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gponikowski\Documents\2024\Zad_prem_IIkw\"/>
    </mc:Choice>
  </mc:AlternateContent>
  <xr:revisionPtr revIDLastSave="0" documentId="13_ncr:1_{01577712-C11A-441A-8836-6239DFA2A8CD}" xr6:coauthVersionLast="47" xr6:coauthVersionMax="47" xr10:uidLastSave="{00000000-0000-0000-0000-000000000000}"/>
  <bookViews>
    <workbookView xWindow="-57720" yWindow="-120" windowWidth="29040" windowHeight="15720" tabRatio="845" xr2:uid="{2FBD315B-E408-41B2-90C3-05CB4A48111A}"/>
  </bookViews>
  <sheets>
    <sheet name="Receptury " sheetId="1" r:id="rId1"/>
    <sheet name="Konfiguracja" sheetId="8" r:id="rId2"/>
    <sheet name="Receptury_z" sheetId="7" r:id="rId3"/>
    <sheet name="Klony 1" sheetId="42" state="hidden" r:id="rId4"/>
    <sheet name="Klon wp. tydzień 07" sheetId="54" r:id="rId5"/>
    <sheet name="Kalkulator mięs " sheetId="2" r:id="rId6"/>
    <sheet name="Klon Drobie 10" sheetId="62" r:id="rId7"/>
    <sheet name="Kalkulator uśrednianie. " sheetId="3" r:id="rId8"/>
    <sheet name="Kalkulator Wędzonki " sheetId="9" r:id="rId9"/>
    <sheet name="Dane stany" sheetId="23" r:id="rId10"/>
    <sheet name="Plan Nastrzyk " sheetId="44" r:id="rId11"/>
    <sheet name="PLAN_P" sheetId="6" r:id="rId12"/>
    <sheet name="TPS wędzonki " sheetId="10" r:id="rId13"/>
    <sheet name="Rozbiór" sheetId="24" r:id="rId14"/>
    <sheet name="Baza Asort" sheetId="30" r:id="rId15"/>
    <sheet name="TPS_mięsa" sheetId="16" r:id="rId16"/>
    <sheet name="ZAKUPY wieprz." sheetId="59" r:id="rId17"/>
    <sheet name="Rozmrazalnia" sheetId="58" r:id="rId18"/>
    <sheet name="Drobie" sheetId="60" r:id="rId19"/>
    <sheet name="Fliet i noga w %" sheetId="61" r:id="rId20"/>
  </sheets>
  <functionGroups builtInGroupCount="19"/>
  <externalReferences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14" hidden="1">'Baza Asort'!$A$1:$M$15663</definedName>
    <definedName name="_xlnm._FilterDatabase" localSheetId="9" hidden="1">'Dane stany'!$J$1:$J$3060</definedName>
    <definedName name="_xlnm._FilterDatabase" localSheetId="5" hidden="1">'Kalkulator mięs '!$AR$1:$AR$176</definedName>
    <definedName name="_xlnm._FilterDatabase" localSheetId="4" hidden="1">'Klon wp. tydzień 07'!$C$1:$C$256</definedName>
    <definedName name="_xlnm._FilterDatabase" localSheetId="1" hidden="1">Konfiguracja!$M$59:$AC$147</definedName>
    <definedName name="_xlnm._FilterDatabase" localSheetId="11" hidden="1">PLAN_P!$B$1:$B$303</definedName>
    <definedName name="_xlnm._FilterDatabase" localSheetId="0" hidden="1">'Receptury '!$C$5:$AI$95</definedName>
    <definedName name="_xlnm._FilterDatabase" localSheetId="2" hidden="1">Receptury_z!$B$7:$AV$101</definedName>
    <definedName name="_xlnm._FilterDatabase" localSheetId="12" hidden="1">'TPS wędzonki '!$A$1:$W$1</definedName>
    <definedName name="_xlnm._FilterDatabase" localSheetId="15" hidden="1">TPS_mięsa!$A$1:$R$469</definedName>
    <definedName name="BAZA_SUR" localSheetId="6">#REF!</definedName>
    <definedName name="BAZA_SUR" localSheetId="4">#REF!</definedName>
    <definedName name="BAZA_SUR">Konfiguracja!$B$2:$B$49</definedName>
    <definedName name="DROBIE" localSheetId="6">#REF!</definedName>
    <definedName name="DROBIE" localSheetId="4">[1]Konfiguracja!$J$2:$J$17</definedName>
    <definedName name="DROBIE" localSheetId="3">Konfiguracja!$J$2:$J$21</definedName>
    <definedName name="DROBIE" localSheetId="10">[2]Konfiguracja!$J$2:$J$15</definedName>
    <definedName name="DROBIE" localSheetId="17">[3]Konfiguracja!$J$2:$J$30</definedName>
    <definedName name="DROBIE" localSheetId="16">[3]Konfiguracja!$J$2:$J$30</definedName>
    <definedName name="DROBIE">Konfiguracja!$J$2:$J$30</definedName>
    <definedName name="FARSZE" localSheetId="6">#REF!</definedName>
    <definedName name="FARSZE" localSheetId="4">[1]Konfiguracja!$N$55:$N$136</definedName>
    <definedName name="FARSZE" localSheetId="3">Konfiguracja!$N$60:$N$147</definedName>
    <definedName name="FARSZE" localSheetId="10">[4]Konfiguracja!$N$55:$N$136</definedName>
    <definedName name="FARSZE" localSheetId="17">[3]Konfiguracja!$N$58:$N$145</definedName>
    <definedName name="FARSZE" localSheetId="16">[3]Konfiguracja!$N$58:$N$145</definedName>
    <definedName name="FARSZE">Konfiguracja!$N$60:$N$147</definedName>
    <definedName name="IL_PL_0" localSheetId="6">#REF!</definedName>
    <definedName name="IL_PL_0" localSheetId="17">[3]PLAN_P!$H$5:$H$245</definedName>
    <definedName name="IL_PL_0" localSheetId="16">[3]PLAN_P!$H$5:$H$245</definedName>
    <definedName name="IL_PL_0">PLAN_P!$H$5:$H$245</definedName>
    <definedName name="IL_PL_1" localSheetId="6">#REF!</definedName>
    <definedName name="IL_PL_1" localSheetId="17">[3]PLAN_P!$I$5:$I$245</definedName>
    <definedName name="IL_PL_1" localSheetId="16">[3]PLAN_P!$I$5:$I$245</definedName>
    <definedName name="IL_PL_1">PLAN_P!$I$5:$I$245</definedName>
    <definedName name="IL_PL_2" localSheetId="6">#REF!</definedName>
    <definedName name="IL_PL_2" localSheetId="17">[3]PLAN_P!$J$5:$J$245</definedName>
    <definedName name="IL_PL_2" localSheetId="16">[3]PLAN_P!$J$5:$J$245</definedName>
    <definedName name="IL_PL_2">PLAN_P!$J$5:$J$245</definedName>
    <definedName name="IND_PLAN_BAZA" localSheetId="6">#REF!</definedName>
    <definedName name="IND_PLAN_BAZA" localSheetId="17">[3]PLAN_P!$B$5:$B$245</definedName>
    <definedName name="IND_PLAN_BAZA" localSheetId="16">[3]PLAN_P!$B$5:$B$245</definedName>
    <definedName name="IND_PLAN_BAZA">PLAN_P!$B$5:$B$245</definedName>
    <definedName name="M_GOL" localSheetId="6">#REF!</definedName>
    <definedName name="M_GOL" localSheetId="4">#REF!</definedName>
    <definedName name="M_GOL">'Kalkulator mięs '!$AQ$67</definedName>
    <definedName name="M_GOL1" localSheetId="6">#REF!</definedName>
    <definedName name="M_GOL1" localSheetId="4">#REF!</definedName>
    <definedName name="M_GOL1">'Kalkulator mięs '!$L$67</definedName>
    <definedName name="M5023_P1" localSheetId="6">#REF!</definedName>
    <definedName name="M5023_P1" localSheetId="4">#REF!</definedName>
    <definedName name="M5023_P1">'Kalkulator mięs '!$R$101</definedName>
    <definedName name="M5023_P1LT" localSheetId="6">#REF!</definedName>
    <definedName name="M5023_P1LT" localSheetId="4">#REF!</definedName>
    <definedName name="M5023_P1LT">'Kalkulator mięs '!$G$102</definedName>
    <definedName name="M5023_P2" localSheetId="6">#REF!</definedName>
    <definedName name="M5023_P2" localSheetId="4">#REF!</definedName>
    <definedName name="M5023_P2">'Kalkulator mięs '!$T$101</definedName>
    <definedName name="M5023_P2LT" localSheetId="6">#REF!</definedName>
    <definedName name="M5023_P2LT" localSheetId="4">#REF!</definedName>
    <definedName name="M5023_P2LT">'Kalkulator mięs '!$H$102</definedName>
    <definedName name="M5023_PB" localSheetId="6">#REF!</definedName>
    <definedName name="M5023_PB" localSheetId="4">#REF!</definedName>
    <definedName name="M5023_PB">'Kalkulator mięs '!$P$101</definedName>
    <definedName name="M5023_PBLT" localSheetId="6">#REF!</definedName>
    <definedName name="M5023_PBLT" localSheetId="4">#REF!</definedName>
    <definedName name="M5023_PBLT">'Kalkulator mięs '!$F$102</definedName>
    <definedName name="M5523_PB" localSheetId="6">#REF!</definedName>
    <definedName name="M5523_PB" localSheetId="4">#REF!</definedName>
    <definedName name="M5523_PB">'Kalkulator mięs '!$P$102</definedName>
    <definedName name="M5523_PBLT" localSheetId="6">#REF!</definedName>
    <definedName name="M5523_PBLT" localSheetId="4">#REF!</definedName>
    <definedName name="M5523_PBLT">'Kalkulator mięs '!$F$103</definedName>
    <definedName name="Marmurek__Zaparzony" localSheetId="6">#REF!</definedName>
    <definedName name="Marmurek__Zaparzony">'Kalkulator mięs '!$K$51</definedName>
    <definedName name="MDR_I1" localSheetId="6">#REF!</definedName>
    <definedName name="MDR_I1" localSheetId="4">[1]Konfiguracja!$O$3:$O$51</definedName>
    <definedName name="MDR_I1" localSheetId="3">Konfiguracja!$O$3:$O$56</definedName>
    <definedName name="MDR_I1" localSheetId="10">[4]Konfiguracja!$O$3:$O$46</definedName>
    <definedName name="MDR_I1" localSheetId="17">[3]Konfiguracja!$O$3:$O$54</definedName>
    <definedName name="MDR_I1" localSheetId="16">[3]Konfiguracja!$O$3:$O$54</definedName>
    <definedName name="MDR_I1">Konfiguracja!$O$3:$O$56</definedName>
    <definedName name="MDR_I2" localSheetId="6">#REF!</definedName>
    <definedName name="MDR_I2" localSheetId="4">[1]Konfiguracja!$P$3:$P$51</definedName>
    <definedName name="MDR_I2" localSheetId="3">Konfiguracja!$P$3:$P$56</definedName>
    <definedName name="MDR_I2" localSheetId="10">[4]Konfiguracja!$P$3:$P$46</definedName>
    <definedName name="MDR_I2" localSheetId="17">[3]Konfiguracja!$P$3:$P$54</definedName>
    <definedName name="MDR_I2" localSheetId="16">[3]Konfiguracja!$P$3:$P$54</definedName>
    <definedName name="MDR_I2">Konfiguracja!$P$3:$P$56</definedName>
    <definedName name="MDR_I3" localSheetId="6">#REF!</definedName>
    <definedName name="MDR_I3" localSheetId="4">[1]Konfiguracja!$Q$3:$Q$51</definedName>
    <definedName name="MDR_I3" localSheetId="3">Konfiguracja!$Q$3:$Q$56</definedName>
    <definedName name="MDR_I3" localSheetId="10">[4]Konfiguracja!$Q$3:$Q$46</definedName>
    <definedName name="MDR_I3" localSheetId="17">[3]Konfiguracja!$Q$3:$Q$54</definedName>
    <definedName name="MDR_I3" localSheetId="16">[3]Konfiguracja!$Q$3:$Q$54</definedName>
    <definedName name="MDR_I3">Konfiguracja!$Q$3:$Q$56</definedName>
    <definedName name="MDR_I4" localSheetId="6">#REF!</definedName>
    <definedName name="MDR_I4" localSheetId="4">[1]Konfiguracja!$AD$3:$AD$51</definedName>
    <definedName name="MDR_I4" localSheetId="3">Konfiguracja!$AD$3:$AD$56</definedName>
    <definedName name="MDR_I4" localSheetId="10">[4]Konfiguracja!$AD$3:$AD$46</definedName>
    <definedName name="MDR_I4" localSheetId="17">[3]Konfiguracja!$AD$3:$AD$54</definedName>
    <definedName name="MDR_I4" localSheetId="16">[3]Konfiguracja!$AD$3:$AD$54</definedName>
    <definedName name="MDR_I4">Konfiguracja!$AD$3:$AD$56</definedName>
    <definedName name="MDR_I5" localSheetId="6">#REF!</definedName>
    <definedName name="MDR_I5" localSheetId="4">[1]Konfiguracja!$AE$3:$AE$51</definedName>
    <definedName name="MDR_I5" localSheetId="3">Konfiguracja!$AE$3:$AE$56</definedName>
    <definedName name="MDR_I5" localSheetId="10">[4]Konfiguracja!$AE$3:$AE$46</definedName>
    <definedName name="MDR_I5" localSheetId="17">[3]Konfiguracja!$AE$3:$AE$54</definedName>
    <definedName name="MDR_I5" localSheetId="16">[3]Konfiguracja!$AE$3:$AE$54</definedName>
    <definedName name="MDR_I5">Konfiguracja!$AE$3:$AE$56</definedName>
    <definedName name="MIESZ_SUR" localSheetId="6">#REF!</definedName>
    <definedName name="MIESZ_SUR" localSheetId="4">#REF!</definedName>
    <definedName name="MIESZ_SUR">'Kalkulator mięs '!$G$101:$H$110</definedName>
    <definedName name="MIESZ_ZAK" localSheetId="6">#REF!</definedName>
    <definedName name="MIESZ_ZAK" localSheetId="4">#REF!</definedName>
    <definedName name="MIESZ_ZAK">'Kalkulator mięs '!$F$101:$H$110</definedName>
    <definedName name="_xlnm.Print_Area" localSheetId="5">'Kalkulator mięs '!$I$4:$V$67</definedName>
    <definedName name="_xlnm.Print_Area" localSheetId="8">'Kalkulator Wędzonki '!$A$1:$U$52</definedName>
    <definedName name="_xlnm.Print_Area" localSheetId="10">'Plan Nastrzyk '!$A$1:$O$21</definedName>
    <definedName name="P1_C" localSheetId="6">#REF!</definedName>
    <definedName name="P1_C" localSheetId="4">#REF!</definedName>
    <definedName name="P1_C">'Kalkulator mięs '!$G$101:$G$110</definedName>
    <definedName name="P1_Z" localSheetId="6">#REF!</definedName>
    <definedName name="P1_Z" localSheetId="4">#REF!</definedName>
    <definedName name="P1_Z">'Kalkulator mięs '!$R$100:$R$109</definedName>
    <definedName name="P2_C" localSheetId="6">#REF!</definedName>
    <definedName name="P2_C" localSheetId="4">#REF!</definedName>
    <definedName name="P2_C">'Kalkulator mięs '!$H$101:$H$110</definedName>
    <definedName name="P2_Z" localSheetId="6">#REF!</definedName>
    <definedName name="P2_Z" localSheetId="4">#REF!</definedName>
    <definedName name="P2_Z">'Kalkulator mięs '!$T$100:$T$109</definedName>
    <definedName name="PB_C" localSheetId="6">#REF!</definedName>
    <definedName name="PB_C" localSheetId="4">#REF!</definedName>
    <definedName name="PB_C">'Kalkulator mięs '!$F$101:$F$110</definedName>
    <definedName name="PB_Z" localSheetId="6">#REF!</definedName>
    <definedName name="PB_Z" localSheetId="4">#REF!</definedName>
    <definedName name="PB_Z">'Kalkulator mięs '!$P$100:$P$109</definedName>
    <definedName name="ROZBIÓR" localSheetId="6">#REF!</definedName>
    <definedName name="ROZBIÓR" localSheetId="4">#REF!</definedName>
    <definedName name="ROZBIÓR">'Kalkulator mięs '!$AU$6:$AU$53</definedName>
    <definedName name="ROZBIÓR1" localSheetId="6">#REF!</definedName>
    <definedName name="ROZBIÓR1" localSheetId="4">#REF!</definedName>
    <definedName name="ROZBIÓR1" localSheetId="17">'[3]Kalkulator mięs '!$L$6:$L$51</definedName>
    <definedName name="ROZBIÓR1" localSheetId="16">'[3]Kalkulator mięs '!$L$6:$L$51</definedName>
    <definedName name="ROZBIÓR1">'Kalkulator mięs '!$L$6:$L$53</definedName>
    <definedName name="SŁONINA" localSheetId="6">#REF!</definedName>
    <definedName name="SŁONINA" localSheetId="4">#REF!</definedName>
    <definedName name="SŁONINA">'Kalkulator mięs '!$AQ$64</definedName>
    <definedName name="SŁONINA1" localSheetId="6">#REF!</definedName>
    <definedName name="SŁONINA1" localSheetId="4">#REF!</definedName>
    <definedName name="SŁONINA1">'Kalkulator mięs '!$L$64</definedName>
    <definedName name="STANY_MDR" localSheetId="6">#REF!</definedName>
    <definedName name="STANY_MDR" localSheetId="4">#REF!</definedName>
    <definedName name="STANY_MDR">'Kalkulator mięs '!$AQ$6:$AQ$53</definedName>
    <definedName name="STANY_MDR1" localSheetId="6">#REF!</definedName>
    <definedName name="STANY_MDR1" localSheetId="4">#REF!</definedName>
    <definedName name="STANY_MDR1" localSheetId="17">'[3]Kalkulator mięs '!$K$6:$K$51</definedName>
    <definedName name="STANY_MDR1" localSheetId="16">'[3]Kalkulator mięs '!$K$6:$K$51</definedName>
    <definedName name="STANY_MDR1">'Kalkulator mięs '!$K$6:$K$53</definedName>
    <definedName name="WEN_NAS" localSheetId="6">#REF!</definedName>
    <definedName name="WEN_NAS" localSheetId="4">'[1]Kalkulator Wędzonki '!$H$5:$H$46</definedName>
    <definedName name="WEN_NAS" localSheetId="3">'Kalkulator Wędzonki '!$H$5:$H$50</definedName>
    <definedName name="WEN_NAS" localSheetId="10">'[4]Kalkulator Wędzonki '!$H$5:$H$46</definedName>
    <definedName name="WEN_NAS" localSheetId="17">'[3]Kalkulator Wędzonki '!$H$5:$H$50</definedName>
    <definedName name="WEN_NAS" localSheetId="16">'[3]Kalkulator Wędzonki '!$H$5:$H$50</definedName>
    <definedName name="WEN_NAS">'Kalkulator Wędzonki '!$H$5:$H$50</definedName>
    <definedName name="WEN_SUR" localSheetId="6">#REF!</definedName>
    <definedName name="WEN_SUR" localSheetId="4">'[1]Kalkulator Wędzonki '!$A$5:$A$46</definedName>
    <definedName name="WEN_SUR" localSheetId="3">'Kalkulator Wędzonki '!$A$5:$A$50</definedName>
    <definedName name="WEN_SUR" localSheetId="10">'[4]Kalkulator Wędzonki '!$A$5:$A$46</definedName>
    <definedName name="WEN_SUR" localSheetId="17">'[3]Kalkulator Wędzonki '!$A$5:$A$50</definedName>
    <definedName name="WEN_SUR" localSheetId="16">'[3]Kalkulator Wędzonki '!$A$5:$A$50</definedName>
    <definedName name="WEN_SUR">'Kalkulator Wędzonki '!$A$5:$A$50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16" l="1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2" i="16"/>
  <c r="K54" i="2" l="1"/>
  <c r="G164" i="23"/>
  <c r="E164" i="23"/>
  <c r="C164" i="23"/>
  <c r="G163" i="23"/>
  <c r="E163" i="23"/>
  <c r="E162" i="23"/>
  <c r="C162" i="23"/>
  <c r="E161" i="23"/>
  <c r="E160" i="23"/>
  <c r="C160" i="23"/>
  <c r="E159" i="23"/>
  <c r="C159" i="23"/>
  <c r="E158" i="23"/>
  <c r="E157" i="23"/>
  <c r="C157" i="23"/>
  <c r="E156" i="23"/>
  <c r="C156" i="23"/>
  <c r="E155" i="23"/>
  <c r="C155" i="23"/>
  <c r="E154" i="23"/>
  <c r="C154" i="23"/>
  <c r="E153" i="23"/>
  <c r="C153" i="23"/>
  <c r="E152" i="23"/>
  <c r="C152" i="23"/>
  <c r="E151" i="23"/>
  <c r="E150" i="23"/>
  <c r="C150" i="23"/>
  <c r="E149" i="23"/>
  <c r="C149" i="23"/>
  <c r="E148" i="23"/>
  <c r="C148" i="23"/>
  <c r="E147" i="23"/>
  <c r="C147" i="23"/>
  <c r="E146" i="23"/>
  <c r="C146" i="23"/>
  <c r="E145" i="23"/>
  <c r="C145" i="23"/>
  <c r="E144" i="23"/>
  <c r="C144" i="23"/>
  <c r="E143" i="23"/>
  <c r="E142" i="23"/>
  <c r="C142" i="23"/>
  <c r="E141" i="23"/>
  <c r="C141" i="23"/>
  <c r="E140" i="23"/>
  <c r="G139" i="23"/>
  <c r="E139" i="23"/>
  <c r="G138" i="23"/>
  <c r="E138" i="23"/>
  <c r="G137" i="23"/>
  <c r="E137" i="23"/>
  <c r="G136" i="23"/>
  <c r="E136" i="23"/>
  <c r="G135" i="23"/>
  <c r="E135" i="23"/>
  <c r="G134" i="23"/>
  <c r="E134" i="23"/>
  <c r="G133" i="23"/>
  <c r="E133" i="23"/>
  <c r="G132" i="23"/>
  <c r="E132" i="23"/>
  <c r="C132" i="23"/>
  <c r="G131" i="23"/>
  <c r="E131" i="23"/>
  <c r="G130" i="23"/>
  <c r="E130" i="23"/>
  <c r="G129" i="23"/>
  <c r="E129" i="23"/>
  <c r="G128" i="23"/>
  <c r="E128" i="23"/>
  <c r="G127" i="23"/>
  <c r="E127" i="23"/>
  <c r="C127" i="23"/>
  <c r="G126" i="23"/>
  <c r="E126" i="23"/>
  <c r="C126" i="23"/>
  <c r="E125" i="23"/>
  <c r="E124" i="23"/>
  <c r="C124" i="23"/>
  <c r="G123" i="23"/>
  <c r="E123" i="23"/>
  <c r="G122" i="23"/>
  <c r="E122" i="23"/>
  <c r="E121" i="23"/>
  <c r="E120" i="23"/>
  <c r="C120" i="23"/>
  <c r="G95" i="23"/>
  <c r="E95" i="23"/>
  <c r="G94" i="23"/>
  <c r="E94" i="23"/>
  <c r="C94" i="23"/>
  <c r="G93" i="23"/>
  <c r="E93" i="23"/>
  <c r="C93" i="23"/>
  <c r="G92" i="23"/>
  <c r="E92" i="23"/>
  <c r="G91" i="23"/>
  <c r="E91" i="23"/>
  <c r="G90" i="23"/>
  <c r="E90" i="23"/>
  <c r="G89" i="23"/>
  <c r="E89" i="23"/>
  <c r="G88" i="23"/>
  <c r="E88" i="23"/>
  <c r="C88" i="23"/>
  <c r="G87" i="23"/>
  <c r="E87" i="23"/>
  <c r="C87" i="23"/>
  <c r="G86" i="23"/>
  <c r="E86" i="23"/>
  <c r="G85" i="23"/>
  <c r="E85" i="23"/>
  <c r="G84" i="23"/>
  <c r="E84" i="23"/>
  <c r="G83" i="23"/>
  <c r="E83" i="23"/>
  <c r="G82" i="23"/>
  <c r="E82" i="23"/>
  <c r="G81" i="23"/>
  <c r="E81" i="23"/>
  <c r="G80" i="23"/>
  <c r="E80" i="23"/>
  <c r="C80" i="23"/>
  <c r="G79" i="23"/>
  <c r="E79" i="23"/>
  <c r="G78" i="23"/>
  <c r="E78" i="23"/>
  <c r="C78" i="23"/>
  <c r="E47" i="23"/>
  <c r="E46" i="23"/>
  <c r="E45" i="23"/>
  <c r="E44" i="23"/>
  <c r="E43" i="23"/>
  <c r="E42" i="23"/>
  <c r="E41" i="23"/>
  <c r="C41" i="23"/>
  <c r="E40" i="23"/>
  <c r="C40" i="23"/>
  <c r="E39" i="23"/>
  <c r="C39" i="23"/>
  <c r="E38" i="23"/>
  <c r="E37" i="23"/>
  <c r="E36" i="23"/>
  <c r="G35" i="23"/>
  <c r="E35" i="23"/>
  <c r="G34" i="23"/>
  <c r="E34" i="23"/>
  <c r="G33" i="23"/>
  <c r="E33" i="23"/>
  <c r="G32" i="23"/>
  <c r="E32" i="23"/>
  <c r="G31" i="23"/>
  <c r="E31" i="23"/>
  <c r="G30" i="23"/>
  <c r="E30" i="23"/>
  <c r="G29" i="23"/>
  <c r="E29" i="23"/>
  <c r="G28" i="23"/>
  <c r="E28" i="23"/>
  <c r="G27" i="23"/>
  <c r="E27" i="23"/>
  <c r="G26" i="23"/>
  <c r="E26" i="23"/>
  <c r="G25" i="23"/>
  <c r="E25" i="23"/>
  <c r="G24" i="23"/>
  <c r="E24" i="23"/>
  <c r="G23" i="23"/>
  <c r="E23" i="23"/>
  <c r="G22" i="23"/>
  <c r="E22" i="23"/>
  <c r="G21" i="23"/>
  <c r="E21" i="23"/>
  <c r="G20" i="23"/>
  <c r="E20" i="23"/>
  <c r="G19" i="23"/>
  <c r="E19" i="23"/>
  <c r="G18" i="23"/>
  <c r="E18" i="23"/>
  <c r="C18" i="23"/>
  <c r="G17" i="23"/>
  <c r="E17" i="23"/>
  <c r="G16" i="23"/>
  <c r="E16" i="23"/>
  <c r="C16" i="23"/>
  <c r="G15" i="23"/>
  <c r="E15" i="23"/>
  <c r="G14" i="23"/>
  <c r="E14" i="23"/>
  <c r="E13" i="23"/>
  <c r="E12" i="23"/>
  <c r="E11" i="23"/>
  <c r="E10" i="23"/>
  <c r="E9" i="23"/>
  <c r="E8" i="23"/>
  <c r="E7" i="23"/>
  <c r="E6" i="23"/>
  <c r="C6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J205" i="23"/>
  <c r="J206" i="23"/>
  <c r="J207" i="23"/>
  <c r="J208" i="23"/>
  <c r="J209" i="23"/>
  <c r="J210" i="23"/>
  <c r="J211" i="23"/>
  <c r="J212" i="23"/>
  <c r="J213" i="23"/>
  <c r="J214" i="23"/>
  <c r="J215" i="23"/>
  <c r="J216" i="23"/>
  <c r="J217" i="23"/>
  <c r="J218" i="23"/>
  <c r="J219" i="23"/>
  <c r="J220" i="23"/>
  <c r="J221" i="23"/>
  <c r="J222" i="23"/>
  <c r="J223" i="23"/>
  <c r="J224" i="23"/>
  <c r="J225" i="23"/>
  <c r="J226" i="23"/>
  <c r="J227" i="23"/>
  <c r="J228" i="23"/>
  <c r="J229" i="23"/>
  <c r="J230" i="23"/>
  <c r="J231" i="23"/>
  <c r="J232" i="23"/>
  <c r="J233" i="23"/>
  <c r="J234" i="23"/>
  <c r="AK49" i="7"/>
  <c r="J35" i="60" l="1"/>
  <c r="J33" i="60"/>
  <c r="J19" i="60"/>
  <c r="J17" i="60"/>
  <c r="J11" i="60"/>
  <c r="J10" i="60"/>
  <c r="F5" i="60"/>
  <c r="G5" i="60" s="1"/>
  <c r="H5" i="60" s="1"/>
  <c r="I5" i="60" s="1"/>
  <c r="E5" i="60"/>
  <c r="O104" i="62" l="1"/>
  <c r="I93" i="62"/>
  <c r="M92" i="62"/>
  <c r="N92" i="62" s="1"/>
  <c r="K92" i="62"/>
  <c r="L92" i="62" s="1"/>
  <c r="J92" i="62"/>
  <c r="H92" i="62"/>
  <c r="M91" i="62"/>
  <c r="N91" i="62" s="1"/>
  <c r="K91" i="62"/>
  <c r="L91" i="62" s="1"/>
  <c r="J91" i="62"/>
  <c r="H91" i="62"/>
  <c r="J93" i="62" l="1"/>
  <c r="N93" i="62"/>
  <c r="L93" i="62"/>
  <c r="O93" i="62" s="1"/>
  <c r="K126" i="23" l="1"/>
  <c r="O218" i="54"/>
  <c r="I75" i="54"/>
  <c r="N74" i="54"/>
  <c r="K74" i="54"/>
  <c r="L74" i="54" s="1"/>
  <c r="J74" i="54"/>
  <c r="H74" i="54"/>
  <c r="M73" i="54"/>
  <c r="N73" i="54" s="1"/>
  <c r="K73" i="54"/>
  <c r="L73" i="54" s="1"/>
  <c r="J73" i="54"/>
  <c r="H73" i="54"/>
  <c r="M72" i="54"/>
  <c r="N72" i="54" s="1"/>
  <c r="K72" i="54"/>
  <c r="L72" i="54" s="1"/>
  <c r="J72" i="54"/>
  <c r="H72" i="54"/>
  <c r="BC84" i="7"/>
  <c r="BC85" i="7"/>
  <c r="BC86" i="7"/>
  <c r="BC87" i="7"/>
  <c r="BC88" i="7"/>
  <c r="BC89" i="7"/>
  <c r="BC90" i="7"/>
  <c r="BC91" i="7"/>
  <c r="BC92" i="7"/>
  <c r="BC93" i="7"/>
  <c r="BC94" i="7"/>
  <c r="BC95" i="7"/>
  <c r="BC96" i="7"/>
  <c r="BC97" i="7"/>
  <c r="BC83" i="7"/>
  <c r="BC82" i="7"/>
  <c r="BC81" i="7"/>
  <c r="BC80" i="7"/>
  <c r="BC79" i="7"/>
  <c r="BC78" i="7"/>
  <c r="BC77" i="7"/>
  <c r="BC76" i="7"/>
  <c r="BC75" i="7"/>
  <c r="BC74" i="7"/>
  <c r="BC73" i="7"/>
  <c r="BC72" i="7"/>
  <c r="BC71" i="7"/>
  <c r="BC70" i="7"/>
  <c r="BC69" i="7"/>
  <c r="BC68" i="7"/>
  <c r="BC67" i="7"/>
  <c r="BC66" i="7"/>
  <c r="BC64" i="7"/>
  <c r="BC65" i="7"/>
  <c r="BC9" i="7"/>
  <c r="BC10" i="7"/>
  <c r="BC11" i="7"/>
  <c r="BC12" i="7"/>
  <c r="BC13" i="7"/>
  <c r="BC14" i="7"/>
  <c r="BC15" i="7"/>
  <c r="BC16" i="7"/>
  <c r="BC17" i="7"/>
  <c r="BC18" i="7"/>
  <c r="BC19" i="7"/>
  <c r="BC20" i="7"/>
  <c r="BC21" i="7"/>
  <c r="BC22" i="7"/>
  <c r="BC23" i="7"/>
  <c r="BC24" i="7"/>
  <c r="BC25" i="7"/>
  <c r="BC26" i="7"/>
  <c r="BC27" i="7"/>
  <c r="BC28" i="7"/>
  <c r="BC29" i="7"/>
  <c r="BC30" i="7"/>
  <c r="BC31" i="7"/>
  <c r="BC32" i="7"/>
  <c r="BC33" i="7"/>
  <c r="BC34" i="7"/>
  <c r="BC35" i="7"/>
  <c r="BC36" i="7"/>
  <c r="BC37" i="7"/>
  <c r="BC38" i="7"/>
  <c r="BC39" i="7"/>
  <c r="BC40" i="7"/>
  <c r="BC41" i="7"/>
  <c r="BC42" i="7"/>
  <c r="BC43" i="7"/>
  <c r="BC44" i="7"/>
  <c r="BC45" i="7"/>
  <c r="BC46" i="7"/>
  <c r="BC47" i="7"/>
  <c r="BC48" i="7"/>
  <c r="BC49" i="7"/>
  <c r="BC50" i="7"/>
  <c r="BC51" i="7"/>
  <c r="BC52" i="7"/>
  <c r="BC53" i="7"/>
  <c r="BC54" i="7"/>
  <c r="BC55" i="7"/>
  <c r="BC56" i="7"/>
  <c r="BC57" i="7"/>
  <c r="BC58" i="7"/>
  <c r="BC59" i="7"/>
  <c r="BC60" i="7"/>
  <c r="BC61" i="7"/>
  <c r="BC62" i="7"/>
  <c r="BC63" i="7"/>
  <c r="BC8" i="7"/>
  <c r="W42" i="2"/>
  <c r="AK42" i="2" s="1"/>
  <c r="X42" i="2"/>
  <c r="Y42" i="2"/>
  <c r="W43" i="2"/>
  <c r="X43" i="2"/>
  <c r="Y43" i="2"/>
  <c r="IM5" i="1"/>
  <c r="IN5" i="1" s="1"/>
  <c r="IN99" i="1" s="1"/>
  <c r="IJ5" i="1"/>
  <c r="IJ99" i="1" s="1"/>
  <c r="IM101" i="1"/>
  <c r="IN101" i="1"/>
  <c r="IO101" i="1"/>
  <c r="IJ101" i="1"/>
  <c r="IK101" i="1"/>
  <c r="IL101" i="1"/>
  <c r="CY5" i="1"/>
  <c r="CZ5" i="1"/>
  <c r="BA5" i="1"/>
  <c r="AZ5" i="1"/>
  <c r="BA7" i="7"/>
  <c r="AZ7" i="7"/>
  <c r="BA5" i="7"/>
  <c r="AZ5" i="7"/>
  <c r="BA4" i="7"/>
  <c r="AZ4" i="7"/>
  <c r="F53" i="8"/>
  <c r="G53" i="8"/>
  <c r="H53" i="8"/>
  <c r="F54" i="8"/>
  <c r="G54" i="8"/>
  <c r="H54" i="8"/>
  <c r="AE54" i="8"/>
  <c r="AD54" i="8"/>
  <c r="Q54" i="8"/>
  <c r="P54" i="8"/>
  <c r="O54" i="8"/>
  <c r="AE53" i="8"/>
  <c r="AD53" i="8"/>
  <c r="Q53" i="8"/>
  <c r="P53" i="8"/>
  <c r="O53" i="8"/>
  <c r="O460" i="16"/>
  <c r="O461" i="16"/>
  <c r="O462" i="16"/>
  <c r="O463" i="16"/>
  <c r="O464" i="16"/>
  <c r="O465" i="16"/>
  <c r="O466" i="16"/>
  <c r="O467" i="16"/>
  <c r="O468" i="16"/>
  <c r="O469" i="16"/>
  <c r="J75" i="54" l="1"/>
  <c r="L75" i="54"/>
  <c r="O75" i="54" s="1"/>
  <c r="N75" i="54"/>
  <c r="IM99" i="1"/>
  <c r="IO5" i="1"/>
  <c r="IO99" i="1" s="1"/>
  <c r="IL5" i="1"/>
  <c r="IL99" i="1" s="1"/>
  <c r="IK5" i="1"/>
  <c r="IK99" i="1" s="1"/>
  <c r="J5" i="23"/>
  <c r="AK87" i="7"/>
  <c r="J7" i="54"/>
  <c r="J16" i="54"/>
  <c r="J34" i="54"/>
  <c r="M34" i="54"/>
  <c r="N34" i="54" s="1"/>
  <c r="K34" i="54"/>
  <c r="L34" i="54" s="1"/>
  <c r="H34" i="54"/>
  <c r="M16" i="54"/>
  <c r="N16" i="54" s="1"/>
  <c r="K16" i="54"/>
  <c r="L16" i="54" s="1"/>
  <c r="H16" i="54"/>
  <c r="M15" i="54"/>
  <c r="N15" i="54" s="1"/>
  <c r="K15" i="54"/>
  <c r="L15" i="54" s="1"/>
  <c r="J15" i="54"/>
  <c r="H15" i="54"/>
  <c r="M14" i="54"/>
  <c r="N14" i="54" s="1"/>
  <c r="K14" i="54"/>
  <c r="L14" i="54" s="1"/>
  <c r="J14" i="54"/>
  <c r="H14" i="54"/>
  <c r="M13" i="54"/>
  <c r="N13" i="54" s="1"/>
  <c r="K13" i="54"/>
  <c r="L13" i="54" s="1"/>
  <c r="J13" i="54"/>
  <c r="H13" i="54"/>
  <c r="H7" i="54"/>
  <c r="K7" i="54"/>
  <c r="L7" i="54" s="1"/>
  <c r="M7" i="54"/>
  <c r="H56" i="54" l="1"/>
  <c r="J56" i="54"/>
  <c r="K56" i="54"/>
  <c r="L56" i="54" s="1"/>
  <c r="M56" i="54"/>
  <c r="N56" i="54" s="1"/>
  <c r="H57" i="54"/>
  <c r="J57" i="54"/>
  <c r="K57" i="54"/>
  <c r="L57" i="54" s="1"/>
  <c r="M57" i="54"/>
  <c r="N57" i="54" s="1"/>
  <c r="H58" i="54"/>
  <c r="J58" i="54"/>
  <c r="K58" i="54"/>
  <c r="L58" i="54" s="1"/>
  <c r="N58" i="54"/>
  <c r="I59" i="54"/>
  <c r="H64" i="54"/>
  <c r="J64" i="54"/>
  <c r="K64" i="54"/>
  <c r="L64" i="54" s="1"/>
  <c r="M64" i="54"/>
  <c r="N64" i="54" s="1"/>
  <c r="H65" i="54"/>
  <c r="J65" i="54"/>
  <c r="K65" i="54"/>
  <c r="L65" i="54" s="1"/>
  <c r="M65" i="54"/>
  <c r="N65" i="54" s="1"/>
  <c r="H66" i="54"/>
  <c r="J66" i="54"/>
  <c r="K66" i="54"/>
  <c r="L66" i="54" s="1"/>
  <c r="N66" i="54"/>
  <c r="I67" i="54"/>
  <c r="H80" i="54"/>
  <c r="J80" i="54"/>
  <c r="K80" i="54"/>
  <c r="L80" i="54" s="1"/>
  <c r="M80" i="54"/>
  <c r="N80" i="54" s="1"/>
  <c r="H81" i="54"/>
  <c r="J81" i="54"/>
  <c r="K81" i="54"/>
  <c r="L81" i="54" s="1"/>
  <c r="M81" i="54"/>
  <c r="N81" i="54" s="1"/>
  <c r="H82" i="54"/>
  <c r="J82" i="54"/>
  <c r="K82" i="54"/>
  <c r="L82" i="54" s="1"/>
  <c r="N82" i="54"/>
  <c r="I83" i="54"/>
  <c r="K121" i="23"/>
  <c r="K122" i="23"/>
  <c r="K123" i="23"/>
  <c r="K124" i="23"/>
  <c r="K125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L179" i="23"/>
  <c r="K179" i="23"/>
  <c r="L180" i="23"/>
  <c r="K180" i="23"/>
  <c r="L181" i="23"/>
  <c r="K181" i="23"/>
  <c r="L182" i="23"/>
  <c r="K182" i="23"/>
  <c r="L183" i="23"/>
  <c r="K183" i="23"/>
  <c r="L184" i="23"/>
  <c r="K184" i="23"/>
  <c r="L185" i="23"/>
  <c r="K185" i="23"/>
  <c r="L186" i="23"/>
  <c r="K186" i="23"/>
  <c r="L187" i="23"/>
  <c r="K187" i="23"/>
  <c r="L188" i="23"/>
  <c r="K188" i="23"/>
  <c r="L189" i="23"/>
  <c r="K189" i="23"/>
  <c r="L190" i="23"/>
  <c r="K190" i="23"/>
  <c r="L191" i="23"/>
  <c r="K191" i="23"/>
  <c r="L192" i="23"/>
  <c r="K192" i="23"/>
  <c r="L193" i="23"/>
  <c r="K193" i="23"/>
  <c r="L194" i="23"/>
  <c r="K194" i="23"/>
  <c r="L195" i="23"/>
  <c r="K195" i="23"/>
  <c r="L196" i="23"/>
  <c r="K196" i="23"/>
  <c r="L197" i="23"/>
  <c r="K197" i="23"/>
  <c r="L198" i="23"/>
  <c r="K198" i="23"/>
  <c r="L199" i="23"/>
  <c r="K199" i="23"/>
  <c r="L200" i="23"/>
  <c r="K200" i="23"/>
  <c r="L201" i="23"/>
  <c r="K201" i="23"/>
  <c r="L202" i="23"/>
  <c r="K202" i="23"/>
  <c r="L203" i="23"/>
  <c r="K203" i="23"/>
  <c r="L204" i="23"/>
  <c r="K204" i="23"/>
  <c r="L205" i="23"/>
  <c r="K205" i="23"/>
  <c r="L206" i="23"/>
  <c r="K206" i="23"/>
  <c r="L207" i="23"/>
  <c r="K207" i="23"/>
  <c r="L208" i="23"/>
  <c r="K208" i="23"/>
  <c r="L209" i="23"/>
  <c r="K209" i="23"/>
  <c r="L210" i="23"/>
  <c r="K210" i="23"/>
  <c r="L211" i="23"/>
  <c r="K211" i="23"/>
  <c r="L212" i="23"/>
  <c r="K212" i="23"/>
  <c r="L213" i="23"/>
  <c r="K213" i="23"/>
  <c r="L214" i="23"/>
  <c r="K214" i="23"/>
  <c r="L215" i="23"/>
  <c r="K215" i="23"/>
  <c r="L216" i="23"/>
  <c r="K216" i="23"/>
  <c r="L217" i="23"/>
  <c r="K217" i="23"/>
  <c r="L218" i="23"/>
  <c r="K218" i="23"/>
  <c r="L219" i="23"/>
  <c r="K219" i="23"/>
  <c r="L220" i="23"/>
  <c r="K220" i="23"/>
  <c r="N73" i="8"/>
  <c r="W19" i="2"/>
  <c r="J83" i="54" l="1"/>
  <c r="J59" i="54"/>
  <c r="J67" i="54"/>
  <c r="L67" i="54"/>
  <c r="O67" i="54" s="1"/>
  <c r="N83" i="54"/>
  <c r="N59" i="54"/>
  <c r="L59" i="54"/>
  <c r="O59" i="54" s="1"/>
  <c r="L83" i="54"/>
  <c r="O83" i="54" s="1"/>
  <c r="N67" i="54"/>
  <c r="A21" i="7"/>
  <c r="O4" i="8"/>
  <c r="I87" i="62"/>
  <c r="M86" i="62"/>
  <c r="N86" i="62" s="1"/>
  <c r="K86" i="62"/>
  <c r="L86" i="62" s="1"/>
  <c r="J86" i="62"/>
  <c r="H86" i="62"/>
  <c r="M85" i="62"/>
  <c r="N85" i="62" s="1"/>
  <c r="K85" i="62"/>
  <c r="L85" i="62" s="1"/>
  <c r="J85" i="62"/>
  <c r="H85" i="62"/>
  <c r="J87" i="62" l="1"/>
  <c r="N87" i="62"/>
  <c r="L87" i="62"/>
  <c r="O87" i="62" s="1"/>
  <c r="H8" i="8" l="1"/>
  <c r="J17" i="8" l="1"/>
  <c r="W131" i="8" l="1"/>
  <c r="Z131" i="8" s="1"/>
  <c r="W133" i="8"/>
  <c r="Z133" i="8" s="1"/>
  <c r="V131" i="8"/>
  <c r="Y131" i="8" s="1"/>
  <c r="V133" i="8"/>
  <c r="Y133" i="8" s="1"/>
  <c r="J160" i="54" l="1"/>
  <c r="H160" i="54"/>
  <c r="K160" i="54"/>
  <c r="L160" i="54" s="1"/>
  <c r="M160" i="54"/>
  <c r="N160" i="54" s="1"/>
  <c r="I80" i="62" l="1"/>
  <c r="M79" i="62"/>
  <c r="N79" i="62" s="1"/>
  <c r="K79" i="62"/>
  <c r="L79" i="62" s="1"/>
  <c r="J79" i="62"/>
  <c r="H79" i="62"/>
  <c r="M78" i="62"/>
  <c r="N78" i="62" s="1"/>
  <c r="K78" i="62"/>
  <c r="L78" i="62" s="1"/>
  <c r="J78" i="62"/>
  <c r="H78" i="62"/>
  <c r="I73" i="62"/>
  <c r="M72" i="62"/>
  <c r="N72" i="62" s="1"/>
  <c r="K72" i="62"/>
  <c r="L72" i="62" s="1"/>
  <c r="J72" i="62"/>
  <c r="H72" i="62"/>
  <c r="M71" i="62"/>
  <c r="N71" i="62" s="1"/>
  <c r="K71" i="62"/>
  <c r="L71" i="62" s="1"/>
  <c r="J71" i="62"/>
  <c r="H71" i="62"/>
  <c r="M70" i="62"/>
  <c r="N70" i="62" s="1"/>
  <c r="K70" i="62"/>
  <c r="L70" i="62" s="1"/>
  <c r="J70" i="62"/>
  <c r="H70" i="62"/>
  <c r="I59" i="62"/>
  <c r="M58" i="62"/>
  <c r="N58" i="62" s="1"/>
  <c r="K58" i="62"/>
  <c r="L58" i="62" s="1"/>
  <c r="J58" i="62"/>
  <c r="H58" i="62"/>
  <c r="M57" i="62"/>
  <c r="N57" i="62" s="1"/>
  <c r="K57" i="62"/>
  <c r="L57" i="62" s="1"/>
  <c r="J57" i="62"/>
  <c r="H57" i="62"/>
  <c r="M56" i="62"/>
  <c r="N56" i="62" s="1"/>
  <c r="K56" i="62"/>
  <c r="L56" i="62" s="1"/>
  <c r="J56" i="62"/>
  <c r="H56" i="62"/>
  <c r="I44" i="62"/>
  <c r="M43" i="62"/>
  <c r="N43" i="62" s="1"/>
  <c r="K43" i="62"/>
  <c r="L43" i="62" s="1"/>
  <c r="J43" i="62"/>
  <c r="H43" i="62"/>
  <c r="M42" i="62"/>
  <c r="N42" i="62" s="1"/>
  <c r="K42" i="62"/>
  <c r="L42" i="62" s="1"/>
  <c r="J42" i="62"/>
  <c r="H42" i="62"/>
  <c r="M41" i="62"/>
  <c r="N41" i="62" s="1"/>
  <c r="K41" i="62"/>
  <c r="L41" i="62" s="1"/>
  <c r="J41" i="62"/>
  <c r="H41" i="62"/>
  <c r="I30" i="62"/>
  <c r="M29" i="62"/>
  <c r="N29" i="62" s="1"/>
  <c r="K29" i="62"/>
  <c r="L29" i="62" s="1"/>
  <c r="J29" i="62"/>
  <c r="H29" i="62"/>
  <c r="M28" i="62"/>
  <c r="N28" i="62" s="1"/>
  <c r="K28" i="62"/>
  <c r="L28" i="62" s="1"/>
  <c r="J28" i="62"/>
  <c r="H28" i="62"/>
  <c r="M27" i="62"/>
  <c r="N27" i="62" s="1"/>
  <c r="K27" i="62"/>
  <c r="L27" i="62" s="1"/>
  <c r="J27" i="62"/>
  <c r="H27" i="62"/>
  <c r="I16" i="62"/>
  <c r="M14" i="62"/>
  <c r="N14" i="62" s="1"/>
  <c r="K14" i="62"/>
  <c r="L14" i="62" s="1"/>
  <c r="J14" i="62"/>
  <c r="H14" i="62"/>
  <c r="M13" i="62"/>
  <c r="N13" i="62" s="1"/>
  <c r="K13" i="62"/>
  <c r="L13" i="62" s="1"/>
  <c r="J13" i="62"/>
  <c r="H13" i="62"/>
  <c r="M12" i="62"/>
  <c r="N12" i="62" s="1"/>
  <c r="K12" i="62"/>
  <c r="L12" i="62" s="1"/>
  <c r="J12" i="62"/>
  <c r="H12" i="62"/>
  <c r="J80" i="62" l="1"/>
  <c r="N80" i="62"/>
  <c r="L80" i="62"/>
  <c r="O80" i="62" s="1"/>
  <c r="J73" i="62"/>
  <c r="L73" i="62"/>
  <c r="O73" i="62" s="1"/>
  <c r="N73" i="62"/>
  <c r="J59" i="62"/>
  <c r="L59" i="62"/>
  <c r="O59" i="62" s="1"/>
  <c r="N59" i="62"/>
  <c r="J44" i="62"/>
  <c r="L44" i="62"/>
  <c r="O44" i="62" s="1"/>
  <c r="N44" i="62"/>
  <c r="J30" i="62"/>
  <c r="L30" i="62"/>
  <c r="O30" i="62" s="1"/>
  <c r="N30" i="62"/>
  <c r="J16" i="62"/>
  <c r="L16" i="62"/>
  <c r="O16" i="62" s="1"/>
  <c r="N16" i="62"/>
  <c r="O456" i="16"/>
  <c r="O457" i="16"/>
  <c r="O458" i="16"/>
  <c r="O459" i="16"/>
  <c r="O449" i="16"/>
  <c r="O450" i="16"/>
  <c r="O451" i="16"/>
  <c r="O452" i="16"/>
  <c r="O453" i="16"/>
  <c r="O454" i="16"/>
  <c r="O455" i="16"/>
  <c r="R196" i="6"/>
  <c r="R193" i="6"/>
  <c r="R180" i="6"/>
  <c r="R205" i="6"/>
  <c r="R214" i="6"/>
  <c r="R199" i="6"/>
  <c r="R160" i="6"/>
  <c r="J210" i="54"/>
  <c r="J199" i="54"/>
  <c r="I100" i="62"/>
  <c r="M99" i="62"/>
  <c r="N99" i="62" s="1"/>
  <c r="K99" i="62"/>
  <c r="L99" i="62" s="1"/>
  <c r="J99" i="62"/>
  <c r="H99" i="62"/>
  <c r="M98" i="62"/>
  <c r="N98" i="62" s="1"/>
  <c r="K98" i="62"/>
  <c r="L98" i="62" s="1"/>
  <c r="J98" i="62"/>
  <c r="H98" i="62"/>
  <c r="I66" i="62"/>
  <c r="M65" i="62"/>
  <c r="N65" i="62" s="1"/>
  <c r="K65" i="62"/>
  <c r="L65" i="62" s="1"/>
  <c r="J65" i="62"/>
  <c r="H65" i="62"/>
  <c r="M64" i="62"/>
  <c r="N64" i="62" s="1"/>
  <c r="K64" i="62"/>
  <c r="L64" i="62" s="1"/>
  <c r="J64" i="62"/>
  <c r="H64" i="62"/>
  <c r="M63" i="62"/>
  <c r="N63" i="62" s="1"/>
  <c r="K63" i="62"/>
  <c r="L63" i="62" s="1"/>
  <c r="J63" i="62"/>
  <c r="H63" i="62"/>
  <c r="I52" i="62"/>
  <c r="M51" i="62"/>
  <c r="N51" i="62" s="1"/>
  <c r="K51" i="62"/>
  <c r="L51" i="62" s="1"/>
  <c r="J51" i="62"/>
  <c r="H51" i="62"/>
  <c r="M50" i="62"/>
  <c r="N50" i="62" s="1"/>
  <c r="K50" i="62"/>
  <c r="L50" i="62" s="1"/>
  <c r="J50" i="62"/>
  <c r="H50" i="62"/>
  <c r="M49" i="62"/>
  <c r="N49" i="62" s="1"/>
  <c r="K49" i="62"/>
  <c r="L49" i="62" s="1"/>
  <c r="J49" i="62"/>
  <c r="H49" i="62"/>
  <c r="I37" i="62"/>
  <c r="M36" i="62"/>
  <c r="N36" i="62" s="1"/>
  <c r="K36" i="62"/>
  <c r="L36" i="62" s="1"/>
  <c r="J36" i="62"/>
  <c r="H36" i="62"/>
  <c r="M35" i="62"/>
  <c r="N35" i="62" s="1"/>
  <c r="K35" i="62"/>
  <c r="L35" i="62" s="1"/>
  <c r="J35" i="62"/>
  <c r="H35" i="62"/>
  <c r="M34" i="62"/>
  <c r="N34" i="62" s="1"/>
  <c r="K34" i="62"/>
  <c r="L34" i="62" s="1"/>
  <c r="J34" i="62"/>
  <c r="H34" i="62"/>
  <c r="I23" i="62"/>
  <c r="M22" i="62"/>
  <c r="N22" i="62" s="1"/>
  <c r="K22" i="62"/>
  <c r="L22" i="62" s="1"/>
  <c r="J22" i="62"/>
  <c r="H22" i="62"/>
  <c r="M21" i="62"/>
  <c r="N21" i="62" s="1"/>
  <c r="K21" i="62"/>
  <c r="L21" i="62" s="1"/>
  <c r="J21" i="62"/>
  <c r="H21" i="62"/>
  <c r="M20" i="62"/>
  <c r="N20" i="62" s="1"/>
  <c r="K20" i="62"/>
  <c r="L20" i="62" s="1"/>
  <c r="J20" i="62"/>
  <c r="H20" i="62"/>
  <c r="I8" i="62"/>
  <c r="M7" i="62"/>
  <c r="N7" i="62" s="1"/>
  <c r="K7" i="62"/>
  <c r="L7" i="62" s="1"/>
  <c r="J7" i="62"/>
  <c r="H7" i="62"/>
  <c r="M6" i="62"/>
  <c r="N6" i="62" s="1"/>
  <c r="K6" i="62"/>
  <c r="L6" i="62" s="1"/>
  <c r="J6" i="62"/>
  <c r="H6" i="62"/>
  <c r="M5" i="62"/>
  <c r="N5" i="62" s="1"/>
  <c r="K5" i="62"/>
  <c r="L5" i="62" s="1"/>
  <c r="J5" i="62"/>
  <c r="H5" i="62"/>
  <c r="G107" i="62" l="1" a="1"/>
  <c r="G107" i="62" s="1"/>
  <c r="G118" i="62" s="1"/>
  <c r="N37" i="62"/>
  <c r="J23" i="62"/>
  <c r="J37" i="62"/>
  <c r="L52" i="62"/>
  <c r="O52" i="62" s="1"/>
  <c r="N100" i="62"/>
  <c r="L23" i="62"/>
  <c r="O23" i="62" s="1"/>
  <c r="N52" i="62"/>
  <c r="L66" i="62"/>
  <c r="O66" i="62" s="1"/>
  <c r="J66" i="62"/>
  <c r="N8" i="62"/>
  <c r="J8" i="62"/>
  <c r="J52" i="62"/>
  <c r="J100" i="62"/>
  <c r="L8" i="62"/>
  <c r="O8" i="62" s="1"/>
  <c r="N23" i="62"/>
  <c r="L37" i="62"/>
  <c r="O37" i="62" s="1"/>
  <c r="L100" i="62"/>
  <c r="O100" i="62" s="1"/>
  <c r="N66" i="62"/>
  <c r="O106" i="62" l="1"/>
  <c r="O441" i="16"/>
  <c r="O442" i="16"/>
  <c r="O443" i="16"/>
  <c r="O444" i="16"/>
  <c r="O445" i="16"/>
  <c r="O446" i="16"/>
  <c r="O447" i="16"/>
  <c r="O448" i="16"/>
  <c r="O7" i="16" l="1"/>
  <c r="O330" i="16"/>
  <c r="O329" i="16"/>
  <c r="Q330" i="16"/>
  <c r="Q329" i="16"/>
  <c r="H142" i="54" l="1"/>
  <c r="K42" i="54"/>
  <c r="L42" i="54" s="1"/>
  <c r="J42" i="54"/>
  <c r="H42" i="54"/>
  <c r="M41" i="54"/>
  <c r="N41" i="54" s="1"/>
  <c r="K41" i="54"/>
  <c r="L41" i="54" s="1"/>
  <c r="J41" i="54"/>
  <c r="H41" i="54"/>
  <c r="M40" i="54"/>
  <c r="N40" i="54" s="1"/>
  <c r="K40" i="54"/>
  <c r="L40" i="54" s="1"/>
  <c r="J40" i="54"/>
  <c r="H40" i="54"/>
  <c r="M6" i="54"/>
  <c r="N6" i="54" s="1"/>
  <c r="K6" i="54"/>
  <c r="L6" i="54" s="1"/>
  <c r="J6" i="54"/>
  <c r="H6" i="54"/>
  <c r="M5" i="54"/>
  <c r="N5" i="54" s="1"/>
  <c r="K5" i="54"/>
  <c r="L5" i="54" s="1"/>
  <c r="J5" i="54"/>
  <c r="H5" i="54"/>
  <c r="M4" i="54"/>
  <c r="N4" i="54" s="1"/>
  <c r="K4" i="54"/>
  <c r="L4" i="54" s="1"/>
  <c r="J4" i="54"/>
  <c r="H4" i="54"/>
  <c r="K202" i="54"/>
  <c r="L202" i="54" s="1"/>
  <c r="J202" i="54"/>
  <c r="M201" i="54"/>
  <c r="N201" i="54" s="1"/>
  <c r="K201" i="54"/>
  <c r="L201" i="54" s="1"/>
  <c r="J201" i="54"/>
  <c r="H201" i="54"/>
  <c r="M200" i="54"/>
  <c r="N200" i="54" s="1"/>
  <c r="K200" i="54"/>
  <c r="L200" i="54" s="1"/>
  <c r="J200" i="54"/>
  <c r="H200" i="54"/>
  <c r="M199" i="54"/>
  <c r="N199" i="54" s="1"/>
  <c r="K199" i="54"/>
  <c r="L199" i="54" s="1"/>
  <c r="H199" i="54"/>
  <c r="M198" i="54"/>
  <c r="N198" i="54" s="1"/>
  <c r="K198" i="54"/>
  <c r="L198" i="54" s="1"/>
  <c r="J198" i="54"/>
  <c r="H198" i="54"/>
  <c r="M197" i="54"/>
  <c r="N197" i="54" s="1"/>
  <c r="K197" i="54"/>
  <c r="L197" i="54" s="1"/>
  <c r="J197" i="54"/>
  <c r="H197" i="54"/>
  <c r="I203" i="54"/>
  <c r="N202" i="54"/>
  <c r="M180" i="54"/>
  <c r="N180" i="54" s="1"/>
  <c r="K180" i="54"/>
  <c r="L180" i="54" s="1"/>
  <c r="J180" i="54"/>
  <c r="H180" i="54"/>
  <c r="M179" i="54"/>
  <c r="N179" i="54" s="1"/>
  <c r="K179" i="54"/>
  <c r="L179" i="54" s="1"/>
  <c r="J179" i="54"/>
  <c r="H179" i="54"/>
  <c r="M178" i="54"/>
  <c r="N178" i="54" s="1"/>
  <c r="K178" i="54"/>
  <c r="L178" i="54" s="1"/>
  <c r="J178" i="54"/>
  <c r="H178" i="54"/>
  <c r="M177" i="54"/>
  <c r="N177" i="54" s="1"/>
  <c r="K177" i="54"/>
  <c r="L177" i="54" s="1"/>
  <c r="J177" i="54"/>
  <c r="H177" i="54"/>
  <c r="I182" i="54"/>
  <c r="N181" i="54"/>
  <c r="K181" i="54"/>
  <c r="L181" i="54" s="1"/>
  <c r="J181" i="54"/>
  <c r="H158" i="54"/>
  <c r="J158" i="54"/>
  <c r="K158" i="54"/>
  <c r="L158" i="54" s="1"/>
  <c r="M158" i="54"/>
  <c r="H159" i="54"/>
  <c r="J159" i="54"/>
  <c r="K159" i="54"/>
  <c r="L159" i="54" s="1"/>
  <c r="M159" i="54"/>
  <c r="H161" i="54"/>
  <c r="J161" i="54"/>
  <c r="K161" i="54"/>
  <c r="L161" i="54" s="1"/>
  <c r="M161" i="54"/>
  <c r="M144" i="54"/>
  <c r="N144" i="54" s="1"/>
  <c r="K144" i="54"/>
  <c r="L144" i="54" s="1"/>
  <c r="J144" i="54"/>
  <c r="H144" i="54"/>
  <c r="M143" i="54"/>
  <c r="N143" i="54" s="1"/>
  <c r="K143" i="54"/>
  <c r="L143" i="54" s="1"/>
  <c r="J143" i="54"/>
  <c r="H143" i="54"/>
  <c r="M142" i="54"/>
  <c r="N142" i="54" s="1"/>
  <c r="K142" i="54"/>
  <c r="L142" i="54" s="1"/>
  <c r="J142" i="54"/>
  <c r="I145" i="54"/>
  <c r="K128" i="54"/>
  <c r="L128" i="54" s="1"/>
  <c r="J128" i="54"/>
  <c r="H128" i="54"/>
  <c r="M127" i="54"/>
  <c r="N127" i="54" s="1"/>
  <c r="K127" i="54"/>
  <c r="L127" i="54" s="1"/>
  <c r="J127" i="54"/>
  <c r="H127" i="54"/>
  <c r="M126" i="54"/>
  <c r="N126" i="54" s="1"/>
  <c r="K126" i="54"/>
  <c r="L126" i="54" s="1"/>
  <c r="J126" i="54"/>
  <c r="H126" i="54"/>
  <c r="I129" i="54"/>
  <c r="N128" i="54"/>
  <c r="K110" i="54"/>
  <c r="L110" i="54" s="1"/>
  <c r="J110" i="54"/>
  <c r="H110" i="54"/>
  <c r="M109" i="54"/>
  <c r="N109" i="54" s="1"/>
  <c r="K109" i="54"/>
  <c r="L109" i="54" s="1"/>
  <c r="J109" i="54"/>
  <c r="H109" i="54"/>
  <c r="M108" i="54"/>
  <c r="N108" i="54" s="1"/>
  <c r="K108" i="54"/>
  <c r="L108" i="54" s="1"/>
  <c r="J108" i="54"/>
  <c r="H108" i="54"/>
  <c r="M107" i="54"/>
  <c r="N107" i="54" s="1"/>
  <c r="K107" i="54"/>
  <c r="L107" i="54" s="1"/>
  <c r="J107" i="54"/>
  <c r="H107" i="54"/>
  <c r="M106" i="54"/>
  <c r="N106" i="54" s="1"/>
  <c r="K106" i="54"/>
  <c r="L106" i="54" s="1"/>
  <c r="J106" i="54"/>
  <c r="H106" i="54"/>
  <c r="M91" i="54"/>
  <c r="N91" i="54" s="1"/>
  <c r="K91" i="54"/>
  <c r="L91" i="54" s="1"/>
  <c r="J91" i="54"/>
  <c r="H91" i="54"/>
  <c r="M90" i="54"/>
  <c r="N90" i="54" s="1"/>
  <c r="K90" i="54"/>
  <c r="L90" i="54" s="1"/>
  <c r="J90" i="54"/>
  <c r="H90" i="54"/>
  <c r="M89" i="54"/>
  <c r="N89" i="54" s="1"/>
  <c r="K89" i="54"/>
  <c r="L89" i="54" s="1"/>
  <c r="J89" i="54"/>
  <c r="H89" i="54"/>
  <c r="M88" i="54"/>
  <c r="N88" i="54" s="1"/>
  <c r="K88" i="54"/>
  <c r="L88" i="54" s="1"/>
  <c r="J88" i="54"/>
  <c r="H88" i="54"/>
  <c r="I111" i="54"/>
  <c r="N110" i="54"/>
  <c r="I92" i="54"/>
  <c r="I43" i="54"/>
  <c r="N42" i="54"/>
  <c r="I8" i="54"/>
  <c r="N7" i="54"/>
  <c r="J203" i="54" l="1"/>
  <c r="L203" i="54"/>
  <c r="O203" i="54" s="1"/>
  <c r="N203" i="54"/>
  <c r="J182" i="54"/>
  <c r="L182" i="54"/>
  <c r="O182" i="54" s="1"/>
  <c r="N182" i="54"/>
  <c r="J145" i="54"/>
  <c r="L145" i="54"/>
  <c r="O145" i="54" s="1"/>
  <c r="N145" i="54"/>
  <c r="J129" i="54"/>
  <c r="N129" i="54"/>
  <c r="L129" i="54"/>
  <c r="O129" i="54" s="1"/>
  <c r="L92" i="54"/>
  <c r="O92" i="54" s="1"/>
  <c r="N92" i="54"/>
  <c r="J111" i="54"/>
  <c r="L111" i="54"/>
  <c r="O111" i="54" s="1"/>
  <c r="N111" i="54"/>
  <c r="J92" i="54"/>
  <c r="J43" i="54"/>
  <c r="L43" i="54"/>
  <c r="O43" i="54" s="1"/>
  <c r="N43" i="54"/>
  <c r="L8" i="54"/>
  <c r="O8" i="54" s="1"/>
  <c r="J8" i="54"/>
  <c r="N8" i="54"/>
  <c r="T93" i="7" l="1"/>
  <c r="T88" i="7"/>
  <c r="T83" i="7"/>
  <c r="T54" i="7"/>
  <c r="U53" i="7"/>
  <c r="T52" i="7"/>
  <c r="T47" i="7"/>
  <c r="T44" i="7"/>
  <c r="T39" i="7"/>
  <c r="T37" i="7"/>
  <c r="T36" i="7"/>
  <c r="T34" i="7"/>
  <c r="T33" i="7"/>
  <c r="T32" i="7"/>
  <c r="T31" i="7"/>
  <c r="T27" i="7"/>
  <c r="T26" i="7"/>
  <c r="T25" i="7"/>
  <c r="T23" i="7"/>
  <c r="T19" i="7"/>
  <c r="T16" i="7"/>
  <c r="U14" i="7"/>
  <c r="T49" i="7"/>
  <c r="U49" i="7"/>
  <c r="AN49" i="7"/>
  <c r="T87" i="7"/>
  <c r="U87" i="7"/>
  <c r="AN87" i="7"/>
  <c r="AN83" i="7"/>
  <c r="U83" i="7"/>
  <c r="I214" i="54" l="1"/>
  <c r="N213" i="54"/>
  <c r="K213" i="54"/>
  <c r="L213" i="54" s="1"/>
  <c r="J213" i="54"/>
  <c r="M212" i="54"/>
  <c r="N212" i="54" s="1"/>
  <c r="K212" i="54"/>
  <c r="L212" i="54" s="1"/>
  <c r="J212" i="54"/>
  <c r="H212" i="54"/>
  <c r="M211" i="54"/>
  <c r="N211" i="54" s="1"/>
  <c r="K211" i="54"/>
  <c r="L211" i="54" s="1"/>
  <c r="J211" i="54"/>
  <c r="H211" i="54"/>
  <c r="M210" i="54"/>
  <c r="N210" i="54" s="1"/>
  <c r="K210" i="54"/>
  <c r="L210" i="54" s="1"/>
  <c r="H210" i="54"/>
  <c r="M209" i="54"/>
  <c r="N209" i="54" s="1"/>
  <c r="K209" i="54"/>
  <c r="L209" i="54" s="1"/>
  <c r="J209" i="54"/>
  <c r="H209" i="54"/>
  <c r="M208" i="54"/>
  <c r="N208" i="54" s="1"/>
  <c r="K208" i="54"/>
  <c r="L208" i="54" s="1"/>
  <c r="J208" i="54"/>
  <c r="H208" i="54"/>
  <c r="I192" i="54"/>
  <c r="N191" i="54"/>
  <c r="K191" i="54"/>
  <c r="L191" i="54" s="1"/>
  <c r="J191" i="54"/>
  <c r="M190" i="54"/>
  <c r="N190" i="54" s="1"/>
  <c r="K190" i="54"/>
  <c r="L190" i="54" s="1"/>
  <c r="J190" i="54"/>
  <c r="H190" i="54"/>
  <c r="M189" i="54"/>
  <c r="N189" i="54" s="1"/>
  <c r="K189" i="54"/>
  <c r="L189" i="54" s="1"/>
  <c r="J189" i="54"/>
  <c r="H189" i="54"/>
  <c r="M188" i="54"/>
  <c r="N188" i="54" s="1"/>
  <c r="K188" i="54"/>
  <c r="L188" i="54" s="1"/>
  <c r="J188" i="54"/>
  <c r="H188" i="54"/>
  <c r="M187" i="54"/>
  <c r="N187" i="54" s="1"/>
  <c r="K187" i="54"/>
  <c r="L187" i="54" s="1"/>
  <c r="J187" i="54"/>
  <c r="H187" i="54"/>
  <c r="I172" i="54"/>
  <c r="M171" i="54"/>
  <c r="N171" i="54" s="1"/>
  <c r="K171" i="54"/>
  <c r="L171" i="54" s="1"/>
  <c r="J171" i="54"/>
  <c r="H171" i="54"/>
  <c r="M170" i="54"/>
  <c r="N170" i="54" s="1"/>
  <c r="K170" i="54"/>
  <c r="L170" i="54" s="1"/>
  <c r="J170" i="54"/>
  <c r="H170" i="54"/>
  <c r="M169" i="54"/>
  <c r="N169" i="54" s="1"/>
  <c r="K169" i="54"/>
  <c r="L169" i="54" s="1"/>
  <c r="J169" i="54"/>
  <c r="H169" i="54"/>
  <c r="M168" i="54"/>
  <c r="N168" i="54" s="1"/>
  <c r="K168" i="54"/>
  <c r="L168" i="54" s="1"/>
  <c r="J168" i="54"/>
  <c r="H168" i="54"/>
  <c r="I163" i="54"/>
  <c r="M162" i="54"/>
  <c r="N162" i="54" s="1"/>
  <c r="K162" i="54"/>
  <c r="L162" i="54" s="1"/>
  <c r="J162" i="54"/>
  <c r="H162" i="54"/>
  <c r="N161" i="54"/>
  <c r="N159" i="54"/>
  <c r="N158" i="54"/>
  <c r="I153" i="54"/>
  <c r="M152" i="54"/>
  <c r="N152" i="54" s="1"/>
  <c r="K152" i="54"/>
  <c r="L152" i="54" s="1"/>
  <c r="J152" i="54"/>
  <c r="H152" i="54"/>
  <c r="M151" i="54"/>
  <c r="N151" i="54" s="1"/>
  <c r="K151" i="54"/>
  <c r="L151" i="54" s="1"/>
  <c r="J151" i="54"/>
  <c r="H151" i="54"/>
  <c r="M150" i="54"/>
  <c r="N150" i="54" s="1"/>
  <c r="K150" i="54"/>
  <c r="L150" i="54" s="1"/>
  <c r="J150" i="54"/>
  <c r="H150" i="54"/>
  <c r="I121" i="54"/>
  <c r="N120" i="54"/>
  <c r="K120" i="54"/>
  <c r="L120" i="54" s="1"/>
  <c r="J120" i="54"/>
  <c r="H120" i="54"/>
  <c r="M119" i="54"/>
  <c r="N119" i="54" s="1"/>
  <c r="K119" i="54"/>
  <c r="L119" i="54" s="1"/>
  <c r="J119" i="54"/>
  <c r="H119" i="54"/>
  <c r="M118" i="54"/>
  <c r="N118" i="54" s="1"/>
  <c r="K118" i="54"/>
  <c r="L118" i="54" s="1"/>
  <c r="J118" i="54"/>
  <c r="H118" i="54"/>
  <c r="M117" i="54"/>
  <c r="N117" i="54" s="1"/>
  <c r="K117" i="54"/>
  <c r="L117" i="54" s="1"/>
  <c r="J117" i="54"/>
  <c r="H117" i="54"/>
  <c r="M116" i="54"/>
  <c r="N116" i="54" s="1"/>
  <c r="K116" i="54"/>
  <c r="L116" i="54" s="1"/>
  <c r="J116" i="54"/>
  <c r="H116" i="54"/>
  <c r="I137" i="54"/>
  <c r="N136" i="54"/>
  <c r="K136" i="54"/>
  <c r="L136" i="54" s="1"/>
  <c r="J136" i="54"/>
  <c r="H136" i="54"/>
  <c r="M135" i="54"/>
  <c r="N135" i="54" s="1"/>
  <c r="K135" i="54"/>
  <c r="L135" i="54" s="1"/>
  <c r="J135" i="54"/>
  <c r="H135" i="54"/>
  <c r="M134" i="54"/>
  <c r="N134" i="54" s="1"/>
  <c r="K134" i="54"/>
  <c r="L134" i="54" s="1"/>
  <c r="J134" i="54"/>
  <c r="H134" i="54"/>
  <c r="I101" i="54"/>
  <c r="M100" i="54"/>
  <c r="N100" i="54" s="1"/>
  <c r="K100" i="54"/>
  <c r="L100" i="54" s="1"/>
  <c r="J100" i="54"/>
  <c r="H100" i="54"/>
  <c r="M99" i="54"/>
  <c r="N99" i="54" s="1"/>
  <c r="K99" i="54"/>
  <c r="L99" i="54" s="1"/>
  <c r="J99" i="54"/>
  <c r="H99" i="54"/>
  <c r="M98" i="54"/>
  <c r="N98" i="54" s="1"/>
  <c r="K98" i="54"/>
  <c r="L98" i="54" s="1"/>
  <c r="J98" i="54"/>
  <c r="H98" i="54"/>
  <c r="M97" i="54"/>
  <c r="N97" i="54" s="1"/>
  <c r="K97" i="54"/>
  <c r="L97" i="54" s="1"/>
  <c r="J97" i="54"/>
  <c r="H97" i="54"/>
  <c r="I51" i="54"/>
  <c r="N50" i="54"/>
  <c r="K50" i="54"/>
  <c r="L50" i="54" s="1"/>
  <c r="J50" i="54"/>
  <c r="H50" i="54"/>
  <c r="M49" i="54"/>
  <c r="N49" i="54" s="1"/>
  <c r="K49" i="54"/>
  <c r="L49" i="54" s="1"/>
  <c r="J49" i="54"/>
  <c r="H49" i="54"/>
  <c r="M48" i="54"/>
  <c r="N48" i="54" s="1"/>
  <c r="K48" i="54"/>
  <c r="L48" i="54" s="1"/>
  <c r="J48" i="54"/>
  <c r="H48" i="54"/>
  <c r="I35" i="54"/>
  <c r="M33" i="54"/>
  <c r="N33" i="54" s="1"/>
  <c r="K33" i="54"/>
  <c r="L33" i="54" s="1"/>
  <c r="J33" i="54"/>
  <c r="H33" i="54"/>
  <c r="M32" i="54"/>
  <c r="N32" i="54" s="1"/>
  <c r="K32" i="54"/>
  <c r="L32" i="54" s="1"/>
  <c r="J32" i="54"/>
  <c r="H32" i="54"/>
  <c r="M31" i="54"/>
  <c r="N31" i="54" s="1"/>
  <c r="K31" i="54"/>
  <c r="L31" i="54" s="1"/>
  <c r="J31" i="54"/>
  <c r="H31" i="54"/>
  <c r="I26" i="54"/>
  <c r="N25" i="54"/>
  <c r="K25" i="54"/>
  <c r="L25" i="54" s="1"/>
  <c r="J25" i="54"/>
  <c r="H25" i="54"/>
  <c r="M24" i="54"/>
  <c r="N24" i="54" s="1"/>
  <c r="K24" i="54"/>
  <c r="L24" i="54" s="1"/>
  <c r="J24" i="54"/>
  <c r="H24" i="54"/>
  <c r="M23" i="54"/>
  <c r="N23" i="54" s="1"/>
  <c r="K23" i="54"/>
  <c r="L23" i="54" s="1"/>
  <c r="J23" i="54"/>
  <c r="H23" i="54"/>
  <c r="M22" i="54"/>
  <c r="N22" i="54" s="1"/>
  <c r="K22" i="54"/>
  <c r="L22" i="54" s="1"/>
  <c r="J22" i="54"/>
  <c r="H22" i="54"/>
  <c r="I17" i="54"/>
  <c r="H223" i="54" l="1" a="1"/>
  <c r="H223" i="54" s="1"/>
  <c r="G223" i="54" a="1"/>
  <c r="G223" i="54" s="1"/>
  <c r="N26" i="54"/>
  <c r="N51" i="54"/>
  <c r="N153" i="54"/>
  <c r="N17" i="54"/>
  <c r="N163" i="54"/>
  <c r="N172" i="54"/>
  <c r="N101" i="54"/>
  <c r="N192" i="54"/>
  <c r="J35" i="54"/>
  <c r="J121" i="54"/>
  <c r="L172" i="54"/>
  <c r="O172" i="54" s="1"/>
  <c r="L192" i="54"/>
  <c r="O192" i="54" s="1"/>
  <c r="L17" i="54"/>
  <c r="O17" i="54" s="1"/>
  <c r="L101" i="54"/>
  <c r="O101" i="54" s="1"/>
  <c r="L26" i="54"/>
  <c r="O26" i="54" s="1"/>
  <c r="L214" i="54"/>
  <c r="O214" i="54" s="1"/>
  <c r="J17" i="54"/>
  <c r="J192" i="54"/>
  <c r="J153" i="54"/>
  <c r="J137" i="54"/>
  <c r="J51" i="54"/>
  <c r="J101" i="54"/>
  <c r="J214" i="54"/>
  <c r="J172" i="54"/>
  <c r="J163" i="54"/>
  <c r="J26" i="54"/>
  <c r="L51" i="54"/>
  <c r="O51" i="54" s="1"/>
  <c r="L121" i="54"/>
  <c r="O121" i="54" s="1"/>
  <c r="L35" i="54"/>
  <c r="O35" i="54" s="1"/>
  <c r="L137" i="54"/>
  <c r="O137" i="54" s="1"/>
  <c r="N121" i="54"/>
  <c r="N214" i="54"/>
  <c r="N35" i="54"/>
  <c r="N137" i="54"/>
  <c r="L153" i="54"/>
  <c r="O153" i="54" s="1"/>
  <c r="L163" i="54"/>
  <c r="O163" i="54" s="1"/>
  <c r="O220" i="54" l="1"/>
  <c r="AT7" i="7"/>
  <c r="O36" i="9" l="1"/>
  <c r="Q36" i="9"/>
  <c r="S36" i="9"/>
  <c r="Q50" i="8" l="1"/>
  <c r="Q52" i="8"/>
  <c r="O52" i="8"/>
  <c r="AP78" i="7" l="1"/>
  <c r="AP77" i="7"/>
  <c r="AA76" i="7"/>
  <c r="AP75" i="7"/>
  <c r="AP74" i="7"/>
  <c r="AA73" i="7"/>
  <c r="AP72" i="7"/>
  <c r="AP71" i="7"/>
  <c r="AP70" i="7"/>
  <c r="AP69" i="7"/>
  <c r="AP67" i="7"/>
  <c r="AA66" i="7"/>
  <c r="U65" i="7"/>
  <c r="L65" i="7"/>
  <c r="AJ64" i="7"/>
  <c r="U64" i="7"/>
  <c r="L64" i="7"/>
  <c r="I64" i="7"/>
  <c r="BB66" i="7" l="1"/>
  <c r="AP5" i="7" l="1"/>
  <c r="AN4" i="7"/>
  <c r="AN5" i="7"/>
  <c r="AK5" i="7"/>
  <c r="AJ5" i="7"/>
  <c r="AA5" i="7"/>
  <c r="Z5" i="7"/>
  <c r="Y5" i="7"/>
  <c r="X5" i="7"/>
  <c r="X4" i="7"/>
  <c r="W5" i="7"/>
  <c r="U5" i="7"/>
  <c r="U4" i="7"/>
  <c r="T5" i="7"/>
  <c r="T4" i="7"/>
  <c r="R4" i="7"/>
  <c r="O4" i="7"/>
  <c r="N4" i="7"/>
  <c r="M4" i="7"/>
  <c r="L4" i="7"/>
  <c r="J4" i="7"/>
  <c r="I4" i="7"/>
  <c r="H4" i="7"/>
  <c r="G4" i="7"/>
  <c r="F4" i="7"/>
  <c r="AY5" i="7"/>
  <c r="AX5" i="7"/>
  <c r="AY4" i="7"/>
  <c r="AX4" i="7"/>
  <c r="AW5" i="7"/>
  <c r="AW4" i="7"/>
  <c r="AV5" i="7"/>
  <c r="AV4" i="7"/>
  <c r="AU4" i="7"/>
  <c r="AT5" i="7"/>
  <c r="AT4" i="7"/>
  <c r="AG5" i="7"/>
  <c r="AG4" i="7"/>
  <c r="AF5" i="7"/>
  <c r="AF4" i="7"/>
  <c r="AE4" i="7"/>
  <c r="AD5" i="7"/>
  <c r="AD4" i="7"/>
  <c r="AC5" i="7"/>
  <c r="AC4" i="7"/>
  <c r="V5" i="7"/>
  <c r="V4" i="7"/>
  <c r="AB80" i="7" l="1"/>
  <c r="AB79" i="7"/>
  <c r="T28" i="7" l="1"/>
  <c r="T15" i="7"/>
  <c r="M42" i="7"/>
  <c r="O433" i="16"/>
  <c r="O434" i="16"/>
  <c r="O435" i="16"/>
  <c r="O436" i="16"/>
  <c r="O437" i="16"/>
  <c r="O438" i="16"/>
  <c r="O439" i="16"/>
  <c r="O440" i="16"/>
  <c r="L221" i="23" l="1"/>
  <c r="K221" i="23"/>
  <c r="L222" i="23"/>
  <c r="K222" i="23"/>
  <c r="L223" i="23"/>
  <c r="K223" i="23"/>
  <c r="L224" i="23"/>
  <c r="K224" i="23"/>
  <c r="L225" i="23"/>
  <c r="K225" i="23"/>
  <c r="L226" i="23"/>
  <c r="K226" i="23"/>
  <c r="L227" i="23"/>
  <c r="K227" i="23"/>
  <c r="L228" i="23"/>
  <c r="K228" i="23"/>
  <c r="L229" i="23"/>
  <c r="K229" i="23"/>
  <c r="L230" i="23"/>
  <c r="K230" i="23"/>
  <c r="L231" i="23"/>
  <c r="K231" i="23"/>
  <c r="L232" i="23"/>
  <c r="K232" i="23"/>
  <c r="L233" i="23"/>
  <c r="K233" i="23"/>
  <c r="L234" i="23"/>
  <c r="K234" i="23"/>
  <c r="X38" i="2"/>
  <c r="X39" i="2"/>
  <c r="W39" i="2"/>
  <c r="W38" i="2"/>
  <c r="ID5" i="1"/>
  <c r="IF5" i="1" s="1"/>
  <c r="IF99" i="1" s="1"/>
  <c r="CP101" i="1"/>
  <c r="CQ101" i="1"/>
  <c r="CR101" i="1"/>
  <c r="CS101" i="1"/>
  <c r="CT101" i="1"/>
  <c r="CU101" i="1"/>
  <c r="CV101" i="1"/>
  <c r="CW101" i="1"/>
  <c r="CX101" i="1"/>
  <c r="CM101" i="1"/>
  <c r="CN101" i="1"/>
  <c r="CO101" i="1"/>
  <c r="CV5" i="1"/>
  <c r="CW5" i="1"/>
  <c r="CX5" i="1"/>
  <c r="AW101" i="1"/>
  <c r="AX101" i="1"/>
  <c r="BA101" i="1"/>
  <c r="AY5" i="1"/>
  <c r="AX5" i="1"/>
  <c r="AW5" i="1"/>
  <c r="II101" i="1"/>
  <c r="IH101" i="1"/>
  <c r="IG101" i="1"/>
  <c r="IF101" i="1"/>
  <c r="IE101" i="1"/>
  <c r="ID101" i="1"/>
  <c r="IG5" i="1"/>
  <c r="II5" i="1" s="1"/>
  <c r="II99" i="1" s="1"/>
  <c r="AW101" i="7"/>
  <c r="AX101" i="7"/>
  <c r="BA101" i="7"/>
  <c r="AY7" i="7"/>
  <c r="AX7" i="7"/>
  <c r="AW7" i="7"/>
  <c r="O50" i="8"/>
  <c r="P50" i="8"/>
  <c r="AD50" i="8"/>
  <c r="AE50" i="8"/>
  <c r="O51" i="8"/>
  <c r="P51" i="8"/>
  <c r="Q51" i="8"/>
  <c r="AD51" i="8"/>
  <c r="AE51" i="8"/>
  <c r="AD52" i="8"/>
  <c r="AE52" i="8"/>
  <c r="F50" i="8"/>
  <c r="G50" i="8"/>
  <c r="H50" i="8"/>
  <c r="F51" i="8"/>
  <c r="G51" i="8"/>
  <c r="H51" i="8"/>
  <c r="F52" i="8"/>
  <c r="G52" i="8"/>
  <c r="H52" i="8"/>
  <c r="IC101" i="1"/>
  <c r="IB101" i="1"/>
  <c r="IA101" i="1"/>
  <c r="HY101" i="1"/>
  <c r="Y39" i="2"/>
  <c r="W40" i="2"/>
  <c r="X40" i="2"/>
  <c r="Y40" i="2"/>
  <c r="W41" i="2"/>
  <c r="X41" i="2"/>
  <c r="Y41" i="2"/>
  <c r="IE5" i="1" l="1"/>
  <c r="IE99" i="1" s="1"/>
  <c r="IG99" i="1"/>
  <c r="ID99" i="1"/>
  <c r="IH5" i="1"/>
  <c r="IH99" i="1" s="1"/>
  <c r="K6" i="23" l="1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20" i="23"/>
  <c r="K119" i="23"/>
  <c r="K5" i="23"/>
  <c r="AR4" i="7" l="1"/>
  <c r="AR5" i="7"/>
  <c r="T94" i="7" l="1"/>
  <c r="AJ92" i="7"/>
  <c r="T91" i="7"/>
  <c r="M59" i="7"/>
  <c r="L59" i="7"/>
  <c r="U58" i="7"/>
  <c r="J58" i="7"/>
  <c r="U50" i="7"/>
  <c r="U47" i="7"/>
  <c r="R47" i="7"/>
  <c r="T40" i="7"/>
  <c r="T29" i="7"/>
  <c r="U26" i="7"/>
  <c r="U19" i="7"/>
  <c r="J19" i="7"/>
  <c r="J14" i="7"/>
  <c r="F12" i="7"/>
  <c r="BB58" i="7" l="1"/>
  <c r="X46" i="2" l="1"/>
  <c r="Y46" i="2"/>
  <c r="P62" i="2"/>
  <c r="R62" i="2"/>
  <c r="T62" i="2"/>
  <c r="R112" i="6"/>
  <c r="R113" i="6"/>
  <c r="R175" i="6"/>
  <c r="R218" i="6"/>
  <c r="N148" i="8" l="1"/>
  <c r="BB57" i="7"/>
  <c r="Q148" i="8" l="1"/>
  <c r="R148" i="8" s="1"/>
  <c r="AJ148" i="8"/>
  <c r="AF148" i="8"/>
  <c r="AK148" i="8"/>
  <c r="AI148" i="8"/>
  <c r="AH148" i="8"/>
  <c r="AG148" i="8"/>
  <c r="AL148" i="8"/>
  <c r="A57" i="7" l="1"/>
  <c r="N133" i="8"/>
  <c r="Q133" i="8" l="1"/>
  <c r="R133" i="8" s="1"/>
  <c r="J5" i="7"/>
  <c r="K118" i="23" l="1"/>
  <c r="L118" i="23"/>
  <c r="K117" i="23"/>
  <c r="L116" i="23"/>
  <c r="L115" i="23"/>
  <c r="L114" i="23"/>
  <c r="L113" i="23"/>
  <c r="L112" i="23"/>
  <c r="L111" i="23"/>
  <c r="L110" i="23"/>
  <c r="L109" i="23"/>
  <c r="L108" i="23"/>
  <c r="L77" i="23"/>
  <c r="L76" i="23"/>
  <c r="L75" i="23"/>
  <c r="L74" i="23"/>
  <c r="L54" i="2"/>
  <c r="B143" i="8" l="1"/>
  <c r="Y54" i="8"/>
  <c r="X54" i="8"/>
  <c r="W53" i="8"/>
  <c r="Z53" i="8"/>
  <c r="W54" i="8"/>
  <c r="Z54" i="8"/>
  <c r="Y53" i="8"/>
  <c r="AA54" i="8"/>
  <c r="AA53" i="8"/>
  <c r="X53" i="8"/>
  <c r="K39" i="9"/>
  <c r="K42" i="9"/>
  <c r="K45" i="9"/>
  <c r="K43" i="9"/>
  <c r="K46" i="9"/>
  <c r="K49" i="9"/>
  <c r="K40" i="9"/>
  <c r="K41" i="9"/>
  <c r="K48" i="9"/>
  <c r="K44" i="9"/>
  <c r="K47" i="9"/>
  <c r="C33" i="9"/>
  <c r="C34" i="9"/>
  <c r="C35" i="9"/>
  <c r="K36" i="9"/>
  <c r="P36" i="9" s="1"/>
  <c r="R36" i="9" s="1"/>
  <c r="T36" i="9" s="1"/>
  <c r="U36" i="9" s="1"/>
  <c r="C36" i="9"/>
  <c r="B92" i="8"/>
  <c r="C24" i="9"/>
  <c r="L117" i="23"/>
  <c r="W52" i="8"/>
  <c r="X51" i="8"/>
  <c r="AA51" i="8"/>
  <c r="Z52" i="8"/>
  <c r="Y50" i="8"/>
  <c r="Z51" i="8"/>
  <c r="W50" i="8"/>
  <c r="Z50" i="8"/>
  <c r="X50" i="8"/>
  <c r="Y52" i="8"/>
  <c r="W51" i="8"/>
  <c r="AA50" i="8"/>
  <c r="X52" i="8"/>
  <c r="AA52" i="8"/>
  <c r="Y51" i="8"/>
  <c r="B142" i="8"/>
  <c r="AC148" i="8"/>
  <c r="AB54" i="8" l="1"/>
  <c r="AQ43" i="2" s="1"/>
  <c r="AB53" i="8"/>
  <c r="AB50" i="8"/>
  <c r="AB51" i="8"/>
  <c r="AB52" i="8"/>
  <c r="W20" i="2"/>
  <c r="X20" i="2"/>
  <c r="Y20" i="2"/>
  <c r="O322" i="16" l="1"/>
  <c r="O311" i="16"/>
  <c r="O308" i="16"/>
  <c r="O294" i="16"/>
  <c r="O56" i="16"/>
  <c r="O52" i="16"/>
  <c r="O46" i="16"/>
  <c r="O40" i="16"/>
  <c r="O36" i="16"/>
  <c r="O33" i="16"/>
  <c r="O30" i="16"/>
  <c r="O27" i="16"/>
  <c r="O16" i="16"/>
  <c r="O10" i="16"/>
  <c r="O5" i="16"/>
  <c r="P5" i="16" s="1"/>
  <c r="O3" i="16"/>
  <c r="P3" i="16" s="1"/>
  <c r="O2" i="16"/>
  <c r="O4" i="16"/>
  <c r="O6" i="16"/>
  <c r="O8" i="16"/>
  <c r="O9" i="16"/>
  <c r="O11" i="16"/>
  <c r="O12" i="16"/>
  <c r="O13" i="16"/>
  <c r="O14" i="16"/>
  <c r="O15" i="16"/>
  <c r="O17" i="16"/>
  <c r="O18" i="16"/>
  <c r="O19" i="16"/>
  <c r="O20" i="16"/>
  <c r="O21" i="16"/>
  <c r="O22" i="16"/>
  <c r="O23" i="16"/>
  <c r="O24" i="16"/>
  <c r="O25" i="16"/>
  <c r="O26" i="16"/>
  <c r="O28" i="16"/>
  <c r="O29" i="16"/>
  <c r="O31" i="16"/>
  <c r="O32" i="16"/>
  <c r="O34" i="16"/>
  <c r="O35" i="16"/>
  <c r="O37" i="16"/>
  <c r="O38" i="16"/>
  <c r="O39" i="16"/>
  <c r="O41" i="16"/>
  <c r="O42" i="16"/>
  <c r="O43" i="16"/>
  <c r="O44" i="16"/>
  <c r="O45" i="16"/>
  <c r="O47" i="16"/>
  <c r="O48" i="16"/>
  <c r="O49" i="16"/>
  <c r="O50" i="16"/>
  <c r="O51" i="16"/>
  <c r="O53" i="16"/>
  <c r="O54" i="16"/>
  <c r="O55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9" i="16"/>
  <c r="O310" i="16"/>
  <c r="O312" i="16"/>
  <c r="O313" i="16"/>
  <c r="O314" i="16"/>
  <c r="O315" i="16"/>
  <c r="O316" i="16"/>
  <c r="O317" i="16"/>
  <c r="O318" i="16"/>
  <c r="O319" i="16"/>
  <c r="O320" i="16"/>
  <c r="O321" i="16"/>
  <c r="O323" i="16"/>
  <c r="O324" i="16"/>
  <c r="O325" i="16"/>
  <c r="O326" i="16"/>
  <c r="O327" i="16"/>
  <c r="O328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BB81" i="7" l="1"/>
  <c r="AO5" i="7" l="1"/>
  <c r="AE5" i="7"/>
  <c r="AU5" i="7" l="1"/>
  <c r="AS5" i="7"/>
  <c r="AQ5" i="7"/>
  <c r="R5" i="7"/>
  <c r="Q5" i="7"/>
  <c r="O5" i="7"/>
  <c r="N5" i="7"/>
  <c r="M5" i="7"/>
  <c r="L5" i="7"/>
  <c r="I5" i="7"/>
  <c r="H5" i="7"/>
  <c r="G5" i="7"/>
  <c r="F5" i="7"/>
  <c r="BE10" i="7" l="1"/>
  <c r="BE18" i="7"/>
  <c r="BE26" i="7"/>
  <c r="BE34" i="7"/>
  <c r="BE42" i="7"/>
  <c r="BE50" i="7"/>
  <c r="BE58" i="7"/>
  <c r="BE11" i="7"/>
  <c r="BE19" i="7"/>
  <c r="BE27" i="7"/>
  <c r="BE35" i="7"/>
  <c r="BE43" i="7"/>
  <c r="BE51" i="7"/>
  <c r="BE59" i="7"/>
  <c r="BE67" i="7"/>
  <c r="BE75" i="7"/>
  <c r="BE83" i="7"/>
  <c r="BE91" i="7"/>
  <c r="BE52" i="7"/>
  <c r="BE60" i="7"/>
  <c r="BE76" i="7"/>
  <c r="BE84" i="7"/>
  <c r="BE13" i="7"/>
  <c r="BE21" i="7"/>
  <c r="BE37" i="7"/>
  <c r="BE45" i="7"/>
  <c r="BE61" i="7"/>
  <c r="BE69" i="7"/>
  <c r="BE85" i="7"/>
  <c r="BE93" i="7"/>
  <c r="BE73" i="7"/>
  <c r="BE97" i="7"/>
  <c r="BE90" i="7"/>
  <c r="BE12" i="7"/>
  <c r="BE20" i="7"/>
  <c r="BE28" i="7"/>
  <c r="BE36" i="7"/>
  <c r="BE44" i="7"/>
  <c r="BE68" i="7"/>
  <c r="BE92" i="7"/>
  <c r="BE29" i="7"/>
  <c r="BE53" i="7"/>
  <c r="BE77" i="7"/>
  <c r="BE89" i="7"/>
  <c r="BE82" i="7"/>
  <c r="BE14" i="7"/>
  <c r="BE22" i="7"/>
  <c r="BE30" i="7"/>
  <c r="BE38" i="7"/>
  <c r="BE46" i="7"/>
  <c r="BE54" i="7"/>
  <c r="BE62" i="7"/>
  <c r="BE70" i="7"/>
  <c r="BE78" i="7"/>
  <c r="BE86" i="7"/>
  <c r="BE94" i="7"/>
  <c r="BE24" i="7"/>
  <c r="BE48" i="7"/>
  <c r="BE64" i="7"/>
  <c r="BE80" i="7"/>
  <c r="BE96" i="7"/>
  <c r="BE9" i="7"/>
  <c r="BE25" i="7"/>
  <c r="BE41" i="7"/>
  <c r="BE57" i="7"/>
  <c r="BE81" i="7"/>
  <c r="BE74" i="7"/>
  <c r="BE15" i="7"/>
  <c r="BE23" i="7"/>
  <c r="BE31" i="7"/>
  <c r="BE39" i="7"/>
  <c r="BE47" i="7"/>
  <c r="BE55" i="7"/>
  <c r="BE63" i="7"/>
  <c r="BE71" i="7"/>
  <c r="BE79" i="7"/>
  <c r="BE87" i="7"/>
  <c r="BE95" i="7"/>
  <c r="BE16" i="7"/>
  <c r="BE32" i="7"/>
  <c r="BE40" i="7"/>
  <c r="BE56" i="7"/>
  <c r="BE72" i="7"/>
  <c r="BE88" i="7"/>
  <c r="BE17" i="7"/>
  <c r="BE33" i="7"/>
  <c r="BE49" i="7"/>
  <c r="BE65" i="7"/>
  <c r="BE66" i="7"/>
  <c r="BE8" i="7"/>
  <c r="AQ4" i="7"/>
  <c r="AO4" i="7"/>
  <c r="Y4" i="7"/>
  <c r="Q4" i="7"/>
  <c r="BG30" i="7" l="1"/>
  <c r="BG38" i="7"/>
  <c r="BG46" i="7"/>
  <c r="BG62" i="7"/>
  <c r="BG70" i="7"/>
  <c r="BG78" i="7"/>
  <c r="BG86" i="7"/>
  <c r="BG69" i="7"/>
  <c r="BG15" i="7"/>
  <c r="BG55" i="7"/>
  <c r="BG63" i="7"/>
  <c r="BG71" i="7"/>
  <c r="BG79" i="7"/>
  <c r="BG95" i="7"/>
  <c r="BG56" i="7"/>
  <c r="BG72" i="7"/>
  <c r="BG90" i="7"/>
  <c r="BG28" i="7"/>
  <c r="BG60" i="7"/>
  <c r="BG45" i="7"/>
  <c r="BG97" i="7"/>
  <c r="BG24" i="7"/>
  <c r="BG80" i="7"/>
  <c r="BG96" i="7"/>
  <c r="BG74" i="7"/>
  <c r="BG77" i="7"/>
  <c r="BG9" i="7"/>
  <c r="BG17" i="7"/>
  <c r="BG41" i="7"/>
  <c r="BG57" i="7"/>
  <c r="BG73" i="7"/>
  <c r="BG81" i="7"/>
  <c r="BG89" i="7"/>
  <c r="BG8" i="7"/>
  <c r="BG66" i="7"/>
  <c r="BG82" i="7"/>
  <c r="BG68" i="7"/>
  <c r="BG13" i="7"/>
  <c r="BG53" i="7"/>
  <c r="BG10" i="7"/>
  <c r="BG18" i="7"/>
  <c r="BG11" i="7"/>
  <c r="BG35" i="7"/>
  <c r="BG43" i="7"/>
  <c r="BG51" i="7"/>
  <c r="BG75" i="7"/>
  <c r="BG20" i="7"/>
  <c r="BG76" i="7"/>
  <c r="BG21" i="7"/>
  <c r="BG61" i="7"/>
  <c r="BG42" i="7"/>
  <c r="BG25" i="7"/>
  <c r="BG14" i="7"/>
  <c r="BG40" i="7"/>
  <c r="BG44" i="7"/>
  <c r="BG93" i="7"/>
  <c r="BG67" i="7"/>
  <c r="BG26" i="7"/>
  <c r="BG39" i="7"/>
  <c r="BG16" i="7"/>
  <c r="BG49" i="7"/>
  <c r="BG52" i="7"/>
  <c r="BG54" i="7"/>
  <c r="BG91" i="7"/>
  <c r="BG19" i="7"/>
  <c r="BG34" i="7"/>
  <c r="BG37" i="7"/>
  <c r="BG23" i="7"/>
  <c r="BG50" i="7"/>
  <c r="BG12" i="7"/>
  <c r="BG92" i="7"/>
  <c r="BG87" i="7"/>
  <c r="BG65" i="7"/>
  <c r="BG29" i="7"/>
  <c r="BG94" i="7"/>
  <c r="BG32" i="7"/>
  <c r="BG47" i="7"/>
  <c r="BG27" i="7"/>
  <c r="BG58" i="7"/>
  <c r="BG83" i="7"/>
  <c r="BG85" i="7"/>
  <c r="BG48" i="7"/>
  <c r="BG64" i="7"/>
  <c r="BG22" i="7"/>
  <c r="BG33" i="7"/>
  <c r="BG84" i="7"/>
  <c r="BG36" i="7"/>
  <c r="BG31" i="7"/>
  <c r="BG88" i="7"/>
  <c r="BG59" i="7"/>
  <c r="BB59" i="7"/>
  <c r="BB82" i="7"/>
  <c r="O23" i="9"/>
  <c r="Q23" i="9"/>
  <c r="S23" i="9"/>
  <c r="F47" i="8" l="1"/>
  <c r="G47" i="8"/>
  <c r="H47" i="8"/>
  <c r="F48" i="8"/>
  <c r="G48" i="8"/>
  <c r="H48" i="8"/>
  <c r="F49" i="8"/>
  <c r="G49" i="8"/>
  <c r="H49" i="8"/>
  <c r="F46" i="8"/>
  <c r="G46" i="8"/>
  <c r="H46" i="8"/>
  <c r="F45" i="8"/>
  <c r="G45" i="8"/>
  <c r="H45" i="8"/>
  <c r="O431" i="16"/>
  <c r="O432" i="16"/>
  <c r="O393" i="16" l="1"/>
  <c r="O394" i="16"/>
  <c r="O395" i="16"/>
  <c r="O396" i="16"/>
  <c r="O397" i="16"/>
  <c r="O398" i="16"/>
  <c r="O399" i="16"/>
  <c r="O400" i="16"/>
  <c r="B140" i="8" l="1"/>
  <c r="AU82" i="2"/>
  <c r="AU83" i="2"/>
  <c r="AU84" i="2"/>
  <c r="AU85" i="2"/>
  <c r="AU86" i="2"/>
  <c r="H230" i="6" l="1"/>
  <c r="I230" i="6"/>
  <c r="J230" i="6"/>
  <c r="H231" i="6"/>
  <c r="I231" i="6"/>
  <c r="J231" i="6"/>
  <c r="H232" i="6"/>
  <c r="I232" i="6"/>
  <c r="J232" i="6"/>
  <c r="H233" i="6"/>
  <c r="I233" i="6"/>
  <c r="J233" i="6"/>
  <c r="H234" i="6"/>
  <c r="I234" i="6"/>
  <c r="J234" i="6"/>
  <c r="H235" i="6"/>
  <c r="I235" i="6"/>
  <c r="J235" i="6"/>
  <c r="H236" i="6"/>
  <c r="I236" i="6"/>
  <c r="J236" i="6"/>
  <c r="H237" i="6"/>
  <c r="I237" i="6"/>
  <c r="J237" i="6"/>
  <c r="H238" i="6"/>
  <c r="I238" i="6"/>
  <c r="J238" i="6"/>
  <c r="H239" i="6"/>
  <c r="I239" i="6"/>
  <c r="J239" i="6"/>
  <c r="H240" i="6"/>
  <c r="I240" i="6"/>
  <c r="J240" i="6"/>
  <c r="H241" i="6"/>
  <c r="I241" i="6"/>
  <c r="J241" i="6"/>
  <c r="H242" i="6"/>
  <c r="I242" i="6"/>
  <c r="J242" i="6"/>
  <c r="H243" i="6"/>
  <c r="I243" i="6"/>
  <c r="J243" i="6"/>
  <c r="H244" i="6"/>
  <c r="I244" i="6"/>
  <c r="J244" i="6"/>
  <c r="H245" i="6"/>
  <c r="I245" i="6"/>
  <c r="J245" i="6"/>
  <c r="Z105" i="2" l="1"/>
  <c r="Z97" i="2"/>
  <c r="AA97" i="2"/>
  <c r="AB97" i="2"/>
  <c r="Z98" i="2"/>
  <c r="AA98" i="2"/>
  <c r="AB98" i="2"/>
  <c r="Z99" i="2"/>
  <c r="AA99" i="2"/>
  <c r="AB99" i="2"/>
  <c r="Z100" i="2"/>
  <c r="AA100" i="2"/>
  <c r="AB100" i="2"/>
  <c r="Z101" i="2"/>
  <c r="AA101" i="2"/>
  <c r="AB101" i="2"/>
  <c r="Z102" i="2"/>
  <c r="AA102" i="2"/>
  <c r="AB102" i="2"/>
  <c r="Z103" i="2"/>
  <c r="AA103" i="2"/>
  <c r="AB103" i="2"/>
  <c r="Z104" i="2"/>
  <c r="AA104" i="2"/>
  <c r="AB104" i="2"/>
  <c r="AA105" i="2"/>
  <c r="AB105" i="2"/>
  <c r="Z106" i="2"/>
  <c r="AA106" i="2"/>
  <c r="AB106" i="2"/>
  <c r="Z107" i="2"/>
  <c r="AA107" i="2"/>
  <c r="AB107" i="2"/>
  <c r="Z108" i="2"/>
  <c r="AA108" i="2"/>
  <c r="AB108" i="2"/>
  <c r="Z109" i="2"/>
  <c r="AA109" i="2"/>
  <c r="AB109" i="2"/>
  <c r="Z110" i="2"/>
  <c r="AA110" i="2"/>
  <c r="AB110" i="2"/>
  <c r="Z111" i="2"/>
  <c r="AA111" i="2"/>
  <c r="AB111" i="2"/>
  <c r="Z112" i="2"/>
  <c r="AA112" i="2"/>
  <c r="AB112" i="2"/>
  <c r="Z113" i="2"/>
  <c r="AA113" i="2"/>
  <c r="AB113" i="2"/>
  <c r="Z114" i="2"/>
  <c r="AA114" i="2"/>
  <c r="AB114" i="2"/>
  <c r="Z115" i="2"/>
  <c r="AA115" i="2"/>
  <c r="AB115" i="2"/>
  <c r="Z116" i="2"/>
  <c r="AA116" i="2"/>
  <c r="AB116" i="2"/>
  <c r="Z117" i="2"/>
  <c r="AA117" i="2"/>
  <c r="AB117" i="2"/>
  <c r="K220" i="6"/>
  <c r="K221" i="6"/>
  <c r="K222" i="6"/>
  <c r="K223" i="6"/>
  <c r="K224" i="6"/>
  <c r="K225" i="6"/>
  <c r="K226" i="6"/>
  <c r="K227" i="6"/>
  <c r="K228" i="6"/>
  <c r="K229" i="6"/>
  <c r="H216" i="6"/>
  <c r="I216" i="6"/>
  <c r="J216" i="6"/>
  <c r="H217" i="6"/>
  <c r="I217" i="6"/>
  <c r="J217" i="6"/>
  <c r="H218" i="6"/>
  <c r="I218" i="6"/>
  <c r="J218" i="6"/>
  <c r="H219" i="6"/>
  <c r="I219" i="6"/>
  <c r="J219" i="6"/>
  <c r="H220" i="6"/>
  <c r="I220" i="6"/>
  <c r="J220" i="6"/>
  <c r="H221" i="6"/>
  <c r="I221" i="6"/>
  <c r="J221" i="6"/>
  <c r="H222" i="6"/>
  <c r="I222" i="6"/>
  <c r="J222" i="6"/>
  <c r="H223" i="6"/>
  <c r="I223" i="6"/>
  <c r="J223" i="6"/>
  <c r="H224" i="6"/>
  <c r="I224" i="6"/>
  <c r="J224" i="6"/>
  <c r="H225" i="6"/>
  <c r="I225" i="6"/>
  <c r="J225" i="6"/>
  <c r="H226" i="6"/>
  <c r="I226" i="6"/>
  <c r="J226" i="6"/>
  <c r="H227" i="6"/>
  <c r="I227" i="6"/>
  <c r="J227" i="6"/>
  <c r="H228" i="6"/>
  <c r="I228" i="6"/>
  <c r="J228" i="6"/>
  <c r="H229" i="6"/>
  <c r="I229" i="6"/>
  <c r="J229" i="6"/>
  <c r="Z77" i="2" l="1"/>
  <c r="AA77" i="2"/>
  <c r="AB77" i="2"/>
  <c r="Z78" i="2"/>
  <c r="AA78" i="2"/>
  <c r="AB78" i="2"/>
  <c r="Z79" i="2"/>
  <c r="AA79" i="2"/>
  <c r="AB79" i="2"/>
  <c r="Z80" i="2"/>
  <c r="AA80" i="2"/>
  <c r="AB80" i="2"/>
  <c r="Z81" i="2"/>
  <c r="AA81" i="2"/>
  <c r="AB81" i="2"/>
  <c r="Z82" i="2"/>
  <c r="AA82" i="2"/>
  <c r="AB82" i="2"/>
  <c r="Z83" i="2"/>
  <c r="AA83" i="2"/>
  <c r="AB83" i="2"/>
  <c r="Z84" i="2"/>
  <c r="AA84" i="2"/>
  <c r="AB84" i="2"/>
  <c r="Z85" i="2"/>
  <c r="AA85" i="2"/>
  <c r="AB85" i="2"/>
  <c r="Z86" i="2"/>
  <c r="AA86" i="2"/>
  <c r="AB86" i="2"/>
  <c r="Z87" i="2"/>
  <c r="AA87" i="2"/>
  <c r="AB87" i="2"/>
  <c r="Z88" i="2"/>
  <c r="AA88" i="2"/>
  <c r="AB88" i="2"/>
  <c r="Z89" i="2"/>
  <c r="AA89" i="2"/>
  <c r="AB89" i="2"/>
  <c r="Z90" i="2"/>
  <c r="AA90" i="2"/>
  <c r="AB90" i="2"/>
  <c r="Z91" i="2"/>
  <c r="AA91" i="2"/>
  <c r="AB91" i="2"/>
  <c r="Z92" i="2"/>
  <c r="AA92" i="2"/>
  <c r="AB92" i="2"/>
  <c r="Z93" i="2"/>
  <c r="AA93" i="2"/>
  <c r="AB93" i="2"/>
  <c r="Z94" i="2"/>
  <c r="AA94" i="2"/>
  <c r="AB94" i="2"/>
  <c r="Z95" i="2"/>
  <c r="AA95" i="2"/>
  <c r="AB95" i="2"/>
  <c r="Z96" i="2"/>
  <c r="AA96" i="2"/>
  <c r="AB96" i="2"/>
  <c r="N138" i="8"/>
  <c r="N139" i="8"/>
  <c r="W85" i="2"/>
  <c r="X85" i="2"/>
  <c r="Y85" i="2"/>
  <c r="A82" i="7"/>
  <c r="Y84" i="2"/>
  <c r="N140" i="8"/>
  <c r="N141" i="8"/>
  <c r="N142" i="8"/>
  <c r="N143" i="8"/>
  <c r="N144" i="8"/>
  <c r="N145" i="8"/>
  <c r="N146" i="8"/>
  <c r="N147" i="8"/>
  <c r="A81" i="7"/>
  <c r="N130" i="8"/>
  <c r="N131" i="8"/>
  <c r="N132" i="8"/>
  <c r="N134" i="8"/>
  <c r="N135" i="8"/>
  <c r="N136" i="8"/>
  <c r="N137" i="8"/>
  <c r="W83" i="2"/>
  <c r="X83" i="2"/>
  <c r="Y83" i="2"/>
  <c r="BB80" i="7"/>
  <c r="A80" i="7"/>
  <c r="Y82" i="2"/>
  <c r="BB79" i="7"/>
  <c r="Q134" i="8" l="1"/>
  <c r="R134" i="8" s="1"/>
  <c r="Q132" i="8"/>
  <c r="Q143" i="8"/>
  <c r="R143" i="8" s="1"/>
  <c r="Q142" i="8"/>
  <c r="R142" i="8" s="1"/>
  <c r="Q139" i="8"/>
  <c r="R139" i="8" s="1"/>
  <c r="Q141" i="8"/>
  <c r="R141" i="8" s="1"/>
  <c r="Q138" i="8"/>
  <c r="R138" i="8" s="1"/>
  <c r="Q131" i="8"/>
  <c r="R131" i="8" s="1"/>
  <c r="Q140" i="8"/>
  <c r="R140" i="8" s="1"/>
  <c r="Q144" i="8"/>
  <c r="R144" i="8" s="1"/>
  <c r="Q137" i="8"/>
  <c r="R137" i="8" s="1"/>
  <c r="Q147" i="8"/>
  <c r="R147" i="8" s="1"/>
  <c r="Q130" i="8"/>
  <c r="Q136" i="8"/>
  <c r="R136" i="8" s="1"/>
  <c r="Q146" i="8"/>
  <c r="R146" i="8" s="1"/>
  <c r="Q135" i="8"/>
  <c r="R135" i="8" s="1"/>
  <c r="Q145" i="8"/>
  <c r="R145" i="8" s="1"/>
  <c r="AI146" i="8"/>
  <c r="AJ130" i="8"/>
  <c r="AI142" i="8"/>
  <c r="AJ142" i="8"/>
  <c r="AK142" i="8"/>
  <c r="AL142" i="8"/>
  <c r="AF142" i="8"/>
  <c r="AG142" i="8"/>
  <c r="AH142" i="8"/>
  <c r="AK141" i="8"/>
  <c r="AF141" i="8"/>
  <c r="AL141" i="8"/>
  <c r="AG141" i="8"/>
  <c r="AH141" i="8"/>
  <c r="AI141" i="8"/>
  <c r="AJ141" i="8"/>
  <c r="AG140" i="8"/>
  <c r="AH140" i="8"/>
  <c r="AI140" i="8"/>
  <c r="AJ140" i="8"/>
  <c r="AK140" i="8"/>
  <c r="AF140" i="8"/>
  <c r="AL140" i="8"/>
  <c r="AI139" i="8"/>
  <c r="AJ139" i="8"/>
  <c r="AK139" i="8"/>
  <c r="AF139" i="8"/>
  <c r="AL139" i="8"/>
  <c r="AG139" i="8"/>
  <c r="AH139" i="8"/>
  <c r="AK138" i="8"/>
  <c r="AF138" i="8"/>
  <c r="AL138" i="8"/>
  <c r="AG138" i="8"/>
  <c r="AH138" i="8"/>
  <c r="AI138" i="8"/>
  <c r="AJ138" i="8"/>
  <c r="AJ136" i="8"/>
  <c r="AH147" i="8"/>
  <c r="AJ133" i="8"/>
  <c r="AG147" i="8"/>
  <c r="AI133" i="8"/>
  <c r="AJ143" i="8"/>
  <c r="AI143" i="8"/>
  <c r="AJ146" i="8"/>
  <c r="AK135" i="8"/>
  <c r="AL132" i="8"/>
  <c r="AF135" i="8"/>
  <c r="AK132" i="8"/>
  <c r="AH144" i="8"/>
  <c r="AH134" i="8"/>
  <c r="AF132" i="8"/>
  <c r="AL135" i="8"/>
  <c r="AG144" i="8"/>
  <c r="AG134" i="8"/>
  <c r="AL147" i="8"/>
  <c r="AF147" i="8"/>
  <c r="AH146" i="8"/>
  <c r="AJ145" i="8"/>
  <c r="AL144" i="8"/>
  <c r="AF144" i="8"/>
  <c r="AH143" i="8"/>
  <c r="AL137" i="8"/>
  <c r="AF137" i="8"/>
  <c r="AH136" i="8"/>
  <c r="AJ135" i="8"/>
  <c r="AL134" i="8"/>
  <c r="AF134" i="8"/>
  <c r="AH133" i="8"/>
  <c r="AJ132" i="8"/>
  <c r="AL131" i="8"/>
  <c r="AF131" i="8"/>
  <c r="AH130" i="8"/>
  <c r="AL145" i="8"/>
  <c r="AI136" i="8"/>
  <c r="AG131" i="8"/>
  <c r="AK147" i="8"/>
  <c r="AG146" i="8"/>
  <c r="AI145" i="8"/>
  <c r="AK144" i="8"/>
  <c r="AG143" i="8"/>
  <c r="AK137" i="8"/>
  <c r="AG136" i="8"/>
  <c r="AI135" i="8"/>
  <c r="AK134" i="8"/>
  <c r="AG133" i="8"/>
  <c r="AI132" i="8"/>
  <c r="AK131" i="8"/>
  <c r="AG130" i="8"/>
  <c r="AK145" i="8"/>
  <c r="AI130" i="8"/>
  <c r="AJ147" i="8"/>
  <c r="AL146" i="8"/>
  <c r="AF146" i="8"/>
  <c r="AH145" i="8"/>
  <c r="AJ144" i="8"/>
  <c r="AL143" i="8"/>
  <c r="AF143" i="8"/>
  <c r="AJ137" i="8"/>
  <c r="AL136" i="8"/>
  <c r="AF136" i="8"/>
  <c r="AH135" i="8"/>
  <c r="AJ134" i="8"/>
  <c r="AL133" i="8"/>
  <c r="AF133" i="8"/>
  <c r="AH132" i="8"/>
  <c r="AJ131" i="8"/>
  <c r="AL130" i="8"/>
  <c r="AF130" i="8"/>
  <c r="AF145" i="8"/>
  <c r="AH137" i="8"/>
  <c r="AH131" i="8"/>
  <c r="AG137" i="8"/>
  <c r="AI147" i="8"/>
  <c r="AK146" i="8"/>
  <c r="AG145" i="8"/>
  <c r="AI144" i="8"/>
  <c r="AK143" i="8"/>
  <c r="AI137" i="8"/>
  <c r="AK136" i="8"/>
  <c r="AG135" i="8"/>
  <c r="AI134" i="8"/>
  <c r="AK133" i="8"/>
  <c r="AG132" i="8"/>
  <c r="AI131" i="8"/>
  <c r="AK130" i="8"/>
  <c r="A79" i="7"/>
  <c r="U131" i="8" l="1"/>
  <c r="X131" i="8" s="1"/>
  <c r="O131" i="8" s="1"/>
  <c r="G252" i="54" l="1"/>
  <c r="O39" i="9" l="1"/>
  <c r="Q39" i="9"/>
  <c r="S39" i="9"/>
  <c r="Q382" i="16" l="1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O424" i="16" l="1"/>
  <c r="O425" i="16"/>
  <c r="O426" i="16"/>
  <c r="O427" i="16"/>
  <c r="O428" i="16"/>
  <c r="O429" i="16"/>
  <c r="O430" i="16"/>
  <c r="I45" i="24" l="1"/>
  <c r="K45" i="24" s="1"/>
  <c r="J45" i="24"/>
  <c r="I46" i="24"/>
  <c r="K46" i="24" s="1"/>
  <c r="J46" i="24"/>
  <c r="I47" i="24"/>
  <c r="K47" i="24" s="1"/>
  <c r="J47" i="24"/>
  <c r="I48" i="24"/>
  <c r="K48" i="24" s="1"/>
  <c r="J48" i="24"/>
  <c r="I49" i="24"/>
  <c r="K49" i="24" s="1"/>
  <c r="J49" i="24"/>
  <c r="I50" i="24"/>
  <c r="K50" i="24" s="1"/>
  <c r="J50" i="24"/>
  <c r="I51" i="24"/>
  <c r="K51" i="24" s="1"/>
  <c r="J51" i="24"/>
  <c r="I52" i="24"/>
  <c r="K52" i="24" s="1"/>
  <c r="J52" i="24"/>
  <c r="I53" i="24"/>
  <c r="K53" i="24" s="1"/>
  <c r="J53" i="24"/>
  <c r="I54" i="24"/>
  <c r="K54" i="24" s="1"/>
  <c r="J54" i="24"/>
  <c r="I55" i="24"/>
  <c r="K55" i="24" s="1"/>
  <c r="J55" i="24"/>
  <c r="I56" i="24"/>
  <c r="L56" i="24" s="1"/>
  <c r="J56" i="24"/>
  <c r="I57" i="24"/>
  <c r="K57" i="24" s="1"/>
  <c r="J57" i="24"/>
  <c r="I58" i="24"/>
  <c r="K58" i="24" s="1"/>
  <c r="J58" i="24"/>
  <c r="J44" i="24"/>
  <c r="I44" i="24"/>
  <c r="L44" i="24" s="1"/>
  <c r="J43" i="24"/>
  <c r="I43" i="24"/>
  <c r="L43" i="24" s="1"/>
  <c r="J42" i="24"/>
  <c r="I42" i="24"/>
  <c r="L42" i="24" s="1"/>
  <c r="J41" i="24"/>
  <c r="I41" i="24"/>
  <c r="L41" i="24" s="1"/>
  <c r="J40" i="24"/>
  <c r="I40" i="24"/>
  <c r="L40" i="24" s="1"/>
  <c r="J39" i="24"/>
  <c r="I39" i="24"/>
  <c r="L39" i="24" s="1"/>
  <c r="J38" i="24"/>
  <c r="I38" i="24"/>
  <c r="L38" i="24" s="1"/>
  <c r="J37" i="24"/>
  <c r="I37" i="24"/>
  <c r="L37" i="24" s="1"/>
  <c r="J36" i="24"/>
  <c r="I36" i="24"/>
  <c r="L36" i="24" s="1"/>
  <c r="J35" i="24"/>
  <c r="I35" i="24"/>
  <c r="L35" i="24" s="1"/>
  <c r="J34" i="24"/>
  <c r="I34" i="24"/>
  <c r="L34" i="24" s="1"/>
  <c r="J33" i="24"/>
  <c r="I33" i="24"/>
  <c r="L33" i="24" s="1"/>
  <c r="J32" i="24"/>
  <c r="I32" i="24"/>
  <c r="L32" i="24" s="1"/>
  <c r="J31" i="24"/>
  <c r="I31" i="24"/>
  <c r="J30" i="24"/>
  <c r="I30" i="24"/>
  <c r="L30" i="24" s="1"/>
  <c r="J29" i="24"/>
  <c r="I29" i="24"/>
  <c r="L29" i="24" s="1"/>
  <c r="J28" i="24"/>
  <c r="I28" i="24"/>
  <c r="L28" i="24" s="1"/>
  <c r="J27" i="24"/>
  <c r="I27" i="24"/>
  <c r="L27" i="24" s="1"/>
  <c r="J26" i="24"/>
  <c r="I26" i="24"/>
  <c r="L26" i="24" s="1"/>
  <c r="J25" i="24"/>
  <c r="I25" i="24"/>
  <c r="L25" i="24" s="1"/>
  <c r="J24" i="24"/>
  <c r="I24" i="24"/>
  <c r="L24" i="24" s="1"/>
  <c r="J23" i="24"/>
  <c r="I23" i="24"/>
  <c r="L23" i="24" s="1"/>
  <c r="J22" i="24"/>
  <c r="I22" i="24"/>
  <c r="L22" i="24" s="1"/>
  <c r="J21" i="24"/>
  <c r="I21" i="24"/>
  <c r="L21" i="24" s="1"/>
  <c r="J20" i="24"/>
  <c r="I20" i="24"/>
  <c r="L20" i="24" s="1"/>
  <c r="J19" i="24"/>
  <c r="I19" i="24"/>
  <c r="L19" i="24" s="1"/>
  <c r="J18" i="24"/>
  <c r="I18" i="24"/>
  <c r="L18" i="24" s="1"/>
  <c r="J17" i="24"/>
  <c r="I17" i="24"/>
  <c r="L17" i="24" s="1"/>
  <c r="J16" i="24"/>
  <c r="I16" i="24"/>
  <c r="L16" i="24" s="1"/>
  <c r="J15" i="24"/>
  <c r="I15" i="24"/>
  <c r="L15" i="24" s="1"/>
  <c r="J14" i="24"/>
  <c r="I14" i="24"/>
  <c r="L14" i="24" s="1"/>
  <c r="J13" i="24"/>
  <c r="I13" i="24"/>
  <c r="L13" i="24" s="1"/>
  <c r="J12" i="24"/>
  <c r="I12" i="24"/>
  <c r="L12" i="24" s="1"/>
  <c r="J11" i="24"/>
  <c r="I11" i="24"/>
  <c r="L11" i="24" s="1"/>
  <c r="J10" i="24"/>
  <c r="I10" i="24"/>
  <c r="L10" i="24" s="1"/>
  <c r="J9" i="24"/>
  <c r="I9" i="24"/>
  <c r="L9" i="24" s="1"/>
  <c r="J8" i="24"/>
  <c r="I8" i="24"/>
  <c r="L8" i="24" s="1"/>
  <c r="J7" i="24"/>
  <c r="I7" i="24"/>
  <c r="L7" i="24" s="1"/>
  <c r="J6" i="24"/>
  <c r="I6" i="24"/>
  <c r="L6" i="24" s="1"/>
  <c r="J5" i="24"/>
  <c r="I5" i="24"/>
  <c r="L5" i="24" s="1"/>
  <c r="J4" i="24"/>
  <c r="I4" i="24"/>
  <c r="L4" i="24" s="1"/>
  <c r="J3" i="24"/>
  <c r="I3" i="24"/>
  <c r="AG53" i="8" l="1"/>
  <c r="AI54" i="8"/>
  <c r="AK53" i="8"/>
  <c r="AG54" i="8"/>
  <c r="AJ54" i="8"/>
  <c r="AK54" i="8"/>
  <c r="AI53" i="8"/>
  <c r="AH54" i="8"/>
  <c r="AH53" i="8"/>
  <c r="AJ53" i="8"/>
  <c r="D33" i="9"/>
  <c r="D36" i="9"/>
  <c r="G36" i="9" s="1"/>
  <c r="K56" i="24"/>
  <c r="L31" i="24"/>
  <c r="D24" i="9"/>
  <c r="L3" i="24"/>
  <c r="AH50" i="8"/>
  <c r="AK52" i="8"/>
  <c r="AI51" i="8"/>
  <c r="AI52" i="8"/>
  <c r="AH51" i="8"/>
  <c r="AI50" i="8"/>
  <c r="AJ50" i="8"/>
  <c r="AG50" i="8"/>
  <c r="AJ52" i="8"/>
  <c r="AK50" i="8"/>
  <c r="AG52" i="8"/>
  <c r="AH52" i="8"/>
  <c r="AK51" i="8"/>
  <c r="AJ51" i="8"/>
  <c r="AG51" i="8"/>
  <c r="L58" i="24"/>
  <c r="L54" i="24"/>
  <c r="L52" i="24"/>
  <c r="L50" i="24"/>
  <c r="L48" i="24"/>
  <c r="L46" i="24"/>
  <c r="L57" i="24"/>
  <c r="L55" i="24"/>
  <c r="L53" i="24"/>
  <c r="L51" i="24"/>
  <c r="L49" i="24"/>
  <c r="L47" i="24"/>
  <c r="L45" i="24"/>
  <c r="K3" i="24"/>
  <c r="K5" i="24"/>
  <c r="K7" i="24"/>
  <c r="K9" i="24"/>
  <c r="K11" i="24"/>
  <c r="K13" i="24"/>
  <c r="K15" i="24"/>
  <c r="K17" i="24"/>
  <c r="K19" i="24"/>
  <c r="K21" i="24"/>
  <c r="K23" i="24"/>
  <c r="K25" i="24"/>
  <c r="K27" i="24"/>
  <c r="K29" i="24"/>
  <c r="K31" i="24"/>
  <c r="K33" i="24"/>
  <c r="K35" i="24"/>
  <c r="K37" i="24"/>
  <c r="K39" i="24"/>
  <c r="K41" i="24"/>
  <c r="K43" i="24"/>
  <c r="K4" i="24"/>
  <c r="K6" i="24"/>
  <c r="K8" i="24"/>
  <c r="K10" i="24"/>
  <c r="K12" i="24"/>
  <c r="K14" i="24"/>
  <c r="K16" i="24"/>
  <c r="K18" i="24"/>
  <c r="K20" i="24"/>
  <c r="K22" i="24"/>
  <c r="K24" i="24"/>
  <c r="K26" i="24"/>
  <c r="K28" i="24"/>
  <c r="K30" i="24"/>
  <c r="K32" i="24"/>
  <c r="K34" i="24"/>
  <c r="K36" i="24"/>
  <c r="K38" i="24"/>
  <c r="K40" i="24"/>
  <c r="K42" i="24"/>
  <c r="K44" i="24"/>
  <c r="AL54" i="8" l="1"/>
  <c r="AU43" i="2" s="1"/>
  <c r="AL53" i="8"/>
  <c r="AU42" i="2" s="1"/>
  <c r="AL52" i="8"/>
  <c r="AU41" i="2" s="1"/>
  <c r="AL51" i="8"/>
  <c r="AU40" i="2" s="1"/>
  <c r="AL50" i="8"/>
  <c r="AU39" i="2" s="1"/>
  <c r="P393" i="16"/>
  <c r="P394" i="16"/>
  <c r="P395" i="16"/>
  <c r="P396" i="16"/>
  <c r="P397" i="16"/>
  <c r="P398" i="16"/>
  <c r="P399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P392" i="16" l="1"/>
  <c r="B137" i="8" l="1"/>
  <c r="B139" i="8"/>
  <c r="B138" i="8"/>
  <c r="AC138" i="8"/>
  <c r="AC137" i="8"/>
  <c r="AC140" i="8"/>
  <c r="AC139" i="8"/>
  <c r="P39" i="9"/>
  <c r="R39" i="9" s="1"/>
  <c r="T39" i="9" s="1"/>
  <c r="U39" i="9" s="1"/>
  <c r="B141" i="8"/>
  <c r="I61" i="6" l="1"/>
  <c r="I62" i="6"/>
  <c r="S10" i="9"/>
  <c r="BB48" i="7" l="1"/>
  <c r="BB50" i="7"/>
  <c r="P382" i="16" l="1"/>
  <c r="P383" i="16"/>
  <c r="P384" i="16"/>
  <c r="P385" i="16"/>
  <c r="P386" i="16"/>
  <c r="P387" i="16"/>
  <c r="P388" i="16"/>
  <c r="P389" i="16"/>
  <c r="P390" i="16"/>
  <c r="P391" i="16"/>
  <c r="BB49" i="7" l="1"/>
  <c r="A50" i="7" l="1"/>
  <c r="AU57" i="2"/>
  <c r="Z57" i="2"/>
  <c r="AA57" i="2"/>
  <c r="AB57" i="2"/>
  <c r="W57" i="2"/>
  <c r="X57" i="2"/>
  <c r="Y57" i="2"/>
  <c r="BB87" i="7" l="1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5" i="6"/>
  <c r="A49" i="7" l="1"/>
  <c r="AU56" i="2"/>
  <c r="W56" i="2"/>
  <c r="X56" i="2"/>
  <c r="Y56" i="2"/>
  <c r="Z56" i="2"/>
  <c r="AA56" i="2"/>
  <c r="AB56" i="2"/>
  <c r="W58" i="2"/>
  <c r="X58" i="2"/>
  <c r="Y58" i="2"/>
  <c r="Z58" i="2"/>
  <c r="AA58" i="2"/>
  <c r="AB58" i="2"/>
  <c r="A48" i="7" l="1"/>
  <c r="AU55" i="2" l="1"/>
  <c r="Z55" i="2"/>
  <c r="AA55" i="2"/>
  <c r="AB55" i="2"/>
  <c r="W55" i="2"/>
  <c r="X55" i="2"/>
  <c r="Y55" i="2"/>
  <c r="P355" i="16" l="1"/>
  <c r="Q355" i="16"/>
  <c r="P356" i="16"/>
  <c r="Q356" i="16"/>
  <c r="P357" i="16"/>
  <c r="Q357" i="16"/>
  <c r="P358" i="16"/>
  <c r="Q358" i="16"/>
  <c r="P359" i="16"/>
  <c r="Q359" i="16"/>
  <c r="P360" i="16"/>
  <c r="Q360" i="16"/>
  <c r="P361" i="16"/>
  <c r="Q361" i="16"/>
  <c r="P362" i="16"/>
  <c r="Q362" i="16"/>
  <c r="P363" i="16"/>
  <c r="Q363" i="16"/>
  <c r="P364" i="16"/>
  <c r="Q364" i="16"/>
  <c r="P365" i="16"/>
  <c r="Q365" i="16"/>
  <c r="P366" i="16"/>
  <c r="Q366" i="16"/>
  <c r="P367" i="16"/>
  <c r="Q367" i="16"/>
  <c r="P368" i="16"/>
  <c r="Q368" i="16"/>
  <c r="P369" i="16"/>
  <c r="Q369" i="16"/>
  <c r="P370" i="16"/>
  <c r="Q370" i="16"/>
  <c r="P371" i="16"/>
  <c r="Q371" i="16"/>
  <c r="P372" i="16"/>
  <c r="Q372" i="16"/>
  <c r="P373" i="16"/>
  <c r="Q373" i="16"/>
  <c r="P374" i="16"/>
  <c r="Q374" i="16"/>
  <c r="P375" i="16"/>
  <c r="Q375" i="16"/>
  <c r="P376" i="16"/>
  <c r="Q376" i="16"/>
  <c r="P377" i="16"/>
  <c r="Q377" i="16"/>
  <c r="P378" i="16"/>
  <c r="Q378" i="16"/>
  <c r="P379" i="16"/>
  <c r="Q379" i="16"/>
  <c r="P380" i="16"/>
  <c r="Q380" i="16"/>
  <c r="P381" i="16"/>
  <c r="Q381" i="16"/>
  <c r="R6" i="6" l="1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6" i="6"/>
  <c r="R177" i="6"/>
  <c r="R178" i="6"/>
  <c r="R179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4" i="6"/>
  <c r="R195" i="6"/>
  <c r="R197" i="6"/>
  <c r="R198" i="6"/>
  <c r="R200" i="6"/>
  <c r="R201" i="6"/>
  <c r="R202" i="6"/>
  <c r="R203" i="6"/>
  <c r="R204" i="6"/>
  <c r="R206" i="6"/>
  <c r="R207" i="6"/>
  <c r="R208" i="6"/>
  <c r="R209" i="6"/>
  <c r="R210" i="6"/>
  <c r="R211" i="6"/>
  <c r="R212" i="6"/>
  <c r="R213" i="6"/>
  <c r="R215" i="6"/>
  <c r="R216" i="6"/>
  <c r="R217" i="6"/>
  <c r="R5" i="6"/>
  <c r="P350" i="16" l="1"/>
  <c r="Q350" i="16"/>
  <c r="P351" i="16"/>
  <c r="Q351" i="16"/>
  <c r="P352" i="16"/>
  <c r="Q352" i="16"/>
  <c r="P353" i="16"/>
  <c r="Q353" i="16"/>
  <c r="P354" i="16"/>
  <c r="Q354" i="16"/>
  <c r="A87" i="7" l="1"/>
  <c r="AU90" i="2"/>
  <c r="W90" i="2"/>
  <c r="X90" i="2"/>
  <c r="Y90" i="2"/>
  <c r="AS101" i="1" l="1"/>
  <c r="AT101" i="1"/>
  <c r="AU101" i="1"/>
  <c r="AV101" i="1"/>
  <c r="AR101" i="7"/>
  <c r="AS101" i="7"/>
  <c r="AT101" i="7"/>
  <c r="AU101" i="7"/>
  <c r="AV101" i="7"/>
  <c r="J14" i="8" l="1"/>
  <c r="AK46" i="2" s="1"/>
  <c r="AK20" i="2" l="1"/>
  <c r="AK39" i="2"/>
  <c r="AK40" i="2"/>
  <c r="AK41" i="2"/>
  <c r="AK57" i="2"/>
  <c r="AK69" i="2"/>
  <c r="Z66" i="2" l="1"/>
  <c r="AA66" i="2"/>
  <c r="AB66" i="2"/>
  <c r="Z67" i="2"/>
  <c r="AA67" i="2"/>
  <c r="AB67" i="2"/>
  <c r="Z68" i="2"/>
  <c r="AA68" i="2"/>
  <c r="AB68" i="2"/>
  <c r="Z69" i="2"/>
  <c r="AA69" i="2"/>
  <c r="AB69" i="2"/>
  <c r="Z70" i="2"/>
  <c r="AA70" i="2"/>
  <c r="AB70" i="2"/>
  <c r="Z71" i="2"/>
  <c r="AA71" i="2"/>
  <c r="AB71" i="2"/>
  <c r="Z72" i="2"/>
  <c r="AA72" i="2"/>
  <c r="AB72" i="2"/>
  <c r="Z73" i="2"/>
  <c r="AA73" i="2"/>
  <c r="AB73" i="2"/>
  <c r="Z74" i="2"/>
  <c r="AA74" i="2"/>
  <c r="AB74" i="2"/>
  <c r="Z75" i="2"/>
  <c r="AA75" i="2"/>
  <c r="AB75" i="2"/>
  <c r="Z76" i="2"/>
  <c r="AA76" i="2"/>
  <c r="AB76" i="2"/>
  <c r="Z59" i="2"/>
  <c r="AA59" i="2"/>
  <c r="AB59" i="2"/>
  <c r="Z60" i="2"/>
  <c r="AA60" i="2"/>
  <c r="AB60" i="2"/>
  <c r="Z61" i="2"/>
  <c r="AA61" i="2"/>
  <c r="AB61" i="2"/>
  <c r="Z62" i="2"/>
  <c r="AA62" i="2"/>
  <c r="AB62" i="2"/>
  <c r="Z63" i="2"/>
  <c r="AA63" i="2"/>
  <c r="AB63" i="2"/>
  <c r="Z64" i="2"/>
  <c r="AA64" i="2"/>
  <c r="AB64" i="2"/>
  <c r="A58" i="7" l="1"/>
  <c r="A59" i="7"/>
  <c r="AU61" i="2"/>
  <c r="W61" i="2"/>
  <c r="AK61" i="2" s="1"/>
  <c r="X61" i="2"/>
  <c r="Y61" i="2"/>
  <c r="AK38" i="2"/>
  <c r="Y38" i="2"/>
  <c r="W47" i="2"/>
  <c r="AK47" i="2" s="1"/>
  <c r="X47" i="2"/>
  <c r="Y47" i="2"/>
  <c r="BB64" i="7" l="1"/>
  <c r="BB83" i="7" l="1"/>
  <c r="BB37" i="7"/>
  <c r="BB36" i="7"/>
  <c r="BB35" i="7"/>
  <c r="BB34" i="7"/>
  <c r="BB33" i="7"/>
  <c r="BB32" i="7"/>
  <c r="BB30" i="7"/>
  <c r="BB9" i="7"/>
  <c r="BB10" i="7"/>
  <c r="BB11" i="7"/>
  <c r="BB12" i="7"/>
  <c r="BB13" i="7"/>
  <c r="BB15" i="7"/>
  <c r="BB16" i="7"/>
  <c r="BB17" i="7"/>
  <c r="BB18" i="7"/>
  <c r="BB20" i="7"/>
  <c r="BB21" i="7"/>
  <c r="BB22" i="7"/>
  <c r="BB23" i="7"/>
  <c r="BB24" i="7"/>
  <c r="BB25" i="7"/>
  <c r="BB26" i="7"/>
  <c r="BB27" i="7"/>
  <c r="BB28" i="7"/>
  <c r="BB29" i="7"/>
  <c r="BB31" i="7"/>
  <c r="BB38" i="7"/>
  <c r="BB39" i="7"/>
  <c r="BB40" i="7"/>
  <c r="BB41" i="7"/>
  <c r="BB42" i="7"/>
  <c r="BB43" i="7"/>
  <c r="BB44" i="7"/>
  <c r="BB45" i="7"/>
  <c r="BB46" i="7"/>
  <c r="BB47" i="7"/>
  <c r="BB51" i="7"/>
  <c r="BB52" i="7"/>
  <c r="BB53" i="7"/>
  <c r="BB54" i="7"/>
  <c r="BB55" i="7"/>
  <c r="BB56" i="7"/>
  <c r="BB60" i="7"/>
  <c r="BB61" i="7"/>
  <c r="BB62" i="7"/>
  <c r="BB63" i="7"/>
  <c r="BB65" i="7"/>
  <c r="BB67" i="7"/>
  <c r="BB68" i="7"/>
  <c r="BB69" i="7"/>
  <c r="BB70" i="7"/>
  <c r="BB71" i="7"/>
  <c r="BB72" i="7"/>
  <c r="BB73" i="7"/>
  <c r="BB74" i="7"/>
  <c r="BB75" i="7"/>
  <c r="BB76" i="7"/>
  <c r="BB77" i="7"/>
  <c r="BB78" i="7"/>
  <c r="BB85" i="7"/>
  <c r="BB86" i="7"/>
  <c r="BB88" i="7"/>
  <c r="BB89" i="7"/>
  <c r="BB91" i="7"/>
  <c r="BB93" i="7"/>
  <c r="BB94" i="7"/>
  <c r="BB95" i="7"/>
  <c r="BB96" i="7"/>
  <c r="BB97" i="7"/>
  <c r="BB8" i="7"/>
  <c r="A85" i="7"/>
  <c r="AU89" i="2"/>
  <c r="W89" i="2"/>
  <c r="X89" i="2"/>
  <c r="Y89" i="2"/>
  <c r="BB92" i="7" l="1"/>
  <c r="A86" i="7"/>
  <c r="M138" i="8" l="1"/>
  <c r="AU88" i="2"/>
  <c r="W88" i="2"/>
  <c r="X88" i="2"/>
  <c r="Y88" i="2"/>
  <c r="V138" i="8" l="1"/>
  <c r="Y138" i="8" s="1"/>
  <c r="W138" i="8"/>
  <c r="Z138" i="8" s="1"/>
  <c r="U138" i="8"/>
  <c r="X138" i="8" s="1"/>
  <c r="L205" i="6"/>
  <c r="O138" i="8" l="1"/>
  <c r="S138" i="8" s="1"/>
  <c r="A47" i="7" l="1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7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U104" i="2"/>
  <c r="AU105" i="2"/>
  <c r="AU106" i="2"/>
  <c r="AU107" i="2"/>
  <c r="AU108" i="2"/>
  <c r="AU109" i="2"/>
  <c r="AU110" i="2"/>
  <c r="AU58" i="2"/>
  <c r="W54" i="2"/>
  <c r="X54" i="2"/>
  <c r="Y54" i="2"/>
  <c r="Z54" i="2"/>
  <c r="AA54" i="2"/>
  <c r="AB54" i="2"/>
  <c r="AK58" i="2"/>
  <c r="W59" i="2"/>
  <c r="AK59" i="2" s="1"/>
  <c r="X59" i="2"/>
  <c r="Y59" i="2"/>
  <c r="W60" i="2"/>
  <c r="AK60" i="2" s="1"/>
  <c r="X60" i="2"/>
  <c r="Y60" i="2"/>
  <c r="W62" i="2"/>
  <c r="AK62" i="2" s="1"/>
  <c r="X62" i="2"/>
  <c r="Y62" i="2"/>
  <c r="A9" i="7" l="1"/>
  <c r="L5" i="6" l="1"/>
  <c r="P332" i="16" l="1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P331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N123" i="8" l="1"/>
  <c r="N122" i="8"/>
  <c r="Q122" i="8" l="1"/>
  <c r="Q123" i="8"/>
  <c r="R123" i="8" s="1"/>
  <c r="AG122" i="8"/>
  <c r="AI122" i="8"/>
  <c r="AJ122" i="8"/>
  <c r="AK122" i="8"/>
  <c r="AL122" i="8"/>
  <c r="AH122" i="8"/>
  <c r="AF122" i="8"/>
  <c r="AK123" i="8"/>
  <c r="AI123" i="8"/>
  <c r="AF123" i="8"/>
  <c r="AL123" i="8"/>
  <c r="AG123" i="8"/>
  <c r="AH123" i="8"/>
  <c r="AJ123" i="8"/>
  <c r="A77" i="7"/>
  <c r="A78" i="7"/>
  <c r="M130" i="8" s="1"/>
  <c r="A83" i="7"/>
  <c r="V130" i="8" l="1"/>
  <c r="Y130" i="8" s="1"/>
  <c r="W130" i="8"/>
  <c r="Z130" i="8" s="1"/>
  <c r="U130" i="8"/>
  <c r="X130" i="8" s="1"/>
  <c r="M132" i="8"/>
  <c r="X80" i="2"/>
  <c r="Y80" i="2"/>
  <c r="X81" i="2"/>
  <c r="Y81" i="2"/>
  <c r="W80" i="2"/>
  <c r="W81" i="2"/>
  <c r="O130" i="8" l="1"/>
  <c r="V132" i="8"/>
  <c r="Y132" i="8" s="1"/>
  <c r="W132" i="8"/>
  <c r="Z132" i="8" s="1"/>
  <c r="U132" i="8"/>
  <c r="X132" i="8" s="1"/>
  <c r="P301" i="16"/>
  <c r="Q301" i="16"/>
  <c r="P302" i="16"/>
  <c r="Q302" i="16"/>
  <c r="P303" i="16"/>
  <c r="Q303" i="16"/>
  <c r="P304" i="16"/>
  <c r="Q304" i="16"/>
  <c r="P305" i="16"/>
  <c r="Q305" i="16"/>
  <c r="P306" i="16"/>
  <c r="Q306" i="16"/>
  <c r="P307" i="16"/>
  <c r="Q307" i="16"/>
  <c r="P308" i="16"/>
  <c r="Q308" i="16"/>
  <c r="P309" i="16"/>
  <c r="Q309" i="16"/>
  <c r="P310" i="16"/>
  <c r="Q310" i="16"/>
  <c r="P311" i="16"/>
  <c r="Q311" i="16"/>
  <c r="P312" i="16"/>
  <c r="Q312" i="16"/>
  <c r="P313" i="16"/>
  <c r="Q313" i="16"/>
  <c r="P314" i="16"/>
  <c r="Q314" i="16"/>
  <c r="P315" i="16"/>
  <c r="Q315" i="16"/>
  <c r="P316" i="16"/>
  <c r="Q316" i="16"/>
  <c r="P317" i="16"/>
  <c r="Q317" i="16"/>
  <c r="P318" i="16"/>
  <c r="Q318" i="16"/>
  <c r="P319" i="16"/>
  <c r="Q319" i="16"/>
  <c r="P320" i="16"/>
  <c r="Q320" i="16"/>
  <c r="P321" i="16"/>
  <c r="Q321" i="16"/>
  <c r="P322" i="16"/>
  <c r="Q322" i="16"/>
  <c r="P323" i="16"/>
  <c r="Q323" i="16"/>
  <c r="P324" i="16"/>
  <c r="Q324" i="16"/>
  <c r="P325" i="16"/>
  <c r="Q325" i="16"/>
  <c r="P326" i="16"/>
  <c r="Q326" i="16"/>
  <c r="P327" i="16"/>
  <c r="Q327" i="16"/>
  <c r="P328" i="16"/>
  <c r="Q328" i="16"/>
  <c r="P329" i="16"/>
  <c r="P330" i="16"/>
  <c r="O132" i="8" l="1"/>
  <c r="J99" i="42"/>
  <c r="O97" i="42"/>
  <c r="L97" i="42"/>
  <c r="M97" i="42" s="1"/>
  <c r="K97" i="42"/>
  <c r="H97" i="42"/>
  <c r="O96" i="42"/>
  <c r="L96" i="42"/>
  <c r="M96" i="42" s="1"/>
  <c r="K96" i="42"/>
  <c r="O95" i="42"/>
  <c r="L95" i="42"/>
  <c r="M95" i="42" s="1"/>
  <c r="K95" i="42"/>
  <c r="H95" i="42"/>
  <c r="O94" i="42"/>
  <c r="M94" i="42"/>
  <c r="K94" i="42"/>
  <c r="K98" i="42" s="1"/>
  <c r="F94" i="42"/>
  <c r="G99" i="42" s="1"/>
  <c r="L93" i="42"/>
  <c r="F93" i="42"/>
  <c r="J89" i="42"/>
  <c r="O87" i="42"/>
  <c r="L87" i="42"/>
  <c r="M87" i="42" s="1"/>
  <c r="K87" i="42"/>
  <c r="H87" i="42"/>
  <c r="O86" i="42"/>
  <c r="O88" i="42" s="1"/>
  <c r="L86" i="42"/>
  <c r="M86" i="42" s="1"/>
  <c r="K86" i="42"/>
  <c r="K88" i="42" s="1"/>
  <c r="H86" i="42"/>
  <c r="F86" i="42"/>
  <c r="G89" i="42" s="1"/>
  <c r="L85" i="42"/>
  <c r="F85" i="42"/>
  <c r="J79" i="42"/>
  <c r="O77" i="42"/>
  <c r="L77" i="42"/>
  <c r="M77" i="42" s="1"/>
  <c r="K77" i="42"/>
  <c r="H77" i="42"/>
  <c r="O76" i="42"/>
  <c r="O78" i="42" s="1"/>
  <c r="M76" i="42"/>
  <c r="K76" i="42"/>
  <c r="K78" i="42" s="1"/>
  <c r="F76" i="42"/>
  <c r="G79" i="42" s="1"/>
  <c r="L75" i="42"/>
  <c r="F75" i="42"/>
  <c r="J71" i="42"/>
  <c r="O69" i="42"/>
  <c r="L69" i="42"/>
  <c r="M69" i="42" s="1"/>
  <c r="K69" i="42"/>
  <c r="H69" i="42"/>
  <c r="O68" i="42"/>
  <c r="L68" i="42"/>
  <c r="M68" i="42" s="1"/>
  <c r="K68" i="42"/>
  <c r="O67" i="42"/>
  <c r="L67" i="42"/>
  <c r="M67" i="42" s="1"/>
  <c r="K67" i="42"/>
  <c r="O66" i="42"/>
  <c r="L66" i="42"/>
  <c r="M66" i="42" s="1"/>
  <c r="K66" i="42"/>
  <c r="H66" i="42"/>
  <c r="O65" i="42"/>
  <c r="L65" i="42"/>
  <c r="M65" i="42" s="1"/>
  <c r="K65" i="42"/>
  <c r="K70" i="42" s="1"/>
  <c r="H65" i="42"/>
  <c r="F65" i="42"/>
  <c r="G71" i="42" s="1"/>
  <c r="L64" i="42"/>
  <c r="F64" i="42"/>
  <c r="J61" i="42"/>
  <c r="O59" i="42"/>
  <c r="L59" i="42"/>
  <c r="M59" i="42" s="1"/>
  <c r="K59" i="42"/>
  <c r="H59" i="42"/>
  <c r="O58" i="42"/>
  <c r="M58" i="42"/>
  <c r="K58" i="42"/>
  <c r="O57" i="42"/>
  <c r="L57" i="42"/>
  <c r="M57" i="42" s="1"/>
  <c r="K57" i="42"/>
  <c r="H57" i="42"/>
  <c r="F57" i="42"/>
  <c r="G61" i="42" s="1"/>
  <c r="L56" i="42"/>
  <c r="F56" i="42"/>
  <c r="J53" i="42"/>
  <c r="O51" i="42"/>
  <c r="L51" i="42"/>
  <c r="M51" i="42" s="1"/>
  <c r="K51" i="42"/>
  <c r="H51" i="42"/>
  <c r="O50" i="42"/>
  <c r="O52" i="42" s="1"/>
  <c r="L50" i="42"/>
  <c r="M50" i="42" s="1"/>
  <c r="K50" i="42"/>
  <c r="H50" i="42"/>
  <c r="O49" i="42"/>
  <c r="L49" i="42"/>
  <c r="M49" i="42" s="1"/>
  <c r="K49" i="42"/>
  <c r="K52" i="42" s="1"/>
  <c r="H49" i="42"/>
  <c r="F49" i="42"/>
  <c r="G53" i="42" s="1"/>
  <c r="L48" i="42"/>
  <c r="F48" i="42"/>
  <c r="J44" i="42"/>
  <c r="O42" i="42"/>
  <c r="L42" i="42"/>
  <c r="M42" i="42" s="1"/>
  <c r="K42" i="42"/>
  <c r="H42" i="42"/>
  <c r="O41" i="42"/>
  <c r="L41" i="42"/>
  <c r="M41" i="42" s="1"/>
  <c r="K41" i="42"/>
  <c r="H41" i="42"/>
  <c r="O40" i="42"/>
  <c r="L40" i="42"/>
  <c r="M40" i="42" s="1"/>
  <c r="K40" i="42"/>
  <c r="H40" i="42"/>
  <c r="F40" i="42"/>
  <c r="G44" i="42" s="1"/>
  <c r="L39" i="42"/>
  <c r="F39" i="42"/>
  <c r="J36" i="42"/>
  <c r="O34" i="42"/>
  <c r="L34" i="42"/>
  <c r="M34" i="42" s="1"/>
  <c r="K34" i="42"/>
  <c r="H34" i="42"/>
  <c r="O33" i="42"/>
  <c r="L33" i="42"/>
  <c r="M33" i="42" s="1"/>
  <c r="K33" i="42"/>
  <c r="H33" i="42"/>
  <c r="O32" i="42"/>
  <c r="L32" i="42"/>
  <c r="M32" i="42" s="1"/>
  <c r="K32" i="42"/>
  <c r="H32" i="42"/>
  <c r="O31" i="42"/>
  <c r="M31" i="42"/>
  <c r="K31" i="42"/>
  <c r="F31" i="42"/>
  <c r="G36" i="42" s="1"/>
  <c r="L30" i="42"/>
  <c r="F30" i="42"/>
  <c r="J27" i="42"/>
  <c r="O25" i="42"/>
  <c r="L25" i="42"/>
  <c r="M25" i="42" s="1"/>
  <c r="K25" i="42"/>
  <c r="H25" i="42"/>
  <c r="O24" i="42"/>
  <c r="O26" i="42" s="1"/>
  <c r="L24" i="42"/>
  <c r="M24" i="42" s="1"/>
  <c r="K24" i="42"/>
  <c r="K26" i="42" s="1"/>
  <c r="H24" i="42"/>
  <c r="O23" i="42"/>
  <c r="M23" i="42"/>
  <c r="K23" i="42"/>
  <c r="F23" i="42"/>
  <c r="G27" i="42" s="1"/>
  <c r="L22" i="42"/>
  <c r="F22" i="42"/>
  <c r="J19" i="42"/>
  <c r="O17" i="42"/>
  <c r="M17" i="42"/>
  <c r="K17" i="42"/>
  <c r="O16" i="42"/>
  <c r="L16" i="42"/>
  <c r="M16" i="42" s="1"/>
  <c r="K16" i="42"/>
  <c r="H16" i="42"/>
  <c r="O15" i="42"/>
  <c r="M15" i="42"/>
  <c r="K15" i="42"/>
  <c r="F15" i="42"/>
  <c r="G19" i="42" s="1"/>
  <c r="L14" i="42"/>
  <c r="F14" i="42"/>
  <c r="J10" i="42"/>
  <c r="O8" i="42"/>
  <c r="L8" i="42"/>
  <c r="M8" i="42" s="1"/>
  <c r="K8" i="42"/>
  <c r="H8" i="42"/>
  <c r="O7" i="42"/>
  <c r="L7" i="42"/>
  <c r="M7" i="42" s="1"/>
  <c r="K7" i="42"/>
  <c r="H7" i="42"/>
  <c r="O6" i="42"/>
  <c r="L6" i="42"/>
  <c r="M6" i="42" s="1"/>
  <c r="K6" i="42"/>
  <c r="H6" i="42"/>
  <c r="O5" i="42"/>
  <c r="L5" i="42"/>
  <c r="M5" i="42" s="1"/>
  <c r="K5" i="42"/>
  <c r="K9" i="42" s="1"/>
  <c r="H5" i="42"/>
  <c r="F5" i="42"/>
  <c r="G10" i="42" s="1"/>
  <c r="L4" i="42"/>
  <c r="F4" i="42"/>
  <c r="M52" i="42" l="1"/>
  <c r="M53" i="42" s="1"/>
  <c r="P53" i="42" s="1"/>
  <c r="O9" i="42"/>
  <c r="K35" i="42"/>
  <c r="K60" i="42"/>
  <c r="M98" i="42"/>
  <c r="M99" i="42" s="1"/>
  <c r="P99" i="42" s="1"/>
  <c r="K18" i="42"/>
  <c r="M35" i="42"/>
  <c r="O70" i="42"/>
  <c r="O98" i="42"/>
  <c r="O35" i="42"/>
  <c r="O18" i="42"/>
  <c r="M88" i="42"/>
  <c r="M89" i="42" s="1"/>
  <c r="P89" i="42" s="1"/>
  <c r="M9" i="42"/>
  <c r="M10" i="42" s="1"/>
  <c r="P10" i="42" s="1"/>
  <c r="O43" i="42"/>
  <c r="M26" i="42"/>
  <c r="M27" i="42" s="1"/>
  <c r="P27" i="42" s="1"/>
  <c r="K43" i="42"/>
  <c r="O60" i="42"/>
  <c r="M78" i="42"/>
  <c r="M79" i="42" s="1"/>
  <c r="P79" i="42" s="1"/>
  <c r="M60" i="42"/>
  <c r="M61" i="42" s="1"/>
  <c r="P61" i="42" s="1"/>
  <c r="M70" i="42"/>
  <c r="M71" i="42" s="1"/>
  <c r="P71" i="42" s="1"/>
  <c r="M18" i="42"/>
  <c r="M43" i="42"/>
  <c r="M44" i="42" l="1"/>
  <c r="P44" i="42" s="1"/>
  <c r="M36" i="42"/>
  <c r="P36" i="42" s="1"/>
  <c r="M19" i="42"/>
  <c r="P19" i="42" s="1"/>
  <c r="F56" i="44" l="1"/>
  <c r="F55" i="44"/>
  <c r="F54" i="44"/>
  <c r="F52" i="44"/>
  <c r="F51" i="44"/>
  <c r="F50" i="44"/>
  <c r="F49" i="44"/>
  <c r="F48" i="44"/>
  <c r="F47" i="44"/>
  <c r="F46" i="44"/>
  <c r="F45" i="44"/>
  <c r="F44" i="44"/>
  <c r="F42" i="44"/>
  <c r="F41" i="44"/>
  <c r="F40" i="44"/>
  <c r="F39" i="44"/>
  <c r="F38" i="44"/>
  <c r="F37" i="44"/>
  <c r="F36" i="44"/>
  <c r="F35" i="44"/>
  <c r="F34" i="44"/>
  <c r="F33" i="44"/>
  <c r="F32" i="44"/>
  <c r="F28" i="44"/>
  <c r="F27" i="44"/>
  <c r="F26" i="44"/>
  <c r="M20" i="44"/>
  <c r="I20" i="44"/>
  <c r="E20" i="44"/>
  <c r="N19" i="44"/>
  <c r="J19" i="44"/>
  <c r="F19" i="44"/>
  <c r="N18" i="44"/>
  <c r="J18" i="44"/>
  <c r="F18" i="44"/>
  <c r="N17" i="44"/>
  <c r="J17" i="44"/>
  <c r="F17" i="44"/>
  <c r="N16" i="44"/>
  <c r="J16" i="44"/>
  <c r="F16" i="44"/>
  <c r="N15" i="44"/>
  <c r="J15" i="44"/>
  <c r="F15" i="44"/>
  <c r="N14" i="44"/>
  <c r="J14" i="44"/>
  <c r="F14" i="44"/>
  <c r="M11" i="44"/>
  <c r="I11" i="44"/>
  <c r="E11" i="44"/>
  <c r="N10" i="44"/>
  <c r="J10" i="44"/>
  <c r="F10" i="44"/>
  <c r="N9" i="44"/>
  <c r="J9" i="44"/>
  <c r="F9" i="44"/>
  <c r="N8" i="44"/>
  <c r="J8" i="44"/>
  <c r="F8" i="44"/>
  <c r="N7" i="44"/>
  <c r="J7" i="44"/>
  <c r="F7" i="44"/>
  <c r="N6" i="44"/>
  <c r="J6" i="44"/>
  <c r="F6" i="44"/>
  <c r="N5" i="44"/>
  <c r="J5" i="44"/>
  <c r="F5" i="44"/>
  <c r="C132" i="42"/>
  <c r="C131" i="42"/>
  <c r="C127" i="42"/>
  <c r="C126" i="42"/>
  <c r="C125" i="42"/>
  <c r="C124" i="42"/>
  <c r="C123" i="42"/>
  <c r="C122" i="42"/>
  <c r="C121" i="42"/>
  <c r="C120" i="42"/>
  <c r="C119" i="42"/>
  <c r="C118" i="42"/>
  <c r="C117" i="42"/>
  <c r="C116" i="42"/>
  <c r="C115" i="42"/>
  <c r="C114" i="42"/>
  <c r="C113" i="42"/>
  <c r="C112" i="42"/>
  <c r="C111" i="42"/>
  <c r="C110" i="42"/>
  <c r="C109" i="42"/>
  <c r="C108" i="42"/>
  <c r="C107" i="42"/>
  <c r="C106" i="42"/>
  <c r="F20" i="44" l="1"/>
  <c r="J20" i="44"/>
  <c r="N20" i="44"/>
  <c r="F11" i="44"/>
  <c r="J11" i="44"/>
  <c r="N11" i="44"/>
  <c r="O11" i="44"/>
  <c r="K23" i="9" l="1"/>
  <c r="P23" i="9" s="1"/>
  <c r="R23" i="9" s="1"/>
  <c r="T23" i="9" s="1"/>
  <c r="U23" i="9" s="1"/>
  <c r="C23" i="9"/>
  <c r="P69" i="16"/>
  <c r="P66" i="16"/>
  <c r="P60" i="16"/>
  <c r="P54" i="16"/>
  <c r="P51" i="16"/>
  <c r="P48" i="16"/>
  <c r="P45" i="16"/>
  <c r="P35" i="16"/>
  <c r="P33" i="16"/>
  <c r="P14" i="16"/>
  <c r="P6" i="16"/>
  <c r="P2" i="16"/>
  <c r="Q2" i="16"/>
  <c r="Q3" i="16"/>
  <c r="P4" i="16"/>
  <c r="Q4" i="16"/>
  <c r="Q5" i="16"/>
  <c r="Q6" i="16"/>
  <c r="P7" i="16"/>
  <c r="Q7" i="16"/>
  <c r="P8" i="16"/>
  <c r="Q8" i="16"/>
  <c r="P9" i="16"/>
  <c r="Q9" i="16"/>
  <c r="P10" i="16"/>
  <c r="Q10" i="16"/>
  <c r="P11" i="16"/>
  <c r="Q11" i="16"/>
  <c r="P12" i="16"/>
  <c r="Q12" i="16"/>
  <c r="P13" i="16"/>
  <c r="Q13" i="16"/>
  <c r="Q14" i="16"/>
  <c r="P15" i="16"/>
  <c r="Q15" i="16"/>
  <c r="P16" i="16"/>
  <c r="Q16" i="16"/>
  <c r="P17" i="16"/>
  <c r="Q17" i="16"/>
  <c r="P18" i="16"/>
  <c r="Q18" i="16"/>
  <c r="P19" i="16"/>
  <c r="Q19" i="16"/>
  <c r="P20" i="16"/>
  <c r="Q20" i="16"/>
  <c r="P21" i="16"/>
  <c r="Q21" i="16"/>
  <c r="P22" i="16"/>
  <c r="Q22" i="16"/>
  <c r="P23" i="16"/>
  <c r="Q23" i="16"/>
  <c r="P24" i="16"/>
  <c r="Q24" i="16"/>
  <c r="P25" i="16"/>
  <c r="Q25" i="16"/>
  <c r="P26" i="16"/>
  <c r="Q26" i="16"/>
  <c r="P27" i="16"/>
  <c r="Q27" i="16"/>
  <c r="P28" i="16"/>
  <c r="Q28" i="16"/>
  <c r="P29" i="16"/>
  <c r="Q29" i="16"/>
  <c r="P30" i="16"/>
  <c r="Q30" i="16"/>
  <c r="P31" i="16"/>
  <c r="Q31" i="16"/>
  <c r="P32" i="16"/>
  <c r="Q32" i="16"/>
  <c r="Q33" i="16"/>
  <c r="P34" i="16"/>
  <c r="Q34" i="16"/>
  <c r="Q35" i="16"/>
  <c r="P36" i="16"/>
  <c r="Q36" i="16"/>
  <c r="P37" i="16"/>
  <c r="Q37" i="16"/>
  <c r="P38" i="16"/>
  <c r="Q38" i="16"/>
  <c r="P39" i="16"/>
  <c r="Q39" i="16"/>
  <c r="P40" i="16"/>
  <c r="Q40" i="16"/>
  <c r="P41" i="16"/>
  <c r="Q41" i="16"/>
  <c r="P42" i="16"/>
  <c r="Q42" i="16"/>
  <c r="P43" i="16"/>
  <c r="Q43" i="16"/>
  <c r="P44" i="16"/>
  <c r="Q44" i="16"/>
  <c r="Q45" i="16"/>
  <c r="P46" i="16"/>
  <c r="Q46" i="16"/>
  <c r="P47" i="16"/>
  <c r="Q47" i="16"/>
  <c r="Q48" i="16"/>
  <c r="P49" i="16"/>
  <c r="Q49" i="16"/>
  <c r="P50" i="16"/>
  <c r="Q50" i="16"/>
  <c r="Q51" i="16"/>
  <c r="P52" i="16"/>
  <c r="Q52" i="16"/>
  <c r="P53" i="16"/>
  <c r="Q53" i="16"/>
  <c r="Q54" i="16"/>
  <c r="P55" i="16"/>
  <c r="Q55" i="16"/>
  <c r="P56" i="16"/>
  <c r="Q56" i="16"/>
  <c r="P57" i="16"/>
  <c r="Q57" i="16"/>
  <c r="P58" i="16"/>
  <c r="Q58" i="16"/>
  <c r="P59" i="16"/>
  <c r="Q59" i="16"/>
  <c r="Q60" i="16"/>
  <c r="P61" i="16"/>
  <c r="Q61" i="16"/>
  <c r="P62" i="16"/>
  <c r="Q62" i="16"/>
  <c r="P63" i="16"/>
  <c r="Q63" i="16"/>
  <c r="P64" i="16"/>
  <c r="Q64" i="16"/>
  <c r="P65" i="16"/>
  <c r="Q65" i="16"/>
  <c r="Q66" i="16"/>
  <c r="P67" i="16"/>
  <c r="Q67" i="16"/>
  <c r="P68" i="16"/>
  <c r="Q68" i="16"/>
  <c r="Q69" i="16"/>
  <c r="P70" i="16"/>
  <c r="Q70" i="16"/>
  <c r="P71" i="16"/>
  <c r="Q71" i="16"/>
  <c r="P72" i="16"/>
  <c r="Q72" i="16"/>
  <c r="P73" i="16"/>
  <c r="Q73" i="16"/>
  <c r="P74" i="16"/>
  <c r="Q74" i="16"/>
  <c r="P75" i="16"/>
  <c r="Q75" i="16"/>
  <c r="P76" i="16"/>
  <c r="Q76" i="16"/>
  <c r="P77" i="16"/>
  <c r="Q77" i="16"/>
  <c r="P78" i="16"/>
  <c r="Q78" i="16"/>
  <c r="P79" i="16"/>
  <c r="Q79" i="16"/>
  <c r="P80" i="16"/>
  <c r="Q80" i="16"/>
  <c r="P81" i="16"/>
  <c r="Q81" i="16"/>
  <c r="AV7" i="7" l="1"/>
  <c r="B135" i="8" l="1"/>
  <c r="B136" i="8"/>
  <c r="B134" i="8"/>
  <c r="B132" i="8"/>
  <c r="B133" i="8"/>
  <c r="B130" i="8"/>
  <c r="B131" i="8"/>
  <c r="AC122" i="8"/>
  <c r="B122" i="8"/>
  <c r="AC123" i="8"/>
  <c r="B123" i="8"/>
  <c r="T67" i="2" l="1"/>
  <c r="R67" i="2"/>
  <c r="P67" i="2"/>
  <c r="V67" i="2" l="1"/>
  <c r="U45" i="9"/>
  <c r="BB90" i="7" l="1"/>
  <c r="BB84" i="7" l="1"/>
  <c r="X50" i="9" l="1"/>
  <c r="Y50" i="9" s="1"/>
  <c r="Z50" i="9" s="1"/>
  <c r="X28" i="9"/>
  <c r="Y28" i="9" s="1"/>
  <c r="Z28" i="9" s="1"/>
  <c r="X13" i="9"/>
  <c r="Y13" i="9" s="1"/>
  <c r="Z13" i="9" s="1"/>
  <c r="X14" i="9"/>
  <c r="Y14" i="9" s="1"/>
  <c r="Z14" i="9" s="1"/>
  <c r="L204" i="6" l="1"/>
  <c r="A75" i="7" l="1"/>
  <c r="A76" i="7"/>
  <c r="W78" i="2"/>
  <c r="X78" i="2"/>
  <c r="Y78" i="2"/>
  <c r="W79" i="2"/>
  <c r="AK79" i="2" s="1"/>
  <c r="X79" i="2"/>
  <c r="Y79" i="2"/>
  <c r="BB14" i="7" l="1"/>
  <c r="BB19" i="7"/>
  <c r="BN22" i="1"/>
  <c r="BN88" i="1" l="1"/>
  <c r="X77" i="2"/>
  <c r="Y77" i="2"/>
  <c r="W77" i="2"/>
  <c r="A74" i="7"/>
  <c r="M126" i="8" s="1"/>
  <c r="V126" i="8" l="1"/>
  <c r="Y126" i="8" s="1"/>
  <c r="W126" i="8"/>
  <c r="Z126" i="8" s="1"/>
  <c r="F44" i="8"/>
  <c r="G44" i="8"/>
  <c r="H44" i="8"/>
  <c r="CT5" i="1"/>
  <c r="CU5" i="1"/>
  <c r="AV5" i="1"/>
  <c r="AV2" i="1" s="1"/>
  <c r="AU5" i="1"/>
  <c r="AU2" i="1" s="1"/>
  <c r="HZ101" i="1"/>
  <c r="HX101" i="1"/>
  <c r="HW101" i="1"/>
  <c r="HV101" i="1"/>
  <c r="HU101" i="1"/>
  <c r="AD48" i="8"/>
  <c r="AE48" i="8"/>
  <c r="AD49" i="8"/>
  <c r="AE49" i="8"/>
  <c r="AD55" i="8"/>
  <c r="AE55" i="8"/>
  <c r="AD56" i="8"/>
  <c r="AE56" i="8"/>
  <c r="O48" i="8"/>
  <c r="P48" i="8"/>
  <c r="Q48" i="8"/>
  <c r="O49" i="8"/>
  <c r="P49" i="8"/>
  <c r="Q49" i="8"/>
  <c r="O55" i="8"/>
  <c r="P55" i="8"/>
  <c r="Q55" i="8"/>
  <c r="O56" i="8"/>
  <c r="P56" i="8"/>
  <c r="Q56" i="8"/>
  <c r="O21" i="9" l="1"/>
  <c r="X21" i="9" s="1"/>
  <c r="Q21" i="9"/>
  <c r="S21" i="9"/>
  <c r="Y21" i="9" l="1"/>
  <c r="Z21" i="9" s="1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W45" i="2" l="1"/>
  <c r="X45" i="2"/>
  <c r="Y45" i="2"/>
  <c r="HT101" i="1"/>
  <c r="HS101" i="1"/>
  <c r="HR101" i="1"/>
  <c r="CS5" i="1"/>
  <c r="AT5" i="1"/>
  <c r="AT2" i="1" s="1"/>
  <c r="F43" i="8"/>
  <c r="G43" i="8"/>
  <c r="H43" i="8"/>
  <c r="O47" i="8"/>
  <c r="P47" i="8"/>
  <c r="Q47" i="8"/>
  <c r="AD47" i="8"/>
  <c r="AE47" i="8"/>
  <c r="AK45" i="2" l="1"/>
  <c r="P217" i="16"/>
  <c r="P218" i="16"/>
  <c r="P219" i="16"/>
  <c r="P220" i="16"/>
  <c r="P221" i="16"/>
  <c r="P222" i="16"/>
  <c r="P223" i="16"/>
  <c r="P224" i="16"/>
  <c r="P225" i="16" l="1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O6" i="9" l="1"/>
  <c r="Q6" i="9"/>
  <c r="S6" i="9"/>
  <c r="O26" i="9" l="1"/>
  <c r="X26" i="9" s="1"/>
  <c r="O29" i="9"/>
  <c r="X29" i="9" s="1"/>
  <c r="Q29" i="9"/>
  <c r="S29" i="9"/>
  <c r="Q26" i="9"/>
  <c r="S26" i="9"/>
  <c r="U13" i="9"/>
  <c r="U14" i="9"/>
  <c r="O20" i="9"/>
  <c r="Q20" i="9"/>
  <c r="S20" i="9"/>
  <c r="X22" i="9"/>
  <c r="Q22" i="9"/>
  <c r="S22" i="9"/>
  <c r="Y22" i="9" l="1"/>
  <c r="Z22" i="9" s="1"/>
  <c r="Y29" i="9"/>
  <c r="Z29" i="9" s="1"/>
  <c r="Y26" i="9"/>
  <c r="Z26" i="9" s="1"/>
  <c r="G11" i="10"/>
  <c r="E11" i="10"/>
  <c r="G26" i="10"/>
  <c r="E26" i="10"/>
  <c r="G10" i="10"/>
  <c r="E10" i="10"/>
  <c r="G5" i="10"/>
  <c r="E5" i="10"/>
  <c r="G9" i="10"/>
  <c r="E9" i="10"/>
  <c r="D9" i="10"/>
  <c r="G3" i="10"/>
  <c r="E3" i="10"/>
  <c r="G8" i="10"/>
  <c r="E8" i="10"/>
  <c r="G7" i="10"/>
  <c r="E7" i="10"/>
  <c r="G2" i="10"/>
  <c r="E2" i="10"/>
  <c r="D2" i="10"/>
  <c r="G16" i="10"/>
  <c r="E16" i="10"/>
  <c r="E25" i="10"/>
  <c r="E24" i="10"/>
  <c r="E15" i="10"/>
  <c r="E14" i="10"/>
  <c r="E23" i="10"/>
  <c r="E30" i="10"/>
  <c r="E22" i="10"/>
  <c r="G13" i="10"/>
  <c r="E13" i="10"/>
  <c r="G4" i="10"/>
  <c r="E4" i="10"/>
  <c r="E29" i="10"/>
  <c r="E21" i="10"/>
  <c r="G6" i="10"/>
  <c r="E6" i="10"/>
  <c r="E28" i="10"/>
  <c r="E20" i="10"/>
  <c r="D20" i="10"/>
  <c r="E19" i="10"/>
  <c r="E27" i="10"/>
  <c r="E18" i="10"/>
  <c r="E12" i="10"/>
  <c r="E17" i="10"/>
  <c r="W109" i="2" l="1"/>
  <c r="X109" i="2"/>
  <c r="Y109" i="2"/>
  <c r="W110" i="2"/>
  <c r="AK110" i="2" s="1"/>
  <c r="X110" i="2"/>
  <c r="Y110" i="2"/>
  <c r="W111" i="2"/>
  <c r="AK111" i="2" s="1"/>
  <c r="X111" i="2"/>
  <c r="Y111" i="2"/>
  <c r="BO95" i="1"/>
  <c r="AU54" i="2"/>
  <c r="AU59" i="2"/>
  <c r="AU60" i="2"/>
  <c r="AU62" i="2"/>
  <c r="AU63" i="2"/>
  <c r="AU65" i="2"/>
  <c r="AU66" i="2"/>
  <c r="A97" i="7"/>
  <c r="HQ101" i="1"/>
  <c r="HP101" i="1"/>
  <c r="HO101" i="1"/>
  <c r="HN101" i="1"/>
  <c r="HM101" i="1"/>
  <c r="HL101" i="1"/>
  <c r="CR5" i="1"/>
  <c r="AS5" i="1"/>
  <c r="AS2" i="1" s="1"/>
  <c r="H42" i="8"/>
  <c r="G42" i="8"/>
  <c r="F42" i="8"/>
  <c r="CQ5" i="1"/>
  <c r="AR5" i="1"/>
  <c r="AR2" i="1" s="1"/>
  <c r="AR101" i="1"/>
  <c r="F41" i="8"/>
  <c r="G41" i="8"/>
  <c r="H41" i="8"/>
  <c r="AK109" i="2" l="1"/>
  <c r="O22" i="8"/>
  <c r="K16" i="9" l="1"/>
  <c r="K22" i="9"/>
  <c r="C41" i="9"/>
  <c r="C27" i="9"/>
  <c r="C19" i="9"/>
  <c r="C13" i="9"/>
  <c r="C7" i="9"/>
  <c r="K9" i="9"/>
  <c r="K31" i="9"/>
  <c r="C47" i="9"/>
  <c r="C40" i="9"/>
  <c r="C32" i="9"/>
  <c r="C26" i="9"/>
  <c r="C18" i="9"/>
  <c r="C12" i="9"/>
  <c r="C22" i="9"/>
  <c r="K7" i="9"/>
  <c r="K21" i="9"/>
  <c r="K29" i="9"/>
  <c r="K26" i="9"/>
  <c r="K32" i="9"/>
  <c r="C31" i="9"/>
  <c r="C11" i="9"/>
  <c r="K19" i="9"/>
  <c r="K33" i="9"/>
  <c r="C44" i="9"/>
  <c r="C30" i="9"/>
  <c r="C16" i="9"/>
  <c r="K6" i="9"/>
  <c r="P6" i="9" s="1"/>
  <c r="R6" i="9" s="1"/>
  <c r="T6" i="9" s="1"/>
  <c r="U6" i="9" s="1"/>
  <c r="K14" i="9"/>
  <c r="K20" i="9"/>
  <c r="K28" i="9"/>
  <c r="C43" i="9"/>
  <c r="C29" i="9"/>
  <c r="C21" i="9"/>
  <c r="C9" i="9"/>
  <c r="Y55" i="8"/>
  <c r="W56" i="8"/>
  <c r="Y56" i="8"/>
  <c r="X56" i="8"/>
  <c r="W49" i="8"/>
  <c r="X49" i="8"/>
  <c r="Y49" i="8"/>
  <c r="W55" i="8"/>
  <c r="X55" i="8"/>
  <c r="Z49" i="8"/>
  <c r="Z48" i="8"/>
  <c r="Y48" i="8"/>
  <c r="AA56" i="8"/>
  <c r="AA49" i="8"/>
  <c r="AA48" i="8"/>
  <c r="Z56" i="8"/>
  <c r="AA55" i="8"/>
  <c r="Z55" i="8"/>
  <c r="Y47" i="8"/>
  <c r="X47" i="8"/>
  <c r="Z47" i="8"/>
  <c r="AA47" i="8"/>
  <c r="B74" i="8"/>
  <c r="B86" i="8"/>
  <c r="B116" i="8"/>
  <c r="B81" i="8"/>
  <c r="B94" i="8"/>
  <c r="B112" i="8"/>
  <c r="B118" i="8"/>
  <c r="B71" i="8"/>
  <c r="B83" i="8"/>
  <c r="B119" i="8"/>
  <c r="B90" i="8"/>
  <c r="B115" i="8"/>
  <c r="B129" i="8"/>
  <c r="P26" i="9" l="1"/>
  <c r="R26" i="9" s="1"/>
  <c r="T26" i="9" s="1"/>
  <c r="P20" i="9"/>
  <c r="R20" i="9" s="1"/>
  <c r="T20" i="9" s="1"/>
  <c r="P29" i="9"/>
  <c r="R29" i="9" s="1"/>
  <c r="T29" i="9" s="1"/>
  <c r="P21" i="9"/>
  <c r="R21" i="9" s="1"/>
  <c r="T21" i="9" s="1"/>
  <c r="P22" i="9"/>
  <c r="R22" i="9" s="1"/>
  <c r="T22" i="9" s="1"/>
  <c r="AB49" i="8"/>
  <c r="AB55" i="8"/>
  <c r="AB56" i="8"/>
  <c r="AQ101" i="7"/>
  <c r="AQ5" i="1"/>
  <c r="AQ101" i="1"/>
  <c r="HK101" i="1"/>
  <c r="HJ101" i="1"/>
  <c r="HI101" i="1"/>
  <c r="CP5" i="1"/>
  <c r="C8" i="9"/>
  <c r="D23" i="9" l="1"/>
  <c r="G23" i="9" s="1"/>
  <c r="D45" i="9"/>
  <c r="D37" i="9"/>
  <c r="D34" i="9"/>
  <c r="D42" i="9"/>
  <c r="D43" i="9"/>
  <c r="D38" i="9"/>
  <c r="D35" i="9"/>
  <c r="D40" i="9"/>
  <c r="D25" i="9"/>
  <c r="D41" i="9"/>
  <c r="D17" i="9"/>
  <c r="U22" i="9"/>
  <c r="U21" i="9"/>
  <c r="U29" i="9"/>
  <c r="U20" i="9"/>
  <c r="U26" i="9"/>
  <c r="AI49" i="8"/>
  <c r="AG55" i="8"/>
  <c r="AG56" i="8"/>
  <c r="AH56" i="8"/>
  <c r="AI55" i="8"/>
  <c r="AG49" i="8"/>
  <c r="AH55" i="8"/>
  <c r="AI56" i="8"/>
  <c r="AH49" i="8"/>
  <c r="AI48" i="8"/>
  <c r="AK49" i="8"/>
  <c r="AJ55" i="8"/>
  <c r="AK48" i="8"/>
  <c r="AH48" i="8"/>
  <c r="AJ56" i="8"/>
  <c r="AJ49" i="8"/>
  <c r="AJ48" i="8"/>
  <c r="AK56" i="8"/>
  <c r="AG48" i="8"/>
  <c r="AK55" i="8"/>
  <c r="D20" i="9"/>
  <c r="D21" i="9"/>
  <c r="D22" i="9"/>
  <c r="AG47" i="8"/>
  <c r="AJ47" i="8"/>
  <c r="AK47" i="8"/>
  <c r="AI47" i="8"/>
  <c r="AH47" i="8"/>
  <c r="D28" i="9"/>
  <c r="D6" i="9"/>
  <c r="D26" i="9"/>
  <c r="D27" i="9"/>
  <c r="D14" i="9"/>
  <c r="D29" i="9"/>
  <c r="D31" i="9"/>
  <c r="D32" i="9"/>
  <c r="D13" i="9"/>
  <c r="D30" i="9"/>
  <c r="D8" i="9"/>
  <c r="D9" i="9"/>
  <c r="D15" i="9"/>
  <c r="D10" i="9"/>
  <c r="AG22" i="8"/>
  <c r="D48" i="9"/>
  <c r="D46" i="9"/>
  <c r="D49" i="9"/>
  <c r="D5" i="9"/>
  <c r="D44" i="9"/>
  <c r="AH22" i="8"/>
  <c r="D7" i="9"/>
  <c r="AD4" i="8"/>
  <c r="AJ4" i="8" s="1"/>
  <c r="AE4" i="8"/>
  <c r="AK4" i="8" s="1"/>
  <c r="AD5" i="8"/>
  <c r="AE5" i="8"/>
  <c r="AD6" i="8"/>
  <c r="AJ6" i="8" s="1"/>
  <c r="AE6" i="8"/>
  <c r="AK6" i="8" s="1"/>
  <c r="AD7" i="8"/>
  <c r="AJ7" i="8" s="1"/>
  <c r="AE7" i="8"/>
  <c r="AK7" i="8" s="1"/>
  <c r="AD8" i="8"/>
  <c r="AJ8" i="8" s="1"/>
  <c r="AE8" i="8"/>
  <c r="AK8" i="8" s="1"/>
  <c r="AD9" i="8"/>
  <c r="AJ9" i="8" s="1"/>
  <c r="AE9" i="8"/>
  <c r="AK9" i="8" s="1"/>
  <c r="AD10" i="8"/>
  <c r="AJ10" i="8" s="1"/>
  <c r="AE10" i="8"/>
  <c r="AK10" i="8" s="1"/>
  <c r="AD11" i="8"/>
  <c r="AJ11" i="8" s="1"/>
  <c r="AE11" i="8"/>
  <c r="AK11" i="8" s="1"/>
  <c r="AD12" i="8"/>
  <c r="AJ12" i="8" s="1"/>
  <c r="AE12" i="8"/>
  <c r="AK12" i="8" s="1"/>
  <c r="AD13" i="8"/>
  <c r="AJ13" i="8" s="1"/>
  <c r="AE13" i="8"/>
  <c r="AK13" i="8" s="1"/>
  <c r="AD14" i="8"/>
  <c r="AJ14" i="8" s="1"/>
  <c r="AE14" i="8"/>
  <c r="AK14" i="8" s="1"/>
  <c r="AD15" i="8"/>
  <c r="AJ15" i="8" s="1"/>
  <c r="AE15" i="8"/>
  <c r="AK15" i="8" s="1"/>
  <c r="AD16" i="8"/>
  <c r="AJ16" i="8" s="1"/>
  <c r="AE16" i="8"/>
  <c r="AK16" i="8" s="1"/>
  <c r="AD17" i="8"/>
  <c r="AJ17" i="8" s="1"/>
  <c r="AE17" i="8"/>
  <c r="AK17" i="8" s="1"/>
  <c r="AD18" i="8"/>
  <c r="AJ18" i="8" s="1"/>
  <c r="AE18" i="8"/>
  <c r="AK18" i="8" s="1"/>
  <c r="AD19" i="8"/>
  <c r="AJ19" i="8" s="1"/>
  <c r="AE19" i="8"/>
  <c r="AK19" i="8" s="1"/>
  <c r="AD20" i="8"/>
  <c r="AJ20" i="8" s="1"/>
  <c r="AE20" i="8"/>
  <c r="AK20" i="8" s="1"/>
  <c r="AD21" i="8"/>
  <c r="AJ21" i="8" s="1"/>
  <c r="AE21" i="8"/>
  <c r="AK21" i="8" s="1"/>
  <c r="AD22" i="8"/>
  <c r="AJ22" i="8" s="1"/>
  <c r="AE22" i="8"/>
  <c r="AK22" i="8" s="1"/>
  <c r="AD23" i="8"/>
  <c r="AJ23" i="8" s="1"/>
  <c r="AE23" i="8"/>
  <c r="AK23" i="8" s="1"/>
  <c r="AD24" i="8"/>
  <c r="AJ24" i="8" s="1"/>
  <c r="AE24" i="8"/>
  <c r="AK24" i="8" s="1"/>
  <c r="AD25" i="8"/>
  <c r="AJ25" i="8" s="1"/>
  <c r="AE25" i="8"/>
  <c r="AK25" i="8" s="1"/>
  <c r="AD26" i="8"/>
  <c r="AJ26" i="8" s="1"/>
  <c r="AE26" i="8"/>
  <c r="AK26" i="8" s="1"/>
  <c r="AD27" i="8"/>
  <c r="AJ27" i="8" s="1"/>
  <c r="AE27" i="8"/>
  <c r="AK27" i="8" s="1"/>
  <c r="AD28" i="8"/>
  <c r="AJ28" i="8" s="1"/>
  <c r="AE28" i="8"/>
  <c r="AK28" i="8" s="1"/>
  <c r="AD29" i="8"/>
  <c r="AJ29" i="8" s="1"/>
  <c r="AE29" i="8"/>
  <c r="AK29" i="8" s="1"/>
  <c r="AD30" i="8"/>
  <c r="AJ30" i="8" s="1"/>
  <c r="AE30" i="8"/>
  <c r="AK30" i="8" s="1"/>
  <c r="AD31" i="8"/>
  <c r="AJ31" i="8" s="1"/>
  <c r="AE31" i="8"/>
  <c r="AK31" i="8" s="1"/>
  <c r="AD32" i="8"/>
  <c r="AJ32" i="8" s="1"/>
  <c r="AE32" i="8"/>
  <c r="AK32" i="8" s="1"/>
  <c r="AD33" i="8"/>
  <c r="AJ33" i="8" s="1"/>
  <c r="AE33" i="8"/>
  <c r="AK33" i="8" s="1"/>
  <c r="AD34" i="8"/>
  <c r="AJ34" i="8" s="1"/>
  <c r="AE34" i="8"/>
  <c r="AK34" i="8" s="1"/>
  <c r="AD35" i="8"/>
  <c r="AJ35" i="8" s="1"/>
  <c r="AE35" i="8"/>
  <c r="AK35" i="8" s="1"/>
  <c r="AD36" i="8"/>
  <c r="AJ36" i="8" s="1"/>
  <c r="AE36" i="8"/>
  <c r="AK36" i="8" s="1"/>
  <c r="AD37" i="8"/>
  <c r="AJ37" i="8" s="1"/>
  <c r="AE37" i="8"/>
  <c r="AK37" i="8" s="1"/>
  <c r="AD38" i="8"/>
  <c r="AJ38" i="8" s="1"/>
  <c r="AE38" i="8"/>
  <c r="AK38" i="8" s="1"/>
  <c r="AD39" i="8"/>
  <c r="AJ39" i="8" s="1"/>
  <c r="AE39" i="8"/>
  <c r="AK39" i="8" s="1"/>
  <c r="AD40" i="8"/>
  <c r="AJ40" i="8" s="1"/>
  <c r="AE40" i="8"/>
  <c r="AK40" i="8" s="1"/>
  <c r="AD41" i="8"/>
  <c r="AJ41" i="8" s="1"/>
  <c r="AE41" i="8"/>
  <c r="AK41" i="8" s="1"/>
  <c r="AD42" i="8"/>
  <c r="AJ42" i="8" s="1"/>
  <c r="AE42" i="8"/>
  <c r="AK42" i="8" s="1"/>
  <c r="AD43" i="8"/>
  <c r="AJ43" i="8" s="1"/>
  <c r="AE43" i="8"/>
  <c r="AK43" i="8" s="1"/>
  <c r="AD44" i="8"/>
  <c r="AJ44" i="8" s="1"/>
  <c r="AE44" i="8"/>
  <c r="AK44" i="8" s="1"/>
  <c r="AD45" i="8"/>
  <c r="AJ45" i="8" s="1"/>
  <c r="AE45" i="8"/>
  <c r="AK45" i="8" s="1"/>
  <c r="AD46" i="8"/>
  <c r="AJ46" i="8" s="1"/>
  <c r="AE46" i="8"/>
  <c r="AK46" i="8" s="1"/>
  <c r="AE3" i="8"/>
  <c r="AK3" i="8" s="1"/>
  <c r="AD3" i="8"/>
  <c r="AJ3" i="8" s="1"/>
  <c r="N116" i="8"/>
  <c r="N117" i="8"/>
  <c r="N118" i="8"/>
  <c r="N119" i="8"/>
  <c r="N120" i="8"/>
  <c r="N121" i="8"/>
  <c r="N124" i="8"/>
  <c r="N125" i="8"/>
  <c r="N126" i="8"/>
  <c r="N127" i="8"/>
  <c r="N128" i="8"/>
  <c r="N129" i="8"/>
  <c r="N61" i="8"/>
  <c r="N62" i="8"/>
  <c r="N63" i="8"/>
  <c r="N64" i="8"/>
  <c r="N65" i="8"/>
  <c r="N66" i="8"/>
  <c r="N67" i="8"/>
  <c r="N68" i="8"/>
  <c r="N69" i="8"/>
  <c r="N70" i="8"/>
  <c r="N71" i="8"/>
  <c r="N72" i="8"/>
  <c r="N74" i="8"/>
  <c r="N75" i="8"/>
  <c r="N76" i="8"/>
  <c r="N77" i="8"/>
  <c r="N78" i="8"/>
  <c r="N79" i="8"/>
  <c r="N80" i="8"/>
  <c r="N81" i="8"/>
  <c r="N82" i="8"/>
  <c r="N83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60" i="8"/>
  <c r="P110" i="8" l="1"/>
  <c r="P102" i="8"/>
  <c r="P94" i="8"/>
  <c r="AE60" i="8"/>
  <c r="AG60" i="8"/>
  <c r="Q60" i="8"/>
  <c r="P86" i="8"/>
  <c r="AH61" i="8"/>
  <c r="P61" i="8"/>
  <c r="P120" i="8"/>
  <c r="P109" i="8"/>
  <c r="P101" i="8"/>
  <c r="P93" i="8"/>
  <c r="P85" i="8"/>
  <c r="P77" i="8"/>
  <c r="P68" i="8"/>
  <c r="P129" i="8"/>
  <c r="P119" i="8"/>
  <c r="P78" i="8"/>
  <c r="P92" i="8"/>
  <c r="P128" i="8"/>
  <c r="P115" i="8"/>
  <c r="P107" i="8"/>
  <c r="P99" i="8"/>
  <c r="P91" i="8"/>
  <c r="P83" i="8"/>
  <c r="P75" i="8"/>
  <c r="P66" i="8"/>
  <c r="P127" i="8"/>
  <c r="P117" i="8"/>
  <c r="P108" i="8"/>
  <c r="P67" i="8"/>
  <c r="P114" i="8"/>
  <c r="P106" i="8"/>
  <c r="P98" i="8"/>
  <c r="P90" i="8"/>
  <c r="P82" i="8"/>
  <c r="P74" i="8"/>
  <c r="P65" i="8"/>
  <c r="P126" i="8"/>
  <c r="P116" i="8"/>
  <c r="P100" i="8"/>
  <c r="P118" i="8"/>
  <c r="P113" i="8"/>
  <c r="P105" i="8"/>
  <c r="P97" i="8"/>
  <c r="P89" i="8"/>
  <c r="P81" i="8"/>
  <c r="P72" i="8"/>
  <c r="P64" i="8"/>
  <c r="P125" i="8"/>
  <c r="P69" i="8"/>
  <c r="P73" i="8"/>
  <c r="P148" i="8"/>
  <c r="P133" i="8"/>
  <c r="P134" i="8"/>
  <c r="P144" i="8"/>
  <c r="P145" i="8"/>
  <c r="P132" i="8"/>
  <c r="P137" i="8"/>
  <c r="P146" i="8"/>
  <c r="P143" i="8"/>
  <c r="P147" i="8"/>
  <c r="P130" i="8"/>
  <c r="P131" i="8"/>
  <c r="P141" i="8"/>
  <c r="P136" i="8"/>
  <c r="P138" i="8"/>
  <c r="P139" i="8"/>
  <c r="P142" i="8"/>
  <c r="P140" i="8"/>
  <c r="P135" i="8"/>
  <c r="P122" i="8"/>
  <c r="P123" i="8"/>
  <c r="P76" i="8"/>
  <c r="P112" i="8"/>
  <c r="P104" i="8"/>
  <c r="P96" i="8"/>
  <c r="P88" i="8"/>
  <c r="P80" i="8"/>
  <c r="P71" i="8"/>
  <c r="P63" i="8"/>
  <c r="P124" i="8"/>
  <c r="P84" i="8"/>
  <c r="P111" i="8"/>
  <c r="P103" i="8"/>
  <c r="P95" i="8"/>
  <c r="P87" i="8"/>
  <c r="P79" i="8"/>
  <c r="P70" i="8"/>
  <c r="P62" i="8"/>
  <c r="P121" i="8"/>
  <c r="P60" i="8"/>
  <c r="AI60" i="8"/>
  <c r="Q77" i="8"/>
  <c r="R77" i="8" s="1"/>
  <c r="Q108" i="8"/>
  <c r="R108" i="8" s="1"/>
  <c r="Q100" i="8"/>
  <c r="R100" i="8" s="1"/>
  <c r="Q92" i="8"/>
  <c r="R92" i="8" s="1"/>
  <c r="Q84" i="8"/>
  <c r="R84" i="8" s="1"/>
  <c r="Q76" i="8"/>
  <c r="R76" i="8" s="1"/>
  <c r="Q68" i="8"/>
  <c r="Q129" i="8"/>
  <c r="Q119" i="8"/>
  <c r="Q109" i="8"/>
  <c r="R109" i="8" s="1"/>
  <c r="Q120" i="8"/>
  <c r="R120" i="8" s="1"/>
  <c r="Q115" i="8"/>
  <c r="R115" i="8" s="1"/>
  <c r="Q107" i="8"/>
  <c r="Q99" i="8"/>
  <c r="R99" i="8" s="1"/>
  <c r="Q91" i="8"/>
  <c r="R91" i="8" s="1"/>
  <c r="Q83" i="8"/>
  <c r="R83" i="8" s="1"/>
  <c r="Q75" i="8"/>
  <c r="R75" i="8" s="1"/>
  <c r="Q67" i="8"/>
  <c r="R67" i="8" s="1"/>
  <c r="Q128" i="8"/>
  <c r="Q118" i="8"/>
  <c r="Q93" i="8"/>
  <c r="R93" i="8" s="1"/>
  <c r="Q114" i="8"/>
  <c r="R114" i="8" s="1"/>
  <c r="Q106" i="8"/>
  <c r="Q98" i="8"/>
  <c r="R98" i="8" s="1"/>
  <c r="Q90" i="8"/>
  <c r="Q82" i="8"/>
  <c r="Q74" i="8"/>
  <c r="R74" i="8" s="1"/>
  <c r="Q66" i="8"/>
  <c r="R66" i="8" s="1"/>
  <c r="Q127" i="8"/>
  <c r="R127" i="8" s="1"/>
  <c r="Q117" i="8"/>
  <c r="R117" i="8" s="1"/>
  <c r="Q101" i="8"/>
  <c r="R101" i="8" s="1"/>
  <c r="Q113" i="8"/>
  <c r="R113" i="8" s="1"/>
  <c r="Q105" i="8"/>
  <c r="R105" i="8" s="1"/>
  <c r="Q97" i="8"/>
  <c r="R97" i="8" s="1"/>
  <c r="Q89" i="8"/>
  <c r="R89" i="8" s="1"/>
  <c r="Q81" i="8"/>
  <c r="Q73" i="8"/>
  <c r="R73" i="8" s="1"/>
  <c r="Q65" i="8"/>
  <c r="R65" i="8" s="1"/>
  <c r="Q126" i="8"/>
  <c r="R126" i="8" s="1"/>
  <c r="Q116" i="8"/>
  <c r="R116" i="8" s="1"/>
  <c r="Q69" i="8"/>
  <c r="R69" i="8" s="1"/>
  <c r="Q112" i="8"/>
  <c r="R112" i="8" s="1"/>
  <c r="Q104" i="8"/>
  <c r="Q96" i="8"/>
  <c r="R96" i="8" s="1"/>
  <c r="Q88" i="8"/>
  <c r="R88" i="8" s="1"/>
  <c r="Q80" i="8"/>
  <c r="R80" i="8" s="1"/>
  <c r="Q72" i="8"/>
  <c r="R72" i="8" s="1"/>
  <c r="Q64" i="8"/>
  <c r="R64" i="8" s="1"/>
  <c r="Q125" i="8"/>
  <c r="Q85" i="8"/>
  <c r="Q111" i="8"/>
  <c r="R111" i="8" s="1"/>
  <c r="Q103" i="8"/>
  <c r="Q95" i="8"/>
  <c r="R95" i="8" s="1"/>
  <c r="Q87" i="8"/>
  <c r="R87" i="8" s="1"/>
  <c r="Q79" i="8"/>
  <c r="R79" i="8" s="1"/>
  <c r="Q71" i="8"/>
  <c r="Q63" i="8"/>
  <c r="R63" i="8" s="1"/>
  <c r="Q124" i="8"/>
  <c r="R124" i="8" s="1"/>
  <c r="Q61" i="8"/>
  <c r="Q110" i="8"/>
  <c r="Q102" i="8"/>
  <c r="R102" i="8" s="1"/>
  <c r="Q94" i="8"/>
  <c r="R94" i="8" s="1"/>
  <c r="Q86" i="8"/>
  <c r="Q78" i="8"/>
  <c r="R78" i="8" s="1"/>
  <c r="Q70" i="8"/>
  <c r="R70" i="8" s="1"/>
  <c r="Q62" i="8"/>
  <c r="R62" i="8" s="1"/>
  <c r="Q121" i="8"/>
  <c r="R121" i="8" s="1"/>
  <c r="L70" i="23"/>
  <c r="L71" i="23"/>
  <c r="L73" i="23"/>
  <c r="L69" i="23"/>
  <c r="L72" i="23"/>
  <c r="L68" i="23"/>
  <c r="L102" i="23"/>
  <c r="L103" i="23"/>
  <c r="L104" i="23"/>
  <c r="L105" i="23"/>
  <c r="L107" i="23"/>
  <c r="L106" i="23"/>
  <c r="AC92" i="8"/>
  <c r="L119" i="23"/>
  <c r="L78" i="23"/>
  <c r="L99" i="23"/>
  <c r="L100" i="23"/>
  <c r="L101" i="23"/>
  <c r="L80" i="23"/>
  <c r="L79" i="23"/>
  <c r="L84" i="23"/>
  <c r="L86" i="23"/>
  <c r="L90" i="23"/>
  <c r="L81" i="23"/>
  <c r="L85" i="23"/>
  <c r="L89" i="23"/>
  <c r="L82" i="23"/>
  <c r="L88" i="23"/>
  <c r="L92" i="23"/>
  <c r="L94" i="23"/>
  <c r="L83" i="23"/>
  <c r="L87" i="23"/>
  <c r="L91" i="23"/>
  <c r="L93" i="23"/>
  <c r="L98" i="23"/>
  <c r="L97" i="23"/>
  <c r="L95" i="23"/>
  <c r="L96" i="23"/>
  <c r="L67" i="23"/>
  <c r="L59" i="23"/>
  <c r="L63" i="23"/>
  <c r="L60" i="23"/>
  <c r="L61" i="23"/>
  <c r="L58" i="23"/>
  <c r="L66" i="23"/>
  <c r="L62" i="23"/>
  <c r="L64" i="23"/>
  <c r="L65" i="23"/>
  <c r="AG129" i="8"/>
  <c r="AH129" i="8"/>
  <c r="AF129" i="8"/>
  <c r="AI129" i="8"/>
  <c r="AK129" i="8"/>
  <c r="AL129" i="8"/>
  <c r="AI128" i="8"/>
  <c r="AK128" i="8"/>
  <c r="AG128" i="8"/>
  <c r="AH128" i="8"/>
  <c r="AF128" i="8"/>
  <c r="AL128" i="8"/>
  <c r="AK127" i="8"/>
  <c r="AF127" i="8"/>
  <c r="AL127" i="8"/>
  <c r="AG127" i="8"/>
  <c r="AI127" i="8"/>
  <c r="AJ127" i="8"/>
  <c r="AH127" i="8"/>
  <c r="AG126" i="8"/>
  <c r="AF126" i="8"/>
  <c r="AH126" i="8"/>
  <c r="AI126" i="8"/>
  <c r="AK126" i="8"/>
  <c r="AL126" i="8"/>
  <c r="AJ126" i="8"/>
  <c r="AI125" i="8"/>
  <c r="AJ125" i="8"/>
  <c r="AK125" i="8"/>
  <c r="AG125" i="8"/>
  <c r="AF125" i="8"/>
  <c r="AL125" i="8"/>
  <c r="AH125" i="8"/>
  <c r="AK124" i="8"/>
  <c r="AF124" i="8"/>
  <c r="AL124" i="8"/>
  <c r="AG124" i="8"/>
  <c r="AI124" i="8"/>
  <c r="AJ124" i="8"/>
  <c r="AH124" i="8"/>
  <c r="AJ5" i="8"/>
  <c r="Z5" i="8"/>
  <c r="AK5" i="8"/>
  <c r="AA5" i="8"/>
  <c r="AL49" i="8"/>
  <c r="AU67" i="2" s="1"/>
  <c r="AL56" i="8"/>
  <c r="AL55" i="8"/>
  <c r="AU46" i="2" s="1"/>
  <c r="AL48" i="8"/>
  <c r="AU20" i="2" s="1"/>
  <c r="AL47" i="8"/>
  <c r="AU45" i="2" s="1"/>
  <c r="AH120" i="8"/>
  <c r="AK120" i="8"/>
  <c r="AL120" i="8"/>
  <c r="AF120" i="8"/>
  <c r="AJ120" i="8"/>
  <c r="AG120" i="8"/>
  <c r="AK117" i="8"/>
  <c r="AF117" i="8"/>
  <c r="AL117" i="8"/>
  <c r="AG117" i="8"/>
  <c r="AH117" i="8"/>
  <c r="AK111" i="8"/>
  <c r="AF111" i="8"/>
  <c r="AL111" i="8"/>
  <c r="AG111" i="8"/>
  <c r="AH111" i="8"/>
  <c r="AI102" i="8"/>
  <c r="AJ102" i="8"/>
  <c r="AK102" i="8"/>
  <c r="AL102" i="8"/>
  <c r="AK93" i="8"/>
  <c r="AF93" i="8"/>
  <c r="AL93" i="8"/>
  <c r="AG93" i="8"/>
  <c r="AH93" i="8"/>
  <c r="AI93" i="8"/>
  <c r="AJ93" i="8"/>
  <c r="AH84" i="8"/>
  <c r="AI84" i="8"/>
  <c r="AJ84" i="8"/>
  <c r="AK84" i="8"/>
  <c r="AF84" i="8"/>
  <c r="AG84" i="8"/>
  <c r="AL84" i="8"/>
  <c r="AK75" i="8"/>
  <c r="AF75" i="8"/>
  <c r="AL75" i="8"/>
  <c r="AG75" i="8"/>
  <c r="AH75" i="8"/>
  <c r="AI75" i="8"/>
  <c r="AJ75" i="8"/>
  <c r="AK69" i="8"/>
  <c r="AF69" i="8"/>
  <c r="AL69" i="8"/>
  <c r="AG69" i="8"/>
  <c r="AH69" i="8"/>
  <c r="AI69" i="8"/>
  <c r="AJ69" i="8"/>
  <c r="AH114" i="8"/>
  <c r="AK114" i="8"/>
  <c r="AF114" i="8"/>
  <c r="AG114" i="8"/>
  <c r="AL114" i="8"/>
  <c r="AH108" i="8"/>
  <c r="AI108" i="8"/>
  <c r="AJ108" i="8"/>
  <c r="AK108" i="8"/>
  <c r="AL108" i="8"/>
  <c r="AG108" i="8"/>
  <c r="AF108" i="8"/>
  <c r="AK105" i="8"/>
  <c r="AL105" i="8"/>
  <c r="AG105" i="8"/>
  <c r="AI105" i="8"/>
  <c r="AJ105" i="8"/>
  <c r="AK99" i="8"/>
  <c r="AF99" i="8"/>
  <c r="AL99" i="8"/>
  <c r="AI99" i="8"/>
  <c r="AJ99" i="8"/>
  <c r="AH96" i="8"/>
  <c r="AI96" i="8"/>
  <c r="AJ96" i="8"/>
  <c r="AK96" i="8"/>
  <c r="AF96" i="8"/>
  <c r="AG96" i="8"/>
  <c r="AL96" i="8"/>
  <c r="AH90" i="8"/>
  <c r="AI90" i="8"/>
  <c r="AJ90" i="8"/>
  <c r="AK90" i="8"/>
  <c r="AL90" i="8"/>
  <c r="AF90" i="8"/>
  <c r="AK87" i="8"/>
  <c r="AF87" i="8"/>
  <c r="AL87" i="8"/>
  <c r="AG87" i="8"/>
  <c r="AH87" i="8"/>
  <c r="AI87" i="8"/>
  <c r="AJ87" i="8"/>
  <c r="AK81" i="8"/>
  <c r="AL81" i="8"/>
  <c r="AG81" i="8"/>
  <c r="AH81" i="8"/>
  <c r="AI81" i="8"/>
  <c r="AJ81" i="8"/>
  <c r="AH78" i="8"/>
  <c r="AI78" i="8"/>
  <c r="AJ78" i="8"/>
  <c r="AK78" i="8"/>
  <c r="AF78" i="8"/>
  <c r="AG78" i="8"/>
  <c r="AL78" i="8"/>
  <c r="AH72" i="8"/>
  <c r="AI72" i="8"/>
  <c r="AJ72" i="8"/>
  <c r="AK72" i="8"/>
  <c r="AL72" i="8"/>
  <c r="AF72" i="8"/>
  <c r="AG72" i="8"/>
  <c r="AH66" i="8"/>
  <c r="AI66" i="8"/>
  <c r="AJ66" i="8"/>
  <c r="AK66" i="8"/>
  <c r="AF66" i="8"/>
  <c r="AG66" i="8"/>
  <c r="AL66" i="8"/>
  <c r="AK63" i="8"/>
  <c r="AF63" i="8"/>
  <c r="AL63" i="8"/>
  <c r="AG63" i="8"/>
  <c r="AH63" i="8"/>
  <c r="AI63" i="8"/>
  <c r="AJ63" i="8"/>
  <c r="AF119" i="8"/>
  <c r="AL119" i="8"/>
  <c r="AG119" i="8"/>
  <c r="AH119" i="8"/>
  <c r="AK119" i="8"/>
  <c r="AF116" i="8"/>
  <c r="AL116" i="8"/>
  <c r="AG116" i="8"/>
  <c r="AH116" i="8"/>
  <c r="AK116" i="8"/>
  <c r="AK113" i="8"/>
  <c r="AF113" i="8"/>
  <c r="AL113" i="8"/>
  <c r="AG113" i="8"/>
  <c r="AH113" i="8"/>
  <c r="AF110" i="8"/>
  <c r="AL110" i="8"/>
  <c r="AG110" i="8"/>
  <c r="AH110" i="8"/>
  <c r="AJ110" i="8"/>
  <c r="AK110" i="8"/>
  <c r="AI107" i="8"/>
  <c r="AJ107" i="8"/>
  <c r="AK107" i="8"/>
  <c r="AL107" i="8"/>
  <c r="AG107" i="8"/>
  <c r="AH107" i="8"/>
  <c r="AL104" i="8"/>
  <c r="AI104" i="8"/>
  <c r="AJ104" i="8"/>
  <c r="AK104" i="8"/>
  <c r="AI101" i="8"/>
  <c r="AJ101" i="8"/>
  <c r="AK101" i="8"/>
  <c r="AF101" i="8"/>
  <c r="AL101" i="8"/>
  <c r="AF98" i="8"/>
  <c r="AL98" i="8"/>
  <c r="AG98" i="8"/>
  <c r="AI98" i="8"/>
  <c r="AJ98" i="8"/>
  <c r="AK98" i="8"/>
  <c r="AI95" i="8"/>
  <c r="AJ95" i="8"/>
  <c r="AK95" i="8"/>
  <c r="AF95" i="8"/>
  <c r="AL95" i="8"/>
  <c r="AG95" i="8"/>
  <c r="AH95" i="8"/>
  <c r="AF92" i="8"/>
  <c r="AL92" i="8"/>
  <c r="AG92" i="8"/>
  <c r="AH92" i="8"/>
  <c r="AI92" i="8"/>
  <c r="AK92" i="8"/>
  <c r="AJ92" i="8"/>
  <c r="AI89" i="8"/>
  <c r="AJ89" i="8"/>
  <c r="AK89" i="8"/>
  <c r="AF89" i="8"/>
  <c r="AL89" i="8"/>
  <c r="AH89" i="8"/>
  <c r="AF86" i="8"/>
  <c r="AL86" i="8"/>
  <c r="AG86" i="8"/>
  <c r="AH86" i="8"/>
  <c r="AI86" i="8"/>
  <c r="AJ86" i="8"/>
  <c r="AK86" i="8"/>
  <c r="AI83" i="8"/>
  <c r="AJ83" i="8"/>
  <c r="AK83" i="8"/>
  <c r="AF83" i="8"/>
  <c r="AL83" i="8"/>
  <c r="AG83" i="8"/>
  <c r="AH83" i="8"/>
  <c r="AF80" i="8"/>
  <c r="AL80" i="8"/>
  <c r="AG80" i="8"/>
  <c r="AH80" i="8"/>
  <c r="AI80" i="8"/>
  <c r="AJ80" i="8"/>
  <c r="AK80" i="8"/>
  <c r="AI77" i="8"/>
  <c r="AJ77" i="8"/>
  <c r="AK77" i="8"/>
  <c r="AF77" i="8"/>
  <c r="AL77" i="8"/>
  <c r="AG77" i="8"/>
  <c r="AH77" i="8"/>
  <c r="AF74" i="8"/>
  <c r="AL74" i="8"/>
  <c r="AG74" i="8"/>
  <c r="AH74" i="8"/>
  <c r="AI74" i="8"/>
  <c r="AJ74" i="8"/>
  <c r="AK74" i="8"/>
  <c r="AI71" i="8"/>
  <c r="AJ71" i="8"/>
  <c r="AK71" i="8"/>
  <c r="AF71" i="8"/>
  <c r="AL71" i="8"/>
  <c r="AG71" i="8"/>
  <c r="AH71" i="8"/>
  <c r="AF68" i="8"/>
  <c r="AL68" i="8"/>
  <c r="AG68" i="8"/>
  <c r="AH68" i="8"/>
  <c r="AI68" i="8"/>
  <c r="AJ68" i="8"/>
  <c r="AK68" i="8"/>
  <c r="AI65" i="8"/>
  <c r="AJ65" i="8"/>
  <c r="AK65" i="8"/>
  <c r="AF65" i="8"/>
  <c r="AL65" i="8"/>
  <c r="AG65" i="8"/>
  <c r="AH65" i="8"/>
  <c r="AF62" i="8"/>
  <c r="AL62" i="8"/>
  <c r="AG62" i="8"/>
  <c r="AH62" i="8"/>
  <c r="AI62" i="8"/>
  <c r="AJ62" i="8"/>
  <c r="AK62" i="8"/>
  <c r="AG121" i="8"/>
  <c r="AH121" i="8"/>
  <c r="AJ121" i="8"/>
  <c r="AF121" i="8"/>
  <c r="AI121" i="8"/>
  <c r="AK121" i="8"/>
  <c r="AL121" i="8"/>
  <c r="AK118" i="8"/>
  <c r="AF118" i="8"/>
  <c r="AL118" i="8"/>
  <c r="AG118" i="8"/>
  <c r="AH118" i="8"/>
  <c r="AG115" i="8"/>
  <c r="AH115" i="8"/>
  <c r="AF115" i="8"/>
  <c r="AL115" i="8"/>
  <c r="AK115" i="8"/>
  <c r="AK112" i="8"/>
  <c r="AF112" i="8"/>
  <c r="AL112" i="8"/>
  <c r="AG112" i="8"/>
  <c r="AH112" i="8"/>
  <c r="AG109" i="8"/>
  <c r="AH109" i="8"/>
  <c r="AI109" i="8"/>
  <c r="AJ109" i="8"/>
  <c r="AF109" i="8"/>
  <c r="AK109" i="8"/>
  <c r="AL109" i="8"/>
  <c r="AJ106" i="8"/>
  <c r="AK106" i="8"/>
  <c r="AL106" i="8"/>
  <c r="AG106" i="8"/>
  <c r="AI106" i="8"/>
  <c r="AI103" i="8"/>
  <c r="AJ103" i="8"/>
  <c r="AK103" i="8"/>
  <c r="AL103" i="8"/>
  <c r="AJ100" i="8"/>
  <c r="AK100" i="8"/>
  <c r="AF100" i="8"/>
  <c r="AL100" i="8"/>
  <c r="AI100" i="8"/>
  <c r="AG97" i="8"/>
  <c r="AH97" i="8"/>
  <c r="AI97" i="8"/>
  <c r="AJ97" i="8"/>
  <c r="AF97" i="8"/>
  <c r="AK97" i="8"/>
  <c r="AL97" i="8"/>
  <c r="AJ94" i="8"/>
  <c r="AK94" i="8"/>
  <c r="AF94" i="8"/>
  <c r="AL94" i="8"/>
  <c r="AG94" i="8"/>
  <c r="AH94" i="8"/>
  <c r="AI94" i="8"/>
  <c r="AG91" i="8"/>
  <c r="AH91" i="8"/>
  <c r="AI91" i="8"/>
  <c r="AJ91" i="8"/>
  <c r="AF91" i="8"/>
  <c r="AK91" i="8"/>
  <c r="AL91" i="8"/>
  <c r="AJ88" i="8"/>
  <c r="AK88" i="8"/>
  <c r="AF88" i="8"/>
  <c r="AL88" i="8"/>
  <c r="AG88" i="8"/>
  <c r="AH88" i="8"/>
  <c r="AI88" i="8"/>
  <c r="AG85" i="8"/>
  <c r="AH85" i="8"/>
  <c r="AI85" i="8"/>
  <c r="AJ85" i="8"/>
  <c r="AK85" i="8"/>
  <c r="AL85" i="8"/>
  <c r="AF85" i="8"/>
  <c r="AJ82" i="8"/>
  <c r="AK82" i="8"/>
  <c r="AL82" i="8"/>
  <c r="AG82" i="8"/>
  <c r="AI82" i="8"/>
  <c r="AH82" i="8"/>
  <c r="AG79" i="8"/>
  <c r="AH79" i="8"/>
  <c r="AI79" i="8"/>
  <c r="AJ79" i="8"/>
  <c r="AF79" i="8"/>
  <c r="AK79" i="8"/>
  <c r="AL79" i="8"/>
  <c r="AJ76" i="8"/>
  <c r="AK76" i="8"/>
  <c r="AF76" i="8"/>
  <c r="AL76" i="8"/>
  <c r="AG76" i="8"/>
  <c r="AH76" i="8"/>
  <c r="AI76" i="8"/>
  <c r="AG73" i="8"/>
  <c r="AH73" i="8"/>
  <c r="AI73" i="8"/>
  <c r="AJ73" i="8"/>
  <c r="AF73" i="8"/>
  <c r="AK73" i="8"/>
  <c r="AL73" i="8"/>
  <c r="AJ70" i="8"/>
  <c r="AK70" i="8"/>
  <c r="AF70" i="8"/>
  <c r="AL70" i="8"/>
  <c r="AG70" i="8"/>
  <c r="AH70" i="8"/>
  <c r="AI70" i="8"/>
  <c r="AG67" i="8"/>
  <c r="AH67" i="8"/>
  <c r="AI67" i="8"/>
  <c r="AJ67" i="8"/>
  <c r="AK67" i="8"/>
  <c r="AL67" i="8"/>
  <c r="AF67" i="8"/>
  <c r="AJ64" i="8"/>
  <c r="AK64" i="8"/>
  <c r="AF64" i="8"/>
  <c r="AL64" i="8"/>
  <c r="AG64" i="8"/>
  <c r="AH64" i="8"/>
  <c r="AI64" i="8"/>
  <c r="AE61" i="8"/>
  <c r="AF61" i="8"/>
  <c r="AL61" i="8"/>
  <c r="AG61" i="8"/>
  <c r="AJ61" i="8"/>
  <c r="AK61" i="8"/>
  <c r="AI61" i="8"/>
  <c r="AF60" i="8"/>
  <c r="AL60" i="8"/>
  <c r="AH60" i="8"/>
  <c r="AJ60" i="8"/>
  <c r="AK60" i="8"/>
  <c r="K35" i="9"/>
  <c r="C14" i="9"/>
  <c r="B93" i="8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R132" i="8" l="1"/>
  <c r="S132" i="8" s="1"/>
  <c r="AE148" i="8"/>
  <c r="AE138" i="8"/>
  <c r="AE142" i="8"/>
  <c r="AE141" i="8"/>
  <c r="AE140" i="8"/>
  <c r="AE139" i="8"/>
  <c r="AE129" i="8"/>
  <c r="AE124" i="8"/>
  <c r="AE125" i="8"/>
  <c r="AE126" i="8"/>
  <c r="AE127" i="8"/>
  <c r="AE128" i="8"/>
  <c r="AE132" i="8"/>
  <c r="AE135" i="8"/>
  <c r="AE146" i="8"/>
  <c r="AE130" i="8"/>
  <c r="AE144" i="8"/>
  <c r="AE143" i="8"/>
  <c r="AE136" i="8"/>
  <c r="AE147" i="8"/>
  <c r="AE137" i="8"/>
  <c r="AE131" i="8"/>
  <c r="AE145" i="8"/>
  <c r="AE122" i="8"/>
  <c r="AE123" i="8"/>
  <c r="B64" i="8"/>
  <c r="C28" i="9"/>
  <c r="C45" i="9"/>
  <c r="G45" i="9" s="1"/>
  <c r="W47" i="9"/>
  <c r="C48" i="9"/>
  <c r="C15" i="9"/>
  <c r="C46" i="9"/>
  <c r="C49" i="9"/>
  <c r="C42" i="9"/>
  <c r="K25" i="9"/>
  <c r="K13" i="9"/>
  <c r="K38" i="9"/>
  <c r="K17" i="9"/>
  <c r="K27" i="9"/>
  <c r="K8" i="9"/>
  <c r="K15" i="9"/>
  <c r="C38" i="9"/>
  <c r="C17" i="9"/>
  <c r="K37" i="9"/>
  <c r="K10" i="9"/>
  <c r="K34" i="9"/>
  <c r="C6" i="9"/>
  <c r="G6" i="9" s="1"/>
  <c r="W6" i="9" s="1"/>
  <c r="X6" i="9" s="1"/>
  <c r="C20" i="9"/>
  <c r="C10" i="9"/>
  <c r="K18" i="9"/>
  <c r="W18" i="9" s="1"/>
  <c r="C37" i="9"/>
  <c r="C25" i="9"/>
  <c r="K30" i="9"/>
  <c r="X48" i="8"/>
  <c r="B76" i="8"/>
  <c r="B69" i="8"/>
  <c r="B110" i="8"/>
  <c r="C5" i="9"/>
  <c r="B77" i="8"/>
  <c r="B117" i="8"/>
  <c r="W48" i="8"/>
  <c r="B62" i="8"/>
  <c r="W47" i="8"/>
  <c r="AB47" i="8" s="1"/>
  <c r="B84" i="8"/>
  <c r="B68" i="8"/>
  <c r="B87" i="8"/>
  <c r="AG89" i="8" s="1"/>
  <c r="AG99" i="8" s="1"/>
  <c r="B79" i="8"/>
  <c r="B114" i="8"/>
  <c r="B113" i="8"/>
  <c r="B99" i="8"/>
  <c r="B88" i="8"/>
  <c r="B102" i="8"/>
  <c r="B80" i="8"/>
  <c r="B108" i="8"/>
  <c r="B95" i="8"/>
  <c r="B75" i="8"/>
  <c r="B61" i="8"/>
  <c r="B106" i="8"/>
  <c r="B91" i="8"/>
  <c r="B109" i="8"/>
  <c r="B78" i="8"/>
  <c r="B66" i="8"/>
  <c r="B111" i="8"/>
  <c r="B82" i="8"/>
  <c r="B107" i="8"/>
  <c r="B73" i="8"/>
  <c r="B105" i="8"/>
  <c r="B128" i="8"/>
  <c r="B89" i="8"/>
  <c r="B121" i="8"/>
  <c r="B72" i="8"/>
  <c r="B98" i="8"/>
  <c r="B104" i="8"/>
  <c r="AJ111" i="8" s="1"/>
  <c r="B85" i="8"/>
  <c r="B120" i="8"/>
  <c r="B127" i="8"/>
  <c r="B101" i="8"/>
  <c r="B126" i="8"/>
  <c r="B125" i="8"/>
  <c r="B124" i="8"/>
  <c r="B103" i="8"/>
  <c r="AI110" i="8" s="1"/>
  <c r="B70" i="8"/>
  <c r="B65" i="8"/>
  <c r="B100" i="8"/>
  <c r="B96" i="8"/>
  <c r="B60" i="8"/>
  <c r="B63" i="8"/>
  <c r="B97" i="8"/>
  <c r="B67" i="8"/>
  <c r="AE85" i="8"/>
  <c r="AE97" i="8"/>
  <c r="AF81" i="8"/>
  <c r="AF102" i="8" s="1"/>
  <c r="AE67" i="8"/>
  <c r="AE103" i="8"/>
  <c r="AE114" i="8"/>
  <c r="AE70" i="8"/>
  <c r="AE112" i="8"/>
  <c r="AE76" i="8"/>
  <c r="AE121" i="8"/>
  <c r="AE94" i="8"/>
  <c r="AE88" i="8"/>
  <c r="AE115" i="8"/>
  <c r="AE93" i="8"/>
  <c r="AE79" i="8"/>
  <c r="AE106" i="8"/>
  <c r="AE64" i="8"/>
  <c r="AE82" i="8"/>
  <c r="AE62" i="8"/>
  <c r="AE80" i="8"/>
  <c r="AE98" i="8"/>
  <c r="AE73" i="8"/>
  <c r="AE91" i="8"/>
  <c r="AE75" i="8"/>
  <c r="AE116" i="8"/>
  <c r="AE78" i="8"/>
  <c r="AE96" i="8"/>
  <c r="AE117" i="8"/>
  <c r="AE65" i="8"/>
  <c r="AE83" i="8"/>
  <c r="AE66" i="8"/>
  <c r="AE81" i="8"/>
  <c r="AE68" i="8"/>
  <c r="AE86" i="8"/>
  <c r="AE111" i="8"/>
  <c r="AE63" i="8"/>
  <c r="AE84" i="8"/>
  <c r="AE71" i="8"/>
  <c r="AE89" i="8"/>
  <c r="AE69" i="8"/>
  <c r="AE87" i="8"/>
  <c r="AE105" i="8"/>
  <c r="AE74" i="8"/>
  <c r="AE92" i="8"/>
  <c r="AE110" i="8"/>
  <c r="AE72" i="8"/>
  <c r="AE90" i="8"/>
  <c r="AE108" i="8"/>
  <c r="AE77" i="8"/>
  <c r="AE95" i="8"/>
  <c r="AE113" i="8"/>
  <c r="K5" i="9"/>
  <c r="G13" i="9"/>
  <c r="W19" i="9"/>
  <c r="AA8" i="8"/>
  <c r="AA11" i="8"/>
  <c r="AA14" i="8"/>
  <c r="AA17" i="8"/>
  <c r="AA20" i="8"/>
  <c r="AA23" i="8"/>
  <c r="AA26" i="8"/>
  <c r="AA29" i="8"/>
  <c r="AA32" i="8"/>
  <c r="AA35" i="8"/>
  <c r="AA38" i="8"/>
  <c r="AA41" i="8"/>
  <c r="AA44" i="8"/>
  <c r="Z3" i="8"/>
  <c r="AA15" i="8"/>
  <c r="AA27" i="8"/>
  <c r="AA36" i="8"/>
  <c r="AA45" i="8"/>
  <c r="Z16" i="8"/>
  <c r="Z6" i="8"/>
  <c r="Z9" i="8"/>
  <c r="Z12" i="8"/>
  <c r="Z15" i="8"/>
  <c r="Z18" i="8"/>
  <c r="Z21" i="8"/>
  <c r="Z24" i="8"/>
  <c r="Z27" i="8"/>
  <c r="Z30" i="8"/>
  <c r="Z33" i="8"/>
  <c r="Z36" i="8"/>
  <c r="Z39" i="8"/>
  <c r="Z42" i="8"/>
  <c r="Z45" i="8"/>
  <c r="W22" i="8"/>
  <c r="AA6" i="8"/>
  <c r="AA9" i="8"/>
  <c r="AA12" i="8"/>
  <c r="AA18" i="8"/>
  <c r="AA21" i="8"/>
  <c r="AA24" i="8"/>
  <c r="AA30" i="8"/>
  <c r="AA33" i="8"/>
  <c r="AA39" i="8"/>
  <c r="AA42" i="8"/>
  <c r="X22" i="8"/>
  <c r="Z4" i="8"/>
  <c r="Z7" i="8"/>
  <c r="Z10" i="8"/>
  <c r="Z13" i="8"/>
  <c r="Z19" i="8"/>
  <c r="Z22" i="8"/>
  <c r="Z25" i="8"/>
  <c r="Z8" i="8"/>
  <c r="Z17" i="8"/>
  <c r="Z26" i="8"/>
  <c r="Z32" i="8"/>
  <c r="Z38" i="8"/>
  <c r="Z44" i="8"/>
  <c r="Z14" i="8"/>
  <c r="Z31" i="8"/>
  <c r="AA10" i="8"/>
  <c r="AA19" i="8"/>
  <c r="Z28" i="8"/>
  <c r="Z34" i="8"/>
  <c r="Z40" i="8"/>
  <c r="Z46" i="8"/>
  <c r="Z11" i="8"/>
  <c r="Z20" i="8"/>
  <c r="AA28" i="8"/>
  <c r="AA34" i="8"/>
  <c r="AA40" i="8"/>
  <c r="AA46" i="8"/>
  <c r="AA7" i="8"/>
  <c r="AA37" i="8"/>
  <c r="Z23" i="8"/>
  <c r="Z37" i="8"/>
  <c r="AA16" i="8"/>
  <c r="AA25" i="8"/>
  <c r="AA4" i="8"/>
  <c r="AA13" i="8"/>
  <c r="AA22" i="8"/>
  <c r="Z29" i="8"/>
  <c r="Z35" i="8"/>
  <c r="Z41" i="8"/>
  <c r="AA3" i="8"/>
  <c r="Z43" i="8"/>
  <c r="AA31" i="8"/>
  <c r="AA43" i="8"/>
  <c r="AC106" i="8"/>
  <c r="AC109" i="8"/>
  <c r="AC102" i="8"/>
  <c r="AC75" i="8"/>
  <c r="AC144" i="8"/>
  <c r="AC120" i="8"/>
  <c r="AC114" i="8"/>
  <c r="AC112" i="8"/>
  <c r="AC80" i="8"/>
  <c r="AC136" i="8"/>
  <c r="AC116" i="8"/>
  <c r="AC89" i="8"/>
  <c r="AC79" i="8"/>
  <c r="AC126" i="8"/>
  <c r="AC94" i="8"/>
  <c r="AC97" i="8"/>
  <c r="AC96" i="8"/>
  <c r="AC72" i="8"/>
  <c r="AC141" i="8"/>
  <c r="AC117" i="8"/>
  <c r="AC108" i="8"/>
  <c r="AC113" i="8"/>
  <c r="AC74" i="8"/>
  <c r="AC133" i="8"/>
  <c r="AC115" i="8"/>
  <c r="AC83" i="8"/>
  <c r="AC64" i="8"/>
  <c r="AC121" i="8"/>
  <c r="AC85" i="8"/>
  <c r="AC88" i="8"/>
  <c r="AC90" i="8"/>
  <c r="AC69" i="8"/>
  <c r="AC134" i="8"/>
  <c r="AC103" i="8"/>
  <c r="AC105" i="8"/>
  <c r="AC107" i="8"/>
  <c r="AC68" i="8"/>
  <c r="AC130" i="8"/>
  <c r="AC110" i="8"/>
  <c r="AC77" i="8"/>
  <c r="AC145" i="8"/>
  <c r="AC118" i="8"/>
  <c r="AC73" i="8"/>
  <c r="AC76" i="8"/>
  <c r="AC87" i="8"/>
  <c r="AC66" i="8"/>
  <c r="AC131" i="8"/>
  <c r="AC91" i="8"/>
  <c r="AC99" i="8"/>
  <c r="AC98" i="8"/>
  <c r="AC65" i="8"/>
  <c r="AC127" i="8"/>
  <c r="AC104" i="8"/>
  <c r="AC71" i="8"/>
  <c r="AC142" i="8"/>
  <c r="AC61" i="8"/>
  <c r="AC67" i="8"/>
  <c r="AC84" i="8"/>
  <c r="AC63" i="8"/>
  <c r="AC128" i="8"/>
  <c r="AC82" i="8"/>
  <c r="AC93" i="8"/>
  <c r="AC62" i="8"/>
  <c r="AC124" i="8"/>
  <c r="AC101" i="8"/>
  <c r="AC146" i="8"/>
  <c r="AC132" i="8"/>
  <c r="AC135" i="8"/>
  <c r="AC111" i="8"/>
  <c r="AC81" i="8"/>
  <c r="AC147" i="8"/>
  <c r="AC125" i="8"/>
  <c r="AC70" i="8"/>
  <c r="AC78" i="8"/>
  <c r="AC86" i="8"/>
  <c r="AC143" i="8"/>
  <c r="AC119" i="8"/>
  <c r="AC95" i="8"/>
  <c r="AC100" i="8"/>
  <c r="AC129" i="8"/>
  <c r="AC60" i="8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AE99" i="8" l="1"/>
  <c r="AF82" i="8"/>
  <c r="AF103" i="8" s="1"/>
  <c r="AG90" i="8"/>
  <c r="AB48" i="8"/>
  <c r="AQ20" i="2" s="1"/>
  <c r="X20" i="9"/>
  <c r="Y20" i="9" s="1"/>
  <c r="Z20" i="9" s="1"/>
  <c r="W16" i="9"/>
  <c r="Y6" i="9"/>
  <c r="AE104" i="8"/>
  <c r="AJ112" i="8"/>
  <c r="AI111" i="8"/>
  <c r="G17" i="9"/>
  <c r="W17" i="9" s="1"/>
  <c r="AE118" i="8"/>
  <c r="AE119" i="8" s="1"/>
  <c r="G25" i="9"/>
  <c r="W27" i="9" s="1"/>
  <c r="AH98" i="8"/>
  <c r="AG100" i="8" l="1"/>
  <c r="AE100" i="8"/>
  <c r="AE107" i="8"/>
  <c r="AG101" i="8"/>
  <c r="AG102" i="8" s="1"/>
  <c r="AF104" i="8"/>
  <c r="AF105" i="8" s="1"/>
  <c r="AJ113" i="8"/>
  <c r="AH99" i="8"/>
  <c r="AH100" i="8" s="1"/>
  <c r="AI112" i="8"/>
  <c r="Z6" i="9"/>
  <c r="AE120" i="8"/>
  <c r="AJ114" i="8" l="1"/>
  <c r="AE101" i="8"/>
  <c r="AE102" i="8"/>
  <c r="AE109" i="8" s="1"/>
  <c r="AF106" i="8"/>
  <c r="AF107" i="8" s="1"/>
  <c r="AG103" i="8"/>
  <c r="AG104" i="8" s="1"/>
  <c r="AH101" i="8"/>
  <c r="AH102" i="8" s="1"/>
  <c r="AH103" i="8" s="1"/>
  <c r="AJ115" i="8"/>
  <c r="AI113" i="8"/>
  <c r="G34" i="9"/>
  <c r="G10" i="9"/>
  <c r="G44" i="9"/>
  <c r="W44" i="9" s="1"/>
  <c r="G43" i="9"/>
  <c r="W43" i="9" s="1"/>
  <c r="G42" i="9"/>
  <c r="W42" i="9" s="1"/>
  <c r="G41" i="9"/>
  <c r="W41" i="9" s="1"/>
  <c r="G40" i="9"/>
  <c r="W40" i="9" s="1"/>
  <c r="G38" i="9"/>
  <c r="W38" i="9" s="1"/>
  <c r="G37" i="9"/>
  <c r="W37" i="9" s="1"/>
  <c r="G35" i="9"/>
  <c r="W35" i="9" s="1"/>
  <c r="G33" i="9"/>
  <c r="W33" i="9" s="1"/>
  <c r="G32" i="9"/>
  <c r="W32" i="9" s="1"/>
  <c r="G31" i="9"/>
  <c r="W31" i="9" s="1"/>
  <c r="G15" i="9"/>
  <c r="W15" i="9" s="1"/>
  <c r="G9" i="9"/>
  <c r="W9" i="9" s="1"/>
  <c r="G8" i="9"/>
  <c r="W8" i="9" s="1"/>
  <c r="G7" i="9"/>
  <c r="W7" i="9" s="1"/>
  <c r="G5" i="9"/>
  <c r="W5" i="9" s="1"/>
  <c r="X76" i="2"/>
  <c r="Y76" i="2"/>
  <c r="W76" i="2"/>
  <c r="AK76" i="2" s="1"/>
  <c r="A73" i="7"/>
  <c r="M125" i="8" l="1"/>
  <c r="AE133" i="8"/>
  <c r="AE134" i="8" s="1"/>
  <c r="AH104" i="8"/>
  <c r="AH105" i="8" s="1"/>
  <c r="AH106" i="8" s="1"/>
  <c r="AJ116" i="8"/>
  <c r="AI114" i="8"/>
  <c r="W34" i="9"/>
  <c r="V125" i="8" l="1"/>
  <c r="Y125" i="8" s="1"/>
  <c r="W125" i="8"/>
  <c r="Z125" i="8" s="1"/>
  <c r="AJ117" i="8"/>
  <c r="AJ118" i="8" s="1"/>
  <c r="AJ128" i="8" s="1"/>
  <c r="AI115" i="8"/>
  <c r="W107" i="2"/>
  <c r="X107" i="2"/>
  <c r="Y107" i="2"/>
  <c r="W108" i="2"/>
  <c r="X108" i="2"/>
  <c r="Y108" i="2"/>
  <c r="W112" i="2"/>
  <c r="AK112" i="2" s="1"/>
  <c r="X112" i="2"/>
  <c r="Y112" i="2"/>
  <c r="W113" i="2"/>
  <c r="AK113" i="2" s="1"/>
  <c r="X113" i="2"/>
  <c r="Y113" i="2"/>
  <c r="W114" i="2"/>
  <c r="AK114" i="2" s="1"/>
  <c r="X114" i="2"/>
  <c r="Y114" i="2"/>
  <c r="W115" i="2"/>
  <c r="AK115" i="2" s="1"/>
  <c r="X115" i="2"/>
  <c r="Y115" i="2"/>
  <c r="W116" i="2"/>
  <c r="AK116" i="2" s="1"/>
  <c r="X116" i="2"/>
  <c r="Y116" i="2"/>
  <c r="W117" i="2"/>
  <c r="X117" i="2"/>
  <c r="Y117" i="2"/>
  <c r="AJ119" i="8" l="1"/>
  <c r="AJ129" i="8" s="1"/>
  <c r="AK108" i="2"/>
  <c r="AK107" i="2"/>
  <c r="AI116" i="8"/>
  <c r="Q46" i="8"/>
  <c r="P46" i="8"/>
  <c r="O46" i="8"/>
  <c r="Q45" i="8"/>
  <c r="P45" i="8"/>
  <c r="O45" i="8"/>
  <c r="Q44" i="8"/>
  <c r="P44" i="8"/>
  <c r="O44" i="8"/>
  <c r="Q43" i="8"/>
  <c r="P43" i="8"/>
  <c r="O43" i="8"/>
  <c r="Q42" i="8"/>
  <c r="P42" i="8"/>
  <c r="O42" i="8"/>
  <c r="Q41" i="8"/>
  <c r="P41" i="8"/>
  <c r="O41" i="8"/>
  <c r="Q40" i="8"/>
  <c r="P40" i="8"/>
  <c r="O40" i="8"/>
  <c r="Q39" i="8"/>
  <c r="P39" i="8"/>
  <c r="O39" i="8"/>
  <c r="Q38" i="8"/>
  <c r="P38" i="8"/>
  <c r="O38" i="8"/>
  <c r="Q37" i="8"/>
  <c r="P37" i="8"/>
  <c r="O37" i="8"/>
  <c r="Q36" i="8"/>
  <c r="P36" i="8"/>
  <c r="O36" i="8"/>
  <c r="Q35" i="8"/>
  <c r="P35" i="8"/>
  <c r="O35" i="8"/>
  <c r="Q34" i="8"/>
  <c r="P34" i="8"/>
  <c r="O34" i="8"/>
  <c r="Q33" i="8"/>
  <c r="Y33" i="8" s="1"/>
  <c r="P33" i="8"/>
  <c r="O33" i="8"/>
  <c r="Q32" i="8"/>
  <c r="P32" i="8"/>
  <c r="O32" i="8"/>
  <c r="Q31" i="8"/>
  <c r="P31" i="8"/>
  <c r="O31" i="8"/>
  <c r="Q30" i="8"/>
  <c r="P30" i="8"/>
  <c r="O30" i="8"/>
  <c r="Q29" i="8"/>
  <c r="P29" i="8"/>
  <c r="O29" i="8"/>
  <c r="Q28" i="8"/>
  <c r="P28" i="8"/>
  <c r="O28" i="8"/>
  <c r="Q27" i="8"/>
  <c r="P27" i="8"/>
  <c r="O27" i="8"/>
  <c r="Q26" i="8"/>
  <c r="P26" i="8"/>
  <c r="O26" i="8"/>
  <c r="Q25" i="8"/>
  <c r="P25" i="8"/>
  <c r="O25" i="8"/>
  <c r="Q24" i="8"/>
  <c r="P24" i="8"/>
  <c r="O24" i="8"/>
  <c r="Q23" i="8"/>
  <c r="P23" i="8"/>
  <c r="O23" i="8"/>
  <c r="Q22" i="8"/>
  <c r="Q21" i="8"/>
  <c r="P21" i="8"/>
  <c r="O21" i="8"/>
  <c r="Q20" i="8"/>
  <c r="P20" i="8"/>
  <c r="O20" i="8"/>
  <c r="Q19" i="8"/>
  <c r="P19" i="8"/>
  <c r="O19" i="8"/>
  <c r="Q18" i="8"/>
  <c r="P18" i="8"/>
  <c r="O18" i="8"/>
  <c r="Q17" i="8"/>
  <c r="P17" i="8"/>
  <c r="O17" i="8"/>
  <c r="Q16" i="8"/>
  <c r="P16" i="8"/>
  <c r="O16" i="8"/>
  <c r="Q15" i="8"/>
  <c r="P15" i="8"/>
  <c r="O15" i="8"/>
  <c r="Q14" i="8"/>
  <c r="P14" i="8"/>
  <c r="O14" i="8"/>
  <c r="Q13" i="8"/>
  <c r="P13" i="8"/>
  <c r="O13" i="8"/>
  <c r="Q12" i="8"/>
  <c r="P12" i="8"/>
  <c r="O12" i="8"/>
  <c r="Q11" i="8"/>
  <c r="P11" i="8"/>
  <c r="O11" i="8"/>
  <c r="Q10" i="8"/>
  <c r="P10" i="8"/>
  <c r="O10" i="8"/>
  <c r="Q9" i="8"/>
  <c r="P9" i="8"/>
  <c r="O9" i="8"/>
  <c r="Q8" i="8"/>
  <c r="P8" i="8"/>
  <c r="O8" i="8"/>
  <c r="Q7" i="8"/>
  <c r="P7" i="8"/>
  <c r="X7" i="8" s="1"/>
  <c r="O7" i="8"/>
  <c r="Q6" i="8"/>
  <c r="P6" i="8"/>
  <c r="O6" i="8"/>
  <c r="Q5" i="8"/>
  <c r="Y5" i="8" s="1"/>
  <c r="P5" i="8"/>
  <c r="X5" i="8" s="1"/>
  <c r="O5" i="8"/>
  <c r="W5" i="8" s="1"/>
  <c r="Q4" i="8"/>
  <c r="Q3" i="8"/>
  <c r="P3" i="8"/>
  <c r="O3" i="8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L126" i="23" l="1"/>
  <c r="L171" i="23"/>
  <c r="L169" i="23"/>
  <c r="L160" i="23"/>
  <c r="L153" i="23"/>
  <c r="L135" i="23"/>
  <c r="L129" i="23"/>
  <c r="L124" i="23"/>
  <c r="L140" i="23"/>
  <c r="L127" i="23"/>
  <c r="L172" i="23"/>
  <c r="L165" i="23"/>
  <c r="L154" i="23"/>
  <c r="L152" i="23"/>
  <c r="L134" i="23"/>
  <c r="L143" i="23"/>
  <c r="L136" i="23"/>
  <c r="L144" i="23"/>
  <c r="L155" i="23"/>
  <c r="L121" i="23"/>
  <c r="L174" i="23"/>
  <c r="L148" i="23"/>
  <c r="L177" i="23"/>
  <c r="L167" i="23"/>
  <c r="L161" i="23"/>
  <c r="L163" i="23"/>
  <c r="L142" i="23"/>
  <c r="L151" i="23"/>
  <c r="L137" i="23"/>
  <c r="L149" i="23"/>
  <c r="L139" i="23"/>
  <c r="L147" i="23"/>
  <c r="L178" i="23"/>
  <c r="L168" i="23"/>
  <c r="L157" i="23"/>
  <c r="L150" i="23"/>
  <c r="L125" i="23"/>
  <c r="L132" i="23"/>
  <c r="L146" i="23"/>
  <c r="L158" i="23"/>
  <c r="L175" i="23"/>
  <c r="L170" i="23"/>
  <c r="L156" i="23"/>
  <c r="L123" i="23"/>
  <c r="L130" i="23"/>
  <c r="L133" i="23"/>
  <c r="L145" i="23"/>
  <c r="L162" i="23"/>
  <c r="L141" i="23"/>
  <c r="L176" i="23"/>
  <c r="L166" i="23"/>
  <c r="L159" i="23"/>
  <c r="L131" i="23"/>
  <c r="L122" i="23"/>
  <c r="L138" i="23"/>
  <c r="L128" i="23"/>
  <c r="L173" i="23"/>
  <c r="L164" i="23"/>
  <c r="L5" i="23"/>
  <c r="L18" i="23"/>
  <c r="L6" i="23"/>
  <c r="L10" i="23"/>
  <c r="L7" i="23"/>
  <c r="L25" i="23"/>
  <c r="L26" i="23"/>
  <c r="L16" i="23"/>
  <c r="L9" i="23"/>
  <c r="L29" i="23"/>
  <c r="L30" i="23"/>
  <c r="L11" i="23"/>
  <c r="L31" i="23"/>
  <c r="L34" i="23"/>
  <c r="L24" i="23"/>
  <c r="L13" i="23"/>
  <c r="L8" i="23"/>
  <c r="L21" i="23"/>
  <c r="L28" i="23"/>
  <c r="L15" i="23"/>
  <c r="L12" i="23"/>
  <c r="L32" i="23"/>
  <c r="L17" i="23"/>
  <c r="L14" i="23"/>
  <c r="L33" i="23"/>
  <c r="L19" i="23"/>
  <c r="L23" i="23"/>
  <c r="L22" i="23"/>
  <c r="L20" i="23"/>
  <c r="L27" i="23"/>
  <c r="L57" i="23"/>
  <c r="W15" i="8"/>
  <c r="L52" i="23"/>
  <c r="L44" i="23"/>
  <c r="L40" i="23"/>
  <c r="L49" i="23"/>
  <c r="L45" i="23"/>
  <c r="L53" i="23"/>
  <c r="L51" i="23"/>
  <c r="L47" i="23"/>
  <c r="L48" i="23"/>
  <c r="L37" i="23"/>
  <c r="L50" i="23"/>
  <c r="L42" i="23"/>
  <c r="L43" i="23"/>
  <c r="L55" i="23"/>
  <c r="L54" i="23"/>
  <c r="L46" i="23"/>
  <c r="L39" i="23"/>
  <c r="L36" i="23"/>
  <c r="L41" i="23"/>
  <c r="L56" i="23"/>
  <c r="L120" i="23"/>
  <c r="L38" i="23"/>
  <c r="L35" i="23"/>
  <c r="AB5" i="8"/>
  <c r="AI117" i="8"/>
  <c r="AI119" i="8" s="1"/>
  <c r="AH20" i="8"/>
  <c r="X20" i="8"/>
  <c r="AG35" i="8"/>
  <c r="W35" i="8"/>
  <c r="AI6" i="8"/>
  <c r="Y6" i="8"/>
  <c r="AI18" i="8"/>
  <c r="Y18" i="8"/>
  <c r="AH35" i="8"/>
  <c r="X35" i="8"/>
  <c r="AH37" i="8"/>
  <c r="X37" i="8"/>
  <c r="AH45" i="8"/>
  <c r="X45" i="8"/>
  <c r="AH6" i="8"/>
  <c r="X6" i="8"/>
  <c r="AH14" i="8"/>
  <c r="X14" i="8"/>
  <c r="AG29" i="8"/>
  <c r="W29" i="8"/>
  <c r="AG33" i="8"/>
  <c r="W33" i="8"/>
  <c r="AI4" i="8"/>
  <c r="Y4" i="8"/>
  <c r="AI8" i="8"/>
  <c r="Y8" i="8"/>
  <c r="AI14" i="8"/>
  <c r="Y14" i="8"/>
  <c r="AI16" i="8"/>
  <c r="Y16" i="8"/>
  <c r="AI20" i="8"/>
  <c r="Y20" i="8"/>
  <c r="AH25" i="8"/>
  <c r="X25" i="8"/>
  <c r="AH27" i="8"/>
  <c r="X27" i="8"/>
  <c r="AH29" i="8"/>
  <c r="X29" i="8"/>
  <c r="AH33" i="8"/>
  <c r="X33" i="8"/>
  <c r="AH43" i="8"/>
  <c r="X43" i="8"/>
  <c r="AG7" i="8"/>
  <c r="W7" i="8"/>
  <c r="AG9" i="8"/>
  <c r="W9" i="8"/>
  <c r="AG11" i="8"/>
  <c r="W11" i="8"/>
  <c r="AG17" i="8"/>
  <c r="W17" i="8"/>
  <c r="AG19" i="8"/>
  <c r="W19" i="8"/>
  <c r="AG21" i="8"/>
  <c r="W21" i="8"/>
  <c r="AI25" i="8"/>
  <c r="Y25" i="8"/>
  <c r="AI27" i="8"/>
  <c r="Y27" i="8"/>
  <c r="AI29" i="8"/>
  <c r="Y29" i="8"/>
  <c r="AI33" i="8"/>
  <c r="AI35" i="8"/>
  <c r="Y35" i="8"/>
  <c r="AI37" i="8"/>
  <c r="Y37" i="8"/>
  <c r="AI43" i="8"/>
  <c r="Y43" i="8"/>
  <c r="AI45" i="8"/>
  <c r="Y45" i="8"/>
  <c r="AH10" i="8"/>
  <c r="X10" i="8"/>
  <c r="AH18" i="8"/>
  <c r="X18" i="8"/>
  <c r="AG25" i="8"/>
  <c r="W25" i="8"/>
  <c r="AG37" i="8"/>
  <c r="W37" i="8"/>
  <c r="AG45" i="8"/>
  <c r="W45" i="8"/>
  <c r="AH7" i="8"/>
  <c r="AH9" i="8"/>
  <c r="X9" i="8"/>
  <c r="AH11" i="8"/>
  <c r="X11" i="8"/>
  <c r="AH17" i="8"/>
  <c r="X17" i="8"/>
  <c r="AH19" i="8"/>
  <c r="X19" i="8"/>
  <c r="AH21" i="8"/>
  <c r="X21" i="8"/>
  <c r="AG24" i="8"/>
  <c r="W24" i="8"/>
  <c r="AG26" i="8"/>
  <c r="W26" i="8"/>
  <c r="AG28" i="8"/>
  <c r="W28" i="8"/>
  <c r="AG30" i="8"/>
  <c r="W30" i="8"/>
  <c r="AG32" i="8"/>
  <c r="W32" i="8"/>
  <c r="AG34" i="8"/>
  <c r="W34" i="8"/>
  <c r="AG36" i="8"/>
  <c r="W36" i="8"/>
  <c r="AG38" i="8"/>
  <c r="W38" i="8"/>
  <c r="AG44" i="8"/>
  <c r="W44" i="8"/>
  <c r="AG46" i="8"/>
  <c r="W46" i="8"/>
  <c r="AH4" i="8"/>
  <c r="X4" i="8"/>
  <c r="AH8" i="8"/>
  <c r="X8" i="8"/>
  <c r="AH16" i="8"/>
  <c r="X16" i="8"/>
  <c r="AG27" i="8"/>
  <c r="W27" i="8"/>
  <c r="AG43" i="8"/>
  <c r="W43" i="8"/>
  <c r="AI10" i="8"/>
  <c r="Y10" i="8"/>
  <c r="AI7" i="8"/>
  <c r="Y7" i="8"/>
  <c r="AI9" i="8"/>
  <c r="Y9" i="8"/>
  <c r="AI11" i="8"/>
  <c r="Y11" i="8"/>
  <c r="AI17" i="8"/>
  <c r="Y17" i="8"/>
  <c r="AI19" i="8"/>
  <c r="Y19" i="8"/>
  <c r="AI21" i="8"/>
  <c r="Y21" i="8"/>
  <c r="AH24" i="8"/>
  <c r="X24" i="8"/>
  <c r="AH26" i="8"/>
  <c r="X26" i="8"/>
  <c r="AH28" i="8"/>
  <c r="X28" i="8"/>
  <c r="AH30" i="8"/>
  <c r="X30" i="8"/>
  <c r="AH32" i="8"/>
  <c r="X32" i="8"/>
  <c r="AH34" i="8"/>
  <c r="X34" i="8"/>
  <c r="AH36" i="8"/>
  <c r="X36" i="8"/>
  <c r="AH38" i="8"/>
  <c r="X38" i="8"/>
  <c r="AH44" i="8"/>
  <c r="X44" i="8"/>
  <c r="AH46" i="8"/>
  <c r="X46" i="8"/>
  <c r="AG4" i="8"/>
  <c r="W4" i="8"/>
  <c r="AG6" i="8"/>
  <c r="W6" i="8"/>
  <c r="AG8" i="8"/>
  <c r="W8" i="8"/>
  <c r="AG10" i="8"/>
  <c r="W10" i="8"/>
  <c r="AG14" i="8"/>
  <c r="W14" i="8"/>
  <c r="AG16" i="8"/>
  <c r="W16" i="8"/>
  <c r="AG18" i="8"/>
  <c r="W18" i="8"/>
  <c r="AG20" i="8"/>
  <c r="W20" i="8"/>
  <c r="AI22" i="8"/>
  <c r="AL22" i="8" s="1"/>
  <c r="AU12" i="2" s="1"/>
  <c r="Y22" i="8"/>
  <c r="AB22" i="8" s="1"/>
  <c r="AI24" i="8"/>
  <c r="Y24" i="8"/>
  <c r="AI26" i="8"/>
  <c r="Y26" i="8"/>
  <c r="AI28" i="8"/>
  <c r="Y28" i="8"/>
  <c r="AI30" i="8"/>
  <c r="Y30" i="8"/>
  <c r="AI32" i="8"/>
  <c r="Y32" i="8"/>
  <c r="AI34" i="8"/>
  <c r="Y34" i="8"/>
  <c r="AI36" i="8"/>
  <c r="Y36" i="8"/>
  <c r="AI38" i="8"/>
  <c r="Y38" i="8"/>
  <c r="AI44" i="8"/>
  <c r="Y44" i="8"/>
  <c r="AI46" i="8"/>
  <c r="Y46" i="8"/>
  <c r="AG3" i="8"/>
  <c r="W3" i="8"/>
  <c r="AH3" i="8"/>
  <c r="X3" i="8"/>
  <c r="AI3" i="8"/>
  <c r="Y3" i="8"/>
  <c r="AH31" i="8"/>
  <c r="X31" i="8"/>
  <c r="AI31" i="8"/>
  <c r="Y31" i="8"/>
  <c r="AG31" i="8"/>
  <c r="W31" i="8"/>
  <c r="AG13" i="8"/>
  <c r="W13" i="8"/>
  <c r="AH13" i="8"/>
  <c r="X13" i="8"/>
  <c r="AI13" i="8"/>
  <c r="Y13" i="8"/>
  <c r="AI15" i="8"/>
  <c r="Y15" i="8"/>
  <c r="AG15" i="8"/>
  <c r="AH15" i="8"/>
  <c r="X15" i="8"/>
  <c r="AG42" i="8"/>
  <c r="W42" i="8"/>
  <c r="AH42" i="8"/>
  <c r="X42" i="8"/>
  <c r="AI42" i="8"/>
  <c r="Y42" i="8"/>
  <c r="AG39" i="8"/>
  <c r="W39" i="8"/>
  <c r="AH39" i="8"/>
  <c r="X39" i="8"/>
  <c r="AI39" i="8"/>
  <c r="Y39" i="8"/>
  <c r="AG23" i="8"/>
  <c r="W23" i="8"/>
  <c r="AH23" i="8"/>
  <c r="X23" i="8"/>
  <c r="AI23" i="8"/>
  <c r="Y23" i="8"/>
  <c r="AI12" i="8"/>
  <c r="Y12" i="8"/>
  <c r="AG12" i="8"/>
  <c r="W12" i="8"/>
  <c r="AH12" i="8"/>
  <c r="X12" i="8"/>
  <c r="AG5" i="8"/>
  <c r="AH5" i="8"/>
  <c r="AI5" i="8"/>
  <c r="AH41" i="8"/>
  <c r="X41" i="8"/>
  <c r="AI41" i="8"/>
  <c r="Y41" i="8"/>
  <c r="AG40" i="8"/>
  <c r="W40" i="8"/>
  <c r="AG41" i="8"/>
  <c r="W41" i="8"/>
  <c r="AH40" i="8"/>
  <c r="X40" i="8"/>
  <c r="AI40" i="8"/>
  <c r="Y40" i="8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T53" i="8" l="1"/>
  <c r="R54" i="8"/>
  <c r="AM43" i="2" s="1"/>
  <c r="S54" i="8"/>
  <c r="AN43" i="2" s="1"/>
  <c r="T54" i="8"/>
  <c r="AO43" i="2" s="1"/>
  <c r="S53" i="8"/>
  <c r="R53" i="8"/>
  <c r="R51" i="8"/>
  <c r="S50" i="8"/>
  <c r="T52" i="8"/>
  <c r="S52" i="8"/>
  <c r="T50" i="8"/>
  <c r="R52" i="8"/>
  <c r="S51" i="8"/>
  <c r="T51" i="8"/>
  <c r="R50" i="8"/>
  <c r="AI118" i="8"/>
  <c r="AI120" i="8" s="1"/>
  <c r="R5" i="8"/>
  <c r="T5" i="8"/>
  <c r="S5" i="8"/>
  <c r="R6" i="8"/>
  <c r="T42" i="8"/>
  <c r="R17" i="8"/>
  <c r="R22" i="8"/>
  <c r="T39" i="8"/>
  <c r="S24" i="8"/>
  <c r="R9" i="8"/>
  <c r="R3" i="8"/>
  <c r="R19" i="8"/>
  <c r="T36" i="8"/>
  <c r="S49" i="8"/>
  <c r="T26" i="8"/>
  <c r="S28" i="8"/>
  <c r="R10" i="8"/>
  <c r="R38" i="8"/>
  <c r="T16" i="8"/>
  <c r="S16" i="8"/>
  <c r="R25" i="8"/>
  <c r="S47" i="8"/>
  <c r="S14" i="8"/>
  <c r="R8" i="8"/>
  <c r="R39" i="8"/>
  <c r="T10" i="8"/>
  <c r="S12" i="8"/>
  <c r="T41" i="8"/>
  <c r="R23" i="8"/>
  <c r="S33" i="8"/>
  <c r="T17" i="8"/>
  <c r="T24" i="8"/>
  <c r="T46" i="8"/>
  <c r="R29" i="8"/>
  <c r="T33" i="8"/>
  <c r="R20" i="8"/>
  <c r="R55" i="8"/>
  <c r="S45" i="8"/>
  <c r="R41" i="8"/>
  <c r="R47" i="8"/>
  <c r="T18" i="8"/>
  <c r="R48" i="8"/>
  <c r="T11" i="8"/>
  <c r="S4" i="8"/>
  <c r="S31" i="8"/>
  <c r="S41" i="8"/>
  <c r="T47" i="8"/>
  <c r="T19" i="8"/>
  <c r="R13" i="8"/>
  <c r="T48" i="8"/>
  <c r="T45" i="8"/>
  <c r="S7" i="8"/>
  <c r="S27" i="8"/>
  <c r="R49" i="8"/>
  <c r="T35" i="8"/>
  <c r="T56" i="8"/>
  <c r="S17" i="8"/>
  <c r="T27" i="8"/>
  <c r="S21" i="8"/>
  <c r="T32" i="8"/>
  <c r="S46" i="8"/>
  <c r="R40" i="8"/>
  <c r="S19" i="8"/>
  <c r="S43" i="8"/>
  <c r="S8" i="8"/>
  <c r="S26" i="8"/>
  <c r="R18" i="8"/>
  <c r="S11" i="8"/>
  <c r="S32" i="8"/>
  <c r="T20" i="8"/>
  <c r="S42" i="8"/>
  <c r="R36" i="8"/>
  <c r="S29" i="8"/>
  <c r="R45" i="8"/>
  <c r="R7" i="8"/>
  <c r="T29" i="8"/>
  <c r="S56" i="8"/>
  <c r="S37" i="8"/>
  <c r="T37" i="8"/>
  <c r="T30" i="8"/>
  <c r="R37" i="8"/>
  <c r="T9" i="8"/>
  <c r="T28" i="8"/>
  <c r="R27" i="8"/>
  <c r="R56" i="8"/>
  <c r="S39" i="8"/>
  <c r="T40" i="8"/>
  <c r="S9" i="8"/>
  <c r="T8" i="8"/>
  <c r="S34" i="8"/>
  <c r="R28" i="8"/>
  <c r="R33" i="8"/>
  <c r="T49" i="8"/>
  <c r="R14" i="8"/>
  <c r="T23" i="8"/>
  <c r="R26" i="8"/>
  <c r="T4" i="8"/>
  <c r="S30" i="8"/>
  <c r="R24" i="8"/>
  <c r="R31" i="8"/>
  <c r="R46" i="8"/>
  <c r="T15" i="8"/>
  <c r="T43" i="8"/>
  <c r="T34" i="8"/>
  <c r="S25" i="8"/>
  <c r="T55" i="8"/>
  <c r="S55" i="8"/>
  <c r="R44" i="8"/>
  <c r="T38" i="8"/>
  <c r="S23" i="8"/>
  <c r="S48" i="8"/>
  <c r="R42" i="8"/>
  <c r="T6" i="8"/>
  <c r="S15" i="8"/>
  <c r="T31" i="8"/>
  <c r="T7" i="8"/>
  <c r="T25" i="8"/>
  <c r="S22" i="8"/>
  <c r="R16" i="8"/>
  <c r="S6" i="8"/>
  <c r="S40" i="8"/>
  <c r="R11" i="8"/>
  <c r="T13" i="8"/>
  <c r="S18" i="8"/>
  <c r="R12" i="8"/>
  <c r="R35" i="8"/>
  <c r="R34" i="8"/>
  <c r="S44" i="8"/>
  <c r="R15" i="8"/>
  <c r="T14" i="8"/>
  <c r="S13" i="8"/>
  <c r="T12" i="8"/>
  <c r="S38" i="8"/>
  <c r="R32" i="8"/>
  <c r="S20" i="8"/>
  <c r="T21" i="8"/>
  <c r="S36" i="8"/>
  <c r="R30" i="8"/>
  <c r="T22" i="8"/>
  <c r="S35" i="8"/>
  <c r="T44" i="8"/>
  <c r="R21" i="8"/>
  <c r="R43" i="8"/>
  <c r="S10" i="8"/>
  <c r="R4" i="8"/>
  <c r="T3" i="8"/>
  <c r="S3" i="8"/>
  <c r="AL20" i="8"/>
  <c r="AU44" i="2" s="1"/>
  <c r="AL18" i="8"/>
  <c r="AU22" i="2" s="1"/>
  <c r="AB16" i="8"/>
  <c r="AQ21" i="2" s="1"/>
  <c r="AB18" i="8"/>
  <c r="AQ22" i="2" s="1"/>
  <c r="AB20" i="8"/>
  <c r="AB8" i="8"/>
  <c r="AL10" i="8"/>
  <c r="AU14" i="2" s="1"/>
  <c r="AL4" i="8"/>
  <c r="AU34" i="2" s="1"/>
  <c r="AL43" i="8"/>
  <c r="AB10" i="8"/>
  <c r="AQ14" i="2" s="1"/>
  <c r="AB4" i="8"/>
  <c r="AB43" i="8"/>
  <c r="AL8" i="8"/>
  <c r="AU27" i="2" s="1"/>
  <c r="AB19" i="8"/>
  <c r="AQ23" i="2" s="1"/>
  <c r="AB9" i="8"/>
  <c r="AQ6" i="2" s="1"/>
  <c r="AL25" i="8"/>
  <c r="AU13" i="2" s="1"/>
  <c r="AL30" i="8"/>
  <c r="AU36" i="2" s="1"/>
  <c r="AB33" i="8"/>
  <c r="AB44" i="8"/>
  <c r="AB34" i="8"/>
  <c r="AQ47" i="2" s="1"/>
  <c r="AB28" i="8"/>
  <c r="AB45" i="8"/>
  <c r="AQ64" i="2" s="1"/>
  <c r="AL19" i="8"/>
  <c r="AU23" i="2" s="1"/>
  <c r="AL9" i="8"/>
  <c r="AU6" i="2" s="1"/>
  <c r="AL33" i="8"/>
  <c r="AU38" i="2" s="1"/>
  <c r="AL36" i="8"/>
  <c r="AU49" i="2" s="1"/>
  <c r="AL16" i="8"/>
  <c r="AU21" i="2" s="1"/>
  <c r="AB27" i="8"/>
  <c r="AL44" i="8"/>
  <c r="AL34" i="8"/>
  <c r="AU47" i="2" s="1"/>
  <c r="AL28" i="8"/>
  <c r="AU31" i="2" s="1"/>
  <c r="AL45" i="8"/>
  <c r="AU64" i="2" s="1"/>
  <c r="AB17" i="8"/>
  <c r="AQ51" i="2" s="1"/>
  <c r="AB7" i="8"/>
  <c r="AB35" i="8"/>
  <c r="AL46" i="8"/>
  <c r="AB14" i="8"/>
  <c r="AQ18" i="2" s="1"/>
  <c r="AB6" i="8"/>
  <c r="AQ52" i="2" s="1"/>
  <c r="AL27" i="8"/>
  <c r="AU30" i="2" s="1"/>
  <c r="AB38" i="8"/>
  <c r="AQ15" i="2" s="1"/>
  <c r="AB32" i="8"/>
  <c r="AQ33" i="2" s="1"/>
  <c r="AB26" i="8"/>
  <c r="AQ24" i="2" s="1"/>
  <c r="AB37" i="8"/>
  <c r="AL17" i="8"/>
  <c r="AU51" i="2" s="1"/>
  <c r="AL7" i="8"/>
  <c r="AU10" i="2" s="1"/>
  <c r="AB29" i="8"/>
  <c r="AQ32" i="2" s="1"/>
  <c r="AL35" i="8"/>
  <c r="AU48" i="2" s="1"/>
  <c r="AL24" i="8"/>
  <c r="AU29" i="2" s="1"/>
  <c r="AL14" i="8"/>
  <c r="AU18" i="2" s="1"/>
  <c r="AL6" i="8"/>
  <c r="AU52" i="2" s="1"/>
  <c r="AL38" i="8"/>
  <c r="AU15" i="2" s="1"/>
  <c r="AL32" i="8"/>
  <c r="AU33" i="2" s="1"/>
  <c r="AL26" i="8"/>
  <c r="AU24" i="2" s="1"/>
  <c r="AL37" i="8"/>
  <c r="AU50" i="2" s="1"/>
  <c r="AB21" i="8"/>
  <c r="AQ11" i="2" s="1"/>
  <c r="AB11" i="8"/>
  <c r="AQ16" i="2" s="1"/>
  <c r="AL29" i="8"/>
  <c r="AU32" i="2" s="1"/>
  <c r="AB46" i="8"/>
  <c r="AB36" i="8"/>
  <c r="AQ49" i="2" s="1"/>
  <c r="AB30" i="8"/>
  <c r="AQ36" i="2" s="1"/>
  <c r="AB24" i="8"/>
  <c r="AQ29" i="2" s="1"/>
  <c r="AB25" i="8"/>
  <c r="AQ13" i="2" s="1"/>
  <c r="AL21" i="8"/>
  <c r="AU11" i="2" s="1"/>
  <c r="AL11" i="8"/>
  <c r="AU16" i="2" s="1"/>
  <c r="AB3" i="8"/>
  <c r="AQ7" i="2" s="1"/>
  <c r="AL3" i="8"/>
  <c r="AU7" i="2" s="1"/>
  <c r="AB31" i="8"/>
  <c r="AL31" i="8"/>
  <c r="AU37" i="2" s="1"/>
  <c r="AB13" i="8"/>
  <c r="AQ17" i="2" s="1"/>
  <c r="AL13" i="8"/>
  <c r="AU17" i="2" s="1"/>
  <c r="AL15" i="8"/>
  <c r="AU19" i="2" s="1"/>
  <c r="AB15" i="8"/>
  <c r="AL23" i="8"/>
  <c r="AU35" i="2" s="1"/>
  <c r="AB42" i="8"/>
  <c r="AL42" i="8"/>
  <c r="AU53" i="2" s="1"/>
  <c r="AB39" i="8"/>
  <c r="AQ25" i="2" s="1"/>
  <c r="AL39" i="8"/>
  <c r="AU25" i="2" s="1"/>
  <c r="AB23" i="8"/>
  <c r="AL5" i="8"/>
  <c r="AU8" i="2" s="1"/>
  <c r="AB12" i="8"/>
  <c r="AL12" i="8"/>
  <c r="AB40" i="8"/>
  <c r="AQ9" i="2" s="1"/>
  <c r="AB41" i="8"/>
  <c r="AQ28" i="2" s="1"/>
  <c r="AL40" i="8"/>
  <c r="AU9" i="2" s="1"/>
  <c r="AL41" i="8"/>
  <c r="AU28" i="2" s="1"/>
  <c r="U54" i="8" l="1"/>
  <c r="AL43" i="2" s="1"/>
  <c r="U53" i="8"/>
  <c r="AO20" i="2"/>
  <c r="AM20" i="2"/>
  <c r="AN46" i="2"/>
  <c r="AO46" i="2"/>
  <c r="AN20" i="2"/>
  <c r="AM46" i="2"/>
  <c r="U51" i="8"/>
  <c r="U52" i="8"/>
  <c r="U50" i="8"/>
  <c r="AU26" i="2"/>
  <c r="AN47" i="2"/>
  <c r="AO47" i="2"/>
  <c r="AM47" i="2"/>
  <c r="U5" i="8"/>
  <c r="W96" i="2"/>
  <c r="AK96" i="2" s="1"/>
  <c r="X96" i="2"/>
  <c r="Y96" i="2"/>
  <c r="W97" i="2"/>
  <c r="AK97" i="2" s="1"/>
  <c r="X97" i="2"/>
  <c r="Y97" i="2"/>
  <c r="W98" i="2"/>
  <c r="AK98" i="2" s="1"/>
  <c r="X98" i="2"/>
  <c r="Y98" i="2"/>
  <c r="W99" i="2"/>
  <c r="X99" i="2"/>
  <c r="Y99" i="2"/>
  <c r="W100" i="2"/>
  <c r="X100" i="2"/>
  <c r="Y100" i="2"/>
  <c r="W101" i="2"/>
  <c r="X101" i="2"/>
  <c r="Y101" i="2"/>
  <c r="W102" i="2"/>
  <c r="X102" i="2"/>
  <c r="Y102" i="2"/>
  <c r="W103" i="2"/>
  <c r="X103" i="2"/>
  <c r="Y103" i="2"/>
  <c r="W104" i="2"/>
  <c r="X104" i="2"/>
  <c r="Y104" i="2"/>
  <c r="W105" i="2"/>
  <c r="X105" i="2"/>
  <c r="Y105" i="2"/>
  <c r="W106" i="2"/>
  <c r="X106" i="2"/>
  <c r="Y106" i="2"/>
  <c r="AK105" i="2" l="1"/>
  <c r="AK103" i="2"/>
  <c r="AK101" i="2"/>
  <c r="AK99" i="2"/>
  <c r="AK104" i="2"/>
  <c r="AK106" i="2"/>
  <c r="AK100" i="2"/>
  <c r="AK102" i="2"/>
  <c r="AN33" i="2"/>
  <c r="AM25" i="2"/>
  <c r="AO25" i="2"/>
  <c r="AO64" i="2"/>
  <c r="AM33" i="2"/>
  <c r="AN32" i="2"/>
  <c r="AN64" i="2"/>
  <c r="AO32" i="2"/>
  <c r="AM32" i="2"/>
  <c r="AO33" i="2"/>
  <c r="AM64" i="2"/>
  <c r="AN25" i="2"/>
  <c r="U56" i="8"/>
  <c r="U55" i="8"/>
  <c r="U49" i="8"/>
  <c r="U48" i="8"/>
  <c r="U47" i="8"/>
  <c r="AN24" i="2"/>
  <c r="AM24" i="2"/>
  <c r="AO24" i="2"/>
  <c r="AM13" i="2"/>
  <c r="AO13" i="2"/>
  <c r="AN13" i="2"/>
  <c r="AM11" i="2"/>
  <c r="AN11" i="2"/>
  <c r="AO11" i="2"/>
  <c r="AM18" i="2"/>
  <c r="AO18" i="2"/>
  <c r="AN18" i="2"/>
  <c r="AN16" i="2"/>
  <c r="AO16" i="2"/>
  <c r="AM16" i="2"/>
  <c r="AM23" i="2"/>
  <c r="AN14" i="2"/>
  <c r="AM14" i="2"/>
  <c r="AO23" i="2"/>
  <c r="AO14" i="2"/>
  <c r="AN23" i="2"/>
  <c r="BZ66" i="1"/>
  <c r="BZ64" i="1"/>
  <c r="AL20" i="2" l="1"/>
  <c r="AP101" i="7"/>
  <c r="AO101" i="7"/>
  <c r="AN101" i="7"/>
  <c r="HH101" i="1"/>
  <c r="HG101" i="1"/>
  <c r="HF101" i="1"/>
  <c r="HE101" i="1"/>
  <c r="HD101" i="1"/>
  <c r="HC101" i="1"/>
  <c r="HB101" i="1"/>
  <c r="HA101" i="1"/>
  <c r="GZ101" i="1"/>
  <c r="CM5" i="1"/>
  <c r="CN5" i="1"/>
  <c r="CO5" i="1"/>
  <c r="AP5" i="1"/>
  <c r="AP2" i="1" s="1"/>
  <c r="AO5" i="1"/>
  <c r="AO2" i="1" s="1"/>
  <c r="AN5" i="1"/>
  <c r="AN2" i="1" s="1"/>
  <c r="AP101" i="1"/>
  <c r="AO101" i="1"/>
  <c r="AN101" i="1"/>
  <c r="A37" i="7" l="1"/>
  <c r="W68" i="2" l="1"/>
  <c r="X68" i="2"/>
  <c r="Y68" i="2"/>
  <c r="W32" i="2"/>
  <c r="AK32" i="2" s="1"/>
  <c r="X32" i="2"/>
  <c r="Y32" i="2"/>
  <c r="W36" i="2"/>
  <c r="AK36" i="2" s="1"/>
  <c r="X36" i="2"/>
  <c r="Y36" i="2"/>
  <c r="W37" i="2"/>
  <c r="AK37" i="2" s="1"/>
  <c r="X37" i="2"/>
  <c r="Y37" i="2"/>
  <c r="W33" i="2"/>
  <c r="AK33" i="2" s="1"/>
  <c r="X33" i="2"/>
  <c r="Y33" i="2"/>
  <c r="W48" i="2"/>
  <c r="AK48" i="2" s="1"/>
  <c r="X48" i="2"/>
  <c r="Y48" i="2"/>
  <c r="W49" i="2"/>
  <c r="X49" i="2"/>
  <c r="Y49" i="2"/>
  <c r="W50" i="2"/>
  <c r="X50" i="2"/>
  <c r="Y50" i="2"/>
  <c r="W15" i="2"/>
  <c r="AK15" i="2" s="1"/>
  <c r="X15" i="2"/>
  <c r="Y15" i="2"/>
  <c r="W25" i="2"/>
  <c r="AK25" i="2" s="1"/>
  <c r="X25" i="2"/>
  <c r="Y25" i="2"/>
  <c r="W9" i="2"/>
  <c r="AK9" i="2" s="1"/>
  <c r="X9" i="2"/>
  <c r="Y9" i="2"/>
  <c r="W28" i="2"/>
  <c r="AK28" i="2" s="1"/>
  <c r="X28" i="2"/>
  <c r="Y28" i="2"/>
  <c r="W53" i="2"/>
  <c r="X53" i="2"/>
  <c r="Y53" i="2"/>
  <c r="W63" i="2"/>
  <c r="AK63" i="2" s="1"/>
  <c r="X63" i="2"/>
  <c r="Y63" i="2"/>
  <c r="W64" i="2"/>
  <c r="X64" i="2"/>
  <c r="Y64" i="2"/>
  <c r="W65" i="2"/>
  <c r="AK65" i="2" s="1"/>
  <c r="X65" i="2"/>
  <c r="Y65" i="2"/>
  <c r="W66" i="2"/>
  <c r="AK66" i="2" s="1"/>
  <c r="X66" i="2"/>
  <c r="Y66" i="2"/>
  <c r="W67" i="2"/>
  <c r="AK67" i="2" s="1"/>
  <c r="X67" i="2"/>
  <c r="Y67" i="2"/>
  <c r="AK64" i="2" l="1"/>
  <c r="AK49" i="2"/>
  <c r="A93" i="7"/>
  <c r="E51" i="9" l="1"/>
  <c r="G49" i="9" l="1"/>
  <c r="W49" i="9" s="1"/>
  <c r="G48" i="9"/>
  <c r="W48" i="9" s="1"/>
  <c r="G46" i="9"/>
  <c r="W46" i="9" s="1"/>
  <c r="A52" i="7" l="1"/>
  <c r="Q49" i="9" l="1"/>
  <c r="O49" i="9"/>
  <c r="X49" i="9" s="1"/>
  <c r="Y49" i="9" l="1"/>
  <c r="F51" i="9"/>
  <c r="D51" i="9"/>
  <c r="C51" i="9"/>
  <c r="N51" i="9" l="1"/>
  <c r="M51" i="9"/>
  <c r="K51" i="9"/>
  <c r="K52" i="9" l="1"/>
  <c r="P49" i="9"/>
  <c r="R49" i="9" s="1"/>
  <c r="J215" i="6" l="1"/>
  <c r="I215" i="6"/>
  <c r="H215" i="6"/>
  <c r="J214" i="6"/>
  <c r="I214" i="6"/>
  <c r="H214" i="6"/>
  <c r="J213" i="6"/>
  <c r="I213" i="6"/>
  <c r="H213" i="6"/>
  <c r="J212" i="6"/>
  <c r="I212" i="6"/>
  <c r="H212" i="6"/>
  <c r="J211" i="6"/>
  <c r="I211" i="6"/>
  <c r="H211" i="6"/>
  <c r="J210" i="6"/>
  <c r="I210" i="6"/>
  <c r="H210" i="6"/>
  <c r="J209" i="6"/>
  <c r="I209" i="6"/>
  <c r="H209" i="6"/>
  <c r="J208" i="6"/>
  <c r="I208" i="6"/>
  <c r="H208" i="6"/>
  <c r="J207" i="6"/>
  <c r="I207" i="6"/>
  <c r="H207" i="6"/>
  <c r="J206" i="6"/>
  <c r="I206" i="6"/>
  <c r="H206" i="6"/>
  <c r="J205" i="6"/>
  <c r="I205" i="6"/>
  <c r="H205" i="6"/>
  <c r="J204" i="6"/>
  <c r="I204" i="6"/>
  <c r="H204" i="6"/>
  <c r="I203" i="6"/>
  <c r="H203" i="6"/>
  <c r="I202" i="6"/>
  <c r="H202" i="6"/>
  <c r="I201" i="6"/>
  <c r="H201" i="6"/>
  <c r="I200" i="6"/>
  <c r="H200" i="6"/>
  <c r="I199" i="6"/>
  <c r="H199" i="6"/>
  <c r="I198" i="6"/>
  <c r="H198" i="6"/>
  <c r="I197" i="6"/>
  <c r="H197" i="6"/>
  <c r="I196" i="6"/>
  <c r="H196" i="6"/>
  <c r="I195" i="6"/>
  <c r="H195" i="6"/>
  <c r="I194" i="6"/>
  <c r="H194" i="6"/>
  <c r="I193" i="6"/>
  <c r="H193" i="6"/>
  <c r="I192" i="6"/>
  <c r="H192" i="6"/>
  <c r="T9" i="3"/>
  <c r="K9" i="3"/>
  <c r="Y95" i="2"/>
  <c r="X95" i="2"/>
  <c r="W95" i="2"/>
  <c r="AK95" i="2" s="1"/>
  <c r="Y94" i="2"/>
  <c r="X94" i="2"/>
  <c r="W94" i="2"/>
  <c r="AK94" i="2" s="1"/>
  <c r="Y93" i="2"/>
  <c r="X93" i="2"/>
  <c r="W93" i="2"/>
  <c r="AK93" i="2" s="1"/>
  <c r="Y92" i="2"/>
  <c r="X92" i="2"/>
  <c r="W92" i="2"/>
  <c r="AK92" i="2" s="1"/>
  <c r="Y91" i="2"/>
  <c r="X91" i="2"/>
  <c r="W91" i="2"/>
  <c r="AK91" i="2" s="1"/>
  <c r="Y87" i="2"/>
  <c r="X87" i="2"/>
  <c r="W87" i="2"/>
  <c r="Y86" i="2"/>
  <c r="X86" i="2"/>
  <c r="W86" i="2"/>
  <c r="AK86" i="2" s="1"/>
  <c r="Y75" i="2"/>
  <c r="X75" i="2"/>
  <c r="W75" i="2"/>
  <c r="Y74" i="2"/>
  <c r="X74" i="2"/>
  <c r="W74" i="2"/>
  <c r="Y73" i="2"/>
  <c r="X73" i="2"/>
  <c r="W73" i="2"/>
  <c r="Y72" i="2"/>
  <c r="X72" i="2"/>
  <c r="W72" i="2"/>
  <c r="Y71" i="2"/>
  <c r="X71" i="2"/>
  <c r="W71" i="2"/>
  <c r="AK71" i="2" s="1"/>
  <c r="Y31" i="2"/>
  <c r="X31" i="2"/>
  <c r="W31" i="2"/>
  <c r="AK31" i="2" s="1"/>
  <c r="Y30" i="2"/>
  <c r="X30" i="2"/>
  <c r="W30" i="2"/>
  <c r="AK30" i="2" s="1"/>
  <c r="Y24" i="2"/>
  <c r="X24" i="2"/>
  <c r="W24" i="2"/>
  <c r="AK24" i="2" s="1"/>
  <c r="Y13" i="2"/>
  <c r="X13" i="2"/>
  <c r="W13" i="2"/>
  <c r="AK13" i="2" s="1"/>
  <c r="Y29" i="2"/>
  <c r="X29" i="2"/>
  <c r="W29" i="2"/>
  <c r="AK29" i="2" s="1"/>
  <c r="Y35" i="2"/>
  <c r="X35" i="2"/>
  <c r="W35" i="2"/>
  <c r="AK35" i="2" s="1"/>
  <c r="Y12" i="2"/>
  <c r="X12" i="2"/>
  <c r="W12" i="2"/>
  <c r="AK12" i="2" s="1"/>
  <c r="Y11" i="2"/>
  <c r="X11" i="2"/>
  <c r="W11" i="2"/>
  <c r="AK11" i="2" s="1"/>
  <c r="Y44" i="2"/>
  <c r="X44" i="2"/>
  <c r="W44" i="2"/>
  <c r="AK44" i="2" s="1"/>
  <c r="Y23" i="2"/>
  <c r="X23" i="2"/>
  <c r="W23" i="2"/>
  <c r="AK23" i="2" s="1"/>
  <c r="Y22" i="2"/>
  <c r="X22" i="2"/>
  <c r="W22" i="2"/>
  <c r="AK22" i="2" s="1"/>
  <c r="Y51" i="2"/>
  <c r="X51" i="2"/>
  <c r="W51" i="2"/>
  <c r="AK51" i="2" s="1"/>
  <c r="Y21" i="2"/>
  <c r="X21" i="2"/>
  <c r="W21" i="2"/>
  <c r="Y19" i="2"/>
  <c r="X19" i="2"/>
  <c r="AK19" i="2"/>
  <c r="Y18" i="2"/>
  <c r="X18" i="2"/>
  <c r="W18" i="2"/>
  <c r="AK18" i="2" s="1"/>
  <c r="Y17" i="2"/>
  <c r="X17" i="2"/>
  <c r="W17" i="2"/>
  <c r="Y26" i="2"/>
  <c r="X26" i="2"/>
  <c r="W26" i="2"/>
  <c r="AK26" i="2" s="1"/>
  <c r="Y16" i="2"/>
  <c r="X16" i="2"/>
  <c r="W16" i="2"/>
  <c r="AK16" i="2" s="1"/>
  <c r="Y14" i="2"/>
  <c r="X14" i="2"/>
  <c r="W14" i="2"/>
  <c r="AK14" i="2" s="1"/>
  <c r="Y6" i="2"/>
  <c r="X6" i="2"/>
  <c r="W6" i="2"/>
  <c r="AK6" i="2" s="1"/>
  <c r="Y27" i="2"/>
  <c r="X27" i="2"/>
  <c r="W27" i="2"/>
  <c r="AK27" i="2" s="1"/>
  <c r="Y10" i="2"/>
  <c r="X10" i="2"/>
  <c r="W10" i="2"/>
  <c r="Y52" i="2"/>
  <c r="X52" i="2"/>
  <c r="W52" i="2"/>
  <c r="AK52" i="2" s="1"/>
  <c r="Y8" i="2"/>
  <c r="X8" i="2"/>
  <c r="W8" i="2"/>
  <c r="Y34" i="2"/>
  <c r="X34" i="2"/>
  <c r="W34" i="2"/>
  <c r="AK34" i="2" s="1"/>
  <c r="Y7" i="2"/>
  <c r="X7" i="2"/>
  <c r="W7" i="2"/>
  <c r="AK7" i="2" s="1"/>
  <c r="AM101" i="7"/>
  <c r="AL101" i="7"/>
  <c r="AK101" i="7"/>
  <c r="AJ101" i="7"/>
  <c r="AI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A96" i="7"/>
  <c r="A95" i="7"/>
  <c r="A94" i="7"/>
  <c r="M146" i="8" s="1"/>
  <c r="A92" i="7"/>
  <c r="A91" i="7"/>
  <c r="A90" i="7"/>
  <c r="A89" i="7"/>
  <c r="A88" i="7"/>
  <c r="A84" i="7"/>
  <c r="A72" i="7"/>
  <c r="M124" i="8" s="1"/>
  <c r="A71" i="7"/>
  <c r="A70" i="7"/>
  <c r="A69" i="7"/>
  <c r="A68" i="7"/>
  <c r="A67" i="7"/>
  <c r="M119" i="8" s="1"/>
  <c r="A66" i="7"/>
  <c r="M118" i="8" s="1"/>
  <c r="W118" i="8" s="1"/>
  <c r="Z118" i="8" s="1"/>
  <c r="A65" i="7"/>
  <c r="A64" i="7"/>
  <c r="A63" i="7"/>
  <c r="A62" i="7"/>
  <c r="A61" i="7"/>
  <c r="A60" i="7"/>
  <c r="A56" i="7"/>
  <c r="A55" i="7"/>
  <c r="A54" i="7"/>
  <c r="A53" i="7"/>
  <c r="A51" i="7"/>
  <c r="A46" i="7"/>
  <c r="A45" i="7"/>
  <c r="A44" i="7"/>
  <c r="A43" i="7"/>
  <c r="A42" i="7"/>
  <c r="A41" i="7"/>
  <c r="A40" i="7"/>
  <c r="M92" i="8" s="1"/>
  <c r="A39" i="7"/>
  <c r="A38" i="7"/>
  <c r="M89" i="8" s="1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0" i="7"/>
  <c r="A19" i="7"/>
  <c r="A18" i="7"/>
  <c r="A17" i="7"/>
  <c r="A16" i="7"/>
  <c r="A15" i="7"/>
  <c r="M66" i="8" s="1"/>
  <c r="A13" i="7"/>
  <c r="A12" i="7"/>
  <c r="A11" i="7"/>
  <c r="A10" i="7"/>
  <c r="M61" i="8" s="1"/>
  <c r="A8" i="7"/>
  <c r="GY101" i="1"/>
  <c r="GX101" i="1"/>
  <c r="GW101" i="1"/>
  <c r="GV101" i="1"/>
  <c r="GU101" i="1"/>
  <c r="GT101" i="1"/>
  <c r="GS101" i="1"/>
  <c r="GR101" i="1"/>
  <c r="GQ101" i="1"/>
  <c r="GP101" i="1"/>
  <c r="GO101" i="1"/>
  <c r="GN101" i="1"/>
  <c r="GM101" i="1"/>
  <c r="GL101" i="1"/>
  <c r="GK101" i="1"/>
  <c r="GJ101" i="1"/>
  <c r="GI101" i="1"/>
  <c r="GH101" i="1"/>
  <c r="GG101" i="1"/>
  <c r="GF101" i="1"/>
  <c r="GE101" i="1"/>
  <c r="GD101" i="1"/>
  <c r="GC101" i="1"/>
  <c r="GB101" i="1"/>
  <c r="GA101" i="1"/>
  <c r="FZ101" i="1"/>
  <c r="FY101" i="1"/>
  <c r="FX101" i="1"/>
  <c r="FW101" i="1"/>
  <c r="FV101" i="1"/>
  <c r="FU101" i="1"/>
  <c r="FT101" i="1"/>
  <c r="FS101" i="1"/>
  <c r="FR101" i="1"/>
  <c r="FQ101" i="1"/>
  <c r="FP101" i="1"/>
  <c r="FO101" i="1"/>
  <c r="FN101" i="1"/>
  <c r="FM101" i="1"/>
  <c r="FL101" i="1"/>
  <c r="FK101" i="1"/>
  <c r="FJ101" i="1"/>
  <c r="FI101" i="1"/>
  <c r="FH101" i="1"/>
  <c r="FG101" i="1"/>
  <c r="FF101" i="1"/>
  <c r="FE101" i="1"/>
  <c r="FD101" i="1"/>
  <c r="FC101" i="1"/>
  <c r="FB101" i="1"/>
  <c r="FA101" i="1"/>
  <c r="EZ101" i="1"/>
  <c r="EY101" i="1"/>
  <c r="EX101" i="1"/>
  <c r="EW101" i="1"/>
  <c r="EV101" i="1"/>
  <c r="EU101" i="1"/>
  <c r="ET101" i="1"/>
  <c r="ES101" i="1"/>
  <c r="ER101" i="1"/>
  <c r="EQ101" i="1"/>
  <c r="EP101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L101" i="1"/>
  <c r="CK101" i="1"/>
  <c r="CJ101" i="1"/>
  <c r="CI101" i="1"/>
  <c r="CH101" i="1"/>
  <c r="CG101" i="1"/>
  <c r="CF101" i="1"/>
  <c r="CE101" i="1"/>
  <c r="CD101" i="1"/>
  <c r="CC101" i="1"/>
  <c r="CB101" i="1"/>
  <c r="CA101" i="1"/>
  <c r="BZ101" i="1"/>
  <c r="BY101" i="1"/>
  <c r="BX101" i="1"/>
  <c r="BW101" i="1"/>
  <c r="BV101" i="1"/>
  <c r="BU101" i="1"/>
  <c r="BT101" i="1"/>
  <c r="BS101" i="1"/>
  <c r="BR101" i="1"/>
  <c r="BQ101" i="1"/>
  <c r="BP101" i="1"/>
  <c r="BO101" i="1"/>
  <c r="BN101" i="1"/>
  <c r="BM101" i="1"/>
  <c r="BL101" i="1"/>
  <c r="BK101" i="1"/>
  <c r="BJ101" i="1"/>
  <c r="BI101" i="1"/>
  <c r="BH101" i="1"/>
  <c r="BG101" i="1"/>
  <c r="BF101" i="1"/>
  <c r="BE101" i="1"/>
  <c r="BD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G101" i="1"/>
  <c r="F101" i="1"/>
  <c r="E101" i="1"/>
  <c r="D101" i="1"/>
  <c r="DB5" i="1"/>
  <c r="CL5" i="1"/>
  <c r="AM5" i="1" s="1"/>
  <c r="CK5" i="1"/>
  <c r="AL5" i="1" s="1"/>
  <c r="CJ5" i="1"/>
  <c r="AK5" i="1" s="1"/>
  <c r="CI5" i="1"/>
  <c r="AJ5" i="1" s="1"/>
  <c r="CH5" i="1"/>
  <c r="AI5" i="1" s="1"/>
  <c r="CG5" i="1"/>
  <c r="AH5" i="1" s="1"/>
  <c r="CF5" i="1"/>
  <c r="AG5" i="1" s="1"/>
  <c r="CE5" i="1"/>
  <c r="AF5" i="1" s="1"/>
  <c r="CD5" i="1"/>
  <c r="AE5" i="1" s="1"/>
  <c r="CC5" i="1"/>
  <c r="AD5" i="1" s="1"/>
  <c r="CB5" i="1"/>
  <c r="AC5" i="1" s="1"/>
  <c r="CA5" i="1"/>
  <c r="AB5" i="1" s="1"/>
  <c r="BZ5" i="1"/>
  <c r="AA5" i="1" s="1"/>
  <c r="BY5" i="1"/>
  <c r="Z5" i="1" s="1"/>
  <c r="BX5" i="1"/>
  <c r="Y5" i="1" s="1"/>
  <c r="BW5" i="1"/>
  <c r="X5" i="1" s="1"/>
  <c r="BV5" i="1"/>
  <c r="W5" i="1" s="1"/>
  <c r="BU5" i="1"/>
  <c r="V5" i="1" s="1"/>
  <c r="BT5" i="1"/>
  <c r="U5" i="1" s="1"/>
  <c r="BS5" i="1"/>
  <c r="T5" i="1" s="1"/>
  <c r="BR5" i="1"/>
  <c r="S5" i="1" s="1"/>
  <c r="BQ5" i="1"/>
  <c r="R5" i="1" s="1"/>
  <c r="BP5" i="1"/>
  <c r="Q5" i="1" s="1"/>
  <c r="BO5" i="1"/>
  <c r="P5" i="1" s="1"/>
  <c r="BN5" i="1"/>
  <c r="O5" i="1" s="1"/>
  <c r="BM5" i="1"/>
  <c r="N5" i="1" s="1"/>
  <c r="BL5" i="1"/>
  <c r="M5" i="1" s="1"/>
  <c r="BK5" i="1"/>
  <c r="L5" i="1" s="1"/>
  <c r="BJ5" i="1"/>
  <c r="K5" i="1" s="1"/>
  <c r="BI5" i="1"/>
  <c r="J5" i="1" s="1"/>
  <c r="BH5" i="1"/>
  <c r="I5" i="1" s="1"/>
  <c r="BG5" i="1"/>
  <c r="H5" i="1" s="1"/>
  <c r="BF5" i="1"/>
  <c r="G5" i="1" s="1"/>
  <c r="BE5" i="1"/>
  <c r="F5" i="1" s="1"/>
  <c r="DG4" i="1"/>
  <c r="DJ4" i="1" s="1"/>
  <c r="DM4" i="1" s="1"/>
  <c r="DP4" i="1" s="1"/>
  <c r="DS4" i="1" s="1"/>
  <c r="DV4" i="1" s="1"/>
  <c r="DY4" i="1" s="1"/>
  <c r="EB4" i="1" s="1"/>
  <c r="EE4" i="1" s="1"/>
  <c r="EH4" i="1" s="1"/>
  <c r="EK4" i="1" s="1"/>
  <c r="EN4" i="1" s="1"/>
  <c r="EQ4" i="1" s="1"/>
  <c r="ET4" i="1" s="1"/>
  <c r="EW4" i="1" s="1"/>
  <c r="EZ4" i="1" s="1"/>
  <c r="FC4" i="1" s="1"/>
  <c r="FF4" i="1" s="1"/>
  <c r="FI4" i="1" s="1"/>
  <c r="FL4" i="1" s="1"/>
  <c r="FO4" i="1" s="1"/>
  <c r="FR4" i="1" s="1"/>
  <c r="FU4" i="1" s="1"/>
  <c r="FX4" i="1" s="1"/>
  <c r="GA4" i="1" s="1"/>
  <c r="GD4" i="1" s="1"/>
  <c r="GG4" i="1" s="1"/>
  <c r="GJ4" i="1" s="1"/>
  <c r="GM4" i="1" s="1"/>
  <c r="GP4" i="1" s="1"/>
  <c r="GS4" i="1" s="1"/>
  <c r="GV4" i="1" s="1"/>
  <c r="GY4" i="1" s="1"/>
  <c r="HB4" i="1" s="1"/>
  <c r="HE4" i="1" s="1"/>
  <c r="HH4" i="1" s="1"/>
  <c r="HK4" i="1" s="1"/>
  <c r="HN4" i="1" s="1"/>
  <c r="HQ4" i="1" s="1"/>
  <c r="HT4" i="1" s="1"/>
  <c r="HW4" i="1" s="1"/>
  <c r="DF4" i="1"/>
  <c r="DI4" i="1" s="1"/>
  <c r="DL4" i="1" s="1"/>
  <c r="DO4" i="1" s="1"/>
  <c r="DR4" i="1" s="1"/>
  <c r="DU4" i="1" s="1"/>
  <c r="DX4" i="1" s="1"/>
  <c r="EA4" i="1" s="1"/>
  <c r="ED4" i="1" s="1"/>
  <c r="EG4" i="1" s="1"/>
  <c r="EJ4" i="1" s="1"/>
  <c r="EM4" i="1" s="1"/>
  <c r="EP4" i="1" s="1"/>
  <c r="ES4" i="1" s="1"/>
  <c r="EV4" i="1" s="1"/>
  <c r="EY4" i="1" s="1"/>
  <c r="DE4" i="1"/>
  <c r="DH4" i="1" s="1"/>
  <c r="DK4" i="1" s="1"/>
  <c r="DN4" i="1" s="1"/>
  <c r="DQ4" i="1" s="1"/>
  <c r="DT4" i="1" s="1"/>
  <c r="DW4" i="1" s="1"/>
  <c r="DZ4" i="1" s="1"/>
  <c r="EC4" i="1" s="1"/>
  <c r="EF4" i="1" s="1"/>
  <c r="EI4" i="1" s="1"/>
  <c r="EL4" i="1" s="1"/>
  <c r="EO4" i="1" s="1"/>
  <c r="ER4" i="1" s="1"/>
  <c r="EU4" i="1" s="1"/>
  <c r="EX4" i="1" s="1"/>
  <c r="FA4" i="1" s="1"/>
  <c r="FD4" i="1" s="1"/>
  <c r="FG4" i="1" s="1"/>
  <c r="FJ4" i="1" s="1"/>
  <c r="FM4" i="1" s="1"/>
  <c r="FP4" i="1" s="1"/>
  <c r="DE3" i="1"/>
  <c r="DH3" i="1" s="1"/>
  <c r="DK3" i="1" s="1"/>
  <c r="H40" i="8"/>
  <c r="G40" i="8"/>
  <c r="F40" i="8"/>
  <c r="H39" i="8"/>
  <c r="G39" i="8"/>
  <c r="F39" i="8"/>
  <c r="H38" i="8"/>
  <c r="G38" i="8"/>
  <c r="F38" i="8"/>
  <c r="H37" i="8"/>
  <c r="G37" i="8"/>
  <c r="F37" i="8"/>
  <c r="H36" i="8"/>
  <c r="G36" i="8"/>
  <c r="F36" i="8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F3" i="8"/>
  <c r="AR41" i="2" l="1"/>
  <c r="AT41" i="2" s="1"/>
  <c r="AR40" i="2"/>
  <c r="AT40" i="2" s="1"/>
  <c r="AR45" i="2"/>
  <c r="AT45" i="2" s="1"/>
  <c r="AR46" i="2"/>
  <c r="AR43" i="2"/>
  <c r="AT43" i="2" s="1"/>
  <c r="AR42" i="2"/>
  <c r="AT42" i="2" s="1"/>
  <c r="E42" i="2" s="1"/>
  <c r="AR19" i="2"/>
  <c r="AT19" i="2" s="1"/>
  <c r="AR69" i="2"/>
  <c r="AR99" i="2"/>
  <c r="AT99" i="2" s="1"/>
  <c r="AR89" i="2"/>
  <c r="AT89" i="2" s="1"/>
  <c r="AR98" i="2"/>
  <c r="AT98" i="2" s="1"/>
  <c r="AR81" i="2"/>
  <c r="AR88" i="2"/>
  <c r="AT88" i="2" s="1"/>
  <c r="E83" i="2" s="1"/>
  <c r="AR90" i="2"/>
  <c r="V92" i="8"/>
  <c r="Y92" i="8" s="1"/>
  <c r="W92" i="8"/>
  <c r="Z92" i="8" s="1"/>
  <c r="V66" i="8"/>
  <c r="Y66" i="8" s="1"/>
  <c r="W66" i="8"/>
  <c r="Z66" i="8" s="1"/>
  <c r="V119" i="8"/>
  <c r="Y119" i="8" s="1"/>
  <c r="W119" i="8"/>
  <c r="Z119" i="8" s="1"/>
  <c r="V124" i="8"/>
  <c r="Y124" i="8" s="1"/>
  <c r="W124" i="8"/>
  <c r="Z124" i="8" s="1"/>
  <c r="V89" i="8"/>
  <c r="Y89" i="8" s="1"/>
  <c r="W89" i="8"/>
  <c r="Z89" i="8" s="1"/>
  <c r="V146" i="8"/>
  <c r="Y146" i="8" s="1"/>
  <c r="W146" i="8"/>
  <c r="Z146" i="8" s="1"/>
  <c r="V61" i="8"/>
  <c r="Y61" i="8" s="1"/>
  <c r="W61" i="8"/>
  <c r="Z61" i="8" s="1"/>
  <c r="V118" i="8"/>
  <c r="Y118" i="8" s="1"/>
  <c r="U118" i="8"/>
  <c r="X118" i="8" s="1"/>
  <c r="B77" i="2"/>
  <c r="AR6" i="2"/>
  <c r="AT6" i="2" s="1"/>
  <c r="E13" i="2" s="1"/>
  <c r="AR39" i="2"/>
  <c r="AT39" i="2" s="1"/>
  <c r="E38" i="2" s="1"/>
  <c r="M143" i="8"/>
  <c r="W143" i="8" s="1"/>
  <c r="Z143" i="8" s="1"/>
  <c r="B41" i="2"/>
  <c r="M142" i="8"/>
  <c r="W142" i="8" s="1"/>
  <c r="Z142" i="8" s="1"/>
  <c r="B52" i="1"/>
  <c r="M147" i="8"/>
  <c r="W147" i="8" s="1"/>
  <c r="Z147" i="8" s="1"/>
  <c r="M148" i="8"/>
  <c r="B34" i="2"/>
  <c r="B56" i="2"/>
  <c r="B57" i="2"/>
  <c r="AR20" i="2"/>
  <c r="B20" i="2"/>
  <c r="AR82" i="2"/>
  <c r="AR83" i="2"/>
  <c r="AR84" i="2"/>
  <c r="AT84" i="2" s="1"/>
  <c r="E79" i="2" s="1"/>
  <c r="AR85" i="2"/>
  <c r="AT85" i="2" s="1"/>
  <c r="E80" i="2" s="1"/>
  <c r="M140" i="8"/>
  <c r="W140" i="8" s="1"/>
  <c r="Z140" i="8" s="1"/>
  <c r="M139" i="8"/>
  <c r="B80" i="1"/>
  <c r="B80" i="2"/>
  <c r="M135" i="8"/>
  <c r="W135" i="8" s="1"/>
  <c r="Z135" i="8" s="1"/>
  <c r="M136" i="8"/>
  <c r="M141" i="8"/>
  <c r="W141" i="8" s="1"/>
  <c r="Z141" i="8" s="1"/>
  <c r="M144" i="8"/>
  <c r="W144" i="8" s="1"/>
  <c r="Z144" i="8" s="1"/>
  <c r="M145" i="8"/>
  <c r="U146" i="8"/>
  <c r="X146" i="8" s="1"/>
  <c r="B79" i="2"/>
  <c r="B78" i="1"/>
  <c r="B79" i="1"/>
  <c r="M137" i="8"/>
  <c r="M134" i="8"/>
  <c r="W134" i="8" s="1"/>
  <c r="Z134" i="8" s="1"/>
  <c r="B78" i="2"/>
  <c r="B77" i="1"/>
  <c r="B48" i="1"/>
  <c r="B53" i="2"/>
  <c r="AR57" i="2"/>
  <c r="B52" i="2"/>
  <c r="M122" i="8"/>
  <c r="W122" i="8" s="1"/>
  <c r="Z122" i="8" s="1"/>
  <c r="M123" i="8"/>
  <c r="B51" i="2"/>
  <c r="B49" i="1"/>
  <c r="AR56" i="2"/>
  <c r="B47" i="1"/>
  <c r="B50" i="2"/>
  <c r="B46" i="1"/>
  <c r="AR55" i="2"/>
  <c r="B85" i="1"/>
  <c r="AK10" i="2"/>
  <c r="B57" i="1"/>
  <c r="B85" i="2"/>
  <c r="AR61" i="2"/>
  <c r="AT61" i="2" s="1"/>
  <c r="E56" i="2" s="1"/>
  <c r="B83" i="1"/>
  <c r="B83" i="2"/>
  <c r="B84" i="2"/>
  <c r="M102" i="8"/>
  <c r="W102" i="8" s="1"/>
  <c r="Z102" i="8" s="1"/>
  <c r="B84" i="1"/>
  <c r="M63" i="8"/>
  <c r="W63" i="8" s="1"/>
  <c r="Z63" i="8" s="1"/>
  <c r="M82" i="8"/>
  <c r="W82" i="8" s="1"/>
  <c r="Z82" i="8" s="1"/>
  <c r="M70" i="8"/>
  <c r="W70" i="8" s="1"/>
  <c r="Z70" i="8" s="1"/>
  <c r="M76" i="8"/>
  <c r="W76" i="8" s="1"/>
  <c r="Z76" i="8" s="1"/>
  <c r="M95" i="8"/>
  <c r="W95" i="8" s="1"/>
  <c r="Z95" i="8" s="1"/>
  <c r="U119" i="8"/>
  <c r="X119" i="8" s="1"/>
  <c r="B45" i="1"/>
  <c r="B7" i="1"/>
  <c r="AR58" i="2"/>
  <c r="M100" i="8"/>
  <c r="W100" i="8" s="1"/>
  <c r="Z100" i="8" s="1"/>
  <c r="M71" i="8"/>
  <c r="W71" i="8" s="1"/>
  <c r="Z71" i="8" s="1"/>
  <c r="M83" i="8"/>
  <c r="W83" i="8" s="1"/>
  <c r="Z83" i="8" s="1"/>
  <c r="M90" i="8"/>
  <c r="W90" i="8" s="1"/>
  <c r="Z90" i="8" s="1"/>
  <c r="M103" i="8"/>
  <c r="W103" i="8" s="1"/>
  <c r="Z103" i="8" s="1"/>
  <c r="M77" i="8"/>
  <c r="W77" i="8" s="1"/>
  <c r="Z77" i="8" s="1"/>
  <c r="M96" i="8"/>
  <c r="W96" i="8" s="1"/>
  <c r="Z96" i="8" s="1"/>
  <c r="M68" i="8"/>
  <c r="W68" i="8" s="1"/>
  <c r="Z68" i="8" s="1"/>
  <c r="M74" i="8"/>
  <c r="W74" i="8" s="1"/>
  <c r="Z74" i="8" s="1"/>
  <c r="M80" i="8"/>
  <c r="W80" i="8" s="1"/>
  <c r="Z80" i="8" s="1"/>
  <c r="M86" i="8"/>
  <c r="W86" i="8" s="1"/>
  <c r="Z86" i="8" s="1"/>
  <c r="M93" i="8"/>
  <c r="W93" i="8" s="1"/>
  <c r="Z93" i="8" s="1"/>
  <c r="M78" i="8"/>
  <c r="W78" i="8" s="1"/>
  <c r="Z78" i="8" s="1"/>
  <c r="M84" i="8"/>
  <c r="W84" i="8" s="1"/>
  <c r="Z84" i="8" s="1"/>
  <c r="M104" i="8"/>
  <c r="W104" i="8" s="1"/>
  <c r="Z104" i="8" s="1"/>
  <c r="M67" i="8"/>
  <c r="W67" i="8" s="1"/>
  <c r="Z67" i="8" s="1"/>
  <c r="M73" i="8"/>
  <c r="W73" i="8" s="1"/>
  <c r="Z73" i="8" s="1"/>
  <c r="M79" i="8"/>
  <c r="W79" i="8" s="1"/>
  <c r="Z79" i="8" s="1"/>
  <c r="M85" i="8"/>
  <c r="W85" i="8" s="1"/>
  <c r="Z85" i="8" s="1"/>
  <c r="U92" i="8"/>
  <c r="X92" i="8" s="1"/>
  <c r="M98" i="8"/>
  <c r="W98" i="8" s="1"/>
  <c r="Z98" i="8" s="1"/>
  <c r="M99" i="8"/>
  <c r="M64" i="8"/>
  <c r="W64" i="8" s="1"/>
  <c r="Z64" i="8" s="1"/>
  <c r="M65" i="8"/>
  <c r="M72" i="8"/>
  <c r="W72" i="8" s="1"/>
  <c r="Z72" i="8" s="1"/>
  <c r="M97" i="8"/>
  <c r="W97" i="8" s="1"/>
  <c r="Z97" i="8" s="1"/>
  <c r="M62" i="8"/>
  <c r="W62" i="8" s="1"/>
  <c r="Z62" i="8" s="1"/>
  <c r="M69" i="8"/>
  <c r="W69" i="8" s="1"/>
  <c r="Z69" i="8" s="1"/>
  <c r="M75" i="8"/>
  <c r="W75" i="8" s="1"/>
  <c r="Z75" i="8" s="1"/>
  <c r="M81" i="8"/>
  <c r="W81" i="8" s="1"/>
  <c r="Z81" i="8" s="1"/>
  <c r="M87" i="8"/>
  <c r="W87" i="8" s="1"/>
  <c r="Z87" i="8" s="1"/>
  <c r="M88" i="8"/>
  <c r="M94" i="8"/>
  <c r="W94" i="8" s="1"/>
  <c r="Z94" i="8" s="1"/>
  <c r="M101" i="8"/>
  <c r="W101" i="8" s="1"/>
  <c r="Z101" i="8" s="1"/>
  <c r="M91" i="8"/>
  <c r="B75" i="1"/>
  <c r="B76" i="1"/>
  <c r="B81" i="1"/>
  <c r="AR80" i="2"/>
  <c r="AT80" i="2" s="1"/>
  <c r="E75" i="2" s="1"/>
  <c r="B75" i="2"/>
  <c r="B76" i="2"/>
  <c r="M114" i="8"/>
  <c r="W114" i="8" s="1"/>
  <c r="Z114" i="8" s="1"/>
  <c r="M110" i="8"/>
  <c r="W110" i="8" s="1"/>
  <c r="Z110" i="8" s="1"/>
  <c r="M113" i="8"/>
  <c r="W113" i="8" s="1"/>
  <c r="Z113" i="8" s="1"/>
  <c r="M108" i="8"/>
  <c r="W108" i="8" s="1"/>
  <c r="Z108" i="8" s="1"/>
  <c r="B53" i="1"/>
  <c r="B54" i="1"/>
  <c r="M116" i="8"/>
  <c r="W116" i="8" s="1"/>
  <c r="Z116" i="8" s="1"/>
  <c r="M117" i="8"/>
  <c r="M105" i="8"/>
  <c r="W105" i="8" s="1"/>
  <c r="Z105" i="8" s="1"/>
  <c r="M111" i="8"/>
  <c r="W111" i="8" s="1"/>
  <c r="Z111" i="8" s="1"/>
  <c r="M106" i="8"/>
  <c r="W106" i="8" s="1"/>
  <c r="Z106" i="8" s="1"/>
  <c r="M112" i="8"/>
  <c r="W112" i="8" s="1"/>
  <c r="Z112" i="8" s="1"/>
  <c r="M107" i="8"/>
  <c r="W107" i="8" s="1"/>
  <c r="Z107" i="8" s="1"/>
  <c r="M109" i="8"/>
  <c r="W109" i="8" s="1"/>
  <c r="Z109" i="8" s="1"/>
  <c r="M115" i="8"/>
  <c r="W115" i="8" s="1"/>
  <c r="Z115" i="8" s="1"/>
  <c r="B74" i="1"/>
  <c r="B73" i="1"/>
  <c r="M121" i="8"/>
  <c r="W121" i="8" s="1"/>
  <c r="Z121" i="8" s="1"/>
  <c r="M128" i="8"/>
  <c r="W128" i="8" s="1"/>
  <c r="Z128" i="8" s="1"/>
  <c r="M120" i="8"/>
  <c r="W120" i="8" s="1"/>
  <c r="Z120" i="8" s="1"/>
  <c r="AR78" i="2"/>
  <c r="B74" i="2"/>
  <c r="AR79" i="2"/>
  <c r="B73" i="2"/>
  <c r="B72" i="1"/>
  <c r="AR77" i="2"/>
  <c r="U124" i="8"/>
  <c r="X124" i="8" s="1"/>
  <c r="B21" i="2"/>
  <c r="B72" i="2"/>
  <c r="AR34" i="2"/>
  <c r="AR11" i="2"/>
  <c r="AR30" i="2"/>
  <c r="AR38" i="2"/>
  <c r="AR25" i="2"/>
  <c r="AR60" i="2"/>
  <c r="AT60" i="2" s="1"/>
  <c r="AR67" i="2"/>
  <c r="AT67" i="2" s="1"/>
  <c r="E62" i="2" s="1"/>
  <c r="AR73" i="2"/>
  <c r="AR91" i="2"/>
  <c r="AR97" i="2"/>
  <c r="AR103" i="2"/>
  <c r="AT103" i="2" s="1"/>
  <c r="AR109" i="2"/>
  <c r="AT109" i="2" s="1"/>
  <c r="B12" i="2"/>
  <c r="AR33" i="2"/>
  <c r="AR72" i="2"/>
  <c r="AR108" i="2"/>
  <c r="AT108" i="2" s="1"/>
  <c r="AR8" i="2"/>
  <c r="AR14" i="2"/>
  <c r="AR21" i="2"/>
  <c r="AR12" i="2"/>
  <c r="AR31" i="2"/>
  <c r="AT31" i="2" s="1"/>
  <c r="AR47" i="2"/>
  <c r="AR9" i="2"/>
  <c r="AR62" i="2"/>
  <c r="AT62" i="2" s="1"/>
  <c r="E57" i="2" s="1"/>
  <c r="AR68" i="2"/>
  <c r="AR74" i="2"/>
  <c r="AR92" i="2"/>
  <c r="AR104" i="2"/>
  <c r="AT104" i="2" s="1"/>
  <c r="AR110" i="2"/>
  <c r="AT110" i="2" s="1"/>
  <c r="AR7" i="2"/>
  <c r="AT7" i="2" s="1"/>
  <c r="E6" i="2" s="1"/>
  <c r="AR18" i="2"/>
  <c r="AR15" i="2"/>
  <c r="AR87" i="2"/>
  <c r="AT87" i="2" s="1"/>
  <c r="E82" i="2" s="1"/>
  <c r="AR52" i="2"/>
  <c r="AR16" i="2"/>
  <c r="AR51" i="2"/>
  <c r="AR35" i="2"/>
  <c r="AR32" i="2"/>
  <c r="AR48" i="2"/>
  <c r="AR28" i="2"/>
  <c r="AR63" i="2"/>
  <c r="AT63" i="2" s="1"/>
  <c r="AR75" i="2"/>
  <c r="AR93" i="2"/>
  <c r="AR105" i="2"/>
  <c r="AT105" i="2" s="1"/>
  <c r="AR24" i="2"/>
  <c r="AT24" i="2" s="1"/>
  <c r="AR59" i="2"/>
  <c r="AR96" i="2"/>
  <c r="AR10" i="2"/>
  <c r="AR26" i="2"/>
  <c r="AR22" i="2"/>
  <c r="AR29" i="2"/>
  <c r="AR36" i="2"/>
  <c r="AR49" i="2"/>
  <c r="AR53" i="2"/>
  <c r="AR64" i="2"/>
  <c r="AT64" i="2" s="1"/>
  <c r="E59" i="2" s="1"/>
  <c r="AR70" i="2"/>
  <c r="AR76" i="2"/>
  <c r="AR94" i="2"/>
  <c r="AR100" i="2"/>
  <c r="AT100" i="2" s="1"/>
  <c r="AR106" i="2"/>
  <c r="AT106" i="2" s="1"/>
  <c r="AR44" i="2"/>
  <c r="AT44" i="2" s="1"/>
  <c r="E25" i="2" s="1"/>
  <c r="AR66" i="2"/>
  <c r="AT66" i="2" s="1"/>
  <c r="AR102" i="2"/>
  <c r="AT102" i="2" s="1"/>
  <c r="AR27" i="2"/>
  <c r="AR17" i="2"/>
  <c r="AR23" i="2"/>
  <c r="AR13" i="2"/>
  <c r="AR37" i="2"/>
  <c r="AR50" i="2"/>
  <c r="AR54" i="2"/>
  <c r="AR65" i="2"/>
  <c r="AT65" i="2" s="1"/>
  <c r="AR71" i="2"/>
  <c r="AR86" i="2"/>
  <c r="AT86" i="2" s="1"/>
  <c r="E81" i="2" s="1"/>
  <c r="AR95" i="2"/>
  <c r="AR101" i="2"/>
  <c r="AT101" i="2" s="1"/>
  <c r="AR107" i="2"/>
  <c r="AT107" i="2" s="1"/>
  <c r="M127" i="8"/>
  <c r="M129" i="8"/>
  <c r="W129" i="8" s="1"/>
  <c r="Z129" i="8" s="1"/>
  <c r="HZ4" i="1"/>
  <c r="IC4" i="1" s="1"/>
  <c r="IF4" i="1" s="1"/>
  <c r="II4" i="1" s="1"/>
  <c r="U66" i="8"/>
  <c r="X66" i="8" s="1"/>
  <c r="B95" i="1"/>
  <c r="M60" i="8"/>
  <c r="B71" i="2"/>
  <c r="U61" i="8"/>
  <c r="X61" i="8" s="1"/>
  <c r="U89" i="8"/>
  <c r="X89" i="8" s="1"/>
  <c r="B71" i="1"/>
  <c r="DD5" i="1"/>
  <c r="DD99" i="1" s="1"/>
  <c r="B35" i="1"/>
  <c r="B55" i="1"/>
  <c r="B6" i="1"/>
  <c r="DH5" i="1"/>
  <c r="DH99" i="1" s="1"/>
  <c r="B18" i="1"/>
  <c r="B19" i="1"/>
  <c r="B25" i="1"/>
  <c r="B9" i="1"/>
  <c r="B21" i="1"/>
  <c r="B93" i="1"/>
  <c r="AZ93" i="1" s="1"/>
  <c r="B92" i="1"/>
  <c r="AZ92" i="1" s="1"/>
  <c r="B10" i="1"/>
  <c r="B22" i="1"/>
  <c r="B8" i="1"/>
  <c r="B11" i="1"/>
  <c r="B24" i="1"/>
  <c r="B12" i="1"/>
  <c r="B90" i="2"/>
  <c r="B50" i="1"/>
  <c r="B20" i="1"/>
  <c r="B13" i="1"/>
  <c r="B27" i="1"/>
  <c r="B67" i="1"/>
  <c r="B14" i="1"/>
  <c r="B31" i="1"/>
  <c r="B55" i="2"/>
  <c r="B88" i="2"/>
  <c r="B15" i="1"/>
  <c r="B33" i="1"/>
  <c r="B16" i="1"/>
  <c r="B34" i="1"/>
  <c r="B13" i="2"/>
  <c r="B17" i="1"/>
  <c r="B38" i="1"/>
  <c r="B10" i="2"/>
  <c r="B29" i="2"/>
  <c r="B49" i="2"/>
  <c r="B70" i="2"/>
  <c r="B47" i="2"/>
  <c r="B56" i="1"/>
  <c r="B42" i="2"/>
  <c r="B60" i="1"/>
  <c r="B82" i="1"/>
  <c r="B8" i="2"/>
  <c r="B66" i="2"/>
  <c r="B39" i="2"/>
  <c r="B33" i="2"/>
  <c r="B22" i="2"/>
  <c r="B7" i="2"/>
  <c r="B89" i="1"/>
  <c r="AZ89" i="1" s="1"/>
  <c r="B68" i="1"/>
  <c r="B30" i="1"/>
  <c r="B87" i="2"/>
  <c r="B69" i="2"/>
  <c r="B67" i="2"/>
  <c r="B64" i="2"/>
  <c r="B60" i="2"/>
  <c r="B48" i="2"/>
  <c r="B31" i="2"/>
  <c r="B28" i="2"/>
  <c r="B26" i="2"/>
  <c r="B24" i="2"/>
  <c r="B59" i="1"/>
  <c r="B51" i="1"/>
  <c r="B62" i="2"/>
  <c r="B46" i="2"/>
  <c r="B44" i="2"/>
  <c r="B36" i="2"/>
  <c r="B90" i="1"/>
  <c r="AZ90" i="1" s="1"/>
  <c r="B58" i="1"/>
  <c r="B44" i="1"/>
  <c r="B37" i="1"/>
  <c r="B32" i="1"/>
  <c r="B81" i="2"/>
  <c r="B38" i="2"/>
  <c r="B16" i="2"/>
  <c r="B63" i="1"/>
  <c r="B61" i="1"/>
  <c r="B43" i="1"/>
  <c r="B41" i="1"/>
  <c r="B91" i="2"/>
  <c r="B89" i="2"/>
  <c r="B54" i="2"/>
  <c r="B40" i="2"/>
  <c r="B11" i="2"/>
  <c r="B9" i="2"/>
  <c r="B6" i="2"/>
  <c r="B94" i="1"/>
  <c r="B62" i="1"/>
  <c r="B40" i="1"/>
  <c r="B93" i="2"/>
  <c r="B59" i="2"/>
  <c r="B30" i="2"/>
  <c r="B18" i="2"/>
  <c r="B14" i="2"/>
  <c r="B91" i="1"/>
  <c r="B86" i="1"/>
  <c r="B64" i="1"/>
  <c r="B86" i="2"/>
  <c r="B68" i="2"/>
  <c r="B27" i="2"/>
  <c r="B23" i="2"/>
  <c r="B42" i="1"/>
  <c r="B26" i="1"/>
  <c r="B23" i="1"/>
  <c r="B45" i="2"/>
  <c r="B43" i="2"/>
  <c r="B35" i="2"/>
  <c r="B32" i="2"/>
  <c r="B25" i="2"/>
  <c r="B69" i="1"/>
  <c r="B65" i="1"/>
  <c r="B39" i="1"/>
  <c r="B36" i="1"/>
  <c r="B29" i="1"/>
  <c r="B28" i="1"/>
  <c r="B92" i="2"/>
  <c r="B82" i="2"/>
  <c r="B65" i="2"/>
  <c r="B58" i="2"/>
  <c r="B17" i="2"/>
  <c r="B15" i="2"/>
  <c r="B88" i="1"/>
  <c r="B70" i="1"/>
  <c r="B66" i="1"/>
  <c r="B19" i="2"/>
  <c r="B63" i="2"/>
  <c r="B37" i="2"/>
  <c r="B61" i="2"/>
  <c r="B87" i="1"/>
  <c r="FS4" i="1"/>
  <c r="FV4" i="1" s="1"/>
  <c r="FY4" i="1" s="1"/>
  <c r="GB4" i="1" s="1"/>
  <c r="GE4" i="1" s="1"/>
  <c r="GH4" i="1" s="1"/>
  <c r="GK4" i="1" s="1"/>
  <c r="GN4" i="1" s="1"/>
  <c r="GQ4" i="1" s="1"/>
  <c r="GT4" i="1" s="1"/>
  <c r="FB4" i="1"/>
  <c r="FE4" i="1" s="1"/>
  <c r="FH4" i="1" s="1"/>
  <c r="FK4" i="1" s="1"/>
  <c r="FN4" i="1" s="1"/>
  <c r="FQ4" i="1" s="1"/>
  <c r="FT4" i="1" s="1"/>
  <c r="FW4" i="1" s="1"/>
  <c r="FZ4" i="1" s="1"/>
  <c r="GC4" i="1" s="1"/>
  <c r="GF4" i="1" s="1"/>
  <c r="GI4" i="1" s="1"/>
  <c r="GL4" i="1" s="1"/>
  <c r="GO4" i="1" s="1"/>
  <c r="GR4" i="1" s="1"/>
  <c r="GU4" i="1" s="1"/>
  <c r="GX4" i="1" s="1"/>
  <c r="HA4" i="1" s="1"/>
  <c r="HD4" i="1" s="1"/>
  <c r="HG4" i="1" s="1"/>
  <c r="HJ4" i="1" s="1"/>
  <c r="HM4" i="1" s="1"/>
  <c r="HP4" i="1" s="1"/>
  <c r="HS4" i="1" s="1"/>
  <c r="HV4" i="1" s="1"/>
  <c r="DK5" i="1"/>
  <c r="DM5" i="1" s="1"/>
  <c r="DM99" i="1" s="1"/>
  <c r="DN3" i="1"/>
  <c r="DB99" i="1"/>
  <c r="DC5" i="1"/>
  <c r="O92" i="8" l="1"/>
  <c r="E43" i="2"/>
  <c r="E40" i="2"/>
  <c r="E41" i="2"/>
  <c r="E28" i="2"/>
  <c r="E30" i="2"/>
  <c r="E18" i="2"/>
  <c r="E19" i="2"/>
  <c r="AT50" i="2"/>
  <c r="AT15" i="2"/>
  <c r="E44" i="2" s="1"/>
  <c r="AT12" i="2"/>
  <c r="E27" i="2" s="1"/>
  <c r="AT13" i="2"/>
  <c r="E12" i="2" s="1"/>
  <c r="AT16" i="2"/>
  <c r="E15" i="2" s="1"/>
  <c r="AT9" i="2"/>
  <c r="E46" i="2" s="1"/>
  <c r="AT8" i="2"/>
  <c r="E8" i="2" s="1"/>
  <c r="AT25" i="2"/>
  <c r="AT79" i="2"/>
  <c r="E74" i="2" s="1"/>
  <c r="AT55" i="2"/>
  <c r="E54" i="2" s="1"/>
  <c r="AT81" i="2"/>
  <c r="E76" i="2" s="1"/>
  <c r="AT71" i="2"/>
  <c r="E66" i="2" s="1"/>
  <c r="AT23" i="2"/>
  <c r="E22" i="2" s="1"/>
  <c r="AT53" i="2"/>
  <c r="AT10" i="2"/>
  <c r="E10" i="2" s="1"/>
  <c r="AT75" i="2"/>
  <c r="E70" i="2" s="1"/>
  <c r="AT17" i="2"/>
  <c r="E17" i="2" s="1"/>
  <c r="AT49" i="2"/>
  <c r="AT96" i="2"/>
  <c r="E91" i="2" s="1"/>
  <c r="AT54" i="2"/>
  <c r="E53" i="2" s="1"/>
  <c r="AT27" i="2"/>
  <c r="AT94" i="2"/>
  <c r="E89" i="2" s="1"/>
  <c r="AT36" i="2"/>
  <c r="E35" i="2" s="1"/>
  <c r="AT59" i="2"/>
  <c r="E58" i="2" s="1"/>
  <c r="AT28" i="2"/>
  <c r="E47" i="2" s="1"/>
  <c r="AT52" i="2"/>
  <c r="E9" i="2" s="1"/>
  <c r="AT47" i="2"/>
  <c r="AT97" i="2"/>
  <c r="E92" i="2" s="1"/>
  <c r="AT38" i="2"/>
  <c r="AT76" i="2"/>
  <c r="E71" i="2" s="1"/>
  <c r="AT29" i="2"/>
  <c r="AT48" i="2"/>
  <c r="AT92" i="2"/>
  <c r="E87" i="2" s="1"/>
  <c r="E33" i="2"/>
  <c r="AT72" i="2"/>
  <c r="E67" i="2" s="1"/>
  <c r="AT91" i="2"/>
  <c r="E86" i="2" s="1"/>
  <c r="AT30" i="2"/>
  <c r="E29" i="2" s="1"/>
  <c r="AT78" i="2"/>
  <c r="E73" i="2" s="1"/>
  <c r="AT83" i="2"/>
  <c r="E78" i="2" s="1"/>
  <c r="AT46" i="2"/>
  <c r="AT82" i="2"/>
  <c r="E77" i="2" s="1"/>
  <c r="AT95" i="2"/>
  <c r="E90" i="2" s="1"/>
  <c r="AT37" i="2"/>
  <c r="E36" i="2" s="1"/>
  <c r="AT70" i="2"/>
  <c r="E65" i="2" s="1"/>
  <c r="AT22" i="2"/>
  <c r="E23" i="2" s="1"/>
  <c r="AT32" i="2"/>
  <c r="AT74" i="2"/>
  <c r="E69" i="2" s="1"/>
  <c r="AT33" i="2"/>
  <c r="E32" i="2" s="1"/>
  <c r="AT73" i="2"/>
  <c r="E68" i="2" s="1"/>
  <c r="AT11" i="2"/>
  <c r="E26" i="2" s="1"/>
  <c r="AT77" i="2"/>
  <c r="E72" i="2" s="1"/>
  <c r="AT26" i="2"/>
  <c r="AT93" i="2"/>
  <c r="E88" i="2" s="1"/>
  <c r="AT35" i="2"/>
  <c r="AT18" i="2"/>
  <c r="AT68" i="2"/>
  <c r="E63" i="2" s="1"/>
  <c r="AT21" i="2"/>
  <c r="E20" i="2" s="1"/>
  <c r="AT56" i="2"/>
  <c r="AT57" i="2"/>
  <c r="AT90" i="2"/>
  <c r="E85" i="2" s="1"/>
  <c r="AT69" i="2"/>
  <c r="E64" i="2" s="1"/>
  <c r="AT51" i="2"/>
  <c r="AT14" i="2"/>
  <c r="E14" i="2" s="1"/>
  <c r="AT34" i="2"/>
  <c r="AT58" i="2"/>
  <c r="AT20" i="2"/>
  <c r="E21" i="2" s="1"/>
  <c r="AS43" i="2"/>
  <c r="AS42" i="2"/>
  <c r="AV43" i="2"/>
  <c r="AV42" i="2"/>
  <c r="AL42" i="2"/>
  <c r="AM42" i="2"/>
  <c r="AN42" i="2"/>
  <c r="AQ42" i="2"/>
  <c r="AO42" i="2"/>
  <c r="BA39" i="1"/>
  <c r="AZ39" i="1"/>
  <c r="BA23" i="1"/>
  <c r="AZ23" i="1"/>
  <c r="BA86" i="1"/>
  <c r="AZ86" i="1"/>
  <c r="BA62" i="1"/>
  <c r="AZ62" i="1"/>
  <c r="AZ32" i="1"/>
  <c r="BA32" i="1"/>
  <c r="AZ17" i="1"/>
  <c r="BA17" i="1"/>
  <c r="BA31" i="1"/>
  <c r="AZ31" i="1"/>
  <c r="AZ12" i="1"/>
  <c r="BA12" i="1"/>
  <c r="BA21" i="1"/>
  <c r="AZ21" i="1"/>
  <c r="AZ35" i="1"/>
  <c r="BA35" i="1"/>
  <c r="AZ74" i="1"/>
  <c r="BA74" i="1"/>
  <c r="BA47" i="1"/>
  <c r="AZ47" i="1"/>
  <c r="AZ80" i="1"/>
  <c r="BA80" i="1"/>
  <c r="AZ65" i="1"/>
  <c r="BA65" i="1"/>
  <c r="AZ26" i="1"/>
  <c r="BA26" i="1"/>
  <c r="BA91" i="1"/>
  <c r="AZ91" i="1"/>
  <c r="BA94" i="1"/>
  <c r="AZ94" i="1"/>
  <c r="AZ41" i="1"/>
  <c r="BA41" i="1"/>
  <c r="BA37" i="1"/>
  <c r="AZ37" i="1"/>
  <c r="AZ51" i="1"/>
  <c r="BA51" i="1"/>
  <c r="AZ56" i="1"/>
  <c r="BA56" i="1"/>
  <c r="BA14" i="1"/>
  <c r="AZ14" i="1"/>
  <c r="AZ24" i="1"/>
  <c r="BA24" i="1"/>
  <c r="AZ9" i="1"/>
  <c r="BA9" i="1"/>
  <c r="AZ48" i="1"/>
  <c r="BA48" i="1"/>
  <c r="BA54" i="1"/>
  <c r="AZ54" i="1"/>
  <c r="AZ57" i="1"/>
  <c r="BA57" i="1"/>
  <c r="AZ49" i="1"/>
  <c r="BA49" i="1"/>
  <c r="BA77" i="1"/>
  <c r="AZ77" i="1"/>
  <c r="AZ61" i="1"/>
  <c r="IJ61" i="1" s="1"/>
  <c r="BA61" i="1"/>
  <c r="IM61" i="1" s="1"/>
  <c r="AZ8" i="1"/>
  <c r="BA8" i="1"/>
  <c r="BA53" i="1"/>
  <c r="AZ53" i="1"/>
  <c r="BA7" i="1"/>
  <c r="AZ7" i="1"/>
  <c r="AZ84" i="1"/>
  <c r="BA84" i="1"/>
  <c r="AZ58" i="1"/>
  <c r="BA58" i="1"/>
  <c r="AZ16" i="1"/>
  <c r="BA16" i="1"/>
  <c r="AZ27" i="1"/>
  <c r="BA27" i="1"/>
  <c r="AZ19" i="1"/>
  <c r="BA19" i="1"/>
  <c r="AZ66" i="1"/>
  <c r="BA66" i="1"/>
  <c r="BA63" i="1"/>
  <c r="AZ63" i="1"/>
  <c r="AZ33" i="1"/>
  <c r="BA33" i="1"/>
  <c r="BA13" i="1"/>
  <c r="AZ13" i="1"/>
  <c r="BA22" i="1"/>
  <c r="AZ22" i="1"/>
  <c r="AZ18" i="1"/>
  <c r="BA18" i="1"/>
  <c r="AZ81" i="1"/>
  <c r="BA81" i="1"/>
  <c r="BA45" i="1"/>
  <c r="AZ45" i="1"/>
  <c r="BA85" i="1"/>
  <c r="AZ85" i="1"/>
  <c r="AZ76" i="1"/>
  <c r="BA76" i="1"/>
  <c r="AZ75" i="1"/>
  <c r="BA75" i="1"/>
  <c r="BA46" i="1"/>
  <c r="AZ46" i="1"/>
  <c r="BA79" i="1"/>
  <c r="AZ79" i="1"/>
  <c r="AZ52" i="1"/>
  <c r="BA52" i="1"/>
  <c r="AZ69" i="1"/>
  <c r="BA69" i="1"/>
  <c r="AZ42" i="1"/>
  <c r="BA42" i="1"/>
  <c r="AZ43" i="1"/>
  <c r="BA43" i="1"/>
  <c r="AZ44" i="1"/>
  <c r="BA44" i="1"/>
  <c r="AZ59" i="1"/>
  <c r="BA59" i="1"/>
  <c r="AZ34" i="1"/>
  <c r="BA34" i="1"/>
  <c r="AZ67" i="1"/>
  <c r="BA67" i="1"/>
  <c r="AZ11" i="1"/>
  <c r="BA11" i="1"/>
  <c r="AZ25" i="1"/>
  <c r="BA25" i="1"/>
  <c r="BA71" i="1"/>
  <c r="AZ71" i="1"/>
  <c r="BA70" i="1"/>
  <c r="AZ70" i="1"/>
  <c r="AZ28" i="1"/>
  <c r="BA28" i="1"/>
  <c r="BA30" i="1"/>
  <c r="AZ30" i="1"/>
  <c r="BA15" i="1"/>
  <c r="AZ15" i="1"/>
  <c r="AZ20" i="1"/>
  <c r="BA20" i="1"/>
  <c r="AZ10" i="1"/>
  <c r="BA10" i="1"/>
  <c r="AZ88" i="1"/>
  <c r="BA88" i="1"/>
  <c r="BA29" i="1"/>
  <c r="AZ29" i="1"/>
  <c r="AZ68" i="1"/>
  <c r="BA68" i="1"/>
  <c r="AZ82" i="1"/>
  <c r="BA82" i="1"/>
  <c r="AZ50" i="1"/>
  <c r="BA50" i="1"/>
  <c r="AX6" i="1"/>
  <c r="BA6" i="1"/>
  <c r="AZ6" i="1"/>
  <c r="BA87" i="1"/>
  <c r="AZ87" i="1"/>
  <c r="AZ36" i="1"/>
  <c r="BA36" i="1"/>
  <c r="AZ64" i="1"/>
  <c r="BA64" i="1"/>
  <c r="AZ40" i="1"/>
  <c r="BA40" i="1"/>
  <c r="AZ60" i="1"/>
  <c r="IJ60" i="1" s="1"/>
  <c r="BA60" i="1"/>
  <c r="IM60" i="1" s="1"/>
  <c r="BA38" i="1"/>
  <c r="AZ38" i="1"/>
  <c r="BA55" i="1"/>
  <c r="AZ55" i="1"/>
  <c r="AZ95" i="1"/>
  <c r="BA95" i="1"/>
  <c r="AZ72" i="1"/>
  <c r="BA72" i="1"/>
  <c r="AZ73" i="1"/>
  <c r="BA73" i="1"/>
  <c r="AZ83" i="1"/>
  <c r="BA83" i="1"/>
  <c r="BA78" i="1"/>
  <c r="AZ78" i="1"/>
  <c r="AQ34" i="2"/>
  <c r="O66" i="8"/>
  <c r="O124" i="8"/>
  <c r="O61" i="8"/>
  <c r="O119" i="8"/>
  <c r="O89" i="8"/>
  <c r="O146" i="8"/>
  <c r="S146" i="8" s="1"/>
  <c r="O118" i="8"/>
  <c r="R118" i="8" s="1"/>
  <c r="V127" i="8"/>
  <c r="Y127" i="8" s="1"/>
  <c r="W127" i="8"/>
  <c r="Z127" i="8" s="1"/>
  <c r="V91" i="8"/>
  <c r="Y91" i="8" s="1"/>
  <c r="W91" i="8"/>
  <c r="Z91" i="8" s="1"/>
  <c r="V145" i="8"/>
  <c r="Y145" i="8" s="1"/>
  <c r="W145" i="8"/>
  <c r="Z145" i="8" s="1"/>
  <c r="V123" i="8"/>
  <c r="Y123" i="8" s="1"/>
  <c r="W123" i="8"/>
  <c r="Z123" i="8" s="1"/>
  <c r="V137" i="8"/>
  <c r="Y137" i="8" s="1"/>
  <c r="W137" i="8"/>
  <c r="Z137" i="8" s="1"/>
  <c r="V148" i="8"/>
  <c r="Y148" i="8" s="1"/>
  <c r="W148" i="8"/>
  <c r="Z148" i="8" s="1"/>
  <c r="V117" i="8"/>
  <c r="Y117" i="8" s="1"/>
  <c r="W117" i="8"/>
  <c r="Z117" i="8" s="1"/>
  <c r="V139" i="8"/>
  <c r="Y139" i="8" s="1"/>
  <c r="W139" i="8"/>
  <c r="Z139" i="8" s="1"/>
  <c r="V88" i="8"/>
  <c r="Y88" i="8" s="1"/>
  <c r="W88" i="8"/>
  <c r="Z88" i="8" s="1"/>
  <c r="V65" i="8"/>
  <c r="Y65" i="8" s="1"/>
  <c r="W65" i="8"/>
  <c r="Z65" i="8" s="1"/>
  <c r="V136" i="8"/>
  <c r="Y136" i="8" s="1"/>
  <c r="W136" i="8"/>
  <c r="Z136" i="8" s="1"/>
  <c r="V99" i="8"/>
  <c r="Y99" i="8" s="1"/>
  <c r="W99" i="8"/>
  <c r="Z99" i="8" s="1"/>
  <c r="V60" i="8"/>
  <c r="Y60" i="8" s="1"/>
  <c r="W60" i="8"/>
  <c r="Z60" i="8" s="1"/>
  <c r="U60" i="8"/>
  <c r="X60" i="8" s="1"/>
  <c r="U107" i="8"/>
  <c r="X107" i="8" s="1"/>
  <c r="V107" i="8"/>
  <c r="Y107" i="8" s="1"/>
  <c r="V94" i="8"/>
  <c r="Y94" i="8" s="1"/>
  <c r="V72" i="8"/>
  <c r="Y72" i="8" s="1"/>
  <c r="U73" i="8"/>
  <c r="X73" i="8" s="1"/>
  <c r="V73" i="8"/>
  <c r="Y73" i="8" s="1"/>
  <c r="V74" i="8"/>
  <c r="Y74" i="8" s="1"/>
  <c r="U100" i="8"/>
  <c r="X100" i="8" s="1"/>
  <c r="V100" i="8"/>
  <c r="Y100" i="8" s="1"/>
  <c r="V70" i="8"/>
  <c r="Y70" i="8" s="1"/>
  <c r="V122" i="8"/>
  <c r="Y122" i="8" s="1"/>
  <c r="U141" i="8"/>
  <c r="X141" i="8" s="1"/>
  <c r="V141" i="8"/>
  <c r="Y141" i="8" s="1"/>
  <c r="V128" i="8"/>
  <c r="Y128" i="8" s="1"/>
  <c r="U135" i="8"/>
  <c r="X135" i="8" s="1"/>
  <c r="V135" i="8"/>
  <c r="Y135" i="8" s="1"/>
  <c r="V120" i="8"/>
  <c r="Y120" i="8" s="1"/>
  <c r="V112" i="8"/>
  <c r="Y112" i="8" s="1"/>
  <c r="U108" i="8"/>
  <c r="X108" i="8" s="1"/>
  <c r="V108" i="8"/>
  <c r="Y108" i="8" s="1"/>
  <c r="U67" i="8"/>
  <c r="X67" i="8" s="1"/>
  <c r="V67" i="8"/>
  <c r="Y67" i="8" s="1"/>
  <c r="U68" i="8"/>
  <c r="X68" i="8" s="1"/>
  <c r="V68" i="8"/>
  <c r="Y68" i="8" s="1"/>
  <c r="U82" i="8"/>
  <c r="X82" i="8" s="1"/>
  <c r="V82" i="8"/>
  <c r="Y82" i="8" s="1"/>
  <c r="U147" i="8"/>
  <c r="X147" i="8" s="1"/>
  <c r="V147" i="8"/>
  <c r="Y147" i="8" s="1"/>
  <c r="V121" i="8"/>
  <c r="Y121" i="8" s="1"/>
  <c r="V111" i="8"/>
  <c r="Y111" i="8" s="1"/>
  <c r="V113" i="8"/>
  <c r="Y113" i="8" s="1"/>
  <c r="V81" i="8"/>
  <c r="Y81" i="8" s="1"/>
  <c r="V84" i="8"/>
  <c r="Y84" i="8" s="1"/>
  <c r="U77" i="8"/>
  <c r="X77" i="8" s="1"/>
  <c r="V77" i="8"/>
  <c r="Y77" i="8" s="1"/>
  <c r="V87" i="8"/>
  <c r="Y87" i="8" s="1"/>
  <c r="V96" i="8"/>
  <c r="Y96" i="8" s="1"/>
  <c r="V105" i="8"/>
  <c r="Y105" i="8" s="1"/>
  <c r="U110" i="8"/>
  <c r="X110" i="8" s="1"/>
  <c r="V110" i="8"/>
  <c r="Y110" i="8" s="1"/>
  <c r="V75" i="8"/>
  <c r="Y75" i="8" s="1"/>
  <c r="V98" i="8"/>
  <c r="Y98" i="8" s="1"/>
  <c r="V78" i="8"/>
  <c r="Y78" i="8" s="1"/>
  <c r="U103" i="8"/>
  <c r="X103" i="8" s="1"/>
  <c r="V103" i="8"/>
  <c r="Y103" i="8" s="1"/>
  <c r="U142" i="8"/>
  <c r="X142" i="8" s="1"/>
  <c r="V142" i="8"/>
  <c r="Y142" i="8" s="1"/>
  <c r="V129" i="8"/>
  <c r="Y129" i="8" s="1"/>
  <c r="V114" i="8"/>
  <c r="Y114" i="8" s="1"/>
  <c r="U69" i="8"/>
  <c r="X69" i="8" s="1"/>
  <c r="V69" i="8"/>
  <c r="Y69" i="8" s="1"/>
  <c r="V93" i="8"/>
  <c r="Y93" i="8" s="1"/>
  <c r="U90" i="8"/>
  <c r="X90" i="8" s="1"/>
  <c r="V90" i="8"/>
  <c r="Y90" i="8" s="1"/>
  <c r="V102" i="8"/>
  <c r="Y102" i="8" s="1"/>
  <c r="V64" i="8"/>
  <c r="Y64" i="8" s="1"/>
  <c r="U63" i="8"/>
  <c r="X63" i="8" s="1"/>
  <c r="V63" i="8"/>
  <c r="Y63" i="8" s="1"/>
  <c r="U115" i="8"/>
  <c r="X115" i="8" s="1"/>
  <c r="V115" i="8"/>
  <c r="Y115" i="8" s="1"/>
  <c r="V116" i="8"/>
  <c r="Y116" i="8" s="1"/>
  <c r="V62" i="8"/>
  <c r="Y62" i="8" s="1"/>
  <c r="V85" i="8"/>
  <c r="Y85" i="8" s="1"/>
  <c r="U86" i="8"/>
  <c r="X86" i="8" s="1"/>
  <c r="V86" i="8"/>
  <c r="Y86" i="8" s="1"/>
  <c r="V83" i="8"/>
  <c r="Y83" i="8" s="1"/>
  <c r="U95" i="8"/>
  <c r="X95" i="8" s="1"/>
  <c r="V95" i="8"/>
  <c r="Y95" i="8" s="1"/>
  <c r="U140" i="8"/>
  <c r="X140" i="8" s="1"/>
  <c r="V140" i="8"/>
  <c r="Y140" i="8" s="1"/>
  <c r="U106" i="8"/>
  <c r="X106" i="8" s="1"/>
  <c r="V106" i="8"/>
  <c r="Y106" i="8" s="1"/>
  <c r="U104" i="8"/>
  <c r="X104" i="8" s="1"/>
  <c r="V104" i="8"/>
  <c r="Y104" i="8" s="1"/>
  <c r="U109" i="8"/>
  <c r="X109" i="8" s="1"/>
  <c r="V109" i="8"/>
  <c r="Y109" i="8" s="1"/>
  <c r="U101" i="8"/>
  <c r="X101" i="8" s="1"/>
  <c r="V101" i="8"/>
  <c r="Y101" i="8" s="1"/>
  <c r="U97" i="8"/>
  <c r="X97" i="8" s="1"/>
  <c r="V97" i="8"/>
  <c r="Y97" i="8" s="1"/>
  <c r="U79" i="8"/>
  <c r="X79" i="8" s="1"/>
  <c r="V79" i="8"/>
  <c r="Y79" i="8" s="1"/>
  <c r="V80" i="8"/>
  <c r="Y80" i="8" s="1"/>
  <c r="U71" i="8"/>
  <c r="X71" i="8" s="1"/>
  <c r="V71" i="8"/>
  <c r="Y71" i="8" s="1"/>
  <c r="V76" i="8"/>
  <c r="Y76" i="8" s="1"/>
  <c r="U134" i="8"/>
  <c r="X134" i="8" s="1"/>
  <c r="V134" i="8"/>
  <c r="Y134" i="8" s="1"/>
  <c r="V144" i="8"/>
  <c r="Y144" i="8" s="1"/>
  <c r="V143" i="8"/>
  <c r="Y143" i="8" s="1"/>
  <c r="AS80" i="2"/>
  <c r="AQ35" i="2"/>
  <c r="AQ53" i="2"/>
  <c r="AQ12" i="2"/>
  <c r="AM12" i="2"/>
  <c r="AO12" i="2"/>
  <c r="AN12" i="2"/>
  <c r="AQ8" i="2"/>
  <c r="AQ48" i="2"/>
  <c r="AQ30" i="2"/>
  <c r="AQ10" i="2"/>
  <c r="U91" i="8"/>
  <c r="X91" i="8" s="1"/>
  <c r="AA7" i="1"/>
  <c r="AX7" i="1"/>
  <c r="AY7" i="1"/>
  <c r="AW7" i="1"/>
  <c r="AY80" i="1"/>
  <c r="AW80" i="1"/>
  <c r="AX80" i="1"/>
  <c r="AV44" i="2"/>
  <c r="AV24" i="2"/>
  <c r="AW54" i="1"/>
  <c r="AX54" i="1"/>
  <c r="AY54" i="1"/>
  <c r="AW81" i="1"/>
  <c r="AY81" i="1"/>
  <c r="AX81" i="1"/>
  <c r="R45" i="1"/>
  <c r="AW45" i="1"/>
  <c r="AX45" i="1"/>
  <c r="AY45" i="1"/>
  <c r="AW85" i="1"/>
  <c r="AX85" i="1"/>
  <c r="AY85" i="1"/>
  <c r="AX47" i="1"/>
  <c r="AY47" i="1"/>
  <c r="AW47" i="1"/>
  <c r="AX79" i="1"/>
  <c r="AY79" i="1"/>
  <c r="AW79" i="1"/>
  <c r="AV40" i="2"/>
  <c r="AW73" i="1"/>
  <c r="AY73" i="1"/>
  <c r="AX73" i="1"/>
  <c r="AW53" i="1"/>
  <c r="AX53" i="1"/>
  <c r="AY53" i="1"/>
  <c r="AD76" i="1"/>
  <c r="AY76" i="1"/>
  <c r="AX76" i="1"/>
  <c r="AW76" i="1"/>
  <c r="AY84" i="1"/>
  <c r="AX84" i="1"/>
  <c r="AW84" i="1"/>
  <c r="T48" i="1"/>
  <c r="AY48" i="1"/>
  <c r="AW48" i="1"/>
  <c r="AX48" i="1"/>
  <c r="AW78" i="1"/>
  <c r="AX78" i="1"/>
  <c r="AY78" i="1"/>
  <c r="H88" i="1"/>
  <c r="AY88" i="1"/>
  <c r="AW88" i="1"/>
  <c r="AX88" i="1"/>
  <c r="AW29" i="1"/>
  <c r="AX29" i="1"/>
  <c r="AY29" i="1"/>
  <c r="AW69" i="1"/>
  <c r="AX69" i="1"/>
  <c r="AY69" i="1"/>
  <c r="AW42" i="1"/>
  <c r="AX42" i="1"/>
  <c r="AY42" i="1"/>
  <c r="AX43" i="1"/>
  <c r="AY43" i="1"/>
  <c r="AW43" i="1"/>
  <c r="AY44" i="1"/>
  <c r="AX44" i="1"/>
  <c r="AW44" i="1"/>
  <c r="AX59" i="1"/>
  <c r="AY59" i="1"/>
  <c r="AW59" i="1"/>
  <c r="AY68" i="1"/>
  <c r="AX68" i="1"/>
  <c r="AW68" i="1"/>
  <c r="AW82" i="1"/>
  <c r="AX82" i="1"/>
  <c r="AY82" i="1"/>
  <c r="AW34" i="1"/>
  <c r="AX34" i="1"/>
  <c r="AY34" i="1"/>
  <c r="AX67" i="1"/>
  <c r="AY67" i="1"/>
  <c r="AW67" i="1"/>
  <c r="AW50" i="1"/>
  <c r="AX50" i="1"/>
  <c r="AY50" i="1"/>
  <c r="AX11" i="1"/>
  <c r="AY11" i="1"/>
  <c r="AW11" i="1"/>
  <c r="H92" i="1"/>
  <c r="AY92" i="1"/>
  <c r="AX92" i="1"/>
  <c r="AW92" i="1"/>
  <c r="AW25" i="1"/>
  <c r="AY25" i="1"/>
  <c r="AX25" i="1"/>
  <c r="AY6" i="1"/>
  <c r="AV6" i="1"/>
  <c r="AW6" i="1"/>
  <c r="AX71" i="1"/>
  <c r="AY71" i="1"/>
  <c r="AW71" i="1"/>
  <c r="H87" i="1"/>
  <c r="AX87" i="1"/>
  <c r="AY87" i="1"/>
  <c r="AW87" i="1"/>
  <c r="AY36" i="1"/>
  <c r="AX36" i="1"/>
  <c r="AW36" i="1"/>
  <c r="AY64" i="1"/>
  <c r="AW64" i="1"/>
  <c r="AX64" i="1"/>
  <c r="AY40" i="1"/>
  <c r="AW40" i="1"/>
  <c r="AX40" i="1"/>
  <c r="AW61" i="1"/>
  <c r="AX61" i="1"/>
  <c r="AY61" i="1"/>
  <c r="AW58" i="1"/>
  <c r="AX58" i="1"/>
  <c r="AY58" i="1"/>
  <c r="H89" i="1"/>
  <c r="AW89" i="1"/>
  <c r="AY89" i="1"/>
  <c r="AX89" i="1"/>
  <c r="AY60" i="1"/>
  <c r="AX60" i="1"/>
  <c r="AW60" i="1"/>
  <c r="AW38" i="1"/>
  <c r="AX38" i="1"/>
  <c r="AY38" i="1"/>
  <c r="AY16" i="1"/>
  <c r="AW16" i="1"/>
  <c r="AX16" i="1"/>
  <c r="AX27" i="1"/>
  <c r="AY27" i="1"/>
  <c r="AW27" i="1"/>
  <c r="AY8" i="1"/>
  <c r="AW8" i="1"/>
  <c r="AX8" i="1"/>
  <c r="H93" i="1"/>
  <c r="AW93" i="1"/>
  <c r="AX93" i="1"/>
  <c r="AY93" i="1"/>
  <c r="AX19" i="1"/>
  <c r="AY19" i="1"/>
  <c r="AW19" i="1"/>
  <c r="AX55" i="1"/>
  <c r="AY55" i="1"/>
  <c r="AW55" i="1"/>
  <c r="AW66" i="1"/>
  <c r="AX66" i="1"/>
  <c r="AY66" i="1"/>
  <c r="AX39" i="1"/>
  <c r="AY39" i="1"/>
  <c r="AW39" i="1"/>
  <c r="AX23" i="1"/>
  <c r="AY23" i="1"/>
  <c r="AW23" i="1"/>
  <c r="AW86" i="1"/>
  <c r="AX86" i="1"/>
  <c r="AY86" i="1"/>
  <c r="AW62" i="1"/>
  <c r="AX62" i="1"/>
  <c r="AY62" i="1"/>
  <c r="AX63" i="1"/>
  <c r="AY63" i="1"/>
  <c r="AW63" i="1"/>
  <c r="AY32" i="1"/>
  <c r="AW32" i="1"/>
  <c r="AX32" i="1"/>
  <c r="H90" i="1"/>
  <c r="AW90" i="1"/>
  <c r="AX90" i="1"/>
  <c r="AY90" i="1"/>
  <c r="AW17" i="1"/>
  <c r="AX17" i="1"/>
  <c r="AY17" i="1"/>
  <c r="AW33" i="1"/>
  <c r="AY33" i="1"/>
  <c r="AX33" i="1"/>
  <c r="AX31" i="1"/>
  <c r="AY31" i="1"/>
  <c r="AW31" i="1"/>
  <c r="AW13" i="1"/>
  <c r="AX13" i="1"/>
  <c r="AY13" i="1"/>
  <c r="AY12" i="1"/>
  <c r="AW12" i="1"/>
  <c r="AX12" i="1"/>
  <c r="AW22" i="1"/>
  <c r="AX22" i="1"/>
  <c r="AY22" i="1"/>
  <c r="AW21" i="1"/>
  <c r="AX21" i="1"/>
  <c r="AY21" i="1"/>
  <c r="AW18" i="1"/>
  <c r="AX18" i="1"/>
  <c r="AY18" i="1"/>
  <c r="AX35" i="1"/>
  <c r="AY35" i="1"/>
  <c r="AW35" i="1"/>
  <c r="AY72" i="1"/>
  <c r="AW72" i="1"/>
  <c r="AX72" i="1"/>
  <c r="AW70" i="1"/>
  <c r="AX70" i="1"/>
  <c r="AY70" i="1"/>
  <c r="AY28" i="1"/>
  <c r="AX28" i="1"/>
  <c r="AW28" i="1"/>
  <c r="AW65" i="1"/>
  <c r="AY65" i="1"/>
  <c r="AX65" i="1"/>
  <c r="AW26" i="1"/>
  <c r="AX26" i="1"/>
  <c r="AY26" i="1"/>
  <c r="H91" i="1"/>
  <c r="AX91" i="1"/>
  <c r="AY91" i="1"/>
  <c r="AW91" i="1"/>
  <c r="H94" i="1"/>
  <c r="AW94" i="1"/>
  <c r="AX94" i="1"/>
  <c r="AY94" i="1"/>
  <c r="AW41" i="1"/>
  <c r="AY41" i="1"/>
  <c r="AX41" i="1"/>
  <c r="AW37" i="1"/>
  <c r="AX37" i="1"/>
  <c r="AY37" i="1"/>
  <c r="AX51" i="1"/>
  <c r="AY51" i="1"/>
  <c r="AW51" i="1"/>
  <c r="AW30" i="1"/>
  <c r="AX30" i="1"/>
  <c r="AY30" i="1"/>
  <c r="AY56" i="1"/>
  <c r="AW56" i="1"/>
  <c r="AX56" i="1"/>
  <c r="AX15" i="1"/>
  <c r="AY15" i="1"/>
  <c r="AW15" i="1"/>
  <c r="AW14" i="1"/>
  <c r="AX14" i="1"/>
  <c r="AY14" i="1"/>
  <c r="AV14" i="1"/>
  <c r="AY20" i="1"/>
  <c r="AX20" i="1"/>
  <c r="AW20" i="1"/>
  <c r="AY24" i="1"/>
  <c r="AW24" i="1"/>
  <c r="AX24" i="1"/>
  <c r="AW10" i="1"/>
  <c r="AX10" i="1"/>
  <c r="AY10" i="1"/>
  <c r="K9" i="1"/>
  <c r="AW9" i="1"/>
  <c r="AX9" i="1"/>
  <c r="AY9" i="1"/>
  <c r="H95" i="1"/>
  <c r="AX95" i="1"/>
  <c r="AY95" i="1"/>
  <c r="AW95" i="1"/>
  <c r="AW74" i="1"/>
  <c r="AX74" i="1"/>
  <c r="AY74" i="1"/>
  <c r="AD75" i="1"/>
  <c r="AX75" i="1"/>
  <c r="AY75" i="1"/>
  <c r="AW75" i="1"/>
  <c r="AX83" i="1"/>
  <c r="AY83" i="1"/>
  <c r="AW83" i="1"/>
  <c r="AO57" i="1"/>
  <c r="AW57" i="1"/>
  <c r="AY57" i="1"/>
  <c r="AX57" i="1"/>
  <c r="AW46" i="1"/>
  <c r="AX46" i="1"/>
  <c r="AY46" i="1"/>
  <c r="AW49" i="1"/>
  <c r="AY49" i="1"/>
  <c r="AX49" i="1"/>
  <c r="AW77" i="1"/>
  <c r="AX77" i="1"/>
  <c r="AY77" i="1"/>
  <c r="F52" i="1"/>
  <c r="AY52" i="1"/>
  <c r="AX52" i="1"/>
  <c r="AW52" i="1"/>
  <c r="AV41" i="2"/>
  <c r="AS41" i="2"/>
  <c r="AS39" i="2"/>
  <c r="AV39" i="2"/>
  <c r="AS40" i="2"/>
  <c r="AQ39" i="2"/>
  <c r="AQ41" i="2"/>
  <c r="AM41" i="2"/>
  <c r="AN41" i="2"/>
  <c r="AM40" i="2"/>
  <c r="AO41" i="2"/>
  <c r="AM39" i="2"/>
  <c r="AO40" i="2"/>
  <c r="AN39" i="2"/>
  <c r="AQ40" i="2"/>
  <c r="AN40" i="2"/>
  <c r="AO39" i="2"/>
  <c r="U143" i="8"/>
  <c r="X143" i="8" s="1"/>
  <c r="AN52" i="1"/>
  <c r="E93" i="2"/>
  <c r="AK52" i="1"/>
  <c r="G52" i="1"/>
  <c r="AQ46" i="2"/>
  <c r="AP52" i="1"/>
  <c r="AC52" i="1"/>
  <c r="P52" i="1"/>
  <c r="L52" i="1"/>
  <c r="AT52" i="1"/>
  <c r="AQ52" i="1"/>
  <c r="AI52" i="1"/>
  <c r="AV52" i="1"/>
  <c r="J52" i="1"/>
  <c r="AF52" i="1"/>
  <c r="AS46" i="2"/>
  <c r="AV46" i="2"/>
  <c r="AQ45" i="2"/>
  <c r="AO6" i="2"/>
  <c r="AN6" i="2"/>
  <c r="AM6" i="2"/>
  <c r="T52" i="1"/>
  <c r="AH52" i="1"/>
  <c r="AS52" i="1"/>
  <c r="H52" i="1"/>
  <c r="K52" i="1"/>
  <c r="U52" i="1"/>
  <c r="AA52" i="1"/>
  <c r="AU52" i="1"/>
  <c r="Z52" i="1"/>
  <c r="AL52" i="1"/>
  <c r="M52" i="1"/>
  <c r="S52" i="1"/>
  <c r="AM52" i="1"/>
  <c r="R52" i="1"/>
  <c r="AD52" i="1"/>
  <c r="AR52" i="1"/>
  <c r="X52" i="1"/>
  <c r="AE52" i="1"/>
  <c r="AO52" i="1"/>
  <c r="V52" i="1"/>
  <c r="AJ52" i="1"/>
  <c r="AG52" i="1"/>
  <c r="W52" i="1"/>
  <c r="Y52" i="1"/>
  <c r="N52" i="1"/>
  <c r="AB52" i="1"/>
  <c r="Q52" i="1"/>
  <c r="O52" i="1"/>
  <c r="I52" i="1"/>
  <c r="U148" i="8"/>
  <c r="X148" i="8" s="1"/>
  <c r="AQ37" i="2"/>
  <c r="AQ38" i="2"/>
  <c r="AQ26" i="2"/>
  <c r="AQ27" i="2"/>
  <c r="AM45" i="2"/>
  <c r="AN45" i="2"/>
  <c r="AO45" i="2"/>
  <c r="AQ19" i="2"/>
  <c r="AS20" i="2"/>
  <c r="AV20" i="2"/>
  <c r="AQ31" i="2"/>
  <c r="AO31" i="2"/>
  <c r="AM31" i="2"/>
  <c r="AN31" i="2"/>
  <c r="AQ50" i="2"/>
  <c r="AQ44" i="2"/>
  <c r="AO44" i="2"/>
  <c r="AN44" i="2"/>
  <c r="AM44" i="2"/>
  <c r="AV83" i="2"/>
  <c r="AM52" i="2"/>
  <c r="AN52" i="2"/>
  <c r="AO52" i="2"/>
  <c r="AM51" i="2"/>
  <c r="AO51" i="2"/>
  <c r="AN51" i="2"/>
  <c r="AM48" i="2"/>
  <c r="AN48" i="2"/>
  <c r="AO48" i="2"/>
  <c r="AN30" i="2"/>
  <c r="AO30" i="2"/>
  <c r="AM30" i="2"/>
  <c r="AV84" i="2"/>
  <c r="AV85" i="2"/>
  <c r="AV82" i="2"/>
  <c r="U144" i="8"/>
  <c r="X144" i="8" s="1"/>
  <c r="U139" i="8"/>
  <c r="X139" i="8" s="1"/>
  <c r="U136" i="8"/>
  <c r="X136" i="8" s="1"/>
  <c r="U145" i="8"/>
  <c r="X145" i="8" s="1"/>
  <c r="AU79" i="1"/>
  <c r="AQ79" i="1"/>
  <c r="Z79" i="1"/>
  <c r="T79" i="1"/>
  <c r="O79" i="1"/>
  <c r="AV79" i="1"/>
  <c r="AC79" i="1"/>
  <c r="F79" i="1"/>
  <c r="AH79" i="1"/>
  <c r="AE79" i="1"/>
  <c r="H79" i="1"/>
  <c r="AM79" i="1"/>
  <c r="AF79" i="1"/>
  <c r="I79" i="1"/>
  <c r="L79" i="1"/>
  <c r="AN79" i="1"/>
  <c r="Q79" i="1"/>
  <c r="S79" i="1"/>
  <c r="N79" i="1"/>
  <c r="Y79" i="1"/>
  <c r="AK79" i="1"/>
  <c r="AJ79" i="1"/>
  <c r="AO79" i="1"/>
  <c r="X79" i="1"/>
  <c r="AT79" i="1"/>
  <c r="K79" i="1"/>
  <c r="AS79" i="1"/>
  <c r="AI79" i="1"/>
  <c r="AL79" i="1"/>
  <c r="V79" i="1"/>
  <c r="J79" i="1"/>
  <c r="AR79" i="1"/>
  <c r="M79" i="1"/>
  <c r="P79" i="1"/>
  <c r="U79" i="1"/>
  <c r="G79" i="1"/>
  <c r="AB79" i="1"/>
  <c r="AG79" i="1"/>
  <c r="R79" i="1"/>
  <c r="W79" i="1"/>
  <c r="AP79" i="1"/>
  <c r="AA79" i="1"/>
  <c r="AD79" i="1"/>
  <c r="AR78" i="1"/>
  <c r="AB78" i="1"/>
  <c r="H78" i="1"/>
  <c r="S78" i="1"/>
  <c r="U78" i="1"/>
  <c r="AE78" i="1"/>
  <c r="I78" i="1"/>
  <c r="AP78" i="1"/>
  <c r="AG78" i="1"/>
  <c r="L78" i="1"/>
  <c r="V78" i="1"/>
  <c r="AU78" i="1"/>
  <c r="AH78" i="1"/>
  <c r="N78" i="1"/>
  <c r="P78" i="1"/>
  <c r="W78" i="1"/>
  <c r="G78" i="1"/>
  <c r="O78" i="1"/>
  <c r="AV78" i="1"/>
  <c r="AK78" i="1"/>
  <c r="AO78" i="1"/>
  <c r="AC78" i="1"/>
  <c r="AF78" i="1"/>
  <c r="AM78" i="1"/>
  <c r="Z78" i="1"/>
  <c r="AJ78" i="1"/>
  <c r="AT78" i="1"/>
  <c r="AD78" i="1"/>
  <c r="AN78" i="1"/>
  <c r="X78" i="1"/>
  <c r="AQ78" i="1"/>
  <c r="Q78" i="1"/>
  <c r="R78" i="1"/>
  <c r="J78" i="1"/>
  <c r="T78" i="1"/>
  <c r="AI78" i="1"/>
  <c r="M78" i="1"/>
  <c r="K78" i="1"/>
  <c r="Y78" i="1"/>
  <c r="AA78" i="1"/>
  <c r="F78" i="1"/>
  <c r="AL78" i="1"/>
  <c r="AS78" i="1"/>
  <c r="J80" i="1"/>
  <c r="P80" i="1"/>
  <c r="V80" i="1"/>
  <c r="AB80" i="1"/>
  <c r="AH80" i="1"/>
  <c r="AN80" i="1"/>
  <c r="AT80" i="1"/>
  <c r="K80" i="1"/>
  <c r="Q80" i="1"/>
  <c r="W80" i="1"/>
  <c r="AC80" i="1"/>
  <c r="AI80" i="1"/>
  <c r="AO80" i="1"/>
  <c r="AU80" i="1"/>
  <c r="F80" i="1"/>
  <c r="L80" i="1"/>
  <c r="R80" i="1"/>
  <c r="X80" i="1"/>
  <c r="AD80" i="1"/>
  <c r="AJ80" i="1"/>
  <c r="AP80" i="1"/>
  <c r="AV80" i="1"/>
  <c r="G80" i="1"/>
  <c r="M80" i="1"/>
  <c r="S80" i="1"/>
  <c r="Y80" i="1"/>
  <c r="AE80" i="1"/>
  <c r="AK80" i="1"/>
  <c r="AQ80" i="1"/>
  <c r="U80" i="1"/>
  <c r="I80" i="1"/>
  <c r="AA80" i="1"/>
  <c r="AS80" i="1"/>
  <c r="AF80" i="1"/>
  <c r="O80" i="1"/>
  <c r="AR80" i="1"/>
  <c r="N80" i="1"/>
  <c r="AG80" i="1"/>
  <c r="T80" i="1"/>
  <c r="AL80" i="1"/>
  <c r="AM80" i="1"/>
  <c r="H80" i="1"/>
  <c r="Z80" i="1"/>
  <c r="U133" i="8"/>
  <c r="X133" i="8" s="1"/>
  <c r="O133" i="8" s="1"/>
  <c r="U137" i="8"/>
  <c r="X137" i="8" s="1"/>
  <c r="P77" i="1"/>
  <c r="N77" i="1"/>
  <c r="AF77" i="1"/>
  <c r="J77" i="1"/>
  <c r="H77" i="1"/>
  <c r="R77" i="1"/>
  <c r="U77" i="1"/>
  <c r="AS77" i="1"/>
  <c r="AG77" i="1"/>
  <c r="AM77" i="1"/>
  <c r="L77" i="1"/>
  <c r="AI77" i="1"/>
  <c r="M77" i="1"/>
  <c r="V77" i="1"/>
  <c r="AP77" i="1"/>
  <c r="T77" i="1"/>
  <c r="W77" i="1"/>
  <c r="AK77" i="1"/>
  <c r="X77" i="1"/>
  <c r="AL77" i="1"/>
  <c r="O77" i="1"/>
  <c r="Y77" i="1"/>
  <c r="AA77" i="1"/>
  <c r="K77" i="1"/>
  <c r="AT77" i="1"/>
  <c r="AH77" i="1"/>
  <c r="AN77" i="1"/>
  <c r="AU77" i="1"/>
  <c r="Z77" i="1"/>
  <c r="AV77" i="1"/>
  <c r="AQ77" i="1"/>
  <c r="AC77" i="1"/>
  <c r="AR77" i="1"/>
  <c r="AD77" i="1"/>
  <c r="I77" i="1"/>
  <c r="S77" i="1"/>
  <c r="AB77" i="1"/>
  <c r="AO77" i="1"/>
  <c r="F77" i="1"/>
  <c r="AJ77" i="1"/>
  <c r="G77" i="1"/>
  <c r="AE77" i="1"/>
  <c r="Q77" i="1"/>
  <c r="AV85" i="1"/>
  <c r="H85" i="1"/>
  <c r="H86" i="1"/>
  <c r="J86" i="1"/>
  <c r="AN38" i="2"/>
  <c r="AM38" i="2"/>
  <c r="AO38" i="2"/>
  <c r="AN15" i="2"/>
  <c r="AM15" i="2"/>
  <c r="AO15" i="2"/>
  <c r="AN29" i="2"/>
  <c r="AM29" i="2"/>
  <c r="AO29" i="2"/>
  <c r="AN26" i="2"/>
  <c r="AM26" i="2"/>
  <c r="AO26" i="2"/>
  <c r="I48" i="1"/>
  <c r="Y48" i="1"/>
  <c r="AP48" i="1"/>
  <c r="P48" i="1"/>
  <c r="AV48" i="1"/>
  <c r="AM35" i="2"/>
  <c r="AO35" i="2"/>
  <c r="AN35" i="2"/>
  <c r="J48" i="1"/>
  <c r="Z48" i="1"/>
  <c r="V48" i="1"/>
  <c r="U48" i="1"/>
  <c r="AF48" i="1"/>
  <c r="AG48" i="1"/>
  <c r="L48" i="1"/>
  <c r="AE48" i="1"/>
  <c r="AM48" i="1"/>
  <c r="AU48" i="1"/>
  <c r="AC48" i="1"/>
  <c r="AI48" i="1"/>
  <c r="R48" i="1"/>
  <c r="W48" i="1"/>
  <c r="G48" i="1"/>
  <c r="F48" i="1"/>
  <c r="O48" i="1"/>
  <c r="AS48" i="1"/>
  <c r="AO48" i="1"/>
  <c r="K48" i="1"/>
  <c r="AN48" i="1"/>
  <c r="AT48" i="1"/>
  <c r="Q48" i="1"/>
  <c r="AH48" i="1"/>
  <c r="AJ48" i="1"/>
  <c r="N48" i="1"/>
  <c r="AL48" i="1"/>
  <c r="AR48" i="1"/>
  <c r="AA48" i="1"/>
  <c r="AQ48" i="1"/>
  <c r="H48" i="1"/>
  <c r="AK48" i="1"/>
  <c r="S48" i="1"/>
  <c r="AD48" i="1"/>
  <c r="X48" i="1"/>
  <c r="AB48" i="1"/>
  <c r="AN36" i="2"/>
  <c r="AO36" i="2"/>
  <c r="AM36" i="2"/>
  <c r="AO22" i="2"/>
  <c r="AN22" i="2"/>
  <c r="AM22" i="2"/>
  <c r="U122" i="8"/>
  <c r="X122" i="8" s="1"/>
  <c r="U123" i="8"/>
  <c r="X123" i="8" s="1"/>
  <c r="AV57" i="2"/>
  <c r="AS57" i="2"/>
  <c r="AQ57" i="2"/>
  <c r="J47" i="1"/>
  <c r="P47" i="1"/>
  <c r="V47" i="1"/>
  <c r="AB47" i="1"/>
  <c r="AH47" i="1"/>
  <c r="AN47" i="1"/>
  <c r="AT47" i="1"/>
  <c r="H47" i="1"/>
  <c r="N47" i="1"/>
  <c r="T47" i="1"/>
  <c r="AL47" i="1"/>
  <c r="AR47" i="1"/>
  <c r="I47" i="1"/>
  <c r="U47" i="1"/>
  <c r="AS47" i="1"/>
  <c r="K47" i="1"/>
  <c r="Q47" i="1"/>
  <c r="W47" i="1"/>
  <c r="AC47" i="1"/>
  <c r="AI47" i="1"/>
  <c r="AO47" i="1"/>
  <c r="AU47" i="1"/>
  <c r="Z47" i="1"/>
  <c r="AM47" i="1"/>
  <c r="F47" i="1"/>
  <c r="L47" i="1"/>
  <c r="R47" i="1"/>
  <c r="X47" i="1"/>
  <c r="AD47" i="1"/>
  <c r="AJ47" i="1"/>
  <c r="AP47" i="1"/>
  <c r="AV47" i="1"/>
  <c r="AK47" i="1"/>
  <c r="AQ47" i="1"/>
  <c r="AF47" i="1"/>
  <c r="AG47" i="1"/>
  <c r="G47" i="1"/>
  <c r="M47" i="1"/>
  <c r="S47" i="1"/>
  <c r="Y47" i="1"/>
  <c r="AE47" i="1"/>
  <c r="O47" i="1"/>
  <c r="AA47" i="1"/>
  <c r="AS56" i="2"/>
  <c r="AV56" i="2"/>
  <c r="AQ56" i="2"/>
  <c r="AS55" i="2"/>
  <c r="AV55" i="2"/>
  <c r="R46" i="1"/>
  <c r="X46" i="1"/>
  <c r="F46" i="1"/>
  <c r="L46" i="1"/>
  <c r="AC46" i="1"/>
  <c r="S46" i="1"/>
  <c r="Y46" i="1"/>
  <c r="G46" i="1"/>
  <c r="M46" i="1"/>
  <c r="T46" i="1"/>
  <c r="Z46" i="1"/>
  <c r="H46" i="1"/>
  <c r="N46" i="1"/>
  <c r="U46" i="1"/>
  <c r="AA46" i="1"/>
  <c r="I46" i="1"/>
  <c r="O46" i="1"/>
  <c r="V46" i="1"/>
  <c r="AB46" i="1"/>
  <c r="J46" i="1"/>
  <c r="P46" i="1"/>
  <c r="W46" i="1"/>
  <c r="K46" i="1"/>
  <c r="Q46" i="1"/>
  <c r="AT46" i="1"/>
  <c r="AG46" i="1"/>
  <c r="AM46" i="1"/>
  <c r="AS46" i="1"/>
  <c r="AU46" i="1"/>
  <c r="AH46" i="1"/>
  <c r="AN46" i="1"/>
  <c r="AV46" i="1"/>
  <c r="AI46" i="1"/>
  <c r="AO46" i="1"/>
  <c r="AD46" i="1"/>
  <c r="AJ46" i="1"/>
  <c r="AP46" i="1"/>
  <c r="AE46" i="1"/>
  <c r="AK46" i="1"/>
  <c r="AQ46" i="1"/>
  <c r="AL46" i="1"/>
  <c r="AR46" i="1"/>
  <c r="AF46" i="1"/>
  <c r="AQ55" i="2"/>
  <c r="AU85" i="1"/>
  <c r="U85" i="1"/>
  <c r="R85" i="1"/>
  <c r="I85" i="1"/>
  <c r="AB85" i="1"/>
  <c r="AJ85" i="1"/>
  <c r="AC85" i="1"/>
  <c r="K85" i="1"/>
  <c r="AP85" i="1"/>
  <c r="AD85" i="1"/>
  <c r="M85" i="1"/>
  <c r="W85" i="1"/>
  <c r="AR85" i="1"/>
  <c r="X85" i="1"/>
  <c r="F85" i="1"/>
  <c r="Q85" i="1"/>
  <c r="P85" i="1"/>
  <c r="N85" i="1"/>
  <c r="AM85" i="1"/>
  <c r="AS85" i="1"/>
  <c r="AE85" i="1"/>
  <c r="L85" i="1"/>
  <c r="AG85" i="1"/>
  <c r="AO85" i="1"/>
  <c r="AT85" i="1"/>
  <c r="S85" i="1"/>
  <c r="AN85" i="1"/>
  <c r="Z85" i="1"/>
  <c r="G85" i="1"/>
  <c r="AQ85" i="1"/>
  <c r="Y85" i="1"/>
  <c r="AA85" i="1"/>
  <c r="O85" i="1"/>
  <c r="T85" i="1"/>
  <c r="J85" i="1"/>
  <c r="AI85" i="1"/>
  <c r="AF85" i="1"/>
  <c r="AL85" i="1"/>
  <c r="AK85" i="1"/>
  <c r="V85" i="1"/>
  <c r="AH85" i="1"/>
  <c r="O57" i="1"/>
  <c r="AI57" i="1"/>
  <c r="AQ57" i="1"/>
  <c r="AB57" i="1"/>
  <c r="N57" i="1"/>
  <c r="AV57" i="1"/>
  <c r="T57" i="1"/>
  <c r="P57" i="1"/>
  <c r="M57" i="1"/>
  <c r="R57" i="1"/>
  <c r="V57" i="1"/>
  <c r="AL57" i="1"/>
  <c r="U57" i="1"/>
  <c r="AN57" i="1"/>
  <c r="Y57" i="1"/>
  <c r="AJ57" i="1"/>
  <c r="AR57" i="1"/>
  <c r="AM57" i="1"/>
  <c r="AT57" i="1"/>
  <c r="AH57" i="1"/>
  <c r="AG57" i="1"/>
  <c r="AK57" i="1"/>
  <c r="L57" i="1"/>
  <c r="S57" i="1"/>
  <c r="AC57" i="1"/>
  <c r="I57" i="1"/>
  <c r="H57" i="1"/>
  <c r="AE57" i="1"/>
  <c r="G57" i="1"/>
  <c r="J57" i="1"/>
  <c r="X57" i="1"/>
  <c r="AP57" i="1"/>
  <c r="F57" i="1"/>
  <c r="AS57" i="1"/>
  <c r="AA57" i="1"/>
  <c r="W57" i="1"/>
  <c r="K57" i="1"/>
  <c r="AF57" i="1"/>
  <c r="AD57" i="1"/>
  <c r="Q57" i="1"/>
  <c r="AU57" i="1"/>
  <c r="Z57" i="1"/>
  <c r="AS90" i="2"/>
  <c r="AV90" i="2"/>
  <c r="AQ90" i="2"/>
  <c r="AO28" i="2"/>
  <c r="AM28" i="2"/>
  <c r="AN28" i="2"/>
  <c r="AO53" i="2"/>
  <c r="AN53" i="2"/>
  <c r="AM53" i="2"/>
  <c r="AS61" i="2"/>
  <c r="AV61" i="2"/>
  <c r="AQ61" i="2"/>
  <c r="F83" i="1"/>
  <c r="G83" i="1"/>
  <c r="P83" i="1"/>
  <c r="Z83" i="1"/>
  <c r="AI83" i="1"/>
  <c r="AS83" i="1"/>
  <c r="H83" i="1"/>
  <c r="Q83" i="1"/>
  <c r="AA83" i="1"/>
  <c r="AK83" i="1"/>
  <c r="AT83" i="1"/>
  <c r="O83" i="1"/>
  <c r="Y83" i="1"/>
  <c r="AH83" i="1"/>
  <c r="AR83" i="1"/>
  <c r="I83" i="1"/>
  <c r="S83" i="1"/>
  <c r="AB83" i="1"/>
  <c r="AL83" i="1"/>
  <c r="AU83" i="1"/>
  <c r="N83" i="1"/>
  <c r="W83" i="1"/>
  <c r="AG83" i="1"/>
  <c r="AQ83" i="1"/>
  <c r="J83" i="1"/>
  <c r="T83" i="1"/>
  <c r="AC83" i="1"/>
  <c r="AM83" i="1"/>
  <c r="K83" i="1"/>
  <c r="U83" i="1"/>
  <c r="AE83" i="1"/>
  <c r="AN83" i="1"/>
  <c r="M83" i="1"/>
  <c r="V83" i="1"/>
  <c r="AF83" i="1"/>
  <c r="AO83" i="1"/>
  <c r="AV83" i="1"/>
  <c r="AD83" i="1"/>
  <c r="X83" i="1"/>
  <c r="AP83" i="1"/>
  <c r="L83" i="1"/>
  <c r="AJ83" i="1"/>
  <c r="R83" i="1"/>
  <c r="AV89" i="2"/>
  <c r="AS89" i="2"/>
  <c r="E84" i="2"/>
  <c r="AQ89" i="2"/>
  <c r="U102" i="8"/>
  <c r="X102" i="8" s="1"/>
  <c r="AP84" i="1"/>
  <c r="AV84" i="1"/>
  <c r="AJ84" i="1"/>
  <c r="W84" i="1"/>
  <c r="AC84" i="1"/>
  <c r="V84" i="1"/>
  <c r="K84" i="1"/>
  <c r="Q84" i="1"/>
  <c r="AN84" i="1"/>
  <c r="T84" i="1"/>
  <c r="AQ84" i="1"/>
  <c r="AE84" i="1"/>
  <c r="AK84" i="1"/>
  <c r="X84" i="1"/>
  <c r="AD84" i="1"/>
  <c r="F84" i="1"/>
  <c r="L84" i="1"/>
  <c r="AR84" i="1"/>
  <c r="AF84" i="1"/>
  <c r="AL84" i="1"/>
  <c r="Y84" i="1"/>
  <c r="R84" i="1"/>
  <c r="G84" i="1"/>
  <c r="M84" i="1"/>
  <c r="AS84" i="1"/>
  <c r="AG84" i="1"/>
  <c r="AM84" i="1"/>
  <c r="Z84" i="1"/>
  <c r="S84" i="1"/>
  <c r="H84" i="1"/>
  <c r="N84" i="1"/>
  <c r="AH84" i="1"/>
  <c r="O84" i="1"/>
  <c r="AT84" i="1"/>
  <c r="AU84" i="1"/>
  <c r="AI84" i="1"/>
  <c r="AO84" i="1"/>
  <c r="AB84" i="1"/>
  <c r="U84" i="1"/>
  <c r="J84" i="1"/>
  <c r="P84" i="1"/>
  <c r="AA84" i="1"/>
  <c r="I84" i="1"/>
  <c r="X7" i="1"/>
  <c r="AF7" i="1"/>
  <c r="AS88" i="2"/>
  <c r="AV88" i="2"/>
  <c r="AQ88" i="2"/>
  <c r="U70" i="8"/>
  <c r="X70" i="8" s="1"/>
  <c r="Q7" i="1"/>
  <c r="P7" i="1"/>
  <c r="U76" i="8"/>
  <c r="X76" i="8" s="1"/>
  <c r="AC7" i="1"/>
  <c r="G45" i="1"/>
  <c r="M7" i="1"/>
  <c r="U7" i="1"/>
  <c r="AO45" i="1"/>
  <c r="V45" i="1"/>
  <c r="U83" i="8"/>
  <c r="X83" i="8" s="1"/>
  <c r="G7" i="1"/>
  <c r="R7" i="1"/>
  <c r="T7" i="1"/>
  <c r="AT7" i="1"/>
  <c r="J7" i="1"/>
  <c r="K7" i="1"/>
  <c r="O7" i="1"/>
  <c r="AQ45" i="1"/>
  <c r="AL45" i="1"/>
  <c r="AK7" i="1"/>
  <c r="AV7" i="1"/>
  <c r="L7" i="1"/>
  <c r="H7" i="1"/>
  <c r="AN7" i="1"/>
  <c r="AR7" i="1"/>
  <c r="AS7" i="1"/>
  <c r="I7" i="1"/>
  <c r="AK45" i="1"/>
  <c r="AF45" i="1"/>
  <c r="AE7" i="1"/>
  <c r="AP7" i="1"/>
  <c r="F7" i="1"/>
  <c r="AQ7" i="1"/>
  <c r="AH7" i="1"/>
  <c r="Z7" i="1"/>
  <c r="AM7" i="1"/>
  <c r="Y7" i="1"/>
  <c r="AJ7" i="1"/>
  <c r="W7" i="1"/>
  <c r="AU7" i="1"/>
  <c r="AB7" i="1"/>
  <c r="N7" i="1"/>
  <c r="AG7" i="1"/>
  <c r="S7" i="1"/>
  <c r="AD7" i="1"/>
  <c r="AL7" i="1"/>
  <c r="AI7" i="1"/>
  <c r="V7" i="1"/>
  <c r="AO7" i="1"/>
  <c r="W45" i="1"/>
  <c r="Y45" i="1"/>
  <c r="AB45" i="1"/>
  <c r="T45" i="1"/>
  <c r="L45" i="1"/>
  <c r="J45" i="1"/>
  <c r="F45" i="1"/>
  <c r="AG45" i="1"/>
  <c r="AV45" i="1"/>
  <c r="Q45" i="1"/>
  <c r="AA45" i="1"/>
  <c r="AJ45" i="1"/>
  <c r="AT45" i="1"/>
  <c r="O45" i="1"/>
  <c r="AE45" i="1"/>
  <c r="AP45" i="1"/>
  <c r="AU45" i="1"/>
  <c r="K45" i="1"/>
  <c r="P45" i="1"/>
  <c r="U45" i="1"/>
  <c r="Z45" i="1"/>
  <c r="S45" i="1"/>
  <c r="AD45" i="1"/>
  <c r="AI45" i="1"/>
  <c r="AN45" i="1"/>
  <c r="AS45" i="1"/>
  <c r="I45" i="1"/>
  <c r="N45" i="1"/>
  <c r="M45" i="1"/>
  <c r="X45" i="1"/>
  <c r="AC45" i="1"/>
  <c r="AH45" i="1"/>
  <c r="AM45" i="1"/>
  <c r="AR45" i="1"/>
  <c r="H45" i="1"/>
  <c r="U80" i="8"/>
  <c r="X80" i="8" s="1"/>
  <c r="AV58" i="2"/>
  <c r="AS58" i="2"/>
  <c r="AQ68" i="2"/>
  <c r="AQ74" i="2"/>
  <c r="AQ80" i="2"/>
  <c r="AQ93" i="2"/>
  <c r="AQ99" i="2"/>
  <c r="AQ105" i="2"/>
  <c r="AQ94" i="2"/>
  <c r="AQ106" i="2"/>
  <c r="AQ110" i="2"/>
  <c r="AQ69" i="2"/>
  <c r="AQ75" i="2"/>
  <c r="AQ81" i="2"/>
  <c r="AQ100" i="2"/>
  <c r="AQ70" i="2"/>
  <c r="AQ76" i="2"/>
  <c r="AQ86" i="2"/>
  <c r="AQ95" i="2"/>
  <c r="AQ101" i="2"/>
  <c r="AQ107" i="2"/>
  <c r="AQ73" i="2"/>
  <c r="AQ98" i="2"/>
  <c r="AQ71" i="2"/>
  <c r="AQ77" i="2"/>
  <c r="AQ87" i="2"/>
  <c r="AQ96" i="2"/>
  <c r="AQ102" i="2"/>
  <c r="AQ108" i="2"/>
  <c r="AQ109" i="2"/>
  <c r="AQ79" i="2"/>
  <c r="AQ104" i="2"/>
  <c r="AQ72" i="2"/>
  <c r="AQ78" i="2"/>
  <c r="AQ91" i="2"/>
  <c r="AQ97" i="2"/>
  <c r="AQ103" i="2"/>
  <c r="AQ92" i="2"/>
  <c r="AQ59" i="2"/>
  <c r="AQ60" i="2"/>
  <c r="AQ58" i="2"/>
  <c r="U85" i="8"/>
  <c r="X85" i="8" s="1"/>
  <c r="U74" i="8"/>
  <c r="X74" i="8" s="1"/>
  <c r="U78" i="8"/>
  <c r="X78" i="8" s="1"/>
  <c r="U64" i="8"/>
  <c r="X64" i="8" s="1"/>
  <c r="U93" i="8"/>
  <c r="X93" i="8" s="1"/>
  <c r="U96" i="8"/>
  <c r="X96" i="8" s="1"/>
  <c r="U81" i="8"/>
  <c r="X81" i="8" s="1"/>
  <c r="U87" i="8"/>
  <c r="X87" i="8" s="1"/>
  <c r="U84" i="8"/>
  <c r="X84" i="8" s="1"/>
  <c r="U72" i="8"/>
  <c r="X72" i="8" s="1"/>
  <c r="U98" i="8"/>
  <c r="X98" i="8" s="1"/>
  <c r="U94" i="8"/>
  <c r="X94" i="8" s="1"/>
  <c r="U75" i="8"/>
  <c r="X75" i="8" s="1"/>
  <c r="U62" i="8"/>
  <c r="X62" i="8" s="1"/>
  <c r="U99" i="8"/>
  <c r="X99" i="8" s="1"/>
  <c r="U88" i="8"/>
  <c r="X88" i="8" s="1"/>
  <c r="U65" i="8"/>
  <c r="X65" i="8" s="1"/>
  <c r="F76" i="1"/>
  <c r="L76" i="1"/>
  <c r="R76" i="1"/>
  <c r="X76" i="1"/>
  <c r="AJ76" i="1"/>
  <c r="AP76" i="1"/>
  <c r="AV76" i="1"/>
  <c r="J76" i="1"/>
  <c r="P76" i="1"/>
  <c r="V76" i="1"/>
  <c r="AB76" i="1"/>
  <c r="AH76" i="1"/>
  <c r="AN76" i="1"/>
  <c r="AT76" i="1"/>
  <c r="G76" i="1"/>
  <c r="M76" i="1"/>
  <c r="S76" i="1"/>
  <c r="Y76" i="1"/>
  <c r="AE76" i="1"/>
  <c r="AK76" i="1"/>
  <c r="AQ76" i="1"/>
  <c r="H76" i="1"/>
  <c r="N76" i="1"/>
  <c r="T76" i="1"/>
  <c r="Z76" i="1"/>
  <c r="AF76" i="1"/>
  <c r="AL76" i="1"/>
  <c r="AR76" i="1"/>
  <c r="I76" i="1"/>
  <c r="O76" i="1"/>
  <c r="U76" i="1"/>
  <c r="AA76" i="1"/>
  <c r="AG76" i="1"/>
  <c r="AM76" i="1"/>
  <c r="AS76" i="1"/>
  <c r="K76" i="1"/>
  <c r="Q76" i="1"/>
  <c r="W76" i="1"/>
  <c r="AC76" i="1"/>
  <c r="AI76" i="1"/>
  <c r="AO76" i="1"/>
  <c r="AU76" i="1"/>
  <c r="G75" i="1"/>
  <c r="M75" i="1"/>
  <c r="S75" i="1"/>
  <c r="Y75" i="1"/>
  <c r="AE75" i="1"/>
  <c r="AK75" i="1"/>
  <c r="AQ75" i="1"/>
  <c r="K75" i="1"/>
  <c r="Q75" i="1"/>
  <c r="W75" i="1"/>
  <c r="AC75" i="1"/>
  <c r="AI75" i="1"/>
  <c r="AO75" i="1"/>
  <c r="AU75" i="1"/>
  <c r="H75" i="1"/>
  <c r="N75" i="1"/>
  <c r="T75" i="1"/>
  <c r="Z75" i="1"/>
  <c r="AF75" i="1"/>
  <c r="AL75" i="1"/>
  <c r="AR75" i="1"/>
  <c r="I75" i="1"/>
  <c r="O75" i="1"/>
  <c r="U75" i="1"/>
  <c r="AA75" i="1"/>
  <c r="AG75" i="1"/>
  <c r="AM75" i="1"/>
  <c r="AS75" i="1"/>
  <c r="J75" i="1"/>
  <c r="P75" i="1"/>
  <c r="V75" i="1"/>
  <c r="AB75" i="1"/>
  <c r="AH75" i="1"/>
  <c r="AN75" i="1"/>
  <c r="AT75" i="1"/>
  <c r="F75" i="1"/>
  <c r="L75" i="1"/>
  <c r="R75" i="1"/>
  <c r="X75" i="1"/>
  <c r="AJ75" i="1"/>
  <c r="AP75" i="1"/>
  <c r="AV75" i="1"/>
  <c r="AS81" i="2"/>
  <c r="AV80" i="2"/>
  <c r="AV81" i="2"/>
  <c r="AN34" i="2"/>
  <c r="AM34" i="2"/>
  <c r="AO34" i="2"/>
  <c r="AQ67" i="2"/>
  <c r="AN27" i="2"/>
  <c r="AM27" i="2"/>
  <c r="AO27" i="2"/>
  <c r="AM10" i="2"/>
  <c r="AN10" i="2"/>
  <c r="AO10" i="2"/>
  <c r="U113" i="8"/>
  <c r="X113" i="8" s="1"/>
  <c r="U114" i="8"/>
  <c r="X114" i="8" s="1"/>
  <c r="U125" i="8"/>
  <c r="X125" i="8" s="1"/>
  <c r="O125" i="8" s="1"/>
  <c r="AV51" i="2"/>
  <c r="D137" i="8"/>
  <c r="E137" i="8" s="1"/>
  <c r="U116" i="8"/>
  <c r="X116" i="8" s="1"/>
  <c r="F53" i="1"/>
  <c r="L53" i="1"/>
  <c r="R53" i="1"/>
  <c r="X53" i="1"/>
  <c r="AD53" i="1"/>
  <c r="AJ53" i="1"/>
  <c r="AP53" i="1"/>
  <c r="AV53" i="1"/>
  <c r="M53" i="1"/>
  <c r="S53" i="1"/>
  <c r="AE53" i="1"/>
  <c r="G53" i="1"/>
  <c r="Y53" i="1"/>
  <c r="AQ53" i="1"/>
  <c r="H53" i="1"/>
  <c r="N53" i="1"/>
  <c r="T53" i="1"/>
  <c r="Z53" i="1"/>
  <c r="AF53" i="1"/>
  <c r="I53" i="1"/>
  <c r="O53" i="1"/>
  <c r="U53" i="1"/>
  <c r="AA53" i="1"/>
  <c r="AG53" i="1"/>
  <c r="AM53" i="1"/>
  <c r="AS53" i="1"/>
  <c r="Q53" i="1"/>
  <c r="AC53" i="1"/>
  <c r="AI53" i="1"/>
  <c r="AU53" i="1"/>
  <c r="AK53" i="1"/>
  <c r="AR53" i="1"/>
  <c r="J53" i="1"/>
  <c r="P53" i="1"/>
  <c r="V53" i="1"/>
  <c r="AB53" i="1"/>
  <c r="AH53" i="1"/>
  <c r="AN53" i="1"/>
  <c r="AT53" i="1"/>
  <c r="K53" i="1"/>
  <c r="W53" i="1"/>
  <c r="AO53" i="1"/>
  <c r="AL53" i="1"/>
  <c r="AM8" i="2"/>
  <c r="AN8" i="2"/>
  <c r="AO8" i="2"/>
  <c r="U112" i="8"/>
  <c r="X112" i="8" s="1"/>
  <c r="U105" i="8"/>
  <c r="X105" i="8" s="1"/>
  <c r="U111" i="8"/>
  <c r="X111" i="8" s="1"/>
  <c r="U117" i="8"/>
  <c r="X117" i="8" s="1"/>
  <c r="F73" i="1"/>
  <c r="AO73" i="1"/>
  <c r="Q73" i="1"/>
  <c r="AT73" i="1"/>
  <c r="I73" i="1"/>
  <c r="AR73" i="1"/>
  <c r="AK73" i="1"/>
  <c r="X73" i="1"/>
  <c r="W73" i="1"/>
  <c r="AN73" i="1"/>
  <c r="AB73" i="1"/>
  <c r="AL73" i="1"/>
  <c r="AE73" i="1"/>
  <c r="R73" i="1"/>
  <c r="U73" i="1"/>
  <c r="H73" i="1"/>
  <c r="AI73" i="1"/>
  <c r="AU73" i="1"/>
  <c r="J73" i="1"/>
  <c r="AS73" i="1"/>
  <c r="AF73" i="1"/>
  <c r="Y73" i="1"/>
  <c r="L73" i="1"/>
  <c r="P73" i="1"/>
  <c r="AJ73" i="1"/>
  <c r="AD73" i="1"/>
  <c r="V73" i="1"/>
  <c r="AC73" i="1"/>
  <c r="AM73" i="1"/>
  <c r="Z73" i="1"/>
  <c r="S73" i="1"/>
  <c r="N73" i="1"/>
  <c r="AP73" i="1"/>
  <c r="K73" i="1"/>
  <c r="AG73" i="1"/>
  <c r="T73" i="1"/>
  <c r="M73" i="1"/>
  <c r="AV73" i="1"/>
  <c r="AH73" i="1"/>
  <c r="AA73" i="1"/>
  <c r="G73" i="1"/>
  <c r="O73" i="1"/>
  <c r="AQ73" i="1"/>
  <c r="K74" i="1"/>
  <c r="AH74" i="1"/>
  <c r="AN74" i="1"/>
  <c r="N74" i="1"/>
  <c r="AP74" i="1"/>
  <c r="AI74" i="1"/>
  <c r="V74" i="1"/>
  <c r="H74" i="1"/>
  <c r="AQ74" i="1"/>
  <c r="AJ74" i="1"/>
  <c r="AC74" i="1"/>
  <c r="G74" i="1"/>
  <c r="AO74" i="1"/>
  <c r="P74" i="1"/>
  <c r="AS74" i="1"/>
  <c r="AK74" i="1"/>
  <c r="AD74" i="1"/>
  <c r="W74" i="1"/>
  <c r="T74" i="1"/>
  <c r="AA74" i="1"/>
  <c r="AR74" i="1"/>
  <c r="AE74" i="1"/>
  <c r="X74" i="1"/>
  <c r="Q74" i="1"/>
  <c r="O74" i="1"/>
  <c r="AM74" i="1"/>
  <c r="AU74" i="1"/>
  <c r="U74" i="1"/>
  <c r="AV74" i="1"/>
  <c r="AT74" i="1"/>
  <c r="I74" i="1"/>
  <c r="AL74" i="1"/>
  <c r="Y74" i="1"/>
  <c r="R74" i="1"/>
  <c r="AB74" i="1"/>
  <c r="AF74" i="1"/>
  <c r="S74" i="1"/>
  <c r="L74" i="1"/>
  <c r="J74" i="1"/>
  <c r="Z74" i="1"/>
  <c r="M74" i="1"/>
  <c r="F74" i="1"/>
  <c r="AG74" i="1"/>
  <c r="U121" i="8"/>
  <c r="U120" i="8"/>
  <c r="X120" i="8" s="1"/>
  <c r="U126" i="8"/>
  <c r="X126" i="8" s="1"/>
  <c r="O126" i="8" s="1"/>
  <c r="U128" i="8"/>
  <c r="X128" i="8" s="1"/>
  <c r="AS77" i="2"/>
  <c r="AS72" i="1"/>
  <c r="AK72" i="1"/>
  <c r="AJ72" i="1"/>
  <c r="AO72" i="1"/>
  <c r="AT72" i="1"/>
  <c r="AV72" i="1"/>
  <c r="AQ72" i="1"/>
  <c r="AM72" i="1"/>
  <c r="AU72" i="1"/>
  <c r="AN72" i="1"/>
  <c r="AP72" i="1"/>
  <c r="AR72" i="1"/>
  <c r="AL72" i="1"/>
  <c r="AS79" i="2"/>
  <c r="AV79" i="2"/>
  <c r="AS78" i="2"/>
  <c r="AV78" i="2"/>
  <c r="AV77" i="2"/>
  <c r="AV76" i="2"/>
  <c r="AV86" i="2"/>
  <c r="AV87" i="2"/>
  <c r="AV91" i="2"/>
  <c r="F72" i="1"/>
  <c r="O72" i="1"/>
  <c r="T72" i="1"/>
  <c r="I72" i="1"/>
  <c r="N72" i="1"/>
  <c r="K72" i="1"/>
  <c r="H72" i="1"/>
  <c r="AE72" i="1"/>
  <c r="Y72" i="1"/>
  <c r="AI72" i="1"/>
  <c r="AD72" i="1"/>
  <c r="AF72" i="1"/>
  <c r="AB72" i="1"/>
  <c r="S72" i="1"/>
  <c r="AC72" i="1"/>
  <c r="V72" i="1"/>
  <c r="X72" i="1"/>
  <c r="U72" i="1"/>
  <c r="J72" i="1"/>
  <c r="AH72" i="1"/>
  <c r="Z72" i="1"/>
  <c r="P72" i="1"/>
  <c r="R72" i="1"/>
  <c r="Q72" i="1"/>
  <c r="L72" i="1"/>
  <c r="AG72" i="1"/>
  <c r="AA72" i="1"/>
  <c r="M72" i="1"/>
  <c r="W72" i="1"/>
  <c r="G72" i="1"/>
  <c r="U129" i="8"/>
  <c r="X129" i="8" s="1"/>
  <c r="AV45" i="2"/>
  <c r="AS45" i="2"/>
  <c r="U127" i="8"/>
  <c r="X127" i="8" s="1"/>
  <c r="AU49" i="1"/>
  <c r="AV49" i="1"/>
  <c r="AT49" i="1"/>
  <c r="AV34" i="1"/>
  <c r="AT34" i="1"/>
  <c r="AU34" i="1"/>
  <c r="AV50" i="1"/>
  <c r="AT50" i="1"/>
  <c r="AU50" i="1"/>
  <c r="AT25" i="1"/>
  <c r="AU25" i="1"/>
  <c r="AV25" i="1"/>
  <c r="AV65" i="1"/>
  <c r="AT65" i="1"/>
  <c r="AU65" i="1"/>
  <c r="AV16" i="1"/>
  <c r="AU16" i="1"/>
  <c r="AT16" i="1"/>
  <c r="AV28" i="1"/>
  <c r="AT28" i="1"/>
  <c r="AU28" i="1"/>
  <c r="AT95" i="1"/>
  <c r="HS95" i="1" s="1"/>
  <c r="AU95" i="1"/>
  <c r="HW95" i="1" s="1"/>
  <c r="AV95" i="1"/>
  <c r="HY4" i="1"/>
  <c r="IB4" i="1" s="1"/>
  <c r="IE4" i="1" s="1"/>
  <c r="IH4" i="1" s="1"/>
  <c r="AT91" i="1"/>
  <c r="AU91" i="1"/>
  <c r="AV91" i="1"/>
  <c r="AV32" i="1"/>
  <c r="AT32" i="1"/>
  <c r="AU32" i="1"/>
  <c r="AU82" i="1"/>
  <c r="AT82" i="1"/>
  <c r="AV82" i="1"/>
  <c r="AV31" i="1"/>
  <c r="AT31" i="1"/>
  <c r="AU31" i="1"/>
  <c r="AV22" i="1"/>
  <c r="AT22" i="1"/>
  <c r="AU22" i="1"/>
  <c r="AT35" i="1"/>
  <c r="AU35" i="1"/>
  <c r="AV35" i="1"/>
  <c r="AT37" i="1"/>
  <c r="AU37" i="1"/>
  <c r="AV37" i="1"/>
  <c r="AU60" i="1"/>
  <c r="AT60" i="1"/>
  <c r="AV60" i="1"/>
  <c r="AT14" i="1"/>
  <c r="AU14" i="1"/>
  <c r="AV10" i="1"/>
  <c r="AT10" i="1"/>
  <c r="AU10" i="1"/>
  <c r="AV19" i="1"/>
  <c r="AT19" i="1"/>
  <c r="AU19" i="1"/>
  <c r="AU87" i="1"/>
  <c r="AT87" i="1"/>
  <c r="AV87" i="1"/>
  <c r="AV54" i="1"/>
  <c r="AU54" i="1"/>
  <c r="AT54" i="1"/>
  <c r="AV69" i="1"/>
  <c r="AT69" i="1"/>
  <c r="AU69" i="1"/>
  <c r="AT23" i="1"/>
  <c r="AU23" i="1"/>
  <c r="AV23" i="1"/>
  <c r="AV40" i="1"/>
  <c r="AT40" i="1"/>
  <c r="AU40" i="1"/>
  <c r="AU41" i="1"/>
  <c r="AV41" i="1"/>
  <c r="AT41" i="1"/>
  <c r="AV44" i="1"/>
  <c r="AT44" i="1"/>
  <c r="AU44" i="1"/>
  <c r="AV30" i="1"/>
  <c r="AT30" i="1"/>
  <c r="AU30" i="1"/>
  <c r="AV33" i="1"/>
  <c r="AU33" i="1"/>
  <c r="AT33" i="1"/>
  <c r="AV67" i="1"/>
  <c r="AU67" i="1"/>
  <c r="AT67" i="1"/>
  <c r="AV12" i="1"/>
  <c r="AU12" i="1"/>
  <c r="AT12" i="1"/>
  <c r="AT92" i="1"/>
  <c r="AU92" i="1"/>
  <c r="AV92" i="1"/>
  <c r="AV18" i="1"/>
  <c r="AT18" i="1"/>
  <c r="AU18" i="1"/>
  <c r="AT71" i="1"/>
  <c r="AU71" i="1"/>
  <c r="AV71" i="1"/>
  <c r="AT66" i="1"/>
  <c r="AU66" i="1"/>
  <c r="AV66" i="1"/>
  <c r="AU29" i="1"/>
  <c r="AV29" i="1"/>
  <c r="AT29" i="1"/>
  <c r="AV26" i="1"/>
  <c r="AT26" i="1"/>
  <c r="AU26" i="1"/>
  <c r="AV62" i="1"/>
  <c r="AT62" i="1"/>
  <c r="AU62" i="1"/>
  <c r="AV43" i="1"/>
  <c r="AT43" i="1"/>
  <c r="AU43" i="1"/>
  <c r="AT58" i="1"/>
  <c r="AU58" i="1"/>
  <c r="AV58" i="1"/>
  <c r="AT68" i="1"/>
  <c r="AU68" i="1"/>
  <c r="AV68" i="1"/>
  <c r="AV38" i="1"/>
  <c r="AT38" i="1"/>
  <c r="AU38" i="1"/>
  <c r="AT15" i="1"/>
  <c r="AU15" i="1"/>
  <c r="AV15" i="1"/>
  <c r="AT27" i="1"/>
  <c r="AU27" i="1"/>
  <c r="AV27" i="1"/>
  <c r="AV24" i="1"/>
  <c r="AU24" i="1"/>
  <c r="AT24" i="1"/>
  <c r="AU93" i="1"/>
  <c r="AT93" i="1"/>
  <c r="AV93" i="1"/>
  <c r="AT70" i="1"/>
  <c r="AU70" i="1"/>
  <c r="AV70" i="1"/>
  <c r="AV36" i="1"/>
  <c r="AU36" i="1"/>
  <c r="AT36" i="1"/>
  <c r="AV42" i="1"/>
  <c r="AT42" i="1"/>
  <c r="AU42" i="1"/>
  <c r="AU64" i="1"/>
  <c r="AV64" i="1"/>
  <c r="AT64" i="1"/>
  <c r="AU94" i="1"/>
  <c r="HW94" i="1" s="1"/>
  <c r="AT94" i="1"/>
  <c r="HS94" i="1" s="1"/>
  <c r="AV94" i="1"/>
  <c r="AV61" i="1"/>
  <c r="AT61" i="1"/>
  <c r="AU61" i="1"/>
  <c r="AT81" i="1"/>
  <c r="AU81" i="1"/>
  <c r="AV81" i="1"/>
  <c r="AT51" i="1"/>
  <c r="AV51" i="1"/>
  <c r="AU51" i="1"/>
  <c r="AT89" i="1"/>
  <c r="AU89" i="1"/>
  <c r="AV89" i="1"/>
  <c r="AV56" i="1"/>
  <c r="AU56" i="1"/>
  <c r="AT56" i="1"/>
  <c r="AU17" i="1"/>
  <c r="AV17" i="1"/>
  <c r="AT17" i="1"/>
  <c r="AT13" i="1"/>
  <c r="AU13" i="1"/>
  <c r="AV13" i="1"/>
  <c r="AT11" i="1"/>
  <c r="AU11" i="1"/>
  <c r="AV11" i="1"/>
  <c r="AT21" i="1"/>
  <c r="AU21" i="1"/>
  <c r="AV21" i="1"/>
  <c r="AU6" i="1"/>
  <c r="AT6" i="1"/>
  <c r="AT88" i="1"/>
  <c r="AU88" i="1"/>
  <c r="AV88" i="1"/>
  <c r="AT39" i="1"/>
  <c r="AU39" i="1"/>
  <c r="AV39" i="1"/>
  <c r="AT86" i="1"/>
  <c r="AU86" i="1"/>
  <c r="AV86" i="1"/>
  <c r="AV63" i="1"/>
  <c r="AT63" i="1"/>
  <c r="AU63" i="1"/>
  <c r="AT90" i="1"/>
  <c r="AU90" i="1"/>
  <c r="AV90" i="1"/>
  <c r="AV59" i="1"/>
  <c r="AU59" i="1"/>
  <c r="AT59" i="1"/>
  <c r="AV20" i="1"/>
  <c r="AT20" i="1"/>
  <c r="AU20" i="1"/>
  <c r="AV8" i="1"/>
  <c r="AT8" i="1"/>
  <c r="AU8" i="1"/>
  <c r="AT9" i="1"/>
  <c r="AU9" i="1"/>
  <c r="AV9" i="1"/>
  <c r="AT55" i="1"/>
  <c r="AU55" i="1"/>
  <c r="AV55" i="1"/>
  <c r="AH55" i="1"/>
  <c r="AO9" i="2"/>
  <c r="AN9" i="2"/>
  <c r="AM9" i="2"/>
  <c r="AN7" i="2"/>
  <c r="AM7" i="2"/>
  <c r="AO7" i="2"/>
  <c r="AN37" i="2"/>
  <c r="AM37" i="2"/>
  <c r="AO37" i="2"/>
  <c r="AN17" i="2"/>
  <c r="AM17" i="2"/>
  <c r="AO17" i="2"/>
  <c r="AM19" i="2"/>
  <c r="AN19" i="2"/>
  <c r="AO19" i="2"/>
  <c r="P55" i="1"/>
  <c r="AE55" i="1"/>
  <c r="AD55" i="1"/>
  <c r="AC55" i="1"/>
  <c r="AS100" i="2"/>
  <c r="AV100" i="2"/>
  <c r="AS36" i="2"/>
  <c r="AV36" i="2"/>
  <c r="AS97" i="2"/>
  <c r="AV97" i="2"/>
  <c r="AS8" i="2"/>
  <c r="AV8" i="2"/>
  <c r="AS59" i="2"/>
  <c r="AV59" i="2"/>
  <c r="AS75" i="2"/>
  <c r="AV75" i="2"/>
  <c r="AS103" i="2"/>
  <c r="AV103" i="2"/>
  <c r="AS14" i="2"/>
  <c r="AV14" i="2"/>
  <c r="AS28" i="2"/>
  <c r="AV28" i="2"/>
  <c r="AS72" i="2"/>
  <c r="AV72" i="2"/>
  <c r="AS12" i="2"/>
  <c r="AV12" i="2"/>
  <c r="AS86" i="2"/>
  <c r="AS108" i="2"/>
  <c r="AV108" i="2"/>
  <c r="AS49" i="2"/>
  <c r="AV49" i="2"/>
  <c r="AS67" i="2"/>
  <c r="AV67" i="2"/>
  <c r="AS94" i="2"/>
  <c r="AV94" i="2"/>
  <c r="AS91" i="2"/>
  <c r="AS38" i="2"/>
  <c r="AV38" i="2"/>
  <c r="AS64" i="2"/>
  <c r="AV64" i="2"/>
  <c r="AS110" i="2"/>
  <c r="AV110" i="2"/>
  <c r="AS107" i="2"/>
  <c r="AV107" i="2"/>
  <c r="AS18" i="2"/>
  <c r="AV18" i="2"/>
  <c r="AS69" i="2"/>
  <c r="AV69" i="2"/>
  <c r="AS71" i="2"/>
  <c r="AV71" i="2"/>
  <c r="AS31" i="2"/>
  <c r="AV31" i="2"/>
  <c r="AS54" i="2"/>
  <c r="AV54" i="2"/>
  <c r="AS74" i="2"/>
  <c r="AV74" i="2"/>
  <c r="AS37" i="2"/>
  <c r="AV37" i="2"/>
  <c r="AS13" i="2"/>
  <c r="AV13" i="2"/>
  <c r="AS9" i="2"/>
  <c r="AV9" i="2"/>
  <c r="AV109" i="2"/>
  <c r="AS109" i="2"/>
  <c r="AS98" i="2"/>
  <c r="AV98" i="2"/>
  <c r="AS52" i="2"/>
  <c r="AV52" i="2"/>
  <c r="AS60" i="2"/>
  <c r="AV60" i="2"/>
  <c r="AS35" i="2"/>
  <c r="AV35" i="2"/>
  <c r="AS44" i="2"/>
  <c r="AS48" i="2"/>
  <c r="AV48" i="2"/>
  <c r="AS66" i="2"/>
  <c r="AV66" i="2"/>
  <c r="AS19" i="2"/>
  <c r="AV19" i="2"/>
  <c r="AS51" i="2"/>
  <c r="AS33" i="2"/>
  <c r="AV33" i="2"/>
  <c r="AR95" i="1"/>
  <c r="AS95" i="1"/>
  <c r="R95" i="1"/>
  <c r="M95" i="1"/>
  <c r="P95" i="1"/>
  <c r="U95" i="1"/>
  <c r="AD95" i="1"/>
  <c r="V95" i="1"/>
  <c r="O95" i="1"/>
  <c r="AA95" i="1"/>
  <c r="X95" i="1"/>
  <c r="AQ95" i="1"/>
  <c r="AJ95" i="1"/>
  <c r="W95" i="1"/>
  <c r="AG95" i="1"/>
  <c r="J95" i="1"/>
  <c r="F95" i="1"/>
  <c r="N95" i="1"/>
  <c r="AI95" i="1"/>
  <c r="AM95" i="1"/>
  <c r="Q95" i="1"/>
  <c r="L95" i="1"/>
  <c r="AK95" i="1"/>
  <c r="T95" i="1"/>
  <c r="AB95" i="1"/>
  <c r="AC95" i="1"/>
  <c r="S95" i="1"/>
  <c r="I95" i="1"/>
  <c r="Z95" i="1"/>
  <c r="AH95" i="1"/>
  <c r="K95" i="1"/>
  <c r="AO95" i="1"/>
  <c r="AP95" i="1"/>
  <c r="AE95" i="1"/>
  <c r="Y95" i="1"/>
  <c r="AF95" i="1"/>
  <c r="AN95" i="1"/>
  <c r="G95" i="1"/>
  <c r="AL95" i="1"/>
  <c r="AS87" i="2"/>
  <c r="AS99" i="2"/>
  <c r="AV99" i="2"/>
  <c r="AS50" i="2"/>
  <c r="AV50" i="2"/>
  <c r="AS105" i="2"/>
  <c r="AV105" i="2"/>
  <c r="AS26" i="2"/>
  <c r="AV26" i="2"/>
  <c r="AS30" i="2"/>
  <c r="AV30" i="2"/>
  <c r="AS53" i="2"/>
  <c r="AV53" i="2"/>
  <c r="AS102" i="2"/>
  <c r="AV102" i="2"/>
  <c r="AS6" i="2"/>
  <c r="AV6" i="2"/>
  <c r="AS29" i="2"/>
  <c r="AV29" i="2"/>
  <c r="AS70" i="2"/>
  <c r="AV70" i="2"/>
  <c r="AS25" i="2"/>
  <c r="AV25" i="2"/>
  <c r="AS32" i="2"/>
  <c r="AV32" i="2"/>
  <c r="AS96" i="2"/>
  <c r="AV96" i="2"/>
  <c r="AS34" i="2"/>
  <c r="AV34" i="2"/>
  <c r="AS23" i="2"/>
  <c r="AV23" i="2"/>
  <c r="AS47" i="2"/>
  <c r="AV47" i="2"/>
  <c r="AS93" i="2"/>
  <c r="AV93" i="2"/>
  <c r="AS7" i="2"/>
  <c r="AV7" i="2"/>
  <c r="AS21" i="2"/>
  <c r="AV21" i="2"/>
  <c r="AS62" i="2"/>
  <c r="AV62" i="2"/>
  <c r="AS10" i="2"/>
  <c r="AV10" i="2"/>
  <c r="AS11" i="2"/>
  <c r="AV11" i="2"/>
  <c r="AS76" i="2"/>
  <c r="AS104" i="2"/>
  <c r="AV104" i="2"/>
  <c r="AS16" i="2"/>
  <c r="AV16" i="2"/>
  <c r="AS24" i="2"/>
  <c r="AS73" i="2"/>
  <c r="AV73" i="2"/>
  <c r="AS101" i="2"/>
  <c r="AV101" i="2"/>
  <c r="AS27" i="2"/>
  <c r="AV27" i="2"/>
  <c r="AS15" i="2"/>
  <c r="AV15" i="2"/>
  <c r="AS106" i="2"/>
  <c r="AV106" i="2"/>
  <c r="AS17" i="2"/>
  <c r="AV17" i="2"/>
  <c r="AS68" i="2"/>
  <c r="AV68" i="2"/>
  <c r="AS95" i="2"/>
  <c r="AV95" i="2"/>
  <c r="AS63" i="2"/>
  <c r="AV63" i="2"/>
  <c r="AS22" i="2"/>
  <c r="AV22" i="2"/>
  <c r="AS65" i="2"/>
  <c r="AV65" i="2"/>
  <c r="AS92" i="2"/>
  <c r="AV92" i="2"/>
  <c r="AQ54" i="2"/>
  <c r="AM49" i="2"/>
  <c r="AQ65" i="2"/>
  <c r="AQ62" i="2"/>
  <c r="AQ66" i="2"/>
  <c r="AQ63" i="2"/>
  <c r="AR26" i="1"/>
  <c r="AS26" i="1"/>
  <c r="AR43" i="1"/>
  <c r="AS43" i="1"/>
  <c r="AR38" i="1"/>
  <c r="AS38" i="1"/>
  <c r="AR93" i="1"/>
  <c r="AS93" i="1"/>
  <c r="AR70" i="1"/>
  <c r="AS70" i="1"/>
  <c r="AR42" i="1"/>
  <c r="AS42" i="1"/>
  <c r="AR81" i="1"/>
  <c r="AS81" i="1"/>
  <c r="AR17" i="1"/>
  <c r="AS17" i="1"/>
  <c r="AS6" i="1"/>
  <c r="AR6" i="1"/>
  <c r="AR88" i="1"/>
  <c r="AS88" i="1"/>
  <c r="AR39" i="1"/>
  <c r="AS39" i="1"/>
  <c r="AR86" i="1"/>
  <c r="AS86" i="1"/>
  <c r="AR63" i="1"/>
  <c r="AS63" i="1"/>
  <c r="AR90" i="1"/>
  <c r="AS90" i="1"/>
  <c r="AS59" i="1"/>
  <c r="AR59" i="1"/>
  <c r="AR20" i="1"/>
  <c r="AS20" i="1"/>
  <c r="AR8" i="1"/>
  <c r="AS8" i="1"/>
  <c r="AR9" i="1"/>
  <c r="AS9" i="1"/>
  <c r="AR55" i="1"/>
  <c r="AS55" i="1"/>
  <c r="AR29" i="1"/>
  <c r="AS29" i="1"/>
  <c r="AR68" i="1"/>
  <c r="AS68" i="1"/>
  <c r="AR64" i="1"/>
  <c r="AS64" i="1"/>
  <c r="AR61" i="1"/>
  <c r="AS61" i="1"/>
  <c r="AR56" i="1"/>
  <c r="AS56" i="1"/>
  <c r="AR21" i="1"/>
  <c r="AS21" i="1"/>
  <c r="AR87" i="1"/>
  <c r="AS87" i="1"/>
  <c r="AR49" i="1"/>
  <c r="AS49" i="1"/>
  <c r="AR91" i="1"/>
  <c r="AS91" i="1"/>
  <c r="AR32" i="1"/>
  <c r="AS32" i="1"/>
  <c r="AR82" i="1"/>
  <c r="AS82" i="1"/>
  <c r="AS34" i="1"/>
  <c r="AR34" i="1"/>
  <c r="AR31" i="1"/>
  <c r="AS31" i="1"/>
  <c r="AR50" i="1"/>
  <c r="AS50" i="1"/>
  <c r="AS22" i="1"/>
  <c r="AR22" i="1"/>
  <c r="AR25" i="1"/>
  <c r="AS25" i="1"/>
  <c r="AR35" i="1"/>
  <c r="AS35" i="1"/>
  <c r="AR27" i="1"/>
  <c r="AS27" i="1"/>
  <c r="AS89" i="1"/>
  <c r="AR89" i="1"/>
  <c r="AS65" i="1"/>
  <c r="AR65" i="1"/>
  <c r="AR37" i="1"/>
  <c r="AS37" i="1"/>
  <c r="AR60" i="1"/>
  <c r="AS60" i="1"/>
  <c r="AS16" i="1"/>
  <c r="AR16" i="1"/>
  <c r="AR14" i="1"/>
  <c r="AS14" i="1"/>
  <c r="AS10" i="1"/>
  <c r="AR10" i="1"/>
  <c r="AR19" i="1"/>
  <c r="AS19" i="1"/>
  <c r="AR66" i="1"/>
  <c r="AS66" i="1"/>
  <c r="AR62" i="1"/>
  <c r="AS62" i="1"/>
  <c r="AR58" i="1"/>
  <c r="AS58" i="1"/>
  <c r="AR15" i="1"/>
  <c r="AS15" i="1"/>
  <c r="AR24" i="1"/>
  <c r="AS24" i="1"/>
  <c r="AR36" i="1"/>
  <c r="AS36" i="1"/>
  <c r="AS94" i="1"/>
  <c r="AR94" i="1"/>
  <c r="AR51" i="1"/>
  <c r="AS51" i="1"/>
  <c r="AR13" i="1"/>
  <c r="AS13" i="1"/>
  <c r="AR11" i="1"/>
  <c r="AS11" i="1"/>
  <c r="AR54" i="1"/>
  <c r="AS54" i="1"/>
  <c r="AR28" i="1"/>
  <c r="AS28" i="1"/>
  <c r="AR69" i="1"/>
  <c r="AS69" i="1"/>
  <c r="AR23" i="1"/>
  <c r="AS23" i="1"/>
  <c r="AR40" i="1"/>
  <c r="AS40" i="1"/>
  <c r="AR41" i="1"/>
  <c r="AS41" i="1"/>
  <c r="AR44" i="1"/>
  <c r="AS44" i="1"/>
  <c r="AR30" i="1"/>
  <c r="AS30" i="1"/>
  <c r="AR33" i="1"/>
  <c r="AS33" i="1"/>
  <c r="AR67" i="1"/>
  <c r="AS67" i="1"/>
  <c r="AR12" i="1"/>
  <c r="AS12" i="1"/>
  <c r="AR92" i="1"/>
  <c r="AS92" i="1"/>
  <c r="AR18" i="1"/>
  <c r="AS18" i="1"/>
  <c r="AR71" i="1"/>
  <c r="AS71" i="1"/>
  <c r="AQ66" i="1"/>
  <c r="AQ58" i="1"/>
  <c r="AQ68" i="1"/>
  <c r="AQ38" i="1"/>
  <c r="AQ15" i="1"/>
  <c r="AQ27" i="1"/>
  <c r="AQ24" i="1"/>
  <c r="AQ93" i="1"/>
  <c r="AQ29" i="1"/>
  <c r="AQ70" i="1"/>
  <c r="AQ36" i="1"/>
  <c r="AQ42" i="1"/>
  <c r="AQ64" i="1"/>
  <c r="AQ94" i="1"/>
  <c r="HJ94" i="1" s="1"/>
  <c r="AQ61" i="1"/>
  <c r="AQ81" i="1"/>
  <c r="AQ51" i="1"/>
  <c r="AQ89" i="1"/>
  <c r="AQ56" i="1"/>
  <c r="AQ17" i="1"/>
  <c r="AQ13" i="1"/>
  <c r="AQ11" i="1"/>
  <c r="AQ21" i="1"/>
  <c r="AQ43" i="1"/>
  <c r="AQ88" i="1"/>
  <c r="AQ39" i="1"/>
  <c r="AQ86" i="1"/>
  <c r="AQ63" i="1"/>
  <c r="AQ90" i="1"/>
  <c r="AQ59" i="1"/>
  <c r="AQ8" i="1"/>
  <c r="I55" i="1"/>
  <c r="AQ62" i="1"/>
  <c r="AQ87" i="1"/>
  <c r="AQ49" i="1"/>
  <c r="AQ91" i="1"/>
  <c r="AQ32" i="1"/>
  <c r="AQ82" i="1"/>
  <c r="AQ34" i="1"/>
  <c r="AQ31" i="1"/>
  <c r="AQ50" i="1"/>
  <c r="AQ22" i="1"/>
  <c r="AQ25" i="1"/>
  <c r="AQ35" i="1"/>
  <c r="AQ65" i="1"/>
  <c r="AQ37" i="1"/>
  <c r="AQ60" i="1"/>
  <c r="AQ16" i="1"/>
  <c r="AQ14" i="1"/>
  <c r="AQ26" i="1"/>
  <c r="AQ54" i="1"/>
  <c r="AQ28" i="1"/>
  <c r="AQ69" i="1"/>
  <c r="AQ23" i="1"/>
  <c r="AQ40" i="1"/>
  <c r="AQ41" i="1"/>
  <c r="AQ44" i="1"/>
  <c r="AQ30" i="1"/>
  <c r="AQ33" i="1"/>
  <c r="AQ67" i="1"/>
  <c r="AQ12" i="1"/>
  <c r="AQ92" i="1"/>
  <c r="AQ18" i="1"/>
  <c r="AQ71" i="1"/>
  <c r="K55" i="1"/>
  <c r="AH6" i="1"/>
  <c r="AQ6" i="1"/>
  <c r="O20" i="1"/>
  <c r="AQ20" i="1"/>
  <c r="L9" i="1"/>
  <c r="AQ9" i="1"/>
  <c r="X55" i="1"/>
  <c r="AQ55" i="1"/>
  <c r="Q10" i="1"/>
  <c r="AQ10" i="1"/>
  <c r="N19" i="1"/>
  <c r="AQ19" i="1"/>
  <c r="T55" i="1"/>
  <c r="Q55" i="1"/>
  <c r="V55" i="1"/>
  <c r="AA55" i="1"/>
  <c r="AJ55" i="1"/>
  <c r="H55" i="1"/>
  <c r="AB55" i="1"/>
  <c r="AL55" i="1"/>
  <c r="L55" i="1"/>
  <c r="AF55" i="1"/>
  <c r="G55" i="1"/>
  <c r="Y55" i="1"/>
  <c r="AG55" i="1"/>
  <c r="R55" i="1"/>
  <c r="F55" i="1"/>
  <c r="Z55" i="1"/>
  <c r="N55" i="1"/>
  <c r="O55" i="1"/>
  <c r="AI55" i="1"/>
  <c r="J55" i="1"/>
  <c r="M55" i="1"/>
  <c r="S55" i="1"/>
  <c r="Q9" i="1"/>
  <c r="AJ9" i="1"/>
  <c r="R9" i="1"/>
  <c r="AB9" i="1"/>
  <c r="F9" i="1"/>
  <c r="AC9" i="1"/>
  <c r="J71" i="1"/>
  <c r="P71" i="1"/>
  <c r="V71" i="1"/>
  <c r="AB71" i="1"/>
  <c r="AH71" i="1"/>
  <c r="AN71" i="1"/>
  <c r="Q71" i="1"/>
  <c r="AC71" i="1"/>
  <c r="AO71" i="1"/>
  <c r="I71" i="1"/>
  <c r="AG71" i="1"/>
  <c r="K71" i="1"/>
  <c r="W71" i="1"/>
  <c r="AI71" i="1"/>
  <c r="U71" i="1"/>
  <c r="AM71" i="1"/>
  <c r="F71" i="1"/>
  <c r="L71" i="1"/>
  <c r="R71" i="1"/>
  <c r="X71" i="1"/>
  <c r="AD71" i="1"/>
  <c r="AJ71" i="1"/>
  <c r="AP71" i="1"/>
  <c r="AE71" i="1"/>
  <c r="H71" i="1"/>
  <c r="N71" i="1"/>
  <c r="T71" i="1"/>
  <c r="Z71" i="1"/>
  <c r="AF71" i="1"/>
  <c r="AL71" i="1"/>
  <c r="O71" i="1"/>
  <c r="AA71" i="1"/>
  <c r="G71" i="1"/>
  <c r="M71" i="1"/>
  <c r="S71" i="1"/>
  <c r="Y71" i="1"/>
  <c r="AK71" i="1"/>
  <c r="AM20" i="1"/>
  <c r="AH20" i="1"/>
  <c r="L20" i="1"/>
  <c r="Z6" i="1"/>
  <c r="P6" i="1"/>
  <c r="AJ6" i="1"/>
  <c r="N6" i="1"/>
  <c r="AL6" i="1"/>
  <c r="F6" i="1"/>
  <c r="U6" i="1"/>
  <c r="T6" i="1"/>
  <c r="AB6" i="1"/>
  <c r="G19" i="1"/>
  <c r="AM6" i="1"/>
  <c r="Q19" i="1"/>
  <c r="V6" i="1"/>
  <c r="J6" i="1"/>
  <c r="AL19" i="1"/>
  <c r="AN94" i="1"/>
  <c r="AO94" i="1"/>
  <c r="AP94" i="1"/>
  <c r="AN86" i="1"/>
  <c r="AO86" i="1"/>
  <c r="AP86" i="1"/>
  <c r="AN63" i="1"/>
  <c r="AO63" i="1"/>
  <c r="AP63" i="1"/>
  <c r="AP90" i="1"/>
  <c r="AN90" i="1"/>
  <c r="AO90" i="1"/>
  <c r="AP38" i="1"/>
  <c r="AN38" i="1"/>
  <c r="AO38" i="1"/>
  <c r="AN27" i="1"/>
  <c r="AO27" i="1"/>
  <c r="AP27" i="1"/>
  <c r="AN93" i="1"/>
  <c r="AO93" i="1"/>
  <c r="AP93" i="1"/>
  <c r="AN10" i="1"/>
  <c r="AO10" i="1"/>
  <c r="AP10" i="1"/>
  <c r="AP61" i="1"/>
  <c r="AN61" i="1"/>
  <c r="AO61" i="1"/>
  <c r="Y10" i="1"/>
  <c r="AN91" i="1"/>
  <c r="AO91" i="1"/>
  <c r="AP91" i="1"/>
  <c r="AN17" i="1"/>
  <c r="AO17" i="1"/>
  <c r="AP17" i="1"/>
  <c r="AN13" i="1"/>
  <c r="AO13" i="1"/>
  <c r="AP13" i="1"/>
  <c r="AN21" i="1"/>
  <c r="AO21" i="1"/>
  <c r="AP21" i="1"/>
  <c r="AN68" i="1"/>
  <c r="AO68" i="1"/>
  <c r="AP68" i="1"/>
  <c r="AN67" i="1"/>
  <c r="AO67" i="1"/>
  <c r="AP67" i="1"/>
  <c r="M10" i="1"/>
  <c r="AN20" i="1"/>
  <c r="AO20" i="1"/>
  <c r="AP20" i="1"/>
  <c r="AN9" i="1"/>
  <c r="AO9" i="1"/>
  <c r="AP9" i="1"/>
  <c r="AN43" i="1"/>
  <c r="AO43" i="1"/>
  <c r="AP43" i="1"/>
  <c r="AN64" i="1"/>
  <c r="AO64" i="1"/>
  <c r="AP64" i="1"/>
  <c r="AN54" i="1"/>
  <c r="AO54" i="1"/>
  <c r="AP54" i="1"/>
  <c r="AN28" i="1"/>
  <c r="AO28" i="1"/>
  <c r="AP28" i="1"/>
  <c r="AN23" i="1"/>
  <c r="AO23" i="1"/>
  <c r="AP23" i="1"/>
  <c r="AP34" i="1"/>
  <c r="AN34" i="1"/>
  <c r="AO34" i="1"/>
  <c r="AP50" i="1"/>
  <c r="AN50" i="1"/>
  <c r="AO50" i="1"/>
  <c r="AN25" i="1"/>
  <c r="AO25" i="1"/>
  <c r="AP25" i="1"/>
  <c r="AN66" i="1"/>
  <c r="AO66" i="1"/>
  <c r="AP66" i="1"/>
  <c r="AN29" i="1"/>
  <c r="AO29" i="1"/>
  <c r="AP29" i="1"/>
  <c r="AP26" i="1"/>
  <c r="AN26" i="1"/>
  <c r="AO26" i="1"/>
  <c r="AN16" i="1"/>
  <c r="AO16" i="1"/>
  <c r="AP16" i="1"/>
  <c r="F19" i="1"/>
  <c r="AN19" i="1"/>
  <c r="AO19" i="1"/>
  <c r="AP19" i="1"/>
  <c r="AN92" i="1"/>
  <c r="AO92" i="1"/>
  <c r="AP92" i="1"/>
  <c r="AN70" i="1"/>
  <c r="AO70" i="1"/>
  <c r="AP70" i="1"/>
  <c r="AN36" i="1"/>
  <c r="AO36" i="1"/>
  <c r="AP36" i="1"/>
  <c r="AN42" i="1"/>
  <c r="AO42" i="1"/>
  <c r="AP42" i="1"/>
  <c r="AN51" i="1"/>
  <c r="AO51" i="1"/>
  <c r="AP51" i="1"/>
  <c r="AN33" i="1"/>
  <c r="AO33" i="1"/>
  <c r="AP33" i="1"/>
  <c r="AN12" i="1"/>
  <c r="AO12" i="1"/>
  <c r="AP12" i="1"/>
  <c r="AP18" i="1"/>
  <c r="AN18" i="1"/>
  <c r="AO18" i="1"/>
  <c r="AN58" i="1"/>
  <c r="AO58" i="1"/>
  <c r="AP58" i="1"/>
  <c r="AP56" i="1"/>
  <c r="AN56" i="1"/>
  <c r="AO56" i="1"/>
  <c r="G10" i="1"/>
  <c r="AN88" i="1"/>
  <c r="AO88" i="1"/>
  <c r="AP88" i="1"/>
  <c r="AN39" i="1"/>
  <c r="AO39" i="1"/>
  <c r="AP39" i="1"/>
  <c r="AN59" i="1"/>
  <c r="AO59" i="1"/>
  <c r="AP59" i="1"/>
  <c r="AN15" i="1"/>
  <c r="AO15" i="1"/>
  <c r="AP15" i="1"/>
  <c r="AN24" i="1"/>
  <c r="AO24" i="1"/>
  <c r="AP24" i="1"/>
  <c r="AN62" i="1"/>
  <c r="AO62" i="1"/>
  <c r="AP62" i="1"/>
  <c r="AN89" i="1"/>
  <c r="AO89" i="1"/>
  <c r="AP89" i="1"/>
  <c r="AN49" i="1"/>
  <c r="AO49" i="1"/>
  <c r="AP49" i="1"/>
  <c r="AN32" i="1"/>
  <c r="AO32" i="1"/>
  <c r="AP32" i="1"/>
  <c r="AN82" i="1"/>
  <c r="AO82" i="1"/>
  <c r="AP82" i="1"/>
  <c r="AN11" i="1"/>
  <c r="AO11" i="1"/>
  <c r="AP11" i="1"/>
  <c r="AN6" i="1"/>
  <c r="AP6" i="1"/>
  <c r="AO6" i="1"/>
  <c r="AP14" i="1"/>
  <c r="AN14" i="1"/>
  <c r="AO14" i="1"/>
  <c r="AN87" i="1"/>
  <c r="AO87" i="1"/>
  <c r="AP87" i="1"/>
  <c r="AP65" i="1"/>
  <c r="AN65" i="1"/>
  <c r="AO65" i="1"/>
  <c r="AN37" i="1"/>
  <c r="AO37" i="1"/>
  <c r="AP37" i="1"/>
  <c r="AN60" i="1"/>
  <c r="AO60" i="1"/>
  <c r="AP60" i="1"/>
  <c r="AN8" i="1"/>
  <c r="AO8" i="1"/>
  <c r="AP8" i="1"/>
  <c r="AN55" i="1"/>
  <c r="AO55" i="1"/>
  <c r="AP55" i="1"/>
  <c r="K10" i="1"/>
  <c r="AN81" i="1"/>
  <c r="AO81" i="1"/>
  <c r="AP81" i="1"/>
  <c r="AC10" i="1"/>
  <c r="AP69" i="1"/>
  <c r="AN69" i="1"/>
  <c r="AO69" i="1"/>
  <c r="AN40" i="1"/>
  <c r="AO40" i="1"/>
  <c r="AP40" i="1"/>
  <c r="AN41" i="1"/>
  <c r="AO41" i="1"/>
  <c r="AP41" i="1"/>
  <c r="AN44" i="1"/>
  <c r="AO44" i="1"/>
  <c r="AP44" i="1"/>
  <c r="AP30" i="1"/>
  <c r="AN30" i="1"/>
  <c r="AO30" i="1"/>
  <c r="AN31" i="1"/>
  <c r="AO31" i="1"/>
  <c r="AP31" i="1"/>
  <c r="AN22" i="1"/>
  <c r="AO22" i="1"/>
  <c r="AP22" i="1"/>
  <c r="AN35" i="1"/>
  <c r="AO35" i="1"/>
  <c r="AP35" i="1"/>
  <c r="AF20" i="1"/>
  <c r="AD9" i="1"/>
  <c r="Y34" i="1"/>
  <c r="AH25" i="1"/>
  <c r="AE93" i="1"/>
  <c r="M29" i="1"/>
  <c r="AA16" i="1"/>
  <c r="AC19" i="1"/>
  <c r="AE21" i="1"/>
  <c r="Y33" i="1"/>
  <c r="V12" i="1"/>
  <c r="AE18" i="1"/>
  <c r="X13" i="1"/>
  <c r="O88" i="1"/>
  <c r="O39" i="1"/>
  <c r="S59" i="1"/>
  <c r="AJ15" i="1"/>
  <c r="AI24" i="1"/>
  <c r="AI17" i="1"/>
  <c r="AL87" i="1"/>
  <c r="AM32" i="1"/>
  <c r="AI11" i="1"/>
  <c r="W6" i="1"/>
  <c r="AG27" i="1"/>
  <c r="Y65" i="1"/>
  <c r="AH60" i="1"/>
  <c r="AC8" i="1"/>
  <c r="AM55" i="1"/>
  <c r="I40" i="1"/>
  <c r="AH41" i="1"/>
  <c r="L44" i="1"/>
  <c r="AJ30" i="1"/>
  <c r="AG31" i="1"/>
  <c r="R22" i="1"/>
  <c r="AM62" i="1"/>
  <c r="M43" i="1"/>
  <c r="H58" i="1"/>
  <c r="P68" i="1"/>
  <c r="AC14" i="1"/>
  <c r="AE10" i="1"/>
  <c r="J38" i="1"/>
  <c r="AE64" i="1"/>
  <c r="M94" i="1"/>
  <c r="T61" i="1"/>
  <c r="AJ81" i="1"/>
  <c r="AB89" i="1"/>
  <c r="AK67" i="1"/>
  <c r="AK92" i="1"/>
  <c r="DC99" i="1"/>
  <c r="E3" i="8" s="1"/>
  <c r="S6" i="1"/>
  <c r="AI27" i="1"/>
  <c r="AE38" i="1"/>
  <c r="V93" i="1"/>
  <c r="AH93" i="1"/>
  <c r="M27" i="1"/>
  <c r="R38" i="1"/>
  <c r="AD38" i="1"/>
  <c r="R93" i="1"/>
  <c r="U27" i="1"/>
  <c r="AJ93" i="1"/>
  <c r="P38" i="1"/>
  <c r="Y27" i="1"/>
  <c r="AF38" i="1"/>
  <c r="V38" i="1"/>
  <c r="AI93" i="1"/>
  <c r="AC27" i="1"/>
  <c r="AK38" i="1"/>
  <c r="S38" i="1"/>
  <c r="K93" i="1"/>
  <c r="AL93" i="1"/>
  <c r="AD93" i="1"/>
  <c r="O93" i="1"/>
  <c r="L38" i="1"/>
  <c r="AG38" i="1"/>
  <c r="N93" i="1"/>
  <c r="F93" i="1"/>
  <c r="AA93" i="1"/>
  <c r="S27" i="1"/>
  <c r="N38" i="1"/>
  <c r="U38" i="1"/>
  <c r="AC93" i="1"/>
  <c r="P93" i="1"/>
  <c r="T38" i="1"/>
  <c r="AJ38" i="1"/>
  <c r="AB93" i="1"/>
  <c r="AL27" i="1"/>
  <c r="W38" i="1"/>
  <c r="I38" i="1"/>
  <c r="AK93" i="1"/>
  <c r="I93" i="1"/>
  <c r="V27" i="1"/>
  <c r="O27" i="1"/>
  <c r="AB38" i="1"/>
  <c r="K38" i="1"/>
  <c r="AL38" i="1"/>
  <c r="M93" i="1"/>
  <c r="U93" i="1"/>
  <c r="AH27" i="1"/>
  <c r="AI38" i="1"/>
  <c r="Y38" i="1"/>
  <c r="T93" i="1"/>
  <c r="T27" i="1"/>
  <c r="AA38" i="1"/>
  <c r="AG93" i="1"/>
  <c r="AM27" i="1"/>
  <c r="K27" i="1"/>
  <c r="AC38" i="1"/>
  <c r="F38" i="1"/>
  <c r="R20" i="1"/>
  <c r="AD20" i="1"/>
  <c r="Z20" i="1"/>
  <c r="AA20" i="1"/>
  <c r="AH38" i="1"/>
  <c r="AC92" i="1"/>
  <c r="U92" i="1"/>
  <c r="AH92" i="1"/>
  <c r="O92" i="1"/>
  <c r="R27" i="1"/>
  <c r="Z25" i="1"/>
  <c r="M25" i="1"/>
  <c r="I67" i="1"/>
  <c r="S25" i="1"/>
  <c r="N27" i="1"/>
  <c r="H35" i="1"/>
  <c r="AA35" i="1"/>
  <c r="O35" i="1"/>
  <c r="J35" i="1"/>
  <c r="M35" i="1"/>
  <c r="L35" i="1"/>
  <c r="AL35" i="1"/>
  <c r="F35" i="1"/>
  <c r="AK35" i="1"/>
  <c r="AD35" i="1"/>
  <c r="AC35" i="1"/>
  <c r="AB35" i="1"/>
  <c r="Y35" i="1"/>
  <c r="K35" i="1"/>
  <c r="I35" i="1"/>
  <c r="AG35" i="1"/>
  <c r="Z35" i="1"/>
  <c r="V35" i="1"/>
  <c r="X35" i="1"/>
  <c r="P35" i="1"/>
  <c r="AM35" i="1"/>
  <c r="AH35" i="1"/>
  <c r="AJ35" i="1"/>
  <c r="AF35" i="1"/>
  <c r="AI35" i="1"/>
  <c r="T35" i="1"/>
  <c r="W35" i="1"/>
  <c r="Q35" i="1"/>
  <c r="G35" i="1"/>
  <c r="R35" i="1"/>
  <c r="S35" i="1"/>
  <c r="U35" i="1"/>
  <c r="AE35" i="1"/>
  <c r="N35" i="1"/>
  <c r="V87" i="1"/>
  <c r="Q6" i="1"/>
  <c r="H14" i="1"/>
  <c r="L27" i="1"/>
  <c r="G6" i="1"/>
  <c r="O87" i="1"/>
  <c r="AJ27" i="1"/>
  <c r="AB14" i="1"/>
  <c r="AJ25" i="1"/>
  <c r="Q67" i="1"/>
  <c r="AE67" i="1"/>
  <c r="V67" i="1"/>
  <c r="AM67" i="1"/>
  <c r="L25" i="1"/>
  <c r="V25" i="1"/>
  <c r="I25" i="1"/>
  <c r="L67" i="1"/>
  <c r="W25" i="1"/>
  <c r="R6" i="1"/>
  <c r="O6" i="1"/>
  <c r="X6" i="1"/>
  <c r="L10" i="1"/>
  <c r="X27" i="1"/>
  <c r="AE6" i="1"/>
  <c r="K6" i="1"/>
  <c r="R10" i="1"/>
  <c r="AD6" i="1"/>
  <c r="AK6" i="1"/>
  <c r="L6" i="1"/>
  <c r="Y6" i="1"/>
  <c r="I6" i="1"/>
  <c r="AI6" i="1"/>
  <c r="AG6" i="1"/>
  <c r="M6" i="1"/>
  <c r="H6" i="1"/>
  <c r="AF6" i="1"/>
  <c r="AC6" i="1"/>
  <c r="AA6" i="1"/>
  <c r="S93" i="1"/>
  <c r="W55" i="1"/>
  <c r="X93" i="1"/>
  <c r="U55" i="1"/>
  <c r="Z93" i="1"/>
  <c r="AK55" i="1"/>
  <c r="AG18" i="1"/>
  <c r="T20" i="1"/>
  <c r="F20" i="1"/>
  <c r="S10" i="1"/>
  <c r="P9" i="1"/>
  <c r="AK10" i="1"/>
  <c r="X9" i="1"/>
  <c r="N14" i="1"/>
  <c r="P87" i="1"/>
  <c r="S21" i="1"/>
  <c r="AB13" i="1"/>
  <c r="DI5" i="1"/>
  <c r="DI99" i="1" s="1"/>
  <c r="AK18" i="1"/>
  <c r="S17" i="1"/>
  <c r="P21" i="1"/>
  <c r="AB18" i="1"/>
  <c r="AL10" i="1"/>
  <c r="P17" i="1"/>
  <c r="R14" i="1"/>
  <c r="AI10" i="1"/>
  <c r="I10" i="1"/>
  <c r="J87" i="1"/>
  <c r="Q21" i="1"/>
  <c r="M18" i="1"/>
  <c r="Q18" i="1"/>
  <c r="Z18" i="1"/>
  <c r="W17" i="1"/>
  <c r="O17" i="1"/>
  <c r="K17" i="1"/>
  <c r="AA87" i="1"/>
  <c r="V17" i="1"/>
  <c r="U13" i="1"/>
  <c r="DJ5" i="1"/>
  <c r="DJ99" i="1" s="1"/>
  <c r="G21" i="1"/>
  <c r="AB21" i="1"/>
  <c r="S18" i="1"/>
  <c r="P18" i="1"/>
  <c r="K18" i="1"/>
  <c r="AI13" i="1"/>
  <c r="AE13" i="1"/>
  <c r="Z13" i="1"/>
  <c r="Y13" i="1"/>
  <c r="T13" i="1"/>
  <c r="AG13" i="1"/>
  <c r="AE17" i="1"/>
  <c r="X18" i="1"/>
  <c r="W18" i="1"/>
  <c r="V18" i="1"/>
  <c r="AL18" i="1"/>
  <c r="M13" i="1"/>
  <c r="R17" i="1"/>
  <c r="F13" i="1"/>
  <c r="AA13" i="1"/>
  <c r="AF13" i="1"/>
  <c r="J13" i="1"/>
  <c r="Y17" i="1"/>
  <c r="G18" i="1"/>
  <c r="F18" i="1"/>
  <c r="AM18" i="1"/>
  <c r="AJ18" i="1"/>
  <c r="O18" i="1"/>
  <c r="AK13" i="1"/>
  <c r="H22" i="1"/>
  <c r="AC21" i="1"/>
  <c r="Y18" i="1"/>
  <c r="Q13" i="1"/>
  <c r="AA17" i="1"/>
  <c r="Q17" i="1"/>
  <c r="AH17" i="1"/>
  <c r="P13" i="1"/>
  <c r="I13" i="1"/>
  <c r="AH13" i="1"/>
  <c r="AL17" i="1"/>
  <c r="AH31" i="1"/>
  <c r="G13" i="1"/>
  <c r="AF21" i="1"/>
  <c r="R18" i="1"/>
  <c r="G92" i="1"/>
  <c r="AG92" i="1"/>
  <c r="AA92" i="1"/>
  <c r="U67" i="1"/>
  <c r="T92" i="1"/>
  <c r="N92" i="1"/>
  <c r="AA59" i="1"/>
  <c r="AI67" i="1"/>
  <c r="AB67" i="1"/>
  <c r="Z67" i="1"/>
  <c r="H67" i="1"/>
  <c r="AH67" i="1"/>
  <c r="J25" i="1"/>
  <c r="H25" i="1"/>
  <c r="U25" i="1"/>
  <c r="AI25" i="1"/>
  <c r="R25" i="1"/>
  <c r="Q92" i="1"/>
  <c r="AC87" i="1"/>
  <c r="N87" i="1"/>
  <c r="S92" i="1"/>
  <c r="AF92" i="1"/>
  <c r="J92" i="1"/>
  <c r="Z92" i="1"/>
  <c r="AM92" i="1"/>
  <c r="AJ67" i="1"/>
  <c r="M67" i="1"/>
  <c r="L93" i="1"/>
  <c r="F67" i="1"/>
  <c r="AF93" i="1"/>
  <c r="J93" i="1"/>
  <c r="W93" i="1"/>
  <c r="AM93" i="1"/>
  <c r="G67" i="1"/>
  <c r="T67" i="1"/>
  <c r="AG67" i="1"/>
  <c r="O67" i="1"/>
  <c r="Z19" i="1"/>
  <c r="F27" i="1"/>
  <c r="J27" i="1"/>
  <c r="W27" i="1"/>
  <c r="AK27" i="1"/>
  <c r="T25" i="1"/>
  <c r="AG25" i="1"/>
  <c r="AD27" i="1"/>
  <c r="H38" i="1"/>
  <c r="M38" i="1"/>
  <c r="Z38" i="1"/>
  <c r="O38" i="1"/>
  <c r="Q38" i="1"/>
  <c r="G38" i="1"/>
  <c r="X38" i="1"/>
  <c r="AM38" i="1"/>
  <c r="L92" i="1"/>
  <c r="I27" i="1"/>
  <c r="G27" i="1"/>
  <c r="P27" i="1"/>
  <c r="Z27" i="1"/>
  <c r="R19" i="1"/>
  <c r="G93" i="1"/>
  <c r="Y93" i="1"/>
  <c r="AE25" i="1"/>
  <c r="AE92" i="1"/>
  <c r="I92" i="1"/>
  <c r="V92" i="1"/>
  <c r="AL92" i="1"/>
  <c r="AL67" i="1"/>
  <c r="N67" i="1"/>
  <c r="AD67" i="1"/>
  <c r="S67" i="1"/>
  <c r="AF67" i="1"/>
  <c r="J67" i="1"/>
  <c r="AA67" i="1"/>
  <c r="AB25" i="1"/>
  <c r="AA25" i="1"/>
  <c r="AL25" i="1"/>
  <c r="AF25" i="1"/>
  <c r="K25" i="1"/>
  <c r="U19" i="1"/>
  <c r="H27" i="1"/>
  <c r="AE27" i="1"/>
  <c r="Q27" i="1"/>
  <c r="AA27" i="1"/>
  <c r="Q93" i="1"/>
  <c r="W13" i="1"/>
  <c r="I18" i="1"/>
  <c r="AI18" i="1"/>
  <c r="S13" i="1"/>
  <c r="W21" i="1"/>
  <c r="AJ21" i="1"/>
  <c r="AA21" i="1"/>
  <c r="AK21" i="1"/>
  <c r="Y68" i="1"/>
  <c r="AE68" i="1"/>
  <c r="AC43" i="1"/>
  <c r="AK43" i="1"/>
  <c r="Q62" i="1"/>
  <c r="AL62" i="1"/>
  <c r="F58" i="1"/>
  <c r="AI43" i="1"/>
  <c r="Q43" i="1"/>
  <c r="AD68" i="1"/>
  <c r="F21" i="1"/>
  <c r="AM25" i="1"/>
  <c r="N25" i="1"/>
  <c r="K67" i="1"/>
  <c r="K92" i="1"/>
  <c r="AC67" i="1"/>
  <c r="AA62" i="1"/>
  <c r="Y67" i="1"/>
  <c r="X21" i="1"/>
  <c r="AH21" i="1"/>
  <c r="AD58" i="1"/>
  <c r="T68" i="1"/>
  <c r="L13" i="1"/>
  <c r="O13" i="1"/>
  <c r="V13" i="1"/>
  <c r="T17" i="1"/>
  <c r="AF9" i="1"/>
  <c r="AD92" i="1"/>
  <c r="AD21" i="1"/>
  <c r="U18" i="1"/>
  <c r="U17" i="1"/>
  <c r="AE58" i="1"/>
  <c r="AG68" i="1"/>
  <c r="K43" i="1"/>
  <c r="AB68" i="1"/>
  <c r="AB17" i="1"/>
  <c r="AC17" i="1"/>
  <c r="AM13" i="1"/>
  <c r="L17" i="1"/>
  <c r="P31" i="1"/>
  <c r="T19" i="1"/>
  <c r="Q20" i="1"/>
  <c r="AD17" i="1"/>
  <c r="J17" i="1"/>
  <c r="H13" i="1"/>
  <c r="Z17" i="1"/>
  <c r="AG21" i="1"/>
  <c r="T18" i="1"/>
  <c r="N18" i="1"/>
  <c r="W20" i="1"/>
  <c r="T9" i="1"/>
  <c r="F92" i="1"/>
  <c r="AJ92" i="1"/>
  <c r="M92" i="1"/>
  <c r="P92" i="1"/>
  <c r="R92" i="1"/>
  <c r="P67" i="1"/>
  <c r="X92" i="1"/>
  <c r="R67" i="1"/>
  <c r="Y92" i="1"/>
  <c r="W67" i="1"/>
  <c r="AB92" i="1"/>
  <c r="X67" i="1"/>
  <c r="W92" i="1"/>
  <c r="AH58" i="1"/>
  <c r="Q68" i="1"/>
  <c r="AB43" i="1"/>
  <c r="AM31" i="1"/>
  <c r="AG19" i="1"/>
  <c r="G43" i="1"/>
  <c r="R68" i="1"/>
  <c r="AH19" i="1"/>
  <c r="AA68" i="1"/>
  <c r="J68" i="1"/>
  <c r="Y25" i="1"/>
  <c r="X20" i="1"/>
  <c r="AD31" i="1"/>
  <c r="N58" i="1"/>
  <c r="AH68" i="1"/>
  <c r="AF14" i="1"/>
  <c r="AD14" i="1"/>
  <c r="AC25" i="1"/>
  <c r="AK25" i="1"/>
  <c r="L19" i="1"/>
  <c r="V62" i="1"/>
  <c r="AB58" i="1"/>
  <c r="AI68" i="1"/>
  <c r="AG14" i="1"/>
  <c r="AE9" i="1"/>
  <c r="AM10" i="1"/>
  <c r="T58" i="1"/>
  <c r="AK68" i="1"/>
  <c r="W31" i="1"/>
  <c r="M9" i="1"/>
  <c r="AE19" i="1"/>
  <c r="V9" i="1"/>
  <c r="O10" i="1"/>
  <c r="H18" i="1"/>
  <c r="N13" i="1"/>
  <c r="Z87" i="1"/>
  <c r="J20" i="1"/>
  <c r="AD19" i="1"/>
  <c r="F25" i="1"/>
  <c r="Q87" i="1"/>
  <c r="G25" i="1"/>
  <c r="AM9" i="1"/>
  <c r="AL9" i="1"/>
  <c r="U20" i="1"/>
  <c r="AB87" i="1"/>
  <c r="W9" i="1"/>
  <c r="O25" i="1"/>
  <c r="K22" i="1"/>
  <c r="G9" i="1"/>
  <c r="P25" i="1"/>
  <c r="AG9" i="1"/>
  <c r="Z9" i="1"/>
  <c r="Y9" i="1"/>
  <c r="Q25" i="1"/>
  <c r="AM87" i="1"/>
  <c r="I9" i="1"/>
  <c r="H9" i="1"/>
  <c r="X25" i="1"/>
  <c r="H20" i="1"/>
  <c r="AC20" i="1"/>
  <c r="AG22" i="1"/>
  <c r="AD25" i="1"/>
  <c r="P20" i="1"/>
  <c r="AK11" i="1"/>
  <c r="AH18" i="1"/>
  <c r="AD18" i="1"/>
  <c r="AA18" i="1"/>
  <c r="AF18" i="1"/>
  <c r="L18" i="1"/>
  <c r="AC18" i="1"/>
  <c r="J18" i="1"/>
  <c r="AH11" i="1"/>
  <c r="Q8" i="1"/>
  <c r="Y29" i="1"/>
  <c r="F8" i="1"/>
  <c r="AF8" i="1"/>
  <c r="G8" i="1"/>
  <c r="W15" i="1"/>
  <c r="AI8" i="1"/>
  <c r="AG8" i="1"/>
  <c r="R8" i="1"/>
  <c r="W8" i="1"/>
  <c r="S8" i="1"/>
  <c r="K8" i="1"/>
  <c r="N8" i="1"/>
  <c r="Z58" i="1"/>
  <c r="AF58" i="1"/>
  <c r="O43" i="1"/>
  <c r="N68" i="1"/>
  <c r="AF68" i="1"/>
  <c r="AD43" i="1"/>
  <c r="X17" i="1"/>
  <c r="O21" i="1"/>
  <c r="S14" i="1"/>
  <c r="S19" i="1"/>
  <c r="W10" i="1"/>
  <c r="P19" i="1"/>
  <c r="AD13" i="1"/>
  <c r="I21" i="1"/>
  <c r="AJ19" i="1"/>
  <c r="AL58" i="1"/>
  <c r="J58" i="1"/>
  <c r="AA43" i="1"/>
  <c r="AJ68" i="1"/>
  <c r="I68" i="1"/>
  <c r="P43" i="1"/>
  <c r="Q14" i="1"/>
  <c r="AK17" i="1"/>
  <c r="AI19" i="1"/>
  <c r="F14" i="1"/>
  <c r="H10" i="1"/>
  <c r="AJ10" i="1"/>
  <c r="AB19" i="1"/>
  <c r="Y19" i="1"/>
  <c r="R21" i="1"/>
  <c r="X19" i="1"/>
  <c r="AI21" i="1"/>
  <c r="AC62" i="1"/>
  <c r="P58" i="1"/>
  <c r="V58" i="1"/>
  <c r="AM43" i="1"/>
  <c r="O68" i="1"/>
  <c r="U68" i="1"/>
  <c r="Q58" i="1"/>
  <c r="V15" i="1"/>
  <c r="H24" i="1"/>
  <c r="G17" i="1"/>
  <c r="M17" i="1"/>
  <c r="Z10" i="1"/>
  <c r="AE14" i="1"/>
  <c r="U10" i="1"/>
  <c r="M19" i="1"/>
  <c r="AL21" i="1"/>
  <c r="W19" i="1"/>
  <c r="H19" i="1"/>
  <c r="V19" i="1"/>
  <c r="AK19" i="1"/>
  <c r="Z62" i="1"/>
  <c r="AJ43" i="1"/>
  <c r="N43" i="1"/>
  <c r="L21" i="1"/>
  <c r="O14" i="1"/>
  <c r="Y21" i="1"/>
  <c r="H21" i="1"/>
  <c r="AK14" i="1"/>
  <c r="N62" i="1"/>
  <c r="AC68" i="1"/>
  <c r="R58" i="1"/>
  <c r="U43" i="1"/>
  <c r="AL68" i="1"/>
  <c r="V68" i="1"/>
  <c r="H17" i="1"/>
  <c r="N17" i="1"/>
  <c r="N21" i="1"/>
  <c r="AF19" i="1"/>
  <c r="AJ13" i="1"/>
  <c r="J21" i="1"/>
  <c r="AC13" i="1"/>
  <c r="X14" i="1"/>
  <c r="AL13" i="1"/>
  <c r="T21" i="1"/>
  <c r="V43" i="1"/>
  <c r="G58" i="1"/>
  <c r="AG43" i="1"/>
  <c r="AM68" i="1"/>
  <c r="K68" i="1"/>
  <c r="AM58" i="1"/>
  <c r="AF17" i="1"/>
  <c r="AJ17" i="1"/>
  <c r="T14" i="1"/>
  <c r="Z21" i="1"/>
  <c r="V10" i="1"/>
  <c r="O19" i="1"/>
  <c r="U21" i="1"/>
  <c r="T10" i="1"/>
  <c r="AG10" i="1"/>
  <c r="H43" i="1"/>
  <c r="S58" i="1"/>
  <c r="S43" i="1"/>
  <c r="L68" i="1"/>
  <c r="S68" i="1"/>
  <c r="W68" i="1"/>
  <c r="O58" i="1"/>
  <c r="I17" i="1"/>
  <c r="AM17" i="1"/>
  <c r="G14" i="1"/>
  <c r="K21" i="1"/>
  <c r="F10" i="1"/>
  <c r="R13" i="1"/>
  <c r="J62" i="1"/>
  <c r="AC58" i="1"/>
  <c r="W43" i="1"/>
  <c r="M68" i="1"/>
  <c r="H68" i="1"/>
  <c r="AG17" i="1"/>
  <c r="F17" i="1"/>
  <c r="AA10" i="1"/>
  <c r="M21" i="1"/>
  <c r="P14" i="1"/>
  <c r="AA14" i="1"/>
  <c r="AM21" i="1"/>
  <c r="AH10" i="1"/>
  <c r="V21" i="1"/>
  <c r="I19" i="1"/>
  <c r="K15" i="1"/>
  <c r="AA15" i="1"/>
  <c r="L15" i="1"/>
  <c r="AF24" i="1"/>
  <c r="Z11" i="1"/>
  <c r="G15" i="1"/>
  <c r="AD15" i="1"/>
  <c r="J24" i="1"/>
  <c r="AF11" i="1"/>
  <c r="X15" i="1"/>
  <c r="T24" i="1"/>
  <c r="AH59" i="1"/>
  <c r="R15" i="1"/>
  <c r="V24" i="1"/>
  <c r="AH39" i="1"/>
  <c r="AK24" i="1"/>
  <c r="AG15" i="1"/>
  <c r="AE59" i="1"/>
  <c r="F15" i="1"/>
  <c r="AH24" i="1"/>
  <c r="AM39" i="1"/>
  <c r="P15" i="1"/>
  <c r="J15" i="1"/>
  <c r="AC15" i="1"/>
  <c r="S39" i="1"/>
  <c r="F88" i="1"/>
  <c r="X59" i="1"/>
  <c r="AB24" i="1"/>
  <c r="AL24" i="1"/>
  <c r="Q15" i="1"/>
  <c r="I24" i="1"/>
  <c r="O15" i="1"/>
  <c r="AD24" i="1"/>
  <c r="M24" i="1"/>
  <c r="AM24" i="1"/>
  <c r="W24" i="1"/>
  <c r="L24" i="1"/>
  <c r="AJ24" i="1"/>
  <c r="O24" i="1"/>
  <c r="AC24" i="1"/>
  <c r="X24" i="1"/>
  <c r="G24" i="1"/>
  <c r="P24" i="1"/>
  <c r="AK15" i="1"/>
  <c r="N24" i="1"/>
  <c r="F24" i="1"/>
  <c r="S24" i="1"/>
  <c r="Z15" i="1"/>
  <c r="Q24" i="1"/>
  <c r="U15" i="1"/>
  <c r="AI15" i="1"/>
  <c r="AH15" i="1"/>
  <c r="AE24" i="1"/>
  <c r="AE15" i="1"/>
  <c r="I59" i="1"/>
  <c r="I39" i="1"/>
  <c r="AE39" i="1"/>
  <c r="AE31" i="1"/>
  <c r="AK31" i="1"/>
  <c r="S22" i="1"/>
  <c r="AA19" i="1"/>
  <c r="P10" i="1"/>
  <c r="AJ20" i="1"/>
  <c r="AB10" i="1"/>
  <c r="AI22" i="1"/>
  <c r="X39" i="1"/>
  <c r="AI39" i="1"/>
  <c r="F31" i="1"/>
  <c r="J31" i="1"/>
  <c r="AH22" i="1"/>
  <c r="AK22" i="1"/>
  <c r="AD88" i="1"/>
  <c r="AB88" i="1"/>
  <c r="R88" i="1"/>
  <c r="P88" i="1"/>
  <c r="J39" i="1"/>
  <c r="T31" i="1"/>
  <c r="X31" i="1"/>
  <c r="AF10" i="1"/>
  <c r="AM19" i="1"/>
  <c r="K59" i="1"/>
  <c r="R59" i="1"/>
  <c r="L39" i="1"/>
  <c r="G31" i="1"/>
  <c r="K31" i="1"/>
  <c r="M22" i="1"/>
  <c r="M39" i="1"/>
  <c r="U31" i="1"/>
  <c r="Y31" i="1"/>
  <c r="AM14" i="1"/>
  <c r="AF31" i="1"/>
  <c r="AL14" i="1"/>
  <c r="K19" i="1"/>
  <c r="J19" i="1"/>
  <c r="I20" i="1"/>
  <c r="N9" i="1"/>
  <c r="W59" i="1"/>
  <c r="W88" i="1"/>
  <c r="AK59" i="1"/>
  <c r="AI59" i="1"/>
  <c r="AL31" i="1"/>
  <c r="H39" i="1"/>
  <c r="AA39" i="1"/>
  <c r="AI31" i="1"/>
  <c r="L31" i="1"/>
  <c r="Z14" i="1"/>
  <c r="Y14" i="1"/>
  <c r="O31" i="1"/>
  <c r="I14" i="1"/>
  <c r="K88" i="1"/>
  <c r="U59" i="1"/>
  <c r="N59" i="1"/>
  <c r="Z31" i="1"/>
  <c r="N39" i="1"/>
  <c r="AC39" i="1"/>
  <c r="H31" i="1"/>
  <c r="AA31" i="1"/>
  <c r="M14" i="1"/>
  <c r="P22" i="1"/>
  <c r="L14" i="1"/>
  <c r="X22" i="1"/>
  <c r="I22" i="1"/>
  <c r="G22" i="1"/>
  <c r="AC88" i="1"/>
  <c r="AM88" i="1"/>
  <c r="AM59" i="1"/>
  <c r="G59" i="1"/>
  <c r="Z59" i="1"/>
  <c r="N31" i="1"/>
  <c r="P39" i="1"/>
  <c r="AF39" i="1"/>
  <c r="V31" i="1"/>
  <c r="M31" i="1"/>
  <c r="W22" i="1"/>
  <c r="U22" i="1"/>
  <c r="Q88" i="1"/>
  <c r="AA88" i="1"/>
  <c r="V59" i="1"/>
  <c r="AL59" i="1"/>
  <c r="Q31" i="1"/>
  <c r="AC22" i="1"/>
  <c r="F39" i="1"/>
  <c r="T39" i="1"/>
  <c r="AG39" i="1"/>
  <c r="AJ31" i="1"/>
  <c r="AB31" i="1"/>
  <c r="F22" i="1"/>
  <c r="AD22" i="1"/>
  <c r="H59" i="1"/>
  <c r="T22" i="1"/>
  <c r="Q22" i="1"/>
  <c r="AB39" i="1"/>
  <c r="G39" i="1"/>
  <c r="I31" i="1"/>
  <c r="AC31" i="1"/>
  <c r="AE22" i="1"/>
  <c r="G33" i="1"/>
  <c r="AF12" i="1"/>
  <c r="AK94" i="1"/>
  <c r="U11" i="1"/>
  <c r="N11" i="1"/>
  <c r="V11" i="1"/>
  <c r="AL11" i="1"/>
  <c r="L11" i="1"/>
  <c r="N15" i="1"/>
  <c r="L89" i="1"/>
  <c r="P11" i="1"/>
  <c r="AM11" i="1"/>
  <c r="R11" i="1"/>
  <c r="AG11" i="1"/>
  <c r="V22" i="1"/>
  <c r="AF22" i="1"/>
  <c r="R24" i="1"/>
  <c r="O22" i="1"/>
  <c r="AL15" i="1"/>
  <c r="AB15" i="1"/>
  <c r="M61" i="1"/>
  <c r="Q11" i="1"/>
  <c r="AD11" i="1"/>
  <c r="AC11" i="1"/>
  <c r="K11" i="1"/>
  <c r="AJ22" i="1"/>
  <c r="U24" i="1"/>
  <c r="AE8" i="1"/>
  <c r="I15" i="1"/>
  <c r="T15" i="1"/>
  <c r="H15" i="1"/>
  <c r="AJ11" i="1"/>
  <c r="O11" i="1"/>
  <c r="S64" i="1"/>
  <c r="J11" i="1"/>
  <c r="G11" i="1"/>
  <c r="AB11" i="1"/>
  <c r="AA11" i="1"/>
  <c r="Y22" i="1"/>
  <c r="Y24" i="1"/>
  <c r="AJ8" i="1"/>
  <c r="H8" i="1"/>
  <c r="R31" i="1"/>
  <c r="AL22" i="1"/>
  <c r="X11" i="1"/>
  <c r="S11" i="1"/>
  <c r="I11" i="1"/>
  <c r="AM22" i="1"/>
  <c r="AA8" i="1"/>
  <c r="Z8" i="1"/>
  <c r="Z24" i="1"/>
  <c r="X8" i="1"/>
  <c r="L22" i="1"/>
  <c r="AG81" i="1"/>
  <c r="W11" i="1"/>
  <c r="AE11" i="1"/>
  <c r="Z22" i="1"/>
  <c r="M8" i="1"/>
  <c r="L8" i="1"/>
  <c r="AM8" i="1"/>
  <c r="AA24" i="1"/>
  <c r="I8" i="1"/>
  <c r="F11" i="1"/>
  <c r="P89" i="1"/>
  <c r="M81" i="1"/>
  <c r="Z12" i="1"/>
  <c r="M11" i="1"/>
  <c r="H11" i="1"/>
  <c r="AD8" i="1"/>
  <c r="AA22" i="1"/>
  <c r="Y8" i="1"/>
  <c r="AG24" i="1"/>
  <c r="N22" i="1"/>
  <c r="AM15" i="1"/>
  <c r="S15" i="1"/>
  <c r="K33" i="1"/>
  <c r="AM12" i="1"/>
  <c r="Y11" i="1"/>
  <c r="T11" i="1"/>
  <c r="K24" i="1"/>
  <c r="O8" i="1"/>
  <c r="AB8" i="1"/>
  <c r="AB22" i="1"/>
  <c r="Y15" i="1"/>
  <c r="M15" i="1"/>
  <c r="J22" i="1"/>
  <c r="U12" i="1"/>
  <c r="AE20" i="1"/>
  <c r="J10" i="1"/>
  <c r="AI14" i="1"/>
  <c r="W14" i="1"/>
  <c r="AC33" i="1"/>
  <c r="T16" i="1"/>
  <c r="K13" i="1"/>
  <c r="AF16" i="1"/>
  <c r="AJ29" i="1"/>
  <c r="V16" i="1"/>
  <c r="J12" i="1"/>
  <c r="Y12" i="1"/>
  <c r="Q12" i="1"/>
  <c r="AA33" i="1"/>
  <c r="Q33" i="1"/>
  <c r="N12" i="1"/>
  <c r="I12" i="1"/>
  <c r="AH14" i="1"/>
  <c r="AB12" i="1"/>
  <c r="AL12" i="1"/>
  <c r="AG12" i="1"/>
  <c r="T33" i="1"/>
  <c r="S9" i="1"/>
  <c r="U14" i="1"/>
  <c r="J14" i="1"/>
  <c r="AI33" i="1"/>
  <c r="AE33" i="1"/>
  <c r="AD12" i="1"/>
  <c r="F12" i="1"/>
  <c r="O12" i="1"/>
  <c r="AH12" i="1"/>
  <c r="AK33" i="1"/>
  <c r="V14" i="1"/>
  <c r="W33" i="1"/>
  <c r="S33" i="1"/>
  <c r="K12" i="1"/>
  <c r="AA12" i="1"/>
  <c r="U33" i="1"/>
  <c r="AI20" i="1"/>
  <c r="N10" i="1"/>
  <c r="AF15" i="1"/>
  <c r="X10" i="1"/>
  <c r="AJ12" i="1"/>
  <c r="G12" i="1"/>
  <c r="S12" i="1"/>
  <c r="K14" i="1"/>
  <c r="AL20" i="1"/>
  <c r="AB27" i="1"/>
  <c r="AD10" i="1"/>
  <c r="P33" i="1"/>
  <c r="AE12" i="1"/>
  <c r="W12" i="1"/>
  <c r="AB33" i="1"/>
  <c r="H12" i="1"/>
  <c r="V20" i="1"/>
  <c r="AJ14" i="1"/>
  <c r="S31" i="1"/>
  <c r="T12" i="1"/>
  <c r="AK12" i="1"/>
  <c r="Z33" i="1"/>
  <c r="AH34" i="1"/>
  <c r="H34" i="1"/>
  <c r="AC34" i="1"/>
  <c r="L33" i="1"/>
  <c r="U9" i="1"/>
  <c r="AK20" i="1"/>
  <c r="K20" i="1"/>
  <c r="AA9" i="1"/>
  <c r="AK8" i="1"/>
  <c r="AK9" i="1"/>
  <c r="S20" i="1"/>
  <c r="M20" i="1"/>
  <c r="T8" i="1"/>
  <c r="O9" i="1"/>
  <c r="J8" i="1"/>
  <c r="AL8" i="1"/>
  <c r="N20" i="1"/>
  <c r="AG20" i="1"/>
  <c r="AB20" i="1"/>
  <c r="J9" i="1"/>
  <c r="AH9" i="1"/>
  <c r="U8" i="1"/>
  <c r="Y20" i="1"/>
  <c r="AI9" i="1"/>
  <c r="V8" i="1"/>
  <c r="J33" i="1"/>
  <c r="G20" i="1"/>
  <c r="AH8" i="1"/>
  <c r="AF27" i="1"/>
  <c r="P8" i="1"/>
  <c r="AI92" i="1"/>
  <c r="Y61" i="1"/>
  <c r="P81" i="1"/>
  <c r="AD64" i="1"/>
  <c r="AK81" i="1"/>
  <c r="R34" i="1"/>
  <c r="AJ34" i="1"/>
  <c r="AD34" i="1"/>
  <c r="AM16" i="1"/>
  <c r="K16" i="1"/>
  <c r="U16" i="1"/>
  <c r="Y94" i="1"/>
  <c r="V34" i="1"/>
  <c r="AK61" i="1"/>
  <c r="AH81" i="1"/>
  <c r="AE89" i="1"/>
  <c r="R64" i="1"/>
  <c r="P61" i="1"/>
  <c r="F81" i="1"/>
  <c r="Q81" i="1"/>
  <c r="N81" i="1"/>
  <c r="Q34" i="1"/>
  <c r="I34" i="1"/>
  <c r="O34" i="1"/>
  <c r="O16" i="1"/>
  <c r="W16" i="1"/>
  <c r="AD33" i="1"/>
  <c r="AM33" i="1"/>
  <c r="Q16" i="1"/>
  <c r="S89" i="1"/>
  <c r="AJ94" i="1"/>
  <c r="GO94" i="1" s="1"/>
  <c r="F64" i="1"/>
  <c r="AC64" i="1"/>
  <c r="AB61" i="1"/>
  <c r="AB81" i="1"/>
  <c r="AM81" i="1"/>
  <c r="Z81" i="1"/>
  <c r="W34" i="1"/>
  <c r="AA34" i="1"/>
  <c r="AG16" i="1"/>
  <c r="AC16" i="1"/>
  <c r="AI16" i="1"/>
  <c r="M33" i="1"/>
  <c r="AL33" i="1"/>
  <c r="Q64" i="1"/>
  <c r="I61" i="1"/>
  <c r="H81" i="1"/>
  <c r="T81" i="1"/>
  <c r="AL81" i="1"/>
  <c r="AK34" i="1"/>
  <c r="AM34" i="1"/>
  <c r="AH16" i="1"/>
  <c r="I16" i="1"/>
  <c r="F16" i="1"/>
  <c r="L16" i="1"/>
  <c r="Z16" i="1"/>
  <c r="AF33" i="1"/>
  <c r="R12" i="1"/>
  <c r="X94" i="1"/>
  <c r="L64" i="1"/>
  <c r="L94" i="1"/>
  <c r="AI94" i="1"/>
  <c r="GL94" i="1" s="1"/>
  <c r="U61" i="1"/>
  <c r="AC81" i="1"/>
  <c r="K81" i="1"/>
  <c r="G81" i="1"/>
  <c r="K34" i="1"/>
  <c r="J34" i="1"/>
  <c r="G34" i="1"/>
  <c r="J16" i="1"/>
  <c r="R16" i="1"/>
  <c r="X16" i="1"/>
  <c r="AI12" i="1"/>
  <c r="H33" i="1"/>
  <c r="AB16" i="1"/>
  <c r="N33" i="1"/>
  <c r="V33" i="1"/>
  <c r="P12" i="1"/>
  <c r="G89" i="1"/>
  <c r="AD89" i="1"/>
  <c r="W94" i="1"/>
  <c r="AB64" i="1"/>
  <c r="AG61" i="1"/>
  <c r="I81" i="1"/>
  <c r="W81" i="1"/>
  <c r="S81" i="1"/>
  <c r="X34" i="1"/>
  <c r="S34" i="1"/>
  <c r="AD16" i="1"/>
  <c r="AJ16" i="1"/>
  <c r="AG33" i="1"/>
  <c r="AC12" i="1"/>
  <c r="M12" i="1"/>
  <c r="P34" i="1"/>
  <c r="X64" i="1"/>
  <c r="R89" i="1"/>
  <c r="K94" i="1"/>
  <c r="DR94" i="1" s="1"/>
  <c r="AH94" i="1"/>
  <c r="GJ94" i="1" s="1"/>
  <c r="P64" i="1"/>
  <c r="AD81" i="1"/>
  <c r="AI81" i="1"/>
  <c r="AE81" i="1"/>
  <c r="AL34" i="1"/>
  <c r="AE34" i="1"/>
  <c r="AG34" i="1"/>
  <c r="AF34" i="1"/>
  <c r="G16" i="1"/>
  <c r="M16" i="1"/>
  <c r="O33" i="1"/>
  <c r="P16" i="1"/>
  <c r="Y81" i="1"/>
  <c r="R94" i="1"/>
  <c r="EM94" i="1" s="1"/>
  <c r="AC94" i="1"/>
  <c r="FU94" i="1" s="1"/>
  <c r="F89" i="1"/>
  <c r="AC89" i="1"/>
  <c r="V94" i="1"/>
  <c r="EY94" i="1" s="1"/>
  <c r="J81" i="1"/>
  <c r="L81" i="1"/>
  <c r="M34" i="1"/>
  <c r="F34" i="1"/>
  <c r="L34" i="1"/>
  <c r="AL16" i="1"/>
  <c r="S16" i="1"/>
  <c r="Y16" i="1"/>
  <c r="AH33" i="1"/>
  <c r="X12" i="1"/>
  <c r="F50" i="1"/>
  <c r="AK50" i="1"/>
  <c r="Y50" i="1"/>
  <c r="AL50" i="1"/>
  <c r="AA50" i="1"/>
  <c r="AH50" i="1"/>
  <c r="AE50" i="1"/>
  <c r="V50" i="1"/>
  <c r="S50" i="1"/>
  <c r="J50" i="1"/>
  <c r="G50" i="1"/>
  <c r="N50" i="1"/>
  <c r="AG50" i="1"/>
  <c r="AM50" i="1"/>
  <c r="U50" i="1"/>
  <c r="P50" i="1"/>
  <c r="AF50" i="1"/>
  <c r="T50" i="1"/>
  <c r="M50" i="1"/>
  <c r="O50" i="1"/>
  <c r="AJ50" i="1"/>
  <c r="X50" i="1"/>
  <c r="AC50" i="1"/>
  <c r="AD50" i="1"/>
  <c r="I50" i="1"/>
  <c r="R50" i="1"/>
  <c r="K50" i="1"/>
  <c r="L50" i="1"/>
  <c r="Q50" i="1"/>
  <c r="Z50" i="1"/>
  <c r="AI50" i="1"/>
  <c r="AB50" i="1"/>
  <c r="H50" i="1"/>
  <c r="W50" i="1"/>
  <c r="G64" i="1"/>
  <c r="F94" i="1"/>
  <c r="Q94" i="1"/>
  <c r="Q89" i="1"/>
  <c r="J94" i="1"/>
  <c r="DO94" i="1" s="1"/>
  <c r="AJ61" i="1"/>
  <c r="O61" i="1"/>
  <c r="AF81" i="1"/>
  <c r="X81" i="1"/>
  <c r="U34" i="1"/>
  <c r="Z34" i="1"/>
  <c r="N16" i="1"/>
  <c r="AE16" i="1"/>
  <c r="AK16" i="1"/>
  <c r="F33" i="1"/>
  <c r="R33" i="1"/>
  <c r="X89" i="1"/>
  <c r="O81" i="1"/>
  <c r="AI34" i="1"/>
  <c r="N34" i="1"/>
  <c r="H16" i="1"/>
  <c r="AB34" i="1"/>
  <c r="T34" i="1"/>
  <c r="X33" i="1"/>
  <c r="AJ33" i="1"/>
  <c r="I33" i="1"/>
  <c r="L12" i="1"/>
  <c r="S40" i="1"/>
  <c r="Y39" i="1"/>
  <c r="W39" i="1"/>
  <c r="V39" i="1"/>
  <c r="Q39" i="1"/>
  <c r="DK99" i="1"/>
  <c r="O44" i="1"/>
  <c r="F40" i="1"/>
  <c r="W40" i="1"/>
  <c r="AE40" i="1"/>
  <c r="P30" i="1"/>
  <c r="AB63" i="1"/>
  <c r="Q63" i="1"/>
  <c r="AC63" i="1"/>
  <c r="O63" i="1"/>
  <c r="AA63" i="1"/>
  <c r="K63" i="1"/>
  <c r="AM63" i="1"/>
  <c r="W63" i="1"/>
  <c r="R63" i="1"/>
  <c r="F63" i="1"/>
  <c r="P63" i="1"/>
  <c r="AM86" i="1"/>
  <c r="AA86" i="1"/>
  <c r="S86" i="1"/>
  <c r="O86" i="1"/>
  <c r="F86" i="1"/>
  <c r="K86" i="1"/>
  <c r="AL86" i="1"/>
  <c r="X86" i="1"/>
  <c r="G86" i="1"/>
  <c r="AF86" i="1"/>
  <c r="Z86" i="1"/>
  <c r="AC86" i="1"/>
  <c r="N86" i="1"/>
  <c r="AD86" i="1"/>
  <c r="W86" i="1"/>
  <c r="AK86" i="1"/>
  <c r="I86" i="1"/>
  <c r="AG86" i="1"/>
  <c r="Y86" i="1"/>
  <c r="T86" i="1"/>
  <c r="U86" i="1"/>
  <c r="M86" i="1"/>
  <c r="AD63" i="1"/>
  <c r="R90" i="1"/>
  <c r="F90" i="1"/>
  <c r="N91" i="1"/>
  <c r="G91" i="1"/>
  <c r="AK91" i="1"/>
  <c r="AD91" i="1"/>
  <c r="Y91" i="1"/>
  <c r="R91" i="1"/>
  <c r="X91" i="1"/>
  <c r="M91" i="1"/>
  <c r="F91" i="1"/>
  <c r="AG91" i="1"/>
  <c r="AC91" i="1"/>
  <c r="J91" i="1"/>
  <c r="P91" i="1"/>
  <c r="U91" i="1"/>
  <c r="AH91" i="1"/>
  <c r="K91" i="1"/>
  <c r="AA91" i="1"/>
  <c r="I91" i="1"/>
  <c r="AI91" i="1"/>
  <c r="L91" i="1"/>
  <c r="AF91" i="1"/>
  <c r="AJ91" i="1"/>
  <c r="T91" i="1"/>
  <c r="S91" i="1"/>
  <c r="AE91" i="1"/>
  <c r="AD90" i="1"/>
  <c r="AF90" i="1"/>
  <c r="G90" i="1"/>
  <c r="S90" i="1"/>
  <c r="AE90" i="1"/>
  <c r="M90" i="1"/>
  <c r="Q90" i="1"/>
  <c r="Y90" i="1"/>
  <c r="AC90" i="1"/>
  <c r="Z91" i="1"/>
  <c r="AL91" i="1"/>
  <c r="T90" i="1"/>
  <c r="P86" i="1"/>
  <c r="AB86" i="1"/>
  <c r="AL39" i="1"/>
  <c r="R39" i="1"/>
  <c r="U39" i="1"/>
  <c r="Z39" i="1"/>
  <c r="K39" i="1"/>
  <c r="DL5" i="1"/>
  <c r="DL99" i="1" s="1"/>
  <c r="AD39" i="1"/>
  <c r="M49" i="1"/>
  <c r="Q49" i="1"/>
  <c r="V32" i="1"/>
  <c r="Y32" i="1"/>
  <c r="J32" i="1"/>
  <c r="AC32" i="1"/>
  <c r="T32" i="1"/>
  <c r="U32" i="1"/>
  <c r="H32" i="1"/>
  <c r="S32" i="1"/>
  <c r="AD32" i="1"/>
  <c r="Q32" i="1"/>
  <c r="R32" i="1"/>
  <c r="AL32" i="1"/>
  <c r="AE32" i="1"/>
  <c r="F32" i="1"/>
  <c r="N32" i="1"/>
  <c r="AB32" i="1"/>
  <c r="AK32" i="1"/>
  <c r="AI32" i="1"/>
  <c r="P32" i="1"/>
  <c r="M32" i="1"/>
  <c r="I32" i="1"/>
  <c r="U56" i="1"/>
  <c r="AC56" i="1"/>
  <c r="AF32" i="1"/>
  <c r="M65" i="1"/>
  <c r="G65" i="1"/>
  <c r="H65" i="1"/>
  <c r="S65" i="1"/>
  <c r="T65" i="1"/>
  <c r="AE65" i="1"/>
  <c r="AF65" i="1"/>
  <c r="F65" i="1"/>
  <c r="R65" i="1"/>
  <c r="Q37" i="1"/>
  <c r="I37" i="1"/>
  <c r="AC37" i="1"/>
  <c r="U37" i="1"/>
  <c r="AH32" i="1"/>
  <c r="I69" i="1"/>
  <c r="AH69" i="1"/>
  <c r="AG69" i="1"/>
  <c r="Q69" i="1"/>
  <c r="K69" i="1"/>
  <c r="L69" i="1"/>
  <c r="W69" i="1"/>
  <c r="X69" i="1"/>
  <c r="AD44" i="1"/>
  <c r="W44" i="1"/>
  <c r="AC44" i="1"/>
  <c r="AK44" i="1"/>
  <c r="N44" i="1"/>
  <c r="V44" i="1"/>
  <c r="AA44" i="1"/>
  <c r="H44" i="1"/>
  <c r="AB44" i="1"/>
  <c r="M44" i="1"/>
  <c r="AI44" i="1"/>
  <c r="P44" i="1"/>
  <c r="Z44" i="1"/>
  <c r="U44" i="1"/>
  <c r="AJ44" i="1"/>
  <c r="K44" i="1"/>
  <c r="G44" i="1"/>
  <c r="X44" i="1"/>
  <c r="AM44" i="1"/>
  <c r="Y49" i="1"/>
  <c r="K32" i="1"/>
  <c r="AL30" i="1"/>
  <c r="U30" i="1"/>
  <c r="N30" i="1"/>
  <c r="L30" i="1"/>
  <c r="AK30" i="1"/>
  <c r="AD30" i="1"/>
  <c r="Y30" i="1"/>
  <c r="M30" i="1"/>
  <c r="T30" i="1"/>
  <c r="AI30" i="1"/>
  <c r="J30" i="1"/>
  <c r="AA30" i="1"/>
  <c r="K30" i="1"/>
  <c r="AC30" i="1"/>
  <c r="F30" i="1"/>
  <c r="W32" i="1"/>
  <c r="Q40" i="1"/>
  <c r="AJ40" i="1"/>
  <c r="X40" i="1"/>
  <c r="K40" i="1"/>
  <c r="L40" i="1"/>
  <c r="Z40" i="1"/>
  <c r="AF40" i="1"/>
  <c r="M40" i="1"/>
  <c r="R40" i="1"/>
  <c r="T40" i="1"/>
  <c r="AA40" i="1"/>
  <c r="H40" i="1"/>
  <c r="U69" i="1"/>
  <c r="I56" i="1"/>
  <c r="I44" i="1"/>
  <c r="O41" i="1"/>
  <c r="S41" i="1"/>
  <c r="K41" i="1"/>
  <c r="Z41" i="1"/>
  <c r="AK41" i="1"/>
  <c r="Y41" i="1"/>
  <c r="L41" i="1"/>
  <c r="M41" i="1"/>
  <c r="V69" i="1"/>
  <c r="AC65" i="1"/>
  <c r="I41" i="1"/>
  <c r="AA41" i="1"/>
  <c r="AL44" i="1"/>
  <c r="AG32" i="1"/>
  <c r="J69" i="1"/>
  <c r="Q65" i="1"/>
  <c r="U41" i="1"/>
  <c r="J44" i="1"/>
  <c r="L32" i="1"/>
  <c r="AK49" i="1"/>
  <c r="AD65" i="1"/>
  <c r="AG41" i="1"/>
  <c r="Y44" i="1"/>
  <c r="Z30" i="1"/>
  <c r="AJ32" i="1"/>
  <c r="X32" i="1"/>
  <c r="AI69" i="1"/>
  <c r="AI40" i="1"/>
  <c r="AG44" i="1"/>
  <c r="Q44" i="1"/>
  <c r="AB30" i="1"/>
  <c r="O32" i="1"/>
  <c r="AJ69" i="1"/>
  <c r="Q56" i="1"/>
  <c r="AL40" i="1"/>
  <c r="U40" i="1"/>
  <c r="AH40" i="1"/>
  <c r="AE44" i="1"/>
  <c r="AA32" i="1"/>
  <c r="DF99" i="1"/>
  <c r="AE82" i="1"/>
  <c r="W82" i="1"/>
  <c r="J82" i="1"/>
  <c r="I82" i="1"/>
  <c r="H82" i="1"/>
  <c r="L82" i="1"/>
  <c r="K82" i="1"/>
  <c r="AM82" i="1"/>
  <c r="AB82" i="1"/>
  <c r="AA82" i="1"/>
  <c r="F82" i="1"/>
  <c r="O82" i="1"/>
  <c r="V82" i="1"/>
  <c r="AL82" i="1"/>
  <c r="U82" i="1"/>
  <c r="Z82" i="1"/>
  <c r="S82" i="1"/>
  <c r="G82" i="1"/>
  <c r="AC82" i="1"/>
  <c r="AD82" i="1"/>
  <c r="N82" i="1"/>
  <c r="R82" i="1"/>
  <c r="AK82" i="1"/>
  <c r="AI82" i="1"/>
  <c r="Y82" i="1"/>
  <c r="Q82" i="1"/>
  <c r="X82" i="1"/>
  <c r="AH82" i="1"/>
  <c r="P82" i="1"/>
  <c r="AG82" i="1"/>
  <c r="AF82" i="1"/>
  <c r="T82" i="1"/>
  <c r="M82" i="1"/>
  <c r="AJ82" i="1"/>
  <c r="AE54" i="1"/>
  <c r="AJ54" i="1"/>
  <c r="T54" i="1"/>
  <c r="AI54" i="1"/>
  <c r="R54" i="1"/>
  <c r="AH54" i="1"/>
  <c r="N54" i="1"/>
  <c r="AG54" i="1"/>
  <c r="M54" i="1"/>
  <c r="AF54" i="1"/>
  <c r="L54" i="1"/>
  <c r="AD54" i="1"/>
  <c r="K54" i="1"/>
  <c r="Z54" i="1"/>
  <c r="J54" i="1"/>
  <c r="Y54" i="1"/>
  <c r="I54" i="1"/>
  <c r="AL54" i="1"/>
  <c r="V54" i="1"/>
  <c r="AK54" i="1"/>
  <c r="X54" i="1"/>
  <c r="W54" i="1"/>
  <c r="U54" i="1"/>
  <c r="H54" i="1"/>
  <c r="F54" i="1"/>
  <c r="AM54" i="1"/>
  <c r="AB54" i="1"/>
  <c r="G54" i="1"/>
  <c r="S54" i="1"/>
  <c r="Q54" i="1"/>
  <c r="AC54" i="1"/>
  <c r="P54" i="1"/>
  <c r="O54" i="1"/>
  <c r="AA54" i="1"/>
  <c r="AH28" i="1"/>
  <c r="V28" i="1"/>
  <c r="U28" i="1"/>
  <c r="P28" i="1"/>
  <c r="O28" i="1"/>
  <c r="H28" i="1"/>
  <c r="G28" i="1"/>
  <c r="F28" i="1"/>
  <c r="AD28" i="1"/>
  <c r="AM28" i="1"/>
  <c r="AE28" i="1"/>
  <c r="Y28" i="1"/>
  <c r="AG28" i="1"/>
  <c r="AK28" i="1"/>
  <c r="J28" i="1"/>
  <c r="AL28" i="1"/>
  <c r="AB28" i="1"/>
  <c r="Q28" i="1"/>
  <c r="Z28" i="1"/>
  <c r="AF28" i="1"/>
  <c r="N28" i="1"/>
  <c r="AJ28" i="1"/>
  <c r="M28" i="1"/>
  <c r="X28" i="1"/>
  <c r="I28" i="1"/>
  <c r="AC28" i="1"/>
  <c r="L28" i="1"/>
  <c r="AA28" i="1"/>
  <c r="S28" i="1"/>
  <c r="AI28" i="1"/>
  <c r="W28" i="1"/>
  <c r="K28" i="1"/>
  <c r="R28" i="1"/>
  <c r="T28" i="1"/>
  <c r="AM23" i="1"/>
  <c r="AL23" i="1"/>
  <c r="AK23" i="1"/>
  <c r="AC23" i="1"/>
  <c r="X23" i="1"/>
  <c r="V23" i="1"/>
  <c r="AJ23" i="1"/>
  <c r="Z23" i="1"/>
  <c r="T23" i="1"/>
  <c r="K23" i="1"/>
  <c r="AI23" i="1"/>
  <c r="Y23" i="1"/>
  <c r="N23" i="1"/>
  <c r="W23" i="1"/>
  <c r="AG23" i="1"/>
  <c r="Q23" i="1"/>
  <c r="J23" i="1"/>
  <c r="U23" i="1"/>
  <c r="AH23" i="1"/>
  <c r="I23" i="1"/>
  <c r="P23" i="1"/>
  <c r="AE23" i="1"/>
  <c r="AF23" i="1"/>
  <c r="H23" i="1"/>
  <c r="S23" i="1"/>
  <c r="O23" i="1"/>
  <c r="G23" i="1"/>
  <c r="AB23" i="1"/>
  <c r="F23" i="1"/>
  <c r="M23" i="1"/>
  <c r="AA23" i="1"/>
  <c r="L23" i="1"/>
  <c r="AD23" i="1"/>
  <c r="R23" i="1"/>
  <c r="Z70" i="1"/>
  <c r="AM70" i="1"/>
  <c r="AL70" i="1"/>
  <c r="AF70" i="1"/>
  <c r="S70" i="1"/>
  <c r="Q70" i="1"/>
  <c r="P70" i="1"/>
  <c r="N70" i="1"/>
  <c r="W70" i="1"/>
  <c r="AC70" i="1"/>
  <c r="K70" i="1"/>
  <c r="AD70" i="1"/>
  <c r="AH70" i="1"/>
  <c r="R70" i="1"/>
  <c r="V70" i="1"/>
  <c r="F70" i="1"/>
  <c r="J70" i="1"/>
  <c r="AK70" i="1"/>
  <c r="AA70" i="1"/>
  <c r="Y70" i="1"/>
  <c r="M70" i="1"/>
  <c r="G70" i="1"/>
  <c r="I70" i="1"/>
  <c r="U70" i="1"/>
  <c r="AJ70" i="1"/>
  <c r="AB70" i="1"/>
  <c r="AE70" i="1"/>
  <c r="T70" i="1"/>
  <c r="X70" i="1"/>
  <c r="L70" i="1"/>
  <c r="H70" i="1"/>
  <c r="AI70" i="1"/>
  <c r="O70" i="1"/>
  <c r="AG70" i="1"/>
  <c r="AJ36" i="1"/>
  <c r="Z36" i="1"/>
  <c r="Y36" i="1"/>
  <c r="V36" i="1"/>
  <c r="G36" i="1"/>
  <c r="AF36" i="1"/>
  <c r="U36" i="1"/>
  <c r="T36" i="1"/>
  <c r="F36" i="1"/>
  <c r="H36" i="1"/>
  <c r="AG36" i="1"/>
  <c r="AB36" i="1"/>
  <c r="R36" i="1"/>
  <c r="P36" i="1"/>
  <c r="AE36" i="1"/>
  <c r="M36" i="1"/>
  <c r="AL36" i="1"/>
  <c r="Q36" i="1"/>
  <c r="X36" i="1"/>
  <c r="AD36" i="1"/>
  <c r="J36" i="1"/>
  <c r="O36" i="1"/>
  <c r="AK36" i="1"/>
  <c r="AC36" i="1"/>
  <c r="L36" i="1"/>
  <c r="S36" i="1"/>
  <c r="AA36" i="1"/>
  <c r="K36" i="1"/>
  <c r="W36" i="1"/>
  <c r="I36" i="1"/>
  <c r="AI36" i="1"/>
  <c r="N36" i="1"/>
  <c r="AH36" i="1"/>
  <c r="AM36" i="1"/>
  <c r="AB42" i="1"/>
  <c r="L42" i="1"/>
  <c r="AA42" i="1"/>
  <c r="K42" i="1"/>
  <c r="Y42" i="1"/>
  <c r="I42" i="1"/>
  <c r="X42" i="1"/>
  <c r="H42" i="1"/>
  <c r="AM42" i="1"/>
  <c r="W42" i="1"/>
  <c r="G42" i="1"/>
  <c r="AK42" i="1"/>
  <c r="U42" i="1"/>
  <c r="F42" i="1"/>
  <c r="AJ42" i="1"/>
  <c r="T42" i="1"/>
  <c r="AI42" i="1"/>
  <c r="R42" i="1"/>
  <c r="AD42" i="1"/>
  <c r="O42" i="1"/>
  <c r="Q42" i="1"/>
  <c r="P42" i="1"/>
  <c r="AF42" i="1"/>
  <c r="M42" i="1"/>
  <c r="AE42" i="1"/>
  <c r="AC42" i="1"/>
  <c r="J42" i="1"/>
  <c r="S42" i="1"/>
  <c r="AG42" i="1"/>
  <c r="AL42" i="1"/>
  <c r="Z42" i="1"/>
  <c r="V42" i="1"/>
  <c r="N42" i="1"/>
  <c r="AH42" i="1"/>
  <c r="G51" i="1"/>
  <c r="AK51" i="1"/>
  <c r="AA51" i="1"/>
  <c r="M51" i="1"/>
  <c r="O51" i="1"/>
  <c r="AE51" i="1"/>
  <c r="AJ51" i="1"/>
  <c r="AL51" i="1"/>
  <c r="L51" i="1"/>
  <c r="Z51" i="1"/>
  <c r="AC51" i="1"/>
  <c r="U51" i="1"/>
  <c r="N51" i="1"/>
  <c r="K51" i="1"/>
  <c r="T51" i="1"/>
  <c r="AI51" i="1"/>
  <c r="Y51" i="1"/>
  <c r="S51" i="1"/>
  <c r="J51" i="1"/>
  <c r="AD51" i="1"/>
  <c r="AH51" i="1"/>
  <c r="X51" i="1"/>
  <c r="R51" i="1"/>
  <c r="Q51" i="1"/>
  <c r="I51" i="1"/>
  <c r="AB51" i="1"/>
  <c r="AM51" i="1"/>
  <c r="AG51" i="1"/>
  <c r="P51" i="1"/>
  <c r="AF51" i="1"/>
  <c r="W51" i="1"/>
  <c r="H51" i="1"/>
  <c r="V51" i="1"/>
  <c r="F51" i="1"/>
  <c r="Y66" i="1"/>
  <c r="AI66" i="1"/>
  <c r="AC66" i="1"/>
  <c r="X66" i="1"/>
  <c r="W66" i="1"/>
  <c r="V66" i="1"/>
  <c r="Q66" i="1"/>
  <c r="P66" i="1"/>
  <c r="O66" i="1"/>
  <c r="AK66" i="1"/>
  <c r="AM66" i="1"/>
  <c r="AJ66" i="1"/>
  <c r="M66" i="1"/>
  <c r="K66" i="1"/>
  <c r="H66" i="1"/>
  <c r="AE66" i="1"/>
  <c r="J66" i="1"/>
  <c r="S66" i="1"/>
  <c r="AB66" i="1"/>
  <c r="G66" i="1"/>
  <c r="AL66" i="1"/>
  <c r="AD66" i="1"/>
  <c r="L66" i="1"/>
  <c r="Z66" i="1"/>
  <c r="R66" i="1"/>
  <c r="AH66" i="1"/>
  <c r="N66" i="1"/>
  <c r="F66" i="1"/>
  <c r="AG66" i="1"/>
  <c r="AA66" i="1"/>
  <c r="U66" i="1"/>
  <c r="T66" i="1"/>
  <c r="AL29" i="1"/>
  <c r="AI29" i="1"/>
  <c r="AH29" i="1"/>
  <c r="U29" i="1"/>
  <c r="T29" i="1"/>
  <c r="F29" i="1"/>
  <c r="X29" i="1"/>
  <c r="AB29" i="1"/>
  <c r="L29" i="1"/>
  <c r="J29" i="1"/>
  <c r="AG29" i="1"/>
  <c r="Z29" i="1"/>
  <c r="R29" i="1"/>
  <c r="I29" i="1"/>
  <c r="AF29" i="1"/>
  <c r="W29" i="1"/>
  <c r="AM29" i="1"/>
  <c r="Q29" i="1"/>
  <c r="H29" i="1"/>
  <c r="AA29" i="1"/>
  <c r="AE29" i="1"/>
  <c r="V29" i="1"/>
  <c r="S29" i="1"/>
  <c r="O29" i="1"/>
  <c r="P29" i="1"/>
  <c r="G29" i="1"/>
  <c r="AK29" i="1"/>
  <c r="AD29" i="1"/>
  <c r="N29" i="1"/>
  <c r="AC29" i="1"/>
  <c r="K29" i="1"/>
  <c r="AK26" i="1"/>
  <c r="AD26" i="1"/>
  <c r="AC26" i="1"/>
  <c r="AB26" i="1"/>
  <c r="O26" i="1"/>
  <c r="N26" i="1"/>
  <c r="M26" i="1"/>
  <c r="L26" i="1"/>
  <c r="W26" i="1"/>
  <c r="AH26" i="1"/>
  <c r="AM26" i="1"/>
  <c r="R26" i="1"/>
  <c r="V26" i="1"/>
  <c r="AI26" i="1"/>
  <c r="S26" i="1"/>
  <c r="J26" i="1"/>
  <c r="H26" i="1"/>
  <c r="P26" i="1"/>
  <c r="AG26" i="1"/>
  <c r="Z26" i="1"/>
  <c r="AE26" i="1"/>
  <c r="U26" i="1"/>
  <c r="I26" i="1"/>
  <c r="T26" i="1"/>
  <c r="AL26" i="1"/>
  <c r="AA26" i="1"/>
  <c r="Q26" i="1"/>
  <c r="AF26" i="1"/>
  <c r="G26" i="1"/>
  <c r="Y26" i="1"/>
  <c r="F26" i="1"/>
  <c r="AI60" i="1"/>
  <c r="V60" i="1"/>
  <c r="Q60" i="1"/>
  <c r="P60" i="1"/>
  <c r="N60" i="1"/>
  <c r="AL60" i="1"/>
  <c r="M60" i="1"/>
  <c r="AG60" i="1"/>
  <c r="K60" i="1"/>
  <c r="AE60" i="1"/>
  <c r="J60" i="1"/>
  <c r="AD60" i="1"/>
  <c r="I60" i="1"/>
  <c r="Z60" i="1"/>
  <c r="AC60" i="1"/>
  <c r="AB60" i="1"/>
  <c r="Y60" i="1"/>
  <c r="F60" i="1"/>
  <c r="AJ60" i="1"/>
  <c r="X60" i="1"/>
  <c r="L60" i="1"/>
  <c r="U60" i="1"/>
  <c r="AK60" i="1"/>
  <c r="AF60" i="1"/>
  <c r="T60" i="1"/>
  <c r="R60" i="1"/>
  <c r="S60" i="1"/>
  <c r="H60" i="1"/>
  <c r="G60" i="1"/>
  <c r="W60" i="1"/>
  <c r="AM60" i="1"/>
  <c r="AA60" i="1"/>
  <c r="O60" i="1"/>
  <c r="AF66" i="1"/>
  <c r="X26" i="1"/>
  <c r="I66" i="1"/>
  <c r="AJ26" i="1"/>
  <c r="K26" i="1"/>
  <c r="AI88" i="1"/>
  <c r="U88" i="1"/>
  <c r="AL88" i="1"/>
  <c r="T88" i="1"/>
  <c r="AK88" i="1"/>
  <c r="S88" i="1"/>
  <c r="AJ88" i="1"/>
  <c r="N88" i="1"/>
  <c r="AH88" i="1"/>
  <c r="M88" i="1"/>
  <c r="AG88" i="1"/>
  <c r="L88" i="1"/>
  <c r="AF88" i="1"/>
  <c r="J88" i="1"/>
  <c r="AE88" i="1"/>
  <c r="I88" i="1"/>
  <c r="X88" i="1"/>
  <c r="Z88" i="1"/>
  <c r="Y88" i="1"/>
  <c r="V88" i="1"/>
  <c r="G88" i="1"/>
  <c r="AK39" i="1"/>
  <c r="AJ39" i="1"/>
  <c r="AF59" i="1"/>
  <c r="F59" i="1"/>
  <c r="AD59" i="1"/>
  <c r="AC59" i="1"/>
  <c r="AB59" i="1"/>
  <c r="Y59" i="1"/>
  <c r="T59" i="1"/>
  <c r="Q59" i="1"/>
  <c r="P59" i="1"/>
  <c r="AJ59" i="1"/>
  <c r="L59" i="1"/>
  <c r="AG59" i="1"/>
  <c r="O59" i="1"/>
  <c r="M59" i="1"/>
  <c r="J59" i="1"/>
  <c r="AC49" i="1"/>
  <c r="AA49" i="1"/>
  <c r="L49" i="1"/>
  <c r="Z49" i="1"/>
  <c r="K49" i="1"/>
  <c r="AM49" i="1"/>
  <c r="X49" i="1"/>
  <c r="J49" i="1"/>
  <c r="AL49" i="1"/>
  <c r="W49" i="1"/>
  <c r="I49" i="1"/>
  <c r="AJ49" i="1"/>
  <c r="V49" i="1"/>
  <c r="H49" i="1"/>
  <c r="AI49" i="1"/>
  <c r="U49" i="1"/>
  <c r="G49" i="1"/>
  <c r="AH49" i="1"/>
  <c r="T49" i="1"/>
  <c r="F49" i="1"/>
  <c r="AG49" i="1"/>
  <c r="S49" i="1"/>
  <c r="AD49" i="1"/>
  <c r="O49" i="1"/>
  <c r="R49" i="1"/>
  <c r="P49" i="1"/>
  <c r="N49" i="1"/>
  <c r="AE49" i="1"/>
  <c r="AF49" i="1"/>
  <c r="AB49" i="1"/>
  <c r="Z32" i="1"/>
  <c r="G32" i="1"/>
  <c r="AG56" i="1"/>
  <c r="AB56" i="1"/>
  <c r="N56" i="1"/>
  <c r="AA56" i="1"/>
  <c r="M56" i="1"/>
  <c r="Z56" i="1"/>
  <c r="L56" i="1"/>
  <c r="AM56" i="1"/>
  <c r="Y56" i="1"/>
  <c r="K56" i="1"/>
  <c r="AL56" i="1"/>
  <c r="X56" i="1"/>
  <c r="J56" i="1"/>
  <c r="AK56" i="1"/>
  <c r="W56" i="1"/>
  <c r="H56" i="1"/>
  <c r="AJ56" i="1"/>
  <c r="V56" i="1"/>
  <c r="G56" i="1"/>
  <c r="AI56" i="1"/>
  <c r="T56" i="1"/>
  <c r="F56" i="1"/>
  <c r="AE56" i="1"/>
  <c r="P56" i="1"/>
  <c r="AH56" i="1"/>
  <c r="AF56" i="1"/>
  <c r="AD56" i="1"/>
  <c r="S56" i="1"/>
  <c r="R56" i="1"/>
  <c r="O56" i="1"/>
  <c r="AK65" i="1"/>
  <c r="AL65" i="1"/>
  <c r="P65" i="1"/>
  <c r="AJ65" i="1"/>
  <c r="O65" i="1"/>
  <c r="AI65" i="1"/>
  <c r="N65" i="1"/>
  <c r="AH65" i="1"/>
  <c r="L65" i="1"/>
  <c r="AG65" i="1"/>
  <c r="K65" i="1"/>
  <c r="AB65" i="1"/>
  <c r="J65" i="1"/>
  <c r="AA65" i="1"/>
  <c r="I65" i="1"/>
  <c r="Z65" i="1"/>
  <c r="V65" i="1"/>
  <c r="X65" i="1"/>
  <c r="U65" i="1"/>
  <c r="W65" i="1"/>
  <c r="AM65" i="1"/>
  <c r="AG37" i="1"/>
  <c r="AJ37" i="1"/>
  <c r="V37" i="1"/>
  <c r="G37" i="1"/>
  <c r="AI37" i="1"/>
  <c r="T37" i="1"/>
  <c r="F37" i="1"/>
  <c r="AH37" i="1"/>
  <c r="S37" i="1"/>
  <c r="AF37" i="1"/>
  <c r="R37" i="1"/>
  <c r="AE37" i="1"/>
  <c r="P37" i="1"/>
  <c r="AD37" i="1"/>
  <c r="O37" i="1"/>
  <c r="AB37" i="1"/>
  <c r="N37" i="1"/>
  <c r="AA37" i="1"/>
  <c r="M37" i="1"/>
  <c r="AL37" i="1"/>
  <c r="X37" i="1"/>
  <c r="J37" i="1"/>
  <c r="AM37" i="1"/>
  <c r="AK37" i="1"/>
  <c r="Z37" i="1"/>
  <c r="Y37" i="1"/>
  <c r="W37" i="1"/>
  <c r="L37" i="1"/>
  <c r="K37" i="1"/>
  <c r="H37" i="1"/>
  <c r="AC69" i="1"/>
  <c r="AL69" i="1"/>
  <c r="P69" i="1"/>
  <c r="AK69" i="1"/>
  <c r="O69" i="1"/>
  <c r="AF69" i="1"/>
  <c r="N69" i="1"/>
  <c r="AE69" i="1"/>
  <c r="M69" i="1"/>
  <c r="AD69" i="1"/>
  <c r="H69" i="1"/>
  <c r="AB69" i="1"/>
  <c r="G69" i="1"/>
  <c r="AA69" i="1"/>
  <c r="F69" i="1"/>
  <c r="Z69" i="1"/>
  <c r="S69" i="1"/>
  <c r="T69" i="1"/>
  <c r="Y69" i="1"/>
  <c r="AM69" i="1"/>
  <c r="R69" i="1"/>
  <c r="AG40" i="1"/>
  <c r="O40" i="1"/>
  <c r="N40" i="1"/>
  <c r="J40" i="1"/>
  <c r="G40" i="1"/>
  <c r="AM40" i="1"/>
  <c r="AK40" i="1"/>
  <c r="AD40" i="1"/>
  <c r="AC40" i="1"/>
  <c r="V40" i="1"/>
  <c r="AB40" i="1"/>
  <c r="Y40" i="1"/>
  <c r="P40" i="1"/>
  <c r="AC41" i="1"/>
  <c r="AE41" i="1"/>
  <c r="H41" i="1"/>
  <c r="AD41" i="1"/>
  <c r="G41" i="1"/>
  <c r="AB41" i="1"/>
  <c r="F41" i="1"/>
  <c r="X41" i="1"/>
  <c r="W41" i="1"/>
  <c r="V41" i="1"/>
  <c r="T41" i="1"/>
  <c r="AM41" i="1"/>
  <c r="R41" i="1"/>
  <c r="AI41" i="1"/>
  <c r="N41" i="1"/>
  <c r="AL41" i="1"/>
  <c r="AJ41" i="1"/>
  <c r="AF41" i="1"/>
  <c r="Q41" i="1"/>
  <c r="P41" i="1"/>
  <c r="J41" i="1"/>
  <c r="R44" i="1"/>
  <c r="F44" i="1"/>
  <c r="T44" i="1"/>
  <c r="AH44" i="1"/>
  <c r="AF44" i="1"/>
  <c r="S44" i="1"/>
  <c r="AF30" i="1"/>
  <c r="AE30" i="1"/>
  <c r="X30" i="1"/>
  <c r="W30" i="1"/>
  <c r="V30" i="1"/>
  <c r="S30" i="1"/>
  <c r="R30" i="1"/>
  <c r="Q30" i="1"/>
  <c r="AH30" i="1"/>
  <c r="H30" i="1"/>
  <c r="AM30" i="1"/>
  <c r="AG30" i="1"/>
  <c r="O30" i="1"/>
  <c r="I30" i="1"/>
  <c r="G30" i="1"/>
  <c r="AH87" i="1"/>
  <c r="AJ87" i="1"/>
  <c r="R87" i="1"/>
  <c r="AI87" i="1"/>
  <c r="M87" i="1"/>
  <c r="AG87" i="1"/>
  <c r="L87" i="1"/>
  <c r="AF87" i="1"/>
  <c r="K87" i="1"/>
  <c r="AE87" i="1"/>
  <c r="I87" i="1"/>
  <c r="AD87" i="1"/>
  <c r="Y87" i="1"/>
  <c r="G87" i="1"/>
  <c r="X87" i="1"/>
  <c r="F87" i="1"/>
  <c r="T87" i="1"/>
  <c r="W87" i="1"/>
  <c r="S87" i="1"/>
  <c r="U87" i="1"/>
  <c r="AK87" i="1"/>
  <c r="AH62" i="1"/>
  <c r="Y62" i="1"/>
  <c r="I62" i="1"/>
  <c r="X62" i="1"/>
  <c r="H62" i="1"/>
  <c r="W62" i="1"/>
  <c r="G62" i="1"/>
  <c r="U62" i="1"/>
  <c r="F62" i="1"/>
  <c r="AK62" i="1"/>
  <c r="T62" i="1"/>
  <c r="AJ62" i="1"/>
  <c r="S62" i="1"/>
  <c r="AI62" i="1"/>
  <c r="R62" i="1"/>
  <c r="AG62" i="1"/>
  <c r="P62" i="1"/>
  <c r="AD62" i="1"/>
  <c r="L62" i="1"/>
  <c r="AF62" i="1"/>
  <c r="AE62" i="1"/>
  <c r="AB62" i="1"/>
  <c r="O62" i="1"/>
  <c r="M62" i="1"/>
  <c r="K62" i="1"/>
  <c r="AE43" i="1"/>
  <c r="J43" i="1"/>
  <c r="I43" i="1"/>
  <c r="F43" i="1"/>
  <c r="AL43" i="1"/>
  <c r="AH43" i="1"/>
  <c r="AF43" i="1"/>
  <c r="Z43" i="1"/>
  <c r="Y43" i="1"/>
  <c r="R43" i="1"/>
  <c r="X43" i="1"/>
  <c r="T43" i="1"/>
  <c r="L43" i="1"/>
  <c r="W58" i="1"/>
  <c r="K58" i="1"/>
  <c r="I58" i="1"/>
  <c r="AK58" i="1"/>
  <c r="AJ58" i="1"/>
  <c r="AI58" i="1"/>
  <c r="AG58" i="1"/>
  <c r="AA58" i="1"/>
  <c r="Y58" i="1"/>
  <c r="M58" i="1"/>
  <c r="U58" i="1"/>
  <c r="L58" i="1"/>
  <c r="X58" i="1"/>
  <c r="G68" i="1"/>
  <c r="Z68" i="1"/>
  <c r="X68" i="1"/>
  <c r="F68" i="1"/>
  <c r="AJ64" i="1"/>
  <c r="AH64" i="1"/>
  <c r="M64" i="1"/>
  <c r="AG64" i="1"/>
  <c r="K64" i="1"/>
  <c r="AF64" i="1"/>
  <c r="J64" i="1"/>
  <c r="AA64" i="1"/>
  <c r="I64" i="1"/>
  <c r="Z64" i="1"/>
  <c r="H64" i="1"/>
  <c r="Y64" i="1"/>
  <c r="W64" i="1"/>
  <c r="V64" i="1"/>
  <c r="AK64" i="1"/>
  <c r="O64" i="1"/>
  <c r="AM64" i="1"/>
  <c r="AL64" i="1"/>
  <c r="AI64" i="1"/>
  <c r="U64" i="1"/>
  <c r="T64" i="1"/>
  <c r="N64" i="1"/>
  <c r="AD94" i="1"/>
  <c r="AL94" i="1"/>
  <c r="N94" i="1"/>
  <c r="AG94" i="1"/>
  <c r="I94" i="1"/>
  <c r="AF94" i="1"/>
  <c r="AE94" i="1"/>
  <c r="G94" i="1"/>
  <c r="AB94" i="1"/>
  <c r="AA94" i="1"/>
  <c r="Z94" i="1"/>
  <c r="U94" i="1"/>
  <c r="P94" i="1"/>
  <c r="T94" i="1"/>
  <c r="S94" i="1"/>
  <c r="O94" i="1"/>
  <c r="AM94" i="1"/>
  <c r="AE61" i="1"/>
  <c r="AA61" i="1"/>
  <c r="H61" i="1"/>
  <c r="Z61" i="1"/>
  <c r="G61" i="1"/>
  <c r="X61" i="1"/>
  <c r="F61" i="1"/>
  <c r="W61" i="1"/>
  <c r="V61" i="1"/>
  <c r="AM61" i="1"/>
  <c r="S61" i="1"/>
  <c r="AL61" i="1"/>
  <c r="R61" i="1"/>
  <c r="AI61" i="1"/>
  <c r="Q61" i="1"/>
  <c r="AD61" i="1"/>
  <c r="K61" i="1"/>
  <c r="L61" i="1"/>
  <c r="AH61" i="1"/>
  <c r="AF61" i="1"/>
  <c r="N61" i="1"/>
  <c r="J61" i="1"/>
  <c r="AC61" i="1"/>
  <c r="U81" i="1"/>
  <c r="R81" i="1"/>
  <c r="AA81" i="1"/>
  <c r="V81" i="1"/>
  <c r="AJ89" i="1"/>
  <c r="Y89" i="1"/>
  <c r="W89" i="1"/>
  <c r="V89" i="1"/>
  <c r="AM89" i="1"/>
  <c r="U89" i="1"/>
  <c r="AL89" i="1"/>
  <c r="T89" i="1"/>
  <c r="AK89" i="1"/>
  <c r="O89" i="1"/>
  <c r="AI89" i="1"/>
  <c r="N89" i="1"/>
  <c r="AH89" i="1"/>
  <c r="M89" i="1"/>
  <c r="AA89" i="1"/>
  <c r="I89" i="1"/>
  <c r="K89" i="1"/>
  <c r="J89" i="1"/>
  <c r="Z89" i="1"/>
  <c r="AF89" i="1"/>
  <c r="AG89" i="1"/>
  <c r="V86" i="1"/>
  <c r="AE86" i="1"/>
  <c r="R86" i="1"/>
  <c r="Q86" i="1"/>
  <c r="L86" i="1"/>
  <c r="AI86" i="1"/>
  <c r="AJ86" i="1"/>
  <c r="AH86" i="1"/>
  <c r="AI63" i="1"/>
  <c r="AE63" i="1"/>
  <c r="I63" i="1"/>
  <c r="Z63" i="1"/>
  <c r="H63" i="1"/>
  <c r="Y63" i="1"/>
  <c r="G63" i="1"/>
  <c r="X63" i="1"/>
  <c r="V63" i="1"/>
  <c r="U63" i="1"/>
  <c r="AL63" i="1"/>
  <c r="T63" i="1"/>
  <c r="AK63" i="1"/>
  <c r="S63" i="1"/>
  <c r="AG63" i="1"/>
  <c r="L63" i="1"/>
  <c r="J63" i="1"/>
  <c r="M63" i="1"/>
  <c r="AJ63" i="1"/>
  <c r="AH63" i="1"/>
  <c r="AF63" i="1"/>
  <c r="N63" i="1"/>
  <c r="AK90" i="1"/>
  <c r="AB90" i="1"/>
  <c r="J90" i="1"/>
  <c r="AA90" i="1"/>
  <c r="I90" i="1"/>
  <c r="Z90" i="1"/>
  <c r="X90" i="1"/>
  <c r="W90" i="1"/>
  <c r="V90" i="1"/>
  <c r="AM90" i="1"/>
  <c r="U90" i="1"/>
  <c r="AL90" i="1"/>
  <c r="P90" i="1"/>
  <c r="AH90" i="1"/>
  <c r="L90" i="1"/>
  <c r="AJ90" i="1"/>
  <c r="AI90" i="1"/>
  <c r="AG90" i="1"/>
  <c r="O90" i="1"/>
  <c r="N90" i="1"/>
  <c r="K90" i="1"/>
  <c r="AB91" i="1"/>
  <c r="AM91" i="1"/>
  <c r="W91" i="1"/>
  <c r="V91" i="1"/>
  <c r="Q91" i="1"/>
  <c r="O91" i="1"/>
  <c r="DN5" i="1"/>
  <c r="DQ3" i="1"/>
  <c r="GW4" i="1"/>
  <c r="GZ4" i="1" s="1"/>
  <c r="HC4" i="1" s="1"/>
  <c r="HF4" i="1" s="1"/>
  <c r="HI4" i="1" s="1"/>
  <c r="HL4" i="1" s="1"/>
  <c r="HO4" i="1" s="1"/>
  <c r="HR4" i="1" s="1"/>
  <c r="C3" i="8"/>
  <c r="O94" i="8" l="1"/>
  <c r="D91" i="8" s="1"/>
  <c r="E91" i="8" s="1"/>
  <c r="O95" i="8"/>
  <c r="S95" i="8" s="1"/>
  <c r="O91" i="8"/>
  <c r="S91" i="8" s="1"/>
  <c r="E52" i="2"/>
  <c r="E55" i="2"/>
  <c r="E51" i="2"/>
  <c r="E50" i="2"/>
  <c r="E49" i="2"/>
  <c r="E48" i="2"/>
  <c r="E24" i="2"/>
  <c r="E45" i="2"/>
  <c r="E37" i="2"/>
  <c r="E39" i="2"/>
  <c r="E31" i="2"/>
  <c r="E34" i="2"/>
  <c r="E16" i="2"/>
  <c r="E11" i="2"/>
  <c r="E7" i="2"/>
  <c r="IL95" i="1"/>
  <c r="IJ95" i="1"/>
  <c r="IK95" i="1"/>
  <c r="IK94" i="1"/>
  <c r="IL94" i="1"/>
  <c r="IJ94" i="1"/>
  <c r="IN94" i="1"/>
  <c r="IO94" i="1"/>
  <c r="IM94" i="1"/>
  <c r="IM95" i="1"/>
  <c r="IN95" i="1"/>
  <c r="IO95" i="1"/>
  <c r="O129" i="8"/>
  <c r="O144" i="8"/>
  <c r="S144" i="8" s="1"/>
  <c r="O81" i="8"/>
  <c r="O62" i="8"/>
  <c r="D61" i="8" s="1"/>
  <c r="E61" i="8" s="1"/>
  <c r="O113" i="8"/>
  <c r="O102" i="8"/>
  <c r="D141" i="8" s="1"/>
  <c r="E141" i="8" s="1"/>
  <c r="O127" i="8"/>
  <c r="O116" i="8"/>
  <c r="D101" i="8" s="1"/>
  <c r="E101" i="8" s="1"/>
  <c r="O72" i="8"/>
  <c r="S72" i="8" s="1"/>
  <c r="O74" i="8"/>
  <c r="D73" i="8" s="1"/>
  <c r="E73" i="8" s="1"/>
  <c r="O70" i="8"/>
  <c r="D69" i="8" s="1"/>
  <c r="E69" i="8" s="1"/>
  <c r="O117" i="8"/>
  <c r="O85" i="8"/>
  <c r="O112" i="8"/>
  <c r="D99" i="8" s="1"/>
  <c r="E99" i="8" s="1"/>
  <c r="O128" i="8"/>
  <c r="R128" i="8" s="1"/>
  <c r="O80" i="8"/>
  <c r="D79" i="8" s="1"/>
  <c r="E79" i="8" s="1"/>
  <c r="O111" i="8"/>
  <c r="D133" i="8" s="1"/>
  <c r="E133" i="8" s="1"/>
  <c r="O105" i="8"/>
  <c r="D97" i="8" s="1"/>
  <c r="E97" i="8" s="1"/>
  <c r="O88" i="8"/>
  <c r="S88" i="8" s="1"/>
  <c r="O87" i="8"/>
  <c r="S87" i="8" s="1"/>
  <c r="O99" i="8"/>
  <c r="D130" i="8" s="1"/>
  <c r="E130" i="8" s="1"/>
  <c r="O137" i="8"/>
  <c r="S137" i="8" s="1"/>
  <c r="O93" i="8"/>
  <c r="S93" i="8" s="1"/>
  <c r="O96" i="8"/>
  <c r="S96" i="8" s="1"/>
  <c r="O64" i="8"/>
  <c r="D63" i="8" s="1"/>
  <c r="E63" i="8" s="1"/>
  <c r="O98" i="8"/>
  <c r="D95" i="8" s="1"/>
  <c r="E95" i="8" s="1"/>
  <c r="O123" i="8"/>
  <c r="O139" i="8"/>
  <c r="S139" i="8" s="1"/>
  <c r="O76" i="8"/>
  <c r="S76" i="8" s="1"/>
  <c r="O83" i="8"/>
  <c r="D82" i="8" s="1"/>
  <c r="E82" i="8" s="1"/>
  <c r="O122" i="8"/>
  <c r="O143" i="8"/>
  <c r="S143" i="8" s="1"/>
  <c r="O101" i="8"/>
  <c r="D136" i="8" s="1"/>
  <c r="E136" i="8" s="1"/>
  <c r="O140" i="8"/>
  <c r="S140" i="8" s="1"/>
  <c r="O90" i="8"/>
  <c r="O67" i="8"/>
  <c r="S67" i="8" s="1"/>
  <c r="O73" i="8"/>
  <c r="S73" i="8" s="1"/>
  <c r="O145" i="8"/>
  <c r="S145" i="8" s="1"/>
  <c r="O79" i="8"/>
  <c r="S79" i="8" s="1"/>
  <c r="O104" i="8"/>
  <c r="O63" i="8"/>
  <c r="S63" i="8" s="1"/>
  <c r="O82" i="8"/>
  <c r="O107" i="8"/>
  <c r="O136" i="8"/>
  <c r="S136" i="8" s="1"/>
  <c r="O109" i="8"/>
  <c r="D142" i="8" s="1"/>
  <c r="E142" i="8" s="1"/>
  <c r="O115" i="8"/>
  <c r="O147" i="8"/>
  <c r="S147" i="8" s="1"/>
  <c r="O108" i="8"/>
  <c r="D98" i="8" s="1"/>
  <c r="E98" i="8" s="1"/>
  <c r="O86" i="8"/>
  <c r="O100" i="8"/>
  <c r="D135" i="8" s="1"/>
  <c r="E135" i="8" s="1"/>
  <c r="O134" i="8"/>
  <c r="S134" i="8" s="1"/>
  <c r="O97" i="8"/>
  <c r="D94" i="8" s="1"/>
  <c r="E94" i="8" s="1"/>
  <c r="O106" i="8"/>
  <c r="O110" i="8"/>
  <c r="O68" i="8"/>
  <c r="O135" i="8"/>
  <c r="S135" i="8" s="1"/>
  <c r="O120" i="8"/>
  <c r="D143" i="8" s="1"/>
  <c r="E143" i="8" s="1"/>
  <c r="O78" i="8"/>
  <c r="D77" i="8" s="1"/>
  <c r="E77" i="8" s="1"/>
  <c r="O142" i="8"/>
  <c r="S142" i="8" s="1"/>
  <c r="O114" i="8"/>
  <c r="O75" i="8"/>
  <c r="D74" i="8" s="1"/>
  <c r="E74" i="8" s="1"/>
  <c r="O65" i="8"/>
  <c r="S65" i="8" s="1"/>
  <c r="O84" i="8"/>
  <c r="D83" i="8" s="1"/>
  <c r="E83" i="8" s="1"/>
  <c r="O71" i="8"/>
  <c r="O103" i="8"/>
  <c r="O141" i="8"/>
  <c r="S141" i="8" s="1"/>
  <c r="O148" i="8"/>
  <c r="O69" i="8"/>
  <c r="S69" i="8" s="1"/>
  <c r="O77" i="8"/>
  <c r="D76" i="8" s="1"/>
  <c r="E76" i="8" s="1"/>
  <c r="O60" i="8"/>
  <c r="X121" i="8"/>
  <c r="O121" i="8" s="1"/>
  <c r="IG94" i="1"/>
  <c r="IH94" i="1"/>
  <c r="II94" i="1"/>
  <c r="IC95" i="1"/>
  <c r="IA95" i="1"/>
  <c r="IB95" i="1"/>
  <c r="IE94" i="1"/>
  <c r="ID94" i="1"/>
  <c r="IF94" i="1"/>
  <c r="IH95" i="1"/>
  <c r="IG95" i="1"/>
  <c r="II95" i="1"/>
  <c r="IB94" i="1"/>
  <c r="IA94" i="1"/>
  <c r="IC94" i="1"/>
  <c r="ID95" i="1"/>
  <c r="IF95" i="1"/>
  <c r="IE95" i="1"/>
  <c r="HZ95" i="1"/>
  <c r="HZ94" i="1"/>
  <c r="AL57" i="2"/>
  <c r="AL55" i="2"/>
  <c r="AL56" i="2"/>
  <c r="AL62" i="2"/>
  <c r="AL61" i="2"/>
  <c r="S118" i="8"/>
  <c r="S126" i="8"/>
  <c r="AL63" i="2"/>
  <c r="AL60" i="2"/>
  <c r="AL65" i="2"/>
  <c r="AL54" i="2"/>
  <c r="AL59" i="2"/>
  <c r="AL58" i="2"/>
  <c r="D89" i="8"/>
  <c r="E89" i="8" s="1"/>
  <c r="D86" i="8"/>
  <c r="E86" i="8" s="1"/>
  <c r="D65" i="8"/>
  <c r="E65" i="8" s="1"/>
  <c r="Z7" i="2"/>
  <c r="AB7" i="2"/>
  <c r="EK94" i="1"/>
  <c r="DD94" i="1"/>
  <c r="FF94" i="1"/>
  <c r="DY94" i="1"/>
  <c r="HV95" i="1"/>
  <c r="HU4" i="1"/>
  <c r="HT95" i="1"/>
  <c r="HV94" i="1"/>
  <c r="HY95" i="1"/>
  <c r="HY94" i="1"/>
  <c r="HT94" i="1"/>
  <c r="S89" i="8"/>
  <c r="GD95" i="1"/>
  <c r="GC95" i="1"/>
  <c r="DL95" i="1"/>
  <c r="DM95" i="1"/>
  <c r="GX95" i="1"/>
  <c r="GY95" i="1"/>
  <c r="HJ95" i="1"/>
  <c r="HK95" i="1"/>
  <c r="EH95" i="1"/>
  <c r="EG95" i="1"/>
  <c r="FH95" i="1"/>
  <c r="FI95" i="1"/>
  <c r="EP95" i="1"/>
  <c r="EQ95" i="1"/>
  <c r="GL95" i="1"/>
  <c r="GM95" i="1"/>
  <c r="FF95" i="1"/>
  <c r="FE95" i="1"/>
  <c r="DX95" i="1"/>
  <c r="DY95" i="1"/>
  <c r="FZ95" i="1"/>
  <c r="GA95" i="1"/>
  <c r="FT95" i="1"/>
  <c r="FU95" i="1"/>
  <c r="EB95" i="1"/>
  <c r="EA95" i="1"/>
  <c r="FN95" i="1"/>
  <c r="FO95" i="1"/>
  <c r="EN95" i="1"/>
  <c r="EM95" i="1"/>
  <c r="S66" i="8"/>
  <c r="HH95" i="1"/>
  <c r="HG95" i="1"/>
  <c r="FR95" i="1"/>
  <c r="FQ95" i="1"/>
  <c r="DD95" i="1"/>
  <c r="DC95" i="1"/>
  <c r="ED95" i="1"/>
  <c r="EE95" i="1"/>
  <c r="HP95" i="1"/>
  <c r="HQ95" i="1"/>
  <c r="HD95" i="1"/>
  <c r="HE95" i="1"/>
  <c r="ET95" i="1"/>
  <c r="ES95" i="1"/>
  <c r="DP95" i="1"/>
  <c r="DO95" i="1"/>
  <c r="EZ95" i="1"/>
  <c r="EY95" i="1"/>
  <c r="HM95" i="1"/>
  <c r="HN95" i="1"/>
  <c r="S92" i="8"/>
  <c r="GV95" i="1"/>
  <c r="GU95" i="1"/>
  <c r="DR95" i="1"/>
  <c r="DS95" i="1"/>
  <c r="GR95" i="1"/>
  <c r="GS95" i="1"/>
  <c r="GF95" i="1"/>
  <c r="GG95" i="1"/>
  <c r="FX95" i="1"/>
  <c r="FW95" i="1"/>
  <c r="DF95" i="1"/>
  <c r="DG95" i="1"/>
  <c r="GJ95" i="1"/>
  <c r="GI95" i="1"/>
  <c r="DV95" i="1"/>
  <c r="DU95" i="1"/>
  <c r="FB95" i="1"/>
  <c r="FC95" i="1"/>
  <c r="DJ95" i="1"/>
  <c r="DI95" i="1"/>
  <c r="HB95" i="1"/>
  <c r="HA95" i="1"/>
  <c r="FL95" i="1"/>
  <c r="FK95" i="1"/>
  <c r="EJ95" i="1"/>
  <c r="EK95" i="1"/>
  <c r="GP95" i="1"/>
  <c r="GO95" i="1"/>
  <c r="EV95" i="1"/>
  <c r="EW95" i="1"/>
  <c r="HK94" i="1"/>
  <c r="HM94" i="1"/>
  <c r="HN94" i="1"/>
  <c r="DX94" i="1"/>
  <c r="HH94" i="1"/>
  <c r="HG94" i="1"/>
  <c r="HD94" i="1"/>
  <c r="HE94" i="1"/>
  <c r="HB94" i="1"/>
  <c r="HA94" i="1"/>
  <c r="D3" i="8"/>
  <c r="GI94" i="1"/>
  <c r="GM94" i="1"/>
  <c r="GR94" i="1"/>
  <c r="FC94" i="1"/>
  <c r="FB94" i="1"/>
  <c r="DP94" i="1"/>
  <c r="GS94" i="1"/>
  <c r="FT94" i="1"/>
  <c r="EN94" i="1"/>
  <c r="EZ94" i="1"/>
  <c r="GP94" i="1"/>
  <c r="EJ94" i="1"/>
  <c r="DC94" i="1"/>
  <c r="FE94" i="1"/>
  <c r="DU94" i="1"/>
  <c r="FI94" i="1"/>
  <c r="DS94" i="1"/>
  <c r="DV94" i="1"/>
  <c r="FH94" i="1"/>
  <c r="GC94" i="1"/>
  <c r="GD94" i="1"/>
  <c r="ED94" i="1"/>
  <c r="EE94" i="1"/>
  <c r="EP94" i="1"/>
  <c r="EQ94" i="1"/>
  <c r="GG94" i="1"/>
  <c r="GF94" i="1"/>
  <c r="ET94" i="1"/>
  <c r="ES94" i="1"/>
  <c r="EB94" i="1"/>
  <c r="EA94" i="1"/>
  <c r="EH94" i="1"/>
  <c r="EG94" i="1"/>
  <c r="GV94" i="1"/>
  <c r="GU94" i="1"/>
  <c r="EW94" i="1"/>
  <c r="EV94" i="1"/>
  <c r="FX94" i="1"/>
  <c r="FW94" i="1"/>
  <c r="FK94" i="1"/>
  <c r="FL94" i="1"/>
  <c r="FN94" i="1"/>
  <c r="FO94" i="1"/>
  <c r="GX94" i="1"/>
  <c r="GY94" i="1"/>
  <c r="FR94" i="1"/>
  <c r="FQ94" i="1"/>
  <c r="DG94" i="1"/>
  <c r="DF94" i="1"/>
  <c r="DM94" i="1"/>
  <c r="DL94" i="1"/>
  <c r="FZ94" i="1"/>
  <c r="GA94" i="1"/>
  <c r="DJ94" i="1"/>
  <c r="DI94" i="1"/>
  <c r="DT3" i="1"/>
  <c r="DQ5" i="1"/>
  <c r="DP5" i="1"/>
  <c r="DP99" i="1" s="1"/>
  <c r="DO5" i="1"/>
  <c r="DO99" i="1" s="1"/>
  <c r="DN99" i="1"/>
  <c r="R125" i="8" l="1"/>
  <c r="S125" i="8" s="1"/>
  <c r="R71" i="8"/>
  <c r="S71" i="8" s="1"/>
  <c r="R110" i="8"/>
  <c r="S110" i="8" s="1"/>
  <c r="R60" i="8"/>
  <c r="S60" i="8" s="1"/>
  <c r="R61" i="8"/>
  <c r="S61" i="8" s="1"/>
  <c r="S128" i="8"/>
  <c r="S148" i="8"/>
  <c r="R122" i="8"/>
  <c r="S122" i="8" s="1"/>
  <c r="R104" i="8"/>
  <c r="S104" i="8" s="1"/>
  <c r="R90" i="8"/>
  <c r="S90" i="8" s="1"/>
  <c r="R82" i="8"/>
  <c r="S82" i="8" s="1"/>
  <c r="R107" i="8"/>
  <c r="S107" i="8" s="1"/>
  <c r="R85" i="8"/>
  <c r="S85" i="8" s="1"/>
  <c r="R86" i="8"/>
  <c r="S86" i="8" s="1"/>
  <c r="R81" i="8"/>
  <c r="S81" i="8" s="1"/>
  <c r="R103" i="8"/>
  <c r="S103" i="8" s="1"/>
  <c r="R106" i="8"/>
  <c r="S106" i="8" s="1"/>
  <c r="R119" i="8"/>
  <c r="S119" i="8" s="1"/>
  <c r="R68" i="8"/>
  <c r="S68" i="8" s="1"/>
  <c r="R130" i="8"/>
  <c r="S130" i="8" s="1"/>
  <c r="R129" i="8"/>
  <c r="S129" i="8" s="1"/>
  <c r="E94" i="2"/>
  <c r="S75" i="8"/>
  <c r="T75" i="8" s="1"/>
  <c r="S120" i="8"/>
  <c r="T120" i="8" s="1"/>
  <c r="D68" i="8"/>
  <c r="E68" i="8" s="1"/>
  <c r="T69" i="8" s="1"/>
  <c r="D67" i="8"/>
  <c r="E67" i="8" s="1"/>
  <c r="D71" i="8"/>
  <c r="E71" i="8" s="1"/>
  <c r="T72" i="8" s="1"/>
  <c r="D90" i="8"/>
  <c r="E90" i="8" s="1"/>
  <c r="T93" i="8" s="1"/>
  <c r="S74" i="8"/>
  <c r="T74" i="8" s="1"/>
  <c r="S98" i="8"/>
  <c r="T98" i="8" s="1"/>
  <c r="S77" i="8"/>
  <c r="T77" i="8" s="1"/>
  <c r="D92" i="8"/>
  <c r="E92" i="8" s="1"/>
  <c r="T95" i="8" s="1"/>
  <c r="D93" i="8"/>
  <c r="E93" i="8" s="1"/>
  <c r="T96" i="8" s="1"/>
  <c r="S64" i="8"/>
  <c r="T64" i="8" s="1"/>
  <c r="D81" i="8"/>
  <c r="E81" i="8" s="1"/>
  <c r="D72" i="8"/>
  <c r="E72" i="8" s="1"/>
  <c r="T73" i="8" s="1"/>
  <c r="D84" i="8"/>
  <c r="E84" i="8" s="1"/>
  <c r="T87" i="8" s="1"/>
  <c r="S108" i="8"/>
  <c r="T108" i="8" s="1"/>
  <c r="D80" i="8"/>
  <c r="E80" i="8" s="1"/>
  <c r="T66" i="8"/>
  <c r="S78" i="8"/>
  <c r="T78" i="8" s="1"/>
  <c r="D87" i="8"/>
  <c r="E87" i="8" s="1"/>
  <c r="T92" i="8"/>
  <c r="T89" i="8"/>
  <c r="S94" i="8"/>
  <c r="T94" i="8" s="1"/>
  <c r="D78" i="8"/>
  <c r="E78" i="8" s="1"/>
  <c r="T79" i="8" s="1"/>
  <c r="S116" i="8"/>
  <c r="T116" i="8" s="1"/>
  <c r="D75" i="8"/>
  <c r="E75" i="8" s="1"/>
  <c r="T76" i="8" s="1"/>
  <c r="D100" i="8"/>
  <c r="E100" i="8" s="1"/>
  <c r="S115" i="8"/>
  <c r="S84" i="8"/>
  <c r="T84" i="8" s="1"/>
  <c r="S70" i="8"/>
  <c r="T70" i="8" s="1"/>
  <c r="D109" i="8"/>
  <c r="E109" i="8" s="1"/>
  <c r="S62" i="8"/>
  <c r="T62" i="8" s="1"/>
  <c r="S83" i="8"/>
  <c r="T83" i="8" s="1"/>
  <c r="D66" i="8"/>
  <c r="E66" i="8" s="1"/>
  <c r="T67" i="8" s="1"/>
  <c r="S114" i="8"/>
  <c r="D70" i="8"/>
  <c r="E70" i="8" s="1"/>
  <c r="S97" i="8"/>
  <c r="T97" i="8" s="1"/>
  <c r="S105" i="8"/>
  <c r="T105" i="8" s="1"/>
  <c r="S80" i="8"/>
  <c r="T80" i="8" s="1"/>
  <c r="S109" i="8"/>
  <c r="T109" i="8" s="1"/>
  <c r="F41" i="2" s="1"/>
  <c r="D62" i="8"/>
  <c r="E62" i="8" s="1"/>
  <c r="T63" i="8" s="1"/>
  <c r="S121" i="8"/>
  <c r="D88" i="8"/>
  <c r="E88" i="8" s="1"/>
  <c r="T91" i="8" s="1"/>
  <c r="D134" i="8"/>
  <c r="E134" i="8" s="1"/>
  <c r="T139" i="8" s="1"/>
  <c r="D102" i="8"/>
  <c r="E102" i="8" s="1"/>
  <c r="D139" i="8"/>
  <c r="E139" i="8" s="1"/>
  <c r="T134" i="8" s="1"/>
  <c r="D138" i="8"/>
  <c r="E138" i="8" s="1"/>
  <c r="S133" i="8"/>
  <c r="S131" i="8"/>
  <c r="T131" i="8" s="1"/>
  <c r="D140" i="8"/>
  <c r="E140" i="8" s="1"/>
  <c r="T132" i="8" s="1"/>
  <c r="D132" i="8"/>
  <c r="E132" i="8" s="1"/>
  <c r="T137" i="8" s="1"/>
  <c r="D131" i="8"/>
  <c r="E131" i="8" s="1"/>
  <c r="T138" i="8" s="1"/>
  <c r="S123" i="8"/>
  <c r="S124" i="8"/>
  <c r="D118" i="8"/>
  <c r="E118" i="8" s="1"/>
  <c r="T147" i="8" s="1"/>
  <c r="S101" i="8"/>
  <c r="T101" i="8" s="1"/>
  <c r="D117" i="8"/>
  <c r="E117" i="8" s="1"/>
  <c r="T146" i="8" s="1"/>
  <c r="D103" i="8"/>
  <c r="E103" i="8" s="1"/>
  <c r="T118" i="8" s="1"/>
  <c r="S100" i="8"/>
  <c r="T100" i="8" s="1"/>
  <c r="D106" i="8"/>
  <c r="E106" i="8" s="1"/>
  <c r="S127" i="8"/>
  <c r="D121" i="8"/>
  <c r="E121" i="8" s="1"/>
  <c r="D119" i="8"/>
  <c r="E119" i="8" s="1"/>
  <c r="D105" i="8"/>
  <c r="E105" i="8" s="1"/>
  <c r="D120" i="8"/>
  <c r="E120" i="8" s="1"/>
  <c r="D110" i="8"/>
  <c r="E110" i="8" s="1"/>
  <c r="T135" i="8" s="1"/>
  <c r="D126" i="8"/>
  <c r="E126" i="8" s="1"/>
  <c r="D124" i="8"/>
  <c r="E124" i="8" s="1"/>
  <c r="S99" i="8"/>
  <c r="T99" i="8" s="1"/>
  <c r="D111" i="8"/>
  <c r="E111" i="8" s="1"/>
  <c r="T136" i="8" s="1"/>
  <c r="D125" i="8"/>
  <c r="E125" i="8" s="1"/>
  <c r="D122" i="8"/>
  <c r="E122" i="8" s="1"/>
  <c r="T126" i="8" s="1"/>
  <c r="S117" i="8"/>
  <c r="D123" i="8"/>
  <c r="E123" i="8" s="1"/>
  <c r="D64" i="8"/>
  <c r="E64" i="8" s="1"/>
  <c r="T65" i="8" s="1"/>
  <c r="S113" i="8"/>
  <c r="D96" i="8"/>
  <c r="E96" i="8" s="1"/>
  <c r="AM61" i="2"/>
  <c r="D85" i="8"/>
  <c r="E85" i="8" s="1"/>
  <c r="T88" i="8" s="1"/>
  <c r="D112" i="8"/>
  <c r="E112" i="8" s="1"/>
  <c r="T141" i="8" s="1"/>
  <c r="D107" i="8"/>
  <c r="E107" i="8" s="1"/>
  <c r="S112" i="8"/>
  <c r="T112" i="8" s="1"/>
  <c r="AM59" i="2"/>
  <c r="AA7" i="2"/>
  <c r="AN21" i="2"/>
  <c r="AM21" i="2"/>
  <c r="D129" i="8"/>
  <c r="E129" i="8" s="1"/>
  <c r="D108" i="8"/>
  <c r="E108" i="8" s="1"/>
  <c r="D127" i="8"/>
  <c r="E127" i="8" s="1"/>
  <c r="D113" i="8"/>
  <c r="E113" i="8" s="1"/>
  <c r="T142" i="8" s="1"/>
  <c r="D114" i="8"/>
  <c r="E114" i="8" s="1"/>
  <c r="T143" i="8" s="1"/>
  <c r="D128" i="8"/>
  <c r="E128" i="8" s="1"/>
  <c r="D115" i="8"/>
  <c r="E115" i="8" s="1"/>
  <c r="T144" i="8" s="1"/>
  <c r="D104" i="8"/>
  <c r="E104" i="8" s="1"/>
  <c r="S111" i="8"/>
  <c r="T111" i="8" s="1"/>
  <c r="D116" i="8"/>
  <c r="E116" i="8" s="1"/>
  <c r="T145" i="8" s="1"/>
  <c r="AN49" i="2"/>
  <c r="HX4" i="1"/>
  <c r="IA4" i="1" s="1"/>
  <c r="D60" i="8"/>
  <c r="E60" i="8" s="1"/>
  <c r="HQ94" i="1"/>
  <c r="HP94" i="1"/>
  <c r="DS5" i="1"/>
  <c r="DS99" i="1" s="1"/>
  <c r="DR5" i="1"/>
  <c r="DR99" i="1" s="1"/>
  <c r="DQ99" i="1"/>
  <c r="DT5" i="1"/>
  <c r="DW3" i="1"/>
  <c r="T148" i="8" l="1"/>
  <c r="T128" i="8"/>
  <c r="F74" i="2" s="1"/>
  <c r="IM74" i="1" s="1"/>
  <c r="T68" i="8"/>
  <c r="T130" i="8"/>
  <c r="T60" i="8"/>
  <c r="T129" i="8"/>
  <c r="ID4" i="1"/>
  <c r="IA60" i="1"/>
  <c r="IA61" i="1"/>
  <c r="T85" i="8"/>
  <c r="F30" i="2" s="1"/>
  <c r="IM31" i="1" s="1"/>
  <c r="T107" i="8"/>
  <c r="F55" i="2" s="1"/>
  <c r="IM55" i="1" s="1"/>
  <c r="T82" i="8"/>
  <c r="F29" i="2" s="1"/>
  <c r="IM28" i="1" s="1"/>
  <c r="T110" i="8"/>
  <c r="F21" i="2" s="1"/>
  <c r="IM53" i="1" s="1"/>
  <c r="T106" i="8"/>
  <c r="F54" i="2" s="1"/>
  <c r="IM54" i="1" s="1"/>
  <c r="T86" i="8"/>
  <c r="F31" i="2" s="1"/>
  <c r="IM32" i="1" s="1"/>
  <c r="T81" i="8"/>
  <c r="F28" i="2" s="1"/>
  <c r="IM27" i="1" s="1"/>
  <c r="T104" i="8"/>
  <c r="F38" i="2" s="1"/>
  <c r="IM50" i="1" s="1"/>
  <c r="T113" i="8"/>
  <c r="T117" i="8"/>
  <c r="T71" i="8"/>
  <c r="T90" i="8"/>
  <c r="F39" i="2" s="1"/>
  <c r="IM36" i="1" s="1"/>
  <c r="T133" i="8"/>
  <c r="T121" i="8"/>
  <c r="T114" i="8"/>
  <c r="T115" i="8"/>
  <c r="T140" i="8"/>
  <c r="T119" i="8"/>
  <c r="T124" i="8"/>
  <c r="T103" i="8"/>
  <c r="T61" i="8"/>
  <c r="T127" i="8"/>
  <c r="T123" i="8"/>
  <c r="T122" i="8"/>
  <c r="T125" i="8"/>
  <c r="F71" i="2" s="1"/>
  <c r="IM71" i="1" s="1"/>
  <c r="AM50" i="2"/>
  <c r="AM56" i="2"/>
  <c r="AM62" i="2"/>
  <c r="AN50" i="2"/>
  <c r="AM58" i="2"/>
  <c r="AN58" i="2"/>
  <c r="AN56" i="2"/>
  <c r="S102" i="8"/>
  <c r="T102" i="8" s="1"/>
  <c r="AM57" i="2"/>
  <c r="AM63" i="2"/>
  <c r="AM60" i="2"/>
  <c r="AM54" i="2"/>
  <c r="AM55" i="2"/>
  <c r="AM65" i="2"/>
  <c r="AN55" i="2"/>
  <c r="AN63" i="2"/>
  <c r="AN59" i="2"/>
  <c r="AN65" i="2"/>
  <c r="AN62" i="2"/>
  <c r="AN54" i="2"/>
  <c r="AN60" i="2"/>
  <c r="AO21" i="2"/>
  <c r="AO49" i="2"/>
  <c r="DZ3" i="1"/>
  <c r="DW5" i="1"/>
  <c r="DT99" i="1"/>
  <c r="DU5" i="1"/>
  <c r="DU99" i="1" s="1"/>
  <c r="DV5" i="1"/>
  <c r="DV99" i="1" s="1"/>
  <c r="IJ27" i="1" l="1"/>
  <c r="IJ54" i="1"/>
  <c r="IJ36" i="1"/>
  <c r="IJ53" i="1"/>
  <c r="IJ74" i="1"/>
  <c r="IJ71" i="1"/>
  <c r="IJ55" i="1"/>
  <c r="IJ31" i="1"/>
  <c r="IJ28" i="1"/>
  <c r="IJ50" i="1"/>
  <c r="IJ32" i="1"/>
  <c r="IG4" i="1"/>
  <c r="IG55" i="1" s="1"/>
  <c r="ID60" i="1"/>
  <c r="ID61" i="1"/>
  <c r="ID50" i="1"/>
  <c r="IA50" i="1"/>
  <c r="IA31" i="1"/>
  <c r="ID31" i="1"/>
  <c r="IA32" i="1"/>
  <c r="ID32" i="1"/>
  <c r="IA71" i="1"/>
  <c r="ID71" i="1"/>
  <c r="IA53" i="1"/>
  <c r="ID53" i="1"/>
  <c r="IA55" i="1"/>
  <c r="ID55" i="1"/>
  <c r="IA54" i="1"/>
  <c r="ID54" i="1"/>
  <c r="IA27" i="1"/>
  <c r="ID27" i="1"/>
  <c r="IA28" i="1"/>
  <c r="ID28" i="1"/>
  <c r="IA36" i="1"/>
  <c r="ID36" i="1"/>
  <c r="IA74" i="1"/>
  <c r="ID74" i="1"/>
  <c r="F12" i="2"/>
  <c r="IM7" i="1" s="1"/>
  <c r="F6" i="2"/>
  <c r="IM6" i="1" s="1"/>
  <c r="F53" i="2"/>
  <c r="IM49" i="1" s="1"/>
  <c r="HR32" i="1"/>
  <c r="AN57" i="2"/>
  <c r="AN61" i="2"/>
  <c r="AO57" i="2"/>
  <c r="AO56" i="2"/>
  <c r="AO61" i="2"/>
  <c r="AO55" i="2"/>
  <c r="AO65" i="2"/>
  <c r="AO60" i="2"/>
  <c r="AO59" i="2"/>
  <c r="AO54" i="2"/>
  <c r="AO58" i="2"/>
  <c r="DB74" i="1"/>
  <c r="HR50" i="1"/>
  <c r="HX32" i="1"/>
  <c r="HU32" i="1"/>
  <c r="HL32" i="1"/>
  <c r="AO50" i="2"/>
  <c r="AO63" i="2"/>
  <c r="AO62" i="2"/>
  <c r="DY5" i="1"/>
  <c r="DY99" i="1" s="1"/>
  <c r="DX5" i="1"/>
  <c r="DX99" i="1" s="1"/>
  <c r="DW99" i="1"/>
  <c r="DZ5" i="1"/>
  <c r="EC3" i="1"/>
  <c r="IJ49" i="1" l="1"/>
  <c r="IJ6" i="1"/>
  <c r="IJ7" i="1"/>
  <c r="IG6" i="1"/>
  <c r="IG49" i="1"/>
  <c r="IG31" i="1"/>
  <c r="IG28" i="1"/>
  <c r="IG74" i="1"/>
  <c r="IG7" i="1"/>
  <c r="IG71" i="1"/>
  <c r="IG27" i="1"/>
  <c r="IG54" i="1"/>
  <c r="IG53" i="1"/>
  <c r="IG50" i="1"/>
  <c r="IG36" i="1"/>
  <c r="IG60" i="1"/>
  <c r="IG61" i="1"/>
  <c r="IG32" i="1"/>
  <c r="IA7" i="1"/>
  <c r="ID7" i="1"/>
  <c r="IA49" i="1"/>
  <c r="ID49" i="1"/>
  <c r="ID6" i="1"/>
  <c r="IA6" i="1"/>
  <c r="HX6" i="1"/>
  <c r="FD7" i="1"/>
  <c r="EC7" i="1"/>
  <c r="DZ7" i="1"/>
  <c r="GK7" i="1"/>
  <c r="FP7" i="1"/>
  <c r="DB7" i="1"/>
  <c r="GW7" i="1"/>
  <c r="GH7" i="1"/>
  <c r="FY7" i="1"/>
  <c r="HL7" i="1"/>
  <c r="DK7" i="1"/>
  <c r="DH7" i="1"/>
  <c r="HC7" i="1"/>
  <c r="EX7" i="1"/>
  <c r="HF7" i="1"/>
  <c r="FM7" i="1"/>
  <c r="GZ7" i="1"/>
  <c r="DN7" i="1"/>
  <c r="GE7" i="1"/>
  <c r="DQ7" i="1"/>
  <c r="EL7" i="1"/>
  <c r="HI7" i="1"/>
  <c r="EU7" i="1"/>
  <c r="EI7" i="1"/>
  <c r="ER7" i="1"/>
  <c r="FS7" i="1"/>
  <c r="DT7" i="1"/>
  <c r="EO7" i="1"/>
  <c r="EF7" i="1"/>
  <c r="HX7" i="1"/>
  <c r="GN7" i="1"/>
  <c r="DE7" i="1"/>
  <c r="HU7" i="1"/>
  <c r="GB7" i="1"/>
  <c r="GT7" i="1"/>
  <c r="FA7" i="1"/>
  <c r="HR7" i="1"/>
  <c r="HO7" i="1"/>
  <c r="GQ7" i="1"/>
  <c r="FV7" i="1"/>
  <c r="FG7" i="1"/>
  <c r="DW7" i="1"/>
  <c r="FJ7" i="1"/>
  <c r="FM74" i="1"/>
  <c r="EO74" i="1"/>
  <c r="GT74" i="1"/>
  <c r="DE74" i="1"/>
  <c r="DW74" i="1"/>
  <c r="DT74" i="1"/>
  <c r="HO74" i="1"/>
  <c r="DZ74" i="1"/>
  <c r="EU74" i="1"/>
  <c r="GE74" i="1"/>
  <c r="FV74" i="1"/>
  <c r="DH74" i="1"/>
  <c r="HF74" i="1"/>
  <c r="EF74" i="1"/>
  <c r="HC74" i="1"/>
  <c r="HX74" i="1"/>
  <c r="FG74" i="1"/>
  <c r="EL74" i="1"/>
  <c r="GB74" i="1"/>
  <c r="FS74" i="1"/>
  <c r="HI74" i="1"/>
  <c r="DN74" i="1"/>
  <c r="GZ74" i="1"/>
  <c r="GH74" i="1"/>
  <c r="EC74" i="1"/>
  <c r="EI74" i="1"/>
  <c r="FA74" i="1"/>
  <c r="GQ74" i="1"/>
  <c r="HL50" i="1"/>
  <c r="FD74" i="1"/>
  <c r="GW74" i="1"/>
  <c r="HR74" i="1"/>
  <c r="FP74" i="1"/>
  <c r="GN74" i="1"/>
  <c r="FY74" i="1"/>
  <c r="HL74" i="1"/>
  <c r="DQ74" i="1"/>
  <c r="FJ74" i="1"/>
  <c r="ER74" i="1"/>
  <c r="EX74" i="1"/>
  <c r="GK74" i="1"/>
  <c r="HU74" i="1"/>
  <c r="DK74" i="1"/>
  <c r="HU50" i="1"/>
  <c r="HX50" i="1"/>
  <c r="EB5" i="1"/>
  <c r="EB99" i="1" s="1"/>
  <c r="EA5" i="1"/>
  <c r="EA99" i="1" s="1"/>
  <c r="DZ99" i="1"/>
  <c r="EC5" i="1"/>
  <c r="EF3" i="1"/>
  <c r="EE5" i="1" l="1"/>
  <c r="EE99" i="1" s="1"/>
  <c r="ED5" i="1"/>
  <c r="ED99" i="1" s="1"/>
  <c r="EC99" i="1"/>
  <c r="EI3" i="1"/>
  <c r="EF5" i="1"/>
  <c r="EF99" i="1" l="1"/>
  <c r="EG5" i="1"/>
  <c r="EG99" i="1" s="1"/>
  <c r="EH5" i="1"/>
  <c r="EH99" i="1" s="1"/>
  <c r="EI5" i="1"/>
  <c r="EL3" i="1"/>
  <c r="EO3" i="1" l="1"/>
  <c r="EL5" i="1"/>
  <c r="EK5" i="1"/>
  <c r="EK99" i="1" s="1"/>
  <c r="EJ5" i="1"/>
  <c r="EJ99" i="1" s="1"/>
  <c r="EI99" i="1"/>
  <c r="AA65" i="2" l="1"/>
  <c r="AB65" i="2"/>
  <c r="Z65" i="2"/>
  <c r="EN5" i="1"/>
  <c r="EN99" i="1" s="1"/>
  <c r="EM5" i="1"/>
  <c r="EM99" i="1" s="1"/>
  <c r="EL99" i="1"/>
  <c r="ER3" i="1"/>
  <c r="EO5" i="1"/>
  <c r="EQ5" i="1" l="1"/>
  <c r="EQ99" i="1" s="1"/>
  <c r="EP5" i="1"/>
  <c r="EP99" i="1" s="1"/>
  <c r="EO99" i="1"/>
  <c r="ER5" i="1"/>
  <c r="EU3" i="1"/>
  <c r="EU5" i="1" l="1"/>
  <c r="EX3" i="1"/>
  <c r="ER99" i="1"/>
  <c r="ES5" i="1"/>
  <c r="ES99" i="1" s="1"/>
  <c r="ET5" i="1"/>
  <c r="ET99" i="1" s="1"/>
  <c r="FA3" i="1" l="1"/>
  <c r="EX5" i="1"/>
  <c r="EW5" i="1"/>
  <c r="EW99" i="1" s="1"/>
  <c r="EV5" i="1"/>
  <c r="EV99" i="1" s="1"/>
  <c r="EU99" i="1"/>
  <c r="EZ5" i="1" l="1"/>
  <c r="EZ99" i="1" s="1"/>
  <c r="EX99" i="1"/>
  <c r="EY5" i="1"/>
  <c r="EY99" i="1" s="1"/>
  <c r="FA5" i="1"/>
  <c r="FD3" i="1"/>
  <c r="FC5" i="1" l="1"/>
  <c r="FC99" i="1" s="1"/>
  <c r="FB5" i="1"/>
  <c r="FA99" i="1"/>
  <c r="FG3" i="1"/>
  <c r="FD5" i="1"/>
  <c r="DG99" i="1" s="1"/>
  <c r="FB99" i="1" l="1"/>
  <c r="DE99" i="1"/>
  <c r="FD99" i="1"/>
  <c r="FF5" i="1"/>
  <c r="FF99" i="1" s="1"/>
  <c r="FE5" i="1"/>
  <c r="FE99" i="1" s="1"/>
  <c r="FJ3" i="1"/>
  <c r="FG5" i="1"/>
  <c r="C5" i="8" l="1"/>
  <c r="Z8" i="2" s="1"/>
  <c r="D5" i="8"/>
  <c r="AA8" i="2" s="1"/>
  <c r="E5" i="8"/>
  <c r="AB8" i="2" s="1"/>
  <c r="C6" i="8"/>
  <c r="Z10" i="2" s="1"/>
  <c r="C7" i="8"/>
  <c r="Z27" i="2" s="1"/>
  <c r="E6" i="8"/>
  <c r="AB10" i="2" s="1"/>
  <c r="D6" i="8"/>
  <c r="AA10" i="2" s="1"/>
  <c r="D7" i="8"/>
  <c r="AA27" i="2" s="1"/>
  <c r="E7" i="8"/>
  <c r="AB27" i="2" s="1"/>
  <c r="E8" i="8"/>
  <c r="AB6" i="2" s="1"/>
  <c r="D8" i="8"/>
  <c r="AA6" i="2" s="1"/>
  <c r="C8" i="8"/>
  <c r="Z6" i="2" s="1"/>
  <c r="D9" i="8"/>
  <c r="AA14" i="2" s="1"/>
  <c r="E9" i="8"/>
  <c r="AB14" i="2" s="1"/>
  <c r="C9" i="8"/>
  <c r="Z14" i="2" s="1"/>
  <c r="C10" i="8"/>
  <c r="Z17" i="2" s="1"/>
  <c r="E10" i="8"/>
  <c r="AB17" i="2" s="1"/>
  <c r="D10" i="8"/>
  <c r="AA17" i="2" s="1"/>
  <c r="C11" i="8"/>
  <c r="Z19" i="2" s="1"/>
  <c r="E11" i="8"/>
  <c r="AB19" i="2" s="1"/>
  <c r="D11" i="8"/>
  <c r="AA19" i="2" s="1"/>
  <c r="E12" i="8"/>
  <c r="AB26" i="2" s="1"/>
  <c r="D12" i="8"/>
  <c r="AA26" i="2" s="1"/>
  <c r="C12" i="8"/>
  <c r="Z26" i="2" s="1"/>
  <c r="D13" i="8"/>
  <c r="AA51" i="2" s="1"/>
  <c r="E14" i="8"/>
  <c r="AB22" i="2" s="1"/>
  <c r="E15" i="8"/>
  <c r="AB23" i="2" s="1"/>
  <c r="FI5" i="1"/>
  <c r="FI99" i="1" s="1"/>
  <c r="FH5" i="1"/>
  <c r="FH99" i="1" s="1"/>
  <c r="FG99" i="1"/>
  <c r="FM3" i="1"/>
  <c r="FJ5" i="1"/>
  <c r="FL5" i="1" l="1"/>
  <c r="FL99" i="1" s="1"/>
  <c r="FJ99" i="1"/>
  <c r="FK5" i="1"/>
  <c r="FK99" i="1" s="1"/>
  <c r="FM5" i="1"/>
  <c r="FP3" i="1"/>
  <c r="FS3" i="1" l="1"/>
  <c r="FP5" i="1"/>
  <c r="FO5" i="1"/>
  <c r="FO99" i="1" s="1"/>
  <c r="FN5" i="1"/>
  <c r="FN99" i="1" s="1"/>
  <c r="FM99" i="1"/>
  <c r="FP99" i="1" l="1"/>
  <c r="FR5" i="1"/>
  <c r="FR99" i="1" s="1"/>
  <c r="FQ5" i="1"/>
  <c r="FQ99" i="1" s="1"/>
  <c r="FV3" i="1"/>
  <c r="FS5" i="1"/>
  <c r="FU5" i="1" l="1"/>
  <c r="FU99" i="1" s="1"/>
  <c r="FT5" i="1"/>
  <c r="FT99" i="1" s="1"/>
  <c r="FS99" i="1"/>
  <c r="FY3" i="1"/>
  <c r="FV5" i="1"/>
  <c r="FX5" i="1" l="1"/>
  <c r="FX99" i="1" s="1"/>
  <c r="FW5" i="1"/>
  <c r="FW99" i="1" s="1"/>
  <c r="FV99" i="1"/>
  <c r="GB3" i="1"/>
  <c r="FY5" i="1"/>
  <c r="GA5" i="1" l="1"/>
  <c r="GA99" i="1" s="1"/>
  <c r="FZ5" i="1"/>
  <c r="FZ99" i="1" s="1"/>
  <c r="FY99" i="1"/>
  <c r="GB5" i="1"/>
  <c r="GE3" i="1"/>
  <c r="GE5" i="1" l="1"/>
  <c r="GH3" i="1"/>
  <c r="GB99" i="1"/>
  <c r="GD5" i="1"/>
  <c r="GD99" i="1" s="1"/>
  <c r="GC5" i="1"/>
  <c r="GC99" i="1" s="1"/>
  <c r="GK3" i="1" l="1"/>
  <c r="GH5" i="1"/>
  <c r="GG5" i="1"/>
  <c r="GG99" i="1" s="1"/>
  <c r="GF5" i="1"/>
  <c r="GF99" i="1" s="1"/>
  <c r="GE99" i="1"/>
  <c r="GJ5" i="1" l="1"/>
  <c r="GJ99" i="1" s="1"/>
  <c r="GI5" i="1"/>
  <c r="GI99" i="1" s="1"/>
  <c r="GH99" i="1"/>
  <c r="GN3" i="1"/>
  <c r="GK5" i="1"/>
  <c r="GM5" i="1" l="1"/>
  <c r="GM99" i="1" s="1"/>
  <c r="GK99" i="1"/>
  <c r="GL5" i="1"/>
  <c r="GL99" i="1" s="1"/>
  <c r="GQ3" i="1"/>
  <c r="GN5" i="1"/>
  <c r="GN99" i="1" l="1"/>
  <c r="GP5" i="1"/>
  <c r="GP99" i="1" s="1"/>
  <c r="GO5" i="1"/>
  <c r="GO99" i="1" s="1"/>
  <c r="GT3" i="1"/>
  <c r="GQ5" i="1"/>
  <c r="GS5" i="1" l="1"/>
  <c r="GS99" i="1" s="1"/>
  <c r="GQ99" i="1"/>
  <c r="GR5" i="1"/>
  <c r="GR99" i="1" s="1"/>
  <c r="GT5" i="1"/>
  <c r="GW3" i="1"/>
  <c r="D26" i="8"/>
  <c r="C13" i="8"/>
  <c r="D29" i="8"/>
  <c r="D18" i="8"/>
  <c r="D20" i="8"/>
  <c r="C19" i="8"/>
  <c r="E22" i="8"/>
  <c r="C23" i="8"/>
  <c r="D17" i="8"/>
  <c r="E26" i="8"/>
  <c r="C30" i="8"/>
  <c r="D31" i="8"/>
  <c r="D24" i="8"/>
  <c r="D27" i="8"/>
  <c r="C24" i="8"/>
  <c r="E24" i="8"/>
  <c r="C31" i="8"/>
  <c r="D23" i="8"/>
  <c r="D32" i="8"/>
  <c r="E23" i="8"/>
  <c r="E13" i="8"/>
  <c r="D14" i="8"/>
  <c r="C15" i="8"/>
  <c r="E20" i="8"/>
  <c r="C14" i="8"/>
  <c r="C25" i="8"/>
  <c r="E25" i="8"/>
  <c r="D15" i="8"/>
  <c r="C18" i="8"/>
  <c r="C26" i="8"/>
  <c r="C28" i="8"/>
  <c r="D30" i="8"/>
  <c r="D28" i="8"/>
  <c r="C21" i="8"/>
  <c r="E28" i="8"/>
  <c r="D16" i="8"/>
  <c r="E27" i="8"/>
  <c r="E30" i="8"/>
  <c r="E32" i="8"/>
  <c r="E18" i="8"/>
  <c r="D22" i="8"/>
  <c r="C32" i="8"/>
  <c r="C16" i="8"/>
  <c r="E16" i="8"/>
  <c r="E21" i="8"/>
  <c r="E19" i="8"/>
  <c r="D25" i="8"/>
  <c r="C20" i="8"/>
  <c r="C17" i="8"/>
  <c r="D19" i="8"/>
  <c r="E17" i="8"/>
  <c r="C27" i="8"/>
  <c r="C29" i="8"/>
  <c r="D21" i="8"/>
  <c r="E31" i="8"/>
  <c r="C22" i="8"/>
  <c r="E29" i="8"/>
  <c r="Z36" i="2" l="1"/>
  <c r="AA36" i="2"/>
  <c r="Z38" i="2"/>
  <c r="Z37" i="2"/>
  <c r="AB29" i="2"/>
  <c r="AA29" i="2"/>
  <c r="Z47" i="2"/>
  <c r="AB38" i="2"/>
  <c r="AA38" i="2"/>
  <c r="Z29" i="2"/>
  <c r="AB47" i="2"/>
  <c r="AA47" i="2"/>
  <c r="AB48" i="2"/>
  <c r="AA21" i="2"/>
  <c r="Z49" i="2"/>
  <c r="AA13" i="2"/>
  <c r="Z44" i="2"/>
  <c r="Z18" i="2"/>
  <c r="Z48" i="2"/>
  <c r="AA11" i="2"/>
  <c r="AB18" i="2"/>
  <c r="AA23" i="2"/>
  <c r="AB24" i="2"/>
  <c r="AA18" i="2"/>
  <c r="AB49" i="2"/>
  <c r="AB32" i="2"/>
  <c r="Z24" i="2"/>
  <c r="Z32" i="2"/>
  <c r="AA37" i="2"/>
  <c r="Z51" i="2"/>
  <c r="AB37" i="2"/>
  <c r="Z22" i="2"/>
  <c r="AA24" i="2"/>
  <c r="Z33" i="2"/>
  <c r="AA44" i="2"/>
  <c r="Z11" i="2"/>
  <c r="AA31" i="2"/>
  <c r="AB11" i="2"/>
  <c r="AA48" i="2"/>
  <c r="AA49" i="2"/>
  <c r="Z16" i="2"/>
  <c r="AB33" i="2"/>
  <c r="Z23" i="2"/>
  <c r="AB16" i="2"/>
  <c r="AA32" i="2"/>
  <c r="AB44" i="2"/>
  <c r="Z21" i="2"/>
  <c r="AA22" i="2"/>
  <c r="AB36" i="2"/>
  <c r="AB21" i="2"/>
  <c r="AA33" i="2"/>
  <c r="AB51" i="2"/>
  <c r="AA16" i="2"/>
  <c r="Z31" i="2"/>
  <c r="AB31" i="2"/>
  <c r="AB13" i="2"/>
  <c r="Z13" i="2"/>
  <c r="GW5" i="1"/>
  <c r="GW99" i="1" s="1"/>
  <c r="GZ3" i="1"/>
  <c r="GV5" i="1"/>
  <c r="GV99" i="1" s="1"/>
  <c r="GU5" i="1"/>
  <c r="GU99" i="1" s="1"/>
  <c r="GT99" i="1"/>
  <c r="GX5" i="1" l="1"/>
  <c r="GX99" i="1" s="1"/>
  <c r="GY5" i="1"/>
  <c r="GY99" i="1" s="1"/>
  <c r="E35" i="8" s="1"/>
  <c r="GZ5" i="1"/>
  <c r="HC3" i="1"/>
  <c r="E33" i="8"/>
  <c r="C33" i="8"/>
  <c r="C35" i="8"/>
  <c r="C34" i="8"/>
  <c r="D34" i="8"/>
  <c r="E34" i="8"/>
  <c r="D33" i="8"/>
  <c r="D35" i="8"/>
  <c r="Z35" i="2" l="1"/>
  <c r="AB50" i="2"/>
  <c r="AA12" i="2"/>
  <c r="AA50" i="2"/>
  <c r="AA35" i="2"/>
  <c r="AB35" i="2"/>
  <c r="Z50" i="2"/>
  <c r="AB12" i="2"/>
  <c r="Z12" i="2"/>
  <c r="HC5" i="1"/>
  <c r="HF3" i="1"/>
  <c r="HB5" i="1"/>
  <c r="HB99" i="1" s="1"/>
  <c r="GZ99" i="1"/>
  <c r="HA5" i="1"/>
  <c r="HA99" i="1" s="1"/>
  <c r="D36" i="8" s="1"/>
  <c r="AA52" i="2" l="1"/>
  <c r="E36" i="8"/>
  <c r="HF5" i="1"/>
  <c r="HH5" i="1" s="1"/>
  <c r="HH99" i="1" s="1"/>
  <c r="HI3" i="1"/>
  <c r="HE5" i="1"/>
  <c r="HE99" i="1" s="1"/>
  <c r="HD5" i="1"/>
  <c r="HD99" i="1" s="1"/>
  <c r="HC99" i="1"/>
  <c r="AB52" i="2" l="1"/>
  <c r="HI5" i="1"/>
  <c r="HI99" i="1" s="1"/>
  <c r="HL3" i="1"/>
  <c r="HF99" i="1"/>
  <c r="HG5" i="1"/>
  <c r="HG99" i="1" s="1"/>
  <c r="HK5" i="1" l="1"/>
  <c r="HK99" i="1" s="1"/>
  <c r="HJ5" i="1"/>
  <c r="HJ99" i="1" s="1"/>
  <c r="HL5" i="1"/>
  <c r="HO3" i="1"/>
  <c r="HO5" i="1" l="1"/>
  <c r="HQ5" i="1" s="1"/>
  <c r="HQ99" i="1" s="1"/>
  <c r="HR3" i="1"/>
  <c r="HN5" i="1"/>
  <c r="HN99" i="1" s="1"/>
  <c r="HL99" i="1"/>
  <c r="HM5" i="1"/>
  <c r="HM99" i="1" s="1"/>
  <c r="D38" i="8"/>
  <c r="D39" i="8"/>
  <c r="E39" i="8"/>
  <c r="E38" i="8"/>
  <c r="D37" i="8"/>
  <c r="E37" i="8"/>
  <c r="C36" i="8"/>
  <c r="C38" i="8"/>
  <c r="C39" i="8"/>
  <c r="C37" i="8"/>
  <c r="AB30" i="2" l="1"/>
  <c r="AB15" i="2"/>
  <c r="AB25" i="2"/>
  <c r="AA25" i="2"/>
  <c r="AA15" i="2"/>
  <c r="Z52" i="2"/>
  <c r="AA30" i="2"/>
  <c r="Z30" i="2"/>
  <c r="Z25" i="2"/>
  <c r="Z15" i="2"/>
  <c r="HR5" i="1"/>
  <c r="HS5" i="1" s="1"/>
  <c r="HS99" i="1" s="1"/>
  <c r="HU3" i="1"/>
  <c r="HO99" i="1"/>
  <c r="HP5" i="1"/>
  <c r="HP99" i="1" s="1"/>
  <c r="AQ2" i="1"/>
  <c r="H55" i="6"/>
  <c r="H124" i="6"/>
  <c r="H33" i="6"/>
  <c r="H94" i="6"/>
  <c r="H166" i="6"/>
  <c r="H161" i="6"/>
  <c r="H136" i="6"/>
  <c r="H170" i="6"/>
  <c r="H70" i="6"/>
  <c r="H157" i="6"/>
  <c r="H91" i="6"/>
  <c r="H112" i="6"/>
  <c r="H129" i="6"/>
  <c r="H85" i="6"/>
  <c r="H54" i="6"/>
  <c r="H84" i="6"/>
  <c r="H40" i="6"/>
  <c r="H113" i="6"/>
  <c r="H184" i="6"/>
  <c r="H123" i="6"/>
  <c r="H57" i="6"/>
  <c r="H187" i="6"/>
  <c r="H73" i="6"/>
  <c r="H90" i="6"/>
  <c r="H122" i="6"/>
  <c r="H155" i="6"/>
  <c r="H160" i="6"/>
  <c r="H172" i="6"/>
  <c r="H7" i="6"/>
  <c r="H138" i="6"/>
  <c r="H167" i="6"/>
  <c r="H35" i="6"/>
  <c r="H105" i="6"/>
  <c r="H164" i="6"/>
  <c r="H181" i="6"/>
  <c r="H72" i="6"/>
  <c r="H17" i="6"/>
  <c r="H66" i="6"/>
  <c r="H120" i="6"/>
  <c r="H51" i="6"/>
  <c r="H87" i="6"/>
  <c r="H14" i="6"/>
  <c r="H16" i="6"/>
  <c r="H46" i="6"/>
  <c r="H52" i="6"/>
  <c r="H93" i="6"/>
  <c r="H75" i="6"/>
  <c r="H48" i="6"/>
  <c r="H60" i="6"/>
  <c r="H61" i="6"/>
  <c r="H64" i="6"/>
  <c r="H82" i="6"/>
  <c r="H13" i="6"/>
  <c r="H8" i="6"/>
  <c r="H25" i="6"/>
  <c r="H49" i="6"/>
  <c r="H67" i="6"/>
  <c r="H69" i="6"/>
  <c r="H79" i="6"/>
  <c r="H88" i="6"/>
  <c r="H95" i="6"/>
  <c r="H102" i="6"/>
  <c r="H109" i="6"/>
  <c r="H104" i="6"/>
  <c r="H132" i="6"/>
  <c r="H133" i="6"/>
  <c r="H78" i="6"/>
  <c r="H130" i="6"/>
  <c r="H63" i="6"/>
  <c r="H98" i="6"/>
  <c r="H101" i="6"/>
  <c r="H108" i="6"/>
  <c r="H116" i="6"/>
  <c r="H119" i="6"/>
  <c r="H128" i="6"/>
  <c r="H163" i="6"/>
  <c r="H42" i="6"/>
  <c r="H43" i="6"/>
  <c r="H45" i="6"/>
  <c r="H58" i="6"/>
  <c r="H76" i="6"/>
  <c r="H81" i="6"/>
  <c r="H107" i="6"/>
  <c r="H115" i="6"/>
  <c r="H151" i="6"/>
  <c r="H137" i="6"/>
  <c r="H150" i="6"/>
  <c r="H169" i="6"/>
  <c r="H178" i="6"/>
  <c r="H30" i="6"/>
  <c r="H12" i="6"/>
  <c r="H39" i="6"/>
  <c r="H117" i="6"/>
  <c r="H11" i="6"/>
  <c r="H20" i="6"/>
  <c r="H37" i="6"/>
  <c r="H121" i="6"/>
  <c r="H27" i="6"/>
  <c r="H99" i="6"/>
  <c r="H10" i="6"/>
  <c r="H36" i="6"/>
  <c r="H38" i="6"/>
  <c r="H96" i="6"/>
  <c r="H100" i="6"/>
  <c r="H103" i="6"/>
  <c r="H110" i="6"/>
  <c r="H125" i="6"/>
  <c r="H131" i="6"/>
  <c r="H97" i="6"/>
  <c r="H111" i="6"/>
  <c r="H106" i="6"/>
  <c r="H127" i="6"/>
  <c r="H145" i="6"/>
  <c r="H149" i="6"/>
  <c r="H135" i="6"/>
  <c r="H148" i="6"/>
  <c r="H41" i="6"/>
  <c r="H44" i="6"/>
  <c r="H47" i="6"/>
  <c r="H50" i="6"/>
  <c r="H53" i="6"/>
  <c r="H56" i="6"/>
  <c r="H59" i="6"/>
  <c r="H62" i="6"/>
  <c r="H65" i="6"/>
  <c r="H68" i="6"/>
  <c r="H71" i="6"/>
  <c r="H74" i="6"/>
  <c r="H77" i="6"/>
  <c r="H80" i="6"/>
  <c r="H83" i="6"/>
  <c r="H86" i="6"/>
  <c r="H89" i="6"/>
  <c r="H92" i="6"/>
  <c r="H118" i="6"/>
  <c r="H126" i="6"/>
  <c r="H159" i="6"/>
  <c r="H114" i="6"/>
  <c r="H134" i="6"/>
  <c r="H156" i="6"/>
  <c r="H171" i="6"/>
  <c r="H158" i="6"/>
  <c r="H165" i="6"/>
  <c r="H174" i="6"/>
  <c r="H179" i="6"/>
  <c r="H162" i="6"/>
  <c r="H168" i="6"/>
  <c r="H173" i="6"/>
  <c r="H177" i="6"/>
  <c r="H182" i="6"/>
  <c r="H186" i="6"/>
  <c r="H185" i="6"/>
  <c r="H189" i="6"/>
  <c r="H180" i="6"/>
  <c r="H188" i="6"/>
  <c r="H183" i="6"/>
  <c r="A65" i="2" l="1"/>
  <c r="A77" i="2"/>
  <c r="HI50" i="1"/>
  <c r="HT5" i="1"/>
  <c r="HT99" i="1" s="1"/>
  <c r="HR99" i="1"/>
  <c r="HU5" i="1"/>
  <c r="HX3" i="1"/>
  <c r="HI36" i="1"/>
  <c r="GZ36" i="1"/>
  <c r="HC36" i="1"/>
  <c r="HF36" i="1"/>
  <c r="HF50" i="1"/>
  <c r="GZ50" i="1"/>
  <c r="HC50" i="1"/>
  <c r="HI32" i="1"/>
  <c r="HI31" i="1"/>
  <c r="AK17" i="2"/>
  <c r="F17" i="2" s="1"/>
  <c r="IM17" i="1" s="1"/>
  <c r="O30" i="9"/>
  <c r="H34" i="6"/>
  <c r="O33" i="9"/>
  <c r="H144" i="6"/>
  <c r="O15" i="9"/>
  <c r="H21" i="6"/>
  <c r="DB50" i="1"/>
  <c r="EI50" i="1"/>
  <c r="GT50" i="1"/>
  <c r="GB50" i="1"/>
  <c r="FV50" i="1"/>
  <c r="FG50" i="1"/>
  <c r="DE50" i="1"/>
  <c r="GH50" i="1"/>
  <c r="FP50" i="1"/>
  <c r="DQ50" i="1"/>
  <c r="GE50" i="1"/>
  <c r="DZ50" i="1"/>
  <c r="EL50" i="1"/>
  <c r="EF50" i="1"/>
  <c r="GK50" i="1"/>
  <c r="EX50" i="1"/>
  <c r="EO50" i="1"/>
  <c r="GQ50" i="1"/>
  <c r="DK50" i="1"/>
  <c r="FS50" i="1"/>
  <c r="ER50" i="1"/>
  <c r="FJ50" i="1"/>
  <c r="GN50" i="1"/>
  <c r="FD50" i="1"/>
  <c r="EC50" i="1"/>
  <c r="GW50" i="1"/>
  <c r="DH50" i="1"/>
  <c r="EU50" i="1"/>
  <c r="FM50" i="1"/>
  <c r="DN50" i="1"/>
  <c r="FY50" i="1"/>
  <c r="DW50" i="1"/>
  <c r="DT50" i="1"/>
  <c r="FA50" i="1"/>
  <c r="O46" i="9"/>
  <c r="H175" i="6"/>
  <c r="O37" i="9"/>
  <c r="H143" i="6"/>
  <c r="O44" i="9"/>
  <c r="H176" i="6"/>
  <c r="DW36" i="1"/>
  <c r="EF36" i="1"/>
  <c r="EX36" i="1"/>
  <c r="FJ36" i="1"/>
  <c r="FM36" i="1"/>
  <c r="GE36" i="1"/>
  <c r="FY36" i="1"/>
  <c r="GN36" i="1"/>
  <c r="DE36" i="1"/>
  <c r="GW36" i="1"/>
  <c r="DH36" i="1"/>
  <c r="FS36" i="1"/>
  <c r="FA36" i="1"/>
  <c r="GH36" i="1"/>
  <c r="DZ36" i="1"/>
  <c r="GK36" i="1"/>
  <c r="EO36" i="1"/>
  <c r="EI36" i="1"/>
  <c r="FP36" i="1"/>
  <c r="GQ36" i="1"/>
  <c r="DN36" i="1"/>
  <c r="FV36" i="1"/>
  <c r="FD36" i="1"/>
  <c r="EC36" i="1"/>
  <c r="GT36" i="1"/>
  <c r="DB36" i="1"/>
  <c r="ER36" i="1"/>
  <c r="EU36" i="1"/>
  <c r="FG36" i="1"/>
  <c r="DT36" i="1"/>
  <c r="DK36" i="1"/>
  <c r="GB36" i="1"/>
  <c r="EL36" i="1"/>
  <c r="DQ36" i="1"/>
  <c r="O11" i="9"/>
  <c r="H24" i="6"/>
  <c r="O35" i="9"/>
  <c r="H142" i="6"/>
  <c r="O19" i="9"/>
  <c r="H31" i="6"/>
  <c r="O42" i="9"/>
  <c r="H153" i="6"/>
  <c r="O34" i="9"/>
  <c r="X34" i="9" s="1"/>
  <c r="AA34" i="9" s="1"/>
  <c r="H141" i="6"/>
  <c r="O40" i="9"/>
  <c r="H147" i="6"/>
  <c r="O48" i="9"/>
  <c r="H191" i="6"/>
  <c r="O43" i="9"/>
  <c r="H154" i="6"/>
  <c r="O12" i="9"/>
  <c r="H32" i="6"/>
  <c r="O7" i="9"/>
  <c r="H9" i="6"/>
  <c r="O27" i="9"/>
  <c r="H29" i="6"/>
  <c r="O5" i="9"/>
  <c r="X5" i="9" s="1"/>
  <c r="AA5" i="9" s="1"/>
  <c r="H6" i="6"/>
  <c r="O17" i="9"/>
  <c r="H23" i="6"/>
  <c r="O32" i="9"/>
  <c r="H140" i="6"/>
  <c r="O10" i="9"/>
  <c r="H19" i="6"/>
  <c r="O8" i="9"/>
  <c r="H15" i="6"/>
  <c r="O38" i="9"/>
  <c r="H146" i="6"/>
  <c r="O41" i="9"/>
  <c r="H152" i="6"/>
  <c r="O31" i="9"/>
  <c r="H139" i="6"/>
  <c r="O47" i="9"/>
  <c r="H190" i="6"/>
  <c r="O16" i="9"/>
  <c r="H22" i="6"/>
  <c r="O18" i="9"/>
  <c r="X18" i="9" s="1"/>
  <c r="H28" i="6"/>
  <c r="O25" i="9"/>
  <c r="H26" i="6"/>
  <c r="O9" i="9"/>
  <c r="H18" i="6"/>
  <c r="H5" i="6"/>
  <c r="H1" i="6"/>
  <c r="IJ17" i="1" l="1"/>
  <c r="IG17" i="1"/>
  <c r="A19" i="2"/>
  <c r="A84" i="2"/>
  <c r="AK89" i="2" s="1"/>
  <c r="F84" i="2" s="1"/>
  <c r="IM84" i="1" s="1"/>
  <c r="A11" i="2"/>
  <c r="F11" i="2" s="1"/>
  <c r="IM12" i="1" s="1"/>
  <c r="A8" i="2"/>
  <c r="AK8" i="2" s="1"/>
  <c r="F8" i="2" s="1"/>
  <c r="IM9" i="1" s="1"/>
  <c r="A78" i="2"/>
  <c r="AK83" i="2" s="1"/>
  <c r="F78" i="2" s="1"/>
  <c r="IM78" i="1" s="1"/>
  <c r="A51" i="2"/>
  <c r="AK56" i="2" s="1"/>
  <c r="F51" i="2" s="1"/>
  <c r="IM47" i="1" s="1"/>
  <c r="A52" i="2"/>
  <c r="F52" i="2" s="1"/>
  <c r="IM48" i="1" s="1"/>
  <c r="A10" i="2"/>
  <c r="F10" i="2" s="1"/>
  <c r="IM11" i="1" s="1"/>
  <c r="A87" i="2"/>
  <c r="F87" i="2" s="1"/>
  <c r="IM87" i="1" s="1"/>
  <c r="A85" i="2"/>
  <c r="A86" i="2"/>
  <c r="F86" i="2" s="1"/>
  <c r="IM86" i="1" s="1"/>
  <c r="A15" i="2"/>
  <c r="F15" i="2" s="1"/>
  <c r="IM15" i="1" s="1"/>
  <c r="A81" i="2"/>
  <c r="F81" i="2" s="1"/>
  <c r="IM81" i="1" s="1"/>
  <c r="A20" i="2"/>
  <c r="AK21" i="2" s="1"/>
  <c r="F20" i="2" s="1"/>
  <c r="IM20" i="1" s="1"/>
  <c r="A70" i="2"/>
  <c r="A79" i="2"/>
  <c r="A17" i="2"/>
  <c r="A14" i="2"/>
  <c r="F14" i="2" s="1"/>
  <c r="IM14" i="1" s="1"/>
  <c r="A37" i="2"/>
  <c r="F37" i="2" s="1"/>
  <c r="IM39" i="1" s="1"/>
  <c r="A35" i="2"/>
  <c r="F35" i="2" s="1"/>
  <c r="IM29" i="1" s="1"/>
  <c r="A13" i="2"/>
  <c r="F13" i="2" s="1"/>
  <c r="IM13" i="1" s="1"/>
  <c r="A4" i="2"/>
  <c r="F4" i="2" s="1"/>
  <c r="A31" i="2"/>
  <c r="A62" i="2"/>
  <c r="F62" i="2" s="1"/>
  <c r="IM62" i="1" s="1"/>
  <c r="A7" i="2"/>
  <c r="F7" i="2" s="1"/>
  <c r="IM8" i="1" s="1"/>
  <c r="A30" i="2"/>
  <c r="A36" i="2"/>
  <c r="F36" i="2" s="1"/>
  <c r="IM30" i="1" s="1"/>
  <c r="A45" i="2"/>
  <c r="A93" i="2"/>
  <c r="F93" i="2" s="1"/>
  <c r="A18" i="2"/>
  <c r="F18" i="2" s="1"/>
  <c r="IM18" i="1" s="1"/>
  <c r="A34" i="2"/>
  <c r="F34" i="2" s="1"/>
  <c r="IM35" i="1" s="1"/>
  <c r="A28" i="2"/>
  <c r="A73" i="2"/>
  <c r="AK78" i="2" s="1"/>
  <c r="A69" i="2"/>
  <c r="AK74" i="2" s="1"/>
  <c r="F69" i="2" s="1"/>
  <c r="IM69" i="1" s="1"/>
  <c r="A80" i="2"/>
  <c r="AK85" i="2" s="1"/>
  <c r="F80" i="2" s="1"/>
  <c r="IM80" i="1" s="1"/>
  <c r="A53" i="2"/>
  <c r="A41" i="2"/>
  <c r="IM52" i="1" s="1"/>
  <c r="A59" i="2"/>
  <c r="A82" i="2"/>
  <c r="A43" i="2"/>
  <c r="A46" i="2"/>
  <c r="F46" i="2" s="1"/>
  <c r="IM42" i="1" s="1"/>
  <c r="A42" i="2"/>
  <c r="F42" i="2" s="1"/>
  <c r="A29" i="2"/>
  <c r="A76" i="2"/>
  <c r="AK81" i="2" s="1"/>
  <c r="F76" i="2" s="1"/>
  <c r="IM76" i="1" s="1"/>
  <c r="A75" i="2"/>
  <c r="AK80" i="2" s="1"/>
  <c r="A39" i="2"/>
  <c r="A6" i="2"/>
  <c r="AK70" i="2"/>
  <c r="A50" i="2"/>
  <c r="AK55" i="2" s="1"/>
  <c r="F50" i="2" s="1"/>
  <c r="IM46" i="1" s="1"/>
  <c r="A92" i="2"/>
  <c r="F92" i="2" s="1"/>
  <c r="A21" i="2"/>
  <c r="A32" i="2"/>
  <c r="F32" i="2" s="1"/>
  <c r="IM33" i="1" s="1"/>
  <c r="A26" i="2"/>
  <c r="F26" i="2" s="1"/>
  <c r="IM25" i="1" s="1"/>
  <c r="A71" i="2"/>
  <c r="A72" i="2"/>
  <c r="A55" i="2"/>
  <c r="A54" i="2"/>
  <c r="A12" i="2"/>
  <c r="A91" i="2"/>
  <c r="F91" i="2" s="1"/>
  <c r="IM91" i="1" s="1"/>
  <c r="A25" i="2"/>
  <c r="F25" i="2" s="1"/>
  <c r="IM24" i="1" s="1"/>
  <c r="A33" i="2"/>
  <c r="F33" i="2" s="1"/>
  <c r="IM34" i="1" s="1"/>
  <c r="A89" i="2"/>
  <c r="F89" i="2" s="1"/>
  <c r="A16" i="2"/>
  <c r="F16" i="2" s="1"/>
  <c r="IM16" i="1" s="1"/>
  <c r="A24" i="2"/>
  <c r="F24" i="2" s="1"/>
  <c r="IM23" i="1" s="1"/>
  <c r="A27" i="2"/>
  <c r="F27" i="2" s="1"/>
  <c r="IM26" i="1" s="1"/>
  <c r="A56" i="2"/>
  <c r="F56" i="2" s="1"/>
  <c r="IM57" i="1" s="1"/>
  <c r="A74" i="2"/>
  <c r="A64" i="2"/>
  <c r="F64" i="2" s="1"/>
  <c r="IM64" i="1" s="1"/>
  <c r="A40" i="2"/>
  <c r="F40" i="2" s="1"/>
  <c r="IM37" i="1" s="1"/>
  <c r="A38" i="2"/>
  <c r="A61" i="2"/>
  <c r="A44" i="2"/>
  <c r="F44" i="2" s="1"/>
  <c r="IM41" i="1" s="1"/>
  <c r="A22" i="2"/>
  <c r="F22" i="2" s="1"/>
  <c r="IM21" i="1" s="1"/>
  <c r="A88" i="2"/>
  <c r="A90" i="2"/>
  <c r="F90" i="2" s="1"/>
  <c r="A9" i="2"/>
  <c r="F9" i="2" s="1"/>
  <c r="IM10" i="1" s="1"/>
  <c r="A83" i="2"/>
  <c r="AK88" i="2" s="1"/>
  <c r="F83" i="2" s="1"/>
  <c r="IM83" i="1" s="1"/>
  <c r="A58" i="2"/>
  <c r="F58" i="2" s="1"/>
  <c r="IM58" i="1" s="1"/>
  <c r="AK82" i="2"/>
  <c r="A66" i="2"/>
  <c r="F66" i="2" s="1"/>
  <c r="IM66" i="1" s="1"/>
  <c r="A23" i="2"/>
  <c r="F23" i="2" s="1"/>
  <c r="IM22" i="1" s="1"/>
  <c r="A57" i="2"/>
  <c r="F57" i="2" s="1"/>
  <c r="IM56" i="1" s="1"/>
  <c r="A68" i="2"/>
  <c r="AK73" i="2" s="1"/>
  <c r="F68" i="2" s="1"/>
  <c r="IM68" i="1" s="1"/>
  <c r="A67" i="2"/>
  <c r="AK72" i="2" s="1"/>
  <c r="F67" i="2" s="1"/>
  <c r="IM67" i="1" s="1"/>
  <c r="A63" i="2"/>
  <c r="AK68" i="2" s="1"/>
  <c r="F63" i="2" s="1"/>
  <c r="IM63" i="1" s="1"/>
  <c r="A60" i="2"/>
  <c r="IA17" i="1"/>
  <c r="ID17" i="1"/>
  <c r="HX5" i="1"/>
  <c r="HZ5" i="1" s="1"/>
  <c r="HZ99" i="1" s="1"/>
  <c r="IA3" i="1"/>
  <c r="IA5" i="1" s="1"/>
  <c r="HI60" i="1"/>
  <c r="A49" i="2"/>
  <c r="F49" i="2" s="1"/>
  <c r="A48" i="2"/>
  <c r="A47" i="2"/>
  <c r="DB53" i="1"/>
  <c r="HI61" i="1"/>
  <c r="P64" i="2"/>
  <c r="GW54" i="1"/>
  <c r="GE71" i="1"/>
  <c r="HU53" i="1"/>
  <c r="GW53" i="1"/>
  <c r="FS53" i="1"/>
  <c r="DE53" i="1"/>
  <c r="GQ53" i="1"/>
  <c r="GZ53" i="1"/>
  <c r="GK53" i="1"/>
  <c r="GE53" i="1"/>
  <c r="HO53" i="1"/>
  <c r="FM53" i="1"/>
  <c r="HI53" i="1"/>
  <c r="FG53" i="1"/>
  <c r="HC53" i="1"/>
  <c r="EO53" i="1"/>
  <c r="FP53" i="1"/>
  <c r="EU53" i="1"/>
  <c r="DK53" i="1"/>
  <c r="HX53" i="1"/>
  <c r="FY53" i="1"/>
  <c r="EI53" i="1"/>
  <c r="EF53" i="1"/>
  <c r="GT53" i="1"/>
  <c r="FJ53" i="1"/>
  <c r="DZ53" i="1"/>
  <c r="GN53" i="1"/>
  <c r="FD53" i="1"/>
  <c r="DT53" i="1"/>
  <c r="EC53" i="1"/>
  <c r="HR53" i="1"/>
  <c r="GH53" i="1"/>
  <c r="EX53" i="1"/>
  <c r="DN53" i="1"/>
  <c r="DW53" i="1"/>
  <c r="HL53" i="1"/>
  <c r="GB53" i="1"/>
  <c r="ER53" i="1"/>
  <c r="DH53" i="1"/>
  <c r="FA53" i="1"/>
  <c r="DQ53" i="1"/>
  <c r="HF53" i="1"/>
  <c r="FV53" i="1"/>
  <c r="EL53" i="1"/>
  <c r="P9" i="9"/>
  <c r="X9" i="9"/>
  <c r="P10" i="9"/>
  <c r="X10" i="9"/>
  <c r="AA10" i="9" s="1"/>
  <c r="P27" i="9"/>
  <c r="X27" i="9"/>
  <c r="AA27" i="9" s="1"/>
  <c r="P48" i="9"/>
  <c r="X48" i="9"/>
  <c r="P42" i="9"/>
  <c r="X42" i="9"/>
  <c r="P8" i="9"/>
  <c r="X8" i="9"/>
  <c r="AA8" i="9" s="1"/>
  <c r="P46" i="9"/>
  <c r="X46" i="9"/>
  <c r="AA46" i="9" s="1"/>
  <c r="P47" i="9"/>
  <c r="X47" i="9"/>
  <c r="P25" i="9"/>
  <c r="X25" i="9"/>
  <c r="AA25" i="9" s="1"/>
  <c r="P18" i="9"/>
  <c r="AA18" i="9"/>
  <c r="P41" i="9"/>
  <c r="X41" i="9"/>
  <c r="P32" i="9"/>
  <c r="X32" i="9"/>
  <c r="P7" i="9"/>
  <c r="X7" i="9"/>
  <c r="P40" i="9"/>
  <c r="X40" i="9"/>
  <c r="P19" i="9"/>
  <c r="X19" i="9"/>
  <c r="P44" i="9"/>
  <c r="X44" i="9"/>
  <c r="P15" i="9"/>
  <c r="X15" i="9"/>
  <c r="AA15" i="9" s="1"/>
  <c r="P43" i="9"/>
  <c r="X43" i="9"/>
  <c r="P31" i="9"/>
  <c r="X31" i="9"/>
  <c r="P11" i="9"/>
  <c r="X11" i="9"/>
  <c r="P30" i="9"/>
  <c r="X30" i="9"/>
  <c r="P16" i="9"/>
  <c r="X16" i="9"/>
  <c r="P38" i="9"/>
  <c r="X38" i="9"/>
  <c r="AA38" i="9" s="1"/>
  <c r="P17" i="9"/>
  <c r="X17" i="9"/>
  <c r="AA17" i="9" s="1"/>
  <c r="P12" i="9"/>
  <c r="X12" i="9"/>
  <c r="P35" i="9"/>
  <c r="X35" i="9"/>
  <c r="AA35" i="9" s="1"/>
  <c r="P37" i="9"/>
  <c r="X37" i="9"/>
  <c r="AA37" i="9" s="1"/>
  <c r="P33" i="9"/>
  <c r="X33" i="9"/>
  <c r="HL31" i="1"/>
  <c r="HU31" i="1"/>
  <c r="HR31" i="1"/>
  <c r="HX31" i="1"/>
  <c r="HL60" i="1"/>
  <c r="HR60" i="1"/>
  <c r="HU60" i="1"/>
  <c r="HX60" i="1"/>
  <c r="HU36" i="1"/>
  <c r="HO36" i="1"/>
  <c r="HX36" i="1"/>
  <c r="HR36" i="1"/>
  <c r="HL36" i="1"/>
  <c r="HW5" i="1"/>
  <c r="HW99" i="1" s="1"/>
  <c r="HV5" i="1"/>
  <c r="HV99" i="1" s="1"/>
  <c r="HU99" i="1"/>
  <c r="HU6" i="1"/>
  <c r="HR6" i="1"/>
  <c r="HO50" i="1"/>
  <c r="HL6" i="1"/>
  <c r="HI6" i="1"/>
  <c r="FY6" i="1"/>
  <c r="EF6" i="1"/>
  <c r="FM6" i="1"/>
  <c r="DN6" i="1"/>
  <c r="GZ6" i="1"/>
  <c r="DZ6" i="1"/>
  <c r="GE6" i="1"/>
  <c r="DW6" i="1"/>
  <c r="GB6" i="1"/>
  <c r="EX6" i="1"/>
  <c r="EI6" i="1"/>
  <c r="FD6" i="1"/>
  <c r="ER6" i="1"/>
  <c r="EC6" i="1"/>
  <c r="DH6" i="1"/>
  <c r="FV6" i="1"/>
  <c r="FA6" i="1"/>
  <c r="GW6" i="1"/>
  <c r="GH6" i="1"/>
  <c r="FS6" i="1"/>
  <c r="EL6" i="1"/>
  <c r="FP6" i="1"/>
  <c r="GK6" i="1"/>
  <c r="EU6" i="1"/>
  <c r="DE6" i="1"/>
  <c r="DK6" i="1"/>
  <c r="HF6" i="1"/>
  <c r="EO6" i="1"/>
  <c r="DB6" i="1"/>
  <c r="DQ6" i="1"/>
  <c r="GN6" i="1"/>
  <c r="GT6" i="1"/>
  <c r="FG6" i="1"/>
  <c r="FJ6" i="1"/>
  <c r="GQ6" i="1"/>
  <c r="DT6" i="1"/>
  <c r="HC6" i="1"/>
  <c r="GH49" i="1"/>
  <c r="HF61" i="1"/>
  <c r="HC60" i="1"/>
  <c r="DN32" i="1"/>
  <c r="DK60" i="1"/>
  <c r="FD60" i="1"/>
  <c r="FV60" i="1"/>
  <c r="FG60" i="1"/>
  <c r="EX60" i="1"/>
  <c r="DT60" i="1"/>
  <c r="FA61" i="1"/>
  <c r="GE61" i="1"/>
  <c r="EU60" i="1"/>
  <c r="EO60" i="1"/>
  <c r="FS60" i="1"/>
  <c r="DZ60" i="1"/>
  <c r="DW60" i="1"/>
  <c r="EF60" i="1"/>
  <c r="GB60" i="1"/>
  <c r="FP60" i="1"/>
  <c r="DB60" i="1"/>
  <c r="EL60" i="1"/>
  <c r="DE60" i="1"/>
  <c r="GH60" i="1"/>
  <c r="FY60" i="1"/>
  <c r="GT60" i="1"/>
  <c r="ER60" i="1"/>
  <c r="DN60" i="1"/>
  <c r="DH60" i="1"/>
  <c r="GQ60" i="1"/>
  <c r="GE60" i="1"/>
  <c r="GN60" i="1"/>
  <c r="FM60" i="1"/>
  <c r="FA60" i="1"/>
  <c r="EC60" i="1"/>
  <c r="FJ60" i="1"/>
  <c r="GW60" i="1"/>
  <c r="GK60" i="1"/>
  <c r="DQ60" i="1"/>
  <c r="EI60" i="1"/>
  <c r="GZ60" i="1"/>
  <c r="HF60" i="1"/>
  <c r="FP61" i="1"/>
  <c r="GK61" i="1"/>
  <c r="FS61" i="1"/>
  <c r="DN61" i="1"/>
  <c r="EX61" i="1"/>
  <c r="GB61" i="1"/>
  <c r="DW61" i="1"/>
  <c r="FJ32" i="1"/>
  <c r="DH61" i="1"/>
  <c r="FV32" i="1"/>
  <c r="DQ61" i="1"/>
  <c r="FJ61" i="1"/>
  <c r="EF61" i="1"/>
  <c r="DE61" i="1"/>
  <c r="EU61" i="1"/>
  <c r="GH61" i="1"/>
  <c r="FD61" i="1"/>
  <c r="EC61" i="1"/>
  <c r="GH32" i="1"/>
  <c r="DW32" i="1"/>
  <c r="EU32" i="1"/>
  <c r="EI32" i="1"/>
  <c r="FM61" i="1"/>
  <c r="EO61" i="1"/>
  <c r="GW61" i="1"/>
  <c r="DB61" i="1"/>
  <c r="FG61" i="1"/>
  <c r="EC32" i="1"/>
  <c r="GN32" i="1"/>
  <c r="DT61" i="1"/>
  <c r="EL61" i="1"/>
  <c r="EI61" i="1"/>
  <c r="DK61" i="1"/>
  <c r="GN61" i="1"/>
  <c r="DE32" i="1"/>
  <c r="GT61" i="1"/>
  <c r="FY61" i="1"/>
  <c r="FV61" i="1"/>
  <c r="DZ61" i="1"/>
  <c r="GQ61" i="1"/>
  <c r="ER61" i="1"/>
  <c r="GZ61" i="1"/>
  <c r="HC61" i="1"/>
  <c r="HF27" i="1"/>
  <c r="GZ27" i="1"/>
  <c r="HC27" i="1"/>
  <c r="GZ31" i="1"/>
  <c r="HC31" i="1"/>
  <c r="HF31" i="1"/>
  <c r="GZ32" i="1"/>
  <c r="HC32" i="1"/>
  <c r="HF32" i="1"/>
  <c r="EF28" i="1"/>
  <c r="GZ28" i="1"/>
  <c r="HC28" i="1"/>
  <c r="HF28" i="1"/>
  <c r="ER28" i="1"/>
  <c r="EC28" i="1"/>
  <c r="DN28" i="1"/>
  <c r="FS31" i="1"/>
  <c r="FJ31" i="1"/>
  <c r="DK31" i="1"/>
  <c r="GN31" i="1"/>
  <c r="GB31" i="1"/>
  <c r="GT31" i="1"/>
  <c r="DH31" i="1"/>
  <c r="EO31" i="1"/>
  <c r="GW31" i="1"/>
  <c r="EI31" i="1"/>
  <c r="DQ31" i="1"/>
  <c r="FY31" i="1"/>
  <c r="FA31" i="1"/>
  <c r="FP31" i="1"/>
  <c r="DZ31" i="1"/>
  <c r="GE31" i="1"/>
  <c r="DE31" i="1"/>
  <c r="EC31" i="1"/>
  <c r="FG31" i="1"/>
  <c r="EF31" i="1"/>
  <c r="FD31" i="1"/>
  <c r="DN31" i="1"/>
  <c r="EX31" i="1"/>
  <c r="DT31" i="1"/>
  <c r="DB31" i="1"/>
  <c r="DW31" i="1"/>
  <c r="GK31" i="1"/>
  <c r="EL31" i="1"/>
  <c r="ER31" i="1"/>
  <c r="FV31" i="1"/>
  <c r="GH31" i="1"/>
  <c r="GQ31" i="1"/>
  <c r="EU31" i="1"/>
  <c r="FM31" i="1"/>
  <c r="DK32" i="1"/>
  <c r="EO32" i="1"/>
  <c r="FA32" i="1"/>
  <c r="EL32" i="1"/>
  <c r="DQ32" i="1"/>
  <c r="EF32" i="1"/>
  <c r="FD32" i="1"/>
  <c r="FG32" i="1"/>
  <c r="DB32" i="1"/>
  <c r="GE32" i="1"/>
  <c r="FS32" i="1"/>
  <c r="FY32" i="1"/>
  <c r="GW32" i="1"/>
  <c r="EX32" i="1"/>
  <c r="DZ32" i="1"/>
  <c r="FM32" i="1"/>
  <c r="DH32" i="1"/>
  <c r="FP32" i="1"/>
  <c r="GT32" i="1"/>
  <c r="GQ32" i="1"/>
  <c r="DT32" i="1"/>
  <c r="GB32" i="1"/>
  <c r="GK32" i="1"/>
  <c r="ER32" i="1"/>
  <c r="EX27" i="1"/>
  <c r="FD27" i="1"/>
  <c r="DH27" i="1"/>
  <c r="FY27" i="1"/>
  <c r="GB27" i="1"/>
  <c r="DE27" i="1"/>
  <c r="EF27" i="1"/>
  <c r="DQ27" i="1"/>
  <c r="GW27" i="1"/>
  <c r="FM27" i="1"/>
  <c r="DW27" i="1"/>
  <c r="FV27" i="1"/>
  <c r="GN27" i="1"/>
  <c r="FS27" i="1"/>
  <c r="DK27" i="1"/>
  <c r="EI27" i="1"/>
  <c r="DT27" i="1"/>
  <c r="EU27" i="1"/>
  <c r="FA27" i="1"/>
  <c r="EL27" i="1"/>
  <c r="DZ27" i="1"/>
  <c r="DN27" i="1"/>
  <c r="FJ27" i="1"/>
  <c r="EC27" i="1"/>
  <c r="FG27" i="1"/>
  <c r="DB27" i="1"/>
  <c r="GK27" i="1"/>
  <c r="EO27" i="1"/>
  <c r="GH27" i="1"/>
  <c r="GT27" i="1"/>
  <c r="ER27" i="1"/>
  <c r="GE27" i="1"/>
  <c r="FP27" i="1"/>
  <c r="GQ27" i="1"/>
  <c r="FV28" i="1"/>
  <c r="FA28" i="1"/>
  <c r="DE28" i="1"/>
  <c r="GT28" i="1"/>
  <c r="GN28" i="1"/>
  <c r="DB28" i="1"/>
  <c r="DZ28" i="1"/>
  <c r="GW28" i="1"/>
  <c r="EU28" i="1"/>
  <c r="EL28" i="1"/>
  <c r="EO28" i="1"/>
  <c r="FM28" i="1"/>
  <c r="GB28" i="1"/>
  <c r="DT28" i="1"/>
  <c r="FG28" i="1"/>
  <c r="FD28" i="1"/>
  <c r="EX28" i="1"/>
  <c r="GQ28" i="1"/>
  <c r="GK28" i="1"/>
  <c r="FJ28" i="1"/>
  <c r="GH28" i="1"/>
  <c r="FP28" i="1"/>
  <c r="FS28" i="1"/>
  <c r="DH28" i="1"/>
  <c r="DQ28" i="1"/>
  <c r="FY28" i="1"/>
  <c r="DK28" i="1"/>
  <c r="GE28" i="1"/>
  <c r="DW28" i="1"/>
  <c r="EI28" i="1"/>
  <c r="DH49" i="1"/>
  <c r="GE49" i="1"/>
  <c r="GB49" i="1"/>
  <c r="GK49" i="1"/>
  <c r="DE49" i="1"/>
  <c r="DK49" i="1"/>
  <c r="P34" i="9"/>
  <c r="O51" i="9"/>
  <c r="P5" i="9"/>
  <c r="F19" i="2" l="1"/>
  <c r="IM19" i="1" s="1"/>
  <c r="AK43" i="2"/>
  <c r="F43" i="2"/>
  <c r="IM40" i="1" s="1"/>
  <c r="F45" i="2"/>
  <c r="IM51" i="1" s="1"/>
  <c r="F88" i="2"/>
  <c r="IM88" i="1" s="1"/>
  <c r="IJ63" i="1"/>
  <c r="IJ83" i="1"/>
  <c r="IJ37" i="1"/>
  <c r="IJ34" i="1"/>
  <c r="IJ25" i="1"/>
  <c r="IJ52" i="1"/>
  <c r="IJ93" i="1"/>
  <c r="IJ13" i="1"/>
  <c r="IJ81" i="1"/>
  <c r="IJ78" i="1"/>
  <c r="IJ67" i="1"/>
  <c r="IJ10" i="1"/>
  <c r="IJ64" i="1"/>
  <c r="IJ24" i="1"/>
  <c r="IJ33" i="1"/>
  <c r="IJ76" i="1"/>
  <c r="IJ29" i="1"/>
  <c r="IJ15" i="1"/>
  <c r="IJ9" i="1"/>
  <c r="IJ68" i="1"/>
  <c r="IJ90" i="1"/>
  <c r="IJ91" i="1"/>
  <c r="IJ80" i="1"/>
  <c r="IJ30" i="1"/>
  <c r="IJ39" i="1"/>
  <c r="IJ86" i="1"/>
  <c r="IJ12" i="1"/>
  <c r="IJ56" i="1"/>
  <c r="IJ57" i="1"/>
  <c r="IJ92" i="1"/>
  <c r="IJ69" i="1"/>
  <c r="IJ14" i="1"/>
  <c r="IJ84" i="1"/>
  <c r="IJ22" i="1"/>
  <c r="IJ21" i="1"/>
  <c r="IJ26" i="1"/>
  <c r="IJ46" i="1"/>
  <c r="IJ42" i="1"/>
  <c r="IJ8" i="1"/>
  <c r="IJ87" i="1"/>
  <c r="IJ66" i="1"/>
  <c r="IJ41" i="1"/>
  <c r="IJ23" i="1"/>
  <c r="IJ62" i="1"/>
  <c r="IJ11" i="1"/>
  <c r="IJ16" i="1"/>
  <c r="IJ35" i="1"/>
  <c r="IJ48" i="1"/>
  <c r="IJ58" i="1"/>
  <c r="IJ89" i="1"/>
  <c r="IJ18" i="1"/>
  <c r="IJ20" i="1"/>
  <c r="IJ47" i="1"/>
  <c r="IG58" i="1"/>
  <c r="IG89" i="1"/>
  <c r="IG18" i="1"/>
  <c r="IG20" i="1"/>
  <c r="IG47" i="1"/>
  <c r="IG63" i="1"/>
  <c r="IG83" i="1"/>
  <c r="IG37" i="1"/>
  <c r="IG34" i="1"/>
  <c r="IG25" i="1"/>
  <c r="IG52" i="1"/>
  <c r="IG93" i="1"/>
  <c r="IG13" i="1"/>
  <c r="IG81" i="1"/>
  <c r="IG78" i="1"/>
  <c r="IG67" i="1"/>
  <c r="IG10" i="1"/>
  <c r="FV64" i="1"/>
  <c r="IG24" i="1"/>
  <c r="IG33" i="1"/>
  <c r="IG76" i="1"/>
  <c r="IG29" i="1"/>
  <c r="IG15" i="1"/>
  <c r="IG68" i="1"/>
  <c r="IG90" i="1"/>
  <c r="IG91" i="1"/>
  <c r="IG80" i="1"/>
  <c r="IG30" i="1"/>
  <c r="IG39" i="1"/>
  <c r="IG86" i="1"/>
  <c r="IG56" i="1"/>
  <c r="IG57" i="1"/>
  <c r="IG92" i="1"/>
  <c r="IG69" i="1"/>
  <c r="IG14" i="1"/>
  <c r="IG84" i="1"/>
  <c r="IG22" i="1"/>
  <c r="IG21" i="1"/>
  <c r="IG26" i="1"/>
  <c r="IG46" i="1"/>
  <c r="IG42" i="1"/>
  <c r="ID8" i="1"/>
  <c r="IG87" i="1"/>
  <c r="EO66" i="1"/>
  <c r="IG41" i="1"/>
  <c r="IG23" i="1"/>
  <c r="IG62" i="1"/>
  <c r="IG11" i="1"/>
  <c r="IG16" i="1"/>
  <c r="IG35" i="1"/>
  <c r="IG48" i="1"/>
  <c r="F75" i="2"/>
  <c r="IM75" i="1" s="1"/>
  <c r="F65" i="2"/>
  <c r="IM65" i="1" s="1"/>
  <c r="F77" i="2"/>
  <c r="IM77" i="1" s="1"/>
  <c r="HX64" i="1"/>
  <c r="GN64" i="1"/>
  <c r="DN64" i="1"/>
  <c r="GT64" i="1"/>
  <c r="FG64" i="1"/>
  <c r="DZ64" i="1"/>
  <c r="DQ64" i="1"/>
  <c r="GB64" i="1"/>
  <c r="GQ64" i="1"/>
  <c r="FP64" i="1"/>
  <c r="DW64" i="1"/>
  <c r="FY64" i="1"/>
  <c r="GW64" i="1"/>
  <c r="HI64" i="1"/>
  <c r="GZ64" i="1"/>
  <c r="DK64" i="1"/>
  <c r="FJ64" i="1"/>
  <c r="FM64" i="1"/>
  <c r="GK64" i="1"/>
  <c r="HR64" i="1"/>
  <c r="EL64" i="1"/>
  <c r="EU64" i="1"/>
  <c r="DT64" i="1"/>
  <c r="HU64" i="1"/>
  <c r="EF64" i="1"/>
  <c r="DE64" i="1"/>
  <c r="FD64" i="1"/>
  <c r="GH64" i="1"/>
  <c r="HL64" i="1"/>
  <c r="FA64" i="1"/>
  <c r="EI64" i="1"/>
  <c r="EX64" i="1"/>
  <c r="FS64" i="1"/>
  <c r="DH64" i="1"/>
  <c r="HC64" i="1"/>
  <c r="ER64" i="1"/>
  <c r="GE64" i="1"/>
  <c r="EC64" i="1"/>
  <c r="HF64" i="1"/>
  <c r="EO64" i="1"/>
  <c r="DB64" i="1"/>
  <c r="DK66" i="1"/>
  <c r="GB66" i="1"/>
  <c r="HC66" i="1"/>
  <c r="IG66" i="1"/>
  <c r="IA66" i="1"/>
  <c r="ID66" i="1"/>
  <c r="DZ66" i="1"/>
  <c r="GE66" i="1"/>
  <c r="DQ66" i="1"/>
  <c r="GW66" i="1"/>
  <c r="DB66" i="1"/>
  <c r="DW66" i="1"/>
  <c r="EX66" i="1"/>
  <c r="EC66" i="1"/>
  <c r="DT66" i="1"/>
  <c r="FY66" i="1"/>
  <c r="GN66" i="1"/>
  <c r="DE66" i="1"/>
  <c r="FJ66" i="1"/>
  <c r="HF66" i="1"/>
  <c r="GK66" i="1"/>
  <c r="ER66" i="1"/>
  <c r="FA66" i="1"/>
  <c r="EF66" i="1"/>
  <c r="EI66" i="1"/>
  <c r="FG66" i="1"/>
  <c r="GQ66" i="1"/>
  <c r="HL66" i="1"/>
  <c r="HI66" i="1"/>
  <c r="IG64" i="1"/>
  <c r="IA64" i="1"/>
  <c r="ID64" i="1"/>
  <c r="FP66" i="1"/>
  <c r="EL66" i="1"/>
  <c r="GH66" i="1"/>
  <c r="FM66" i="1"/>
  <c r="HR66" i="1"/>
  <c r="DN66" i="1"/>
  <c r="FD66" i="1"/>
  <c r="GZ66" i="1"/>
  <c r="DH66" i="1"/>
  <c r="HU66" i="1"/>
  <c r="FV66" i="1"/>
  <c r="EU66" i="1"/>
  <c r="GT66" i="1"/>
  <c r="FS66" i="1"/>
  <c r="HX66" i="1"/>
  <c r="AK87" i="2"/>
  <c r="F82" i="2" s="1"/>
  <c r="IM82" i="1" s="1"/>
  <c r="IA19" i="1"/>
  <c r="EX89" i="1"/>
  <c r="GQ89" i="1"/>
  <c r="GT87" i="1"/>
  <c r="DH89" i="1"/>
  <c r="AK84" i="2"/>
  <c r="F79" i="2" s="1"/>
  <c r="IM79" i="1" s="1"/>
  <c r="AK90" i="2"/>
  <c r="F85" i="2" s="1"/>
  <c r="IM85" i="1" s="1"/>
  <c r="FV48" i="1"/>
  <c r="GW48" i="1"/>
  <c r="GB48" i="1"/>
  <c r="FA48" i="1"/>
  <c r="FG48" i="1"/>
  <c r="HI48" i="1"/>
  <c r="HC48" i="1"/>
  <c r="ER48" i="1"/>
  <c r="EU48" i="1"/>
  <c r="FY48" i="1"/>
  <c r="DZ48" i="1"/>
  <c r="DE48" i="1"/>
  <c r="FM48" i="1"/>
  <c r="DB48" i="1"/>
  <c r="DK48" i="1"/>
  <c r="FP48" i="1"/>
  <c r="DW48" i="1"/>
  <c r="HX48" i="1"/>
  <c r="EC48" i="1"/>
  <c r="GT48" i="1"/>
  <c r="DN48" i="1"/>
  <c r="DT48" i="1"/>
  <c r="GN48" i="1"/>
  <c r="GH48" i="1"/>
  <c r="HF48" i="1"/>
  <c r="EF48" i="1"/>
  <c r="GK48" i="1"/>
  <c r="FJ48" i="1"/>
  <c r="EO48" i="1"/>
  <c r="EL48" i="1"/>
  <c r="GE48" i="1"/>
  <c r="GQ48" i="1"/>
  <c r="HL48" i="1"/>
  <c r="FS48" i="1"/>
  <c r="GZ48" i="1"/>
  <c r="HU48" i="1"/>
  <c r="EX48" i="1"/>
  <c r="EI48" i="1"/>
  <c r="HO48" i="1"/>
  <c r="FD48" i="1"/>
  <c r="HR48" i="1"/>
  <c r="DH48" i="1"/>
  <c r="DQ48" i="1"/>
  <c r="ID48" i="1"/>
  <c r="IG9" i="1"/>
  <c r="EI9" i="1"/>
  <c r="DW9" i="1"/>
  <c r="FA9" i="1"/>
  <c r="DQ9" i="1"/>
  <c r="DH9" i="1"/>
  <c r="GK9" i="1"/>
  <c r="FG9" i="1"/>
  <c r="EC9" i="1"/>
  <c r="FP9" i="1"/>
  <c r="DT9" i="1"/>
  <c r="HR9" i="1"/>
  <c r="HC9" i="1"/>
  <c r="GB9" i="1"/>
  <c r="FY9" i="1"/>
  <c r="GW9" i="1"/>
  <c r="FJ9" i="1"/>
  <c r="HL9" i="1"/>
  <c r="HF9" i="1"/>
  <c r="ER9" i="1"/>
  <c r="GQ9" i="1"/>
  <c r="DK9" i="1"/>
  <c r="GZ9" i="1"/>
  <c r="GT9" i="1"/>
  <c r="GN9" i="1"/>
  <c r="DB9" i="1"/>
  <c r="FM9" i="1"/>
  <c r="GE9" i="1"/>
  <c r="DE9" i="1"/>
  <c r="IA9" i="1"/>
  <c r="DZ9" i="1"/>
  <c r="FV9" i="1"/>
  <c r="ID9" i="1"/>
  <c r="HU9" i="1"/>
  <c r="HI9" i="1"/>
  <c r="EF9" i="1"/>
  <c r="EU9" i="1"/>
  <c r="FS9" i="1"/>
  <c r="FD9" i="1"/>
  <c r="DN9" i="1"/>
  <c r="HX9" i="1"/>
  <c r="EX9" i="1"/>
  <c r="EL9" i="1"/>
  <c r="EO9" i="1"/>
  <c r="GH9" i="1"/>
  <c r="IG12" i="1"/>
  <c r="IA12" i="1"/>
  <c r="ID12" i="1"/>
  <c r="ID11" i="1"/>
  <c r="IA48" i="1"/>
  <c r="FV87" i="1"/>
  <c r="GQ87" i="1"/>
  <c r="GB87" i="1"/>
  <c r="DZ87" i="1"/>
  <c r="GH87" i="1"/>
  <c r="DE87" i="1"/>
  <c r="GE87" i="1"/>
  <c r="HX87" i="1"/>
  <c r="DQ87" i="1"/>
  <c r="EC87" i="1"/>
  <c r="HI87" i="1"/>
  <c r="HL87" i="1"/>
  <c r="AK50" i="2"/>
  <c r="GW87" i="1"/>
  <c r="FA87" i="1"/>
  <c r="EI87" i="1"/>
  <c r="FY89" i="1"/>
  <c r="EO30" i="1"/>
  <c r="GK87" i="1"/>
  <c r="DW87" i="1"/>
  <c r="FM87" i="1"/>
  <c r="DT89" i="1"/>
  <c r="FJ87" i="1"/>
  <c r="GN89" i="1"/>
  <c r="GZ87" i="1"/>
  <c r="IA11" i="1"/>
  <c r="IA86" i="1"/>
  <c r="ID87" i="1"/>
  <c r="FY86" i="1"/>
  <c r="DW86" i="1"/>
  <c r="FP86" i="1"/>
  <c r="DZ86" i="1"/>
  <c r="GH86" i="1"/>
  <c r="EO86" i="1"/>
  <c r="DT86" i="1"/>
  <c r="FD86" i="1"/>
  <c r="GE86" i="1"/>
  <c r="EI86" i="1"/>
  <c r="FS86" i="1"/>
  <c r="HI86" i="1"/>
  <c r="EF86" i="1"/>
  <c r="DB86" i="1"/>
  <c r="FV86" i="1"/>
  <c r="GK86" i="1"/>
  <c r="GN86" i="1"/>
  <c r="HR86" i="1"/>
  <c r="DH87" i="1"/>
  <c r="FG87" i="1"/>
  <c r="FD87" i="1"/>
  <c r="DB87" i="1"/>
  <c r="FS87" i="1"/>
  <c r="GE89" i="1"/>
  <c r="FJ89" i="1"/>
  <c r="DH86" i="1"/>
  <c r="EL86" i="1"/>
  <c r="FJ86" i="1"/>
  <c r="EU86" i="1"/>
  <c r="DE86" i="1"/>
  <c r="DQ86" i="1"/>
  <c r="GQ30" i="1"/>
  <c r="HI30" i="1"/>
  <c r="HO87" i="1"/>
  <c r="HU87" i="1"/>
  <c r="IA87" i="1"/>
  <c r="FY87" i="1"/>
  <c r="EU87" i="1"/>
  <c r="EO87" i="1"/>
  <c r="ER87" i="1"/>
  <c r="EX87" i="1"/>
  <c r="FP87" i="1"/>
  <c r="FG89" i="1"/>
  <c r="EL89" i="1"/>
  <c r="EX86" i="1"/>
  <c r="ER86" i="1"/>
  <c r="FG86" i="1"/>
  <c r="GQ86" i="1"/>
  <c r="EC86" i="1"/>
  <c r="FA86" i="1"/>
  <c r="DT30" i="1"/>
  <c r="HF87" i="1"/>
  <c r="HX86" i="1"/>
  <c r="EL87" i="1"/>
  <c r="GN87" i="1"/>
  <c r="DK87" i="1"/>
  <c r="DT87" i="1"/>
  <c r="DN87" i="1"/>
  <c r="EF87" i="1"/>
  <c r="ER89" i="1"/>
  <c r="FV89" i="1"/>
  <c r="DN86" i="1"/>
  <c r="GW86" i="1"/>
  <c r="FM86" i="1"/>
  <c r="GB86" i="1"/>
  <c r="GT86" i="1"/>
  <c r="DK86" i="1"/>
  <c r="ER30" i="1"/>
  <c r="HC87" i="1"/>
  <c r="HR87" i="1"/>
  <c r="ID86" i="1"/>
  <c r="DE91" i="1"/>
  <c r="HU91" i="1"/>
  <c r="DK91" i="1"/>
  <c r="GT91" i="1"/>
  <c r="ID15" i="1"/>
  <c r="FA91" i="1"/>
  <c r="EI91" i="1"/>
  <c r="HL91" i="1"/>
  <c r="IA14" i="1"/>
  <c r="IA62" i="1"/>
  <c r="GN91" i="1"/>
  <c r="IA15" i="1"/>
  <c r="ID14" i="1"/>
  <c r="EI39" i="1"/>
  <c r="HR39" i="1"/>
  <c r="ID18" i="1"/>
  <c r="HI39" i="1"/>
  <c r="DE35" i="1"/>
  <c r="GE41" i="1"/>
  <c r="GE35" i="1"/>
  <c r="DQ41" i="1"/>
  <c r="EO39" i="1"/>
  <c r="HX41" i="1"/>
  <c r="FA39" i="1"/>
  <c r="FM39" i="1"/>
  <c r="FM35" i="1"/>
  <c r="FG35" i="1"/>
  <c r="HU41" i="1"/>
  <c r="ID81" i="1"/>
  <c r="GB39" i="1"/>
  <c r="DE41" i="1"/>
  <c r="EU41" i="1"/>
  <c r="DN39" i="1"/>
  <c r="EX39" i="1"/>
  <c r="EL35" i="1"/>
  <c r="FV35" i="1"/>
  <c r="DW39" i="1"/>
  <c r="HX39" i="1"/>
  <c r="GW41" i="1"/>
  <c r="FP39" i="1"/>
  <c r="GH41" i="1"/>
  <c r="HC39" i="1"/>
  <c r="DZ35" i="1"/>
  <c r="GW35" i="1"/>
  <c r="HC41" i="1"/>
  <c r="HU39" i="1"/>
  <c r="FP57" i="1"/>
  <c r="DN41" i="1"/>
  <c r="EF41" i="1"/>
  <c r="GN41" i="1"/>
  <c r="DB39" i="1"/>
  <c r="GK39" i="1"/>
  <c r="EF35" i="1"/>
  <c r="DQ35" i="1"/>
  <c r="EC41" i="1"/>
  <c r="DT41" i="1"/>
  <c r="DK39" i="1"/>
  <c r="GW39" i="1"/>
  <c r="FJ35" i="1"/>
  <c r="FY35" i="1"/>
  <c r="DH35" i="1"/>
  <c r="HR35" i="1"/>
  <c r="FA89" i="1"/>
  <c r="DW89" i="1"/>
  <c r="DK89" i="1"/>
  <c r="DQ89" i="1"/>
  <c r="EF89" i="1"/>
  <c r="FD89" i="1"/>
  <c r="HF30" i="1"/>
  <c r="GW30" i="1"/>
  <c r="HL89" i="1"/>
  <c r="ID30" i="1"/>
  <c r="DZ89" i="1"/>
  <c r="EC89" i="1"/>
  <c r="EU89" i="1"/>
  <c r="EI89" i="1"/>
  <c r="EO89" i="1"/>
  <c r="DN30" i="1"/>
  <c r="DZ30" i="1"/>
  <c r="GK30" i="1"/>
  <c r="HI89" i="1"/>
  <c r="IA30" i="1"/>
  <c r="GH89" i="1"/>
  <c r="DB89" i="1"/>
  <c r="BA89" i="1" s="1"/>
  <c r="DH30" i="1"/>
  <c r="HF89" i="1"/>
  <c r="HX89" i="1"/>
  <c r="GK89" i="1"/>
  <c r="DN89" i="1"/>
  <c r="FP89" i="1"/>
  <c r="GT30" i="1"/>
  <c r="GZ89" i="1"/>
  <c r="HR89" i="1"/>
  <c r="ID13" i="1"/>
  <c r="IA92" i="1"/>
  <c r="GW89" i="1"/>
  <c r="FM89" i="1"/>
  <c r="GB89" i="1"/>
  <c r="GT89" i="1"/>
  <c r="DE89" i="1"/>
  <c r="FS89" i="1"/>
  <c r="GE30" i="1"/>
  <c r="GH30" i="1"/>
  <c r="HC89" i="1"/>
  <c r="HU89" i="1"/>
  <c r="IA13" i="1"/>
  <c r="FV41" i="1"/>
  <c r="GQ41" i="1"/>
  <c r="GK41" i="1"/>
  <c r="FP41" i="1"/>
  <c r="FJ41" i="1"/>
  <c r="FY41" i="1"/>
  <c r="HF41" i="1"/>
  <c r="EU39" i="1"/>
  <c r="FY39" i="1"/>
  <c r="DH39" i="1"/>
  <c r="HF39" i="1"/>
  <c r="FV39" i="1"/>
  <c r="DE39" i="1"/>
  <c r="DT39" i="1"/>
  <c r="EC35" i="1"/>
  <c r="DN35" i="1"/>
  <c r="EU35" i="1"/>
  <c r="DT35" i="1"/>
  <c r="EI35" i="1"/>
  <c r="GT35" i="1"/>
  <c r="HR41" i="1"/>
  <c r="FM57" i="1"/>
  <c r="IA81" i="1"/>
  <c r="DB41" i="1"/>
  <c r="EO41" i="1"/>
  <c r="FG41" i="1"/>
  <c r="GB41" i="1"/>
  <c r="EL41" i="1"/>
  <c r="DK41" i="1"/>
  <c r="HF29" i="1"/>
  <c r="GZ41" i="1"/>
  <c r="FG39" i="1"/>
  <c r="GQ39" i="1"/>
  <c r="EC39" i="1"/>
  <c r="GH39" i="1"/>
  <c r="EL39" i="1"/>
  <c r="DQ39" i="1"/>
  <c r="FA35" i="1"/>
  <c r="EX35" i="1"/>
  <c r="EO35" i="1"/>
  <c r="FD35" i="1"/>
  <c r="GH35" i="1"/>
  <c r="GB35" i="1"/>
  <c r="HL41" i="1"/>
  <c r="HL35" i="1"/>
  <c r="GQ57" i="1"/>
  <c r="DH41" i="1"/>
  <c r="DW41" i="1"/>
  <c r="EI41" i="1"/>
  <c r="FM41" i="1"/>
  <c r="EX29" i="1"/>
  <c r="GZ39" i="1"/>
  <c r="GN39" i="1"/>
  <c r="GE39" i="1"/>
  <c r="FD39" i="1"/>
  <c r="FJ39" i="1"/>
  <c r="FS35" i="1"/>
  <c r="DK35" i="1"/>
  <c r="GN35" i="1"/>
  <c r="ER35" i="1"/>
  <c r="GQ35" i="1"/>
  <c r="DB35" i="1"/>
  <c r="HI35" i="1"/>
  <c r="HO41" i="1"/>
  <c r="HL39" i="1"/>
  <c r="HX35" i="1"/>
  <c r="HU81" i="1"/>
  <c r="EU57" i="1"/>
  <c r="EX41" i="1"/>
  <c r="FA41" i="1"/>
  <c r="FD41" i="1"/>
  <c r="GT41" i="1"/>
  <c r="FS41" i="1"/>
  <c r="ER41" i="1"/>
  <c r="DZ41" i="1"/>
  <c r="HI41" i="1"/>
  <c r="FS39" i="1"/>
  <c r="DZ39" i="1"/>
  <c r="GT39" i="1"/>
  <c r="ER39" i="1"/>
  <c r="EF39" i="1"/>
  <c r="HF35" i="1"/>
  <c r="GZ35" i="1"/>
  <c r="HC35" i="1"/>
  <c r="GK35" i="1"/>
  <c r="FP35" i="1"/>
  <c r="DW35" i="1"/>
  <c r="HU35" i="1"/>
  <c r="GN57" i="1"/>
  <c r="FD57" i="1"/>
  <c r="DH57" i="1"/>
  <c r="GK57" i="1"/>
  <c r="GH52" i="1"/>
  <c r="EI57" i="1"/>
  <c r="FS57" i="1"/>
  <c r="FD76" i="1"/>
  <c r="ID35" i="1"/>
  <c r="ID39" i="1"/>
  <c r="ER57" i="1"/>
  <c r="DQ57" i="1"/>
  <c r="IA35" i="1"/>
  <c r="IA34" i="1"/>
  <c r="IA39" i="1"/>
  <c r="FY57" i="1"/>
  <c r="FA57" i="1"/>
  <c r="HC57" i="1"/>
  <c r="IG8" i="1"/>
  <c r="FA52" i="1"/>
  <c r="HR52" i="1"/>
  <c r="HL57" i="1"/>
  <c r="GW57" i="1"/>
  <c r="GB57" i="1"/>
  <c r="ID92" i="1"/>
  <c r="IA89" i="1"/>
  <c r="GH29" i="1"/>
  <c r="DT29" i="1"/>
  <c r="DK76" i="1"/>
  <c r="GT29" i="1"/>
  <c r="DK29" i="1"/>
  <c r="DN76" i="1"/>
  <c r="EC76" i="1"/>
  <c r="DQ76" i="1"/>
  <c r="HC29" i="1"/>
  <c r="GK29" i="1"/>
  <c r="FV29" i="1"/>
  <c r="DN57" i="1"/>
  <c r="EC57" i="1"/>
  <c r="FJ57" i="1"/>
  <c r="HU57" i="1"/>
  <c r="HF76" i="1"/>
  <c r="HU52" i="1"/>
  <c r="DB29" i="1"/>
  <c r="HI29" i="1"/>
  <c r="DN29" i="1"/>
  <c r="FY29" i="1"/>
  <c r="HU29" i="1"/>
  <c r="DW57" i="1"/>
  <c r="DZ57" i="1"/>
  <c r="FG57" i="1"/>
  <c r="GH57" i="1"/>
  <c r="EF57" i="1"/>
  <c r="EX76" i="1"/>
  <c r="IA76" i="1"/>
  <c r="IA8" i="1"/>
  <c r="IA57" i="1"/>
  <c r="HX57" i="1"/>
  <c r="HO57" i="1"/>
  <c r="HF57" i="1"/>
  <c r="GZ57" i="1"/>
  <c r="DE57" i="1"/>
  <c r="EX57" i="1"/>
  <c r="IA24" i="1"/>
  <c r="GE52" i="1"/>
  <c r="FS52" i="1"/>
  <c r="GB52" i="1"/>
  <c r="ID52" i="1"/>
  <c r="EF52" i="1"/>
  <c r="DQ52" i="1"/>
  <c r="ID57" i="1"/>
  <c r="DK52" i="1"/>
  <c r="GZ52" i="1"/>
  <c r="DE52" i="1"/>
  <c r="FD52" i="1"/>
  <c r="HX52" i="1"/>
  <c r="FG52" i="1"/>
  <c r="GQ52" i="1"/>
  <c r="HF52" i="1"/>
  <c r="GN52" i="1"/>
  <c r="EC52" i="1"/>
  <c r="FM52" i="1"/>
  <c r="IA25" i="1"/>
  <c r="EO57" i="1"/>
  <c r="DB57" i="1"/>
  <c r="HR57" i="1"/>
  <c r="ID24" i="1"/>
  <c r="IA18" i="1"/>
  <c r="DT52" i="1"/>
  <c r="DH52" i="1"/>
  <c r="IA52" i="1"/>
  <c r="EO52" i="1"/>
  <c r="DW52" i="1"/>
  <c r="EI52" i="1"/>
  <c r="GE57" i="1"/>
  <c r="EL57" i="1"/>
  <c r="DT57" i="1"/>
  <c r="DK57" i="1"/>
  <c r="HI57" i="1"/>
  <c r="GT57" i="1"/>
  <c r="FV57" i="1"/>
  <c r="ID62" i="1"/>
  <c r="HL52" i="1"/>
  <c r="HO52" i="1"/>
  <c r="EX52" i="1"/>
  <c r="DZ52" i="1"/>
  <c r="HC52" i="1"/>
  <c r="ID41" i="1"/>
  <c r="ER52" i="1"/>
  <c r="ID89" i="1"/>
  <c r="GK52" i="1"/>
  <c r="GE29" i="1"/>
  <c r="FG29" i="1"/>
  <c r="DH29" i="1"/>
  <c r="EU29" i="1"/>
  <c r="FP29" i="1"/>
  <c r="DZ29" i="1"/>
  <c r="GN29" i="1"/>
  <c r="GN76" i="1"/>
  <c r="HR76" i="1"/>
  <c r="FM76" i="1"/>
  <c r="GQ76" i="1"/>
  <c r="GT76" i="1"/>
  <c r="GZ76" i="1"/>
  <c r="GK76" i="1"/>
  <c r="ID21" i="1"/>
  <c r="EF29" i="1"/>
  <c r="FM29" i="1"/>
  <c r="EI29" i="1"/>
  <c r="GZ29" i="1"/>
  <c r="EL29" i="1"/>
  <c r="EC29" i="1"/>
  <c r="HL29" i="1"/>
  <c r="GW76" i="1"/>
  <c r="EU76" i="1"/>
  <c r="HO76" i="1"/>
  <c r="HU76" i="1"/>
  <c r="EI76" i="1"/>
  <c r="FJ76" i="1"/>
  <c r="FV76" i="1"/>
  <c r="DW76" i="1"/>
  <c r="IA21" i="1"/>
  <c r="ID29" i="1"/>
  <c r="DT76" i="1"/>
  <c r="DZ76" i="1"/>
  <c r="ER76" i="1"/>
  <c r="DB76" i="1"/>
  <c r="FS76" i="1"/>
  <c r="IA29" i="1"/>
  <c r="DE76" i="1"/>
  <c r="DQ29" i="1"/>
  <c r="DE29" i="1"/>
  <c r="FA29" i="1"/>
  <c r="EO29" i="1"/>
  <c r="FD29" i="1"/>
  <c r="GW29" i="1"/>
  <c r="EL76" i="1"/>
  <c r="HI76" i="1"/>
  <c r="GE76" i="1"/>
  <c r="FG76" i="1"/>
  <c r="EF76" i="1"/>
  <c r="HC76" i="1"/>
  <c r="GH76" i="1"/>
  <c r="EO76" i="1"/>
  <c r="GQ29" i="1"/>
  <c r="ER29" i="1"/>
  <c r="FJ29" i="1"/>
  <c r="GB29" i="1"/>
  <c r="FS29" i="1"/>
  <c r="DW29" i="1"/>
  <c r="HR29" i="1"/>
  <c r="HX29" i="1"/>
  <c r="DH76" i="1"/>
  <c r="GB76" i="1"/>
  <c r="HX76" i="1"/>
  <c r="FY76" i="1"/>
  <c r="HL76" i="1"/>
  <c r="FP76" i="1"/>
  <c r="FA76" i="1"/>
  <c r="ID76" i="1"/>
  <c r="ID34" i="1"/>
  <c r="IA90" i="1"/>
  <c r="ID16" i="1"/>
  <c r="IA16" i="1"/>
  <c r="IA22" i="1"/>
  <c r="ID90" i="1"/>
  <c r="DT91" i="1"/>
  <c r="GB91" i="1"/>
  <c r="FG91" i="1"/>
  <c r="GH91" i="1"/>
  <c r="FD91" i="1"/>
  <c r="EO91" i="1"/>
  <c r="GZ91" i="1"/>
  <c r="HF91" i="1"/>
  <c r="HX91" i="1"/>
  <c r="ID22" i="1"/>
  <c r="GQ91" i="1"/>
  <c r="HR91" i="1"/>
  <c r="FM91" i="1"/>
  <c r="DH91" i="1"/>
  <c r="GW91" i="1"/>
  <c r="FS91" i="1"/>
  <c r="FY91" i="1"/>
  <c r="DQ91" i="1"/>
  <c r="GK91" i="1"/>
  <c r="HI91" i="1"/>
  <c r="ID91" i="1"/>
  <c r="EC91" i="1"/>
  <c r="EF91" i="1"/>
  <c r="GE91" i="1"/>
  <c r="EL91" i="1"/>
  <c r="FJ91" i="1"/>
  <c r="EU91" i="1"/>
  <c r="DW91" i="1"/>
  <c r="IA91" i="1"/>
  <c r="ER91" i="1"/>
  <c r="FP91" i="1"/>
  <c r="EX91" i="1"/>
  <c r="DZ91" i="1"/>
  <c r="DN91" i="1"/>
  <c r="FV91" i="1"/>
  <c r="DB91" i="1"/>
  <c r="HC91" i="1"/>
  <c r="ID25" i="1"/>
  <c r="FJ52" i="1"/>
  <c r="FV52" i="1"/>
  <c r="FY52" i="1"/>
  <c r="IA58" i="1"/>
  <c r="IA41" i="1"/>
  <c r="EU52" i="1"/>
  <c r="EL52" i="1"/>
  <c r="GT52" i="1"/>
  <c r="HI52" i="1"/>
  <c r="DB52" i="1"/>
  <c r="FP52" i="1"/>
  <c r="ID26" i="1"/>
  <c r="IA26" i="1"/>
  <c r="DH42" i="1"/>
  <c r="GW52" i="1"/>
  <c r="ID58" i="1"/>
  <c r="DN52" i="1"/>
  <c r="DW42" i="1"/>
  <c r="HR42" i="1"/>
  <c r="FS93" i="1"/>
  <c r="HC42" i="1"/>
  <c r="GN42" i="1"/>
  <c r="FS42" i="1"/>
  <c r="EC93" i="1"/>
  <c r="DB42" i="1"/>
  <c r="IA93" i="1"/>
  <c r="HU93" i="1"/>
  <c r="GB42" i="1"/>
  <c r="DH93" i="1"/>
  <c r="EC42" i="1"/>
  <c r="EU42" i="1"/>
  <c r="FP42" i="1"/>
  <c r="GT42" i="1"/>
  <c r="FA42" i="1"/>
  <c r="DZ93" i="1"/>
  <c r="FG42" i="1"/>
  <c r="FY42" i="1"/>
  <c r="GW42" i="1"/>
  <c r="EO42" i="1"/>
  <c r="DK42" i="1"/>
  <c r="HI42" i="1"/>
  <c r="DQ42" i="1"/>
  <c r="HX42" i="1"/>
  <c r="DT93" i="1"/>
  <c r="HF42" i="1"/>
  <c r="DT42" i="1"/>
  <c r="DZ42" i="1"/>
  <c r="GK42" i="1"/>
  <c r="FD42" i="1"/>
  <c r="GE42" i="1"/>
  <c r="HU42" i="1"/>
  <c r="ID42" i="1"/>
  <c r="ID10" i="1"/>
  <c r="ID23" i="1"/>
  <c r="ID33" i="1"/>
  <c r="HF93" i="1"/>
  <c r="GB93" i="1"/>
  <c r="DE93" i="1"/>
  <c r="GZ42" i="1"/>
  <c r="FV42" i="1"/>
  <c r="DN42" i="1"/>
  <c r="EX42" i="1"/>
  <c r="FJ42" i="1"/>
  <c r="FM42" i="1"/>
  <c r="GQ42" i="1"/>
  <c r="HX93" i="1"/>
  <c r="IA42" i="1"/>
  <c r="IA10" i="1"/>
  <c r="IA23" i="1"/>
  <c r="IA33" i="1"/>
  <c r="FG93" i="1"/>
  <c r="EL93" i="1"/>
  <c r="ER42" i="1"/>
  <c r="EF42" i="1"/>
  <c r="EL42" i="1"/>
  <c r="EI42" i="1"/>
  <c r="DE42" i="1"/>
  <c r="GH42" i="1"/>
  <c r="HL42" i="1"/>
  <c r="ID93" i="1"/>
  <c r="IA56" i="1"/>
  <c r="ID56" i="1"/>
  <c r="F59" i="2"/>
  <c r="IM59" i="1" s="1"/>
  <c r="IM38" i="1"/>
  <c r="FM37" i="1"/>
  <c r="FV37" i="1"/>
  <c r="EL37" i="1"/>
  <c r="DT37" i="1"/>
  <c r="DB37" i="1"/>
  <c r="GE37" i="1"/>
  <c r="HL37" i="1"/>
  <c r="IA37" i="1"/>
  <c r="ID37" i="1"/>
  <c r="HY5" i="1"/>
  <c r="HY99" i="1" s="1"/>
  <c r="IA80" i="1"/>
  <c r="ID80" i="1"/>
  <c r="IA63" i="1"/>
  <c r="ID63" i="1"/>
  <c r="IA47" i="1"/>
  <c r="ID47" i="1"/>
  <c r="IA20" i="1"/>
  <c r="ID20" i="1"/>
  <c r="IA84" i="1"/>
  <c r="ID84" i="1"/>
  <c r="IA46" i="1"/>
  <c r="ID46" i="1"/>
  <c r="IA67" i="1"/>
  <c r="ID67" i="1"/>
  <c r="IA68" i="1"/>
  <c r="ID68" i="1"/>
  <c r="IA69" i="1"/>
  <c r="ID69" i="1"/>
  <c r="IA83" i="1"/>
  <c r="ID83" i="1"/>
  <c r="IA78" i="1"/>
  <c r="ID78" i="1"/>
  <c r="HX99" i="1"/>
  <c r="DN83" i="1"/>
  <c r="HO78" i="1"/>
  <c r="DQ80" i="1"/>
  <c r="DB47" i="1"/>
  <c r="HR46" i="1"/>
  <c r="IC5" i="1"/>
  <c r="IC99" i="1" s="1"/>
  <c r="IB5" i="1"/>
  <c r="IB99" i="1" s="1"/>
  <c r="IA99" i="1"/>
  <c r="F73" i="2"/>
  <c r="IM73" i="1" s="1"/>
  <c r="FS78" i="1"/>
  <c r="HR61" i="1"/>
  <c r="HX61" i="1"/>
  <c r="HU61" i="1"/>
  <c r="HL61" i="1"/>
  <c r="DE46" i="1"/>
  <c r="DT46" i="1"/>
  <c r="DN46" i="1"/>
  <c r="DW46" i="1"/>
  <c r="FM46" i="1"/>
  <c r="EL46" i="1"/>
  <c r="GT46" i="1"/>
  <c r="FJ46" i="1"/>
  <c r="DB46" i="1"/>
  <c r="GB46" i="1"/>
  <c r="HC46" i="1"/>
  <c r="DK46" i="1"/>
  <c r="FY46" i="1"/>
  <c r="HL46" i="1"/>
  <c r="DQ46" i="1"/>
  <c r="GH46" i="1"/>
  <c r="FV46" i="1"/>
  <c r="HF46" i="1"/>
  <c r="FG46" i="1"/>
  <c r="FA46" i="1"/>
  <c r="FS46" i="1"/>
  <c r="HI46" i="1"/>
  <c r="EI46" i="1"/>
  <c r="GK46" i="1"/>
  <c r="EX46" i="1"/>
  <c r="EC46" i="1"/>
  <c r="ER46" i="1"/>
  <c r="HX46" i="1"/>
  <c r="DH46" i="1"/>
  <c r="FM78" i="1"/>
  <c r="GZ78" i="1"/>
  <c r="HL78" i="1"/>
  <c r="HU78" i="1"/>
  <c r="HX78" i="1"/>
  <c r="GN78" i="1"/>
  <c r="DW78" i="1"/>
  <c r="GB78" i="1"/>
  <c r="DT78" i="1"/>
  <c r="FV78" i="1"/>
  <c r="EF78" i="1"/>
  <c r="GK78" i="1"/>
  <c r="EU78" i="1"/>
  <c r="EO78" i="1"/>
  <c r="DK78" i="1"/>
  <c r="FG78" i="1"/>
  <c r="FA78" i="1"/>
  <c r="FJ78" i="1"/>
  <c r="EX78" i="1"/>
  <c r="DB78" i="1"/>
  <c r="EI78" i="1"/>
  <c r="DH78" i="1"/>
  <c r="GW78" i="1"/>
  <c r="FY78" i="1"/>
  <c r="GH78" i="1"/>
  <c r="DN78" i="1"/>
  <c r="FP78" i="1"/>
  <c r="EL78" i="1"/>
  <c r="DQ78" i="1"/>
  <c r="GN46" i="1"/>
  <c r="GZ46" i="1"/>
  <c r="GW46" i="1"/>
  <c r="EO46" i="1"/>
  <c r="GE46" i="1"/>
  <c r="FP46" i="1"/>
  <c r="FD78" i="1"/>
  <c r="GQ78" i="1"/>
  <c r="GE78" i="1"/>
  <c r="HC78" i="1"/>
  <c r="HI78" i="1"/>
  <c r="EC78" i="1"/>
  <c r="GQ46" i="1"/>
  <c r="FD46" i="1"/>
  <c r="EU46" i="1"/>
  <c r="HU46" i="1"/>
  <c r="EF46" i="1"/>
  <c r="HO46" i="1"/>
  <c r="DZ46" i="1"/>
  <c r="HF78" i="1"/>
  <c r="GT78" i="1"/>
  <c r="DE78" i="1"/>
  <c r="HR78" i="1"/>
  <c r="DZ78" i="1"/>
  <c r="ER78" i="1"/>
  <c r="FA80" i="1"/>
  <c r="HU80" i="1"/>
  <c r="DN80" i="1"/>
  <c r="FP80" i="1"/>
  <c r="FS80" i="1"/>
  <c r="GZ80" i="1"/>
  <c r="GK80" i="1"/>
  <c r="DW80" i="1"/>
  <c r="FY80" i="1"/>
  <c r="HO80" i="1"/>
  <c r="GT80" i="1"/>
  <c r="EO80" i="1"/>
  <c r="DE80" i="1"/>
  <c r="FV80" i="1"/>
  <c r="GE80" i="1"/>
  <c r="FG80" i="1"/>
  <c r="GB80" i="1"/>
  <c r="HC80" i="1"/>
  <c r="GQ80" i="1"/>
  <c r="DZ80" i="1"/>
  <c r="DH80" i="1"/>
  <c r="HL80" i="1"/>
  <c r="EU80" i="1"/>
  <c r="DK80" i="1"/>
  <c r="DT80" i="1"/>
  <c r="GH80" i="1"/>
  <c r="EX80" i="1"/>
  <c r="HR80" i="1"/>
  <c r="GW80" i="1"/>
  <c r="EL80" i="1"/>
  <c r="DB80" i="1"/>
  <c r="EI80" i="1"/>
  <c r="EF80" i="1"/>
  <c r="HX80" i="1"/>
  <c r="HI80" i="1"/>
  <c r="GN80" i="1"/>
  <c r="FM80" i="1"/>
  <c r="FD80" i="1"/>
  <c r="EC80" i="1"/>
  <c r="ER80" i="1"/>
  <c r="HF80" i="1"/>
  <c r="FJ80" i="1"/>
  <c r="F47" i="2"/>
  <c r="IM43" i="1" s="1"/>
  <c r="AK53" i="2"/>
  <c r="F48" i="2" s="1"/>
  <c r="IM44" i="1" s="1"/>
  <c r="AK54" i="2"/>
  <c r="IM45" i="1" s="1"/>
  <c r="HR62" i="1"/>
  <c r="HC47" i="1"/>
  <c r="HL47" i="1"/>
  <c r="EX47" i="1"/>
  <c r="HU47" i="1"/>
  <c r="EI47" i="1"/>
  <c r="HO47" i="1"/>
  <c r="EC47" i="1"/>
  <c r="GZ47" i="1"/>
  <c r="DE47" i="1"/>
  <c r="DH47" i="1"/>
  <c r="FP47" i="1"/>
  <c r="DZ47" i="1"/>
  <c r="FD47" i="1"/>
  <c r="EU47" i="1"/>
  <c r="GT47" i="1"/>
  <c r="DQ47" i="1"/>
  <c r="GH47" i="1"/>
  <c r="DT47" i="1"/>
  <c r="FM47" i="1"/>
  <c r="EO47" i="1"/>
  <c r="GB47" i="1"/>
  <c r="DW47" i="1"/>
  <c r="HF47" i="1"/>
  <c r="HI47" i="1"/>
  <c r="FJ47" i="1"/>
  <c r="FS47" i="1"/>
  <c r="GW47" i="1"/>
  <c r="GQ47" i="1"/>
  <c r="ER47" i="1"/>
  <c r="FV47" i="1"/>
  <c r="EF47" i="1"/>
  <c r="GE47" i="1"/>
  <c r="GN47" i="1"/>
  <c r="DK47" i="1"/>
  <c r="FA47" i="1"/>
  <c r="DN47" i="1"/>
  <c r="FG47" i="1"/>
  <c r="HX47" i="1"/>
  <c r="FY47" i="1"/>
  <c r="EL47" i="1"/>
  <c r="HR47" i="1"/>
  <c r="GK47" i="1"/>
  <c r="P63" i="2"/>
  <c r="HU69" i="1"/>
  <c r="HU86" i="1"/>
  <c r="HO54" i="1"/>
  <c r="HL54" i="1"/>
  <c r="EF54" i="1"/>
  <c r="HI54" i="1"/>
  <c r="HR54" i="1"/>
  <c r="GB54" i="1"/>
  <c r="FP54" i="1"/>
  <c r="DK54" i="1"/>
  <c r="DQ54" i="1"/>
  <c r="HU54" i="1"/>
  <c r="EO54" i="1"/>
  <c r="GN54" i="1"/>
  <c r="DE54" i="1"/>
  <c r="HX54" i="1"/>
  <c r="FG54" i="1"/>
  <c r="FD54" i="1"/>
  <c r="EX54" i="1"/>
  <c r="GQ54" i="1"/>
  <c r="HC54" i="1"/>
  <c r="GT54" i="1"/>
  <c r="GZ54" i="1"/>
  <c r="EI54" i="1"/>
  <c r="DN54" i="1"/>
  <c r="EU54" i="1"/>
  <c r="HF54" i="1"/>
  <c r="EL54" i="1"/>
  <c r="EC54" i="1"/>
  <c r="FY54" i="1"/>
  <c r="FM54" i="1"/>
  <c r="DB54" i="1"/>
  <c r="DW54" i="1"/>
  <c r="GK54" i="1"/>
  <c r="DH54" i="1"/>
  <c r="GH54" i="1"/>
  <c r="ER54" i="1"/>
  <c r="FJ54" i="1"/>
  <c r="FA54" i="1"/>
  <c r="DZ54" i="1"/>
  <c r="DT54" i="1"/>
  <c r="FV54" i="1"/>
  <c r="GE54" i="1"/>
  <c r="FS54" i="1"/>
  <c r="HX63" i="1"/>
  <c r="DT63" i="1"/>
  <c r="FG63" i="1"/>
  <c r="GB63" i="1"/>
  <c r="GN63" i="1"/>
  <c r="ER63" i="1"/>
  <c r="DN63" i="1"/>
  <c r="GH63" i="1"/>
  <c r="EL63" i="1"/>
  <c r="FP63" i="1"/>
  <c r="DQ63" i="1"/>
  <c r="EU63" i="1"/>
  <c r="FA63" i="1"/>
  <c r="GT63" i="1"/>
  <c r="DB63" i="1"/>
  <c r="EC63" i="1"/>
  <c r="FD63" i="1"/>
  <c r="DZ63" i="1"/>
  <c r="GW63" i="1"/>
  <c r="HU63" i="1"/>
  <c r="HF63" i="1"/>
  <c r="HC63" i="1"/>
  <c r="FM63" i="1"/>
  <c r="EI63" i="1"/>
  <c r="GE63" i="1"/>
  <c r="DK63" i="1"/>
  <c r="GQ63" i="1"/>
  <c r="EF63" i="1"/>
  <c r="EX63" i="1"/>
  <c r="HL63" i="1"/>
  <c r="FV63" i="1"/>
  <c r="FY63" i="1"/>
  <c r="GK63" i="1"/>
  <c r="FS63" i="1"/>
  <c r="GT20" i="1"/>
  <c r="HO20" i="1"/>
  <c r="HF20" i="1"/>
  <c r="DK20" i="1"/>
  <c r="GH20" i="1"/>
  <c r="FM20" i="1"/>
  <c r="DB20" i="1"/>
  <c r="FJ20" i="1"/>
  <c r="EU20" i="1"/>
  <c r="EX20" i="1"/>
  <c r="EI20" i="1"/>
  <c r="EF20" i="1"/>
  <c r="DT20" i="1"/>
  <c r="DH20" i="1"/>
  <c r="DE20" i="1"/>
  <c r="ER20" i="1"/>
  <c r="FD20" i="1"/>
  <c r="EL20" i="1"/>
  <c r="FS20" i="1"/>
  <c r="EO20" i="1"/>
  <c r="FP20" i="1"/>
  <c r="GZ20" i="1"/>
  <c r="GN20" i="1"/>
  <c r="GB20" i="1"/>
  <c r="DZ20" i="1"/>
  <c r="GQ20" i="1"/>
  <c r="GW20" i="1"/>
  <c r="EC20" i="1"/>
  <c r="HC20" i="1"/>
  <c r="FA20" i="1"/>
  <c r="DN20" i="1"/>
  <c r="DW20" i="1"/>
  <c r="FG20" i="1"/>
  <c r="GK20" i="1"/>
  <c r="GZ63" i="1"/>
  <c r="FJ63" i="1"/>
  <c r="EO63" i="1"/>
  <c r="DH63" i="1"/>
  <c r="DW63" i="1"/>
  <c r="DE63" i="1"/>
  <c r="FV20" i="1"/>
  <c r="FY20" i="1"/>
  <c r="DQ20" i="1"/>
  <c r="GE20" i="1"/>
  <c r="HI63" i="1"/>
  <c r="HR63" i="1"/>
  <c r="AK77" i="2"/>
  <c r="F72" i="2" s="1"/>
  <c r="IM72" i="1" s="1"/>
  <c r="AK75" i="2"/>
  <c r="FJ84" i="1"/>
  <c r="GK84" i="1"/>
  <c r="GT84" i="1"/>
  <c r="HL84" i="1"/>
  <c r="GN84" i="1"/>
  <c r="FA84" i="1"/>
  <c r="DW84" i="1"/>
  <c r="DB84" i="1"/>
  <c r="EL84" i="1"/>
  <c r="GE84" i="1"/>
  <c r="GQ84" i="1"/>
  <c r="FD84" i="1"/>
  <c r="GB84" i="1"/>
  <c r="EX84" i="1"/>
  <c r="HC84" i="1"/>
  <c r="FS84" i="1"/>
  <c r="HX84" i="1"/>
  <c r="GZ84" i="1"/>
  <c r="GW84" i="1"/>
  <c r="DQ84" i="1"/>
  <c r="DZ84" i="1"/>
  <c r="FG84" i="1"/>
  <c r="FV84" i="1"/>
  <c r="EU84" i="1"/>
  <c r="ER84" i="1"/>
  <c r="FY84" i="1"/>
  <c r="HI84" i="1"/>
  <c r="DH84" i="1"/>
  <c r="EO84" i="1"/>
  <c r="FM84" i="1"/>
  <c r="DT84" i="1"/>
  <c r="EI84" i="1"/>
  <c r="EC84" i="1"/>
  <c r="GH84" i="1"/>
  <c r="HR84" i="1"/>
  <c r="DN84" i="1"/>
  <c r="EF84" i="1"/>
  <c r="HU84" i="1"/>
  <c r="HF84" i="1"/>
  <c r="DE84" i="1"/>
  <c r="HO84" i="1"/>
  <c r="DK84" i="1"/>
  <c r="FP84" i="1"/>
  <c r="DZ71" i="1"/>
  <c r="FV71" i="1"/>
  <c r="HL83" i="1"/>
  <c r="EO83" i="1"/>
  <c r="DW83" i="1"/>
  <c r="HR83" i="1"/>
  <c r="HO83" i="1"/>
  <c r="GQ83" i="1"/>
  <c r="GN83" i="1"/>
  <c r="GK83" i="1"/>
  <c r="ER83" i="1"/>
  <c r="FS83" i="1"/>
  <c r="EL83" i="1"/>
  <c r="EU83" i="1"/>
  <c r="GE83" i="1"/>
  <c r="EI83" i="1"/>
  <c r="HF83" i="1"/>
  <c r="DH83" i="1"/>
  <c r="HU83" i="1"/>
  <c r="FY83" i="1"/>
  <c r="EC83" i="1"/>
  <c r="GZ83" i="1"/>
  <c r="DB83" i="1"/>
  <c r="HI83" i="1"/>
  <c r="FM83" i="1"/>
  <c r="DQ83" i="1"/>
  <c r="GH83" i="1"/>
  <c r="HC83" i="1"/>
  <c r="FG83" i="1"/>
  <c r="DK83" i="1"/>
  <c r="FV83" i="1"/>
  <c r="GW83" i="1"/>
  <c r="FA83" i="1"/>
  <c r="HX83" i="1"/>
  <c r="FP83" i="1"/>
  <c r="GZ71" i="1"/>
  <c r="HF71" i="1"/>
  <c r="FD83" i="1"/>
  <c r="GB83" i="1"/>
  <c r="EF83" i="1"/>
  <c r="DZ83" i="1"/>
  <c r="DE83" i="1"/>
  <c r="GT83" i="1"/>
  <c r="FJ83" i="1"/>
  <c r="DT83" i="1"/>
  <c r="EX83" i="1"/>
  <c r="EF71" i="1"/>
  <c r="HX81" i="1"/>
  <c r="GQ81" i="1"/>
  <c r="GN81" i="1"/>
  <c r="DW81" i="1"/>
  <c r="EF81" i="1"/>
  <c r="GH81" i="1"/>
  <c r="FJ81" i="1"/>
  <c r="GK81" i="1"/>
  <c r="FG81" i="1"/>
  <c r="DT81" i="1"/>
  <c r="DZ81" i="1"/>
  <c r="HF81" i="1"/>
  <c r="HI81" i="1"/>
  <c r="EX81" i="1"/>
  <c r="GW81" i="1"/>
  <c r="DQ81" i="1"/>
  <c r="GE81" i="1"/>
  <c r="ER81" i="1"/>
  <c r="FA81" i="1"/>
  <c r="HC81" i="1"/>
  <c r="GZ81" i="1"/>
  <c r="HL81" i="1"/>
  <c r="FM81" i="1"/>
  <c r="GB81" i="1"/>
  <c r="FV81" i="1"/>
  <c r="FP81" i="1"/>
  <c r="EO81" i="1"/>
  <c r="DB81" i="1"/>
  <c r="EL81" i="1"/>
  <c r="FY81" i="1"/>
  <c r="FS81" i="1"/>
  <c r="GT81" i="1"/>
  <c r="EI81" i="1"/>
  <c r="EC81" i="1"/>
  <c r="EU81" i="1"/>
  <c r="DE81" i="1"/>
  <c r="FD81" i="1"/>
  <c r="DH81" i="1"/>
  <c r="DN81" i="1"/>
  <c r="DK81" i="1"/>
  <c r="HO81" i="1"/>
  <c r="HR81" i="1"/>
  <c r="FG71" i="1"/>
  <c r="HU20" i="1"/>
  <c r="HR30" i="1"/>
  <c r="EX49" i="1"/>
  <c r="GT49" i="1"/>
  <c r="GQ49" i="1"/>
  <c r="DT49" i="1"/>
  <c r="FS49" i="1"/>
  <c r="EU49" i="1"/>
  <c r="FP30" i="1"/>
  <c r="DW30" i="1"/>
  <c r="GZ86" i="1"/>
  <c r="FJ30" i="1"/>
  <c r="EI30" i="1"/>
  <c r="DE30" i="1"/>
  <c r="EX93" i="1"/>
  <c r="EU93" i="1"/>
  <c r="GK93" i="1"/>
  <c r="GW71" i="1"/>
  <c r="EU71" i="1"/>
  <c r="GK71" i="1"/>
  <c r="FD71" i="1"/>
  <c r="EC71" i="1"/>
  <c r="EF30" i="1"/>
  <c r="DW93" i="1"/>
  <c r="DE71" i="1"/>
  <c r="GZ37" i="1"/>
  <c r="GW93" i="1"/>
  <c r="HF37" i="1"/>
  <c r="DZ37" i="1"/>
  <c r="DQ37" i="1"/>
  <c r="EO37" i="1"/>
  <c r="DK37" i="1"/>
  <c r="FA37" i="1"/>
  <c r="HL20" i="1"/>
  <c r="HR37" i="1"/>
  <c r="HX30" i="1"/>
  <c r="FV49" i="1"/>
  <c r="DN49" i="1"/>
  <c r="DQ49" i="1"/>
  <c r="FG49" i="1"/>
  <c r="EO49" i="1"/>
  <c r="HR28" i="1"/>
  <c r="HL28" i="1"/>
  <c r="HU28" i="1"/>
  <c r="HX28" i="1"/>
  <c r="EX30" i="1"/>
  <c r="FA93" i="1"/>
  <c r="GE93" i="1"/>
  <c r="FY71" i="1"/>
  <c r="GQ71" i="1"/>
  <c r="FA71" i="1"/>
  <c r="EL71" i="1"/>
  <c r="HI71" i="1"/>
  <c r="GT71" i="1"/>
  <c r="FJ71" i="1"/>
  <c r="GN93" i="1"/>
  <c r="GH93" i="1"/>
  <c r="DE37" i="1"/>
  <c r="FY37" i="1"/>
  <c r="EC37" i="1"/>
  <c r="FD37" i="1"/>
  <c r="FG37" i="1"/>
  <c r="EX37" i="1"/>
  <c r="GW37" i="1"/>
  <c r="HF86" i="1"/>
  <c r="HI93" i="1"/>
  <c r="HL30" i="1"/>
  <c r="GW95" i="1"/>
  <c r="EF95" i="1"/>
  <c r="EL95" i="1"/>
  <c r="EC95" i="1"/>
  <c r="FY95" i="1"/>
  <c r="DN95" i="1"/>
  <c r="EO95" i="1"/>
  <c r="FD95" i="1"/>
  <c r="FP95" i="1"/>
  <c r="GH95" i="1"/>
  <c r="FA95" i="1"/>
  <c r="GZ95" i="1"/>
  <c r="EU95" i="1"/>
  <c r="DZ95" i="1"/>
  <c r="HC95" i="1"/>
  <c r="HI95" i="1"/>
  <c r="FS95" i="1"/>
  <c r="HO95" i="1"/>
  <c r="ER95" i="1"/>
  <c r="GT95" i="1"/>
  <c r="EI95" i="1"/>
  <c r="GE95" i="1"/>
  <c r="FJ95" i="1"/>
  <c r="HR95" i="1"/>
  <c r="DK95" i="1"/>
  <c r="FM95" i="1"/>
  <c r="DB95" i="1"/>
  <c r="EX95" i="1"/>
  <c r="GQ95" i="1"/>
  <c r="FV95" i="1"/>
  <c r="DE95" i="1"/>
  <c r="FG95" i="1"/>
  <c r="GK95" i="1"/>
  <c r="DW95" i="1"/>
  <c r="HF95" i="1"/>
  <c r="HL95" i="1"/>
  <c r="DT95" i="1"/>
  <c r="DH95" i="1"/>
  <c r="GN95" i="1"/>
  <c r="GB95" i="1"/>
  <c r="DQ95" i="1"/>
  <c r="HU95" i="1"/>
  <c r="HX95" i="1"/>
  <c r="HR71" i="1"/>
  <c r="HU30" i="1"/>
  <c r="EC49" i="1"/>
  <c r="DB49" i="1"/>
  <c r="GW49" i="1"/>
  <c r="ER49" i="1"/>
  <c r="FD30" i="1"/>
  <c r="EC30" i="1"/>
  <c r="HC30" i="1"/>
  <c r="GN30" i="1"/>
  <c r="FP93" i="1"/>
  <c r="ER93" i="1"/>
  <c r="EO93" i="1"/>
  <c r="DN93" i="1"/>
  <c r="GH71" i="1"/>
  <c r="DT71" i="1"/>
  <c r="ER71" i="1"/>
  <c r="DW71" i="1"/>
  <c r="FM71" i="1"/>
  <c r="FG30" i="1"/>
  <c r="DB30" i="1"/>
  <c r="ER37" i="1"/>
  <c r="EU37" i="1"/>
  <c r="FJ37" i="1"/>
  <c r="GH37" i="1"/>
  <c r="EF37" i="1"/>
  <c r="GN37" i="1"/>
  <c r="HI37" i="1"/>
  <c r="HL71" i="1"/>
  <c r="HL93" i="1"/>
  <c r="HR20" i="1"/>
  <c r="HR93" i="1"/>
  <c r="HX37" i="1"/>
  <c r="HU71" i="1"/>
  <c r="HX20" i="1"/>
  <c r="HO49" i="1"/>
  <c r="HU49" i="1"/>
  <c r="HX49" i="1"/>
  <c r="HR49" i="1"/>
  <c r="HL49" i="1"/>
  <c r="GZ49" i="1"/>
  <c r="HF49" i="1"/>
  <c r="HI49" i="1"/>
  <c r="HC49" i="1"/>
  <c r="FP49" i="1"/>
  <c r="EI49" i="1"/>
  <c r="FY49" i="1"/>
  <c r="FA49" i="1"/>
  <c r="EF49" i="1"/>
  <c r="EL49" i="1"/>
  <c r="FV30" i="1"/>
  <c r="FA30" i="1"/>
  <c r="DK30" i="1"/>
  <c r="HL55" i="1"/>
  <c r="HU55" i="1"/>
  <c r="HR55" i="1"/>
  <c r="HX55" i="1"/>
  <c r="HI55" i="1"/>
  <c r="DW55" i="1"/>
  <c r="FV55" i="1"/>
  <c r="EC55" i="1"/>
  <c r="FY55" i="1"/>
  <c r="FP55" i="1"/>
  <c r="FM55" i="1"/>
  <c r="HC55" i="1"/>
  <c r="GE55" i="1"/>
  <c r="EL55" i="1"/>
  <c r="GT55" i="1"/>
  <c r="EF55" i="1"/>
  <c r="EX55" i="1"/>
  <c r="EI55" i="1"/>
  <c r="DK55" i="1"/>
  <c r="HF55" i="1"/>
  <c r="GB55" i="1"/>
  <c r="GH55" i="1"/>
  <c r="FA55" i="1"/>
  <c r="EO55" i="1"/>
  <c r="FJ55" i="1"/>
  <c r="GN55" i="1"/>
  <c r="FD55" i="1"/>
  <c r="GZ55" i="1"/>
  <c r="ER55" i="1"/>
  <c r="DT55" i="1"/>
  <c r="DB55" i="1"/>
  <c r="EU55" i="1"/>
  <c r="DZ55" i="1"/>
  <c r="GW55" i="1"/>
  <c r="DN55" i="1"/>
  <c r="FS55" i="1"/>
  <c r="GK55" i="1"/>
  <c r="DE55" i="1"/>
  <c r="GQ55" i="1"/>
  <c r="FG55" i="1"/>
  <c r="DQ55" i="1"/>
  <c r="DH55" i="1"/>
  <c r="FY30" i="1"/>
  <c r="EU30" i="1"/>
  <c r="HX27" i="1"/>
  <c r="HR27" i="1"/>
  <c r="HU27" i="1"/>
  <c r="HL27" i="1"/>
  <c r="EI93" i="1"/>
  <c r="FJ93" i="1"/>
  <c r="DK93" i="1"/>
  <c r="GT93" i="1"/>
  <c r="DN71" i="1"/>
  <c r="FP71" i="1"/>
  <c r="DB71" i="1"/>
  <c r="GN71" i="1"/>
  <c r="DQ71" i="1"/>
  <c r="DH71" i="1"/>
  <c r="FM30" i="1"/>
  <c r="FM93" i="1"/>
  <c r="HC37" i="1"/>
  <c r="GQ37" i="1"/>
  <c r="DW37" i="1"/>
  <c r="GB37" i="1"/>
  <c r="FS37" i="1"/>
  <c r="FP37" i="1"/>
  <c r="DH37" i="1"/>
  <c r="EI71" i="1"/>
  <c r="HI20" i="1"/>
  <c r="EL30" i="1"/>
  <c r="HL86" i="1"/>
  <c r="HU37" i="1"/>
  <c r="HX71" i="1"/>
  <c r="HI28" i="1"/>
  <c r="FM49" i="1"/>
  <c r="FJ49" i="1"/>
  <c r="GN49" i="1"/>
  <c r="FD49" i="1"/>
  <c r="DZ49" i="1"/>
  <c r="DW49" i="1"/>
  <c r="GB30" i="1"/>
  <c r="HC86" i="1"/>
  <c r="FS30" i="1"/>
  <c r="GZ93" i="1"/>
  <c r="DQ93" i="1"/>
  <c r="FD93" i="1"/>
  <c r="DB93" i="1"/>
  <c r="BA93" i="1" s="1"/>
  <c r="FY93" i="1"/>
  <c r="HC93" i="1"/>
  <c r="HC71" i="1"/>
  <c r="EO71" i="1"/>
  <c r="DK71" i="1"/>
  <c r="EX71" i="1"/>
  <c r="FS71" i="1"/>
  <c r="GB71" i="1"/>
  <c r="GZ30" i="1"/>
  <c r="DQ30" i="1"/>
  <c r="GQ93" i="1"/>
  <c r="FV93" i="1"/>
  <c r="EF93" i="1"/>
  <c r="DN37" i="1"/>
  <c r="GT37" i="1"/>
  <c r="EI37" i="1"/>
  <c r="GK37" i="1"/>
  <c r="HO86" i="1"/>
  <c r="HO55" i="1"/>
  <c r="HI27" i="1"/>
  <c r="HU17" i="1"/>
  <c r="HX17" i="1"/>
  <c r="HU13" i="1"/>
  <c r="HX13" i="1"/>
  <c r="HU25" i="1"/>
  <c r="HX25" i="1"/>
  <c r="HU33" i="1"/>
  <c r="HX33" i="1"/>
  <c r="HU34" i="1"/>
  <c r="HX34" i="1"/>
  <c r="HU24" i="1"/>
  <c r="HX24" i="1"/>
  <c r="HU10" i="1"/>
  <c r="HX10" i="1"/>
  <c r="HU56" i="1"/>
  <c r="HX56" i="1"/>
  <c r="HU22" i="1"/>
  <c r="HX22" i="1"/>
  <c r="HU21" i="1"/>
  <c r="HX21" i="1"/>
  <c r="HU12" i="1"/>
  <c r="HX12" i="1"/>
  <c r="HU19" i="1"/>
  <c r="HX19" i="1"/>
  <c r="HU15" i="1"/>
  <c r="HX15" i="1"/>
  <c r="HU8" i="1"/>
  <c r="HX8" i="1"/>
  <c r="HU23" i="1"/>
  <c r="HX23" i="1"/>
  <c r="HU14" i="1"/>
  <c r="HX14" i="1"/>
  <c r="HU58" i="1"/>
  <c r="HX58" i="1"/>
  <c r="HU11" i="1"/>
  <c r="HX11" i="1"/>
  <c r="HU90" i="1"/>
  <c r="HX90" i="1"/>
  <c r="HU16" i="1"/>
  <c r="HX16" i="1"/>
  <c r="HU26" i="1"/>
  <c r="HX26" i="1"/>
  <c r="HU18" i="1"/>
  <c r="HX18" i="1"/>
  <c r="HR14" i="1"/>
  <c r="HR90" i="1"/>
  <c r="HR58" i="1"/>
  <c r="HR11" i="1"/>
  <c r="HR24" i="1"/>
  <c r="HR21" i="1"/>
  <c r="HR17" i="1"/>
  <c r="HR10" i="1"/>
  <c r="HR15" i="1"/>
  <c r="HR13" i="1"/>
  <c r="HR18" i="1"/>
  <c r="HR25" i="1"/>
  <c r="HR33" i="1"/>
  <c r="HR34" i="1"/>
  <c r="HR8" i="1"/>
  <c r="HR23" i="1"/>
  <c r="HR16" i="1"/>
  <c r="HR56" i="1"/>
  <c r="HR22" i="1"/>
  <c r="HR26" i="1"/>
  <c r="HR12" i="1"/>
  <c r="HR19" i="1"/>
  <c r="HL11" i="1"/>
  <c r="HL26" i="1"/>
  <c r="HL24" i="1"/>
  <c r="HL10" i="1"/>
  <c r="HL18" i="1"/>
  <c r="HL25" i="1"/>
  <c r="HL33" i="1"/>
  <c r="HL8" i="1"/>
  <c r="HL23" i="1"/>
  <c r="HL56" i="1"/>
  <c r="HL34" i="1"/>
  <c r="HL12" i="1"/>
  <c r="HO60" i="1"/>
  <c r="HO61" i="1"/>
  <c r="HL14" i="1"/>
  <c r="HO14" i="1"/>
  <c r="HL19" i="1"/>
  <c r="HO19" i="1"/>
  <c r="HO35" i="1"/>
  <c r="HO9" i="1"/>
  <c r="HO28" i="1"/>
  <c r="HO29" i="1"/>
  <c r="HO90" i="1"/>
  <c r="HL90" i="1"/>
  <c r="HL16" i="1"/>
  <c r="HO16" i="1"/>
  <c r="HO58" i="1"/>
  <c r="HL58" i="1"/>
  <c r="HO39" i="1"/>
  <c r="HO30" i="1"/>
  <c r="HO32" i="1"/>
  <c r="HO31" i="1"/>
  <c r="HO64" i="1"/>
  <c r="HL21" i="1"/>
  <c r="HO21" i="1"/>
  <c r="HL17" i="1"/>
  <c r="HO17" i="1"/>
  <c r="HL15" i="1"/>
  <c r="HO15" i="1"/>
  <c r="HL13" i="1"/>
  <c r="HO13" i="1"/>
  <c r="HO71" i="1"/>
  <c r="HO27" i="1"/>
  <c r="HO66" i="1"/>
  <c r="HO93" i="1"/>
  <c r="HO91" i="1"/>
  <c r="HO37" i="1"/>
  <c r="HO63" i="1"/>
  <c r="HO89" i="1"/>
  <c r="HL22" i="1"/>
  <c r="HO22" i="1"/>
  <c r="HO42" i="1"/>
  <c r="HO6" i="1"/>
  <c r="HI12" i="1"/>
  <c r="HI22" i="1"/>
  <c r="HI8" i="1"/>
  <c r="DH23" i="1"/>
  <c r="FM14" i="1"/>
  <c r="EO19" i="1"/>
  <c r="HI11" i="1"/>
  <c r="HI90" i="1"/>
  <c r="HI16" i="1"/>
  <c r="HI26" i="1"/>
  <c r="HI58" i="1"/>
  <c r="HI24" i="1"/>
  <c r="HI21" i="1"/>
  <c r="HI17" i="1"/>
  <c r="HI10" i="1"/>
  <c r="HI15" i="1"/>
  <c r="HI13" i="1"/>
  <c r="HI18" i="1"/>
  <c r="ER25" i="1"/>
  <c r="HI33" i="1"/>
  <c r="HI56" i="1"/>
  <c r="HI34" i="1"/>
  <c r="EI34" i="1"/>
  <c r="GW34" i="1"/>
  <c r="GQ34" i="1"/>
  <c r="FJ34" i="1"/>
  <c r="HC34" i="1"/>
  <c r="FA17" i="1"/>
  <c r="EC18" i="1"/>
  <c r="FV18" i="1"/>
  <c r="GT24" i="1"/>
  <c r="GH10" i="1"/>
  <c r="GT10" i="1"/>
  <c r="GK10" i="1"/>
  <c r="DT24" i="1"/>
  <c r="FP13" i="1"/>
  <c r="FS21" i="1"/>
  <c r="GE13" i="1"/>
  <c r="GK33" i="1"/>
  <c r="ER33" i="1"/>
  <c r="EU33" i="1"/>
  <c r="DT34" i="1"/>
  <c r="FS17" i="1"/>
  <c r="FP33" i="1"/>
  <c r="FS24" i="1"/>
  <c r="GH15" i="1"/>
  <c r="DK17" i="1"/>
  <c r="GQ33" i="1"/>
  <c r="DZ24" i="1"/>
  <c r="FA15" i="1"/>
  <c r="DW56" i="1"/>
  <c r="EU56" i="1"/>
  <c r="GQ56" i="1"/>
  <c r="GT56" i="1"/>
  <c r="DH21" i="1"/>
  <c r="FG15" i="1"/>
  <c r="ER8" i="1"/>
  <c r="EL24" i="1"/>
  <c r="EU18" i="1"/>
  <c r="GK21" i="1"/>
  <c r="FP15" i="1"/>
  <c r="HF10" i="1"/>
  <c r="HF24" i="1"/>
  <c r="FG18" i="1"/>
  <c r="EL21" i="1"/>
  <c r="EC10" i="1"/>
  <c r="GZ18" i="1"/>
  <c r="FP10" i="1"/>
  <c r="HC24" i="1"/>
  <c r="DN56" i="1"/>
  <c r="FV13" i="1"/>
  <c r="EU17" i="1"/>
  <c r="EX17" i="1"/>
  <c r="DN24" i="1"/>
  <c r="DZ18" i="1"/>
  <c r="GQ18" i="1"/>
  <c r="GN24" i="1"/>
  <c r="DK21" i="1"/>
  <c r="EC21" i="1"/>
  <c r="DH15" i="1"/>
  <c r="GB15" i="1"/>
  <c r="ER10" i="1"/>
  <c r="DB13" i="1"/>
  <c r="EI13" i="1"/>
  <c r="FD17" i="1"/>
  <c r="EL17" i="1"/>
  <c r="DH24" i="1"/>
  <c r="GT16" i="1"/>
  <c r="FA18" i="1"/>
  <c r="GE24" i="1"/>
  <c r="EF21" i="1"/>
  <c r="DQ21" i="1"/>
  <c r="GB13" i="1"/>
  <c r="EL15" i="1"/>
  <c r="FV15" i="1"/>
  <c r="DH10" i="1"/>
  <c r="GZ15" i="1"/>
  <c r="GQ13" i="1"/>
  <c r="FS13" i="1"/>
  <c r="FV17" i="1"/>
  <c r="GN17" i="1"/>
  <c r="FM24" i="1"/>
  <c r="EI18" i="1"/>
  <c r="EX18" i="1"/>
  <c r="FD24" i="1"/>
  <c r="ER21" i="1"/>
  <c r="DN21" i="1"/>
  <c r="GN13" i="1"/>
  <c r="DK15" i="1"/>
  <c r="FD15" i="1"/>
  <c r="EX10" i="1"/>
  <c r="DT15" i="1"/>
  <c r="DB10" i="1"/>
  <c r="GT90" i="1"/>
  <c r="GK13" i="1"/>
  <c r="FM10" i="1"/>
  <c r="GK17" i="1"/>
  <c r="ER17" i="1"/>
  <c r="GK18" i="1"/>
  <c r="GN18" i="1"/>
  <c r="EC24" i="1"/>
  <c r="FV21" i="1"/>
  <c r="GN21" i="1"/>
  <c r="EF15" i="1"/>
  <c r="DB15" i="1"/>
  <c r="DK10" i="1"/>
  <c r="HC18" i="1"/>
  <c r="GZ21" i="1"/>
  <c r="GE10" i="1"/>
  <c r="DH13" i="1"/>
  <c r="DK13" i="1"/>
  <c r="DE13" i="1"/>
  <c r="DW13" i="1"/>
  <c r="DW10" i="1"/>
  <c r="DH17" i="1"/>
  <c r="DN17" i="1"/>
  <c r="FY17" i="1"/>
  <c r="DZ17" i="1"/>
  <c r="GT17" i="1"/>
  <c r="EC17" i="1"/>
  <c r="GB24" i="1"/>
  <c r="FG24" i="1"/>
  <c r="GT18" i="1"/>
  <c r="DN18" i="1"/>
  <c r="DW18" i="1"/>
  <c r="DE18" i="1"/>
  <c r="DQ18" i="1"/>
  <c r="FD18" i="1"/>
  <c r="DE24" i="1"/>
  <c r="EO24" i="1"/>
  <c r="EF24" i="1"/>
  <c r="DZ21" i="1"/>
  <c r="EU21" i="1"/>
  <c r="FD21" i="1"/>
  <c r="DT21" i="1"/>
  <c r="FM21" i="1"/>
  <c r="GH21" i="1"/>
  <c r="FG13" i="1"/>
  <c r="EO15" i="1"/>
  <c r="GK15" i="1"/>
  <c r="DN15" i="1"/>
  <c r="FY15" i="1"/>
  <c r="ER15" i="1"/>
  <c r="EI10" i="1"/>
  <c r="DN10" i="1"/>
  <c r="GW10" i="1"/>
  <c r="EF10" i="1"/>
  <c r="GZ13" i="1"/>
  <c r="HF18" i="1"/>
  <c r="HF21" i="1"/>
  <c r="GZ24" i="1"/>
  <c r="GN10" i="1"/>
  <c r="EU13" i="1"/>
  <c r="EF13" i="1"/>
  <c r="GT13" i="1"/>
  <c r="EC13" i="1"/>
  <c r="GQ10" i="1"/>
  <c r="EF17" i="1"/>
  <c r="EI17" i="1"/>
  <c r="GQ17" i="1"/>
  <c r="GH17" i="1"/>
  <c r="DE17" i="1"/>
  <c r="FP17" i="1"/>
  <c r="DQ24" i="1"/>
  <c r="FJ24" i="1"/>
  <c r="DK24" i="1"/>
  <c r="DT18" i="1"/>
  <c r="GW18" i="1"/>
  <c r="FS18" i="1"/>
  <c r="GB18" i="1"/>
  <c r="DB18" i="1"/>
  <c r="FY18" i="1"/>
  <c r="FY24" i="1"/>
  <c r="FV24" i="1"/>
  <c r="EI24" i="1"/>
  <c r="DW21" i="1"/>
  <c r="FY21" i="1"/>
  <c r="GW21" i="1"/>
  <c r="EX21" i="1"/>
  <c r="GE21" i="1"/>
  <c r="FJ13" i="1"/>
  <c r="FM15" i="1"/>
  <c r="DW15" i="1"/>
  <c r="EU15" i="1"/>
  <c r="GE15" i="1"/>
  <c r="FJ15" i="1"/>
  <c r="DE10" i="1"/>
  <c r="EL10" i="1"/>
  <c r="FD10" i="1"/>
  <c r="GZ17" i="1"/>
  <c r="HF13" i="1"/>
  <c r="HC21" i="1"/>
  <c r="FV10" i="1"/>
  <c r="GW13" i="1"/>
  <c r="DN13" i="1"/>
  <c r="EX13" i="1"/>
  <c r="DQ13" i="1"/>
  <c r="FY13" i="1"/>
  <c r="FG10" i="1"/>
  <c r="GB17" i="1"/>
  <c r="GE17" i="1"/>
  <c r="GW17" i="1"/>
  <c r="DB17" i="1"/>
  <c r="DW17" i="1"/>
  <c r="DQ17" i="1"/>
  <c r="DW24" i="1"/>
  <c r="ER24" i="1"/>
  <c r="EF18" i="1"/>
  <c r="DK18" i="1"/>
  <c r="GE18" i="1"/>
  <c r="ER18" i="1"/>
  <c r="FM18" i="1"/>
  <c r="EL18" i="1"/>
  <c r="DB24" i="1"/>
  <c r="GH24" i="1"/>
  <c r="GQ24" i="1"/>
  <c r="GK24" i="1"/>
  <c r="GT21" i="1"/>
  <c r="DE21" i="1"/>
  <c r="GQ21" i="1"/>
  <c r="FP21" i="1"/>
  <c r="FG21" i="1"/>
  <c r="FD13" i="1"/>
  <c r="EL13" i="1"/>
  <c r="DE15" i="1"/>
  <c r="GQ15" i="1"/>
  <c r="DZ15" i="1"/>
  <c r="EX15" i="1"/>
  <c r="FS15" i="1"/>
  <c r="FS10" i="1"/>
  <c r="DT10" i="1"/>
  <c r="DQ10" i="1"/>
  <c r="HF17" i="1"/>
  <c r="HF15" i="1"/>
  <c r="HC13" i="1"/>
  <c r="HC10" i="1"/>
  <c r="FY10" i="1"/>
  <c r="EO13" i="1"/>
  <c r="FM13" i="1"/>
  <c r="ER13" i="1"/>
  <c r="DT13" i="1"/>
  <c r="FA13" i="1"/>
  <c r="EU10" i="1"/>
  <c r="FJ17" i="1"/>
  <c r="FM17" i="1"/>
  <c r="DT17" i="1"/>
  <c r="FG17" i="1"/>
  <c r="EO17" i="1"/>
  <c r="GK16" i="1"/>
  <c r="FP24" i="1"/>
  <c r="FA24" i="1"/>
  <c r="EX26" i="1"/>
  <c r="DH18" i="1"/>
  <c r="GH18" i="1"/>
  <c r="FJ18" i="1"/>
  <c r="EO18" i="1"/>
  <c r="FP18" i="1"/>
  <c r="EX24" i="1"/>
  <c r="EU24" i="1"/>
  <c r="GW24" i="1"/>
  <c r="GB21" i="1"/>
  <c r="FA21" i="1"/>
  <c r="DB21" i="1"/>
  <c r="FJ21" i="1"/>
  <c r="EO21" i="1"/>
  <c r="EI21" i="1"/>
  <c r="DZ13" i="1"/>
  <c r="GT15" i="1"/>
  <c r="GN15" i="1"/>
  <c r="DQ15" i="1"/>
  <c r="EC15" i="1"/>
  <c r="EI15" i="1"/>
  <c r="GW15" i="1"/>
  <c r="DZ10" i="1"/>
  <c r="FJ10" i="1"/>
  <c r="GB10" i="1"/>
  <c r="HC17" i="1"/>
  <c r="HC15" i="1"/>
  <c r="GH13" i="1"/>
  <c r="GZ10" i="1"/>
  <c r="FA10" i="1"/>
  <c r="FJ58" i="1"/>
  <c r="DT19" i="1"/>
  <c r="GE8" i="1"/>
  <c r="DK8" i="1"/>
  <c r="FY8" i="1"/>
  <c r="DN8" i="1"/>
  <c r="EL34" i="1"/>
  <c r="FY34" i="1"/>
  <c r="EO34" i="1"/>
  <c r="DH34" i="1"/>
  <c r="DK34" i="1"/>
  <c r="GZ34" i="1"/>
  <c r="HC56" i="1"/>
  <c r="FD56" i="1"/>
  <c r="ER56" i="1"/>
  <c r="DK56" i="1"/>
  <c r="GK56" i="1"/>
  <c r="EO56" i="1"/>
  <c r="DZ56" i="1"/>
  <c r="FG34" i="1"/>
  <c r="DQ34" i="1"/>
  <c r="EX34" i="1"/>
  <c r="FA34" i="1"/>
  <c r="FD34" i="1"/>
  <c r="DN34" i="1"/>
  <c r="HF34" i="1"/>
  <c r="GH56" i="1"/>
  <c r="DB56" i="1"/>
  <c r="EL56" i="1"/>
  <c r="FG56" i="1"/>
  <c r="FP56" i="1"/>
  <c r="FY56" i="1"/>
  <c r="GZ56" i="1"/>
  <c r="DB34" i="1"/>
  <c r="EF34" i="1"/>
  <c r="GN34" i="1"/>
  <c r="DW34" i="1"/>
  <c r="FM34" i="1"/>
  <c r="FS34" i="1"/>
  <c r="GB34" i="1"/>
  <c r="EC56" i="1"/>
  <c r="DQ56" i="1"/>
  <c r="FJ56" i="1"/>
  <c r="GE56" i="1"/>
  <c r="EX56" i="1"/>
  <c r="FS56" i="1"/>
  <c r="GH34" i="1"/>
  <c r="EU34" i="1"/>
  <c r="FP34" i="1"/>
  <c r="GK34" i="1"/>
  <c r="GE34" i="1"/>
  <c r="ER34" i="1"/>
  <c r="DT56" i="1"/>
  <c r="GN56" i="1"/>
  <c r="GB56" i="1"/>
  <c r="FA56" i="1"/>
  <c r="DH56" i="1"/>
  <c r="DE56" i="1"/>
  <c r="GT34" i="1"/>
  <c r="DE34" i="1"/>
  <c r="EC34" i="1"/>
  <c r="DZ34" i="1"/>
  <c r="FV34" i="1"/>
  <c r="FM56" i="1"/>
  <c r="GW56" i="1"/>
  <c r="EF56" i="1"/>
  <c r="HF56" i="1"/>
  <c r="EI56" i="1"/>
  <c r="FV56" i="1"/>
  <c r="FG11" i="1"/>
  <c r="GN26" i="1"/>
  <c r="EF16" i="1"/>
  <c r="EL58" i="1"/>
  <c r="DW90" i="1"/>
  <c r="FS90" i="1"/>
  <c r="DE11" i="1"/>
  <c r="DH26" i="1"/>
  <c r="GQ16" i="1"/>
  <c r="FV58" i="1"/>
  <c r="EU58" i="1"/>
  <c r="EL90" i="1"/>
  <c r="GE11" i="1"/>
  <c r="GK26" i="1"/>
  <c r="EO58" i="1"/>
  <c r="EX16" i="1"/>
  <c r="DQ11" i="1"/>
  <c r="FY26" i="1"/>
  <c r="EX90" i="1"/>
  <c r="DT11" i="1"/>
  <c r="DE26" i="1"/>
  <c r="EI19" i="1"/>
  <c r="HF8" i="1"/>
  <c r="DW8" i="1"/>
  <c r="EX8" i="1"/>
  <c r="DE8" i="1"/>
  <c r="DT8" i="1"/>
  <c r="EU8" i="1"/>
  <c r="GW19" i="1"/>
  <c r="EL23" i="1"/>
  <c r="DE23" i="1"/>
  <c r="HC8" i="1"/>
  <c r="HF14" i="1"/>
  <c r="EF8" i="1"/>
  <c r="GT8" i="1"/>
  <c r="GH8" i="1"/>
  <c r="GW8" i="1"/>
  <c r="FS14" i="1"/>
  <c r="DB8" i="1"/>
  <c r="FP8" i="1"/>
  <c r="GB14" i="1"/>
  <c r="EU19" i="1"/>
  <c r="GZ8" i="1"/>
  <c r="GK8" i="1"/>
  <c r="GB8" i="1"/>
  <c r="FJ8" i="1"/>
  <c r="GQ8" i="1"/>
  <c r="DW14" i="1"/>
  <c r="FM8" i="1"/>
  <c r="EC8" i="1"/>
  <c r="EF19" i="1"/>
  <c r="EU23" i="1"/>
  <c r="GT23" i="1"/>
  <c r="FD8" i="1"/>
  <c r="EI8" i="1"/>
  <c r="FG8" i="1"/>
  <c r="DQ8" i="1"/>
  <c r="FA14" i="1"/>
  <c r="GN8" i="1"/>
  <c r="DK19" i="1"/>
  <c r="EO23" i="1"/>
  <c r="FA8" i="1"/>
  <c r="EL8" i="1"/>
  <c r="DH8" i="1"/>
  <c r="FV8" i="1"/>
  <c r="EO8" i="1"/>
  <c r="DQ14" i="1"/>
  <c r="DZ8" i="1"/>
  <c r="DK22" i="1"/>
  <c r="DT12" i="1"/>
  <c r="GZ22" i="1"/>
  <c r="DH22" i="1"/>
  <c r="EC22" i="1"/>
  <c r="GE12" i="1"/>
  <c r="EF12" i="1"/>
  <c r="DE12" i="1"/>
  <c r="DZ22" i="1"/>
  <c r="DZ12" i="1"/>
  <c r="GQ22" i="1"/>
  <c r="FJ22" i="1"/>
  <c r="DQ22" i="1"/>
  <c r="HF12" i="1"/>
  <c r="FS12" i="1"/>
  <c r="GK12" i="1"/>
  <c r="FY12" i="1"/>
  <c r="DB12" i="1"/>
  <c r="GT12" i="1"/>
  <c r="GH22" i="1"/>
  <c r="EI22" i="1"/>
  <c r="DN22" i="1"/>
  <c r="EL22" i="1"/>
  <c r="FA22" i="1"/>
  <c r="GN12" i="1"/>
  <c r="FM12" i="1"/>
  <c r="ER12" i="1"/>
  <c r="HF22" i="1"/>
  <c r="HC12" i="1"/>
  <c r="FA12" i="1"/>
  <c r="DK12" i="1"/>
  <c r="EO12" i="1"/>
  <c r="GQ12" i="1"/>
  <c r="FP22" i="1"/>
  <c r="GN22" i="1"/>
  <c r="DT22" i="1"/>
  <c r="EU22" i="1"/>
  <c r="DE22" i="1"/>
  <c r="DN12" i="1"/>
  <c r="EX12" i="1"/>
  <c r="GZ12" i="1"/>
  <c r="EU12" i="1"/>
  <c r="GW12" i="1"/>
  <c r="EI12" i="1"/>
  <c r="FJ12" i="1"/>
  <c r="ER22" i="1"/>
  <c r="FY22" i="1"/>
  <c r="GT22" i="1"/>
  <c r="GE22" i="1"/>
  <c r="FD22" i="1"/>
  <c r="FD12" i="1"/>
  <c r="GB12" i="1"/>
  <c r="DH12" i="1"/>
  <c r="DQ12" i="1"/>
  <c r="FG12" i="1"/>
  <c r="EF22" i="1"/>
  <c r="DB22" i="1"/>
  <c r="GW22" i="1"/>
  <c r="DW22" i="1"/>
  <c r="FM22" i="1"/>
  <c r="GK22" i="1"/>
  <c r="FV12" i="1"/>
  <c r="FS8" i="1"/>
  <c r="EC12" i="1"/>
  <c r="GH12" i="1"/>
  <c r="DW12" i="1"/>
  <c r="EL12" i="1"/>
  <c r="FS22" i="1"/>
  <c r="EX22" i="1"/>
  <c r="FG22" i="1"/>
  <c r="EO22" i="1"/>
  <c r="FV22" i="1"/>
  <c r="GB22" i="1"/>
  <c r="FP12" i="1"/>
  <c r="HC22" i="1"/>
  <c r="EI14" i="1"/>
  <c r="EU90" i="1"/>
  <c r="EF90" i="1"/>
  <c r="FV90" i="1"/>
  <c r="DB90" i="1"/>
  <c r="BA90" i="1" s="1"/>
  <c r="EC90" i="1"/>
  <c r="GE90" i="1"/>
  <c r="EO16" i="1"/>
  <c r="DQ16" i="1"/>
  <c r="FA11" i="1"/>
  <c r="FJ11" i="1"/>
  <c r="FP11" i="1"/>
  <c r="DB11" i="1"/>
  <c r="EO11" i="1"/>
  <c r="EL11" i="1"/>
  <c r="EC26" i="1"/>
  <c r="DW26" i="1"/>
  <c r="FG26" i="1"/>
  <c r="DT26" i="1"/>
  <c r="DK26" i="1"/>
  <c r="FP26" i="1"/>
  <c r="GE16" i="1"/>
  <c r="GN16" i="1"/>
  <c r="DE16" i="1"/>
  <c r="FY58" i="1"/>
  <c r="EC58" i="1"/>
  <c r="GB58" i="1"/>
  <c r="EF58" i="1"/>
  <c r="GT58" i="1"/>
  <c r="EI58" i="1"/>
  <c r="GN58" i="1"/>
  <c r="GK90" i="1"/>
  <c r="GH90" i="1"/>
  <c r="ER90" i="1"/>
  <c r="GB90" i="1"/>
  <c r="FA90" i="1"/>
  <c r="FG90" i="1"/>
  <c r="FY16" i="1"/>
  <c r="FG16" i="1"/>
  <c r="FM16" i="1"/>
  <c r="DN16" i="1"/>
  <c r="FS11" i="1"/>
  <c r="EF11" i="1"/>
  <c r="FD11" i="1"/>
  <c r="ER11" i="1"/>
  <c r="FY11" i="1"/>
  <c r="GH11" i="1"/>
  <c r="EU26" i="1"/>
  <c r="FJ26" i="1"/>
  <c r="DN26" i="1"/>
  <c r="FS26" i="1"/>
  <c r="GT26" i="1"/>
  <c r="GB26" i="1"/>
  <c r="FJ16" i="1"/>
  <c r="EU16" i="1"/>
  <c r="DB16" i="1"/>
  <c r="HF16" i="1"/>
  <c r="HC26" i="1"/>
  <c r="DZ58" i="1"/>
  <c r="DK58" i="1"/>
  <c r="FS58" i="1"/>
  <c r="DH58" i="1"/>
  <c r="FM58" i="1"/>
  <c r="GW58" i="1"/>
  <c r="DB58" i="1"/>
  <c r="GQ90" i="1"/>
  <c r="GW90" i="1"/>
  <c r="DE90" i="1"/>
  <c r="FA16" i="1"/>
  <c r="GH16" i="1"/>
  <c r="DH16" i="1"/>
  <c r="GQ11" i="1"/>
  <c r="EX11" i="1"/>
  <c r="FV11" i="1"/>
  <c r="DH11" i="1"/>
  <c r="GT11" i="1"/>
  <c r="EI11" i="1"/>
  <c r="GW26" i="1"/>
  <c r="GQ26" i="1"/>
  <c r="EO26" i="1"/>
  <c r="GH26" i="1"/>
  <c r="FA26" i="1"/>
  <c r="EC16" i="1"/>
  <c r="EI16" i="1"/>
  <c r="DZ16" i="1"/>
  <c r="HF11" i="1"/>
  <c r="HC16" i="1"/>
  <c r="GZ26" i="1"/>
  <c r="HC58" i="1"/>
  <c r="FD58" i="1"/>
  <c r="EX58" i="1"/>
  <c r="FG58" i="1"/>
  <c r="GH58" i="1"/>
  <c r="DN58" i="1"/>
  <c r="GE58" i="1"/>
  <c r="HF90" i="1"/>
  <c r="DN90" i="1"/>
  <c r="FD90" i="1"/>
  <c r="FY90" i="1"/>
  <c r="FP90" i="1"/>
  <c r="GN90" i="1"/>
  <c r="DK90" i="1"/>
  <c r="EO90" i="1"/>
  <c r="FJ90" i="1"/>
  <c r="DH90" i="1"/>
  <c r="DT16" i="1"/>
  <c r="GB16" i="1"/>
  <c r="FP16" i="1"/>
  <c r="FM11" i="1"/>
  <c r="GB11" i="1"/>
  <c r="EU11" i="1"/>
  <c r="GN11" i="1"/>
  <c r="DW11" i="1"/>
  <c r="GK11" i="1"/>
  <c r="DB26" i="1"/>
  <c r="EL26" i="1"/>
  <c r="EI26" i="1"/>
  <c r="EF26" i="1"/>
  <c r="FM26" i="1"/>
  <c r="FD16" i="1"/>
  <c r="DK16" i="1"/>
  <c r="EL16" i="1"/>
  <c r="HC11" i="1"/>
  <c r="GZ16" i="1"/>
  <c r="HF26" i="1"/>
  <c r="HF58" i="1"/>
  <c r="FA58" i="1"/>
  <c r="DW58" i="1"/>
  <c r="DE58" i="1"/>
  <c r="FP58" i="1"/>
  <c r="GZ90" i="1"/>
  <c r="FM90" i="1"/>
  <c r="DT90" i="1"/>
  <c r="DQ90" i="1"/>
  <c r="EI90" i="1"/>
  <c r="DZ90" i="1"/>
  <c r="FS16" i="1"/>
  <c r="FV16" i="1"/>
  <c r="DZ11" i="1"/>
  <c r="DN11" i="1"/>
  <c r="GW11" i="1"/>
  <c r="EC11" i="1"/>
  <c r="DK11" i="1"/>
  <c r="ER26" i="1"/>
  <c r="DZ26" i="1"/>
  <c r="DQ26" i="1"/>
  <c r="FV26" i="1"/>
  <c r="GE26" i="1"/>
  <c r="FD26" i="1"/>
  <c r="DW16" i="1"/>
  <c r="GW16" i="1"/>
  <c r="ER16" i="1"/>
  <c r="GZ11" i="1"/>
  <c r="ER58" i="1"/>
  <c r="DT58" i="1"/>
  <c r="DQ58" i="1"/>
  <c r="GK58" i="1"/>
  <c r="GQ58" i="1"/>
  <c r="GZ58" i="1"/>
  <c r="HC90" i="1"/>
  <c r="GB33" i="1"/>
  <c r="DN33" i="1"/>
  <c r="FJ33" i="1"/>
  <c r="FD33" i="1"/>
  <c r="EL33" i="1"/>
  <c r="GZ33" i="1"/>
  <c r="FS25" i="1"/>
  <c r="DH33" i="1"/>
  <c r="FV33" i="1"/>
  <c r="EO33" i="1"/>
  <c r="FS33" i="1"/>
  <c r="EX33" i="1"/>
  <c r="GN33" i="1"/>
  <c r="DN25" i="1"/>
  <c r="HF33" i="1"/>
  <c r="EO10" i="1"/>
  <c r="FP25" i="1"/>
  <c r="DT33" i="1"/>
  <c r="DW33" i="1"/>
  <c r="DQ33" i="1"/>
  <c r="DB33" i="1"/>
  <c r="GW33" i="1"/>
  <c r="DZ33" i="1"/>
  <c r="HC33" i="1"/>
  <c r="DZ25" i="1"/>
  <c r="FY33" i="1"/>
  <c r="FG33" i="1"/>
  <c r="GT33" i="1"/>
  <c r="DK33" i="1"/>
  <c r="EC33" i="1"/>
  <c r="EI33" i="1"/>
  <c r="GE25" i="1"/>
  <c r="FM25" i="1"/>
  <c r="FA33" i="1"/>
  <c r="EF33" i="1"/>
  <c r="FM33" i="1"/>
  <c r="GE33" i="1"/>
  <c r="GH33" i="1"/>
  <c r="DE33" i="1"/>
  <c r="GZ25" i="1"/>
  <c r="FP68" i="1"/>
  <c r="EL25" i="1"/>
  <c r="EO25" i="1"/>
  <c r="FG25" i="1"/>
  <c r="EF25" i="1"/>
  <c r="FY25" i="1"/>
  <c r="DZ19" i="1"/>
  <c r="DN19" i="1"/>
  <c r="DH19" i="1"/>
  <c r="FS19" i="1"/>
  <c r="EL19" i="1"/>
  <c r="FJ19" i="1"/>
  <c r="GK23" i="1"/>
  <c r="FM23" i="1"/>
  <c r="GE23" i="1"/>
  <c r="FA23" i="1"/>
  <c r="FV23" i="1"/>
  <c r="GN23" i="1"/>
  <c r="DN23" i="1"/>
  <c r="FD25" i="1"/>
  <c r="DK25" i="1"/>
  <c r="HF23" i="1"/>
  <c r="HF19" i="1"/>
  <c r="HF25" i="1"/>
  <c r="GT14" i="1"/>
  <c r="GH14" i="1"/>
  <c r="FP14" i="1"/>
  <c r="EX14" i="1"/>
  <c r="EU14" i="1"/>
  <c r="DK14" i="1"/>
  <c r="HI25" i="1"/>
  <c r="HI23" i="1"/>
  <c r="HI14" i="1"/>
  <c r="HI19" i="1"/>
  <c r="EU25" i="1"/>
  <c r="DH25" i="1"/>
  <c r="DB25" i="1"/>
  <c r="GN25" i="1"/>
  <c r="DE19" i="1"/>
  <c r="GT19" i="1"/>
  <c r="FA19" i="1"/>
  <c r="GB19" i="1"/>
  <c r="EX19" i="1"/>
  <c r="FM19" i="1"/>
  <c r="DW23" i="1"/>
  <c r="GH23" i="1"/>
  <c r="GQ23" i="1"/>
  <c r="EI23" i="1"/>
  <c r="EC23" i="1"/>
  <c r="GW23" i="1"/>
  <c r="GB25" i="1"/>
  <c r="GW25" i="1"/>
  <c r="HC23" i="1"/>
  <c r="HC19" i="1"/>
  <c r="HC25" i="1"/>
  <c r="FV14" i="1"/>
  <c r="FJ14" i="1"/>
  <c r="GW14" i="1"/>
  <c r="ER14" i="1"/>
  <c r="FD14" i="1"/>
  <c r="DB14" i="1"/>
  <c r="DZ14" i="1"/>
  <c r="DE25" i="1"/>
  <c r="FV25" i="1"/>
  <c r="DW25" i="1"/>
  <c r="EX25" i="1"/>
  <c r="FV19" i="1"/>
  <c r="FP19" i="1"/>
  <c r="EC19" i="1"/>
  <c r="FY19" i="1"/>
  <c r="GN19" i="1"/>
  <c r="FP23" i="1"/>
  <c r="FJ23" i="1"/>
  <c r="EX23" i="1"/>
  <c r="DZ23" i="1"/>
  <c r="DQ23" i="1"/>
  <c r="GZ23" i="1"/>
  <c r="GZ19" i="1"/>
  <c r="FJ25" i="1"/>
  <c r="GN14" i="1"/>
  <c r="DE14" i="1"/>
  <c r="GE14" i="1"/>
  <c r="DN14" i="1"/>
  <c r="EL14" i="1"/>
  <c r="GK14" i="1"/>
  <c r="GT25" i="1"/>
  <c r="GH25" i="1"/>
  <c r="GQ25" i="1"/>
  <c r="FA25" i="1"/>
  <c r="DW19" i="1"/>
  <c r="GE19" i="1"/>
  <c r="GH19" i="1"/>
  <c r="FG19" i="1"/>
  <c r="FD19" i="1"/>
  <c r="GB23" i="1"/>
  <c r="EF23" i="1"/>
  <c r="FS23" i="1"/>
  <c r="FD23" i="1"/>
  <c r="EC25" i="1"/>
  <c r="FY23" i="1"/>
  <c r="HC14" i="1"/>
  <c r="DT14" i="1"/>
  <c r="EC14" i="1"/>
  <c r="EO14" i="1"/>
  <c r="GQ14" i="1"/>
  <c r="FY14" i="1"/>
  <c r="DQ25" i="1"/>
  <c r="DT25" i="1"/>
  <c r="EI25" i="1"/>
  <c r="GK25" i="1"/>
  <c r="GQ19" i="1"/>
  <c r="DQ19" i="1"/>
  <c r="ER19" i="1"/>
  <c r="DB19" i="1"/>
  <c r="GK19" i="1"/>
  <c r="ER23" i="1"/>
  <c r="DT23" i="1"/>
  <c r="DB23" i="1"/>
  <c r="FG23" i="1"/>
  <c r="DK23" i="1"/>
  <c r="GZ14" i="1"/>
  <c r="HO92" i="1"/>
  <c r="FG14" i="1"/>
  <c r="DH14" i="1"/>
  <c r="EF14" i="1"/>
  <c r="P51" i="9"/>
  <c r="IG19" i="1" l="1"/>
  <c r="ID19" i="1"/>
  <c r="IJ19" i="1"/>
  <c r="DK51" i="1"/>
  <c r="HF51" i="1"/>
  <c r="FJ51" i="1"/>
  <c r="EC51" i="1"/>
  <c r="GN51" i="1"/>
  <c r="DT51" i="1"/>
  <c r="FV51" i="1"/>
  <c r="GE51" i="1"/>
  <c r="HI51" i="1"/>
  <c r="FA51" i="1"/>
  <c r="GT51" i="1"/>
  <c r="GQ51" i="1"/>
  <c r="FD51" i="1"/>
  <c r="DW51" i="1"/>
  <c r="DZ51" i="1"/>
  <c r="IA51" i="1"/>
  <c r="EI51" i="1"/>
  <c r="DN51" i="1"/>
  <c r="HO51" i="1"/>
  <c r="FG51" i="1"/>
  <c r="GZ51" i="1"/>
  <c r="EX51" i="1"/>
  <c r="GW51" i="1"/>
  <c r="HU51" i="1"/>
  <c r="DE51" i="1"/>
  <c r="FM51" i="1"/>
  <c r="FS51" i="1"/>
  <c r="EU51" i="1"/>
  <c r="HL51" i="1"/>
  <c r="GB51" i="1"/>
  <c r="EL51" i="1"/>
  <c r="EF51" i="1"/>
  <c r="GK51" i="1"/>
  <c r="ER51" i="1"/>
  <c r="FP51" i="1"/>
  <c r="DH51" i="1"/>
  <c r="EO51" i="1"/>
  <c r="DQ51" i="1"/>
  <c r="ID51" i="1"/>
  <c r="DB51" i="1"/>
  <c r="GH51" i="1"/>
  <c r="HC51" i="1"/>
  <c r="HX51" i="1"/>
  <c r="HR51" i="1"/>
  <c r="ID88" i="1"/>
  <c r="GN88" i="1"/>
  <c r="HL88" i="1"/>
  <c r="DE88" i="1"/>
  <c r="GK88" i="1"/>
  <c r="DZ88" i="1"/>
  <c r="DW88" i="1"/>
  <c r="HO88" i="1"/>
  <c r="EU88" i="1"/>
  <c r="GH88" i="1"/>
  <c r="HI88" i="1"/>
  <c r="FM88" i="1"/>
  <c r="EC88" i="1"/>
  <c r="FG88" i="1"/>
  <c r="FY88" i="1"/>
  <c r="ER88" i="1"/>
  <c r="DT88" i="1"/>
  <c r="HX88" i="1"/>
  <c r="FV88" i="1"/>
  <c r="FJ88" i="1"/>
  <c r="GW88" i="1"/>
  <c r="FP88" i="1"/>
  <c r="HC88" i="1"/>
  <c r="GT88" i="1"/>
  <c r="GE88" i="1"/>
  <c r="EX88" i="1"/>
  <c r="FD88" i="1"/>
  <c r="DQ88" i="1"/>
  <c r="IA88" i="1"/>
  <c r="GZ88" i="1"/>
  <c r="DK88" i="1"/>
  <c r="HU88" i="1"/>
  <c r="EI88" i="1"/>
  <c r="EO88" i="1"/>
  <c r="DN88" i="1"/>
  <c r="FS88" i="1"/>
  <c r="FA88" i="1"/>
  <c r="EL88" i="1"/>
  <c r="GQ88" i="1"/>
  <c r="DH88" i="1"/>
  <c r="GB88" i="1"/>
  <c r="DB88" i="1"/>
  <c r="HF88" i="1"/>
  <c r="HR88" i="1"/>
  <c r="EF88" i="1"/>
  <c r="FY51" i="1"/>
  <c r="IJ88" i="1"/>
  <c r="IG88" i="1"/>
  <c r="IJ40" i="1"/>
  <c r="IG51" i="1"/>
  <c r="IJ51" i="1"/>
  <c r="EX40" i="1"/>
  <c r="EI40" i="1"/>
  <c r="DZ65" i="1"/>
  <c r="GK40" i="1"/>
  <c r="EC40" i="1"/>
  <c r="GB40" i="1"/>
  <c r="GZ65" i="1"/>
  <c r="FV40" i="1"/>
  <c r="DH40" i="1"/>
  <c r="EU65" i="1"/>
  <c r="DZ40" i="1"/>
  <c r="IA40" i="1"/>
  <c r="DB65" i="1"/>
  <c r="HX40" i="1"/>
  <c r="EL40" i="1"/>
  <c r="DQ65" i="1"/>
  <c r="DQ40" i="1"/>
  <c r="HC40" i="1"/>
  <c r="DW77" i="1"/>
  <c r="FP77" i="1"/>
  <c r="HL77" i="1"/>
  <c r="HR40" i="1"/>
  <c r="EF40" i="1"/>
  <c r="DE40" i="1"/>
  <c r="GH40" i="1"/>
  <c r="GN40" i="1"/>
  <c r="GQ40" i="1"/>
  <c r="FD40" i="1"/>
  <c r="DK40" i="1"/>
  <c r="DB40" i="1"/>
  <c r="ER40" i="1"/>
  <c r="GZ40" i="1"/>
  <c r="FP40" i="1"/>
  <c r="HL40" i="1"/>
  <c r="GT40" i="1"/>
  <c r="DW40" i="1"/>
  <c r="HI40" i="1"/>
  <c r="GE40" i="1"/>
  <c r="FJ40" i="1"/>
  <c r="DT40" i="1"/>
  <c r="FG40" i="1"/>
  <c r="HO40" i="1"/>
  <c r="FA40" i="1"/>
  <c r="HF40" i="1"/>
  <c r="EU40" i="1"/>
  <c r="FY40" i="1"/>
  <c r="FM40" i="1"/>
  <c r="GW40" i="1"/>
  <c r="DN40" i="1"/>
  <c r="FS40" i="1"/>
  <c r="EO40" i="1"/>
  <c r="HU40" i="1"/>
  <c r="ID40" i="1"/>
  <c r="IG40" i="1"/>
  <c r="IM89" i="1"/>
  <c r="IM93" i="1"/>
  <c r="IM90" i="1"/>
  <c r="IJ45" i="1"/>
  <c r="IJ72" i="1"/>
  <c r="IJ44" i="1"/>
  <c r="IJ38" i="1"/>
  <c r="IJ43" i="1"/>
  <c r="IJ59" i="1"/>
  <c r="IJ85" i="1"/>
  <c r="IJ82" i="1"/>
  <c r="IJ79" i="1"/>
  <c r="IJ77" i="1"/>
  <c r="IJ65" i="1"/>
  <c r="IJ73" i="1"/>
  <c r="IJ75" i="1"/>
  <c r="DN65" i="1"/>
  <c r="GH65" i="1"/>
  <c r="EL65" i="1"/>
  <c r="GB65" i="1"/>
  <c r="GK65" i="1"/>
  <c r="FP65" i="1"/>
  <c r="EO65" i="1"/>
  <c r="GW65" i="1"/>
  <c r="FY65" i="1"/>
  <c r="FV65" i="1"/>
  <c r="HI65" i="1"/>
  <c r="EI65" i="1"/>
  <c r="GQ65" i="1"/>
  <c r="DE65" i="1"/>
  <c r="DW65" i="1"/>
  <c r="ID65" i="1"/>
  <c r="HO65" i="1"/>
  <c r="HL65" i="1"/>
  <c r="HU65" i="1"/>
  <c r="GN65" i="1"/>
  <c r="EF65" i="1"/>
  <c r="FA65" i="1"/>
  <c r="DH65" i="1"/>
  <c r="IA65" i="1"/>
  <c r="HR65" i="1"/>
  <c r="HX65" i="1"/>
  <c r="FM65" i="1"/>
  <c r="ER65" i="1"/>
  <c r="FS65" i="1"/>
  <c r="FD65" i="1"/>
  <c r="HF65" i="1"/>
  <c r="GT65" i="1"/>
  <c r="EX65" i="1"/>
  <c r="FJ65" i="1"/>
  <c r="DT65" i="1"/>
  <c r="HC65" i="1"/>
  <c r="EC65" i="1"/>
  <c r="FG65" i="1"/>
  <c r="DK65" i="1"/>
  <c r="GE65" i="1"/>
  <c r="IG59" i="1"/>
  <c r="IG85" i="1"/>
  <c r="IG73" i="1"/>
  <c r="ID77" i="1"/>
  <c r="IG65" i="1"/>
  <c r="IG75" i="1"/>
  <c r="IG45" i="1"/>
  <c r="IG72" i="1"/>
  <c r="IG44" i="1"/>
  <c r="IG43" i="1"/>
  <c r="ID38" i="1"/>
  <c r="EL77" i="1"/>
  <c r="EC77" i="1"/>
  <c r="ER77" i="1"/>
  <c r="FG77" i="1"/>
  <c r="HU77" i="1"/>
  <c r="FV77" i="1"/>
  <c r="HF77" i="1"/>
  <c r="FD77" i="1"/>
  <c r="GT77" i="1"/>
  <c r="GE77" i="1"/>
  <c r="DB77" i="1"/>
  <c r="IA77" i="1"/>
  <c r="HR77" i="1"/>
  <c r="DQ77" i="1"/>
  <c r="FM77" i="1"/>
  <c r="FS77" i="1"/>
  <c r="GW77" i="1"/>
  <c r="GQ77" i="1"/>
  <c r="DH77" i="1"/>
  <c r="EI77" i="1"/>
  <c r="DZ77" i="1"/>
  <c r="DK77" i="1"/>
  <c r="GB77" i="1"/>
  <c r="GN77" i="1"/>
  <c r="EO77" i="1"/>
  <c r="FA77" i="1"/>
  <c r="IG77" i="1"/>
  <c r="EF77" i="1"/>
  <c r="EX77" i="1"/>
  <c r="FY77" i="1"/>
  <c r="DN77" i="1"/>
  <c r="FJ77" i="1"/>
  <c r="HI77" i="1"/>
  <c r="DE77" i="1"/>
  <c r="HX77" i="1"/>
  <c r="HC77" i="1"/>
  <c r="GH77" i="1"/>
  <c r="EU77" i="1"/>
  <c r="DT77" i="1"/>
  <c r="HO77" i="1"/>
  <c r="GZ77" i="1"/>
  <c r="GK77" i="1"/>
  <c r="IG82" i="1"/>
  <c r="ID82" i="1"/>
  <c r="HX82" i="1"/>
  <c r="IA82" i="1"/>
  <c r="GK79" i="1"/>
  <c r="EU79" i="1"/>
  <c r="GN79" i="1"/>
  <c r="FG79" i="1"/>
  <c r="HR79" i="1"/>
  <c r="EC79" i="1"/>
  <c r="DZ79" i="1"/>
  <c r="GZ79" i="1"/>
  <c r="HC79" i="1"/>
  <c r="FY79" i="1"/>
  <c r="FM79" i="1"/>
  <c r="GB79" i="1"/>
  <c r="FV79" i="1"/>
  <c r="FS79" i="1"/>
  <c r="DB79" i="1"/>
  <c r="GE79" i="1"/>
  <c r="IG79" i="1"/>
  <c r="IA79" i="1"/>
  <c r="ER79" i="1"/>
  <c r="DH79" i="1"/>
  <c r="EL79" i="1"/>
  <c r="EX79" i="1"/>
  <c r="HU79" i="1"/>
  <c r="DW79" i="1"/>
  <c r="GQ79" i="1"/>
  <c r="FJ79" i="1"/>
  <c r="HI79" i="1"/>
  <c r="ID79" i="1"/>
  <c r="DE79" i="1"/>
  <c r="DT79" i="1"/>
  <c r="HO79" i="1"/>
  <c r="EO79" i="1"/>
  <c r="HF79" i="1"/>
  <c r="GH79" i="1"/>
  <c r="DQ79" i="1"/>
  <c r="FD79" i="1"/>
  <c r="GT79" i="1"/>
  <c r="FA79" i="1"/>
  <c r="GW79" i="1"/>
  <c r="EF79" i="1"/>
  <c r="HL79" i="1"/>
  <c r="FP79" i="1"/>
  <c r="EI79" i="1"/>
  <c r="DK79" i="1"/>
  <c r="DN79" i="1"/>
  <c r="HX79" i="1"/>
  <c r="ID75" i="1"/>
  <c r="GW75" i="1"/>
  <c r="EO75" i="1"/>
  <c r="FS75" i="1"/>
  <c r="FY75" i="1"/>
  <c r="ER75" i="1"/>
  <c r="EF75" i="1"/>
  <c r="FA75" i="1"/>
  <c r="GK75" i="1"/>
  <c r="EU75" i="1"/>
  <c r="DQ75" i="1"/>
  <c r="DB75" i="1"/>
  <c r="EI75" i="1"/>
  <c r="HR75" i="1"/>
  <c r="FP75" i="1"/>
  <c r="EC75" i="1"/>
  <c r="FV75" i="1"/>
  <c r="HI75" i="1"/>
  <c r="GB75" i="1"/>
  <c r="DZ75" i="1"/>
  <c r="FJ75" i="1"/>
  <c r="GN75" i="1"/>
  <c r="DW75" i="1"/>
  <c r="DE75" i="1"/>
  <c r="HU75" i="1"/>
  <c r="DT75" i="1"/>
  <c r="EX75" i="1"/>
  <c r="HC75" i="1"/>
  <c r="HL75" i="1"/>
  <c r="HF75" i="1"/>
  <c r="GZ75" i="1"/>
  <c r="HX75" i="1"/>
  <c r="EL75" i="1"/>
  <c r="DK75" i="1"/>
  <c r="FD75" i="1"/>
  <c r="GH75" i="1"/>
  <c r="IA75" i="1"/>
  <c r="FG75" i="1"/>
  <c r="GE75" i="1"/>
  <c r="GT75" i="1"/>
  <c r="HO75" i="1"/>
  <c r="DN75" i="1"/>
  <c r="FM75" i="1"/>
  <c r="GQ75" i="1"/>
  <c r="DH75" i="1"/>
  <c r="HU59" i="1"/>
  <c r="ID59" i="1"/>
  <c r="IA59" i="1"/>
  <c r="HR38" i="1"/>
  <c r="HU38" i="1"/>
  <c r="HX38" i="1"/>
  <c r="DT38" i="1"/>
  <c r="DK38" i="1"/>
  <c r="EL38" i="1"/>
  <c r="HL38" i="1"/>
  <c r="DE38" i="1"/>
  <c r="DQ38" i="1"/>
  <c r="GZ38" i="1"/>
  <c r="FV38" i="1"/>
  <c r="DN38" i="1"/>
  <c r="GB38" i="1"/>
  <c r="ER38" i="1"/>
  <c r="GW38" i="1"/>
  <c r="FS38" i="1"/>
  <c r="DB38" i="1"/>
  <c r="FD38" i="1"/>
  <c r="IG38" i="1"/>
  <c r="FJ38" i="1"/>
  <c r="FY38" i="1"/>
  <c r="FA38" i="1"/>
  <c r="HC38" i="1"/>
  <c r="GK38" i="1"/>
  <c r="EI38" i="1"/>
  <c r="GE38" i="1"/>
  <c r="EX38" i="1"/>
  <c r="HI38" i="1"/>
  <c r="HO38" i="1"/>
  <c r="IA38" i="1"/>
  <c r="FM38" i="1"/>
  <c r="DZ38" i="1"/>
  <c r="FP38" i="1"/>
  <c r="EU38" i="1"/>
  <c r="GH38" i="1"/>
  <c r="DW38" i="1"/>
  <c r="FG38" i="1"/>
  <c r="DH38" i="1"/>
  <c r="GT38" i="1"/>
  <c r="GN38" i="1"/>
  <c r="EO38" i="1"/>
  <c r="EC38" i="1"/>
  <c r="HF38" i="1"/>
  <c r="EF38" i="1"/>
  <c r="GQ38" i="1"/>
  <c r="FY85" i="1"/>
  <c r="GZ85" i="1"/>
  <c r="HO85" i="1"/>
  <c r="GB85" i="1"/>
  <c r="DK85" i="1"/>
  <c r="DZ85" i="1"/>
  <c r="EI85" i="1"/>
  <c r="FS85" i="1"/>
  <c r="EX85" i="1"/>
  <c r="GK85" i="1"/>
  <c r="HU85" i="1"/>
  <c r="DH85" i="1"/>
  <c r="DW85" i="1"/>
  <c r="ER85" i="1"/>
  <c r="GN85" i="1"/>
  <c r="GH85" i="1"/>
  <c r="FJ85" i="1"/>
  <c r="FD85" i="1"/>
  <c r="DT85" i="1"/>
  <c r="DB85" i="1"/>
  <c r="HF85" i="1"/>
  <c r="GQ85" i="1"/>
  <c r="HI85" i="1"/>
  <c r="EO85" i="1"/>
  <c r="HX85" i="1"/>
  <c r="HR85" i="1"/>
  <c r="FM85" i="1"/>
  <c r="DQ85" i="1"/>
  <c r="FV85" i="1"/>
  <c r="FA85" i="1"/>
  <c r="HL85" i="1"/>
  <c r="FG85" i="1"/>
  <c r="DN85" i="1"/>
  <c r="GW85" i="1"/>
  <c r="EL85" i="1"/>
  <c r="FP85" i="1"/>
  <c r="GT85" i="1"/>
  <c r="EF85" i="1"/>
  <c r="EU85" i="1"/>
  <c r="DE85" i="1"/>
  <c r="EC85" i="1"/>
  <c r="HC85" i="1"/>
  <c r="GE85" i="1"/>
  <c r="IA85" i="1"/>
  <c r="ID85" i="1"/>
  <c r="IA73" i="1"/>
  <c r="ID73" i="1"/>
  <c r="IA45" i="1"/>
  <c r="ID45" i="1"/>
  <c r="IA44" i="1"/>
  <c r="ID44" i="1"/>
  <c r="IA43" i="1"/>
  <c r="ID43" i="1"/>
  <c r="IA72" i="1"/>
  <c r="ID72" i="1"/>
  <c r="DH44" i="1"/>
  <c r="FG43" i="1"/>
  <c r="DW73" i="1"/>
  <c r="FP45" i="1"/>
  <c r="DN73" i="1"/>
  <c r="EF73" i="1"/>
  <c r="DQ73" i="1"/>
  <c r="GQ73" i="1"/>
  <c r="FV73" i="1"/>
  <c r="FM73" i="1"/>
  <c r="HR73" i="1"/>
  <c r="GK73" i="1"/>
  <c r="ER73" i="1"/>
  <c r="FD73" i="1"/>
  <c r="DT73" i="1"/>
  <c r="EI73" i="1"/>
  <c r="HU73" i="1"/>
  <c r="GN73" i="1"/>
  <c r="DB73" i="1"/>
  <c r="GB73" i="1"/>
  <c r="EX73" i="1"/>
  <c r="HX73" i="1"/>
  <c r="GE73" i="1"/>
  <c r="DZ73" i="1"/>
  <c r="GT73" i="1"/>
  <c r="EL73" i="1"/>
  <c r="EC73" i="1"/>
  <c r="HL73" i="1"/>
  <c r="GH73" i="1"/>
  <c r="FA73" i="1"/>
  <c r="FJ73" i="1"/>
  <c r="DE73" i="1"/>
  <c r="HF73" i="1"/>
  <c r="GW73" i="1"/>
  <c r="FS73" i="1"/>
  <c r="EO73" i="1"/>
  <c r="FP73" i="1"/>
  <c r="HO73" i="1"/>
  <c r="GZ73" i="1"/>
  <c r="FG73" i="1"/>
  <c r="DH73" i="1"/>
  <c r="HC73" i="1"/>
  <c r="HI73" i="1"/>
  <c r="FY73" i="1"/>
  <c r="EU73" i="1"/>
  <c r="DK73" i="1"/>
  <c r="F70" i="2"/>
  <c r="IM70" i="1" s="1"/>
  <c r="DN43" i="1"/>
  <c r="EO43" i="1"/>
  <c r="EC43" i="1"/>
  <c r="GH43" i="1"/>
  <c r="GZ43" i="1"/>
  <c r="EI43" i="1"/>
  <c r="DZ43" i="1"/>
  <c r="GN43" i="1"/>
  <c r="GB43" i="1"/>
  <c r="EL43" i="1"/>
  <c r="HU44" i="1"/>
  <c r="EU43" i="1"/>
  <c r="HL43" i="1"/>
  <c r="FJ43" i="1"/>
  <c r="GQ43" i="1"/>
  <c r="FP43" i="1"/>
  <c r="HC43" i="1"/>
  <c r="GK43" i="1"/>
  <c r="FS43" i="1"/>
  <c r="FM43" i="1"/>
  <c r="HX43" i="1"/>
  <c r="FV43" i="1"/>
  <c r="HF43" i="1"/>
  <c r="FD43" i="1"/>
  <c r="HR43" i="1"/>
  <c r="DQ43" i="1"/>
  <c r="DB43" i="1"/>
  <c r="DH43" i="1"/>
  <c r="EF43" i="1"/>
  <c r="DW43" i="1"/>
  <c r="DT43" i="1"/>
  <c r="DE43" i="1"/>
  <c r="DK43" i="1"/>
  <c r="FG44" i="1"/>
  <c r="GK44" i="1"/>
  <c r="HL44" i="1"/>
  <c r="GQ44" i="1"/>
  <c r="FP44" i="1"/>
  <c r="FY44" i="1"/>
  <c r="EO44" i="1"/>
  <c r="HX44" i="1"/>
  <c r="EF44" i="1"/>
  <c r="DT44" i="1"/>
  <c r="DK44" i="1"/>
  <c r="EU44" i="1"/>
  <c r="EL44" i="1"/>
  <c r="HO43" i="1"/>
  <c r="ER43" i="1"/>
  <c r="EX43" i="1"/>
  <c r="HU43" i="1"/>
  <c r="FY43" i="1"/>
  <c r="GN44" i="1"/>
  <c r="HR44" i="1"/>
  <c r="FA44" i="1"/>
  <c r="FD44" i="1"/>
  <c r="FV44" i="1"/>
  <c r="DE44" i="1"/>
  <c r="EI44" i="1"/>
  <c r="FS44" i="1"/>
  <c r="HO44" i="1"/>
  <c r="HI44" i="1"/>
  <c r="DQ44" i="1"/>
  <c r="ER44" i="1"/>
  <c r="DZ44" i="1"/>
  <c r="FM44" i="1"/>
  <c r="HC44" i="1"/>
  <c r="GH44" i="1"/>
  <c r="DB44" i="1"/>
  <c r="GB44" i="1"/>
  <c r="FJ44" i="1"/>
  <c r="DW44" i="1"/>
  <c r="GT44" i="1"/>
  <c r="GW44" i="1"/>
  <c r="GE44" i="1"/>
  <c r="GZ44" i="1"/>
  <c r="HF44" i="1"/>
  <c r="EC44" i="1"/>
  <c r="EX44" i="1"/>
  <c r="DN44" i="1"/>
  <c r="FA43" i="1"/>
  <c r="GE43" i="1"/>
  <c r="EO45" i="1"/>
  <c r="GW45" i="1"/>
  <c r="EI45" i="1"/>
  <c r="DW45" i="1"/>
  <c r="FY45" i="1"/>
  <c r="HL45" i="1"/>
  <c r="GT43" i="1"/>
  <c r="HX45" i="1"/>
  <c r="EX45" i="1"/>
  <c r="GZ45" i="1"/>
  <c r="GK45" i="1"/>
  <c r="FA45" i="1"/>
  <c r="GB45" i="1"/>
  <c r="DN45" i="1"/>
  <c r="FM45" i="1"/>
  <c r="EC45" i="1"/>
  <c r="DB45" i="1"/>
  <c r="HO45" i="1"/>
  <c r="DQ45" i="1"/>
  <c r="ER45" i="1"/>
  <c r="GQ45" i="1"/>
  <c r="FG45" i="1"/>
  <c r="HI43" i="1"/>
  <c r="EF45" i="1"/>
  <c r="HI45" i="1"/>
  <c r="GE45" i="1"/>
  <c r="HF45" i="1"/>
  <c r="DH45" i="1"/>
  <c r="HU45" i="1"/>
  <c r="FJ45" i="1"/>
  <c r="GN45" i="1"/>
  <c r="FD45" i="1"/>
  <c r="HC45" i="1"/>
  <c r="DE45" i="1"/>
  <c r="EU45" i="1"/>
  <c r="FV45" i="1"/>
  <c r="EL45" i="1"/>
  <c r="DZ45" i="1"/>
  <c r="HR45" i="1"/>
  <c r="GH45" i="1"/>
  <c r="DT45" i="1"/>
  <c r="FS45" i="1"/>
  <c r="GT45" i="1"/>
  <c r="DK45" i="1"/>
  <c r="GW43" i="1"/>
  <c r="GQ62" i="1"/>
  <c r="DB62" i="1"/>
  <c r="FS62" i="1"/>
  <c r="HX62" i="1"/>
  <c r="EI62" i="1"/>
  <c r="GW62" i="1"/>
  <c r="FA62" i="1"/>
  <c r="EC62" i="1"/>
  <c r="GE62" i="1"/>
  <c r="GK62" i="1"/>
  <c r="FG62" i="1"/>
  <c r="GT62" i="1"/>
  <c r="DZ62" i="1"/>
  <c r="HU62" i="1"/>
  <c r="HO62" i="1"/>
  <c r="GN62" i="1"/>
  <c r="EF62" i="1"/>
  <c r="FM62" i="1"/>
  <c r="HC62" i="1"/>
  <c r="EU62" i="1"/>
  <c r="FJ62" i="1"/>
  <c r="FD62" i="1"/>
  <c r="DT62" i="1"/>
  <c r="HI62" i="1"/>
  <c r="EL62" i="1"/>
  <c r="HL62" i="1"/>
  <c r="FV62" i="1"/>
  <c r="FP62" i="1"/>
  <c r="DH62" i="1"/>
  <c r="DQ62" i="1"/>
  <c r="GH62" i="1"/>
  <c r="EX62" i="1"/>
  <c r="FY62" i="1"/>
  <c r="GZ62" i="1"/>
  <c r="DW62" i="1"/>
  <c r="GB62" i="1"/>
  <c r="DK62" i="1"/>
  <c r="EO62" i="1"/>
  <c r="HF62" i="1"/>
  <c r="ER62" i="1"/>
  <c r="DN62" i="1"/>
  <c r="DE62" i="1"/>
  <c r="GQ69" i="1"/>
  <c r="EL69" i="1"/>
  <c r="DK69" i="1"/>
  <c r="DH69" i="1"/>
  <c r="EU69" i="1"/>
  <c r="DB69" i="1"/>
  <c r="DT69" i="1"/>
  <c r="HF69" i="1"/>
  <c r="GZ69" i="1"/>
  <c r="DZ69" i="1"/>
  <c r="GK69" i="1"/>
  <c r="FD69" i="1"/>
  <c r="FM69" i="1"/>
  <c r="GB69" i="1"/>
  <c r="FJ69" i="1"/>
  <c r="GN69" i="1"/>
  <c r="FG69" i="1"/>
  <c r="HI69" i="1"/>
  <c r="EX69" i="1"/>
  <c r="FS69" i="1"/>
  <c r="ER69" i="1"/>
  <c r="GE69" i="1"/>
  <c r="DW69" i="1"/>
  <c r="FV69" i="1"/>
  <c r="DN69" i="1"/>
  <c r="HC69" i="1"/>
  <c r="EC69" i="1"/>
  <c r="FA69" i="1"/>
  <c r="GH69" i="1"/>
  <c r="GT69" i="1"/>
  <c r="FY69" i="1"/>
  <c r="EF69" i="1"/>
  <c r="HL69" i="1"/>
  <c r="HX69" i="1"/>
  <c r="EO69" i="1"/>
  <c r="DE69" i="1"/>
  <c r="FP69" i="1"/>
  <c r="GW69" i="1"/>
  <c r="DQ69" i="1"/>
  <c r="EI69" i="1"/>
  <c r="HR69" i="1"/>
  <c r="DH59" i="1"/>
  <c r="FP59" i="1"/>
  <c r="GE59" i="1"/>
  <c r="DB59" i="1"/>
  <c r="EC59" i="1"/>
  <c r="FM59" i="1"/>
  <c r="GZ59" i="1"/>
  <c r="ER59" i="1"/>
  <c r="GT59" i="1"/>
  <c r="DZ59" i="1"/>
  <c r="HX59" i="1"/>
  <c r="DE59" i="1"/>
  <c r="EO59" i="1"/>
  <c r="FD59" i="1"/>
  <c r="EF59" i="1"/>
  <c r="GN59" i="1"/>
  <c r="FG59" i="1"/>
  <c r="GB59" i="1"/>
  <c r="HF59" i="1"/>
  <c r="DW59" i="1"/>
  <c r="EU59" i="1"/>
  <c r="GH59" i="1"/>
  <c r="FY59" i="1"/>
  <c r="FJ59" i="1"/>
  <c r="EL59" i="1"/>
  <c r="HR59" i="1"/>
  <c r="DK59" i="1"/>
  <c r="GK59" i="1"/>
  <c r="EX59" i="1"/>
  <c r="GQ59" i="1"/>
  <c r="FS59" i="1"/>
  <c r="EI59" i="1"/>
  <c r="HC59" i="1"/>
  <c r="FA59" i="1"/>
  <c r="GW59" i="1"/>
  <c r="DT59" i="1"/>
  <c r="DN59" i="1"/>
  <c r="FV59" i="1"/>
  <c r="DQ59" i="1"/>
  <c r="HI59" i="1"/>
  <c r="HL59" i="1"/>
  <c r="GK72" i="1"/>
  <c r="ER82" i="1"/>
  <c r="EX82" i="1"/>
  <c r="FV82" i="1"/>
  <c r="DE82" i="1"/>
  <c r="DN82" i="1"/>
  <c r="FP82" i="1"/>
  <c r="GZ82" i="1"/>
  <c r="EC82" i="1"/>
  <c r="GQ82" i="1"/>
  <c r="FD82" i="1"/>
  <c r="DW82" i="1"/>
  <c r="FY82" i="1"/>
  <c r="FG82" i="1"/>
  <c r="EU82" i="1"/>
  <c r="GT82" i="1"/>
  <c r="DT82" i="1"/>
  <c r="GN82" i="1"/>
  <c r="GB82" i="1"/>
  <c r="DZ82" i="1"/>
  <c r="GH82" i="1"/>
  <c r="HF82" i="1"/>
  <c r="FM82" i="1"/>
  <c r="EL82" i="1"/>
  <c r="FA82" i="1"/>
  <c r="DK82" i="1"/>
  <c r="GW82" i="1"/>
  <c r="EO82" i="1"/>
  <c r="EF82" i="1"/>
  <c r="EI82" i="1"/>
  <c r="FS82" i="1"/>
  <c r="FJ82" i="1"/>
  <c r="DQ82" i="1"/>
  <c r="GK82" i="1"/>
  <c r="DH82" i="1"/>
  <c r="DB82" i="1"/>
  <c r="GE82" i="1"/>
  <c r="HI82" i="1"/>
  <c r="HL82" i="1"/>
  <c r="HU82" i="1"/>
  <c r="HR82" i="1"/>
  <c r="HC82" i="1"/>
  <c r="HO82" i="1"/>
  <c r="HR92" i="1"/>
  <c r="EL92" i="1"/>
  <c r="DN92" i="1"/>
  <c r="FV92" i="1"/>
  <c r="FD92" i="1"/>
  <c r="GN92" i="1"/>
  <c r="HX92" i="1"/>
  <c r="DH92" i="1"/>
  <c r="EX92" i="1"/>
  <c r="FG92" i="1"/>
  <c r="EF92" i="1"/>
  <c r="GE92" i="1"/>
  <c r="GB92" i="1"/>
  <c r="HL92" i="1"/>
  <c r="DW92" i="1"/>
  <c r="HU92" i="1"/>
  <c r="GW92" i="1"/>
  <c r="ER92" i="1"/>
  <c r="GT92" i="1"/>
  <c r="FM92" i="1"/>
  <c r="FS92" i="1"/>
  <c r="HF92" i="1"/>
  <c r="EI92" i="1"/>
  <c r="HI92" i="1"/>
  <c r="GK92" i="1"/>
  <c r="FJ92" i="1"/>
  <c r="DQ92" i="1"/>
  <c r="EU92" i="1"/>
  <c r="FP92" i="1"/>
  <c r="GQ92" i="1"/>
  <c r="DT92" i="1"/>
  <c r="DE92" i="1"/>
  <c r="EC92" i="1"/>
  <c r="DB92" i="1"/>
  <c r="BA92" i="1" s="1"/>
  <c r="EO92" i="1"/>
  <c r="FA92" i="1"/>
  <c r="DZ92" i="1"/>
  <c r="GH92" i="1"/>
  <c r="DK92" i="1"/>
  <c r="GZ92" i="1"/>
  <c r="FY92" i="1"/>
  <c r="HC92" i="1"/>
  <c r="HX67" i="1"/>
  <c r="HU67" i="1"/>
  <c r="HX68" i="1"/>
  <c r="HU68" i="1"/>
  <c r="HR67" i="1"/>
  <c r="HR68" i="1"/>
  <c r="HL68" i="1"/>
  <c r="HO8" i="1"/>
  <c r="HO23" i="1"/>
  <c r="HO12" i="1"/>
  <c r="HO24" i="1"/>
  <c r="HO59" i="1"/>
  <c r="HO34" i="1"/>
  <c r="HO56" i="1"/>
  <c r="HO18" i="1"/>
  <c r="HO10" i="1"/>
  <c r="HO26" i="1"/>
  <c r="HO11" i="1"/>
  <c r="HO69" i="1"/>
  <c r="HO25" i="1"/>
  <c r="HO33" i="1"/>
  <c r="HL67" i="1"/>
  <c r="HI67" i="1"/>
  <c r="HC68" i="1"/>
  <c r="GH67" i="1"/>
  <c r="FD67" i="1"/>
  <c r="GE67" i="1"/>
  <c r="FA67" i="1"/>
  <c r="DW67" i="1"/>
  <c r="FG67" i="1"/>
  <c r="GW67" i="1"/>
  <c r="FM67" i="1"/>
  <c r="GT67" i="1"/>
  <c r="EC67" i="1"/>
  <c r="EL67" i="1"/>
  <c r="FV67" i="1"/>
  <c r="DT67" i="1"/>
  <c r="DB67" i="1"/>
  <c r="FJ67" i="1"/>
  <c r="EO67" i="1"/>
  <c r="FS67" i="1"/>
  <c r="DE67" i="1"/>
  <c r="HC67" i="1"/>
  <c r="GN67" i="1"/>
  <c r="DK67" i="1"/>
  <c r="EX67" i="1"/>
  <c r="DH67" i="1"/>
  <c r="GQ67" i="1"/>
  <c r="EF67" i="1"/>
  <c r="GZ67" i="1"/>
  <c r="ER67" i="1"/>
  <c r="FY67" i="1"/>
  <c r="DQ67" i="1"/>
  <c r="GB67" i="1"/>
  <c r="EI67" i="1"/>
  <c r="HF67" i="1"/>
  <c r="DZ67" i="1"/>
  <c r="DN67" i="1"/>
  <c r="EU67" i="1"/>
  <c r="FP67" i="1"/>
  <c r="GK67" i="1"/>
  <c r="GE68" i="1"/>
  <c r="GZ68" i="1"/>
  <c r="GN68" i="1"/>
  <c r="DZ68" i="1"/>
  <c r="HF68" i="1"/>
  <c r="FM68" i="1"/>
  <c r="FY68" i="1"/>
  <c r="GQ68" i="1"/>
  <c r="FA68" i="1"/>
  <c r="FJ68" i="1"/>
  <c r="DK68" i="1"/>
  <c r="EF68" i="1"/>
  <c r="GK68" i="1"/>
  <c r="DT68" i="1"/>
  <c r="GH68" i="1"/>
  <c r="EC68" i="1"/>
  <c r="EL68" i="1"/>
  <c r="GW68" i="1"/>
  <c r="GT68" i="1"/>
  <c r="DH68" i="1"/>
  <c r="EU68" i="1"/>
  <c r="GB68" i="1"/>
  <c r="FS68" i="1"/>
  <c r="EO68" i="1"/>
  <c r="DN68" i="1"/>
  <c r="ER68" i="1"/>
  <c r="DB68" i="1"/>
  <c r="FG68" i="1"/>
  <c r="DE68" i="1"/>
  <c r="EI68" i="1"/>
  <c r="EX68" i="1"/>
  <c r="FV68" i="1"/>
  <c r="FD68" i="1"/>
  <c r="DQ68" i="1"/>
  <c r="DW68" i="1"/>
  <c r="HI68" i="1"/>
  <c r="IM92" i="1" l="1"/>
  <c r="IM100" i="1" s="1"/>
  <c r="IJ70" i="1"/>
  <c r="IJ100" i="1" s="1"/>
  <c r="IG70" i="1"/>
  <c r="IG100" i="1" s="1"/>
  <c r="IA70" i="1"/>
  <c r="IA100" i="1" s="1"/>
  <c r="ID70" i="1"/>
  <c r="ID100" i="1" s="1"/>
  <c r="HR70" i="1"/>
  <c r="GZ70" i="1"/>
  <c r="GQ70" i="1"/>
  <c r="FM70" i="1"/>
  <c r="DQ70" i="1"/>
  <c r="FS70" i="1"/>
  <c r="GK70" i="1"/>
  <c r="DZ70" i="1"/>
  <c r="EX70" i="1"/>
  <c r="GB70" i="1"/>
  <c r="DE70" i="1"/>
  <c r="DW70" i="1"/>
  <c r="FY70" i="1"/>
  <c r="DB70" i="1"/>
  <c r="FP70" i="1"/>
  <c r="HF70" i="1"/>
  <c r="GT70" i="1"/>
  <c r="DT70" i="1"/>
  <c r="DK70" i="1"/>
  <c r="ER70" i="1"/>
  <c r="GH70" i="1"/>
  <c r="HU70" i="1"/>
  <c r="HL70" i="1"/>
  <c r="GW70" i="1"/>
  <c r="FA70" i="1"/>
  <c r="EC70" i="1"/>
  <c r="HO70" i="1"/>
  <c r="HC70" i="1"/>
  <c r="EU70" i="1"/>
  <c r="FV70" i="1"/>
  <c r="FD70" i="1"/>
  <c r="DH70" i="1"/>
  <c r="EI70" i="1"/>
  <c r="DN70" i="1"/>
  <c r="HX70" i="1"/>
  <c r="EF70" i="1"/>
  <c r="GE70" i="1"/>
  <c r="FJ70" i="1"/>
  <c r="FG70" i="1"/>
  <c r="GN70" i="1"/>
  <c r="EO70" i="1"/>
  <c r="HI70" i="1"/>
  <c r="EL70" i="1"/>
  <c r="F94" i="2"/>
  <c r="EL72" i="1"/>
  <c r="GZ72" i="1"/>
  <c r="HF72" i="1"/>
  <c r="GE72" i="1"/>
  <c r="DB72" i="1"/>
  <c r="DW72" i="1"/>
  <c r="HL72" i="1"/>
  <c r="DT72" i="1"/>
  <c r="HO72" i="1"/>
  <c r="FY72" i="1"/>
  <c r="HI72" i="1"/>
  <c r="EC72" i="1"/>
  <c r="ER72" i="1"/>
  <c r="GH72" i="1"/>
  <c r="FM72" i="1"/>
  <c r="FS72" i="1"/>
  <c r="GN72" i="1"/>
  <c r="HC72" i="1"/>
  <c r="EI72" i="1"/>
  <c r="FA72" i="1"/>
  <c r="DK72" i="1"/>
  <c r="EX72" i="1"/>
  <c r="FJ72" i="1"/>
  <c r="HU72" i="1"/>
  <c r="FV72" i="1"/>
  <c r="GT72" i="1"/>
  <c r="DQ72" i="1"/>
  <c r="EO72" i="1"/>
  <c r="DN72" i="1"/>
  <c r="DZ72" i="1"/>
  <c r="EF72" i="1"/>
  <c r="FD72" i="1"/>
  <c r="DH72" i="1"/>
  <c r="GB72" i="1"/>
  <c r="DE72" i="1"/>
  <c r="HR72" i="1"/>
  <c r="GQ72" i="1"/>
  <c r="GW72" i="1"/>
  <c r="FP72" i="1"/>
  <c r="HX72" i="1"/>
  <c r="EU72" i="1"/>
  <c r="FG72" i="1"/>
  <c r="HO67" i="1"/>
  <c r="HO68" i="1"/>
  <c r="E43" i="8" l="1"/>
  <c r="E44" i="8"/>
  <c r="D44" i="8"/>
  <c r="C44" i="8"/>
  <c r="C43" i="8"/>
  <c r="D43" i="8"/>
  <c r="Z20" i="2" l="1"/>
  <c r="AA20" i="2"/>
  <c r="AB20" i="2"/>
  <c r="AA45" i="2"/>
  <c r="Z45" i="2"/>
  <c r="AB45" i="2"/>
  <c r="C41" i="8"/>
  <c r="E42" i="8"/>
  <c r="D41" i="8"/>
  <c r="E41" i="8"/>
  <c r="C42" i="8"/>
  <c r="D42" i="8"/>
  <c r="E40" i="8"/>
  <c r="C40" i="8"/>
  <c r="D40" i="8"/>
  <c r="Q48" i="9"/>
  <c r="Q47" i="9"/>
  <c r="Z9" i="2" l="1"/>
  <c r="AB9" i="2"/>
  <c r="AA53" i="2"/>
  <c r="Z53" i="2"/>
  <c r="AB28" i="2"/>
  <c r="AA28" i="2"/>
  <c r="AB53" i="2"/>
  <c r="Z28" i="2"/>
  <c r="AA9" i="2"/>
  <c r="R48" i="9"/>
  <c r="Y48" i="9"/>
  <c r="R47" i="9"/>
  <c r="Y47" i="9"/>
  <c r="U41" i="8" l="1"/>
  <c r="U29" i="8"/>
  <c r="U16" i="8"/>
  <c r="U28" i="8"/>
  <c r="U40" i="8"/>
  <c r="U45" i="8"/>
  <c r="U10" i="8"/>
  <c r="AL46" i="2" l="1"/>
  <c r="AL64" i="2"/>
  <c r="AL9" i="2"/>
  <c r="AL32" i="2"/>
  <c r="AL28" i="2"/>
  <c r="AL21" i="2"/>
  <c r="AL14" i="2"/>
  <c r="AL31" i="2"/>
  <c r="U26" i="8"/>
  <c r="U9" i="8"/>
  <c r="U3" i="8"/>
  <c r="U20" i="8"/>
  <c r="U34" i="8"/>
  <c r="U32" i="8"/>
  <c r="U38" i="8"/>
  <c r="U46" i="8"/>
  <c r="U44" i="8"/>
  <c r="U25" i="8"/>
  <c r="U17" i="8"/>
  <c r="U24" i="8"/>
  <c r="U36" i="8"/>
  <c r="U37" i="8"/>
  <c r="U21" i="8"/>
  <c r="U8" i="8"/>
  <c r="U33" i="8"/>
  <c r="U22" i="8"/>
  <c r="U15" i="8"/>
  <c r="U7" i="8"/>
  <c r="U6" i="8"/>
  <c r="U14" i="8"/>
  <c r="U4" i="8"/>
  <c r="U27" i="8"/>
  <c r="U39" i="8"/>
  <c r="U19" i="8"/>
  <c r="U13" i="8"/>
  <c r="U12" i="8"/>
  <c r="U11" i="8"/>
  <c r="U23" i="8"/>
  <c r="U35" i="8"/>
  <c r="U18" i="8"/>
  <c r="U30" i="8"/>
  <c r="U42" i="8"/>
  <c r="U31" i="8"/>
  <c r="U43" i="8"/>
  <c r="AL41" i="2" l="1"/>
  <c r="AL40" i="2"/>
  <c r="AL39" i="2"/>
  <c r="AL50" i="2"/>
  <c r="AL45" i="2"/>
  <c r="AL38" i="2"/>
  <c r="AL47" i="2"/>
  <c r="AL48" i="2"/>
  <c r="AL36" i="2"/>
  <c r="AL15" i="2"/>
  <c r="AL53" i="2"/>
  <c r="AL33" i="2"/>
  <c r="AL37" i="2"/>
  <c r="AL25" i="2"/>
  <c r="AL49" i="2"/>
  <c r="AL30" i="2"/>
  <c r="AL24" i="2"/>
  <c r="AL13" i="2"/>
  <c r="AL29" i="2"/>
  <c r="AL35" i="2"/>
  <c r="AL12" i="2"/>
  <c r="AL11" i="2"/>
  <c r="AL44" i="2"/>
  <c r="AL18" i="2"/>
  <c r="AL16" i="2"/>
  <c r="AL52" i="2"/>
  <c r="AL8" i="2"/>
  <c r="AL34" i="2"/>
  <c r="AL51" i="2"/>
  <c r="AL26" i="2"/>
  <c r="AL27" i="2"/>
  <c r="AL22" i="2"/>
  <c r="AL23" i="2"/>
  <c r="AL7" i="2"/>
  <c r="AL17" i="2"/>
  <c r="AL10" i="2"/>
  <c r="AL19" i="2"/>
  <c r="AL6" i="2"/>
  <c r="G51" i="9"/>
  <c r="I36" i="6" l="1"/>
  <c r="I72" i="6"/>
  <c r="I108" i="6"/>
  <c r="I180" i="6"/>
  <c r="I33" i="6"/>
  <c r="I117" i="6"/>
  <c r="I10" i="6"/>
  <c r="I94" i="6"/>
  <c r="G61" i="2" s="1"/>
  <c r="I166" i="6"/>
  <c r="I137" i="6"/>
  <c r="I161" i="6"/>
  <c r="I25" i="6"/>
  <c r="I55" i="6"/>
  <c r="I97" i="6"/>
  <c r="I133" i="6"/>
  <c r="I169" i="6"/>
  <c r="I63" i="6"/>
  <c r="I40" i="6"/>
  <c r="I124" i="6"/>
  <c r="I160" i="6"/>
  <c r="I95" i="6"/>
  <c r="I8" i="6"/>
  <c r="I44" i="6"/>
  <c r="I80" i="6"/>
  <c r="I170" i="6"/>
  <c r="I188" i="6"/>
  <c r="I70" i="6"/>
  <c r="I136" i="6"/>
  <c r="I172" i="6"/>
  <c r="I89" i="6"/>
  <c r="I191" i="6"/>
  <c r="I157" i="6"/>
  <c r="I91" i="6"/>
  <c r="I112" i="6"/>
  <c r="I129" i="6"/>
  <c r="I85" i="6"/>
  <c r="I54" i="6"/>
  <c r="G43" i="2" s="1"/>
  <c r="I84" i="6"/>
  <c r="I113" i="6"/>
  <c r="I184" i="6"/>
  <c r="I123" i="6"/>
  <c r="I57" i="6"/>
  <c r="I187" i="6"/>
  <c r="I73" i="6"/>
  <c r="I90" i="6"/>
  <c r="I122" i="6"/>
  <c r="I7" i="6"/>
  <c r="I138" i="6"/>
  <c r="I167" i="6"/>
  <c r="I35" i="6"/>
  <c r="I105" i="6"/>
  <c r="I146" i="6"/>
  <c r="I164" i="6"/>
  <c r="I181" i="6"/>
  <c r="I17" i="6"/>
  <c r="I66" i="6"/>
  <c r="I120" i="6"/>
  <c r="I51" i="6"/>
  <c r="G83" i="2" s="1"/>
  <c r="I87" i="6"/>
  <c r="I14" i="6"/>
  <c r="I16" i="6"/>
  <c r="I46" i="6"/>
  <c r="I52" i="6"/>
  <c r="I93" i="6"/>
  <c r="I75" i="6"/>
  <c r="I48" i="6"/>
  <c r="I60" i="6"/>
  <c r="I64" i="6"/>
  <c r="I82" i="6"/>
  <c r="I13" i="6"/>
  <c r="I49" i="6"/>
  <c r="G87" i="2" s="1"/>
  <c r="I67" i="6"/>
  <c r="I69" i="6"/>
  <c r="I79" i="6"/>
  <c r="I88" i="6"/>
  <c r="I102" i="6"/>
  <c r="I109" i="6"/>
  <c r="I104" i="6"/>
  <c r="I132" i="6"/>
  <c r="I78" i="6"/>
  <c r="I130" i="6"/>
  <c r="I98" i="6"/>
  <c r="I101" i="6"/>
  <c r="I116" i="6"/>
  <c r="G78" i="2" s="1"/>
  <c r="I119" i="6"/>
  <c r="I128" i="6"/>
  <c r="I163" i="6"/>
  <c r="I42" i="6"/>
  <c r="I43" i="6"/>
  <c r="I45" i="6"/>
  <c r="I58" i="6"/>
  <c r="I76" i="6"/>
  <c r="I81" i="6"/>
  <c r="I107" i="6"/>
  <c r="I115" i="6"/>
  <c r="I151" i="6"/>
  <c r="I176" i="6"/>
  <c r="I150" i="6"/>
  <c r="I175" i="6"/>
  <c r="I190" i="6"/>
  <c r="I30" i="6"/>
  <c r="I12" i="6"/>
  <c r="I39" i="6"/>
  <c r="I11" i="6"/>
  <c r="I20" i="6"/>
  <c r="I37" i="6"/>
  <c r="I121" i="6"/>
  <c r="I27" i="6"/>
  <c r="I99" i="6"/>
  <c r="I38" i="6"/>
  <c r="I96" i="6"/>
  <c r="I100" i="6"/>
  <c r="I103" i="6"/>
  <c r="I110" i="6"/>
  <c r="I125" i="6"/>
  <c r="I131" i="6"/>
  <c r="I111" i="6"/>
  <c r="G76" i="2" s="1"/>
  <c r="I106" i="6"/>
  <c r="I127" i="6"/>
  <c r="I139" i="6"/>
  <c r="I149" i="6"/>
  <c r="I135" i="6"/>
  <c r="I41" i="6"/>
  <c r="I47" i="6"/>
  <c r="I50" i="6"/>
  <c r="I53" i="6"/>
  <c r="I56" i="6"/>
  <c r="I59" i="6"/>
  <c r="I65" i="6"/>
  <c r="I68" i="6"/>
  <c r="I71" i="6"/>
  <c r="I74" i="6"/>
  <c r="I77" i="6"/>
  <c r="I83" i="6"/>
  <c r="I86" i="6"/>
  <c r="I92" i="6"/>
  <c r="I118" i="6"/>
  <c r="I126" i="6"/>
  <c r="I152" i="6"/>
  <c r="I159" i="6"/>
  <c r="I114" i="6"/>
  <c r="I134" i="6"/>
  <c r="I156" i="6"/>
  <c r="I171" i="6"/>
  <c r="I158" i="6"/>
  <c r="I165" i="6"/>
  <c r="I174" i="6"/>
  <c r="I179" i="6"/>
  <c r="I162" i="6"/>
  <c r="I168" i="6"/>
  <c r="I173" i="6"/>
  <c r="I182" i="6"/>
  <c r="I186" i="6"/>
  <c r="I185" i="6"/>
  <c r="I189" i="6"/>
  <c r="I183" i="6"/>
  <c r="G65" i="2" l="1"/>
  <c r="IK65" i="1" s="1"/>
  <c r="G79" i="2"/>
  <c r="IN79" i="1" s="1"/>
  <c r="IN87" i="1"/>
  <c r="IK87" i="1"/>
  <c r="IK76" i="1"/>
  <c r="IN76" i="1"/>
  <c r="IN78" i="1"/>
  <c r="IK78" i="1"/>
  <c r="IN83" i="1"/>
  <c r="IK83" i="1"/>
  <c r="G77" i="2"/>
  <c r="G64" i="2"/>
  <c r="I143" i="6"/>
  <c r="Q35" i="9"/>
  <c r="I177" i="6"/>
  <c r="Q46" i="9"/>
  <c r="I148" i="6"/>
  <c r="Q40" i="9"/>
  <c r="I154" i="6"/>
  <c r="Q42" i="9"/>
  <c r="Q12" i="9"/>
  <c r="I32" i="6"/>
  <c r="Q7" i="9"/>
  <c r="I9" i="6"/>
  <c r="I34" i="6"/>
  <c r="Q30" i="9"/>
  <c r="I145" i="6"/>
  <c r="Q33" i="9"/>
  <c r="I142" i="6"/>
  <c r="Q34" i="9"/>
  <c r="Q19" i="9"/>
  <c r="I31" i="6"/>
  <c r="G51" i="2" s="1"/>
  <c r="I6" i="6"/>
  <c r="Q5" i="9"/>
  <c r="Y5" i="9" s="1"/>
  <c r="AB5" i="9" s="1"/>
  <c r="Q17" i="9"/>
  <c r="I23" i="6"/>
  <c r="Q11" i="9"/>
  <c r="I24" i="6"/>
  <c r="Q8" i="9"/>
  <c r="I15" i="6"/>
  <c r="I178" i="6"/>
  <c r="Q44" i="9"/>
  <c r="Q38" i="9"/>
  <c r="I147" i="6"/>
  <c r="I140" i="6"/>
  <c r="Q31" i="9"/>
  <c r="Q10" i="9"/>
  <c r="I19" i="6"/>
  <c r="G8" i="2" s="1"/>
  <c r="Q41" i="9"/>
  <c r="I153" i="6"/>
  <c r="Q32" i="9"/>
  <c r="I141" i="6"/>
  <c r="Q16" i="9"/>
  <c r="I22" i="6"/>
  <c r="Q18" i="9"/>
  <c r="I28" i="6"/>
  <c r="I155" i="6"/>
  <c r="Q43" i="9"/>
  <c r="I21" i="6"/>
  <c r="Q15" i="9"/>
  <c r="I29" i="6"/>
  <c r="Q27" i="9"/>
  <c r="Q25" i="9"/>
  <c r="I26" i="6"/>
  <c r="G15" i="2" s="1"/>
  <c r="Q9" i="9"/>
  <c r="I18" i="6"/>
  <c r="I144" i="6"/>
  <c r="Q37" i="9"/>
  <c r="I5" i="6"/>
  <c r="I1" i="6"/>
  <c r="IN65" i="1" l="1"/>
  <c r="IK79" i="1"/>
  <c r="IN15" i="1"/>
  <c r="IK15" i="1"/>
  <c r="IK64" i="1"/>
  <c r="IN64" i="1"/>
  <c r="IK77" i="1"/>
  <c r="IN77" i="1"/>
  <c r="IK9" i="1"/>
  <c r="IN9" i="1"/>
  <c r="IN47" i="1"/>
  <c r="IK47" i="1"/>
  <c r="G59" i="2"/>
  <c r="IB59" i="1" s="1"/>
  <c r="G6" i="2"/>
  <c r="EM6" i="1" s="1"/>
  <c r="G19" i="2"/>
  <c r="DR19" i="1" s="1"/>
  <c r="G17" i="2"/>
  <c r="FZ17" i="1" s="1"/>
  <c r="G14" i="2"/>
  <c r="G81" i="2"/>
  <c r="G13" i="2"/>
  <c r="G93" i="2"/>
  <c r="G40" i="2"/>
  <c r="G10" i="2"/>
  <c r="G4" i="2"/>
  <c r="G18" i="2"/>
  <c r="G47" i="2"/>
  <c r="G85" i="2"/>
  <c r="EV85" i="1" s="1"/>
  <c r="G91" i="2"/>
  <c r="G46" i="2"/>
  <c r="G45" i="2"/>
  <c r="G90" i="2"/>
  <c r="G23" i="2"/>
  <c r="G52" i="2"/>
  <c r="EY48" i="1" s="1"/>
  <c r="G69" i="2"/>
  <c r="G72" i="2"/>
  <c r="GX77" i="1"/>
  <c r="G67" i="2"/>
  <c r="G60" i="2"/>
  <c r="G88" i="2"/>
  <c r="GF88" i="1" s="1"/>
  <c r="G42" i="2"/>
  <c r="IH47" i="1"/>
  <c r="G37" i="2"/>
  <c r="G62" i="2"/>
  <c r="G9" i="2"/>
  <c r="G21" i="2"/>
  <c r="G26" i="2"/>
  <c r="G31" i="2"/>
  <c r="G92" i="2"/>
  <c r="G70" i="2"/>
  <c r="GO79" i="1"/>
  <c r="G55" i="2"/>
  <c r="G20" i="2"/>
  <c r="G30" i="2"/>
  <c r="G38" i="2"/>
  <c r="G12" i="2"/>
  <c r="G63" i="2"/>
  <c r="G7" i="2"/>
  <c r="G82" i="2"/>
  <c r="G24" i="2"/>
  <c r="G32" i="2"/>
  <c r="G16" i="2"/>
  <c r="G44" i="2"/>
  <c r="G39" i="2"/>
  <c r="G74" i="2"/>
  <c r="G71" i="2"/>
  <c r="IH78" i="1"/>
  <c r="G66" i="2"/>
  <c r="IE87" i="1"/>
  <c r="G11" i="2"/>
  <c r="G75" i="2"/>
  <c r="G22" i="2"/>
  <c r="G84" i="2"/>
  <c r="G27" i="2"/>
  <c r="G33" i="2"/>
  <c r="G29" i="2"/>
  <c r="DC83" i="1"/>
  <c r="DC64" i="1"/>
  <c r="G73" i="2"/>
  <c r="EY76" i="1"/>
  <c r="G80" i="2"/>
  <c r="G54" i="2"/>
  <c r="G36" i="2"/>
  <c r="G41" i="2"/>
  <c r="G28" i="2"/>
  <c r="G58" i="2"/>
  <c r="G50" i="2"/>
  <c r="G34" i="2"/>
  <c r="G25" i="2"/>
  <c r="G89" i="2"/>
  <c r="G68" i="2"/>
  <c r="G56" i="2"/>
  <c r="G57" i="2"/>
  <c r="G86" i="2"/>
  <c r="G53" i="2"/>
  <c r="G35" i="2"/>
  <c r="IB65" i="1"/>
  <c r="HV15" i="1"/>
  <c r="IB15" i="1"/>
  <c r="IE15" i="1"/>
  <c r="IH15" i="1"/>
  <c r="HV9" i="1"/>
  <c r="IB9" i="1"/>
  <c r="IE9" i="1"/>
  <c r="IH9" i="1"/>
  <c r="G49" i="2"/>
  <c r="G48" i="2"/>
  <c r="HV47" i="1"/>
  <c r="EA47" i="1"/>
  <c r="GL47" i="1"/>
  <c r="DC15" i="1"/>
  <c r="HY15" i="1"/>
  <c r="GL15" i="1"/>
  <c r="FB9" i="1"/>
  <c r="DX9" i="1"/>
  <c r="DR9" i="1"/>
  <c r="EV9" i="1"/>
  <c r="GO9" i="1"/>
  <c r="DF9" i="1"/>
  <c r="FE9" i="1"/>
  <c r="FH9" i="1"/>
  <c r="FW9" i="1"/>
  <c r="FT9" i="1"/>
  <c r="GI9" i="1"/>
  <c r="GR9" i="1"/>
  <c r="HS9" i="1"/>
  <c r="DU9" i="1"/>
  <c r="HY9" i="1"/>
  <c r="ES9" i="1"/>
  <c r="EG9" i="1"/>
  <c r="ED9" i="1"/>
  <c r="HD9" i="1"/>
  <c r="GL9" i="1"/>
  <c r="GX9" i="1"/>
  <c r="DC9" i="1"/>
  <c r="EM9" i="1"/>
  <c r="EY9" i="1"/>
  <c r="FQ9" i="1"/>
  <c r="DL9" i="1"/>
  <c r="EJ9" i="1"/>
  <c r="HP9" i="1"/>
  <c r="GC9" i="1"/>
  <c r="HJ9" i="1"/>
  <c r="DI9" i="1"/>
  <c r="GU9" i="1"/>
  <c r="DO9" i="1"/>
  <c r="FZ9" i="1"/>
  <c r="FK9" i="1"/>
  <c r="HM9" i="1"/>
  <c r="FN9" i="1"/>
  <c r="EA9" i="1"/>
  <c r="GF9" i="1"/>
  <c r="HA9" i="1"/>
  <c r="HG9" i="1"/>
  <c r="EP9" i="1"/>
  <c r="DL15" i="1"/>
  <c r="HA15" i="1"/>
  <c r="DF15" i="1"/>
  <c r="GR15" i="1"/>
  <c r="DX15" i="1"/>
  <c r="HG19" i="1"/>
  <c r="EJ19" i="1"/>
  <c r="GC19" i="1"/>
  <c r="FT15" i="1"/>
  <c r="GU15" i="1"/>
  <c r="GX15" i="1"/>
  <c r="GF15" i="1"/>
  <c r="HM15" i="1"/>
  <c r="EM15" i="1"/>
  <c r="FB15" i="1"/>
  <c r="FZ15" i="1"/>
  <c r="FW15" i="1"/>
  <c r="HD15" i="1"/>
  <c r="ES15" i="1"/>
  <c r="GO15" i="1"/>
  <c r="HS15" i="1"/>
  <c r="EA15" i="1"/>
  <c r="EV15" i="1"/>
  <c r="EJ15" i="1"/>
  <c r="DU15" i="1"/>
  <c r="DO15" i="1"/>
  <c r="DR15" i="1"/>
  <c r="FH15" i="1"/>
  <c r="FN15" i="1"/>
  <c r="FK15" i="1"/>
  <c r="HG15" i="1"/>
  <c r="GI15" i="1"/>
  <c r="EP15" i="1"/>
  <c r="EY15" i="1"/>
  <c r="FQ15" i="1"/>
  <c r="HP15" i="1"/>
  <c r="DI15" i="1"/>
  <c r="ED15" i="1"/>
  <c r="FE15" i="1"/>
  <c r="HJ15" i="1"/>
  <c r="EG15" i="1"/>
  <c r="GC15" i="1"/>
  <c r="R18" i="9"/>
  <c r="Y18" i="9"/>
  <c r="AB18" i="9" s="1"/>
  <c r="R42" i="9"/>
  <c r="Y42" i="9"/>
  <c r="R41" i="9"/>
  <c r="Y41" i="9"/>
  <c r="R44" i="9"/>
  <c r="Y44" i="9"/>
  <c r="R10" i="9"/>
  <c r="Y10" i="9"/>
  <c r="AB10" i="9" s="1"/>
  <c r="R16" i="9"/>
  <c r="Y16" i="9"/>
  <c r="R27" i="9"/>
  <c r="Y27" i="9"/>
  <c r="AB27" i="9" s="1"/>
  <c r="R31" i="9"/>
  <c r="Y31" i="9"/>
  <c r="R11" i="9"/>
  <c r="Y11" i="9"/>
  <c r="R19" i="9"/>
  <c r="Y19" i="9"/>
  <c r="R43" i="9"/>
  <c r="Y43" i="9"/>
  <c r="R34" i="9"/>
  <c r="Y34" i="9"/>
  <c r="AB34" i="9" s="1"/>
  <c r="R25" i="9"/>
  <c r="Y25" i="9"/>
  <c r="AB25" i="9" s="1"/>
  <c r="R32" i="9"/>
  <c r="Y32" i="9"/>
  <c r="R9" i="9"/>
  <c r="Y9" i="9"/>
  <c r="R8" i="9"/>
  <c r="Y8" i="9"/>
  <c r="AB8" i="9" s="1"/>
  <c r="R7" i="9"/>
  <c r="Y7" i="9"/>
  <c r="R15" i="9"/>
  <c r="Y15" i="9"/>
  <c r="AB15" i="9" s="1"/>
  <c r="R17" i="9"/>
  <c r="Y17" i="9"/>
  <c r="AB17" i="9" s="1"/>
  <c r="R33" i="9"/>
  <c r="Y33" i="9"/>
  <c r="R30" i="9"/>
  <c r="Y30" i="9"/>
  <c r="R40" i="9"/>
  <c r="Y40" i="9"/>
  <c r="R35" i="9"/>
  <c r="Y35" i="9"/>
  <c r="AB35" i="9" s="1"/>
  <c r="R46" i="9"/>
  <c r="Y46" i="9"/>
  <c r="AB46" i="9" s="1"/>
  <c r="R37" i="9"/>
  <c r="Y37" i="9"/>
  <c r="AB37" i="9" s="1"/>
  <c r="R38" i="9"/>
  <c r="Y38" i="9"/>
  <c r="AB38" i="9" s="1"/>
  <c r="R12" i="9"/>
  <c r="Y12" i="9"/>
  <c r="R5" i="9"/>
  <c r="Q51" i="9"/>
  <c r="IH59" i="1" l="1"/>
  <c r="DL19" i="1"/>
  <c r="EV19" i="1"/>
  <c r="GR19" i="1"/>
  <c r="EP19" i="1"/>
  <c r="GL19" i="1"/>
  <c r="FB19" i="1"/>
  <c r="HA19" i="1"/>
  <c r="DU19" i="1"/>
  <c r="HD19" i="1"/>
  <c r="DX19" i="1"/>
  <c r="EA19" i="1"/>
  <c r="FH19" i="1"/>
  <c r="DF19" i="1"/>
  <c r="GI19" i="1"/>
  <c r="DO19" i="1"/>
  <c r="GF19" i="1"/>
  <c r="IB17" i="1"/>
  <c r="HJ19" i="1"/>
  <c r="HM19" i="1"/>
  <c r="FE19" i="1"/>
  <c r="FN19" i="1"/>
  <c r="FZ19" i="1"/>
  <c r="FW19" i="1"/>
  <c r="FK19" i="1"/>
  <c r="FQ19" i="1"/>
  <c r="GO19" i="1"/>
  <c r="FT19" i="1"/>
  <c r="DC19" i="1"/>
  <c r="GX19" i="1"/>
  <c r="ED19" i="1"/>
  <c r="EY19" i="1"/>
  <c r="FW59" i="1"/>
  <c r="IE59" i="1"/>
  <c r="DO6" i="1"/>
  <c r="FN88" i="1"/>
  <c r="FE88" i="1"/>
  <c r="HD48" i="1"/>
  <c r="DI6" i="1"/>
  <c r="GR6" i="1"/>
  <c r="HJ48" i="1"/>
  <c r="FZ88" i="1"/>
  <c r="HA88" i="1"/>
  <c r="GO6" i="1"/>
  <c r="DX6" i="1"/>
  <c r="FH88" i="1"/>
  <c r="FZ6" i="1"/>
  <c r="DC88" i="1"/>
  <c r="GU6" i="1"/>
  <c r="EY88" i="1"/>
  <c r="EJ6" i="1"/>
  <c r="EA88" i="1"/>
  <c r="ES6" i="1"/>
  <c r="GU88" i="1"/>
  <c r="GI6" i="1"/>
  <c r="HS88" i="1"/>
  <c r="HG6" i="1"/>
  <c r="GF6" i="1"/>
  <c r="HM48" i="1"/>
  <c r="FK48" i="1"/>
  <c r="GR88" i="1"/>
  <c r="FT6" i="1"/>
  <c r="EG88" i="1"/>
  <c r="EV6" i="1"/>
  <c r="DF88" i="1"/>
  <c r="DF6" i="1"/>
  <c r="EJ88" i="1"/>
  <c r="ED6" i="1"/>
  <c r="GC6" i="1"/>
  <c r="DC6" i="1"/>
  <c r="DU6" i="1"/>
  <c r="FQ48" i="1"/>
  <c r="FH48" i="1"/>
  <c r="FK88" i="1"/>
  <c r="EG6" i="1"/>
  <c r="HM88" i="1"/>
  <c r="GX6" i="1"/>
  <c r="DU88" i="1"/>
  <c r="FW6" i="1"/>
  <c r="EA6" i="1"/>
  <c r="FH6" i="1"/>
  <c r="FE6" i="1"/>
  <c r="FQ6" i="1"/>
  <c r="FB6" i="1"/>
  <c r="FZ48" i="1"/>
  <c r="GL6" i="1"/>
  <c r="DR6" i="1"/>
  <c r="FB88" i="1"/>
  <c r="HS6" i="1"/>
  <c r="HM6" i="1"/>
  <c r="EP6" i="1"/>
  <c r="HP6" i="1"/>
  <c r="FT88" i="1"/>
  <c r="FN6" i="1"/>
  <c r="EP88" i="1"/>
  <c r="HD6" i="1"/>
  <c r="FE48" i="1"/>
  <c r="DL6" i="1"/>
  <c r="HV88" i="1"/>
  <c r="HV6" i="1"/>
  <c r="HJ6" i="1"/>
  <c r="FK6" i="1"/>
  <c r="HG88" i="1"/>
  <c r="HA6" i="1"/>
  <c r="EY6" i="1"/>
  <c r="IB89" i="1"/>
  <c r="IK89" i="1"/>
  <c r="IN89" i="1"/>
  <c r="HY30" i="1"/>
  <c r="IN30" i="1"/>
  <c r="IK30" i="1"/>
  <c r="ES34" i="1"/>
  <c r="IN34" i="1"/>
  <c r="IK34" i="1"/>
  <c r="IE82" i="1"/>
  <c r="IN82" i="1"/>
  <c r="IK82" i="1"/>
  <c r="IB62" i="1"/>
  <c r="IN62" i="1"/>
  <c r="IK62" i="1"/>
  <c r="IE72" i="1"/>
  <c r="IK72" i="1"/>
  <c r="IN72" i="1"/>
  <c r="IB85" i="1"/>
  <c r="IK85" i="1"/>
  <c r="IN85" i="1"/>
  <c r="IH81" i="1"/>
  <c r="IK81" i="1"/>
  <c r="IN81" i="1"/>
  <c r="HP44" i="1"/>
  <c r="IK44" i="1"/>
  <c r="IN44" i="1"/>
  <c r="ED24" i="1"/>
  <c r="IK24" i="1"/>
  <c r="IN24" i="1"/>
  <c r="IE54" i="1"/>
  <c r="IN54" i="1"/>
  <c r="IK54" i="1"/>
  <c r="FE26" i="1"/>
  <c r="IN26" i="1"/>
  <c r="IK26" i="1"/>
  <c r="HM71" i="1"/>
  <c r="IN71" i="1"/>
  <c r="IK71" i="1"/>
  <c r="IK8" i="1"/>
  <c r="IN8" i="1"/>
  <c r="IE61" i="1"/>
  <c r="IK61" i="1"/>
  <c r="IN61" i="1"/>
  <c r="EG39" i="1"/>
  <c r="IN39" i="1"/>
  <c r="IK39" i="1"/>
  <c r="FW69" i="1"/>
  <c r="IK69" i="1"/>
  <c r="IN69" i="1"/>
  <c r="GF43" i="1"/>
  <c r="IN43" i="1"/>
  <c r="IK43" i="1"/>
  <c r="HM14" i="1"/>
  <c r="IN14" i="1"/>
  <c r="IK14" i="1"/>
  <c r="GR45" i="1"/>
  <c r="IK45" i="1"/>
  <c r="IN45" i="1"/>
  <c r="IH29" i="1"/>
  <c r="IK29" i="1"/>
  <c r="IN29" i="1"/>
  <c r="EJ40" i="1"/>
  <c r="IK40" i="1"/>
  <c r="IN40" i="1"/>
  <c r="HS80" i="1"/>
  <c r="IK80" i="1"/>
  <c r="IN80" i="1"/>
  <c r="IE84" i="1"/>
  <c r="IK84" i="1"/>
  <c r="IN84" i="1"/>
  <c r="EV74" i="1"/>
  <c r="IN74" i="1"/>
  <c r="IK74" i="1"/>
  <c r="FN63" i="1"/>
  <c r="IN63" i="1"/>
  <c r="IK63" i="1"/>
  <c r="HM70" i="1"/>
  <c r="IN70" i="1"/>
  <c r="IK70" i="1"/>
  <c r="HP48" i="1"/>
  <c r="IK48" i="1"/>
  <c r="IN48" i="1"/>
  <c r="DL18" i="1"/>
  <c r="IN18" i="1"/>
  <c r="IK18" i="1"/>
  <c r="IH17" i="1"/>
  <c r="IK17" i="1"/>
  <c r="IN17" i="1"/>
  <c r="IB49" i="1"/>
  <c r="IK49" i="1"/>
  <c r="IN49" i="1"/>
  <c r="IN35" i="1"/>
  <c r="IK35" i="1"/>
  <c r="HY21" i="1"/>
  <c r="IK21" i="1"/>
  <c r="IN21" i="1"/>
  <c r="IK36" i="1"/>
  <c r="IN36" i="1"/>
  <c r="GU7" i="1"/>
  <c r="IN7" i="1"/>
  <c r="IK7" i="1"/>
  <c r="ES92" i="1"/>
  <c r="IK92" i="1"/>
  <c r="IN92" i="1"/>
  <c r="GI38" i="1"/>
  <c r="IN38" i="1"/>
  <c r="IK38" i="1"/>
  <c r="IB22" i="1"/>
  <c r="IN22" i="1"/>
  <c r="IK22" i="1"/>
  <c r="IB19" i="1"/>
  <c r="IN19" i="1"/>
  <c r="IK19" i="1"/>
  <c r="ED86" i="1"/>
  <c r="IN86" i="1"/>
  <c r="IK86" i="1"/>
  <c r="EA46" i="1"/>
  <c r="IN46" i="1"/>
  <c r="IK46" i="1"/>
  <c r="IE73" i="1"/>
  <c r="IK73" i="1"/>
  <c r="IN73" i="1"/>
  <c r="IB75" i="1"/>
  <c r="IN75" i="1"/>
  <c r="IK75" i="1"/>
  <c r="FN41" i="1"/>
  <c r="IK41" i="1"/>
  <c r="IN41" i="1"/>
  <c r="DI50" i="1"/>
  <c r="IN50" i="1"/>
  <c r="IK50" i="1"/>
  <c r="IH32" i="1"/>
  <c r="IK32" i="1"/>
  <c r="IN32" i="1"/>
  <c r="DL88" i="1"/>
  <c r="IK88" i="1"/>
  <c r="IN88" i="1"/>
  <c r="IB90" i="1"/>
  <c r="IK90" i="1"/>
  <c r="IN90" i="1"/>
  <c r="DF11" i="1"/>
  <c r="IN11" i="1"/>
  <c r="IK11" i="1"/>
  <c r="IE6" i="1"/>
  <c r="IN6" i="1"/>
  <c r="IK6" i="1"/>
  <c r="GI56" i="1"/>
  <c r="IK56" i="1"/>
  <c r="IN56" i="1"/>
  <c r="DL58" i="1"/>
  <c r="IN58" i="1"/>
  <c r="IK58" i="1"/>
  <c r="FE12" i="1"/>
  <c r="IK12" i="1"/>
  <c r="IN12" i="1"/>
  <c r="FK16" i="1"/>
  <c r="IK16" i="1"/>
  <c r="IN16" i="1"/>
  <c r="DL31" i="1"/>
  <c r="IN31" i="1"/>
  <c r="IK31" i="1"/>
  <c r="FB25" i="1"/>
  <c r="IK25" i="1"/>
  <c r="IN25" i="1"/>
  <c r="IH60" i="1"/>
  <c r="IK60" i="1"/>
  <c r="IN60" i="1"/>
  <c r="IB51" i="1"/>
  <c r="IN51" i="1"/>
  <c r="IK51" i="1"/>
  <c r="IB37" i="1"/>
  <c r="IK37" i="1"/>
  <c r="IN37" i="1"/>
  <c r="IN59" i="1"/>
  <c r="IK59" i="1"/>
  <c r="GC57" i="1"/>
  <c r="IK57" i="1"/>
  <c r="IN57" i="1"/>
  <c r="HA27" i="1"/>
  <c r="IN27" i="1"/>
  <c r="IK27" i="1"/>
  <c r="IB33" i="1"/>
  <c r="IK33" i="1"/>
  <c r="IN33" i="1"/>
  <c r="GO20" i="1"/>
  <c r="IK20" i="1"/>
  <c r="IN20" i="1"/>
  <c r="FK53" i="1"/>
  <c r="IN53" i="1"/>
  <c r="IK53" i="1"/>
  <c r="IB67" i="1"/>
  <c r="IN67" i="1"/>
  <c r="IK67" i="1"/>
  <c r="IE42" i="1"/>
  <c r="IN42" i="1"/>
  <c r="IK42" i="1"/>
  <c r="HJ93" i="1"/>
  <c r="IK93" i="1"/>
  <c r="IN93" i="1"/>
  <c r="IE68" i="1"/>
  <c r="IK68" i="1"/>
  <c r="IN68" i="1"/>
  <c r="IK52" i="1"/>
  <c r="IN52" i="1"/>
  <c r="DC28" i="1"/>
  <c r="IK28" i="1"/>
  <c r="IN28" i="1"/>
  <c r="IB66" i="1"/>
  <c r="IN66" i="1"/>
  <c r="IK66" i="1"/>
  <c r="IE23" i="1"/>
  <c r="IN23" i="1"/>
  <c r="IK23" i="1"/>
  <c r="IN55" i="1"/>
  <c r="IK55" i="1"/>
  <c r="ES10" i="1"/>
  <c r="IN10" i="1"/>
  <c r="IK10" i="1"/>
  <c r="IN91" i="1"/>
  <c r="IK91" i="1"/>
  <c r="HP13" i="1"/>
  <c r="IK13" i="1"/>
  <c r="IN13" i="1"/>
  <c r="EM88" i="1"/>
  <c r="DI88" i="1"/>
  <c r="EV88" i="1"/>
  <c r="DX88" i="1"/>
  <c r="GC88" i="1"/>
  <c r="HP88" i="1"/>
  <c r="GX88" i="1"/>
  <c r="FZ85" i="1"/>
  <c r="IE19" i="1"/>
  <c r="FN17" i="1"/>
  <c r="HY17" i="1"/>
  <c r="DL11" i="1"/>
  <c r="HM17" i="1"/>
  <c r="ED17" i="1"/>
  <c r="DI17" i="1"/>
  <c r="HJ85" i="1"/>
  <c r="FN85" i="1"/>
  <c r="HM85" i="1"/>
  <c r="EP85" i="1"/>
  <c r="GC85" i="1"/>
  <c r="GX85" i="1"/>
  <c r="DI85" i="1"/>
  <c r="IE85" i="1"/>
  <c r="HS85" i="1"/>
  <c r="EJ85" i="1"/>
  <c r="FE85" i="1"/>
  <c r="GI85" i="1"/>
  <c r="ES85" i="1"/>
  <c r="HV85" i="1"/>
  <c r="GL34" i="1"/>
  <c r="FT63" i="1"/>
  <c r="DF48" i="1"/>
  <c r="DL48" i="1"/>
  <c r="FN48" i="1"/>
  <c r="GR48" i="1"/>
  <c r="EP48" i="1"/>
  <c r="HY48" i="1"/>
  <c r="GO48" i="1"/>
  <c r="FK17" i="1"/>
  <c r="EA17" i="1"/>
  <c r="EY17" i="1"/>
  <c r="HG17" i="1"/>
  <c r="HJ17" i="1"/>
  <c r="HV32" i="1"/>
  <c r="GL72" i="1"/>
  <c r="FH17" i="1"/>
  <c r="HD17" i="1"/>
  <c r="DC17" i="1"/>
  <c r="HP17" i="1"/>
  <c r="EJ17" i="1"/>
  <c r="HA17" i="1"/>
  <c r="GI32" i="1"/>
  <c r="FE17" i="1"/>
  <c r="GF72" i="1"/>
  <c r="GR72" i="1"/>
  <c r="EM17" i="1"/>
  <c r="HS17" i="1"/>
  <c r="HD11" i="1"/>
  <c r="GU17" i="1"/>
  <c r="DR17" i="1"/>
  <c r="FZ11" i="1"/>
  <c r="HP63" i="1"/>
  <c r="GI17" i="1"/>
  <c r="FT17" i="1"/>
  <c r="DO17" i="1"/>
  <c r="GC17" i="1"/>
  <c r="GO17" i="1"/>
  <c r="DL17" i="1"/>
  <c r="GX17" i="1"/>
  <c r="FH32" i="1"/>
  <c r="EM72" i="1"/>
  <c r="FQ11" i="1"/>
  <c r="HG11" i="1"/>
  <c r="DF32" i="1"/>
  <c r="EV17" i="1"/>
  <c r="GR17" i="1"/>
  <c r="DF17" i="1"/>
  <c r="EP17" i="1"/>
  <c r="ES17" i="1"/>
  <c r="FW17" i="1"/>
  <c r="HV17" i="1"/>
  <c r="GF32" i="1"/>
  <c r="HM32" i="1"/>
  <c r="HA11" i="1"/>
  <c r="IE17" i="1"/>
  <c r="DU17" i="1"/>
  <c r="EG17" i="1"/>
  <c r="GL17" i="1"/>
  <c r="GF17" i="1"/>
  <c r="DX17" i="1"/>
  <c r="FB17" i="1"/>
  <c r="FQ17" i="1"/>
  <c r="FK32" i="1"/>
  <c r="DC72" i="1"/>
  <c r="FZ72" i="1"/>
  <c r="DU11" i="1"/>
  <c r="DC34" i="1"/>
  <c r="FN34" i="1"/>
  <c r="DO34" i="1"/>
  <c r="EG19" i="1"/>
  <c r="HV19" i="1"/>
  <c r="HP19" i="1"/>
  <c r="DI19" i="1"/>
  <c r="GU19" i="1"/>
  <c r="HY19" i="1"/>
  <c r="EM19" i="1"/>
  <c r="ES19" i="1"/>
  <c r="DF63" i="1"/>
  <c r="IH19" i="1"/>
  <c r="FH34" i="1"/>
  <c r="HS19" i="1"/>
  <c r="FQ63" i="1"/>
  <c r="IE79" i="1"/>
  <c r="GC53" i="1"/>
  <c r="ES53" i="1"/>
  <c r="HV93" i="1"/>
  <c r="FT20" i="1"/>
  <c r="HM93" i="1"/>
  <c r="FT53" i="1"/>
  <c r="HS93" i="1"/>
  <c r="EP42" i="1"/>
  <c r="EY42" i="1"/>
  <c r="DU20" i="1"/>
  <c r="EM93" i="1"/>
  <c r="FN53" i="1"/>
  <c r="EV53" i="1"/>
  <c r="IB53" i="1"/>
  <c r="FE42" i="1"/>
  <c r="HM42" i="1"/>
  <c r="FH93" i="1"/>
  <c r="EP87" i="1"/>
  <c r="GX53" i="1"/>
  <c r="GO53" i="1"/>
  <c r="GF53" i="1"/>
  <c r="DX53" i="1"/>
  <c r="IB42" i="1"/>
  <c r="EY93" i="1"/>
  <c r="ED53" i="1"/>
  <c r="EA42" i="1"/>
  <c r="HS42" i="1"/>
  <c r="DL93" i="1"/>
  <c r="GI42" i="1"/>
  <c r="HP93" i="1"/>
  <c r="DU42" i="1"/>
  <c r="FT42" i="1"/>
  <c r="DI53" i="1"/>
  <c r="EP53" i="1"/>
  <c r="HP53" i="1"/>
  <c r="FE87" i="1"/>
  <c r="EG42" i="1"/>
  <c r="FH42" i="1"/>
  <c r="HY42" i="1"/>
  <c r="DF20" i="1"/>
  <c r="GL93" i="1"/>
  <c r="HD93" i="1"/>
  <c r="ED20" i="1"/>
  <c r="EY53" i="1"/>
  <c r="HJ53" i="1"/>
  <c r="HM53" i="1"/>
  <c r="GU53" i="1"/>
  <c r="DO42" i="1"/>
  <c r="HG93" i="1"/>
  <c r="FW53" i="1"/>
  <c r="DO53" i="1"/>
  <c r="GI53" i="1"/>
  <c r="GR53" i="1"/>
  <c r="ES42" i="1"/>
  <c r="HJ20" i="1"/>
  <c r="EJ93" i="1"/>
  <c r="EA53" i="1"/>
  <c r="HY53" i="1"/>
  <c r="EJ87" i="1"/>
  <c r="EM41" i="1"/>
  <c r="EM74" i="1"/>
  <c r="DX14" i="1"/>
  <c r="FB14" i="1"/>
  <c r="DF14" i="1"/>
  <c r="FH14" i="1"/>
  <c r="DU14" i="1"/>
  <c r="FQ14" i="1"/>
  <c r="HJ14" i="1"/>
  <c r="DC14" i="1"/>
  <c r="EA14" i="1"/>
  <c r="HS14" i="1"/>
  <c r="IH14" i="1"/>
  <c r="EY14" i="1"/>
  <c r="FK14" i="1"/>
  <c r="EM14" i="1"/>
  <c r="DR14" i="1"/>
  <c r="IE14" i="1"/>
  <c r="GX14" i="1"/>
  <c r="HD14" i="1"/>
  <c r="HV14" i="1"/>
  <c r="DL14" i="1"/>
  <c r="FE14" i="1"/>
  <c r="FZ14" i="1"/>
  <c r="GL14" i="1"/>
  <c r="FT14" i="1"/>
  <c r="DI14" i="1"/>
  <c r="GF14" i="1"/>
  <c r="ED14" i="1"/>
  <c r="EP14" i="1"/>
  <c r="HG14" i="1"/>
  <c r="EV14" i="1"/>
  <c r="GR14" i="1"/>
  <c r="IB14" i="1"/>
  <c r="HA14" i="1"/>
  <c r="HY14" i="1"/>
  <c r="FN14" i="1"/>
  <c r="GC14" i="1"/>
  <c r="GI14" i="1"/>
  <c r="GO14" i="1"/>
  <c r="GU14" i="1"/>
  <c r="FW14" i="1"/>
  <c r="EG14" i="1"/>
  <c r="EJ14" i="1"/>
  <c r="DO14" i="1"/>
  <c r="ES14" i="1"/>
  <c r="HP14" i="1"/>
  <c r="ES75" i="1"/>
  <c r="GC75" i="1"/>
  <c r="HY20" i="1"/>
  <c r="EM34" i="1"/>
  <c r="DR20" i="1"/>
  <c r="GU63" i="1"/>
  <c r="HJ87" i="1"/>
  <c r="HD63" i="1"/>
  <c r="EV87" i="1"/>
  <c r="FQ87" i="1"/>
  <c r="ES41" i="1"/>
  <c r="HG82" i="1"/>
  <c r="DC63" i="1"/>
  <c r="FW63" i="1"/>
  <c r="HP74" i="1"/>
  <c r="DX75" i="1"/>
  <c r="IH75" i="1"/>
  <c r="FW20" i="1"/>
  <c r="EJ34" i="1"/>
  <c r="GF63" i="1"/>
  <c r="DO63" i="1"/>
  <c r="GI63" i="1"/>
  <c r="GR87" i="1"/>
  <c r="DX87" i="1"/>
  <c r="DC87" i="1"/>
  <c r="GU41" i="1"/>
  <c r="HS74" i="1"/>
  <c r="EP75" i="1"/>
  <c r="GI20" i="1"/>
  <c r="GR34" i="1"/>
  <c r="FE34" i="1"/>
  <c r="EV63" i="1"/>
  <c r="EG63" i="1"/>
  <c r="HP34" i="1"/>
  <c r="DL87" i="1"/>
  <c r="GC87" i="1"/>
  <c r="EV41" i="1"/>
  <c r="DI41" i="1"/>
  <c r="FZ82" i="1"/>
  <c r="EY63" i="1"/>
  <c r="GX74" i="1"/>
  <c r="FQ20" i="1"/>
  <c r="GX20" i="1"/>
  <c r="FZ34" i="1"/>
  <c r="DF34" i="1"/>
  <c r="EV20" i="1"/>
  <c r="HV63" i="1"/>
  <c r="GO87" i="1"/>
  <c r="EA63" i="1"/>
  <c r="HP87" i="1"/>
  <c r="GI41" i="1"/>
  <c r="EP82" i="1"/>
  <c r="EJ75" i="1"/>
  <c r="HA81" i="1"/>
  <c r="FB87" i="1"/>
  <c r="DX30" i="1"/>
  <c r="IB80" i="1"/>
  <c r="GC30" i="1"/>
  <c r="GX83" i="1"/>
  <c r="EM83" i="1"/>
  <c r="GI81" i="1"/>
  <c r="HM81" i="1"/>
  <c r="DR70" i="1"/>
  <c r="DR81" i="1"/>
  <c r="DX16" i="1"/>
  <c r="HD70" i="1"/>
  <c r="EP81" i="1"/>
  <c r="DX81" i="1"/>
  <c r="EY81" i="1"/>
  <c r="HG83" i="1"/>
  <c r="GR30" i="1"/>
  <c r="HJ10" i="1"/>
  <c r="DC81" i="1"/>
  <c r="HD81" i="1"/>
  <c r="FK81" i="1"/>
  <c r="EM10" i="1"/>
  <c r="DO18" i="1"/>
  <c r="DL83" i="1"/>
  <c r="EP30" i="1"/>
  <c r="FT75" i="1"/>
  <c r="EV81" i="1"/>
  <c r="FQ81" i="1"/>
  <c r="GF81" i="1"/>
  <c r="GU81" i="1"/>
  <c r="ES81" i="1"/>
  <c r="HV10" i="1"/>
  <c r="ES18" i="1"/>
  <c r="FZ18" i="1"/>
  <c r="FH7" i="1"/>
  <c r="GL81" i="1"/>
  <c r="GO81" i="1"/>
  <c r="EG81" i="1"/>
  <c r="FH81" i="1"/>
  <c r="GO10" i="1"/>
  <c r="DO70" i="1"/>
  <c r="GF89" i="1"/>
  <c r="HM18" i="1"/>
  <c r="FT81" i="1"/>
  <c r="HM10" i="1"/>
  <c r="ED70" i="1"/>
  <c r="DC33" i="1"/>
  <c r="FK50" i="1"/>
  <c r="GU60" i="1"/>
  <c r="HJ81" i="1"/>
  <c r="ED81" i="1"/>
  <c r="FE81" i="1"/>
  <c r="HS81" i="1"/>
  <c r="DO81" i="1"/>
  <c r="FZ81" i="1"/>
  <c r="EA81" i="1"/>
  <c r="HP81" i="1"/>
  <c r="EJ81" i="1"/>
  <c r="DC58" i="1"/>
  <c r="EM58" i="1"/>
  <c r="HD66" i="1"/>
  <c r="DI16" i="1"/>
  <c r="FW10" i="1"/>
  <c r="HA10" i="1"/>
  <c r="DR10" i="1"/>
  <c r="DI10" i="1"/>
  <c r="GC10" i="1"/>
  <c r="DX10" i="1"/>
  <c r="FH60" i="1"/>
  <c r="HP60" i="1"/>
  <c r="HY60" i="1"/>
  <c r="GX58" i="1"/>
  <c r="HD60" i="1"/>
  <c r="FK60" i="1"/>
  <c r="DL22" i="1"/>
  <c r="DF22" i="1"/>
  <c r="FZ16" i="1"/>
  <c r="FB7" i="1"/>
  <c r="GU10" i="1"/>
  <c r="FH10" i="1"/>
  <c r="GX10" i="1"/>
  <c r="HS60" i="1"/>
  <c r="GO60" i="1"/>
  <c r="HA16" i="1"/>
  <c r="DL76" i="1"/>
  <c r="DL7" i="1"/>
  <c r="IE60" i="1"/>
  <c r="DF60" i="1"/>
  <c r="HA60" i="1"/>
  <c r="EM16" i="1"/>
  <c r="FK76" i="1"/>
  <c r="DU7" i="1"/>
  <c r="IB76" i="1"/>
  <c r="IH22" i="1"/>
  <c r="FE10" i="1"/>
  <c r="EP60" i="1"/>
  <c r="FE60" i="1"/>
  <c r="HP58" i="1"/>
  <c r="GO22" i="1"/>
  <c r="EP22" i="1"/>
  <c r="FQ16" i="1"/>
  <c r="FT76" i="1"/>
  <c r="EM7" i="1"/>
  <c r="EY10" i="1"/>
  <c r="EA60" i="1"/>
  <c r="GI60" i="1"/>
  <c r="FK58" i="1"/>
  <c r="EA22" i="1"/>
  <c r="DF58" i="1"/>
  <c r="GI16" i="1"/>
  <c r="FQ7" i="1"/>
  <c r="GX7" i="1"/>
  <c r="HJ65" i="1"/>
  <c r="EP10" i="1"/>
  <c r="GL10" i="1"/>
  <c r="DO10" i="1"/>
  <c r="HD10" i="1"/>
  <c r="GR10" i="1"/>
  <c r="FT10" i="1"/>
  <c r="DU10" i="1"/>
  <c r="GF60" i="1"/>
  <c r="ED60" i="1"/>
  <c r="DL60" i="1"/>
  <c r="DU60" i="1"/>
  <c r="FT60" i="1"/>
  <c r="DX58" i="1"/>
  <c r="EG58" i="1"/>
  <c r="FW58" i="1"/>
  <c r="EJ58" i="1"/>
  <c r="FB58" i="1"/>
  <c r="DC22" i="1"/>
  <c r="HV22" i="1"/>
  <c r="DX22" i="1"/>
  <c r="GU22" i="1"/>
  <c r="EM22" i="1"/>
  <c r="GX22" i="1"/>
  <c r="HJ22" i="1"/>
  <c r="DI22" i="1"/>
  <c r="HM22" i="1"/>
  <c r="GR58" i="1"/>
  <c r="EY16" i="1"/>
  <c r="HM16" i="1"/>
  <c r="FN16" i="1"/>
  <c r="DC16" i="1"/>
  <c r="FW16" i="1"/>
  <c r="HP16" i="1"/>
  <c r="DU16" i="1"/>
  <c r="ES76" i="1"/>
  <c r="HJ76" i="1"/>
  <c r="DO76" i="1"/>
  <c r="FH76" i="1"/>
  <c r="EA7" i="1"/>
  <c r="DC7" i="1"/>
  <c r="FN7" i="1"/>
  <c r="GR7" i="1"/>
  <c r="FW7" i="1"/>
  <c r="EJ7" i="1"/>
  <c r="DO7" i="1"/>
  <c r="IE16" i="1"/>
  <c r="IE66" i="1"/>
  <c r="IB7" i="1"/>
  <c r="IE22" i="1"/>
  <c r="IE10" i="1"/>
  <c r="IB60" i="1"/>
  <c r="FK10" i="1"/>
  <c r="HP10" i="1"/>
  <c r="GR60" i="1"/>
  <c r="DR60" i="1"/>
  <c r="DC60" i="1"/>
  <c r="EJ60" i="1"/>
  <c r="FB60" i="1"/>
  <c r="ED58" i="1"/>
  <c r="GO58" i="1"/>
  <c r="DI60" i="1"/>
  <c r="GC58" i="1"/>
  <c r="EP58" i="1"/>
  <c r="HJ60" i="1"/>
  <c r="FQ22" i="1"/>
  <c r="EG22" i="1"/>
  <c r="ES22" i="1"/>
  <c r="HG22" i="1"/>
  <c r="GI22" i="1"/>
  <c r="FW22" i="1"/>
  <c r="FK22" i="1"/>
  <c r="FQ58" i="1"/>
  <c r="DF16" i="1"/>
  <c r="GF16" i="1"/>
  <c r="ED16" i="1"/>
  <c r="EA16" i="1"/>
  <c r="DL16" i="1"/>
  <c r="DR16" i="1"/>
  <c r="EJ16" i="1"/>
  <c r="GC76" i="1"/>
  <c r="DR76" i="1"/>
  <c r="GO76" i="1"/>
  <c r="EJ76" i="1"/>
  <c r="EY7" i="1"/>
  <c r="HA7" i="1"/>
  <c r="ED7" i="1"/>
  <c r="EP7" i="1"/>
  <c r="HJ7" i="1"/>
  <c r="HP7" i="1"/>
  <c r="HM7" i="1"/>
  <c r="IE58" i="1"/>
  <c r="IB16" i="1"/>
  <c r="IH66" i="1"/>
  <c r="IH7" i="1"/>
  <c r="HY22" i="1"/>
  <c r="IH10" i="1"/>
  <c r="EM60" i="1"/>
  <c r="HG10" i="1"/>
  <c r="HS10" i="1"/>
  <c r="FN10" i="1"/>
  <c r="GI10" i="1"/>
  <c r="EV10" i="1"/>
  <c r="EG10" i="1"/>
  <c r="HY10" i="1"/>
  <c r="FZ10" i="1"/>
  <c r="EJ10" i="1"/>
  <c r="FQ10" i="1"/>
  <c r="HG60" i="1"/>
  <c r="GC60" i="1"/>
  <c r="DX60" i="1"/>
  <c r="HM60" i="1"/>
  <c r="FN60" i="1"/>
  <c r="FQ60" i="1"/>
  <c r="GI58" i="1"/>
  <c r="EY60" i="1"/>
  <c r="HY58" i="1"/>
  <c r="HJ58" i="1"/>
  <c r="DU58" i="1"/>
  <c r="FH58" i="1"/>
  <c r="GF58" i="1"/>
  <c r="ES58" i="1"/>
  <c r="FE22" i="1"/>
  <c r="FH22" i="1"/>
  <c r="FN22" i="1"/>
  <c r="HA22" i="1"/>
  <c r="FZ22" i="1"/>
  <c r="FT22" i="1"/>
  <c r="FN58" i="1"/>
  <c r="FH16" i="1"/>
  <c r="GC16" i="1"/>
  <c r="GX16" i="1"/>
  <c r="HS16" i="1"/>
  <c r="GR16" i="1"/>
  <c r="EV16" i="1"/>
  <c r="HY16" i="1"/>
  <c r="EA76" i="1"/>
  <c r="FB76" i="1"/>
  <c r="GI76" i="1"/>
  <c r="EP76" i="1"/>
  <c r="FK7" i="1"/>
  <c r="DR7" i="1"/>
  <c r="GO7" i="1"/>
  <c r="HD7" i="1"/>
  <c r="GF7" i="1"/>
  <c r="GI7" i="1"/>
  <c r="DX7" i="1"/>
  <c r="IB58" i="1"/>
  <c r="IH16" i="1"/>
  <c r="IE7" i="1"/>
  <c r="IB10" i="1"/>
  <c r="EA10" i="1"/>
  <c r="GF10" i="1"/>
  <c r="DF10" i="1"/>
  <c r="FB10" i="1"/>
  <c r="DC10" i="1"/>
  <c r="DL10" i="1"/>
  <c r="ED10" i="1"/>
  <c r="ES60" i="1"/>
  <c r="EV60" i="1"/>
  <c r="GL60" i="1"/>
  <c r="FZ60" i="1"/>
  <c r="EG60" i="1"/>
  <c r="DO60" i="1"/>
  <c r="GX60" i="1"/>
  <c r="GU58" i="1"/>
  <c r="EY58" i="1"/>
  <c r="HS58" i="1"/>
  <c r="GL58" i="1"/>
  <c r="ED22" i="1"/>
  <c r="GF22" i="1"/>
  <c r="HS22" i="1"/>
  <c r="GL22" i="1"/>
  <c r="DO22" i="1"/>
  <c r="EY22" i="1"/>
  <c r="DU22" i="1"/>
  <c r="FB22" i="1"/>
  <c r="FZ58" i="1"/>
  <c r="GL16" i="1"/>
  <c r="HJ16" i="1"/>
  <c r="GU16" i="1"/>
  <c r="ES16" i="1"/>
  <c r="HG16" i="1"/>
  <c r="FT16" i="1"/>
  <c r="DO16" i="1"/>
  <c r="DF76" i="1"/>
  <c r="HM76" i="1"/>
  <c r="EV76" i="1"/>
  <c r="FE76" i="1"/>
  <c r="ES7" i="1"/>
  <c r="GC7" i="1"/>
  <c r="EV7" i="1"/>
  <c r="HS7" i="1"/>
  <c r="GL7" i="1"/>
  <c r="HV7" i="1"/>
  <c r="HG7" i="1"/>
  <c r="HV16" i="1"/>
  <c r="FT7" i="1"/>
  <c r="DR58" i="1"/>
  <c r="EA58" i="1"/>
  <c r="HV60" i="1"/>
  <c r="HG58" i="1"/>
  <c r="FW60" i="1"/>
  <c r="HA58" i="1"/>
  <c r="HD22" i="1"/>
  <c r="HP22" i="1"/>
  <c r="EV22" i="1"/>
  <c r="GC22" i="1"/>
  <c r="GR22" i="1"/>
  <c r="EJ22" i="1"/>
  <c r="DR22" i="1"/>
  <c r="FT58" i="1"/>
  <c r="GO16" i="1"/>
  <c r="HD16" i="1"/>
  <c r="FB16" i="1"/>
  <c r="FE16" i="1"/>
  <c r="EG16" i="1"/>
  <c r="EP16" i="1"/>
  <c r="HA76" i="1"/>
  <c r="GU76" i="1"/>
  <c r="FW76" i="1"/>
  <c r="FZ7" i="1"/>
  <c r="FE7" i="1"/>
  <c r="DI7" i="1"/>
  <c r="EG7" i="1"/>
  <c r="HY7" i="1"/>
  <c r="DF7" i="1"/>
  <c r="IH76" i="1"/>
  <c r="FE70" i="1"/>
  <c r="FW18" i="1"/>
  <c r="HV18" i="1"/>
  <c r="DR33" i="1"/>
  <c r="DI33" i="1"/>
  <c r="EA90" i="1"/>
  <c r="HD33" i="1"/>
  <c r="ES33" i="1"/>
  <c r="EV58" i="1"/>
  <c r="FE58" i="1"/>
  <c r="HD58" i="1"/>
  <c r="EM50" i="1"/>
  <c r="HY76" i="1"/>
  <c r="ED76" i="1"/>
  <c r="DC76" i="1"/>
  <c r="HP76" i="1"/>
  <c r="GX76" i="1"/>
  <c r="HS76" i="1"/>
  <c r="DU76" i="1"/>
  <c r="IH58" i="1"/>
  <c r="IE76" i="1"/>
  <c r="IH68" i="1"/>
  <c r="EV70" i="1"/>
  <c r="EY89" i="1"/>
  <c r="HY27" i="1"/>
  <c r="FN33" i="1"/>
  <c r="FK90" i="1"/>
  <c r="DO90" i="1"/>
  <c r="EY90" i="1"/>
  <c r="HP33" i="1"/>
  <c r="FZ90" i="1"/>
  <c r="HG67" i="1"/>
  <c r="GX84" i="1"/>
  <c r="HV50" i="1"/>
  <c r="HV58" i="1"/>
  <c r="IB70" i="1"/>
  <c r="DF70" i="1"/>
  <c r="DI70" i="1"/>
  <c r="HS18" i="1"/>
  <c r="GL29" i="1"/>
  <c r="GF90" i="1"/>
  <c r="DC68" i="1"/>
  <c r="DI58" i="1"/>
  <c r="HM58" i="1"/>
  <c r="ED84" i="1"/>
  <c r="DL50" i="1"/>
  <c r="GI50" i="1"/>
  <c r="DX76" i="1"/>
  <c r="FN76" i="1"/>
  <c r="FZ76" i="1"/>
  <c r="HG76" i="1"/>
  <c r="HD76" i="1"/>
  <c r="GL76" i="1"/>
  <c r="GR76" i="1"/>
  <c r="IE50" i="1"/>
  <c r="IB6" i="1"/>
  <c r="HA18" i="1"/>
  <c r="GF18" i="1"/>
  <c r="GU27" i="1"/>
  <c r="DO58" i="1"/>
  <c r="FH50" i="1"/>
  <c r="EG76" i="1"/>
  <c r="DI76" i="1"/>
  <c r="EM76" i="1"/>
  <c r="HV76" i="1"/>
  <c r="GF76" i="1"/>
  <c r="FQ76" i="1"/>
  <c r="HD50" i="1"/>
  <c r="IH62" i="1"/>
  <c r="DU89" i="1"/>
  <c r="DF27" i="1"/>
  <c r="EV27" i="1"/>
  <c r="DL33" i="1"/>
  <c r="EY50" i="1"/>
  <c r="GI78" i="1"/>
  <c r="IE90" i="1"/>
  <c r="FK70" i="1"/>
  <c r="FE18" i="1"/>
  <c r="GC18" i="1"/>
  <c r="DU90" i="1"/>
  <c r="HA33" i="1"/>
  <c r="HS50" i="1"/>
  <c r="DC50" i="1"/>
  <c r="IH70" i="1"/>
  <c r="EG70" i="1"/>
  <c r="GL70" i="1"/>
  <c r="HS89" i="1"/>
  <c r="EV18" i="1"/>
  <c r="DR90" i="1"/>
  <c r="ES90" i="1"/>
  <c r="DI29" i="1"/>
  <c r="HD90" i="1"/>
  <c r="DX90" i="1"/>
  <c r="HV84" i="1"/>
  <c r="DO50" i="1"/>
  <c r="FW50" i="1"/>
  <c r="EJ73" i="1"/>
  <c r="GR81" i="1"/>
  <c r="HY81" i="1"/>
  <c r="EM81" i="1"/>
  <c r="HV81" i="1"/>
  <c r="FW81" i="1"/>
  <c r="HG81" i="1"/>
  <c r="DL81" i="1"/>
  <c r="DF81" i="1"/>
  <c r="DU70" i="1"/>
  <c r="HV70" i="1"/>
  <c r="DX70" i="1"/>
  <c r="DL70" i="1"/>
  <c r="FN70" i="1"/>
  <c r="EP70" i="1"/>
  <c r="FW70" i="1"/>
  <c r="FQ70" i="1"/>
  <c r="EM18" i="1"/>
  <c r="GC89" i="1"/>
  <c r="DF18" i="1"/>
  <c r="DR89" i="1"/>
  <c r="GX18" i="1"/>
  <c r="EM89" i="1"/>
  <c r="FN18" i="1"/>
  <c r="EP18" i="1"/>
  <c r="HP18" i="1"/>
  <c r="GL89" i="1"/>
  <c r="DR27" i="1"/>
  <c r="GC27" i="1"/>
  <c r="EA27" i="1"/>
  <c r="GR18" i="1"/>
  <c r="GF33" i="1"/>
  <c r="DC90" i="1"/>
  <c r="GX33" i="1"/>
  <c r="GU90" i="1"/>
  <c r="FQ33" i="1"/>
  <c r="EV90" i="1"/>
  <c r="FZ33" i="1"/>
  <c r="FN90" i="1"/>
  <c r="GC33" i="1"/>
  <c r="EM90" i="1"/>
  <c r="DI90" i="1"/>
  <c r="EM29" i="1"/>
  <c r="FE90" i="1"/>
  <c r="FB84" i="1"/>
  <c r="EY84" i="1"/>
  <c r="GR50" i="1"/>
  <c r="ES50" i="1"/>
  <c r="EJ50" i="1"/>
  <c r="HP50" i="1"/>
  <c r="DF50" i="1"/>
  <c r="DX50" i="1"/>
  <c r="EV50" i="1"/>
  <c r="DI78" i="1"/>
  <c r="HV73" i="1"/>
  <c r="IE18" i="1"/>
  <c r="IE62" i="1"/>
  <c r="IE70" i="1"/>
  <c r="IH50" i="1"/>
  <c r="IE67" i="1"/>
  <c r="GU89" i="1"/>
  <c r="GL18" i="1"/>
  <c r="DC18" i="1"/>
  <c r="GO27" i="1"/>
  <c r="ED27" i="1"/>
  <c r="EV33" i="1"/>
  <c r="ED33" i="1"/>
  <c r="EJ90" i="1"/>
  <c r="HS84" i="1"/>
  <c r="DU81" i="1"/>
  <c r="GX81" i="1"/>
  <c r="FH70" i="1"/>
  <c r="EJ70" i="1"/>
  <c r="EY70" i="1"/>
  <c r="GO70" i="1"/>
  <c r="GC70" i="1"/>
  <c r="GR70" i="1"/>
  <c r="EA18" i="1"/>
  <c r="FB89" i="1"/>
  <c r="DI18" i="1"/>
  <c r="HY18" i="1"/>
  <c r="FT18" i="1"/>
  <c r="DI89" i="1"/>
  <c r="EY18" i="1"/>
  <c r="EP89" i="1"/>
  <c r="DX18" i="1"/>
  <c r="GX27" i="1"/>
  <c r="FZ27" i="1"/>
  <c r="DX27" i="1"/>
  <c r="HJ18" i="1"/>
  <c r="GR33" i="1"/>
  <c r="FW90" i="1"/>
  <c r="HY33" i="1"/>
  <c r="EJ33" i="1"/>
  <c r="HG90" i="1"/>
  <c r="EA33" i="1"/>
  <c r="GL90" i="1"/>
  <c r="DO33" i="1"/>
  <c r="EY33" i="1"/>
  <c r="HM90" i="1"/>
  <c r="HS33" i="1"/>
  <c r="GO90" i="1"/>
  <c r="FH29" i="1"/>
  <c r="HG33" i="1"/>
  <c r="HV29" i="1"/>
  <c r="DF90" i="1"/>
  <c r="GI27" i="1"/>
  <c r="GI84" i="1"/>
  <c r="HJ84" i="1"/>
  <c r="FN50" i="1"/>
  <c r="FB50" i="1"/>
  <c r="GL50" i="1"/>
  <c r="HA50" i="1"/>
  <c r="EA50" i="1"/>
  <c r="GX50" i="1"/>
  <c r="HG50" i="1"/>
  <c r="ES78" i="1"/>
  <c r="ED73" i="1"/>
  <c r="IB18" i="1"/>
  <c r="HP70" i="1"/>
  <c r="IE33" i="1"/>
  <c r="IH67" i="1"/>
  <c r="ES84" i="1"/>
  <c r="DC70" i="1"/>
  <c r="FB70" i="1"/>
  <c r="HM89" i="1"/>
  <c r="DU27" i="1"/>
  <c r="GL33" i="1"/>
  <c r="FB33" i="1"/>
  <c r="EP50" i="1"/>
  <c r="FN81" i="1"/>
  <c r="HS70" i="1"/>
  <c r="EM70" i="1"/>
  <c r="GX70" i="1"/>
  <c r="GI70" i="1"/>
  <c r="GU70" i="1"/>
  <c r="DX89" i="1"/>
  <c r="DR18" i="1"/>
  <c r="DO89" i="1"/>
  <c r="FB18" i="1"/>
  <c r="HV89" i="1"/>
  <c r="FQ18" i="1"/>
  <c r="GO89" i="1"/>
  <c r="GI18" i="1"/>
  <c r="ES89" i="1"/>
  <c r="HD18" i="1"/>
  <c r="DC27" i="1"/>
  <c r="FK18" i="1"/>
  <c r="EY27" i="1"/>
  <c r="ED89" i="1"/>
  <c r="FT89" i="1"/>
  <c r="EG18" i="1"/>
  <c r="EP33" i="1"/>
  <c r="EV29" i="1"/>
  <c r="FH33" i="1"/>
  <c r="GI33" i="1"/>
  <c r="GI90" i="1"/>
  <c r="GO33" i="1"/>
  <c r="FT90" i="1"/>
  <c r="DX33" i="1"/>
  <c r="HS90" i="1"/>
  <c r="GC90" i="1"/>
  <c r="DU33" i="1"/>
  <c r="ED90" i="1"/>
  <c r="GR90" i="1"/>
  <c r="FK33" i="1"/>
  <c r="EG33" i="1"/>
  <c r="HD84" i="1"/>
  <c r="GC84" i="1"/>
  <c r="HM50" i="1"/>
  <c r="ED50" i="1"/>
  <c r="FT50" i="1"/>
  <c r="DR50" i="1"/>
  <c r="HV62" i="1"/>
  <c r="GF50" i="1"/>
  <c r="GU50" i="1"/>
  <c r="FE78" i="1"/>
  <c r="DU78" i="1"/>
  <c r="EJ18" i="1"/>
  <c r="IB81" i="1"/>
  <c r="FW33" i="1"/>
  <c r="IH90" i="1"/>
  <c r="FT70" i="1"/>
  <c r="HG70" i="1"/>
  <c r="FH18" i="1"/>
  <c r="HY89" i="1"/>
  <c r="GU18" i="1"/>
  <c r="HD89" i="1"/>
  <c r="EJ27" i="1"/>
  <c r="HP89" i="1"/>
  <c r="FQ90" i="1"/>
  <c r="GU33" i="1"/>
  <c r="HJ90" i="1"/>
  <c r="HV90" i="1"/>
  <c r="EA29" i="1"/>
  <c r="HA84" i="1"/>
  <c r="GC50" i="1"/>
  <c r="FQ50" i="1"/>
  <c r="GO50" i="1"/>
  <c r="HM78" i="1"/>
  <c r="IH18" i="1"/>
  <c r="IB50" i="1"/>
  <c r="HY90" i="1"/>
  <c r="DI81" i="1"/>
  <c r="GC81" i="1"/>
  <c r="HA70" i="1"/>
  <c r="ES70" i="1"/>
  <c r="HY70" i="1"/>
  <c r="GF70" i="1"/>
  <c r="HJ70" i="1"/>
  <c r="EA70" i="1"/>
  <c r="FZ70" i="1"/>
  <c r="GI89" i="1"/>
  <c r="GO18" i="1"/>
  <c r="DF89" i="1"/>
  <c r="ED18" i="1"/>
  <c r="DL89" i="1"/>
  <c r="DU18" i="1"/>
  <c r="HJ89" i="1"/>
  <c r="HG18" i="1"/>
  <c r="GR89" i="1"/>
  <c r="GR27" i="1"/>
  <c r="HM27" i="1"/>
  <c r="EV89" i="1"/>
  <c r="HM33" i="1"/>
  <c r="HJ33" i="1"/>
  <c r="EG90" i="1"/>
  <c r="EP90" i="1"/>
  <c r="HV33" i="1"/>
  <c r="FT33" i="1"/>
  <c r="HA90" i="1"/>
  <c r="FE33" i="1"/>
  <c r="GX90" i="1"/>
  <c r="GU29" i="1"/>
  <c r="EM33" i="1"/>
  <c r="FH90" i="1"/>
  <c r="DL90" i="1"/>
  <c r="FB90" i="1"/>
  <c r="DF33" i="1"/>
  <c r="HP90" i="1"/>
  <c r="HD27" i="1"/>
  <c r="HP84" i="1"/>
  <c r="FZ50" i="1"/>
  <c r="HJ50" i="1"/>
  <c r="DU50" i="1"/>
  <c r="EG50" i="1"/>
  <c r="HY50" i="1"/>
  <c r="FE50" i="1"/>
  <c r="HY49" i="1"/>
  <c r="GR78" i="1"/>
  <c r="FB81" i="1"/>
  <c r="EG61" i="1"/>
  <c r="HM61" i="1"/>
  <c r="GR61" i="1"/>
  <c r="DU43" i="1"/>
  <c r="FH43" i="1"/>
  <c r="FZ24" i="1"/>
  <c r="HV26" i="1"/>
  <c r="IB61" i="1"/>
  <c r="EY61" i="1"/>
  <c r="DF24" i="1"/>
  <c r="FN26" i="1"/>
  <c r="FK43" i="1"/>
  <c r="FQ43" i="1"/>
  <c r="HM26" i="1"/>
  <c r="IH6" i="1"/>
  <c r="DR24" i="1"/>
  <c r="DI65" i="1"/>
  <c r="FZ65" i="1"/>
  <c r="HY61" i="1"/>
  <c r="GO24" i="1"/>
  <c r="FB26" i="1"/>
  <c r="EA26" i="1"/>
  <c r="HY6" i="1"/>
  <c r="DX24" i="1"/>
  <c r="FT43" i="1"/>
  <c r="GO65" i="1"/>
  <c r="GU43" i="1"/>
  <c r="GF24" i="1"/>
  <c r="GU65" i="1"/>
  <c r="HS61" i="1"/>
  <c r="FW43" i="1"/>
  <c r="EA65" i="1"/>
  <c r="GX65" i="1"/>
  <c r="FE65" i="1"/>
  <c r="DL65" i="1"/>
  <c r="GX61" i="1"/>
  <c r="EA61" i="1"/>
  <c r="FQ61" i="1"/>
  <c r="GC61" i="1"/>
  <c r="DL61" i="1"/>
  <c r="EP43" i="1"/>
  <c r="GL43" i="1"/>
  <c r="EJ43" i="1"/>
  <c r="FB24" i="1"/>
  <c r="HV24" i="1"/>
  <c r="EP24" i="1"/>
  <c r="EA24" i="1"/>
  <c r="DF26" i="1"/>
  <c r="HG26" i="1"/>
  <c r="HP26" i="1"/>
  <c r="GO26" i="1"/>
  <c r="HJ26" i="1"/>
  <c r="EJ26" i="1"/>
  <c r="IH61" i="1"/>
  <c r="IH43" i="1"/>
  <c r="IH26" i="1"/>
  <c r="HY65" i="1"/>
  <c r="HP61" i="1"/>
  <c r="GX43" i="1"/>
  <c r="HV43" i="1"/>
  <c r="FN43" i="1"/>
  <c r="ED43" i="1"/>
  <c r="EY24" i="1"/>
  <c r="DU24" i="1"/>
  <c r="HP24" i="1"/>
  <c r="HM24" i="1"/>
  <c r="HD26" i="1"/>
  <c r="DC26" i="1"/>
  <c r="GR26" i="1"/>
  <c r="DI26" i="1"/>
  <c r="DX26" i="1"/>
  <c r="GX26" i="1"/>
  <c r="EG26" i="1"/>
  <c r="HV61" i="1"/>
  <c r="IB43" i="1"/>
  <c r="IB26" i="1"/>
  <c r="FB65" i="1"/>
  <c r="FH65" i="1"/>
  <c r="HP65" i="1"/>
  <c r="HD65" i="1"/>
  <c r="DX65" i="1"/>
  <c r="GR65" i="1"/>
  <c r="EP61" i="1"/>
  <c r="DX61" i="1"/>
  <c r="DU61" i="1"/>
  <c r="FE61" i="1"/>
  <c r="FN61" i="1"/>
  <c r="HG43" i="1"/>
  <c r="DF43" i="1"/>
  <c r="DC43" i="1"/>
  <c r="DR43" i="1"/>
  <c r="ES43" i="1"/>
  <c r="DO43" i="1"/>
  <c r="HD43" i="1"/>
  <c r="FN24" i="1"/>
  <c r="EV24" i="1"/>
  <c r="GI24" i="1"/>
  <c r="HG24" i="1"/>
  <c r="HA24" i="1"/>
  <c r="FT26" i="1"/>
  <c r="ED26" i="1"/>
  <c r="EP26" i="1"/>
  <c r="EV26" i="1"/>
  <c r="FW26" i="1"/>
  <c r="DR26" i="1"/>
  <c r="IE43" i="1"/>
  <c r="IE26" i="1"/>
  <c r="GU61" i="1"/>
  <c r="HM65" i="1"/>
  <c r="HG65" i="1"/>
  <c r="EJ65" i="1"/>
  <c r="FQ65" i="1"/>
  <c r="DF61" i="1"/>
  <c r="DO61" i="1"/>
  <c r="ED61" i="1"/>
  <c r="FH61" i="1"/>
  <c r="EM61" i="1"/>
  <c r="GO43" i="1"/>
  <c r="EY43" i="1"/>
  <c r="HM43" i="1"/>
  <c r="EG43" i="1"/>
  <c r="FZ43" i="1"/>
  <c r="GX24" i="1"/>
  <c r="FW24" i="1"/>
  <c r="FH24" i="1"/>
  <c r="FE24" i="1"/>
  <c r="DO24" i="1"/>
  <c r="EY26" i="1"/>
  <c r="GI26" i="1"/>
  <c r="GC26" i="1"/>
  <c r="GU26" i="1"/>
  <c r="DL26" i="1"/>
  <c r="FB43" i="1"/>
  <c r="FQ26" i="1"/>
  <c r="FT65" i="1"/>
  <c r="DO65" i="1"/>
  <c r="GF65" i="1"/>
  <c r="DR65" i="1"/>
  <c r="DF65" i="1"/>
  <c r="EM65" i="1"/>
  <c r="HS65" i="1"/>
  <c r="GI65" i="1"/>
  <c r="EG65" i="1"/>
  <c r="EV61" i="1"/>
  <c r="FB61" i="1"/>
  <c r="FT61" i="1"/>
  <c r="HJ61" i="1"/>
  <c r="DI61" i="1"/>
  <c r="HJ43" i="1"/>
  <c r="EV43" i="1"/>
  <c r="FE43" i="1"/>
  <c r="HY43" i="1"/>
  <c r="HA43" i="1"/>
  <c r="FQ24" i="1"/>
  <c r="GC24" i="1"/>
  <c r="ES24" i="1"/>
  <c r="EG24" i="1"/>
  <c r="DL24" i="1"/>
  <c r="DI24" i="1"/>
  <c r="GF26" i="1"/>
  <c r="GL26" i="1"/>
  <c r="FK26" i="1"/>
  <c r="HY26" i="1"/>
  <c r="HA26" i="1"/>
  <c r="HV65" i="1"/>
  <c r="HD61" i="1"/>
  <c r="FZ61" i="1"/>
  <c r="EP65" i="1"/>
  <c r="FW65" i="1"/>
  <c r="FN65" i="1"/>
  <c r="FK65" i="1"/>
  <c r="DC65" i="1"/>
  <c r="EV65" i="1"/>
  <c r="GC65" i="1"/>
  <c r="FW61" i="1"/>
  <c r="DR61" i="1"/>
  <c r="HA61" i="1"/>
  <c r="FK61" i="1"/>
  <c r="DC61" i="1"/>
  <c r="GL61" i="1"/>
  <c r="HS43" i="1"/>
  <c r="GR43" i="1"/>
  <c r="GI43" i="1"/>
  <c r="DL43" i="1"/>
  <c r="EA43" i="1"/>
  <c r="DX43" i="1"/>
  <c r="HS24" i="1"/>
  <c r="HJ24" i="1"/>
  <c r="EM24" i="1"/>
  <c r="HY24" i="1"/>
  <c r="GU24" i="1"/>
  <c r="EJ24" i="1"/>
  <c r="DU26" i="1"/>
  <c r="EM26" i="1"/>
  <c r="ES26" i="1"/>
  <c r="DO26" i="1"/>
  <c r="HA65" i="1"/>
  <c r="GF61" i="1"/>
  <c r="DU65" i="1"/>
  <c r="EY65" i="1"/>
  <c r="ES65" i="1"/>
  <c r="GL65" i="1"/>
  <c r="ED65" i="1"/>
  <c r="ES61" i="1"/>
  <c r="GI61" i="1"/>
  <c r="EJ61" i="1"/>
  <c r="GO61" i="1"/>
  <c r="HG61" i="1"/>
  <c r="HP43" i="1"/>
  <c r="DI43" i="1"/>
  <c r="EM43" i="1"/>
  <c r="GC43" i="1"/>
  <c r="DC24" i="1"/>
  <c r="GR24" i="1"/>
  <c r="FT24" i="1"/>
  <c r="HD24" i="1"/>
  <c r="FK24" i="1"/>
  <c r="GL24" i="1"/>
  <c r="FH26" i="1"/>
  <c r="FZ26" i="1"/>
  <c r="HS26" i="1"/>
  <c r="FH79" i="1"/>
  <c r="GR79" i="1"/>
  <c r="FE79" i="1"/>
  <c r="GF79" i="1"/>
  <c r="FB79" i="1"/>
  <c r="EP79" i="1"/>
  <c r="DR12" i="1"/>
  <c r="EA25" i="1"/>
  <c r="HM13" i="1"/>
  <c r="FQ46" i="1"/>
  <c r="HJ80" i="1"/>
  <c r="HY13" i="1"/>
  <c r="IE49" i="1"/>
  <c r="FE69" i="1"/>
  <c r="IH49" i="1"/>
  <c r="GU12" i="1"/>
  <c r="FB12" i="1"/>
  <c r="DF28" i="1"/>
  <c r="IE24" i="1"/>
  <c r="GL35" i="1"/>
  <c r="FN35" i="1"/>
  <c r="IE8" i="1"/>
  <c r="FW8" i="1"/>
  <c r="FH8" i="1"/>
  <c r="ED8" i="1"/>
  <c r="GL8" i="1"/>
  <c r="DL8" i="1"/>
  <c r="IH8" i="1"/>
  <c r="EG8" i="1"/>
  <c r="FT25" i="1"/>
  <c r="EJ25" i="1"/>
  <c r="DX25" i="1"/>
  <c r="IH57" i="1"/>
  <c r="HD57" i="1"/>
  <c r="FE57" i="1"/>
  <c r="GR57" i="1"/>
  <c r="HG57" i="1"/>
  <c r="DU80" i="1"/>
  <c r="GC80" i="1"/>
  <c r="FK80" i="1"/>
  <c r="HY80" i="1"/>
  <c r="DF80" i="1"/>
  <c r="GF80" i="1"/>
  <c r="GI80" i="1"/>
  <c r="DR80" i="1"/>
  <c r="FT80" i="1"/>
  <c r="HP80" i="1"/>
  <c r="EJ80" i="1"/>
  <c r="GU80" i="1"/>
  <c r="GO80" i="1"/>
  <c r="EA80" i="1"/>
  <c r="ES80" i="1"/>
  <c r="IH34" i="1"/>
  <c r="HA34" i="1"/>
  <c r="HM34" i="1"/>
  <c r="IB34" i="1"/>
  <c r="EP34" i="1"/>
  <c r="EV34" i="1"/>
  <c r="DR34" i="1"/>
  <c r="FB34" i="1"/>
  <c r="EA34" i="1"/>
  <c r="GC34" i="1"/>
  <c r="DX34" i="1"/>
  <c r="GF34" i="1"/>
  <c r="GU34" i="1"/>
  <c r="DL34" i="1"/>
  <c r="EG34" i="1"/>
  <c r="EY34" i="1"/>
  <c r="IH87" i="1"/>
  <c r="EG87" i="1"/>
  <c r="FZ87" i="1"/>
  <c r="ES87" i="1"/>
  <c r="EM87" i="1"/>
  <c r="HA87" i="1"/>
  <c r="GX87" i="1"/>
  <c r="ED87" i="1"/>
  <c r="EA87" i="1"/>
  <c r="DO87" i="1"/>
  <c r="FT87" i="1"/>
  <c r="HY87" i="1"/>
  <c r="HS87" i="1"/>
  <c r="DF87" i="1"/>
  <c r="HD87" i="1"/>
  <c r="HG87" i="1"/>
  <c r="FH87" i="1"/>
  <c r="HY41" i="1"/>
  <c r="IH41" i="1"/>
  <c r="ED41" i="1"/>
  <c r="FH41" i="1"/>
  <c r="DO41" i="1"/>
  <c r="GO41" i="1"/>
  <c r="DR41" i="1"/>
  <c r="EP41" i="1"/>
  <c r="GL41" i="1"/>
  <c r="GF41" i="1"/>
  <c r="EY41" i="1"/>
  <c r="IB41" i="1"/>
  <c r="HG41" i="1"/>
  <c r="DF41" i="1"/>
  <c r="FK41" i="1"/>
  <c r="EJ41" i="1"/>
  <c r="HP41" i="1"/>
  <c r="DU41" i="1"/>
  <c r="GR41" i="1"/>
  <c r="FT41" i="1"/>
  <c r="HA41" i="1"/>
  <c r="DX41" i="1"/>
  <c r="GC41" i="1"/>
  <c r="HM41" i="1"/>
  <c r="FB41" i="1"/>
  <c r="FZ41" i="1"/>
  <c r="EG41" i="1"/>
  <c r="FQ41" i="1"/>
  <c r="FE41" i="1"/>
  <c r="IH63" i="1"/>
  <c r="DR63" i="1"/>
  <c r="EP63" i="1"/>
  <c r="FE63" i="1"/>
  <c r="FH63" i="1"/>
  <c r="EJ63" i="1"/>
  <c r="DU63" i="1"/>
  <c r="GX63" i="1"/>
  <c r="HM63" i="1"/>
  <c r="HG63" i="1"/>
  <c r="ES63" i="1"/>
  <c r="FK63" i="1"/>
  <c r="FZ63" i="1"/>
  <c r="DI63" i="1"/>
  <c r="EM63" i="1"/>
  <c r="HA63" i="1"/>
  <c r="GR63" i="1"/>
  <c r="ED63" i="1"/>
  <c r="DX63" i="1"/>
  <c r="HJ63" i="1"/>
  <c r="GO63" i="1"/>
  <c r="HY63" i="1"/>
  <c r="IB79" i="1"/>
  <c r="GX79" i="1"/>
  <c r="FZ79" i="1"/>
  <c r="ED79" i="1"/>
  <c r="GL79" i="1"/>
  <c r="DR79" i="1"/>
  <c r="FQ79" i="1"/>
  <c r="FW79" i="1"/>
  <c r="GC79" i="1"/>
  <c r="EV79" i="1"/>
  <c r="FN79" i="1"/>
  <c r="DU79" i="1"/>
  <c r="HA79" i="1"/>
  <c r="DL79" i="1"/>
  <c r="FT79" i="1"/>
  <c r="DO79" i="1"/>
  <c r="HD79" i="1"/>
  <c r="EY79" i="1"/>
  <c r="DC79" i="1"/>
  <c r="ES79" i="1"/>
  <c r="HJ79" i="1"/>
  <c r="HP79" i="1"/>
  <c r="EA79" i="1"/>
  <c r="DI79" i="1"/>
  <c r="HY79" i="1"/>
  <c r="HG79" i="1"/>
  <c r="DX79" i="1"/>
  <c r="DF79" i="1"/>
  <c r="FK79" i="1"/>
  <c r="HV79" i="1"/>
  <c r="GL53" i="1"/>
  <c r="FQ53" i="1"/>
  <c r="HA53" i="1"/>
  <c r="DL53" i="1"/>
  <c r="FZ53" i="1"/>
  <c r="HD53" i="1"/>
  <c r="HS53" i="1"/>
  <c r="EG53" i="1"/>
  <c r="HG53" i="1"/>
  <c r="DC53" i="1"/>
  <c r="FH53" i="1"/>
  <c r="HV53" i="1"/>
  <c r="IE53" i="1"/>
  <c r="FB53" i="1"/>
  <c r="DR53" i="1"/>
  <c r="FE53" i="1"/>
  <c r="DF53" i="1"/>
  <c r="EJ53" i="1"/>
  <c r="DU53" i="1"/>
  <c r="EM53" i="1"/>
  <c r="FZ36" i="1"/>
  <c r="FE36" i="1"/>
  <c r="GC36" i="1"/>
  <c r="GL36" i="1"/>
  <c r="DO36" i="1"/>
  <c r="EM36" i="1"/>
  <c r="IE91" i="1"/>
  <c r="DO91" i="1"/>
  <c r="IH91" i="1"/>
  <c r="EM56" i="1"/>
  <c r="FZ46" i="1"/>
  <c r="DC46" i="1"/>
  <c r="EG46" i="1"/>
  <c r="ES46" i="1"/>
  <c r="HP46" i="1"/>
  <c r="GF46" i="1"/>
  <c r="DR46" i="1"/>
  <c r="EY46" i="1"/>
  <c r="GO46" i="1"/>
  <c r="FH46" i="1"/>
  <c r="FT46" i="1"/>
  <c r="GI46" i="1"/>
  <c r="DI46" i="1"/>
  <c r="HY46" i="1"/>
  <c r="GL46" i="1"/>
  <c r="HA46" i="1"/>
  <c r="DX46" i="1"/>
  <c r="GR46" i="1"/>
  <c r="GU46" i="1"/>
  <c r="HD46" i="1"/>
  <c r="FK46" i="1"/>
  <c r="DO46" i="1"/>
  <c r="EP46" i="1"/>
  <c r="GO28" i="1"/>
  <c r="ED34" i="1"/>
  <c r="FW34" i="1"/>
  <c r="DO28" i="1"/>
  <c r="HV34" i="1"/>
  <c r="HJ34" i="1"/>
  <c r="FW87" i="1"/>
  <c r="FN87" i="1"/>
  <c r="FK87" i="1"/>
  <c r="DL41" i="1"/>
  <c r="GI87" i="1"/>
  <c r="GL63" i="1"/>
  <c r="DI34" i="1"/>
  <c r="HJ46" i="1"/>
  <c r="FN46" i="1"/>
  <c r="GC54" i="1"/>
  <c r="EM79" i="1"/>
  <c r="GI79" i="1"/>
  <c r="EG79" i="1"/>
  <c r="FH80" i="1"/>
  <c r="FQ57" i="1"/>
  <c r="IH53" i="1"/>
  <c r="IH79" i="1"/>
  <c r="IE38" i="1"/>
  <c r="IB87" i="1"/>
  <c r="IE55" i="1"/>
  <c r="IH55" i="1"/>
  <c r="EP13" i="1"/>
  <c r="ES13" i="1"/>
  <c r="GU13" i="1"/>
  <c r="GF91" i="1"/>
  <c r="DI87" i="1"/>
  <c r="DU36" i="1"/>
  <c r="ED46" i="1"/>
  <c r="FW46" i="1"/>
  <c r="EM80" i="1"/>
  <c r="IB12" i="1"/>
  <c r="IH12" i="1"/>
  <c r="DI38" i="1"/>
  <c r="DU38" i="1"/>
  <c r="DO38" i="1"/>
  <c r="GC38" i="1"/>
  <c r="GR91" i="1"/>
  <c r="HS34" i="1"/>
  <c r="EY12" i="1"/>
  <c r="GO34" i="1"/>
  <c r="HY34" i="1"/>
  <c r="FK34" i="1"/>
  <c r="HG34" i="1"/>
  <c r="HM87" i="1"/>
  <c r="DU87" i="1"/>
  <c r="GF87" i="1"/>
  <c r="EY91" i="1"/>
  <c r="ED91" i="1"/>
  <c r="HV87" i="1"/>
  <c r="FW41" i="1"/>
  <c r="DC8" i="1"/>
  <c r="HD41" i="1"/>
  <c r="DC41" i="1"/>
  <c r="GX41" i="1"/>
  <c r="DL63" i="1"/>
  <c r="FB63" i="1"/>
  <c r="HY36" i="1"/>
  <c r="DF46" i="1"/>
  <c r="GC46" i="1"/>
  <c r="HM79" i="1"/>
  <c r="EJ79" i="1"/>
  <c r="DO80" i="1"/>
  <c r="IB63" i="1"/>
  <c r="IE41" i="1"/>
  <c r="EA28" i="1"/>
  <c r="HD28" i="1"/>
  <c r="HP69" i="1"/>
  <c r="EJ69" i="1"/>
  <c r="EV69" i="1"/>
  <c r="EA69" i="1"/>
  <c r="DX69" i="1"/>
  <c r="GF69" i="1"/>
  <c r="EY25" i="1"/>
  <c r="FE25" i="1"/>
  <c r="FH38" i="1"/>
  <c r="FZ12" i="1"/>
  <c r="HP28" i="1"/>
  <c r="DU34" i="1"/>
  <c r="DF25" i="1"/>
  <c r="GX34" i="1"/>
  <c r="HD34" i="1"/>
  <c r="FQ34" i="1"/>
  <c r="FT34" i="1"/>
  <c r="GI34" i="1"/>
  <c r="GU87" i="1"/>
  <c r="EY87" i="1"/>
  <c r="GF38" i="1"/>
  <c r="HM38" i="1"/>
  <c r="DR87" i="1"/>
  <c r="GL87" i="1"/>
  <c r="HV41" i="1"/>
  <c r="HS41" i="1"/>
  <c r="EA41" i="1"/>
  <c r="HJ41" i="1"/>
  <c r="GC63" i="1"/>
  <c r="HS63" i="1"/>
  <c r="FB46" i="1"/>
  <c r="HG46" i="1"/>
  <c r="HS79" i="1"/>
  <c r="GU79" i="1"/>
  <c r="HV80" i="1"/>
  <c r="IE63" i="1"/>
  <c r="GO88" i="1"/>
  <c r="GI88" i="1"/>
  <c r="DO88" i="1"/>
  <c r="FW88" i="1"/>
  <c r="DR88" i="1"/>
  <c r="HD88" i="1"/>
  <c r="EY85" i="1"/>
  <c r="FH85" i="1"/>
  <c r="DL85" i="1"/>
  <c r="FK85" i="1"/>
  <c r="HA85" i="1"/>
  <c r="HP85" i="1"/>
  <c r="EM85" i="1"/>
  <c r="HG48" i="1"/>
  <c r="ES48" i="1"/>
  <c r="DC48" i="1"/>
  <c r="GL48" i="1"/>
  <c r="GF48" i="1"/>
  <c r="HS48" i="1"/>
  <c r="EM48" i="1"/>
  <c r="IB48" i="1"/>
  <c r="GL85" i="1"/>
  <c r="ED85" i="1"/>
  <c r="DC85" i="1"/>
  <c r="DF85" i="1"/>
  <c r="FW85" i="1"/>
  <c r="EA85" i="1"/>
  <c r="FB85" i="1"/>
  <c r="DX48" i="1"/>
  <c r="EV48" i="1"/>
  <c r="DR48" i="1"/>
  <c r="ED48" i="1"/>
  <c r="HA48" i="1"/>
  <c r="EA48" i="1"/>
  <c r="IH48" i="1"/>
  <c r="ES88" i="1"/>
  <c r="GL88" i="1"/>
  <c r="HY88" i="1"/>
  <c r="ED88" i="1"/>
  <c r="HJ88" i="1"/>
  <c r="GO85" i="1"/>
  <c r="GF85" i="1"/>
  <c r="DU85" i="1"/>
  <c r="DX85" i="1"/>
  <c r="GR85" i="1"/>
  <c r="FQ85" i="1"/>
  <c r="HD85" i="1"/>
  <c r="DO48" i="1"/>
  <c r="EG48" i="1"/>
  <c r="FW48" i="1"/>
  <c r="GC48" i="1"/>
  <c r="DI48" i="1"/>
  <c r="GX48" i="1"/>
  <c r="IE81" i="1"/>
  <c r="IE48" i="1"/>
  <c r="IH85" i="1"/>
  <c r="DR85" i="1"/>
  <c r="FT85" i="1"/>
  <c r="GU85" i="1"/>
  <c r="EG85" i="1"/>
  <c r="DO85" i="1"/>
  <c r="HG85" i="1"/>
  <c r="HY85" i="1"/>
  <c r="DU48" i="1"/>
  <c r="EJ48" i="1"/>
  <c r="GU48" i="1"/>
  <c r="FB48" i="1"/>
  <c r="GI48" i="1"/>
  <c r="FT48" i="1"/>
  <c r="HV48" i="1"/>
  <c r="FK12" i="1"/>
  <c r="DC12" i="1"/>
  <c r="ED12" i="1"/>
  <c r="DO12" i="1"/>
  <c r="EP12" i="1"/>
  <c r="HS28" i="1"/>
  <c r="DI28" i="1"/>
  <c r="GX28" i="1"/>
  <c r="HY28" i="1"/>
  <c r="HV28" i="1"/>
  <c r="GU28" i="1"/>
  <c r="FN25" i="1"/>
  <c r="FQ25" i="1"/>
  <c r="HJ28" i="1"/>
  <c r="GL25" i="1"/>
  <c r="HA25" i="1"/>
  <c r="EM25" i="1"/>
  <c r="FW12" i="1"/>
  <c r="FN13" i="1"/>
  <c r="FW25" i="1"/>
  <c r="GC13" i="1"/>
  <c r="FB13" i="1"/>
  <c r="ES25" i="1"/>
  <c r="GR13" i="1"/>
  <c r="DL13" i="1"/>
  <c r="EA13" i="1"/>
  <c r="GU38" i="1"/>
  <c r="FZ38" i="1"/>
  <c r="EP38" i="1"/>
  <c r="FB38" i="1"/>
  <c r="HJ13" i="1"/>
  <c r="FE38" i="1"/>
  <c r="FW38" i="1"/>
  <c r="HG91" i="1"/>
  <c r="FN91" i="1"/>
  <c r="FH91" i="1"/>
  <c r="DR91" i="1"/>
  <c r="HJ91" i="1"/>
  <c r="GL91" i="1"/>
  <c r="DC69" i="1"/>
  <c r="HP8" i="1"/>
  <c r="FQ69" i="1"/>
  <c r="HD8" i="1"/>
  <c r="EG69" i="1"/>
  <c r="FK8" i="1"/>
  <c r="GR35" i="1"/>
  <c r="GU69" i="1"/>
  <c r="HM8" i="1"/>
  <c r="DU8" i="1"/>
  <c r="GO69" i="1"/>
  <c r="HA8" i="1"/>
  <c r="ES8" i="1"/>
  <c r="GI25" i="1"/>
  <c r="HM25" i="1"/>
  <c r="HP36" i="1"/>
  <c r="EJ36" i="1"/>
  <c r="DF36" i="1"/>
  <c r="EV36" i="1"/>
  <c r="DL36" i="1"/>
  <c r="GI36" i="1"/>
  <c r="FT36" i="1"/>
  <c r="IE25" i="1"/>
  <c r="IB13" i="1"/>
  <c r="IB69" i="1"/>
  <c r="HY12" i="1"/>
  <c r="IB91" i="1"/>
  <c r="EP8" i="1"/>
  <c r="IH38" i="1"/>
  <c r="IE36" i="1"/>
  <c r="GL12" i="1"/>
  <c r="DI12" i="1"/>
  <c r="DX12" i="1"/>
  <c r="EJ12" i="1"/>
  <c r="EA12" i="1"/>
  <c r="EV28" i="1"/>
  <c r="FT28" i="1"/>
  <c r="DU12" i="1"/>
  <c r="FN28" i="1"/>
  <c r="HM28" i="1"/>
  <c r="HA12" i="1"/>
  <c r="GC25" i="1"/>
  <c r="DR28" i="1"/>
  <c r="HV25" i="1"/>
  <c r="HG25" i="1"/>
  <c r="GI12" i="1"/>
  <c r="ED25" i="1"/>
  <c r="FW28" i="1"/>
  <c r="HJ25" i="1"/>
  <c r="DX13" i="1"/>
  <c r="GO13" i="1"/>
  <c r="GF25" i="1"/>
  <c r="DI13" i="1"/>
  <c r="DU13" i="1"/>
  <c r="HP25" i="1"/>
  <c r="EV13" i="1"/>
  <c r="FQ13" i="1"/>
  <c r="HA38" i="1"/>
  <c r="HA13" i="1"/>
  <c r="FT38" i="1"/>
  <c r="GO38" i="1"/>
  <c r="DC38" i="1"/>
  <c r="GC91" i="1"/>
  <c r="FQ91" i="1"/>
  <c r="FT91" i="1"/>
  <c r="HA91" i="1"/>
  <c r="EA91" i="1"/>
  <c r="ES91" i="1"/>
  <c r="GO91" i="1"/>
  <c r="HP91" i="1"/>
  <c r="HM69" i="1"/>
  <c r="EV8" i="1"/>
  <c r="HS69" i="1"/>
  <c r="HG8" i="1"/>
  <c r="GC69" i="1"/>
  <c r="HD69" i="1"/>
  <c r="DF8" i="1"/>
  <c r="HD35" i="1"/>
  <c r="DI69" i="1"/>
  <c r="GR8" i="1"/>
  <c r="GI69" i="1"/>
  <c r="GX8" i="1"/>
  <c r="DO69" i="1"/>
  <c r="DU69" i="1"/>
  <c r="HJ69" i="1"/>
  <c r="EM69" i="1"/>
  <c r="FH28" i="1"/>
  <c r="DR25" i="1"/>
  <c r="GF36" i="1"/>
  <c r="EY36" i="1"/>
  <c r="GX36" i="1"/>
  <c r="HS36" i="1"/>
  <c r="ED36" i="1"/>
  <c r="EG36" i="1"/>
  <c r="FH36" i="1"/>
  <c r="DU55" i="1"/>
  <c r="IB25" i="1"/>
  <c r="IE13" i="1"/>
  <c r="IE69" i="1"/>
  <c r="IH28" i="1"/>
  <c r="FE91" i="1"/>
  <c r="IB24" i="1"/>
  <c r="IB38" i="1"/>
  <c r="IB36" i="1"/>
  <c r="GC12" i="1"/>
  <c r="HJ12" i="1"/>
  <c r="FN12" i="1"/>
  <c r="GR12" i="1"/>
  <c r="EV12" i="1"/>
  <c r="EM12" i="1"/>
  <c r="HA28" i="1"/>
  <c r="FB28" i="1"/>
  <c r="FB56" i="1"/>
  <c r="FE28" i="1"/>
  <c r="HP12" i="1"/>
  <c r="HS56" i="1"/>
  <c r="FK25" i="1"/>
  <c r="FH25" i="1"/>
  <c r="EY28" i="1"/>
  <c r="GU25" i="1"/>
  <c r="DO25" i="1"/>
  <c r="GF28" i="1"/>
  <c r="EV25" i="1"/>
  <c r="HV13" i="1"/>
  <c r="DR13" i="1"/>
  <c r="DC25" i="1"/>
  <c r="HG13" i="1"/>
  <c r="FT13" i="1"/>
  <c r="FK13" i="1"/>
  <c r="FZ13" i="1"/>
  <c r="HS38" i="1"/>
  <c r="ED38" i="1"/>
  <c r="EM13" i="1"/>
  <c r="EG38" i="1"/>
  <c r="HP38" i="1"/>
  <c r="EV38" i="1"/>
  <c r="HG38" i="1"/>
  <c r="DF38" i="1"/>
  <c r="DF91" i="1"/>
  <c r="EV91" i="1"/>
  <c r="FZ91" i="1"/>
  <c r="DU91" i="1"/>
  <c r="EM91" i="1"/>
  <c r="GI91" i="1"/>
  <c r="EP91" i="1"/>
  <c r="GX69" i="1"/>
  <c r="GF8" i="1"/>
  <c r="ED69" i="1"/>
  <c r="FB69" i="1"/>
  <c r="FQ8" i="1"/>
  <c r="FN69" i="1"/>
  <c r="HV8" i="1"/>
  <c r="EM8" i="1"/>
  <c r="EY69" i="1"/>
  <c r="FE8" i="1"/>
  <c r="DR69" i="1"/>
  <c r="GO8" i="1"/>
  <c r="DO8" i="1"/>
  <c r="HY8" i="1"/>
  <c r="EA8" i="1"/>
  <c r="HJ38" i="1"/>
  <c r="HV12" i="1"/>
  <c r="FK28" i="1"/>
  <c r="EG28" i="1"/>
  <c r="HG28" i="1"/>
  <c r="HD25" i="1"/>
  <c r="DO54" i="1"/>
  <c r="DR36" i="1"/>
  <c r="HV36" i="1"/>
  <c r="FK36" i="1"/>
  <c r="DX36" i="1"/>
  <c r="HJ36" i="1"/>
  <c r="FQ36" i="1"/>
  <c r="FW36" i="1"/>
  <c r="ES54" i="1"/>
  <c r="IH25" i="1"/>
  <c r="IH13" i="1"/>
  <c r="IH69" i="1"/>
  <c r="IB28" i="1"/>
  <c r="FQ38" i="1"/>
  <c r="IH36" i="1"/>
  <c r="GO12" i="1"/>
  <c r="GX12" i="1"/>
  <c r="HD12" i="1"/>
  <c r="FT12" i="1"/>
  <c r="FQ12" i="1"/>
  <c r="HS12" i="1"/>
  <c r="HM12" i="1"/>
  <c r="HG12" i="1"/>
  <c r="GR28" i="1"/>
  <c r="DF12" i="1"/>
  <c r="ED28" i="1"/>
  <c r="FK56" i="1"/>
  <c r="EP28" i="1"/>
  <c r="FZ56" i="1"/>
  <c r="GX25" i="1"/>
  <c r="GI28" i="1"/>
  <c r="EG25" i="1"/>
  <c r="EJ28" i="1"/>
  <c r="HS25" i="1"/>
  <c r="DI25" i="1"/>
  <c r="GC28" i="1"/>
  <c r="DL25" i="1"/>
  <c r="DC13" i="1"/>
  <c r="DF13" i="1"/>
  <c r="EG13" i="1"/>
  <c r="EY13" i="1"/>
  <c r="GL13" i="1"/>
  <c r="FE13" i="1"/>
  <c r="FH13" i="1"/>
  <c r="ES38" i="1"/>
  <c r="HV38" i="1"/>
  <c r="EA38" i="1"/>
  <c r="HY38" i="1"/>
  <c r="HD38" i="1"/>
  <c r="GL38" i="1"/>
  <c r="EJ38" i="1"/>
  <c r="DL38" i="1"/>
  <c r="HM91" i="1"/>
  <c r="DL91" i="1"/>
  <c r="DX91" i="1"/>
  <c r="GX91" i="1"/>
  <c r="FK91" i="1"/>
  <c r="EJ91" i="1"/>
  <c r="FB91" i="1"/>
  <c r="HS91" i="1"/>
  <c r="EP69" i="1"/>
  <c r="GI8" i="1"/>
  <c r="ES69" i="1"/>
  <c r="GC8" i="1"/>
  <c r="HS8" i="1"/>
  <c r="FK69" i="1"/>
  <c r="DI8" i="1"/>
  <c r="HJ8" i="1"/>
  <c r="HG69" i="1"/>
  <c r="DX8" i="1"/>
  <c r="FZ69" i="1"/>
  <c r="GU8" i="1"/>
  <c r="FH69" i="1"/>
  <c r="FB8" i="1"/>
  <c r="EM38" i="1"/>
  <c r="DX38" i="1"/>
  <c r="DU25" i="1"/>
  <c r="FZ25" i="1"/>
  <c r="DC36" i="1"/>
  <c r="FB36" i="1"/>
  <c r="DI36" i="1"/>
  <c r="GU36" i="1"/>
  <c r="EA36" i="1"/>
  <c r="ES36" i="1"/>
  <c r="HM36" i="1"/>
  <c r="GO54" i="1"/>
  <c r="HY25" i="1"/>
  <c r="HS13" i="1"/>
  <c r="IB54" i="1"/>
  <c r="DF69" i="1"/>
  <c r="IE12" i="1"/>
  <c r="IB55" i="1"/>
  <c r="IB8" i="1"/>
  <c r="GR36" i="1"/>
  <c r="EG12" i="1"/>
  <c r="FH12" i="1"/>
  <c r="DL12" i="1"/>
  <c r="ES12" i="1"/>
  <c r="GF12" i="1"/>
  <c r="ES28" i="1"/>
  <c r="DF56" i="1"/>
  <c r="DX28" i="1"/>
  <c r="DU28" i="1"/>
  <c r="FW56" i="1"/>
  <c r="EM28" i="1"/>
  <c r="GR25" i="1"/>
  <c r="GL28" i="1"/>
  <c r="GO25" i="1"/>
  <c r="DL28" i="1"/>
  <c r="EP25" i="1"/>
  <c r="FZ28" i="1"/>
  <c r="EJ13" i="1"/>
  <c r="HD13" i="1"/>
  <c r="ED13" i="1"/>
  <c r="DO13" i="1"/>
  <c r="FW13" i="1"/>
  <c r="GI13" i="1"/>
  <c r="GF13" i="1"/>
  <c r="GX13" i="1"/>
  <c r="FK38" i="1"/>
  <c r="GR38" i="1"/>
  <c r="FN38" i="1"/>
  <c r="EY38" i="1"/>
  <c r="GX38" i="1"/>
  <c r="DR38" i="1"/>
  <c r="DI91" i="1"/>
  <c r="EG91" i="1"/>
  <c r="GU91" i="1"/>
  <c r="HV91" i="1"/>
  <c r="FW91" i="1"/>
  <c r="HD91" i="1"/>
  <c r="DC91" i="1"/>
  <c r="HY91" i="1"/>
  <c r="FT69" i="1"/>
  <c r="FZ8" i="1"/>
  <c r="HM35" i="1"/>
  <c r="HA69" i="1"/>
  <c r="EJ8" i="1"/>
  <c r="ED35" i="1"/>
  <c r="DL69" i="1"/>
  <c r="FT8" i="1"/>
  <c r="HY69" i="1"/>
  <c r="GR69" i="1"/>
  <c r="DR8" i="1"/>
  <c r="HV69" i="1"/>
  <c r="GL69" i="1"/>
  <c r="EY8" i="1"/>
  <c r="FN8" i="1"/>
  <c r="FQ28" i="1"/>
  <c r="HA36" i="1"/>
  <c r="EP36" i="1"/>
  <c r="HG36" i="1"/>
  <c r="HD36" i="1"/>
  <c r="FN36" i="1"/>
  <c r="GO36" i="1"/>
  <c r="IH54" i="1"/>
  <c r="IE28" i="1"/>
  <c r="FZ57" i="1"/>
  <c r="EG57" i="1"/>
  <c r="IH80" i="1"/>
  <c r="EJ57" i="1"/>
  <c r="HM57" i="1"/>
  <c r="EV57" i="1"/>
  <c r="DO57" i="1"/>
  <c r="HV57" i="1"/>
  <c r="DR57" i="1"/>
  <c r="DI57" i="1"/>
  <c r="GF57" i="1"/>
  <c r="HY57" i="1"/>
  <c r="DF57" i="1"/>
  <c r="GX80" i="1"/>
  <c r="FE80" i="1"/>
  <c r="DX80" i="1"/>
  <c r="ED80" i="1"/>
  <c r="FZ80" i="1"/>
  <c r="FN80" i="1"/>
  <c r="DL80" i="1"/>
  <c r="FB57" i="1"/>
  <c r="ED57" i="1"/>
  <c r="DU57" i="1"/>
  <c r="HJ57" i="1"/>
  <c r="EY57" i="1"/>
  <c r="FT57" i="1"/>
  <c r="DR73" i="1"/>
  <c r="IE89" i="1"/>
  <c r="HS46" i="1"/>
  <c r="HV46" i="1"/>
  <c r="FE46" i="1"/>
  <c r="DU46" i="1"/>
  <c r="EM46" i="1"/>
  <c r="HM46" i="1"/>
  <c r="DL46" i="1"/>
  <c r="HM80" i="1"/>
  <c r="HD80" i="1"/>
  <c r="DI80" i="1"/>
  <c r="EV80" i="1"/>
  <c r="FB80" i="1"/>
  <c r="GR80" i="1"/>
  <c r="EG80" i="1"/>
  <c r="GI57" i="1"/>
  <c r="ES57" i="1"/>
  <c r="HS57" i="1"/>
  <c r="FK57" i="1"/>
  <c r="HA57" i="1"/>
  <c r="DC57" i="1"/>
  <c r="FZ73" i="1"/>
  <c r="EY73" i="1"/>
  <c r="IE34" i="1"/>
  <c r="IH46" i="1"/>
  <c r="IH33" i="1"/>
  <c r="IE78" i="1"/>
  <c r="IH24" i="1"/>
  <c r="DC73" i="1"/>
  <c r="GX46" i="1"/>
  <c r="EJ46" i="1"/>
  <c r="EV46" i="1"/>
  <c r="HA80" i="1"/>
  <c r="EY80" i="1"/>
  <c r="FQ80" i="1"/>
  <c r="FW80" i="1"/>
  <c r="GL80" i="1"/>
  <c r="EP80" i="1"/>
  <c r="HG80" i="1"/>
  <c r="GU57" i="1"/>
  <c r="EM57" i="1"/>
  <c r="GX57" i="1"/>
  <c r="FW57" i="1"/>
  <c r="FH57" i="1"/>
  <c r="HP57" i="1"/>
  <c r="FB73" i="1"/>
  <c r="IE80" i="1"/>
  <c r="ED29" i="1"/>
  <c r="FB29" i="1"/>
  <c r="HY29" i="1"/>
  <c r="GI29" i="1"/>
  <c r="HA29" i="1"/>
  <c r="DR29" i="1"/>
  <c r="FE29" i="1"/>
  <c r="GX29" i="1"/>
  <c r="HJ27" i="1"/>
  <c r="ES27" i="1"/>
  <c r="GL84" i="1"/>
  <c r="GO84" i="1"/>
  <c r="EG84" i="1"/>
  <c r="HG84" i="1"/>
  <c r="FW84" i="1"/>
  <c r="HY84" i="1"/>
  <c r="FQ78" i="1"/>
  <c r="DR78" i="1"/>
  <c r="HJ78" i="1"/>
  <c r="HY78" i="1"/>
  <c r="HD78" i="1"/>
  <c r="EA78" i="1"/>
  <c r="EV78" i="1"/>
  <c r="EA73" i="1"/>
  <c r="EG73" i="1"/>
  <c r="EP73" i="1"/>
  <c r="DU73" i="1"/>
  <c r="HY73" i="1"/>
  <c r="DO73" i="1"/>
  <c r="IB27" i="1"/>
  <c r="IB46" i="1"/>
  <c r="IH89" i="1"/>
  <c r="IB68" i="1"/>
  <c r="IE57" i="1"/>
  <c r="FW89" i="1"/>
  <c r="EG89" i="1"/>
  <c r="EA89" i="1"/>
  <c r="FZ89" i="1"/>
  <c r="FQ89" i="1"/>
  <c r="HG89" i="1"/>
  <c r="EP27" i="1"/>
  <c r="FQ27" i="1"/>
  <c r="FK27" i="1"/>
  <c r="GF27" i="1"/>
  <c r="FT27" i="1"/>
  <c r="HD29" i="1"/>
  <c r="DX29" i="1"/>
  <c r="EJ29" i="1"/>
  <c r="FT29" i="1"/>
  <c r="HJ29" i="1"/>
  <c r="DU29" i="1"/>
  <c r="GR29" i="1"/>
  <c r="FB27" i="1"/>
  <c r="EM27" i="1"/>
  <c r="HG27" i="1"/>
  <c r="FN27" i="1"/>
  <c r="FT84" i="1"/>
  <c r="EV84" i="1"/>
  <c r="DO84" i="1"/>
  <c r="DI84" i="1"/>
  <c r="DC84" i="1"/>
  <c r="EM84" i="1"/>
  <c r="GR84" i="1"/>
  <c r="HM84" i="1"/>
  <c r="HV78" i="1"/>
  <c r="FW78" i="1"/>
  <c r="HG78" i="1"/>
  <c r="GO78" i="1"/>
  <c r="FH78" i="1"/>
  <c r="EJ78" i="1"/>
  <c r="GC78" i="1"/>
  <c r="FE73" i="1"/>
  <c r="GU73" i="1"/>
  <c r="GI73" i="1"/>
  <c r="HJ73" i="1"/>
  <c r="GX73" i="1"/>
  <c r="DF73" i="1"/>
  <c r="HA73" i="1"/>
  <c r="IE27" i="1"/>
  <c r="IE46" i="1"/>
  <c r="DC89" i="1"/>
  <c r="IB57" i="1"/>
  <c r="FK89" i="1"/>
  <c r="FH89" i="1"/>
  <c r="GX89" i="1"/>
  <c r="FN89" i="1"/>
  <c r="HA89" i="1"/>
  <c r="FW27" i="1"/>
  <c r="EG27" i="1"/>
  <c r="FE89" i="1"/>
  <c r="HV27" i="1"/>
  <c r="FH27" i="1"/>
  <c r="FE27" i="1"/>
  <c r="EJ89" i="1"/>
  <c r="HS29" i="1"/>
  <c r="FK29" i="1"/>
  <c r="GO29" i="1"/>
  <c r="ES29" i="1"/>
  <c r="FQ29" i="1"/>
  <c r="FZ29" i="1"/>
  <c r="DO29" i="1"/>
  <c r="GF29" i="1"/>
  <c r="DF84" i="1"/>
  <c r="FN84" i="1"/>
  <c r="EP84" i="1"/>
  <c r="DL84" i="1"/>
  <c r="FK84" i="1"/>
  <c r="GU84" i="1"/>
  <c r="GF84" i="1"/>
  <c r="GX78" i="1"/>
  <c r="GL78" i="1"/>
  <c r="HA78" i="1"/>
  <c r="EG78" i="1"/>
  <c r="FB78" i="1"/>
  <c r="FT78" i="1"/>
  <c r="HS78" i="1"/>
  <c r="DC78" i="1"/>
  <c r="DC80" i="1"/>
  <c r="EA57" i="1"/>
  <c r="GO57" i="1"/>
  <c r="EP57" i="1"/>
  <c r="FN57" i="1"/>
  <c r="DX57" i="1"/>
  <c r="DL57" i="1"/>
  <c r="GL57" i="1"/>
  <c r="HG73" i="1"/>
  <c r="DL73" i="1"/>
  <c r="FK73" i="1"/>
  <c r="GO73" i="1"/>
  <c r="HM73" i="1"/>
  <c r="GR73" i="1"/>
  <c r="GC73" i="1"/>
  <c r="HS73" i="1"/>
  <c r="IH27" i="1"/>
  <c r="IH84" i="1"/>
  <c r="IH73" i="1"/>
  <c r="EY29" i="1"/>
  <c r="EP29" i="1"/>
  <c r="DC29" i="1"/>
  <c r="HM29" i="1"/>
  <c r="DL29" i="1"/>
  <c r="DF29" i="1"/>
  <c r="HP27" i="1"/>
  <c r="DO27" i="1"/>
  <c r="EA84" i="1"/>
  <c r="FQ84" i="1"/>
  <c r="FH84" i="1"/>
  <c r="DU84" i="1"/>
  <c r="DX84" i="1"/>
  <c r="DR84" i="1"/>
  <c r="FE84" i="1"/>
  <c r="DL78" i="1"/>
  <c r="FK78" i="1"/>
  <c r="FZ78" i="1"/>
  <c r="EM78" i="1"/>
  <c r="DO78" i="1"/>
  <c r="FN78" i="1"/>
  <c r="EP78" i="1"/>
  <c r="HD73" i="1"/>
  <c r="FN73" i="1"/>
  <c r="GF73" i="1"/>
  <c r="FT73" i="1"/>
  <c r="FQ73" i="1"/>
  <c r="ES73" i="1"/>
  <c r="GL73" i="1"/>
  <c r="GL27" i="1"/>
  <c r="IB78" i="1"/>
  <c r="IB84" i="1"/>
  <c r="IB73" i="1"/>
  <c r="EG29" i="1"/>
  <c r="FW29" i="1"/>
  <c r="GC29" i="1"/>
  <c r="HP29" i="1"/>
  <c r="FN29" i="1"/>
  <c r="DL27" i="1"/>
  <c r="HS27" i="1"/>
  <c r="DI27" i="1"/>
  <c r="EJ84" i="1"/>
  <c r="FZ84" i="1"/>
  <c r="HP78" i="1"/>
  <c r="ED78" i="1"/>
  <c r="GU78" i="1"/>
  <c r="EY78" i="1"/>
  <c r="DX78" i="1"/>
  <c r="DF78" i="1"/>
  <c r="GF78" i="1"/>
  <c r="DX73" i="1"/>
  <c r="HP73" i="1"/>
  <c r="EV73" i="1"/>
  <c r="FH73" i="1"/>
  <c r="DI73" i="1"/>
  <c r="EM73" i="1"/>
  <c r="FW73" i="1"/>
  <c r="HG29" i="1"/>
  <c r="IB35" i="1"/>
  <c r="HJ42" i="1"/>
  <c r="GR42" i="1"/>
  <c r="DI42" i="1"/>
  <c r="DC42" i="1"/>
  <c r="HV42" i="1"/>
  <c r="FN42" i="1"/>
  <c r="FB20" i="1"/>
  <c r="GF20" i="1"/>
  <c r="GX93" i="1"/>
  <c r="HA20" i="1"/>
  <c r="FZ42" i="1"/>
  <c r="EG56" i="1"/>
  <c r="GF93" i="1"/>
  <c r="FK20" i="1"/>
  <c r="FH20" i="1"/>
  <c r="EY56" i="1"/>
  <c r="ES93" i="1"/>
  <c r="GL20" i="1"/>
  <c r="DC20" i="1"/>
  <c r="DL56" i="1"/>
  <c r="GC20" i="1"/>
  <c r="GI93" i="1"/>
  <c r="HJ56" i="1"/>
  <c r="FH56" i="1"/>
  <c r="DI32" i="1"/>
  <c r="DX93" i="1"/>
  <c r="FT32" i="1"/>
  <c r="FZ32" i="1"/>
  <c r="DO32" i="1"/>
  <c r="HM72" i="1"/>
  <c r="DU72" i="1"/>
  <c r="GF35" i="1"/>
  <c r="EJ35" i="1"/>
  <c r="HV35" i="1"/>
  <c r="DL35" i="1"/>
  <c r="GX82" i="1"/>
  <c r="DC82" i="1"/>
  <c r="GU32" i="1"/>
  <c r="FN83" i="1"/>
  <c r="HA83" i="1"/>
  <c r="ES11" i="1"/>
  <c r="HM11" i="1"/>
  <c r="FW11" i="1"/>
  <c r="EA30" i="1"/>
  <c r="DO30" i="1"/>
  <c r="DO47" i="1"/>
  <c r="EV47" i="1"/>
  <c r="HY74" i="1"/>
  <c r="EG74" i="1"/>
  <c r="GC74" i="1"/>
  <c r="EA75" i="1"/>
  <c r="GR75" i="1"/>
  <c r="IH42" i="1"/>
  <c r="IH35" i="1"/>
  <c r="FK47" i="1"/>
  <c r="IB93" i="1"/>
  <c r="HD42" i="1"/>
  <c r="FZ20" i="1"/>
  <c r="HM20" i="1"/>
  <c r="EV56" i="1"/>
  <c r="HA72" i="1"/>
  <c r="EJ72" i="1"/>
  <c r="HY82" i="1"/>
  <c r="DL82" i="1"/>
  <c r="HJ32" i="1"/>
  <c r="EY83" i="1"/>
  <c r="DO83" i="1"/>
  <c r="GL11" i="1"/>
  <c r="ES83" i="1"/>
  <c r="HM30" i="1"/>
  <c r="FB30" i="1"/>
  <c r="DX47" i="1"/>
  <c r="HY47" i="1"/>
  <c r="FQ47" i="1"/>
  <c r="GL74" i="1"/>
  <c r="HD74" i="1"/>
  <c r="GU74" i="1"/>
  <c r="GX75" i="1"/>
  <c r="HG75" i="1"/>
  <c r="ES72" i="1"/>
  <c r="IB11" i="1"/>
  <c r="IH82" i="1"/>
  <c r="IE93" i="1"/>
  <c r="FQ42" i="1"/>
  <c r="GU42" i="1"/>
  <c r="HG42" i="1"/>
  <c r="GF42" i="1"/>
  <c r="GX42" i="1"/>
  <c r="FE56" i="1"/>
  <c r="FN93" i="1"/>
  <c r="EM20" i="1"/>
  <c r="EP93" i="1"/>
  <c r="FW32" i="1"/>
  <c r="EY32" i="1"/>
  <c r="GC42" i="1"/>
  <c r="ED42" i="1"/>
  <c r="GL42" i="1"/>
  <c r="EJ42" i="1"/>
  <c r="FW42" i="1"/>
  <c r="EV42" i="1"/>
  <c r="DR42" i="1"/>
  <c r="EG20" i="1"/>
  <c r="GO93" i="1"/>
  <c r="DL20" i="1"/>
  <c r="HD20" i="1"/>
  <c r="FB93" i="1"/>
  <c r="GU93" i="1"/>
  <c r="EA20" i="1"/>
  <c r="FT93" i="1"/>
  <c r="DO93" i="1"/>
  <c r="DI93" i="1"/>
  <c r="EJ20" i="1"/>
  <c r="DI20" i="1"/>
  <c r="EP20" i="1"/>
  <c r="FQ56" i="1"/>
  <c r="FQ93" i="1"/>
  <c r="GR93" i="1"/>
  <c r="HP32" i="1"/>
  <c r="EV32" i="1"/>
  <c r="FQ32" i="1"/>
  <c r="GU72" i="1"/>
  <c r="GI72" i="1"/>
  <c r="FQ72" i="1"/>
  <c r="EP72" i="1"/>
  <c r="HG35" i="1"/>
  <c r="HY35" i="1"/>
  <c r="FN82" i="1"/>
  <c r="EV82" i="1"/>
  <c r="ES82" i="1"/>
  <c r="DU83" i="1"/>
  <c r="HJ83" i="1"/>
  <c r="FZ83" i="1"/>
  <c r="GC83" i="1"/>
  <c r="EG30" i="1"/>
  <c r="EJ30" i="1"/>
  <c r="GF30" i="1"/>
  <c r="GX47" i="1"/>
  <c r="DR47" i="1"/>
  <c r="FW47" i="1"/>
  <c r="HJ74" i="1"/>
  <c r="EP74" i="1"/>
  <c r="DX74" i="1"/>
  <c r="FQ75" i="1"/>
  <c r="GO75" i="1"/>
  <c r="IH11" i="1"/>
  <c r="HV82" i="1"/>
  <c r="FK42" i="1"/>
  <c r="HA42" i="1"/>
  <c r="FE20" i="1"/>
  <c r="FE93" i="1"/>
  <c r="HP20" i="1"/>
  <c r="FN20" i="1"/>
  <c r="DO20" i="1"/>
  <c r="HA93" i="1"/>
  <c r="EV93" i="1"/>
  <c r="GO56" i="1"/>
  <c r="GC93" i="1"/>
  <c r="EM42" i="1"/>
  <c r="DF42" i="1"/>
  <c r="GO42" i="1"/>
  <c r="DL42" i="1"/>
  <c r="FB42" i="1"/>
  <c r="ES20" i="1"/>
  <c r="FT56" i="1"/>
  <c r="DR93" i="1"/>
  <c r="DF93" i="1"/>
  <c r="DX20" i="1"/>
  <c r="GR20" i="1"/>
  <c r="HV56" i="1"/>
  <c r="FZ93" i="1"/>
  <c r="EG93" i="1"/>
  <c r="ED93" i="1"/>
  <c r="HS20" i="1"/>
  <c r="GU20" i="1"/>
  <c r="HY56" i="1"/>
  <c r="FW93" i="1"/>
  <c r="HG20" i="1"/>
  <c r="EY20" i="1"/>
  <c r="DU93" i="1"/>
  <c r="EA93" i="1"/>
  <c r="HY93" i="1"/>
  <c r="FK93" i="1"/>
  <c r="EM32" i="1"/>
  <c r="DC93" i="1"/>
  <c r="FE72" i="1"/>
  <c r="HJ72" i="1"/>
  <c r="DR72" i="1"/>
  <c r="HP72" i="1"/>
  <c r="EA35" i="1"/>
  <c r="FW35" i="1"/>
  <c r="GI35" i="1"/>
  <c r="GL82" i="1"/>
  <c r="EJ82" i="1"/>
  <c r="GR82" i="1"/>
  <c r="FE83" i="1"/>
  <c r="DF83" i="1"/>
  <c r="HV11" i="1"/>
  <c r="DO11" i="1"/>
  <c r="HJ11" i="1"/>
  <c r="FQ30" i="1"/>
  <c r="HJ30" i="1"/>
  <c r="HA30" i="1"/>
  <c r="EJ47" i="1"/>
  <c r="GO47" i="1"/>
  <c r="HS47" i="1"/>
  <c r="FK74" i="1"/>
  <c r="FN74" i="1"/>
  <c r="FK75" i="1"/>
  <c r="DL75" i="1"/>
  <c r="GL75" i="1"/>
  <c r="IE75" i="1"/>
  <c r="ED56" i="1"/>
  <c r="GL56" i="1"/>
  <c r="HA56" i="1"/>
  <c r="DR56" i="1"/>
  <c r="DU56" i="1"/>
  <c r="HD56" i="1"/>
  <c r="FN56" i="1"/>
  <c r="GR56" i="1"/>
  <c r="HP56" i="1"/>
  <c r="HD32" i="1"/>
  <c r="ES32" i="1"/>
  <c r="HS32" i="1"/>
  <c r="DL32" i="1"/>
  <c r="FN32" i="1"/>
  <c r="HG32" i="1"/>
  <c r="GR32" i="1"/>
  <c r="FH72" i="1"/>
  <c r="HY72" i="1"/>
  <c r="GX72" i="1"/>
  <c r="HV72" i="1"/>
  <c r="FK72" i="1"/>
  <c r="HS72" i="1"/>
  <c r="EG35" i="1"/>
  <c r="DU35" i="1"/>
  <c r="GC35" i="1"/>
  <c r="DF35" i="1"/>
  <c r="HS35" i="1"/>
  <c r="DO35" i="1"/>
  <c r="EP35" i="1"/>
  <c r="ED82" i="1"/>
  <c r="GI82" i="1"/>
  <c r="EM82" i="1"/>
  <c r="HA82" i="1"/>
  <c r="DR82" i="1"/>
  <c r="FB82" i="1"/>
  <c r="GO82" i="1"/>
  <c r="GC82" i="1"/>
  <c r="HS83" i="1"/>
  <c r="HP83" i="1"/>
  <c r="FW83" i="1"/>
  <c r="ED83" i="1"/>
  <c r="GU83" i="1"/>
  <c r="GF83" i="1"/>
  <c r="DI11" i="1"/>
  <c r="HS11" i="1"/>
  <c r="HD83" i="1"/>
  <c r="DR11" i="1"/>
  <c r="GU11" i="1"/>
  <c r="FT11" i="1"/>
  <c r="GO11" i="1"/>
  <c r="DC11" i="1"/>
  <c r="EY30" i="1"/>
  <c r="HS30" i="1"/>
  <c r="HP30" i="1"/>
  <c r="HV30" i="1"/>
  <c r="DF30" i="1"/>
  <c r="FE30" i="1"/>
  <c r="DC30" i="1"/>
  <c r="GU47" i="1"/>
  <c r="HA47" i="1"/>
  <c r="ES47" i="1"/>
  <c r="FN47" i="1"/>
  <c r="DF47" i="1"/>
  <c r="HM47" i="1"/>
  <c r="EP47" i="1"/>
  <c r="DC74" i="1"/>
  <c r="HG74" i="1"/>
  <c r="EY74" i="1"/>
  <c r="HM74" i="1"/>
  <c r="DL74" i="1"/>
  <c r="EA74" i="1"/>
  <c r="GR74" i="1"/>
  <c r="DF75" i="1"/>
  <c r="EV75" i="1"/>
  <c r="ED75" i="1"/>
  <c r="FE75" i="1"/>
  <c r="EM75" i="1"/>
  <c r="FN75" i="1"/>
  <c r="EY75" i="1"/>
  <c r="IB74" i="1"/>
  <c r="IH83" i="1"/>
  <c r="DX42" i="1"/>
  <c r="IE11" i="1"/>
  <c r="IE35" i="1"/>
  <c r="IH93" i="1"/>
  <c r="DC56" i="1"/>
  <c r="HM56" i="1"/>
  <c r="GC56" i="1"/>
  <c r="DI72" i="1"/>
  <c r="DO72" i="1"/>
  <c r="EV72" i="1"/>
  <c r="EY35" i="1"/>
  <c r="HJ35" i="1"/>
  <c r="FZ35" i="1"/>
  <c r="GO35" i="1"/>
  <c r="FB35" i="1"/>
  <c r="FK35" i="1"/>
  <c r="FE82" i="1"/>
  <c r="HJ82" i="1"/>
  <c r="HD82" i="1"/>
  <c r="DO82" i="1"/>
  <c r="EY82" i="1"/>
  <c r="GU82" i="1"/>
  <c r="DI82" i="1"/>
  <c r="EA82" i="1"/>
  <c r="HP82" i="1"/>
  <c r="FB83" i="1"/>
  <c r="DI83" i="1"/>
  <c r="HY83" i="1"/>
  <c r="GR83" i="1"/>
  <c r="GI83" i="1"/>
  <c r="DX83" i="1"/>
  <c r="GC11" i="1"/>
  <c r="EP11" i="1"/>
  <c r="HP11" i="1"/>
  <c r="FH11" i="1"/>
  <c r="EA11" i="1"/>
  <c r="FB11" i="1"/>
  <c r="EG11" i="1"/>
  <c r="FH83" i="1"/>
  <c r="ED11" i="1"/>
  <c r="GX30" i="1"/>
  <c r="FW30" i="1"/>
  <c r="HD30" i="1"/>
  <c r="FT30" i="1"/>
  <c r="ED30" i="1"/>
  <c r="FK30" i="1"/>
  <c r="EM30" i="1"/>
  <c r="EY47" i="1"/>
  <c r="GI47" i="1"/>
  <c r="FH47" i="1"/>
  <c r="HG47" i="1"/>
  <c r="GR47" i="1"/>
  <c r="FT47" i="1"/>
  <c r="ED47" i="1"/>
  <c r="FZ47" i="1"/>
  <c r="GI74" i="1"/>
  <c r="DF74" i="1"/>
  <c r="FT74" i="1"/>
  <c r="ED74" i="1"/>
  <c r="HV74" i="1"/>
  <c r="FH74" i="1"/>
  <c r="HA74" i="1"/>
  <c r="DU75" i="1"/>
  <c r="HJ75" i="1"/>
  <c r="DI75" i="1"/>
  <c r="DO75" i="1"/>
  <c r="HP75" i="1"/>
  <c r="DR75" i="1"/>
  <c r="HV75" i="1"/>
  <c r="IH30" i="1"/>
  <c r="IE74" i="1"/>
  <c r="IE83" i="1"/>
  <c r="IH72" i="1"/>
  <c r="HY11" i="1"/>
  <c r="FE35" i="1"/>
  <c r="IE32" i="1"/>
  <c r="IB47" i="1"/>
  <c r="DO56" i="1"/>
  <c r="HG56" i="1"/>
  <c r="EP56" i="1"/>
  <c r="DI56" i="1"/>
  <c r="ES56" i="1"/>
  <c r="ED32" i="1"/>
  <c r="EP32" i="1"/>
  <c r="HY32" i="1"/>
  <c r="DC32" i="1"/>
  <c r="DU32" i="1"/>
  <c r="GL32" i="1"/>
  <c r="FE32" i="1"/>
  <c r="FB32" i="1"/>
  <c r="GC32" i="1"/>
  <c r="DF72" i="1"/>
  <c r="GC72" i="1"/>
  <c r="ED72" i="1"/>
  <c r="FB72" i="1"/>
  <c r="FW72" i="1"/>
  <c r="DL72" i="1"/>
  <c r="FN72" i="1"/>
  <c r="DX35" i="1"/>
  <c r="DI35" i="1"/>
  <c r="DC35" i="1"/>
  <c r="FH35" i="1"/>
  <c r="EV35" i="1"/>
  <c r="FQ35" i="1"/>
  <c r="GX35" i="1"/>
  <c r="EM35" i="1"/>
  <c r="FK82" i="1"/>
  <c r="EG82" i="1"/>
  <c r="FT82" i="1"/>
  <c r="FQ82" i="1"/>
  <c r="FH82" i="1"/>
  <c r="DX82" i="1"/>
  <c r="EG32" i="1"/>
  <c r="HP42" i="1"/>
  <c r="HM83" i="1"/>
  <c r="FK83" i="1"/>
  <c r="DR83" i="1"/>
  <c r="GL83" i="1"/>
  <c r="EV83" i="1"/>
  <c r="GO83" i="1"/>
  <c r="EM11" i="1"/>
  <c r="FN11" i="1"/>
  <c r="EJ11" i="1"/>
  <c r="EJ83" i="1"/>
  <c r="EV11" i="1"/>
  <c r="GR11" i="1"/>
  <c r="EG83" i="1"/>
  <c r="FZ30" i="1"/>
  <c r="GI30" i="1"/>
  <c r="GL30" i="1"/>
  <c r="FN30" i="1"/>
  <c r="GO30" i="1"/>
  <c r="DL30" i="1"/>
  <c r="DU30" i="1"/>
  <c r="HD47" i="1"/>
  <c r="DU47" i="1"/>
  <c r="DC47" i="1"/>
  <c r="DL47" i="1"/>
  <c r="FE47" i="1"/>
  <c r="GF47" i="1"/>
  <c r="DU74" i="1"/>
  <c r="DR74" i="1"/>
  <c r="FB74" i="1"/>
  <c r="FW74" i="1"/>
  <c r="GF74" i="1"/>
  <c r="GO74" i="1"/>
  <c r="DO74" i="1"/>
  <c r="GU75" i="1"/>
  <c r="HY75" i="1"/>
  <c r="EG75" i="1"/>
  <c r="HM75" i="1"/>
  <c r="HS75" i="1"/>
  <c r="HA75" i="1"/>
  <c r="FH75" i="1"/>
  <c r="IE30" i="1"/>
  <c r="IH74" i="1"/>
  <c r="IB83" i="1"/>
  <c r="IB72" i="1"/>
  <c r="IB82" i="1"/>
  <c r="IB32" i="1"/>
  <c r="IE47" i="1"/>
  <c r="EJ56" i="1"/>
  <c r="GX56" i="1"/>
  <c r="GF56" i="1"/>
  <c r="EA56" i="1"/>
  <c r="DX56" i="1"/>
  <c r="DX32" i="1"/>
  <c r="EJ32" i="1"/>
  <c r="GO32" i="1"/>
  <c r="GU56" i="1"/>
  <c r="GX32" i="1"/>
  <c r="HA32" i="1"/>
  <c r="DR32" i="1"/>
  <c r="HG72" i="1"/>
  <c r="HD72" i="1"/>
  <c r="FT72" i="1"/>
  <c r="EY72" i="1"/>
  <c r="DX72" i="1"/>
  <c r="GO72" i="1"/>
  <c r="EG72" i="1"/>
  <c r="EA72" i="1"/>
  <c r="DR35" i="1"/>
  <c r="HA35" i="1"/>
  <c r="GU35" i="1"/>
  <c r="FT35" i="1"/>
  <c r="ES35" i="1"/>
  <c r="HP35" i="1"/>
  <c r="FW82" i="1"/>
  <c r="DU82" i="1"/>
  <c r="DF82" i="1"/>
  <c r="HS82" i="1"/>
  <c r="GF82" i="1"/>
  <c r="HM82" i="1"/>
  <c r="EA32" i="1"/>
  <c r="EP83" i="1"/>
  <c r="HV83" i="1"/>
  <c r="FT83" i="1"/>
  <c r="FQ83" i="1"/>
  <c r="EA83" i="1"/>
  <c r="GF11" i="1"/>
  <c r="DX11" i="1"/>
  <c r="GX11" i="1"/>
  <c r="FE11" i="1"/>
  <c r="GI11" i="1"/>
  <c r="EY11" i="1"/>
  <c r="FK11" i="1"/>
  <c r="DI30" i="1"/>
  <c r="DR30" i="1"/>
  <c r="ES30" i="1"/>
  <c r="FH30" i="1"/>
  <c r="EV30" i="1"/>
  <c r="GU30" i="1"/>
  <c r="HG30" i="1"/>
  <c r="GC47" i="1"/>
  <c r="DI47" i="1"/>
  <c r="HJ47" i="1"/>
  <c r="EM47" i="1"/>
  <c r="FB47" i="1"/>
  <c r="EG47" i="1"/>
  <c r="HP47" i="1"/>
  <c r="FZ74" i="1"/>
  <c r="DI74" i="1"/>
  <c r="ES74" i="1"/>
  <c r="EJ74" i="1"/>
  <c r="FE74" i="1"/>
  <c r="FQ74" i="1"/>
  <c r="FB75" i="1"/>
  <c r="GF75" i="1"/>
  <c r="HD75" i="1"/>
  <c r="DC75" i="1"/>
  <c r="GI75" i="1"/>
  <c r="FZ75" i="1"/>
  <c r="FW75" i="1"/>
  <c r="IB30" i="1"/>
  <c r="DR37" i="1"/>
  <c r="FE37" i="1"/>
  <c r="GL37" i="1"/>
  <c r="HJ37" i="1"/>
  <c r="FT23" i="1"/>
  <c r="DR71" i="1"/>
  <c r="IE37" i="1"/>
  <c r="EA64" i="1"/>
  <c r="FW37" i="1"/>
  <c r="HD37" i="1"/>
  <c r="HG37" i="1"/>
  <c r="DF37" i="1"/>
  <c r="FQ37" i="1"/>
  <c r="DO37" i="1"/>
  <c r="EJ37" i="1"/>
  <c r="HP40" i="1"/>
  <c r="ES37" i="1"/>
  <c r="GO71" i="1"/>
  <c r="ED39" i="1"/>
  <c r="IH37" i="1"/>
  <c r="FZ37" i="1"/>
  <c r="DX37" i="1"/>
  <c r="HP37" i="1"/>
  <c r="HY37" i="1"/>
  <c r="FT37" i="1"/>
  <c r="FE92" i="1"/>
  <c r="FH77" i="1"/>
  <c r="FH37" i="1"/>
  <c r="DC37" i="1"/>
  <c r="HA37" i="1"/>
  <c r="GO37" i="1"/>
  <c r="FW23" i="1"/>
  <c r="EV37" i="1"/>
  <c r="GF37" i="1"/>
  <c r="HJ64" i="1"/>
  <c r="EP37" i="1"/>
  <c r="EY37" i="1"/>
  <c r="FK37" i="1"/>
  <c r="EA37" i="1"/>
  <c r="DI37" i="1"/>
  <c r="DL37" i="1"/>
  <c r="HV37" i="1"/>
  <c r="DU37" i="1"/>
  <c r="GF40" i="1"/>
  <c r="GU37" i="1"/>
  <c r="FB37" i="1"/>
  <c r="ED37" i="1"/>
  <c r="HS37" i="1"/>
  <c r="GX37" i="1"/>
  <c r="GX64" i="1"/>
  <c r="EG37" i="1"/>
  <c r="FN37" i="1"/>
  <c r="GI37" i="1"/>
  <c r="GC37" i="1"/>
  <c r="GR37" i="1"/>
  <c r="HM37" i="1"/>
  <c r="EM37" i="1"/>
  <c r="FK23" i="1"/>
  <c r="GU51" i="1"/>
  <c r="IB29" i="1"/>
  <c r="ED77" i="1"/>
  <c r="IH86" i="1"/>
  <c r="FK86" i="1"/>
  <c r="FN86" i="1"/>
  <c r="GI86" i="1"/>
  <c r="DX86" i="1"/>
  <c r="GF86" i="1"/>
  <c r="GC86" i="1"/>
  <c r="HY86" i="1"/>
  <c r="FB86" i="1"/>
  <c r="DO86" i="1"/>
  <c r="EP86" i="1"/>
  <c r="EM86" i="1"/>
  <c r="HP86" i="1"/>
  <c r="HS86" i="1"/>
  <c r="EV86" i="1"/>
  <c r="HM86" i="1"/>
  <c r="DF86" i="1"/>
  <c r="GO86" i="1"/>
  <c r="FW86" i="1"/>
  <c r="GX86" i="1"/>
  <c r="HD86" i="1"/>
  <c r="DU86" i="1"/>
  <c r="GR86" i="1"/>
  <c r="DI86" i="1"/>
  <c r="IE86" i="1"/>
  <c r="HA86" i="1"/>
  <c r="FE86" i="1"/>
  <c r="FH86" i="1"/>
  <c r="DL86" i="1"/>
  <c r="DR86" i="1"/>
  <c r="GU86" i="1"/>
  <c r="HG86" i="1"/>
  <c r="FT86" i="1"/>
  <c r="FZ86" i="1"/>
  <c r="IB23" i="1"/>
  <c r="DR23" i="1"/>
  <c r="GU23" i="1"/>
  <c r="DX23" i="1"/>
  <c r="HY23" i="1"/>
  <c r="GR23" i="1"/>
  <c r="HA23" i="1"/>
  <c r="GO23" i="1"/>
  <c r="HJ23" i="1"/>
  <c r="EV23" i="1"/>
  <c r="GL23" i="1"/>
  <c r="FE23" i="1"/>
  <c r="EG23" i="1"/>
  <c r="HM23" i="1"/>
  <c r="DU23" i="1"/>
  <c r="EY23" i="1"/>
  <c r="FQ23" i="1"/>
  <c r="FB23" i="1"/>
  <c r="FZ23" i="1"/>
  <c r="GX23" i="1"/>
  <c r="EJ23" i="1"/>
  <c r="ED23" i="1"/>
  <c r="GF23" i="1"/>
  <c r="EM23" i="1"/>
  <c r="HD23" i="1"/>
  <c r="ES23" i="1"/>
  <c r="FN23" i="1"/>
  <c r="EP23" i="1"/>
  <c r="DC23" i="1"/>
  <c r="DL23" i="1"/>
  <c r="GI23" i="1"/>
  <c r="GC23" i="1"/>
  <c r="FH23" i="1"/>
  <c r="DF23" i="1"/>
  <c r="HP23" i="1"/>
  <c r="DO23" i="1"/>
  <c r="HG23" i="1"/>
  <c r="IB92" i="1"/>
  <c r="FW92" i="1"/>
  <c r="HM92" i="1"/>
  <c r="DR92" i="1"/>
  <c r="FB92" i="1"/>
  <c r="IH92" i="1"/>
  <c r="GR92" i="1"/>
  <c r="HD92" i="1"/>
  <c r="HJ92" i="1"/>
  <c r="FQ92" i="1"/>
  <c r="FT92" i="1"/>
  <c r="EV92" i="1"/>
  <c r="IE92" i="1"/>
  <c r="GI92" i="1"/>
  <c r="EG92" i="1"/>
  <c r="DC92" i="1"/>
  <c r="HG92" i="1"/>
  <c r="HA92" i="1"/>
  <c r="FZ92" i="1"/>
  <c r="DX92" i="1"/>
  <c r="FN92" i="1"/>
  <c r="GF92" i="1"/>
  <c r="DO92" i="1"/>
  <c r="FK92" i="1"/>
  <c r="HS92" i="1"/>
  <c r="FH92" i="1"/>
  <c r="HV92" i="1"/>
  <c r="EJ92" i="1"/>
  <c r="HP92" i="1"/>
  <c r="DL92" i="1"/>
  <c r="GC92" i="1"/>
  <c r="DI92" i="1"/>
  <c r="DF92" i="1"/>
  <c r="GO92" i="1"/>
  <c r="GX92" i="1"/>
  <c r="ED92" i="1"/>
  <c r="IE51" i="1"/>
  <c r="HV51" i="1"/>
  <c r="FE51" i="1"/>
  <c r="HP51" i="1"/>
  <c r="ES51" i="1"/>
  <c r="HD51" i="1"/>
  <c r="DF51" i="1"/>
  <c r="HS51" i="1"/>
  <c r="DU51" i="1"/>
  <c r="DR51" i="1"/>
  <c r="FH51" i="1"/>
  <c r="DO51" i="1"/>
  <c r="HJ51" i="1"/>
  <c r="EM51" i="1"/>
  <c r="DC51" i="1"/>
  <c r="DX51" i="1"/>
  <c r="FN51" i="1"/>
  <c r="DI51" i="1"/>
  <c r="FK51" i="1"/>
  <c r="FT51" i="1"/>
  <c r="HY51" i="1"/>
  <c r="FW51" i="1"/>
  <c r="EP51" i="1"/>
  <c r="GO51" i="1"/>
  <c r="ED51" i="1"/>
  <c r="HM51" i="1"/>
  <c r="FQ51" i="1"/>
  <c r="GF51" i="1"/>
  <c r="IH51" i="1"/>
  <c r="EJ51" i="1"/>
  <c r="DL51" i="1"/>
  <c r="EY51" i="1"/>
  <c r="EV51" i="1"/>
  <c r="HA51" i="1"/>
  <c r="HG51" i="1"/>
  <c r="EG51" i="1"/>
  <c r="GO64" i="1"/>
  <c r="FW64" i="1"/>
  <c r="GO40" i="1"/>
  <c r="FW21" i="1"/>
  <c r="GU92" i="1"/>
  <c r="EM92" i="1"/>
  <c r="FQ86" i="1"/>
  <c r="FW71" i="1"/>
  <c r="EA51" i="1"/>
  <c r="HP39" i="1"/>
  <c r="EJ31" i="1"/>
  <c r="FB51" i="1"/>
  <c r="FN64" i="1"/>
  <c r="HD64" i="1"/>
  <c r="HM40" i="1"/>
  <c r="ES40" i="1"/>
  <c r="FE40" i="1"/>
  <c r="DI23" i="1"/>
  <c r="GL92" i="1"/>
  <c r="GC21" i="1"/>
  <c r="ES86" i="1"/>
  <c r="EY71" i="1"/>
  <c r="GC51" i="1"/>
  <c r="DC86" i="1"/>
  <c r="EG31" i="1"/>
  <c r="DC77" i="1"/>
  <c r="HY92" i="1"/>
  <c r="IE77" i="1"/>
  <c r="IH64" i="1"/>
  <c r="EV64" i="1"/>
  <c r="DI64" i="1"/>
  <c r="DU64" i="1"/>
  <c r="EP64" i="1"/>
  <c r="GL64" i="1"/>
  <c r="HP64" i="1"/>
  <c r="EG64" i="1"/>
  <c r="HG64" i="1"/>
  <c r="DF64" i="1"/>
  <c r="FK64" i="1"/>
  <c r="ES64" i="1"/>
  <c r="GC64" i="1"/>
  <c r="FH64" i="1"/>
  <c r="GR64" i="1"/>
  <c r="FB64" i="1"/>
  <c r="DX64" i="1"/>
  <c r="GF64" i="1"/>
  <c r="FT64" i="1"/>
  <c r="ED64" i="1"/>
  <c r="FE64" i="1"/>
  <c r="EM64" i="1"/>
  <c r="HY64" i="1"/>
  <c r="EJ64" i="1"/>
  <c r="DR64" i="1"/>
  <c r="EY64" i="1"/>
  <c r="HV64" i="1"/>
  <c r="GU64" i="1"/>
  <c r="FE31" i="1"/>
  <c r="DR31" i="1"/>
  <c r="DI31" i="1"/>
  <c r="HA31" i="1"/>
  <c r="FH31" i="1"/>
  <c r="GL31" i="1"/>
  <c r="EY31" i="1"/>
  <c r="ED31" i="1"/>
  <c r="DC31" i="1"/>
  <c r="HD31" i="1"/>
  <c r="HP31" i="1"/>
  <c r="GI31" i="1"/>
  <c r="FB31" i="1"/>
  <c r="GR31" i="1"/>
  <c r="FN31" i="1"/>
  <c r="GF31" i="1"/>
  <c r="FZ31" i="1"/>
  <c r="FK31" i="1"/>
  <c r="DX31" i="1"/>
  <c r="HG31" i="1"/>
  <c r="GX31" i="1"/>
  <c r="DO31" i="1"/>
  <c r="GU31" i="1"/>
  <c r="GC31" i="1"/>
  <c r="FQ31" i="1"/>
  <c r="HY31" i="1"/>
  <c r="HJ31" i="1"/>
  <c r="DU31" i="1"/>
  <c r="EM31" i="1"/>
  <c r="HV31" i="1"/>
  <c r="EV31" i="1"/>
  <c r="EA31" i="1"/>
  <c r="ES31" i="1"/>
  <c r="FW31" i="1"/>
  <c r="HS31" i="1"/>
  <c r="GO31" i="1"/>
  <c r="EP31" i="1"/>
  <c r="HM31" i="1"/>
  <c r="DO39" i="1"/>
  <c r="HD39" i="1"/>
  <c r="FT39" i="1"/>
  <c r="EM39" i="1"/>
  <c r="HS39" i="1"/>
  <c r="FW39" i="1"/>
  <c r="DU39" i="1"/>
  <c r="FH39" i="1"/>
  <c r="FQ39" i="1"/>
  <c r="DI39" i="1"/>
  <c r="GU39" i="1"/>
  <c r="FK39" i="1"/>
  <c r="FE39" i="1"/>
  <c r="HY39" i="1"/>
  <c r="EJ39" i="1"/>
  <c r="GO39" i="1"/>
  <c r="GX39" i="1"/>
  <c r="GL39" i="1"/>
  <c r="GC39" i="1"/>
  <c r="DX39" i="1"/>
  <c r="GI39" i="1"/>
  <c r="HA39" i="1"/>
  <c r="ES39" i="1"/>
  <c r="DR39" i="1"/>
  <c r="GR39" i="1"/>
  <c r="HJ39" i="1"/>
  <c r="HG39" i="1"/>
  <c r="EV39" i="1"/>
  <c r="EY39" i="1"/>
  <c r="DC39" i="1"/>
  <c r="HV39" i="1"/>
  <c r="FZ39" i="1"/>
  <c r="DF39" i="1"/>
  <c r="FB39" i="1"/>
  <c r="GF39" i="1"/>
  <c r="FN39" i="1"/>
  <c r="DL39" i="1"/>
  <c r="DL64" i="1"/>
  <c r="FW40" i="1"/>
  <c r="FK40" i="1"/>
  <c r="GI64" i="1"/>
  <c r="HM64" i="1"/>
  <c r="FQ40" i="1"/>
  <c r="GU40" i="1"/>
  <c r="EA23" i="1"/>
  <c r="HM21" i="1"/>
  <c r="EY92" i="1"/>
  <c r="GX51" i="1"/>
  <c r="EA39" i="1"/>
  <c r="EJ86" i="1"/>
  <c r="GI51" i="1"/>
  <c r="DI77" i="1"/>
  <c r="IH40" i="1"/>
  <c r="IB40" i="1"/>
  <c r="EY40" i="1"/>
  <c r="EM40" i="1"/>
  <c r="EA40" i="1"/>
  <c r="DF40" i="1"/>
  <c r="GX40" i="1"/>
  <c r="DI40" i="1"/>
  <c r="HY40" i="1"/>
  <c r="HS40" i="1"/>
  <c r="EP40" i="1"/>
  <c r="HG40" i="1"/>
  <c r="GC40" i="1"/>
  <c r="HV40" i="1"/>
  <c r="DU40" i="1"/>
  <c r="DL40" i="1"/>
  <c r="EG40" i="1"/>
  <c r="GI40" i="1"/>
  <c r="DR40" i="1"/>
  <c r="GL40" i="1"/>
  <c r="GR40" i="1"/>
  <c r="FN40" i="1"/>
  <c r="FB40" i="1"/>
  <c r="DX40" i="1"/>
  <c r="DC40" i="1"/>
  <c r="DO40" i="1"/>
  <c r="HA40" i="1"/>
  <c r="FT40" i="1"/>
  <c r="FH40" i="1"/>
  <c r="EJ71" i="1"/>
  <c r="EG71" i="1"/>
  <c r="FN71" i="1"/>
  <c r="DX71" i="1"/>
  <c r="FH71" i="1"/>
  <c r="DL71" i="1"/>
  <c r="ES71" i="1"/>
  <c r="GI71" i="1"/>
  <c r="DU71" i="1"/>
  <c r="DF71" i="1"/>
  <c r="HJ71" i="1"/>
  <c r="GU71" i="1"/>
  <c r="HY71" i="1"/>
  <c r="EA71" i="1"/>
  <c r="EP71" i="1"/>
  <c r="EV71" i="1"/>
  <c r="HP71" i="1"/>
  <c r="DI71" i="1"/>
  <c r="EM71" i="1"/>
  <c r="DO71" i="1"/>
  <c r="HG71" i="1"/>
  <c r="FK71" i="1"/>
  <c r="HS71" i="1"/>
  <c r="FB71" i="1"/>
  <c r="FQ71" i="1"/>
  <c r="GC71" i="1"/>
  <c r="FT71" i="1"/>
  <c r="GR71" i="1"/>
  <c r="HA71" i="1"/>
  <c r="DC71" i="1"/>
  <c r="GL71" i="1"/>
  <c r="ED71" i="1"/>
  <c r="HD71" i="1"/>
  <c r="GF71" i="1"/>
  <c r="GX71" i="1"/>
  <c r="FE71" i="1"/>
  <c r="IB77" i="1"/>
  <c r="GC77" i="1"/>
  <c r="GU77" i="1"/>
  <c r="GF77" i="1"/>
  <c r="HM77" i="1"/>
  <c r="FZ77" i="1"/>
  <c r="EY77" i="1"/>
  <c r="HV77" i="1"/>
  <c r="FT77" i="1"/>
  <c r="HS77" i="1"/>
  <c r="FQ77" i="1"/>
  <c r="EA77" i="1"/>
  <c r="FN77" i="1"/>
  <c r="HJ77" i="1"/>
  <c r="HD77" i="1"/>
  <c r="DR77" i="1"/>
  <c r="HP77" i="1"/>
  <c r="DX77" i="1"/>
  <c r="EV77" i="1"/>
  <c r="GL77" i="1"/>
  <c r="ES77" i="1"/>
  <c r="EP77" i="1"/>
  <c r="EG77" i="1"/>
  <c r="FK77" i="1"/>
  <c r="EJ77" i="1"/>
  <c r="GR77" i="1"/>
  <c r="HY77" i="1"/>
  <c r="DU77" i="1"/>
  <c r="HA77" i="1"/>
  <c r="EM77" i="1"/>
  <c r="IH77" i="1"/>
  <c r="FW77" i="1"/>
  <c r="FB77" i="1"/>
  <c r="DF77" i="1"/>
  <c r="GO77" i="1"/>
  <c r="DO77" i="1"/>
  <c r="HG77" i="1"/>
  <c r="DL77" i="1"/>
  <c r="HA64" i="1"/>
  <c r="FQ64" i="1"/>
  <c r="EV40" i="1"/>
  <c r="HD40" i="1"/>
  <c r="ED40" i="1"/>
  <c r="EP92" i="1"/>
  <c r="HV71" i="1"/>
  <c r="FZ51" i="1"/>
  <c r="HJ86" i="1"/>
  <c r="HM39" i="1"/>
  <c r="FT31" i="1"/>
  <c r="GR51" i="1"/>
  <c r="GI77" i="1"/>
  <c r="DC21" i="1"/>
  <c r="GL21" i="1"/>
  <c r="HS21" i="1"/>
  <c r="HD21" i="1"/>
  <c r="GF21" i="1"/>
  <c r="ES21" i="1"/>
  <c r="DU21" i="1"/>
  <c r="HJ21" i="1"/>
  <c r="FN21" i="1"/>
  <c r="FT21" i="1"/>
  <c r="FQ21" i="1"/>
  <c r="EM21" i="1"/>
  <c r="EV21" i="1"/>
  <c r="GR21" i="1"/>
  <c r="GU21" i="1"/>
  <c r="DX21" i="1"/>
  <c r="FB21" i="1"/>
  <c r="EA21" i="1"/>
  <c r="EY21" i="1"/>
  <c r="FZ21" i="1"/>
  <c r="EJ21" i="1"/>
  <c r="FH21" i="1"/>
  <c r="DL21" i="1"/>
  <c r="ED21" i="1"/>
  <c r="FE21" i="1"/>
  <c r="GO21" i="1"/>
  <c r="EP21" i="1"/>
  <c r="HV21" i="1"/>
  <c r="DO21" i="1"/>
  <c r="HA21" i="1"/>
  <c r="IB21" i="1"/>
  <c r="GI21" i="1"/>
  <c r="DR21" i="1"/>
  <c r="GX21" i="1"/>
  <c r="DI21" i="1"/>
  <c r="HP21" i="1"/>
  <c r="DF21" i="1"/>
  <c r="FK21" i="1"/>
  <c r="HS64" i="1"/>
  <c r="FZ64" i="1"/>
  <c r="DO64" i="1"/>
  <c r="FZ40" i="1"/>
  <c r="DU92" i="1"/>
  <c r="EA92" i="1"/>
  <c r="HG21" i="1"/>
  <c r="EG21" i="1"/>
  <c r="HV23" i="1"/>
  <c r="GL86" i="1"/>
  <c r="EG86" i="1"/>
  <c r="EY86" i="1"/>
  <c r="FZ71" i="1"/>
  <c r="DF31" i="1"/>
  <c r="GL51" i="1"/>
  <c r="FE77" i="1"/>
  <c r="DC52" i="1"/>
  <c r="EG52" i="1"/>
  <c r="FZ52" i="1"/>
  <c r="ED52" i="1"/>
  <c r="HS52" i="1"/>
  <c r="DI52" i="1"/>
  <c r="GO52" i="1"/>
  <c r="FN52" i="1"/>
  <c r="EM52" i="1"/>
  <c r="FH52" i="1"/>
  <c r="HP52" i="1"/>
  <c r="FB52" i="1"/>
  <c r="FE52" i="1"/>
  <c r="DF52" i="1"/>
  <c r="FT52" i="1"/>
  <c r="HA52" i="1"/>
  <c r="FQ52" i="1"/>
  <c r="HY52" i="1"/>
  <c r="GI52" i="1"/>
  <c r="EP52" i="1"/>
  <c r="DL52" i="1"/>
  <c r="HD52" i="1"/>
  <c r="IE52" i="1"/>
  <c r="EV52" i="1"/>
  <c r="GX52" i="1"/>
  <c r="HM52" i="1"/>
  <c r="HJ52" i="1"/>
  <c r="GC52" i="1"/>
  <c r="FK52" i="1"/>
  <c r="IB52" i="1"/>
  <c r="FW52" i="1"/>
  <c r="DU52" i="1"/>
  <c r="ES52" i="1"/>
  <c r="DX52" i="1"/>
  <c r="HV52" i="1"/>
  <c r="GR52" i="1"/>
  <c r="GL52" i="1"/>
  <c r="IH52" i="1"/>
  <c r="DO52" i="1"/>
  <c r="HG52" i="1"/>
  <c r="DR52" i="1"/>
  <c r="GU52" i="1"/>
  <c r="EY52" i="1"/>
  <c r="EA52" i="1"/>
  <c r="GF52" i="1"/>
  <c r="EJ52" i="1"/>
  <c r="IH39" i="1"/>
  <c r="EP39" i="1"/>
  <c r="HV86" i="1"/>
  <c r="IE40" i="1"/>
  <c r="IH71" i="1"/>
  <c r="IE21" i="1"/>
  <c r="HS23" i="1"/>
  <c r="IE20" i="1"/>
  <c r="IH20" i="1"/>
  <c r="IB20" i="1"/>
  <c r="HV20" i="1"/>
  <c r="HJ40" i="1"/>
  <c r="IE71" i="1"/>
  <c r="IB31" i="1"/>
  <c r="IH21" i="1"/>
  <c r="IE29" i="1"/>
  <c r="IE56" i="1"/>
  <c r="IB39" i="1"/>
  <c r="IB71" i="1"/>
  <c r="IH31" i="1"/>
  <c r="IB64" i="1"/>
  <c r="IB56" i="1"/>
  <c r="IE39" i="1"/>
  <c r="FQ88" i="1"/>
  <c r="IH88" i="1"/>
  <c r="IB88" i="1"/>
  <c r="IE88" i="1"/>
  <c r="EA86" i="1"/>
  <c r="IB86" i="1"/>
  <c r="IE31" i="1"/>
  <c r="IH65" i="1"/>
  <c r="IH23" i="1"/>
  <c r="IE64" i="1"/>
  <c r="IH56" i="1"/>
  <c r="IE65" i="1"/>
  <c r="HP45" i="1"/>
  <c r="EV45" i="1"/>
  <c r="DC45" i="1"/>
  <c r="FH45" i="1"/>
  <c r="HY45" i="1"/>
  <c r="GF45" i="1"/>
  <c r="DF45" i="1"/>
  <c r="EM45" i="1"/>
  <c r="ES45" i="1"/>
  <c r="HM45" i="1"/>
  <c r="DX45" i="1"/>
  <c r="EG45" i="1"/>
  <c r="HD45" i="1"/>
  <c r="EJ45" i="1"/>
  <c r="ED44" i="1"/>
  <c r="IB44" i="1"/>
  <c r="IE44" i="1"/>
  <c r="IH44" i="1"/>
  <c r="GO45" i="1"/>
  <c r="IH45" i="1"/>
  <c r="IB45" i="1"/>
  <c r="IE45" i="1"/>
  <c r="DR44" i="1"/>
  <c r="GO44" i="1"/>
  <c r="FN44" i="1"/>
  <c r="HA44" i="1"/>
  <c r="HS44" i="1"/>
  <c r="GL44" i="1"/>
  <c r="DF44" i="1"/>
  <c r="ES44" i="1"/>
  <c r="FK44" i="1"/>
  <c r="GC44" i="1"/>
  <c r="FE44" i="1"/>
  <c r="DI44" i="1"/>
  <c r="EG44" i="1"/>
  <c r="DX44" i="1"/>
  <c r="EM44" i="1"/>
  <c r="DO44" i="1"/>
  <c r="DC44" i="1"/>
  <c r="FZ44" i="1"/>
  <c r="HJ45" i="1"/>
  <c r="DR45" i="1"/>
  <c r="GX45" i="1"/>
  <c r="FW45" i="1"/>
  <c r="FQ45" i="1"/>
  <c r="GL45" i="1"/>
  <c r="FN45" i="1"/>
  <c r="FE45" i="1"/>
  <c r="EY45" i="1"/>
  <c r="EA45" i="1"/>
  <c r="HV45" i="1"/>
  <c r="DI45" i="1"/>
  <c r="HS45" i="1"/>
  <c r="GU45" i="1"/>
  <c r="ED45" i="1"/>
  <c r="HG45" i="1"/>
  <c r="HA45" i="1"/>
  <c r="GC45" i="1"/>
  <c r="GI45" i="1"/>
  <c r="EP45" i="1"/>
  <c r="FB45" i="1"/>
  <c r="FT45" i="1"/>
  <c r="FK45" i="1"/>
  <c r="DU45" i="1"/>
  <c r="DO45" i="1"/>
  <c r="FZ45" i="1"/>
  <c r="DL45" i="1"/>
  <c r="GI44" i="1"/>
  <c r="DU44" i="1"/>
  <c r="FH44" i="1"/>
  <c r="GR44" i="1"/>
  <c r="HJ44" i="1"/>
  <c r="GU44" i="1"/>
  <c r="FW44" i="1"/>
  <c r="EY44" i="1"/>
  <c r="HD44" i="1"/>
  <c r="FT44" i="1"/>
  <c r="GF44" i="1"/>
  <c r="HG44" i="1"/>
  <c r="HY44" i="1"/>
  <c r="FB44" i="1"/>
  <c r="EV44" i="1"/>
  <c r="EA44" i="1"/>
  <c r="FQ44" i="1"/>
  <c r="DL44" i="1"/>
  <c r="HM44" i="1"/>
  <c r="EJ44" i="1"/>
  <c r="HV44" i="1"/>
  <c r="EP44" i="1"/>
  <c r="GX44" i="1"/>
  <c r="G94" i="2"/>
  <c r="EJ49" i="1"/>
  <c r="DI49" i="1"/>
  <c r="FT49" i="1"/>
  <c r="FQ49" i="1"/>
  <c r="HS49" i="1"/>
  <c r="HM49" i="1"/>
  <c r="HP49" i="1"/>
  <c r="FZ49" i="1"/>
  <c r="FK49" i="1"/>
  <c r="FW49" i="1"/>
  <c r="DU49" i="1"/>
  <c r="HV49" i="1"/>
  <c r="DO49" i="1"/>
  <c r="HD49" i="1"/>
  <c r="DL49" i="1"/>
  <c r="HG49" i="1"/>
  <c r="GO49" i="1"/>
  <c r="EM49" i="1"/>
  <c r="GX49" i="1"/>
  <c r="ED49" i="1"/>
  <c r="GC49" i="1"/>
  <c r="DR49" i="1"/>
  <c r="EV49" i="1"/>
  <c r="DC49" i="1"/>
  <c r="GU49" i="1"/>
  <c r="EA49" i="1"/>
  <c r="ES49" i="1"/>
  <c r="FN49" i="1"/>
  <c r="HA49" i="1"/>
  <c r="GI49" i="1"/>
  <c r="EG49" i="1"/>
  <c r="HJ49" i="1"/>
  <c r="DF49" i="1"/>
  <c r="GL49" i="1"/>
  <c r="FH49" i="1"/>
  <c r="FE49" i="1"/>
  <c r="DX49" i="1"/>
  <c r="FB49" i="1"/>
  <c r="EY49" i="1"/>
  <c r="GR49" i="1"/>
  <c r="GF49" i="1"/>
  <c r="EP49" i="1"/>
  <c r="GI54" i="1"/>
  <c r="HG54" i="1"/>
  <c r="FB54" i="1"/>
  <c r="DR54" i="1"/>
  <c r="HY54" i="1"/>
  <c r="GR54" i="1"/>
  <c r="DX54" i="1"/>
  <c r="DI54" i="1"/>
  <c r="HV54" i="1"/>
  <c r="EA54" i="1"/>
  <c r="GX54" i="1"/>
  <c r="HD54" i="1"/>
  <c r="GL54" i="1"/>
  <c r="EV54" i="1"/>
  <c r="R64" i="2"/>
  <c r="FZ55" i="1"/>
  <c r="EY55" i="1"/>
  <c r="FB55" i="1"/>
  <c r="HG55" i="1"/>
  <c r="GR55" i="1"/>
  <c r="R63" i="2"/>
  <c r="EA55" i="1"/>
  <c r="FE55" i="1"/>
  <c r="DO55" i="1"/>
  <c r="FT55" i="1"/>
  <c r="FH55" i="1"/>
  <c r="GF55" i="1"/>
  <c r="DR55" i="1"/>
  <c r="GL55" i="1"/>
  <c r="HP55" i="1"/>
  <c r="FQ54" i="1"/>
  <c r="GU54" i="1"/>
  <c r="DC54" i="1"/>
  <c r="FW54" i="1"/>
  <c r="HJ54" i="1"/>
  <c r="DL54" i="1"/>
  <c r="HS54" i="1"/>
  <c r="HP54" i="1"/>
  <c r="HM54" i="1"/>
  <c r="EG54" i="1"/>
  <c r="EJ55" i="1"/>
  <c r="FW55" i="1"/>
  <c r="GU55" i="1"/>
  <c r="GC55" i="1"/>
  <c r="FT54" i="1"/>
  <c r="FZ54" i="1"/>
  <c r="ED54" i="1"/>
  <c r="FE54" i="1"/>
  <c r="EY54" i="1"/>
  <c r="DF54" i="1"/>
  <c r="FK54" i="1"/>
  <c r="EP54" i="1"/>
  <c r="EP55" i="1"/>
  <c r="ED55" i="1"/>
  <c r="GX55" i="1"/>
  <c r="EV55" i="1"/>
  <c r="FN54" i="1"/>
  <c r="EM54" i="1"/>
  <c r="DU54" i="1"/>
  <c r="GF54" i="1"/>
  <c r="HA54" i="1"/>
  <c r="EJ54" i="1"/>
  <c r="FH54" i="1"/>
  <c r="DI55" i="1"/>
  <c r="GI55" i="1"/>
  <c r="GO55" i="1"/>
  <c r="HY55" i="1"/>
  <c r="EG55" i="1"/>
  <c r="ES55" i="1"/>
  <c r="FN55" i="1"/>
  <c r="FQ55" i="1"/>
  <c r="EM55" i="1"/>
  <c r="HD55" i="1"/>
  <c r="DC55" i="1"/>
  <c r="HM55" i="1"/>
  <c r="HJ55" i="1"/>
  <c r="HS55" i="1"/>
  <c r="DF55" i="1"/>
  <c r="DL55" i="1"/>
  <c r="DX55" i="1"/>
  <c r="FK55" i="1"/>
  <c r="HV55" i="1"/>
  <c r="HA55" i="1"/>
  <c r="FZ62" i="1"/>
  <c r="HP62" i="1"/>
  <c r="FK62" i="1"/>
  <c r="HG62" i="1"/>
  <c r="DU62" i="1"/>
  <c r="HS62" i="1"/>
  <c r="GF62" i="1"/>
  <c r="EG62" i="1"/>
  <c r="EA62" i="1"/>
  <c r="FE62" i="1"/>
  <c r="DF62" i="1"/>
  <c r="FH62" i="1"/>
  <c r="FT62" i="1"/>
  <c r="EY62" i="1"/>
  <c r="EV62" i="1"/>
  <c r="DR62" i="1"/>
  <c r="HM62" i="1"/>
  <c r="GU62" i="1"/>
  <c r="DI62" i="1"/>
  <c r="EJ62" i="1"/>
  <c r="FQ62" i="1"/>
  <c r="HD62" i="1"/>
  <c r="EP62" i="1"/>
  <c r="GR62" i="1"/>
  <c r="DO62" i="1"/>
  <c r="FN62" i="1"/>
  <c r="FB62" i="1"/>
  <c r="GO62" i="1"/>
  <c r="DL62" i="1"/>
  <c r="GX62" i="1"/>
  <c r="HJ62" i="1"/>
  <c r="EM62" i="1"/>
  <c r="GL62" i="1"/>
  <c r="HA62" i="1"/>
  <c r="GC62" i="1"/>
  <c r="DC62" i="1"/>
  <c r="FW62" i="1"/>
  <c r="DX62" i="1"/>
  <c r="ES62" i="1"/>
  <c r="ED62" i="1"/>
  <c r="HY62" i="1"/>
  <c r="GI62" i="1"/>
  <c r="HV66" i="1"/>
  <c r="DX66" i="1"/>
  <c r="GL66" i="1"/>
  <c r="DR66" i="1"/>
  <c r="HG66" i="1"/>
  <c r="EY66" i="1"/>
  <c r="DU66" i="1"/>
  <c r="GF66" i="1"/>
  <c r="FB66" i="1"/>
  <c r="DC66" i="1"/>
  <c r="FK66" i="1"/>
  <c r="GI66" i="1"/>
  <c r="HY66" i="1"/>
  <c r="FZ66" i="1"/>
  <c r="FN66" i="1"/>
  <c r="EJ66" i="1"/>
  <c r="HS66" i="1"/>
  <c r="EA66" i="1"/>
  <c r="ED66" i="1"/>
  <c r="DI66" i="1"/>
  <c r="FE66" i="1"/>
  <c r="GU66" i="1"/>
  <c r="GR66" i="1"/>
  <c r="FW66" i="1"/>
  <c r="DL66" i="1"/>
  <c r="ES66" i="1"/>
  <c r="DO66" i="1"/>
  <c r="EG66" i="1"/>
  <c r="EV66" i="1"/>
  <c r="GC66" i="1"/>
  <c r="HM66" i="1"/>
  <c r="HP66" i="1"/>
  <c r="GX66" i="1"/>
  <c r="EM66" i="1"/>
  <c r="DF66" i="1"/>
  <c r="HJ66" i="1"/>
  <c r="FH66" i="1"/>
  <c r="FT66" i="1"/>
  <c r="HA66" i="1"/>
  <c r="FQ66" i="1"/>
  <c r="GO66" i="1"/>
  <c r="EP66" i="1"/>
  <c r="GI67" i="1"/>
  <c r="EP67" i="1"/>
  <c r="HA59" i="1"/>
  <c r="FH67" i="1"/>
  <c r="DX59" i="1"/>
  <c r="GR59" i="1"/>
  <c r="HV59" i="1"/>
  <c r="GO59" i="1"/>
  <c r="DR59" i="1"/>
  <c r="EM67" i="1"/>
  <c r="FQ67" i="1"/>
  <c r="FT67" i="1"/>
  <c r="DF59" i="1"/>
  <c r="GO67" i="1"/>
  <c r="ES67" i="1"/>
  <c r="GX68" i="1"/>
  <c r="ED68" i="1"/>
  <c r="GU68" i="1"/>
  <c r="DF68" i="1"/>
  <c r="FB68" i="1"/>
  <c r="FZ68" i="1"/>
  <c r="GL68" i="1"/>
  <c r="GR68" i="1"/>
  <c r="GF68" i="1"/>
  <c r="FW68" i="1"/>
  <c r="DI68" i="1"/>
  <c r="FH68" i="1"/>
  <c r="HG68" i="1"/>
  <c r="FN68" i="1"/>
  <c r="EJ68" i="1"/>
  <c r="HA68" i="1"/>
  <c r="DL68" i="1"/>
  <c r="EY68" i="1"/>
  <c r="GO68" i="1"/>
  <c r="HY68" i="1"/>
  <c r="EM68" i="1"/>
  <c r="GC68" i="1"/>
  <c r="FK68" i="1"/>
  <c r="DU68" i="1"/>
  <c r="FT68" i="1"/>
  <c r="HM68" i="1"/>
  <c r="HP68" i="1"/>
  <c r="DR68" i="1"/>
  <c r="EG68" i="1"/>
  <c r="DO68" i="1"/>
  <c r="GI68" i="1"/>
  <c r="ES68" i="1"/>
  <c r="FE68" i="1"/>
  <c r="HS68" i="1"/>
  <c r="FQ68" i="1"/>
  <c r="EV68" i="1"/>
  <c r="HV68" i="1"/>
  <c r="EA68" i="1"/>
  <c r="HD68" i="1"/>
  <c r="DX68" i="1"/>
  <c r="EP68" i="1"/>
  <c r="HJ68" i="1"/>
  <c r="GC59" i="1"/>
  <c r="EV59" i="1"/>
  <c r="HS59" i="1"/>
  <c r="EA59" i="1"/>
  <c r="ES59" i="1"/>
  <c r="EP59" i="1"/>
  <c r="EJ59" i="1"/>
  <c r="FK67" i="1"/>
  <c r="EY67" i="1"/>
  <c r="GL67" i="1"/>
  <c r="FZ67" i="1"/>
  <c r="DX67" i="1"/>
  <c r="EG67" i="1"/>
  <c r="DF67" i="1"/>
  <c r="GI59" i="1"/>
  <c r="DI59" i="1"/>
  <c r="EG59" i="1"/>
  <c r="FN59" i="1"/>
  <c r="FE59" i="1"/>
  <c r="GU59" i="1"/>
  <c r="DU59" i="1"/>
  <c r="HM67" i="1"/>
  <c r="GX67" i="1"/>
  <c r="DI67" i="1"/>
  <c r="HS67" i="1"/>
  <c r="GC67" i="1"/>
  <c r="DL59" i="1"/>
  <c r="HP59" i="1"/>
  <c r="FH59" i="1"/>
  <c r="DC59" i="1"/>
  <c r="FT59" i="1"/>
  <c r="FQ59" i="1"/>
  <c r="HM59" i="1"/>
  <c r="HD59" i="1"/>
  <c r="ED67" i="1"/>
  <c r="EJ67" i="1"/>
  <c r="DO67" i="1"/>
  <c r="HP67" i="1"/>
  <c r="GX59" i="1"/>
  <c r="GF59" i="1"/>
  <c r="GL59" i="1"/>
  <c r="FB59" i="1"/>
  <c r="HG59" i="1"/>
  <c r="FZ59" i="1"/>
  <c r="ED59" i="1"/>
  <c r="FW67" i="1"/>
  <c r="DC67" i="1"/>
  <c r="DL67" i="1"/>
  <c r="HD67" i="1"/>
  <c r="DR67" i="1"/>
  <c r="EA67" i="1"/>
  <c r="DU67" i="1"/>
  <c r="DO59" i="1"/>
  <c r="EM59" i="1"/>
  <c r="HY59" i="1"/>
  <c r="HJ59" i="1"/>
  <c r="FK59" i="1"/>
  <c r="EY59" i="1"/>
  <c r="FE67" i="1"/>
  <c r="FN67" i="1"/>
  <c r="HV67" i="1"/>
  <c r="GF67" i="1"/>
  <c r="GR67" i="1"/>
  <c r="HJ67" i="1"/>
  <c r="FB67" i="1"/>
  <c r="HY67" i="1"/>
  <c r="EV67" i="1"/>
  <c r="HA67" i="1"/>
  <c r="GU67" i="1"/>
  <c r="R51" i="9"/>
  <c r="IK100" i="1" l="1"/>
  <c r="IN100" i="1"/>
  <c r="IE100" i="1"/>
  <c r="IH100" i="1"/>
  <c r="IB100" i="1"/>
  <c r="HY100" i="1"/>
  <c r="GO100" i="1"/>
  <c r="FH100" i="1"/>
  <c r="EM100" i="1"/>
  <c r="FW100" i="1"/>
  <c r="DO100" i="1"/>
  <c r="GU100" i="1"/>
  <c r="EA100" i="1"/>
  <c r="GR100" i="1"/>
  <c r="HA100" i="1"/>
  <c r="DR100" i="1"/>
  <c r="FQ100" i="1"/>
  <c r="DF100" i="1"/>
  <c r="EV100" i="1"/>
  <c r="GL100" i="1"/>
  <c r="DI100" i="1"/>
  <c r="DX100" i="1"/>
  <c r="EP100" i="1"/>
  <c r="DU100" i="1"/>
  <c r="ES100" i="1"/>
  <c r="GI100" i="1"/>
  <c r="HV100" i="1"/>
  <c r="HG100" i="1"/>
  <c r="FT100" i="1"/>
  <c r="FZ100" i="1"/>
  <c r="FB100" i="1"/>
  <c r="HS100" i="1"/>
  <c r="HP100" i="1"/>
  <c r="DL100" i="1"/>
  <c r="DC100" i="1"/>
  <c r="GX100" i="1"/>
  <c r="HM100" i="1"/>
  <c r="FE100" i="1"/>
  <c r="EJ100" i="1"/>
  <c r="FK100" i="1"/>
  <c r="EG100" i="1"/>
  <c r="EY100" i="1"/>
  <c r="GC100" i="1"/>
  <c r="ED100" i="1"/>
  <c r="HD100" i="1"/>
  <c r="GF100" i="1"/>
  <c r="HJ100" i="1"/>
  <c r="FN100" i="1"/>
  <c r="AE11" i="2" l="1"/>
  <c r="AE20" i="2"/>
  <c r="R20" i="2" s="1"/>
  <c r="AE9" i="2"/>
  <c r="R9" i="2" s="1"/>
  <c r="AE27" i="2"/>
  <c r="R27" i="2" s="1"/>
  <c r="AE24" i="2"/>
  <c r="AE33" i="2"/>
  <c r="R33" i="2" s="1"/>
  <c r="AE50" i="2"/>
  <c r="R50" i="2" s="1"/>
  <c r="AE51" i="2"/>
  <c r="R51" i="2" s="1"/>
  <c r="AE36" i="2"/>
  <c r="R36" i="2" s="1"/>
  <c r="AE32" i="2"/>
  <c r="AE15" i="2"/>
  <c r="R15" i="2" s="1"/>
  <c r="AE13" i="2"/>
  <c r="AE10" i="2"/>
  <c r="R10" i="2" s="1"/>
  <c r="AE25" i="2"/>
  <c r="AE17" i="2"/>
  <c r="R17" i="2" s="1"/>
  <c r="AE6" i="2"/>
  <c r="R6" i="2" s="1"/>
  <c r="AE37" i="2"/>
  <c r="AE44" i="2"/>
  <c r="R44" i="2" s="1"/>
  <c r="AE14" i="2"/>
  <c r="R14" i="2" s="1"/>
  <c r="AE47" i="2"/>
  <c r="R47" i="2" s="1"/>
  <c r="AE22" i="2"/>
  <c r="R22" i="2" s="1"/>
  <c r="AE53" i="2"/>
  <c r="R53" i="2" s="1"/>
  <c r="AE8" i="2"/>
  <c r="R8" i="2" s="1"/>
  <c r="AE30" i="2"/>
  <c r="AE23" i="2"/>
  <c r="R23" i="2" s="1"/>
  <c r="AE38" i="2"/>
  <c r="R38" i="2" s="1"/>
  <c r="AE52" i="2"/>
  <c r="R52" i="2" s="1"/>
  <c r="AE7" i="2"/>
  <c r="R7" i="2" s="1"/>
  <c r="AE26" i="2"/>
  <c r="R26" i="2" s="1"/>
  <c r="AE21" i="2"/>
  <c r="AE45" i="2"/>
  <c r="R45" i="2" s="1"/>
  <c r="AH45" i="2" s="1"/>
  <c r="AE48" i="2"/>
  <c r="R48" i="2" s="1"/>
  <c r="AE49" i="2"/>
  <c r="R49" i="2" s="1"/>
  <c r="AE35" i="2"/>
  <c r="R35" i="2" s="1"/>
  <c r="AE29" i="2"/>
  <c r="R29" i="2" s="1"/>
  <c r="AE16" i="2"/>
  <c r="AE18" i="2"/>
  <c r="R18" i="2" s="1"/>
  <c r="AE19" i="2"/>
  <c r="R19" i="2" s="1"/>
  <c r="AE12" i="2"/>
  <c r="AE28" i="2"/>
  <c r="R28" i="2" s="1"/>
  <c r="L202" i="6"/>
  <c r="J202" i="6"/>
  <c r="L195" i="6"/>
  <c r="J195" i="6"/>
  <c r="L175" i="6"/>
  <c r="J175" i="6"/>
  <c r="L107" i="6"/>
  <c r="J107" i="6"/>
  <c r="L81" i="6"/>
  <c r="J81" i="6"/>
  <c r="J58" i="6"/>
  <c r="L58" i="6"/>
  <c r="J63" i="6"/>
  <c r="L63" i="6"/>
  <c r="L133" i="6"/>
  <c r="J133" i="6"/>
  <c r="L104" i="6"/>
  <c r="J104" i="6"/>
  <c r="L95" i="6"/>
  <c r="J95" i="6"/>
  <c r="J8" i="6"/>
  <c r="L8" i="6"/>
  <c r="L64" i="6"/>
  <c r="J64" i="6"/>
  <c r="L60" i="6"/>
  <c r="J60" i="6"/>
  <c r="L93" i="6"/>
  <c r="J93" i="6"/>
  <c r="J16" i="6"/>
  <c r="L16" i="6"/>
  <c r="L105" i="6"/>
  <c r="J105" i="6"/>
  <c r="L138" i="6"/>
  <c r="J138" i="6"/>
  <c r="J172" i="6"/>
  <c r="L172" i="6"/>
  <c r="J122" i="6"/>
  <c r="L122" i="6"/>
  <c r="L90" i="6"/>
  <c r="J90" i="6"/>
  <c r="L54" i="6"/>
  <c r="J54" i="6"/>
  <c r="J91" i="6"/>
  <c r="L91" i="6"/>
  <c r="L183" i="6"/>
  <c r="J183" i="6"/>
  <c r="L149" i="6"/>
  <c r="J149" i="6"/>
  <c r="L96" i="6"/>
  <c r="J96" i="6"/>
  <c r="L117" i="6"/>
  <c r="J117" i="6"/>
  <c r="L197" i="6"/>
  <c r="J197" i="6"/>
  <c r="S48" i="9"/>
  <c r="J191" i="6"/>
  <c r="L191" i="6"/>
  <c r="L137" i="6"/>
  <c r="J137" i="6"/>
  <c r="J128" i="6"/>
  <c r="L128" i="6"/>
  <c r="L154" i="6"/>
  <c r="J154" i="6"/>
  <c r="S42" i="9"/>
  <c r="L13" i="6"/>
  <c r="J13" i="6"/>
  <c r="L82" i="6"/>
  <c r="J82" i="6"/>
  <c r="L48" i="6"/>
  <c r="J48" i="6"/>
  <c r="J9" i="6"/>
  <c r="S7" i="9"/>
  <c r="L9" i="6"/>
  <c r="L14" i="6"/>
  <c r="J14" i="6"/>
  <c r="L181" i="6"/>
  <c r="J181" i="6"/>
  <c r="L134" i="6"/>
  <c r="J134" i="6"/>
  <c r="L103" i="6"/>
  <c r="J103" i="6"/>
  <c r="L11" i="6"/>
  <c r="J11" i="6"/>
  <c r="L169" i="6"/>
  <c r="J169" i="6"/>
  <c r="J101" i="6"/>
  <c r="L101" i="6"/>
  <c r="L78" i="6"/>
  <c r="J78" i="6"/>
  <c r="J132" i="6"/>
  <c r="L132" i="6"/>
  <c r="L102" i="6"/>
  <c r="J102" i="6"/>
  <c r="S17" i="9"/>
  <c r="L23" i="6"/>
  <c r="J23" i="6"/>
  <c r="L67" i="6"/>
  <c r="J67" i="6"/>
  <c r="L49" i="6"/>
  <c r="J49" i="6"/>
  <c r="H87" i="2" s="1"/>
  <c r="L61" i="6"/>
  <c r="J61" i="6"/>
  <c r="L164" i="6"/>
  <c r="J164" i="6"/>
  <c r="L160" i="6"/>
  <c r="J160" i="6"/>
  <c r="L24" i="6"/>
  <c r="S11" i="9"/>
  <c r="J24" i="6"/>
  <c r="L40" i="6"/>
  <c r="J40" i="6"/>
  <c r="J84" i="6"/>
  <c r="L84" i="6"/>
  <c r="L157" i="6"/>
  <c r="J157" i="6"/>
  <c r="L70" i="6"/>
  <c r="J70" i="6"/>
  <c r="L174" i="6"/>
  <c r="J174" i="6"/>
  <c r="J110" i="6"/>
  <c r="L110" i="6"/>
  <c r="L186" i="6"/>
  <c r="J186" i="6"/>
  <c r="L74" i="6"/>
  <c r="J74" i="6"/>
  <c r="S40" i="9"/>
  <c r="L148" i="6"/>
  <c r="J148" i="6"/>
  <c r="L142" i="6"/>
  <c r="J142" i="6"/>
  <c r="S34" i="9"/>
  <c r="S27" i="9"/>
  <c r="J29" i="6"/>
  <c r="L29" i="6"/>
  <c r="L114" i="6"/>
  <c r="J114" i="6"/>
  <c r="L100" i="6"/>
  <c r="J100" i="6"/>
  <c r="L19" i="6"/>
  <c r="J19" i="6"/>
  <c r="L201" i="6"/>
  <c r="J201" i="6"/>
  <c r="L151" i="6"/>
  <c r="J151" i="6"/>
  <c r="J76" i="6"/>
  <c r="L76" i="6"/>
  <c r="L45" i="6"/>
  <c r="J45" i="6"/>
  <c r="L163" i="6"/>
  <c r="J163" i="6"/>
  <c r="L109" i="6"/>
  <c r="J109" i="6"/>
  <c r="L75" i="6"/>
  <c r="J75" i="6"/>
  <c r="L120" i="6"/>
  <c r="J120" i="6"/>
  <c r="J66" i="6"/>
  <c r="L66" i="6"/>
  <c r="J146" i="6"/>
  <c r="L146" i="6"/>
  <c r="L7" i="6"/>
  <c r="J7" i="6"/>
  <c r="L113" i="6"/>
  <c r="J113" i="6"/>
  <c r="J118" i="6"/>
  <c r="L118" i="6"/>
  <c r="L106" i="6"/>
  <c r="J106" i="6"/>
  <c r="L10" i="6"/>
  <c r="J10" i="6"/>
  <c r="L189" i="6"/>
  <c r="J189" i="6"/>
  <c r="J159" i="6"/>
  <c r="L159" i="6"/>
  <c r="J92" i="6"/>
  <c r="L92" i="6"/>
  <c r="L83" i="6"/>
  <c r="J83" i="6"/>
  <c r="L65" i="6"/>
  <c r="J65" i="6"/>
  <c r="J56" i="6"/>
  <c r="L56" i="6"/>
  <c r="L47" i="6"/>
  <c r="J47" i="6"/>
  <c r="L111" i="6"/>
  <c r="J111" i="6"/>
  <c r="J20" i="6"/>
  <c r="L20" i="6"/>
  <c r="L30" i="6"/>
  <c r="J30" i="6"/>
  <c r="J162" i="6"/>
  <c r="L162" i="6"/>
  <c r="L158" i="6"/>
  <c r="J158" i="6"/>
  <c r="L127" i="6"/>
  <c r="J127" i="6"/>
  <c r="J97" i="6"/>
  <c r="L97" i="6"/>
  <c r="J99" i="6"/>
  <c r="L99" i="6"/>
  <c r="L31" i="6"/>
  <c r="S19" i="9"/>
  <c r="J31" i="6"/>
  <c r="L12" i="6"/>
  <c r="J12" i="6"/>
  <c r="J6" i="6"/>
  <c r="L6" i="6"/>
  <c r="S5" i="9"/>
  <c r="Z5" i="9" s="1"/>
  <c r="AC5" i="9" s="1"/>
  <c r="L194" i="6"/>
  <c r="J194" i="6"/>
  <c r="L188" i="6"/>
  <c r="J188" i="6"/>
  <c r="L173" i="6"/>
  <c r="J173" i="6"/>
  <c r="L86" i="6"/>
  <c r="J86" i="6"/>
  <c r="L59" i="6"/>
  <c r="J59" i="6"/>
  <c r="L50" i="6"/>
  <c r="J50" i="6"/>
  <c r="J41" i="6"/>
  <c r="L41" i="6"/>
  <c r="L185" i="6"/>
  <c r="J185" i="6"/>
  <c r="L182" i="6"/>
  <c r="J182" i="6"/>
  <c r="L156" i="6"/>
  <c r="J156" i="6"/>
  <c r="L152" i="6"/>
  <c r="J152" i="6"/>
  <c r="L126" i="6"/>
  <c r="J126" i="6"/>
  <c r="J153" i="6"/>
  <c r="S41" i="9"/>
  <c r="L153" i="6"/>
  <c r="J139" i="6"/>
  <c r="L139" i="6"/>
  <c r="L131" i="6"/>
  <c r="J131" i="6"/>
  <c r="L125" i="6"/>
  <c r="J125" i="6"/>
  <c r="L27" i="6"/>
  <c r="J27" i="6"/>
  <c r="L121" i="6"/>
  <c r="J121" i="6"/>
  <c r="L37" i="6"/>
  <c r="J37" i="6"/>
  <c r="L198" i="6"/>
  <c r="S49" i="9"/>
  <c r="J198" i="6"/>
  <c r="L203" i="6"/>
  <c r="J203" i="6"/>
  <c r="L190" i="6"/>
  <c r="J190" i="6"/>
  <c r="J43" i="6"/>
  <c r="L43" i="6"/>
  <c r="L116" i="6"/>
  <c r="J116" i="6"/>
  <c r="J98" i="6"/>
  <c r="L98" i="6"/>
  <c r="L141" i="6"/>
  <c r="J141" i="6"/>
  <c r="S32" i="9"/>
  <c r="L69" i="6"/>
  <c r="J69" i="6"/>
  <c r="S16" i="9"/>
  <c r="J22" i="6"/>
  <c r="L22" i="6"/>
  <c r="L46" i="6"/>
  <c r="J46" i="6"/>
  <c r="L28" i="6"/>
  <c r="S18" i="9"/>
  <c r="J28" i="6"/>
  <c r="J17" i="6"/>
  <c r="L17" i="6"/>
  <c r="S43" i="9"/>
  <c r="L155" i="6"/>
  <c r="J155" i="6"/>
  <c r="L85" i="6"/>
  <c r="J85" i="6"/>
  <c r="L129" i="6"/>
  <c r="J129" i="6"/>
  <c r="L112" i="6"/>
  <c r="J112" i="6"/>
  <c r="L168" i="6"/>
  <c r="J168" i="6"/>
  <c r="L165" i="6"/>
  <c r="J165" i="6"/>
  <c r="L171" i="6"/>
  <c r="J171" i="6"/>
  <c r="S35" i="9"/>
  <c r="L143" i="6"/>
  <c r="J143" i="6"/>
  <c r="J89" i="6"/>
  <c r="L89" i="6"/>
  <c r="L80" i="6"/>
  <c r="J80" i="6"/>
  <c r="L71" i="6"/>
  <c r="J71" i="6"/>
  <c r="L62" i="6"/>
  <c r="J62" i="6"/>
  <c r="L53" i="6"/>
  <c r="J53" i="6"/>
  <c r="J44" i="6"/>
  <c r="L44" i="6"/>
  <c r="L38" i="6"/>
  <c r="J38" i="6"/>
  <c r="L39" i="6"/>
  <c r="J39" i="6"/>
  <c r="L21" i="6"/>
  <c r="S15" i="9"/>
  <c r="J21" i="6"/>
  <c r="L200" i="6"/>
  <c r="J200" i="6"/>
  <c r="L192" i="6"/>
  <c r="J192" i="6"/>
  <c r="L178" i="6"/>
  <c r="S44" i="9"/>
  <c r="J178" i="6"/>
  <c r="L150" i="6"/>
  <c r="J150" i="6"/>
  <c r="J42" i="6"/>
  <c r="L42" i="6"/>
  <c r="S38" i="9"/>
  <c r="L147" i="6"/>
  <c r="J147" i="6"/>
  <c r="L130" i="6"/>
  <c r="J130" i="6"/>
  <c r="J79" i="6"/>
  <c r="L79" i="6"/>
  <c r="L25" i="6"/>
  <c r="J25" i="6"/>
  <c r="L167" i="6"/>
  <c r="J167" i="6"/>
  <c r="J187" i="6"/>
  <c r="L187" i="6"/>
  <c r="L57" i="6"/>
  <c r="J57" i="6"/>
  <c r="J123" i="6"/>
  <c r="L123" i="6"/>
  <c r="L34" i="6"/>
  <c r="S30" i="9"/>
  <c r="J34" i="6"/>
  <c r="L184" i="6"/>
  <c r="J184" i="6"/>
  <c r="J170" i="6"/>
  <c r="L170" i="6"/>
  <c r="L26" i="6"/>
  <c r="J26" i="6"/>
  <c r="S25" i="9"/>
  <c r="L35" i="6"/>
  <c r="J35" i="6"/>
  <c r="L88" i="6"/>
  <c r="J88" i="6"/>
  <c r="L135" i="6"/>
  <c r="J135" i="6"/>
  <c r="L176" i="6"/>
  <c r="J176" i="6"/>
  <c r="L199" i="6"/>
  <c r="J199" i="6"/>
  <c r="L73" i="6"/>
  <c r="J73" i="6"/>
  <c r="L77" i="6"/>
  <c r="J77" i="6"/>
  <c r="J124" i="6"/>
  <c r="L124" i="6"/>
  <c r="S46" i="9"/>
  <c r="L177" i="6"/>
  <c r="J177" i="6"/>
  <c r="J180" i="6"/>
  <c r="L180" i="6"/>
  <c r="L72" i="6"/>
  <c r="J72" i="6"/>
  <c r="L94" i="6"/>
  <c r="J94" i="6"/>
  <c r="L179" i="6"/>
  <c r="J179" i="6"/>
  <c r="L119" i="6"/>
  <c r="J119" i="6"/>
  <c r="L166" i="6"/>
  <c r="J166" i="6"/>
  <c r="L87" i="6"/>
  <c r="J87" i="6"/>
  <c r="L51" i="6"/>
  <c r="J51" i="6"/>
  <c r="H83" i="2" s="1"/>
  <c r="L15" i="6"/>
  <c r="S8" i="9"/>
  <c r="J15" i="6"/>
  <c r="S31" i="9"/>
  <c r="J140" i="6"/>
  <c r="L140" i="6"/>
  <c r="J68" i="6"/>
  <c r="L68" i="6"/>
  <c r="L32" i="6"/>
  <c r="S12" i="9"/>
  <c r="J32" i="6"/>
  <c r="L115" i="6"/>
  <c r="J115" i="6"/>
  <c r="L196" i="6"/>
  <c r="J196" i="6"/>
  <c r="S47" i="9"/>
  <c r="J52" i="6"/>
  <c r="L52" i="6"/>
  <c r="L193" i="6"/>
  <c r="J193" i="6"/>
  <c r="S33" i="9"/>
  <c r="L145" i="6"/>
  <c r="J145" i="6"/>
  <c r="L144" i="6"/>
  <c r="J144" i="6"/>
  <c r="S37" i="9"/>
  <c r="L108" i="6"/>
  <c r="J108" i="6"/>
  <c r="L36" i="6"/>
  <c r="J36" i="6"/>
  <c r="J33" i="6"/>
  <c r="L33" i="6"/>
  <c r="J55" i="6"/>
  <c r="L55" i="6"/>
  <c r="S9" i="9"/>
  <c r="J18" i="6"/>
  <c r="L18" i="6"/>
  <c r="L161" i="6"/>
  <c r="J161" i="6"/>
  <c r="L136" i="6"/>
  <c r="J136" i="6"/>
  <c r="J5" i="6"/>
  <c r="J1" i="6"/>
  <c r="IO87" i="1" l="1"/>
  <c r="IL87" i="1"/>
  <c r="IO83" i="1"/>
  <c r="IL83" i="1"/>
  <c r="H12" i="2"/>
  <c r="H41" i="2"/>
  <c r="FF52" i="1" s="1"/>
  <c r="H44" i="2"/>
  <c r="H20" i="2"/>
  <c r="H78" i="2"/>
  <c r="H8" i="2"/>
  <c r="H37" i="2"/>
  <c r="H42" i="2"/>
  <c r="H74" i="2"/>
  <c r="H27" i="2"/>
  <c r="H89" i="2"/>
  <c r="H24" i="2"/>
  <c r="H49" i="2"/>
  <c r="H48" i="2"/>
  <c r="R32" i="2"/>
  <c r="AE31" i="2"/>
  <c r="R31" i="2" s="1"/>
  <c r="AH31" i="2" s="1"/>
  <c r="H72" i="2"/>
  <c r="H57" i="2"/>
  <c r="H19" i="2"/>
  <c r="IO19" i="1" s="1"/>
  <c r="H66" i="2"/>
  <c r="H68" i="2"/>
  <c r="H64" i="2"/>
  <c r="H28" i="2"/>
  <c r="H63" i="2"/>
  <c r="H69" i="2"/>
  <c r="H54" i="2"/>
  <c r="H71" i="2"/>
  <c r="H61" i="2"/>
  <c r="H53" i="2"/>
  <c r="H62" i="2"/>
  <c r="R30" i="2"/>
  <c r="R24" i="2"/>
  <c r="H7" i="2"/>
  <c r="H39" i="2"/>
  <c r="H80" i="2"/>
  <c r="H79" i="2"/>
  <c r="H77" i="2"/>
  <c r="H75" i="2"/>
  <c r="H76" i="2"/>
  <c r="H56" i="2"/>
  <c r="H4" i="2"/>
  <c r="H70" i="2"/>
  <c r="H55" i="2"/>
  <c r="H60" i="2"/>
  <c r="H11" i="2"/>
  <c r="H47" i="2"/>
  <c r="H58" i="2"/>
  <c r="H67" i="2"/>
  <c r="H6" i="2"/>
  <c r="H73" i="2"/>
  <c r="R37" i="2"/>
  <c r="H9" i="2"/>
  <c r="H46" i="2"/>
  <c r="H85" i="2"/>
  <c r="H38" i="2"/>
  <c r="H51" i="2"/>
  <c r="H50" i="2"/>
  <c r="H40" i="2"/>
  <c r="H45" i="2"/>
  <c r="H30" i="2"/>
  <c r="H36" i="2"/>
  <c r="H23" i="2"/>
  <c r="H17" i="2"/>
  <c r="H31" i="2"/>
  <c r="H14" i="2"/>
  <c r="H90" i="2"/>
  <c r="H86" i="2"/>
  <c r="H15" i="2"/>
  <c r="H13" i="2"/>
  <c r="H22" i="2"/>
  <c r="H82" i="2"/>
  <c r="H34" i="2"/>
  <c r="H21" i="2"/>
  <c r="H18" i="2"/>
  <c r="H32" i="2"/>
  <c r="H29" i="2"/>
  <c r="H93" i="2"/>
  <c r="H92" i="2"/>
  <c r="H35" i="2"/>
  <c r="H88" i="2"/>
  <c r="H16" i="2"/>
  <c r="H91" i="2"/>
  <c r="H10" i="2"/>
  <c r="H33" i="2"/>
  <c r="H25" i="2"/>
  <c r="H52" i="2"/>
  <c r="H26" i="2"/>
  <c r="H84" i="2"/>
  <c r="H81" i="2"/>
  <c r="H43" i="2"/>
  <c r="AH49" i="2"/>
  <c r="AH44" i="2"/>
  <c r="AH27" i="2"/>
  <c r="AH6" i="2"/>
  <c r="AH26" i="2"/>
  <c r="AH51" i="2"/>
  <c r="AH52" i="2"/>
  <c r="AH23" i="2"/>
  <c r="H59" i="2"/>
  <c r="R13" i="2"/>
  <c r="R12" i="2"/>
  <c r="R11" i="2"/>
  <c r="R21" i="2"/>
  <c r="R16" i="2"/>
  <c r="H65" i="2"/>
  <c r="AH17" i="2"/>
  <c r="AH29" i="2"/>
  <c r="AH22" i="2"/>
  <c r="AH38" i="2"/>
  <c r="AH36" i="2"/>
  <c r="R65" i="2"/>
  <c r="AH10" i="2"/>
  <c r="AH9" i="2"/>
  <c r="AH35" i="2"/>
  <c r="AH8" i="2"/>
  <c r="AH19" i="2"/>
  <c r="AH50" i="2"/>
  <c r="AH7" i="2"/>
  <c r="AH15" i="2"/>
  <c r="R25" i="2"/>
  <c r="AH14" i="2"/>
  <c r="AH33" i="2"/>
  <c r="AH48" i="2"/>
  <c r="AH47" i="2"/>
  <c r="AH28" i="2"/>
  <c r="T64" i="2"/>
  <c r="T33" i="9"/>
  <c r="U33" i="9" s="1"/>
  <c r="Z33" i="9"/>
  <c r="T25" i="9"/>
  <c r="U25" i="9" s="1"/>
  <c r="Z25" i="9"/>
  <c r="AC25" i="9" s="1"/>
  <c r="T30" i="9"/>
  <c r="U30" i="9" s="1"/>
  <c r="Z30" i="9"/>
  <c r="T44" i="9"/>
  <c r="U44" i="9" s="1"/>
  <c r="Z44" i="9"/>
  <c r="T48" i="9"/>
  <c r="U48" i="9" s="1"/>
  <c r="Z48" i="9"/>
  <c r="T7" i="9"/>
  <c r="U7" i="9" s="1"/>
  <c r="Z7" i="9"/>
  <c r="T31" i="9"/>
  <c r="U31" i="9" s="1"/>
  <c r="Z31" i="9"/>
  <c r="T40" i="9"/>
  <c r="U40" i="9" s="1"/>
  <c r="Z40" i="9"/>
  <c r="T17" i="9"/>
  <c r="U17" i="9" s="1"/>
  <c r="Z17" i="9"/>
  <c r="AC17" i="9" s="1"/>
  <c r="T46" i="9"/>
  <c r="U46" i="9" s="1"/>
  <c r="Z46" i="9"/>
  <c r="AC46" i="9" s="1"/>
  <c r="T15" i="9"/>
  <c r="U15" i="9" s="1"/>
  <c r="Z15" i="9"/>
  <c r="AC15" i="9" s="1"/>
  <c r="T32" i="9"/>
  <c r="U32" i="9" s="1"/>
  <c r="Z32" i="9"/>
  <c r="T42" i="9"/>
  <c r="U42" i="9" s="1"/>
  <c r="Z42" i="9"/>
  <c r="T9" i="9"/>
  <c r="U9" i="9" s="1"/>
  <c r="Z9" i="9"/>
  <c r="T38" i="9"/>
  <c r="U38" i="9" s="1"/>
  <c r="Z38" i="9"/>
  <c r="AC38" i="9" s="1"/>
  <c r="T43" i="9"/>
  <c r="U43" i="9" s="1"/>
  <c r="Z43" i="9"/>
  <c r="T37" i="9"/>
  <c r="U37" i="9" s="1"/>
  <c r="Z37" i="9"/>
  <c r="AC37" i="9" s="1"/>
  <c r="T12" i="9"/>
  <c r="U12" i="9" s="1"/>
  <c r="Z12" i="9"/>
  <c r="T8" i="9"/>
  <c r="U8" i="9" s="1"/>
  <c r="Z8" i="9"/>
  <c r="AC8" i="9" s="1"/>
  <c r="T35" i="9"/>
  <c r="U35" i="9" s="1"/>
  <c r="Z35" i="9"/>
  <c r="AC35" i="9" s="1"/>
  <c r="T10" i="9"/>
  <c r="U10" i="9" s="1"/>
  <c r="Z10" i="9"/>
  <c r="AC10" i="9" s="1"/>
  <c r="T27" i="9"/>
  <c r="U27" i="9" s="1"/>
  <c r="Z27" i="9"/>
  <c r="AC27" i="9" s="1"/>
  <c r="T11" i="9"/>
  <c r="U11" i="9" s="1"/>
  <c r="Z11" i="9"/>
  <c r="T16" i="9"/>
  <c r="U16" i="9" s="1"/>
  <c r="Z16" i="9"/>
  <c r="T41" i="9"/>
  <c r="U41" i="9" s="1"/>
  <c r="Z41" i="9"/>
  <c r="T19" i="9"/>
  <c r="U19" i="9" s="1"/>
  <c r="Z19" i="9"/>
  <c r="T34" i="9"/>
  <c r="U34" i="9" s="1"/>
  <c r="Z34" i="9"/>
  <c r="AC34" i="9" s="1"/>
  <c r="T49" i="9"/>
  <c r="U49" i="9" s="1"/>
  <c r="Z49" i="9"/>
  <c r="T47" i="9"/>
  <c r="U47" i="9" s="1"/>
  <c r="Z47" i="9"/>
  <c r="T18" i="9"/>
  <c r="U18" i="9" s="1"/>
  <c r="Z18" i="9"/>
  <c r="AC18" i="9" s="1"/>
  <c r="S51" i="9"/>
  <c r="Z51" i="9" s="1"/>
  <c r="T5" i="9"/>
  <c r="DP52" i="1" l="1"/>
  <c r="HK52" i="1"/>
  <c r="DJ52" i="1"/>
  <c r="EH52" i="1"/>
  <c r="IO25" i="1"/>
  <c r="IL25" i="1"/>
  <c r="IO29" i="1"/>
  <c r="IL29" i="1"/>
  <c r="IO82" i="1"/>
  <c r="IL82" i="1"/>
  <c r="IO17" i="1"/>
  <c r="IL17" i="1"/>
  <c r="IO50" i="1"/>
  <c r="IL50" i="1"/>
  <c r="IO58" i="1"/>
  <c r="IL58" i="1"/>
  <c r="IL76" i="1"/>
  <c r="IO76" i="1"/>
  <c r="IO27" i="1"/>
  <c r="IL27" i="1"/>
  <c r="IO23" i="1"/>
  <c r="IL23" i="1"/>
  <c r="IF20" i="1"/>
  <c r="IL20" i="1"/>
  <c r="IO20" i="1"/>
  <c r="IL92" i="1"/>
  <c r="IO92" i="1"/>
  <c r="IO21" i="1"/>
  <c r="IL21" i="1"/>
  <c r="IO22" i="1"/>
  <c r="IL22" i="1"/>
  <c r="IO85" i="1"/>
  <c r="IL85" i="1"/>
  <c r="IO43" i="1"/>
  <c r="IL43" i="1"/>
  <c r="IO75" i="1"/>
  <c r="IL75" i="1"/>
  <c r="IO62" i="1"/>
  <c r="IL62" i="1"/>
  <c r="IL64" i="1"/>
  <c r="IO64" i="1"/>
  <c r="IO44" i="1"/>
  <c r="IL44" i="1"/>
  <c r="IC89" i="1"/>
  <c r="IL89" i="1"/>
  <c r="IO89" i="1"/>
  <c r="II41" i="1"/>
  <c r="IO41" i="1"/>
  <c r="IL41" i="1"/>
  <c r="IL93" i="1"/>
  <c r="IO93" i="1"/>
  <c r="IO13" i="1"/>
  <c r="IL13" i="1"/>
  <c r="IO30" i="1"/>
  <c r="IL30" i="1"/>
  <c r="IO42" i="1"/>
  <c r="IL42" i="1"/>
  <c r="IL12" i="1"/>
  <c r="IO12" i="1"/>
  <c r="IO77" i="1"/>
  <c r="IL77" i="1"/>
  <c r="IO49" i="1"/>
  <c r="IL49" i="1"/>
  <c r="IO68" i="1"/>
  <c r="IL68" i="1"/>
  <c r="IO45" i="1"/>
  <c r="IL45" i="1"/>
  <c r="IC26" i="1"/>
  <c r="IO26" i="1"/>
  <c r="IL26" i="1"/>
  <c r="IC52" i="1"/>
  <c r="IO52" i="1"/>
  <c r="IL52" i="1"/>
  <c r="IO28" i="1"/>
  <c r="IL28" i="1"/>
  <c r="IO15" i="1"/>
  <c r="IL15" i="1"/>
  <c r="IO31" i="1"/>
  <c r="IL31" i="1"/>
  <c r="IO10" i="1"/>
  <c r="IL10" i="1"/>
  <c r="IL60" i="1"/>
  <c r="IO60" i="1"/>
  <c r="IO79" i="1"/>
  <c r="IL79" i="1"/>
  <c r="IO61" i="1"/>
  <c r="IL61" i="1"/>
  <c r="IO66" i="1"/>
  <c r="IL66" i="1"/>
  <c r="IF74" i="1"/>
  <c r="IO74" i="1"/>
  <c r="IL74" i="1"/>
  <c r="IO7" i="1"/>
  <c r="IL7" i="1"/>
  <c r="IO34" i="1"/>
  <c r="IL34" i="1"/>
  <c r="IO59" i="1"/>
  <c r="IL59" i="1"/>
  <c r="IO11" i="1"/>
  <c r="IL11" i="1"/>
  <c r="IO33" i="1"/>
  <c r="IL33" i="1"/>
  <c r="IO86" i="1"/>
  <c r="IL86" i="1"/>
  <c r="IO51" i="1"/>
  <c r="IL51" i="1"/>
  <c r="IO55" i="1"/>
  <c r="IL55" i="1"/>
  <c r="IL80" i="1"/>
  <c r="IO80" i="1"/>
  <c r="IO71" i="1"/>
  <c r="IL71" i="1"/>
  <c r="IL19" i="1"/>
  <c r="IF38" i="1"/>
  <c r="IO38" i="1"/>
  <c r="IL38" i="1"/>
  <c r="IL48" i="1"/>
  <c r="IO48" i="1"/>
  <c r="IL40" i="1"/>
  <c r="IO40" i="1"/>
  <c r="IO91" i="1"/>
  <c r="IL91" i="1"/>
  <c r="IO18" i="1"/>
  <c r="IL18" i="1"/>
  <c r="IL90" i="1"/>
  <c r="IO90" i="1"/>
  <c r="IO37" i="1"/>
  <c r="IL37" i="1"/>
  <c r="IO73" i="1"/>
  <c r="IL73" i="1"/>
  <c r="IO70" i="1"/>
  <c r="IL70" i="1"/>
  <c r="IL36" i="1"/>
  <c r="IO36" i="1"/>
  <c r="IO54" i="1"/>
  <c r="IL54" i="1"/>
  <c r="IO56" i="1"/>
  <c r="IL56" i="1"/>
  <c r="HW39" i="1"/>
  <c r="IO39" i="1"/>
  <c r="IL39" i="1"/>
  <c r="IO65" i="1"/>
  <c r="IL65" i="1"/>
  <c r="IO16" i="1"/>
  <c r="IL16" i="1"/>
  <c r="IO53" i="1"/>
  <c r="IL53" i="1"/>
  <c r="IO14" i="1"/>
  <c r="IL14" i="1"/>
  <c r="IO46" i="1"/>
  <c r="IL46" i="1"/>
  <c r="IO6" i="1"/>
  <c r="IL6" i="1"/>
  <c r="IL8" i="1"/>
  <c r="IO8" i="1"/>
  <c r="IO69" i="1"/>
  <c r="IL69" i="1"/>
  <c r="IO72" i="1"/>
  <c r="IL72" i="1"/>
  <c r="II9" i="1"/>
  <c r="IO9" i="1"/>
  <c r="IL9" i="1"/>
  <c r="IO24" i="1"/>
  <c r="IL24" i="1"/>
  <c r="IO81" i="1"/>
  <c r="IL81" i="1"/>
  <c r="IO84" i="1"/>
  <c r="IL84" i="1"/>
  <c r="IL88" i="1"/>
  <c r="IO88" i="1"/>
  <c r="IO35" i="1"/>
  <c r="IL35" i="1"/>
  <c r="IL32" i="1"/>
  <c r="IO32" i="1"/>
  <c r="IO47" i="1"/>
  <c r="IL47" i="1"/>
  <c r="IO67" i="1"/>
  <c r="IL67" i="1"/>
  <c r="IO57" i="1"/>
  <c r="IL57" i="1"/>
  <c r="IO63" i="1"/>
  <c r="IL63" i="1"/>
  <c r="II78" i="1"/>
  <c r="IO78" i="1"/>
  <c r="IL78" i="1"/>
  <c r="EE52" i="1"/>
  <c r="FU52" i="1"/>
  <c r="HE52" i="1"/>
  <c r="FR52" i="1"/>
  <c r="HB52" i="1"/>
  <c r="EN52" i="1"/>
  <c r="GA52" i="1"/>
  <c r="GA74" i="1"/>
  <c r="HK41" i="1"/>
  <c r="DM52" i="1"/>
  <c r="EZ52" i="1"/>
  <c r="HT52" i="1"/>
  <c r="GG52" i="1"/>
  <c r="HN52" i="1"/>
  <c r="DS52" i="1"/>
  <c r="GV52" i="1"/>
  <c r="FL52" i="1"/>
  <c r="EB52" i="1"/>
  <c r="HK20" i="1"/>
  <c r="II52" i="1"/>
  <c r="FC52" i="1"/>
  <c r="GS52" i="1"/>
  <c r="HH52" i="1"/>
  <c r="ET52" i="1"/>
  <c r="DY52" i="1"/>
  <c r="FO52" i="1"/>
  <c r="DG52" i="1"/>
  <c r="GY52" i="1"/>
  <c r="HZ52" i="1"/>
  <c r="GM52" i="1"/>
  <c r="FX52" i="1"/>
  <c r="HW52" i="1"/>
  <c r="GJ52" i="1"/>
  <c r="DD52" i="1"/>
  <c r="EK52" i="1"/>
  <c r="EW52" i="1"/>
  <c r="EQ52" i="1"/>
  <c r="GP52" i="1"/>
  <c r="HQ52" i="1"/>
  <c r="GD52" i="1"/>
  <c r="DV52" i="1"/>
  <c r="IC20" i="1"/>
  <c r="II20" i="1"/>
  <c r="HN38" i="1"/>
  <c r="FI52" i="1"/>
  <c r="IF52" i="1"/>
  <c r="HK9" i="1"/>
  <c r="IC9" i="1"/>
  <c r="IF9" i="1"/>
  <c r="IF78" i="1"/>
  <c r="II38" i="1"/>
  <c r="IC38" i="1"/>
  <c r="IC74" i="1"/>
  <c r="IC78" i="1"/>
  <c r="IF41" i="1"/>
  <c r="IC41" i="1"/>
  <c r="II39" i="1"/>
  <c r="IC39" i="1"/>
  <c r="IF39" i="1"/>
  <c r="EK26" i="1"/>
  <c r="II26" i="1"/>
  <c r="IF26" i="1"/>
  <c r="II74" i="1"/>
  <c r="HN89" i="1"/>
  <c r="II89" i="1"/>
  <c r="IF89" i="1"/>
  <c r="HK88" i="1"/>
  <c r="IF88" i="1"/>
  <c r="II88" i="1"/>
  <c r="IC88" i="1"/>
  <c r="HW90" i="1"/>
  <c r="II90" i="1"/>
  <c r="IC90" i="1"/>
  <c r="IF90" i="1"/>
  <c r="HE55" i="1"/>
  <c r="IF55" i="1"/>
  <c r="II55" i="1"/>
  <c r="IC55" i="1"/>
  <c r="EN61" i="1"/>
  <c r="IF61" i="1"/>
  <c r="II61" i="1"/>
  <c r="IC61" i="1"/>
  <c r="HE45" i="1"/>
  <c r="II45" i="1"/>
  <c r="IF45" i="1"/>
  <c r="IC45" i="1"/>
  <c r="HE25" i="1"/>
  <c r="IF25" i="1"/>
  <c r="II25" i="1"/>
  <c r="IC25" i="1"/>
  <c r="HZ29" i="1"/>
  <c r="IF29" i="1"/>
  <c r="II29" i="1"/>
  <c r="IC29" i="1"/>
  <c r="HZ14" i="1"/>
  <c r="IF14" i="1"/>
  <c r="IC14" i="1"/>
  <c r="II14" i="1"/>
  <c r="IC46" i="1"/>
  <c r="II46" i="1"/>
  <c r="IF46" i="1"/>
  <c r="DM73" i="1"/>
  <c r="IC73" i="1"/>
  <c r="IF73" i="1"/>
  <c r="II73" i="1"/>
  <c r="EQ7" i="1"/>
  <c r="II7" i="1"/>
  <c r="IC7" i="1"/>
  <c r="IF7" i="1"/>
  <c r="II80" i="1"/>
  <c r="IC80" i="1"/>
  <c r="IF80" i="1"/>
  <c r="EW71" i="1"/>
  <c r="IC71" i="1"/>
  <c r="II71" i="1"/>
  <c r="IF71" i="1"/>
  <c r="HW84" i="1"/>
  <c r="IC84" i="1"/>
  <c r="II84" i="1"/>
  <c r="IF84" i="1"/>
  <c r="EB35" i="1"/>
  <c r="IC35" i="1"/>
  <c r="IF35" i="1"/>
  <c r="II35" i="1"/>
  <c r="HN37" i="1"/>
  <c r="IC37" i="1"/>
  <c r="II37" i="1"/>
  <c r="IF37" i="1"/>
  <c r="IF79" i="1"/>
  <c r="IC79" i="1"/>
  <c r="II79" i="1"/>
  <c r="FL66" i="1"/>
  <c r="IC66" i="1"/>
  <c r="IF66" i="1"/>
  <c r="II66" i="1"/>
  <c r="HB48" i="1"/>
  <c r="IF48" i="1"/>
  <c r="IC48" i="1"/>
  <c r="II48" i="1"/>
  <c r="HK92" i="1"/>
  <c r="IC92" i="1"/>
  <c r="II92" i="1"/>
  <c r="IF92" i="1"/>
  <c r="HQ82" i="1"/>
  <c r="IC82" i="1"/>
  <c r="IF82" i="1"/>
  <c r="II82" i="1"/>
  <c r="HZ82" i="1"/>
  <c r="HT32" i="1"/>
  <c r="IC32" i="1"/>
  <c r="IF32" i="1"/>
  <c r="II32" i="1"/>
  <c r="EB47" i="1"/>
  <c r="IC47" i="1"/>
  <c r="IF47" i="1"/>
  <c r="II47" i="1"/>
  <c r="II6" i="1"/>
  <c r="IF6" i="1"/>
  <c r="IC6" i="1"/>
  <c r="HW6" i="1"/>
  <c r="DM70" i="1"/>
  <c r="IF70" i="1"/>
  <c r="IC70" i="1"/>
  <c r="II70" i="1"/>
  <c r="HN36" i="1"/>
  <c r="IF36" i="1"/>
  <c r="II36" i="1"/>
  <c r="IC36" i="1"/>
  <c r="HQ54" i="1"/>
  <c r="II54" i="1"/>
  <c r="IF54" i="1"/>
  <c r="IC54" i="1"/>
  <c r="HB19" i="1"/>
  <c r="IF19" i="1"/>
  <c r="IC19" i="1"/>
  <c r="II19" i="1"/>
  <c r="HK93" i="1"/>
  <c r="II93" i="1"/>
  <c r="IF93" i="1"/>
  <c r="IC93" i="1"/>
  <c r="HH67" i="1"/>
  <c r="IC67" i="1"/>
  <c r="II67" i="1"/>
  <c r="IF67" i="1"/>
  <c r="HE56" i="1"/>
  <c r="IF56" i="1"/>
  <c r="IC56" i="1"/>
  <c r="II56" i="1"/>
  <c r="HZ40" i="1"/>
  <c r="IC40" i="1"/>
  <c r="II40" i="1"/>
  <c r="IF40" i="1"/>
  <c r="HK34" i="1"/>
  <c r="IF34" i="1"/>
  <c r="IC34" i="1"/>
  <c r="II34" i="1"/>
  <c r="HN28" i="1"/>
  <c r="II28" i="1"/>
  <c r="IC28" i="1"/>
  <c r="IF28" i="1"/>
  <c r="HT13" i="1"/>
  <c r="IF13" i="1"/>
  <c r="II13" i="1"/>
  <c r="IC13" i="1"/>
  <c r="HW22" i="1"/>
  <c r="II22" i="1"/>
  <c r="IF22" i="1"/>
  <c r="IC22" i="1"/>
  <c r="IC50" i="1"/>
  <c r="II50" i="1"/>
  <c r="IF50" i="1"/>
  <c r="FI58" i="1"/>
  <c r="II58" i="1"/>
  <c r="IF58" i="1"/>
  <c r="IC58" i="1"/>
  <c r="IF57" i="1"/>
  <c r="IC57" i="1"/>
  <c r="II57" i="1"/>
  <c r="HT63" i="1"/>
  <c r="II63" i="1"/>
  <c r="IC63" i="1"/>
  <c r="IF63" i="1"/>
  <c r="DV72" i="1"/>
  <c r="II72" i="1"/>
  <c r="IC72" i="1"/>
  <c r="IF72" i="1"/>
  <c r="HN23" i="1"/>
  <c r="II23" i="1"/>
  <c r="IF23" i="1"/>
  <c r="IC23" i="1"/>
  <c r="HN24" i="1"/>
  <c r="IF24" i="1"/>
  <c r="IC24" i="1"/>
  <c r="II24" i="1"/>
  <c r="EN65" i="1"/>
  <c r="IF65" i="1"/>
  <c r="IC65" i="1"/>
  <c r="II65" i="1"/>
  <c r="HZ83" i="1"/>
  <c r="II83" i="1"/>
  <c r="IC83" i="1"/>
  <c r="IF83" i="1"/>
  <c r="HB11" i="1"/>
  <c r="IF11" i="1"/>
  <c r="IC11" i="1"/>
  <c r="II11" i="1"/>
  <c r="HZ33" i="1"/>
  <c r="II33" i="1"/>
  <c r="IC33" i="1"/>
  <c r="IF33" i="1"/>
  <c r="HQ15" i="1"/>
  <c r="IC15" i="1"/>
  <c r="IF15" i="1"/>
  <c r="II15" i="1"/>
  <c r="HT30" i="1"/>
  <c r="IF30" i="1"/>
  <c r="II30" i="1"/>
  <c r="IC30" i="1"/>
  <c r="EB85" i="1"/>
  <c r="IF85" i="1"/>
  <c r="II85" i="1"/>
  <c r="IC85" i="1"/>
  <c r="GV43" i="1"/>
  <c r="IC43" i="1"/>
  <c r="IF43" i="1"/>
  <c r="II43" i="1"/>
  <c r="DS76" i="1"/>
  <c r="IF76" i="1"/>
  <c r="IC76" i="1"/>
  <c r="II76" i="1"/>
  <c r="FL27" i="1"/>
  <c r="IC27" i="1"/>
  <c r="IF27" i="1"/>
  <c r="II27" i="1"/>
  <c r="EN59" i="1"/>
  <c r="IF59" i="1"/>
  <c r="II59" i="1"/>
  <c r="IC59" i="1"/>
  <c r="DP17" i="1"/>
  <c r="IF17" i="1"/>
  <c r="II17" i="1"/>
  <c r="IC17" i="1"/>
  <c r="GY69" i="1"/>
  <c r="IC69" i="1"/>
  <c r="IF69" i="1"/>
  <c r="II69" i="1"/>
  <c r="HQ81" i="1"/>
  <c r="IC81" i="1"/>
  <c r="IF81" i="1"/>
  <c r="II81" i="1"/>
  <c r="HK18" i="1"/>
  <c r="II18" i="1"/>
  <c r="IF18" i="1"/>
  <c r="IC18" i="1"/>
  <c r="GA86" i="1"/>
  <c r="II86" i="1"/>
  <c r="IF86" i="1"/>
  <c r="IC86" i="1"/>
  <c r="HB31" i="1"/>
  <c r="IF31" i="1"/>
  <c r="IC31" i="1"/>
  <c r="II31" i="1"/>
  <c r="HW42" i="1"/>
  <c r="IC42" i="1"/>
  <c r="II42" i="1"/>
  <c r="IF42" i="1"/>
  <c r="HK12" i="1"/>
  <c r="IC12" i="1"/>
  <c r="II12" i="1"/>
  <c r="IF12" i="1"/>
  <c r="EN75" i="1"/>
  <c r="II75" i="1"/>
  <c r="IF75" i="1"/>
  <c r="IC75" i="1"/>
  <c r="HQ62" i="1"/>
  <c r="IF62" i="1"/>
  <c r="IC62" i="1"/>
  <c r="II62" i="1"/>
  <c r="GA64" i="1"/>
  <c r="IC64" i="1"/>
  <c r="IF64" i="1"/>
  <c r="II64" i="1"/>
  <c r="HK21" i="1"/>
  <c r="IF21" i="1"/>
  <c r="II21" i="1"/>
  <c r="IC21" i="1"/>
  <c r="HE8" i="1"/>
  <c r="IC8" i="1"/>
  <c r="IF8" i="1"/>
  <c r="II8" i="1"/>
  <c r="HZ8" i="1"/>
  <c r="EB91" i="1"/>
  <c r="IF91" i="1"/>
  <c r="IC91" i="1"/>
  <c r="II91" i="1"/>
  <c r="HT16" i="1"/>
  <c r="IC16" i="1"/>
  <c r="II16" i="1"/>
  <c r="IF16" i="1"/>
  <c r="DD53" i="1"/>
  <c r="II53" i="1"/>
  <c r="IC53" i="1"/>
  <c r="IF53" i="1"/>
  <c r="GA87" i="1"/>
  <c r="IF87" i="1"/>
  <c r="IC87" i="1"/>
  <c r="II87" i="1"/>
  <c r="IC51" i="1"/>
  <c r="II51" i="1"/>
  <c r="IF51" i="1"/>
  <c r="HZ10" i="1"/>
  <c r="II10" i="1"/>
  <c r="IF10" i="1"/>
  <c r="IC10" i="1"/>
  <c r="II60" i="1"/>
  <c r="IF60" i="1"/>
  <c r="IC60" i="1"/>
  <c r="IC77" i="1"/>
  <c r="IF77" i="1"/>
  <c r="II77" i="1"/>
  <c r="HT49" i="1"/>
  <c r="IF49" i="1"/>
  <c r="II49" i="1"/>
  <c r="IC49" i="1"/>
  <c r="FX68" i="1"/>
  <c r="II68" i="1"/>
  <c r="IF68" i="1"/>
  <c r="IC68" i="1"/>
  <c r="DS44" i="1"/>
  <c r="IC44" i="1"/>
  <c r="II44" i="1"/>
  <c r="IF44" i="1"/>
  <c r="HN50" i="1"/>
  <c r="HZ6" i="1"/>
  <c r="H94" i="2"/>
  <c r="DY7" i="1"/>
  <c r="EK7" i="1"/>
  <c r="EZ7" i="1"/>
  <c r="GD7" i="1"/>
  <c r="DM7" i="1"/>
  <c r="GV7" i="1"/>
  <c r="EW7" i="1"/>
  <c r="FF7" i="1"/>
  <c r="HN7" i="1"/>
  <c r="DP7" i="1"/>
  <c r="FI7" i="1"/>
  <c r="FO7" i="1"/>
  <c r="DD7" i="1"/>
  <c r="EN7" i="1"/>
  <c r="GP7" i="1"/>
  <c r="HZ7" i="1"/>
  <c r="FU7" i="1"/>
  <c r="GM7" i="1"/>
  <c r="FX7" i="1"/>
  <c r="GA7" i="1"/>
  <c r="DV7" i="1"/>
  <c r="HT7" i="1"/>
  <c r="GG7" i="1"/>
  <c r="FC7" i="1"/>
  <c r="HH7" i="1"/>
  <c r="ET7" i="1"/>
  <c r="DG7" i="1"/>
  <c r="GY7" i="1"/>
  <c r="EB7" i="1"/>
  <c r="FR7" i="1"/>
  <c r="HQ7" i="1"/>
  <c r="HK7" i="1"/>
  <c r="GS7" i="1"/>
  <c r="GJ7" i="1"/>
  <c r="DS7" i="1"/>
  <c r="EH7" i="1"/>
  <c r="HE7" i="1"/>
  <c r="HW7" i="1"/>
  <c r="HB7" i="1"/>
  <c r="DJ7" i="1"/>
  <c r="EE7" i="1"/>
  <c r="FL7" i="1"/>
  <c r="AH24" i="2"/>
  <c r="AH30" i="2"/>
  <c r="EQ77" i="1"/>
  <c r="HH77" i="1"/>
  <c r="GV77" i="1"/>
  <c r="FF77" i="1"/>
  <c r="EN77" i="1"/>
  <c r="FL77" i="1"/>
  <c r="GP77" i="1"/>
  <c r="HW77" i="1"/>
  <c r="GY77" i="1"/>
  <c r="HE77" i="1"/>
  <c r="FR77" i="1"/>
  <c r="EH77" i="1"/>
  <c r="HZ77" i="1"/>
  <c r="DV77" i="1"/>
  <c r="FI77" i="1"/>
  <c r="FU77" i="1"/>
  <c r="EB77" i="1"/>
  <c r="HT77" i="1"/>
  <c r="GA77" i="1"/>
  <c r="GM77" i="1"/>
  <c r="DG77" i="1"/>
  <c r="FO77" i="1"/>
  <c r="EE77" i="1"/>
  <c r="EZ77" i="1"/>
  <c r="DS77" i="1"/>
  <c r="FX77" i="1"/>
  <c r="HN77" i="1"/>
  <c r="GD77" i="1"/>
  <c r="HK77" i="1"/>
  <c r="EW77" i="1"/>
  <c r="DM77" i="1"/>
  <c r="DJ77" i="1"/>
  <c r="DP77" i="1"/>
  <c r="EK77" i="1"/>
  <c r="DY77" i="1"/>
  <c r="GS77" i="1"/>
  <c r="FC77" i="1"/>
  <c r="ET77" i="1"/>
  <c r="DD77" i="1"/>
  <c r="HB77" i="1"/>
  <c r="GG77" i="1"/>
  <c r="GJ77" i="1"/>
  <c r="HQ77" i="1"/>
  <c r="FX78" i="1"/>
  <c r="HT78" i="1"/>
  <c r="DS78" i="1"/>
  <c r="GS78" i="1"/>
  <c r="DD78" i="1"/>
  <c r="GD78" i="1"/>
  <c r="EW78" i="1"/>
  <c r="FO78" i="1"/>
  <c r="FU78" i="1"/>
  <c r="GG78" i="1"/>
  <c r="EQ78" i="1"/>
  <c r="EK78" i="1"/>
  <c r="EB78" i="1"/>
  <c r="HZ78" i="1"/>
  <c r="HN78" i="1"/>
  <c r="FF78" i="1"/>
  <c r="ET78" i="1"/>
  <c r="DG78" i="1"/>
  <c r="FI78" i="1"/>
  <c r="HE78" i="1"/>
  <c r="DJ78" i="1"/>
  <c r="HH78" i="1"/>
  <c r="DY78" i="1"/>
  <c r="HB78" i="1"/>
  <c r="DP78" i="1"/>
  <c r="FC78" i="1"/>
  <c r="GP78" i="1"/>
  <c r="GY78" i="1"/>
  <c r="EZ78" i="1"/>
  <c r="DV78" i="1"/>
  <c r="EN78" i="1"/>
  <c r="EH78" i="1"/>
  <c r="HK78" i="1"/>
  <c r="GV78" i="1"/>
  <c r="FL78" i="1"/>
  <c r="GM78" i="1"/>
  <c r="HW78" i="1"/>
  <c r="GJ78" i="1"/>
  <c r="GA78" i="1"/>
  <c r="FR78" i="1"/>
  <c r="HQ78" i="1"/>
  <c r="DM78" i="1"/>
  <c r="EE78" i="1"/>
  <c r="DG79" i="1"/>
  <c r="FF79" i="1"/>
  <c r="HE79" i="1"/>
  <c r="DJ79" i="1"/>
  <c r="EW79" i="1"/>
  <c r="EQ79" i="1"/>
  <c r="EH79" i="1"/>
  <c r="GP79" i="1"/>
  <c r="GA79" i="1"/>
  <c r="EN79" i="1"/>
  <c r="HQ79" i="1"/>
  <c r="FL79" i="1"/>
  <c r="HN79" i="1"/>
  <c r="FI79" i="1"/>
  <c r="FO79" i="1"/>
  <c r="EZ79" i="1"/>
  <c r="HZ79" i="1"/>
  <c r="HH79" i="1"/>
  <c r="EK79" i="1"/>
  <c r="GV79" i="1"/>
  <c r="EE79" i="1"/>
  <c r="GS79" i="1"/>
  <c r="GY79" i="1"/>
  <c r="FC79" i="1"/>
  <c r="GM79" i="1"/>
  <c r="HB79" i="1"/>
  <c r="ET79" i="1"/>
  <c r="DY79" i="1"/>
  <c r="GJ79" i="1"/>
  <c r="GG79" i="1"/>
  <c r="DM79" i="1"/>
  <c r="GD79" i="1"/>
  <c r="HT79" i="1"/>
  <c r="DD79" i="1"/>
  <c r="FR79" i="1"/>
  <c r="EB79" i="1"/>
  <c r="FU79" i="1"/>
  <c r="DS79" i="1"/>
  <c r="HK79" i="1"/>
  <c r="DP79" i="1"/>
  <c r="DV79" i="1"/>
  <c r="FX79" i="1"/>
  <c r="HW79" i="1"/>
  <c r="HE57" i="1"/>
  <c r="EK57" i="1"/>
  <c r="FR57" i="1"/>
  <c r="EH57" i="1"/>
  <c r="DS57" i="1"/>
  <c r="EE57" i="1"/>
  <c r="GY57" i="1"/>
  <c r="HW57" i="1"/>
  <c r="EB57" i="1"/>
  <c r="GD57" i="1"/>
  <c r="GV57" i="1"/>
  <c r="FO57" i="1"/>
  <c r="GA57" i="1"/>
  <c r="FX57" i="1"/>
  <c r="HH57" i="1"/>
  <c r="FL57" i="1"/>
  <c r="DJ57" i="1"/>
  <c r="HT57" i="1"/>
  <c r="FC57" i="1"/>
  <c r="DV57" i="1"/>
  <c r="GP57" i="1"/>
  <c r="GG57" i="1"/>
  <c r="GJ57" i="1"/>
  <c r="HK57" i="1"/>
  <c r="EW57" i="1"/>
  <c r="HN57" i="1"/>
  <c r="EN57" i="1"/>
  <c r="DY57" i="1"/>
  <c r="ET57" i="1"/>
  <c r="EQ57" i="1"/>
  <c r="GM57" i="1"/>
  <c r="HQ57" i="1"/>
  <c r="FU57" i="1"/>
  <c r="HZ57" i="1"/>
  <c r="DP57" i="1"/>
  <c r="DG57" i="1"/>
  <c r="DM57" i="1"/>
  <c r="FF57" i="1"/>
  <c r="FI57" i="1"/>
  <c r="HB57" i="1"/>
  <c r="DD57" i="1"/>
  <c r="GS57" i="1"/>
  <c r="EZ57" i="1"/>
  <c r="ET80" i="1"/>
  <c r="EZ80" i="1"/>
  <c r="GP80" i="1"/>
  <c r="HE80" i="1"/>
  <c r="GD80" i="1"/>
  <c r="DV80" i="1"/>
  <c r="GG80" i="1"/>
  <c r="EH80" i="1"/>
  <c r="FL80" i="1"/>
  <c r="FC80" i="1"/>
  <c r="HQ80" i="1"/>
  <c r="DD80" i="1"/>
  <c r="EQ80" i="1"/>
  <c r="HT80" i="1"/>
  <c r="EW80" i="1"/>
  <c r="GY80" i="1"/>
  <c r="DG80" i="1"/>
  <c r="GS80" i="1"/>
  <c r="FO80" i="1"/>
  <c r="HW80" i="1"/>
  <c r="GM80" i="1"/>
  <c r="GV80" i="1"/>
  <c r="GA80" i="1"/>
  <c r="EK80" i="1"/>
  <c r="FI80" i="1"/>
  <c r="EB80" i="1"/>
  <c r="FX80" i="1"/>
  <c r="DP80" i="1"/>
  <c r="HB80" i="1"/>
  <c r="EE80" i="1"/>
  <c r="EN80" i="1"/>
  <c r="HZ80" i="1"/>
  <c r="FR80" i="1"/>
  <c r="HH80" i="1"/>
  <c r="DS80" i="1"/>
  <c r="DM80" i="1"/>
  <c r="DY80" i="1"/>
  <c r="HK80" i="1"/>
  <c r="FF80" i="1"/>
  <c r="DJ80" i="1"/>
  <c r="FU80" i="1"/>
  <c r="HN80" i="1"/>
  <c r="GJ80" i="1"/>
  <c r="AH37" i="2"/>
  <c r="EE48" i="1"/>
  <c r="GY48" i="1"/>
  <c r="EQ48" i="1"/>
  <c r="GG48" i="1"/>
  <c r="DG48" i="1"/>
  <c r="EZ48" i="1"/>
  <c r="ET48" i="1"/>
  <c r="HW48" i="1"/>
  <c r="GM48" i="1"/>
  <c r="GA48" i="1"/>
  <c r="FF48" i="1"/>
  <c r="FL48" i="1"/>
  <c r="HZ48" i="1"/>
  <c r="FX48" i="1"/>
  <c r="HQ48" i="1"/>
  <c r="FC48" i="1"/>
  <c r="HK48" i="1"/>
  <c r="DJ48" i="1"/>
  <c r="DV48" i="1"/>
  <c r="GP48" i="1"/>
  <c r="HT48" i="1"/>
  <c r="HE48" i="1"/>
  <c r="DY48" i="1"/>
  <c r="GV48" i="1"/>
  <c r="EK48" i="1"/>
  <c r="GS48" i="1"/>
  <c r="DM48" i="1"/>
  <c r="HH48" i="1"/>
  <c r="FI48" i="1"/>
  <c r="GJ48" i="1"/>
  <c r="DP48" i="1"/>
  <c r="DS48" i="1"/>
  <c r="FR48" i="1"/>
  <c r="DD48" i="1"/>
  <c r="EN48" i="1"/>
  <c r="FO48" i="1"/>
  <c r="FU48" i="1"/>
  <c r="EB48" i="1"/>
  <c r="HN48" i="1"/>
  <c r="GD48" i="1"/>
  <c r="EH48" i="1"/>
  <c r="EW48" i="1"/>
  <c r="AH12" i="2"/>
  <c r="AH32" i="2"/>
  <c r="AH16" i="2"/>
  <c r="AH11" i="2"/>
  <c r="AH21" i="2"/>
  <c r="AH18" i="2"/>
  <c r="AH13" i="2"/>
  <c r="AH25" i="2"/>
  <c r="GM85" i="1"/>
  <c r="GS85" i="1"/>
  <c r="DY85" i="1"/>
  <c r="FL85" i="1"/>
  <c r="GG85" i="1"/>
  <c r="EZ85" i="1"/>
  <c r="HB85" i="1"/>
  <c r="FX85" i="1"/>
  <c r="FO85" i="1"/>
  <c r="DG85" i="1"/>
  <c r="HQ85" i="1"/>
  <c r="FC85" i="1"/>
  <c r="FF85" i="1"/>
  <c r="EQ85" i="1"/>
  <c r="GY85" i="1"/>
  <c r="DP85" i="1"/>
  <c r="ET85" i="1"/>
  <c r="EH85" i="1"/>
  <c r="HE85" i="1"/>
  <c r="GP85" i="1"/>
  <c r="DM85" i="1"/>
  <c r="GV85" i="1"/>
  <c r="GA85" i="1"/>
  <c r="GJ85" i="1"/>
  <c r="EW85" i="1"/>
  <c r="HT85" i="1"/>
  <c r="FU85" i="1"/>
  <c r="HZ85" i="1"/>
  <c r="HN85" i="1"/>
  <c r="EE85" i="1"/>
  <c r="DJ85" i="1"/>
  <c r="FI85" i="1"/>
  <c r="HK85" i="1"/>
  <c r="DV85" i="1"/>
  <c r="DD85" i="1"/>
  <c r="FR85" i="1"/>
  <c r="HW85" i="1"/>
  <c r="GD85" i="1"/>
  <c r="DS85" i="1"/>
  <c r="EK85" i="1"/>
  <c r="EN85" i="1"/>
  <c r="HH85" i="1"/>
  <c r="EE47" i="1"/>
  <c r="FX47" i="1"/>
  <c r="HW47" i="1"/>
  <c r="GY47" i="1"/>
  <c r="HE47" i="1"/>
  <c r="EZ47" i="1"/>
  <c r="GM47" i="1"/>
  <c r="DY47" i="1"/>
  <c r="GV47" i="1"/>
  <c r="EH47" i="1"/>
  <c r="FU47" i="1"/>
  <c r="DG47" i="1"/>
  <c r="HN47" i="1"/>
  <c r="GG47" i="1"/>
  <c r="HB47" i="1"/>
  <c r="FF47" i="1"/>
  <c r="EQ47" i="1"/>
  <c r="HT47" i="1"/>
  <c r="GD47" i="1"/>
  <c r="DD47" i="1"/>
  <c r="HQ47" i="1"/>
  <c r="DV47" i="1"/>
  <c r="FC47" i="1"/>
  <c r="DJ47" i="1"/>
  <c r="EN47" i="1"/>
  <c r="FR47" i="1"/>
  <c r="DM47" i="1"/>
  <c r="GS47" i="1"/>
  <c r="GP47" i="1"/>
  <c r="DS47" i="1"/>
  <c r="GJ47" i="1"/>
  <c r="EW47" i="1"/>
  <c r="HH47" i="1"/>
  <c r="ET47" i="1"/>
  <c r="DP47" i="1"/>
  <c r="HK47" i="1"/>
  <c r="GA47" i="1"/>
  <c r="HZ47" i="1"/>
  <c r="EK47" i="1"/>
  <c r="FL47" i="1"/>
  <c r="FO47" i="1"/>
  <c r="FI47" i="1"/>
  <c r="DP91" i="1"/>
  <c r="DM91" i="1"/>
  <c r="EK36" i="1"/>
  <c r="GA36" i="1"/>
  <c r="HH36" i="1"/>
  <c r="HT36" i="1"/>
  <c r="HE91" i="1"/>
  <c r="HZ91" i="1"/>
  <c r="DP36" i="1"/>
  <c r="ET91" i="1"/>
  <c r="DS36" i="1"/>
  <c r="EB36" i="1"/>
  <c r="FF91" i="1"/>
  <c r="DM36" i="1"/>
  <c r="FO36" i="1"/>
  <c r="HK36" i="1"/>
  <c r="GY91" i="1"/>
  <c r="HK91" i="1"/>
  <c r="DS24" i="1"/>
  <c r="GS24" i="1"/>
  <c r="GD36" i="1"/>
  <c r="EE36" i="1"/>
  <c r="DG91" i="1"/>
  <c r="EZ91" i="1"/>
  <c r="FO91" i="1"/>
  <c r="FL36" i="1"/>
  <c r="GS36" i="1"/>
  <c r="HB91" i="1"/>
  <c r="DS91" i="1"/>
  <c r="GV91" i="1"/>
  <c r="EN36" i="1"/>
  <c r="GG36" i="1"/>
  <c r="GM36" i="1"/>
  <c r="FX36" i="1"/>
  <c r="DG36" i="1"/>
  <c r="HQ36" i="1"/>
  <c r="HB36" i="1"/>
  <c r="GP91" i="1"/>
  <c r="GA91" i="1"/>
  <c r="GD91" i="1"/>
  <c r="HW91" i="1"/>
  <c r="HT91" i="1"/>
  <c r="EH91" i="1"/>
  <c r="EQ91" i="1"/>
  <c r="FR36" i="1"/>
  <c r="GP36" i="1"/>
  <c r="FU91" i="1"/>
  <c r="DJ91" i="1"/>
  <c r="HH91" i="1"/>
  <c r="DJ36" i="1"/>
  <c r="FC36" i="1"/>
  <c r="HW36" i="1"/>
  <c r="DY91" i="1"/>
  <c r="FL91" i="1"/>
  <c r="EW36" i="1"/>
  <c r="EH36" i="1"/>
  <c r="DV36" i="1"/>
  <c r="HE36" i="1"/>
  <c r="EN91" i="1"/>
  <c r="FC91" i="1"/>
  <c r="GM91" i="1"/>
  <c r="ET36" i="1"/>
  <c r="GJ36" i="1"/>
  <c r="HZ36" i="1"/>
  <c r="GJ91" i="1"/>
  <c r="HN91" i="1"/>
  <c r="DY36" i="1"/>
  <c r="FU36" i="1"/>
  <c r="GY36" i="1"/>
  <c r="HQ91" i="1"/>
  <c r="FI91" i="1"/>
  <c r="FR91" i="1"/>
  <c r="DD91" i="1"/>
  <c r="EE91" i="1"/>
  <c r="FF36" i="1"/>
  <c r="DD36" i="1"/>
  <c r="GV36" i="1"/>
  <c r="EQ36" i="1"/>
  <c r="EZ36" i="1"/>
  <c r="FI36" i="1"/>
  <c r="GG91" i="1"/>
  <c r="FX91" i="1"/>
  <c r="DV91" i="1"/>
  <c r="EK91" i="1"/>
  <c r="EW91" i="1"/>
  <c r="GS91" i="1"/>
  <c r="GM55" i="1"/>
  <c r="GJ55" i="1"/>
  <c r="HQ24" i="1"/>
  <c r="EK55" i="1"/>
  <c r="FR55" i="1"/>
  <c r="HQ55" i="1"/>
  <c r="FC55" i="1"/>
  <c r="HT55" i="1"/>
  <c r="DS55" i="1"/>
  <c r="FX55" i="1"/>
  <c r="HN55" i="1"/>
  <c r="EE55" i="1"/>
  <c r="DG55" i="1"/>
  <c r="GA55" i="1"/>
  <c r="DY55" i="1"/>
  <c r="EZ55" i="1"/>
  <c r="FU55" i="1"/>
  <c r="DD55" i="1"/>
  <c r="GV55" i="1"/>
  <c r="DP55" i="1"/>
  <c r="GY55" i="1"/>
  <c r="HK55" i="1"/>
  <c r="EB55" i="1"/>
  <c r="EH55" i="1"/>
  <c r="EN55" i="1"/>
  <c r="EW55" i="1"/>
  <c r="FO55" i="1"/>
  <c r="ET55" i="1"/>
  <c r="HW55" i="1"/>
  <c r="DM55" i="1"/>
  <c r="EQ55" i="1"/>
  <c r="GD55" i="1"/>
  <c r="FF55" i="1"/>
  <c r="FL55" i="1"/>
  <c r="HH55" i="1"/>
  <c r="DV55" i="1"/>
  <c r="FI55" i="1"/>
  <c r="GG55" i="1"/>
  <c r="DJ55" i="1"/>
  <c r="GS55" i="1"/>
  <c r="HZ55" i="1"/>
  <c r="GP55" i="1"/>
  <c r="HB55" i="1"/>
  <c r="GM46" i="1"/>
  <c r="FO46" i="1"/>
  <c r="HB46" i="1"/>
  <c r="GA46" i="1"/>
  <c r="DP46" i="1"/>
  <c r="FF46" i="1"/>
  <c r="EB46" i="1"/>
  <c r="HN46" i="1"/>
  <c r="EK46" i="1"/>
  <c r="EQ46" i="1"/>
  <c r="HW46" i="1"/>
  <c r="FL46" i="1"/>
  <c r="HE46" i="1"/>
  <c r="DM46" i="1"/>
  <c r="HK46" i="1"/>
  <c r="GY46" i="1"/>
  <c r="DY46" i="1"/>
  <c r="GG46" i="1"/>
  <c r="GS46" i="1"/>
  <c r="HZ46" i="1"/>
  <c r="EW46" i="1"/>
  <c r="GD46" i="1"/>
  <c r="HT46" i="1"/>
  <c r="FI46" i="1"/>
  <c r="GP46" i="1"/>
  <c r="EZ46" i="1"/>
  <c r="GV46" i="1"/>
  <c r="DS46" i="1"/>
  <c r="FU46" i="1"/>
  <c r="HQ46" i="1"/>
  <c r="ET46" i="1"/>
  <c r="EH46" i="1"/>
  <c r="DD46" i="1"/>
  <c r="HH46" i="1"/>
  <c r="DJ46" i="1"/>
  <c r="EE46" i="1"/>
  <c r="DG46" i="1"/>
  <c r="FR46" i="1"/>
  <c r="GJ46" i="1"/>
  <c r="DV46" i="1"/>
  <c r="EN46" i="1"/>
  <c r="FX46" i="1"/>
  <c r="FC46" i="1"/>
  <c r="EQ24" i="1"/>
  <c r="HW24" i="1"/>
  <c r="FR24" i="1"/>
  <c r="HK24" i="1"/>
  <c r="GP24" i="1"/>
  <c r="EZ24" i="1"/>
  <c r="DG24" i="1"/>
  <c r="GM24" i="1"/>
  <c r="GV24" i="1"/>
  <c r="ET24" i="1"/>
  <c r="HT24" i="1"/>
  <c r="FO24" i="1"/>
  <c r="GJ24" i="1"/>
  <c r="GG24" i="1"/>
  <c r="FC24" i="1"/>
  <c r="GA24" i="1"/>
  <c r="HB24" i="1"/>
  <c r="GD24" i="1"/>
  <c r="DV24" i="1"/>
  <c r="FI24" i="1"/>
  <c r="EN24" i="1"/>
  <c r="FU24" i="1"/>
  <c r="HH24" i="1"/>
  <c r="EH24" i="1"/>
  <c r="FL24" i="1"/>
  <c r="EW24" i="1"/>
  <c r="DJ24" i="1"/>
  <c r="DM24" i="1"/>
  <c r="EK24" i="1"/>
  <c r="HE24" i="1"/>
  <c r="FX24" i="1"/>
  <c r="GY24" i="1"/>
  <c r="DY24" i="1"/>
  <c r="DP24" i="1"/>
  <c r="HZ24" i="1"/>
  <c r="EB24" i="1"/>
  <c r="FF24" i="1"/>
  <c r="DD24" i="1"/>
  <c r="EE24" i="1"/>
  <c r="DD74" i="1"/>
  <c r="GM27" i="1"/>
  <c r="EK71" i="1"/>
  <c r="ET84" i="1"/>
  <c r="EK84" i="1"/>
  <c r="HT84" i="1"/>
  <c r="EN71" i="1"/>
  <c r="DG71" i="1"/>
  <c r="GV71" i="1"/>
  <c r="FR71" i="1"/>
  <c r="EB71" i="1"/>
  <c r="DS71" i="1"/>
  <c r="DS15" i="1"/>
  <c r="GJ84" i="1"/>
  <c r="EZ84" i="1"/>
  <c r="HB84" i="1"/>
  <c r="FL84" i="1"/>
  <c r="FF15" i="1"/>
  <c r="GG84" i="1"/>
  <c r="FO84" i="1"/>
  <c r="EE15" i="1"/>
  <c r="HB15" i="1"/>
  <c r="DG18" i="1"/>
  <c r="ET27" i="1"/>
  <c r="EW15" i="1"/>
  <c r="DV27" i="1"/>
  <c r="DS18" i="1"/>
  <c r="DJ84" i="1"/>
  <c r="EW84" i="1"/>
  <c r="FU84" i="1"/>
  <c r="DD84" i="1"/>
  <c r="GY84" i="1"/>
  <c r="FR84" i="1"/>
  <c r="EN84" i="1"/>
  <c r="FF84" i="1"/>
  <c r="EB84" i="1"/>
  <c r="DG84" i="1"/>
  <c r="HZ84" i="1"/>
  <c r="EE84" i="1"/>
  <c r="EH84" i="1"/>
  <c r="DP71" i="1"/>
  <c r="GG71" i="1"/>
  <c r="HQ71" i="1"/>
  <c r="FF71" i="1"/>
  <c r="FO71" i="1"/>
  <c r="FC71" i="1"/>
  <c r="GS71" i="1"/>
  <c r="GA71" i="1"/>
  <c r="HB71" i="1"/>
  <c r="HZ71" i="1"/>
  <c r="DS84" i="1"/>
  <c r="GV84" i="1"/>
  <c r="EQ84" i="1"/>
  <c r="GM84" i="1"/>
  <c r="HH84" i="1"/>
  <c r="FC84" i="1"/>
  <c r="ET83" i="1"/>
  <c r="HW71" i="1"/>
  <c r="ET71" i="1"/>
  <c r="GY71" i="1"/>
  <c r="DY71" i="1"/>
  <c r="GD71" i="1"/>
  <c r="EZ71" i="1"/>
  <c r="DJ71" i="1"/>
  <c r="GD84" i="1"/>
  <c r="DY84" i="1"/>
  <c r="DP84" i="1"/>
  <c r="DM84" i="1"/>
  <c r="GA84" i="1"/>
  <c r="GS84" i="1"/>
  <c r="FI83" i="1"/>
  <c r="HH71" i="1"/>
  <c r="EQ71" i="1"/>
  <c r="HT71" i="1"/>
  <c r="FU71" i="1"/>
  <c r="GP71" i="1"/>
  <c r="GM71" i="1"/>
  <c r="HK71" i="1"/>
  <c r="EE71" i="1"/>
  <c r="EH71" i="1"/>
  <c r="DV71" i="1"/>
  <c r="FI71" i="1"/>
  <c r="GJ71" i="1"/>
  <c r="HE71" i="1"/>
  <c r="FX71" i="1"/>
  <c r="DM71" i="1"/>
  <c r="FL71" i="1"/>
  <c r="DD71" i="1"/>
  <c r="HN71" i="1"/>
  <c r="HB83" i="1"/>
  <c r="FR18" i="1"/>
  <c r="FC27" i="1"/>
  <c r="EE27" i="1"/>
  <c r="DD18" i="1"/>
  <c r="DG27" i="1"/>
  <c r="HK27" i="1"/>
  <c r="DD83" i="1"/>
  <c r="DP18" i="1"/>
  <c r="DJ18" i="1"/>
  <c r="DY18" i="1"/>
  <c r="HW18" i="1"/>
  <c r="DM27" i="1"/>
  <c r="HN27" i="1"/>
  <c r="HE83" i="1"/>
  <c r="FF18" i="1"/>
  <c r="EE18" i="1"/>
  <c r="FU18" i="1"/>
  <c r="HZ18" i="1"/>
  <c r="HQ27" i="1"/>
  <c r="HE27" i="1"/>
  <c r="FI27" i="1"/>
  <c r="FL18" i="1"/>
  <c r="DV18" i="1"/>
  <c r="GD27" i="1"/>
  <c r="FX27" i="1"/>
  <c r="GS27" i="1"/>
  <c r="GP83" i="1"/>
  <c r="EB83" i="1"/>
  <c r="GG83" i="1"/>
  <c r="DJ83" i="1"/>
  <c r="FX83" i="1"/>
  <c r="HT83" i="1"/>
  <c r="DV83" i="1"/>
  <c r="HK84" i="1"/>
  <c r="HQ84" i="1"/>
  <c r="GP84" i="1"/>
  <c r="HN84" i="1"/>
  <c r="HE84" i="1"/>
  <c r="HN83" i="1"/>
  <c r="EH83" i="1"/>
  <c r="FF83" i="1"/>
  <c r="GV83" i="1"/>
  <c r="FR83" i="1"/>
  <c r="HE41" i="1"/>
  <c r="FI84" i="1"/>
  <c r="FX84" i="1"/>
  <c r="DV84" i="1"/>
  <c r="GM83" i="1"/>
  <c r="DP83" i="1"/>
  <c r="EN83" i="1"/>
  <c r="GD83" i="1"/>
  <c r="EZ83" i="1"/>
  <c r="FL83" i="1"/>
  <c r="HH83" i="1"/>
  <c r="EE83" i="1"/>
  <c r="FC83" i="1"/>
  <c r="EQ83" i="1"/>
  <c r="HH41" i="1"/>
  <c r="GG41" i="1"/>
  <c r="FX41" i="1"/>
  <c r="EQ41" i="1"/>
  <c r="HW41" i="1"/>
  <c r="ET41" i="1"/>
  <c r="EK15" i="1"/>
  <c r="DY15" i="1"/>
  <c r="DD15" i="1"/>
  <c r="GM15" i="1"/>
  <c r="HZ15" i="1"/>
  <c r="DS83" i="1"/>
  <c r="HQ83" i="1"/>
  <c r="FO83" i="1"/>
  <c r="DM83" i="1"/>
  <c r="FU83" i="1"/>
  <c r="HK83" i="1"/>
  <c r="DY83" i="1"/>
  <c r="DJ15" i="1"/>
  <c r="GS15" i="1"/>
  <c r="GA15" i="1"/>
  <c r="FX15" i="1"/>
  <c r="HN15" i="1"/>
  <c r="GS83" i="1"/>
  <c r="DG83" i="1"/>
  <c r="DM15" i="1"/>
  <c r="GD15" i="1"/>
  <c r="EZ15" i="1"/>
  <c r="EH15" i="1"/>
  <c r="HT15" i="1"/>
  <c r="GJ83" i="1"/>
  <c r="GY83" i="1"/>
  <c r="EW83" i="1"/>
  <c r="HW83" i="1"/>
  <c r="EK83" i="1"/>
  <c r="GA83" i="1"/>
  <c r="EN15" i="1"/>
  <c r="GY15" i="1"/>
  <c r="DV15" i="1"/>
  <c r="FC15" i="1"/>
  <c r="HK15" i="1"/>
  <c r="FR15" i="1"/>
  <c r="GV15" i="1"/>
  <c r="DP15" i="1"/>
  <c r="HE15" i="1"/>
  <c r="FL41" i="1"/>
  <c r="GV41" i="1"/>
  <c r="FF41" i="1"/>
  <c r="HT41" i="1"/>
  <c r="EH41" i="1"/>
  <c r="DJ41" i="1"/>
  <c r="EN41" i="1"/>
  <c r="HB41" i="1"/>
  <c r="EZ41" i="1"/>
  <c r="FO41" i="1"/>
  <c r="GS41" i="1"/>
  <c r="DG41" i="1"/>
  <c r="DM41" i="1"/>
  <c r="EK41" i="1"/>
  <c r="EE41" i="1"/>
  <c r="DY41" i="1"/>
  <c r="DS41" i="1"/>
  <c r="HZ41" i="1"/>
  <c r="EW41" i="1"/>
  <c r="GM41" i="1"/>
  <c r="FC41" i="1"/>
  <c r="HN41" i="1"/>
  <c r="GP41" i="1"/>
  <c r="DP41" i="1"/>
  <c r="FR41" i="1"/>
  <c r="GA41" i="1"/>
  <c r="DD41" i="1"/>
  <c r="GY41" i="1"/>
  <c r="HQ41" i="1"/>
  <c r="GD41" i="1"/>
  <c r="DV41" i="1"/>
  <c r="GJ41" i="1"/>
  <c r="EB41" i="1"/>
  <c r="FU41" i="1"/>
  <c r="FI41" i="1"/>
  <c r="ET44" i="1"/>
  <c r="DG44" i="1"/>
  <c r="FX44" i="1"/>
  <c r="GG15" i="1"/>
  <c r="ET15" i="1"/>
  <c r="FL15" i="1"/>
  <c r="FO15" i="1"/>
  <c r="EQ15" i="1"/>
  <c r="GP15" i="1"/>
  <c r="HW15" i="1"/>
  <c r="EB15" i="1"/>
  <c r="FU15" i="1"/>
  <c r="GJ15" i="1"/>
  <c r="DG15" i="1"/>
  <c r="FI15" i="1"/>
  <c r="HH15" i="1"/>
  <c r="HT44" i="1"/>
  <c r="FR44" i="1"/>
  <c r="FC44" i="1"/>
  <c r="GD44" i="1"/>
  <c r="FU44" i="1"/>
  <c r="GM44" i="1"/>
  <c r="DV44" i="1"/>
  <c r="GS44" i="1"/>
  <c r="DJ44" i="1"/>
  <c r="GV44" i="1"/>
  <c r="EH44" i="1"/>
  <c r="FI44" i="1"/>
  <c r="HH44" i="1"/>
  <c r="HZ44" i="1"/>
  <c r="GA44" i="1"/>
  <c r="HQ44" i="1"/>
  <c r="EK44" i="1"/>
  <c r="EQ44" i="1"/>
  <c r="DD44" i="1"/>
  <c r="EB44" i="1"/>
  <c r="FF44" i="1"/>
  <c r="HW44" i="1"/>
  <c r="EN44" i="1"/>
  <c r="FL44" i="1"/>
  <c r="GY44" i="1"/>
  <c r="GG44" i="1"/>
  <c r="EW44" i="1"/>
  <c r="GP44" i="1"/>
  <c r="DP44" i="1"/>
  <c r="HK44" i="1"/>
  <c r="EZ44" i="1"/>
  <c r="DM44" i="1"/>
  <c r="FO44" i="1"/>
  <c r="GM23" i="1"/>
  <c r="HB44" i="1"/>
  <c r="HE44" i="1"/>
  <c r="DY44" i="1"/>
  <c r="HN44" i="1"/>
  <c r="EE44" i="1"/>
  <c r="GJ44" i="1"/>
  <c r="HE23" i="1"/>
  <c r="GJ23" i="1"/>
  <c r="HH23" i="1"/>
  <c r="HQ23" i="1"/>
  <c r="GD23" i="1"/>
  <c r="HT23" i="1"/>
  <c r="DM23" i="1"/>
  <c r="ET23" i="1"/>
  <c r="HK23" i="1"/>
  <c r="EQ23" i="1"/>
  <c r="GP23" i="1"/>
  <c r="DY23" i="1"/>
  <c r="DP23" i="1"/>
  <c r="EE23" i="1"/>
  <c r="HQ45" i="1"/>
  <c r="GS23" i="1"/>
  <c r="HB23" i="1"/>
  <c r="GV45" i="1"/>
  <c r="FF23" i="1"/>
  <c r="GA23" i="1"/>
  <c r="EN23" i="1"/>
  <c r="GY23" i="1"/>
  <c r="EB23" i="1"/>
  <c r="DG23" i="1"/>
  <c r="DJ23" i="1"/>
  <c r="HW23" i="1"/>
  <c r="EK69" i="1"/>
  <c r="FC23" i="1"/>
  <c r="GG23" i="1"/>
  <c r="FO23" i="1"/>
  <c r="EB21" i="1"/>
  <c r="FU23" i="1"/>
  <c r="EK23" i="1"/>
  <c r="FL23" i="1"/>
  <c r="EZ23" i="1"/>
  <c r="EH23" i="1"/>
  <c r="DS23" i="1"/>
  <c r="HZ23" i="1"/>
  <c r="GV23" i="1"/>
  <c r="DD23" i="1"/>
  <c r="FI23" i="1"/>
  <c r="FR23" i="1"/>
  <c r="EW23" i="1"/>
  <c r="FX23" i="1"/>
  <c r="DV23" i="1"/>
  <c r="HT45" i="1"/>
  <c r="DG50" i="1"/>
  <c r="DV61" i="1"/>
  <c r="GV50" i="1"/>
  <c r="EQ18" i="1"/>
  <c r="FC61" i="1"/>
  <c r="DG61" i="1"/>
  <c r="HZ50" i="1"/>
  <c r="FC18" i="1"/>
  <c r="FX18" i="1"/>
  <c r="HN18" i="1"/>
  <c r="EN27" i="1"/>
  <c r="GY27" i="1"/>
  <c r="HW27" i="1"/>
  <c r="HH27" i="1"/>
  <c r="DP27" i="1"/>
  <c r="GA18" i="1"/>
  <c r="EB18" i="1"/>
  <c r="HT18" i="1"/>
  <c r="FR61" i="1"/>
  <c r="EQ27" i="1"/>
  <c r="GJ27" i="1"/>
  <c r="EZ27" i="1"/>
  <c r="GP27" i="1"/>
  <c r="HZ27" i="1"/>
  <c r="EH27" i="1"/>
  <c r="FO27" i="1"/>
  <c r="EB45" i="1"/>
  <c r="HH45" i="1"/>
  <c r="EZ18" i="1"/>
  <c r="FO18" i="1"/>
  <c r="GY18" i="1"/>
  <c r="EB61" i="1"/>
  <c r="DJ27" i="1"/>
  <c r="HT27" i="1"/>
  <c r="EK18" i="1"/>
  <c r="GD18" i="1"/>
  <c r="ET18" i="1"/>
  <c r="DM18" i="1"/>
  <c r="FR27" i="1"/>
  <c r="EK27" i="1"/>
  <c r="DY27" i="1"/>
  <c r="DD27" i="1"/>
  <c r="FU27" i="1"/>
  <c r="HW45" i="1"/>
  <c r="EN18" i="1"/>
  <c r="GJ18" i="1"/>
  <c r="GG18" i="1"/>
  <c r="EW18" i="1"/>
  <c r="GP18" i="1"/>
  <c r="HE18" i="1"/>
  <c r="HH18" i="1"/>
  <c r="FL61" i="1"/>
  <c r="EB27" i="1"/>
  <c r="FF27" i="1"/>
  <c r="DM50" i="1"/>
  <c r="HQ18" i="1"/>
  <c r="GV18" i="1"/>
  <c r="GS18" i="1"/>
  <c r="GM18" i="1"/>
  <c r="EH18" i="1"/>
  <c r="FI18" i="1"/>
  <c r="HB18" i="1"/>
  <c r="DJ61" i="1"/>
  <c r="GA27" i="1"/>
  <c r="HB27" i="1"/>
  <c r="EW27" i="1"/>
  <c r="GG27" i="1"/>
  <c r="GV27" i="1"/>
  <c r="DS27" i="1"/>
  <c r="DJ45" i="1"/>
  <c r="DJ50" i="1"/>
  <c r="FL50" i="1"/>
  <c r="GP50" i="1"/>
  <c r="HK50" i="1"/>
  <c r="HB61" i="1"/>
  <c r="GS61" i="1"/>
  <c r="FI61" i="1"/>
  <c r="EK61" i="1"/>
  <c r="GJ61" i="1"/>
  <c r="GD61" i="1"/>
  <c r="GV61" i="1"/>
  <c r="HQ61" i="1"/>
  <c r="DD61" i="1"/>
  <c r="EE61" i="1"/>
  <c r="FU61" i="1"/>
  <c r="GA61" i="1"/>
  <c r="HK61" i="1"/>
  <c r="DY61" i="1"/>
  <c r="HE61" i="1"/>
  <c r="DP50" i="1"/>
  <c r="EE50" i="1"/>
  <c r="GM61" i="1"/>
  <c r="HH61" i="1"/>
  <c r="EW61" i="1"/>
  <c r="EZ61" i="1"/>
  <c r="EQ61" i="1"/>
  <c r="HN61" i="1"/>
  <c r="FX61" i="1"/>
  <c r="EK50" i="1"/>
  <c r="HW50" i="1"/>
  <c r="EW50" i="1"/>
  <c r="GY50" i="1"/>
  <c r="GM50" i="1"/>
  <c r="FO50" i="1"/>
  <c r="FO61" i="1"/>
  <c r="ET61" i="1"/>
  <c r="DM61" i="1"/>
  <c r="DP61" i="1"/>
  <c r="HT61" i="1"/>
  <c r="HZ61" i="1"/>
  <c r="FF61" i="1"/>
  <c r="FF50" i="1"/>
  <c r="DS50" i="1"/>
  <c r="DD50" i="1"/>
  <c r="FU50" i="1"/>
  <c r="EQ50" i="1"/>
  <c r="EH61" i="1"/>
  <c r="GG61" i="1"/>
  <c r="GP61" i="1"/>
  <c r="DS61" i="1"/>
  <c r="HW61" i="1"/>
  <c r="GY61" i="1"/>
  <c r="DY45" i="1"/>
  <c r="EK45" i="1"/>
  <c r="DG45" i="1"/>
  <c r="EH45" i="1"/>
  <c r="GS45" i="1"/>
  <c r="EE45" i="1"/>
  <c r="DP45" i="1"/>
  <c r="GA45" i="1"/>
  <c r="DM45" i="1"/>
  <c r="GP45" i="1"/>
  <c r="HN45" i="1"/>
  <c r="FL45" i="1"/>
  <c r="GY45" i="1"/>
  <c r="FX45" i="1"/>
  <c r="FR45" i="1"/>
  <c r="GM45" i="1"/>
  <c r="FO45" i="1"/>
  <c r="FU45" i="1"/>
  <c r="DS45" i="1"/>
  <c r="EN45" i="1"/>
  <c r="EW45" i="1"/>
  <c r="HZ45" i="1"/>
  <c r="ET45" i="1"/>
  <c r="DD45" i="1"/>
  <c r="HK45" i="1"/>
  <c r="FI45" i="1"/>
  <c r="HB45" i="1"/>
  <c r="GD45" i="1"/>
  <c r="GJ45" i="1"/>
  <c r="EQ45" i="1"/>
  <c r="FC45" i="1"/>
  <c r="FF45" i="1"/>
  <c r="GG45" i="1"/>
  <c r="EE35" i="1"/>
  <c r="HE92" i="1"/>
  <c r="DY67" i="1"/>
  <c r="EQ74" i="1"/>
  <c r="DY35" i="1"/>
  <c r="HB74" i="1"/>
  <c r="FI92" i="1"/>
  <c r="DJ67" i="1"/>
  <c r="EW35" i="1"/>
  <c r="DG74" i="1"/>
  <c r="HK75" i="1"/>
  <c r="EE92" i="1"/>
  <c r="FU92" i="1"/>
  <c r="GM35" i="1"/>
  <c r="GY92" i="1"/>
  <c r="GA67" i="1"/>
  <c r="FL35" i="1"/>
  <c r="HT75" i="1"/>
  <c r="FR67" i="1"/>
  <c r="DJ92" i="1"/>
  <c r="FI67" i="1"/>
  <c r="FX35" i="1"/>
  <c r="DM74" i="1"/>
  <c r="FC75" i="1"/>
  <c r="DV45" i="1"/>
  <c r="EZ45" i="1"/>
  <c r="DS75" i="1"/>
  <c r="ET75" i="1"/>
  <c r="EQ75" i="1"/>
  <c r="HN75" i="1"/>
  <c r="HQ75" i="1"/>
  <c r="GM75" i="1"/>
  <c r="FO75" i="1"/>
  <c r="GJ75" i="1"/>
  <c r="EK75" i="1"/>
  <c r="EN90" i="1"/>
  <c r="HN68" i="1"/>
  <c r="HE75" i="1"/>
  <c r="DJ75" i="1"/>
  <c r="GY75" i="1"/>
  <c r="DV33" i="1"/>
  <c r="EZ75" i="1"/>
  <c r="EH75" i="1"/>
  <c r="DG75" i="1"/>
  <c r="GS75" i="1"/>
  <c r="DM75" i="1"/>
  <c r="FR75" i="1"/>
  <c r="DV75" i="1"/>
  <c r="EW90" i="1"/>
  <c r="DD90" i="1"/>
  <c r="HZ90" i="1"/>
  <c r="HQ33" i="1"/>
  <c r="HW33" i="1"/>
  <c r="EB75" i="1"/>
  <c r="HW75" i="1"/>
  <c r="FX75" i="1"/>
  <c r="GA75" i="1"/>
  <c r="FL75" i="1"/>
  <c r="HZ75" i="1"/>
  <c r="DY75" i="1"/>
  <c r="FX90" i="1"/>
  <c r="EK33" i="1"/>
  <c r="GV90" i="1"/>
  <c r="GJ90" i="1"/>
  <c r="EB33" i="1"/>
  <c r="GP75" i="1"/>
  <c r="FI75" i="1"/>
  <c r="FF75" i="1"/>
  <c r="HB75" i="1"/>
  <c r="DD75" i="1"/>
  <c r="GG75" i="1"/>
  <c r="GV75" i="1"/>
  <c r="EE33" i="1"/>
  <c r="HN90" i="1"/>
  <c r="GD90" i="1"/>
  <c r="FC33" i="1"/>
  <c r="FC68" i="1"/>
  <c r="EW75" i="1"/>
  <c r="FU75" i="1"/>
  <c r="DP75" i="1"/>
  <c r="EE75" i="1"/>
  <c r="GD75" i="1"/>
  <c r="HH75" i="1"/>
  <c r="EH21" i="1"/>
  <c r="DG90" i="1"/>
  <c r="GM90" i="1"/>
  <c r="ET90" i="1"/>
  <c r="EE90" i="1"/>
  <c r="DD33" i="1"/>
  <c r="EN33" i="1"/>
  <c r="FU33" i="1"/>
  <c r="HH33" i="1"/>
  <c r="DM21" i="1"/>
  <c r="HH21" i="1"/>
  <c r="EQ90" i="1"/>
  <c r="FL90" i="1"/>
  <c r="FF90" i="1"/>
  <c r="DJ90" i="1"/>
  <c r="FR33" i="1"/>
  <c r="FO33" i="1"/>
  <c r="DP33" i="1"/>
  <c r="HN33" i="1"/>
  <c r="DY21" i="1"/>
  <c r="HW21" i="1"/>
  <c r="DD62" i="1"/>
  <c r="GY90" i="1"/>
  <c r="GA90" i="1"/>
  <c r="EZ90" i="1"/>
  <c r="HK90" i="1"/>
  <c r="GV33" i="1"/>
  <c r="GJ33" i="1"/>
  <c r="DS33" i="1"/>
  <c r="HK33" i="1"/>
  <c r="FR21" i="1"/>
  <c r="EZ21" i="1"/>
  <c r="FU90" i="1"/>
  <c r="GG90" i="1"/>
  <c r="FR90" i="1"/>
  <c r="HH90" i="1"/>
  <c r="EH33" i="1"/>
  <c r="GA33" i="1"/>
  <c r="ET33" i="1"/>
  <c r="FF21" i="1"/>
  <c r="EK21" i="1"/>
  <c r="GV21" i="1"/>
  <c r="GJ21" i="1"/>
  <c r="GA21" i="1"/>
  <c r="DS21" i="1"/>
  <c r="GM21" i="1"/>
  <c r="HE21" i="1"/>
  <c r="DM90" i="1"/>
  <c r="EK90" i="1"/>
  <c r="EB90" i="1"/>
  <c r="FC90" i="1"/>
  <c r="DP90" i="1"/>
  <c r="HB90" i="1"/>
  <c r="HT90" i="1"/>
  <c r="EZ33" i="1"/>
  <c r="GP33" i="1"/>
  <c r="FL33" i="1"/>
  <c r="DG33" i="1"/>
  <c r="EQ33" i="1"/>
  <c r="DJ33" i="1"/>
  <c r="HT33" i="1"/>
  <c r="FO21" i="1"/>
  <c r="FC21" i="1"/>
  <c r="GP21" i="1"/>
  <c r="EW21" i="1"/>
  <c r="GS21" i="1"/>
  <c r="EN21" i="1"/>
  <c r="DD21" i="1"/>
  <c r="DP21" i="1"/>
  <c r="HN21" i="1"/>
  <c r="GP90" i="1"/>
  <c r="FI90" i="1"/>
  <c r="DY90" i="1"/>
  <c r="EH90" i="1"/>
  <c r="DV90" i="1"/>
  <c r="GS90" i="1"/>
  <c r="HE90" i="1"/>
  <c r="HQ90" i="1"/>
  <c r="GG33" i="1"/>
  <c r="HB33" i="1"/>
  <c r="GD33" i="1"/>
  <c r="FI33" i="1"/>
  <c r="DM33" i="1"/>
  <c r="FF33" i="1"/>
  <c r="HE33" i="1"/>
  <c r="GD21" i="1"/>
  <c r="FX21" i="1"/>
  <c r="DV21" i="1"/>
  <c r="FU21" i="1"/>
  <c r="EE21" i="1"/>
  <c r="GY21" i="1"/>
  <c r="FI21" i="1"/>
  <c r="HZ21" i="1"/>
  <c r="HQ21" i="1"/>
  <c r="ET21" i="1"/>
  <c r="HT21" i="1"/>
  <c r="DG21" i="1"/>
  <c r="DJ21" i="1"/>
  <c r="FL21" i="1"/>
  <c r="EQ21" i="1"/>
  <c r="GG21" i="1"/>
  <c r="HB21" i="1"/>
  <c r="FO90" i="1"/>
  <c r="DS90" i="1"/>
  <c r="GP31" i="1"/>
  <c r="DY33" i="1"/>
  <c r="FX33" i="1"/>
  <c r="GY33" i="1"/>
  <c r="GS33" i="1"/>
  <c r="GM33" i="1"/>
  <c r="EW33" i="1"/>
  <c r="HN69" i="1"/>
  <c r="HE69" i="1"/>
  <c r="FC69" i="1"/>
  <c r="GG58" i="1"/>
  <c r="EW69" i="1"/>
  <c r="EE69" i="1"/>
  <c r="HT69" i="1"/>
  <c r="HQ69" i="1"/>
  <c r="FL69" i="1"/>
  <c r="FF69" i="1"/>
  <c r="EQ69" i="1"/>
  <c r="EB58" i="1"/>
  <c r="FO69" i="1"/>
  <c r="GP69" i="1"/>
  <c r="HK69" i="1"/>
  <c r="GG69" i="1"/>
  <c r="HE58" i="1"/>
  <c r="DV69" i="1"/>
  <c r="GV69" i="1"/>
  <c r="EQ58" i="1"/>
  <c r="EH58" i="1"/>
  <c r="GS69" i="1"/>
  <c r="HB69" i="1"/>
  <c r="HH69" i="1"/>
  <c r="FR69" i="1"/>
  <c r="GA69" i="1"/>
  <c r="EH69" i="1"/>
  <c r="HN58" i="1"/>
  <c r="DV58" i="1"/>
  <c r="ET69" i="1"/>
  <c r="EB69" i="1"/>
  <c r="HW69" i="1"/>
  <c r="DS69" i="1"/>
  <c r="DP69" i="1"/>
  <c r="GJ69" i="1"/>
  <c r="DG69" i="1"/>
  <c r="HZ58" i="1"/>
  <c r="GD58" i="1"/>
  <c r="EE58" i="1"/>
  <c r="DJ58" i="1"/>
  <c r="DG58" i="1"/>
  <c r="GY58" i="1"/>
  <c r="EW58" i="1"/>
  <c r="EZ69" i="1"/>
  <c r="EZ58" i="1"/>
  <c r="HH58" i="1"/>
  <c r="FR58" i="1"/>
  <c r="FO58" i="1"/>
  <c r="EN58" i="1"/>
  <c r="DS58" i="1"/>
  <c r="HT58" i="1"/>
  <c r="HZ69" i="1"/>
  <c r="DJ69" i="1"/>
  <c r="FX58" i="1"/>
  <c r="DY58" i="1"/>
  <c r="FU58" i="1"/>
  <c r="FF58" i="1"/>
  <c r="DP58" i="1"/>
  <c r="GS58" i="1"/>
  <c r="GP58" i="1"/>
  <c r="HW58" i="1"/>
  <c r="DY69" i="1"/>
  <c r="DD69" i="1"/>
  <c r="GM69" i="1"/>
  <c r="EN69" i="1"/>
  <c r="FI69" i="1"/>
  <c r="GD69" i="1"/>
  <c r="DM69" i="1"/>
  <c r="FX69" i="1"/>
  <c r="FU69" i="1"/>
  <c r="GM58" i="1"/>
  <c r="EK58" i="1"/>
  <c r="GV58" i="1"/>
  <c r="DD58" i="1"/>
  <c r="GJ58" i="1"/>
  <c r="DM58" i="1"/>
  <c r="GA58" i="1"/>
  <c r="HQ58" i="1"/>
  <c r="FL58" i="1"/>
  <c r="ET58" i="1"/>
  <c r="HK58" i="1"/>
  <c r="HB58" i="1"/>
  <c r="FC58" i="1"/>
  <c r="FO49" i="1"/>
  <c r="HE49" i="1"/>
  <c r="GG49" i="1"/>
  <c r="DS49" i="1"/>
  <c r="HZ49" i="1"/>
  <c r="DP49" i="1"/>
  <c r="DM49" i="1"/>
  <c r="DV49" i="1"/>
  <c r="HB49" i="1"/>
  <c r="EH50" i="1"/>
  <c r="GG50" i="1"/>
  <c r="EZ49" i="1"/>
  <c r="FC49" i="1"/>
  <c r="FX49" i="1"/>
  <c r="ET49" i="1"/>
  <c r="GJ49" i="1"/>
  <c r="FI49" i="1"/>
  <c r="HN49" i="1"/>
  <c r="HW49" i="1"/>
  <c r="GA49" i="1"/>
  <c r="FR49" i="1"/>
  <c r="FX50" i="1"/>
  <c r="HB50" i="1"/>
  <c r="GS50" i="1"/>
  <c r="EN50" i="1"/>
  <c r="GD50" i="1"/>
  <c r="HH50" i="1"/>
  <c r="DY49" i="1"/>
  <c r="DJ49" i="1"/>
  <c r="GM49" i="1"/>
  <c r="GY49" i="1"/>
  <c r="DD49" i="1"/>
  <c r="GS49" i="1"/>
  <c r="HH49" i="1"/>
  <c r="FU49" i="1"/>
  <c r="GV49" i="1"/>
  <c r="HQ49" i="1"/>
  <c r="GJ50" i="1"/>
  <c r="EB50" i="1"/>
  <c r="HT50" i="1"/>
  <c r="HQ50" i="1"/>
  <c r="FC50" i="1"/>
  <c r="FR50" i="1"/>
  <c r="HE50" i="1"/>
  <c r="FI50" i="1"/>
  <c r="ET50" i="1"/>
  <c r="GA50" i="1"/>
  <c r="EZ50" i="1"/>
  <c r="DY50" i="1"/>
  <c r="DV50" i="1"/>
  <c r="FL49" i="1"/>
  <c r="EH49" i="1"/>
  <c r="EB49" i="1"/>
  <c r="GP49" i="1"/>
  <c r="DG49" i="1"/>
  <c r="EK49" i="1"/>
  <c r="HK49" i="1"/>
  <c r="FF49" i="1"/>
  <c r="EQ49" i="1"/>
  <c r="EW49" i="1"/>
  <c r="GD49" i="1"/>
  <c r="EE49" i="1"/>
  <c r="EN49" i="1"/>
  <c r="GA92" i="1"/>
  <c r="FF92" i="1"/>
  <c r="HT92" i="1"/>
  <c r="EZ67" i="1"/>
  <c r="EH35" i="1"/>
  <c r="HH35" i="1"/>
  <c r="HQ74" i="1"/>
  <c r="GM74" i="1"/>
  <c r="FR92" i="1"/>
  <c r="FX92" i="1"/>
  <c r="HB92" i="1"/>
  <c r="HQ67" i="1"/>
  <c r="GJ67" i="1"/>
  <c r="GA35" i="1"/>
  <c r="HT35" i="1"/>
  <c r="HH74" i="1"/>
  <c r="GD74" i="1"/>
  <c r="DM40" i="1"/>
  <c r="DS37" i="1"/>
  <c r="ET92" i="1"/>
  <c r="FC92" i="1"/>
  <c r="HW92" i="1"/>
  <c r="EW67" i="1"/>
  <c r="ET67" i="1"/>
  <c r="HE35" i="1"/>
  <c r="GJ35" i="1"/>
  <c r="GY74" i="1"/>
  <c r="FU74" i="1"/>
  <c r="EZ40" i="1"/>
  <c r="HQ92" i="1"/>
  <c r="DM92" i="1"/>
  <c r="DY92" i="1"/>
  <c r="HH92" i="1"/>
  <c r="FL92" i="1"/>
  <c r="EB30" i="1"/>
  <c r="HT67" i="1"/>
  <c r="DD67" i="1"/>
  <c r="FL67" i="1"/>
  <c r="EQ67" i="1"/>
  <c r="GS35" i="1"/>
  <c r="GP35" i="1"/>
  <c r="FO35" i="1"/>
  <c r="FO74" i="1"/>
  <c r="FI74" i="1"/>
  <c r="EK74" i="1"/>
  <c r="FR87" i="1"/>
  <c r="DG92" i="1"/>
  <c r="EH92" i="1"/>
  <c r="DS92" i="1"/>
  <c r="GM92" i="1"/>
  <c r="GS92" i="1"/>
  <c r="HZ67" i="1"/>
  <c r="EE67" i="1"/>
  <c r="EK67" i="1"/>
  <c r="HE67" i="1"/>
  <c r="DV35" i="1"/>
  <c r="DM35" i="1"/>
  <c r="HB35" i="1"/>
  <c r="HT74" i="1"/>
  <c r="FF74" i="1"/>
  <c r="DY74" i="1"/>
  <c r="EB74" i="1"/>
  <c r="DG87" i="1"/>
  <c r="EN92" i="1"/>
  <c r="EQ92" i="1"/>
  <c r="DP92" i="1"/>
  <c r="EB92" i="1"/>
  <c r="GV92" i="1"/>
  <c r="FF67" i="1"/>
  <c r="DV67" i="1"/>
  <c r="EH67" i="1"/>
  <c r="HB67" i="1"/>
  <c r="GD35" i="1"/>
  <c r="EK35" i="1"/>
  <c r="HN35" i="1"/>
  <c r="GJ74" i="1"/>
  <c r="EW74" i="1"/>
  <c r="HW74" i="1"/>
  <c r="DS74" i="1"/>
  <c r="HQ19" i="1"/>
  <c r="GG92" i="1"/>
  <c r="GD92" i="1"/>
  <c r="FO92" i="1"/>
  <c r="HZ92" i="1"/>
  <c r="HN92" i="1"/>
  <c r="DG30" i="1"/>
  <c r="DY22" i="1"/>
  <c r="HW67" i="1"/>
  <c r="GV67" i="1"/>
  <c r="EN67" i="1"/>
  <c r="EB67" i="1"/>
  <c r="GG67" i="1"/>
  <c r="FX67" i="1"/>
  <c r="DS67" i="1"/>
  <c r="EN35" i="1"/>
  <c r="DG35" i="1"/>
  <c r="GY35" i="1"/>
  <c r="EQ35" i="1"/>
  <c r="DS35" i="1"/>
  <c r="HK35" i="1"/>
  <c r="ET35" i="1"/>
  <c r="EZ74" i="1"/>
  <c r="GP74" i="1"/>
  <c r="EN74" i="1"/>
  <c r="FR74" i="1"/>
  <c r="HN74" i="1"/>
  <c r="FL74" i="1"/>
  <c r="DJ74" i="1"/>
  <c r="EH87" i="1"/>
  <c r="EK40" i="1"/>
  <c r="DV92" i="1"/>
  <c r="DJ87" i="1"/>
  <c r="EW93" i="1"/>
  <c r="HW40" i="1"/>
  <c r="GP92" i="1"/>
  <c r="EW92" i="1"/>
  <c r="DD92" i="1"/>
  <c r="EZ92" i="1"/>
  <c r="EK92" i="1"/>
  <c r="GJ92" i="1"/>
  <c r="FI30" i="1"/>
  <c r="FC22" i="1"/>
  <c r="HN67" i="1"/>
  <c r="DG67" i="1"/>
  <c r="FO67" i="1"/>
  <c r="GY67" i="1"/>
  <c r="FU67" i="1"/>
  <c r="FC67" i="1"/>
  <c r="GP67" i="1"/>
  <c r="EQ38" i="1"/>
  <c r="HQ35" i="1"/>
  <c r="FR35" i="1"/>
  <c r="GG35" i="1"/>
  <c r="GV35" i="1"/>
  <c r="DJ35" i="1"/>
  <c r="FU35" i="1"/>
  <c r="DP35" i="1"/>
  <c r="HW35" i="1"/>
  <c r="DP74" i="1"/>
  <c r="GG74" i="1"/>
  <c r="EE74" i="1"/>
  <c r="EH74" i="1"/>
  <c r="HE74" i="1"/>
  <c r="FC74" i="1"/>
  <c r="HK74" i="1"/>
  <c r="GS87" i="1"/>
  <c r="FO40" i="1"/>
  <c r="GS30" i="1"/>
  <c r="GP22" i="1"/>
  <c r="EB87" i="1"/>
  <c r="EB39" i="1"/>
  <c r="HN40" i="1"/>
  <c r="FR22" i="1"/>
  <c r="HK67" i="1"/>
  <c r="GS67" i="1"/>
  <c r="GD67" i="1"/>
  <c r="DM67" i="1"/>
  <c r="DP67" i="1"/>
  <c r="GM67" i="1"/>
  <c r="FC35" i="1"/>
  <c r="FI35" i="1"/>
  <c r="DD35" i="1"/>
  <c r="HZ35" i="1"/>
  <c r="EZ35" i="1"/>
  <c r="FF35" i="1"/>
  <c r="GY81" i="1"/>
  <c r="HZ74" i="1"/>
  <c r="FX74" i="1"/>
  <c r="DV74" i="1"/>
  <c r="GS74" i="1"/>
  <c r="GV74" i="1"/>
  <c r="ET74" i="1"/>
  <c r="EE87" i="1"/>
  <c r="HQ87" i="1"/>
  <c r="GJ87" i="1"/>
  <c r="DS40" i="1"/>
  <c r="FI40" i="1"/>
  <c r="FC30" i="1"/>
  <c r="HN30" i="1"/>
  <c r="EE22" i="1"/>
  <c r="DJ22" i="1"/>
  <c r="HN19" i="1"/>
  <c r="HH22" i="1"/>
  <c r="HH87" i="1"/>
  <c r="GD40" i="1"/>
  <c r="HQ30" i="1"/>
  <c r="HE30" i="1"/>
  <c r="EQ22" i="1"/>
  <c r="FX87" i="1"/>
  <c r="EZ87" i="1"/>
  <c r="DD40" i="1"/>
  <c r="GJ40" i="1"/>
  <c r="EK30" i="1"/>
  <c r="FX30" i="1"/>
  <c r="HH30" i="1"/>
  <c r="HK22" i="1"/>
  <c r="GG22" i="1"/>
  <c r="DV22" i="1"/>
  <c r="DP87" i="1"/>
  <c r="DV40" i="1"/>
  <c r="GY30" i="1"/>
  <c r="FU22" i="1"/>
  <c r="GP87" i="1"/>
  <c r="DV87" i="1"/>
  <c r="FC40" i="1"/>
  <c r="GS40" i="1"/>
  <c r="EW30" i="1"/>
  <c r="GG30" i="1"/>
  <c r="HZ30" i="1"/>
  <c r="GM22" i="1"/>
  <c r="HB22" i="1"/>
  <c r="EQ87" i="1"/>
  <c r="GD87" i="1"/>
  <c r="GM87" i="1"/>
  <c r="HE87" i="1"/>
  <c r="GG87" i="1"/>
  <c r="DS87" i="1"/>
  <c r="EW87" i="1"/>
  <c r="FU40" i="1"/>
  <c r="DP40" i="1"/>
  <c r="GP40" i="1"/>
  <c r="GV40" i="1"/>
  <c r="DJ40" i="1"/>
  <c r="FX40" i="1"/>
  <c r="HT40" i="1"/>
  <c r="GM30" i="1"/>
  <c r="DM30" i="1"/>
  <c r="FF30" i="1"/>
  <c r="DY30" i="1"/>
  <c r="EQ30" i="1"/>
  <c r="FL30" i="1"/>
  <c r="HB30" i="1"/>
  <c r="HN22" i="1"/>
  <c r="DG22" i="1"/>
  <c r="EN22" i="1"/>
  <c r="EZ22" i="1"/>
  <c r="GA22" i="1"/>
  <c r="EB22" i="1"/>
  <c r="FF22" i="1"/>
  <c r="FR19" i="1"/>
  <c r="EN87" i="1"/>
  <c r="GY40" i="1"/>
  <c r="GV30" i="1"/>
  <c r="GY22" i="1"/>
  <c r="GD22" i="1"/>
  <c r="ET22" i="1"/>
  <c r="GS19" i="1"/>
  <c r="DV11" i="1"/>
  <c r="FF87" i="1"/>
  <c r="HK87" i="1"/>
  <c r="FC87" i="1"/>
  <c r="EE40" i="1"/>
  <c r="GA40" i="1"/>
  <c r="HK40" i="1"/>
  <c r="GJ30" i="1"/>
  <c r="FO30" i="1"/>
  <c r="EN30" i="1"/>
  <c r="HQ22" i="1"/>
  <c r="HE22" i="1"/>
  <c r="GJ22" i="1"/>
  <c r="DD22" i="1"/>
  <c r="DD87" i="1"/>
  <c r="HT87" i="1"/>
  <c r="HN87" i="1"/>
  <c r="DY87" i="1"/>
  <c r="HB87" i="1"/>
  <c r="FU87" i="1"/>
  <c r="DM87" i="1"/>
  <c r="FL40" i="1"/>
  <c r="DY40" i="1"/>
  <c r="EW40" i="1"/>
  <c r="DG40" i="1"/>
  <c r="GM40" i="1"/>
  <c r="HH40" i="1"/>
  <c r="HB40" i="1"/>
  <c r="DS30" i="1"/>
  <c r="DP30" i="1"/>
  <c r="GA30" i="1"/>
  <c r="FR30" i="1"/>
  <c r="GP30" i="1"/>
  <c r="DJ30" i="1"/>
  <c r="HK30" i="1"/>
  <c r="EH22" i="1"/>
  <c r="GV22" i="1"/>
  <c r="FL22" i="1"/>
  <c r="FO22" i="1"/>
  <c r="EK22" i="1"/>
  <c r="GS22" i="1"/>
  <c r="HT22" i="1"/>
  <c r="DJ19" i="1"/>
  <c r="FI87" i="1"/>
  <c r="HW87" i="1"/>
  <c r="EK87" i="1"/>
  <c r="FR40" i="1"/>
  <c r="EQ40" i="1"/>
  <c r="HQ40" i="1"/>
  <c r="GD30" i="1"/>
  <c r="EZ30" i="1"/>
  <c r="HW30" i="1"/>
  <c r="ET87" i="1"/>
  <c r="HZ87" i="1"/>
  <c r="GV87" i="1"/>
  <c r="FL87" i="1"/>
  <c r="FO87" i="1"/>
  <c r="GY87" i="1"/>
  <c r="ET40" i="1"/>
  <c r="EB40" i="1"/>
  <c r="EN40" i="1"/>
  <c r="FF40" i="1"/>
  <c r="EH40" i="1"/>
  <c r="GG40" i="1"/>
  <c r="HE40" i="1"/>
  <c r="EH30" i="1"/>
  <c r="DV30" i="1"/>
  <c r="DD30" i="1"/>
  <c r="EE30" i="1"/>
  <c r="ET30" i="1"/>
  <c r="FU30" i="1"/>
  <c r="DS22" i="1"/>
  <c r="HZ22" i="1"/>
  <c r="DP22" i="1"/>
  <c r="FI22" i="1"/>
  <c r="EW22" i="1"/>
  <c r="DM22" i="1"/>
  <c r="FX22" i="1"/>
  <c r="EK19" i="1"/>
  <c r="HW11" i="1"/>
  <c r="FF6" i="1"/>
  <c r="HB63" i="1"/>
  <c r="GS11" i="1"/>
  <c r="HT6" i="1"/>
  <c r="HH11" i="1"/>
  <c r="FR11" i="1"/>
  <c r="HZ11" i="1"/>
  <c r="EH63" i="1"/>
  <c r="FF11" i="1"/>
  <c r="GV11" i="1"/>
  <c r="DJ11" i="1"/>
  <c r="EK11" i="1"/>
  <c r="EN6" i="1"/>
  <c r="EK63" i="1"/>
  <c r="FC6" i="1"/>
  <c r="EQ63" i="1"/>
  <c r="GP11" i="1"/>
  <c r="FL11" i="1"/>
  <c r="HH17" i="1"/>
  <c r="DP6" i="1"/>
  <c r="HK63" i="1"/>
  <c r="DM11" i="1"/>
  <c r="GM11" i="1"/>
  <c r="FU68" i="1"/>
  <c r="EZ6" i="1"/>
  <c r="EQ6" i="1"/>
  <c r="GP63" i="1"/>
  <c r="EZ63" i="1"/>
  <c r="HN63" i="1"/>
  <c r="HQ11" i="1"/>
  <c r="GG11" i="1"/>
  <c r="GA11" i="1"/>
  <c r="EW11" i="1"/>
  <c r="EN11" i="1"/>
  <c r="HN11" i="1"/>
  <c r="DS11" i="1"/>
  <c r="HT11" i="1"/>
  <c r="FI68" i="1"/>
  <c r="EB68" i="1"/>
  <c r="GV6" i="1"/>
  <c r="GS6" i="1"/>
  <c r="GJ63" i="1"/>
  <c r="GG63" i="1"/>
  <c r="EZ11" i="1"/>
  <c r="DY11" i="1"/>
  <c r="GD11" i="1"/>
  <c r="FO11" i="1"/>
  <c r="DD11" i="1"/>
  <c r="ET11" i="1"/>
  <c r="HE11" i="1"/>
  <c r="EK68" i="1"/>
  <c r="GP68" i="1"/>
  <c r="GS68" i="1"/>
  <c r="EN16" i="1"/>
  <c r="HQ6" i="1"/>
  <c r="FO6" i="1"/>
  <c r="HH6" i="1"/>
  <c r="FF63" i="1"/>
  <c r="GD63" i="1"/>
  <c r="FU11" i="1"/>
  <c r="GJ11" i="1"/>
  <c r="FI11" i="1"/>
  <c r="FC11" i="1"/>
  <c r="DG11" i="1"/>
  <c r="EB11" i="1"/>
  <c r="HK11" i="1"/>
  <c r="HH68" i="1"/>
  <c r="GY68" i="1"/>
  <c r="FL68" i="1"/>
  <c r="FF68" i="1"/>
  <c r="EE16" i="1"/>
  <c r="ET6" i="1"/>
  <c r="FU6" i="1"/>
  <c r="HB6" i="1"/>
  <c r="GM63" i="1"/>
  <c r="DY63" i="1"/>
  <c r="EQ11" i="1"/>
  <c r="FX11" i="1"/>
  <c r="GY11" i="1"/>
  <c r="DP11" i="1"/>
  <c r="EH11" i="1"/>
  <c r="EE11" i="1"/>
  <c r="DS68" i="1"/>
  <c r="HK68" i="1"/>
  <c r="DS28" i="1"/>
  <c r="FI62" i="1"/>
  <c r="GY28" i="1"/>
  <c r="EE72" i="1"/>
  <c r="EN68" i="1"/>
  <c r="DY68" i="1"/>
  <c r="ET68" i="1"/>
  <c r="GA68" i="1"/>
  <c r="HW68" i="1"/>
  <c r="GM68" i="1"/>
  <c r="DP68" i="1"/>
  <c r="DS82" i="1"/>
  <c r="FL82" i="1"/>
  <c r="FR72" i="1"/>
  <c r="EE68" i="1"/>
  <c r="FR68" i="1"/>
  <c r="DG68" i="1"/>
  <c r="EQ68" i="1"/>
  <c r="DJ68" i="1"/>
  <c r="HE68" i="1"/>
  <c r="HB68" i="1"/>
  <c r="DD70" i="1"/>
  <c r="DJ89" i="1"/>
  <c r="FO68" i="1"/>
  <c r="EZ68" i="1"/>
  <c r="EH68" i="1"/>
  <c r="DM68" i="1"/>
  <c r="GD68" i="1"/>
  <c r="HZ68" i="1"/>
  <c r="GV68" i="1"/>
  <c r="EQ70" i="1"/>
  <c r="FR89" i="1"/>
  <c r="DG31" i="1"/>
  <c r="HQ68" i="1"/>
  <c r="DV68" i="1"/>
  <c r="GJ68" i="1"/>
  <c r="HT68" i="1"/>
  <c r="DD68" i="1"/>
  <c r="GG68" i="1"/>
  <c r="EW68" i="1"/>
  <c r="EE82" i="1"/>
  <c r="GG82" i="1"/>
  <c r="EN28" i="1"/>
  <c r="DJ28" i="1"/>
  <c r="HQ70" i="1"/>
  <c r="GY70" i="1"/>
  <c r="EE70" i="1"/>
  <c r="EB62" i="1"/>
  <c r="GV62" i="1"/>
  <c r="FI89" i="1"/>
  <c r="EW89" i="1"/>
  <c r="EK31" i="1"/>
  <c r="FU31" i="1"/>
  <c r="DP72" i="1"/>
  <c r="EB72" i="1"/>
  <c r="EZ72" i="1"/>
  <c r="EN82" i="1"/>
  <c r="ET82" i="1"/>
  <c r="EZ28" i="1"/>
  <c r="FL28" i="1"/>
  <c r="FR70" i="1"/>
  <c r="FC70" i="1"/>
  <c r="EH70" i="1"/>
  <c r="FF62" i="1"/>
  <c r="EZ62" i="1"/>
  <c r="DS89" i="1"/>
  <c r="FF89" i="1"/>
  <c r="FR31" i="1"/>
  <c r="FI31" i="1"/>
  <c r="HK72" i="1"/>
  <c r="EW72" i="1"/>
  <c r="GV72" i="1"/>
  <c r="EK82" i="1"/>
  <c r="GD82" i="1"/>
  <c r="FU28" i="1"/>
  <c r="GG28" i="1"/>
  <c r="HB70" i="1"/>
  <c r="GM70" i="1"/>
  <c r="FL70" i="1"/>
  <c r="GG62" i="1"/>
  <c r="HH62" i="1"/>
  <c r="GJ89" i="1"/>
  <c r="GS89" i="1"/>
  <c r="HT89" i="1"/>
  <c r="ET31" i="1"/>
  <c r="EZ31" i="1"/>
  <c r="DD72" i="1"/>
  <c r="EH72" i="1"/>
  <c r="HH72" i="1"/>
  <c r="FR82" i="1"/>
  <c r="DG82" i="1"/>
  <c r="HE82" i="1"/>
  <c r="DD28" i="1"/>
  <c r="DV28" i="1"/>
  <c r="HZ28" i="1"/>
  <c r="DG70" i="1"/>
  <c r="DP70" i="1"/>
  <c r="FU62" i="1"/>
  <c r="DG62" i="1"/>
  <c r="FO62" i="1"/>
  <c r="DV89" i="1"/>
  <c r="FU89" i="1"/>
  <c r="HK89" i="1"/>
  <c r="GG31" i="1"/>
  <c r="DM31" i="1"/>
  <c r="HK31" i="1"/>
  <c r="DY72" i="1"/>
  <c r="FX72" i="1"/>
  <c r="DY82" i="1"/>
  <c r="EB82" i="1"/>
  <c r="HW82" i="1"/>
  <c r="DM28" i="1"/>
  <c r="FO28" i="1"/>
  <c r="HK28" i="1"/>
  <c r="EZ70" i="1"/>
  <c r="FI70" i="1"/>
  <c r="HE62" i="1"/>
  <c r="GA62" i="1"/>
  <c r="HK62" i="1"/>
  <c r="DP89" i="1"/>
  <c r="EB89" i="1"/>
  <c r="DS31" i="1"/>
  <c r="GM31" i="1"/>
  <c r="HH31" i="1"/>
  <c r="DS72" i="1"/>
  <c r="FI72" i="1"/>
  <c r="T63" i="2"/>
  <c r="EQ20" i="1"/>
  <c r="DD29" i="1"/>
  <c r="EK9" i="1"/>
  <c r="EQ65" i="1"/>
  <c r="HZ20" i="1"/>
  <c r="EE10" i="1"/>
  <c r="FU9" i="1"/>
  <c r="HN10" i="1"/>
  <c r="HW20" i="1"/>
  <c r="FX82" i="1"/>
  <c r="GS82" i="1"/>
  <c r="GJ82" i="1"/>
  <c r="EQ82" i="1"/>
  <c r="EW82" i="1"/>
  <c r="FO82" i="1"/>
  <c r="EB28" i="1"/>
  <c r="GJ28" i="1"/>
  <c r="FC28" i="1"/>
  <c r="EW28" i="1"/>
  <c r="ET28" i="1"/>
  <c r="GS28" i="1"/>
  <c r="HW28" i="1"/>
  <c r="GG70" i="1"/>
  <c r="DY70" i="1"/>
  <c r="HT70" i="1"/>
  <c r="HK70" i="1"/>
  <c r="FU70" i="1"/>
  <c r="EW70" i="1"/>
  <c r="EK70" i="1"/>
  <c r="GJ62" i="1"/>
  <c r="EE62" i="1"/>
  <c r="GY62" i="1"/>
  <c r="EK62" i="1"/>
  <c r="FL62" i="1"/>
  <c r="ET62" i="1"/>
  <c r="HT62" i="1"/>
  <c r="HW62" i="1"/>
  <c r="GY9" i="1"/>
  <c r="FI12" i="1"/>
  <c r="EE89" i="1"/>
  <c r="GG89" i="1"/>
  <c r="EK89" i="1"/>
  <c r="EH89" i="1"/>
  <c r="DG89" i="1"/>
  <c r="GA89" i="1"/>
  <c r="HE89" i="1"/>
  <c r="DP31" i="1"/>
  <c r="GA31" i="1"/>
  <c r="EQ31" i="1"/>
  <c r="EE31" i="1"/>
  <c r="FC31" i="1"/>
  <c r="DJ31" i="1"/>
  <c r="HZ31" i="1"/>
  <c r="FL10" i="1"/>
  <c r="FF72" i="1"/>
  <c r="EQ72" i="1"/>
  <c r="GS72" i="1"/>
  <c r="HB72" i="1"/>
  <c r="FL72" i="1"/>
  <c r="DM72" i="1"/>
  <c r="EN72" i="1"/>
  <c r="DV20" i="1"/>
  <c r="GV82" i="1"/>
  <c r="FI82" i="1"/>
  <c r="EK28" i="1"/>
  <c r="FR28" i="1"/>
  <c r="HT28" i="1"/>
  <c r="EN70" i="1"/>
  <c r="HZ70" i="1"/>
  <c r="HH70" i="1"/>
  <c r="FX70" i="1"/>
  <c r="EN62" i="1"/>
  <c r="GM62" i="1"/>
  <c r="HZ62" i="1"/>
  <c r="DP62" i="1"/>
  <c r="GD62" i="1"/>
  <c r="GS62" i="1"/>
  <c r="HB62" i="1"/>
  <c r="FX9" i="1"/>
  <c r="HW9" i="1"/>
  <c r="HQ89" i="1"/>
  <c r="EQ89" i="1"/>
  <c r="FX89" i="1"/>
  <c r="EN89" i="1"/>
  <c r="GY89" i="1"/>
  <c r="HB89" i="1"/>
  <c r="DD89" i="1"/>
  <c r="HW89" i="1"/>
  <c r="FL31" i="1"/>
  <c r="GD31" i="1"/>
  <c r="GS31" i="1"/>
  <c r="HE31" i="1"/>
  <c r="EH31" i="1"/>
  <c r="DV31" i="1"/>
  <c r="HW31" i="1"/>
  <c r="DS10" i="1"/>
  <c r="GP72" i="1"/>
  <c r="GM72" i="1"/>
  <c r="ET72" i="1"/>
  <c r="HW72" i="1"/>
  <c r="GG72" i="1"/>
  <c r="GD72" i="1"/>
  <c r="EK72" i="1"/>
  <c r="FU20" i="1"/>
  <c r="HH73" i="1"/>
  <c r="GV20" i="1"/>
  <c r="EH82" i="1"/>
  <c r="GY82" i="1"/>
  <c r="HN82" i="1"/>
  <c r="DG28" i="1"/>
  <c r="GD28" i="1"/>
  <c r="DP28" i="1"/>
  <c r="HH28" i="1"/>
  <c r="DJ70" i="1"/>
  <c r="GV70" i="1"/>
  <c r="EB70" i="1"/>
  <c r="DJ82" i="1"/>
  <c r="GP82" i="1"/>
  <c r="GA82" i="1"/>
  <c r="DM82" i="1"/>
  <c r="FU82" i="1"/>
  <c r="HK82" i="1"/>
  <c r="HT82" i="1"/>
  <c r="HQ28" i="1"/>
  <c r="GV28" i="1"/>
  <c r="EH28" i="1"/>
  <c r="FX28" i="1"/>
  <c r="GM28" i="1"/>
  <c r="DY28" i="1"/>
  <c r="HE28" i="1"/>
  <c r="HB28" i="1"/>
  <c r="ET70" i="1"/>
  <c r="GP70" i="1"/>
  <c r="HW70" i="1"/>
  <c r="HN70" i="1"/>
  <c r="FO70" i="1"/>
  <c r="GD70" i="1"/>
  <c r="FF70" i="1"/>
  <c r="DV62" i="1"/>
  <c r="GP62" i="1"/>
  <c r="DY62" i="1"/>
  <c r="EQ62" i="1"/>
  <c r="DM62" i="1"/>
  <c r="FX62" i="1"/>
  <c r="HN62" i="1"/>
  <c r="EB9" i="1"/>
  <c r="DM89" i="1"/>
  <c r="GM89" i="1"/>
  <c r="HZ89" i="1"/>
  <c r="FL89" i="1"/>
  <c r="ET89" i="1"/>
  <c r="EZ89" i="1"/>
  <c r="HH89" i="1"/>
  <c r="HQ31" i="1"/>
  <c r="FO31" i="1"/>
  <c r="EB31" i="1"/>
  <c r="GJ31" i="1"/>
  <c r="GV31" i="1"/>
  <c r="EN31" i="1"/>
  <c r="HN31" i="1"/>
  <c r="HT31" i="1"/>
  <c r="EK10" i="1"/>
  <c r="FO72" i="1"/>
  <c r="FC72" i="1"/>
  <c r="HQ72" i="1"/>
  <c r="HE72" i="1"/>
  <c r="HN72" i="1"/>
  <c r="GY72" i="1"/>
  <c r="FU72" i="1"/>
  <c r="EE20" i="1"/>
  <c r="FC82" i="1"/>
  <c r="HH82" i="1"/>
  <c r="GM82" i="1"/>
  <c r="DP82" i="1"/>
  <c r="EZ82" i="1"/>
  <c r="FF82" i="1"/>
  <c r="DV82" i="1"/>
  <c r="DD82" i="1"/>
  <c r="HB82" i="1"/>
  <c r="EE28" i="1"/>
  <c r="GA28" i="1"/>
  <c r="EQ28" i="1"/>
  <c r="FI28" i="1"/>
  <c r="GP28" i="1"/>
  <c r="FF28" i="1"/>
  <c r="GJ70" i="1"/>
  <c r="GA70" i="1"/>
  <c r="DS70" i="1"/>
  <c r="HE70" i="1"/>
  <c r="GS70" i="1"/>
  <c r="DV70" i="1"/>
  <c r="EW62" i="1"/>
  <c r="DJ62" i="1"/>
  <c r="DS62" i="1"/>
  <c r="FC62" i="1"/>
  <c r="EH62" i="1"/>
  <c r="FR62" i="1"/>
  <c r="EH9" i="1"/>
  <c r="FO89" i="1"/>
  <c r="GD89" i="1"/>
  <c r="GV89" i="1"/>
  <c r="GP89" i="1"/>
  <c r="DY89" i="1"/>
  <c r="FC89" i="1"/>
  <c r="FX31" i="1"/>
  <c r="GY31" i="1"/>
  <c r="DY31" i="1"/>
  <c r="FF31" i="1"/>
  <c r="DD31" i="1"/>
  <c r="EW31" i="1"/>
  <c r="EQ10" i="1"/>
  <c r="GJ10" i="1"/>
  <c r="DJ72" i="1"/>
  <c r="HZ72" i="1"/>
  <c r="DG72" i="1"/>
  <c r="HT72" i="1"/>
  <c r="GJ72" i="1"/>
  <c r="GA72" i="1"/>
  <c r="FF20" i="1"/>
  <c r="FR29" i="1"/>
  <c r="DJ9" i="1"/>
  <c r="FF9" i="1"/>
  <c r="GP9" i="1"/>
  <c r="FL9" i="1"/>
  <c r="GJ9" i="1"/>
  <c r="HB9" i="1"/>
  <c r="HZ9" i="1"/>
  <c r="DP12" i="1"/>
  <c r="HW12" i="1"/>
  <c r="HK10" i="1"/>
  <c r="GY10" i="1"/>
  <c r="DG10" i="1"/>
  <c r="HH10" i="1"/>
  <c r="EH10" i="1"/>
  <c r="ET10" i="1"/>
  <c r="GM10" i="1"/>
  <c r="EB20" i="1"/>
  <c r="FI20" i="1"/>
  <c r="DY20" i="1"/>
  <c r="FO20" i="1"/>
  <c r="EK20" i="1"/>
  <c r="EZ20" i="1"/>
  <c r="HT20" i="1"/>
  <c r="GY73" i="1"/>
  <c r="FC54" i="1"/>
  <c r="GJ29" i="1"/>
  <c r="HQ9" i="1"/>
  <c r="GV9" i="1"/>
  <c r="DG9" i="1"/>
  <c r="DY9" i="1"/>
  <c r="EW9" i="1"/>
  <c r="EN9" i="1"/>
  <c r="HH9" i="1"/>
  <c r="HT9" i="1"/>
  <c r="DV12" i="1"/>
  <c r="FR10" i="1"/>
  <c r="FU10" i="1"/>
  <c r="HE10" i="1"/>
  <c r="FX10" i="1"/>
  <c r="GA10" i="1"/>
  <c r="EN10" i="1"/>
  <c r="DY10" i="1"/>
  <c r="DD20" i="1"/>
  <c r="GD20" i="1"/>
  <c r="FR20" i="1"/>
  <c r="FC20" i="1"/>
  <c r="DS20" i="1"/>
  <c r="DJ20" i="1"/>
  <c r="HQ20" i="1"/>
  <c r="HT73" i="1"/>
  <c r="DD73" i="1"/>
  <c r="EE29" i="1"/>
  <c r="FC9" i="1"/>
  <c r="EZ9" i="1"/>
  <c r="EE9" i="1"/>
  <c r="DD9" i="1"/>
  <c r="FO9" i="1"/>
  <c r="GD9" i="1"/>
  <c r="HN9" i="1"/>
  <c r="FF12" i="1"/>
  <c r="GD56" i="1"/>
  <c r="EZ10" i="1"/>
  <c r="EW10" i="1"/>
  <c r="DD10" i="1"/>
  <c r="FI10" i="1"/>
  <c r="GG10" i="1"/>
  <c r="HW10" i="1"/>
  <c r="GS10" i="1"/>
  <c r="GY20" i="1"/>
  <c r="DP20" i="1"/>
  <c r="GA20" i="1"/>
  <c r="DM20" i="1"/>
  <c r="GS20" i="1"/>
  <c r="EH20" i="1"/>
  <c r="HN20" i="1"/>
  <c r="HK73" i="1"/>
  <c r="GM73" i="1"/>
  <c r="GA29" i="1"/>
  <c r="DV9" i="1"/>
  <c r="FI9" i="1"/>
  <c r="GA9" i="1"/>
  <c r="EQ9" i="1"/>
  <c r="GS9" i="1"/>
  <c r="GM9" i="1"/>
  <c r="HE9" i="1"/>
  <c r="ET12" i="1"/>
  <c r="FF10" i="1"/>
  <c r="DV10" i="1"/>
  <c r="GP10" i="1"/>
  <c r="FC10" i="1"/>
  <c r="EB10" i="1"/>
  <c r="FO10" i="1"/>
  <c r="HT10" i="1"/>
  <c r="EN20" i="1"/>
  <c r="GP20" i="1"/>
  <c r="FL20" i="1"/>
  <c r="ET20" i="1"/>
  <c r="GG20" i="1"/>
  <c r="HH20" i="1"/>
  <c r="HB20" i="1"/>
  <c r="DP73" i="1"/>
  <c r="EZ29" i="1"/>
  <c r="HE29" i="1"/>
  <c r="DM9" i="1"/>
  <c r="GG9" i="1"/>
  <c r="DS9" i="1"/>
  <c r="FR9" i="1"/>
  <c r="DP9" i="1"/>
  <c r="ET9" i="1"/>
  <c r="DD12" i="1"/>
  <c r="HQ10" i="1"/>
  <c r="GD10" i="1"/>
  <c r="HB10" i="1"/>
  <c r="DP10" i="1"/>
  <c r="GV10" i="1"/>
  <c r="DM10" i="1"/>
  <c r="DJ10" i="1"/>
  <c r="DG20" i="1"/>
  <c r="EW20" i="1"/>
  <c r="GJ20" i="1"/>
  <c r="FX20" i="1"/>
  <c r="GM20" i="1"/>
  <c r="HE20" i="1"/>
  <c r="DG73" i="1"/>
  <c r="EZ54" i="1"/>
  <c r="DV19" i="1"/>
  <c r="GP19" i="1"/>
  <c r="EB19" i="1"/>
  <c r="GM19" i="1"/>
  <c r="HH19" i="1"/>
  <c r="EZ56" i="1"/>
  <c r="FF54" i="1"/>
  <c r="FO19" i="1"/>
  <c r="GG19" i="1"/>
  <c r="GV19" i="1"/>
  <c r="EZ19" i="1"/>
  <c r="HK19" i="1"/>
  <c r="GM56" i="1"/>
  <c r="HH54" i="1"/>
  <c r="DY19" i="1"/>
  <c r="FI19" i="1"/>
  <c r="FU19" i="1"/>
  <c r="FC19" i="1"/>
  <c r="HW19" i="1"/>
  <c r="GV56" i="1"/>
  <c r="DP19" i="1"/>
  <c r="EH19" i="1"/>
  <c r="GD19" i="1"/>
  <c r="GA19" i="1"/>
  <c r="HZ19" i="1"/>
  <c r="DD56" i="1"/>
  <c r="EW19" i="1"/>
  <c r="EQ19" i="1"/>
  <c r="DD19" i="1"/>
  <c r="ET19" i="1"/>
  <c r="HE19" i="1"/>
  <c r="ET56" i="1"/>
  <c r="EK54" i="1"/>
  <c r="EE19" i="1"/>
  <c r="DS19" i="1"/>
  <c r="GJ19" i="1"/>
  <c r="FL19" i="1"/>
  <c r="FF19" i="1"/>
  <c r="HT19" i="1"/>
  <c r="EN56" i="1"/>
  <c r="DP54" i="1"/>
  <c r="GY19" i="1"/>
  <c r="EN19" i="1"/>
  <c r="DM19" i="1"/>
  <c r="FX19" i="1"/>
  <c r="DG19" i="1"/>
  <c r="FR56" i="1"/>
  <c r="HB32" i="1"/>
  <c r="EE6" i="1"/>
  <c r="GD6" i="1"/>
  <c r="GG6" i="1"/>
  <c r="DD6" i="1"/>
  <c r="EB6" i="1"/>
  <c r="FX6" i="1"/>
  <c r="HN6" i="1"/>
  <c r="HQ63" i="1"/>
  <c r="DM63" i="1"/>
  <c r="EW63" i="1"/>
  <c r="FR63" i="1"/>
  <c r="EB63" i="1"/>
  <c r="DJ63" i="1"/>
  <c r="HZ63" i="1"/>
  <c r="HW63" i="1"/>
  <c r="GA6" i="1"/>
  <c r="GY6" i="1"/>
  <c r="FI6" i="1"/>
  <c r="GJ6" i="1"/>
  <c r="DG6" i="1"/>
  <c r="DS6" i="1"/>
  <c r="GS63" i="1"/>
  <c r="FL63" i="1"/>
  <c r="DS63" i="1"/>
  <c r="GY63" i="1"/>
  <c r="EN63" i="1"/>
  <c r="GV63" i="1"/>
  <c r="HH63" i="1"/>
  <c r="GM6" i="1"/>
  <c r="DM6" i="1"/>
  <c r="GP6" i="1"/>
  <c r="DJ6" i="1"/>
  <c r="DV6" i="1"/>
  <c r="DY6" i="1"/>
  <c r="HK6" i="1"/>
  <c r="GA63" i="1"/>
  <c r="FI63" i="1"/>
  <c r="DP63" i="1"/>
  <c r="FC63" i="1"/>
  <c r="DD63" i="1"/>
  <c r="EE63" i="1"/>
  <c r="HE63" i="1"/>
  <c r="DD17" i="1"/>
  <c r="EK6" i="1"/>
  <c r="EW6" i="1"/>
  <c r="FL6" i="1"/>
  <c r="EH6" i="1"/>
  <c r="FR6" i="1"/>
  <c r="HE6" i="1"/>
  <c r="FU63" i="1"/>
  <c r="FO63" i="1"/>
  <c r="DG63" i="1"/>
  <c r="FX63" i="1"/>
  <c r="ET63" i="1"/>
  <c r="DV63" i="1"/>
  <c r="FL59" i="1"/>
  <c r="DD66" i="1"/>
  <c r="FL13" i="1"/>
  <c r="EK42" i="1"/>
  <c r="DP86" i="1"/>
  <c r="DV34" i="1"/>
  <c r="GJ25" i="1"/>
  <c r="DD32" i="1"/>
  <c r="GG34" i="1"/>
  <c r="DJ25" i="1"/>
  <c r="ET86" i="1"/>
  <c r="FI42" i="1"/>
  <c r="DY59" i="1"/>
  <c r="GV59" i="1"/>
  <c r="DS32" i="1"/>
  <c r="EK66" i="1"/>
  <c r="HT66" i="1"/>
  <c r="EN13" i="1"/>
  <c r="EZ34" i="1"/>
  <c r="FU25" i="1"/>
  <c r="EN86" i="1"/>
  <c r="DG42" i="1"/>
  <c r="GG59" i="1"/>
  <c r="FC32" i="1"/>
  <c r="DY66" i="1"/>
  <c r="GV13" i="1"/>
  <c r="HE13" i="1"/>
  <c r="HQ34" i="1"/>
  <c r="HN25" i="1"/>
  <c r="GJ86" i="1"/>
  <c r="GP86" i="1"/>
  <c r="EZ42" i="1"/>
  <c r="DD59" i="1"/>
  <c r="FX32" i="1"/>
  <c r="HZ66" i="1"/>
  <c r="FI13" i="1"/>
  <c r="HE34" i="1"/>
  <c r="GD34" i="1"/>
  <c r="HT34" i="1"/>
  <c r="HQ25" i="1"/>
  <c r="HZ25" i="1"/>
  <c r="GM86" i="1"/>
  <c r="DM42" i="1"/>
  <c r="HE42" i="1"/>
  <c r="DJ59" i="1"/>
  <c r="FR32" i="1"/>
  <c r="FF66" i="1"/>
  <c r="DM13" i="1"/>
  <c r="GM34" i="1"/>
  <c r="EE25" i="1"/>
  <c r="HW25" i="1"/>
  <c r="FR86" i="1"/>
  <c r="GM42" i="1"/>
  <c r="EK59" i="1"/>
  <c r="HQ32" i="1"/>
  <c r="HE32" i="1"/>
  <c r="FR66" i="1"/>
  <c r="DG13" i="1"/>
  <c r="DP34" i="1"/>
  <c r="EB34" i="1"/>
  <c r="EK34" i="1"/>
  <c r="FL34" i="1"/>
  <c r="FI34" i="1"/>
  <c r="DY34" i="1"/>
  <c r="HH34" i="1"/>
  <c r="EW25" i="1"/>
  <c r="EK25" i="1"/>
  <c r="FC25" i="1"/>
  <c r="FI25" i="1"/>
  <c r="GM25" i="1"/>
  <c r="GP25" i="1"/>
  <c r="HB25" i="1"/>
  <c r="GG86" i="1"/>
  <c r="DV86" i="1"/>
  <c r="FX86" i="1"/>
  <c r="FU86" i="1"/>
  <c r="DM86" i="1"/>
  <c r="FI86" i="1"/>
  <c r="EZ86" i="1"/>
  <c r="FU42" i="1"/>
  <c r="EE42" i="1"/>
  <c r="GD42" i="1"/>
  <c r="GG42" i="1"/>
  <c r="EW42" i="1"/>
  <c r="EB42" i="1"/>
  <c r="HT42" i="1"/>
  <c r="ET59" i="1"/>
  <c r="EW59" i="1"/>
  <c r="FC59" i="1"/>
  <c r="DV59" i="1"/>
  <c r="HT59" i="1"/>
  <c r="EB59" i="1"/>
  <c r="HH59" i="1"/>
  <c r="FU32" i="1"/>
  <c r="ET32" i="1"/>
  <c r="EB32" i="1"/>
  <c r="GG32" i="1"/>
  <c r="EE32" i="1"/>
  <c r="EH32" i="1"/>
  <c r="HN32" i="1"/>
  <c r="HQ66" i="1"/>
  <c r="GD66" i="1"/>
  <c r="GY66" i="1"/>
  <c r="FC66" i="1"/>
  <c r="EZ66" i="1"/>
  <c r="HH66" i="1"/>
  <c r="DV66" i="1"/>
  <c r="HW66" i="1"/>
  <c r="HB13" i="1"/>
  <c r="EE13" i="1"/>
  <c r="HZ13" i="1"/>
  <c r="DV13" i="1"/>
  <c r="FF13" i="1"/>
  <c r="GD13" i="1"/>
  <c r="HN13" i="1"/>
  <c r="DD34" i="1"/>
  <c r="FC34" i="1"/>
  <c r="EQ34" i="1"/>
  <c r="EW34" i="1"/>
  <c r="EN34" i="1"/>
  <c r="DG34" i="1"/>
  <c r="HZ34" i="1"/>
  <c r="GG25" i="1"/>
  <c r="EQ25" i="1"/>
  <c r="ET25" i="1"/>
  <c r="FR25" i="1"/>
  <c r="EH25" i="1"/>
  <c r="DV25" i="1"/>
  <c r="HH25" i="1"/>
  <c r="HK86" i="1"/>
  <c r="DS86" i="1"/>
  <c r="DD86" i="1"/>
  <c r="DG86" i="1"/>
  <c r="DY86" i="1"/>
  <c r="EB86" i="1"/>
  <c r="HT86" i="1"/>
  <c r="FF42" i="1"/>
  <c r="DY42" i="1"/>
  <c r="GP42" i="1"/>
  <c r="FX42" i="1"/>
  <c r="FL42" i="1"/>
  <c r="GA42" i="1"/>
  <c r="HH42" i="1"/>
  <c r="HQ59" i="1"/>
  <c r="GD59" i="1"/>
  <c r="DG59" i="1"/>
  <c r="FR59" i="1"/>
  <c r="FO59" i="1"/>
  <c r="GY59" i="1"/>
  <c r="GM59" i="1"/>
  <c r="HE59" i="1"/>
  <c r="EK32" i="1"/>
  <c r="DJ32" i="1"/>
  <c r="EW32" i="1"/>
  <c r="FL32" i="1"/>
  <c r="DP32" i="1"/>
  <c r="FO32" i="1"/>
  <c r="HZ32" i="1"/>
  <c r="HK66" i="1"/>
  <c r="DS66" i="1"/>
  <c r="FO66" i="1"/>
  <c r="DP66" i="1"/>
  <c r="FU66" i="1"/>
  <c r="GG66" i="1"/>
  <c r="FX66" i="1"/>
  <c r="EQ13" i="1"/>
  <c r="DS13" i="1"/>
  <c r="DP13" i="1"/>
  <c r="GA13" i="1"/>
  <c r="FR13" i="1"/>
  <c r="HQ13" i="1"/>
  <c r="GP13" i="1"/>
  <c r="HW13" i="1"/>
  <c r="EH34" i="1"/>
  <c r="FO34" i="1"/>
  <c r="GP34" i="1"/>
  <c r="DM25" i="1"/>
  <c r="DS25" i="1"/>
  <c r="DD25" i="1"/>
  <c r="DP25" i="1"/>
  <c r="GD25" i="1"/>
  <c r="FX25" i="1"/>
  <c r="HK25" i="1"/>
  <c r="EQ86" i="1"/>
  <c r="EK86" i="1"/>
  <c r="HZ86" i="1"/>
  <c r="FO86" i="1"/>
  <c r="HQ86" i="1"/>
  <c r="HN86" i="1"/>
  <c r="DJ86" i="1"/>
  <c r="FO42" i="1"/>
  <c r="DV42" i="1"/>
  <c r="DD42" i="1"/>
  <c r="FR42" i="1"/>
  <c r="DP42" i="1"/>
  <c r="GS42" i="1"/>
  <c r="HN42" i="1"/>
  <c r="DP59" i="1"/>
  <c r="EQ59" i="1"/>
  <c r="HZ59" i="1"/>
  <c r="FF59" i="1"/>
  <c r="FI59" i="1"/>
  <c r="EE59" i="1"/>
  <c r="DM59" i="1"/>
  <c r="GJ32" i="1"/>
  <c r="GY32" i="1"/>
  <c r="DG32" i="1"/>
  <c r="EZ32" i="1"/>
  <c r="GD32" i="1"/>
  <c r="EN32" i="1"/>
  <c r="HK32" i="1"/>
  <c r="GV66" i="1"/>
  <c r="HN66" i="1"/>
  <c r="EQ66" i="1"/>
  <c r="GJ66" i="1"/>
  <c r="GP66" i="1"/>
  <c r="EB66" i="1"/>
  <c r="GA66" i="1"/>
  <c r="GS13" i="1"/>
  <c r="DD13" i="1"/>
  <c r="EZ13" i="1"/>
  <c r="EH13" i="1"/>
  <c r="GY13" i="1"/>
  <c r="GM13" i="1"/>
  <c r="HH13" i="1"/>
  <c r="FF34" i="1"/>
  <c r="GS34" i="1"/>
  <c r="DM34" i="1"/>
  <c r="HN34" i="1"/>
  <c r="GY34" i="1"/>
  <c r="GV34" i="1"/>
  <c r="DJ34" i="1"/>
  <c r="DS34" i="1"/>
  <c r="HB34" i="1"/>
  <c r="ET34" i="1"/>
  <c r="HW34" i="1"/>
  <c r="EN25" i="1"/>
  <c r="DG25" i="1"/>
  <c r="DY25" i="1"/>
  <c r="EB25" i="1"/>
  <c r="FL25" i="1"/>
  <c r="GV25" i="1"/>
  <c r="HT25" i="1"/>
  <c r="HB86" i="1"/>
  <c r="EH86" i="1"/>
  <c r="GV86" i="1"/>
  <c r="FC86" i="1"/>
  <c r="GD86" i="1"/>
  <c r="FF86" i="1"/>
  <c r="EW86" i="1"/>
  <c r="HW86" i="1"/>
  <c r="HZ42" i="1"/>
  <c r="GJ42" i="1"/>
  <c r="ET42" i="1"/>
  <c r="EN42" i="1"/>
  <c r="EQ42" i="1"/>
  <c r="GV42" i="1"/>
  <c r="HK42" i="1"/>
  <c r="EZ59" i="1"/>
  <c r="EH59" i="1"/>
  <c r="GP59" i="1"/>
  <c r="FU59" i="1"/>
  <c r="GJ59" i="1"/>
  <c r="HK59" i="1"/>
  <c r="GS59" i="1"/>
  <c r="DV32" i="1"/>
  <c r="GM32" i="1"/>
  <c r="EQ32" i="1"/>
  <c r="GA32" i="1"/>
  <c r="DM32" i="1"/>
  <c r="FI32" i="1"/>
  <c r="HW32" i="1"/>
  <c r="DG66" i="1"/>
  <c r="EW66" i="1"/>
  <c r="HB66" i="1"/>
  <c r="DJ66" i="1"/>
  <c r="DM66" i="1"/>
  <c r="FI66" i="1"/>
  <c r="GM66" i="1"/>
  <c r="GJ13" i="1"/>
  <c r="EW13" i="1"/>
  <c r="GG13" i="1"/>
  <c r="FX13" i="1"/>
  <c r="FU13" i="1"/>
  <c r="ET13" i="1"/>
  <c r="HK13" i="1"/>
  <c r="FX34" i="1"/>
  <c r="EE34" i="1"/>
  <c r="FU34" i="1"/>
  <c r="GA34" i="1"/>
  <c r="GJ34" i="1"/>
  <c r="FR34" i="1"/>
  <c r="FO25" i="1"/>
  <c r="GS25" i="1"/>
  <c r="GA25" i="1"/>
  <c r="EZ25" i="1"/>
  <c r="FF25" i="1"/>
  <c r="GY25" i="1"/>
  <c r="GY86" i="1"/>
  <c r="EE86" i="1"/>
  <c r="GS86" i="1"/>
  <c r="HE86" i="1"/>
  <c r="HH86" i="1"/>
  <c r="FL86" i="1"/>
  <c r="HQ42" i="1"/>
  <c r="DJ42" i="1"/>
  <c r="GY42" i="1"/>
  <c r="HB42" i="1"/>
  <c r="EH42" i="1"/>
  <c r="DS42" i="1"/>
  <c r="FC42" i="1"/>
  <c r="HB59" i="1"/>
  <c r="GA59" i="1"/>
  <c r="DS59" i="1"/>
  <c r="HW59" i="1"/>
  <c r="FX59" i="1"/>
  <c r="HN59" i="1"/>
  <c r="GV32" i="1"/>
  <c r="GS32" i="1"/>
  <c r="FF32" i="1"/>
  <c r="DY32" i="1"/>
  <c r="GP32" i="1"/>
  <c r="HH32" i="1"/>
  <c r="GS66" i="1"/>
  <c r="EN66" i="1"/>
  <c r="HE66" i="1"/>
  <c r="EE66" i="1"/>
  <c r="ET66" i="1"/>
  <c r="EH66" i="1"/>
  <c r="EB13" i="1"/>
  <c r="FC13" i="1"/>
  <c r="DJ13" i="1"/>
  <c r="EK13" i="1"/>
  <c r="FO13" i="1"/>
  <c r="DY13" i="1"/>
  <c r="HB53" i="1"/>
  <c r="ET43" i="1"/>
  <c r="EW88" i="1"/>
  <c r="FF88" i="1"/>
  <c r="HK43" i="1"/>
  <c r="FR53" i="1"/>
  <c r="DY16" i="1"/>
  <c r="GG17" i="1"/>
  <c r="HN88" i="1"/>
  <c r="HQ43" i="1"/>
  <c r="HH43" i="1"/>
  <c r="HQ53" i="1"/>
  <c r="EH53" i="1"/>
  <c r="DJ16" i="1"/>
  <c r="FI17" i="1"/>
  <c r="EK88" i="1"/>
  <c r="HT88" i="1"/>
  <c r="EB43" i="1"/>
  <c r="FI43" i="1"/>
  <c r="GG53" i="1"/>
  <c r="FR16" i="1"/>
  <c r="HB16" i="1"/>
  <c r="EK17" i="1"/>
  <c r="EB88" i="1"/>
  <c r="HE43" i="1"/>
  <c r="EW53" i="1"/>
  <c r="FI16" i="1"/>
  <c r="EE17" i="1"/>
  <c r="GM17" i="1"/>
  <c r="GD88" i="1"/>
  <c r="FC43" i="1"/>
  <c r="DM53" i="1"/>
  <c r="FX76" i="1"/>
  <c r="HW76" i="1"/>
  <c r="EK16" i="1"/>
  <c r="GP16" i="1"/>
  <c r="HH16" i="1"/>
  <c r="FX16" i="1"/>
  <c r="EH16" i="1"/>
  <c r="HQ16" i="1"/>
  <c r="HK16" i="1"/>
  <c r="FR17" i="1"/>
  <c r="DJ17" i="1"/>
  <c r="HQ17" i="1"/>
  <c r="HK17" i="1"/>
  <c r="HB17" i="1"/>
  <c r="HZ17" i="1"/>
  <c r="FC17" i="1"/>
  <c r="EZ88" i="1"/>
  <c r="FX88" i="1"/>
  <c r="GY88" i="1"/>
  <c r="EN88" i="1"/>
  <c r="FC88" i="1"/>
  <c r="DJ88" i="1"/>
  <c r="HW88" i="1"/>
  <c r="HB88" i="1"/>
  <c r="DG43" i="1"/>
  <c r="DV43" i="1"/>
  <c r="DP43" i="1"/>
  <c r="EK43" i="1"/>
  <c r="FF43" i="1"/>
  <c r="GG43" i="1"/>
  <c r="GY43" i="1"/>
  <c r="HK53" i="1"/>
  <c r="GA53" i="1"/>
  <c r="EQ53" i="1"/>
  <c r="DG53" i="1"/>
  <c r="GV53" i="1"/>
  <c r="FL53" i="1"/>
  <c r="EB53" i="1"/>
  <c r="FR76" i="1"/>
  <c r="GA76" i="1"/>
  <c r="FI76" i="1"/>
  <c r="FL76" i="1"/>
  <c r="DG76" i="1"/>
  <c r="DM16" i="1"/>
  <c r="FF16" i="1"/>
  <c r="DP16" i="1"/>
  <c r="DG16" i="1"/>
  <c r="EQ16" i="1"/>
  <c r="GV16" i="1"/>
  <c r="HZ16" i="1"/>
  <c r="HW16" i="1"/>
  <c r="GS17" i="1"/>
  <c r="GY17" i="1"/>
  <c r="HN17" i="1"/>
  <c r="EW17" i="1"/>
  <c r="EN17" i="1"/>
  <c r="DY17" i="1"/>
  <c r="GA17" i="1"/>
  <c r="DV88" i="1"/>
  <c r="GS88" i="1"/>
  <c r="DS88" i="1"/>
  <c r="EH88" i="1"/>
  <c r="FR88" i="1"/>
  <c r="DM88" i="1"/>
  <c r="HQ88" i="1"/>
  <c r="DJ43" i="1"/>
  <c r="FR43" i="1"/>
  <c r="FU43" i="1"/>
  <c r="EZ43" i="1"/>
  <c r="HT43" i="1"/>
  <c r="GM43" i="1"/>
  <c r="GD43" i="1"/>
  <c r="HE53" i="1"/>
  <c r="FU53" i="1"/>
  <c r="EK53" i="1"/>
  <c r="HZ53" i="1"/>
  <c r="GP53" i="1"/>
  <c r="FF53" i="1"/>
  <c r="DV53" i="1"/>
  <c r="GJ76" i="1"/>
  <c r="EZ76" i="1"/>
  <c r="GS76" i="1"/>
  <c r="DP76" i="1"/>
  <c r="GG76" i="1"/>
  <c r="FC16" i="1"/>
  <c r="DV17" i="1"/>
  <c r="GJ17" i="1"/>
  <c r="HE17" i="1"/>
  <c r="FL17" i="1"/>
  <c r="GP17" i="1"/>
  <c r="DS17" i="1"/>
  <c r="FO17" i="1"/>
  <c r="HW17" i="1"/>
  <c r="GG88" i="1"/>
  <c r="FO88" i="1"/>
  <c r="DG88" i="1"/>
  <c r="GV88" i="1"/>
  <c r="EQ88" i="1"/>
  <c r="FU88" i="1"/>
  <c r="HZ88" i="1"/>
  <c r="DM43" i="1"/>
  <c r="FO43" i="1"/>
  <c r="GA43" i="1"/>
  <c r="EQ43" i="1"/>
  <c r="HZ43" i="1"/>
  <c r="GJ43" i="1"/>
  <c r="HB43" i="1"/>
  <c r="GY53" i="1"/>
  <c r="FO53" i="1"/>
  <c r="EE53" i="1"/>
  <c r="HT53" i="1"/>
  <c r="GJ53" i="1"/>
  <c r="EZ53" i="1"/>
  <c r="DP53" i="1"/>
  <c r="FO76" i="1"/>
  <c r="EQ76" i="1"/>
  <c r="HN76" i="1"/>
  <c r="DY76" i="1"/>
  <c r="EE76" i="1"/>
  <c r="DJ76" i="1"/>
  <c r="FC76" i="1"/>
  <c r="GA16" i="1"/>
  <c r="DS16" i="1"/>
  <c r="EB16" i="1"/>
  <c r="EZ16" i="1"/>
  <c r="ET16" i="1"/>
  <c r="FL16" i="1"/>
  <c r="FO16" i="1"/>
  <c r="FU16" i="1"/>
  <c r="DV16" i="1"/>
  <c r="HN16" i="1"/>
  <c r="EB17" i="1"/>
  <c r="DM17" i="1"/>
  <c r="ET17" i="1"/>
  <c r="GD17" i="1"/>
  <c r="EH17" i="1"/>
  <c r="FU17" i="1"/>
  <c r="DG17" i="1"/>
  <c r="GM88" i="1"/>
  <c r="GP88" i="1"/>
  <c r="GJ88" i="1"/>
  <c r="DY88" i="1"/>
  <c r="EE88" i="1"/>
  <c r="DD88" i="1"/>
  <c r="HE88" i="1"/>
  <c r="GS43" i="1"/>
  <c r="GP43" i="1"/>
  <c r="FX43" i="1"/>
  <c r="EE43" i="1"/>
  <c r="EW43" i="1"/>
  <c r="HN43" i="1"/>
  <c r="DY43" i="1"/>
  <c r="GS53" i="1"/>
  <c r="FI53" i="1"/>
  <c r="DY53" i="1"/>
  <c r="HN53" i="1"/>
  <c r="GD53" i="1"/>
  <c r="ET53" i="1"/>
  <c r="DJ53" i="1"/>
  <c r="EW76" i="1"/>
  <c r="GM76" i="1"/>
  <c r="FF76" i="1"/>
  <c r="HQ76" i="1"/>
  <c r="GY76" i="1"/>
  <c r="HB76" i="1"/>
  <c r="DD76" i="1"/>
  <c r="EB76" i="1"/>
  <c r="EW16" i="1"/>
  <c r="GM16" i="1"/>
  <c r="HE16" i="1"/>
  <c r="GJ16" i="1"/>
  <c r="GG16" i="1"/>
  <c r="GY16" i="1"/>
  <c r="DD16" i="1"/>
  <c r="GD16" i="1"/>
  <c r="GS16" i="1"/>
  <c r="EZ17" i="1"/>
  <c r="HT17" i="1"/>
  <c r="GV17" i="1"/>
  <c r="FX17" i="1"/>
  <c r="EQ17" i="1"/>
  <c r="FF17" i="1"/>
  <c r="GA88" i="1"/>
  <c r="FI88" i="1"/>
  <c r="ET88" i="1"/>
  <c r="FL88" i="1"/>
  <c r="DP88" i="1"/>
  <c r="HH88" i="1"/>
  <c r="DD43" i="1"/>
  <c r="EH43" i="1"/>
  <c r="DS43" i="1"/>
  <c r="EN43" i="1"/>
  <c r="FL43" i="1"/>
  <c r="HW43" i="1"/>
  <c r="HW53" i="1"/>
  <c r="GM53" i="1"/>
  <c r="FC53" i="1"/>
  <c r="DS53" i="1"/>
  <c r="HH53" i="1"/>
  <c r="FX53" i="1"/>
  <c r="EN53" i="1"/>
  <c r="HT76" i="1"/>
  <c r="HK76" i="1"/>
  <c r="GV76" i="1"/>
  <c r="ET76" i="1"/>
  <c r="EH76" i="1"/>
  <c r="DV76" i="1"/>
  <c r="DM93" i="1"/>
  <c r="HE39" i="1"/>
  <c r="HT14" i="1"/>
  <c r="ET38" i="1"/>
  <c r="EE37" i="1"/>
  <c r="GM93" i="1"/>
  <c r="EQ14" i="1"/>
  <c r="GG38" i="1"/>
  <c r="DY93" i="1"/>
  <c r="HW93" i="1"/>
  <c r="HW14" i="1"/>
  <c r="HW38" i="1"/>
  <c r="GG37" i="1"/>
  <c r="DG93" i="1"/>
  <c r="FX39" i="1"/>
  <c r="DP81" i="1"/>
  <c r="HW37" i="1"/>
  <c r="EE93" i="1"/>
  <c r="DY39" i="1"/>
  <c r="DJ81" i="1"/>
  <c r="EK76" i="1"/>
  <c r="HZ76" i="1"/>
  <c r="GP76" i="1"/>
  <c r="FU76" i="1"/>
  <c r="FU37" i="1"/>
  <c r="FC93" i="1"/>
  <c r="EN93" i="1"/>
  <c r="EW39" i="1"/>
  <c r="GP14" i="1"/>
  <c r="HB38" i="1"/>
  <c r="EQ37" i="1"/>
  <c r="GY37" i="1"/>
  <c r="DD37" i="1"/>
  <c r="HT37" i="1"/>
  <c r="GP54" i="1"/>
  <c r="DD54" i="1"/>
  <c r="HN54" i="1"/>
  <c r="GD93" i="1"/>
  <c r="GV93" i="1"/>
  <c r="DJ93" i="1"/>
  <c r="EZ93" i="1"/>
  <c r="GS93" i="1"/>
  <c r="GP93" i="1"/>
  <c r="HN93" i="1"/>
  <c r="EE39" i="1"/>
  <c r="DD39" i="1"/>
  <c r="EH39" i="1"/>
  <c r="HK39" i="1"/>
  <c r="ET14" i="1"/>
  <c r="FR14" i="1"/>
  <c r="FC14" i="1"/>
  <c r="DY14" i="1"/>
  <c r="GV29" i="1"/>
  <c r="GM29" i="1"/>
  <c r="DM29" i="1"/>
  <c r="DP38" i="1"/>
  <c r="GM38" i="1"/>
  <c r="HH38" i="1"/>
  <c r="EH12" i="1"/>
  <c r="GJ12" i="1"/>
  <c r="EN12" i="1"/>
  <c r="HZ12" i="1"/>
  <c r="EN81" i="1"/>
  <c r="EZ81" i="1"/>
  <c r="HH81" i="1"/>
  <c r="FX56" i="1"/>
  <c r="DJ56" i="1"/>
  <c r="GY56" i="1"/>
  <c r="FL56" i="1"/>
  <c r="HB73" i="1"/>
  <c r="HW73" i="1"/>
  <c r="GP73" i="1"/>
  <c r="FC73" i="1"/>
  <c r="EN76" i="1"/>
  <c r="DM76" i="1"/>
  <c r="HH76" i="1"/>
  <c r="GD76" i="1"/>
  <c r="HE76" i="1"/>
  <c r="EN37" i="1"/>
  <c r="GG93" i="1"/>
  <c r="EN39" i="1"/>
  <c r="FU14" i="1"/>
  <c r="EW38" i="1"/>
  <c r="GM81" i="1"/>
  <c r="EB37" i="1"/>
  <c r="EH37" i="1"/>
  <c r="GD37" i="1"/>
  <c r="GD54" i="1"/>
  <c r="EB54" i="1"/>
  <c r="EW54" i="1"/>
  <c r="HT54" i="1"/>
  <c r="FL93" i="1"/>
  <c r="DD93" i="1"/>
  <c r="GJ93" i="1"/>
  <c r="DS93" i="1"/>
  <c r="FO93" i="1"/>
  <c r="DP93" i="1"/>
  <c r="HT93" i="1"/>
  <c r="FF39" i="1"/>
  <c r="EZ39" i="1"/>
  <c r="HH39" i="1"/>
  <c r="GM14" i="1"/>
  <c r="EB14" i="1"/>
  <c r="DP14" i="1"/>
  <c r="FO14" i="1"/>
  <c r="FU29" i="1"/>
  <c r="GG29" i="1"/>
  <c r="GY29" i="1"/>
  <c r="DG38" i="1"/>
  <c r="GA38" i="1"/>
  <c r="DD38" i="1"/>
  <c r="HZ38" i="1"/>
  <c r="FL12" i="1"/>
  <c r="EE12" i="1"/>
  <c r="EZ12" i="1"/>
  <c r="HT12" i="1"/>
  <c r="DM81" i="1"/>
  <c r="GA81" i="1"/>
  <c r="EK81" i="1"/>
  <c r="HK81" i="1"/>
  <c r="DG56" i="1"/>
  <c r="GA56" i="1"/>
  <c r="DP56" i="1"/>
  <c r="FR73" i="1"/>
  <c r="HN73" i="1"/>
  <c r="FF73" i="1"/>
  <c r="EW37" i="1"/>
  <c r="DV93" i="1"/>
  <c r="HZ93" i="1"/>
  <c r="HN39" i="1"/>
  <c r="GA14" i="1"/>
  <c r="FL38" i="1"/>
  <c r="FR81" i="1"/>
  <c r="DM37" i="1"/>
  <c r="DM54" i="1"/>
  <c r="FO54" i="1"/>
  <c r="HB54" i="1"/>
  <c r="FU93" i="1"/>
  <c r="EQ93" i="1"/>
  <c r="FR93" i="1"/>
  <c r="FF93" i="1"/>
  <c r="EK93" i="1"/>
  <c r="HB93" i="1"/>
  <c r="HE93" i="1"/>
  <c r="FL39" i="1"/>
  <c r="GP39" i="1"/>
  <c r="GV39" i="1"/>
  <c r="FI14" i="1"/>
  <c r="HH14" i="1"/>
  <c r="EK14" i="1"/>
  <c r="GG14" i="1"/>
  <c r="FI29" i="1"/>
  <c r="FL29" i="1"/>
  <c r="HB29" i="1"/>
  <c r="HH29" i="1"/>
  <c r="EH38" i="1"/>
  <c r="GJ38" i="1"/>
  <c r="FR38" i="1"/>
  <c r="HE38" i="1"/>
  <c r="DJ12" i="1"/>
  <c r="EB12" i="1"/>
  <c r="GG12" i="1"/>
  <c r="GV81" i="1"/>
  <c r="GJ81" i="1"/>
  <c r="DV81" i="1"/>
  <c r="HW81" i="1"/>
  <c r="FI56" i="1"/>
  <c r="DS56" i="1"/>
  <c r="HT56" i="1"/>
  <c r="FI73" i="1"/>
  <c r="GD73" i="1"/>
  <c r="EW73" i="1"/>
  <c r="HK37" i="1"/>
  <c r="FX93" i="1"/>
  <c r="EB93" i="1"/>
  <c r="GS39" i="1"/>
  <c r="FC81" i="1"/>
  <c r="FL37" i="1"/>
  <c r="GJ37" i="1"/>
  <c r="FR54" i="1"/>
  <c r="HQ37" i="1"/>
  <c r="GS37" i="1"/>
  <c r="FO37" i="1"/>
  <c r="HH37" i="1"/>
  <c r="GG54" i="1"/>
  <c r="FI54" i="1"/>
  <c r="GM54" i="1"/>
  <c r="HK54" i="1"/>
  <c r="HQ93" i="1"/>
  <c r="EH93" i="1"/>
  <c r="ET93" i="1"/>
  <c r="GA93" i="1"/>
  <c r="GY93" i="1"/>
  <c r="FI93" i="1"/>
  <c r="HH93" i="1"/>
  <c r="ET39" i="1"/>
  <c r="EQ39" i="1"/>
  <c r="GY39" i="1"/>
  <c r="HQ14" i="1"/>
  <c r="GJ14" i="1"/>
  <c r="DD14" i="1"/>
  <c r="GS29" i="1"/>
  <c r="DP29" i="1"/>
  <c r="HW29" i="1"/>
  <c r="HT29" i="1"/>
  <c r="FX38" i="1"/>
  <c r="GP38" i="1"/>
  <c r="DY38" i="1"/>
  <c r="HQ38" i="1"/>
  <c r="GS12" i="1"/>
  <c r="DM12" i="1"/>
  <c r="DG12" i="1"/>
  <c r="EQ81" i="1"/>
  <c r="FO81" i="1"/>
  <c r="EW81" i="1"/>
  <c r="HZ81" i="1"/>
  <c r="FC56" i="1"/>
  <c r="DV56" i="1"/>
  <c r="HW56" i="1"/>
  <c r="EZ73" i="1"/>
  <c r="ET73" i="1"/>
  <c r="EN73" i="1"/>
  <c r="HN26" i="1"/>
  <c r="HB26" i="1"/>
  <c r="FO26" i="1"/>
  <c r="DG26" i="1"/>
  <c r="EZ26" i="1"/>
  <c r="GG26" i="1"/>
  <c r="HZ51" i="1"/>
  <c r="GV51" i="1"/>
  <c r="HT51" i="1"/>
  <c r="FF51" i="1"/>
  <c r="GA51" i="1"/>
  <c r="DY51" i="1"/>
  <c r="HW60" i="1"/>
  <c r="EB60" i="1"/>
  <c r="DJ60" i="1"/>
  <c r="EQ60" i="1"/>
  <c r="HN60" i="1"/>
  <c r="DG60" i="1"/>
  <c r="EZ60" i="1"/>
  <c r="GG8" i="1"/>
  <c r="GP8" i="1"/>
  <c r="EH8" i="1"/>
  <c r="EQ8" i="1"/>
  <c r="GM8" i="1"/>
  <c r="GS8" i="1"/>
  <c r="FR51" i="1"/>
  <c r="FO51" i="1"/>
  <c r="GG60" i="1"/>
  <c r="DY8" i="1"/>
  <c r="GS26" i="1"/>
  <c r="DG37" i="1"/>
  <c r="GA37" i="1"/>
  <c r="FC37" i="1"/>
  <c r="DP37" i="1"/>
  <c r="DV37" i="1"/>
  <c r="ET37" i="1"/>
  <c r="HE37" i="1"/>
  <c r="FL54" i="1"/>
  <c r="ET54" i="1"/>
  <c r="DJ54" i="1"/>
  <c r="GY54" i="1"/>
  <c r="EE54" i="1"/>
  <c r="DS54" i="1"/>
  <c r="HZ54" i="1"/>
  <c r="HW54" i="1"/>
  <c r="FI39" i="1"/>
  <c r="DP39" i="1"/>
  <c r="DJ39" i="1"/>
  <c r="DM39" i="1"/>
  <c r="FU39" i="1"/>
  <c r="DG39" i="1"/>
  <c r="HT39" i="1"/>
  <c r="EN14" i="1"/>
  <c r="DG14" i="1"/>
  <c r="GS14" i="1"/>
  <c r="GD14" i="1"/>
  <c r="HB14" i="1"/>
  <c r="DJ14" i="1"/>
  <c r="FX14" i="1"/>
  <c r="DS29" i="1"/>
  <c r="ET29" i="1"/>
  <c r="FF29" i="1"/>
  <c r="EH29" i="1"/>
  <c r="EQ29" i="1"/>
  <c r="DG29" i="1"/>
  <c r="HN29" i="1"/>
  <c r="FI38" i="1"/>
  <c r="FC38" i="1"/>
  <c r="GV38" i="1"/>
  <c r="GD38" i="1"/>
  <c r="FO38" i="1"/>
  <c r="GY38" i="1"/>
  <c r="HK38" i="1"/>
  <c r="HQ12" i="1"/>
  <c r="FX12" i="1"/>
  <c r="DY12" i="1"/>
  <c r="FU12" i="1"/>
  <c r="GM12" i="1"/>
  <c r="HH12" i="1"/>
  <c r="GD12" i="1"/>
  <c r="HB12" i="1"/>
  <c r="FF81" i="1"/>
  <c r="DY81" i="1"/>
  <c r="GG81" i="1"/>
  <c r="GD81" i="1"/>
  <c r="FI81" i="1"/>
  <c r="HE81" i="1"/>
  <c r="HT81" i="1"/>
  <c r="GP56" i="1"/>
  <c r="DY56" i="1"/>
  <c r="EH56" i="1"/>
  <c r="FU56" i="1"/>
  <c r="GS56" i="1"/>
  <c r="EB56" i="1"/>
  <c r="EQ56" i="1"/>
  <c r="HE73" i="1"/>
  <c r="GS73" i="1"/>
  <c r="EQ73" i="1"/>
  <c r="GV73" i="1"/>
  <c r="EB73" i="1"/>
  <c r="GG73" i="1"/>
  <c r="EE73" i="1"/>
  <c r="EK73" i="1"/>
  <c r="DJ37" i="1"/>
  <c r="FX37" i="1"/>
  <c r="GM37" i="1"/>
  <c r="HZ37" i="1"/>
  <c r="EQ54" i="1"/>
  <c r="FU54" i="1"/>
  <c r="GA54" i="1"/>
  <c r="GJ54" i="1"/>
  <c r="DG54" i="1"/>
  <c r="GS54" i="1"/>
  <c r="HE54" i="1"/>
  <c r="HZ39" i="1"/>
  <c r="GG39" i="1"/>
  <c r="GM39" i="1"/>
  <c r="EK39" i="1"/>
  <c r="GD39" i="1"/>
  <c r="FO39" i="1"/>
  <c r="HB39" i="1"/>
  <c r="HK14" i="1"/>
  <c r="HE14" i="1"/>
  <c r="EH14" i="1"/>
  <c r="EZ14" i="1"/>
  <c r="EW14" i="1"/>
  <c r="GY14" i="1"/>
  <c r="HN14" i="1"/>
  <c r="GD29" i="1"/>
  <c r="FC29" i="1"/>
  <c r="DY29" i="1"/>
  <c r="DV29" i="1"/>
  <c r="EB29" i="1"/>
  <c r="EK29" i="1"/>
  <c r="HK29" i="1"/>
  <c r="EZ38" i="1"/>
  <c r="EE38" i="1"/>
  <c r="EK38" i="1"/>
  <c r="EN38" i="1"/>
  <c r="DV38" i="1"/>
  <c r="DM38" i="1"/>
  <c r="HT38" i="1"/>
  <c r="DS12" i="1"/>
  <c r="GA12" i="1"/>
  <c r="HN12" i="1"/>
  <c r="EW12" i="1"/>
  <c r="EQ12" i="1"/>
  <c r="EK12" i="1"/>
  <c r="HE12" i="1"/>
  <c r="FX81" i="1"/>
  <c r="EE81" i="1"/>
  <c r="FU81" i="1"/>
  <c r="DG81" i="1"/>
  <c r="DS81" i="1"/>
  <c r="GS81" i="1"/>
  <c r="HN81" i="1"/>
  <c r="HB81" i="1"/>
  <c r="DM56" i="1"/>
  <c r="GJ56" i="1"/>
  <c r="FO56" i="1"/>
  <c r="GG56" i="1"/>
  <c r="EE56" i="1"/>
  <c r="HN56" i="1"/>
  <c r="FF56" i="1"/>
  <c r="FU73" i="1"/>
  <c r="GJ73" i="1"/>
  <c r="EH73" i="1"/>
  <c r="FL73" i="1"/>
  <c r="HZ73" i="1"/>
  <c r="FX73" i="1"/>
  <c r="DV73" i="1"/>
  <c r="GP37" i="1"/>
  <c r="DY37" i="1"/>
  <c r="EK37" i="1"/>
  <c r="HB37" i="1"/>
  <c r="GV37" i="1"/>
  <c r="FR37" i="1"/>
  <c r="FI37" i="1"/>
  <c r="EZ37" i="1"/>
  <c r="FF37" i="1"/>
  <c r="DV54" i="1"/>
  <c r="FX54" i="1"/>
  <c r="GV54" i="1"/>
  <c r="EN54" i="1"/>
  <c r="EH54" i="1"/>
  <c r="DY54" i="1"/>
  <c r="HQ39" i="1"/>
  <c r="GJ39" i="1"/>
  <c r="DS39" i="1"/>
  <c r="DV39" i="1"/>
  <c r="FR39" i="1"/>
  <c r="FC39" i="1"/>
  <c r="GA39" i="1"/>
  <c r="FF14" i="1"/>
  <c r="EE14" i="1"/>
  <c r="FL14" i="1"/>
  <c r="GV14" i="1"/>
  <c r="DS14" i="1"/>
  <c r="DM14" i="1"/>
  <c r="DV14" i="1"/>
  <c r="HQ29" i="1"/>
  <c r="FO29" i="1"/>
  <c r="EN29" i="1"/>
  <c r="EW29" i="1"/>
  <c r="GP29" i="1"/>
  <c r="DJ29" i="1"/>
  <c r="FX29" i="1"/>
  <c r="GS38" i="1"/>
  <c r="FF38" i="1"/>
  <c r="DS38" i="1"/>
  <c r="FU38" i="1"/>
  <c r="EB38" i="1"/>
  <c r="DJ38" i="1"/>
  <c r="GP12" i="1"/>
  <c r="GY12" i="1"/>
  <c r="FO12" i="1"/>
  <c r="FC12" i="1"/>
  <c r="GV12" i="1"/>
  <c r="FR12" i="1"/>
  <c r="FL81" i="1"/>
  <c r="EB81" i="1"/>
  <c r="EH81" i="1"/>
  <c r="DD81" i="1"/>
  <c r="GP81" i="1"/>
  <c r="ET81" i="1"/>
  <c r="HQ56" i="1"/>
  <c r="HK56" i="1"/>
  <c r="EK56" i="1"/>
  <c r="HB56" i="1"/>
  <c r="HH56" i="1"/>
  <c r="EW56" i="1"/>
  <c r="HZ56" i="1"/>
  <c r="DJ73" i="1"/>
  <c r="GA73" i="1"/>
  <c r="DY73" i="1"/>
  <c r="DS73" i="1"/>
  <c r="HQ73" i="1"/>
  <c r="FO73" i="1"/>
  <c r="FC51" i="1"/>
  <c r="FU51" i="1"/>
  <c r="EE51" i="1"/>
  <c r="DP51" i="1"/>
  <c r="ET51" i="1"/>
  <c r="DV51" i="1"/>
  <c r="HN51" i="1"/>
  <c r="HH8" i="1"/>
  <c r="DV8" i="1"/>
  <c r="GY8" i="1"/>
  <c r="GD8" i="1"/>
  <c r="FC8" i="1"/>
  <c r="GJ8" i="1"/>
  <c r="HB8" i="1"/>
  <c r="FR26" i="1"/>
  <c r="DM26" i="1"/>
  <c r="DY26" i="1"/>
  <c r="FI26" i="1"/>
  <c r="DD26" i="1"/>
  <c r="GP26" i="1"/>
  <c r="HW26" i="1"/>
  <c r="DM60" i="1"/>
  <c r="FR60" i="1"/>
  <c r="DD60" i="1"/>
  <c r="GP60" i="1"/>
  <c r="GY60" i="1"/>
  <c r="DY60" i="1"/>
  <c r="HT60" i="1"/>
  <c r="FX51" i="1"/>
  <c r="EQ51" i="1"/>
  <c r="GG51" i="1"/>
  <c r="EW51" i="1"/>
  <c r="GJ51" i="1"/>
  <c r="GM51" i="1"/>
  <c r="HK51" i="1"/>
  <c r="FX8" i="1"/>
  <c r="ET8" i="1"/>
  <c r="DS8" i="1"/>
  <c r="EW8" i="1"/>
  <c r="HN8" i="1"/>
  <c r="FU8" i="1"/>
  <c r="EK8" i="1"/>
  <c r="FX26" i="1"/>
  <c r="ET26" i="1"/>
  <c r="DS26" i="1"/>
  <c r="EW26" i="1"/>
  <c r="FC26" i="1"/>
  <c r="EN26" i="1"/>
  <c r="HZ26" i="1"/>
  <c r="EE60" i="1"/>
  <c r="GA60" i="1"/>
  <c r="FX60" i="1"/>
  <c r="ET60" i="1"/>
  <c r="FU60" i="1"/>
  <c r="GJ60" i="1"/>
  <c r="HK60" i="1"/>
  <c r="DG51" i="1"/>
  <c r="EK51" i="1"/>
  <c r="HB51" i="1"/>
  <c r="HQ8" i="1"/>
  <c r="EE8" i="1"/>
  <c r="HW8" i="1"/>
  <c r="FI8" i="1"/>
  <c r="DM8" i="1"/>
  <c r="HK8" i="1"/>
  <c r="DJ8" i="1"/>
  <c r="FF8" i="1"/>
  <c r="DV26" i="1"/>
  <c r="EE26" i="1"/>
  <c r="FL26" i="1"/>
  <c r="GA26" i="1"/>
  <c r="GD26" i="1"/>
  <c r="FF26" i="1"/>
  <c r="HT26" i="1"/>
  <c r="FC60" i="1"/>
  <c r="DS60" i="1"/>
  <c r="EW60" i="1"/>
  <c r="DP60" i="1"/>
  <c r="FL60" i="1"/>
  <c r="HH60" i="1"/>
  <c r="HB60" i="1"/>
  <c r="DJ51" i="1"/>
  <c r="FI51" i="1"/>
  <c r="EN51" i="1"/>
  <c r="HH51" i="1"/>
  <c r="HQ51" i="1"/>
  <c r="GP51" i="1"/>
  <c r="DM51" i="1"/>
  <c r="GD51" i="1"/>
  <c r="GS51" i="1"/>
  <c r="DD51" i="1"/>
  <c r="HE51" i="1"/>
  <c r="HW51" i="1"/>
  <c r="EB8" i="1"/>
  <c r="FL8" i="1"/>
  <c r="EZ8" i="1"/>
  <c r="DG8" i="1"/>
  <c r="DD8" i="1"/>
  <c r="GA8" i="1"/>
  <c r="GV26" i="1"/>
  <c r="GM26" i="1"/>
  <c r="EH26" i="1"/>
  <c r="DP26" i="1"/>
  <c r="EB26" i="1"/>
  <c r="HK26" i="1"/>
  <c r="HH26" i="1"/>
  <c r="HQ60" i="1"/>
  <c r="EH60" i="1"/>
  <c r="EK60" i="1"/>
  <c r="GM60" i="1"/>
  <c r="FO60" i="1"/>
  <c r="GV60" i="1"/>
  <c r="HE60" i="1"/>
  <c r="HZ60" i="1"/>
  <c r="EB51" i="1"/>
  <c r="EZ51" i="1"/>
  <c r="EH51" i="1"/>
  <c r="DS51" i="1"/>
  <c r="FL51" i="1"/>
  <c r="GY51" i="1"/>
  <c r="FR8" i="1"/>
  <c r="GV8" i="1"/>
  <c r="FO8" i="1"/>
  <c r="HT8" i="1"/>
  <c r="EN8" i="1"/>
  <c r="DP8" i="1"/>
  <c r="HQ26" i="1"/>
  <c r="GJ26" i="1"/>
  <c r="EQ26" i="1"/>
  <c r="FU26" i="1"/>
  <c r="DJ26" i="1"/>
  <c r="GY26" i="1"/>
  <c r="HE26" i="1"/>
  <c r="GD60" i="1"/>
  <c r="FI60" i="1"/>
  <c r="DV60" i="1"/>
  <c r="FF60" i="1"/>
  <c r="GS60" i="1"/>
  <c r="EN60" i="1"/>
  <c r="FU64" i="1"/>
  <c r="EQ64" i="1"/>
  <c r="DS64" i="1"/>
  <c r="FR64" i="1"/>
  <c r="HQ64" i="1"/>
  <c r="DD64" i="1"/>
  <c r="FI65" i="1"/>
  <c r="FI64" i="1"/>
  <c r="EZ64" i="1"/>
  <c r="GP64" i="1"/>
  <c r="HW64" i="1"/>
  <c r="ET64" i="1"/>
  <c r="HZ64" i="1"/>
  <c r="FL64" i="1"/>
  <c r="GY64" i="1"/>
  <c r="EH64" i="1"/>
  <c r="DP64" i="1"/>
  <c r="GM64" i="1"/>
  <c r="FF64" i="1"/>
  <c r="DM64" i="1"/>
  <c r="HT64" i="1"/>
  <c r="EB64" i="1"/>
  <c r="EK64" i="1"/>
  <c r="FF65" i="1"/>
  <c r="HW65" i="1"/>
  <c r="HE65" i="1"/>
  <c r="GY65" i="1"/>
  <c r="EW65" i="1"/>
  <c r="FR65" i="1"/>
  <c r="HN65" i="1"/>
  <c r="FX65" i="1"/>
  <c r="DJ65" i="1"/>
  <c r="GJ65" i="1"/>
  <c r="HQ65" i="1"/>
  <c r="HB65" i="1"/>
  <c r="EZ65" i="1"/>
  <c r="HT65" i="1"/>
  <c r="HZ65" i="1"/>
  <c r="GP65" i="1"/>
  <c r="FO64" i="1"/>
  <c r="DY64" i="1"/>
  <c r="GG64" i="1"/>
  <c r="GV64" i="1"/>
  <c r="HB64" i="1"/>
  <c r="DV64" i="1"/>
  <c r="DJ64" i="1"/>
  <c r="FX64" i="1"/>
  <c r="EN64" i="1"/>
  <c r="DG64" i="1"/>
  <c r="GJ64" i="1"/>
  <c r="HK64" i="1"/>
  <c r="HE64" i="1"/>
  <c r="GS64" i="1"/>
  <c r="EE64" i="1"/>
  <c r="GD64" i="1"/>
  <c r="HN64" i="1"/>
  <c r="FC64" i="1"/>
  <c r="EW64" i="1"/>
  <c r="HH64" i="1"/>
  <c r="DD65" i="1"/>
  <c r="HK65" i="1"/>
  <c r="EH65" i="1"/>
  <c r="FL65" i="1"/>
  <c r="FU65" i="1"/>
  <c r="GS65" i="1"/>
  <c r="DY65" i="1"/>
  <c r="GA65" i="1"/>
  <c r="DS65" i="1"/>
  <c r="DG65" i="1"/>
  <c r="GG65" i="1"/>
  <c r="GV65" i="1"/>
  <c r="DP65" i="1"/>
  <c r="GM65" i="1"/>
  <c r="ET65" i="1"/>
  <c r="EB65" i="1"/>
  <c r="DV65" i="1"/>
  <c r="DM65" i="1"/>
  <c r="FC65" i="1"/>
  <c r="EE65" i="1"/>
  <c r="FO65" i="1"/>
  <c r="HH65" i="1"/>
  <c r="GD65" i="1"/>
  <c r="EK65" i="1"/>
  <c r="U5" i="9"/>
  <c r="U51" i="9" s="1"/>
  <c r="T51" i="9"/>
  <c r="IO100" i="1" l="1"/>
  <c r="IL100" i="1"/>
  <c r="II100" i="1"/>
  <c r="IF100" i="1"/>
  <c r="IC100" i="1"/>
  <c r="C46" i="8"/>
  <c r="C47" i="8"/>
  <c r="C48" i="8"/>
  <c r="Z41" i="2" s="1"/>
  <c r="C50" i="8"/>
  <c r="Z43" i="2" s="1"/>
  <c r="AD43" i="2" s="1"/>
  <c r="P43" i="2" s="1"/>
  <c r="C52" i="8"/>
  <c r="C51" i="8"/>
  <c r="C49" i="8"/>
  <c r="D49" i="8"/>
  <c r="AA42" i="2" s="1"/>
  <c r="AE42" i="2" s="1"/>
  <c r="R42" i="2" s="1"/>
  <c r="D48" i="8"/>
  <c r="E50" i="8"/>
  <c r="AB43" i="2" s="1"/>
  <c r="AF43" i="2" s="1"/>
  <c r="T43" i="2" s="1"/>
  <c r="AI43" i="2" s="1"/>
  <c r="D50" i="8"/>
  <c r="AA43" i="2" s="1"/>
  <c r="AE43" i="2" s="1"/>
  <c r="R43" i="2" s="1"/>
  <c r="E48" i="8"/>
  <c r="E47" i="8"/>
  <c r="E52" i="8"/>
  <c r="E51" i="8"/>
  <c r="D52" i="8"/>
  <c r="D47" i="8"/>
  <c r="E49" i="8"/>
  <c r="AB42" i="2" s="1"/>
  <c r="AF42" i="2" s="1"/>
  <c r="T42" i="2" s="1"/>
  <c r="AI42" i="2" s="1"/>
  <c r="D51" i="8"/>
  <c r="D46" i="8"/>
  <c r="E46" i="8"/>
  <c r="GA100" i="1"/>
  <c r="EQ100" i="1"/>
  <c r="EN100" i="1"/>
  <c r="FU100" i="1"/>
  <c r="DS100" i="1"/>
  <c r="DD100" i="1"/>
  <c r="HQ100" i="1"/>
  <c r="FI100" i="1"/>
  <c r="FR100" i="1"/>
  <c r="DM100" i="1"/>
  <c r="ET100" i="1"/>
  <c r="GJ100" i="1"/>
  <c r="GP100" i="1"/>
  <c r="EB100" i="1"/>
  <c r="FL100" i="1"/>
  <c r="GY100" i="1"/>
  <c r="EK100" i="1"/>
  <c r="FF100" i="1"/>
  <c r="DP100" i="1"/>
  <c r="HT100" i="1"/>
  <c r="HW100" i="1"/>
  <c r="EZ100" i="1"/>
  <c r="GM100" i="1"/>
  <c r="HZ100" i="1"/>
  <c r="EW100" i="1"/>
  <c r="EH100" i="1"/>
  <c r="HN100" i="1"/>
  <c r="DJ100" i="1"/>
  <c r="HE100" i="1"/>
  <c r="FX100" i="1"/>
  <c r="HB100" i="1"/>
  <c r="FO100" i="1"/>
  <c r="FC100" i="1"/>
  <c r="DY100" i="1"/>
  <c r="EE100" i="1"/>
  <c r="GG100" i="1"/>
  <c r="HH100" i="1"/>
  <c r="GV100" i="1"/>
  <c r="GS100" i="1"/>
  <c r="DG100" i="1"/>
  <c r="HK100" i="1"/>
  <c r="GD100" i="1"/>
  <c r="DV100" i="1"/>
  <c r="V43" i="2" l="1"/>
  <c r="AH43" i="2"/>
  <c r="AG43" i="2"/>
  <c r="Q43" i="2"/>
  <c r="S43" i="2" s="1"/>
  <c r="U43" i="2" s="1"/>
  <c r="Z42" i="2"/>
  <c r="AD42" i="2" s="1"/>
  <c r="P42" i="2" s="1"/>
  <c r="AH42" i="2"/>
  <c r="V42" i="2"/>
  <c r="C53" i="8"/>
  <c r="E54" i="8"/>
  <c r="C54" i="8"/>
  <c r="E53" i="8"/>
  <c r="D53" i="8"/>
  <c r="D54" i="8"/>
  <c r="AD41" i="2"/>
  <c r="AA39" i="2"/>
  <c r="AE39" i="2" s="1"/>
  <c r="R39" i="2" s="1"/>
  <c r="AH39" i="2" s="1"/>
  <c r="Z40" i="2"/>
  <c r="AD40" i="2" s="1"/>
  <c r="P40" i="2" s="1"/>
  <c r="AB40" i="2"/>
  <c r="AF40" i="2" s="1"/>
  <c r="T40" i="2" s="1"/>
  <c r="Z39" i="2"/>
  <c r="AD39" i="2" s="1"/>
  <c r="P39" i="2" s="1"/>
  <c r="AA41" i="2"/>
  <c r="AE41" i="2" s="1"/>
  <c r="R41" i="2" s="1"/>
  <c r="AH41" i="2" s="1"/>
  <c r="AF20" i="2"/>
  <c r="T20" i="2" s="1"/>
  <c r="V20" i="2" s="1"/>
  <c r="AB41" i="2"/>
  <c r="AF41" i="2" s="1"/>
  <c r="T41" i="2" s="1"/>
  <c r="AA40" i="2"/>
  <c r="AE40" i="2" s="1"/>
  <c r="R40" i="2" s="1"/>
  <c r="AH40" i="2" s="1"/>
  <c r="AB39" i="2"/>
  <c r="AF39" i="2" s="1"/>
  <c r="T39" i="2" s="1"/>
  <c r="D45" i="8"/>
  <c r="E45" i="8"/>
  <c r="C45" i="8"/>
  <c r="AF38" i="2"/>
  <c r="AF22" i="2"/>
  <c r="T22" i="2" s="1"/>
  <c r="AI22" i="2" s="1"/>
  <c r="AF16" i="2"/>
  <c r="T16" i="2" s="1"/>
  <c r="AF6" i="2"/>
  <c r="T6" i="2" s="1"/>
  <c r="AI6" i="2" s="1"/>
  <c r="AF21" i="2"/>
  <c r="AF8" i="2"/>
  <c r="AF44" i="2"/>
  <c r="T44" i="2" s="1"/>
  <c r="AI44" i="2" s="1"/>
  <c r="AF52" i="2"/>
  <c r="T52" i="2" s="1"/>
  <c r="AI52" i="2" s="1"/>
  <c r="AF10" i="2"/>
  <c r="AF36" i="2"/>
  <c r="AF47" i="2"/>
  <c r="AF48" i="2"/>
  <c r="T48" i="2" s="1"/>
  <c r="AI48" i="2" s="1"/>
  <c r="AF15" i="2"/>
  <c r="AF13" i="2"/>
  <c r="AF32" i="2"/>
  <c r="AF31" i="2" s="1"/>
  <c r="AF23" i="2"/>
  <c r="AF7" i="2"/>
  <c r="AF49" i="2"/>
  <c r="T49" i="2" s="1"/>
  <c r="AI49" i="2" s="1"/>
  <c r="AF51" i="2"/>
  <c r="AF45" i="2"/>
  <c r="T45" i="2" s="1"/>
  <c r="AI45" i="2" s="1"/>
  <c r="AF19" i="2"/>
  <c r="T19" i="2" s="1"/>
  <c r="AI19" i="2" s="1"/>
  <c r="AF29" i="2"/>
  <c r="T29" i="2" s="1"/>
  <c r="AI29" i="2" s="1"/>
  <c r="AF37" i="2"/>
  <c r="AF18" i="2"/>
  <c r="AF27" i="2"/>
  <c r="T27" i="2" s="1"/>
  <c r="V27" i="2" s="1"/>
  <c r="AF53" i="2"/>
  <c r="AF33" i="2"/>
  <c r="T33" i="2" s="1"/>
  <c r="AI33" i="2" s="1"/>
  <c r="AF28" i="2"/>
  <c r="AF12" i="2"/>
  <c r="E4" i="8"/>
  <c r="D4" i="8"/>
  <c r="C4" i="8"/>
  <c r="AF14" i="2"/>
  <c r="AF30" i="2"/>
  <c r="T30" i="2" s="1"/>
  <c r="AF9" i="2"/>
  <c r="AF35" i="2"/>
  <c r="T35" i="2" s="1"/>
  <c r="AF50" i="2"/>
  <c r="AF25" i="2"/>
  <c r="T25" i="2" s="1"/>
  <c r="AI25" i="2" s="1"/>
  <c r="AF24" i="2"/>
  <c r="AF26" i="2"/>
  <c r="AF17" i="2"/>
  <c r="AF11" i="2"/>
  <c r="Q42" i="2" l="1"/>
  <c r="S42" i="2" s="1"/>
  <c r="U42" i="2" s="1"/>
  <c r="AG42" i="2"/>
  <c r="AB46" i="2"/>
  <c r="AF46" i="2" s="1"/>
  <c r="T46" i="2" s="1"/>
  <c r="AI46" i="2" s="1"/>
  <c r="AA46" i="2"/>
  <c r="AE46" i="2" s="1"/>
  <c r="R46" i="2" s="1"/>
  <c r="AH46" i="2" s="1"/>
  <c r="Z46" i="2"/>
  <c r="AI41" i="2"/>
  <c r="V41" i="2"/>
  <c r="AI40" i="2"/>
  <c r="V40" i="2"/>
  <c r="AI39" i="2"/>
  <c r="V39" i="2"/>
  <c r="V45" i="2"/>
  <c r="T38" i="2"/>
  <c r="AI38" i="2" s="1"/>
  <c r="T26" i="2"/>
  <c r="AI26" i="2" s="1"/>
  <c r="T37" i="2"/>
  <c r="AI37" i="2" s="1"/>
  <c r="T32" i="2"/>
  <c r="T24" i="2"/>
  <c r="AI24" i="2" s="1"/>
  <c r="T12" i="2"/>
  <c r="AI12" i="2" s="1"/>
  <c r="T11" i="2"/>
  <c r="T21" i="2"/>
  <c r="T18" i="2"/>
  <c r="AI18" i="2" s="1"/>
  <c r="T13" i="2"/>
  <c r="V52" i="2"/>
  <c r="V49" i="2"/>
  <c r="V44" i="2"/>
  <c r="AI27" i="2"/>
  <c r="V6" i="2"/>
  <c r="T10" i="2"/>
  <c r="AI10" i="2" s="1"/>
  <c r="T51" i="2"/>
  <c r="V51" i="2" s="1"/>
  <c r="V19" i="2"/>
  <c r="V33" i="2"/>
  <c r="T36" i="2"/>
  <c r="V36" i="2" s="1"/>
  <c r="V29" i="2"/>
  <c r="T23" i="2"/>
  <c r="AI23" i="2" s="1"/>
  <c r="T15" i="2"/>
  <c r="AI15" i="2" s="1"/>
  <c r="T8" i="2"/>
  <c r="V8" i="2" s="1"/>
  <c r="T7" i="2"/>
  <c r="AI7" i="2" s="1"/>
  <c r="T31" i="2"/>
  <c r="AI31" i="2" s="1"/>
  <c r="T53" i="2"/>
  <c r="V53" i="2" s="1"/>
  <c r="Z34" i="2"/>
  <c r="AA34" i="2"/>
  <c r="AE34" i="2" s="1"/>
  <c r="R34" i="2" s="1"/>
  <c r="AB34" i="2"/>
  <c r="AF34" i="2" s="1"/>
  <c r="T34" i="2" s="1"/>
  <c r="AI34" i="2" s="1"/>
  <c r="T17" i="2"/>
  <c r="V17" i="2" s="1"/>
  <c r="V22" i="2"/>
  <c r="AI35" i="2"/>
  <c r="T28" i="2"/>
  <c r="AI28" i="2" s="1"/>
  <c r="V48" i="2"/>
  <c r="T14" i="2"/>
  <c r="AI14" i="2" s="1"/>
  <c r="T50" i="2"/>
  <c r="AI50" i="2" s="1"/>
  <c r="T9" i="2"/>
  <c r="AI9" i="2" s="1"/>
  <c r="V35" i="2"/>
  <c r="V25" i="2"/>
  <c r="T47" i="2"/>
  <c r="AI47" i="2" s="1"/>
  <c r="V46" i="2" l="1"/>
  <c r="R54" i="2"/>
  <c r="V38" i="2"/>
  <c r="V26" i="2"/>
  <c r="T65" i="2"/>
  <c r="V11" i="2"/>
  <c r="V30" i="2"/>
  <c r="AI30" i="2"/>
  <c r="V21" i="2"/>
  <c r="AI21" i="2"/>
  <c r="AI11" i="2"/>
  <c r="V13" i="2"/>
  <c r="AI13" i="2"/>
  <c r="AI16" i="2"/>
  <c r="V16" i="2"/>
  <c r="V10" i="2"/>
  <c r="V31" i="2"/>
  <c r="AI51" i="2"/>
  <c r="V18" i="2"/>
  <c r="AI36" i="2"/>
  <c r="V37" i="2"/>
  <c r="V15" i="2"/>
  <c r="V23" i="2"/>
  <c r="V32" i="2"/>
  <c r="AI8" i="2"/>
  <c r="AI32" i="2"/>
  <c r="V7" i="2"/>
  <c r="AH34" i="2"/>
  <c r="AI17" i="2"/>
  <c r="V28" i="2"/>
  <c r="V12" i="2"/>
  <c r="V47" i="2"/>
  <c r="V14" i="2"/>
  <c r="V50" i="2"/>
  <c r="V9" i="2"/>
  <c r="V34" i="2"/>
  <c r="V24" i="2"/>
  <c r="T54" i="2"/>
  <c r="V54" i="2" l="1"/>
  <c r="DE94" i="1"/>
  <c r="DE100" i="1" s="1"/>
  <c r="HR94" i="1"/>
  <c r="HR100" i="1" s="1"/>
  <c r="HO94" i="1"/>
  <c r="HO100" i="1" s="1"/>
  <c r="AD53" i="2" s="1"/>
  <c r="HU94" i="1"/>
  <c r="HU100" i="1" s="1"/>
  <c r="HL94" i="1"/>
  <c r="HL100" i="1" s="1"/>
  <c r="HI94" i="1"/>
  <c r="HI100" i="1" s="1"/>
  <c r="GE94" i="1"/>
  <c r="GE100" i="1" s="1"/>
  <c r="GK94" i="1"/>
  <c r="GK100" i="1" s="1"/>
  <c r="FG94" i="1"/>
  <c r="FG100" i="1" s="1"/>
  <c r="EI94" i="1"/>
  <c r="EI100" i="1" s="1"/>
  <c r="DW94" i="1"/>
  <c r="DW100" i="1" s="1"/>
  <c r="EX94" i="1"/>
  <c r="EX100" i="1" s="1"/>
  <c r="GN94" i="1"/>
  <c r="GN100" i="1" s="1"/>
  <c r="GT94" i="1"/>
  <c r="GT100" i="1" s="1"/>
  <c r="FS94" i="1"/>
  <c r="FS100" i="1" s="1"/>
  <c r="FM94" i="1"/>
  <c r="FM100" i="1" s="1"/>
  <c r="FY94" i="1"/>
  <c r="FY100" i="1" s="1"/>
  <c r="GW94" i="1"/>
  <c r="GW100" i="1" s="1"/>
  <c r="DN94" i="1"/>
  <c r="DN100" i="1" s="1"/>
  <c r="DB94" i="1"/>
  <c r="DB100" i="1" s="1"/>
  <c r="FA94" i="1"/>
  <c r="FA100" i="1" s="1"/>
  <c r="HC94" i="1"/>
  <c r="HC100" i="1" s="1"/>
  <c r="ER94" i="1"/>
  <c r="ER100" i="1" s="1"/>
  <c r="DH94" i="1"/>
  <c r="DH100" i="1" s="1"/>
  <c r="DZ94" i="1"/>
  <c r="DZ100" i="1" s="1"/>
  <c r="GH94" i="1"/>
  <c r="GH100" i="1" s="1"/>
  <c r="EO94" i="1"/>
  <c r="EO100" i="1" s="1"/>
  <c r="FV94" i="1"/>
  <c r="FV100" i="1" s="1"/>
  <c r="GB94" i="1"/>
  <c r="GB100" i="1" s="1"/>
  <c r="FD94" i="1"/>
  <c r="FD100" i="1" s="1"/>
  <c r="EU94" i="1"/>
  <c r="EU100" i="1" s="1"/>
  <c r="EL94" i="1"/>
  <c r="EL100" i="1" s="1"/>
  <c r="EF94" i="1"/>
  <c r="EF100" i="1" s="1"/>
  <c r="DK94" i="1"/>
  <c r="DK100" i="1" s="1"/>
  <c r="GQ94" i="1"/>
  <c r="GQ100" i="1" s="1"/>
  <c r="DT94" i="1"/>
  <c r="DT100" i="1" s="1"/>
  <c r="DQ94" i="1"/>
  <c r="DQ100" i="1" s="1"/>
  <c r="HF94" i="1"/>
  <c r="HF100" i="1" s="1"/>
  <c r="EC94" i="1"/>
  <c r="EC100" i="1" s="1"/>
  <c r="GZ94" i="1"/>
  <c r="GZ100" i="1" s="1"/>
  <c r="FJ94" i="1"/>
  <c r="FJ100" i="1" s="1"/>
  <c r="HX94" i="1"/>
  <c r="HX100" i="1" s="1"/>
  <c r="FP94" i="1"/>
  <c r="FP100" i="1" s="1"/>
  <c r="AD34" i="2" l="1"/>
  <c r="P34" i="2" s="1"/>
  <c r="Q34" i="2" s="1"/>
  <c r="S34" i="2" s="1"/>
  <c r="U34" i="2" s="1"/>
  <c r="AD35" i="2"/>
  <c r="P35" i="2" s="1"/>
  <c r="Q35" i="2" s="1"/>
  <c r="AD33" i="2"/>
  <c r="P33" i="2" s="1"/>
  <c r="Q33" i="2" s="1"/>
  <c r="AD28" i="2"/>
  <c r="P28" i="2" s="1"/>
  <c r="Q28" i="2" s="1"/>
  <c r="AD30" i="2"/>
  <c r="P30" i="2" s="1"/>
  <c r="Q30" i="2" s="1"/>
  <c r="AD10" i="2"/>
  <c r="P10" i="2" s="1"/>
  <c r="AD37" i="2"/>
  <c r="P37" i="2" s="1"/>
  <c r="AD15" i="2"/>
  <c r="P15" i="2" s="1"/>
  <c r="AD24" i="2"/>
  <c r="P24" i="2" s="1"/>
  <c r="Q24" i="2" s="1"/>
  <c r="AD22" i="2"/>
  <c r="P22" i="2" s="1"/>
  <c r="AD20" i="2"/>
  <c r="P20" i="2" s="1"/>
  <c r="AD13" i="2"/>
  <c r="P13" i="2" s="1"/>
  <c r="Q13" i="2" s="1"/>
  <c r="AD51" i="2"/>
  <c r="P51" i="2" s="1"/>
  <c r="Q51" i="2" s="1"/>
  <c r="AD11" i="2"/>
  <c r="P11" i="2" s="1"/>
  <c r="Q11" i="2" s="1"/>
  <c r="AD36" i="2"/>
  <c r="P36" i="2" s="1"/>
  <c r="AD17" i="2"/>
  <c r="P17" i="2" s="1"/>
  <c r="AD23" i="2"/>
  <c r="P23" i="2" s="1"/>
  <c r="AD48" i="2"/>
  <c r="P48" i="2" s="1"/>
  <c r="Q48" i="2" s="1"/>
  <c r="AD7" i="2"/>
  <c r="P7" i="2" s="1"/>
  <c r="AD50" i="2"/>
  <c r="P50" i="2" s="1"/>
  <c r="Q50" i="2" s="1"/>
  <c r="AD49" i="2"/>
  <c r="P49" i="2" s="1"/>
  <c r="Q49" i="2" s="1"/>
  <c r="AD45" i="2"/>
  <c r="AD38" i="2"/>
  <c r="AD26" i="2"/>
  <c r="P26" i="2" s="1"/>
  <c r="AD32" i="2"/>
  <c r="AD31" i="2" s="1"/>
  <c r="P31" i="2" s="1"/>
  <c r="Q31" i="2" s="1"/>
  <c r="AD6" i="2"/>
  <c r="P6" i="2" s="1"/>
  <c r="AD18" i="2"/>
  <c r="P18" i="2" s="1"/>
  <c r="Q18" i="2" s="1"/>
  <c r="AD19" i="2"/>
  <c r="P19" i="2" s="1"/>
  <c r="AD27" i="2"/>
  <c r="P27" i="2" s="1"/>
  <c r="AD12" i="2"/>
  <c r="P12" i="2" s="1"/>
  <c r="Q12" i="2" s="1"/>
  <c r="AD47" i="2"/>
  <c r="AD16" i="2"/>
  <c r="P16" i="2" s="1"/>
  <c r="Q16" i="2" s="1"/>
  <c r="AD25" i="2"/>
  <c r="P25" i="2" s="1"/>
  <c r="Q25" i="2" s="1"/>
  <c r="AD46" i="2"/>
  <c r="AD14" i="2"/>
  <c r="P14" i="2" s="1"/>
  <c r="AD21" i="2"/>
  <c r="P21" i="2" s="1"/>
  <c r="Q21" i="2" s="1"/>
  <c r="AD8" i="2"/>
  <c r="P8" i="2" s="1"/>
  <c r="AD52" i="2"/>
  <c r="P52" i="2" s="1"/>
  <c r="Q52" i="2" s="1"/>
  <c r="AD44" i="2"/>
  <c r="P44" i="2" s="1"/>
  <c r="Q44" i="2" s="1"/>
  <c r="AD9" i="2"/>
  <c r="P9" i="2" s="1"/>
  <c r="AD29" i="2"/>
  <c r="P29" i="2" s="1"/>
  <c r="P41" i="2"/>
  <c r="Q41" i="2" s="1"/>
  <c r="Q39" i="2"/>
  <c r="Q40" i="2"/>
  <c r="P53" i="2"/>
  <c r="AG34" i="2" l="1"/>
  <c r="P47" i="2"/>
  <c r="Q47" i="2" s="1"/>
  <c r="S47" i="2" s="1"/>
  <c r="U47" i="2" s="1"/>
  <c r="P46" i="2"/>
  <c r="Q46" i="2" s="1"/>
  <c r="S46" i="2" s="1"/>
  <c r="U46" i="2" s="1"/>
  <c r="P45" i="2"/>
  <c r="Q45" i="2" s="1"/>
  <c r="S45" i="2" s="1"/>
  <c r="U45" i="2" s="1"/>
  <c r="P38" i="2"/>
  <c r="Q38" i="2" s="1"/>
  <c r="S38" i="2" s="1"/>
  <c r="U38" i="2" s="1"/>
  <c r="Q37" i="2"/>
  <c r="S37" i="2" s="1"/>
  <c r="U37" i="2" s="1"/>
  <c r="Q36" i="2"/>
  <c r="S36" i="2" s="1"/>
  <c r="U36" i="2" s="1"/>
  <c r="Q9" i="2"/>
  <c r="S9" i="2" s="1"/>
  <c r="U9" i="2" s="1"/>
  <c r="Q27" i="2"/>
  <c r="S27" i="2" s="1"/>
  <c r="U27" i="2" s="1"/>
  <c r="Q26" i="2"/>
  <c r="S26" i="2" s="1"/>
  <c r="U26" i="2" s="1"/>
  <c r="Q23" i="2"/>
  <c r="S23" i="2" s="1"/>
  <c r="U23" i="2" s="1"/>
  <c r="Q22" i="2"/>
  <c r="S22" i="2" s="1"/>
  <c r="U22" i="2" s="1"/>
  <c r="Q20" i="2"/>
  <c r="S20" i="2" s="1"/>
  <c r="U20" i="2" s="1"/>
  <c r="Q19" i="2"/>
  <c r="S19" i="2" s="1"/>
  <c r="U19" i="2" s="1"/>
  <c r="Q17" i="2"/>
  <c r="S17" i="2" s="1"/>
  <c r="U17" i="2" s="1"/>
  <c r="Q15" i="2"/>
  <c r="S15" i="2" s="1"/>
  <c r="U15" i="2" s="1"/>
  <c r="Q14" i="2"/>
  <c r="S14" i="2" s="1"/>
  <c r="U14" i="2" s="1"/>
  <c r="Q10" i="2"/>
  <c r="S10" i="2" s="1"/>
  <c r="U10" i="2" s="1"/>
  <c r="Q8" i="2"/>
  <c r="S8" i="2" s="1"/>
  <c r="U8" i="2" s="1"/>
  <c r="Q7" i="2"/>
  <c r="S7" i="2" s="1"/>
  <c r="U7" i="2" s="1"/>
  <c r="Q53" i="2"/>
  <c r="S53" i="2" s="1"/>
  <c r="U53" i="2" s="1"/>
  <c r="S21" i="2"/>
  <c r="U21" i="2" s="1"/>
  <c r="S12" i="2"/>
  <c r="U12" i="2" s="1"/>
  <c r="AG48" i="2"/>
  <c r="S13" i="2"/>
  <c r="U13" i="2" s="1"/>
  <c r="AG37" i="2"/>
  <c r="S30" i="2"/>
  <c r="U30" i="2" s="1"/>
  <c r="S51" i="2"/>
  <c r="U51" i="2" s="1"/>
  <c r="AG28" i="2"/>
  <c r="S28" i="2"/>
  <c r="U28" i="2" s="1"/>
  <c r="S44" i="2"/>
  <c r="U44" i="2" s="1"/>
  <c r="S25" i="2"/>
  <c r="U25" i="2" s="1"/>
  <c r="AG18" i="2"/>
  <c r="S49" i="2"/>
  <c r="U49" i="2" s="1"/>
  <c r="AG36" i="2"/>
  <c r="AG24" i="2"/>
  <c r="S33" i="2"/>
  <c r="U33" i="2" s="1"/>
  <c r="AG52" i="2"/>
  <c r="S16" i="2"/>
  <c r="U16" i="2" s="1"/>
  <c r="S50" i="2"/>
  <c r="U50" i="2" s="1"/>
  <c r="S11" i="2"/>
  <c r="U11" i="2" s="1"/>
  <c r="AG35" i="2"/>
  <c r="S35" i="2"/>
  <c r="U35" i="2" s="1"/>
  <c r="AG6" i="2"/>
  <c r="Q6" i="2"/>
  <c r="S6" i="2" s="1"/>
  <c r="AG30" i="2"/>
  <c r="S18" i="2"/>
  <c r="U18" i="2" s="1"/>
  <c r="AG33" i="2"/>
  <c r="S24" i="2"/>
  <c r="U24" i="2" s="1"/>
  <c r="AG49" i="2"/>
  <c r="AG44" i="2"/>
  <c r="AG25" i="2"/>
  <c r="AG13" i="2"/>
  <c r="S48" i="2"/>
  <c r="U48" i="2" s="1"/>
  <c r="AG50" i="2"/>
  <c r="AG16" i="2"/>
  <c r="AG21" i="2"/>
  <c r="AG11" i="2"/>
  <c r="AG12" i="2"/>
  <c r="P32" i="2"/>
  <c r="Q32" i="2" s="1"/>
  <c r="AG8" i="2"/>
  <c r="AG51" i="2"/>
  <c r="S52" i="2"/>
  <c r="U52" i="2" s="1"/>
  <c r="Q29" i="2"/>
  <c r="AG40" i="2"/>
  <c r="S40" i="2"/>
  <c r="U40" i="2" s="1"/>
  <c r="AG39" i="2"/>
  <c r="S39" i="2"/>
  <c r="U39" i="2" s="1"/>
  <c r="AG41" i="2"/>
  <c r="S41" i="2"/>
  <c r="U41" i="2" s="1"/>
  <c r="S31" i="2"/>
  <c r="U31" i="2" s="1"/>
  <c r="AG31" i="2"/>
  <c r="AG46" i="2" l="1"/>
  <c r="AG47" i="2"/>
  <c r="AG45" i="2"/>
  <c r="AG38" i="2"/>
  <c r="AG9" i="2"/>
  <c r="AG19" i="2"/>
  <c r="AG23" i="2"/>
  <c r="AG26" i="2"/>
  <c r="P65" i="2"/>
  <c r="AG10" i="2"/>
  <c r="AG27" i="2"/>
  <c r="AG17" i="2"/>
  <c r="AG14" i="2"/>
  <c r="AG15" i="2"/>
  <c r="AG22" i="2"/>
  <c r="AG7" i="2"/>
  <c r="S32" i="2"/>
  <c r="U32" i="2" s="1"/>
  <c r="AG29" i="2"/>
  <c r="S29" i="2"/>
  <c r="U29" i="2" s="1"/>
  <c r="AG32" i="2"/>
  <c r="P54" i="2"/>
  <c r="U6" i="2"/>
  <c r="S54" i="2" l="1"/>
  <c r="Q54" i="2"/>
  <c r="U5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<sst xmlns="http://schemas.openxmlformats.org/spreadsheetml/2006/main" count="88143" uniqueCount="18973">
  <si>
    <t xml:space="preserve">M-so kl. 2A </t>
  </si>
  <si>
    <t xml:space="preserve">M-so kl. 2B </t>
  </si>
  <si>
    <t xml:space="preserve">M-so kl. 3A </t>
  </si>
  <si>
    <t xml:space="preserve">I dr. Jasna </t>
  </si>
  <si>
    <t xml:space="preserve">Idr. Ciemna </t>
  </si>
  <si>
    <t>Mieso 60/40(5215)</t>
  </si>
  <si>
    <t>Mieso 80/20(5214)</t>
  </si>
  <si>
    <t>Brzuchaty</t>
  </si>
  <si>
    <t>Łop 4d</t>
  </si>
  <si>
    <t>Szynka 6d</t>
  </si>
  <si>
    <t xml:space="preserve">T. Drobny </t>
  </si>
  <si>
    <t xml:space="preserve">Podgardle </t>
  </si>
  <si>
    <t>Skóry</t>
  </si>
  <si>
    <t xml:space="preserve">Emulsja </t>
  </si>
  <si>
    <t xml:space="preserve">Mieszanka(5022) </t>
  </si>
  <si>
    <t>Mieso 90/10(5226)</t>
  </si>
  <si>
    <t>Mięso 90/10(5025)</t>
  </si>
  <si>
    <t>SZYNKA BIAŁA KRÓLEWSKA LUZ. MOR</t>
  </si>
  <si>
    <t>SZYNKOWA WP.MR VAC 0.5</t>
  </si>
  <si>
    <t>KRAKOWSKA DROBIOWA</t>
  </si>
  <si>
    <t>KIEŁB.KRAK.PARZ.AS MOR</t>
  </si>
  <si>
    <t>KIEŁBASA BIAŁA Z SZYNKI</t>
  </si>
  <si>
    <t xml:space="preserve">K.PODWAWELSKA </t>
  </si>
  <si>
    <t>KIEŁB.PODW FES AS</t>
  </si>
  <si>
    <t>K.PODWAWELSKA BARONI</t>
  </si>
  <si>
    <t>PP KIEŁB.PODWAW.AS KRA</t>
  </si>
  <si>
    <t>KIEŁB.PODWAWELSKA FES AS BAR</t>
  </si>
  <si>
    <t>KIEŁBASA GŁOGOWSKA</t>
  </si>
  <si>
    <t>KIELBASA ZWYCZAJNA</t>
  </si>
  <si>
    <t>KIEŁB.ŚLĄSKA FESSMAN AS MOR</t>
  </si>
  <si>
    <t>KIEŁB. MORLIŃSKA Z SZYNKI KRÓTKA</t>
  </si>
  <si>
    <t>KIEŁBASA BIWAKOWA/REGIONALNA</t>
  </si>
  <si>
    <t>KIEŁB.REGIONALNA FES AS</t>
  </si>
  <si>
    <t xml:space="preserve">KIEŁB.ŚLĄSKA 90% </t>
  </si>
  <si>
    <t>KIEŁB.ŚLĄSKA 90% FES AS</t>
  </si>
  <si>
    <t>KIEŁB.ŚLĄSKA GRILL.AS</t>
  </si>
  <si>
    <t>KIEŁB.ŚLĄSKA GRILL.FES AS</t>
  </si>
  <si>
    <t>KIEŁBASA CZOSNKOWA K 1SZT</t>
  </si>
  <si>
    <t>KIEŁB.SUMMER SALAMI AS</t>
  </si>
  <si>
    <t>FRANK. SER/POMID.AS</t>
  </si>
  <si>
    <t>KIEŁB.ŚLĄSKA AS LIDL EX</t>
  </si>
  <si>
    <t>KIEŁB.ŚLĄSKA AS LIDL EX FESS</t>
  </si>
  <si>
    <t xml:space="preserve">KIEŁBASKI MORLIŃSKIE 360G </t>
  </si>
  <si>
    <t>PODWAWELSKA OK.500G BIEDRONKA</t>
  </si>
  <si>
    <t>KIEŁB.PODWAWELSKA FES AS BIED</t>
  </si>
  <si>
    <t>KIEŁBASA ZWYCZAJNA/BIESIADNA</t>
  </si>
  <si>
    <t>FRANKFURTERKI</t>
  </si>
  <si>
    <t>FRANK.WĘDZ.AS</t>
  </si>
  <si>
    <t>MORTADELA LUZ.</t>
  </si>
  <si>
    <t>KIEŁBASA PARÓWKOWA</t>
  </si>
  <si>
    <t xml:space="preserve">KABANOSY KRAKUS </t>
  </si>
  <si>
    <t>K.ŻYWIECKA KRAKUS 572 gr</t>
  </si>
  <si>
    <t>KABAN.WP. KRA</t>
  </si>
  <si>
    <t>KABAN.DROB.-WP. KRA</t>
  </si>
  <si>
    <t>K.ŻYWIECKA BIED/LIDL  600 gr</t>
  </si>
  <si>
    <t>KABAN.DROB.-WP. KRA BAR</t>
  </si>
  <si>
    <t>KIEŁB.Z/PIEP.AS</t>
  </si>
  <si>
    <t xml:space="preserve">KIEŁB.PIEPRZOWE </t>
  </si>
  <si>
    <t>KIEŁB.BIAŁE</t>
  </si>
  <si>
    <t>KABAN.WP.160G AD KRA</t>
  </si>
  <si>
    <t>KABAN.JALAPENO 95GMAP 14STKT KRA</t>
  </si>
  <si>
    <t>KABANOSY PAPRYKA DR</t>
  </si>
  <si>
    <t>KIEŁBASA KRUCHA OD SZWAGRA</t>
  </si>
  <si>
    <t>KIEŁB.ŻYWIECKA FI 50 AD KRA</t>
  </si>
  <si>
    <t>KIEŁB.OD MASARZA AS</t>
  </si>
  <si>
    <t>KABAN.ZIEL.CEB.AD KRA</t>
  </si>
  <si>
    <t>KABAN.DROB/WP.Z/SER.AD KRA</t>
  </si>
  <si>
    <t>Ind. Farsz</t>
  </si>
  <si>
    <t>Indeks</t>
  </si>
  <si>
    <t xml:space="preserve">Asortyment </t>
  </si>
  <si>
    <t xml:space="preserve">Udo </t>
  </si>
  <si>
    <t xml:space="preserve">Podudzie </t>
  </si>
  <si>
    <t xml:space="preserve">Filet </t>
  </si>
  <si>
    <t xml:space="preserve">KIEŁBASA ŚLASKA MORLINY </t>
  </si>
  <si>
    <t xml:space="preserve">Rework ŚL </t>
  </si>
  <si>
    <t xml:space="preserve">Rework Reg. </t>
  </si>
  <si>
    <t xml:space="preserve">Marmurek </t>
  </si>
  <si>
    <t xml:space="preserve">M-so kl. 4A/ przep. </t>
  </si>
  <si>
    <t>76.4</t>
  </si>
  <si>
    <t>DMOM</t>
  </si>
  <si>
    <t>KK skóry</t>
  </si>
  <si>
    <t>276.2</t>
  </si>
  <si>
    <t xml:space="preserve">M. ciemne </t>
  </si>
  <si>
    <t>6460, 6461</t>
  </si>
  <si>
    <t xml:space="preserve">Plan </t>
  </si>
  <si>
    <t>Prognoza I</t>
  </si>
  <si>
    <t>Prognoza II</t>
  </si>
  <si>
    <t xml:space="preserve">Stany </t>
  </si>
  <si>
    <t>Szynka 6D</t>
  </si>
  <si>
    <t>Brak prog.I</t>
  </si>
  <si>
    <t>Brak prog.II</t>
  </si>
  <si>
    <t xml:space="preserve">Rozmrażalnia </t>
  </si>
  <si>
    <t xml:space="preserve">Brak Plan </t>
  </si>
  <si>
    <t xml:space="preserve">Suma </t>
  </si>
  <si>
    <t xml:space="preserve">1222 Szynka </t>
  </si>
  <si>
    <t xml:space="preserve">1296 Szynka </t>
  </si>
  <si>
    <t xml:space="preserve">Mieszanka (5022) </t>
  </si>
  <si>
    <t>Mieso 90/10 (5226)</t>
  </si>
  <si>
    <t>Mieso 60/40 (5215)</t>
  </si>
  <si>
    <t>Mieso 80/20 (5214)</t>
  </si>
  <si>
    <t>Korektor  uśrednianie 2A</t>
  </si>
  <si>
    <t>Korektor uśrednianie 2B</t>
  </si>
  <si>
    <t xml:space="preserve">Docelowa </t>
  </si>
  <si>
    <t xml:space="preserve">Aktualna </t>
  </si>
  <si>
    <t xml:space="preserve">masa aktualna </t>
  </si>
  <si>
    <t xml:space="preserve">suma </t>
  </si>
  <si>
    <t>-</t>
  </si>
  <si>
    <t>*</t>
  </si>
  <si>
    <t>=</t>
  </si>
  <si>
    <t xml:space="preserve">Korektor </t>
  </si>
  <si>
    <t>Docelowa</t>
  </si>
  <si>
    <t xml:space="preserve">Nazwa surowca </t>
  </si>
  <si>
    <t>index</t>
  </si>
  <si>
    <t>potrzebna ilość</t>
  </si>
  <si>
    <t xml:space="preserve">Nazwa zamiennika </t>
  </si>
  <si>
    <t>%</t>
  </si>
  <si>
    <t>ilośc</t>
  </si>
  <si>
    <t>koszty</t>
  </si>
  <si>
    <t>Zaw % tł Zamiennika</t>
  </si>
  <si>
    <t>Srednio TŁ w %</t>
  </si>
  <si>
    <t xml:space="preserve"> + zysk /- strata</t>
  </si>
  <si>
    <t>Mięso wp kl 2 B</t>
  </si>
  <si>
    <t>wartość</t>
  </si>
  <si>
    <t>Mięso wp kl 2 A</t>
  </si>
  <si>
    <t>Gotowy Farsz</t>
  </si>
  <si>
    <t>4zn</t>
  </si>
  <si>
    <t>Nazwa</t>
  </si>
  <si>
    <t>Ilość</t>
  </si>
  <si>
    <t>SOPOCKA EXTRA</t>
  </si>
  <si>
    <t>SCHAB OD SZWAGRA KRAKUS</t>
  </si>
  <si>
    <t xml:space="preserve">SZYNKA MOCNO WĘDZONA </t>
  </si>
  <si>
    <t>BAL.WĘDZ.PARZ.AS</t>
  </si>
  <si>
    <t xml:space="preserve">BOCZEK MOCNO WĘDZONY </t>
  </si>
  <si>
    <t>BOCZEK WĘDZONY PARZ. MORLINY</t>
  </si>
  <si>
    <t>BOCZEK ROLOWANY</t>
  </si>
  <si>
    <t>BOCZEK OKOPCONY</t>
  </si>
  <si>
    <t>BOCZEK Ł.WĘDZ.GOT.EX.</t>
  </si>
  <si>
    <t>BOCZ.PARZ.CIE.WĘDZ.</t>
  </si>
  <si>
    <t>BOCZEK WĘDZONY  BIEDRONKA</t>
  </si>
  <si>
    <t>BOCZEK WĘDZ. B/SK B/Ż BS</t>
  </si>
  <si>
    <t>BOCZ.WĘDZ.PARZ.Z/SK.LT</t>
  </si>
  <si>
    <t>BOCZ.WĘDZ.PARZ.SZER.Z/SK.BS</t>
  </si>
  <si>
    <t>BOCZ.C WĘDZ.PARZ.Z/S.SZER.AS</t>
  </si>
  <si>
    <t>BOCZEK ŁUSK. WĘDZ. GOT. SZEROKI</t>
  </si>
  <si>
    <t>PP BOCZ.WĘDZ.PARZ.SZER.Z/S.AS</t>
  </si>
  <si>
    <t>KIEŁB.SZYN.WP.AS MOR</t>
  </si>
  <si>
    <t>KIEŁB.CHILI/SER AS</t>
  </si>
  <si>
    <t>KIEŁB.BECON/CEBULA AS</t>
  </si>
  <si>
    <t>KIEŁB.SER/POMID.AS</t>
  </si>
  <si>
    <t>KABAN.WP.300G AD</t>
  </si>
  <si>
    <t>KIEŁB.TORUŃSKA 67% FES AS</t>
  </si>
  <si>
    <t>KIEŁB.ŚLĄSKA 90% MP FES AS LIDL</t>
  </si>
  <si>
    <t>KIEŁBASA ŚLĄSKA MAP 1,3KG LIDL EX</t>
  </si>
  <si>
    <t>KIEŁB.TORUŃSKA FES AS</t>
  </si>
  <si>
    <t>MEATERS MIĘSNY</t>
  </si>
  <si>
    <t>KIEŁB.WP.PARZ.AS</t>
  </si>
  <si>
    <t>ŻEBERKA MOSTKI</t>
  </si>
  <si>
    <t>ŻEB.MOST.Z/CH.B/MP.WĘDZ.AS</t>
  </si>
  <si>
    <t xml:space="preserve">SZYN.KLASYCZNA </t>
  </si>
  <si>
    <t>SZYNKA POLSKA</t>
  </si>
  <si>
    <t>ŻEB.PASKI WĘDZ.PARZ.AS</t>
  </si>
  <si>
    <t>WĘDZ.KROTOSZYŃSKA KRAKUS 0.3</t>
  </si>
  <si>
    <t>POLĘDWICA ŁOSOSIOWA KRAKUS</t>
  </si>
  <si>
    <t>POLĘDWICZKA WĘDZONA DE LUX.</t>
  </si>
  <si>
    <t>POLĘDWICZKA WĘDZONA KRAKUS</t>
  </si>
  <si>
    <t>POL.WĘDZ.O SMAKU TRUFLI AS</t>
  </si>
  <si>
    <t>SZYNKA RYCERSKA</t>
  </si>
  <si>
    <t>SZYNKA ZRAZOWA</t>
  </si>
  <si>
    <t>B[T]</t>
  </si>
  <si>
    <t>P1[T]</t>
  </si>
  <si>
    <t>P2[T]</t>
  </si>
  <si>
    <t>kolumny robocze NIE KASOWAĆ!!!!</t>
  </si>
  <si>
    <t>BAZA SUR</t>
  </si>
  <si>
    <t>ON/OFF</t>
  </si>
  <si>
    <t>OFF</t>
  </si>
  <si>
    <t>Zamienniki</t>
  </si>
  <si>
    <t>PP KIEŁB.CZOSN.AS LIDL</t>
  </si>
  <si>
    <t>sur</t>
  </si>
  <si>
    <t>SZYNKA MAGNACKA</t>
  </si>
  <si>
    <t>Słonina</t>
  </si>
  <si>
    <t>Krew</t>
  </si>
  <si>
    <t>Nerki</t>
  </si>
  <si>
    <t>Zapotrzebowanie</t>
  </si>
  <si>
    <t>3A Peklowane 1,5%</t>
  </si>
  <si>
    <t>3A Peklowana 1,5%</t>
  </si>
  <si>
    <t xml:space="preserve">Mięso 90/10 (5025)  </t>
  </si>
  <si>
    <t>KIEŁB.ŚLĄSKA M.91% FES AS</t>
  </si>
  <si>
    <t>KIEŁB.ŚLĄSKA M.91% AS</t>
  </si>
  <si>
    <t>ON</t>
  </si>
  <si>
    <t>Drobie Pl</t>
  </si>
  <si>
    <t>KIEŁBASA Mazurska</t>
  </si>
  <si>
    <t>Mieso 90/10 (52264000)</t>
  </si>
  <si>
    <t>index SWR</t>
  </si>
  <si>
    <t>index SAP</t>
  </si>
  <si>
    <t>PL SZYN.4D PBX CH2</t>
  </si>
  <si>
    <t>PL ŁOP.3D PBX CH ST2</t>
  </si>
  <si>
    <t>PL SZYN.6D PBX CH ST2</t>
  </si>
  <si>
    <t>MŚ.SZYN.ODBŁ.CIE.DROBN.CH2</t>
  </si>
  <si>
    <t>SZYN.WG KRA</t>
  </si>
  <si>
    <t>SZYN.OD KRAKUSA</t>
  </si>
  <si>
    <t>BOCZ.OD KRAKUSA</t>
  </si>
  <si>
    <t>SCH.OD KRAKUSA</t>
  </si>
  <si>
    <t>2204/2214</t>
  </si>
  <si>
    <t>PI+PII</t>
  </si>
  <si>
    <t xml:space="preserve">Rozbiór </t>
  </si>
  <si>
    <t>ŚLĄZERKI BIAŁE AS</t>
  </si>
  <si>
    <t>ŚLĄZERKI SER/POMID.AS</t>
  </si>
  <si>
    <t>ŚLĄZERKI SWEET JALAPENO AS</t>
  </si>
  <si>
    <t>ŚLĄZERKI AS</t>
  </si>
  <si>
    <t>Bocz IV PP WT</t>
  </si>
  <si>
    <t>Indek pek</t>
  </si>
  <si>
    <t xml:space="preserve">Towar do produkcji </t>
  </si>
  <si>
    <t>Partiia</t>
  </si>
  <si>
    <t xml:space="preserve"> W masow.</t>
  </si>
  <si>
    <t xml:space="preserve"> Po nastrzyku</t>
  </si>
  <si>
    <t>Brak plan</t>
  </si>
  <si>
    <t xml:space="preserve">Brak prognoza I </t>
  </si>
  <si>
    <t>Brak prognoza II</t>
  </si>
  <si>
    <t>Plan</t>
  </si>
  <si>
    <t>Prog I</t>
  </si>
  <si>
    <t>Prog II</t>
  </si>
  <si>
    <t xml:space="preserve">ŚLĄSKA MEGA PAKA FESS </t>
  </si>
  <si>
    <t xml:space="preserve">Surowiec świeży </t>
  </si>
  <si>
    <t xml:space="preserve">Stan </t>
  </si>
  <si>
    <t xml:space="preserve">Zakup </t>
  </si>
  <si>
    <t xml:space="preserve">Indeks </t>
  </si>
  <si>
    <t>PP BOCZ.A BL.Z/S/CZ.PACH/MŚ.CIE.PBX1</t>
  </si>
  <si>
    <t>PP BOCZ.A BL.SZ.Z/S/PACH/MŚ.SCH.PBX ST1</t>
  </si>
  <si>
    <t xml:space="preserve"> BOCZ.A BL.SZ.Z/S/PACH/MŚ.SCH.PBX ST1</t>
  </si>
  <si>
    <t>BOCZ.C BLAT.Z/SK.TŁUSTY PBX CH1</t>
  </si>
  <si>
    <t>PL BOCZ.A BLAT.Z/S/PACH/M.SCH10-12PBXST1</t>
  </si>
  <si>
    <t>ELEM.SZYN.DELIKATNA PBX CH1</t>
  </si>
  <si>
    <t>ELEM.SZYN.KLASYCZNA OK500KG PBX ST1</t>
  </si>
  <si>
    <t>PL BOCZ.A BL.Z/S.PRZ.PBX1</t>
  </si>
  <si>
    <t>PL SCH.B/K/TŁ.PBX1</t>
  </si>
  <si>
    <t>PP SCH.B/K/MŚ.CIE/M.CZWOR.TŁ.5MM PBX ST2</t>
  </si>
  <si>
    <t>PP SCH.B/K/WAR/TŁ/MIZDR.PBX ST2</t>
  </si>
  <si>
    <t>PP BOCZ.A ŁUS.Z/S.B/CH.BOCZ.PBX ST2</t>
  </si>
  <si>
    <t>PL MŚ.ZR.GÓRNA B/SMUK.N/OBR.PBX CH2</t>
  </si>
  <si>
    <t>PP EL.SZYN.SZWAGRA PBX ST2</t>
  </si>
  <si>
    <t>PP SCH.B/K.Z/BOCZ.3CM/TŁ.6MM PBX ST2</t>
  </si>
  <si>
    <t>PP EL.SZYN.CIECH/MAGN.PBX2</t>
  </si>
  <si>
    <t>PP SCH.B/K/M.BIOD/CZWOR.ODC/TŁ.PBX ST2</t>
  </si>
  <si>
    <t>ELEM.SZYN.TRAD.MOCNO-WĘDZ.KLE PBX CH ST2</t>
  </si>
  <si>
    <t>PL KARK.B/K.Z/KOR.KAW.PBX CH2</t>
  </si>
  <si>
    <t>rozbiór</t>
  </si>
  <si>
    <t>ubój</t>
  </si>
  <si>
    <t xml:space="preserve">Suma Farsz Tradycja </t>
  </si>
  <si>
    <t>Ilość partii</t>
  </si>
  <si>
    <t>NIE WOLNO MODYFIKOWAC KOLUMN F, G I H RĘCZNIE !!!</t>
  </si>
  <si>
    <t>Drób</t>
  </si>
  <si>
    <t>DROBIE</t>
  </si>
  <si>
    <t>KIEŁB.BIAŁE BS LIDL</t>
  </si>
  <si>
    <t>Bufor</t>
  </si>
  <si>
    <t>Indeks SWR</t>
  </si>
  <si>
    <t>Indeks SAP</t>
  </si>
  <si>
    <t>Partia</t>
  </si>
  <si>
    <t>Rok</t>
  </si>
  <si>
    <t>Partia SAP</t>
  </si>
  <si>
    <t>JM1</t>
  </si>
  <si>
    <t>Dni do TPS</t>
  </si>
  <si>
    <t>Stan JM1</t>
  </si>
  <si>
    <t>Stan KG</t>
  </si>
  <si>
    <t>Stan SZT</t>
  </si>
  <si>
    <t>Stan/Wej. [%]</t>
  </si>
  <si>
    <t>Wejście KG</t>
  </si>
  <si>
    <t>Wejście SZT</t>
  </si>
  <si>
    <t>Wyjście KG</t>
  </si>
  <si>
    <t>Wyjście SZT</t>
  </si>
  <si>
    <t>Min Data</t>
  </si>
  <si>
    <t>Max Data</t>
  </si>
  <si>
    <t>DTP</t>
  </si>
  <si>
    <t>TPS</t>
  </si>
  <si>
    <t>Dostawca</t>
  </si>
  <si>
    <t>Zakład</t>
  </si>
  <si>
    <t>KG</t>
  </si>
  <si>
    <t xml:space="preserve">Plan Natrzyk </t>
  </si>
  <si>
    <t>Nowicki Duży</t>
  </si>
  <si>
    <t xml:space="preserve">Nowicki Małay </t>
  </si>
  <si>
    <t>Metalqimia</t>
  </si>
  <si>
    <t>LP</t>
  </si>
  <si>
    <t>Asortyment</t>
  </si>
  <si>
    <t xml:space="preserve">masa </t>
  </si>
  <si>
    <t xml:space="preserve">Ilość p. </t>
  </si>
  <si>
    <t xml:space="preserve">SUMA </t>
  </si>
  <si>
    <t xml:space="preserve">Masa </t>
  </si>
  <si>
    <t>Alergeny</t>
  </si>
  <si>
    <t xml:space="preserve">Biała Królewska </t>
  </si>
  <si>
    <t xml:space="preserve">Parzona </t>
  </si>
  <si>
    <t xml:space="preserve">Szynkowa </t>
  </si>
  <si>
    <t xml:space="preserve">Moce </t>
  </si>
  <si>
    <t>nazwa asortymentu</t>
  </si>
  <si>
    <t>nazwa maszyny</t>
  </si>
  <si>
    <t xml:space="preserve"> ilośc w kg/h </t>
  </si>
  <si>
    <t xml:space="preserve">Ilość zmiana </t>
  </si>
  <si>
    <t>Boczek Wędz. Parz. Pkl. 35%</t>
  </si>
  <si>
    <t>Boczek wędz. Parz. Pkl.20% Litwa</t>
  </si>
  <si>
    <t>Boczek okopcony pkl. 35%</t>
  </si>
  <si>
    <t>Boczek Wędz. Parz. EXT. PKL.35%</t>
  </si>
  <si>
    <t>Schab B/K z wark.PKL. 16%</t>
  </si>
  <si>
    <t>Wędzonka Krotoszyńska Pkl.30%</t>
  </si>
  <si>
    <t>Szynka bez konserwantów 20%</t>
  </si>
  <si>
    <t>El. Schab PKL. 15%</t>
  </si>
  <si>
    <t>El. Boczek Pekloway 15%</t>
  </si>
  <si>
    <t>Szynka Zrazowa PKL. 25%</t>
  </si>
  <si>
    <t>El. Szynka Peklowana 15%</t>
  </si>
  <si>
    <t>Szynka klasyczna Pkl.</t>
  </si>
  <si>
    <t>Nowicki mały</t>
  </si>
  <si>
    <t>Szynka Polska Pkl.</t>
  </si>
  <si>
    <t>Baleron Wędz. Parz. PKL.</t>
  </si>
  <si>
    <t>Boczek wędz. Parz. PKL. Morl. (carski)</t>
  </si>
  <si>
    <t>Element Boczek Kraj pkl.22%</t>
  </si>
  <si>
    <t>Polędwica sopocka pkl.90%</t>
  </si>
  <si>
    <t>Szynka Tradycyjna PKL.70%</t>
  </si>
  <si>
    <t>Pol. Łososiowa PKL. 26%</t>
  </si>
  <si>
    <t>Bocz. Rol. PKL.</t>
  </si>
  <si>
    <t>Bocz.C Wędz. Parz.Szer. z/s. pkl.22%</t>
  </si>
  <si>
    <t>POL. WĘDZ. PKL. 26%</t>
  </si>
  <si>
    <t>PP PODG.B/S.PBX ST1</t>
  </si>
  <si>
    <t>Ilość dni trwałości</t>
  </si>
  <si>
    <t>Data partii</t>
  </si>
  <si>
    <t>Termin przydatności</t>
  </si>
  <si>
    <t>OS.NAT.JEL.WP.30/32 14/+ 5/6-OD.PAS.</t>
  </si>
  <si>
    <t>Kontrola</t>
  </si>
  <si>
    <t>MIESZ.PEKLUJĄCA-PEKLOSÓL 0.5-0.6</t>
  </si>
  <si>
    <t>Szynka 1.5D</t>
  </si>
  <si>
    <t>Mieszanka(5023)</t>
  </si>
  <si>
    <t>TPS kont</t>
  </si>
  <si>
    <t xml:space="preserve">II ZMIANA </t>
  </si>
  <si>
    <t xml:space="preserve">KABAN.Z/BEK.FARSZ.KRA </t>
  </si>
  <si>
    <t>Rozbiór</t>
  </si>
  <si>
    <t>SAP</t>
  </si>
  <si>
    <t>PP ĆW.SZYN.B/P/OG/K.OG.OK650KG OKT K4</t>
  </si>
  <si>
    <t>PL KOŚCI KARK.PBX EŁ</t>
  </si>
  <si>
    <t>PL PODG.B/S.OK600KG PBX 1OB K4</t>
  </si>
  <si>
    <t>ELEM.BOCZ.KRAJ PEKL.22%</t>
  </si>
  <si>
    <t>PP BOCZ.C BL.Z/S.MAC.PBX1</t>
  </si>
  <si>
    <t>5304/3004</t>
  </si>
  <si>
    <t>STANY</t>
  </si>
  <si>
    <t>PP BOCZ.A BL.Z/S.MAC.PBX1</t>
  </si>
  <si>
    <t>PP BOCZ.A BL.SZ.Z/S/CZ.P/MŚ.SCH.MAC.PBX1</t>
  </si>
  <si>
    <t>ZP OS.ŻELOWA</t>
  </si>
  <si>
    <t>OS.NAT.JEL.WP.30/32 10/+ 6/8-OD.PAS.ODW.</t>
  </si>
  <si>
    <t>OS.NAT.JEL.BAR.18/20 2/+ AB 14/18-OD.RUR</t>
  </si>
  <si>
    <t>CN OS.NAT.JEL.WP.40/42 2/16-OD.PAS.</t>
  </si>
  <si>
    <t>CN OS.NAT.JEL.WP.40/42 5/12-OD.PAS.</t>
  </si>
  <si>
    <t>FARSZE</t>
  </si>
  <si>
    <t>kontrola</t>
  </si>
  <si>
    <t>ilość [kg]</t>
  </si>
  <si>
    <t>MIĘSA DROBNE</t>
  </si>
  <si>
    <t>AKTUALNE</t>
  </si>
  <si>
    <t>Ind1</t>
  </si>
  <si>
    <t>Ind2</t>
  </si>
  <si>
    <t>Ind3</t>
  </si>
  <si>
    <t>Ind4</t>
  </si>
  <si>
    <t>Ind5</t>
  </si>
  <si>
    <t>Stany</t>
  </si>
  <si>
    <t>ROZBIÓR</t>
  </si>
  <si>
    <t>Czterogłowy</t>
  </si>
  <si>
    <t>Mieszanka(5027)</t>
  </si>
  <si>
    <t>MIESZ.WSTĘPNA DO KABAN.DR/WP.</t>
  </si>
  <si>
    <t>ilosc</t>
  </si>
  <si>
    <t>Ind_farsz</t>
  </si>
  <si>
    <t>Licznik</t>
  </si>
  <si>
    <t>Farsz</t>
  </si>
  <si>
    <t>Farsze wspólne</t>
  </si>
  <si>
    <t>Farsze</t>
  </si>
  <si>
    <t>Plan prod</t>
  </si>
  <si>
    <t>Struktura</t>
  </si>
  <si>
    <t>Różnica</t>
  </si>
  <si>
    <t>PL BOCZ. B BLAT.B/S PBX CH2</t>
  </si>
  <si>
    <t>PL MŚ.CZTER.N/OBR.Z/NAP.CH</t>
  </si>
  <si>
    <t>WĘDZ.KROTOSZ.PEKL.30%</t>
  </si>
  <si>
    <t>PP BOCZ.WĘDZ.PARZ.SZER.Z/S.PEKL.22%</t>
  </si>
  <si>
    <t>PL SZYN.6D PBX CH ST1</t>
  </si>
  <si>
    <t>Ind 1</t>
  </si>
  <si>
    <t>Ind 2</t>
  </si>
  <si>
    <t>Ilość Ind 2</t>
  </si>
  <si>
    <t>Ilość ind 1</t>
  </si>
  <si>
    <t>PL BOCZ.A BLAT.Z/SK/PACH/MŚ.SCH.BIED RO1</t>
  </si>
  <si>
    <t>PL BOCZ.A BL.SZ.Z/S/CZ.P/MŚ.SCH.MAC.PBX1</t>
  </si>
  <si>
    <t>ELEM.SZYN.KLASYCZNA NB RO1</t>
  </si>
  <si>
    <t>BOCZ.WĘDZ.PARZ.EXT.PEKL.35%</t>
  </si>
  <si>
    <t>BOCZ.OKOPC.PEKL.35%</t>
  </si>
  <si>
    <t>PL BOCZ.A BL.Z/S.MAC.PBX1</t>
  </si>
  <si>
    <t>PL BOCZ.B BL.SZ.Z/S/P/MŚ.SCH.PBX EŁ</t>
  </si>
  <si>
    <t>BOCZ.A BL.Z/S.PRZ.OK20KGWOR RO1</t>
  </si>
  <si>
    <t>BOCZ.WĘDZ.PARZ.PEKL.20% LT</t>
  </si>
  <si>
    <t>BOCZ.C BLAT.Z/SK.B/CH.OKOPC.NB RO1</t>
  </si>
  <si>
    <t>PP SZYN.1.5D PBX ST1</t>
  </si>
  <si>
    <t>SCH.B/K/WAR/TŁ NB RO1</t>
  </si>
  <si>
    <t>WOR.PE 900X600 GR33 ZIEL.</t>
  </si>
  <si>
    <t>OS.PŁY.ŻEL.CZER.</t>
  </si>
  <si>
    <t>PP ŁOP.4D PBX ST1</t>
  </si>
  <si>
    <t>łącznie</t>
  </si>
  <si>
    <t>CN.OS.NAT.JEL.WP.40/44 8/8-OD.PAS.</t>
  </si>
  <si>
    <t>PL KOŚCI POKRZEP.PBX EŁ</t>
  </si>
  <si>
    <t>M-SO WP.TRIMING 70/30 MR ZAK</t>
  </si>
  <si>
    <t>M-SO WP.DR.KL2A MR ZAK</t>
  </si>
  <si>
    <t>2202/2212</t>
  </si>
  <si>
    <t>SZYN.KLASYCZNA PEKL.</t>
  </si>
  <si>
    <t>KABAN.DROB.-WP.FARSZ KRA</t>
  </si>
  <si>
    <t>OS.NAT.JEL.BAR.18/20 2/+ AA 14/16-OD.RUR</t>
  </si>
  <si>
    <t>PL MŚ.SZYN.N/ODBŁ.CIE.PBX ST1</t>
  </si>
  <si>
    <t>MIESZ.WSTĘPNA DO KABAN.WP.</t>
  </si>
  <si>
    <t>PP MŚ.BRZUCH.N/OBR.PBX ST1</t>
  </si>
  <si>
    <t>KIEŁB.REGIONALNA FARSZ</t>
  </si>
  <si>
    <t>KIEŁB.ŚLĄSKA M.91% FARSZ</t>
  </si>
  <si>
    <t>KIEŁB.ZWYCZAJNA PEKL.</t>
  </si>
  <si>
    <t>FRANK.FARSZ</t>
  </si>
  <si>
    <t>KABAN.FARSZ KRA</t>
  </si>
  <si>
    <t>PP KIEŁB.TORUŃSKA FARSZ</t>
  </si>
  <si>
    <t>PL ŁOP.3D PBX CH ST1</t>
  </si>
  <si>
    <t>PP MŚ.MARM.Z SZYN.PBX ST1</t>
  </si>
  <si>
    <t>PP EL.SZYN.CIECH/MAGN.PBX1</t>
  </si>
  <si>
    <t>OS.NAT.JEL.WP.32/34 14/+ 5/6-OD.PAS.</t>
  </si>
  <si>
    <t>M-SO WP.KL2A NB RO1</t>
  </si>
  <si>
    <t>M-SO WP.KL3 ŻWACZE1</t>
  </si>
  <si>
    <t>BOCZ.WĘDZ.PEKL.20%</t>
  </si>
  <si>
    <t>ELEM.SZYN.KLASYCZNA PBX K4</t>
  </si>
  <si>
    <t>PP KIEŁB.PODWAW.FARSZ KRA</t>
  </si>
  <si>
    <t>PP KIEŁB.PODWAWELSKA FARSZ BAR</t>
  </si>
  <si>
    <t>KABAN.WP.FARSZ KRA</t>
  </si>
  <si>
    <t>PP ŁOP.1.5D PBX1</t>
  </si>
  <si>
    <t>PP SCH.B/K.Z/BOCZ.3CM/TŁ.6MM PBX ST1</t>
  </si>
  <si>
    <t>M-SO WP.KL2A NB ZAK RO</t>
  </si>
  <si>
    <t>SUROW.PEKL.NA KIEŁB.PODWAWELSKĄ BIED</t>
  </si>
  <si>
    <t>PP SZYN.PEKL.1.5%</t>
  </si>
  <si>
    <t>WT KIEŁB.ŚLĄSKA KAW.FES RO</t>
  </si>
  <si>
    <t>Nazwa I</t>
  </si>
  <si>
    <t>J.M. I</t>
  </si>
  <si>
    <t>J.M. II</t>
  </si>
  <si>
    <t>Przelicznik</t>
  </si>
  <si>
    <t>Cena</t>
  </si>
  <si>
    <t>Kategoria</t>
  </si>
  <si>
    <t>Trwałość</t>
  </si>
  <si>
    <t>Rodzaj</t>
  </si>
  <si>
    <t>Blokada</t>
  </si>
  <si>
    <t>Opis</t>
  </si>
  <si>
    <t>Obszar</t>
  </si>
  <si>
    <t>ŻYWIEC</t>
  </si>
  <si>
    <t>kg</t>
  </si>
  <si>
    <t>szt.</t>
  </si>
  <si>
    <t>ODPADY</t>
  </si>
  <si>
    <t>OPAŁ</t>
  </si>
  <si>
    <t>HALB</t>
  </si>
  <si>
    <t>X</t>
  </si>
  <si>
    <t>ROH</t>
  </si>
  <si>
    <t>OS.CEL.FI 19 BERLINETKI</t>
  </si>
  <si>
    <t>m</t>
  </si>
  <si>
    <t>MPOM</t>
  </si>
  <si>
    <t>FOL.PA/PE 120X423</t>
  </si>
  <si>
    <t>DYM WĘDZ.SMOKE LFB SUPREME C</t>
  </si>
  <si>
    <t>ET.90X90 STICKER Z KOSZULKA</t>
  </si>
  <si>
    <t>ET.132X47 OWIJKA DELIKATESY CENTRUM</t>
  </si>
  <si>
    <t>ET.TRM.78X115 BIZERBA MOR KN1</t>
  </si>
  <si>
    <t>ET.FOL.PP 70X100 KARK.VAC LIDL P</t>
  </si>
  <si>
    <t>MIESZ.AMCOSOL G3 20T</t>
  </si>
  <si>
    <t>DODA</t>
  </si>
  <si>
    <t>PRZYP.GDAŃSK</t>
  </si>
  <si>
    <t>***BOCZ.A BLAT.Z/S.DO PRZETW.RO</t>
  </si>
  <si>
    <t>SZYN. SOG 11LBS YANO- CZ/SK K</t>
  </si>
  <si>
    <t>FERT</t>
  </si>
  <si>
    <t>KIEŁB.ŚLĄSKA OK700GMAP KT MOR</t>
  </si>
  <si>
    <t>FIL.WĘDZ.Z IND.TRM OK10KGKT MOR EX</t>
  </si>
  <si>
    <t>PL BOCZ.A BLAT.Z/SK.1/2STVAC KT MR NZ</t>
  </si>
  <si>
    <t>SCH.WG.OK1KGVAC OK4KGKT KRA</t>
  </si>
  <si>
    <t>SZYN.WG OK1KGVAC OK4KGKT KRA</t>
  </si>
  <si>
    <t>KIEŁB.KRAKOWSKA 320GVAC  38STPJ</t>
  </si>
  <si>
    <t>UNBW</t>
  </si>
  <si>
    <t>ZTEC</t>
  </si>
  <si>
    <t>PŁT.WP.PEŁNE TUCZNIK KLS CP</t>
  </si>
  <si>
    <t>PŁT.WP.PEŁNE TUCZNIK KLS CH</t>
  </si>
  <si>
    <t>***PŁT.WP.PEŁNE TUCZNIKI KL.S MR</t>
  </si>
  <si>
    <t>PŁT.WP.PEŁNE TUCZNIK KL.S ZAK</t>
  </si>
  <si>
    <t>***PŁT. WP.PEŁNE TUCZNIKI KL.S DMR</t>
  </si>
  <si>
    <t>***PŁT.WP.PEŁNE TUCZNIKI KL.S RO</t>
  </si>
  <si>
    <t>PŁT.WP.PEŁNE TUCZNIK KLE CP</t>
  </si>
  <si>
    <t>PŁT.WP.PEŁNE TUCZNIK KLE CH</t>
  </si>
  <si>
    <t>***PŁT.WP.PEŁNE TUCZNIKI KL.E MR</t>
  </si>
  <si>
    <t>PŁT.WP.PEŁNE TUCZNIK KL.E ZAK</t>
  </si>
  <si>
    <t>***PŁT.WP.PEŁNE TUCZNIKI KL.E DMR</t>
  </si>
  <si>
    <t>***PŁT.WP.PEŁNE TUCZNIKI KL.E RO</t>
  </si>
  <si>
    <t>PŁT.WP.PEŁNE TUCZNIK KLU CP</t>
  </si>
  <si>
    <t>PŁT.WP.PEŁNE TUCZNIK KL.U CH</t>
  </si>
  <si>
    <t>***PŁT.WP.PEŁNE TUCZNIKI KL.U MR</t>
  </si>
  <si>
    <t>PŁT.WP.PEŁNE TUCZNIK KL.U ZAK</t>
  </si>
  <si>
    <t>***PŁT. WP.PEŁNE TUCZNIKI KL.U DMR</t>
  </si>
  <si>
    <t>***PŁT.WP.PEŁNE TUCZNIKI KL.U RO</t>
  </si>
  <si>
    <t>PŁT.WP.PEŁNE TUCZNIK KLR CP</t>
  </si>
  <si>
    <t>PŁT.WP.PEŁNE TUCZNIK KLR CH</t>
  </si>
  <si>
    <t>***PŁT.WP. B/GŁ KL.R</t>
  </si>
  <si>
    <t>PŁT.WP.PEŁNE TUCZNIK KLO CP</t>
  </si>
  <si>
    <t>PŁT.WP.PEŁNE TUCZNIK KLO CH</t>
  </si>
  <si>
    <t>PŁT.WP.PEŁNE TUCZNIK KLP CP</t>
  </si>
  <si>
    <t>PŁT.WP.PEŁNE TUCZNIK KLP CH</t>
  </si>
  <si>
    <t>PŁT.WP.PEŁNE WARCHLAK KLA CP</t>
  </si>
  <si>
    <t>PŁT.WP.PEŁNE WARCHLAK KLA CH</t>
  </si>
  <si>
    <t>PŁT.WP.B/GŁ.WARCHLAK KLA CH</t>
  </si>
  <si>
    <t>PŁT.WP.PEŁNE TUCZNIK CIĘŻKI KLC CP</t>
  </si>
  <si>
    <t>PŁT.WP.PEŁNE TUCZNIK CIĘŻKI KLC CH</t>
  </si>
  <si>
    <t>PŁT.WP.B/GŁ.TUCZNIK CIĘŻKI KL.C CH</t>
  </si>
  <si>
    <t>PŁT.WP.PEŁNE MACIORA KLD CP</t>
  </si>
  <si>
    <t>PŁT.WP.PEŁNE MACIORA KLD CH</t>
  </si>
  <si>
    <t>PŁT.WP.B/GŁ.MACIORA KL.D CH</t>
  </si>
  <si>
    <t>PŁT.WP.B/GŁ.MACIORA CH ZAK</t>
  </si>
  <si>
    <t>PŁT.WP.B/GŁ.MACIORA OK500KG OKT</t>
  </si>
  <si>
    <t>PŁT.WP.PEŁNE TUCZNIK KL.MDP CP</t>
  </si>
  <si>
    <t>PŁT.WP.PEŁNE TUCZNIK KL.MDP CH</t>
  </si>
  <si>
    <t>***PŁT.WP.SKONFISK. CP</t>
  </si>
  <si>
    <t>ODPN</t>
  </si>
  <si>
    <t>ODPU</t>
  </si>
  <si>
    <t>PŁT.WP.PEŁNE TUCZNIK CH</t>
  </si>
  <si>
    <t>PŁT.WP.B/GŁ.TUCZNIK CH</t>
  </si>
  <si>
    <t>***SCH.WP.B/K/TŁ/M.CZWOROBOCZNEGO CH USR</t>
  </si>
  <si>
    <t>SCH.WP.B/K/TŁ/M.CZWOROBOCZNEGO NB MR ST</t>
  </si>
  <si>
    <t>***SCH.WP.B/K/TŁ/M.CZWOR.OK500PBX CH ST</t>
  </si>
  <si>
    <t>PL SCH.B/K/M.BIOD/CZWOR.OK15KGWOR PJ ST</t>
  </si>
  <si>
    <t>PL SCH.B/K/BIOD/CZWOR.PBX ST</t>
  </si>
  <si>
    <t>PL SCH.B/K/BIOD/CZWOR.OK15KG NB DMR</t>
  </si>
  <si>
    <t>SCH.B/K/MŚ.BIOD/CZWOR.RO1</t>
  </si>
  <si>
    <t>SCH.B/K/MŚ.BIOD/CZWOR.RO2</t>
  </si>
  <si>
    <t>EU SCH.B/K/BIOD/CZWOR.OK15KGWOR PJ ST</t>
  </si>
  <si>
    <t>PP SCH.B/K/MŚ.BIOD/CZWOR.OK15KG NB MR ST</t>
  </si>
  <si>
    <t>PP SCH.B/K/BIOD/CZWOR.OK15KGWOR PJ ST</t>
  </si>
  <si>
    <t>PP SCH.B/K/M.BIOD/CZWOR.PBX ST</t>
  </si>
  <si>
    <t>PP SCH.B/K/MŚ.BIOD/CZWOR.OK15KG NB DMR</t>
  </si>
  <si>
    <t>PP SCH.B/K/MŚ.BIOD/CZWOR.RO1</t>
  </si>
  <si>
    <t>PP SCH.B/K/MŚ.BIOD/CZWOR.RO2</t>
  </si>
  <si>
    <t>***SCH.WP.B/K/SK Z/TŁ 18CM BACKS USR</t>
  </si>
  <si>
    <t>***SCH.WP.B/K/SK Z/TŁ 18CM1ST TRM KT SFL</t>
  </si>
  <si>
    <t>PL SCH.WP.B/K.16CM UK</t>
  </si>
  <si>
    <t>EU SCH.WP.B/K.16CM UK</t>
  </si>
  <si>
    <t>PL SCH.B/K.CIĘ.CH KAUF1</t>
  </si>
  <si>
    <t>PL SCH.B/K.CIĘ.PBX CH KAUF1</t>
  </si>
  <si>
    <t>PL SCH.B/K.CIĘ.3STMAP 2STKT KAUF</t>
  </si>
  <si>
    <t>PL SCH.B/K.CIĘ.3STVAC 2STKT KAUF</t>
  </si>
  <si>
    <t>PL SCH.B/K.CIĘ.CH KAUF2</t>
  </si>
  <si>
    <t>PL SCH.B/K.CIĘ.PBX CH KAUF2</t>
  </si>
  <si>
    <t>EU SCH.B/K.CIĘ.CH KAUF1</t>
  </si>
  <si>
    <t>EU SCH.B/K.CIĘ.PBX CH KAUF1</t>
  </si>
  <si>
    <t>EU SCH.B/K.CIĘ.CH KAUF2</t>
  </si>
  <si>
    <t>PL SCH.B/K.Z/TŁ2 CH1</t>
  </si>
  <si>
    <t>PL SCH.B/K.Z/TŁ.2MM PBX CH1</t>
  </si>
  <si>
    <t>PL SCH.B/K.Z/TŁ2 CH2</t>
  </si>
  <si>
    <t>PL SCH.B/K.Z/TŁ.2MM PBX CH2</t>
  </si>
  <si>
    <t>EU SCH.B/K.Z/TŁ.2MM1</t>
  </si>
  <si>
    <t>EU SCH.B/K.Z/TŁ.2MM PBX CH1</t>
  </si>
  <si>
    <t>EU SCH.B/K.Z/TŁ.2MM2</t>
  </si>
  <si>
    <t>PP SCH.B/K.Z/TŁ.2MM</t>
  </si>
  <si>
    <t>PL SCH.B/K.Z/TŁ.2MM.KAW.</t>
  </si>
  <si>
    <t>PL SCH.B/K.Z/TŁ.2MM.KAW.PBX CH ST1</t>
  </si>
  <si>
    <t>SCH.B/K/TŁ.2MM KAW.OK20KG NB MR ST</t>
  </si>
  <si>
    <t>PP SCH.B/K.Z/TŁ.2MM 1STVAC OK4KGKT BIED</t>
  </si>
  <si>
    <t>PL SCH.B/K.Z/TŁ.2MM.KAW.OK15KGPJ CH ST</t>
  </si>
  <si>
    <t>SCH.B/K/TŁ.2MM KAW.OK20KG NB DMR</t>
  </si>
  <si>
    <t>PL SCH.B/K.Z/TŁ.2MM.KAW.PBX CH ST2</t>
  </si>
  <si>
    <t>PP SCH.B/K.Z/TŁ.2MM.KAW.</t>
  </si>
  <si>
    <t>PP SCH.B/K/TŁ.2MM KAW.OK20KG NB MR ST</t>
  </si>
  <si>
    <t>PP SCH.B/K.Z/TŁ.2MM.KAW.PBX CH1</t>
  </si>
  <si>
    <t>PP SCH.B/K/TŁ.2MM KAW.OK20KG NB DMR</t>
  </si>
  <si>
    <t>PP SCH.B/K.Z/TŁ.2MM.KAW.PBX CH2</t>
  </si>
  <si>
    <t>PL SCH.B/K/TŁ.KAW.</t>
  </si>
  <si>
    <t>PL SCH.B/K/TŁ.KAW.OK20KG NB MR ST</t>
  </si>
  <si>
    <t>PL SCH.B/K/TŁ.KAW.500KG PBX CH</t>
  </si>
  <si>
    <t>PL SCH.B/K/TŁ.KAW.OK1.5KGVACOK15KGKT SEL</t>
  </si>
  <si>
    <t>PL SCH.B/K/TŁ.KAW.OK1KGVAC OK7KGKT EX</t>
  </si>
  <si>
    <t>PL SCH.B/K/TŁ.KAW.OK20KG NB DMR</t>
  </si>
  <si>
    <t>PL SCH.B/K/TŁ.KAW.RO1</t>
  </si>
  <si>
    <t>PL SCH.B/K/TŁ.KAW.RO2</t>
  </si>
  <si>
    <t>SCH.B/K/MŚ.CIE.TŁ.5MM CH</t>
  </si>
  <si>
    <t>SCH.B/K/MŚ.CIE.TŁ.5MM OK20KG NB MR ST</t>
  </si>
  <si>
    <t>SCH.B/K/MŚ.CIE.TŁ.5MM PBX1</t>
  </si>
  <si>
    <t>SCH.B/K/MŚ.CIE.TŁ.5MM OK20KG NB DMR</t>
  </si>
  <si>
    <t>SCH.B/K/MŚ.CIE.TŁ.5MM RO1</t>
  </si>
  <si>
    <t>SCH.B/K/MŚ.CIE.TŁ.5MM RO2</t>
  </si>
  <si>
    <t>SCH.B/K/MŚ.CIE.TŁ.5MM PBX2</t>
  </si>
  <si>
    <t>SCH.B/K/MŚ.CIE/MŚ.CZWOR.TŁ.5MM CH</t>
  </si>
  <si>
    <t>SCH.B/K/MŚ.CIE/MŚ.CZ.TŁ.5MMOK20KGNBMR ST</t>
  </si>
  <si>
    <t>SCH.B/K/MŚ.CIE/MŚ.CZWOR.TŁ.5MM PBX1</t>
  </si>
  <si>
    <t>SCH.B/K/MŚ.CIE/MŚ.CZ.TŁ.5MM OK20KGNB DMR</t>
  </si>
  <si>
    <t>SCH.B/K/MŚ.CIE/MŚ.CZWOR.TŁ.5MM NB RO1</t>
  </si>
  <si>
    <t>SCH.B/K/MŚ.CIE/MŚ.CZWOR.TŁ.5MM NB RO2</t>
  </si>
  <si>
    <t>SCH.B/K/MŚ.CIE/MŚ.CZWOR.TŁ.5MM PBX2</t>
  </si>
  <si>
    <t>PP SCH.B/K/MŚ.CIE/MŚ.CZWOR.TŁ.5MM CH</t>
  </si>
  <si>
    <t>PPSCH.B/K/MŚ.CIE/MŚ.CZ.TŁ.5OK20KGNBMR ST</t>
  </si>
  <si>
    <t>PP SCH.B/K/MŚ.CIE/M.CZWOR.TŁ.5MM PBX ST1</t>
  </si>
  <si>
    <t>PPSCH.B/K/MŚ.CIE/MŚ.CZ.TŁ.5MMOK20KGNBDMR</t>
  </si>
  <si>
    <t>PP SCH.B/K/MŚ.CIE/MŚ.CZWOR.TŁ.5MM RO1</t>
  </si>
  <si>
    <t>PP SCH.B/K/MŚ.CIE/MŚ.CZWOR.TŁ.5MM RO2</t>
  </si>
  <si>
    <t>***SCH.WP.B/K/TŁ/ZCIĘT.M.CZWOROBOCZ. USR</t>
  </si>
  <si>
    <t>***SCH.WP.B/K/TŁ/ZCIĘT.CZWOROBOCZCHPJST</t>
  </si>
  <si>
    <t>***SCH.Z/K/POL</t>
  </si>
  <si>
    <t>SCH.CZ.ODK.B/TŁ</t>
  </si>
  <si>
    <t>***SCH.CZ.ODK.B/TŁ.OK500KG PBX CH</t>
  </si>
  <si>
    <t>***PLSCH.CZ.ODK.KOT.OK750GMAPOK6KGKTLIDL</t>
  </si>
  <si>
    <t>***SCH.CZ.ODK.B/TŁ.OK15KG WOR PJ ST</t>
  </si>
  <si>
    <t>M-SO WP.DR.KL2A Z SZYN.NB MR ZAK</t>
  </si>
  <si>
    <t>***SCH.Z/K/POL/TŁ3 KL.E CH</t>
  </si>
  <si>
    <t>PL SCH.B/K/WAR/TŁ.KOTLETY</t>
  </si>
  <si>
    <t>***SCH.B/K/WAR/TŁ KOTLETY FANTOM</t>
  </si>
  <si>
    <t>PL SCH.B/K/TŁ.OK20KG PB MR EX ST</t>
  </si>
  <si>
    <t>PL SCH.B/K/TŁ.1STVAC OK20KGKT MR HR</t>
  </si>
  <si>
    <t>PL SCH.B/K/TŁ.1STVAC OK12KGKT MORE EX</t>
  </si>
  <si>
    <t>PL SCH.B/K/WAR/TŁ.1STVAC OK18KGPJ</t>
  </si>
  <si>
    <t>PL SCH.B/K.1STVAC OK18KGKT EX</t>
  </si>
  <si>
    <t>PL SCH.B/K.1STVAC OK14KGKT SEL</t>
  </si>
  <si>
    <t>PL SCH.B/K/WAR/TŁ.1STVAC OK15KGKT MAKR</t>
  </si>
  <si>
    <t>PL SCH.B/K/TŁ.OK20KGLUZ PJ AGRO</t>
  </si>
  <si>
    <t>PL SCH.B/K/TŁ.OK15KGLUZ PJ ST</t>
  </si>
  <si>
    <t>PL SCH.B/K/WAR/TŁ.OK15KG WOR PJ AF CH ST</t>
  </si>
  <si>
    <t>PL SCH.B/K/TŁ.OK20KGWOR PJ</t>
  </si>
  <si>
    <t>PL SCH.B/K/TŁ.OK20KG PB DMR</t>
  </si>
  <si>
    <t>***SCH.B/K/WAR/TŁ 2.2-2.8 PB DMR</t>
  </si>
  <si>
    <t>PL SCH.B/K/TŁ.1STVAC OK20KGKT DMR HR</t>
  </si>
  <si>
    <t>***SCH.B/K/WAR/TŁ 2.2-2.8 PB RO</t>
  </si>
  <si>
    <t>EU SCH.B/K/TŁ.OK20KG PB MR EX ST</t>
  </si>
  <si>
    <t>EU SCH.B/K/WAR/TŁ.1STVAC OK18KGPJ</t>
  </si>
  <si>
    <t>EU SCH.B/K/TŁ.OK20KGWOR PJ</t>
  </si>
  <si>
    <t>EU SCH.B/K/TŁ.OK20KG PB DMR</t>
  </si>
  <si>
    <t>PP SCH.B/K/WAR/TŁ.OK15KGWOR PJ ST</t>
  </si>
  <si>
    <t>CZ SCH.B/K/WAR/TŁ.1STVAC OK15KGKT</t>
  </si>
  <si>
    <t>***SCH.Z/K/POL/TŁ3 KL.U CH</t>
  </si>
  <si>
    <t>***SCH.Z/K.B/TŁ.WĄS USR CH</t>
  </si>
  <si>
    <t>***SCH.Z/K 3ST KT MR CN</t>
  </si>
  <si>
    <t>***SCH.Z/K.B/TŁ.WĄS.CH PL USR</t>
  </si>
  <si>
    <t>***SCH.Z/K.B/TŁ.WĄS KOTLETY FANTOM CH</t>
  </si>
  <si>
    <t>***SCH.B/K/ZAPARZONY CH</t>
  </si>
  <si>
    <t>***SCH.B/K/ZAPARZONY USR</t>
  </si>
  <si>
    <t>SCH.B/K.Z/2WAR.KAW.OK1KG</t>
  </si>
  <si>
    <t>SCH.B/K.Z/2WAR.KAW.OK1KG 500KGPBX CH</t>
  </si>
  <si>
    <t>PLSCH.B/K.Z/2WAR.OK1.5KGVACOK10KGKTNETTO</t>
  </si>
  <si>
    <t>PL SCH.B/K.Z/2WAR.KAW.OK1KGVACOK5KGKT EX</t>
  </si>
  <si>
    <t>SCH.B/K/.Z/2WAR CH1</t>
  </si>
  <si>
    <t>***SCH.B/K.Z/2WAR.NB MR ST</t>
  </si>
  <si>
    <t>PL SCH.B/K.Z/WAR.OK20KGWOR LUZ KT</t>
  </si>
  <si>
    <t>***PLSC.B/K.Z/2WAR.OK1KGVACOK5KGKTSKTESC</t>
  </si>
  <si>
    <t>***SCH.WP.B/K.1.2-2.2KGVAC OK6KT BIED</t>
  </si>
  <si>
    <t>PL SCH.B/K.Z/WAR.1STVAC OK15KGKT</t>
  </si>
  <si>
    <t>***SCH.B/K.Z/2WAR.VAC MR ST</t>
  </si>
  <si>
    <t>***PLSCH.WP.B/K.1.2-1.8KGVACOK4.15KTBIED</t>
  </si>
  <si>
    <t>***PLSCH.B/K.Z/WAR.OK1KGVACOK6KGKTLIDLLT</t>
  </si>
  <si>
    <t>***PLSCH.B/K.Z/WAR.OK1KGVACOK6KGKTLIDLSK</t>
  </si>
  <si>
    <t>***PLSC.B/K.Z/WAR.TŁ.1STVACOK20KGKTMETCZ</t>
  </si>
  <si>
    <t>PL SCH.B/K.Z/WAR.1STVAC OK20KGKT EX</t>
  </si>
  <si>
    <t>PL SCH.B/K.Z/2WAR.WOR OK15KG PJ CH ST</t>
  </si>
  <si>
    <t>PL SCH.B/K.1606 OK15KGLUZ PJ SZ</t>
  </si>
  <si>
    <t>PL SCH.B/K.Z/BOCZ/TŁ3 OK15KGWOR PJ EŁ</t>
  </si>
  <si>
    <t>***SCH.B/K 1606 WOR PJ SZ</t>
  </si>
  <si>
    <t>***SCH. B/K Z/2WAR NB DMR</t>
  </si>
  <si>
    <t>***SCH.B/K.Z/2WAR.NB RO</t>
  </si>
  <si>
    <t>***SCH.B/K.Z/2WAR.VAC RO</t>
  </si>
  <si>
    <t>SCH.B/K/.Z/2WAR CH2</t>
  </si>
  <si>
    <t>EU SCH.B/K.Z/WAR.OK20KGWOR LUZ KT</t>
  </si>
  <si>
    <t>***EUSC.B/K.Z/WAR.TŁ.1STVACOK20KGKTMETCZ</t>
  </si>
  <si>
    <t>PP SCH.B/K.Z/WAR.OK15KGWOR PJ ST</t>
  </si>
  <si>
    <t>PP SCH.B/K.Z/WAR.TŁ.3MM PBX ST</t>
  </si>
  <si>
    <t>SCH.B/K/.Z/2WAR.KAW.</t>
  </si>
  <si>
    <t>***SCH.B/K/.Z/2WAR.KAW.OK500KG PBX CH</t>
  </si>
  <si>
    <t>***SCH.WP.Z/K EXTRA USR CH</t>
  </si>
  <si>
    <t>***SCH.B/K/TŁ.USR CH</t>
  </si>
  <si>
    <t>***SCH.B/K/TŁ.PB MR ST</t>
  </si>
  <si>
    <t>PL SCH.B/K/TŁ.OK20KGWOR PJ AF ST</t>
  </si>
  <si>
    <t>***SCH.B/K 1660 WOR PJ SZ</t>
  </si>
  <si>
    <t>***SCH.B/K/TŁ MR ZAK</t>
  </si>
  <si>
    <t>***SCH.B/K/TŁ.OK.15.00 KG WOR PJ CH EŁ</t>
  </si>
  <si>
    <t>***SCH.B/K/TŁ.PB RO1</t>
  </si>
  <si>
    <t>***SCH.B/K/TŁ.PB RO2</t>
  </si>
  <si>
    <t>***SCH.B/K.PB MR RU</t>
  </si>
  <si>
    <t>PP SCH.B/K/TŁ.OK15KGLUZ PJ ST</t>
  </si>
  <si>
    <t>***SCHAB.ODKST.UŚR PL</t>
  </si>
  <si>
    <t>PL SCH.B/K.Z/W.KAW.CH</t>
  </si>
  <si>
    <t>PL SCH.B/K.Z/WAR.KAW.OK500KG PBX CH</t>
  </si>
  <si>
    <t>PLSCH.B/K.Z/2WAR.1.2-1.8KGVACOK6KGKTBIED</t>
  </si>
  <si>
    <t>PPSCH.B/K.Z/2WAR.OK1.4KGVACOK8.4KGKTLIDL</t>
  </si>
  <si>
    <t>PL SCH.B/K.Z/WAR.OK1.4KGVACOK8.4KGLIDLSK</t>
  </si>
  <si>
    <t>PL SCH.B/K.Z/WAR.OK1.4KGVACOK8.4KGLIDLLT</t>
  </si>
  <si>
    <t>PL SCH.B/K.Z/WAR OK1.4KGVACOK8.4KGLIDLCZ</t>
  </si>
  <si>
    <t>PL SCH.B/K.PC OK1KGVAC OK10KGKT MAKR</t>
  </si>
  <si>
    <t>PL SCH.B/K.Z/2W.OK1.5KGVACOK6KGKT3OBBIED</t>
  </si>
  <si>
    <t>PL SCH.B/K.Z/WAR/TŁ.3MM KAW.PBX K4</t>
  </si>
  <si>
    <t>PP SCH.B/K.Z/W.KAW.CH</t>
  </si>
  <si>
    <t>PP SCH.B/K.Z/WAR/TŁ.3MM KAW.PBX</t>
  </si>
  <si>
    <t>PP SCH.B/K.Z/WAR/TŁ.3MM KAW.PBX K4</t>
  </si>
  <si>
    <t>***SCH.B/K.Z/TŁ CH</t>
  </si>
  <si>
    <t>***SCH.B/K.Z/TŁ NB MR</t>
  </si>
  <si>
    <t>***SCH.B/K.Z/TŁ KRÓTKI NB MR</t>
  </si>
  <si>
    <t>***SCH.B/K.Z/TŁ NB DMR</t>
  </si>
  <si>
    <t>***SCH.B/K.Z/TŁ KRÓTKI NB DMR</t>
  </si>
  <si>
    <t>***SCH.B/K.Z/TŁ NB RO</t>
  </si>
  <si>
    <t>***SCH.B/K.Z/TŁ KRÓTKI NB RO</t>
  </si>
  <si>
    <t>SCH.B/K/WAR/TŁ CH</t>
  </si>
  <si>
    <t>SCH.B/K/WAR/TŁ NB MR</t>
  </si>
  <si>
    <t>PL SCH.B/K/TŁ/M.BIODR.OK15KGWOR PJ EŁ</t>
  </si>
  <si>
    <t>***SCH.B/K/WAR/TŁ MR ZAK</t>
  </si>
  <si>
    <t>PL SCH.B/K/TŁ.OK20KG PB MR EŁ</t>
  </si>
  <si>
    <t>***SCH.B/K/TŁ.PBX K4 ZAK</t>
  </si>
  <si>
    <t>***SCH.B/K/TŁ/M.BIODROK15KG WR PJ CHEŁPL</t>
  </si>
  <si>
    <t>PL SCH.B/K/TŁ.1660 OK15KGLUZ PJ SZ</t>
  </si>
  <si>
    <t>SCH.B/K.DO POL.SOPOCKIEJ NB MR SZ</t>
  </si>
  <si>
    <t>PL SCH.B/K/TŁ.OK15KG NB DMR</t>
  </si>
  <si>
    <t>***SCH.B/K/WAR/TŁ NB  ZAKUP RO</t>
  </si>
  <si>
    <t>SCH.B/K/WAR/TŁ NB RO2</t>
  </si>
  <si>
    <t>EU SCH.B/K/TŁ.OK15KGWOR PJ EŁ1</t>
  </si>
  <si>
    <t>PL SCH.B/K.Z/WAR/TŁ.3MM CH</t>
  </si>
  <si>
    <t>PL SCH.B/K.Z/WAR/TŁ.3MM OK20KGWOR PJ ST</t>
  </si>
  <si>
    <t>PL SCH.B/K.PBX K4</t>
  </si>
  <si>
    <t>PL SCH.B/K.Z/WAR/TŁ.3MM OK20KGWOR PJ K4</t>
  </si>
  <si>
    <t>PL SCH.B/K.Z/W.PBX SZ</t>
  </si>
  <si>
    <t>PP SCH.B/K.Z/WAR/TŁ.3MM</t>
  </si>
  <si>
    <t>PP SCH.B/K.Z/WAR/TŁ.3MM OK20KGWOR PJ ST</t>
  </si>
  <si>
    <t>***SCH.B/K/WAR/TŁ/MIZDR CH</t>
  </si>
  <si>
    <t>PL SCH. B/P/MIZ.OK15KGLUZ PJ ST</t>
  </si>
  <si>
    <t>***SCH.B/K/WAR/TŁ/MIZDR NIEM MR ZAK</t>
  </si>
  <si>
    <t>SCH.B/K/WAR/TŁ/MIZDR.ROZP1</t>
  </si>
  <si>
    <t>SCH.B/K/WAR/TŁ/MIZDR.ROZP2</t>
  </si>
  <si>
    <t>***SCH.Z/K/POL.B/SK.WĄS KL.E CH</t>
  </si>
  <si>
    <t>***SCH.WP.KARKOWY NB MR ST</t>
  </si>
  <si>
    <t>***SCH.WP.KARKOWY NB DMR</t>
  </si>
  <si>
    <t>***SCH.WP.KARKOWY NB RO1</t>
  </si>
  <si>
    <t>***SCH.WP.KARKOWY NB RO2</t>
  </si>
  <si>
    <t>***SCH.WP.KARKOWY CH USR</t>
  </si>
  <si>
    <t>PP SCH.B/K/TŁ/M.CZWOR.KAW.CH</t>
  </si>
  <si>
    <t>PP SCH.B/K/M.BIOD/CZWOR.ODC/TŁ.KAW.PBX1</t>
  </si>
  <si>
    <t>PP SCH.B/K/M.BIOD/CZWOR.ODC/TŁ.KAW.PBX2</t>
  </si>
  <si>
    <t>***SCH.WP.B/K/TŁ/M.CZWOROBOCZ. KL.S CH</t>
  </si>
  <si>
    <t>PL SCH.B/K/TŁ/M.CZWOR.CH1</t>
  </si>
  <si>
    <t>PL SCH.B/K/M.BIOD/CZWOR.ODC/TŁ.PBX1</t>
  </si>
  <si>
    <t>PL SCH.B/K/TŁ/M.CZWOR.CH2</t>
  </si>
  <si>
    <t>PL SCH.B/K/M.BIOD/CZWOR.ODC/TŁ.PBX2</t>
  </si>
  <si>
    <t>EU SCH.B/K/TŁ/M.CZWOROBOCZNEGO CH1</t>
  </si>
  <si>
    <t>EU SCH.B/K/TŁ/M.CZWOROBOCZNEGO CH2</t>
  </si>
  <si>
    <t>PP SCH.B/K/TŁ/M.CZWOR.CH</t>
  </si>
  <si>
    <t>PP SCH.B/K/M.BIOD/CZWOR.ODC/TŁ.PBX ST1</t>
  </si>
  <si>
    <t>***SCH.B/K/TŁ/CZ.WAR KL.E CH MORL</t>
  </si>
  <si>
    <t>PL SCH.B/K.Z/WAR/TŁ.3MM MAC.CH</t>
  </si>
  <si>
    <t>PL SCH.B/K.Z/WAR/TŁ.3MM MAC.PBX1</t>
  </si>
  <si>
    <t>PL SCH.B/K.Z/WAR/TŁ.3MM MAC.PBX ST</t>
  </si>
  <si>
    <t>PL SCH.B/K.Z/WAR/TŁ.3MM MAC.PBX2</t>
  </si>
  <si>
    <t>***SCH.Z/K.B/TŁ.WĄS KL.U CH PL</t>
  </si>
  <si>
    <t>PP SCH.B/K.Z/WAR/TŁ.3MM MAC.CH</t>
  </si>
  <si>
    <t>PP SCH.B/K.Z/WAR/TŁ.3MM MAC.PBX1</t>
  </si>
  <si>
    <t>PP SCH.B/K.Z/WAR/TŁ.3MM MAC.PBX ST</t>
  </si>
  <si>
    <t>PP SCH.B/K.Z/WAR/TŁ.3MM MAC.PBX2</t>
  </si>
  <si>
    <t>PL SCH.B/K.Z/TŁ.18CM CH</t>
  </si>
  <si>
    <t>PL SCH.B/K.Z/TŁ.18CM 1STVAC OK20KGKT EX</t>
  </si>
  <si>
    <t>PL SCH.B/K.Z/TŁ.20CM OK500KG OKT EX</t>
  </si>
  <si>
    <t>PL SCH.B/K.Z/TŁ.20CM PBX EX</t>
  </si>
  <si>
    <t>EU SCH.B/K.Z/TŁ.18CM CH</t>
  </si>
  <si>
    <t>EU SCH.B/K.Z/TŁ.20CM OK20KG NB MR ST</t>
  </si>
  <si>
    <t>EU SCH.B/K.Z/TŁ.20CM PBX EX</t>
  </si>
  <si>
    <t>EU SCH.B/K.Z/TŁ.20CM OK20KG NB DMR</t>
  </si>
  <si>
    <t>EU SCH.B/K.Z/TŁ.20CM RO1</t>
  </si>
  <si>
    <t>EU SCH.B/K.Z/TŁ.20CM RO2</t>
  </si>
  <si>
    <t>***SCH.B/K/TŁ/MŚBIO/MŚ.CZWOROB.LUZPJCHST</t>
  </si>
  <si>
    <t>***SCH.B/K/TŁ/CZ.WAR KL.U CH MORL</t>
  </si>
  <si>
    <t>PL SCH.B/K/TŁ.CH1</t>
  </si>
  <si>
    <t>PL SCH.B/K/TŁ.2STVAC MR EŁ</t>
  </si>
  <si>
    <t>PL SCH.B/K/TŁ.1/2STVAC OK20KGKT MR SZ</t>
  </si>
  <si>
    <t>PL SCH.B/K/TŁ.KAW.1/2ST PBX K4</t>
  </si>
  <si>
    <t>PL SCH.B/K/TŁ.RO</t>
  </si>
  <si>
    <t>PL SCH.B/K/TŁ.CH2</t>
  </si>
  <si>
    <t>PL SCH.B/K/TŁ.PBX2</t>
  </si>
  <si>
    <t>EU SCH.B/K/TŁ.CH1</t>
  </si>
  <si>
    <t>EU SCH.B/K/TŁ.PBX1</t>
  </si>
  <si>
    <t>EU SCH.B/K/TŁ.CH2</t>
  </si>
  <si>
    <t>EU SCH.B/K/TŁ.PBX2</t>
  </si>
  <si>
    <t>PP SCH.B/K/TŁ.</t>
  </si>
  <si>
    <t>CZ SCH.B/K/TŁ.CH</t>
  </si>
  <si>
    <t>***SCHAB.ODKST KL.U PL</t>
  </si>
  <si>
    <t>***SCH.B/K/TŁ.KL.R CH</t>
  </si>
  <si>
    <t>PL SCH.B/K.Z/WAR.CH</t>
  </si>
  <si>
    <t>PL SCH.B/K.Z/WAR.1669 PBX CH1</t>
  </si>
  <si>
    <t>PL SCH.B/K.Z/WAR.1STVAC OK20KGKT MET CZ</t>
  </si>
  <si>
    <t>PL SCH.B/K.Z/WAR.1STVACOK20KGKT MR ME RU</t>
  </si>
  <si>
    <t>PL SCH.B/K.Z/WAR.1STVAC OK20KGKT MET RU</t>
  </si>
  <si>
    <t>PL SCH.B/K.Z/WAR.1STVAC MAX15KGPJ POLM</t>
  </si>
  <si>
    <t>PL SCH.B/K.Z/WAR.1STVAC OK20KGKT MET</t>
  </si>
  <si>
    <t>PL SCH.B/K.Z/WAR.1STVAC OK10KGKT PIP</t>
  </si>
  <si>
    <t>PL SCH.B/K.Z/WAR.OK20KGWOR PJ ST</t>
  </si>
  <si>
    <t>PL SCH.B/K.Z/WAR.MAX15KGWOR PJ POLM</t>
  </si>
  <si>
    <t>PL SCH.B/K.Z/WAR.1STVACOK20KGKTDMR ME RU</t>
  </si>
  <si>
    <t>PL SCH.B/K.Z/WAR.1669 PBX CH2</t>
  </si>
  <si>
    <t>EU SCH.B/K.Z/WAR.1669</t>
  </si>
  <si>
    <t>SCH.B/K/WAR/TŁ KL.E NB MR</t>
  </si>
  <si>
    <t>PL SCH.B/K/TŁ.OK15KGWOR PJ EŁ1</t>
  </si>
  <si>
    <t>***SCH.B/K/WAR/TŁ KL.E NB DMR</t>
  </si>
  <si>
    <t>SCH.B/K/WAR/TŁ.ROZP1</t>
  </si>
  <si>
    <t>SCH.B/K/WAR/TŁ.ROZP2</t>
  </si>
  <si>
    <t>***SCH.B/K/WAR/TŁ KL.U CH</t>
  </si>
  <si>
    <t>***SCH.B/K/WAR/TŁ KL.R CH</t>
  </si>
  <si>
    <t>SCH.B/K.PRZ.CH1</t>
  </si>
  <si>
    <t>***SCH.B/K.PRZ.PBX1</t>
  </si>
  <si>
    <t>***SCH.B/K.POD PRZETWÓRSTWO PB MR ST</t>
  </si>
  <si>
    <t>***SCH.B/K.POD PRZETWÓRSTWO LUZ PJ ST</t>
  </si>
  <si>
    <t>SCH.B/K.POD PRZETWÓRSTWO OK20KG WOR DMR</t>
  </si>
  <si>
    <t>***SCH.B/K POD PRZETWÓRSTWO NB RO</t>
  </si>
  <si>
    <t>SCH.B/K.POD PRZETWÓRSTWO PB RO1</t>
  </si>
  <si>
    <t>SCH.B/K.PRZ.CH2</t>
  </si>
  <si>
    <t>***SCH.B/K.PRZ.PBX2</t>
  </si>
  <si>
    <t>SCH.B/K.POD PRZETWÓRSTWO PB RO2</t>
  </si>
  <si>
    <t>***SCH.B/K/WAR/TŁ KL.S CH</t>
  </si>
  <si>
    <t>PL SCH.B/K.Z/WAR.KAW.CH</t>
  </si>
  <si>
    <t>PL SCH.B/K.Z/WAR.KAW.PBX CH</t>
  </si>
  <si>
    <t>***PLSCH.B/K.Z/WAR.OK1.3KGVACOK5KGKTTESC</t>
  </si>
  <si>
    <t>PL SCH.B/K/WAR/TŁ/MIZDR.CH1</t>
  </si>
  <si>
    <t>PL SCH.B/K/WAR/TŁ/MIZDR.PBX CH1</t>
  </si>
  <si>
    <t>PL SCH.B/K/WAR/TŁ/MIZDR.CH2</t>
  </si>
  <si>
    <t>PL SCH.B/K/WAR/TŁ/MIZDR.PBX CH2</t>
  </si>
  <si>
    <t>PP SCH.B/K/WAR/TŁ/MIZDR.CH</t>
  </si>
  <si>
    <t>PP SCH.B/K/WAR/TŁ/MIZDR.PBX ST1</t>
  </si>
  <si>
    <t>PP SCH.B/K/WAR/TŁ/MIZ.OK20KGLUZ PJ ST</t>
  </si>
  <si>
    <t>***SCH.B/K/WAR/TŁ/MIZDR KL.U CH</t>
  </si>
  <si>
    <t>***SCH.WP. Z/K-BACKS KL.E CH</t>
  </si>
  <si>
    <t>***SCH.B/K.Z/TŁ KL.E CH</t>
  </si>
  <si>
    <t>SCH.B/K.Z/TŁ KRÓTKI KL.E NB MR</t>
  </si>
  <si>
    <t>***SCH.B/K.Z/TŁ KRÓTKI KL.E NB DMR</t>
  </si>
  <si>
    <t>***SCH.B/K.Z/TŁ KL.U CH</t>
  </si>
  <si>
    <t>SCH.B/K.Z/TŁ KRÓTKI KL.U NB MR</t>
  </si>
  <si>
    <t>***SCH.B/K.Z/TŁ KRÓTKI KL.U NB DMR</t>
  </si>
  <si>
    <t>***SCH.B/K.Z/TŁ KL.R CH</t>
  </si>
  <si>
    <t>SCH.B/K.Z/TŁ KRÓTKI KL.R NB MR</t>
  </si>
  <si>
    <t>***SCH.B/K.Z/TŁ KRÓTKI KL.R NB DMR</t>
  </si>
  <si>
    <t>***SCH.B/K.Z/TŁ KL.O CH</t>
  </si>
  <si>
    <t>***SCH.B/K.Z/TŁ KL.S CH</t>
  </si>
  <si>
    <t>SCH.B/K.Z/TŁ KRÓTKI KL.S NB MR</t>
  </si>
  <si>
    <t>***SCH.B/K.Z/TŁ KRÓTKI KL.S NB DMR</t>
  </si>
  <si>
    <t>***SCH.B/K.Z/TŁ KL.A CH</t>
  </si>
  <si>
    <t>***SCH.WP.Z/K EXTRA KL.S CH</t>
  </si>
  <si>
    <t>***SCH.WP.Z/K EXTRA KL.E CH</t>
  </si>
  <si>
    <t>***SCH.WP.Z/K EXTRA KL.U CH</t>
  </si>
  <si>
    <t>***SCH.WP.B/KTŁ/ZCIĘT.M.CZWOROBOCZ.KLECH</t>
  </si>
  <si>
    <t>***SCH.WP.B/KTŁ/ZCIĘT.M.CZWOROBOCZ.KLUCH</t>
  </si>
  <si>
    <t>***SCH.B/K/TŁ/CZ.WAR MORL</t>
  </si>
  <si>
    <t>***SCH.B/K/TŁ/CZ.WAR MORL PJ CH ST</t>
  </si>
  <si>
    <t>***SCH.B/K/TŁ.KL.S CH</t>
  </si>
  <si>
    <t>***SCHAB.ODKST KL.S PL</t>
  </si>
  <si>
    <t>***SCH.Z/K/POL/TŁ3 CH</t>
  </si>
  <si>
    <t>***SCHAB. Z/K/POL/TŁ3 OK.15KG CH LUZ KT</t>
  </si>
  <si>
    <t>***SZYN.Z/K/SK.B/GOL KL.E CH</t>
  </si>
  <si>
    <t>***SZYN.Z/K/SK.B/GOL KL.U CH</t>
  </si>
  <si>
    <t>PL MŚ.SZYN.ODBŁ.JAS.PBX SZ</t>
  </si>
  <si>
    <t>PL SZYN.1.5D CH</t>
  </si>
  <si>
    <t>PL SZYN.1.5D OK20KG NB MR ST</t>
  </si>
  <si>
    <t>PL SZYN.1.5D PBX ST1</t>
  </si>
  <si>
    <t>PL SZYN.1.5D OK15KGWOR GAP MR ST</t>
  </si>
  <si>
    <t>PL SZYN.1.5D OK700KG OKT ST</t>
  </si>
  <si>
    <t>PL SZYN.1.5D PBX EŁ1</t>
  </si>
  <si>
    <t>PL SZYN.1.5D PBX SZ</t>
  </si>
  <si>
    <t>***SZYN.1.5D OK20KG NB MR K4 ZAK</t>
  </si>
  <si>
    <t>PL SZYN.1.5D PBX 1OB K4</t>
  </si>
  <si>
    <t>PL SZYN.1.5D PBX K4</t>
  </si>
  <si>
    <t>PL SZYN.1.5D OK20KG NB DMR</t>
  </si>
  <si>
    <t>PL SZYN.1.5D OK15KGWOR GAP DMR</t>
  </si>
  <si>
    <t>PL SZYN.1.5D RO1</t>
  </si>
  <si>
    <t>PL SZYN.1.5D RO2</t>
  </si>
  <si>
    <t>PL SZYN.1.5D PBX ST2</t>
  </si>
  <si>
    <t>EU SZYN.1.5D CH</t>
  </si>
  <si>
    <t>EU SZYN.1.5D PBX ST1</t>
  </si>
  <si>
    <t>EU SZYN.1.5D PBX ST2</t>
  </si>
  <si>
    <t>PP SZYN.1.5D CH</t>
  </si>
  <si>
    <t>PP SZYN.1.5D OK20KG NB MR ST</t>
  </si>
  <si>
    <t>PP SZYN.1.5D OK700KG OKT ST</t>
  </si>
  <si>
    <t>PP SZYN.1.5D OK20KG NB DMR</t>
  </si>
  <si>
    <t>PP SZYN.1.5D RO1</t>
  </si>
  <si>
    <t>PP SZYN.1.5D RO2</t>
  </si>
  <si>
    <t>PP SZYN.1.5D PBX ST2</t>
  </si>
  <si>
    <t>PL SZYN.1.5D GAP CH</t>
  </si>
  <si>
    <t>PL SZYN.1.5D PBX GAP ST</t>
  </si>
  <si>
    <t>PL SZYN.1.5D ROZP1</t>
  </si>
  <si>
    <t>PL SZYN.1.5D ROZP2</t>
  </si>
  <si>
    <t>***SZYN.WP.B/K 2D B/M.DWUGŁOW. USR</t>
  </si>
  <si>
    <t>SZYN.2D B/M.DWUGŁOW.CH PBX ST</t>
  </si>
  <si>
    <t>PL SZYN.1.5D MAC.CH</t>
  </si>
  <si>
    <t>PP SZYN.1.5D MAC.CH</t>
  </si>
  <si>
    <t>PL SZYN.Z/K.B/GOL.11911 HILT CH</t>
  </si>
  <si>
    <t>PL SZYN.Z/K.B/GOL.OK20KGWOR PJ</t>
  </si>
  <si>
    <t>PL SZYN.Z/K.B/GOL.OK500KG OKT</t>
  </si>
  <si>
    <t>EU SZYN.Z/K.B/GOL.11911 HILT CH</t>
  </si>
  <si>
    <t>***SZYN.WP.Z/K/SK/GOL UŚR</t>
  </si>
  <si>
    <t>***SZYN.Z/K/SK/GOL CH HOL. ZAK</t>
  </si>
  <si>
    <t>***SZYN.WP.Z/K/SK/NOGĄ CH USR</t>
  </si>
  <si>
    <t>***SZYN.WP.Z/K/SK/NOGĄ LUZ CH CHOINKA EX</t>
  </si>
  <si>
    <t>***SZYN.WP.Z/K/SK/NOGĄ LUZ CH OKTOB.EX</t>
  </si>
  <si>
    <t>ELEM.SZYNKA CIECHANOWSKA USR CH</t>
  </si>
  <si>
    <t>***SZYN.CIECHANOWSKA NB MR ST</t>
  </si>
  <si>
    <t>***SZYN.CIECHANOWSKA LUZ OK15KG PJ ST</t>
  </si>
  <si>
    <t>***SZYN.CIECHANOWSKA NB DMR</t>
  </si>
  <si>
    <t>***ELEM.SZYN.CIECHANOWSKA KLE CH</t>
  </si>
  <si>
    <t>PP EL.SZYN.CIECH/MAGN.CH</t>
  </si>
  <si>
    <t>PP EL.SZYN.CIECH/MAGN.OK20KG NB MR</t>
  </si>
  <si>
    <t>PP EL.SZYN.CIECH/MAGN.OK20KG NB DMR</t>
  </si>
  <si>
    <t>PP EL.SZYN.CIECH/MAGN.RO1</t>
  </si>
  <si>
    <t>PP EL.SZYN.CIECH/MAGN.RO2</t>
  </si>
  <si>
    <t>***SZYN.WP.B/K - COLARINO USR</t>
  </si>
  <si>
    <t>***SZYN.WP.B/K - VELUTATO CH USR</t>
  </si>
  <si>
    <t>***SZYN.WP.B/K - COLARONE USR</t>
  </si>
  <si>
    <t>***PL MŚ.SZYN.6-8KGTRM OK700KG OKT SF GB</t>
  </si>
  <si>
    <t>***PL MŚ.SZYN.6-8KGTRM OK21KGKT MR SF GB</t>
  </si>
  <si>
    <t>***PL MŚ.SZYN.GR 6-8KGTRMOK21KGKTDMR SFL</t>
  </si>
  <si>
    <t>***EU MŚ.SZYNKI GB 6-8KG TRM JBX SFL</t>
  </si>
  <si>
    <t>***EU MŚ.SZYN.GR 6-8KGTRM OK21KGKTMR SFL</t>
  </si>
  <si>
    <t>***EU MŚ.SZYN.GR 6-8KGTRMOK21KGKTDMR SFL</t>
  </si>
  <si>
    <t>SZYN.WP. Z/K/SK/NOGĄ REDONDO USR CH</t>
  </si>
  <si>
    <t>***SZYN.WP.Z/K/S/NOGĄREDONDOCHCHOINEX</t>
  </si>
  <si>
    <t>***SZYN.WP.B/K/SK SPECK USR</t>
  </si>
  <si>
    <t>***SZYN.WP.SILVERSIDE USR</t>
  </si>
  <si>
    <t>***SZYN.SILVERSIDE OK10KG TRM EX</t>
  </si>
  <si>
    <t>***SZYN.B/K.S.TŁGOL.M.PÓŁBŁONIAST.CH USR</t>
  </si>
  <si>
    <t>***SZYN.WP.B/K 1/2ST TRM OK.20KG SK CH T</t>
  </si>
  <si>
    <t>***SZYN.Z/K/SK.B/GOL CH</t>
  </si>
  <si>
    <t>***SZYN.WP.Z/K LUZ OK 20KG KT TIP</t>
  </si>
  <si>
    <t>PL SZYN.Z/K/SK/NG.REDONDO V-CUT CH</t>
  </si>
  <si>
    <t>EU SZYN.Z/K/SK/NG.REDONDO V-CUT CH</t>
  </si>
  <si>
    <t>PL SZYN.B/K/MŚ.DWUG/MŚ.BRZUCH.</t>
  </si>
  <si>
    <t>EU SZYN.B/K/MŚ.DWUG/MŚ.BRZUCH.</t>
  </si>
  <si>
    <t>***SZYN.Z/K/SK/GOL CH DAN. ZAK</t>
  </si>
  <si>
    <t>PL SZYN.B/K/DWUG/PÓŁBŁ.1205 CH1</t>
  </si>
  <si>
    <t>PL SZYN.B/K/DWUG/PÓŁBŁ.OK20KG NB MR ST</t>
  </si>
  <si>
    <t>PL SZYN.B/K/MŚ.DWUG/MŚ.PÓŁ.1205 PBX ST1</t>
  </si>
  <si>
    <t>PL SZYN.B/K/MŚ.DWUG/MŚ.PÓŁBŁ.WOR.PJ ST</t>
  </si>
  <si>
    <t>PL SZYN.B/K/MŚ.DWUG/PÓŁBŁ.OK20KG PJAF ST</t>
  </si>
  <si>
    <t>PL SZYN.B/K/DWUG/PÓŁBŁ.OK20KG NB DMR</t>
  </si>
  <si>
    <t>PL SZYN.B/K/MŚ.DWUG/PÓŁBŁ.RO1</t>
  </si>
  <si>
    <t>PL SZYN.B/K/DWUG/PÓŁBŁ.1205 CH2</t>
  </si>
  <si>
    <t>PL SZYN.B/K/MŚ.DWUG/PÓŁBŁ.RO2</t>
  </si>
  <si>
    <t>PL SZYN.B/K/MŚ.DWUG/MŚ.PÓŁ.1205 PBX ST2</t>
  </si>
  <si>
    <t>EU SZYN.B/K/DWUG/PÓŁBŁ.1205 CH1</t>
  </si>
  <si>
    <t>EU SZYN.B/K/MŚ.DWUG/MŚ.PÓŁBŁ.PBX ST1</t>
  </si>
  <si>
    <t>EU SZYN.B/K/DWUG/PÓŁBŁ.1205 CH2</t>
  </si>
  <si>
    <t>EU SZYN.B/K/MŚ.DWUG/MŚ.PÓŁBŁ.PBX ST2</t>
  </si>
  <si>
    <t>PP SZYN.B/K/DWUG/PÓŁBŁ.1205 CH</t>
  </si>
  <si>
    <t>PP SZYN.B/K/DWUG/PÓŁBŁ.OK20KG NB MR ST</t>
  </si>
  <si>
    <t>PP SZYN.B/K/MŚ.DWUG/MŚ.PÓŁB.1205 PBX ST1</t>
  </si>
  <si>
    <t>PPSZYN.B/K/MŚ.DWUG/PÓŁBŁ.OK15KGWORPJ ST</t>
  </si>
  <si>
    <t>PP SZYN.B/K/DWUG/PÓŁBŁ.OK20KG NB DMR</t>
  </si>
  <si>
    <t>PP SZYN.B/K/MŚ.DWUG/MŚ.PÓŁBŁ.RO1</t>
  </si>
  <si>
    <t>PP SZYN.B/K/MŚ.DWUG/MŚ.PÓŁBŁ.RO2</t>
  </si>
  <si>
    <t>PP SZYN.B/K/MŚ.DWUG/MŚ.PÓŁB.1205 PBX ST2</t>
  </si>
  <si>
    <t>PL SZYN.Z/K/S/NG.V-CUT TŁ.POW.1.5CM CH</t>
  </si>
  <si>
    <t>EU SZYN.Z/K/S/NG.V-CUT TŁ.POW.1.5CM CH</t>
  </si>
  <si>
    <t>PL MŚ.SZYN.ODBŁ.JAS.CH BST</t>
  </si>
  <si>
    <t>PL MŚ.SZYN.ODBŁ.JAS.PBX BST1</t>
  </si>
  <si>
    <t>PL MŚ.SZYN.ODBŁ.JAS.OK15KG PB MR US ST</t>
  </si>
  <si>
    <t>PL MŚ.SZYN.ODBŁ.JAS.OK15KGWORPJ US ST</t>
  </si>
  <si>
    <t>PL MŚ.SZYN.ODBŁ.JAS.OK15KG WOR DMR US</t>
  </si>
  <si>
    <t>PL MŚ.SZYN.ODBŁ.JAS.RO US1</t>
  </si>
  <si>
    <t>PL MŚ.SZYN.ODBŁ.JAS.PBX BST2</t>
  </si>
  <si>
    <t>PL MŚ.SZYN.ODBŁ.JAS.RO US2</t>
  </si>
  <si>
    <t>EU MŚ.SZYN.ODBŁ.JAS.CH US</t>
  </si>
  <si>
    <t>***EU MŚ.SZYN.ODBŁ.JAS.PBX CH US1</t>
  </si>
  <si>
    <t>***EU MŚ.SZYN.ODBŁ.JAS.OK15KGPB MR US ST</t>
  </si>
  <si>
    <t>EU MŚ.SZYN.ODBŁ.JAS.OK15KGWORPJ CH US ST</t>
  </si>
  <si>
    <t>***EU MŚ.SZYN.ODBŁ.JAS.OK15KG WOR DMR US</t>
  </si>
  <si>
    <t>***EU MŚ.SZYN.ODBŁ.JAS.PBX CH US2</t>
  </si>
  <si>
    <t>PP MŚ.SZYN.ODBŁ.JAS.US CH</t>
  </si>
  <si>
    <t>PP MŚ.SZYN.ODBŁ.JAS.PBX US ST</t>
  </si>
  <si>
    <t>PP MŚ.SZYN.ODBŁ.JAS.OK15KGWORPJ US ST</t>
  </si>
  <si>
    <t>PL MŚ.SZYN.ODBŁ.CIE.CH US</t>
  </si>
  <si>
    <t>***PL MŚ.SZYN.ODBŁ.CIE.OK500PBX CH US ST</t>
  </si>
  <si>
    <t>PL MŚ.SZYN.ODBŁ.CIE.OK15KG PB MR US ST</t>
  </si>
  <si>
    <t>PL MŚ.SZYN.ODBŁ.CIE.OK15KGWORPJ US ST</t>
  </si>
  <si>
    <t>PL MŚ.SZYN.ODBŁ.CIE.OK15KGWOR DMR</t>
  </si>
  <si>
    <t>EU MŚ.SZYN.ODBŁ.CIE CH US</t>
  </si>
  <si>
    <t>***EU MŚ.SZYN.ODBŁ.CIEM.OK15KGPBMR US ST</t>
  </si>
  <si>
    <t>***EU MŚ.SZYN.ODBŁ.CIE.OK15KGWORPJUSST</t>
  </si>
  <si>
    <t>EU MŚ.SZYN.ODBŁ.CIE.OK15KGWOR DMR BST</t>
  </si>
  <si>
    <t>PP MŚ.SZYN.ODBŁ.CIE.CH US</t>
  </si>
  <si>
    <t>PP MŚ.SZYN.ODBŁ.CIE.PBX US ST</t>
  </si>
  <si>
    <t>PP MŚ.SZYN.ODBŁ.CIE.OK15KGWORPJ US ST</t>
  </si>
  <si>
    <t>***PL MŚ.PÓŁBŁ.B/M.SMUK.N/OBR.US CH</t>
  </si>
  <si>
    <t>***PL MŚ.PÓŁB. B/M.SMUK.N/OBR.PBX US CH</t>
  </si>
  <si>
    <t>***PLMŚ.PÓŁBŁ.B/M.SM.N/OBR.OK15KGWPJUSST</t>
  </si>
  <si>
    <t>PL SZYN.4D B/M.BRZUCH.KAW.OK1KG</t>
  </si>
  <si>
    <t>PL SZYN.4D B/M.BRZ.KAW.OK1KGOK500KGPBXCH</t>
  </si>
  <si>
    <t>PL SZYN.4D B/M.BR.KAW.OK1KGVACOK7KGKT EX</t>
  </si>
  <si>
    <t>PL SZYN.4D B/M.BRZ.KAW.OK500KG PBX CH</t>
  </si>
  <si>
    <t>PP SZYN.4D B/MŚ.BRZUCH.KAW.</t>
  </si>
  <si>
    <t>PP SZYN.4D B/MŚ.BRZ.KAW.PBX</t>
  </si>
  <si>
    <t>***SZYN.4D B/M.DWUGŁOWEGO CH USR</t>
  </si>
  <si>
    <t>***SZYN.Z/K.B/GOL.OBR CH</t>
  </si>
  <si>
    <t>***SZYN.WP.B/K 4D Z/SK USR</t>
  </si>
  <si>
    <t>***SZYN.WP.Z/K4D Z/SK1ST TRM OK.20KT SFL</t>
  </si>
  <si>
    <t>***EL.NA SZYNKE BONDA OK15KG WOR PJ CHEŁ</t>
  </si>
  <si>
    <t>***ELEM.SZYN.WIEJSKA CH</t>
  </si>
  <si>
    <t>***ELEM.SZYN.WIEJSKANB MR ST</t>
  </si>
  <si>
    <t>***ELEM.SZYN.WIEJSKA LUZ PJ</t>
  </si>
  <si>
    <t>***ELEM.SZYN.WIEJSKA LUZ PJ ST</t>
  </si>
  <si>
    <t>ELEM.SZYN. SZWAGRA CH PJ SZ</t>
  </si>
  <si>
    <t>***ELEM.SZYN.WIEJSKA NB. DMR</t>
  </si>
  <si>
    <t>***ELEM.SZYN.WIEJSKA PB. DMR</t>
  </si>
  <si>
    <t>***ELEM.SZYN.WIEJSKA NB. RO</t>
  </si>
  <si>
    <t>***SZYN.WP.B/K - VELUTATO KL.S CH</t>
  </si>
  <si>
    <t>PL SZYN.B/K.VELUTATO CH</t>
  </si>
  <si>
    <t>EU SZYN.B/K.VELUTATO CH</t>
  </si>
  <si>
    <t>***SZYN.4 D USR CH</t>
  </si>
  <si>
    <t>PL SZYN.4D OK20KGWOR KT EX</t>
  </si>
  <si>
    <t>PL SZYN.4D OK15KGLUZ PJ ST</t>
  </si>
  <si>
    <t>PL SZYN.4D OK20KGWOR KT MR EX</t>
  </si>
  <si>
    <t>PL SZYN.WP.4D 1STVAC OK15KGPJ STO</t>
  </si>
  <si>
    <t>PL SZYN.4D 1STVAC OK15KGKT</t>
  </si>
  <si>
    <t>PP SZYN.4D 1/2STVAC OK8KGKT BIED</t>
  </si>
  <si>
    <t>PL SZYN.4D 1STVAC OK15KGKT MORE EX</t>
  </si>
  <si>
    <t>***SZYN.4D OK.15KG PJ CH ST</t>
  </si>
  <si>
    <t>SZYN.WP.4D ZAK</t>
  </si>
  <si>
    <t>SZYN.WP.4D MR ZAK</t>
  </si>
  <si>
    <t>PL SZYN.4D OK20KGWOR KT DMR</t>
  </si>
  <si>
    <t>SZYN.4D OK15KGKT RO1</t>
  </si>
  <si>
    <t>***SZYN.4D OK15KGKT RO2</t>
  </si>
  <si>
    <t>***SZYN.4D UŚR PL</t>
  </si>
  <si>
    <t>PL SZYN.WP.B/K.PBX CH KAUF1</t>
  </si>
  <si>
    <t>PL SZYN.B/K.CIĘ.2STMAP 2STKT KAUF</t>
  </si>
  <si>
    <t>PL SZYN.WP.B/K.CIĘ.OK6KGVACOK20KGKT KAUF</t>
  </si>
  <si>
    <t>PL SZYN.B/K.CIĘ.2STVAC 2STKT KAUF</t>
  </si>
  <si>
    <t>PL SZYN.B/K/S/GOL/PÓŁBŁ.1STVAC 2STKT</t>
  </si>
  <si>
    <t>PL SZYN.B/K/S/G/PÓŁBŁ.1STVAC MAX20KGPJ</t>
  </si>
  <si>
    <t>PL SZYN.B/K/S/G/PÓŁBŁ.1STVACOK12KGKT SEL</t>
  </si>
  <si>
    <t>PL SZYN.B/K/S/G/PÓŁBŁ.OK15KGLUZ PJ AGRO</t>
  </si>
  <si>
    <t>PL SZYN.WP.B/K.PBX CH KAUF2</t>
  </si>
  <si>
    <t>PL MŚ.BRZUCH.N/OBR.CH1</t>
  </si>
  <si>
    <t>PL MŚ.BRZUCH.N/OBR.OK20KG NB MR ST</t>
  </si>
  <si>
    <t>PL MŚ.BRZUCH.N/OBR.OK15KGLUZ PJ ST</t>
  </si>
  <si>
    <t>***PL MŚ.BRZUCH.LUZ PJ HILT</t>
  </si>
  <si>
    <t>***MŚ.BRZUCH.N/OBR.OKT LUZ ST</t>
  </si>
  <si>
    <t>PL MŚ.BRZUCH.N/OBR.PBX ST</t>
  </si>
  <si>
    <t>PL MŚ.BRZUCH.N/OBR.OK20KG NB DMR</t>
  </si>
  <si>
    <t>MŚ.BRZUCH.N/OBR PB RO1</t>
  </si>
  <si>
    <t>PL MŚ.BRZUCH.N/OBR.CH2</t>
  </si>
  <si>
    <t>MŚ.BRZUCH.N/OBR PB RO2</t>
  </si>
  <si>
    <t>EU MŚ.BRZUCH.N/OBR.CH1</t>
  </si>
  <si>
    <t>***EU MŚ.BRZUCH.LUZ PJ HILT</t>
  </si>
  <si>
    <t>EU MŚ.BRZUCH.N/OBR.CH2</t>
  </si>
  <si>
    <t>PP MŚ.BRZUCH.N/OBR.CH</t>
  </si>
  <si>
    <t>PP MŚ.BRZUCH.N/OBR.OK20KG NB MR ST</t>
  </si>
  <si>
    <t>PP MŚ.BRZUCH.N/OBR.OK15KGLUZ PJ ST</t>
  </si>
  <si>
    <t>PP MŚ.BRZUCH.N/OBR.OK20KG NB DMR</t>
  </si>
  <si>
    <t>PP MŚ.BRZUCH.N/OBR.RO1</t>
  </si>
  <si>
    <t>PP MŚ.BRZUCH.N/OBR.PBX ST2</t>
  </si>
  <si>
    <t>PP MŚ.BRZUCH.N/OBR.RO2</t>
  </si>
  <si>
    <t>PL MŚ.BRZUCH.N/OBR.ROZP1</t>
  </si>
  <si>
    <t>PL MŚ.BRZUCH.N/OBR.ROZP2</t>
  </si>
  <si>
    <t>***MŚ.SZYN.ODBŁ.JAS.NB MR ST</t>
  </si>
  <si>
    <t>***MŚ.WP.SZYNK.SOG M.JASNEKL.SEURPB MRST</t>
  </si>
  <si>
    <t>PL MŚ.SZYN.ODBŁ.JAS.SOG OK20KG NB MR ST</t>
  </si>
  <si>
    <t>MŚ.WP.SZYNK.SOG M.JASNE KL.SEUR PJ ST</t>
  </si>
  <si>
    <t>MŚ.SZYN.SOG JAS.OK20KGWOR PJ ST</t>
  </si>
  <si>
    <t>MŚ.SZYN.SOG M.JAS.KL.SEUR OK20KGLUZPJ ST</t>
  </si>
  <si>
    <t>***MŚ.SZYN.ODBŁ.JASNE15KG WR PJ CHMORLEŁ</t>
  </si>
  <si>
    <t>***MŚ.SZYN.ODBŁ.JAS.OK500KGPBX MR K4 ZAK</t>
  </si>
  <si>
    <t>PL MŚ.SZYN.ODBŁ.OK20KGVAC MR EŁ</t>
  </si>
  <si>
    <t>PL MŚ.SZYN.ODBŁ.JAS.15KGWOR PJ MOR EŁ1</t>
  </si>
  <si>
    <t>PL MŚ.SZYN.ODBŁ.JAS.OK15KG PB MR MOR EŁ</t>
  </si>
  <si>
    <t>***MŚ.SZYN.ODBŁ.JAS.NB DMR</t>
  </si>
  <si>
    <t>***PL MŚ.SZYN.ODBŁ.JAS.PB DMR</t>
  </si>
  <si>
    <t>PL MŚ.SZYN.ODBŁ.JAS.OK20KG NB DMR</t>
  </si>
  <si>
    <t>***MŚ.SZYN.ODBŁ.JAS.NB RO1</t>
  </si>
  <si>
    <t>MŚ.SZYN.SOG JAS.PB RO1</t>
  </si>
  <si>
    <t>***MŚ.SZYN.ODBŁ.JAS.NB RO2</t>
  </si>
  <si>
    <t>EU MŚ.SZYN.SOG M.JAS.KL.SEUR OK20KGLPJST</t>
  </si>
  <si>
    <t>***EU MŚ.SZYN.ODBŁ.JAS.PB DMR</t>
  </si>
  <si>
    <t>PP MŚ.SZYN.ODBŁ.JAS.SOG OK20KG NB MR ST</t>
  </si>
  <si>
    <t>PP MŚ.SZYN.ODBŁ.JAS.OK15KGWOR PJ ST</t>
  </si>
  <si>
    <t>PP MŚ.SZYN.ODBŁ.JAS.OK15KG NB DMR</t>
  </si>
  <si>
    <t>PP MŚ.SZYN.SOG JAS.RO1</t>
  </si>
  <si>
    <t>PP MŚ.SZYN.SOG JAS.RO2</t>
  </si>
  <si>
    <t>***MŚ.SZYN.ODBŁ.JAS.BLOK NB MR</t>
  </si>
  <si>
    <t>***MŚ.SZYN.ODBŁ.JAS.BLOK NB DMR</t>
  </si>
  <si>
    <t>***MŚ.SZYN.ODBŁ.JAS.BLOK NB RO1</t>
  </si>
  <si>
    <t>***MŚ.SZYN.ODBŁ.JAS.BLOK NB RO2</t>
  </si>
  <si>
    <t>PL MŚ.SZYN.ODBŁ.PBX ST</t>
  </si>
  <si>
    <t>PL MŚ.SZYN.ODBŁ.OK20KGLUZ PJ ST</t>
  </si>
  <si>
    <t>PP MŚ.SZYN.ODBŁ.OK20KGLUZ PJ ST</t>
  </si>
  <si>
    <t>***ELEM.SZYN.FRANCJA CH</t>
  </si>
  <si>
    <t>PL SZYN.Z/K/SK/NG/CZ.POL.CH</t>
  </si>
  <si>
    <t>SZYN.Z/K/SK/NG/CZ.POL.LUZ OKT MR</t>
  </si>
  <si>
    <t>PL SZYN.Z/NG/P/S.OK500KG OKT DMR</t>
  </si>
  <si>
    <t>SZYN.Z/K/SK/NG/CZ.POL.LUZ OKT RO</t>
  </si>
  <si>
    <t>EU SZYN.Z/K/SK/NG/CZ.POL.CH</t>
  </si>
  <si>
    <t>PL SZYN.Z/K/G.B/NG.HAMBURGO</t>
  </si>
  <si>
    <t>PL SZYN.Z/K/G.B/NG.HAMBURGO CHOIN.EX</t>
  </si>
  <si>
    <t>PL MŚ.GOL.CH1</t>
  </si>
  <si>
    <t>***MŚ.Z GOLONKI NB MR ST</t>
  </si>
  <si>
    <t>MŚ.GOL.Z SZYN.PBX ST1</t>
  </si>
  <si>
    <t>MŚ.GOL.Z SZYN.OK20KG NB MR ST</t>
  </si>
  <si>
    <t>***MŚ.GOLONKOWY PB MR ST</t>
  </si>
  <si>
    <t>MŚ.GOL.Z SZYN.OK20KGWOR PJ ST</t>
  </si>
  <si>
    <t>***MŚ.GOLONKOWY OK15KG WOR PJ CH ST</t>
  </si>
  <si>
    <t>PL MŚ.GOL.Z SZYN.OK500KG OKT ST</t>
  </si>
  <si>
    <t>***MŚ.GOL.Z SZYN.PBX ST</t>
  </si>
  <si>
    <t>MŚ.GOL.Z SZYN.PBX ST</t>
  </si>
  <si>
    <t>PL MŚ.GOLON.DMR</t>
  </si>
  <si>
    <t>PL MŚ.GOL.Z SZYN.OK20KG NB DMR</t>
  </si>
  <si>
    <t>***MŚ.WP. Z/GOLONKI NB RO</t>
  </si>
  <si>
    <t>MŚ.GOL.Z SZYN.RO1</t>
  </si>
  <si>
    <t>PL MŚ.GOL.CH2</t>
  </si>
  <si>
    <t>MŚ.GOL.Z SZYN.PBX ST2</t>
  </si>
  <si>
    <t>MŚ.GOL.Z SZYN.RO2</t>
  </si>
  <si>
    <t>EU MŚ.GOL.CH</t>
  </si>
  <si>
    <t>EU MŚ.GOL.PBX1</t>
  </si>
  <si>
    <t>***EU MŚ.GOLON.OKT CH ST</t>
  </si>
  <si>
    <t>***EU MŚ.GOLON.DMR</t>
  </si>
  <si>
    <t>EU MŚ.GOL.PBX2</t>
  </si>
  <si>
    <t>PP MŚ.GOL.CH</t>
  </si>
  <si>
    <t>PP MŚ.GOL.Z SZYN.OK20KG PB MR ST</t>
  </si>
  <si>
    <t>PP GOL.Z SZYN.OK20KGLUZ PJ ST</t>
  </si>
  <si>
    <t>PP MŚ.GOL.Z SZYN.OK500KG OKT ST</t>
  </si>
  <si>
    <t>PP MŚ.GOL.Z SZYN.PBX ST</t>
  </si>
  <si>
    <t>PP MŚ.GOL.Z SZYN.OK20KG PB DMR</t>
  </si>
  <si>
    <t>MŚ.GOL.Z SZYN.ROZP1</t>
  </si>
  <si>
    <t>MŚ.GOL.Z SZYN.ROZP2</t>
  </si>
  <si>
    <t>MŚ.SZYN.ODBŁ.CIE.CH</t>
  </si>
  <si>
    <t>MŚ.SZYN.ODBŁ.CIE.OK20KG NB MR ST</t>
  </si>
  <si>
    <t>***MŚ.WP.CIEMNE LUZ MR ST</t>
  </si>
  <si>
    <t>***MŚ.WP.SZYNK.SOG M.CIEMNE SEUR PJ CHST</t>
  </si>
  <si>
    <t>PL MŚ.SZYN.ODBŁ.CIE.OK15KGWOR PJ ST</t>
  </si>
  <si>
    <t>PL MŚ.SZYN.ODBŁ.CIE.OK20KGWOR PJ ST</t>
  </si>
  <si>
    <t>PL MŚ.SZYN.ODBŁ.CIE.OK20KG NB DMR</t>
  </si>
  <si>
    <t>***PL MŚ.CIE.LUZ DMR</t>
  </si>
  <si>
    <t>MŚ.SZYN.ODBŁ.CIE.NB RO1</t>
  </si>
  <si>
    <t>MŚ.SZYN.ODBŁ.CIE.NB RO2</t>
  </si>
  <si>
    <t>EU MŚ.SZYN.ODBŁ.CIE.OK15KGWOR PJ ST</t>
  </si>
  <si>
    <t>***EU MŚ.CIE.LUZ DMR</t>
  </si>
  <si>
    <t>PP MŚ.SZYN.ODBŁ.CIE.OK20KG NB MR ST</t>
  </si>
  <si>
    <t>PP MŚ.SZYN.ODBŁ.CIE.OK15KGWOR PJ ST</t>
  </si>
  <si>
    <t>PP MŚ.SZYN.ODBŁ.CIE.OK15KG NB DMR</t>
  </si>
  <si>
    <t>PP MŚ.SZYN.ODBŁ.CIE.RO1</t>
  </si>
  <si>
    <t>PP MŚ.SZYN.ODBŁ.CIE.RO2</t>
  </si>
  <si>
    <t>MŚ.SZYN.ODBŁ.CIE.ROZP1</t>
  </si>
  <si>
    <t>PP MŚ.SZYN.ODBŁ.CIE.ROZP1</t>
  </si>
  <si>
    <t>MŚ.SZYN.ODBŁ.CIE.ROZP2</t>
  </si>
  <si>
    <t>PP MŚ.SZYN.ODBŁ.CIE.ROZP2</t>
  </si>
  <si>
    <t>***SZYN. 6D UŚR</t>
  </si>
  <si>
    <t>***SZYN.6D NB MR</t>
  </si>
  <si>
    <t>***SZYN.6D NB DMR</t>
  </si>
  <si>
    <t>***SZYN.6D NB RO1</t>
  </si>
  <si>
    <t>***SZYN.6D NB RO2</t>
  </si>
  <si>
    <t>***SZYN.WP.Z/K/SK/NOGĄ /CZ.POL.KL.U CH</t>
  </si>
  <si>
    <t>***MŚ.CZTEROGŁ.N/OBR.NB MR</t>
  </si>
  <si>
    <t>***MŚ.CZTEROGŁ.N/OBR.NB DMR</t>
  </si>
  <si>
    <t>***MŚ.CZTEROGŁ.N/OBR.NB RO1</t>
  </si>
  <si>
    <t>***MŚ.CZTEROGŁ.N/OBR.NB RO2</t>
  </si>
  <si>
    <t>***MŚ.CZTEROG.N/OBR.NIEM MR ZAK</t>
  </si>
  <si>
    <t>***SZYN.Z/K.B/GOL.OBR KL.E CH</t>
  </si>
  <si>
    <t>***SZYN.Z/K.B/GOL.OBR KL.U CH</t>
  </si>
  <si>
    <t>***SZYN.B/K.S.TŁ.GOL.M.PÓŁBŁONIAST.KLSCH</t>
  </si>
  <si>
    <t>***SZYN.B/K.S.TŁ.GOL.M.PÓŁBŁONIAST.KLUCH</t>
  </si>
  <si>
    <t>***SZYN. B/K.STŁ.GOL.M.PÓŁBŁONIAST.KLECH</t>
  </si>
  <si>
    <t>PL SZYN.4D CH1</t>
  </si>
  <si>
    <t>SZYN.4D NB MR ST</t>
  </si>
  <si>
    <t>PL SZYN.4D PBX CH1</t>
  </si>
  <si>
    <t>PL SZYN.4D OK15KGWOR PJ EŁ</t>
  </si>
  <si>
    <t>PL SZYN.4D OK15KGLUZ PJ SZ</t>
  </si>
  <si>
    <t>PL SZYN.4D OK20KGLUZ PJ K4</t>
  </si>
  <si>
    <t>PL SZYN.4D NB DMR</t>
  </si>
  <si>
    <t>SZYN.4D NB RO1</t>
  </si>
  <si>
    <t>PL SZYN.4D CH2</t>
  </si>
  <si>
    <t>SZYN.4D NB RO2</t>
  </si>
  <si>
    <t>EU SZYN.4D CH1</t>
  </si>
  <si>
    <t>EU SZYN.4D CH2</t>
  </si>
  <si>
    <t>PP SZYN.4D CH</t>
  </si>
  <si>
    <t>SZYN.4D ROZP1</t>
  </si>
  <si>
    <t>SZYN.4D ROZP2</t>
  </si>
  <si>
    <t>***SZYN.4 D KL.U CH</t>
  </si>
  <si>
    <t>***SZYN.KL.U 4D PL</t>
  </si>
  <si>
    <t>***SZYN.WP.Z/K/SK/NOGĄ KL.E CH</t>
  </si>
  <si>
    <t>***SZYN.WP.Z/K/SK/NOGĄ KL.U CH</t>
  </si>
  <si>
    <t>***SZYN.B/K 4D KL.S</t>
  </si>
  <si>
    <t>***SZYN.KL.S 4D PL</t>
  </si>
  <si>
    <t>PL MŚ.SZYN.ODBŁ.JAS.CH1</t>
  </si>
  <si>
    <t>PL MŚ.SZYN.ODBŁ.JAS.PBX1</t>
  </si>
  <si>
    <t>PL MŚ.SZYN.ODBŁ.JAS.PBX ST</t>
  </si>
  <si>
    <t>PL MŚ.SZYN.ODBŁ.JAS.PBX K4</t>
  </si>
  <si>
    <t>PL MŚ.SZYN.ODBŁ.JAS.PBX2</t>
  </si>
  <si>
    <t>EU MŚ.SZYN.ODBŁ.JAS.CH1</t>
  </si>
  <si>
    <t>***PL MŚ.SZYN.ODBŁ.JAS.BLOK PBX CH1</t>
  </si>
  <si>
    <t>***PL MŚ.SZYN.ODBŁ.JAS.BLOK CH PJ ST</t>
  </si>
  <si>
    <t>***PL MŚ.SZYN.ODBŁ.JAS.BLOK PBX CH2</t>
  </si>
  <si>
    <t>***EU MŚ.SZYN.JAS.ODBŁ.BLOK CH</t>
  </si>
  <si>
    <t>PP MŚ.SZYN.ODBŁ.JAS.CH</t>
  </si>
  <si>
    <t>PP MŚ.SZYN.ODBŁ.JAS.PBX ST</t>
  </si>
  <si>
    <t>PL MŚ.CZTER.ODBŁ.CH</t>
  </si>
  <si>
    <t>PL MŚ.CZTER.ODBŁ.OK5KGVAC OK20KGKT EX</t>
  </si>
  <si>
    <t>PL MŚ.CZTER.ODBŁ.OK15KG PJ AGRO</t>
  </si>
  <si>
    <t>EU MŚ.CZTER.ODBŁ.CH</t>
  </si>
  <si>
    <t>PL MŚ.SZYN.ODBŁ.CIE.CH1</t>
  </si>
  <si>
    <t>MŚ.SZYN.ODBŁ.CIE.KLE NB MR</t>
  </si>
  <si>
    <t>PL MŚ.SZYN.ODBŁ.CIE.PBX ST1</t>
  </si>
  <si>
    <t>PL MŚ.SZYN.ODBŁ.CZTER.CIE.OK20KGNB MR ST</t>
  </si>
  <si>
    <t>M-Ń SZYN.ODBŁ.CIEMNE KL.E OK 15KG PJ CH</t>
  </si>
  <si>
    <t>M-Ń SZYN.ODBŁ.CIEMNE KL.E ZAK</t>
  </si>
  <si>
    <t>M-Ń SZYN.ODBŁ.CIEMNE KL.E CH ZAK</t>
  </si>
  <si>
    <t>***MŚ.SZYN.ODBŁ.CIE.KLE NB DMR</t>
  </si>
  <si>
    <t>PL MŚ.SZYN.ODBŁ.CZTER.CIE.OK20KG NB DMR</t>
  </si>
  <si>
    <t>PL MŚ.SZYN.ODBŁ.CIE.CH2</t>
  </si>
  <si>
    <t>PL MŚ.SZYN.ODBŁ.CIE.PBX ST2</t>
  </si>
  <si>
    <t>EU MŚ.SZYN.CIE.ODBŁ.CH1</t>
  </si>
  <si>
    <t>EU MŚ.SZYN.ODBŁ.CIE.PBX CH1</t>
  </si>
  <si>
    <t>EU MŚ.SZYN.ODBŁ.CZTER.CIE.OK20KGNB MR ST</t>
  </si>
  <si>
    <t>EU MŚ.SZYN.ODBŁ.CZTER.CIE.OK20KG NB DMR</t>
  </si>
  <si>
    <t>EU MŚ.SZYN.CIE.ODBŁ.CH2</t>
  </si>
  <si>
    <t>EU MŚ.SZYN.ODBŁ.CIE.PBX CH2</t>
  </si>
  <si>
    <t>MŚ.SZYN.ODBŁ.CIE.DROBN.CH1</t>
  </si>
  <si>
    <t>***MŚ.SZYN.ODBŁ.CIE.DROB.MR ST</t>
  </si>
  <si>
    <t>PL MŚ.SZYN.ODBŁ.CIE.OK15KGWOR PJ</t>
  </si>
  <si>
    <t>PL MŚ.SZYN.ODBŁ.CIE.DR.OK15KGWOR PJ JBB</t>
  </si>
  <si>
    <t>***MŚ.SZYN.ODBŁ.CIE.DROBN.DMR</t>
  </si>
  <si>
    <t>***MŚ.SZYN.ODBŁ.CIE.DROB.RO1</t>
  </si>
  <si>
    <t>***MŚ.SZYN.ODBŁ.CIE.DROB.RO2</t>
  </si>
  <si>
    <t>PP MŚ.SZYN.ODBŁ.CIE.CH</t>
  </si>
  <si>
    <t>PP MŚ.SZYN.ODBŁ.CIE.PBX ST1</t>
  </si>
  <si>
    <t>PP MŚ.SZYN.ODBŁ.CZTER.CIE.OK20KGNB MR ST</t>
  </si>
  <si>
    <t>PP MŚ.SZYN.ODBŁ.CZTER.CIE.OK20KG NB DMR</t>
  </si>
  <si>
    <t>PP MŚ.SZYN.ODBŁ.CIE.PBX ST2</t>
  </si>
  <si>
    <t>PL MŚ.SZYN.ODBŁ.CIE.MAC.CH</t>
  </si>
  <si>
    <t>PL MŚ.SZYN.ODBŁ.CIE.MAC.PBX1</t>
  </si>
  <si>
    <t>PL MŚ.SZYN.ODBŁ.CIE.MAC.PBX ST</t>
  </si>
  <si>
    <t>PL MŚ.SZYN.ODBŁ.CIE.MAC.PBX2</t>
  </si>
  <si>
    <t>PP MŚ.SZYN.ODBŁ.CIE.MAC.CH</t>
  </si>
  <si>
    <t>PP MŚ.SZYN.ODBŁ.CIE.MAC.PBX1</t>
  </si>
  <si>
    <t>PP MŚ.SZYN.ODBŁ.CIE.MAC.PBX ST</t>
  </si>
  <si>
    <t>PP MŚ.SZYN.ODBŁ.CIE.MAC.PBX2</t>
  </si>
  <si>
    <t>***SZYN.WP.4D B/M.DWUGŁOWEGO KL.S CH</t>
  </si>
  <si>
    <t>***SZYN.WP.4D B/M.DWUGŁOWEGO KL.U CH</t>
  </si>
  <si>
    <t>***SZYN.WP.B/K - COLARONE KL.S CH</t>
  </si>
  <si>
    <t>PL SZYN.B/K.COLARONE CH</t>
  </si>
  <si>
    <t>EU SZYN.B/K.COLARONE CH</t>
  </si>
  <si>
    <t>***ELEM.SZYN.WIEJSKA KL.E CH</t>
  </si>
  <si>
    <t>***ELEM.SZYN.WIEJSKA KL.E NB MR</t>
  </si>
  <si>
    <t>***ELEM.SZYN.WIEJSKA KL.E NB DMR</t>
  </si>
  <si>
    <t>***ELEM.SZYN.WIEJSKA KL.U CH</t>
  </si>
  <si>
    <t>***ELEM.SZYN.WIEJSKA KL.U NB MR</t>
  </si>
  <si>
    <t>***ELEM.SZYN.WIEJSKA KL.U DMR</t>
  </si>
  <si>
    <t>***SZYN.WP.B/K - COLARINO KL.S CH</t>
  </si>
  <si>
    <t>PL SZYN.B/K.COLARINO CH</t>
  </si>
  <si>
    <t>EU SZYN.B/K.COLARINO CH</t>
  </si>
  <si>
    <t>***ELEM.SZYN.WIEJSKA KL.S CH</t>
  </si>
  <si>
    <t>ELEM.SZYN.TRADYCYJ/MOCNO WĘDZ KL.E NB MR</t>
  </si>
  <si>
    <t>EL.SZYN.TRAD.MOC.WĘDZ.KLE OK500KG PBX SZ</t>
  </si>
  <si>
    <t>***ELEM.SZYN.TRADYCYJ/MOC.WĘDZ.KLENBDMR</t>
  </si>
  <si>
    <t>***ELEM.SZYN.TRADYCYJ/MOCNO WĘDZ KL.U CH</t>
  </si>
  <si>
    <t>***ELEM.SZYN.TRADYCYJ/MOCNO WĘDZ KL.R CH</t>
  </si>
  <si>
    <t>PL SZYN.Z/K/SK/NG.REDONDO CH</t>
  </si>
  <si>
    <t>PL SZYN.Z/K/SK/NG.REDONDO CHOIN.EX</t>
  </si>
  <si>
    <t>EU SZYN.Z/K/SK/NG.REDONDO CH</t>
  </si>
  <si>
    <t>***ELEM.SZYN.TRADYCYJ/MOCNO WĘDZ KL.S CH</t>
  </si>
  <si>
    <t>PL MŚ.SZYNKI GB CH</t>
  </si>
  <si>
    <t>PL MŚ.SZYN.PBX CH GB</t>
  </si>
  <si>
    <t>PL MŚ.SZYN.OK500KGPBX CH</t>
  </si>
  <si>
    <t>EU MŚ.SZYNKI GB CH</t>
  </si>
  <si>
    <t>***EU MŚ.SZYN.PBX CH GB</t>
  </si>
  <si>
    <t>PL SZYN.B/K/SK.SPECK CH</t>
  </si>
  <si>
    <t>PL SZYN.B/K/SK.SPECK PBX CH</t>
  </si>
  <si>
    <t>EU SZYN.B/K/SK.SPECK CH</t>
  </si>
  <si>
    <t>PL SZYN.4D KAW.OK1KG</t>
  </si>
  <si>
    <t>PL ZR.DOLNA B/LIG.CH</t>
  </si>
  <si>
    <t>***PL ZR.DOLNA B/LIG.LUZ PJ CH HILT</t>
  </si>
  <si>
    <t>EU ZR.DOLNA B/LIG.CH</t>
  </si>
  <si>
    <t>***EU ZR.DOLNA B/LIG.LUZ PJ CH HILT</t>
  </si>
  <si>
    <t>PL SZYN.4D B/M.BRZUCH.11005 CH HILT</t>
  </si>
  <si>
    <t>PL SZYN.4D B/M.BRZ.PBX1</t>
  </si>
  <si>
    <t>PL SZYN.4D B/M.BRZ.OK1.3KGVACOK6KGKTBIED</t>
  </si>
  <si>
    <t>PP SZYN.WP.B/K.OK1.4KGVAC OK8.4KGKT LIDL</t>
  </si>
  <si>
    <t>PL SZYN.WP.B/K.OK1.4KGVACOK8.4KGKTLIDLLT</t>
  </si>
  <si>
    <t>PL SZYN.WP.B/K.OK1.4KGVACOK8.4KGKTLIDLSK</t>
  </si>
  <si>
    <t>PL SZYN.4D B/M.BRZ.OK1KGVACOK10KGKT MAKR</t>
  </si>
  <si>
    <t>PL SZYN.B/K.OK1.4KGVAC OK8.4KGKT LIDL</t>
  </si>
  <si>
    <t>PLSZYN.4D B/BRZ.OK1.3KGVACOK6KGKT3OBBIED</t>
  </si>
  <si>
    <t>PL SZYN.4D B/M.BRZ.OK15KGWOR PJ CH ST</t>
  </si>
  <si>
    <t>PL SZYN.4D B/M.BRZ.PBX ST</t>
  </si>
  <si>
    <t>PL SZYN.4D B/M.BRZ.PBX2</t>
  </si>
  <si>
    <t>***SZYN.4D.B/M.BRZUCH. 11005 HILTON USR</t>
  </si>
  <si>
    <t>***SZYN.4D B/M-Ń BRZUCH.1ST TRM PJ HILT.</t>
  </si>
  <si>
    <t>***SZYN.4D B/M-Ń BRZUCHT.WOR LUZ PJ HILT</t>
  </si>
  <si>
    <t>PL SZYN.B/K/MŚ.DWUG/PÓŁBŁ/BRZUCH.CH</t>
  </si>
  <si>
    <t>PL SZYN.B/K/MŚ.DWUG/PÓŁ/BRZ.OK20KGNBMRST</t>
  </si>
  <si>
    <t>PL SZYN.B/K/MŚ.DWUG/PÓŁBŁ/BRZUCH.PBX1</t>
  </si>
  <si>
    <t>PL SZYN.B/K/MŚ.DWUG/PÓŁBŁ/BRZUCH.PBX ST</t>
  </si>
  <si>
    <t>PL SZYN.B/K/MŚ.DWUG/PÓŁ/BRZU.OK20KGNBDMR</t>
  </si>
  <si>
    <t>PL SZYN.B/K/MŚ.DWUG/PÓŁ/BRZUCH.RO1</t>
  </si>
  <si>
    <t>PL SZYN.B/K/MŚ.DWUG/PÓŁ/BRZUCH.RO2</t>
  </si>
  <si>
    <t>PL SZYN.B/K/MŚ.DWUG/PÓŁBŁ/BRZUCH.PBX2</t>
  </si>
  <si>
    <t>PP SZYN.B/K/MŚ.DWUG/PÓŁBŁ/BRZUCH.CH</t>
  </si>
  <si>
    <t>PP SZYN.B/K/MŚ.DWUG/PÓŁ/BRZ.OK20KGNBMRST</t>
  </si>
  <si>
    <t>PP SZYN.B/K/MŚ.DWUG/PÓŁBŁ/BRZUCH.PBXST1</t>
  </si>
  <si>
    <t>PP SZYN.B/K/MŚ.DWUG/PÓŁ/BRZU.OK20KGNBDMR</t>
  </si>
  <si>
    <t>PP SZYN.B/K/MŚ.DWUG/PÓŁ/BRZU.RO1</t>
  </si>
  <si>
    <t>PP SZYN.B/K/MŚ.DWUG/PÓŁ/BRZU.RO2</t>
  </si>
  <si>
    <t>PP SZYN.B/K/MŚ.DWUG/PÓŁBŁ/BRZUCH.PBXST2</t>
  </si>
  <si>
    <t>***SZYN.WP.B/K 2D KL.U CH</t>
  </si>
  <si>
    <t>PL SZYN.4D KAW.</t>
  </si>
  <si>
    <t>PL SZYN.4D KAW.OK500KG PBX CH</t>
  </si>
  <si>
    <t>***ŁOP.Z/K/SK.B/GOL KL.E CH</t>
  </si>
  <si>
    <t>***ŁOP. WP. Z/K B/GOL/SK KL.U CH</t>
  </si>
  <si>
    <t>***ŁOP. WP. Z/K B/GOL/SK KL.R CH</t>
  </si>
  <si>
    <t>***ŁOP. WP. Z/K B/GOL/SK KL.O CH</t>
  </si>
  <si>
    <t>***ŁOP. WP. Z/K B/GOL/SK KL.S CH</t>
  </si>
  <si>
    <t>PL ŁOP.Z/K/SK.B/GOL.CH</t>
  </si>
  <si>
    <t>EU ŁOP.Z/K/SK.B/GOL.CH</t>
  </si>
  <si>
    <t>ŁOP.Z/K/GOL/S/TŁ.KARK.CH</t>
  </si>
  <si>
    <t>PL ŁOP.1.5D CH1</t>
  </si>
  <si>
    <t>PL ŁOP.1.5D PBX ST1</t>
  </si>
  <si>
    <t>PL ŁOP.WP.1.5D OK15KGWOR GAP MR ST</t>
  </si>
  <si>
    <t>PL ŁOP.1.5D OK20KG NB MR ST</t>
  </si>
  <si>
    <t>PL ŁOP.1.5D OK20KGWOR PJ AF ST</t>
  </si>
  <si>
    <t>PL ŁOP.WP.1.5D OK700KG OKT ST</t>
  </si>
  <si>
    <t>***ŁOP.WP.1.5D PBX K4 ZAK</t>
  </si>
  <si>
    <t>PL ŁOP.1.5D PBX K4</t>
  </si>
  <si>
    <t>ŁOP.WP.1.5D CIĘ.MR ZAK</t>
  </si>
  <si>
    <t>PL ŁOP.1.5D PBX MOR SZ</t>
  </si>
  <si>
    <t>PL ŁOP.1.5D OK20KG PB MR WE K4</t>
  </si>
  <si>
    <t>PL ŁOP.1.5D PBX EŁ1</t>
  </si>
  <si>
    <t>PL ŁOP.WP.1.5D NB MR SZ</t>
  </si>
  <si>
    <t>PL ŁOP.1.5D PBX 1OB K4</t>
  </si>
  <si>
    <t>PL ŁOP.1.5D OK20KG NB MR EŁ</t>
  </si>
  <si>
    <t>PL ŁOP.1.5D OK15KGWOR GAP DMR</t>
  </si>
  <si>
    <t>PL ŁOP.1.5D OK20KG NB DMR</t>
  </si>
  <si>
    <t>PL ŁOP.WP.1.5D RO1</t>
  </si>
  <si>
    <t>PL ŁOP.1.5D CH2</t>
  </si>
  <si>
    <t>PL ŁOP.1.5D PBX ST2</t>
  </si>
  <si>
    <t>PL ŁOP.WP.1.5D RO2</t>
  </si>
  <si>
    <t>EU ŁOP.1.5D CH1</t>
  </si>
  <si>
    <t>EU ŁOP.1.5D CH2</t>
  </si>
  <si>
    <t>PP ŁOP.WP.1.5D CH</t>
  </si>
  <si>
    <t>PP ŁOP.1.5D OK20KG NB MR ST</t>
  </si>
  <si>
    <t>PP ŁOP.1.5D PBX ST</t>
  </si>
  <si>
    <t>PP ŁOP.1.5D PBX K4</t>
  </si>
  <si>
    <t>PP ŁOP.1.5D OK20KG NB DMR</t>
  </si>
  <si>
    <t>PP ŁOP.1.5D RO1</t>
  </si>
  <si>
    <t>PP ŁOP.1.5D PBX2</t>
  </si>
  <si>
    <t>PP ŁOP.1.5D RO2</t>
  </si>
  <si>
    <t>PL ŁOP.1.5D GAP CH</t>
  </si>
  <si>
    <t>PL ŁOP.WP.1.5D PBX GAP ST</t>
  </si>
  <si>
    <t>PL ŁOP.1.5D MAC.CH</t>
  </si>
  <si>
    <t>PL ŁOP.1.5D MAC.PBX1</t>
  </si>
  <si>
    <t>PL ŁOP.1.5D MAC.PBX2</t>
  </si>
  <si>
    <t>PP ŁOP.1.5D MAC.CH</t>
  </si>
  <si>
    <t>***ŁOP.WP.Z/K/SK/GOL.B/M.PODŁOP.USR</t>
  </si>
  <si>
    <t>***ŁOP. 3D USR CH</t>
  </si>
  <si>
    <t>***ŁOP.3DB/MTRÓJŁOWEGO/M.GOLONK. CH USR</t>
  </si>
  <si>
    <t>***ELEM.ŁOP DO PIECZENIA CH</t>
  </si>
  <si>
    <t>ŁOP.2D USR CH</t>
  </si>
  <si>
    <t>***ŁOP.2D PB MR ST</t>
  </si>
  <si>
    <t>***ŁOP.2D 1ST VAC PJ ST</t>
  </si>
  <si>
    <t>***ŁOP.2D LUZ CH PBX ST</t>
  </si>
  <si>
    <t>***ŁOP.2D LUZ CH KSP ST</t>
  </si>
  <si>
    <t>PL ŁOP.2D PBX MORLINY SZ</t>
  </si>
  <si>
    <t>PL ŁOP.2D OK500KG PBX CH EŁ1</t>
  </si>
  <si>
    <t>***ŁOP.2D PB RO1</t>
  </si>
  <si>
    <t>***ŁOP.2D PB RO2</t>
  </si>
  <si>
    <t>PL ŁOP.WP.B/K.KAUF</t>
  </si>
  <si>
    <t>PL ŁOP.WP.B/K.2STMAP 2STKT KAUF</t>
  </si>
  <si>
    <t>PL ŁOP.B/K/SK.CH1</t>
  </si>
  <si>
    <t>PL ŁOP.B/K/SK.CH2</t>
  </si>
  <si>
    <t>***ŁOP.Z/K/GOL/SK USR CH</t>
  </si>
  <si>
    <t>ŁOP.Z/K/GOL/SK CH ZAK</t>
  </si>
  <si>
    <t>***ŁOP.Z/K.B/GOL OBR CH</t>
  </si>
  <si>
    <t>***ŁOP.WP. Z/K B/GOL.OBR. LUZ KT</t>
  </si>
  <si>
    <t>***ŁOP.3D B/M.TRÓJGŁ./M.GOLONK. KL.S CH</t>
  </si>
  <si>
    <t>***ŁOP.4D USR CH</t>
  </si>
  <si>
    <t>ŁOP. 4D NB MR ST</t>
  </si>
  <si>
    <t>PL ŁOP.4D OK15KG WOR KT CH</t>
  </si>
  <si>
    <t>PL ŁOP.4D OK20KGWOR PJ AF ST</t>
  </si>
  <si>
    <t>PL ŁOP.4D OK20KG PB MR EX</t>
  </si>
  <si>
    <t>PL ŁOP.4D 2STMAP 2STKT KAUF</t>
  </si>
  <si>
    <t>PL ŁOP.4D 1STVAC OK18KGPJ</t>
  </si>
  <si>
    <t>PL ŁOP.4D 1STVAC OK15KG PJ ECS</t>
  </si>
  <si>
    <t>PL ŁOP.4D OK1KGVAC OK6KGKT BIED</t>
  </si>
  <si>
    <t>PL ŁOP.WP.4D 1STVAC OK15KG PJ STO</t>
  </si>
  <si>
    <t>PP ŁOP.WP.B/K.OK1.4KGVAC OK8.4KGKT LIDL</t>
  </si>
  <si>
    <t>PL ŁOP.WP.B/K.OK1.5KGVAC OK10KGKT KAUF</t>
  </si>
  <si>
    <t>PL ŁOP.WP.B/K.OK1.4KGVACOK8.4KGKT LIDLLT</t>
  </si>
  <si>
    <t>PL ŁOP.4D 1STVAC 20KGKT EX</t>
  </si>
  <si>
    <t>PL ŁOP.WP.B/K.OK1.4KGVACOK8.4KGKT LIDLSK</t>
  </si>
  <si>
    <t>PL ŁOP.4D 1STVAC OK20KGKT MET</t>
  </si>
  <si>
    <t>PP ŁOP.4D 1STVAC OK4KGKT BIED</t>
  </si>
  <si>
    <t>PL ŁOP.4D 1STVAC OK20KGKT KAUF BG</t>
  </si>
  <si>
    <t>PL ŁOP.4D 1STVAC MAX20KG PJ POLM</t>
  </si>
  <si>
    <t>PL ŁOP.4D 2STVAC 2STKT KAUF</t>
  </si>
  <si>
    <t>PL ŁOP.4D 1STVAC OK20KGKT MET RU</t>
  </si>
  <si>
    <t>PL ŁOP.4D OK1KGVAC OK6KGKT 3OB BIED</t>
  </si>
  <si>
    <t>PL ŁOP.4D OK15KGLUZ PJ ST</t>
  </si>
  <si>
    <t>PL ŁOP.4D MAX20KGWOR PJ POLM</t>
  </si>
  <si>
    <t>PL ŁOP.4D 1STVAC OK20KGKT MR EX</t>
  </si>
  <si>
    <t>PL ŁOP.4D PBX ST</t>
  </si>
  <si>
    <t>***ŁOP.B/K 4D ZM PBX MORL SZ</t>
  </si>
  <si>
    <t>ŁOP.WP.4D ZAK</t>
  </si>
  <si>
    <t>***ŁOP.WP.4DOK20KGLUZ PJ K4 ZAK</t>
  </si>
  <si>
    <t>PL ŁOP.4D NB DMR</t>
  </si>
  <si>
    <t>PL ŁOP.4D OK20KG PB DMR EX</t>
  </si>
  <si>
    <t>PL ŁOP.4D 1STVAC OK20KGKT DMR</t>
  </si>
  <si>
    <t>ŁOP.4D NB RO1</t>
  </si>
  <si>
    <t>ŁOP.WP.4D RO</t>
  </si>
  <si>
    <t>ŁOP.4D NB RO2</t>
  </si>
  <si>
    <t>EU ŁOP.4D 1STVAC OK18KGPJ</t>
  </si>
  <si>
    <t>EU ŁOP.4D 1STVAC OK15KGPJ ECS</t>
  </si>
  <si>
    <t>***ŁOP.4D 1ST VAC OK15KG KT SK</t>
  </si>
  <si>
    <t>EU ŁOP.4D 1STVAC MAX20KG PJ POLM</t>
  </si>
  <si>
    <t>***ŁOP.4D UŚR</t>
  </si>
  <si>
    <t>***ELEM.ŁOP CAŁA CH</t>
  </si>
  <si>
    <t>PL ŁOP.B/K/MŚ.GOL.1305 OK15KGLUZ PJ SZ</t>
  </si>
  <si>
    <t>***EUŁOP.B/K.1STTRM OK20KGKT CH CARR</t>
  </si>
  <si>
    <t>DE ŁOP.B/K.WOR PJ CH CONS.BIED SZ</t>
  </si>
  <si>
    <t>***MŚ.TRÓJGŁ.Z/ŁOP.NB MR</t>
  </si>
  <si>
    <t>***MŚ.TRÓJGŁOWY 1SZT TRM OK.20KG KT ROS</t>
  </si>
  <si>
    <t>***MŚ.TRÓJGŁ.Z/ŁOP.NB DMR</t>
  </si>
  <si>
    <t>***MŚ.TRÓJGŁ.Z /ŁOP.NB RO1</t>
  </si>
  <si>
    <t>***MŚ.TRÓJGŁ.Z /ŁOP.NB RO2</t>
  </si>
  <si>
    <t>***MŚ.TRÓJGŁOWY B/TŁ. PL USR</t>
  </si>
  <si>
    <t>ELEM.ŁOP WĘDZONKA BOCZKOWA CH</t>
  </si>
  <si>
    <t>***ELEM.ŁOP WĘDZONKA BOCZKOWA NB MR</t>
  </si>
  <si>
    <t>ELEM.ŁOP WĘDZONKA BOCZKOWA CH ZAK</t>
  </si>
  <si>
    <t>***ELEM.ŁOP WĘDZONKA BOCZKOWA MR ZAK</t>
  </si>
  <si>
    <t>***ELEM.ŁOP WĘDZONKA BOCZKOWA NB DMR</t>
  </si>
  <si>
    <t>***ELEM.ŁOP WĘDZONKA BOCZKOWA NB RO1</t>
  </si>
  <si>
    <t>***ELEM.ŁOP WĘDZONKA BOCZKOWA NB RO2</t>
  </si>
  <si>
    <t>***ŁOP.Z/K/SK.B/GOL CH</t>
  </si>
  <si>
    <t>***ŁOP.WP. Z/K B/GOL. LUZ KT</t>
  </si>
  <si>
    <t>***ŁOP.WP.Z/K LUZ OK 15KG KT TIP</t>
  </si>
  <si>
    <t>PL MŚ.GOL.Z ŁOP.CH</t>
  </si>
  <si>
    <t>PL MŚ.GOL.Z ŁOP.OK20KG NB MR ST</t>
  </si>
  <si>
    <t>***MŚ.GOL.Z ŁOP.PB MR ST</t>
  </si>
  <si>
    <t>MŚ.GOL.Z ŁOP.PBX ST</t>
  </si>
  <si>
    <t>PL MŚ.GOL.Z ŁOP.OK20KG NB DMR</t>
  </si>
  <si>
    <t>***PL MŚ.GOLON.Z ŁOPATKI PB DMR</t>
  </si>
  <si>
    <t>***MŚ.GOL.Z ŁOP.PB RO</t>
  </si>
  <si>
    <t>EU MŚ.GOL.Z ŁOP.CH</t>
  </si>
  <si>
    <t>***EU MŚ.GOLON.Z ŁOPATKI PB DMR</t>
  </si>
  <si>
    <t>MŚ.GOL.Z ŁOP.USR</t>
  </si>
  <si>
    <t>PP MŚ.GOL.Z ŁOP.CH</t>
  </si>
  <si>
    <t>PP MŚ.GOL.Z ŁOP.OK20KG NB MR ST</t>
  </si>
  <si>
    <t>PP MŚ.GOL.Z ŁOP.PBX ST</t>
  </si>
  <si>
    <t>PP MŚ.GOL.Z ŁOP.OK20KG NB DMR</t>
  </si>
  <si>
    <t>***ŁOP.Z/K.B/GOL OBR KL.E CH</t>
  </si>
  <si>
    <t>***ŁOP.Z/K/SK/GOL.B/M.PODŁOPAT.KL.S CH</t>
  </si>
  <si>
    <t>PL ŁOP.Z/K/SK/GOL.B/M.PODŁOP.CH</t>
  </si>
  <si>
    <t>***MŚ.TRÓJGŁOWY B/TŁ KL.S CH</t>
  </si>
  <si>
    <t>PL MŚ.TRÓJG.B/TŁ.1</t>
  </si>
  <si>
    <t>***PL MŚ.TRÓJG.B/TŁ.PBX CH1</t>
  </si>
  <si>
    <t>PL MŚ.TRÓJG.B/TŁ.2</t>
  </si>
  <si>
    <t>***PL MŚ.TRÓJG.B/TŁ.PBX CH2</t>
  </si>
  <si>
    <t>EU MŚ.TRÓJG.B/TŁ.1</t>
  </si>
  <si>
    <t>***EU MŚ.TRÓJG.B/TŁ.PBX CH1</t>
  </si>
  <si>
    <t>EU MŚ.TRÓJG.B/TŁ.2</t>
  </si>
  <si>
    <t>EU MŚ.TRÓJG.B/TŁ.PBX CH2</t>
  </si>
  <si>
    <t>PL ŁOP.4D KAW.OK1KG</t>
  </si>
  <si>
    <t>PL ŁOP.4D KAW.OK1KG OK500KGPBX CH</t>
  </si>
  <si>
    <t>PL ŁOP.4D KAW.OK1KGVAC OK7KGKT EX</t>
  </si>
  <si>
    <t>PL ŁOP.4D KAW.OK1KGLUZ OK15KGWOR PJ ST</t>
  </si>
  <si>
    <t>PL ŁOP.4D KAW.</t>
  </si>
  <si>
    <t>PL ŁOP.4D KAW.OK500KG PBX CH</t>
  </si>
  <si>
    <t>PL ŁOP.4D KAW.OK1.5KGVAC OK15KGKT SEL</t>
  </si>
  <si>
    <t>PL ŁOP.B/K.PC OK1KGVAC OK10KGKT MAKR</t>
  </si>
  <si>
    <t>PL ŁOP.4D KAW.PBX K4</t>
  </si>
  <si>
    <t>PP ŁOP.4D KAW.</t>
  </si>
  <si>
    <t>PP ŁOP.4D KAW.PBX</t>
  </si>
  <si>
    <t>PP ŁOP.4D OK1.3KGVAC 6STEPS NETTO</t>
  </si>
  <si>
    <t>PP ŁOP.4D KAW.PBX K4</t>
  </si>
  <si>
    <t>PL ŁOP.4D CH1</t>
  </si>
  <si>
    <t>PL ŁOP.4D PBX CH ST1</t>
  </si>
  <si>
    <t>***ŁOP.4D KL.E OK 15KG KR CH</t>
  </si>
  <si>
    <t>PL ŁOP.4D PBX EŁ1</t>
  </si>
  <si>
    <t>PL ŁOP.4D OK20KGWOR PJ K4</t>
  </si>
  <si>
    <t>PL ŁOP.4D OK15KGWOR PJ EŁ1</t>
  </si>
  <si>
    <t>EU ŁOP.4D PBX MORLINY SZ</t>
  </si>
  <si>
    <t>PL ŁOP.4D PBX MORLINY SZ</t>
  </si>
  <si>
    <t>PL ŁOP.4D PBX K4</t>
  </si>
  <si>
    <t>PL ŁOP.4D CH2</t>
  </si>
  <si>
    <t>PL ŁOP.4D PBX CH ST2</t>
  </si>
  <si>
    <t>EU ŁOP.4D CH1</t>
  </si>
  <si>
    <t>EU ŁOP.4D PBX CH1</t>
  </si>
  <si>
    <t>EU ŁOP.4D CH2</t>
  </si>
  <si>
    <t>EU ŁOP.4D PBX CH2</t>
  </si>
  <si>
    <t>PP ŁOP.4D CH</t>
  </si>
  <si>
    <t>PP ŁOP.4D PBX ST2</t>
  </si>
  <si>
    <t>ŁOP.4D ROZP1</t>
  </si>
  <si>
    <t>ŁOP.4D ROZP2</t>
  </si>
  <si>
    <t>***ŁOP.4D KL.U CH</t>
  </si>
  <si>
    <t>***ŁOP.KL.U 4D PL</t>
  </si>
  <si>
    <t>***ŁOP.4D KL.R CH</t>
  </si>
  <si>
    <t>***ŁOP.KL.R 4D PL</t>
  </si>
  <si>
    <t>***ŁOP.4D KL.S CH</t>
  </si>
  <si>
    <t>***ŁOP.KL.S 4D PL</t>
  </si>
  <si>
    <t>***LOP.5D KL.S CONSTAR</t>
  </si>
  <si>
    <t>***LOP.5D KL.U CONSTAR</t>
  </si>
  <si>
    <t>***ŁOP.5D KL.R CONSTAR</t>
  </si>
  <si>
    <t>***LOP.5D CONSTAR USR</t>
  </si>
  <si>
    <t>***ELEM.ŁOP KIEŁBASA ŻYWIECKA NB MR</t>
  </si>
  <si>
    <t>***ELEM.ŁOP KIEŁBASA ŻYWIECKA CH ZAK</t>
  </si>
  <si>
    <t>***ELEM.ŁOP KIEŁBASA ŻYWIECKA MR ZAK</t>
  </si>
  <si>
    <t>PL ŁOP.5D PBX CON SZ</t>
  </si>
  <si>
    <t>PL ŁOP.5D WOR PJ CON SZ</t>
  </si>
  <si>
    <t>***ELEM.ŁOP KIEŁBASA ŻYWIECKA NB DMR</t>
  </si>
  <si>
    <t>***ELEM.ŁOP KIEŁBASA ŻYWIECKA NB RO1</t>
  </si>
  <si>
    <t>***ELEM.ŁOP KIEŁBASA ŻYWIECKA NB RO2</t>
  </si>
  <si>
    <t>PL ELEM.ŁOP CH BIED</t>
  </si>
  <si>
    <t>PL ELEM.ŁOP.PBX CH BIED1</t>
  </si>
  <si>
    <t>PL ELEM.ŁOP.PBX CH BIED2</t>
  </si>
  <si>
    <t>EU ELEM.ŁOP CH BIED</t>
  </si>
  <si>
    <t>***KARK.WP.B/K.Z/KOR CH USR M.E.</t>
  </si>
  <si>
    <t>PL KARK.B/K.Z/KOR.KOTLETY CH</t>
  </si>
  <si>
    <t>PL KARK.WP.B/K.Z/KOR.400GLUZ15KGPJ ST</t>
  </si>
  <si>
    <t>***KARK.B/K.Z/KOR KOTLETY FANTOM CH</t>
  </si>
  <si>
    <t>KARK.B/K.Z/KOR CH</t>
  </si>
  <si>
    <t>***KARK.B/K.Z/KOR NB MR</t>
  </si>
  <si>
    <t>PL KARK.B/K.LUZ OK15KG KT</t>
  </si>
  <si>
    <t>***KARK.WP.B/K Z/KOR.OK1KGMAP OK4KGKT ME</t>
  </si>
  <si>
    <t>PL KARK.B/K.Z/KOR.1STVAC OK12KGKTMORE EX</t>
  </si>
  <si>
    <t>PL KARK.B/K.Z/K.OK1.4KGVACOK6KGKT3OBBIED</t>
  </si>
  <si>
    <t>PL KARK.B/K.VAC OK20KG KT CH EX CZ</t>
  </si>
  <si>
    <t>PL KARK.B/K.Z/KOR.2STVAC OK18KGPJ</t>
  </si>
  <si>
    <t>PL KARK.B/K.Z/KOR.1STVAC OK12KGKT</t>
  </si>
  <si>
    <t>PL KARK.B/K.Z/KOR.1.5KGVAC OK11KGKT KAUF</t>
  </si>
  <si>
    <t>PL KARK.B/K.Z/KOR.1STVAC OK15KGKT SEL</t>
  </si>
  <si>
    <t>PP KARK.B/K.Z/KOR.1STVAC OK5KGKT</t>
  </si>
  <si>
    <t>PL KARK.B/K.Z/KOR.OK1.4KGVACOK6KGKTBIED</t>
  </si>
  <si>
    <t>***KARK. WP. B/K Z/KOR VAC MR ST</t>
  </si>
  <si>
    <t>PL KARK.B/K.Z/KOR.1STVAC OK15KGKT MR RU</t>
  </si>
  <si>
    <t>PL KARK.B/K.Z/KOR.2STVAC MAX20KGPJ POLM</t>
  </si>
  <si>
    <t>PL KARK.B/K.1STVAC OK20KGKT MET</t>
  </si>
  <si>
    <t>PL KARK.B/K.Z/KOR/WAR.1STVACOK15KGPJ ECS</t>
  </si>
  <si>
    <t>PL KARK.B/K.Z/KOR.1STVAC OK20KGKT MR HR</t>
  </si>
  <si>
    <t>PL KARK.B/K.Z/KOR.1STVAC OK10KGKT  PIP</t>
  </si>
  <si>
    <t>PL KARK.B/K.Z/KOR.1STVAC MAX15KG PJ STO</t>
  </si>
  <si>
    <t>PL KARK.B/K.1STVAC OK20KGKT MET RU</t>
  </si>
  <si>
    <t>PL KARK.B/K.Z/KOR.OK20KGLUZ PJ ST</t>
  </si>
  <si>
    <t>PL KARK.B/K.Z/KOR.OK20KGLUZ PJ AF ST</t>
  </si>
  <si>
    <t>PL KARK.B/K.Z/KOR.MAX20KGWOR PJ</t>
  </si>
  <si>
    <t>PL KARK.B/K.Z/KOR.OK1KGVAC OK10KGKT MAKR</t>
  </si>
  <si>
    <t>***KARK.B/K Z/KOR/WAR1STFOL500KG KT MREŁ</t>
  </si>
  <si>
    <t>***KARK.WP.B/K.Z/KOR.PBX K4 ZAK</t>
  </si>
  <si>
    <t>PL KARK.WP.B/K.WOR PJ</t>
  </si>
  <si>
    <t>PL KARK.B/K.1320 WOR PJ</t>
  </si>
  <si>
    <t>PL KARK.B/K Z/KOR.OK20KG PB MR EŁ</t>
  </si>
  <si>
    <t>PL KARK.B/K.Z/KOR.2STVAC PJ MR EŁ</t>
  </si>
  <si>
    <t>KARK.WP.B/K.ZAW KT MR SZ</t>
  </si>
  <si>
    <t>***KARK.B/K.Z/KOR NB DMR</t>
  </si>
  <si>
    <t>***KARK.B/K.Z/KOR.1STFOL.13.6KGKTDMRGB</t>
  </si>
  <si>
    <t>PL KARK.B/K.Z/KOR.VAC OK15KG KT DMR RU</t>
  </si>
  <si>
    <t>PL KARK.B/K.Z/KOR.1STVAC OK20KGKT DMR HR</t>
  </si>
  <si>
    <t>***KARK.B/K.Z/KOR NB RO1</t>
  </si>
  <si>
    <t>***KARK. WP. B/K. ZAW RO</t>
  </si>
  <si>
    <t>***KARK. B/K.Z/KOR ZAK RO</t>
  </si>
  <si>
    <t>***KARK.WP.B/K VAC RO</t>
  </si>
  <si>
    <t>KARK.B/K ZAW KT ZAKUP RO</t>
  </si>
  <si>
    <t>KARK. WP. B/K Z/KOR VAC RO</t>
  </si>
  <si>
    <t>KARK.B/K.Z/KOR. VAC KT OK 15KG RO</t>
  </si>
  <si>
    <t>***KARK.B/K.Z/KOR NB RO2</t>
  </si>
  <si>
    <t>EU KARK.B/K.Z/KOR.2STVAC OK18KGPJ</t>
  </si>
  <si>
    <t>EU KARK.B/K.Z/KOR.2STVAC MAX20KGPJ POLM</t>
  </si>
  <si>
    <t>EU KARK.B/K.Z/KOR/WAR.1STVACOK15KGPJ ECS</t>
  </si>
  <si>
    <t>PP KARK.B/K.Z/KOR.OK20KGLUZ PJ ST</t>
  </si>
  <si>
    <t>CZ KARK.B/K.Z/KOR.2STVAC OK18KGPJ</t>
  </si>
  <si>
    <t>***KARK.B/K Z/KOR USR</t>
  </si>
  <si>
    <t>KARK.B/K.Z/KOR.ROZP1</t>
  </si>
  <si>
    <t>KARK.B/K.Z/KOR.ROZP2</t>
  </si>
  <si>
    <t>***KARK.B/K.Z/KOR/WAR.1320 KOTL.RO CH</t>
  </si>
  <si>
    <t>***KARK.B/K Z/KOR.PB MR ROS</t>
  </si>
  <si>
    <t>***KARK.B/K Z/KOR 1ST VAC OK20KG KJM ROS</t>
  </si>
  <si>
    <t>***KARK.B/K Z/KOR OK 1KG VAC OK6KGKT ROS</t>
  </si>
  <si>
    <t>***KARK.B/K Z/KOR 1SZT TRM OK20KG  ROS</t>
  </si>
  <si>
    <t>***KARK.B/K Z/KOR.PB DMR ROS</t>
  </si>
  <si>
    <t>***KARK.B/K.Z/KOR OK 15KG KT DMR CHIN</t>
  </si>
  <si>
    <t>***KARK.B/K.Z/KOR OK 15KG KT DMR KOR</t>
  </si>
  <si>
    <t>***KARK.B/K Z/KOR PB RO</t>
  </si>
  <si>
    <t>***KARK.B/K Z/KOR. PL</t>
  </si>
  <si>
    <t>***KARK.B/K Z/KOR. PL UŚR</t>
  </si>
  <si>
    <t>***KARK.B/K/KOR 1.6-2.2KG CH</t>
  </si>
  <si>
    <t>***KARK.B/K/KOR 1.6-2.2KG NB MR</t>
  </si>
  <si>
    <t>***KARK.B/K/KOR 1.6-2.2KG NB DMR</t>
  </si>
  <si>
    <t>***KARK.B/K/KOR 1.6-2.2KG NB RO</t>
  </si>
  <si>
    <t>***KARK.Z/K.B/KOR CH</t>
  </si>
  <si>
    <t>PL KARK.Z/K.CH LUZ OK15KG KT</t>
  </si>
  <si>
    <t>PL KARK.Z/K.1STFOL OK20KGKT MR</t>
  </si>
  <si>
    <t>PL KARK.Z/K/KOR.OK600KG OKT EX</t>
  </si>
  <si>
    <t>PL KARK.Z/K/KOR.2STWORROLOK20KGKT DMR CL</t>
  </si>
  <si>
    <t>PL KARK.Z/K.1STFOL OK20KG KT DMR</t>
  </si>
  <si>
    <t>***KARK.B/K/KOR CH</t>
  </si>
  <si>
    <t>PL KARK.B/K.EXTRA LUZ KT</t>
  </si>
  <si>
    <t>PL KARK.B/K/KOR/WAR.OK25KGWOR KT MR EX</t>
  </si>
  <si>
    <t>PL KARK.B/K.EXT.1STVAC OK18KGPJ</t>
  </si>
  <si>
    <t>PL KARK.B/K/KOR/WAR.1STVAC OK8KGKT PIP</t>
  </si>
  <si>
    <t>PL KARK.WP.B/K.1STVAC OK15KG PJ STO</t>
  </si>
  <si>
    <t>PL KARK.B/K/KOR/WAR.1STVAC 15KGKT MAKR</t>
  </si>
  <si>
    <t>PL KARK.WP.B/K.WOR OK15KG PJ CH ST</t>
  </si>
  <si>
    <t>***KARK.B/K/KOR MR ZAK</t>
  </si>
  <si>
    <t>PL KARK.WP.B/K/KOR.OK25KG KT DMR EX</t>
  </si>
  <si>
    <t>PL KARK.B/K/KOR/WAR.1ST VACOK20KG KT DMR</t>
  </si>
  <si>
    <t>KARK.B/K/KOR.OK15KG KT RO</t>
  </si>
  <si>
    <t>EU KARK.B/K/KOR/WAR.OK25KGWOR KT MR EX</t>
  </si>
  <si>
    <t>EU KARK.B/K/KOR/WAR.1STVAC OK8KGKT PIP</t>
  </si>
  <si>
    <t>EU KARK.WP.B/K/KOR.OK25KGKT DMR EX</t>
  </si>
  <si>
    <t>EU KARK.B/K/KOR/WAR.1ST VACOK20KG KT DMR</t>
  </si>
  <si>
    <t>***KARK.WP.B/K EXTRA UŚR</t>
  </si>
  <si>
    <t>PL KARK. WP.B/K.KAUF CH1</t>
  </si>
  <si>
    <t>PL KARK.WP.B/K.PBX CH KAUF1</t>
  </si>
  <si>
    <t>PL KARK.B/K.Z/KOR.2STMAP 4-5.6KGKT KAUF</t>
  </si>
  <si>
    <t>PP KARK.B/K.Z/KOR.1.4KGVACOK8.4KGKT LIDL</t>
  </si>
  <si>
    <t>PL KARK.B/K.OK1.4KGVAC OK8.4KGKT LIDL LT</t>
  </si>
  <si>
    <t>PL KARK.B/K.OK1.4KGVAC OK8.4KGKT LIDL SK</t>
  </si>
  <si>
    <t>PL KARK.B/K.Z/KOR.1.4KGVAC OK8.4KGKT</t>
  </si>
  <si>
    <t>PL KARK.B/K.Z/KOR.2STVAC 2STKT KAUF</t>
  </si>
  <si>
    <t>PL KARK.B/K.Z/KOR/CZ.W.OK15KGLUZ PJ AGRO</t>
  </si>
  <si>
    <t>PL KARK.B/K.Z/KOR/CZ.WAR.WYRÓW.PBX ST</t>
  </si>
  <si>
    <t>DE KARK.WP.B/K.WOR PJ SZ</t>
  </si>
  <si>
    <t>PL KARK. WP.B/K.KAUF CH2</t>
  </si>
  <si>
    <t>PL KARK.WP.B/K.PBX CH KAUF2</t>
  </si>
  <si>
    <t>EU KARK.WP.B/K.KAUF1</t>
  </si>
  <si>
    <t>EU KARK.B/K.Z/KOR/CZ.W.OK15KGLUZ PJ AGRO</t>
  </si>
  <si>
    <t>EU KARK.B/K.Z/KOR/CZ.WAR.WYRÓW.PBX ST</t>
  </si>
  <si>
    <t>EU KARK.WP.B/K.KAUF2</t>
  </si>
  <si>
    <t>PL KARK.WP.B/K.KAW.OK1KG KAUF</t>
  </si>
  <si>
    <t>PL KARK.WP.B/K.KAW.OK1KG 500KGPBXCH KAUF</t>
  </si>
  <si>
    <t>PL KARK.WP.B/K.KAW.OK1KGVAC OK7KGKT EX</t>
  </si>
  <si>
    <t>PP KARK.WP.B/K.KAW.OK1KG KAUF</t>
  </si>
  <si>
    <t>PP KARK.B/K Z/KOR.OK1.3KGVAC6STEPS NETTO</t>
  </si>
  <si>
    <t>PL KARK.B/K.EXT.KAW.</t>
  </si>
  <si>
    <t>PL KARK.B/K.EXT.KAW.500KG PBX CH</t>
  </si>
  <si>
    <t>PL KARK.B/K.EXT KAW.OK1KGVAC OK10KT SEL</t>
  </si>
  <si>
    <t>PL KARK.B/K/WAR.Z/CZ.KOR.CH</t>
  </si>
  <si>
    <t>PL KARK.B/K/WAR.Z/CZ.KOR.OK500KG PBX</t>
  </si>
  <si>
    <t>PL KARK.B/K/WAR.Z/CZ.KOR.25KGWORKT MR EX</t>
  </si>
  <si>
    <t>PL KARK.B/K/WAR.Z/CZ.KOR.25KGWORKTDMR EX</t>
  </si>
  <si>
    <t>EU KARK.B/K/WAR.Z/CZ.KOR.CH</t>
  </si>
  <si>
    <t>EU KARK.B/K/WAR.Z/CZ.KOR.OK500KG PBX</t>
  </si>
  <si>
    <t>EU KARK.B/K/WAR.Z/CZ.KOR.25KGWORKT MR EX</t>
  </si>
  <si>
    <t>EU KARK.B/K/WAR.Z/CZ.KOR.25KGWORKTDMR EX</t>
  </si>
  <si>
    <t>***KARK.B/K/KOR KOTLETY FANTOM CH</t>
  </si>
  <si>
    <t>***KARK.B/K.Z/KOR/WAR ROZ.M1STFOL KT MRJ</t>
  </si>
  <si>
    <t>***KARK.B/K.Z/KOR/WAR ROZ.M 1STFOLKTDMRJ</t>
  </si>
  <si>
    <t>***KARK.B/K.Z/KOR/WAR 2-2.5KG PL USR</t>
  </si>
  <si>
    <t>***KARK.B/K.Z/KOR/WAR ROZ.L1STFOL KT MRJ</t>
  </si>
  <si>
    <t>***KARK.B/KZ/KOR/WAR ROZ.L1STFOL KT DMRJ</t>
  </si>
  <si>
    <t>***KARK.B/K.Z/KOR/WAR 2.5-3KG PL USR</t>
  </si>
  <si>
    <t>***KARK.B/K/KOR KL.E 1.6-2.2KG CH</t>
  </si>
  <si>
    <t>***KARK.B/K/KOR KL.E 1.6-2.2KG NB MR</t>
  </si>
  <si>
    <t>***KARK.B/K/KOR KL.E 1.6-2.2KG NB DMR</t>
  </si>
  <si>
    <t>***KARK.B/K/KOR KL.U 1.6-2.2KG CH</t>
  </si>
  <si>
    <t>***KARK.B/K/KOR KL.U 1.6-2.2KG NB MR</t>
  </si>
  <si>
    <t>***KARK.B/K/KOR KL.U 1.6-2.2KG NB DMR</t>
  </si>
  <si>
    <t>***KARK.B/K/KOR KL.R 1.6-2.2KG CH</t>
  </si>
  <si>
    <t>***KARK.B/K/KOR KL.S 1.6-2.2KG CH</t>
  </si>
  <si>
    <t>***KARK.B/K/KOR KL.S 1.6-2.2KG MR</t>
  </si>
  <si>
    <t>***KARK.B/K/KOR KL.S 1.6-2.2KG NB DMR</t>
  </si>
  <si>
    <t>PL KARK.B/K/KOR.CH1</t>
  </si>
  <si>
    <t>***KARK.B/K/KOR KL.E NB MR</t>
  </si>
  <si>
    <t>PL KARK.B/K/KOR/WAR.PBX CH1</t>
  </si>
  <si>
    <t>KARK.WP.B/K.WOR OK15KG PJ CH K2</t>
  </si>
  <si>
    <t>***KARK.B/K/KOR KL.E NB DMR</t>
  </si>
  <si>
    <t>PL KARK.B/K/KOR.CH2</t>
  </si>
  <si>
    <t>PL KARK.B/K/KOR/WAR.PBX CH2</t>
  </si>
  <si>
    <t>EU KARK.B/K/KOR.CH</t>
  </si>
  <si>
    <t>EU KARK.B/K/KOR/WAR.PBX CH1</t>
  </si>
  <si>
    <t>EU KARK.B/K/KOR/WAR.PBX CH2</t>
  </si>
  <si>
    <t>***KARK.B/K/KOR KL.U</t>
  </si>
  <si>
    <t>***KARK.WP.B/K KL.U PL</t>
  </si>
  <si>
    <t>***KARK.B/K/KOR KL.R</t>
  </si>
  <si>
    <t>***KARK.B/K/KOR KL.S</t>
  </si>
  <si>
    <t>***KARK.WP.B/K KL.S PL</t>
  </si>
  <si>
    <t>EU KARK.Z/K.B/KOR.CH</t>
  </si>
  <si>
    <t>***KARK.Z/K.B/KOR KL.U CH</t>
  </si>
  <si>
    <t>***KARK.Z/K.B/KOR KL.S CH</t>
  </si>
  <si>
    <t>***KARK.B/K.Z/KOR/WAR 2-2.5KG KL.S PL CH</t>
  </si>
  <si>
    <t>***KARK.B/K.Z/KOR/WAR 2-2.5KG KL.E PL CH</t>
  </si>
  <si>
    <t>***KARK.B/K.Z/KOR/WAR 2.5-3KG KL.S PL CH</t>
  </si>
  <si>
    <t>***KARK.B/K.Z/KOR/WAR 2.5-3KG KL.E PL CH</t>
  </si>
  <si>
    <t>***KARK.WP.B/K. Z/KOR. KL.S CH M.E.</t>
  </si>
  <si>
    <t>***KARK.WP.B/K. Z/KOR.KL.E CH M.E.</t>
  </si>
  <si>
    <t>PL KARK.B/K.Z/KOR.KAW.</t>
  </si>
  <si>
    <t>PL KARK.B/K.Z/KOR.KAW.OK20KG NB MR ST</t>
  </si>
  <si>
    <t>PL KARK.B/K.Z/KOR.KAW.PBX CH1</t>
  </si>
  <si>
    <t>PL KARK.B/K.Z/KOR.1.4KGVACOK8.4KT LIDLCZ</t>
  </si>
  <si>
    <t>PL KARK.B/K.KAW.PBX K4</t>
  </si>
  <si>
    <t>PL KARK.B/K.Z/KOR.KAW.OK20KG NB DMR</t>
  </si>
  <si>
    <t>PL KARK.B/K.Z/KOR/CZ.WAR.RO1</t>
  </si>
  <si>
    <t>PL KARK.B/K.Z/KOR/CZ.WAR.RO2</t>
  </si>
  <si>
    <t>PP KARK.B/K.Z/KOR.KAW.</t>
  </si>
  <si>
    <t>PP KARK.B/K.Z/KOR.KAW.OK20KG NB MR ST</t>
  </si>
  <si>
    <t>PP KARK.B/K.Z/KOR.KAW.PBX1</t>
  </si>
  <si>
    <t>PP KARK.B/K.KAW.PBX K4</t>
  </si>
  <si>
    <t>PP KARK.B/K.Z/KOR.KAW.OK20KG NB DMR</t>
  </si>
  <si>
    <t>PP KARK.B/K.Z/KOR/CZ.WAR.RO1</t>
  </si>
  <si>
    <t>PP KARK.B/K.Z/KOR/CZ.WAR.RO2</t>
  </si>
  <si>
    <t>PP KARK.B/K.Z/KOR.KAW.PBX2</t>
  </si>
  <si>
    <t>PL KARK.B/K.Z/KOR.CH1</t>
  </si>
  <si>
    <t>KARK.B/K.Z/KOR.OK20KG NB MR ST</t>
  </si>
  <si>
    <t>PL KARK.B/K.Z/KOR.PBX1</t>
  </si>
  <si>
    <t>PL KARK.B/K.Z/KOR.15KGWOR PJ EŁ1</t>
  </si>
  <si>
    <t>PL KARK.B/K.1322 OK15KG NB MR SZ</t>
  </si>
  <si>
    <t>KARK.B/K.Z/KOR.OK15KGWOR PJ MR K2</t>
  </si>
  <si>
    <t>PL KARK.B/K.1322 OK15KGLUZ PJ SZ</t>
  </si>
  <si>
    <t>KARK.WP.B/K.Z/KOR.OK20KGPJ CH K2</t>
  </si>
  <si>
    <t>PL KARK.B/K.PBX K4</t>
  </si>
  <si>
    <t>PP KARK.B/K.1322 OK15KGLUZ PJ SZ</t>
  </si>
  <si>
    <t>KARK.B/K.Z/KOR.NB DMR</t>
  </si>
  <si>
    <t>KARK.B/K.Z/KOR/CZ.WAR.RO1</t>
  </si>
  <si>
    <t>PL KARK.B/K.Z/KOR.CH2</t>
  </si>
  <si>
    <t>KARK.B/K.Z/KOR/CZ.WAR.RO2</t>
  </si>
  <si>
    <t>PL KARK.B/K.Z/KOR.PBX2</t>
  </si>
  <si>
    <t>EU KARK.B/K.Z/KOR.CH1</t>
  </si>
  <si>
    <t>EU KARK.B/K.Z/KOR.PBX CH1</t>
  </si>
  <si>
    <t>EU KARK.B/K.Z/KOR.CH2</t>
  </si>
  <si>
    <t>EU KARK.B/K.Z/KOR.PBX2</t>
  </si>
  <si>
    <t>PP KARK.B/K.Z/KOR.CH</t>
  </si>
  <si>
    <t>PP KARK.B/K.Z/KOR.OK20KG NB MR ST</t>
  </si>
  <si>
    <t>PP KARK.B/K.Z/KOR.OK20KG NB DMR</t>
  </si>
  <si>
    <t>CZ KARK.B/K.Z/KOR.CH</t>
  </si>
  <si>
    <t>PL KARK.B/K.Z/KOR/CZ.WAR.MAC.CH</t>
  </si>
  <si>
    <t>***KARK.B/K.Z/KOR KL.U NB MR</t>
  </si>
  <si>
    <t>PL KARK.B/K.Z/KOR/CZ.WAR.MAC.PBX1</t>
  </si>
  <si>
    <t>PL KARK.B/K.Z/KOR/CZ.WAR.MAC.PBX ST</t>
  </si>
  <si>
    <t>***KARK.B/K.Z/KOR KL.U NB DMR</t>
  </si>
  <si>
    <t>PL KARK.B/K.Z/KOR/CZ.WAR.MAC.PBX2</t>
  </si>
  <si>
    <t>***KARK.B/K Z/KOR. KL.U PL</t>
  </si>
  <si>
    <t>PP KARK.B/K.Z/KOR/CZ.WAR.MAC.CH</t>
  </si>
  <si>
    <t>PP KARK.B/K.Z/KOR/CZ.WAR.MAC.PBX1</t>
  </si>
  <si>
    <t>PP KARK.B/K.Z/KOR/CZ.WAR.MAC.PBX ST</t>
  </si>
  <si>
    <t>PP KARK.B/K.Z/KOR/CZ.WAR.MAC.PBX2</t>
  </si>
  <si>
    <t>***KARK.B/K Z/KOR. KL.R PL</t>
  </si>
  <si>
    <t>PL KARK.Z/K/KOR.CH</t>
  </si>
  <si>
    <t>EU KARK.Z/K/KOR.CH</t>
  </si>
  <si>
    <t>PP KARK.Z/K/KOR.</t>
  </si>
  <si>
    <t>***KARK.B/K Z/KOR. KL.S PL</t>
  </si>
  <si>
    <t>***ĆW.BOCZKOWA WĄS.TŁUSTA CH</t>
  </si>
  <si>
    <t>***BOCZ.WP.ŁUSK.B/SK.Z/CHRZ.USR</t>
  </si>
  <si>
    <t>***BOCZ.WP.ŁUSK.Z/SK/CHRZ.USR CH M.E.</t>
  </si>
  <si>
    <t>***BOCZ.A ŁUS.WĄS.Z/S.B/CH.B.CH1</t>
  </si>
  <si>
    <t>***BOCZ.A ŁUS.WĄS.Z/S.B/CH.B.PBX CH1</t>
  </si>
  <si>
    <t>PL BOCZ.A BL.Z/S/PACH.SZER.OK10CM PBX SZ</t>
  </si>
  <si>
    <t>***BOCZ.A ŁUS.WĄS.Z/S.B/CH.B.CH2</t>
  </si>
  <si>
    <t>***BOCZ.A ŁUS.WĄS.Z/S.B/CH.B.PBX CH2</t>
  </si>
  <si>
    <t>***BOCZ.WP.Z/K/SK.WĄSKI USR CH M.E.</t>
  </si>
  <si>
    <t>***BOCZ.ŁUSK.B/SK/CHRZ POD BEKON EXP.</t>
  </si>
  <si>
    <t>***BOCZ.BLAT.SZER.Z/SK USR CH</t>
  </si>
  <si>
    <t>***BOCZ.BLAT.SZER.Z/SK.CH OKT.</t>
  </si>
  <si>
    <t>***BOCZ.SZER.BLAT.B/SK  USR</t>
  </si>
  <si>
    <t>***BOCZ.B/ŻEB/SK/CH/MP22X49KT MR MORL SZ</t>
  </si>
  <si>
    <t>***BOCZ.B BLAT.WĄS.B/SK.PB RO1</t>
  </si>
  <si>
    <t>***BOCZ.B BLAT.WĄS.B/SK.PB RO2</t>
  </si>
  <si>
    <t>***BOCZ.WP.BLAT.B/M.PRZEP./SK USR</t>
  </si>
  <si>
    <t>ELEM.BOCZ.MARYNATA</t>
  </si>
  <si>
    <t>PL BOCZ.B/Ż/SK.ODTŁ.16/22 DMR CH</t>
  </si>
  <si>
    <t>BOCZ. 16/22 B/ŻEB/SK ODTŁ RO</t>
  </si>
  <si>
    <t>***BOCZ.WP.BLAT.Z/SK WĄSKI USR</t>
  </si>
  <si>
    <t>***BOCZ.B BLAT.Z/SK.WĄS.NB MR</t>
  </si>
  <si>
    <t>***BOCZ.B BLAT.WĄS.Z/SK.NB DMR</t>
  </si>
  <si>
    <t>***BOCZ.B BLAT.WĄS.Z/SK.NB RO1</t>
  </si>
  <si>
    <t>***BOCZ.B BLAT.WĄS.Z/SK.NB RO2</t>
  </si>
  <si>
    <t>***BOCZ.WP.BLAT.Z/SK WĄSKI USR Z/B</t>
  </si>
  <si>
    <t>ĆW.BOCZ.C CH</t>
  </si>
  <si>
    <t>PL ĆW.BOCZ.C OK20KGWOR KT MR EX</t>
  </si>
  <si>
    <t>***BOCZ.Z/S/SK.NAT.CIĘCIE KL.E KT MR CH</t>
  </si>
  <si>
    <t>***ĆW.BOCZ.C LUZ OKT CH ST</t>
  </si>
  <si>
    <t>***PL ĆW.BOCZ.C OK650KG OKT K4 ZAK</t>
  </si>
  <si>
    <t>ĆW.BOCZ.C OK500KG OKT ZAK</t>
  </si>
  <si>
    <t>PL ĆW.BOCZ.C OK20KGWOR KT DMR</t>
  </si>
  <si>
    <t>***BOCZ.Z/ŻEB.SZEROKI TŁUSTY KL.E PL</t>
  </si>
  <si>
    <t>***BOCZ.Z/K/SK NAT.CIĘCIE KL.E  USR</t>
  </si>
  <si>
    <t>***BOCZ.Z/ŻEB.SZEROKI TŁUSTY KL.E EX</t>
  </si>
  <si>
    <t>***ĆW.BOCZKOWA SZR./TŁUSTA/KL.U CH</t>
  </si>
  <si>
    <t>***BOCZ.Z/ŻEB.SZEROKI TŁUSTY KL.U PL</t>
  </si>
  <si>
    <t>***BOCZ.Z/ŻEB.SZEROKI TŁUSTY KL.U EX</t>
  </si>
  <si>
    <t>***ĆW.BOCZKOWA SZR./TŁUSTA/KL.R CH</t>
  </si>
  <si>
    <t>***BOCZ.Z/ŻEB.SZEROKI TŁUSTY KL.R PL</t>
  </si>
  <si>
    <t>***BOCZ.Z/ŻEB.SZEROKI TŁUSTY KL.R EX</t>
  </si>
  <si>
    <t>***BOCZ.BLAT.Z/SK.SZEROKI USR</t>
  </si>
  <si>
    <t>***BOCZ.WP.BLAT.Z/SK.SZER.NB MR</t>
  </si>
  <si>
    <t>***BOCZ.WP.BLAT.Z/SK.SZER. NB DMR</t>
  </si>
  <si>
    <t>***BOCZ.WP.BLAT.Z/SK.SZER. NB RO</t>
  </si>
  <si>
    <t>***BOCZ.A BLAT.WĄS.Z/SK.LUZ PBX CH ST</t>
  </si>
  <si>
    <t>***BOCZ.A BLAT.Z/SK/PACH.10-12CM CH1</t>
  </si>
  <si>
    <t>***BOCZ.A BLAT.Z/SK/PACH.10-12CM PBX CH1</t>
  </si>
  <si>
    <t>***BOCZ.A BLAT.Z/SK/PACH.10-12CM CH2</t>
  </si>
  <si>
    <t>***BOCZ.A BLAT.Z/SK/PACH.10-12CM PBX CH2</t>
  </si>
  <si>
    <t>***BOCZ.WP.BLAT.Z/SK.SZER. KL.E CH</t>
  </si>
  <si>
    <t>***BOCZ.Z/ŻEB.WĄSK.Z/SK USR CH</t>
  </si>
  <si>
    <t>***BOCZ.ŁUS. USR CH</t>
  </si>
  <si>
    <t>***BOCZ.ŁUSK B/SK SZER.RO</t>
  </si>
  <si>
    <t>***BOCZ.ŁUSK.SZER.B/SK.Z/CHRZ. PL</t>
  </si>
  <si>
    <t>***BOCZ.ŁUSK.SZER.B/SK.Z/CHRZ. PL UŚR</t>
  </si>
  <si>
    <t>***BOCZ.ŁUSK.B/SK SZER. PL UŚR</t>
  </si>
  <si>
    <t>***BOCZ.ŁUS.SZER.B/SK.Z/CHRZ KLU CHKOREA</t>
  </si>
  <si>
    <t>***BOCZ.BLAT.B/CHRZ.Z/SK. KLASYCZNY USR</t>
  </si>
  <si>
    <t>***BOCZ.BLAT.WĄS.B/SK CH</t>
  </si>
  <si>
    <t>***BOCZ.BLAT.WĄS.B/SK CH ZAK</t>
  </si>
  <si>
    <t>***BOCZ.BLAT.WĄS.B/SK KL.S CH</t>
  </si>
  <si>
    <t>***BOCZ.BLAT.WĄS.B/SK KL.E CH</t>
  </si>
  <si>
    <t>***BOCZ.BLAT.WĄS.B/SK KL.E NB MR</t>
  </si>
  <si>
    <t>***BOCZ.BLAT.WĄS.B/SK KL.E NB DMR</t>
  </si>
  <si>
    <t>***BOCZ.BLAT.WĄS.B/SK KL.U CH</t>
  </si>
  <si>
    <t>***BOCZ.BLAT.B/CHRZ.Z/SK.CHŁOPSKI USR</t>
  </si>
  <si>
    <t>***BOCZ.B BLAT.WĄS.Z/SK.LUZ PBX CH ST</t>
  </si>
  <si>
    <t>***BOCZ.ŁUSK.WĄS.Z/SK/CHRZ CH</t>
  </si>
  <si>
    <t>***BOCZ.ŁUSK.WĄS.Z/SK/CHRZ NB MR</t>
  </si>
  <si>
    <t>***BOCZ.ŁUSK.WĄS.Z/SK/CHRZ NB DMR</t>
  </si>
  <si>
    <t>***BOCZ.ŁUSK.WĄS.Z/SK/CHRZ NB RO</t>
  </si>
  <si>
    <t>***BOCZ.BLAT.B/CHRZ.Z/SK.OKOPCONY USR</t>
  </si>
  <si>
    <t>PL BOCZ.C BLAT.Z/SK.OKOPC.PBX SZ</t>
  </si>
  <si>
    <t>***BOCZ.BLAT.SZER.Z/SK PBX CH EŁ</t>
  </si>
  <si>
    <t>EU BOCZ.C Z/SK.B/Ż/CH.OKOPCONY PBX SZ</t>
  </si>
  <si>
    <t>DE BOCZ.C Z/SK.B/Ż/CH.OKOPCONY PBX SZ</t>
  </si>
  <si>
    <t>***BOCZ.ŁUSK.WĄS.B/SK.Z/CHRZ CH</t>
  </si>
  <si>
    <t>***BOCZ.Z/K/SK.NAT.CIĘCIE KL.A KT RO</t>
  </si>
  <si>
    <t>***BOCZ.Z/Ż/SK.NT/C KL.A KT CH</t>
  </si>
  <si>
    <t>***BOCZ.Z/K/SK NAT.CIĘCIE KL.A PL USR</t>
  </si>
  <si>
    <t>***BOCZ.Z/K/SK NAT.CIĘCIE KL.A EX USR</t>
  </si>
  <si>
    <t>***BOCZ.Z/K/SK NAT.CIĘCIE KL.B USR</t>
  </si>
  <si>
    <t>***BOCZ.Z/K/SK.NAT.CIĘCIE KL.B KT RO</t>
  </si>
  <si>
    <t>***BOCZ.Z/K/SK NAT.CIĘCIE KL.B PL USR</t>
  </si>
  <si>
    <t>***BOCZ.Z/K/SK NAT.CIĘCIE KL.B EX USR</t>
  </si>
  <si>
    <t>***BOCZ.BLAT.B/SK KL.S CH</t>
  </si>
  <si>
    <t>***BOCZ.BLAT.B/SK KL.E CH</t>
  </si>
  <si>
    <t>***BOCZ.BLAT.B/SK KL.S E USR</t>
  </si>
  <si>
    <t>***BOCZ.BLAT.B/SK CH OK 20KG PJ ST</t>
  </si>
  <si>
    <t>***BOCZ.BLAT.B/SK KL.E S CH OKTABINA ST</t>
  </si>
  <si>
    <t>***BOCZ.BLAT.B/SK CH PBX ST</t>
  </si>
  <si>
    <t>***BOCZ.B ŁUSK.WĄS.Z/SK/CHRZ LUX CH</t>
  </si>
  <si>
    <t>***BOCZ.B ŁUS.WĄS.Z/SK/CH.LUX NB MR ST</t>
  </si>
  <si>
    <t>***BOCZ.ŁUSK.B/SK Z/CHRZKL.E BIEDR. LUZP</t>
  </si>
  <si>
    <t>***BOCZ.B ŁUS.WĄS.Z/SK/CH.LUX NB DMR</t>
  </si>
  <si>
    <t>***BOCZ.B ŁUS.WĄS.Z/SK/CH.LUX NB RO1</t>
  </si>
  <si>
    <t>***BOCZ.ŁUSK.LUKS.Z/SK NB RO</t>
  </si>
  <si>
    <t>***BOCZ.B ŁUS.WĄS.Z/SK/CH.LUX NB RO2</t>
  </si>
  <si>
    <t>***BOCZ.ŁUS.LUX Z/SK.TRM OK15KG KT CZ</t>
  </si>
  <si>
    <t>***BOCZ.ŁUS.WĄS.1ST TRM OK15KG KT MR CZ</t>
  </si>
  <si>
    <t>***BOCZ.ŁUSK.WĄS.Z/SK/CHRZ LUX CH PL UŚR</t>
  </si>
  <si>
    <t>***BOCZ.Z/K/SK/PACHW.SZEROKI USR</t>
  </si>
  <si>
    <t>***BOCZ.WP.BLAT.B/K/SK/TŁ.PACH. USR</t>
  </si>
  <si>
    <t>***BOCZ.ŁUSK Z/SK B/CHRZ. USR</t>
  </si>
  <si>
    <t>***BOCZ.ŁUSK.Z/SK B/CHRZ NB MR ST</t>
  </si>
  <si>
    <t>***BOCZ.ŁUSK.Z/SK B/CHRZ. DMR</t>
  </si>
  <si>
    <t>***BOCZ.ŁUSK.Z/SK B/CHRZ. RO</t>
  </si>
  <si>
    <t>***BOCZ.ŁUS.Z/S B/CHRZ.KL. S</t>
  </si>
  <si>
    <t>***BOCZ.ŁUS.Z/SK B/CHRZ. KL.E</t>
  </si>
  <si>
    <t>***BOCZ.Z/K/SK/PACHW.SZER.KL.U</t>
  </si>
  <si>
    <t>***BOCZ.B BLAT.Z/SK.NB MR</t>
  </si>
  <si>
    <t>***BOCZ.B BLAT.Z/SK.NB DMR</t>
  </si>
  <si>
    <t>***BOCZ.B BLAT.Z/SK.NB RO1</t>
  </si>
  <si>
    <t>***BOCZ.B BLAT.Z/SK.NB RO2</t>
  </si>
  <si>
    <t>PL BOCZ.B B/Ż/SK/CH.MŚ.PRZ.PR.W1PBX CH2</t>
  </si>
  <si>
    <t>PL BOCZ.ABC B/Ż/SK/CH/MP.USR US</t>
  </si>
  <si>
    <t>ELEM.BOCZ.MARYNATA KL.E CH</t>
  </si>
  <si>
    <t>***ELEM.BOCZ.MARYNATA KL.E NB MR</t>
  </si>
  <si>
    <t>ELEM.BOCZ.MARYNATA KL.E NB DMR</t>
  </si>
  <si>
    <t>ELEM.BOCZ.MARYNATA KL.E NB RO</t>
  </si>
  <si>
    <t>***BOCZ.ŁUSK.WĄS.Z/SK/CH.LUX KL.E NB MR</t>
  </si>
  <si>
    <t>***BOCZ.ŁUSK.LUKS.Z/SK KL.E MR</t>
  </si>
  <si>
    <t>***BOCZ.ŁUSK.WĄS.Z/SK/CH.LUX KL.E NB DMR</t>
  </si>
  <si>
    <t>***BOCZ.ŁUSK.WĄS.Z/SK/CH.LUX KL.E PB DMR</t>
  </si>
  <si>
    <t>***BOCZ.ŁUSK.WĄS.Z/SK/CHRZ LUX KL.U CH</t>
  </si>
  <si>
    <t>***BOCZ.BC BLAT.B/SK/CH.PB MR ES EX</t>
  </si>
  <si>
    <t>***BOCZ.BC BLAT.B/SK/CH.LUZ OKT ES EX</t>
  </si>
  <si>
    <t>***BOCZ.BC BLAT.B/SK/CH.PB DMR ES</t>
  </si>
  <si>
    <t>***BOCZ.ŁUSK.WĄS.Z/SK/CHRZ KL.E CH</t>
  </si>
  <si>
    <t>***BOCZ.ŁUSK.WĄS.Z/SK/CHRZ LUX KL.S CH</t>
  </si>
  <si>
    <t>***BOCZ.ŁUSK.WĄ.Z/SK/CHRZ LUX KL.S NB MR</t>
  </si>
  <si>
    <t>***BOCZ.ŁUS.Z/S/CH MR BIEDR. ST</t>
  </si>
  <si>
    <t>***BOCZ.ŁU.WĄS.Z/SK/CHRZ LUX KL.S NB DMR</t>
  </si>
  <si>
    <t>***BOCZ.ŁU.WĄS.Z/SK/CHRZ LUX KL.S PB DMR</t>
  </si>
  <si>
    <t>***BOCZ.ŁUSK.WĄS.Z/SK/CHRZ LUX KL.S CHPL</t>
  </si>
  <si>
    <t>***BOCZ.WP.ŁUSK.Z/SK/CHRZ. KL. S CH M.E.</t>
  </si>
  <si>
    <t>***BOCZ.ŁUSK.WĄS.Z/SK/CHRZ KL.U CH</t>
  </si>
  <si>
    <t>***BOCZ.ŁUSK.WĄS.Z/SK/CHRZ KL.R CH</t>
  </si>
  <si>
    <t>***BOCZ.A ŁUS.Z/SK/CH.PJ CH BIED ST</t>
  </si>
  <si>
    <t>***BOCZ.B BLAT.WĄS.Z/SK.NB MR</t>
  </si>
  <si>
    <t>***BOCZ.WP.BLAT.Z/SK.WĄSKI KL.S CH</t>
  </si>
  <si>
    <t>***BOCZ.WP.BLAT.Z/SK.WĄSKI KL.E CH Z/B</t>
  </si>
  <si>
    <t>***BOCZ.B BLAT.Z/S.PBX K4 ZAK</t>
  </si>
  <si>
    <t>***BOCZ.BLAT.WĄS.ODTŁ KL.E CH</t>
  </si>
  <si>
    <t>***BOCZ.BLAT.WĄS.ODTŁ KL.E NB MR</t>
  </si>
  <si>
    <t>***BOCZ.BLAT.WĄS.ODTŁ KL.E NB DMR</t>
  </si>
  <si>
    <t>***BOCZ.BLAT.WĄS.ODTŁ KL.E NB RO</t>
  </si>
  <si>
    <t>***BOCZ.BLAT.WĄS.ODTŁ KL.U CH</t>
  </si>
  <si>
    <t>***BOCZ.BLAT.WĄS.ODTŁ KL.R CH</t>
  </si>
  <si>
    <t>***BOCZ.BLAT.B/CHRZ.Z/SK.KL.S KLASYCZNY</t>
  </si>
  <si>
    <t>***BOCZ.BLAT.B/CHRZ.Z/SK.KL.E KLASYCZNY</t>
  </si>
  <si>
    <t>***BOCZ.BLAT.B/CHRZ.Z/SK.KL.U CHŁOPSKI</t>
  </si>
  <si>
    <t>***BOCZ.B BLAT.WĄS.B/SK.KROJONY CH</t>
  </si>
  <si>
    <t>***BOCZ.B BLAT.WĄS.B/SK.KROJONY RO CH</t>
  </si>
  <si>
    <t>***BOCZ.BLAT.WĄS.B/SK KROJONY FANTOM CH</t>
  </si>
  <si>
    <t>PL BOCZ.C BLAT.Z/SK.B/CH.OKOPCONY MR SZ</t>
  </si>
  <si>
    <t>DE BOCZ.C BLAT.Z/SK.B/CH.OKOPCONY MR SZ</t>
  </si>
  <si>
    <t>***BOCZ.ŁUSK.B/SK KL.E CH</t>
  </si>
  <si>
    <t>***BOCZ.BLAT.B/CHRZ.Z/SK.KL.U OKOPCONY</t>
  </si>
  <si>
    <t>***BOCZ.Z/K/SK/PACHW. KL.U WSAD</t>
  </si>
  <si>
    <t>***BOCZ.Z/ŻEB/SK KL.E WĄSKI MR EX</t>
  </si>
  <si>
    <t>***BOCZ.B WĄSK.Z/Ż/SK.KL.E OK15KGKT DMR</t>
  </si>
  <si>
    <t>***BOCZ.Z/ŻEB.WĄSK.Z/SK KL.U CH</t>
  </si>
  <si>
    <t>***BOCZ.Z/ŻEB.WĄSK.Z/SK KL.R CH</t>
  </si>
  <si>
    <t>***BOCZ.Z/ŻEB.WĄ.Z/S KLR OK15KG KT DMREX</t>
  </si>
  <si>
    <t>***BOCZ.Z/ŻEB.WĄSK.Z/SK KL.S CH</t>
  </si>
  <si>
    <t>***BOCZ.Z/ŻEWĄ.Z/S KL.S OK15KG KT DMR EX</t>
  </si>
  <si>
    <t>***BOCZ.WP.Z/K/SK.WĄSKI KL.S CH M.E.</t>
  </si>
  <si>
    <t>PL ŻEB.PŁAT.Z/CH.CH</t>
  </si>
  <si>
    <t>***ŻEB.WP.PŁATY Z/CHRZ.MOST.RO1</t>
  </si>
  <si>
    <t>***ŻEB.WP.PŁATY Z/CHRZ.MOST.RO2</t>
  </si>
  <si>
    <t>EU ŻEB.PŁAT.Z/CH.CH</t>
  </si>
  <si>
    <t>***ŻEB.PŁATY Z/CHRZ.USR CH</t>
  </si>
  <si>
    <t>PP ŻEB.PŁAT.Z/CH.CH</t>
  </si>
  <si>
    <t>PP ŻEB.PŁAT.Z/CH.OK4.5KGWOROK4.5KGKTBIED</t>
  </si>
  <si>
    <t>CZ ŻEB.PŁAT.Z/CH.CH</t>
  </si>
  <si>
    <t>***ŻEB.PŁAT.Z/CHRZ.MOS. PL UŚR</t>
  </si>
  <si>
    <t>ŻEB.PŁAT.Z/CH.CIĘ.CH</t>
  </si>
  <si>
    <t>ŻEB.PŁAT.Z/CH.CIĘ.OK20KG NB MR</t>
  </si>
  <si>
    <t>ŻEB.PŁAT.Z/CH.CIĘ.OK500KG PBX1</t>
  </si>
  <si>
    <t>PL ŻEB.PŁAT.Z/CH.CIĘ.OK20KG NB DMR</t>
  </si>
  <si>
    <t>ŻEB.PŁAT.Z/CH.CIĘ.RO1</t>
  </si>
  <si>
    <t>ŻEB.PŁAT.Z/CH.CIĘ.RO2</t>
  </si>
  <si>
    <t>ŻEB.PŁAT.Z/CH.CIĘ.OK500KG PBX2</t>
  </si>
  <si>
    <t>***ŻEB. WP USR CH</t>
  </si>
  <si>
    <t>PL ŻEB.SCH.CH1</t>
  </si>
  <si>
    <t>***ŻEB.SCH.GRILL NB MR</t>
  </si>
  <si>
    <t>PL ŻEB.SCH.PBX CH1</t>
  </si>
  <si>
    <t>PL ŻEB.SCH.LUZ OK20KGWOR PJ ST</t>
  </si>
  <si>
    <t>ŻEB.SCH.CH ZAK</t>
  </si>
  <si>
    <t>***ŻEB.SCHABOWE 6-8CM FOL KT MR KOREA EŁ</t>
  </si>
  <si>
    <t>***ŻEB.SCHABOWE6-8CMOK15KG WOR PJ CH EŁ1</t>
  </si>
  <si>
    <t>***ŻEB.SCH.GRILL NB DMR</t>
  </si>
  <si>
    <t>***ŻEB.SCH.GRILL NB RO1</t>
  </si>
  <si>
    <t>PL ŻEB.SCH.CH2</t>
  </si>
  <si>
    <t>***ŻEB.SCH.GRILL NB RO2</t>
  </si>
  <si>
    <t>PL ŻEB.SCH.PBX CH2</t>
  </si>
  <si>
    <t>EU ŻEB.SCH.CH</t>
  </si>
  <si>
    <t>EU ŻEB.SCH.PBX CH1</t>
  </si>
  <si>
    <t>EU ŻEB.SCH.5-10CM PBX2</t>
  </si>
  <si>
    <t>***ŻEB.SCHABOWE USR</t>
  </si>
  <si>
    <t>CZ ŻEB.SCH.CH</t>
  </si>
  <si>
    <t>PL ŻEB.PASKI CH1</t>
  </si>
  <si>
    <t>***ŻEB.WP.PASKI NB MR ST</t>
  </si>
  <si>
    <t>PL ŻEB.SCH.SZER.600-850G OK15KGWOR PJ SZ</t>
  </si>
  <si>
    <t>***ŻEB.PASKI NB DMR</t>
  </si>
  <si>
    <t>***ŻEB.PASKI NB RO</t>
  </si>
  <si>
    <t>EU ŻEB.PASKI CH</t>
  </si>
  <si>
    <t>***ŻEB.PASKI USR</t>
  </si>
  <si>
    <t>***ŻEB.WP.PASKI MIĘSNE CH</t>
  </si>
  <si>
    <t>***ŻEB.WP.PASKI MIĘSNE USR</t>
  </si>
  <si>
    <t>***ŻEB.PASKI</t>
  </si>
  <si>
    <t>***ŻEB.PASKI GRILL NB MR</t>
  </si>
  <si>
    <t>***ŻEB.PASKI GRILL NB DMR</t>
  </si>
  <si>
    <t>***ŻEB.PASKI GRILL NB RO</t>
  </si>
  <si>
    <t>***ŻEB.PASKI GRILL UŚR</t>
  </si>
  <si>
    <t>***ŻEB.SCH.NB MR</t>
  </si>
  <si>
    <t>***ŻEB.SCH. NB DMR</t>
  </si>
  <si>
    <t>***ŻEB.SCH. NB RO1</t>
  </si>
  <si>
    <t>***ŻEB.SCH. NB RO2</t>
  </si>
  <si>
    <t>***ŻEB.SCHABOWE PL</t>
  </si>
  <si>
    <t>***ŻEB.SCH. UŚR CH</t>
  </si>
  <si>
    <t>***ŻEB.SCHABOWE PL UŚR</t>
  </si>
  <si>
    <t>PL ŻEB.POZ.PŁAT.CH</t>
  </si>
  <si>
    <t>PL ŻEB.POZ.PŁAT.PBX</t>
  </si>
  <si>
    <t>???</t>
  </si>
  <si>
    <t>PL ŻEB.POZ.PŁAT.OK10KGWOR KT DMR VN</t>
  </si>
  <si>
    <t>EU ŻEB.POZ.PŁAT.CH</t>
  </si>
  <si>
    <t>EU ŻEB.POZ.PŁAT.OK10KGWOR KT MR EX</t>
  </si>
  <si>
    <t>EU ŻEB.POZ.PŁAT.OK10KGWOR KT DMR</t>
  </si>
  <si>
    <t>PL  ŻEB.PŁAT.8CM1</t>
  </si>
  <si>
    <t>ŻEB.PŁATY 8CM NB MR ST</t>
  </si>
  <si>
    <t>PL ŻEB.BOCZ.8CM OK15KG WOR KT</t>
  </si>
  <si>
    <t>PL ŻEB.PŁAT.8CM OK20KGWOR KT MR EX</t>
  </si>
  <si>
    <t>PL ŻEB.BOCZ.8CM 4STMAP OK9KGKT SEL</t>
  </si>
  <si>
    <t>PL ŻEB.PŁAT.8CM OK20KG NB DMR</t>
  </si>
  <si>
    <t>PL ŻEB.PŁAT.8CM OK20KGWOR KT DMR</t>
  </si>
  <si>
    <t>ŻEB.PŁATY 8CM NB RO1</t>
  </si>
  <si>
    <t>PL  ŻEB.PŁAT.8CM2</t>
  </si>
  <si>
    <t>ŻEB.PŁATY 8CM NB RO2</t>
  </si>
  <si>
    <t>EU ŻEB.BOCZ.8CM CH1</t>
  </si>
  <si>
    <t>EU ŻEB.PŁAT.8CM OK20KGWOR KT MR EX</t>
  </si>
  <si>
    <t>***EUŻEB.BOCZ.8CM OK2.5KGRMMOK10KGKTSELG</t>
  </si>
  <si>
    <t>EU ŻEB.PŁAT.8CM OK20KGWOR KT DMR</t>
  </si>
  <si>
    <t>EU ŻEB.BOCZ.8CM CH2</t>
  </si>
  <si>
    <t>***FR.PK SPARERIBS WITHOUT BREAST B NBMR</t>
  </si>
  <si>
    <t>***FR.PK SPARERIBS WITHOUT BREAST B NBRO</t>
  </si>
  <si>
    <t>***PLŻEB.(1/2 BOCZKU B)OK2.5KGTRMOK5KGKT</t>
  </si>
  <si>
    <t>***EUŻEB.(1/2 BOCZKU B)OK2.5KGTRMOK5KGKT</t>
  </si>
  <si>
    <t>***ŻEB.PŁAT. KOR</t>
  </si>
  <si>
    <t>***ŻEB.PŁAT. OK 15KG KT DMR KOR</t>
  </si>
  <si>
    <t>PL ŻEB.BOCZ.10.5CM 682-795G</t>
  </si>
  <si>
    <t>PL ŻEB.PŁAT.CIĘ.10CM OK15KGWOR PJ EŁ</t>
  </si>
  <si>
    <t>PL ŻEB.BOCZ.10.5CM 682-795G DMR</t>
  </si>
  <si>
    <t>PL ŻEB.PŁAT.10.5CM 515-568G</t>
  </si>
  <si>
    <t>PL ŻEB.PIECZENIOWE CH</t>
  </si>
  <si>
    <t>PL ŻEB.MOST.Z/CH/MP.PBX ST</t>
  </si>
  <si>
    <t>EU ŻEB.PIECZENIOWE CH</t>
  </si>
  <si>
    <t>EU ŻEB.PIECZENIOWE PBX ST</t>
  </si>
  <si>
    <t>PP ŻEB.PIECZENIOWE CH</t>
  </si>
  <si>
    <t>PP ŻEB.MOST.Z/CH/MP.PBX ST</t>
  </si>
  <si>
    <t>CZ ŻEB.PIECZENIOWE CH</t>
  </si>
  <si>
    <t>PL ŻEB.BOCZ.10.5CM 569-681 CH</t>
  </si>
  <si>
    <t>***KOŃC.ŻEB CH</t>
  </si>
  <si>
    <t>***KOŃC.ŻEB UŚR CH</t>
  </si>
  <si>
    <t>PL ŻEB.BOCZ.10.5CM 796-899G</t>
  </si>
  <si>
    <t>***ŻEB.BOCZ.OK800GVAC 5KGKT TESC</t>
  </si>
  <si>
    <t>***PLŻEB.BOCZ.OK800GVAC6STKT MOR-EKSPERT</t>
  </si>
  <si>
    <t>PL ŻEB.BOCZ.796-899G OK15KGWOR PJ ST</t>
  </si>
  <si>
    <t>PL ŻEB.PŁAT.10.5CM 796-899 OK15KGLUZPJSZ</t>
  </si>
  <si>
    <t>ŻEB.BOCZ.10.5CM ZAK</t>
  </si>
  <si>
    <t>***ŻEB.BOCZ.10.5CM K4 ZAK</t>
  </si>
  <si>
    <t>***PLŻEB.BOCZ.OK800GVACOK8KGKTDMR EX</t>
  </si>
  <si>
    <t>ŻEB.BOCZ.ROZP1</t>
  </si>
  <si>
    <t>ŻEB.BOCZ.ROZP2</t>
  </si>
  <si>
    <t>PL ŻEB.BOCZ.10.5CM 900-1000G</t>
  </si>
  <si>
    <t>PL ŻEB.PŁAT.B/CH.CH</t>
  </si>
  <si>
    <t>PL ŻEB.PŁAT.B/CH.OK20KGWOR PJ ST</t>
  </si>
  <si>
    <t>PL ŻEB.PŁAT.OK500KGWOR OKT CH EX</t>
  </si>
  <si>
    <t>PL ŻEB.PŁAT.B/CH.OK15KGWOR PJ EŁ</t>
  </si>
  <si>
    <t>EU ŻEB.PŁAT.B/CH.CH</t>
  </si>
  <si>
    <t>EU ŻEB.PŁAT.B/CH.PBX CH</t>
  </si>
  <si>
    <t>***ŻEBER.WP.PŁATY B/CHRZ.CH USR</t>
  </si>
  <si>
    <t>CZ ŻEB.PŁAT.B/CH.CH</t>
  </si>
  <si>
    <t>PL ŻEB.PŁAT.B/CH.CIĘ.CH</t>
  </si>
  <si>
    <t>PL ŻEB.PŁAT.B/CH.CIĘ.OK5KGMAP OK10KGKT</t>
  </si>
  <si>
    <t>EU ŻEB.PŁAT.B/CH.CIĘ.CH</t>
  </si>
  <si>
    <t>ŻEB.WP.PŁAT.B/CH.CIĘ.CH USR</t>
  </si>
  <si>
    <t>PL ŻEB.PŁAT.B/CH.OK10KGWOR KT MR GB</t>
  </si>
  <si>
    <t>PL ŻEB.PŁAT.B/CH.OK10KGWOR KT MR EX</t>
  </si>
  <si>
    <t>PL ŻEB.PŁAT.B/CH.OK10KGWOR KT DMR GB</t>
  </si>
  <si>
    <t>PL ŻEB.PŁAT.B/CH.OK10KGWOR KT DMR EX</t>
  </si>
  <si>
    <t>EU ŻEB.PŁAT.B/CH.OK10KGWOR KT MR GB</t>
  </si>
  <si>
    <t>EU ŻEB.PŁAT.B/CH.OK10KGWOR KT MR EX</t>
  </si>
  <si>
    <t>EU ŻEB.PŁAT.B/CH.OK10KGWOR KT DMR GB</t>
  </si>
  <si>
    <t>EU ŻEB.PŁAT.B/CH.OK10KGWOR KT DMR EX</t>
  </si>
  <si>
    <t>CZ ŻEB.PŁAT.B/CH.OK10KGWOR KT MR GB</t>
  </si>
  <si>
    <t>CZ ŻEB.PŁAT.B/CH.OK10KGWOR KT DMR GB</t>
  </si>
  <si>
    <t>***SZYN. 6D KL.S CH</t>
  </si>
  <si>
    <t>PL SZYN.6D CH1</t>
  </si>
  <si>
    <t>PL MŚ.SZYN.N/ODBŁ.JAS/CIE.OK20KG NB DMR</t>
  </si>
  <si>
    <t>PL MŚ.SZYN.N/ODBŁ.JAS.RO1</t>
  </si>
  <si>
    <t>PL SZYN.6D CH2</t>
  </si>
  <si>
    <t>PL MŚ.SZYN.N/ODBŁ.JAS.RO2</t>
  </si>
  <si>
    <t>EU SZYN.6D CH1</t>
  </si>
  <si>
    <t>EU MŚ.SZYN.N/ODBŁ.JAS.PBX ST</t>
  </si>
  <si>
    <t>EU SZYN.6D CH2</t>
  </si>
  <si>
    <t>PP MŚ.SZYN.N/ODBŁ.JAS.CH</t>
  </si>
  <si>
    <t>PP MŚ.SZYN.N/ODBŁ.JAS.PBX ST1</t>
  </si>
  <si>
    <t>PP MŚ.SZYN.N/ODBŁ.JAS.PBX ST2</t>
  </si>
  <si>
    <t>SZYN.6D ROZP1</t>
  </si>
  <si>
    <t>SZYN.6D ROZP2</t>
  </si>
  <si>
    <t>PL ŻEB.SCH.SZER.500-600G US</t>
  </si>
  <si>
    <t>PL ŻEB.SCH.500-600G LUZ 35ST KT MR US EX</t>
  </si>
  <si>
    <t>PL ŻEB.SCH.500-600G LUZ 35ST KT DMR US</t>
  </si>
  <si>
    <t>EU ŻEB.SCH.SZER.500-600G US</t>
  </si>
  <si>
    <t>EU ŻEB.SCH.500-600G LUZ 35ST KT DMR US</t>
  </si>
  <si>
    <t>PL ŻEB.SCH.SZER.600-850G US</t>
  </si>
  <si>
    <t>PL ŻEB.SCH.600-850G LUZ 30ST KT MR US EX</t>
  </si>
  <si>
    <t>***PLŻEB.SCH.SZER.600-850G OK15KGWORPJST</t>
  </si>
  <si>
    <t>PL ŻEB.SCH.600-850G LUZ 30ST KT DMR US</t>
  </si>
  <si>
    <t>EU ŻEB.SCH.SZER.600-850G US</t>
  </si>
  <si>
    <t>EU ŻEB.SCH.600-850G LUZ 30ST KT DMR US</t>
  </si>
  <si>
    <t>PL ŻEB.SCH.SZER.850-960G US</t>
  </si>
  <si>
    <t>PL ŻEB.SCH.&gt;850G  25STWOR KT MR US EX</t>
  </si>
  <si>
    <t>PL ŻEB.SCH.850-960 25STWOR KT DMR US</t>
  </si>
  <si>
    <t>EU ŻEB.SCH.SZER.850-960G US</t>
  </si>
  <si>
    <t>EU ŻEB.SCH.850-960G LUZ 25ST KT DMR US</t>
  </si>
  <si>
    <t>***ŻEB.PASKI CIĘ.CH</t>
  </si>
  <si>
    <t>***ŻEB.PASKI CIĘ.GRILL.RO1</t>
  </si>
  <si>
    <t>***ŻEB.PASKI CIĘ.GRILL.RO2</t>
  </si>
  <si>
    <t>***ŻEB.PASKI CIĘTE GRILL MR</t>
  </si>
  <si>
    <t>***ŻEB.PASKI CIĘTE GRILL DMR</t>
  </si>
  <si>
    <t>***ŻEB.PASKI CIĘTE UŚR CH</t>
  </si>
  <si>
    <t>PL ŻEB.PŁAT.B/CH.CIĘ.10CM CH</t>
  </si>
  <si>
    <t>EU ŻEB.PŁAT.CIĘ.10CM CH</t>
  </si>
  <si>
    <t>PL ŻEB.BOCZ.10.5CM</t>
  </si>
  <si>
    <t>PL ŻEB.BOCZ.10.5CM OK20KGWOR KT EX</t>
  </si>
  <si>
    <t>PL ŻEB.SCH.600-750G RAS</t>
  </si>
  <si>
    <t>PL ŻEB.BOCZ.600-750 RAS</t>
  </si>
  <si>
    <t>PL ŻEB.MOST.Z/CH.B/MP.CH</t>
  </si>
  <si>
    <t>PL ŻEB.MOST.Z/CH.B/MP.PBX1</t>
  </si>
  <si>
    <t>PL ŻEB.MOST.Z/CH.B/MP.OK15KG PB MR ST</t>
  </si>
  <si>
    <t>PL ŻEB.MOST.Z/CH.B/MP.10KGWOR KT MR</t>
  </si>
  <si>
    <t>PL ŻEB.MOST.Z/CH.B/MP.OK15KGWOR PJ ST</t>
  </si>
  <si>
    <t>PL ŻEB.MOST.Z/CH.B/MP.OK15KG PB DMR</t>
  </si>
  <si>
    <t>PL ŻEB.MOST.Z/CH.B/MP.10KGWOR KT DMR</t>
  </si>
  <si>
    <t>PL ŻEB.MOST.Z/CH.B/MP.OK15KG PB RO1</t>
  </si>
  <si>
    <t>PL ŻEB.MOST.Z/CH.B/MP.PBX2</t>
  </si>
  <si>
    <t>PL ŻEB.MOST.Z/CH.B/MP.OK15KG PB RO2</t>
  </si>
  <si>
    <t>***ELEM.SZYN.DELIKATNA KL.S CH</t>
  </si>
  <si>
    <t>ELEM.SZYN.DELIKATNA CH1</t>
  </si>
  <si>
    <t>ELEM.SZYN.DELIKATNA CH2</t>
  </si>
  <si>
    <t>ELEM.SZYN.DELIKATNA PBX CH2</t>
  </si>
  <si>
    <t>***ELEM.SZYN.DELIKATNA KL.U CH</t>
  </si>
  <si>
    <t>PL ŻEB.SCH.CH SUBWAY</t>
  </si>
  <si>
    <t>ELEM.SZYN.DELIKATNA CH</t>
  </si>
  <si>
    <t>ELEM.SZYN.DELIKATNA NB MR</t>
  </si>
  <si>
    <t>***MŚ.WP.DWUGŁ.Z/LIGAWĄ/TŁ.KL.SEU PJCHST</t>
  </si>
  <si>
    <t>***MŚ.WP.DWUGŁ.Z/LIGAWĄ/TŁ. OKTABINA ST</t>
  </si>
  <si>
    <t>ELEM.SZYN.DELIKATNA NB DMR</t>
  </si>
  <si>
    <t>ELEM.SZYN.DELIKATNA NB RO1</t>
  </si>
  <si>
    <t>ELEM.SZYN.DELIKATNA NB RO2</t>
  </si>
  <si>
    <t>PL ŻEB.BOCZ.CH SUBWAY</t>
  </si>
  <si>
    <t>ŻEB.BOCZ.9X34CM CH</t>
  </si>
  <si>
    <t>PL ŻEB.PŁAT.9X34CM OK20KGWOR PJ ST</t>
  </si>
  <si>
    <t>***POLĘD.N/OBR CH ZAK</t>
  </si>
  <si>
    <t>PL POL.WP.FIL.CH</t>
  </si>
  <si>
    <t>PL POL.WP.FIL.OK500KG PBX CH1</t>
  </si>
  <si>
    <t>PL POL.WP.FIL.OK15KGWOR KT</t>
  </si>
  <si>
    <t>PL POL.WP.FIL.OK2.5KGVAC OK18KGPJ</t>
  </si>
  <si>
    <t>PL POL.WP.FIL.OK2.5KGVAC OK10KGKT MR EX</t>
  </si>
  <si>
    <t>PL POL.WP.FIL.OK2.5KGVAC OK10KGKT DMR EX</t>
  </si>
  <si>
    <t>PL POL.WP.FIL.OK500KG PBX CH2</t>
  </si>
  <si>
    <t>EU POL.WP.FIL.CH</t>
  </si>
  <si>
    <t>EU POL.WP.FIL.OK500KG PBX CH1</t>
  </si>
  <si>
    <t>EU POL.WP.FIL.OK500KG PBX CH2</t>
  </si>
  <si>
    <t>PL ŻEB.SCH.SZER.750-1100G OK20KGKT MR US</t>
  </si>
  <si>
    <t>POLĘD.B/WAR.Z/GŁ</t>
  </si>
  <si>
    <t>PL POL.Z/GŁ.B/W.OK5KGWOR PJ EŁ1</t>
  </si>
  <si>
    <t>PL ŻEB.PASKI EXT.CH</t>
  </si>
  <si>
    <t>PL ŻEB.PASKI EXT.OK20KGWOR KT</t>
  </si>
  <si>
    <t>PL ŻEB.PASKI EXT.OK5KGMAP OK10KGKT</t>
  </si>
  <si>
    <t>PL ŻEB.PASKI EXT.OK5KGMAP 4ST PJ STO</t>
  </si>
  <si>
    <t>PL ŻEB.PASKI EXT.OK2.4KGMAPOK14.4KGPJECS</t>
  </si>
  <si>
    <t>EU ŻEB.PASKI EXT.CH</t>
  </si>
  <si>
    <t>EU ŻEB.PASKI EXT.OK20KGWOR KT</t>
  </si>
  <si>
    <t>EU ŻEB.PASKI EXT.OK5KGMAP OK10KGKT</t>
  </si>
  <si>
    <t>EU ŻEB.PASKI EXT.OK5KGMAP 4STPJ STO</t>
  </si>
  <si>
    <t>PL POL.Z/GŁ.OK20KGWOR KT</t>
  </si>
  <si>
    <t>PL POL.WP.Z/GŁ.5STMAP 2STKT KAUF</t>
  </si>
  <si>
    <t>PL POL.Z/GŁ.OK2KGVAC OK4KGKT TESC</t>
  </si>
  <si>
    <t>PL POL.Z/GŁ.OK2.5KGVAC OK18KGPJ</t>
  </si>
  <si>
    <t>PL POL.Z/GŁ.B/WAR.OK2.5KGVAC OK5KGKT PIP</t>
  </si>
  <si>
    <t>PL POL.Z/GŁ.B/WAR.OK2.5KGVAC OK20KGPJ</t>
  </si>
  <si>
    <t>***PLPOL.Z/GŁ.B/WAR.OK2.5KGVACOK15KGKTEX</t>
  </si>
  <si>
    <t>PP POL.Z/GŁ.OK2GVAC OK4KGKT BIED</t>
  </si>
  <si>
    <t>PL POL.Z/GŁ.B/W.MAX2KGVAC MAX20KGPJ POLM</t>
  </si>
  <si>
    <t>PL POL.Z/GŁ.B/W.OK2KGVAC OK15KGKT MAKR</t>
  </si>
  <si>
    <t>PL POL.WP.Z/GŁ.4STVAC OK15KGPJ STO</t>
  </si>
  <si>
    <t>PL POL.WP.Z/GŁ.OK1.5KGVAC OK12KGPJ ECS</t>
  </si>
  <si>
    <t>PL POL.Z/GŁ.OK1.5KGVAC OK6KGKT SEL</t>
  </si>
  <si>
    <t>PL POL.Z/GŁ.B/WAR.OK2.5KGVAC OK10KGKT MR</t>
  </si>
  <si>
    <t>PL POL.Z/GŁ. MAX.20KGLUZ PJ AGRO</t>
  </si>
  <si>
    <t>PL POL.Z/GŁ.OK15KGWOR PJ ST</t>
  </si>
  <si>
    <t>PL POL.Z/GŁ.OK15KG WOR PJ AF ST</t>
  </si>
  <si>
    <t>PL POL.Z/GŁ.B/WAR.OK20KGLUZ PJ ST</t>
  </si>
  <si>
    <t>PL POL.Z/GŁ.B/W.OK15KGWOR PJ SZ</t>
  </si>
  <si>
    <t>***POL. Z/GŁ.B/WAR.5KG WOR PJ CH EŁ PL</t>
  </si>
  <si>
    <t>PL POL.Z/GŁ.B/W.OK2.5KGVAC OK10KGKT DMR</t>
  </si>
  <si>
    <t>EU POL.Z/GŁ.OK20KGWOR KT</t>
  </si>
  <si>
    <t>EU POL.Z/GŁ.OK2.5KGVAC OK18KGPJ</t>
  </si>
  <si>
    <t>EU POL.Z/GŁ.B/WAR.OK2.5KGVAC OK5KGKT</t>
  </si>
  <si>
    <t>EU POL.Z/GŁ.B/WAR.OK1.5KGVACOK12KGPJ ECS</t>
  </si>
  <si>
    <t>EU POL.Z/GŁ.B/WAR.OK15KGWOR PJ ST</t>
  </si>
  <si>
    <t>PP POL.Z/GŁ.OK15KGWOR PJ ST</t>
  </si>
  <si>
    <t>PP POL.Z/GŁ.B/WAR.OK20KGLUZ PJ ST</t>
  </si>
  <si>
    <t>PP POL.Z/GŁ.B/W.OK15KGLUZ PJ SZ</t>
  </si>
  <si>
    <t>PP POL.Z/GŁ.B/W.OK5KGWOR PJ EŁ1</t>
  </si>
  <si>
    <t>CZ POL.Z/GŁ.OK2.5KGVAC OK18KGPJ</t>
  </si>
  <si>
    <t>POL.B/GŁ.N/OBR.CH</t>
  </si>
  <si>
    <t>PL GŁ.POL.CH</t>
  </si>
  <si>
    <t>EU GŁ.POL.CH</t>
  </si>
  <si>
    <t>PL MŚ.SZYN.ODBŁ.CZTER.CIE.CH</t>
  </si>
  <si>
    <t>PL MŚ.SZYN.ODBŁ.CZTER.CIE.OK20KGPB MR ST</t>
  </si>
  <si>
    <t>PL MŚ.SZYN.ODBŁ.CZTER.CIE.OK20KGLUZPJ ST</t>
  </si>
  <si>
    <t>PL MŚ.SZYN.ODBŁ.CZTER.CIE.PBX ST</t>
  </si>
  <si>
    <t>PL MŚ.SZYN.ODBŁ.CZTER.CIE.OK20KG PB DMR</t>
  </si>
  <si>
    <t>PL MŚ.SZYN.ODBŁ.CIE.KRAK.CH</t>
  </si>
  <si>
    <t>PL MŚ.CZTER.ODBŁ.CIE.CH</t>
  </si>
  <si>
    <t>PL MŚ.CZTER.ODBŁ.CIE.OK20KG NB MR ST</t>
  </si>
  <si>
    <t>PL MŚ.CZTER.ODBŁ.CIE.OK20KGLUZ PJ ST</t>
  </si>
  <si>
    <t>PL MŚ.CZTER.ODBŁ.CIE.PBX ST</t>
  </si>
  <si>
    <t>PL MŚ.CZTER.ODBŁ.CIE.OK20KG NB DMR</t>
  </si>
  <si>
    <t>EU MŚ.CZTER.ODBŁ.CIE.CH</t>
  </si>
  <si>
    <t>EU MŚ.CZTER.ODBŁ.CIE.OK20KGLUZ PJ ST</t>
  </si>
  <si>
    <t>EU MŚ.CZTER.ODBŁ.CIE.PBX ST</t>
  </si>
  <si>
    <t>PP MŚ.CZTER.ODBŁ.CIE.CH</t>
  </si>
  <si>
    <t>PP MŚ.CZTER.ODBŁ.CIE.OK20KG NB MR ST</t>
  </si>
  <si>
    <t>PP MŚ.CZTER.ODBŁ.CIE.OK20KGLUZ PJ ST</t>
  </si>
  <si>
    <t>PP MŚ.CZTER.ODBŁ.CIE.PBX ST</t>
  </si>
  <si>
    <t>PP MŚ.CZTER.ODBŁ.CIE.OK20KG NB DMR</t>
  </si>
  <si>
    <t>POL.B/WAR/GŁ.</t>
  </si>
  <si>
    <t>***POLĘD.Z/WAR/GŁ</t>
  </si>
  <si>
    <t>***ELEM.SZYN.FRANCJA KL.E CH</t>
  </si>
  <si>
    <t>***ELEM.SZYN.FRANCJA KL.E NB MR</t>
  </si>
  <si>
    <t>***ELEM.SZYN.FRANCJA KL.E NB  DMR</t>
  </si>
  <si>
    <t>***ELEM.SZYN.FRANCJA KL.E NB RO</t>
  </si>
  <si>
    <t>***ELEM.SZYN.FRANCJA KL.U CH</t>
  </si>
  <si>
    <t>PL ŻEB.BOCZ.10.5CM CH</t>
  </si>
  <si>
    <t>PL ŻEB.PŁAT.B/CH.10.5CM OK20KGWOR PJ ST</t>
  </si>
  <si>
    <t>PP ŻEB.BOCZ.10.5CM CH</t>
  </si>
  <si>
    <t>PP ŻEB.PŁAT.B/CH.10.5CM OK20KGWOR PJ ST</t>
  </si>
  <si>
    <t>***ELEM.SZYN.FRANCJA KL.S CH</t>
  </si>
  <si>
    <t>***ELEM.SZYN B/M CZTEROGŁ KL.E CH</t>
  </si>
  <si>
    <t>***ELEM.SZYN B/M CZTEROGŁ KL.U CH</t>
  </si>
  <si>
    <t>***ELEM.SZYN B/M CZTEROGŁ KL.S CH</t>
  </si>
  <si>
    <t>***SZYN.B/M.CZTEROGŁ.USR</t>
  </si>
  <si>
    <t>NOGA TYL.DŁ.PBX</t>
  </si>
  <si>
    <t>PL SCH.B/K.Z/BOCZ/TŁ3 CH1</t>
  </si>
  <si>
    <t>PL SCH.B/K.Z/BOCZ/TŁ.3MM PBX CH1</t>
  </si>
  <si>
    <t>DE SCH.B/K/TŁ.WOR PJ CON SZ</t>
  </si>
  <si>
    <t>PL SCH.B/K.Z/BOCZ/TŁ3 CH2</t>
  </si>
  <si>
    <t>PL SCH.B/K.Z/BOCZ/TŁ.3MM PBX CH2</t>
  </si>
  <si>
    <t>EU SCH.B/K.Z/BOCZ/TŁ.3 CH</t>
  </si>
  <si>
    <t>PP SCH.B/K.Z/BOCZ/TŁ3</t>
  </si>
  <si>
    <t>***SCH.B/K/.Z/2WAR KL.U CH</t>
  </si>
  <si>
    <t>***SCH.B/K/.Z/2WAR KL.S CH</t>
  </si>
  <si>
    <t>***GOLON.TYL.Z/K B/M-Ń BRZUCH.CH</t>
  </si>
  <si>
    <t>***GOLON.TYL.Z/K B/M-Ń BRZUCH.LUZOK15KGK</t>
  </si>
  <si>
    <t>***GOLON.TYL.Z/K B/M-Ń BRZUCH.USR</t>
  </si>
  <si>
    <t>***ELEM.ŁOP DO PIECZENIA KL.E CH</t>
  </si>
  <si>
    <t>***ELEM.ŁOP DO PIECZENIA KL.E NB MR</t>
  </si>
  <si>
    <t>***ELEM.ŁOP DO PIECZENIA KL.E NB DMR</t>
  </si>
  <si>
    <t>***ELEM.ŁOP DO PIECZENIA KL.U CH</t>
  </si>
  <si>
    <t>***SCH.B/K/WAR/TŁ/MIZDR KL.S CH</t>
  </si>
  <si>
    <t>SCH.B/K.Z/BOCZ.3CM/TŁ6 CH</t>
  </si>
  <si>
    <t>SCH.B/K.Z/BOCZ.3CM/TŁ6 KL.E CH1</t>
  </si>
  <si>
    <t>SCH.B/K.Z/BOCZ.3CM/TŁ6MM PBX CH1</t>
  </si>
  <si>
    <t>PL SCH.B/K.Z/BOCZ.3CM/TŁ.6MMOK15KGW PJST</t>
  </si>
  <si>
    <t>SCH.B/K.Z/BOCZ.3CM/TŁ6 KL.E CH2</t>
  </si>
  <si>
    <t>SCH.B/K.Z/BOCZ.3CM/TŁ6MM PBX CH2</t>
  </si>
  <si>
    <t>EU SCH.B/K.Z/BOCZ.3CM/TŁ.6 CH1</t>
  </si>
  <si>
    <t>EU SCH.B/K.Z/BOCZ.3CM/TŁ.6 CH2</t>
  </si>
  <si>
    <t>PP SCH.B/K.Z/BOCZ.3CM/TŁ6MM CH</t>
  </si>
  <si>
    <t>***SCH.B/K.Z/BOCZ.3CM/TŁ6 KL.U CH</t>
  </si>
  <si>
    <t>***SCH.B/K.Z/BOCZ.3CM/TŁ6 KL.S CH</t>
  </si>
  <si>
    <t>***ELEM.SZYN.TEŚCIOWEJ/ROKOSZA KLECHMORL</t>
  </si>
  <si>
    <t>***ELEM.SZYN.TEŚCIOWEJ KL.E NB MR</t>
  </si>
  <si>
    <t>***EL.SZ.ROKOSZ=SZ.TESC WOR PJ MORL ST</t>
  </si>
  <si>
    <t>***ELEM.SZYN.TEŚCIOWEJ KL.E NB DMR</t>
  </si>
  <si>
    <t>***ELEM.SZYN.TEŚCIOWE/ROKOSZA KLE UŚRMOR</t>
  </si>
  <si>
    <t>***ELEM.SZYN.TEŚCIOWEJ KL.U</t>
  </si>
  <si>
    <t>***ELEM.SZYN.TEŚCIOWEJ USR</t>
  </si>
  <si>
    <t>***ELEM.SZYN.TEŚCIOWEJ CH PJ ST</t>
  </si>
  <si>
    <t>PL SZYN.Z/P/S.B/NG.V-CUT TŁ.&gt;1CM CH</t>
  </si>
  <si>
    <t>PL SZYN.Z/P/S.B/NG.V-CUT TŁ.&gt;1CMCHOIN.EX</t>
  </si>
  <si>
    <t>PL SZYN.Z/K/SK/GOL.B/BIOD.HILT CH</t>
  </si>
  <si>
    <t>ĆW.SZYN.Z/K/SK/GOL.B/BIODR.CHOIN ZAK</t>
  </si>
  <si>
    <t>EU SZYN.Z/K/SK/GOL.B/BIOD.CH HILT</t>
  </si>
  <si>
    <t>***SZYN.WP.Z/K/SK/GOL KL.E USR</t>
  </si>
  <si>
    <t>***SZYN.WP.Z/K/SK/GOL KL.S CH</t>
  </si>
  <si>
    <t>***SZYN.WP.Z/K/SK/GOL KL.S PBX HIL</t>
  </si>
  <si>
    <t>***SZYN.WP.Z/K/SK/GOL. KL.S OKTOB. HIL</t>
  </si>
  <si>
    <t>***SZYN.WP.Z/K/SK/GOL KL.S USR</t>
  </si>
  <si>
    <t>PL GOL.PRZED.Z/S.B/K CH</t>
  </si>
  <si>
    <t>PL GOL.PRZED.Z/K.CH</t>
  </si>
  <si>
    <t>PL GOL.PRZED.Z/K.PBX</t>
  </si>
  <si>
    <t>PL GOL.PRZED.OK4KGMAP OK12KGKT MORE EX</t>
  </si>
  <si>
    <t>PL GOL.PRZED.OK4KGMAP OK12KGKT</t>
  </si>
  <si>
    <t>PL GOL.PRZED.6STMAP OK9KGKT SEL</t>
  </si>
  <si>
    <t>***PLGOL.WP.PRZED.OK700GMAPOK4.2KGKTBIED</t>
  </si>
  <si>
    <t>PP GOL.PRZED.4KGMAP OK4KGKT BIED</t>
  </si>
  <si>
    <t>PL GOL.PRZED.Z/K.MAX 20KGLUZ PJ AGRO</t>
  </si>
  <si>
    <t>***GOL.PRZED.LUZ PJ HILT</t>
  </si>
  <si>
    <t>PL GOL.PRZED.Z/K.OK15KGLUZ PJ ST</t>
  </si>
  <si>
    <t>GOL.PRZED.OK15KGWOR PJ MR ZAK</t>
  </si>
  <si>
    <t>GOL.PRZED.OK15KGWOR PJ MR K2</t>
  </si>
  <si>
    <t>EU GOL.PRZED.Z/K.CH</t>
  </si>
  <si>
    <t>***GOLON.PRZED.Z/K USR CH</t>
  </si>
  <si>
    <t>PP GOL.PRZED.Z/K.CH</t>
  </si>
  <si>
    <t>PL GOL.TYL.B/S.Z/K.STRZ.CH1</t>
  </si>
  <si>
    <t>***GOL.WP.TYL.Z/K.STRZ.B/SK.PBX CH1</t>
  </si>
  <si>
    <t>PL GOL.TYL.B/S.Z/K.STRZ.OK15KGWOR PJ ST</t>
  </si>
  <si>
    <t>PL GOL.TYL.B/S.Z/K.STRZ.CH2</t>
  </si>
  <si>
    <t>***GOL.WP.TYL.Z/K.STRZ.B/SK.PBX CH2</t>
  </si>
  <si>
    <t>PP GOL.TYL.B/S.Z/K.STRZ.CH</t>
  </si>
  <si>
    <t>PP GOL.TYL.B/S.Z/K.STRZ.OK15KGWOR PJ ST</t>
  </si>
  <si>
    <t>EU GOL.TYL.Z/K.B/M.BRZ.CH</t>
  </si>
  <si>
    <t>PL GOL.PRZED.Z/K.CIĘ.CH</t>
  </si>
  <si>
    <t>EU GOL.PRZED.Z/K.CIĘ.CH</t>
  </si>
  <si>
    <t>***GOLON.WP.PRZED.Z/K CIĘTA USR</t>
  </si>
  <si>
    <t>PL GOL.TYL.Z/K.B/M.BRZ.CH</t>
  </si>
  <si>
    <t>PL GOL.TYL.3STMAP OK8KG KT SEL</t>
  </si>
  <si>
    <t>PL GOL.TYL.3STMAP OK8KGKT MAKR</t>
  </si>
  <si>
    <t>PP GOL.TYL.2STMAP 2STKT BIED</t>
  </si>
  <si>
    <t>PL GOL.TYL.Z/M.BRZ.CH</t>
  </si>
  <si>
    <t>PL GOL.TYL.Z/M.BRZ.PBX</t>
  </si>
  <si>
    <t>PL GOL.TYL.3STMAP OK12KGPJ</t>
  </si>
  <si>
    <t>PL GOL.TYL.OK4KGMAP OK12KGKT MORE EX</t>
  </si>
  <si>
    <t>PL GOL.TYL.Z/M.BRZ.OK15KGLUZ PJ ST</t>
  </si>
  <si>
    <t>PL GOL.TYL.Z/K.OK15KGWOR PJ</t>
  </si>
  <si>
    <t>EU GOL.TYL.Z/M.BRZ.CH</t>
  </si>
  <si>
    <t>PP GOL.TYL.Z/M.BRZ.CH</t>
  </si>
  <si>
    <t>ĆW.SZYN.Z/K/SK/GOL/BIODR.CH</t>
  </si>
  <si>
    <t>***SZYN.WP.Z/K GOL.SK.CIE.PRO.LUZPJCHST</t>
  </si>
  <si>
    <t>ĆW.SZYN.Z/K/S/GOL/BIODR.CH ZAK</t>
  </si>
  <si>
    <t>***ĆW.SZYN.Z/K/S/GOL/BIODR.CH K4 ZAK</t>
  </si>
  <si>
    <t>NOGA WP.PRZED.CH</t>
  </si>
  <si>
    <t>NOGA WP.TYL.CH</t>
  </si>
  <si>
    <t>GŁOWA WP.CH</t>
  </si>
  <si>
    <t>GŁ.WP.CIĘ.B/USZ.OK10KGWOR KT MR EX</t>
  </si>
  <si>
    <t>GŁ.WP.CIĘ.B/USZ.OKT CH HURT</t>
  </si>
  <si>
    <t>GŁ.WP.CIĘ.B/USZ.OK10KGWOR KT DMR</t>
  </si>
  <si>
    <t>GŁ.WP.CIĘ.B/USZ.USR1</t>
  </si>
  <si>
    <t>GŁ.WP.CIĘ.B/USZ.PBX USR1</t>
  </si>
  <si>
    <t>GŁ.WP.CIĘ.B/USZ.USR2</t>
  </si>
  <si>
    <t>GŁ.WP.CIĘ.B/USZ.PBX USR2</t>
  </si>
  <si>
    <t>GŁ.WP.CIĘ.B/USZ.ROZP1</t>
  </si>
  <si>
    <t>GŁ.WP.CIĘ.B/USZ.ROZP2</t>
  </si>
  <si>
    <t>NOGA WP.PRZED.KLB CH</t>
  </si>
  <si>
    <t>NOGA WP.TYL.DŁ.KLB CH</t>
  </si>
  <si>
    <t>NOGA TYL.DŁ.KLB OK20KGWOR PJ ST</t>
  </si>
  <si>
    <t>USZY WP.CH1</t>
  </si>
  <si>
    <t>USZY WP. USR</t>
  </si>
  <si>
    <t>OGON CH</t>
  </si>
  <si>
    <t>OGON USR</t>
  </si>
  <si>
    <t>OGON PBX</t>
  </si>
  <si>
    <t>PL ĆW.SZYN.Z/GOL/K.OG.B/NG/PACH/POL.CH</t>
  </si>
  <si>
    <t>ĆW.SZYN.Z/GOL/K.OG.B/NG/PACH/POL.CHOIN.</t>
  </si>
  <si>
    <t>***ĆW.SZYN.Z/GOL/K.OG.B/NG/PACH/P.K4 ZAK</t>
  </si>
  <si>
    <t>NOGA TYL.KR.CH</t>
  </si>
  <si>
    <t>NOGA TYL.KR.PBX</t>
  </si>
  <si>
    <t>NOGA TYL.KR.10KGWOR KT DMR</t>
  </si>
  <si>
    <t>***PL MŚ.CZTEROG.N/OBR.1STMAP OK6KGKT ME</t>
  </si>
  <si>
    <t>***PLMŚ.CZTEROG.N/OBR.OK1KGMAP6KGKT LIDL</t>
  </si>
  <si>
    <t>***PL MŚ.CZTEROG.OK2.5KGVAC OK10KGKT</t>
  </si>
  <si>
    <t>***PL MŚ.CZTEROG.OK6KGVAC OK18KGKT TESC</t>
  </si>
  <si>
    <t>PL MŚ.CZTER.N/OBR.OK4KGVAC MAX20KGPJPOLM</t>
  </si>
  <si>
    <t>PL MŚ.CZTER.N/OBR.6STVAC OK26KGKT EX</t>
  </si>
  <si>
    <t>***PL MŚ.CZTEROG.6-8KGTRM OK21KG KT GB</t>
  </si>
  <si>
    <t>***PL MŚ.CZTEROG.6-8KGTRMOK21KGKT MR SFL</t>
  </si>
  <si>
    <t>PL MŚ.CZTER.N/OBR.2STVAC OK10KGKT MAKR</t>
  </si>
  <si>
    <t>PL MŚ.CZTER.N/OBR.OK15KGWOR PJ ST</t>
  </si>
  <si>
    <t>***PLMŚ.CZTER.N/OB.OK1KGMAPOK6KGKTLIDLLT</t>
  </si>
  <si>
    <t>***PL MŚ.CZTEROG.OK1KGMAP 6KGKT POLM</t>
  </si>
  <si>
    <t>PL MŚ.CZTER.N/OBR.OK20KGLUZ PJ SZ</t>
  </si>
  <si>
    <t>***MŚ.SZ.ODBŁ.CIEM/KULKAOK15KG WR PJCHEŁ</t>
  </si>
  <si>
    <t>***PLMŚ.SZYN.CIE.ODBŁ.KULKAOK15KGWORPJEŁ</t>
  </si>
  <si>
    <t>***PL MŚ.CZTEROG.6-8KGTRMOK21KGKTDMR SFL</t>
  </si>
  <si>
    <t>***EU MŚ.CZTEROG.N/OBR.4STRMM 2STKT KAUF</t>
  </si>
  <si>
    <t>***EU MŚ.CZTEROG.OK2.5KGVAC OK10KGKT</t>
  </si>
  <si>
    <t>***EU MŚ.CZTEROG.6-8KGTRM OK21KG KT GB</t>
  </si>
  <si>
    <t>***EU MŚ.CZTEROG.2STTRM OK15KGPJ CH ECS</t>
  </si>
  <si>
    <t>***EU MŚ.CZTEROG.6-8KGTRMOK21KGKTMR SFL</t>
  </si>
  <si>
    <t>***EUMŚ.SZYN.CIE.ODBŁ.KULKAOK15KGWORPJEŁ</t>
  </si>
  <si>
    <t>***EUMŚ.CZTEROG.6-8KGTRM OK21KGKTDMR SFL</t>
  </si>
  <si>
    <t>OGON Z/K.KRZ.CH</t>
  </si>
  <si>
    <t>OGON Z/K.KRZ.PBX</t>
  </si>
  <si>
    <t>OGON Z/K.KRZ.USR</t>
  </si>
  <si>
    <t>NOGA TYL.KR.CIĘ.CH</t>
  </si>
  <si>
    <t>NOGA TYL.KR.10KGWOR KT MR EX</t>
  </si>
  <si>
    <t>NOGA TYL.KR.CIĘ.USR</t>
  </si>
  <si>
    <t>ĆW.SCH.B/POK/POL.CH</t>
  </si>
  <si>
    <t>***ĆW.SCH.B/POK/POL.LUZ OKT CH ST</t>
  </si>
  <si>
    <t>ĆW.SCH.B/POK/POL.OK500KG OKT ZAK</t>
  </si>
  <si>
    <t>***ĆW.SCH.WĄS.B/POL/POK KL.U CH</t>
  </si>
  <si>
    <t>***ĆW.SCH.WĄS.B/POL/POK KL.R CH</t>
  </si>
  <si>
    <t>***ĆW.SCH.WĄS.B/POL/POK KL.O CH</t>
  </si>
  <si>
    <t>***ĆW.SCH.WĄS.B/POL/POK KL.S CH</t>
  </si>
  <si>
    <t>***SZYN.Z/K/SK/GOL KL.E CH</t>
  </si>
  <si>
    <t>***SZYN.Z/K/SK/GOL KL.E USR</t>
  </si>
  <si>
    <t>***ĆW.SCH.WĄS.B/POL/POK KL.A CH</t>
  </si>
  <si>
    <t>***ĆW.SCH.WĄS.Z/POK.B/POL KL.A CH</t>
  </si>
  <si>
    <t>ĆW.SCH.Z/POK.B/POL.CH</t>
  </si>
  <si>
    <t>***ĆW.SCH.Z/POK.B/P.LUZ OKT MR</t>
  </si>
  <si>
    <t>***PL ĆW.SCH.Z/K.LUZ OKT CH ST</t>
  </si>
  <si>
    <t>***ĆW.SCH.Z/POK.B/POL.LUZ OKT DMR</t>
  </si>
  <si>
    <t>***ĆW.SCH.Z/POK.B/POL.LUZ OKT RO</t>
  </si>
  <si>
    <t>***EU ĆW.SCH.Z/K.LUZ OKT CH ST</t>
  </si>
  <si>
    <t>PL ĆW.SCH.Z/K.CH USR</t>
  </si>
  <si>
    <t>***EU ĆW.SCH.Z/K.CH USR</t>
  </si>
  <si>
    <t>ĆW.SCH.Z/POK/POL.MDP CH</t>
  </si>
  <si>
    <t>***ĆW.SCH.WĄS.Z/POK.B/POL KL.R CH</t>
  </si>
  <si>
    <t>***ĆW.SCH.WĄS.Z/POK.B/POL KL.S CH</t>
  </si>
  <si>
    <t>***ĆW.SCH.WĄS.Z/POK.B/POL KL.U CH</t>
  </si>
  <si>
    <t>ĆW.SCH.WĄS.B/POL/POK.MDP CH</t>
  </si>
  <si>
    <t>ĆW.SCH.B/POL.CH</t>
  </si>
  <si>
    <t>***SZYN.Z/K/SK.B/GOL KL.E CH T</t>
  </si>
  <si>
    <t>***SZYN.Z/K/SK.B/GOL KL.U CH T</t>
  </si>
  <si>
    <t>***SZYN.Z/K/SK.B/GOL CH T</t>
  </si>
  <si>
    <t>PL ŁOP.Z/K/GOL/SK.CH</t>
  </si>
  <si>
    <t>***ŁOP.Z/K/GOL KL.E CIĘ.TENIS CHOINK HIL</t>
  </si>
  <si>
    <t>***ŁOP.Z/K/GOL/SK.LUZ PBX</t>
  </si>
  <si>
    <t>PL ŁOP.Z/K/G/S.OK650KG OKT K4</t>
  </si>
  <si>
    <t>ŁOP.Z/K/GOL/S.HAK ZAK</t>
  </si>
  <si>
    <t>EU ŁOP.Z/K/GOL/SK.CH</t>
  </si>
  <si>
    <t>***ŁOP.Z/K/GOL KL.E CIĘ.TENIS USR</t>
  </si>
  <si>
    <t>PP ŁOP.Z/K/GOL/SK.</t>
  </si>
  <si>
    <t>***ŁOP.Z/K/GOL/SK KL.U CH</t>
  </si>
  <si>
    <t>***ŁOP.Z/K/GOL/SK KL.R CH</t>
  </si>
  <si>
    <t>***ŁOP.Z GOL. KL.S CH</t>
  </si>
  <si>
    <t>***ŁOP.Z/K/GOL KL.S CIĘ.TENIS CHOINK HIL</t>
  </si>
  <si>
    <t>***ŁOP.Z/K/GOL KL.S CIĘ.TENIS USR</t>
  </si>
  <si>
    <t>MŚ.CZTER.N/OBR.PBX1</t>
  </si>
  <si>
    <t>MŚ.CZTER.N/OBR.PBX2</t>
  </si>
  <si>
    <t>PP MŚ.CZTER.N/OBR.CH</t>
  </si>
  <si>
    <t>PP MŚ.CZTER.N/OBR.PBX1</t>
  </si>
  <si>
    <t>PP MŚ.CZTER.N/OBR.PBX2</t>
  </si>
  <si>
    <t>PL MŚ.CZTER.N/OBR.CIĘ.3CZ.CH</t>
  </si>
  <si>
    <t>***MŚ.CZTEROG.N/OBR.CIĘ.3CZ.PBX CH1</t>
  </si>
  <si>
    <t>MŚ.CZTER.N/OBR.CIĘ.3CZ.OK20KGNB MR ST</t>
  </si>
  <si>
    <t>PL MŚ.CZTER.N/OBR.CIĘ.3CZ.OK15KGWOR PJST</t>
  </si>
  <si>
    <t>PL MŚ.CZTER.N/OBR.CIĘ.3CZ.DMR</t>
  </si>
  <si>
    <t>***MŚ.CZTEROG.N/OBR.CIĘ.3CZ.PBX CH2</t>
  </si>
  <si>
    <t>MŚ.CZTER.N/OBR.CIĘ.2CZ.CH</t>
  </si>
  <si>
    <t>***MŚ.CZTEROG.N/OBR.CIĘ.2CZ.MR</t>
  </si>
  <si>
    <t>***MŚ.CZTEROG.N/OBR.CIĘ.2CZ.PBX CH1</t>
  </si>
  <si>
    <t>PL MŚ.CZTER.N/OBR.CIĘ.2CZ.OK15KGWOR PJST</t>
  </si>
  <si>
    <t>***MŚ.CZTEROG.N/OBR.CIĘ.2CZ.DMR</t>
  </si>
  <si>
    <t>***MŚ.CZTEROG.N/OBR.CIĘ.2CZ.RO1</t>
  </si>
  <si>
    <t>***MŚ.CZTEROG.N/OBR.CIĘ.2CZ.RO2</t>
  </si>
  <si>
    <t>***MŚ.CZTEROG.N/OBR.CIĘ.2CZ.PBX CH2</t>
  </si>
  <si>
    <t>PL MŚ.DWUGŁ.ODBŁ.CH</t>
  </si>
  <si>
    <t>PL MŚ.DWUGŁ.ODBŁ.OK5KGVAC OK20KGKT EX</t>
  </si>
  <si>
    <t>PL MŚ.PÓŁBŁ.SMUK.ODBŁ.CH</t>
  </si>
  <si>
    <t>PL MŚ.PÓŁBŁ.SMUK.ODB.OK5KGVACOK20KGKT EX</t>
  </si>
  <si>
    <t>PL MŚ.PÓŁBŁ.B/SMUK.ODBŁ.CH</t>
  </si>
  <si>
    <t>PLMŚ.PÓŁBŁ.B/SMUK.ODBŁOK5KGVACOK20KGKTEX</t>
  </si>
  <si>
    <t>ĆW.SZYN.B/POL/OG/K.OG.KL.M DP CH</t>
  </si>
  <si>
    <t>ĆW.SZYN.B/POL/OG/K.OG.CH</t>
  </si>
  <si>
    <t>ĆW.SZYN.B/POL/OG/K.OG.OK500KG PBX ST</t>
  </si>
  <si>
    <t>ĆW.SZYN.B/POL/OG/K.OG.LUZ CHOIN.</t>
  </si>
  <si>
    <t>***ĆW.SZYN.Z/K/SK/GOL/BIODR.KLE OB CH ST</t>
  </si>
  <si>
    <t>PL ĆW.SZYN.B/POL/OG/K.OG.OK800KG OKT EX</t>
  </si>
  <si>
    <t>PL ĆW.SZYN.Z/K/S/GOL.OK500KGLUZ OKT ST</t>
  </si>
  <si>
    <t>PL ĆW.SZYN.B/P/OG/K.OG.OK180KG CHOIN.K4</t>
  </si>
  <si>
    <t>PL ĆW.SZYN.B/P/OG/K.OG.OK650KG OKT K4</t>
  </si>
  <si>
    <t>PL ĆW.SZYN.B/P/OG/K.OG.OK650KGOKT WST K4</t>
  </si>
  <si>
    <t>PL ĆW.SZYN.B/POL/OG/K.OG.OK650KGOKT1OBK4</t>
  </si>
  <si>
    <t>ĆW.SZYN.B/POL/OG/K.OG.OK600KG OKT SZ</t>
  </si>
  <si>
    <t>***EU ĆW.SZYN.Z/K/SK/GOL.LUZ  OKT CH ST</t>
  </si>
  <si>
    <t>PL ĆW.SZYN.Z/K/SK/GOL.CH USR</t>
  </si>
  <si>
    <t>***EU ĆW.SZYN.Z/K/SK/GOL. CH USR</t>
  </si>
  <si>
    <t>ĆW.SZYN.B/POL/OG/K.OG.MAC.CH</t>
  </si>
  <si>
    <t>***ĆW.SZYN Z/K/SK/GOL/BIODR.KL.UCHOICHST</t>
  </si>
  <si>
    <t>***SZYN.ZAK.CONSTAR KL.U ST</t>
  </si>
  <si>
    <t>ĆW.SZYN.B/POL/OG/K.OG OK500KG ZAK</t>
  </si>
  <si>
    <t>***ĆW.SZYN.B/POL/OG/K.OG    KL.R CH</t>
  </si>
  <si>
    <t>***ĆW.SZYNKA WP. KL.E OKT SZ</t>
  </si>
  <si>
    <t>***ĆW.SZYN.B/POL/OG/K.OG   KL.O CH</t>
  </si>
  <si>
    <t>***ĆW.SZYN.B/POL/OG/K.OG KL.S CH</t>
  </si>
  <si>
    <t>***SZYN.ZAK.CONSTAR KL.S ST</t>
  </si>
  <si>
    <t>***ĆW.SZYN Z/K/SK/GOL/BIODR. KL.A CH</t>
  </si>
  <si>
    <t>***ĆW.SCHAB.SZER. KL.S</t>
  </si>
  <si>
    <t>ĆW.SCHAB.SZER. KL.E</t>
  </si>
  <si>
    <t>***ĆW.SCHAB.SZER. KL.U</t>
  </si>
  <si>
    <t>***SUR.MIĘSNE DO PROD.MIĘSA 1915</t>
  </si>
  <si>
    <t>***SUR.MIĘSNE DO PROD.MIĘSA WP.1915OKTST</t>
  </si>
  <si>
    <t>***SUR.MIĘSNE DO PROD.MIĘSA WP.1915PBXST</t>
  </si>
  <si>
    <t>***SUR.MIĘSNE DO PROD.MIĘSA 1915PBXAF ST</t>
  </si>
  <si>
    <t>***SUR.MIĘSNE DO PROD.MIĘSA 1916</t>
  </si>
  <si>
    <t>M-SO WP. MIELONE Z SZYN. 750G MAP</t>
  </si>
  <si>
    <t>***SUR.MIĘSNE DO PROD.MIĘSA WP.1916OKTST</t>
  </si>
  <si>
    <t>***SUR.MIĘSNE DO PROD.MIĘSA WP.1916PBXST</t>
  </si>
  <si>
    <t>***SUR.MIĘSNE DO PROD.MIĘSA 1916PBXAF ST</t>
  </si>
  <si>
    <t>***BOCZ.BLAT.WĄS.Z/SKKROJ.GRILL FANTOMCH</t>
  </si>
  <si>
    <t>***KARK.B/K.Z/KOR KROJ. GRILL CH</t>
  </si>
  <si>
    <t>***KARK.B/K.Z/KOR KROJ. GRILL FANTOM CH</t>
  </si>
  <si>
    <t>M-SO WP.PRZEP.CH1</t>
  </si>
  <si>
    <t>M-SO WP.PRZEP.CH2</t>
  </si>
  <si>
    <t>PL ŁOP.3D CH1</t>
  </si>
  <si>
    <t>PL ŁOP.3D VAC OK20KGKT MET CZ</t>
  </si>
  <si>
    <t>PL ŁOP.3D WOR PJ ST</t>
  </si>
  <si>
    <t>PL ŁOP.3D OK500KGPBX CH ST</t>
  </si>
  <si>
    <t>PL ŁOP.3D OK500KGPBX AF ST</t>
  </si>
  <si>
    <t>PL ŁOP.3D PBX SZ</t>
  </si>
  <si>
    <t>PL ŁOP.3D CH2</t>
  </si>
  <si>
    <t>EU ŁOP.3D CH</t>
  </si>
  <si>
    <t>PP ŁOP.3D CH</t>
  </si>
  <si>
    <t>PP ŁOP.3D PBX ST</t>
  </si>
  <si>
    <t>***ŁOP. 3D KL.U CH</t>
  </si>
  <si>
    <t>***ŁOP.3D KL.R CH</t>
  </si>
  <si>
    <t>***ŁOP. 3D KL.S CH</t>
  </si>
  <si>
    <t>PL ŁOP.3D KAW.</t>
  </si>
  <si>
    <t>PL ŁOP.3D OK1KGVAC OK12KGKT EX</t>
  </si>
  <si>
    <t>PL ŁOP.3D OK1KGVAC OK10KGKT NETTO</t>
  </si>
  <si>
    <t>PL ŁOP.3D KAW.OK15KG PJ ST</t>
  </si>
  <si>
    <t>EU ŁOP.3D KAW.</t>
  </si>
  <si>
    <t>PL POL.B/GŁ/WAR.CH</t>
  </si>
  <si>
    <t>EU POL.B/GŁ/WAR.CH</t>
  </si>
  <si>
    <t>***ŁOP. 2D KL.S CH</t>
  </si>
  <si>
    <t>PL ŁOP.2D CH1</t>
  </si>
  <si>
    <t>PL ŁOP.2D PBX CH1</t>
  </si>
  <si>
    <t>PL ŁOP.2D CH2</t>
  </si>
  <si>
    <t>PL ŁOP.2D PBX CH2</t>
  </si>
  <si>
    <t>EU ŁOP.2D CH1</t>
  </si>
  <si>
    <t>EU ŁOP.2D CH2</t>
  </si>
  <si>
    <t>***ŁOP.2D KL.U CH</t>
  </si>
  <si>
    <t>ELEM.ŁOP.WĘDZ.BOCZ.KL.E CH1</t>
  </si>
  <si>
    <t>***ELEM.ŁOP.WĘDZ.BOCZ.KL.E NB MR</t>
  </si>
  <si>
    <t>***ELEM.ŁOP.WĘDZ.BOCZ.KLE PBX CH1</t>
  </si>
  <si>
    <t>***ELEM.ŁOP.WĘDZ.BOCZ.KL.E NB DMR</t>
  </si>
  <si>
    <t>ELEM.ŁOP.WĘDZ.BOCZ.KL.E CH2</t>
  </si>
  <si>
    <t>***ELEM.ŁOP.WĘDZ.BOCZ.KLE PBX CH2</t>
  </si>
  <si>
    <t>***ELEM.ŁOP WĘDZONKA BOCZKOWA KL.U CH</t>
  </si>
  <si>
    <t>PL POL.N/OBR.MDP CH</t>
  </si>
  <si>
    <t>POL.N/OBR.CH</t>
  </si>
  <si>
    <t>***POL.N/OBR.LUZ PB MR</t>
  </si>
  <si>
    <t>***POL.N/OBR.LUZ PJ CH ST</t>
  </si>
  <si>
    <t>POL.N/OBR.OK500KG OKT ZAK</t>
  </si>
  <si>
    <t>***POL.N/OBR.CH LUZ PB DMR</t>
  </si>
  <si>
    <t>***POL.N/OBR.RO</t>
  </si>
  <si>
    <t>POL.N/OBR.MAC.</t>
  </si>
  <si>
    <t>***POLĘD.N/OBR KL.R CH</t>
  </si>
  <si>
    <t>***POLĘD.N/OBR KL.O CH</t>
  </si>
  <si>
    <t>***POLĘD.N/OBR KL.S CH</t>
  </si>
  <si>
    <t>***POLĘD.N/OBR KL.A CH</t>
  </si>
  <si>
    <t>***POLĘD.Z/WAR/GŁ CH</t>
  </si>
  <si>
    <t>PL POL.Z/GŁ/W.CH</t>
  </si>
  <si>
    <t>PL POL.Z/GŁ/WAR.OK20KGWOR PJ ST</t>
  </si>
  <si>
    <t>PL POL.Z/GŁ/WAR.OK20KGLUZ PJ ST</t>
  </si>
  <si>
    <t>EU POL.Z/GŁ/W.CH</t>
  </si>
  <si>
    <t>EU POL.Z/GŁ/WAR.OK20KGWOR PJ ST</t>
  </si>
  <si>
    <t>PP POL.Z/GŁ/W.CH</t>
  </si>
  <si>
    <t>PP POL.Z/GŁ/W.OK5KGVAC OK500KGOKT MR ST</t>
  </si>
  <si>
    <t>PP POL.Z/GŁ/WAR.OK20KGWOR PJ ST</t>
  </si>
  <si>
    <t>PP POL.Z/GŁ/WAR.OK20KGLUZ PJ ST</t>
  </si>
  <si>
    <t>PP POL.Z/GŁ/W.OK5KGVAC OK500KG OKT DMR</t>
  </si>
  <si>
    <t>PL POL.Z/GŁ.B/W.CH1</t>
  </si>
  <si>
    <t>PL POL.Z/GŁ.B/WAR.PBX CH ST1</t>
  </si>
  <si>
    <t>PL POL.Z/GŁ.B/WAR.OK2.5KGVACOK18KGPJ</t>
  </si>
  <si>
    <t>***POL.Z/GŁ.B/WAR.PBX K4 ZAK</t>
  </si>
  <si>
    <t>PL POL.Z/GŁ.B/W.OK20KGLUZ PJ K4</t>
  </si>
  <si>
    <t>PL POL.Z/GŁ.B/W.CH2</t>
  </si>
  <si>
    <t>PL POL.Z/GŁ.B/WAR.PBX CH ST2</t>
  </si>
  <si>
    <t>EU POL.Z/GŁ.B/W.CH1</t>
  </si>
  <si>
    <t>EU POL.Z/GŁ.B/W.OK5KGWOR PJ EŁ1</t>
  </si>
  <si>
    <t>EU POL.Z/GŁ.B/W.CH2</t>
  </si>
  <si>
    <t>PP POL.Z/GŁ.B/W.CH</t>
  </si>
  <si>
    <t>PP POL.Z/GŁ.B/WAR.PBX ST1</t>
  </si>
  <si>
    <t>PP POL.Z/GŁ.B/WAR.OK20KGLUZ PJ K4</t>
  </si>
  <si>
    <t>PP POL.Z/GŁ.B/WAR.PBX ST2</t>
  </si>
  <si>
    <t>CZ POL.Z/GŁ.B/WAR.CH</t>
  </si>
  <si>
    <t>POL.Z/GŁ.B/WAR.KAL.CH1</t>
  </si>
  <si>
    <t>POL.Z/GŁ.B/WAR.KAL.PBX CH1</t>
  </si>
  <si>
    <t>POL.Z/GŁ.B/WAR.KAL.CH2</t>
  </si>
  <si>
    <t>POL.Z/GŁ.B/WAR.KAL.PBX CH2</t>
  </si>
  <si>
    <t>PL POL.Z/GŁ.B/WAR.ROZP1</t>
  </si>
  <si>
    <t>PL POL.Z/GŁ.B/WAR.ROZP2</t>
  </si>
  <si>
    <t>***POLĘD.B/WAR.Z/GŁ KLU CH</t>
  </si>
  <si>
    <t>PL GŁ.POL.ODBŁ.CH</t>
  </si>
  <si>
    <t>***PL GŁ.POL.ODBŁ.PBX CH</t>
  </si>
  <si>
    <t>***PL GŁ.POL.ODBŁ.OK5KGVAC OK20KGKT</t>
  </si>
  <si>
    <t>***PL GŁ.POL.ODBŁ.VAC CH EX</t>
  </si>
  <si>
    <t>***PL GŁ.POL.ODBŁ.OK2.5KGVAC PJ CH NL</t>
  </si>
  <si>
    <t>EU GŁ.POL.ODBŁ.CH</t>
  </si>
  <si>
    <t>EU GŁ.POL.ODBŁ.PBX CH</t>
  </si>
  <si>
    <t>***EU GŁ.POL.ODBŁ.OK2KGVAC OK15KGKT</t>
  </si>
  <si>
    <t>***EU GŁ.POL.ODBŁ.VAC CH EX</t>
  </si>
  <si>
    <t>***EU GŁ.POL.ODBŁ.OK2.5KGVAC PJ CH NL</t>
  </si>
  <si>
    <t>***GŁÓW.POLĘD.ODBŁ.UŚR.CH</t>
  </si>
  <si>
    <t>***PODG.Z/SK.CZ.ZASAD.UŚR.CH</t>
  </si>
  <si>
    <t>PL PODG.Z/S.CH1</t>
  </si>
  <si>
    <t>***PODG.Z/S.OBR PBX CH1</t>
  </si>
  <si>
    <t>PL PODG.Z/S.LUZ KT CH</t>
  </si>
  <si>
    <t>PL PODG.B/S.PBX EŁ1</t>
  </si>
  <si>
    <t>***PODG.WP.Z/S.OK20KG NB MR EX</t>
  </si>
  <si>
    <t>PODG.WP.Z/S.NB MR ZAK</t>
  </si>
  <si>
    <t>***PODG.WP.Z/S.OK20KG NB DMR EX</t>
  </si>
  <si>
    <t>***PODG.WP.Z/S.RO1</t>
  </si>
  <si>
    <t>PL PODG.Z/S.ZAK RO</t>
  </si>
  <si>
    <t>PL PODG.Z/S.CH2</t>
  </si>
  <si>
    <t>***PODG.WP.Z/S.RO2</t>
  </si>
  <si>
    <t>PODG.Z/S.OBR PBX CH2</t>
  </si>
  <si>
    <t>EU PODG.Z/S.CH</t>
  </si>
  <si>
    <t>PL PODG.B/S.CH1</t>
  </si>
  <si>
    <t>***PODG.WP.B/S.PB MR ST</t>
  </si>
  <si>
    <t>PODG.B/S.NB MR ST</t>
  </si>
  <si>
    <t>PODG.B/S.OK15KGWOR MR ST</t>
  </si>
  <si>
    <t>PL PODG.B/SKOK2KGVAC OK12KGPJ ECS</t>
  </si>
  <si>
    <t>PL PODG.B/S.MAX4KGVAC MAX20KGPJ POLM</t>
  </si>
  <si>
    <t>PL PODG.B/S OK15KGWOR PJ ST</t>
  </si>
  <si>
    <t>PL PODG.B/S.PBX ST</t>
  </si>
  <si>
    <t>PL PODG.B/S.OKT ST</t>
  </si>
  <si>
    <t>***PODG.WP.B/S.OK20KGLUZ PJ K4 ZAK</t>
  </si>
  <si>
    <t>PL PODG.B/S.PBX MOR SZ</t>
  </si>
  <si>
    <t>PL PODG.B/S.OK500KG OKT SZ</t>
  </si>
  <si>
    <t>PL PODG.B/S.PBX K4</t>
  </si>
  <si>
    <t>PL PODG.B/S.PBX WST K4</t>
  </si>
  <si>
    <t>***PODG.WP.B/S.PB DMR</t>
  </si>
  <si>
    <t>PL PODG.B/S.OK15KG NB DMR</t>
  </si>
  <si>
    <t>PL PODG.B/S.PB DMR</t>
  </si>
  <si>
    <t>PODG.B/S.PB RO1</t>
  </si>
  <si>
    <t>PODG.WP.B/S.PB RO1</t>
  </si>
  <si>
    <t>PL PODG.B/S.CH2</t>
  </si>
  <si>
    <t>PODG.B/S.PB RO2</t>
  </si>
  <si>
    <t>PODG.WP.B/S.PB RO2</t>
  </si>
  <si>
    <t>EU PODG.B/S.CH1</t>
  </si>
  <si>
    <t>EU PODG.B/S.CH2</t>
  </si>
  <si>
    <t>PP PODG.B/S.CH</t>
  </si>
  <si>
    <t>PP PODG.B/S.OK15KG NB MR ST</t>
  </si>
  <si>
    <t>PP PODG.B/S.OK1.5KGVAC OK3KGKT BIED</t>
  </si>
  <si>
    <t>PP PODG.B/S.OK15KG NB DMR</t>
  </si>
  <si>
    <t>PP PODG.B/S.NB RO1</t>
  </si>
  <si>
    <t>PP PODG.B/S.PBX ST2</t>
  </si>
  <si>
    <t>PP PODG.B/S.NB RO2</t>
  </si>
  <si>
    <t>PODG.B/S.ROZP1</t>
  </si>
  <si>
    <t>PODG.B/S.ROZP2</t>
  </si>
  <si>
    <t>PODG.B/S/TŁ/GRUCZ.CH</t>
  </si>
  <si>
    <t>PODG.B/S/TŁ/GRUCZ.25KGFOL KT MR EX</t>
  </si>
  <si>
    <t>PODG.B/S/TŁ/GRUCZ.25KGFOL KT MR VN</t>
  </si>
  <si>
    <t>PODG.B/S/TŁ/GRUCZ.OK1KGVAC OK10KGKTMR EX</t>
  </si>
  <si>
    <t>PODG.B/S/TŁ/GRUCZ.OK20KG PJ ST</t>
  </si>
  <si>
    <t>PODG.B/S/TŁ/GRUCZ.25KGFOL KT DMR</t>
  </si>
  <si>
    <t>PODG.B/S/TŁ/GRUCZ.25KGFOL KT DMR VN</t>
  </si>
  <si>
    <t>PODG.B/S/TŁ/GRUCZ.OK1KGVAC OK10KGKTDMREX</t>
  </si>
  <si>
    <t>PODG.B/S/TŁ/GRUCZ.K4 CH</t>
  </si>
  <si>
    <t>PODG.B/S/TŁ/GRUCZ.VN</t>
  </si>
  <si>
    <t>***ĆW.BOCZ.CH</t>
  </si>
  <si>
    <t>ĆW.BOCZ.B CH</t>
  </si>
  <si>
    <t>***ĆW.BOCZ.B LUZ OKT MR</t>
  </si>
  <si>
    <t>***ĆW.BOCZ.B PBX ST</t>
  </si>
  <si>
    <t>PL ĆW.BOCZ.B OK20KGWOR KT MR EX</t>
  </si>
  <si>
    <t>***ĆW.BOCZ.B SZER.Z/Ż/SK.PB MR EX</t>
  </si>
  <si>
    <t>PL ĆW.BOCZ.B 1STFOL OK20KGKT MR EX</t>
  </si>
  <si>
    <t>***ĆW.BOCZ.B LUZ OKT DMR</t>
  </si>
  <si>
    <t>PL ĆW.BOCZ.B OK20KGWOR KT DMR</t>
  </si>
  <si>
    <t>***ĆW.BOCZ.B SZER Z/Ż/SK.PB DMR EX</t>
  </si>
  <si>
    <t>PL ĆW.BOCZ.B 1STFOL OK20KGKT DMR</t>
  </si>
  <si>
    <t>***ĆW.BOCZ.B LUZ OKT RO</t>
  </si>
  <si>
    <t>***ĆW.BOCZKOWA SZR.KL.E CH PL</t>
  </si>
  <si>
    <t>***BOCZ.Z/ŻEB.SZEROKI NAT.CIĘC.KL.ECH EX</t>
  </si>
  <si>
    <t>***ĆW.BOCZKOWA SZR.KL.U CH</t>
  </si>
  <si>
    <t>***ĆW.BOCZKOWA SZR.KL.U CH PL</t>
  </si>
  <si>
    <t>***BOCZ.Z/ŻEB.SZER. NAT.CIĘC. KL.U CH EX</t>
  </si>
  <si>
    <t>ĆW.BOCZ.A CH</t>
  </si>
  <si>
    <t>ĆW.BOCZ.A OK500KG OKT ZAK</t>
  </si>
  <si>
    <t>EU BOCZ.BC B/Ż.Z/SK.NT/C.PBX USR CH</t>
  </si>
  <si>
    <t>PL BOCZ.A BL.Z/S.PBX K4</t>
  </si>
  <si>
    <t>***ĆW.BOCZKOWA SZR.KL.S CH</t>
  </si>
  <si>
    <t>***ĆW.BOCZ.SZER.KL.S CH PL</t>
  </si>
  <si>
    <t>***BOCZ.Z/ŻEB.SZEROKI NAT.CIĘC.KL.S CHEX</t>
  </si>
  <si>
    <t>***ĆW.BOCZKOWA SZR./TŁUSTA/KL.O CH</t>
  </si>
  <si>
    <t>PL ŻEB.MOST.Z/CH.B/MP.CH.CH</t>
  </si>
  <si>
    <t>PL ŻEB.MOST.Z/CH.B/MP.OK10KGWOR KT MR EX</t>
  </si>
  <si>
    <t>PL ŻEB.MOST.Z/CH.B/MP.OK10KGWORKT DMR EX</t>
  </si>
  <si>
    <t>EU ŻEB.MOST.Z/CH.B/MP.CH</t>
  </si>
  <si>
    <t>***EUŻEB.MOST.Z/CH.B/MP.OK10KGWORKTDMREX</t>
  </si>
  <si>
    <t>PL ŻEB.MOST.Z/CH/MP.CH</t>
  </si>
  <si>
    <t>PL ŻEB.MOST.Z/CH/MP.PBX1</t>
  </si>
  <si>
    <t>PL ŻEB.MOST.Z/CH/MP.OK20KG NB MR ST</t>
  </si>
  <si>
    <t>PL ŻEB.MOST.Z/CH/MP.10KGWOR KT MR EX</t>
  </si>
  <si>
    <t>PL ŻEB.MOST.Z/CH/MP.OK20KG PB MR SZ</t>
  </si>
  <si>
    <t>PL ŻEB.MOST.Z/CH/MP.OK20KG NB DMR</t>
  </si>
  <si>
    <t>PL ŻEB.MOST.Z/CH/MP.10KGWOR KT DMR</t>
  </si>
  <si>
    <t>PL ŻEB.MOST.Z/CH/MP.OK20KG NB RO1</t>
  </si>
  <si>
    <t>PL ŻEB.MOST.Z/CH/MP.PBX2</t>
  </si>
  <si>
    <t>PL ŻEB.MOST.Z/CH/MP.OK20KG NB RO2</t>
  </si>
  <si>
    <t>EU ŻEB.MOST.Z/CH/MP.CH KR</t>
  </si>
  <si>
    <t>EU ŻEB.MOST.Z/CH/MP.OK10KGWOR KT MR EX</t>
  </si>
  <si>
    <t>EU ŻEB.MOST.Z/CH/MP.10KGWOR KT MR EX</t>
  </si>
  <si>
    <t>***EUŻEB.MOST.Z/CH/MP.OK15KGWORKTDMR</t>
  </si>
  <si>
    <t>EU ŻEB.MOST.Z/CH/MP.10KGWOR KT DMR EX</t>
  </si>
  <si>
    <t>***ŻEB.MOSTKI Z/CHRZ USR  CH</t>
  </si>
  <si>
    <t>PP ŻEB.MOST.Z/CH/MP.CH</t>
  </si>
  <si>
    <t>CZ ŻEB.MOST.Z/CH/MP.CH</t>
  </si>
  <si>
    <t>PL ŻEB.MOST.Z/CH/MP.ROZP1</t>
  </si>
  <si>
    <t>PL ŻEB.MOST.Z/CH/MP.ROZP2</t>
  </si>
  <si>
    <t>PL ŻEB.SCH.SZER.510-600G US</t>
  </si>
  <si>
    <t>EU ŻEB.SCH.SZER.510-600G US</t>
  </si>
  <si>
    <t>***ŻEB.MOST. OK 15KG KT DMR KOR</t>
  </si>
  <si>
    <t>PL ŻEB.SCH.SZER.&lt;665G CH</t>
  </si>
  <si>
    <t>EU ŻEB.SCH.SZER.&lt;665G CH</t>
  </si>
  <si>
    <t>***ŻEB.SCH.SZER.&lt;665G UŚR CH</t>
  </si>
  <si>
    <t>PL ŻEB.SCH.SZER.&gt;665G CH</t>
  </si>
  <si>
    <t>EU ŻEB.SCH.SZER.&gt;665G CH</t>
  </si>
  <si>
    <t>***ŻEB.SCH.SZER.&gt;665G UŚR CH</t>
  </si>
  <si>
    <t>***ŻEB.SCH.WĄSK.&lt;400G CH</t>
  </si>
  <si>
    <t>***ŻEB.SCH.WĄSK.&lt;400G UŚR CH</t>
  </si>
  <si>
    <t>PL ŻEB.SCH.WĄS.1645 400-510 CH US</t>
  </si>
  <si>
    <t>***ZEB.SCH.W.USA1645 400-510 USR</t>
  </si>
  <si>
    <t>***ŻEB.SCH.WĄSK.&gt;510G UŚR CH</t>
  </si>
  <si>
    <t>PL ŻEB.MOST.Z/CH.B/CZ.MP.CH</t>
  </si>
  <si>
    <t>***PLŻEB.MOST.Z/CH.B/CZ.MP.OK20KGWORKTCH</t>
  </si>
  <si>
    <t>PL ŻEB.MOST.Z/CH.B/CZ.MP.4STMAP OK12KGPJ</t>
  </si>
  <si>
    <t>EU ŻEB.MOST.Z/CH.B/CZ.MP.CH</t>
  </si>
  <si>
    <t>***ŻEB.MOST. MIĘS.UŚR CH</t>
  </si>
  <si>
    <t>***ŻEB.WP.MOSTKI W CH</t>
  </si>
  <si>
    <t>***ŻEB.WP.MOSTKI NB MR</t>
  </si>
  <si>
    <t>***ŻEB.WP.MOSTKI OK.20KG KT MR</t>
  </si>
  <si>
    <t>***ŻEB.WP.MOSTKI NB DMR</t>
  </si>
  <si>
    <t>***ŻEB.WP.MOSTKI OK 20KG KT DMR</t>
  </si>
  <si>
    <t>***ŻEB.WP.MOSTKI NB RO</t>
  </si>
  <si>
    <t>***ŻEB. WP MOSTKI OK. 20KG KT RO</t>
  </si>
  <si>
    <t>***ŻEB.WP.MOSTKI W CH USR</t>
  </si>
  <si>
    <t>PL ŻEB.MOST.B/CH.Z/MP.CH</t>
  </si>
  <si>
    <t>PL ŻEB.MOST.B/CH.Z/MP.PBX</t>
  </si>
  <si>
    <t>PP ŻEB.MOST.B/CH.Z/MP.OK5KGMAP OK5KGKT</t>
  </si>
  <si>
    <t>PL ŻEB.MOST.B/CH.Z/MP.OK4KGMAP OK4KGKT</t>
  </si>
  <si>
    <t>PL ŻEB.MOST.B/CH.Z/MP.OK15KGWOR PJ CH ST</t>
  </si>
  <si>
    <t>EU ŻEB.MOST.B/CH.Z/MP.CH</t>
  </si>
  <si>
    <t>***ŻEB.MOST.TRÓJ.UŚR CH</t>
  </si>
  <si>
    <t>PP ŻEB.MOST.B/CH.Z/MP.CH</t>
  </si>
  <si>
    <t>PL ŻEB.SCH.SZER.&gt;600G US</t>
  </si>
  <si>
    <t>PL ŻEB.SCH.&gt;600G OK20KG NB MR ST</t>
  </si>
  <si>
    <t>PL ŻEB.SCH.&gt;600G OK15KGWORKT</t>
  </si>
  <si>
    <t>PL ŻEB.SCH.&gt;600G OK2.5KGMAP OK12KGPJ</t>
  </si>
  <si>
    <t>PL ŻEB.SCH.&gt;600G OK20KGWOR PJ ST</t>
  </si>
  <si>
    <t>PL ŻEB.SCH.&gt;600G OK20KG NB DMR</t>
  </si>
  <si>
    <t>EU ŻEB.SCH.SZER.&gt;600G US</t>
  </si>
  <si>
    <t>PL ŻEB.PŁAT.10.5CM 720-860G</t>
  </si>
  <si>
    <t>PL ŻEB.PŁAT.10.5CM 720-860G 25STKTMR EX</t>
  </si>
  <si>
    <t>PL ŻEB.PŁAT.10.5CM 720-860G DMR</t>
  </si>
  <si>
    <t>PL ŻEB.PŁAT.10.5CM 860-950G</t>
  </si>
  <si>
    <t>PL ŻEB.PŁAT.10.5CM 860-950G 25STKTMR EX</t>
  </si>
  <si>
    <t>PL ŻEB.PŁAT.10.5CM 860-950G DMR</t>
  </si>
  <si>
    <t>PL ŻEB.PŁAT.10.5CM 950-1030G</t>
  </si>
  <si>
    <t>PL ŻEB.PŁAT.10.5CM 950-1030G 25STKTMR EX</t>
  </si>
  <si>
    <t>PL ŻEB.PŁAT.10.5CM 950-1030G DMR</t>
  </si>
  <si>
    <t>PL ŻEB.PŁAT.10.5CM 1030-1115G</t>
  </si>
  <si>
    <t>PL ŻEB.PŁAT.10.5CM 1030-1115 25STKTMR EX</t>
  </si>
  <si>
    <t>PL ŻEB.PŁAT.10.5CM 1030-1115G DMR</t>
  </si>
  <si>
    <t>PL ŻEB.SCH.SZER.5-8CM CH</t>
  </si>
  <si>
    <t>PL ŻEB.SCH.5-8CM PBX1</t>
  </si>
  <si>
    <t>PL ŻEB.SCH.SZER.5-8CM OK10KGKTWOR MR</t>
  </si>
  <si>
    <t>PL ŻEB.SCH.SZER.OK5KGMAP 10KGKT MAKR</t>
  </si>
  <si>
    <t>PL ŻEB.SCH.SZER.5-8CM OK10KGKT DMR</t>
  </si>
  <si>
    <t>PL ŻEB.SCH.5-8CM PBX2</t>
  </si>
  <si>
    <t>PL PŁAT.SCH/BOCZ.CH</t>
  </si>
  <si>
    <t>PP PŁAT.SCH/BOCZ.CH</t>
  </si>
  <si>
    <t>PL ŻEB.Z PŁAT.SCH/BOCZ.OK8-10CM</t>
  </si>
  <si>
    <t>PL ŻEB.Z PŁAT.SCH/BOCZ8-10CMOK20KGNBMRST</t>
  </si>
  <si>
    <t>PLŻEB.Z PŁAT.SCH/BOCZ8-10MACOK20KGNBMRST</t>
  </si>
  <si>
    <t>***PLŻEB.BOCZ.OK600GVOK6KGKTMOR-EKSPERT</t>
  </si>
  <si>
    <t>PL ŻEB.Z PŁAT.SCH/BOCZ.8-10OK20KGLUZPJST</t>
  </si>
  <si>
    <t>PLŻEB.Z PŁ.SCH/BOCZ.8-10 MAC.OK20KGLPJST</t>
  </si>
  <si>
    <t>PL ŻEB.Z PŁAT.SCH/BOCZ.8-10CM PBX ST</t>
  </si>
  <si>
    <t>PL ŻEB.Z PŁAT.SCH/BOCZ.8-10CMOK20KGNBDMR</t>
  </si>
  <si>
    <t>PLŻEB.Z PŁAT.SCH/BOCZ.8-10MACOK20KGNBDMR</t>
  </si>
  <si>
    <t>EU ŻEB.Z PŁAT.SCH/BOCZ.8-10CM CH</t>
  </si>
  <si>
    <t>PP ŻEB.Z PŁAT.SCH/BOCZ.8-10CM CH</t>
  </si>
  <si>
    <t>PP ŻEB.Z PŁAT.SCH/BOCZ.8-10OK20KGLUZPJST</t>
  </si>
  <si>
    <t>PPŻEB.Z PŁ.SCH/BOCZ.8-10 MAC.OK20KGLPJST</t>
  </si>
  <si>
    <t>PP ŻEB.Z PŁAT.SCH/BOCZ.8-10CM PBX ST</t>
  </si>
  <si>
    <t>PL ŻEB.Z PŁ.SCH/BOCZ.OK8-10CM CH 3OB</t>
  </si>
  <si>
    <t>PLŻEB.Z PŁAT.SCH/BOCZ8-10OK20KGNBMR3OBST</t>
  </si>
  <si>
    <t>PL ŻEB.Z PŁ.SCH/BOCZ.OK8-10CM 3OB PBX1</t>
  </si>
  <si>
    <t>PL ŻEB.Z PŁAT.SCH/BOCZ8-10OK20KGLPJ3OBST</t>
  </si>
  <si>
    <t>PL GOL.PRZED.OK15KGLUZ PJ SZ</t>
  </si>
  <si>
    <t>PLŻEB.Z PŁAT.SCH/BOCZ8-10 OK20KGNBDMR3OB</t>
  </si>
  <si>
    <t>PL ŻEB.Z PŁ.SCH/BOCZ.OK8-10CM 3OB RO1</t>
  </si>
  <si>
    <t>PL ŻEB.Z PŁ.SCH/BOCZ.OK8-10CM 3OB RO2</t>
  </si>
  <si>
    <t>PL ŻEB.Z PŁ.SCH/BOCZ.OK8-10CM 3OB PBX2</t>
  </si>
  <si>
    <t>PP ŻEB.Z PŁ.SCH/BOCZ.OK8-10CM CH 3OB</t>
  </si>
  <si>
    <t>PPŻEB.Z PŁAT.SCH/BOCZ8-10OK20KGNBMR3OBST</t>
  </si>
  <si>
    <t>PP ŻEB.Z PŁ.SCH/BOCZ.OK8-10CM 3OB PBX1</t>
  </si>
  <si>
    <t>PP ŻEB.Z PŁAT.SCH/BOCZ.8-10OK20KGPJ3OBST</t>
  </si>
  <si>
    <t>PPŻEB.Z PŁAT.SCH/BOCZ.8-10OK20KGNBDMR3OB</t>
  </si>
  <si>
    <t>PP ŻEB.Z PŁ.SCH/BOCZ.OK8-10CM 3OB RO1</t>
  </si>
  <si>
    <t>PP ŻEB.Z PŁ.SCH/BOCZ.OK8-10CM 3OB RO2</t>
  </si>
  <si>
    <t>PP ŻEB.Z PŁ.SCH/BOCZ.OK8-10CM 3OB PBX2</t>
  </si>
  <si>
    <t>PL ŻEB.SCH.500-680 US</t>
  </si>
  <si>
    <t>PL ŻEB.SCH.500-680 OK20KG NB MR ST</t>
  </si>
  <si>
    <t>PL ŻEB.SCH.500-680 OK20KGLUZ KT MR EX US</t>
  </si>
  <si>
    <t>PL ŻEB.SCH.500-680 OK20WOR PJ EX</t>
  </si>
  <si>
    <t>PL ŻEB.SCH.500-680 OK20KG NB DMR</t>
  </si>
  <si>
    <t>PL ŻEB.SCH.500-680 OK20KGLUZ KT DMR US</t>
  </si>
  <si>
    <t>EU ŻEB.SCH.500-680 US</t>
  </si>
  <si>
    <t>EU ŻEB.SCH.500-680 OK20WOR PJ EX</t>
  </si>
  <si>
    <t>EU ŻEB.SCH.500-680 OK20KGLUZ KT DMR US</t>
  </si>
  <si>
    <t>CZ ŻEB.SCH.500-680 US</t>
  </si>
  <si>
    <t>CZ ŻEB.SCH.500-680 OK20KGWOR PJ EX</t>
  </si>
  <si>
    <t>PL ŻEB.SCH.500-680 B/BŁ.US</t>
  </si>
  <si>
    <t>***PLŻEB.SCH500-680 B/BŁ.OK20KGLUZKTMRUS</t>
  </si>
  <si>
    <t>***PLŻEB.SCH500-680B/BŁ.OK20KGLUZKTDMRUS</t>
  </si>
  <si>
    <t>***ELEM.ŁOP KL.S CH BIED</t>
  </si>
  <si>
    <t>PL ŻEB.BOCZ.2X8 CH</t>
  </si>
  <si>
    <t>PL ŻEB.BOCZ.2X8 OK20KG NB MR ST</t>
  </si>
  <si>
    <t>PL ŻEB.BOCZ.2X8 4STMAP OK9KGKT SEL</t>
  </si>
  <si>
    <t>PL ŻEB.BOCZ.2X8 OK20KGWOR PJ ST</t>
  </si>
  <si>
    <t>PL ŻEB.BOCZ.2X8 PBX ST</t>
  </si>
  <si>
    <t>PL ŻEB.BOCZ.2X8 OK15KGLUZ PJ SZ</t>
  </si>
  <si>
    <t>PL ŻEB.BOCZ.2X8 OK20KG NB DMR</t>
  </si>
  <si>
    <t>PP ŻEB.BOCZ.2X8 CH</t>
  </si>
  <si>
    <t>PP ŻEB.BOCZ.2X8 OK20KG NB MR ST</t>
  </si>
  <si>
    <t>PP ŻEB.BOCZ.2X8 OK20KGWOR PJ ST</t>
  </si>
  <si>
    <t>PP ŻEB.BOCZ.2X8 PBX ST</t>
  </si>
  <si>
    <t>PP ŻEB.BOCZ.2X8 OK20KG NB DMR</t>
  </si>
  <si>
    <t>PL ŻEB.Z PŁAT.SCH/BOCZ.OK8-10CM MAC.</t>
  </si>
  <si>
    <t>PL ŻEB.Z PŁ.SCH/BOCZ8-10MAC.OK20KGNBMRST</t>
  </si>
  <si>
    <t>PL ŻEB.Z PŁ.SCH/BOCZ.OK8-10MAC.OK20KGLPJ</t>
  </si>
  <si>
    <t>PL ŻEB.Z PŁ.SCH/BOCZ8-10MAC.OK20KGNB DMR</t>
  </si>
  <si>
    <t>PP ŻEB.Z PŁAT.SCH/BOCZ.OK8-10CM MAC.CH</t>
  </si>
  <si>
    <t>PP ŻEB.Z PŁ.SCH/BOCZ8-10MAC.OK20KGNBMRST</t>
  </si>
  <si>
    <t>PP ŻEB.Z PŁ.SCH/BOCZ.OK8-10MAC.OK20KGLPJ</t>
  </si>
  <si>
    <t>PP ŻEB.Z PŁ.SCH/BOCZ8-10MAC.OK20KGNB DMR</t>
  </si>
  <si>
    <t>***KARK.B/K.Z/KOR.KROJ.GRILL CH RQ</t>
  </si>
  <si>
    <t>***KARK.B/K.Z/KOR KROJ.GRILL FANTOM CHRQ</t>
  </si>
  <si>
    <t>***BOCZ.BLAT.WĄS.Z/SK KROJ.GR.FAN.CHRQ</t>
  </si>
  <si>
    <t>PL ŻEB.SCH.10-12CM CH</t>
  </si>
  <si>
    <t>PL ŻEB.SCH.10-12CM OK20KGWOR KT</t>
  </si>
  <si>
    <t>PL ŻEB.SCH.10-12CM OK10KGWOR KT MR EX</t>
  </si>
  <si>
    <t>PL ŻEB.SCH.10-12CM OK20KGWOR KT MR EX</t>
  </si>
  <si>
    <t>PL ŻEB.SCH.10-12CM OK10KGFOL KT DMR</t>
  </si>
  <si>
    <t>PL ŻEB.SCH.10-12CM OK20KGWOR KT DMR</t>
  </si>
  <si>
    <t>EU MŚ.WP.KL2B KROJONE CH</t>
  </si>
  <si>
    <t>***SUR.MIĘSNE DO PROD.MIĘSA WP.29%OKT ST</t>
  </si>
  <si>
    <t>***BOCZ.BLAT.SZER.B/SK KL.U /KROJONY/ CH</t>
  </si>
  <si>
    <t>***BOCZ.BLAT.SZER.B/SK KL.R /KROJONY/CH</t>
  </si>
  <si>
    <t>***EU M.MIEL.WP-WŁ.FARSZ BIED</t>
  </si>
  <si>
    <t>***SUR.MIĘSNE DO PROD.MIĘSA 2096</t>
  </si>
  <si>
    <t>***SUR.MIĘSNE DO PROD.MIĘSA WP.2096OKTST</t>
  </si>
  <si>
    <t>***SUR.MIĘSNE DO PROD.MIĘSA 2096 PBX ST</t>
  </si>
  <si>
    <t>***GUL.Z SZYN.500GMAP 3KGKT BIED</t>
  </si>
  <si>
    <t>***ELEM.SZYN.SZWAGRA KOTL.CH</t>
  </si>
  <si>
    <t>M-SO WP.TRYMING Z/GŁ.OK20KG NB MR</t>
  </si>
  <si>
    <t>M-SO WP.TRYMING Z/GŁ.OK20KG NB DMR</t>
  </si>
  <si>
    <t>M-SO WP.DR.KL2B ROZP1</t>
  </si>
  <si>
    <t>M-SO WP.DR.KL2B ROZP2</t>
  </si>
  <si>
    <t>M-SO WP.TRIMING 70/30 CH ZAK</t>
  </si>
  <si>
    <t>M-SO WP.DR. 50/50 KL2B CH</t>
  </si>
  <si>
    <t>M-SO WP.TRYMING 50/50 OK20KG NB MR EX</t>
  </si>
  <si>
    <t>M-SO WP.TRYMING 50/50 OK700KG OKT EX ST</t>
  </si>
  <si>
    <t>M-SO WP.DR.50/50 OK20KG NB MR ZAK</t>
  </si>
  <si>
    <t>M-SO WP.TRYMING 50/50 OK20KG NB DMR</t>
  </si>
  <si>
    <t>M-SO WP.TRYMING 50/50 RO1</t>
  </si>
  <si>
    <t>M-SO WP.TRYMING 50/50 RO2</t>
  </si>
  <si>
    <t>M-SO WP.TRYMING 50/50 USR</t>
  </si>
  <si>
    <t>M-SO WP.TRIMING 60/40 MR SZ</t>
  </si>
  <si>
    <t>***TRYM.60/40 PB RO</t>
  </si>
  <si>
    <t>M-SO WP.DR.KL1 JAS.Z SZYN.CH PJ ST</t>
  </si>
  <si>
    <t>M-SO WP.KL1 Z SZYN.JAS.OK15KGLUZ PJ SZ</t>
  </si>
  <si>
    <t>M-SO WP.DR.KL1 Z SZYN.JAS.NB MR SZ</t>
  </si>
  <si>
    <t>M-SO WP.KL1 JAS.Z SZYN.NB RO1</t>
  </si>
  <si>
    <t>M-SO WP.KL1 JAS.Z SZYN.NB RO2</t>
  </si>
  <si>
    <t>PPM-SOWP.DR.KL1 JAS.Z SZYN.OK15KGLUZPJST</t>
  </si>
  <si>
    <t>PPM-SOWP.DR.KL1Z SZ.JAS.S/OG.OK15KGNBDMR</t>
  </si>
  <si>
    <t>M-SO WP.KL1B OK15KGLUZ PJ SZ</t>
  </si>
  <si>
    <t>PPM-SOWP.DR.KL1 CIE.Z SZYN.OK15KGLUZPJST</t>
  </si>
  <si>
    <t>M-SO WP.DR.KL1 CIE.ROZP1</t>
  </si>
  <si>
    <t>M-SO WP.DR.KL1 CIE.ROZP2</t>
  </si>
  <si>
    <t>M-SO WP.DR.KL2A PRZET.OK15KG PB MR K2</t>
  </si>
  <si>
    <t>M-SO WP.KL2A Z ŁOP.PBX MORLINY SZ</t>
  </si>
  <si>
    <t>M-SO WP.DR.KL2A PRZET.OK15KG NB MR K2</t>
  </si>
  <si>
    <t>M-SO WP.KL2A PBX MORLINY SZ</t>
  </si>
  <si>
    <t>M-SO WP.TRIMING 80/20 MR SZ</t>
  </si>
  <si>
    <t>M-SO WP.DR.KL2A OK15KG PB MR K2</t>
  </si>
  <si>
    <t>M-SO WP.KL2A 80/20 CH ZAK</t>
  </si>
  <si>
    <t>M-SO WP.KL2A NB RO2</t>
  </si>
  <si>
    <t>M-SO WP.KL2A Z SZYN.OK15KGLUZ PJ SZ</t>
  </si>
  <si>
    <t>M-SO WP.DR.KL2A ROZP1</t>
  </si>
  <si>
    <t>M-SO WP.DR.KL2A ROZP2</t>
  </si>
  <si>
    <t>M-SO WP.KL2B MR SZ</t>
  </si>
  <si>
    <t>M-SO WP.DR.KL2B OK15KGWOR PJ MR K2</t>
  </si>
  <si>
    <t>M-SO WP.DR.KL2B PRZET.OK15KG PB MR K2</t>
  </si>
  <si>
    <t>M-SO WP.DR.KL2B OK15KG PB MR K2</t>
  </si>
  <si>
    <t>M-SO WP.DR.KL2B PRZET.OK15KG NB MR K2</t>
  </si>
  <si>
    <t>M-SO WP.KL2B NB MR ZAK</t>
  </si>
  <si>
    <t>M-SO WP.DR.KL3A PBX EŁ1</t>
  </si>
  <si>
    <t>M-SO WP.DR.KL3A OK15KGWOR PJ MR K2</t>
  </si>
  <si>
    <t>M-SO WP.KL3A PBX MORLINY SZ</t>
  </si>
  <si>
    <t>M-SO WP.DR.KL3A OK15KG PB MR K2</t>
  </si>
  <si>
    <t>M-SO WP.TRYMING 75/25 MR ZAK</t>
  </si>
  <si>
    <t>M-SO WP.KL3 ŻWACZE PBX1</t>
  </si>
  <si>
    <t>M-SO WP.KL3 ŻWACZE OK20KGLUZ PJ ST</t>
  </si>
  <si>
    <t>M-SO WP.KL3 ŻWACZE2</t>
  </si>
  <si>
    <t>M-SO WP.KL3 ŻWACZE PBX2</t>
  </si>
  <si>
    <t>M-SO WP.DR.KL3A ROZP1</t>
  </si>
  <si>
    <t>M-SO WP.DR.KL3A ROZP2</t>
  </si>
  <si>
    <t>M-SO WP.KL3B MR SZ</t>
  </si>
  <si>
    <t>M-SO WP.ODŚC.80/20 CH1</t>
  </si>
  <si>
    <t>M-SO WP.ODŚC.80/20 CH2</t>
  </si>
  <si>
    <t>M-SO WP.KL3 ODŚC.80/20 CH PBX ST1</t>
  </si>
  <si>
    <t>M-SO WP.KL3 ODŚC.80/20 CH PBX ST2</t>
  </si>
  <si>
    <t>M-SO WP.DR.KL3 ODŚC.80/20 ROZP1</t>
  </si>
  <si>
    <t>M-SO WP.DR.KL3 ODŚC.80/20 ROZP2</t>
  </si>
  <si>
    <t>M-SO WP.KL1 CIE.EXT.CH</t>
  </si>
  <si>
    <t>M-SO WP.KL1 CIE.EXT.OK20KG NB MR ST</t>
  </si>
  <si>
    <t>M-SO WP.KL1 CIE.EXT.PBX1</t>
  </si>
  <si>
    <t>M-SO WP.DR.KL1 CIE.EXT.PBX ST</t>
  </si>
  <si>
    <t>M-SO WP.KL1 CIE.EXT.OK20KG NB DMR</t>
  </si>
  <si>
    <t>M-SO WP.KL1 CIE.EXT.PBX2</t>
  </si>
  <si>
    <t>M-SO WP.KL1 CIE.EXT.USR</t>
  </si>
  <si>
    <t>M-SO WP.KL1 CIE.PBX CH EŁ1</t>
  </si>
  <si>
    <t>M-SO WP.DR.KL1 JAS.ROZP1</t>
  </si>
  <si>
    <t>M-SO WP.DR.KL1 JAS.ROZP2</t>
  </si>
  <si>
    <t>M-SO WP.KL1 CIE.OK15KGWOR PJ CH EŁ1</t>
  </si>
  <si>
    <t>M-SO WP.KL1 CIE.OK15KGWOR MR EŁ</t>
  </si>
  <si>
    <t>M-SO WP.DR.KL1 CIE.PRZET.OK15KG PB MR K2</t>
  </si>
  <si>
    <t>M-SO WP.KL1 CIE.MR SZ</t>
  </si>
  <si>
    <t>M-SO WP.KL1B Z ŁOP.NB MR SZ</t>
  </si>
  <si>
    <t>M-SO WP.DR.KL1 CIE.MR ZAK</t>
  </si>
  <si>
    <t>M-SO WP.KL2A Z ŁOP.OK400KGCVP PBX SZ</t>
  </si>
  <si>
    <t>M-SO WP.KL2A Z ŁOP.NB MR SZ</t>
  </si>
  <si>
    <t>M-SO WP.KL2A Z ŁOP.OK500KG OKT SZ</t>
  </si>
  <si>
    <t>M-SO WP.KL4 Z OBR.PODR.CH</t>
  </si>
  <si>
    <t>M-SO WP.KL4 Z OBR.PODR.NB RO1</t>
  </si>
  <si>
    <t>M-SO WP.KL4 Z OBR.PODR.NB RO2</t>
  </si>
  <si>
    <t>***PL MŚ.DR.SZYN.6-8KG TRM OK21KG KT GB</t>
  </si>
  <si>
    <t>***PLMŚ.DR.SZYN. 6-8KGTRM OK21KGKTMR SFL</t>
  </si>
  <si>
    <t>***PL MŚ.DR.SZYN.6-8KGTRMOK21KGKTDMR SFL</t>
  </si>
  <si>
    <t>***EU MŚ.DR.SZYN.6-8KG TRM OK21KG KT GB</t>
  </si>
  <si>
    <t>***EU MŚ.DR.SZYN.6-8KGTRM OK21KGKTMR SFL</t>
  </si>
  <si>
    <t>***EU MŚ.DR.SZYN.6-8KGTRMOK21KGKTDMR SFL</t>
  </si>
  <si>
    <t>M-SO KL.4 Z.OBR.POD-OBR POLĘD.PJ CH -K.3</t>
  </si>
  <si>
    <t>M-SO KL.4 Z. OBR.PODR-OBR POLĘD. NB RO</t>
  </si>
  <si>
    <t>M-SO WP.DR.KL4B-KAT.3</t>
  </si>
  <si>
    <t>M-SO KL.4 Z. OBR.PODR-OBR OZOR. CP</t>
  </si>
  <si>
    <t>M-SO WP.KL4 Z OBR.PODR.-FIL.PRZEP.-KAT.3</t>
  </si>
  <si>
    <t>M-SO KL.4 Z. OBR.PODR-FIL.PRZEP. CP</t>
  </si>
  <si>
    <t>M-SO WP.KL4 POUB.OK20KG NB MR K4</t>
  </si>
  <si>
    <t>M-SO WP.DR.KL3B Z SZYN.OK15KGWOR PJ EŁ</t>
  </si>
  <si>
    <t>***MŚ.ZAPARZ.NB MR</t>
  </si>
  <si>
    <t>MŚ.ZAPARZONE KL1A NB DMR</t>
  </si>
  <si>
    <t>***MŚ.ZAPARZ.NB RO1</t>
  </si>
  <si>
    <t>***MŚ.ZAPARZ.NB RO2</t>
  </si>
  <si>
    <t>RYJEK WP.Z/CZ.MASKI Z/GŁ.10KGWORKTMREX</t>
  </si>
  <si>
    <t>MASKI TŁ.Z/GŁ/S.10KGWORKT MR EX</t>
  </si>
  <si>
    <t>MASKI TŁ.Z/GŁ/S/RYJ.10KGWOR KT MR EX</t>
  </si>
  <si>
    <t>MASKI TŁ.Z/GŁ/S/RYJ.OK20KG PJ</t>
  </si>
  <si>
    <t>MASKI TŁ.Z/GŁ/S.OK20KGLUZ PJ ST</t>
  </si>
  <si>
    <t>MASKI TŁ.Z/GŁ/S/RYJ.10KGWOR KT DMR</t>
  </si>
  <si>
    <t>RYJEK WP.CH1</t>
  </si>
  <si>
    <t>RYJEK WP.CH2</t>
  </si>
  <si>
    <t>TŁ.WP.PACHINOWY PB MR ST</t>
  </si>
  <si>
    <t>TŁ.WP.PACH.OK20KG PB MR RU</t>
  </si>
  <si>
    <t>PL TŁ.WP.PACH.OK20KGWOR PJ ST</t>
  </si>
  <si>
    <t>PL TŁ.WP.PACH.OK500KG OKT</t>
  </si>
  <si>
    <t>PL TŁ.WP.PACH.OK500KG OKT ST</t>
  </si>
  <si>
    <t>PL TŁ.WP.PACH.PBX ST</t>
  </si>
  <si>
    <t>PL TŁ.WP.PACH.OK600KG ST</t>
  </si>
  <si>
    <t>PL TŁ.WP.PACH.OK20KG PB DMR</t>
  </si>
  <si>
    <t>PL TŁ.WP.PACH.OK20KG PB DMR RU</t>
  </si>
  <si>
    <t>PL TŁ.WP.PACH.PB DMR EX</t>
  </si>
  <si>
    <t>TŁ.WP.PACHWINOWY USR CH</t>
  </si>
  <si>
    <t>PL TŁ.WP.Z/S.OK800KG OKT ST</t>
  </si>
  <si>
    <t>PL TŁ.WP.Z/S.OK20KG NB DMR</t>
  </si>
  <si>
    <t>?????</t>
  </si>
  <si>
    <t>PL TŁ.WP.DR.MAX.18KGWOR PJ</t>
  </si>
  <si>
    <t>PL TŁ.WP.DR.OK20KGWOR PJ JBB ST</t>
  </si>
  <si>
    <t>***TŁ.WP.DR.OK15KG PJ CH ST</t>
  </si>
  <si>
    <t>PL TŁ.WP.DR.OK20KGWOR PJ</t>
  </si>
  <si>
    <t>PL TŁ.WP.DR.OK20KGWOR PJ ST</t>
  </si>
  <si>
    <t>PL TŁ.WP.DR.OK500KG KOSZ.ST</t>
  </si>
  <si>
    <t>PL TŁ.WP.DR.OK600KG OKT ST</t>
  </si>
  <si>
    <t>PL TŁ.WP.DR.OK20KG NB DMR</t>
  </si>
  <si>
    <t>PL TŁ.WP.DR.OK20KG PB DMR</t>
  </si>
  <si>
    <t>PL TŁ.WP.DR.OK20KG PB DMR EX</t>
  </si>
  <si>
    <t>PL TŁ.WP.DR.20KGWOR KT DMR HK</t>
  </si>
  <si>
    <t>TŁ.WP.DR.10KGWOR KT DMR VN</t>
  </si>
  <si>
    <t>PL TŁ.WP.DR.Z SZYN.OK500KG OKT ST</t>
  </si>
  <si>
    <t>PL TŁ.WP.DR.Z SZYN.OK15KGWOR PJ ST</t>
  </si>
  <si>
    <t>PL SŁON.PRZEM.B/S.20KGWOR KT MR</t>
  </si>
  <si>
    <t>PL SŁON.OK3KGVAC OK9KGKT</t>
  </si>
  <si>
    <t>SŁON.PRZEM.B/S.OK500KG OKT</t>
  </si>
  <si>
    <t>PL SŁON.PRZEM.B/S.20KGWOR KT DMR</t>
  </si>
  <si>
    <t>MÓZG WP.CH</t>
  </si>
  <si>
    <t>MÓZG WP.OK15KG NB MR EX</t>
  </si>
  <si>
    <t>MÓZG WP.OK15KG NB DMR</t>
  </si>
  <si>
    <t>SADŁO CH</t>
  </si>
  <si>
    <t>SADŁO WP.NB MR ST</t>
  </si>
  <si>
    <t>SADŁO WP.CH OKTOB.</t>
  </si>
  <si>
    <t>SADŁO WP.LUZ OKT CH ST</t>
  </si>
  <si>
    <t>SADŁO WP.NB DMR</t>
  </si>
  <si>
    <t>SADŁO CP</t>
  </si>
  <si>
    <t>SADŁO DR.CH</t>
  </si>
  <si>
    <t>SADŁO DR.OK500KGOKT</t>
  </si>
  <si>
    <t>SERCA WP.CH1</t>
  </si>
  <si>
    <t>SERCE WP.OK20KG NB MR</t>
  </si>
  <si>
    <t>SERCA WP.NB MR BST</t>
  </si>
  <si>
    <t>SERCA WP.OK4KGMAP OK12KGKT</t>
  </si>
  <si>
    <t>SERCA WP. MAX.20KG PJ AGRO</t>
  </si>
  <si>
    <t>SERCE WP.OK20KG NB DMR</t>
  </si>
  <si>
    <t>SERCA WP.NB DMR BST</t>
  </si>
  <si>
    <t>SERCA WP.CH BST</t>
  </si>
  <si>
    <t>PŁUCA WP.LUZ PJ-KAT.3</t>
  </si>
  <si>
    <t>NERKI WP.CH1</t>
  </si>
  <si>
    <t>NERKI WP.OK15KG NB MR</t>
  </si>
  <si>
    <t>NERKI WP.OK15KG PB MR</t>
  </si>
  <si>
    <t>NERKI WP.10KGWOR KT MR</t>
  </si>
  <si>
    <t>NERKI WP.OK3.5KGMAP 2STKT STO</t>
  </si>
  <si>
    <t>NERKI WP.OK15KG NB DMR</t>
  </si>
  <si>
    <t>NERKI WP.OK15KG PB DMR</t>
  </si>
  <si>
    <t>NERKI WP.10KGWOR KT DMR</t>
  </si>
  <si>
    <t>NERKI WP.CH2</t>
  </si>
  <si>
    <t>NERKI WP.ROZP.</t>
  </si>
  <si>
    <t>NERKI WP.LUZ PJ-KAT.3</t>
  </si>
  <si>
    <t>OGON KR.CH</t>
  </si>
  <si>
    <t>OGON KR.12CM+ OK20KGLUZ PJ</t>
  </si>
  <si>
    <t>OGON WP.KR.10KGWOR KT DMR EX</t>
  </si>
  <si>
    <t>OGON KR.USR</t>
  </si>
  <si>
    <t>2,5m 1szt, 20m w siatce, 35 siatek w beczce</t>
  </si>
  <si>
    <t>ŚLUZ CH</t>
  </si>
  <si>
    <t>UPPZ KAT.3-ŚLUZ ZAKONS.EŁ</t>
  </si>
  <si>
    <t>UPPZ KAT.3-ŚLUZ ZAKONS.SZ</t>
  </si>
  <si>
    <t>JEL.GRU.+KĄTN.PBX</t>
  </si>
  <si>
    <t>KRZYŻ.+JEL.PRO.CZ.PARZ.10KGWOR KT MR EX</t>
  </si>
  <si>
    <t>KRZYŻ.+JEL.PRO.CZ.PARZ.10KGWOR KT DMR EX</t>
  </si>
  <si>
    <t>JEL.GRU.+PRO.CZ.+KĄTN.PARZ.10KGW KTMR EX</t>
  </si>
  <si>
    <t>JEL.GRU.+PRO.CZ.+KĄTN.PARZ.10KGW KTDMREX</t>
  </si>
  <si>
    <t>KRZYŻ.+JEL.PRO.SOL.350G 20STSIA.BL</t>
  </si>
  <si>
    <t>KRZYŻ.+JEL.PRO.SOL.350G 20STSIA.BECZ.EUR</t>
  </si>
  <si>
    <t>KRZYŻ.Z/KOR.+JEL.PRO.125CM+ CH</t>
  </si>
  <si>
    <t>KRZYŻ.Z/KOR.+J.PR.SOL125CM+300G10STBL</t>
  </si>
  <si>
    <t>KRZYŻ.Z/KOR.+J.PR.SOL125CM+300G10STBECZ.</t>
  </si>
  <si>
    <t>KRZYŻ.Z/KOR.+JEL.PRO.60CM+ CH</t>
  </si>
  <si>
    <t>KRZYŻ.Z/KOR.+J.PR.SOL60CM+250G10STBL</t>
  </si>
  <si>
    <t>KRZYŻ.Z/KOR.+J.PR.SOL60CM+250G10STBECZ.</t>
  </si>
  <si>
    <t>UPPZ KAT.2-JELITO CP KPL.KONF.</t>
  </si>
  <si>
    <t>UPPZ KAT.3-JELITO PARZ.KONF.</t>
  </si>
  <si>
    <t>UPPZ KAT.3-ŚLEDZIONA</t>
  </si>
  <si>
    <t>AORTA WP.CP ST</t>
  </si>
  <si>
    <t>AORTA WP.10KGWOR KT MR EX</t>
  </si>
  <si>
    <t>AORTA WP.CH</t>
  </si>
  <si>
    <t>KREW WP.SPOŻ.CH1</t>
  </si>
  <si>
    <t>KREW WP.SPOŻ.NB MR EŁ</t>
  </si>
  <si>
    <t>KREW WP.SPOŻ.DMR</t>
  </si>
  <si>
    <t>KREW WP.SPOŻYWCZA NB RO</t>
  </si>
  <si>
    <t>KREW WP.SPOŻ.CH2</t>
  </si>
  <si>
    <t>KREW WP. SPOŻYWCZA CP</t>
  </si>
  <si>
    <t>KOŚCI WP.CH LUZ PJ-KAT.3</t>
  </si>
  <si>
    <t>PL CHRZ.BOCZ.CH</t>
  </si>
  <si>
    <t>PL CHRZ.WP.SOFTBONES 10KGWOR KT MR EX</t>
  </si>
  <si>
    <t>PL CHRZ.BOCZ.OK20KGWOR PJ ST</t>
  </si>
  <si>
    <t>PL CHRZ.WP.SOFTBONES 10KGWOR KT DMR</t>
  </si>
  <si>
    <t>EU CHRZ.BOCZ.CH</t>
  </si>
  <si>
    <t>PL CHRZ.MOST.CH</t>
  </si>
  <si>
    <t>PL SCH.CZ.ODK.B/TŁ.CH1</t>
  </si>
  <si>
    <t>PL SCH.CZ.ODK.B/TŁ.CH2</t>
  </si>
  <si>
    <t>EU SCH.CZ.ODK.B/TŁ.CH1</t>
  </si>
  <si>
    <t>EU SCH.CZ.ODK.B/TŁ.CH2</t>
  </si>
  <si>
    <t>***SCH.CZ.ODK.B/TŁ KL.U CH</t>
  </si>
  <si>
    <t>***SCH.CZ.ODK.B/TŁ KL.S CH</t>
  </si>
  <si>
    <t>PL ŻEB.POZ.PŁAT.CIĘ.WĄS.CH</t>
  </si>
  <si>
    <t>PL ŻEB.POZ.PŁAT.CIĘ.WĄS.10KGWOR KT MR</t>
  </si>
  <si>
    <t>PL ŻEB.POZ.PŁAT.OK20KGWOR PJ</t>
  </si>
  <si>
    <t>PL ŻEB.POZ.PŁAT.CIĘ.WĄS.10KGWOR KT DMR</t>
  </si>
  <si>
    <t>EU ŻEB.POZ.PŁAT.CIĘ.WĄS.CH</t>
  </si>
  <si>
    <t>EU ŻEB.POZ.PŁAT.CIĘ.WĄS.10KGWOR KT MR</t>
  </si>
  <si>
    <t>EU ŻEB.POZ.PŁAT.CIĘ.WĄS.10KGWOR KT DMR</t>
  </si>
  <si>
    <t>CHRZ.KSIĘŻYCOWE CH</t>
  </si>
  <si>
    <t>***CHRZ.KSIĘŻYCOWE OK15KG PB MR</t>
  </si>
  <si>
    <t>CHRZ.KSIĘŻYCOWE OK15KG WOR DMR</t>
  </si>
  <si>
    <t>CHRZ.KSIĘŻYCOWE USR</t>
  </si>
  <si>
    <t>CH-TKI.SOFTBONES CH</t>
  </si>
  <si>
    <t>CHRZ.SOFTBONES PBX CH</t>
  </si>
  <si>
    <t>CHRZ.MOST.CH</t>
  </si>
  <si>
    <t>PL CHRZ.MOST.USR CH</t>
  </si>
  <si>
    <t>CH-TKI. Z MOSTK. CH</t>
  </si>
  <si>
    <t>PL CHRZ.MOST.10KGWOR KT MR VN</t>
  </si>
  <si>
    <t>PL CHRZ.MOST.10KGWOR KT MR EX</t>
  </si>
  <si>
    <t>PL CHRZ.MOST.10KGWOR KT DMR VN</t>
  </si>
  <si>
    <t>PL CHRZ.MOST.10KGWOR KT DMR EX</t>
  </si>
  <si>
    <t>EU CHRZ.MOST.CH</t>
  </si>
  <si>
    <t>EU CHRZ. MOST.10KGWOR KT MR EX</t>
  </si>
  <si>
    <t>EU CHRZ.MOST.10KGWOR KT DMR EX</t>
  </si>
  <si>
    <t>CZ CHRZ.MOST.CH</t>
  </si>
  <si>
    <t>CZ CHRZ.MOST.10KGWOR KT MR EX</t>
  </si>
  <si>
    <t>CZ CHRZ.MOST.10KGWOR KT DMR EX</t>
  </si>
  <si>
    <t>UPPZ KAT.3-JELITO PRO.</t>
  </si>
  <si>
    <t>UPPZ KAT.3-KRZYŻÓWKA</t>
  </si>
  <si>
    <t>UPPZ KAT.3-JELITO GRU.</t>
  </si>
  <si>
    <t>UPPZ.KAT.3-ŻOŁĄDEK</t>
  </si>
  <si>
    <t>MAT.Z/MAC.-MAT.KAT.3</t>
  </si>
  <si>
    <t>UPPZ KAT.3-MIĘKKIE</t>
  </si>
  <si>
    <t>UPPZ KAT.3-ODPAD MIĘKKI PBX</t>
  </si>
  <si>
    <t>UPPZ KAT.3-ODPAD POZ.FARSZ PBX</t>
  </si>
  <si>
    <t>UPPZ KAT.3-ODPAD MIĘKKI ZE ŚLUZU</t>
  </si>
  <si>
    <t>MAT.ROZB.ŚCIĘG.CHRZ.-MAT.KAT.3</t>
  </si>
  <si>
    <t>UPPZ KAT.2-JELITO KPL.KONF.</t>
  </si>
  <si>
    <t>SUR.HEPARYNA NA ŻYWICY OK150KGLUZBECZ.ST</t>
  </si>
  <si>
    <t>PL SZYN.RED.V-CUT TŁ.0.5CM+ CH</t>
  </si>
  <si>
    <t>PL SZYN.V-CUT TŁ.POW.0.5CM CHOIN.CH EX</t>
  </si>
  <si>
    <t>PL SZYN.RED.V-CUT TŁ.1CM+ CH</t>
  </si>
  <si>
    <t>PL SZYN.V-CUT TŁ.POW.1CM CHOIN.CH EX</t>
  </si>
  <si>
    <t>PL SZYN.V-CUT TŁ.POW.1.5CM CHOIN.CH EX</t>
  </si>
  <si>
    <t>***BOCZ.Z/ŻEB.WĄSK.ODTŁ KL.E CH</t>
  </si>
  <si>
    <t>***PL MŚ.PÓŁBŁ.OK10KG TRM EX</t>
  </si>
  <si>
    <t>***PL MŚ.PÓŁBŁ.Z/SMUK.6-8KGTRMOK21KGKTGB</t>
  </si>
  <si>
    <t>***PLMŚ.PÓŁBŁ.Z/SM.6-8KGTRMOK21KGKTMRSFL</t>
  </si>
  <si>
    <t>PL ZR.GÓRNA Z/SMUK.OK15KG PJ CH</t>
  </si>
  <si>
    <t>PL MŚ.PÓŁBŁ.SMUK.N/ODBŁ.OK20KGWOR PJ ST</t>
  </si>
  <si>
    <t>PL MŚ.PÓŁBŁ.SMUK.N/ODBŁ.OK15KGWOR PJ JBB</t>
  </si>
  <si>
    <t>***PLMŚ.PÓŁBŁ.Z/SM6-8KGTRMOK21KGKTDMRSFL</t>
  </si>
  <si>
    <t>***EU ZR.GÓRNA Z/SMUK.LUZ OK15KG KT CH</t>
  </si>
  <si>
    <t>***EU MŚ.PÓŁBŁ.OK10KG TRM EX</t>
  </si>
  <si>
    <t>***EU MŚ.PÓŁBŁ.Z/SMUK.6-8KGTRMOK21KGKTGB</t>
  </si>
  <si>
    <t>***EUMŚ.PÓŁBŁ.Z/SM.6-8KGTRMOK21KGKTMRSFL</t>
  </si>
  <si>
    <t>***EU ZR.GÓRNA Z/SMUK.OK15KG PJ CH</t>
  </si>
  <si>
    <t>***EUMŚ.PÓŁBŁ.Z/SM6-8KGTRMOK21KGKTDMRSFL</t>
  </si>
  <si>
    <t>PP MŚ.PÓŁBŁ.SMUK.N/ODBŁ.OK20KGWOR PJ ST</t>
  </si>
  <si>
    <t>***PL MŚ.BIODR.OK10KG TRM CH EX</t>
  </si>
  <si>
    <t>***PL MŚ.BIODR.6-8KG TRM OK21KG KT CH GB</t>
  </si>
  <si>
    <t>***PLMŚ.BIODR.6-8KG TRM OK21KG KT MR SFL</t>
  </si>
  <si>
    <t>***PL MŚ.BIODR.6-8KG TRMOK21KGKT DMR SFL</t>
  </si>
  <si>
    <t>***EU MŚ.BIODR.OK10KG TRM CH EX</t>
  </si>
  <si>
    <t>***EU MŚ.BIODR.6-8KG TRM OK21KG KT CH GB</t>
  </si>
  <si>
    <t>***EU MŚ.BIODR.6-8KGTRM OK21KGKT MR SFL</t>
  </si>
  <si>
    <t>***EU MŚ.BIODR.6-8KGTRM OK21KGKT DMR SFL</t>
  </si>
  <si>
    <t>***MŚ.WP.DWUGŁ.Z/LIGAWĄ B/TŁ.PJ CH ZAK</t>
  </si>
  <si>
    <t>***MŚ. DWUGŁ. B/TŁ NIEM MR ZAK</t>
  </si>
  <si>
    <t>***PL MŚ.CZTEROG.Z/NAP.LUZ OK15KGKT</t>
  </si>
  <si>
    <t>***PL MŚ.CZTEROG.Z/NAP.LUZ OK15KG KT MR</t>
  </si>
  <si>
    <t>PL MŚ.CZTER.Z/NAP.OK3KGVAC OK18KGPJ</t>
  </si>
  <si>
    <t>PL MŚ.CZTER.Z/NAP.2STVAC OK10KGKT PIP</t>
  </si>
  <si>
    <t>***PL MŚ.CZTE.Z/NAP.2STTRM OK15KGKT STO</t>
  </si>
  <si>
    <t>PL SZYN.B/K.2STVAC OK8KGKT MOR EX</t>
  </si>
  <si>
    <t>PL SZYN.B/K.2STVAC OK12KGKT MORE EX</t>
  </si>
  <si>
    <t>***PL MŚ.CZTEROG.Z/NAP.VAC OK15KG KT MR</t>
  </si>
  <si>
    <t>PL MŚ.CZTER.Z/NAP.OK20KGWOR  PJ</t>
  </si>
  <si>
    <t>***MŚ.CZTEROGŁ.NAPINACZ OK20KG PJ CH ST</t>
  </si>
  <si>
    <t>PL MŚ.CZTER.N/OBR.Z/NAP.OK20KGWORPJ ST</t>
  </si>
  <si>
    <t>PL MŚ.CZTER.N/OBR.Z/NAP.PBX ST</t>
  </si>
  <si>
    <t>***PL MŚ.CZTEROG.Z/NAP.LUZ OK15KGKT DMR</t>
  </si>
  <si>
    <t>***PL MŚ.CZTEROG.Z/NAP.VAC OK15KG KT DMR</t>
  </si>
  <si>
    <t>EU MŚ.CZTER.N/OBR.Z/NAP.OK20KGNB MR ST</t>
  </si>
  <si>
    <t>***EU MŚ.CZTEROG.Z/NAP.LUZ OK15KGKT</t>
  </si>
  <si>
    <t>***EU MŚ.CZTEROG.Z/NAP.LUZ OK15KG KT MR</t>
  </si>
  <si>
    <t>EU MŚ.CZTER.N/OBR.Z/NAP.OK3KGVACOK18KGPJ</t>
  </si>
  <si>
    <t>***EU MŚ.CZTEROG.Z/NAP.2STVAC OK10KGKT</t>
  </si>
  <si>
    <t>***EU MŚ.CZTE.Z/NAP.2ST TRM OK15KGKT STO</t>
  </si>
  <si>
    <t>***EU MŚ.CZTEROG.Z/NAP.VAC OK15KG KT MR</t>
  </si>
  <si>
    <t>***EU MŚ.CZTEROG.Z/NAP.CH OK15KG PJ</t>
  </si>
  <si>
    <t>EU MŚ.CZTER.N/OBR.Z/NAP.OK20KGWORPJ ST</t>
  </si>
  <si>
    <t>EU MŚ.CZTER.N/OBR.Z/NAP.OK20KG NB DMR</t>
  </si>
  <si>
    <t>***EU MŚ.CZTEROG.Z/NAP.LUZ OK15KG KT DMR</t>
  </si>
  <si>
    <t>***EU MŚ.CZTEROG.Z/NAP.VAC OK15KG KT DMR</t>
  </si>
  <si>
    <t>PP MŚ.CZTER.N/OBR.Z/NAP.OK20KGNB MR ST</t>
  </si>
  <si>
    <t>PP MŚ.CZTER.Z/NAP.1STVAC OK5.6KGKT BIED</t>
  </si>
  <si>
    <t>PPMŚ.CZTER.N/O.Z/N.OK4.5KGVOK4.5KGKTBIED</t>
  </si>
  <si>
    <t>PP MŚ.CZTER.N/OBR.Z/NAP.OK20KGWORPJ ST</t>
  </si>
  <si>
    <t>PP MŚ.CZTER.N/OBR.Z/NAP.OK20KG NB DMR</t>
  </si>
  <si>
    <t>***EU ZR.DOLNA LUZ OK15KG KT CH</t>
  </si>
  <si>
    <t>PL MŚ.SZYN.N/ODBŁ.CH</t>
  </si>
  <si>
    <t>PL MŚ.GOL.ZEW.N/ODBŁ.PBX EX</t>
  </si>
  <si>
    <t>PL MŚ.DR.N/ODBŁ.OK500KGWOR PBX EX</t>
  </si>
  <si>
    <t>PL MŚ.GOL.WEW.N/ODBŁ.PBX EX</t>
  </si>
  <si>
    <t>PL MŚ.BIODR.N/ODBŁ.OK500KGWOR PBX EX</t>
  </si>
  <si>
    <t>PL MŚ.PÓŁBŁ.N/ODBŁ.OK500KG PBX EX</t>
  </si>
  <si>
    <t>PL MŚ.DWUGŁ.Z/PÓŁŚC.N/ODBŁ.OK500KG PBX</t>
  </si>
  <si>
    <t>PL MŚ.CZTER.N/ODBŁ.PBX EX</t>
  </si>
  <si>
    <t>SZYN.B/K/DWU/PÓŁB.Z/MG.CH</t>
  </si>
  <si>
    <t>SZYN.B/K/DWU/PÓŁB.Z/MG.PBX</t>
  </si>
  <si>
    <t>PL SZYN.B/K/S/MŚ.PÓŁBŁ/DWUG.OK500KGPBXST</t>
  </si>
  <si>
    <t>PP SZYN.B/K/DWU/PÓŁB.Z/MG.CH</t>
  </si>
  <si>
    <t>PP SZYN.B/K/S/MŚ.PÓŁBŁ/DWUG.PBX ST</t>
  </si>
  <si>
    <t>PL MŚ.SZYN.N/ODBŁ.CIE.CH</t>
  </si>
  <si>
    <t>PL MŚ.SZYN.N/ODBŁ.CIE.NB MR ST</t>
  </si>
  <si>
    <t>PL MŚ.SZYN.N/ODBŁ.CIE.OK15KGLUZ PJ ST</t>
  </si>
  <si>
    <t>PL MŚ.SZYN.N/ODBŁ.CIE.NB DMR</t>
  </si>
  <si>
    <t>PL MŚ.SZYN.N/ODBŁ.CIE. NB RO1</t>
  </si>
  <si>
    <t>PL MŚ.SZYN.N/ODBŁ.CIE. NB RO2</t>
  </si>
  <si>
    <t>PL MŚ.SZYN.N/ODBŁ.CIE.PBX ST2</t>
  </si>
  <si>
    <t>PP MŚ.SZYN.N/ODBŁ.CIE.CH</t>
  </si>
  <si>
    <t>PP MŚ.SZYN.N/ODBŁ.CIE.PBX1</t>
  </si>
  <si>
    <t>PP MŚ.SZYN.N/ODBŁ.CIE.PBX ST</t>
  </si>
  <si>
    <t>PP MŚ.SZYN.N/ODBŁ.CIE.PBX2</t>
  </si>
  <si>
    <t>***ŁOP.Z/K/GOL/SK B/M.PODŁ KL.E CH</t>
  </si>
  <si>
    <t>***ŁOP.Z/K/GOL/SK B/M.PODŁ KL.U CH</t>
  </si>
  <si>
    <t>PL MŚ.BIOD.B/SZARP.N/OBR.TŁ.PNK.2MM</t>
  </si>
  <si>
    <t>PL MŚ.BIODR.B/MŚ.SZAR.N/OBR.OK20KGNBMRST</t>
  </si>
  <si>
    <t>PLM.BIODR.N/OBR.TŁ.PNK.2MM B/SZARP.PBXST</t>
  </si>
  <si>
    <t>PL MŚ.BIODR.B/MŚ.SZAR.N/OBR.OK20KGNBDMR</t>
  </si>
  <si>
    <t>PP MŚ.BIOD.B/SZARP.N/OBR.TŁ.PNK.2MM</t>
  </si>
  <si>
    <t>PPM.BIODR.N/OBR.TŁ.PNK.2MM B/SZARP.PBXST</t>
  </si>
  <si>
    <t>PL MŚ.DWUGŁOWY N/OBR.11020 CH HILT</t>
  </si>
  <si>
    <t>***PL MŚ.DWUG.N/OBR.11020 PBX CH HILT1</t>
  </si>
  <si>
    <t>***PL MŚ.DWUGŁ.N/OBR.LUZ OK15KG KT CH</t>
  </si>
  <si>
    <t>***PL MŚ.DWUG.N/OBR.11020 PBX CH HILT2</t>
  </si>
  <si>
    <t>EU MŚ.DWUGŁOWY N/OBR.11020CH HILT</t>
  </si>
  <si>
    <t>***EU MŚ.DWUG.N/OBR.11020 PBX CH HILT1</t>
  </si>
  <si>
    <t>***EU MŚ.DWUGŁ.N/OBR.LUZ OK15KG KT CH</t>
  </si>
  <si>
    <t>***EU MŚ.DWUG.N/OBR.11020 PBX CH HILT2</t>
  </si>
  <si>
    <t>PL MŚ.PÓŁBŁ.SMUK.CH1</t>
  </si>
  <si>
    <t>***PL MŚ.PÓŁBŁ.Z/SMUK.PBX CH1</t>
  </si>
  <si>
    <t>PL MŚ.PÓŁBŁ.SMUK.CH2</t>
  </si>
  <si>
    <t>***PL MŚ.PÓŁBŁ.Z/SMUK.PBX CH2</t>
  </si>
  <si>
    <t>EU MŚ.PÓŁBŁ.SMUK.CH</t>
  </si>
  <si>
    <t>***EU MŚ.PÓŁBŁ.Z/SMUK.PBX CH1</t>
  </si>
  <si>
    <t>***EU MŚ.PÓŁBŁ.Z/SMUK.PBX CH2</t>
  </si>
  <si>
    <t>PP MŚ.PÓŁBŁ.SMUK.CH</t>
  </si>
  <si>
    <t>***PL MŚ.DWUG.N/OBR.CH</t>
  </si>
  <si>
    <t>***EU MŚ.DWUG.N/OBR.CH</t>
  </si>
  <si>
    <t>PL MŚ.BIODR.N/OBR.CH1</t>
  </si>
  <si>
    <t>***PL MŚ.BIODR.N/OBR.B MR</t>
  </si>
  <si>
    <t>***PL MŚ.BIODR.N/OBR.NB DMR</t>
  </si>
  <si>
    <t>***PL MŚ.BIODR.N/OBR.NB RO1</t>
  </si>
  <si>
    <t>PL MŚ.BIODR.N/OBR.CH2</t>
  </si>
  <si>
    <t>***PL MŚ.BIODR.N/OBR.NB RO2</t>
  </si>
  <si>
    <t>EU MŚ.BIODR.N/OBR.CH1</t>
  </si>
  <si>
    <t>***EU MŚ.BIODR.N/OBR.PBX CH1</t>
  </si>
  <si>
    <t>EU MŚ.BIODR.N/OBR.CH2</t>
  </si>
  <si>
    <t>***EU MŚ.BIODR.N/OBR.PBX CH2</t>
  </si>
  <si>
    <t>PL MŚ.CZTER.N/OBR.Z/NAP.PBX1</t>
  </si>
  <si>
    <t>PL MŚ.CZTER.N/OBR.Z/NAP.PBX2</t>
  </si>
  <si>
    <t>EU MŚ.CZTER.N/OBR.Z/NAP.CH</t>
  </si>
  <si>
    <t>PP MŚ.CZTER.N/OBR.Z/NAP.CH</t>
  </si>
  <si>
    <t>MŚ.SMUKŁY</t>
  </si>
  <si>
    <t>MŚ.NAPINACZ</t>
  </si>
  <si>
    <t>EL.SZYN.SZWAGRA CIĘ.CH</t>
  </si>
  <si>
    <t>EL.SZYN.SZWAGRA CIĘ.OK20KG NB MR</t>
  </si>
  <si>
    <t>EL.SZYN.SZWAGRA CIĘ.PBX1</t>
  </si>
  <si>
    <t>PL EL.SZYN.SZWAGRA PBX K4</t>
  </si>
  <si>
    <t>EL.SZYN.SZWAGRA CIĘ.OK20KG NB DMR</t>
  </si>
  <si>
    <t>EL.SZYN.SZWAGRA CIĘ.RO1</t>
  </si>
  <si>
    <t>EL.SZYN.SZWAGRA CIĘ.RO2</t>
  </si>
  <si>
    <t>EL.SZYN.SZWAGRA CIĘ.PBX2</t>
  </si>
  <si>
    <t>***ELEM.SZYN.SZWAGRA USR CH</t>
  </si>
  <si>
    <t>EL.SZYN.SZWAGRA OK20KG NB MR ST</t>
  </si>
  <si>
    <t>EL.SZYN.SZWAGRA OK20KGLUZ PJ ST</t>
  </si>
  <si>
    <t>PL EL.SZYN.SZWAGRA OK20KG NB DMR</t>
  </si>
  <si>
    <t>EL.SZYN.SZWAGRA RO1</t>
  </si>
  <si>
    <t>EL.SZYN.SZWAGRA RO2</t>
  </si>
  <si>
    <t>PP EL.SZYN.SZWAGRA OK20KG NB MR ST</t>
  </si>
  <si>
    <t>PP EL.SZYN.SZWAGRA OK20KGLUZ PJ ST</t>
  </si>
  <si>
    <t>PP EL.SZYN.SZWAGRA OK20KG NB DMR</t>
  </si>
  <si>
    <t>PP EL.SZYN.SZWAGRA RO1</t>
  </si>
  <si>
    <t>PP EL.SZYN.SZWAGRA RO2</t>
  </si>
  <si>
    <t>***ELEM.SZYN.SZWAGRA KL.S CH</t>
  </si>
  <si>
    <t>EL.SZYN.SZWAGRA CH1</t>
  </si>
  <si>
    <t>EL.SZYN.SZWAGRA PBX1</t>
  </si>
  <si>
    <t>EL.SZYN.SZWAGRA OK15KG NB MR SZ</t>
  </si>
  <si>
    <t>EL.SZYN.SZWAGRA PBX SZ</t>
  </si>
  <si>
    <t>EL.SZYN.SZWAGRA CH2</t>
  </si>
  <si>
    <t>EL.SZYN.SZWAGRA PBX2</t>
  </si>
  <si>
    <t>PP EL.SZYN.SZWAGRA CH</t>
  </si>
  <si>
    <t>PP EL.SZYN.SZWAGRA PBX ST1</t>
  </si>
  <si>
    <t>EL.SZYN.SZWAGRA ROZP1</t>
  </si>
  <si>
    <t>EL.SZYN.SZWAGRA ROZP2</t>
  </si>
  <si>
    <t>***ELEM.SZYN.SZWAGRA KL.U CH</t>
  </si>
  <si>
    <t>***BOCZ.C ŁUS.SZER.Z/S.B/CH.B.CHŁOP.1</t>
  </si>
  <si>
    <t>***BOCZ.C ŁUS.SZ.Z/S.B/CH.B.CHŁOP.PBXCH1</t>
  </si>
  <si>
    <t>***BOCZ.C ŁUS.SZER.Z/S.B/CH.B.CHŁOP.2</t>
  </si>
  <si>
    <t>***BOCZ.C ŁUS.SZ.Z/S.B/CH.B.CHŁOP.PBXCH2</t>
  </si>
  <si>
    <t>***BOCZ.ŁUS.SZER.Z/SK.B/CHRZ. KL.U PL</t>
  </si>
  <si>
    <t>***BOCZ.ŁUS.SZER.Z/SK.B/CHRZ USR</t>
  </si>
  <si>
    <t>PLBOCZ.B BLAT.SZER.B/SK.Z/PACH/MŚ.SCH.WO</t>
  </si>
  <si>
    <t>ELEM.SZYN.KLASYCZNA CH</t>
  </si>
  <si>
    <t>ELEM.SZYN.KLASYCZNA OK500KG PBX SZ</t>
  </si>
  <si>
    <t>ELEM.SZYN.KLASYCZNA NB RO2</t>
  </si>
  <si>
    <t>ELEM.SZYN.KLASYCZNA OK500KG PBX ST2</t>
  </si>
  <si>
    <t>ELEM.SZYN.SZWAGRA PL</t>
  </si>
  <si>
    <t>ELEM.SZYN.SZWAGRA PL OK15KGPJ ST</t>
  </si>
  <si>
    <t>ELEM.SZYN.SZWAGRA PL OK500KGPBX ST</t>
  </si>
  <si>
    <t>***BOCZ.Z/ŻEB.SZER.B/SK KL.E CH KOREA</t>
  </si>
  <si>
    <t>***BOCZ.Z/ŻE.SZ.B/S KLE OK15KG KT DMRKOR</t>
  </si>
  <si>
    <t>***BOCZ.Z ŻEB. B/SK KL.E LUZ KT RO</t>
  </si>
  <si>
    <t>***BOCZ.Z/ŻEB.B/SK KL.E PL</t>
  </si>
  <si>
    <t>***BOCZ.Z/ŻEB.B/SK. UŚR</t>
  </si>
  <si>
    <t>***BOCZ.Z/ŻEB.SZER.B/SK KL.U CH KOREA</t>
  </si>
  <si>
    <t>***BOCZ.Z/ŻE.SZ.B/SKL.UOK.15KGKT DMR KOR</t>
  </si>
  <si>
    <t>***BOCZ.Z ŻEB. B/SK KL.U EXP KOREA RO</t>
  </si>
  <si>
    <t>***BOCZ.Z/ŻEB.B/SK KL.U PL</t>
  </si>
  <si>
    <t>***BOCZ.Z/ŻEB.B/SK. PL UŚR</t>
  </si>
  <si>
    <t>***MŚ.ZRAZOWA DOLNA B/LIGAWY N/ODBRKLSCH</t>
  </si>
  <si>
    <t>***MŚ.ZRAZOWA DOLNA B/LIGAWY N/ODBRKLECH</t>
  </si>
  <si>
    <t>***MŚ.ZRAZOWA DOLNA B/LIGAWY N/ODBRKLUCH</t>
  </si>
  <si>
    <t>***BOCZ.ŁUS.WĄSK.Z/SK.B/CHRZ KL.S CH</t>
  </si>
  <si>
    <t>***BOCZ.ŁUS. B/SK KL.S CH</t>
  </si>
  <si>
    <t>***MŚ.WP.ZRAZ.GÓR.B/SMUK.N/ODBR.KL.S CH</t>
  </si>
  <si>
    <t>PL MŚ.PÓŁBŁ.N/ODBŁ.CH1</t>
  </si>
  <si>
    <t>PL ELEM.NA SZYN.BONDA OK15KGWOR PJ EŁ1</t>
  </si>
  <si>
    <t>PL MŚ.PÓŁBŁ.N/ODBŁ.CH2</t>
  </si>
  <si>
    <t>PP MŚ.PÓŁBŁ.N/ODBŁ.CH</t>
  </si>
  <si>
    <t>PP MŚ.PÓŁBŁ.N/ODBŁ.PBX ST1</t>
  </si>
  <si>
    <t>PP MŚ.PÓŁBŁ.N/ODBŁ.PBX ST2</t>
  </si>
  <si>
    <t>***MŚ.WP.ZRAZOWA GÓR.B/SMUK.N/ODBR.KLUCH</t>
  </si>
  <si>
    <t>PL BOCZ.A Z/Ż/SK.B/CZ.PACH.OK15KG KT DMR</t>
  </si>
  <si>
    <t>EU BOCZ.A Z/Ż/SK.B/CZ.PACH.OK15KG KT DMR</t>
  </si>
  <si>
    <t>PL MŚ.PÓŁBŁ.N/ODBŁ.CIĘ.3CZ.OK15KG NB DMR</t>
  </si>
  <si>
    <t>EU BOCZ.ABC BLAT.B/S.Z/P/M.SCH.34CMKTDMR</t>
  </si>
  <si>
    <t>***ELEM.BOCZ.MARYNATA KL.S</t>
  </si>
  <si>
    <t>***ELEM.BOCZ.A KLASYCZNY</t>
  </si>
  <si>
    <t>***BOCZ.ŁUS.SZER.B/SK/CHRZ JAPONIA</t>
  </si>
  <si>
    <t>***BOCZ.ŁUSK.B/S JAPONIA DMR</t>
  </si>
  <si>
    <t>***BOCZ.ŁUSK.B/SK/CHRZ. VAC KT DMR EX</t>
  </si>
  <si>
    <t>PL BOCZ.A ŁUS.B/SK/CH.CH JP</t>
  </si>
  <si>
    <t>EU BOCZ.A ŁUS.B/SK/CH.CH JP</t>
  </si>
  <si>
    <t>***BOCZ.A BLAT.WĄS.B/S.</t>
  </si>
  <si>
    <t>***BOCZ.BLAT.WĄS.B/SK PL</t>
  </si>
  <si>
    <t>***BOCZ.BLAT.WĄS.B/SK. PL UŚR</t>
  </si>
  <si>
    <t>***BOCZ.BLAT.WĄSKI B/SK KL.U CH JAPONIA</t>
  </si>
  <si>
    <t>***BOCZ.BLAT.WĄS.B/SK. KL.U PL</t>
  </si>
  <si>
    <t>ŁOP.B/K/SK.Z/TŁ 1313 CH</t>
  </si>
  <si>
    <t>***ŁOP.B/K/SK.Z/TŁ 1313 NB MR</t>
  </si>
  <si>
    <t>PL ŁOP.3D 1STVAC OK20KGLUZ KT EX</t>
  </si>
  <si>
    <t>PL ŁOP.3D 1STVAC OK18KGPJ</t>
  </si>
  <si>
    <t>PL ŁOP.3D 1STVAC OK18KGKT SEL</t>
  </si>
  <si>
    <t>***ŁOP.B/K/SK.Z/TŁ 1313 NB DMR</t>
  </si>
  <si>
    <t>***ŁOP.B/K/SK.Z/TŁ 1313 NB RO</t>
  </si>
  <si>
    <t>***ŁOP.B/K/SK.Z/TŁ 1313 KL.S CH</t>
  </si>
  <si>
    <t>***ŁOP.B/K/SK.Z/TŁ 1313 KL.S NB MR</t>
  </si>
  <si>
    <t>***ŁOP.B/K/SK.Z/TŁ 1313 KL.S NB DMR</t>
  </si>
  <si>
    <t>ŁOP.B/K/SK.Z/TŁ.1313 KL.E NB MR</t>
  </si>
  <si>
    <t>PL ŁOP.3D OK15KG PJ EŁ1</t>
  </si>
  <si>
    <t>***ŁOP.B/K/SK.Z/TŁ.1313 KL.E NB DMR</t>
  </si>
  <si>
    <t>***ŁOP.B/K/SK.Z/TŁ 1313 KL.U CH</t>
  </si>
  <si>
    <t>***ŁOP.B/K/SK.Z/TŁ 1313 KL.U NB MR</t>
  </si>
  <si>
    <t>***ŁOP.B/K/SK.Z/TŁ 1313 KL.U NB DMR</t>
  </si>
  <si>
    <t>KARK.B/K.Z/KOR/WAR 1320 CH</t>
  </si>
  <si>
    <t>***KARK.B/K.Z/KOR/WAR 1320 NB MR ST</t>
  </si>
  <si>
    <t>PL KARK.B/K.Z/KOR/WAR.1320OK15KG KT EX</t>
  </si>
  <si>
    <t>KARK.B/K.Z/KOR/WAR.OK20KG PB MR ST</t>
  </si>
  <si>
    <t>PL KARK.B/K.1320 1STVAC OK15KGKT SEL</t>
  </si>
  <si>
    <t>PL KARK.B/K.1STVAC OK18KGPJ</t>
  </si>
  <si>
    <t>***PLKAR.B/K.Z/KOR/WAR.1STTRMOK15KGPJECS</t>
  </si>
  <si>
    <t>PL KARK.B/K.1320 1STVAC OK20KGKT MR EX</t>
  </si>
  <si>
    <t>PL KARK.B/K.1STVAC 20KGKT EX</t>
  </si>
  <si>
    <t>***KARK.B/K.Z/KOR/WAR. 1320 VAC MR ST</t>
  </si>
  <si>
    <t>***KARK.WP.B/K.Z/KOR/WAR.1320 PJ ST</t>
  </si>
  <si>
    <t>PL KARK.B/K.Z/KOR/WAR.OK20KGWOR PJ AF ST</t>
  </si>
  <si>
    <t>PL KARK.B/K.Z/KOR/WAR.OK500KG PBX ST</t>
  </si>
  <si>
    <t>***KARK.B/K.B/KOR ZAW KT MR JAP DO ST SZ</t>
  </si>
  <si>
    <t>***KARK.B/K Z/KOR/CAŁ/WAR.2STVACMR EŁ PL</t>
  </si>
  <si>
    <t>PL KARK.B/K.Z/KOR.1STVAC OK20KGKT MR EŁ</t>
  </si>
  <si>
    <t>PL KARK.B/K.1320 OK15KGLUZ PJ SZ</t>
  </si>
  <si>
    <t>***KARK.B/K.Z/KOR/WAR.OK500KG PBX K4 ZAK</t>
  </si>
  <si>
    <t>PL KARK.B/K.Z/KOR/W.1STVAC OK20KGKT MREŁ</t>
  </si>
  <si>
    <t>PL KARK.B/K.Z/KOR/W.OK20KG PB MR EŁ</t>
  </si>
  <si>
    <t>PL KARK.B/K.1320 OK15KG PB MR SZ</t>
  </si>
  <si>
    <t>PL KARK.B/K.Z/KOR/W.OK15KGWOR PJ EŁ1</t>
  </si>
  <si>
    <t>***KARK.B/K.Z/KOR/WAR 1320 NB DMR</t>
  </si>
  <si>
    <t>PL KARK.B/K.Z/KOR/WAR.OK20KG PB DMR</t>
  </si>
  <si>
    <t>PL KARK.B/K.1320 1ST VAC OK20KGKT DMR EX</t>
  </si>
  <si>
    <t>***KARK.B/K.Z/KOR/WAR 1320 NB RO1</t>
  </si>
  <si>
    <t>***KARK.WP.B/K.1320 PB RO1</t>
  </si>
  <si>
    <t>***KARK.B/K Z/KOR/WAR 1320 VAC RO1</t>
  </si>
  <si>
    <t>***KARK.B/K.Z/KOR/WAR 1320 NB RO2</t>
  </si>
  <si>
    <t>***KARK.WP.B/K.1320 PB RO2</t>
  </si>
  <si>
    <t>***KARK.B/K Z/KOR/WAR 1320 VAC RO2</t>
  </si>
  <si>
    <t>***KARK.B/K.Z/KOR/WAR.1320 OK15KG KT EX</t>
  </si>
  <si>
    <t>***EUKAR.B/K.Z/KOR/WAR.1STTRMOK15KGPJECS</t>
  </si>
  <si>
    <t>PP KARK.B/K.Z/KOR/WAR.PBX ST</t>
  </si>
  <si>
    <t>PP KARK.B/K.Z.KOR/TŁ.3MM OK20KG NB MR K4</t>
  </si>
  <si>
    <t>***KARK.B/K.Z/KOR/WAR 1320 KL.S CH</t>
  </si>
  <si>
    <t>***KARK.B/K.Z/KOR/WAR 1320 KL.S NB MR</t>
  </si>
  <si>
    <t>***KARK.B/K.Z/KOR/WAR 1320 KL.S NB DMR</t>
  </si>
  <si>
    <t>PL KARK.B/K.Z/KOR/W.CH1</t>
  </si>
  <si>
    <t>KARK.B/K.Z/KOR/WAR.1320 KL.E NB MR</t>
  </si>
  <si>
    <t>PL KARK.B/K.Z/KOR/W.PBX1</t>
  </si>
  <si>
    <t>PL KARK.B/K.Z/KOR/WAR.OK20KG NB DMR</t>
  </si>
  <si>
    <t>PL KARK.B/K.Z/KOR/W.CH2</t>
  </si>
  <si>
    <t>PL KARK.B/K.Z/KOR/W.PBX2</t>
  </si>
  <si>
    <t>EU KARK.B/K.Z/KOR/WAR.CH1</t>
  </si>
  <si>
    <t>EU KARK.B/K.Z/KOR/WAR.PBX CH1</t>
  </si>
  <si>
    <t>EU KARK.B/K.Z/KOR/WAR.CH2</t>
  </si>
  <si>
    <t>EU KARK.B/K.Z/KOR/WAR.PBX CH2</t>
  </si>
  <si>
    <t>PP KARK.B/K.Z/KOR/WAR.</t>
  </si>
  <si>
    <t>PL KARK.B/K.Z/KOR/WAR.ROZP1</t>
  </si>
  <si>
    <t>PL KARK.B/K.Z/KOR/WAR.ROZP2</t>
  </si>
  <si>
    <t>***KARK.B/K.Z/KOR/WAR 1320 KL.U CH</t>
  </si>
  <si>
    <t>***KARK.B/K.Z/KOR/WAR 1320 KL.U NB MR</t>
  </si>
  <si>
    <t>***KARK.B/K.Z/KOR/WAR 1320 KL.U NB DMR</t>
  </si>
  <si>
    <t>KARK.B/K.Z/KOR/WAR.KAW.</t>
  </si>
  <si>
    <t>KARK.B/K.Z/KOR.OK1KGVAC OK10KGKT NETTO</t>
  </si>
  <si>
    <t>PL SZYN.B/K/S.SPECK 7.2-8KG CH</t>
  </si>
  <si>
    <t>PL SZYN.SPECK7.2-8KG 1STVACOK20KGKTEX II</t>
  </si>
  <si>
    <t>PL SZYN.B/K/S.SPECK &gt;8KG CH</t>
  </si>
  <si>
    <t>PL SZYN.SPECK &gt;8KG 1STVAC OK20KGKT EX II</t>
  </si>
  <si>
    <t>***BOCZ.B BLAT.Z/S/CZ.PACH.PBX K4 ZAK</t>
  </si>
  <si>
    <t>PL SZYN.Z/NG/POL/SK.B/PACH.CH</t>
  </si>
  <si>
    <t>PL SZYN.WP.Z/NG/POL/SK.B/PACH.LUZ CHO.EX</t>
  </si>
  <si>
    <t>MŚ.DWUG.TŁ.OKR.2MM CIĘ.CH</t>
  </si>
  <si>
    <t>MŚ.DWUG.TŁ.OKR.2MM CIĘ.OK20KG NB MR ST</t>
  </si>
  <si>
    <t>MŚ.DWUG.TŁ.OKR.2MM CIĘ.PBX1</t>
  </si>
  <si>
    <t>PL MŚ.DWUG.TŁ.OKR.2MM KAW.PBX K4</t>
  </si>
  <si>
    <t>MŚ.DWUG.TŁ.OKR.2MM CIĘ.OK20KG NB DMR</t>
  </si>
  <si>
    <t>MŚ.DWUG.TŁ.OKR.2MM CIĘ.RO1</t>
  </si>
  <si>
    <t>MŚ.DWUG.TŁ.OKR.2MM CIĘ.RO2</t>
  </si>
  <si>
    <t>MŚ.DWUG.TŁ.OKR.2MM CIĘ.PBX2</t>
  </si>
  <si>
    <t>***BOCZ.ŁUSK.SZER.B/SK/CHRZ KLSCHJAPONIA</t>
  </si>
  <si>
    <t>PL BOCZ.B ŁUS.Z/S.B/CH.B.20X50OK20KGWDMR</t>
  </si>
  <si>
    <t>EU BOCZ.B ŁUS.Z/S.B/CH.B.20X50OK20KGWDMR</t>
  </si>
  <si>
    <t>***BOCZ.A BLAT.B/S.34CM PBX K4 ZAK</t>
  </si>
  <si>
    <t>PL BOCZ.B B/Ż/SK/CH/MPP OK20KGKT DMR</t>
  </si>
  <si>
    <t>PL BOCZ.B ŁUS.Z/SK/CH.CH</t>
  </si>
  <si>
    <t>EU BOCZ.B ŁUS.Z/SK/CH.OK15KG PB DMR EX</t>
  </si>
  <si>
    <t>PL BOCZ.C ŁUS.Z/SK/CH.CH</t>
  </si>
  <si>
    <t>EU BOCZ.C ŁUS.Z/SK/CH.CH</t>
  </si>
  <si>
    <t>***BOCZ.ŁUS.SZER.Z/SK.B/CHRZ CH USR</t>
  </si>
  <si>
    <t>***BOCZ.ŁUS.SZER.Z/SK.B/CHRZ NB MR</t>
  </si>
  <si>
    <t>***BOCZ.ŁUS.SZER.Z/SK.B/CHRZ NB DMR</t>
  </si>
  <si>
    <t>***BOCZ.ŁUS.SZER.Z/SK.B/CHRZ NB RO</t>
  </si>
  <si>
    <t>***BOCZ.ŁUSK.Z/SK LUZ KT  RO</t>
  </si>
  <si>
    <t>***BOCZ.ŁUS.SZER.Z/SK B/CHRZ. PL</t>
  </si>
  <si>
    <t>***BOCZ.ŁUS.SZE.Z/SK B/CHRZ.  PL UŚR</t>
  </si>
  <si>
    <t>***BOCZ.ŁUS.WĄSK.B/SK/CHRZ KL.E CH</t>
  </si>
  <si>
    <t>***BOCZ.ŁU.WĄ.B/S/CH.KLE OK15KG KT MR EX</t>
  </si>
  <si>
    <t>***BOCZ.ŁU.WĄ.B/S/CH.KLE OK15KG KT DMREX</t>
  </si>
  <si>
    <t>***BOCZ.ŁUS.WĄSK.B/SK/CHRZ KL.U CH</t>
  </si>
  <si>
    <t>***BOCZ.ŁU.WĄ.B/S/CH.KLU OK15KG KT MR EX</t>
  </si>
  <si>
    <t>***BOCZ.ŁU.WĄ.B/S/CH.KLU OK15KG KT DMREX</t>
  </si>
  <si>
    <t>***BOCZ.ŁUSK.B/S SZER.KL.E VAC MR EX</t>
  </si>
  <si>
    <t>***BO.ŁU.SZ.B/S/CH.KLE VAC OK15KG KT DMR</t>
  </si>
  <si>
    <t>***BOCZ.ŁUSK.B/S SZER.KL.U VAC MR EX</t>
  </si>
  <si>
    <t>***BO.ŁU.SZ.B/S/CH.KLU VAC OK15KG KT DMR</t>
  </si>
  <si>
    <t>***BOCZ.SZER.BLAT.B/SK KL.U CH</t>
  </si>
  <si>
    <t>PL BOCZ.A BLAT.B/S.GRILL.CH BIED1</t>
  </si>
  <si>
    <t>EU BOCZ.A BLAT.B/S.GRILL.CH BIED1</t>
  </si>
  <si>
    <t>***BOCZ.A BL.Z/S/MŚ.SCH.OK500KGPBXK4 ZAK</t>
  </si>
  <si>
    <t>***PL.BOCZ.A BLAT.B/SK/CH.PBX CH ST</t>
  </si>
  <si>
    <t>MŚ.MARM.Z SZYN.CH1</t>
  </si>
  <si>
    <t>MŚ.MARM.Z SZYN.PBX1</t>
  </si>
  <si>
    <t>MŚ.MARM.Z SZYN.OK20KG NB MR ST</t>
  </si>
  <si>
    <t>MŚ.MARM.Z SZYN.OK500KG OKT ST</t>
  </si>
  <si>
    <t>***PL MŚ.MARMURK.DMR</t>
  </si>
  <si>
    <t>PL MŚ.MARM.Z SZYN.OK20KG NB DMR</t>
  </si>
  <si>
    <t>MŚ.MARM.Z SZYN.RO1</t>
  </si>
  <si>
    <t>MŚ.MARM.Z SZYN.CH2</t>
  </si>
  <si>
    <t>MŚ.MARM.Z SZYN.RO2</t>
  </si>
  <si>
    <t>MŚ.MARM.Z SZYN.PBX2</t>
  </si>
  <si>
    <t>***EU MŚ.MARMURK.DMR</t>
  </si>
  <si>
    <t>***EU MŚ.MARMURK.LUZ DMR</t>
  </si>
  <si>
    <t>MŚ.MARMURK.USR</t>
  </si>
  <si>
    <t>PP MŚ.MARM.Z SZYN.CH</t>
  </si>
  <si>
    <t>PP MŚ.MARM.Z SZYN.PBX ST2</t>
  </si>
  <si>
    <t>EU BOCZ.B ŁUS.SZER.B/SK.CH</t>
  </si>
  <si>
    <t>***BOCZ.SZER.ŁUSK.Z/CH B/SK KLS PB MRROS</t>
  </si>
  <si>
    <t>***BOCZ.SZER.ŁUSK.Z/CH B/SK KLS MR KTROS</t>
  </si>
  <si>
    <t>***BOCZ.SZER.ŁUS.Z/CH B/SK KL.S PB DMR</t>
  </si>
  <si>
    <t>***BOCZ.SZER.ŁUS.Z/CH B/SK KLS FOLSTRDMR</t>
  </si>
  <si>
    <t>***BOCZ.SZER.ŁUSK. Z/CH B/SK KL.S PB RO</t>
  </si>
  <si>
    <t>***BOCZ.SZER.ŁUSK. Z/CH B/SK KL.S KT RO</t>
  </si>
  <si>
    <t>***BOCZ.SZER.ŁUSK. Z/CH B/SK KL.S</t>
  </si>
  <si>
    <t>***BOCZ.SZER.ŁUSK.Z/CH B/SK KL.S USR</t>
  </si>
  <si>
    <t>EU BOCZ.ABC 1823 OK20KG WOR KT DMR EX</t>
  </si>
  <si>
    <t>***BOCZ.ŁUS. B/SK/CHRZ KL.E CH</t>
  </si>
  <si>
    <t>***BOCZ.ŁUS.B/S CHRZ.KLE FOL4STKT MR KOR</t>
  </si>
  <si>
    <t>***BOCZ.ŁUSK.B/S/CHRZ.KL.E KT DMR</t>
  </si>
  <si>
    <t>***BOCZ.ŁUS.B/SCHRZ.KL.E FOL4ST KT KORRO</t>
  </si>
  <si>
    <t>***BOCZ.ŁUSK.B/SK/CHRZ.KL.E PL</t>
  </si>
  <si>
    <t>***BOCZ.ŁUS. B/SK/CHRZ KL.E USR CH</t>
  </si>
  <si>
    <t>***BOCZ.ŁUSK.B/SK/CHRZ. UŚR</t>
  </si>
  <si>
    <t>***BOCZ.BLAT.SZER.B/SK</t>
  </si>
  <si>
    <t>***BOCZ.BLAT.WĄSKB/SK15KGWOR PJCH MORLST</t>
  </si>
  <si>
    <t>***BOCZ.ŁUS.WĄSK.Z/SK/CHRZ BIED</t>
  </si>
  <si>
    <t>***BOCZ.A ŁUS.WĄS.Z/SK/CH.BIED NB MR ST</t>
  </si>
  <si>
    <t>***BOCZ.A ŁUS.WĄS.Z/SK/CH.BIED NB DMR</t>
  </si>
  <si>
    <t>***BOCZ.A ŁUS.WĄS.Z/SK/CH.BIED NB RO1</t>
  </si>
  <si>
    <t>***BOCZ.ŁUS.Z/SK/CH OK.20KG WOR RO</t>
  </si>
  <si>
    <t>***BOCZ.A ŁUS.WĄS.Z/SK/CH.BIED NB RO2</t>
  </si>
  <si>
    <t>***BOCZ.A ŁUS.Z/SK/CH.16-22/45 PJ CH ST</t>
  </si>
  <si>
    <t>***BOCZ.BLAT.WĄS.Z/SK GRILL USR</t>
  </si>
  <si>
    <t>***BOCZ.BLAT.WĄS.Z/SK GRILL NB MR</t>
  </si>
  <si>
    <t>***BOCZ.BLAT.WĄS.Z/SK GRILL NB DMR</t>
  </si>
  <si>
    <t>***BOCZ.BLAT.WĄS.Z/SK GRILL NB RO</t>
  </si>
  <si>
    <t>***BOCZ.BLAT.WĄS.Z/SK GRILL KL.S CH</t>
  </si>
  <si>
    <t>***BOCZ.BLAT.WĄS.Z/SK GRILL KROJ. CH</t>
  </si>
  <si>
    <t>***BOCZ.BLAT.WĄS.Z/SK GRILL KR.FANTOM CH</t>
  </si>
  <si>
    <t>***VEPR.KRKOVICE B/KOSTI PLATKY375GMAP L</t>
  </si>
  <si>
    <t>***KARK.B/K PL375G MAP 2.25KG KT LIDL SK</t>
  </si>
  <si>
    <t>**VEPR.KOSTKY NA GULAS Z KYTY500G MAP L</t>
  </si>
  <si>
    <t>***BOCZ.B BL.Z/S/P/M.SCH.10-12CMPBXK4ZAK</t>
  </si>
  <si>
    <t>***VEPR.KRKOVICE S KOSTI PLATKY750GMAP L</t>
  </si>
  <si>
    <t>***KARK.WP.Z/K PL750G MAP 3KG KT LIDL S</t>
  </si>
  <si>
    <t>***VEPR.KRKOVICE B/KOSTI-VCELKU750GMAP L</t>
  </si>
  <si>
    <t>***KARK.WP.B/K PC 750G MAP 4.5KG KT LIDL</t>
  </si>
  <si>
    <t>***VEPR.PECENE BEZ KOSTI PLATKY320GMAP L</t>
  </si>
  <si>
    <t>***BOCZ.B SZER.Z/Ż/SK.B/TŁ.PACH.PB MR EX</t>
  </si>
  <si>
    <t>***BOCZ.B SZER.Z/Ż/S.B/TŁ.PACH.PBDMR EX</t>
  </si>
  <si>
    <t>***BOCZ.ZŻEB.SZER.Z/SK.B/TŁ.PACH. USR CH</t>
  </si>
  <si>
    <t>***MŚ. KRZYŻOWY LUZ H KL.S.E.U</t>
  </si>
  <si>
    <t>***MŚ. CZTEROGŁOWY LUZ H KL.S.E.U</t>
  </si>
  <si>
    <t>***PL MŚ.PÓŁŚC.N/OBR.LUZ OK15KG KT</t>
  </si>
  <si>
    <t>PL MŚ.PÓŁŚC.N/OBR.OK2KGVAC OK4KGTK MAKR</t>
  </si>
  <si>
    <t>***PL MŚ.PÓŁŚC.N/OBR.LUZWOROK15KGPJ HILT</t>
  </si>
  <si>
    <t>***EU MŚ.PÓŁŚC.N/OBR.LUZWOROK15KGPJ HILT</t>
  </si>
  <si>
    <t>***MŚ.WP.ZRAZOWA DOL.B/LIGAWY N/ODBRUSR</t>
  </si>
  <si>
    <t>***MŚ.DWUG.OK6-8KGTRM OK21KGKT UK</t>
  </si>
  <si>
    <t>***PL MŚ.DWUG.6-8KG TRM OK21KG KT MR SFL</t>
  </si>
  <si>
    <t>***MŚ.WPZRAZOWA DOLNA B/LIGAWYPJ11021HIL</t>
  </si>
  <si>
    <t>***PLMŚ.DWUG.6-8KG TRM OK21KGKTDMR SFL</t>
  </si>
  <si>
    <t>***EU MŚ.DWUG.6-8KGTRM OK21KGKTMR SFL</t>
  </si>
  <si>
    <t>***EU MŚ.DWUG.6-8KG TRMOK21KGKTDMR SFL</t>
  </si>
  <si>
    <t>***MŚWP.ZRAZOWA GÓR.B/SMUK.N/ODBR.CH USR</t>
  </si>
  <si>
    <t>***PL MŚ.ZR.GÓRNA WOR LUZ OK20KGKT CH EX</t>
  </si>
  <si>
    <t>***PL MŚ.ZR.GÓRNA OK10KG TRM KT CH EX</t>
  </si>
  <si>
    <t>***PL MŚ.ZR.GÓRNA 11031 LUZ PJ CH HILT</t>
  </si>
  <si>
    <t>PL MŚ.PÓŁBŁ.N/ODBŁ.OK15KG NB DMR</t>
  </si>
  <si>
    <t>***EU MŚ.ZR.GÓRNA WOR LUZ OK20KGKT CH EX</t>
  </si>
  <si>
    <t>***EU MŚ.ZR.GÓRNA OK10KG TRM KT CH EX</t>
  </si>
  <si>
    <t>***EU MŚ.ZR.GÓRNA 11031 LUZ PJ CH HILT</t>
  </si>
  <si>
    <t>***ŻEB.PASKI CIĘTE CH</t>
  </si>
  <si>
    <t>***BOCZ.ŁUS.SZER. Z/S /CHRZ CH</t>
  </si>
  <si>
    <t>***BOCZ.ŁUS.SZER. Z/SK/CHRZ NB MR</t>
  </si>
  <si>
    <t>***BOCZ.ŁUS.SZER. Z/S/CHRZ NB DMR</t>
  </si>
  <si>
    <t>***BOCZ.ŁUS.SZER. Z/SK/CHRZ NB RO</t>
  </si>
  <si>
    <t>***BOCZ.ŁUS.SZER. Z/S /CHRZ KL.S CH</t>
  </si>
  <si>
    <t>***BOCZ.ŁUS.SZER. Z/S /CHRZ KL.E CH</t>
  </si>
  <si>
    <t>***BOCZ.BLAT.SZER.B/SK CH</t>
  </si>
  <si>
    <t>IWP</t>
  </si>
  <si>
    <t>***BOCZ.BLAT.SZER.B/SK VAC MR KOREA</t>
  </si>
  <si>
    <t>***BOCZ.BLAT.B/SK DMR</t>
  </si>
  <si>
    <t>***BOC.BLAT.SZ.B/SK VAC OK15KG KT DMR EX</t>
  </si>
  <si>
    <t>***BOCZ.BLAT.B/SK RO</t>
  </si>
  <si>
    <t>***BOCZ.BLAT.SZER.B/SK VAC RO</t>
  </si>
  <si>
    <t>***BOCZ.BLAT.SZER. PL UŚR</t>
  </si>
  <si>
    <t>***BOCZ.BLAT.SZER.B/SK KL E CH</t>
  </si>
  <si>
    <t>***BOCZ.BLAT.SZER.B/SK KL.E PL</t>
  </si>
  <si>
    <t>***BOCZ.BLAT.SZER.B/SK KL U CH</t>
  </si>
  <si>
    <t>***BOCZ.BLAT.SZER.B/SK KL.U PL</t>
  </si>
  <si>
    <t>***BOCZ.ŁUS.SZER.Z/SK.B/TŁ.PACH.CH</t>
  </si>
  <si>
    <t>***BOCZ.ŁUS.SZER.Z/SK.B/TŁ.PACH. KL U CH</t>
  </si>
  <si>
    <t>***BOCZ.Z/ŻEB SZER.Z/SK.B/TŁ.PACH KLURCH</t>
  </si>
  <si>
    <t>***BOCZ.Z/ŻEB SZER.Z/SK.B/TŁ.PACH KLS CH</t>
  </si>
  <si>
    <t>***BOCZ.Z/K/SK NAT.CIĘCIE KL.R U CH</t>
  </si>
  <si>
    <t>***BOCZ.Z/S/SK.NAT.CIĘCIE KLR U KT MR CH</t>
  </si>
  <si>
    <t>***BOCZ.Z/K/SK NAT.CIĘCIE KL.R U KT DMR</t>
  </si>
  <si>
    <t>***BOCZ.Z/ŻEB.SZER.Z/SK KL.R U PL</t>
  </si>
  <si>
    <t>***BOCZ.Z/ŻEB.SZER.Z/SK KL.R U  PL UŚR</t>
  </si>
  <si>
    <t>***BOCZ.ŁUS.Z/SK USR RUM</t>
  </si>
  <si>
    <t>***BOCZ.ŁUSK.Z/SK. PB MR RUM</t>
  </si>
  <si>
    <t>***BOCZ.ŁUSK.Z/SK PB DMR RUM</t>
  </si>
  <si>
    <t>***BOCZ.ŁUS.Z/SK KL.S RUM</t>
  </si>
  <si>
    <t>***BOCZ.ŁUS.Z/SK KL.E RUM</t>
  </si>
  <si>
    <t>***BOCZ.BLAT.B/SK KL.S</t>
  </si>
  <si>
    <t>***BOCZ.BLAT.B/SK KL.S PL</t>
  </si>
  <si>
    <t>***BOCZ.BLAT.B/SK KL.S PL USR</t>
  </si>
  <si>
    <t>***BOCZ.ŁUS.SZER.Z/SK.B/CHRZ. KL.S CH</t>
  </si>
  <si>
    <t>***BOCZ.ŁUS.SZER.Z/SK.B/CHRZ. KL.S PL</t>
  </si>
  <si>
    <t>***BOCZ.ŁUSK.B/SK/CHRZ.KL.S CH</t>
  </si>
  <si>
    <t>***BOCZ.ŁUSK.B/SK/CHRZ.KL.S PL</t>
  </si>
  <si>
    <t>***BOCZ.ŁUSK.B/SK/CHRZ.KL.E CH PL KOR</t>
  </si>
  <si>
    <t>***BOCZ.ŁUSK.B/SK/CHRZ.KL.E PL KOR</t>
  </si>
  <si>
    <t>***BOCZ.ŁUSK.B/SK/CHRZ.KLSEVAC4ST KT MRK</t>
  </si>
  <si>
    <t>GRADE VP</t>
  </si>
  <si>
    <t>***BOCZ.ŁUS.B/SK/CHRZ VAC KT MR KOREA EŁ</t>
  </si>
  <si>
    <t>***BOCZ.ŁUSK.B/SK/CHRZ.KLSE VAC4STKTDMRK</t>
  </si>
  <si>
    <t>***BOCZ.ŁUS.B/SK/CHRZ. VAC KT RO</t>
  </si>
  <si>
    <t>***BOCZ.ŁUSK.B/SK.CHRZ.KL.S E  VAC KT RO</t>
  </si>
  <si>
    <t>***BOCZ.ŁUSK.B/SK/CHRZ.KL.SE PL USR</t>
  </si>
  <si>
    <t>BOCZ.A ŁUS.Z/SK/CZ.PACH/MŚ.CIE.KAW.PBX1</t>
  </si>
  <si>
    <t>BOCZ.A ŁUS.Z/SK/CZ.PACH/MŚ.CIE.KAW.PBX2</t>
  </si>
  <si>
    <t>GŁ.WP.CAŁ.Z/USZ.CH1</t>
  </si>
  <si>
    <t>GŁ.WP.CAŁ.Z/USZ.LUZ OKT MR</t>
  </si>
  <si>
    <t>GŁ.WP.CAŁ.Z/USZ.OK800KG OKT K4</t>
  </si>
  <si>
    <t>PL GŁ.WP.CAŁ.Z/USZ.PBX K4</t>
  </si>
  <si>
    <t>GŁ.WP.CAŁ.Z/USZ.ZEW.OK800KG OKT K4</t>
  </si>
  <si>
    <t xml:space="preserve"> GŁ.WP.CAŁ.Z/USZ.OK500KG OKT ZAK</t>
  </si>
  <si>
    <t>GŁ.WP.CAŁ.Z/USZ.ZEW.PBX K4</t>
  </si>
  <si>
    <t>GŁ.WP.CAŁ.Z/USZ.LUZ OKTDMR</t>
  </si>
  <si>
    <t>***GŁ.WP.CAŁA Z/USZAMI OK15KGKT DMR CH</t>
  </si>
  <si>
    <t>GŁ.WP.CAŁA Z/USZAMI CH2</t>
  </si>
  <si>
    <t>GŁ.WP.CAŁ.Z/USZ.CH2</t>
  </si>
  <si>
    <t>GŁ.WP.CAŁ.Z/USZ.CH USR</t>
  </si>
  <si>
    <t>USZY WP.KL2 USR</t>
  </si>
  <si>
    <t>GŁ.WP.CAŁ.B/USZ.CH1</t>
  </si>
  <si>
    <t>GŁ.WP.CAŁ.B/USZ.OKT</t>
  </si>
  <si>
    <t>GŁ.WP.CAŁ.B/USZ.OKT EX</t>
  </si>
  <si>
    <t>PL GŁ.WP.OK15KGWOR MR EŁ</t>
  </si>
  <si>
    <t>GŁ.WP.CAŁ.B/USZ.OK800KG OKT SZ</t>
  </si>
  <si>
    <t>PL GŁ.WP.CAŁ.B/USZ.PBX K4</t>
  </si>
  <si>
    <t>***GŁ.WP.CAŁA B/USZU OK15KGKT DMR CH</t>
  </si>
  <si>
    <t>GŁ.WP.CAŁ.B/USZ.OK15KGKT RO</t>
  </si>
  <si>
    <t>GŁ.WP.CAŁ.B/USZ.CH2</t>
  </si>
  <si>
    <t>GŁ.WP.CAŁ.B/USZ.USR1</t>
  </si>
  <si>
    <t>GŁ.WP.CAŁ.B/USZ.USR2</t>
  </si>
  <si>
    <t>M-SO WP.DO GOTOWANIA ROZP1</t>
  </si>
  <si>
    <t>M-SO WP.DO GOTOWANIA ROZP2</t>
  </si>
  <si>
    <t>KK FIL.OK15KGFOL PJ SU</t>
  </si>
  <si>
    <t>KK POL.OK15KGFOL PJ SU</t>
  </si>
  <si>
    <t>KK PODUD.B/K/S.15KG PB HAL MR OP</t>
  </si>
  <si>
    <t>KK PODUD.B/K/S.FOLPJ OK480KG HAL OP</t>
  </si>
  <si>
    <t>KK PODUD.B/K/S.10KG PB MR OP1</t>
  </si>
  <si>
    <t>KK PODUD.B/K/S.FOLPJ OK540KG OP</t>
  </si>
  <si>
    <t>KK PODUD.B/K/S.OK15KG NB MR K3</t>
  </si>
  <si>
    <t>KK PODUD.B/K/S.OK15KGWOR PJ SU</t>
  </si>
  <si>
    <t>KK PODUD.B/K/S.OK15KG PB MR SU</t>
  </si>
  <si>
    <t>KK PODUD.B/K/S.DCZ.OK15KGWOR PJ SU</t>
  </si>
  <si>
    <t>KK PODUD.B/K/S.OK15KG PB MR K3</t>
  </si>
  <si>
    <t>KK PODUD.B/K/S.OK10KG PB WEG.MR K3</t>
  </si>
  <si>
    <t>KK PODUD.B/K/S.15KG NB MR SU</t>
  </si>
  <si>
    <t>KK PODUD.B/K/S.RO</t>
  </si>
  <si>
    <t>KK PODUD.B/K/S.RO1</t>
  </si>
  <si>
    <t>KK PODUD.B/K.OK15KGFOL KT SU</t>
  </si>
  <si>
    <t>KK PODUD.B/K.OK15KGWOR PJ K3</t>
  </si>
  <si>
    <t>KK PODUD.B/K.OK15KG PB MR SU</t>
  </si>
  <si>
    <t>KK PODUD.B/K.OK10KG PB MR K3</t>
  </si>
  <si>
    <t>KK PODUD.B/K.10KG PB MR OP1</t>
  </si>
  <si>
    <t>KK PODUD.B/K.OK15KG NB MR OP</t>
  </si>
  <si>
    <t>KK PODUD.B/K.15KG NB MR SU</t>
  </si>
  <si>
    <t>KK PODUD.B/K.PRZT.15KG PB HAL MR OP</t>
  </si>
  <si>
    <t>KK PODUD.B/K.OK10KG NB MR K3</t>
  </si>
  <si>
    <t>KK PODUD.B/K.RO1</t>
  </si>
  <si>
    <t>M-SO WŁ. KL.2 CH ZAK</t>
  </si>
  <si>
    <t>KONS.BOCZ.100K 300G 72ST PJ KRA SZ</t>
  </si>
  <si>
    <t>KONS.GOL.WP.611PK 300G 72ST PJ KRA SZ</t>
  </si>
  <si>
    <t>KONS.MIEL.LUKS.4112PK 300G 72STPJ KRA SZ</t>
  </si>
  <si>
    <t>KONS.WP.W S.WŁ.404K 300G 72STPJ KRA SZ</t>
  </si>
  <si>
    <t>KIEŁB.KRAKOWSKA 320GVAC 22ST PJ KRA SZ</t>
  </si>
  <si>
    <t>KIEŁB.KRAK.Z PIERSI KUR.250GVAC30STPJKRA</t>
  </si>
  <si>
    <t>KIEŁB.KRAK.SUCHA 250GVAC 30STPJ KRA SZ</t>
  </si>
  <si>
    <t>KIEŁB.KRAK.SUCHA 250GVAC 24STPJ KRA SZ</t>
  </si>
  <si>
    <t>KIEŁB.KRAK.SUCHA 250GVAC 36STPJ KRA SZ</t>
  </si>
  <si>
    <t>KIEŁB.KRAK.Z PIERSI KUR.250GVAC60STPJKRA</t>
  </si>
  <si>
    <t>K.KRAK.SUCHA 320GVAC 20STPJ GOLD KRA SZ</t>
  </si>
  <si>
    <t>K.KRAK.SUCH.320GVAC 18STPJ GOLD KRA SZ</t>
  </si>
  <si>
    <t>KIEŁB.KRAKOWSKA 250GVAC 18STPJ KRA SZ</t>
  </si>
  <si>
    <t>KIEŁB.MYŚLIWSKA 270GVAC 44STPJ KRA EŁ</t>
  </si>
  <si>
    <t>KIEŁB.KRAKOWSKA 250GVAC 54STPJ KRA SZ</t>
  </si>
  <si>
    <t>KIEŁB.KRAK.SUCHA 250GVAC 60STPJ KRA SZ</t>
  </si>
  <si>
    <t>KIEŁB.ŻYWIECKA 460GVAC 36STPJ KRA K1</t>
  </si>
  <si>
    <t>K.KRAK.Z PIER.KUR.250GVAC 20STKT KRA K1</t>
  </si>
  <si>
    <t>KIEŁB.ŻYWIECKA 460GVAC 12STKT KRA K1</t>
  </si>
  <si>
    <t>***KIEŁB.PARÓWKOWA OK1.5KG MAP</t>
  </si>
  <si>
    <t>M-SO WP.KL1 CIE.PEKL.1.5%</t>
  </si>
  <si>
    <t>***MŚ.BIODR.N/OBR.PEKL.2%</t>
  </si>
  <si>
    <t>M-SO WP.KL1 JAS.PEKL.2%</t>
  </si>
  <si>
    <t>M-SO WP.KL2A PEKL.2%</t>
  </si>
  <si>
    <t>M-SO WP.KL2B PEKL.2%</t>
  </si>
  <si>
    <t>M-SO WP.KL3A PEKL.1.5%</t>
  </si>
  <si>
    <t>M-SO WP.KL4 PEKL.2%</t>
  </si>
  <si>
    <t>M-SO WP.KL3B PEKL.2%</t>
  </si>
  <si>
    <t>***ŁOP.WP.2D PEKL.2%</t>
  </si>
  <si>
    <t>M-SO WP.DR.PROD OK15KGWOR PJ MR K2</t>
  </si>
  <si>
    <t>M-SO WP.DR.PROD.OK15KG PB MR K2</t>
  </si>
  <si>
    <t>MŚ.SZYN.ODBŁ.CIE.PEKL.2%</t>
  </si>
  <si>
    <t>PP MŚ.SZYN.ODBŁ.CIE.PEKL.1.5%</t>
  </si>
  <si>
    <t>***MIESZ.WSTĘPNA PEKLOWANA DO PARÓWEK</t>
  </si>
  <si>
    <t>***ŁOP.4D PEKL.10% DO SALCESONU</t>
  </si>
  <si>
    <t>***MIESZ.WSTĘPNA DO KABANOSÓW PBX ST</t>
  </si>
  <si>
    <t>MIESZ.WSTĘPNA DO KABAN.ROZP</t>
  </si>
  <si>
    <t>MIESZ.WSTĘPNA DO KABAN.Z SZYN.</t>
  </si>
  <si>
    <t>SZYN.PEKL.1.5%</t>
  </si>
  <si>
    <t>M-SO WP.DR.PROD.PEKL.OK20KG PJ K2</t>
  </si>
  <si>
    <t>***SUR.PEKL.POLĘDWICA SOPOCKA EXTRA S</t>
  </si>
  <si>
    <t>POL.SOPOCKA PEKL.90%</t>
  </si>
  <si>
    <t>***SUR.PEKL.POL.SOPOCKA 70%</t>
  </si>
  <si>
    <t>***MŚ.Z GOL.PEKL.2%</t>
  </si>
  <si>
    <t>POL.ŁOSOS.PEKL.26%</t>
  </si>
  <si>
    <t>ŁOP.4D PEKL.2%</t>
  </si>
  <si>
    <t>POL.WĘDZ.PEKL.26%</t>
  </si>
  <si>
    <t>***SUR.PEKL.BOCZ. DO PIECZENIA</t>
  </si>
  <si>
    <t>***SUR.PEKL.SCH.ZE ŚLIW. DO PIECZENIA</t>
  </si>
  <si>
    <t>***SUR.PEKL.KARK. DO PIECZENIA</t>
  </si>
  <si>
    <t>***SUR.PEKL.SZYN.DO PIECZENIA</t>
  </si>
  <si>
    <t>SUR.PEKL.SZYN.KONS.50%</t>
  </si>
  <si>
    <t>SUR.PEKL.SZYN.KONS. 18% 5.5LBS KRAKUS</t>
  </si>
  <si>
    <t>SUR.PEKL.SZYN.KONS.40%</t>
  </si>
  <si>
    <t>POL.WĘDZ.PEKL.</t>
  </si>
  <si>
    <t>***SUR.PEKL.BOCZ.KOPCONY 35%</t>
  </si>
  <si>
    <t>***ŁOP. 3D PEKL.10% CH</t>
  </si>
  <si>
    <t>KARK.B/K Z/KOR PEKL.10%</t>
  </si>
  <si>
    <t>SCH.GARM PEKL.10%</t>
  </si>
  <si>
    <t>SZYN.4D PEKL.10% CH</t>
  </si>
  <si>
    <t>BOCZ.WĘDZ.PARZ.PEKL.MOR</t>
  </si>
  <si>
    <t>***SUR.PEKL.BALERON WĘDZ.PARZ.40%</t>
  </si>
  <si>
    <t>***SUR.PEKL.ŻEBERKA DO PIECZ. 15%</t>
  </si>
  <si>
    <t>***SUR.PEKL.BALERON PEKL.70%</t>
  </si>
  <si>
    <t>***SCH.Z/ŚLIW.MAR.15% PEKL.BIED</t>
  </si>
  <si>
    <t>***SUR.PEKL.BOCZ.ROL.35%</t>
  </si>
  <si>
    <t>SUR.PEKL.BOCZ.DO WĘDZ.15%</t>
  </si>
  <si>
    <t>***SUR.PEKL.SZYN.DO WĘDZ.15%</t>
  </si>
  <si>
    <t>***SUR.PEKL.PULLED PORK</t>
  </si>
  <si>
    <t>***SUR.PEKL.WĘDZ.Z ŁOP. 50%</t>
  </si>
  <si>
    <t>***SUR.PEKL.WĘDZ.KULINARNA. 30%</t>
  </si>
  <si>
    <t>***SUR.PEKL.POLICZKI MEAL QUICK PORK</t>
  </si>
  <si>
    <t>***SUR.PEKL.GOLONKA MEAL QUICK PORK</t>
  </si>
  <si>
    <t>***SUR.PEKL.ŻEB.VORES SPARERIBS</t>
  </si>
  <si>
    <t>BOCZ.WĘDZ.B/S.PEKL.20%</t>
  </si>
  <si>
    <t>***SUR.PEKL.BOCZ.Z/S.FORM.35%</t>
  </si>
  <si>
    <t>***ŻEB.MOST.PEKL.10%</t>
  </si>
  <si>
    <t>***SUR.PEKL.SZYN.FORM.</t>
  </si>
  <si>
    <t>***SUR.PEKL.SZYN.DO PIECZ.</t>
  </si>
  <si>
    <t>PODG.WP.B/S.PEKL.2%</t>
  </si>
  <si>
    <t>***SUR.PEKL.KARCZEK DO PIECZ.</t>
  </si>
  <si>
    <t>***SUR.PEKL.SCH.ZE ŚLIWKĄ DO PIECZ.JMP</t>
  </si>
  <si>
    <t>***EL.BOCZEK CARSKI PEKL.</t>
  </si>
  <si>
    <t>***SUR.PEKL.KARCZEK WP.WĘDZONY 20% KG</t>
  </si>
  <si>
    <t>***SZYN.WĘDZ.PEKL.20%</t>
  </si>
  <si>
    <t>***SUR.PEKL.BOCZEK DO PIECZENIA JMP</t>
  </si>
  <si>
    <t>***SZYN.WĘDZ.PEKL.90%</t>
  </si>
  <si>
    <t>POL.WĘDZ.O SMAKU TRUFLI PEKL.</t>
  </si>
  <si>
    <t>***SUR.PEKL.WĘDZ.MOR 90%</t>
  </si>
  <si>
    <t>SZYN.MAGNACKA PEKL.</t>
  </si>
  <si>
    <t>***SUR.PEKL.BOCZ.WĘDZONY 20%</t>
  </si>
  <si>
    <t>***SUR.PEKL.SCH Z/ŚLIWKĄ/SZARO 15%</t>
  </si>
  <si>
    <t>***SUR.PEKL.SCHAB Z/ŚL.SZARO 15% VAC MR</t>
  </si>
  <si>
    <t>***SUR.PEKL.SCH.Z/ŚL.SZARO 15% VAC DMR</t>
  </si>
  <si>
    <t>***SUR.PEKL.SCHAB Z/ŚL. SZARO 15% VAC RO</t>
  </si>
  <si>
    <t>***SUR.PEKL.SZYNECZKA I KLASA 25%</t>
  </si>
  <si>
    <t>SZYN.RYCERSKA PEKL.20%</t>
  </si>
  <si>
    <t>SZYN.ZRAZOWA PEKL.25%</t>
  </si>
  <si>
    <t>***SZYN.ZRAZOWA MAŁA 25% PEKL.</t>
  </si>
  <si>
    <t>***SUR.PEKL.KARK/SZARO 15%</t>
  </si>
  <si>
    <t>***SUR.PEKL.KARK/SZARO 15% VAC MR</t>
  </si>
  <si>
    <t>***SUR.PEKL.KARK/SZARO 15% VAC DMR</t>
  </si>
  <si>
    <t>***SUR.PEKL.KARK/SZARO 15% VAC RO</t>
  </si>
  <si>
    <t>***SUR.PEKL.SZYNKA KARKUS 30%</t>
  </si>
  <si>
    <t>***BOCZ.GRILL MAR.CONCERTO PEKL.</t>
  </si>
  <si>
    <t>***BOCZ.GRILL MAR.CONCERTO Z MROŻ.PEKL.</t>
  </si>
  <si>
    <t>***SUR.PEKL.BOCZ. ""JAK U MAMY" 15%"</t>
  </si>
  <si>
    <t>***SUR.PEKL.ŁOP. ""JAK U MAMY" 15%"</t>
  </si>
  <si>
    <t>***SUR.PEKL.KARK. ""JAK U MAMY" 15%"</t>
  </si>
  <si>
    <t>SUR.PEKL.SZYN.USA 18%</t>
  </si>
  <si>
    <t>***SUR.PEKL.BOCZ.GRILL.17% BIED</t>
  </si>
  <si>
    <t>***SUR.PEKL.KARK.GRILL BIED</t>
  </si>
  <si>
    <t>***BOCZ.PEKL.KOTL.BIED</t>
  </si>
  <si>
    <t>SZYN.TRAD.PEKL.70%</t>
  </si>
  <si>
    <t>***KARK.GRILL MAR.PEKL.</t>
  </si>
  <si>
    <t>***KARK.GRILL MAR.RO CH PEKL.</t>
  </si>
  <si>
    <t>***KARK.GRILL MAR.CONCERTO Z MROŻ.PEKL.</t>
  </si>
  <si>
    <t>***SUR.PEKL.SCH. ""JAK U MAMY" 15%"</t>
  </si>
  <si>
    <t>KARK.PEKL.KOTL.BIED</t>
  </si>
  <si>
    <t>***BOCZ.PEKL.KOTL.</t>
  </si>
  <si>
    <t>SUR.PEKL.BOCZ.WĘDZ.PARZ.SZER.35%</t>
  </si>
  <si>
    <t>***KARK.PEKL.KOTL.</t>
  </si>
  <si>
    <t>***SUR.PEKL.KARK.GRILL 20% - CHŁ. BIED</t>
  </si>
  <si>
    <t>***SUR.PEKL.BOCZ.GRILL 17% CH</t>
  </si>
  <si>
    <t>***SUR.PEKL.BOCZ.GRILL 17% RO CH</t>
  </si>
  <si>
    <t>***SUR.PEKL.SZYN.TEŚCIOWEJ MAŁA 70%</t>
  </si>
  <si>
    <t>***SUR.PEKL.ŻEB.WP.MIĘSNE 35%</t>
  </si>
  <si>
    <t>***SZYN.GRILL MAR.PORTO PEKL.</t>
  </si>
  <si>
    <t>***KARK.GRILL MAR.PORTO PEKL.</t>
  </si>
  <si>
    <t>***BOCZ.GRILL MAR.PORTO PEKL.</t>
  </si>
  <si>
    <t>SUROW.PEKL.NA KIEŁB.PODWAWELSKĄ</t>
  </si>
  <si>
    <t>***SUR.PEKL.NA KIEŁB.ŚLĄSKĄ</t>
  </si>
  <si>
    <t>***SUR.PEKL.NA KIEŁB.KRUCHĄ</t>
  </si>
  <si>
    <t>***SUR.PEKL.SCH KRÓTKI 70%</t>
  </si>
  <si>
    <t>***SUR.PEKL.NA KIEŁB.PODW.W CELULOZIE</t>
  </si>
  <si>
    <t>***SUR.PEKL.WĘDZ.BOCZKOWA 60%</t>
  </si>
  <si>
    <t>***SUR.PEKL.SZYN.KONS.KRAK.</t>
  </si>
  <si>
    <t>PP ELEM.SZYN.PEKL.15%</t>
  </si>
  <si>
    <t>PP ELEM.BOCZ.PEKL.15%</t>
  </si>
  <si>
    <t>PP ELEM.SCH.PEKL.15%</t>
  </si>
  <si>
    <t>PP SZYN.ŚWIĘTOKRZ.PEKL.20%</t>
  </si>
  <si>
    <t>PP SCH.ŚWIĘTOKRZ.PEKL.20%</t>
  </si>
  <si>
    <t>***SUR.PEKL.KARK.GRILL LIDL II</t>
  </si>
  <si>
    <t>***SUR.PEKL.KARK.GRILLOK20KGPBMRLIDLIIST</t>
  </si>
  <si>
    <t>***SUR.PEKL.KARK.GRILL DMR LIDL II</t>
  </si>
  <si>
    <t>***BOCZ.GRILL.KOTL.PEKL.LIDL</t>
  </si>
  <si>
    <t>***SUR.PEKL.BOCZEK.GRILL 10% LIDL</t>
  </si>
  <si>
    <t>KARK.GRILL.PEKL.</t>
  </si>
  <si>
    <t>***SUR.PEKL.KARK.GRILL.OK20KGPBMR ST</t>
  </si>
  <si>
    <t>***SUR.PEKL.KARK.GRILL DMR</t>
  </si>
  <si>
    <t>KARK.PEKL.KOTL.GRILL.LIDL</t>
  </si>
  <si>
    <t>***SUR.PEKL.KARK.GRILL.OK20KGPBMRBIED ST</t>
  </si>
  <si>
    <t>***SUR.PEKL.KARK.GRILL DMR BIED</t>
  </si>
  <si>
    <t>***SUR.PEKL.KARK.GRILL RO BIED</t>
  </si>
  <si>
    <t>***SUR.PEKL.SCH.MARN.15%</t>
  </si>
  <si>
    <t>***SUR.PEKL.BOCZ.MARN.15%</t>
  </si>
  <si>
    <t>***MŚ.TRÓJGŁOWY PEKL.15%</t>
  </si>
  <si>
    <t>TŁ.DR.WP.PEKL.2%</t>
  </si>
  <si>
    <t>***SUR.MIĘS.WP.60/40</t>
  </si>
  <si>
    <t>***SUR.PEKL.BOCZ.GRILL 17%</t>
  </si>
  <si>
    <t>***BOCZ.PEKL.17% GRILL MR</t>
  </si>
  <si>
    <t>***BOCZ.PEKL.17% GRILL DMR</t>
  </si>
  <si>
    <t>***BOCZ.PEKL.17% GRILL RO</t>
  </si>
  <si>
    <t>***SUR.PEKL.GOL.MARN.15%</t>
  </si>
  <si>
    <t>M-SO WP.DR.KL4B GOT.</t>
  </si>
  <si>
    <t>M-SO WP.KL1 CIE.KABAN.PEKL.GOT.</t>
  </si>
  <si>
    <t>***ŁOP.4D PEKL.10% GOT.</t>
  </si>
  <si>
    <t>KREW WP.SPOŻ.PARZ.</t>
  </si>
  <si>
    <t>***SUROW.PEKL. KIEŁB. Z SZYNKI</t>
  </si>
  <si>
    <t>***KIEŁB.SZASZŁYKOWA FARSZ</t>
  </si>
  <si>
    <t>***KIEŁB.BBQ FARSZ</t>
  </si>
  <si>
    <t>***KIEŁB.KEBAB FARSZ</t>
  </si>
  <si>
    <t>***KIEŁB.CHORIZO FARSZ</t>
  </si>
  <si>
    <t>***KIEŁB.BURSZTYN.FARSZ</t>
  </si>
  <si>
    <t>M-SO WP.DR.DO PROD.WĘDLIN PODROB.GOT.</t>
  </si>
  <si>
    <t>M-SO WP.DR.DO PROD.WĘDLIN PODROB.GOT MR</t>
  </si>
  <si>
    <t>M-SO WP.DR.DO PROD.WĘDLIN PODROB.GOT.DMR</t>
  </si>
  <si>
    <t>M-SO WP.DR.DO PROD.WĘDLIN PODROB.GOT.RO</t>
  </si>
  <si>
    <t>ELEM.BOCZ.ŁUSK.Z/S.KAW.PEKL.22%</t>
  </si>
  <si>
    <t>ŻEB.PASKI WĘDZ.PARZ.PEKL.</t>
  </si>
  <si>
    <t>BOCZ.C WĘDZ.PARZ.SZER.Z/S.PEKL.22%</t>
  </si>
  <si>
    <t>***BOCZ.KLAS.PEKL.17% KRA</t>
  </si>
  <si>
    <t>ŻEB.MOST.Z/CH/MP.PEKL.</t>
  </si>
  <si>
    <t>***ŻEB.PASKI PEKL.ZAL.</t>
  </si>
  <si>
    <t>SUR.SZYN.KROGER 12% PEKL.US</t>
  </si>
  <si>
    <t>***POL.WĘDZ.SUR.PEKL.10% LIDL</t>
  </si>
  <si>
    <t>SCH.WP.B/K.Z WAR.PEKL./5805*16%/</t>
  </si>
  <si>
    <t>***BOCZ.B/SK.WĘDZ.PARZ.SUR.PEKL.22%</t>
  </si>
  <si>
    <t>SCH.WP.DO ZAPIECZ.PEKL.15%</t>
  </si>
  <si>
    <t>KARK.DO ZAPIECZ.PEKL.15%</t>
  </si>
  <si>
    <t>SZYN.WP.DO ZAPIECZ.PEKL.15%</t>
  </si>
  <si>
    <t>***SCH.WP.DO ZAPIECZ.NADZIEW.PEKL.</t>
  </si>
  <si>
    <t>SZYN.WG PEKL.10% KRA</t>
  </si>
  <si>
    <t>SCH.WG PEKL.15% KRA</t>
  </si>
  <si>
    <t>***SCH.WG NADZIEW.PEKL.KRA</t>
  </si>
  <si>
    <t>***BOCZ.WĘDZ.NA CIEMNO PEKL.12%</t>
  </si>
  <si>
    <t>BAL.WĘDZ.PARZ.PEKL.</t>
  </si>
  <si>
    <t>***SUR.PEKL.BOCZ.DO PIECZ.HC 15%</t>
  </si>
  <si>
    <t>***SUR.PEKL.ŁOP.DO PIECZ.HC 15%</t>
  </si>
  <si>
    <t>ELEM.NA ŻEB.SCH.B/K.Z PRZYP.PEKL.</t>
  </si>
  <si>
    <t>ELEM.NA ŻEB.BOCZK.B/K.Z PRZYP.PEKL.</t>
  </si>
  <si>
    <t>SZYN.POLSKA PEKL.</t>
  </si>
  <si>
    <t>***ŁOP.5D PEKL.2%</t>
  </si>
  <si>
    <t>***SUR.PEKL.KARK.DO PIECZ.HC 15%</t>
  </si>
  <si>
    <t>***SZYN.DELIKATNA PEKL.50%</t>
  </si>
  <si>
    <t>***SUR.PEKL.SCH.DO PIECZ.HC 15%</t>
  </si>
  <si>
    <t>***BOCZ.WP.PEKL.22% KRA</t>
  </si>
  <si>
    <t>BOCZ.ROL.PEKL.</t>
  </si>
  <si>
    <t>SUR.PEKL.SALCESON WOJSK.</t>
  </si>
  <si>
    <t>***ŻEB.SCH.B/K.PEKL.SUBWAY</t>
  </si>
  <si>
    <t>***ŻEB.BOCZ.B/K.PEKL.SUBWAY</t>
  </si>
  <si>
    <t>***SUR.PEKL.SZYN.KONS.KRAK.30%</t>
  </si>
  <si>
    <t>***SUR.PEKL.GOL.PRZED.DO PIECZ .7%.</t>
  </si>
  <si>
    <t>SUR.PEKL.GOL.TYLNA DO PIECZ.12%</t>
  </si>
  <si>
    <t>***KARK.DO PIECZ.15% PEKL.</t>
  </si>
  <si>
    <t>***SUR.PEKL.SCH.DO PIECZ.15%</t>
  </si>
  <si>
    <t>***SUR.PEKL.ŻEB.DO PIECZ.15%</t>
  </si>
  <si>
    <t>***SUR.PEKL.BOCZ.CHŁOP.CIEM.WĘDZ.35%</t>
  </si>
  <si>
    <t>KIEŁB.BIAŁA Z SZYNKI FARSZ</t>
  </si>
  <si>
    <t>KIEŁB.BIAŁA PARZONA TESCO FARSZ</t>
  </si>
  <si>
    <t>KABAN.SPICY FARSZ KRA</t>
  </si>
  <si>
    <t>***KIEŁB.BIAŁA PARZ.FARSZ BIED</t>
  </si>
  <si>
    <t>***SUR.PEKL.KIEŁB.O SM.KEBEB</t>
  </si>
  <si>
    <t>***SUR.PEKL.KIEŁB.BIAŁA HOT DOG</t>
  </si>
  <si>
    <t>***SUR.PEKL.KABANOS HOT DOG</t>
  </si>
  <si>
    <t>***SUR.PEKL.PARÓWKA HOT DOG</t>
  </si>
  <si>
    <t>***SUR.PEKL.PARÓWKA XXL HOT DOG</t>
  </si>
  <si>
    <t>***SUR.PEKL.PARÓWKA CHILI HOT DOG</t>
  </si>
  <si>
    <t>***KABAN.MOR.Z SZYN.FARSZ</t>
  </si>
  <si>
    <t>KIEŁB.ŚLĄSKA MOR FARSZ</t>
  </si>
  <si>
    <t>KIEŁB.MORLIŃSKA Z SZYN.FARSZ</t>
  </si>
  <si>
    <t>KIEŁB.ŚLĄSKA TESCO FARSZ</t>
  </si>
  <si>
    <t>KIEŁB.BIAŁA SUR.M.92% FARSZ</t>
  </si>
  <si>
    <t>***KABAN.Z ROZMARYNEM FARSZ</t>
  </si>
  <si>
    <t>***KABAN.Z JAŁOWCEM FARSZ</t>
  </si>
  <si>
    <t>KIEŁB.OD SZWAGRA FARSZ</t>
  </si>
  <si>
    <t>KIEŁB.ŚLĄSKA 90% FARSZ LIDL</t>
  </si>
  <si>
    <t>***KIEŁB.ŚLĄSKA FARSZ ARO</t>
  </si>
  <si>
    <t>KIEŁB.PAR.DROB/WP.FARSZ</t>
  </si>
  <si>
    <t>KIEŁB.KRAK.KUR.400G FARSZ</t>
  </si>
  <si>
    <t>***KIEŁB.TORUŃSKA WP.-DROB.FARSZ</t>
  </si>
  <si>
    <t>KABAN.FARSZ KRA USA</t>
  </si>
  <si>
    <t>***KIEŁB.TEKSAŃSKA FARSZ</t>
  </si>
  <si>
    <t>***KIEŁB.GŁOGOWSKA Z GORCZYCĄ FARSZ</t>
  </si>
  <si>
    <t>***KIEŁB.ŚLĄSKA 90% FARSZ LIDL EX</t>
  </si>
  <si>
    <t>***KIEŁB.SWOJSKA FARSZ</t>
  </si>
  <si>
    <t>***FRANK.FARSZ LIDL</t>
  </si>
  <si>
    <t>KIEŁB.KRUCHA OD SZWAGRA FARSZ</t>
  </si>
  <si>
    <t>***KIEŁB.BIAŁA FARSZ LIDL</t>
  </si>
  <si>
    <t>***KIEŁB.PODSUSZANA FARSZ</t>
  </si>
  <si>
    <t>***KIEŁB.PODSUSZ.PIEPRZ/MAJER.FARSZ</t>
  </si>
  <si>
    <t>***KABAN.MOR.Z PIEPRZ.FARSZ</t>
  </si>
  <si>
    <t>***KABAN.MOR.CHILI FARSZ</t>
  </si>
  <si>
    <t>KABAN.MOR.WYB.FARSZ</t>
  </si>
  <si>
    <t>KIEŁB.ŻYWIECKA FARSZ</t>
  </si>
  <si>
    <t>PP KIEŁB.ŻYWIECKA FARSZ</t>
  </si>
  <si>
    <t>***KABAN.MINI BACON FARSZ</t>
  </si>
  <si>
    <t>KIEŁB.BIAŁA SUR.MIĘSNOŚĆ 80% FARSZ</t>
  </si>
  <si>
    <t>KIEŁB.CZOSN.FARSZ</t>
  </si>
  <si>
    <t>***KIEŁB.ŻYWIECKA BIED FARSZ</t>
  </si>
  <si>
    <t>***KIEŁB.CZOSN.LT FARSZ</t>
  </si>
  <si>
    <t>***KABAN.Z SZYN.FARSZ KRA</t>
  </si>
  <si>
    <t>***SUR.MIĘSNE DO PROD.MIĘSA WP.5505 ST</t>
  </si>
  <si>
    <t>***SUR.MIĘSNE DO PROD.MIĘSA 5505 OKT ST</t>
  </si>
  <si>
    <t>***SUR.MIĘSNE DO PROD.MIĘSA 5505 PBX ST</t>
  </si>
  <si>
    <t>M-SO WP.-WŁ. GARMAŻ.</t>
  </si>
  <si>
    <t>***SUR.MIĘSNE DO PROD.MIĘSA 5509</t>
  </si>
  <si>
    <t>M-SO WP.-WŁ.GARMAŻER. 750G MAP</t>
  </si>
  <si>
    <t>***SUR.MIĘSNE DO PROD.MIĘSA 5509 OKT ST</t>
  </si>
  <si>
    <t>***SUR.MIĘSNE DO PROD.MIĘSA 5509 PBX ST</t>
  </si>
  <si>
    <t>***MAR.ŁOP.PO STAROPOSLKU KRAK</t>
  </si>
  <si>
    <t>***ŁOPAT.DO PIECZENIA R OK. 1KG VAC</t>
  </si>
  <si>
    <t>KABAN.JEL.BAR.DROB.-WP.FARSZ KRA</t>
  </si>
  <si>
    <t>KABAN.WP.300G FARSZ</t>
  </si>
  <si>
    <t>KIEŁB.BIAŁE FARSZ</t>
  </si>
  <si>
    <t>KIEŁB.ŚLĄSKA FES FARSZ MOR</t>
  </si>
  <si>
    <t>KIEŁB.ŚLĄSKA 90% FARSZ</t>
  </si>
  <si>
    <t>FRANK.WĘDZ.FARSZ</t>
  </si>
  <si>
    <t>KIEŁB.OD MASARZA FARSZ</t>
  </si>
  <si>
    <t>KABAN.DROB/WP.CHED.FARSZ KRA</t>
  </si>
  <si>
    <t>***M.MIEL.WP-WŁ.GARM.FARSZ BIED</t>
  </si>
  <si>
    <t>***SUR.MIĘSNE DO PROD.MIĘSA 5541</t>
  </si>
  <si>
    <t>***SUR.MIĘSNE DO PROD.MIĘSA 5541 OKT ST</t>
  </si>
  <si>
    <t>***SUR.MIĘSNE DO PROD.MIĘSA 5541 PBX ST</t>
  </si>
  <si>
    <t>KIEŁB.CHILI/SER FARSZ</t>
  </si>
  <si>
    <t>KIEŁB.BEK/CEB.FARSZ</t>
  </si>
  <si>
    <t>KIEŁB.REGIONALNA FES FARSZ</t>
  </si>
  <si>
    <t>KIEŁB.TORUŃS/PODW FES FARSZ</t>
  </si>
  <si>
    <t>KIEŁB.PODWAWELSKA FES FARSZ BAR</t>
  </si>
  <si>
    <t>KIEŁB.PODWAWELSKA FES FARSZ BIED</t>
  </si>
  <si>
    <t>KIEŁB.ŚLĄSKA 90% FES FARSZ LIDL KRAJ</t>
  </si>
  <si>
    <t>KIEŁB.ŚLĄSKA FES FARSZ LIDL EX</t>
  </si>
  <si>
    <t>KABAN.JALAPENO FARSZ KRA</t>
  </si>
  <si>
    <t>KABAN.SŁODKA PAPR.FARSZ KRA</t>
  </si>
  <si>
    <t>KIEŁB.SUMMER SALAMI FARSZ</t>
  </si>
  <si>
    <t>KABAN.ZIEL.CEB.FARSZ KRA</t>
  </si>
  <si>
    <t>KIEŁB.SER/POMID.FARSZ</t>
  </si>
  <si>
    <t>KIEŁB.ŚLĄSKA GRILL.FES FARSZ</t>
  </si>
  <si>
    <t>KABAN.DROB/WP.Z/SER.FARSZ KRA</t>
  </si>
  <si>
    <t>KIEŁB.ŚLĄSKA GRILL.FARSZ</t>
  </si>
  <si>
    <t>KIEŁB.ŚLĄSKA M.91% FES FARSZ</t>
  </si>
  <si>
    <t>KABAN.Z/BEK.FARSZ KRA</t>
  </si>
  <si>
    <t>KIEŁB.BIAŁA SUR.M.92% BS</t>
  </si>
  <si>
    <t>***KIEŁB.BIAŁA SUROWA 500GMAP 6KGKT LIDL</t>
  </si>
  <si>
    <t>***K.BIAŁA SUROWA 500GMAP6KGKT LIDL LT</t>
  </si>
  <si>
    <t>***KIEŁB.BIAŁA SUROWA BIED.</t>
  </si>
  <si>
    <t>***KIEŁB.BIAŁA SUR.500G MAP 4KG KT JMP</t>
  </si>
  <si>
    <t>***KIEŁB.BIAŁA SUR.OK1KG MAP K4KG KT JMP</t>
  </si>
  <si>
    <t>***KIEŁB.BIAŁA SUROWA 500G MAP JM</t>
  </si>
  <si>
    <t>***KIEŁB.BIAŁA SUROWA OK1KG OK4KG KT MOR</t>
  </si>
  <si>
    <t>***KIEŁB.BIAŁA SUR.500G MAP 3KG KT MAKR</t>
  </si>
  <si>
    <t>KIEŁB.BIAŁA SUR.MIĘSNOŚĆ 80%</t>
  </si>
  <si>
    <t>***K.BIAŁA.SUR.CIEN.400GMAP.4.8KGKT JMP</t>
  </si>
  <si>
    <t>***KIEŁB.BIAŁA SUROWA JEL.BARANIE JMP</t>
  </si>
  <si>
    <t>***KIEŁB.BIAŁA SUR.J.B.500GMAP 4KGKT JMP</t>
  </si>
  <si>
    <t>***KIEŁB.GRILL.BS ME</t>
  </si>
  <si>
    <t>***KIEŁB.GRILL 400G MAP 2.4KG KT ME</t>
  </si>
  <si>
    <t>***KIEŁB.GRILL.CZERWONE BS BIED</t>
  </si>
  <si>
    <t>***KIEŁB.GRILL.ZAW.330GMAP 1.98KGKT BIED</t>
  </si>
  <si>
    <t>PP KIEŁB.CZOSN.FARSZ LIDL</t>
  </si>
  <si>
    <t>KIEŁB.BIAŁE FARSZ LIDL</t>
  </si>
  <si>
    <t>KIEŁB.PAPR.FARSZ</t>
  </si>
  <si>
    <t>***GOL.PRZED.DO PIECZ.PEKL.</t>
  </si>
  <si>
    <t>GOL.PRZ.DO PIECZ.GRILL750GVAC 6KGKT REAL</t>
  </si>
  <si>
    <t>MAR.GOL.PRZ.DO PIECZ.4STVAC 6KG KT RQ BL</t>
  </si>
  <si>
    <t>***KARK.DO PIECZ.PEKL.</t>
  </si>
  <si>
    <t>***KARK.DO PIECZ.OK1KG VAC OK5KG KT TESC</t>
  </si>
  <si>
    <t>KARCZ.DO PIECZ.GRILL REAL 2.5KG</t>
  </si>
  <si>
    <t>***KARK.DO PIECZ.1.25KG VAC 5KG SK TESC</t>
  </si>
  <si>
    <t>***KARK.DO PIECZENIA OK 1KG VAC MAKRO</t>
  </si>
  <si>
    <t>***KARCZ.DO PIECZ.1.25KGVAC 5KG TESC</t>
  </si>
  <si>
    <t>MAR.KARK.DO PIECZ.OK1KG VAC OK 5KG KT BL</t>
  </si>
  <si>
    <t>MAR.KARK.DO PIECZ.5ST VAC 7.5KG KT RQ BL</t>
  </si>
  <si>
    <t>MAR.KARK.DO PIECZ.5ST VAC 5KG KT TESC BL</t>
  </si>
  <si>
    <t>***ŻEB.DO PIECZ.PEKL.</t>
  </si>
  <si>
    <t>ŻEBER.DO PIECZ.GRILL350GVAC 2.8KGKT REAL</t>
  </si>
  <si>
    <t>MAR.ŻEB.DO PIECZ.5ST VAC 8.75KG KT RQ BL</t>
  </si>
  <si>
    <t>MAR.ŻEB.DO PIECZ.4ST VAC 14KG KT TESC BL</t>
  </si>
  <si>
    <t>GRIL.KARK.PEKL.</t>
  </si>
  <si>
    <t>***KOTL.KARK.GRILL.OK600GMAP BIED</t>
  </si>
  <si>
    <t>***KARK.GRILL.PL OK600GVACOK3.6KGKT BIED</t>
  </si>
  <si>
    <t>***KARK.GRILL PL OK600GVACOK3.6KGKT BIED</t>
  </si>
  <si>
    <t>***BLGR.KAR.PW.OK 600G VAC OK 6KG KT BIE</t>
  </si>
  <si>
    <t>***KARK.GRILL.PL OK600GVAC BL BIED</t>
  </si>
  <si>
    <t>***SURO.BOCZ.GRILL WINZER. BIEDR.</t>
  </si>
  <si>
    <t>***BOCZ.GRILL.PL 300GMAP 2.4KG T BIED</t>
  </si>
  <si>
    <t>***BOCZ.GRILL.PL 300G MAP 2.4KG KT BIED</t>
  </si>
  <si>
    <t>***BOCZ.GRILLOWY PL OK500GVAC KT JMD</t>
  </si>
  <si>
    <t>***BOCZ.GRILL.PL 300GMAP BL BIED</t>
  </si>
  <si>
    <t>***BLGR.BOCPLW.OK 600G VAC OK 6KG KT BIE</t>
  </si>
  <si>
    <t>***BOCZ.GRILLOWYPL OK500G VAC KT RO BIED</t>
  </si>
  <si>
    <t>***KARCZ. PO STAROPOLSKU NA SZARO</t>
  </si>
  <si>
    <t>***SUR.PEKL.SCH.NA SZARO 15%</t>
  </si>
  <si>
    <t>***SCH.ZE ŚLIWKĄ NA/SZ.OK.1KGVAC4KGKTJMD</t>
  </si>
  <si>
    <t>***BLMAR.SCH.ZE ŚL.SZA.OK1KGVAC 4KG KT B</t>
  </si>
  <si>
    <t>***STEK.KARK.MAR.PROW.OK2KGVACOK10KGKT K</t>
  </si>
  <si>
    <t>***BOCZ.GRILL W MARYN.WESTERN</t>
  </si>
  <si>
    <t>***BOCZ.GRILL MAR.WESTERN 600GVACKT KAUF</t>
  </si>
  <si>
    <t>***ŻEB.GRILL.MAR.MIOD.PEKL.</t>
  </si>
  <si>
    <t>***ŻEB.GRILL MAR.MIOD.OK2KGVAC OK8KGKT K</t>
  </si>
  <si>
    <t>***ŻEB.GRILL.MAR.MIOD.OK2KGVAC BL</t>
  </si>
  <si>
    <t>***MAR.BOCZ. JAK U MAMY</t>
  </si>
  <si>
    <t>***MAR.ŁOP. JAK U MAMY</t>
  </si>
  <si>
    <t>***MAR.KARK. JAK U MAMY</t>
  </si>
  <si>
    <t>***MAR.SCH. JAK U MAMY</t>
  </si>
  <si>
    <t>***BOCZ.B/K.GRILL.MAR.PROWANS.PEKL.</t>
  </si>
  <si>
    <t>***BOCZ.GRILLMAR.PROW.OK2.5KGVACOK5KGKTK</t>
  </si>
  <si>
    <t>***BOCZ.B/K.GRILL.MAR.PROW.OK2.5KGVAC BL</t>
  </si>
  <si>
    <t>***BOCZ.GRILLREDGAROK2.5KGVACOK5KGKTKAUF</t>
  </si>
  <si>
    <t>***BOCZ.B/K.GRILMAR.RED GAR.OK2.5KGVACBL</t>
  </si>
  <si>
    <t>***GRIL.KARK.</t>
  </si>
  <si>
    <t>***KARK.GRILL PL OK600GVAC OK6 KG KT MOR</t>
  </si>
  <si>
    <t>***KARK.GRILL PL OK600GVAC 4.2KGKT MOR N</t>
  </si>
  <si>
    <t>***KARK.GRILL PL OK600GVACOK3KGKTSK TESC</t>
  </si>
  <si>
    <t>***KARK.GRILL.PL OK2.5KGVAC OK10KGKT MOR</t>
  </si>
  <si>
    <t>***KARK.GRILLOWY OK600G VAC ECS</t>
  </si>
  <si>
    <t>***KARK.GRILLOWY OK2.5KG VAC ECS</t>
  </si>
  <si>
    <t>***KARK.GRILL.RO CH</t>
  </si>
  <si>
    <t>***KARK.GRILLOWY OK600G VAC RO MAKR</t>
  </si>
  <si>
    <t>***KARK.GRILLOWY OK600G VAC RO REAL</t>
  </si>
  <si>
    <t>***KARK.GRILLOWY OK600G VAC RO CARR</t>
  </si>
  <si>
    <t>***KARK.GRILLOWY OK600G VAC RO TESC</t>
  </si>
  <si>
    <t>***KARK.GRILLOWY 600G VAC RO NETTO</t>
  </si>
  <si>
    <t>***KARK.GRILLOWY OK2.5KG VAC RO TESC</t>
  </si>
  <si>
    <t>***KARK.GRILLOWY OK2.5KG VAC RO MAKR</t>
  </si>
  <si>
    <t>***KARK.GRILLOWY OK2.5KG VAC RO CARR</t>
  </si>
  <si>
    <t>***KARK.GRILLOWY OK600G VAC RO ECS</t>
  </si>
  <si>
    <t>***KARK.GRILLOWY OK2.5KG VAC RO ECS</t>
  </si>
  <si>
    <t>***GRIL.BOCZ.</t>
  </si>
  <si>
    <t>***BOCZ.GRILLOWY OK2.5KG VAC OK5KG KT T</t>
  </si>
  <si>
    <t>***BOCZ.GRILL.PL OK2.5KGVAC OK10KGKT MOR</t>
  </si>
  <si>
    <t>***BOCZ.GRILLOWY OK600G VAC ECS</t>
  </si>
  <si>
    <t>***BOCZ.GRILLOWY OK2.5KG VAC EC</t>
  </si>
  <si>
    <t>***BOCZ.GRILL OK500G VAC OK6KG KT MOR</t>
  </si>
  <si>
    <t>***BOCZ.GRILL OK500G VAC OK3KG KT TESC</t>
  </si>
  <si>
    <t>***BOCZ.GRILL OK500GVAC 4KGKT MOR NETTO</t>
  </si>
  <si>
    <t>***BOCZ.GRILL OK500G VAC OK6KG KT ECS</t>
  </si>
  <si>
    <t>***BOCZ.GRILLOWY OK600G VAC RO MAKR</t>
  </si>
  <si>
    <t>***BOCZ.GRILLOWY OK600G VAC RO REAL</t>
  </si>
  <si>
    <t>***BOCZ.GRILLOWY OK600G VAC RO CARR</t>
  </si>
  <si>
    <t>***BOCZ.GRILLOWY OK600G VAC RO TESC</t>
  </si>
  <si>
    <t>***BOCZ.GRILLOWY 600G VAC RO NETTO</t>
  </si>
  <si>
    <t>***BOCZ.GRILLOWY OK2.5KG VAC RO TESC</t>
  </si>
  <si>
    <t>***BOCZ.GRILLOWY OK2.5KG VAC RO MAKR</t>
  </si>
  <si>
    <t>***BOCZ.GRILLOWY OK2.5KG VAC RO CARR</t>
  </si>
  <si>
    <t>***BOCZ.GRILLOWY OK600G VAC RO ECS</t>
  </si>
  <si>
    <t>***BOCZ.GRILLOWY OK2.5KG VAC RO ECS</t>
  </si>
  <si>
    <t>***KIEŁB.WIOSENNA OK.800G MAP K</t>
  </si>
  <si>
    <t>***KIEŁB.WŁOSKA</t>
  </si>
  <si>
    <t>***KIEŁB.WŁOSKA OK.800G MAP K</t>
  </si>
  <si>
    <t>***KIEŁB.BIAŁA SUROWA MORL</t>
  </si>
  <si>
    <t>***KIEŁB.BIAŁA SUROWA LUZ PJ MR</t>
  </si>
  <si>
    <t>***KIEŁB.BIAŁA SUROWA OK900G MAP</t>
  </si>
  <si>
    <t>***KIEŁB.BIAŁA SUR.OK1KGMAP OK4KGKT MAKR</t>
  </si>
  <si>
    <t>***KIEŁB.BIAŁA SUR.OK500GMAPOK4KGKT AUCH</t>
  </si>
  <si>
    <t>***K.BIAŁA SUROWA OK.500G MAP OK4KGKT</t>
  </si>
  <si>
    <t>***KIEŁB.BIAŁA SUR.OK1KG MAP OK.4KG KT M</t>
  </si>
  <si>
    <t>***KIEŁB.BIAŁA SUROWA OK500GMAP OK3KG KT</t>
  </si>
  <si>
    <t>***KIEŁB.BIAŁA SUROWA LUZ PJ DMR</t>
  </si>
  <si>
    <t>***MAR.SZYN.OPRÓSZ.</t>
  </si>
  <si>
    <t>***SZYN.OPRÓSZ.PŁAT.CZOS.VACOK5KG KT KRA</t>
  </si>
  <si>
    <t>***SZYN.OPRÓSZ.PŁAT.CZOS.VACOK5KGKTKRA M</t>
  </si>
  <si>
    <t>***SZYN.OPRÓSZ.PŁAT.CZOS.VACOK5KGKT RA R</t>
  </si>
  <si>
    <t>***SZYN.OPRÓSZ.PŁAT.CZOS.VACOK5KGKTKRA T</t>
  </si>
  <si>
    <t>***MAR.KARK.OPRÓSZ.</t>
  </si>
  <si>
    <t>***KARK.OPRÓSZ.MAJERAN.VAC OK5KG KT KRA</t>
  </si>
  <si>
    <t>***KARK.OPRÓSZ.MAJERAN.VACOK5KGKTKRA M</t>
  </si>
  <si>
    <t>***KARK.OPRÓSZ.MAJERAN.VAC OK5KGKT KRA R</t>
  </si>
  <si>
    <t>***KARK.OPRÓSZ.MAJERAN.VACOK5KG KT KRA T</t>
  </si>
  <si>
    <t>***KARK.OPRÓSZ.MAJERAN.VAC OK5KGKT KRA A</t>
  </si>
  <si>
    <t>***MAR.SCHAB.OPRÓSZ.</t>
  </si>
  <si>
    <t>***SCHAB.OPRÓSZ.PŁAT.CZOS.VACOK5KGKTKRAR</t>
  </si>
  <si>
    <t>***SCH.OPRÓSZ.PŁAT.CZOS.VAC OK5KGKT KRAT</t>
  </si>
  <si>
    <t>***SCH.OPRÓSZ.PŁAT.CZOS.VAC4SZTKTKRANETT</t>
  </si>
  <si>
    <t>***SCH.OPRÓSZ.PŁAT.CZOS.VAC 5KGKTKRAKAUF</t>
  </si>
  <si>
    <t>***MAR.BOCZ.OPRÓSZ.</t>
  </si>
  <si>
    <t>***BOCZ.OPRÓSZ.KOL.PIEPRZ.VACOK5KGKT KRA</t>
  </si>
  <si>
    <t>***BOCZ.OPRÓSZ.KOL.PIEPRZ.VACOK5KGKTKRAM</t>
  </si>
  <si>
    <t>***BOCZ.OPRÓSZ.KOL.PIEPRZ.VACOK5KGKTKRAR</t>
  </si>
  <si>
    <t>***BOCZ.OPRÓSZ.KOL.PIEPRZ.VACOK5KGKTKRAT</t>
  </si>
  <si>
    <t>***BOCZ.OPRÓSZ.KOL.PIEPRZ.VAC4KG KTKRA N</t>
  </si>
  <si>
    <t>***BOCZ.DO PIECZENIA MARYN.</t>
  </si>
  <si>
    <t>***BOCZ.DO PIECZENIA VAC 4KG KT NETTO</t>
  </si>
  <si>
    <t>***BOCZ.DO PIECZENIA VAC OK.5KG KT</t>
  </si>
  <si>
    <t>***BOCZ.GOTOWY DO PIECZ.OK5KGVAC KT TESC</t>
  </si>
  <si>
    <t>***BOCZ.DO PIECZENIA VAC OK 5KG KT K</t>
  </si>
  <si>
    <t>***BOCZ.DO PIECZENIA VAC OK.5KG KT R.M.</t>
  </si>
  <si>
    <t>***BOCZ.DO PIECZENIA VAC OK.5KG KT JMP</t>
  </si>
  <si>
    <t>***BOCZ.DO PIECZENIA VAC OK5KG KT EC</t>
  </si>
  <si>
    <t>***BOCZ. DO PIECZENIA VAC MR ST</t>
  </si>
  <si>
    <t>***BOCZ.DO PIECZENIA VAC DMR</t>
  </si>
  <si>
    <t>***BOCZ.DO PIECZENIA VAC RO</t>
  </si>
  <si>
    <t>***SCH.ZE ŚLIW.DO PIECZENIA MARYN.</t>
  </si>
  <si>
    <t>***SCH.ZE ŚLIW.DO PIECZ.VAC 4KG KT N.A.</t>
  </si>
  <si>
    <t>***SCH.ZE ŚLIW.DO PIECZENIA VAC OK5KG KT</t>
  </si>
  <si>
    <t>***SCH.ZE ŚLIW.DO PIECZ.OK5KGVAC KT TESC</t>
  </si>
  <si>
    <t>***SCH.ZE ŚLIW.DO PIECZ.VAC OK.5KG KT K</t>
  </si>
  <si>
    <t>***SCH.ZE ŚLIW.DO PIECZ.VAC OK.5KG KT R</t>
  </si>
  <si>
    <t>***SCH.ZE ŚLIW.DO PIECZ.VAC OK4KG KTJMP</t>
  </si>
  <si>
    <t>***SCH.ZE ŚLIW.DO PIECZ.VAC OK5KGKT EC</t>
  </si>
  <si>
    <t>***SCH.ZE ŚLIWKĄ DO PIECZENIA VAC DMR</t>
  </si>
  <si>
    <t>***SCH.ZE ŚLIWKĄ DO PIECZENIA VAC RO</t>
  </si>
  <si>
    <t>***SCH.GARM.PEKL.10% VAC KT CH ROS</t>
  </si>
  <si>
    <t>***SCH.GARM. PEKL.10% VAC KT MR ROS</t>
  </si>
  <si>
    <t>***SCH.GARM.PEKL.10% VAC DMR</t>
  </si>
  <si>
    <t>***SZYN.4D PEKL.10% VAC KT CH ROS</t>
  </si>
  <si>
    <t>***SZYN.4D PEKL.10% VAC KT MR ROS</t>
  </si>
  <si>
    <t>***SZYN.4D PEKL.10% VAC DMR</t>
  </si>
  <si>
    <t>***ŁOP. 3D PEKL.10% VAC KT CH ROS</t>
  </si>
  <si>
    <t>***ŁOP. 3D PEKL.10% VAC KT MR ROS</t>
  </si>
  <si>
    <t>***ŁOP. 3D PEKL.10% VAC DMR</t>
  </si>
  <si>
    <t>***KARK.B/K Z/KOR. PEKL.10%VAC KT CH ROS</t>
  </si>
  <si>
    <t>***KARK.B/K.Z/KOR.PEKL.10% VAC KT MR ROS</t>
  </si>
  <si>
    <t>***KARK.B/K Z/KOR. PEKL.10% VAC DMR</t>
  </si>
  <si>
    <t>***KARK.DO PIECZENIA MARYN.</t>
  </si>
  <si>
    <t>***KARK.DO PIECZENIA VAC 4KG KT</t>
  </si>
  <si>
    <t>***KARK.DO PIECZENIA VAC OK.5KG KT</t>
  </si>
  <si>
    <t>***KARK.DO PIECZ. OK5KG VAC KT TESC</t>
  </si>
  <si>
    <t>***KARK.DO PIECZENIA VAC OK.5KG KT K</t>
  </si>
  <si>
    <t>***KARK.DO PIECZENIA VAC OK.5KG KT R.M.</t>
  </si>
  <si>
    <t>***KARK.DO PIECZENIA VAC OK4KG KT JMP</t>
  </si>
  <si>
    <t>***KARK.DO PIECZENIA VAC OK5KG KT EC</t>
  </si>
  <si>
    <t>***KARK. DO PIECZENIA VAC MR ST</t>
  </si>
  <si>
    <t>***KARK.DO PIECZENIA VAC DMR</t>
  </si>
  <si>
    <t>***KARK.DO PIECZENIA VAC RO</t>
  </si>
  <si>
    <t>***SZYN.DO PIECZENIA MARYN.</t>
  </si>
  <si>
    <t>***SZYN.DO PIECZENIA VAC OK.5KG KT</t>
  </si>
  <si>
    <t>***SZYN.DO PIECZENIA VAC OK.5KG KT R.M.</t>
  </si>
  <si>
    <t>***SZYN.DO PIECZENIA VAC OK3KG KT JMP</t>
  </si>
  <si>
    <t>***SZYN.DO PIECZENIA VAC OK5KGKT EC</t>
  </si>
  <si>
    <t>***SZYN.DO PIECZENIA VAC MR ST</t>
  </si>
  <si>
    <t>***SZYN.DO PIECZENIA VAC DMR</t>
  </si>
  <si>
    <t>***SZYN.DO PIECZENIA VAC RO</t>
  </si>
  <si>
    <t>M-SO WP. MIELONE GARMAŻERYJNE</t>
  </si>
  <si>
    <t>***SUR.MIĘSNE DO PROD.MIĘSA 5658</t>
  </si>
  <si>
    <t>***SUR.MIĘSNE DO PROD.MIĘSA 5658 OKT ST</t>
  </si>
  <si>
    <t>***SUR.MIĘSNE DO PROD.MIĘSA 5658 PBX ST</t>
  </si>
  <si>
    <t>***ŻEB. DO PIECZ.1ST VAC OK 2KG KT JMP</t>
  </si>
  <si>
    <t>***MARYN.MIX KARK-SCH.1STVAC OK4KGKT JMP</t>
  </si>
  <si>
    <t>***MARYN.MIXSZYN-BOCZ 1STVAC OK4KGKT JMP</t>
  </si>
  <si>
    <t>***KARK.DO WĘDZ.</t>
  </si>
  <si>
    <t>***KARK.DO WĘDZ.1ST TRM OK.5KG KT MAK.</t>
  </si>
  <si>
    <t>***BOCZ.DO WĘDZ.</t>
  </si>
  <si>
    <t>***BOCZ.DO WĘDZ.1ST TRM OK.5KG KT MAK.</t>
  </si>
  <si>
    <t>***SZYN.DO WĘDZ.</t>
  </si>
  <si>
    <t>***SZYN.DO WĘDZ.1ST TRM OK.5KG KT MAK.</t>
  </si>
  <si>
    <t>***SCH.DO WĘDZ.</t>
  </si>
  <si>
    <t>***SCH.DO WĘDZ.1/2ST TRM OK.5KG KT MAK.</t>
  </si>
  <si>
    <t>***ŻEB.GRILL.MAR.CHILLI PEKL.</t>
  </si>
  <si>
    <t>***ŻEB.GRILL MAR.CHILLI OK2KGVAC KT KAUF</t>
  </si>
  <si>
    <t>***BOCZ.B/K.GRILL.MAR.RED GAR.PEKL.</t>
  </si>
  <si>
    <t>***SZYN.DO PIECZ.MARYN.JMP</t>
  </si>
  <si>
    <t>***SZYN.DO PIECZ.OK1KGVAC OK4KGKT JMP</t>
  </si>
  <si>
    <t>***SZYN.DO PIECZ.OK1KG VAC OK2KG KT JMP</t>
  </si>
  <si>
    <t>***KARCZ.DO PIECZ.OK0.9KGVAC OK4KGKT JMP</t>
  </si>
  <si>
    <t>***SCH.ZE ŚLIWKĄ DO PIECZ.MARYN.JMP</t>
  </si>
  <si>
    <t>***SCH.ZE ŚL.DO PIECZ.OK1KGVACOK4KGKTJMP</t>
  </si>
  <si>
    <t>***SCH.ZE ŚL.DO PIECZ.OK1KGVACOK2KGKTJMP</t>
  </si>
  <si>
    <t>***BOCZ.DO PIECZ.OK1KG VAC OK4KG KT JMP</t>
  </si>
  <si>
    <t>***KIEŁB.MORLIŃSKA Z BOCZ.FARSZ I</t>
  </si>
  <si>
    <t>KIEŁB.PIEPRZOWE FARSZ</t>
  </si>
  <si>
    <t>ŻEB.MOST.Z/CH.B/MP.PEKL.</t>
  </si>
  <si>
    <t>***KIEŁB.CODZIENNA FARSZ</t>
  </si>
  <si>
    <t>***KIEŁB.ŚLĄSKA Z SZYN.FARSZ BIED</t>
  </si>
  <si>
    <t>KIEŁB.ŚLĄSKA 90% FARSZ LIDL KRAJ</t>
  </si>
  <si>
    <t>KIEŁB.ŚLĄSKA FARSZ LIDL EX</t>
  </si>
  <si>
    <t>KABAN.DROB.-WP.300G FARSZ</t>
  </si>
  <si>
    <t>***KARK.GRILL.CZOSN/ZIOŁ.OK600GVACBLLIDL</t>
  </si>
  <si>
    <t>***KARK.GRILL.BAWARSKA OK600GVAC BL LIDL</t>
  </si>
  <si>
    <t>***KARK.GRILL.CZOS/PIEP.OK600GVACBLLIDL</t>
  </si>
  <si>
    <t>***KARK.GRILL.PAPR/PIEP.OK600GVAC BL LID</t>
  </si>
  <si>
    <t>***KARK.GRILL.MIX OK600GVACOK12KGKT LIDL</t>
  </si>
  <si>
    <t>***BOCZ.KRĘCIOŁKI PEKL.LIDL</t>
  </si>
  <si>
    <t>SOL.NAST.Z60</t>
  </si>
  <si>
    <t>SOL.NAST. G</t>
  </si>
  <si>
    <t>SOL.NAS.35% K</t>
  </si>
  <si>
    <t>***SOL.NAS.15% NA SZYN.W ŻURAWINIE</t>
  </si>
  <si>
    <t>***SOL.NAS.15% NA MARYNATY NA SZARO</t>
  </si>
  <si>
    <t>SOL.NAS.50% L</t>
  </si>
  <si>
    <t>SOL.NAS.20% NA BOCZ.WĘDZ.</t>
  </si>
  <si>
    <t>SL NAS.15% DO WĘDZ.PIE.</t>
  </si>
  <si>
    <t>SOL.NAS.35% N</t>
  </si>
  <si>
    <t>SOL.NAS.18% PULLED PORK</t>
  </si>
  <si>
    <t>SOL.NAS.25% SZYN.ZRAZOWA</t>
  </si>
  <si>
    <t>SOL.NAS.20% NA SZYN.RYCERSKĄ KRA</t>
  </si>
  <si>
    <t>SOL.NAS.10% ROSJA</t>
  </si>
  <si>
    <t>SL ZAL.KIEŁB.PODWAWELSKA</t>
  </si>
  <si>
    <t>***SOL.NAS.50% WĘDZ.Z ŁOP.</t>
  </si>
  <si>
    <t>***SOL.NAS.80% SZYN.KONS.CZ/SŁ</t>
  </si>
  <si>
    <t>***MAR.WODNA.MIX STEK E GRILL</t>
  </si>
  <si>
    <t>***SOL.ZAL.ŻEB.VORES SPARERIBS</t>
  </si>
  <si>
    <t>***SOL.NAST.12% SZYN.FORM.</t>
  </si>
  <si>
    <t>SL ZAL.KIEŁB.ŚLĄSKA MOR</t>
  </si>
  <si>
    <t>SOL.ZAL.50% PROZDR./DO ŁOP.4D DO 2B/</t>
  </si>
  <si>
    <t>***SOL.NAS.15% B/NITRYTU</t>
  </si>
  <si>
    <t>***SOL.BLOK EXPORT</t>
  </si>
  <si>
    <t>SL ZAL.KIEŁB.SZYNKOWA</t>
  </si>
  <si>
    <t>SOL.NASTRZYK.15% MARYNATY</t>
  </si>
  <si>
    <t>SOL.NAS.70% M70</t>
  </si>
  <si>
    <t>SOL.NAS.70% S57</t>
  </si>
  <si>
    <t>SOL.NAS.DO POL.SOPOCKIEJ EXT.</t>
  </si>
  <si>
    <t>SOL.NAS.70% W</t>
  </si>
  <si>
    <t>SL ZAL.R</t>
  </si>
  <si>
    <t>SL ŻEB.Z PRZYP.</t>
  </si>
  <si>
    <t>SL NAS.15% GRILL LIDL II</t>
  </si>
  <si>
    <t>SL BOCZ.WĘDZ.20%</t>
  </si>
  <si>
    <t>***SOL.NAST.SZYNECZKA I KLASA 25%</t>
  </si>
  <si>
    <t>***SOL.NAS.10% KLASYCZNA</t>
  </si>
  <si>
    <t>SOL.NAS.30% NA POLĘDWICE ŁOSOSIOWĄ</t>
  </si>
  <si>
    <t>SL ZAL.PRZYS.SZYNKOWY</t>
  </si>
  <si>
    <t>SL ZAL.16% DO ŻEB.</t>
  </si>
  <si>
    <t>SOL.NAS.DO SCHABU OD SZWAGRA</t>
  </si>
  <si>
    <t>SOL.POL.WĘDZ.LIDL</t>
  </si>
  <si>
    <t>SOL.SZYN.KROGER 12% US</t>
  </si>
  <si>
    <t>SOL.NAS.20% AGRYF</t>
  </si>
  <si>
    <t>SL NAS.25% SZYN.KLASYCZNA</t>
  </si>
  <si>
    <t>SL NAS.66% SZYN.POLSKA</t>
  </si>
  <si>
    <t>SL NAS.10% SZYN.MAGNACKA</t>
  </si>
  <si>
    <t>***SOL.NAS.30% NA SZYNKE KONS.KRAKUS</t>
  </si>
  <si>
    <t>SL.NAS.70% BOCZ.PASEK</t>
  </si>
  <si>
    <t>SL ZAL.50% DO ŁOP.4D/M-SA DR.KL2B</t>
  </si>
  <si>
    <t>***POL.SOPOCKA AS</t>
  </si>
  <si>
    <t>***POL.SOPOCKA BS</t>
  </si>
  <si>
    <t>***POL.SOPOCKA OK500GVAC 4STKT EX</t>
  </si>
  <si>
    <t>***POL.SOPOCKA OK500GVAC OK4KGKT TESC</t>
  </si>
  <si>
    <t>***POL.SOPOCKA 1/2 STVAC EX</t>
  </si>
  <si>
    <t>***POL.SOPOCKA OK500GVAC 4STKT PROM UK</t>
  </si>
  <si>
    <t>***POL.SOPOCKA OK500GVACOK5KGKT EX CZ/SK</t>
  </si>
  <si>
    <t>***SOP.POL.1/2ST TRM OK15KG KT YANO</t>
  </si>
  <si>
    <t>***SOP.POLĘD. TRM PC KT</t>
  </si>
  <si>
    <t>***SOP.POLĘD. VAC PC OK0.5KG KT 5KG NETT</t>
  </si>
  <si>
    <t>***POL.SOP.S OK500GVAC OKKKGKT WĘD.DOM.T</t>
  </si>
  <si>
    <t>***POLĘD.FARMERSKA S 1ST TRM OK10KG KT T</t>
  </si>
  <si>
    <t>POL.SOPOCKA EXT.</t>
  </si>
  <si>
    <t>POL.SOPOCKA EXT.BS</t>
  </si>
  <si>
    <t>***POLĘ.FARMERSKA OK0.5KGVAC OK4KG KT T</t>
  </si>
  <si>
    <t>***POL.SOPOCKA WD OK0.5KGVAC OK4KGKT T</t>
  </si>
  <si>
    <t>POL.SOPOCKA EXT.OK0.5KGVAC OK4KGKT EX LT</t>
  </si>
  <si>
    <t>***POL.SOPOCKA OK500GVAC OK6KGKT MOR</t>
  </si>
  <si>
    <t>POL.SOPOCKA EXT.1/2STTRM OK10KGKT MOR</t>
  </si>
  <si>
    <t>***POL.SOPOCKA 1/2STTRM OK15KGKT KOR</t>
  </si>
  <si>
    <t>***POLĘD.SOPOCKA 1/2SZTTRM OK 10KGKT CAR</t>
  </si>
  <si>
    <t>***POL.SOPOCKA EX.1/2STTRM OK15KGKT CZ</t>
  </si>
  <si>
    <t>***POLĘD. SOPOCKA OK500G TRM OK10KGKT K</t>
  </si>
  <si>
    <t>***POLĘD. SOP.EXTRA 1/2 TRM OK15KGKT SŁO</t>
  </si>
  <si>
    <t>***POL.SOP.EXTRA 1/2ST TRM OK.15KGKT SŁO</t>
  </si>
  <si>
    <t>POLĘD. SOP. EXTRA 1/2 TRM OK15KGKT S.LAB</t>
  </si>
  <si>
    <t>***POLĘD.FARMERSKA 1/2ST TRM OK8KG KT T</t>
  </si>
  <si>
    <t>***POL.SOPOCKA EX.1/2STTRM OK15KG KT YAN</t>
  </si>
  <si>
    <t>***POL.SOPOCKA WD 1/2STTRM OK8KGKT T</t>
  </si>
  <si>
    <t>***POL.SOPOCKA EX 1/2ST TRM 3 ST KT MOR</t>
  </si>
  <si>
    <t>***POL.SOPOCKA EXT.1/2STTRM OK10KGKT SP</t>
  </si>
  <si>
    <t>***POL.SOPOCKA 1/2STTRM OK10KGKT PP</t>
  </si>
  <si>
    <t>***POL.SOPOCKA EXT.MAX2KGTRMOK10KGKT MOR</t>
  </si>
  <si>
    <t>***SCH.WP.WĘDZ.OK400GVAC BIED</t>
  </si>
  <si>
    <t>***SCH.OD SZWAGRA 1/2STTRM OK15KGKT MOR</t>
  </si>
  <si>
    <t>***SCH.MOCNO WĘDZ.PARZ.AS</t>
  </si>
  <si>
    <t>***SCH.MOCNO WĘDZ.PARZ.BS</t>
  </si>
  <si>
    <t>***SCH.MOCNO WĘDZ.1/2STTRM OK6KGKT MOR</t>
  </si>
  <si>
    <t>SCH.OD SZWAGRA AS</t>
  </si>
  <si>
    <t>SCH.OD SZWAGRA BS</t>
  </si>
  <si>
    <t>***SCH.OD SZWAGRA OK500GVAC OK5KGKT KRA</t>
  </si>
  <si>
    <t>***SCH.MAJER/CZOSN.AS</t>
  </si>
  <si>
    <t>***SCH.MAJER/CZOSN.BS</t>
  </si>
  <si>
    <t>***SCH.MAJER/CZOSN.1STTRM OK10KGKT YAN</t>
  </si>
  <si>
    <t>***SZYN.I KLASA 400G VAC 3.6KG KT</t>
  </si>
  <si>
    <t>***SZYN.TEŚCIOWEJ MAŁA</t>
  </si>
  <si>
    <t>***SZYN.TEŚCIOWEJ MAŁA BS</t>
  </si>
  <si>
    <t>***SZYN.TEŚCIOWEJ MAŁA 1STTRM OK.5KGKT T</t>
  </si>
  <si>
    <t>***SZYN.FORMOWANA</t>
  </si>
  <si>
    <t>***SZYN.FORMOWANA BS</t>
  </si>
  <si>
    <t>***SZYN.FORMOWANA 1ST VAC 6ST OKT ST</t>
  </si>
  <si>
    <t>***SZYN.FORM.OK5KG TRM OK10KG KT KRA</t>
  </si>
  <si>
    <t>***SZYN.ŚNIAD.AS</t>
  </si>
  <si>
    <t>***SZYN.ŚNIAD.BS</t>
  </si>
  <si>
    <t>***SZYN.ŚNIAD.1/2STVAC OK15KGKT</t>
  </si>
  <si>
    <t>***SZYN.ŚNIAD.OK500GVAC OK5KGKT</t>
  </si>
  <si>
    <t>***SZYN.ŚNIAD.1STVAC OK15KGKT</t>
  </si>
  <si>
    <t>***SZYN.KANAPKOWA 1STVAC OK15KGKT KOR</t>
  </si>
  <si>
    <t>***SZYN.ŚNIADANIOWA 1STVAC OK6KG KTEX</t>
  </si>
  <si>
    <t>***SZYN.ŚNIADANIOWA1STVAC OK15KG KT SWO.</t>
  </si>
  <si>
    <t>***SZYN.ŚNIADANIOWA 1ST TRM KT KORONA</t>
  </si>
  <si>
    <t>***SZYN.ŚNIADANIOWA 1/6ST VAC KT LITWA</t>
  </si>
  <si>
    <t>****SZYN.TEŚCIOWEJ1ST TRM OK6KG SIT.TESC</t>
  </si>
  <si>
    <t>***SZYN.WĘDZ.GOT.1/6STVAC MOR OK4KGKT T</t>
  </si>
  <si>
    <t>SZYN.BIAŁA KRÓLEWSKA AS MOR</t>
  </si>
  <si>
    <t>SZYN.BIAŁA KRÓLEWSKA BS MOR</t>
  </si>
  <si>
    <t>***SZYN.BIAŁA KRÓLEWSKA AS</t>
  </si>
  <si>
    <t>***SZYN.BIAŁA KRÓLEWSKA BS</t>
  </si>
  <si>
    <t>SZYN.KONS.2.5KG</t>
  </si>
  <si>
    <t>SZYN.WP.KONS.OK2.5KG OK10KG KT</t>
  </si>
  <si>
    <t>***SZYN.KON.2.5KG LUZ 4 ST.KT FUKS</t>
  </si>
  <si>
    <t>***SZYN.KON.2.5KG LUZ 4 ST KT KORONA</t>
  </si>
  <si>
    <t>SZYN.KONS.2.5KG LUZ 10KG KT MOR</t>
  </si>
  <si>
    <t>SZYN.KON.2.5KG LUZ 4 ST KT POL.PRZYSM.</t>
  </si>
  <si>
    <t>***SZYN.KON.2.5KG LUZ 4 ST KT MAZURY</t>
  </si>
  <si>
    <t>***SZYN.KON.2.5KG LUZ 4STKT SWOJSCY</t>
  </si>
  <si>
    <t>***SZYN.KON.2.5KLUZ 4 ST KT STAROP.WĘDL.</t>
  </si>
  <si>
    <t>***SZYN.WP.KON.2.5KG 4ST KT MOR EX UK</t>
  </si>
  <si>
    <t>***SZYN.KONSER.2.5KG LUZ 4ST KT DYSKĄCIK</t>
  </si>
  <si>
    <t>***SZYN.WP.KON.2.5KG LUZ 4ST YANO</t>
  </si>
  <si>
    <t>***SZYN.WP.KONSERWOWA OK2.5KG OK10KG KT</t>
  </si>
  <si>
    <t>***SZYN.KONS.PANDA OK2.5KG OK 10KG KT</t>
  </si>
  <si>
    <t>***SZYN.WP.KONS.65%2.5KGLUZ4STKTMOR ROEX</t>
  </si>
  <si>
    <t>***SZYN.KONS.2.5KG LUZ 10KG KT</t>
  </si>
  <si>
    <t>***SZYN.WP.KON.5.5LBS LUZ 4ST KT MOR EX</t>
  </si>
  <si>
    <t>***SZYN.WP.KON.OK5.5LBSLUZ 4ST KT MOR EX</t>
  </si>
  <si>
    <t>***SZYN.WP.KON.5.5LBS 4STKT MOR POLM</t>
  </si>
  <si>
    <t>SZYN.KONS.BIAŁA</t>
  </si>
  <si>
    <t>SZYN.KONS.BIAŁA BS</t>
  </si>
  <si>
    <t>***SZYN.KONS.WP.BIAŁA 7LBS LUZ 2STKT MOR</t>
  </si>
  <si>
    <t>***SZYN.KONS.BIAŁA OK3KG OK6KG KT MOR</t>
  </si>
  <si>
    <t>***SZYN.KONS.BIAŁA LUZOK3KGOK6KGKTMOR EX</t>
  </si>
  <si>
    <t>***SZYN.KONS.BIAŁA OK3KGOK6KGKTMOR EX SK</t>
  </si>
  <si>
    <t>SZYN.KROGER 7LBS US</t>
  </si>
  <si>
    <t>SZYN.KROGER 7LBS BS US</t>
  </si>
  <si>
    <t>***SZYN.KROGER 7LBS 4STKT EX US</t>
  </si>
  <si>
    <t>***SZYN.WĘDZ.PARZ.AS</t>
  </si>
  <si>
    <t>***SZYN.WP.WĘDZ.OK400G MAP BIED</t>
  </si>
  <si>
    <t>***SZYN.WP.WĘDZ.OK400GVAC OK5KGKT BIED</t>
  </si>
  <si>
    <t>***SZYN.MOCNO WĘDZONA VAC 1/2ST</t>
  </si>
  <si>
    <t>***SZYN.MOCNO WĘDZ.1/2STTRM OK6KGKT RO</t>
  </si>
  <si>
    <t>***SZYN.MOC.WĘDZ.1STVAC OK6KGKT CON</t>
  </si>
  <si>
    <t>***SZYN.MOCNO WĘDZ.1STVAC MK</t>
  </si>
  <si>
    <t>***SZYN.MOCNO WĘDZ.1STVAC</t>
  </si>
  <si>
    <t>***SZYN.MOC.WĘDZ.1STVAC OK6KGKT PP</t>
  </si>
  <si>
    <t>***SZYN.OKOPCONA 1ST VAC OK15KG KT KOR</t>
  </si>
  <si>
    <t>***SZYN.MOC.WĘDZ.1STTRM OK15KGKT UK</t>
  </si>
  <si>
    <t>***SZ.MOCNO WĘDZ.EXP.VAC 1SZT.NIEM</t>
  </si>
  <si>
    <t>***SZYN.CIE.1STTRM OK6KGKT MOR</t>
  </si>
  <si>
    <t>***SZYN.MOCNO WĘDZ.1/6ST TERM KT EX MAX</t>
  </si>
  <si>
    <t>***SZYN.MOCWĘDZONA TRM 1SZT KT KORONA</t>
  </si>
  <si>
    <t>***SZYN.MOCNO WĘDZ.TRM 1ST OK15KG KT PP</t>
  </si>
  <si>
    <t>***SZYN.WĘDZ.AS</t>
  </si>
  <si>
    <t>***SZYN.WP.WĘDZ.BS</t>
  </si>
  <si>
    <t>***SZYN.WĘDZ.1STVAC OK6KGKT MOR</t>
  </si>
  <si>
    <t>***WĘDZ.Z ŁOP.</t>
  </si>
  <si>
    <t>***WĘDZ.Z ŁOP.BS</t>
  </si>
  <si>
    <t>***WĘDZ.Z ŁOP.1ST TRM OK 10KG KT KAUF</t>
  </si>
  <si>
    <t>***WĘDZ.Z ŁOP1ST TRM OK10KG KT KAUF PROM</t>
  </si>
  <si>
    <t>***WĘDZ.MORLIŃSKA BS</t>
  </si>
  <si>
    <t>***WĘDZ.MORLIŃSKA 1ST TRM OK10KG KT MOR</t>
  </si>
  <si>
    <t>***BAL.GOT.PC OK0.5KGVAC 4KGKT N</t>
  </si>
  <si>
    <t>BAL.WĘDZ.PARZ.BS</t>
  </si>
  <si>
    <t>*BOCZ.MOCNO WĘDZ.OK.400G VAC OK.5KG KT Y</t>
  </si>
  <si>
    <t>***BOCZ.NA KANAPKĘ OK450GVAC OK3KGKT MOR</t>
  </si>
  <si>
    <t>BOCZ.Z KOMINA OK450GVAC OK3KGKT EX</t>
  </si>
  <si>
    <t>***BOCZ.MOCNO WĘDZ.1/2STVAC MK EX</t>
  </si>
  <si>
    <t>***BOCZ.MOCN.WĘDZ.1/2ST TRM OK5KG KT SŁO</t>
  </si>
  <si>
    <t>***BOCZ.MOCNO WĘDZ.1/2ST VAC EXP</t>
  </si>
  <si>
    <t>***BOCZ.MOCNO WĘDZ.1/2SZT VAC EX SŁ</t>
  </si>
  <si>
    <t>***BOCZ.MOCNO WĘDZ.1/2 ST.TRMOK5KGKTANG</t>
  </si>
  <si>
    <t>***BOCZ.MOCNO WĘDZ.1/2ST.TRM OK6KGKT ŁOT</t>
  </si>
  <si>
    <t>BOCZ.MOC.WĘDZ.1/2STVAC OK10KGKT MOR</t>
  </si>
  <si>
    <t>***BOCZ.ROLOWANY WĘDZ.PARZ.</t>
  </si>
  <si>
    <t>***BOCZ.ROLOWANY WĘDZ.PARZ.BS</t>
  </si>
  <si>
    <t>***BOCZ.ROLOWANY OK400G VAC OK5KG KT</t>
  </si>
  <si>
    <t>***BOCZ.ROLOWANY 1ST TRM OK5KG KT</t>
  </si>
  <si>
    <t>***BOCZ.KOPCONY AS</t>
  </si>
  <si>
    <t>***BOCZ.KOPCONY BS</t>
  </si>
  <si>
    <t>***BOCZ.KOPCONY OK400GVAC OK6KGKT MOR</t>
  </si>
  <si>
    <t>***BOCZ.WĘDZ.PARZ.OK400G AC OK3KGKT MOR</t>
  </si>
  <si>
    <t>***BOCZ.KOPCONY 1/2STTRM OK6KGKT MOR</t>
  </si>
  <si>
    <t>***BOCZ.WEDZ.Z.SK.MOR</t>
  </si>
  <si>
    <t>***BOCZ.WĘDZ.Z/SK.MOR BS</t>
  </si>
  <si>
    <t>***BOCZ.WĘDZ.1ST MAP OK5KG KT MOR</t>
  </si>
  <si>
    <t>BOCZ.WĘDZ.PARZ.MOR AS</t>
  </si>
  <si>
    <t>BOCZ.WĘDZ.PARZ.MOR BS</t>
  </si>
  <si>
    <t>***BOCZ.WĘDZ.PARZ.1ST MAP OK5KG KT MOR</t>
  </si>
  <si>
    <t>***BOCZ.WĘDZ.PARZ.1STTRM OK15KGKT MOR</t>
  </si>
  <si>
    <t>BOCZ.CARSKI MAX.1KGVAC OK10KGKT EX RO</t>
  </si>
  <si>
    <t>***BOCZ.CARSKI 1STVAC OK10KGKT EX RO</t>
  </si>
  <si>
    <t>BOCZ.CARSKI 1/2STVAC OK6KGKT MOR</t>
  </si>
  <si>
    <t>***BOCZ.PS 1/2STVAC OK7KGKT BIED</t>
  </si>
  <si>
    <t>BOCZ.CARSKI 1STVAC OK15KGKT MOR</t>
  </si>
  <si>
    <t>BOCZ.CARSKI OK500GVAC 7STKT ELIT II</t>
  </si>
  <si>
    <t>BOCZ.CARSKI OK700GVAC 6KGKT MOR</t>
  </si>
  <si>
    <t>BOCZ.OKOPC.AS</t>
  </si>
  <si>
    <t>BOCZ.OKOPC.BS</t>
  </si>
  <si>
    <t>***BOCZ.OKOPCONY OK500GVACOK5KGKT MOR EX</t>
  </si>
  <si>
    <t>BOCZ.OKOPC.OK500GVAC OK5KGKT EX</t>
  </si>
  <si>
    <t>***BOCZ.OKOPCONY OK500G VACOK6KG KT TESC</t>
  </si>
  <si>
    <t>***BOCZ.OKOPCONY GOT.OK0.5KGKT OK5KGKT K</t>
  </si>
  <si>
    <t>***BOCZ.OKOPCONY OK500GVAC OK5KG KT AUCH</t>
  </si>
  <si>
    <t>***BOCZ.OKOPCONY 500G VAC OK 6KG KT ROS</t>
  </si>
  <si>
    <t>***BOCZ.OKOPC.OK500GVAC OK5KGKT MOR EX</t>
  </si>
  <si>
    <t>***BOCZ.OKOPCONY OK500GVAC OK5KGKT LT</t>
  </si>
  <si>
    <t>BOCZ.OKOPC.OK500GVAC OK3KGKT MOR EX</t>
  </si>
  <si>
    <t>***BOCZ.OKOPC.OK500GVAC 5STKT MOR EX GB</t>
  </si>
  <si>
    <t>***BOCZ.OKOPCONY OK500GVAC OK5KGKT EX LT</t>
  </si>
  <si>
    <t>***BOCZ.OKOPCONY GOT.1/2STTRM OK6KGKT SŁ</t>
  </si>
  <si>
    <t>***BOCZ.OKOPCONY 1/2STTRM OK15KGKT EX</t>
  </si>
  <si>
    <t>BOCZ.OKOPC.GOT.1/2STTRM 15KG KT CZ</t>
  </si>
  <si>
    <t>***BOCZ.OKOPCONY 1/2ST TRM OK15KG KT YAN</t>
  </si>
  <si>
    <t>***BOCZ.OKOPCONY GOTOWANY 1/2 VAC EX MC</t>
  </si>
  <si>
    <t>***BOCZ.OKOPCONY 1/2ST.TRM KT OK6KG ECO</t>
  </si>
  <si>
    <t>***BOCZ.OKOPCONY 1/2ST.TRM OK 6KG KT ROS</t>
  </si>
  <si>
    <t>***BOCZ.CYGAŃSKI 1/2STTRM OK15KGKT BT</t>
  </si>
  <si>
    <t>***BOCZ.Z/SK.FORMOWANY</t>
  </si>
  <si>
    <t>***BOCZ.Z/SK.FORMOWANY BS</t>
  </si>
  <si>
    <t>***BOCZ.MORLIŃSKI 1/2STTRM OK15KGKT MOR</t>
  </si>
  <si>
    <t>***BOCZ.MOR.1/2ST TRM OK15KGKT MOR EX</t>
  </si>
  <si>
    <t>***BOCZ.MORL.1/2STTRM OK5KGKT MOR CARR</t>
  </si>
  <si>
    <t>***BOCZ.FORM.1/2ST TRM OK15KG KT KOR</t>
  </si>
  <si>
    <t>***BOCZ.WĘDZ.PARZ.1/2ST TRM OK10KG KT</t>
  </si>
  <si>
    <t>BOCZ.WĘDZ.PARZ.EXT.AS</t>
  </si>
  <si>
    <t>BOCZ.WĘDZ.PARZ.EXTRA BS</t>
  </si>
  <si>
    <t>***BOCZ.WĘDZ.PARZ.EXTRA LUZ KT</t>
  </si>
  <si>
    <t>***BOCZ.WĘDZ.PARZ.EXT.OK0.5KGKT OK5KGKT</t>
  </si>
  <si>
    <t>***BOCZ.WĘDZ.PARZ.EX1/2STVACOK15KG KTCON</t>
  </si>
  <si>
    <t>***BOCZ.WĘDZ.PARZ.EX.OK350GVAC OK5KG KT</t>
  </si>
  <si>
    <t>***BOCZ.WĘDZ.PARZ.EXTRA OK500GVAC KTEXW</t>
  </si>
  <si>
    <t>***BOCZ.WĘDZ.PARZ.EXTRA PC VAC KT EX E</t>
  </si>
  <si>
    <t>***BOCZ.WĘDZ.PARZ.EXTRA OK.500GTRM KT EX</t>
  </si>
  <si>
    <t>***BOCZ.ŁUSK.WĘDZ.GOT.EXT500GVAC10KGKT Y</t>
  </si>
  <si>
    <t>***BOCZ.WĘDZ.PARZ.EXTRA OK350GVAC5KGKT Ł</t>
  </si>
  <si>
    <t>***BOCZ.WĘDZ.P.EXTRA OK.350G VAC 5KGKT L</t>
  </si>
  <si>
    <t>***BOCZ.WĘDZ.PARZ.EXT.1/2STTRM MK</t>
  </si>
  <si>
    <t>***BOCZ.WĘDZ.PARZ.EXT.1/2STTRM KT PP</t>
  </si>
  <si>
    <t>***BOCZ.WĘDZ.PARZ.EXTAR 1/2STTRMKTDYSK.</t>
  </si>
  <si>
    <t>***BOCZ.WĘDZ.PARZ.EXT.1/2STTRM KT</t>
  </si>
  <si>
    <t>***BOCZ.WĘDZ.PARZ.EXT.1/2STTRM OK5GKT UK</t>
  </si>
  <si>
    <t>***BOCZ.WĘDZ.PARZ.EXTRA1/2STTRM OK15KGKT</t>
  </si>
  <si>
    <t>***BOCZ.WĘDZ.PARZ.EXT1/2STTRMOK15KGKT EP</t>
  </si>
  <si>
    <t>***BOCZ.WĘDZ.PARZ.EXT.OK0.8KGTRM KT ARO</t>
  </si>
  <si>
    <t>***BOCZ.WĘDZ.PARZ.EXTRA1/2STTRMKTSWOJSCY</t>
  </si>
  <si>
    <t>***BOCZ.WĘDZ.PARZ.EXTRA1/2ST TRM OK15KGL</t>
  </si>
  <si>
    <t>***BOCZ.WĘDZ.PARZ.EXT.OK0.5KGVAC T</t>
  </si>
  <si>
    <t>BOCZ.WĘDZ.PARZ.EXT.OK0.35KGVAC KT EX</t>
  </si>
  <si>
    <t>***BOCZ.WĘDZ.PARZ.EXTRA OK0.3KGVAC KT EX</t>
  </si>
  <si>
    <t>***BOCZ.WĘDZ.PARZ.EXTRA OK350GVAC KT EX</t>
  </si>
  <si>
    <t>***BOCZ.WĘDZ.PARZ.EXTRA OK300GVAC KTEX D</t>
  </si>
  <si>
    <t>***BOCZ.WĘDZ.PARZ.EXTRAOK500G VACKT EX L</t>
  </si>
  <si>
    <t>***BOCZ.WĘDZ.PARZ.EXTRA OK350GVAC KTEXPP</t>
  </si>
  <si>
    <t>***BOCZ.WĘDZ.PARZ.EXT.OK 350GVACKT EXP S</t>
  </si>
  <si>
    <t>***BOCZ.WĘDZ.PARZ.EXTRA 1/2ST VAC KT MK</t>
  </si>
  <si>
    <t>***BOCZ.WĘDZ.PARZ.EXTRA 1/2STTRM KT EX G</t>
  </si>
  <si>
    <t>***BOCZ.WĘDZ.PARZ.EXT.1/2STTRM KT EX GR</t>
  </si>
  <si>
    <t>***BOCZ.WĘDZ.PARZ.EXTRA 1/2ST TRM KTEX D</t>
  </si>
  <si>
    <t>***BOCZ.WĘDZ.PARZ.EXT.1/2ST TRMKT KORONA</t>
  </si>
  <si>
    <t>***BOCZ.WĘDZ.PARZ.EXTRAOK2KG VAC KT EX E</t>
  </si>
  <si>
    <t>***BOCZ.WĘDZ.PARZ.EXTRA 1/2STTRM KT EX E</t>
  </si>
  <si>
    <t>***BOCZ.WĘDZ.PARZ.EXTRA 1/2ST TRM KT ANG</t>
  </si>
  <si>
    <t>***BOCZ.WĘDZ.PARZ.EXTRA 1/2ST TRM KT YAN</t>
  </si>
  <si>
    <t>BOCZ.CIE.WĘDZ.PARZ.BS</t>
  </si>
  <si>
    <t>BOCZ.Z/S.WĘDZ.AS</t>
  </si>
  <si>
    <t>BOCZ.WĘDZ.Z/SK.BS</t>
  </si>
  <si>
    <t>***BOCZ.WĘDZ. LUZ KT</t>
  </si>
  <si>
    <t>***BOCZ.WĘDZ.OK1KG VAC OK5KG K</t>
  </si>
  <si>
    <t>***BOCZ.WĘDZ.OK.450G VAC 6KG KT LIDL</t>
  </si>
  <si>
    <t>***BOCZ.WĘDZ.VAC KP</t>
  </si>
  <si>
    <t>***BOCZ.WĘDZ.1/2STTRM OK5KGKT</t>
  </si>
  <si>
    <t>***BOCZ.WĘDZ.VAC OK.5KG KT K</t>
  </si>
  <si>
    <t>***BOCZ.WĘDZ.1/2STTRM OK5KGKT ECS</t>
  </si>
  <si>
    <t>***BOCZ.WĘDZ.1/2ST TRM OK15KG KT M</t>
  </si>
  <si>
    <t>***BOCZ.WĘDZ.1/2ST TRM OK10KG KT SWOJ</t>
  </si>
  <si>
    <t>***BOCZ.WĘDZ. 1/2ST TRM OK 5KG KT DYS.</t>
  </si>
  <si>
    <t>***BOCZ.WĘDZ.1/2 ST TRM OK 5KG KT KORONA</t>
  </si>
  <si>
    <t>***BOCZ.WĘDZ.1/2STTRM OK10KGKT SP</t>
  </si>
  <si>
    <t>BOCZ.WĘDZ.OK2KGVAC OK10KGKT MOR</t>
  </si>
  <si>
    <t>***BOCZ.WĘDZ.OK2KGVAC OK10KGKT GOB</t>
  </si>
  <si>
    <t>***BOCZ.WĘDZ.PARZ.Z/SK.</t>
  </si>
  <si>
    <t>***BOCZ.WĘDZ.PARZ.Z/SK.BS</t>
  </si>
  <si>
    <t>***BOCZ.WĘDZ.PARZ.1/2ST TRM OK15KG KT</t>
  </si>
  <si>
    <t>***BOCZ.WĘDZ.PARZ.1/2ST TRM OK9KGKTKAUF</t>
  </si>
  <si>
    <t>BOCZ.B/S.WĘDZ.AS</t>
  </si>
  <si>
    <t>BOCZ.WĘDZ.B/S.BS</t>
  </si>
  <si>
    <t>BOCZ.WĘDZ.B/S OK20KG PJ ST</t>
  </si>
  <si>
    <t>BOCZ.CARSKI BS</t>
  </si>
  <si>
    <t>***BOCZ.CARSKI 1ST VAC OK10KG KT EX RO</t>
  </si>
  <si>
    <t>***WĘDZ.DELIKATNA TRM PC KT TESC</t>
  </si>
  <si>
    <t>***WĘDZ.DELIK. 1ST VAC OK12KG KT TESC</t>
  </si>
  <si>
    <t>***WĘDZ.STAROP.1STVAC OK6KG KT CON CARR</t>
  </si>
  <si>
    <t>BOCZ.Z/S.WĘDZ.PARZ.AS LT</t>
  </si>
  <si>
    <t>BOCZ.WĘDZ.PARZ.Z/SK.BS LT</t>
  </si>
  <si>
    <t>BOCZ.WĘDZ.PARZ.Z/SK.OK400GVAC OK5KGKT LT</t>
  </si>
  <si>
    <t>BOCZ.WĘDZ.PARZ.Z/S.SZER.</t>
  </si>
  <si>
    <t>BOCZ.KAW.OK450GVAC OK6KGKT MOR</t>
  </si>
  <si>
    <t>***BOCZ.KAW.OK450GVAC OK5KGKT KRA</t>
  </si>
  <si>
    <t>***BOCZ.WĘDZ.PARZ.OK450GVAC OK5KGKT BIED</t>
  </si>
  <si>
    <t>BOCZ.WĘDZ.PARZ.OK450GVAC OK4KGKT BIED</t>
  </si>
  <si>
    <t>***BOCZ.MOR.WĘDZ.PARZ.OK450GVAC 4KGKT</t>
  </si>
  <si>
    <t>BOCZ.WĘDZ.PARZ.OK450GVAC 4KGKT ALDI</t>
  </si>
  <si>
    <t>BOCZ.MOR.WĘDZ.PARZ.OK2KGVAC OK10KGKT</t>
  </si>
  <si>
    <t>***BOCZ.WĘDZ.PARZ.OK400GVAC 4.2KGKT MOR</t>
  </si>
  <si>
    <t>***BOCZ.MORL.OKOP.1/3STVAC OK7KGKT MOR</t>
  </si>
  <si>
    <t>***BOCZ.MORL.OKOP.1/3STVAC OK15KGKT MOR</t>
  </si>
  <si>
    <t>BOCZ.WĘDZ.PARZ.OK450GVAC 4KGKT NETTO</t>
  </si>
  <si>
    <t>***BOCZ.B/S.WĘDZ.PARZ.AS</t>
  </si>
  <si>
    <t>***BOCZ.B/SK.WEDZ.PARZ.BS</t>
  </si>
  <si>
    <t>***BOCZ.B/S.WĘD.PARZ.OK2KGTRMOK15KGKTYAN</t>
  </si>
  <si>
    <t>***BOCZ.B/S.WĘDZ.PARZ.OK15KGVAC KT MR ST</t>
  </si>
  <si>
    <t>***BOCZ.B/SK.WĘDZ.PARZ.OK15KGVACKT DMR</t>
  </si>
  <si>
    <t>***BOCZ.B/S.WĘD.PARZ.OK2KGTRMOK15KGKTKOR</t>
  </si>
  <si>
    <t>***BOCZ.B/S.WĘD.PARZ.OK2KGTRMOK15KGKT BT</t>
  </si>
  <si>
    <t>***BOCZ.Z/S.WĘDZ.PARZ.SZER.AS CZ</t>
  </si>
  <si>
    <t>***BOCZ.WĘDZ.PARZ.SZER.Z/SK.BS CZ</t>
  </si>
  <si>
    <t>***BOCZ.WĘDZ.PARZ.OK450GVAC5KGKT EX CZ</t>
  </si>
  <si>
    <t>BOCZ.C WĘDZ.PARZ.SZER.Z/S.BS</t>
  </si>
  <si>
    <t>BOCZ.WĘDZ.PARZ.SZER.AS</t>
  </si>
  <si>
    <t>BOCZ.WĘDZ.PARZ.SZER.BS</t>
  </si>
  <si>
    <t>***BOCZ.WĘDZ.PARZ.LUZ OK15KG KT</t>
  </si>
  <si>
    <t>***BOCZ.WĘDZ.PA.SZER.1/2SZTSZT 15KGKT CZ</t>
  </si>
  <si>
    <t>***BOCZ.WĘDZ.PARZ.SZER1/2ST OK15KG KT UK</t>
  </si>
  <si>
    <t>***BOCZ.WĘDZ.PARZ.SZR.OK2KGTRMOK15KGKTMK</t>
  </si>
  <si>
    <t>***BOCZ.WĘDZ.PASZER.1/2ST TRM OK.15KG KT</t>
  </si>
  <si>
    <t>***BOCZ.WĘDZ.PARZ.SZER1/2STTRMOK15KGKTBT</t>
  </si>
  <si>
    <t>***BOCZ.WĘDZ.PARZ.SZER 1/2ST OK10KGKT SP</t>
  </si>
  <si>
    <t>***BOCZ.WĘDZ.PARZ.SZER1/2STOK10KGKT SWOJ</t>
  </si>
  <si>
    <t>***BOCZ.WĘDZ.NA CIEMNO AS</t>
  </si>
  <si>
    <t>***BOCZ.WĘDZ.NA CIEMNO BS</t>
  </si>
  <si>
    <t>***BOCZ.WĘDZ.NACIEM.OK350GVACOK5KGKTBIED</t>
  </si>
  <si>
    <t>PP BOCZ.WĘDZ.PARZ.SZER.Z/S.BS</t>
  </si>
  <si>
    <t>PP BOCZ.WĘDZ.PARZ.OK450GVAC 5KGKT LIDL</t>
  </si>
  <si>
    <t>PP BOCZ.KAW.OK450GVAC OK5KGKT KRA</t>
  </si>
  <si>
    <t>***BOCZ.CHŁOPSKI CIEMNO-WĘDZONY</t>
  </si>
  <si>
    <t>**BOCZ.CIEMN.WĘDZ.2ST VAC OK.15KG KT MAZ</t>
  </si>
  <si>
    <t>***BOCZ.CHŁOPSKI CIEMNO WĘDZONY VAC EX E</t>
  </si>
  <si>
    <t>***BOCZ.CHŁOPSKI 1ST TRM OK 15KG KT MOR</t>
  </si>
  <si>
    <t>***BOCZ.CHŁ.CIEM.WĘDZ. VAC KT ROS</t>
  </si>
  <si>
    <t>***BOCZ.NIEOKOPCONY AS</t>
  </si>
  <si>
    <t>***BOCZ.NIEOKOPCONY BS</t>
  </si>
  <si>
    <t>***BOCZ.NIEOKOPCONY OK0.5KGVACOK5KGKT LT</t>
  </si>
  <si>
    <t>***BOCZ.WĘDZ.GOT.ŁUSK.B/CHRZ.</t>
  </si>
  <si>
    <t>***BOCZ.WĘDZ.GOT.ŁUS.B/CHRZ.1/2STTRMCZ.S</t>
  </si>
  <si>
    <t>***BOCZ.MOCN.WĘDZ.B/CHRZ.</t>
  </si>
  <si>
    <t>***BOCZ.MOCN.WĘDZ.B/CHRZVAC 1/2SZT KT EX</t>
  </si>
  <si>
    <t>***WĘDZ.KULINARNA</t>
  </si>
  <si>
    <t>***WĘDZ.KULINARNA BS</t>
  </si>
  <si>
    <t>***WĘDZ.KULINARNA 1ST TRM OK5KG KT MOR</t>
  </si>
  <si>
    <t>***WĘDZ.KULINARNA 1ST TRM OK8KG KT MOR</t>
  </si>
  <si>
    <t>***SZYN.DELIKATNA AS</t>
  </si>
  <si>
    <t>***SZYN.DELIKATNA BS</t>
  </si>
  <si>
    <t>***SZYN.DELIKATNA 1ST TRM BL</t>
  </si>
  <si>
    <t>***SZYN.DELIK.1/2STVAC OK5KGKT</t>
  </si>
  <si>
    <t>***SZYN.DELIKATNA 1/2ST TRM BL</t>
  </si>
  <si>
    <t>***SZYN.POLSKA 1/2STVAC OK6KGKT MOR</t>
  </si>
  <si>
    <t>***SZYN.SMAKOWITA 1/2ST OK5KG KT CARR</t>
  </si>
  <si>
    <t>***SZYN.DELIKATNA 1/2ST VAC OK5KG KT K</t>
  </si>
  <si>
    <t>***SZYN.POLSKA 1/2STVAC OK5KGKT EX</t>
  </si>
  <si>
    <t>***SZYN.POLSKA 1/2STVAC OK3KGKT EX</t>
  </si>
  <si>
    <t>***SZYN.POLSKA 1/2STVAC OK6KGKT MOR BIED</t>
  </si>
  <si>
    <t>KIEŁB.SZYN.WP.BS MOR</t>
  </si>
  <si>
    <t>KIEŁB.SZYNKOWA 1STVAC OK5KGKT MOR</t>
  </si>
  <si>
    <t>***KIEŁB.SZYNKOWA 1STVAC OK5KGKT MOR EX</t>
  </si>
  <si>
    <t>***KIEŁB.SZYNKOWA WP.1STVAC OK12KGKT</t>
  </si>
  <si>
    <t>***KIEŁ.SZYNKOWA MAP KT EX ROSJA</t>
  </si>
  <si>
    <t>***KIEŁB.SZYNKOWA OK2.6KGVAC OK5KGKT CON</t>
  </si>
  <si>
    <t>KIEŁB. KRAKOWSKA PARZONA MORLINY</t>
  </si>
  <si>
    <t>KIEŁB.KRAKOWSKA PARZONA MORLINY BS</t>
  </si>
  <si>
    <t>***KIEŁB.KRAK.PARZ.MOR.1SZT VAC OK10.5KG</t>
  </si>
  <si>
    <t>KIEŁB.KRAKOWSKA PARZ.AS</t>
  </si>
  <si>
    <t>KIEŁB.KRAKOWSKA PARZ.BS</t>
  </si>
  <si>
    <t>***KIEŁB.KRAKOWSKA PARZ.1STVAC</t>
  </si>
  <si>
    <t>***KIEŁB.KARAK.PARZONA MAP KT EX ROSJA</t>
  </si>
  <si>
    <t>***KIEŁB.KARAK.PARZONA 1SZTMAP KT ROS2</t>
  </si>
  <si>
    <t>KIEŁB.KRAK.KUR.400G AD</t>
  </si>
  <si>
    <t>KIEŁB.KRAK.KUR.400G BS</t>
  </si>
  <si>
    <t>KIEŁB.KRAK.KUR.400G AS</t>
  </si>
  <si>
    <t>***K.KRAK.Z KURCZ.OK400GVAC OK7KGKT MOR</t>
  </si>
  <si>
    <t>***K.KRAK.Z KURCZ.400GVAC 18STKT MOR EX</t>
  </si>
  <si>
    <t>***KIEŁB.ŻYWIECKA DROB.</t>
  </si>
  <si>
    <t>***KIEŁB.ŻYWIECKA DROB.BS</t>
  </si>
  <si>
    <t>***KIEŁB.ŻYWIECKA DROB.AS</t>
  </si>
  <si>
    <t>***KIEŁ.ŻYWIECKA Z KURCZ.800GVAC9STKTMOR</t>
  </si>
  <si>
    <t>***K.ŻYW.Z KURCZ.OK800GVACOK7.2KGKTMOR</t>
  </si>
  <si>
    <t>KIEŁB.ŻYWIECKA AD LIDL</t>
  </si>
  <si>
    <t>KIEŁB.ŻYWIECKA BS LIDL</t>
  </si>
  <si>
    <t>KIEŁB.ŻYWIECKA AS LIDL</t>
  </si>
  <si>
    <t>***KIEŁB.ŻYWIECKA 286GVAC 24STKT LIDL</t>
  </si>
  <si>
    <t>***K.ŻYWIECKA 286GVAC 24STKT LIDL EX LT</t>
  </si>
  <si>
    <t>***KIEŁB.ŻYWIECKA 572GVAC 12STKT LIDL BG</t>
  </si>
  <si>
    <t>KIEŁB.KRAKOWSKA DROB.AD</t>
  </si>
  <si>
    <t>KIEŁB.KRAKOWSKA DROB.BS</t>
  </si>
  <si>
    <t>***KIEŁB.KRAKOWSKA DROB.AS</t>
  </si>
  <si>
    <t>***KIEŁB.KRAKOWSKA DROB.300GVAC18STKTMOR</t>
  </si>
  <si>
    <t>KIEŁB.KRAK.PARZ.BS MOR</t>
  </si>
  <si>
    <t>***KRAK.PARZ.1STVACOK10.5KGKTMOR EX</t>
  </si>
  <si>
    <t>***KIEŁB.KRAKOWSKA SUCHA</t>
  </si>
  <si>
    <t>***KIEŁB.ZIELONOGÓRSKA</t>
  </si>
  <si>
    <t>***KIEŁB.ZIELONOGÓRSKA LUZ KT</t>
  </si>
  <si>
    <t>***KIEŁB.ZIELONOGÓRSKA LUZ KT M</t>
  </si>
  <si>
    <t>***KIEŁB.SZYNKOWA WP. DO PLASTRÓW</t>
  </si>
  <si>
    <t>***KIEŁB.ŻYWIECKA 600G VAC BIED.</t>
  </si>
  <si>
    <t>***KIEŁB.ŻYWIECKA EXTRA</t>
  </si>
  <si>
    <t>***KIEŁB.ŻYWIECKA 1SZT MAP</t>
  </si>
  <si>
    <t>***KIEŁB.ŻYWIECKA EXTRA 1SZT TRM</t>
  </si>
  <si>
    <t>***KIEŁB.ŻYW. EX. 1SZT TRM OK6KGKT KRAK</t>
  </si>
  <si>
    <t>***KIEŁB.ŻYWIECKA EX.1STTRM OK6KG KT ROS</t>
  </si>
  <si>
    <t>***KIEŁ. CZOSNKOWA ROSJA</t>
  </si>
  <si>
    <t>***KIEŁB.CZOSNKOWA 350G VAC KT EX ROSJA</t>
  </si>
  <si>
    <t>***KIEŁB.BIAŁA PARZ.BIED AS</t>
  </si>
  <si>
    <t>***KIEŁB.BIAŁA PARZ.BS BIED</t>
  </si>
  <si>
    <t>***KIEŁB.BIAŁA PARZ.OK1KGMAPOK5KGKT BIED</t>
  </si>
  <si>
    <t>***KIEŁB.PODW.W CELULOZIE</t>
  </si>
  <si>
    <t>***KIEŁB.PODW.W CELULOZIE BS</t>
  </si>
  <si>
    <t>***KIEŁB.PODW.B/OSŁ.VACOK500GOK6KGKT MOR</t>
  </si>
  <si>
    <t>***KIEŁB.BIAŁA PARZ.AS</t>
  </si>
  <si>
    <t>KIEŁB.BIAŁA PARZONA TESC BS</t>
  </si>
  <si>
    <t>***KIEŁB.BIAŁA PARZ.600G MAP KT MOR</t>
  </si>
  <si>
    <t>***KIEŁB.BIAŁA PARZ.OK1KGMAP OK10KGKT</t>
  </si>
  <si>
    <t>KIEŁB.BIAŁA Z SZYN.AS</t>
  </si>
  <si>
    <t>KIEŁB.BIAŁA Z SZYNKI BS</t>
  </si>
  <si>
    <t>***KIEŁB.BIAŁA Z SZYN.500GMAP12STKT BIED</t>
  </si>
  <si>
    <t>***K.BIAŁA Z SZYN.500GMAP 12STKT BIED I</t>
  </si>
  <si>
    <t>***KIEŁB.BIAŁA Z SZYN.500GMAP10STKT BIED</t>
  </si>
  <si>
    <t>***KIEŁB.BIAŁA Z SZYN.500GMAP 7STKT BIED</t>
  </si>
  <si>
    <t>KIEŁB.BIAŁA Z SZYN.500GMAP 10STKT MAZ</t>
  </si>
  <si>
    <t>KIEŁB.BIAŁA Z SZYN.500GMAP 8STKT BIED</t>
  </si>
  <si>
    <t>WT KIEŁB.BIAŁA Z SZYN.KAW.RO</t>
  </si>
  <si>
    <t>KIEŁB.PODWAWELSKA AS</t>
  </si>
  <si>
    <t>KIEŁB.PODWAWELSKA BS</t>
  </si>
  <si>
    <t>***KIEŁB.PODWAWELSKA 1.5KGMAPOK5KGKT MK</t>
  </si>
  <si>
    <t>***KIEŁB.TORUŃSKA OK800GMAP OK5KGKT BIED</t>
  </si>
  <si>
    <t>***KIEŁB.PODWAWEL.520GVAC 5.2KG KT MAKRO</t>
  </si>
  <si>
    <t>***KIEŁB.MAZURSKA 520GVAC 10STKT MOR EX</t>
  </si>
  <si>
    <t>KIEŁB.PODWAWELSKA 520GVAC 5.2KGKT</t>
  </si>
  <si>
    <t>***KIEŁB.PODWAW.OK0.5KG VAC OK5KG KT MOR</t>
  </si>
  <si>
    <t>KIEŁB.PODWAWELSKA 520GVAC 5.2KGKT MOR</t>
  </si>
  <si>
    <t>***KIEŁB.PODWAWELSKA 520GVAC 12STKT POLM</t>
  </si>
  <si>
    <t>***KIEŁB.PODWAWELSKA EXTRA OK0.5KGVAC EX</t>
  </si>
  <si>
    <t>KIEŁB.MAZURSKA 520GMAP 10STKT MOR GB</t>
  </si>
  <si>
    <t>***KIEŁB.PODWAWELSKA 4.0KG MAP R</t>
  </si>
  <si>
    <t>***KIEŁB.PODWAWELSKA 780GMAP 8STKT MOR</t>
  </si>
  <si>
    <t>***KIEŁB.PODWAWELSKA OK1KGMAPOK4KGKT MOR</t>
  </si>
  <si>
    <t>KIEŁB.PODWAWELSKA OK1KGMAP OK11KGKT M</t>
  </si>
  <si>
    <t>***K.PODWAWELSKA OK1.2KGMAP OK5KGKT EX</t>
  </si>
  <si>
    <t>***KIEŁB.PODWAWELSKA 0.5KG VAC MW</t>
  </si>
  <si>
    <t>***KIEŁB.PODWAWELSKA OK0.4KG VAC</t>
  </si>
  <si>
    <t>KIEŁB.PODWAWELSKA 520GVAC 6.24KGKT</t>
  </si>
  <si>
    <t>K.PODWAWELSKA OK1KGMAP OK10KGKT MAKR</t>
  </si>
  <si>
    <t>***KIEŁB.PODWAWELSKA MAKTON MAP M</t>
  </si>
  <si>
    <t>***KIEŁB.PODWAWELSKA MAP</t>
  </si>
  <si>
    <t>***KIEŁB.PODWAWELSKA 6KG MAP MR</t>
  </si>
  <si>
    <t>***KIEŁB.TORUŃSKA OK1.5KG MAP M</t>
  </si>
  <si>
    <t>***KIEŁB.PODWAWELSKA OK1KGMAP 5KGKT MOR</t>
  </si>
  <si>
    <t>***KIEŁB.PODWAWE.520G VAC5.2KG KT TESC</t>
  </si>
  <si>
    <t>PP KIEŁB.PODWAWELSKA AS BAR</t>
  </si>
  <si>
    <t>PP KIEŁB.PODWAWELSKA BS BAR</t>
  </si>
  <si>
    <t>***K.PODWAWELSKA 500GVAC 6KGKT LIDL</t>
  </si>
  <si>
    <t>***KIEŁB.PODWAW.500GVAC 6KGKT LIDL EX LT</t>
  </si>
  <si>
    <t>***KIEŁB.PODWAWELSKA OK500GVAC7KGKT LIDL</t>
  </si>
  <si>
    <t>KIEŁB.PODWAWEL.OK500GVAC 7.5KGKT LIDL I</t>
  </si>
  <si>
    <t>KIEŁB.PODW.500GVAC 7.5KGKT LIDL LT</t>
  </si>
  <si>
    <t>KIEŁB.PODW.500GVAC 7.5KGKT LIDL SK I</t>
  </si>
  <si>
    <t>***KIEŁB.PODWAW.94% OK1KG MAP OK10KGKT</t>
  </si>
  <si>
    <t>***KIEŁB.Z SZYNKI</t>
  </si>
  <si>
    <t>***KIEŁB.Z SZYN.500G MAP 4KG KT TESC</t>
  </si>
  <si>
    <t>***KIEŁB.Z SZYN.OK1.5KGMAP OK6KG KT TESC</t>
  </si>
  <si>
    <t>***KIEŁB. ŻYWIECKA S</t>
  </si>
  <si>
    <t>***KIEŁB.ŻYWIECKA S 320G MAP3.2KG KTTESC</t>
  </si>
  <si>
    <t>***KIEŁB.ŚLĄSKA GRILL</t>
  </si>
  <si>
    <t>***KIEŁB.ŚLĄSKA GRILL BS</t>
  </si>
  <si>
    <t>***KIEŁB.KRUCHA SUCHA AS</t>
  </si>
  <si>
    <t>***KIEŁB.KRUCHA BS</t>
  </si>
  <si>
    <t>***KIEŁB.KRUCHA OK.400G MAP 5.6KG KT JMD</t>
  </si>
  <si>
    <t>***KIEŁB.KRUCHA OK.400G MAP OK.8KG KT</t>
  </si>
  <si>
    <t>***KIEŁB.KRUCHA 400GMAP 4.8KGKT KRA</t>
  </si>
  <si>
    <t>***KIEŁB.KRUCHA 400G MAP 4.8KG KS KRA</t>
  </si>
  <si>
    <t>KIEŁB.GŁOGOWSKA AS</t>
  </si>
  <si>
    <t>KIEŁB.GŁOGOWSKA BS</t>
  </si>
  <si>
    <t>***KIEŁB.GŁOGOWSKA 540GMAP 5.4KGKT MOR</t>
  </si>
  <si>
    <t>***KIEŁB.BURSZT.OK1.1KGFPK OK5.5KGKT MOR</t>
  </si>
  <si>
    <t>KIEŁB.GŁOGOWSKA 540GVAC 5.4KGKT MOR</t>
  </si>
  <si>
    <t>***KIEŁB.Z SZYN.OK1.1KGMAP OK5.5KGKT DC</t>
  </si>
  <si>
    <t>***KIEŁB.GŁOGOWSKA 540GMAP 8STKT KRA</t>
  </si>
  <si>
    <t>***KIEŁB.PODWAW.Z SZYN.270GMAP12STKT MOR</t>
  </si>
  <si>
    <t>***KIEŁB.GŁOG.OK 0.8KG MAP OK5KG KT MOR</t>
  </si>
  <si>
    <t>***KIEŁB.PODWAW.Z SZYN.270GMAP20STKT MOR</t>
  </si>
  <si>
    <t>***K.PODWAW.Z SZYN.270GMAP12STKT MOR EX</t>
  </si>
  <si>
    <t>***KIEŁB.PODLASKA</t>
  </si>
  <si>
    <t>***KIEŁB.O SMAKU KEBAB</t>
  </si>
  <si>
    <t>***KIEŁB.O SMAKU KEBAB BS</t>
  </si>
  <si>
    <t>***KIEŁB.OSMAKUKEBAB700G VAC 5.6KG KT MR</t>
  </si>
  <si>
    <t>***KIEŁB.O SMAKU KEBAB700G VAC5.6KGKTDMR</t>
  </si>
  <si>
    <t>***KIEŁB.BIAŁA HOT DOG</t>
  </si>
  <si>
    <t>***KIEŁB.BIAŁA HOT DOG BS</t>
  </si>
  <si>
    <t>KIEŁB.BIAŁA HOT DOG 700G VAC 5.6KG KT MR</t>
  </si>
  <si>
    <t>***KIEŁB.BIAŁA HOT DOG700G VAC5.6KGKTDMR</t>
  </si>
  <si>
    <t>KIEŁB.ZWYCZAJNA AS</t>
  </si>
  <si>
    <t>KIEŁB. ZWYCZAJNA BS</t>
  </si>
  <si>
    <t>***KIEŁB.ZWYCZAJNA OK700GMAP OK5KGKT</t>
  </si>
  <si>
    <t>***KIEŁB.WYBORCZA GRILL.OK700GMAPOK5KGKT</t>
  </si>
  <si>
    <t>***KIEŁB.WYBORNA OK1.5KGMAP OK6KGKT MOR</t>
  </si>
  <si>
    <t>***KIEŁB.ZWYCZAJNA 700GMAP 6.3KGKT</t>
  </si>
  <si>
    <t>KIEŁB.ZWYCZAJNA OK700GMAP OK5KGKT E</t>
  </si>
  <si>
    <t>***KIEŁB.WYBORCZA700G MAP5.6KG KT JMP</t>
  </si>
  <si>
    <t>***KIEŁB.WYBORNA 700GMAP 4.9KGKT MOR</t>
  </si>
  <si>
    <t>KIEŁB.ZWYCZAJNA 700GMAP 4.9KGKT MOR</t>
  </si>
  <si>
    <t>***KIEŁB.DOBRA 700G MAP 4.9KG KT MOR</t>
  </si>
  <si>
    <t>***KIEŁB.DOBRA OK1.5 KG MAP OK6KG KT MOR</t>
  </si>
  <si>
    <t>***K.MORLIŃSKA GRILL.600GMAP 8STKT MOR</t>
  </si>
  <si>
    <t>WT KIEŁB.ZWYCZAJNA KAW.OK15KG NB MR</t>
  </si>
  <si>
    <t>WT KIEŁB.ZWYCZAJNA KAW.OK15KG NB DMR</t>
  </si>
  <si>
    <t>KIEŁB.ŚLĄSKA MOR AS</t>
  </si>
  <si>
    <t>KIEŁB.ŚLĄSKA BS MOR</t>
  </si>
  <si>
    <t>***KIEŁB.ŚLĄSKA 550GMAP 5.5KGKT MOR</t>
  </si>
  <si>
    <t>***KIEŁB.ŚLĄSKA OK1KGMAP OK7KGKT MOR</t>
  </si>
  <si>
    <t>***KIEŁB.ŚLĄSKA OK0.7KGMAP 10STKT MOR</t>
  </si>
  <si>
    <t>***KIEŁB.ŚLĄSKA MP OK1.2KGMAPOK5KGKT MOR</t>
  </si>
  <si>
    <t>***KIEŁB.ŚLĄSKA MP OK1.2KGMAPOK10KGKTMOR</t>
  </si>
  <si>
    <t>***KIEŁB.ŚLĄSKA 550GMAP 12STKT MOR</t>
  </si>
  <si>
    <t>***K.ŚLĄSKA MP1.1KGMAP9.9KGKT MOR AUCH</t>
  </si>
  <si>
    <t>***KIEŁB.ŚLĄSKA 550GMAP 8STKT MOR</t>
  </si>
  <si>
    <t>KIEŁB.MORLIŃSKA Z SZYN.KRÓTKA AS</t>
  </si>
  <si>
    <t>KIEŁB.MORLIŃSKA Z SZYN.KRÓTKA BS</t>
  </si>
  <si>
    <t>***K.MORLIŃSKA Z SZYN.550GMAP 12STKT MOR</t>
  </si>
  <si>
    <t>***KIEŁB.ŚLĄSKA TESCO</t>
  </si>
  <si>
    <t>KIEŁB.ŚLĄSKA BS TESC</t>
  </si>
  <si>
    <t>***KIEŁB.ŚLĄSKA 550G MAP 10ST KT TESC</t>
  </si>
  <si>
    <t>***KIEŁB.ŚLĄSKA OK700G MAP OK5KG KT TESC</t>
  </si>
  <si>
    <t>KIEŁB.GRILL.LIDL AS</t>
  </si>
  <si>
    <t>KIEŁB.GRILLOWA BS LIDL</t>
  </si>
  <si>
    <t>***KIEŁB.GRILLOWA 550G MAP 6.6KG KT LIDL</t>
  </si>
  <si>
    <t>***KIEŁB.ŚLĄSKA 550GMAP 4.4KGKT LIDL</t>
  </si>
  <si>
    <t>***KIEŁB.ŚLĄSKA OK1KG MAP OK7KG KT KRA</t>
  </si>
  <si>
    <t>***KIEŁB.ŚLĄSKA 550GMAP 10STKT LIDL</t>
  </si>
  <si>
    <t>KIEŁB.ŚLĄSKA 550GMAP 9STKT KRA</t>
  </si>
  <si>
    <t>***KIEŁB.ŚLĄSKA 270GMAP 6STKT KRA</t>
  </si>
  <si>
    <t>***KIEŁB.ŚLĄSKA OK1KGMAPOK7KGKT KRA KAUF</t>
  </si>
  <si>
    <t>***KIEŁB.ŚLĄSKA 550GMAP 10STKT PIK LIDL</t>
  </si>
  <si>
    <t>***KIEŁB.ŚLĄSKA 550GMAP10STKT LIDL EX LT</t>
  </si>
  <si>
    <t>***KIEŁB.ŚLĄSKA 550GMAP 12STKT KRA I</t>
  </si>
  <si>
    <t>***KIEŁB.ŚLĄSKA 550GMAP 12STKT KRA II</t>
  </si>
  <si>
    <t>KIEŁB.ŚLĄSKA 550GMAP 6STKT KRA EX</t>
  </si>
  <si>
    <t>***KIEŁB.ZE SCH.AS</t>
  </si>
  <si>
    <t>***KIEŁB.ZE SCH.BS</t>
  </si>
  <si>
    <t>***KIEŁB.ZE SCHABU 260GMAP 5.2KGKT BIED</t>
  </si>
  <si>
    <t>***KIEŁB.ŚLĄSKA MP AS</t>
  </si>
  <si>
    <t>***KIEŁB.ŚLĄSKA MP BS</t>
  </si>
  <si>
    <t>***KIEŁB.ŚLĄSKA MP OK1.5KGMAPOK6KGKT MOR</t>
  </si>
  <si>
    <t>***KIEŁB.SZASZŁYKOWA</t>
  </si>
  <si>
    <t>***KIEŁB.SZASZŁYKOWA BS</t>
  </si>
  <si>
    <t>***KIEŁB.SZASZŁYKOWA 550G MAP BL</t>
  </si>
  <si>
    <t>***KIEŁB.BBQ.</t>
  </si>
  <si>
    <t>***KIEŁB.BBQ BS</t>
  </si>
  <si>
    <t>***KIEŁB.BBQ 550G MAP BL</t>
  </si>
  <si>
    <t>***KIEŁB.KEBAB</t>
  </si>
  <si>
    <t>***KIEŁB.KEBAB BS</t>
  </si>
  <si>
    <t>***KIEŁB.KEBAB 270G MAP BL</t>
  </si>
  <si>
    <t>***KIEŁB.CHORIZO</t>
  </si>
  <si>
    <t>***KIEŁB.CHORIZO BS</t>
  </si>
  <si>
    <t>***KIEŁB.CHORIZO 270G MAP BL</t>
  </si>
  <si>
    <t>***KIEŁB.BURSZTYN.AS</t>
  </si>
  <si>
    <t>***KIEŁB.BURSZTYN.BS</t>
  </si>
  <si>
    <t>***KIEŁB.BURSZT.OK1.2KGMAP OK5KGKT MOR</t>
  </si>
  <si>
    <t>***KIEŁB.BURSZT.OK1KG MAP OK6KG KT MOR</t>
  </si>
  <si>
    <t>KIEŁB.REGIONALNA AS</t>
  </si>
  <si>
    <t>KIEŁB.REGIONALNA BS</t>
  </si>
  <si>
    <t>KIEŁB.ZWYCZAJNA 500GMAP 12STKT YAN</t>
  </si>
  <si>
    <t>***K.BIWAKOWA OK600GMAP OK12KGKT YAN EX</t>
  </si>
  <si>
    <t>***KIEŁB.BIWAKOWA OK600GMAP OK6KGKT YAN</t>
  </si>
  <si>
    <t>***KIEŁB.BIWAKOWA OK600GMAP OK12KGKT YAN</t>
  </si>
  <si>
    <t>***KIEŁB.ZWYKŁA OK1KGMAP OK10KGKT MAKR</t>
  </si>
  <si>
    <t>***KIEŁB.BIWAKOWA OK1KGMAP 4KGKT LIDL</t>
  </si>
  <si>
    <t>***KIEŁB.BIESIADNA 600GMAP 10STKT YAN</t>
  </si>
  <si>
    <t>KIEŁB.ZWYCZAJNA 500GMAP 6STKT ELIT</t>
  </si>
  <si>
    <t>***K.BIWAKOWA OK1.3KGMAP7.8KGKT LIDL RO</t>
  </si>
  <si>
    <t>KIEŁB.ZWYCZAJNA OK1.2KGMAP 6KGKT ALDI</t>
  </si>
  <si>
    <t>***KIEŁB.ŚLĄSKA Z SZYN.AS BIED</t>
  </si>
  <si>
    <t>***KIEŁB.ŚLĄSKA Z SZYN.BS BIED</t>
  </si>
  <si>
    <t>***KIEŁB.ŚLĄSKA Z SZYN.500GMAP12STKTBIED</t>
  </si>
  <si>
    <t>***KIEŁB.ŚLĄSKA 500G AS LIDL</t>
  </si>
  <si>
    <t>***KIEŁB.ŚLĄSKA 500G BS LIDL</t>
  </si>
  <si>
    <t>***KIEŁB.ŚLĄSKA 500GMAP 7STKT LIDL</t>
  </si>
  <si>
    <t>***KIEŁB.CODZIENNA AS</t>
  </si>
  <si>
    <t>***KIEŁB.CODZIENNA BS</t>
  </si>
  <si>
    <t>***KIEŁB.CODZIENNA OK1KGMAP 4KGKT LIDL I</t>
  </si>
  <si>
    <t>KIEŁB.ŚLĄSKA 90% AS</t>
  </si>
  <si>
    <t>KIEŁB.ŚLĄSKA 90% BS</t>
  </si>
  <si>
    <t>***KIEŁB.ŚLĄSKA 90% 550GMAP12STKT BIED I</t>
  </si>
  <si>
    <t>***KIEŁB.ŚLĄSKA 90% OK1KGMAPOK7KGKT BIED</t>
  </si>
  <si>
    <t>***K.ŚLĄSKA 90% OK1KGMAPOK7KGKT BIED II</t>
  </si>
  <si>
    <t>KIEŁB.CHILI/SER BS</t>
  </si>
  <si>
    <t>KIEŁB.CHILI/SER 300GMAP BL</t>
  </si>
  <si>
    <t>***KIEŁB.CHILI/SER 300GMAP 18STKT MOR EX</t>
  </si>
  <si>
    <t>***KIEŁB.CHILI/SER 240GMAP 11STKT MOR EX</t>
  </si>
  <si>
    <t>KIEŁB.BEK/CEB.AS</t>
  </si>
  <si>
    <t>KIEŁB.BEK/CEB.BS</t>
  </si>
  <si>
    <t>KIEŁB.BEK/CEB.300GMAP BL</t>
  </si>
  <si>
    <t>KIEŁB.PODWAWELSKA FES AS</t>
  </si>
  <si>
    <t>WT KIEŁB.TOR/PODW.KAW.RO FES</t>
  </si>
  <si>
    <t>KIEŁB.REGIONALNA OK1.2KGMAPOK7.2KGKTBIED</t>
  </si>
  <si>
    <t>KIEŁB.REGIONALNA OK1.2KGMAP OK7.2KGKT EX</t>
  </si>
  <si>
    <t>KIEŁB.ŚLĄSKA FES AS LIDL EX</t>
  </si>
  <si>
    <t>KIEŁB.ŚLĄSKA 550GMAP 7STKT LIDL SK II</t>
  </si>
  <si>
    <t>KIEŁB.ŚLĄSKA 550GMAP 7STKT LIDL RO II</t>
  </si>
  <si>
    <t>KIEŁB.ŚLĄSKA 550GMAP 7STKT LIDL HR II</t>
  </si>
  <si>
    <t>KIEŁB.ŚLĄSKA 550GMAP 7STKT LIDL GB II</t>
  </si>
  <si>
    <t>K.ŚLĄSKA GRILL.OK1KGMAP OK7.2KGKT BIED</t>
  </si>
  <si>
    <t>***KIEŁB.CZOSN.LT</t>
  </si>
  <si>
    <t>***KIEŁB.CZOSN.LT BS</t>
  </si>
  <si>
    <t>***KIEŁB.CZOSNKOWA 400G VAC 16KG KT LT</t>
  </si>
  <si>
    <t>KIEŁB.Z/PIEP.BS</t>
  </si>
  <si>
    <t>KIEŁB.CZOSN.AS</t>
  </si>
  <si>
    <t>KIEŁB.CZOSN.BS</t>
  </si>
  <si>
    <t>***KIEŁB.CZOSN.400GVAC 4.8KGKT EX CZ</t>
  </si>
  <si>
    <t>***KIEŁB.CZOSNKOWA 400G VAC</t>
  </si>
  <si>
    <t>***KIEŁB.KANAPKOWA 400G VAC 3.6KGKT MK</t>
  </si>
  <si>
    <t>***KIEŁB.CZOSNKOWA 400GVAC 12STKT MAZ</t>
  </si>
  <si>
    <t>***KIEŁB.CZOSNKOWA 400GVAC 12ST KT MAKRO</t>
  </si>
  <si>
    <t>***KIEŁB.CZOSNKOWA OK1.6KG 2SZT MAP EX E</t>
  </si>
  <si>
    <t>***KIEŁB.CZOSNKOWA OK1.6KG 2SZT MAP EX D</t>
  </si>
  <si>
    <t>***KIEŁB.CZOSNKOWA 1/2SZT VAC EX S</t>
  </si>
  <si>
    <t>***KIEŁB.CZOSNKOWA 400G VAC EX D</t>
  </si>
  <si>
    <t>***KIEŁB.CZOSNKOWA 400G VAC EX</t>
  </si>
  <si>
    <t>***KIEŁB.CZOSNKOWA 400G VAC EX P</t>
  </si>
  <si>
    <t>KIEŁB.CZOSNKOWA 400GVAC 9STKT EX L</t>
  </si>
  <si>
    <t>***KIEŁ.CZOSNKOWA 400G VAC ROS</t>
  </si>
  <si>
    <t>KIEŁB.CZOSNKOWA 400GVAC 9.6KG KT EST</t>
  </si>
  <si>
    <t>***KIEŁ.CZOSNKOWA 400G VAC 16KG KT LITWA</t>
  </si>
  <si>
    <t>***KIEŁB.TATRZAŃSKA</t>
  </si>
  <si>
    <t>***KIEŁB.TATRZAŃSKA OK.1KG MAP</t>
  </si>
  <si>
    <t>KIEŁB.SUMMER SALAMI BS</t>
  </si>
  <si>
    <t>KIEŁB.SUMMER SALAMI 400GVAC 10STKT ELIT</t>
  </si>
  <si>
    <t>PP KIEŁB.CZOSN.BS LIDL</t>
  </si>
  <si>
    <t>PP KIEŁB.CZOSN.400GVAC 16STKT LIDL EX</t>
  </si>
  <si>
    <t>KIEŁB.SER/POMID.BS</t>
  </si>
  <si>
    <t>KIEŁB.SER/POMID.300GMAP 20STKT LIDL</t>
  </si>
  <si>
    <t>FRANK.Z SER/POMID.AS BP</t>
  </si>
  <si>
    <t>FRANK.Z SER/POMID.BS BP</t>
  </si>
  <si>
    <t>FRANK.Z SER/POMID.480GMAP 20STKT MR BP</t>
  </si>
  <si>
    <t>FRANK.Z SER/POMID.480GMAP 20STKT DMR BP</t>
  </si>
  <si>
    <t>KIEŁB.ŚLĄSKA M.91% 550GMAP 12STKT BIED</t>
  </si>
  <si>
    <t>KIEŁB.ŚLĄSKA M.91% OK1KGMAPOK7KGKT BIED</t>
  </si>
  <si>
    <t>KIEŁB.ŚLĄSKA M.91% BS</t>
  </si>
  <si>
    <t>****K.ŚLĄSKA 91% 550GMAP 12STKT BIED II</t>
  </si>
  <si>
    <t>***K.ŚLĄSKA 91% OK1KGMAPOK7KGKT BIED II</t>
  </si>
  <si>
    <t>***FRANK.GRILLOWE PARZONE</t>
  </si>
  <si>
    <t>***FRANK.PARZONE 900GMAP 7.2KGKT JAP DMR</t>
  </si>
  <si>
    <t>***FRANK.GRILLOWE WĘDZONE</t>
  </si>
  <si>
    <t>***FRANK.GRILLOWE PARZONE Z SEREM</t>
  </si>
  <si>
    <t>KIEŁB.PAPR.AS</t>
  </si>
  <si>
    <t>KIEŁB.PAPR.BS</t>
  </si>
  <si>
    <t>KIEŁB.BIAŁE AS LIDL</t>
  </si>
  <si>
    <t>***KABAN.WYBORNE OK 500G MAP OK 3KG KT</t>
  </si>
  <si>
    <t>KIEŁB.ŚLĄSKA BS LIDL EX</t>
  </si>
  <si>
    <t>***KIEŁB.ŚLĄSKA 550GMAP 7STKT LIDL BG I</t>
  </si>
  <si>
    <t>KABAN.DROB.-WP.300G AD</t>
  </si>
  <si>
    <t>KABAN.DROB.-WP.300G BS</t>
  </si>
  <si>
    <t>KABAN.DROB.-WP.300G AS</t>
  </si>
  <si>
    <t>***KABAN.DROB.-WP.300GMAP 12STKT MOR</t>
  </si>
  <si>
    <t>KABAN.WP.300G BS</t>
  </si>
  <si>
    <t>KABAN.WP.300G AS</t>
  </si>
  <si>
    <t>***KABAN.WP.300GMAP 12STKT MOR</t>
  </si>
  <si>
    <t>***FRANK.GRILL.PARZ.CHILI</t>
  </si>
  <si>
    <t>***FRANK.GRILL.PARZ.CHILI BS</t>
  </si>
  <si>
    <t>KIEŁB.PODWAWELSKA AS BIED</t>
  </si>
  <si>
    <t>KIEŁB.PODWAWELSKA BS BIED</t>
  </si>
  <si>
    <t>KIEŁB.PODWAWELSKA OK500GVAC OK7KGKT BIED</t>
  </si>
  <si>
    <t>KIEŁB.ŚLĄSKA 90% MP AS LIDL</t>
  </si>
  <si>
    <t>KIEŁB.ŚLĄSKA 90% MP BS LIDL</t>
  </si>
  <si>
    <t>***KIEŁB.ŚLĄSKA MP 1.3KGMAP 4STKT LIDL</t>
  </si>
  <si>
    <t>***KIEŁB.ŚLĄSKA 90% OK1KGMAP OK6KGKT MOR</t>
  </si>
  <si>
    <t>***K.ŚLĄSKA OK1.3KGMAP 5.2KGKT LIDL</t>
  </si>
  <si>
    <t>***KIEŁB.ŚLĄSKA OK1.3KGMAP 7.8KGKT LIDL</t>
  </si>
  <si>
    <t>***KIEŁB.PODWAWELSKA PZ AS</t>
  </si>
  <si>
    <t>***KIEŁB.PODWAWELSKA PZ BS</t>
  </si>
  <si>
    <t>***K.PODWAW.PZ OK500GVACOK6KGKT TESC</t>
  </si>
  <si>
    <t>***K.PODWAWELSKA PZ 520GVAC 12STKT TESC</t>
  </si>
  <si>
    <t>***KIEŁB.PODWAWELSKA PZ 520GVAC A</t>
  </si>
  <si>
    <t>***K.PODWAWELSKA GRILL.520GVAC12STKTTESC</t>
  </si>
  <si>
    <t>***K.PODWAWELSKA PZ OK1KGMAP OK4KGKT T</t>
  </si>
  <si>
    <t>***K.PODWA.GRILL.OK1KGMAPOK4KGKTTESC</t>
  </si>
  <si>
    <t>***KIEŁB.ŚLĄSKA 90% AS</t>
  </si>
  <si>
    <t>***KIEŁB.ŚLĄSKA 90% BS</t>
  </si>
  <si>
    <t>***KIEŁB.ŚLĄSKA 500GMAP 10STKT LIDL</t>
  </si>
  <si>
    <t>KIEŁB.ZWYCZAJNA DROB.-WP.AS</t>
  </si>
  <si>
    <t>KIEŁB.ZWYCZAJNA DROB.-WP.BS</t>
  </si>
  <si>
    <t>***KIEŁB.BIESIADNA OK1KGMAP OK8KGKT YAN</t>
  </si>
  <si>
    <t>***KIEŁB.BIESIADNA</t>
  </si>
  <si>
    <t>***KIEŁB.BIESIADNA BS</t>
  </si>
  <si>
    <t>***KIEŁB.ŚLĄSKA AS ARO</t>
  </si>
  <si>
    <t>***KIEŁB.ŚLĄSKA BS ARO</t>
  </si>
  <si>
    <t>***KIEŁB.ŚLĄSKA OK1KG MAP OK10KG KT ARO</t>
  </si>
  <si>
    <t>***FRANK.GRILLOWE PARZONE KRÓTKIE</t>
  </si>
  <si>
    <t>***KIEŁB.TORUŃSKA WP.-DROB.</t>
  </si>
  <si>
    <t>***KIEŁB.TORUŃSKA WP.-DROB.BS</t>
  </si>
  <si>
    <t>***KIEŁB.TORUŃSKA OK1KGMAPOK5KGKT MOR</t>
  </si>
  <si>
    <t>FRANK.AS</t>
  </si>
  <si>
    <t>FRANK.BS</t>
  </si>
  <si>
    <t>***FRANK.300GMAP 20STKT KRA</t>
  </si>
  <si>
    <t>***FRANK.OK1.5KGMAP OK9KGKT MOR</t>
  </si>
  <si>
    <t>***FRANK.350MAP 18STKT LIDL</t>
  </si>
  <si>
    <t>***FRANK.220GMAP 27STKT KRA</t>
  </si>
  <si>
    <t>***FRANK.OK1.2KGMAP OK7KGKT KRA</t>
  </si>
  <si>
    <t>FRANK.OK800GMAP OK7.2KGKT MOR</t>
  </si>
  <si>
    <t>40-23792</t>
  </si>
  <si>
    <t>FRANK.240GMAP 11STKT MOR</t>
  </si>
  <si>
    <t>***FRANK.OK2KGMAP OK8KG KT MOR</t>
  </si>
  <si>
    <t>***FRANK.240GMAP 8STKT MOR</t>
  </si>
  <si>
    <t>***FRANK.OK800GMAP OK7.2KGKT MOR EX</t>
  </si>
  <si>
    <t>***FRANK.OK800GMAP OK3.2KGKT MOR EX</t>
  </si>
  <si>
    <t>FRANK.240GMAP 11STKT MOR EX II</t>
  </si>
  <si>
    <t>***KIEŁB.TEKSAŃSKA AS</t>
  </si>
  <si>
    <t>***KIEŁB.TEKSAŃSKA BS</t>
  </si>
  <si>
    <t>***KIEŁB.TEKSAŃSKA 540GMAP 8STKT MOR</t>
  </si>
  <si>
    <t>***KIEŁB.TEKSAŃSKA 270GMAP 10STKT MOR</t>
  </si>
  <si>
    <t>***KIEŁB.TEKSAŃSKA 540GMAP 8STKT MOR EX</t>
  </si>
  <si>
    <t>***KIEŁB.GŁOGOWSKA Z GORCZYCĄ AS</t>
  </si>
  <si>
    <t>***KIEŁB.GŁOGOWSKA Z GORCZYCĄ BS</t>
  </si>
  <si>
    <t>***KIEŁB.GŁOGOWSKA 500G VAC 12ST KT MOR</t>
  </si>
  <si>
    <t>KIEŁB.ŚLĄSKA FES AS MOR</t>
  </si>
  <si>
    <t>KIEŁB.ŚLĄSKA OK1KGMAP OK7KGKT MOR II</t>
  </si>
  <si>
    <t>KIEŁB.CODZIENNA OK1.2KGMAP 7.2KGKT LIDL</t>
  </si>
  <si>
    <t>***KIEŁB.ŚLĄSKA 80% AS</t>
  </si>
  <si>
    <t>***KIEŁB.ŚLĄSKA 80% BS</t>
  </si>
  <si>
    <t>***KIEŁB.ŚLĄSKA 80% 550GMAP 10STKT MOR</t>
  </si>
  <si>
    <t>***KIEŁB.ŚLĄSKA 80% PZ AS</t>
  </si>
  <si>
    <t>***KIEŁB.ŚLĄSKA 80% PZ BS</t>
  </si>
  <si>
    <t>***K.ŚLĄSKA 80% PZ 550GMAP10STKT TESC</t>
  </si>
  <si>
    <t>***K.ŚLĄSKA 80%PZ OK1KGMAPOK5KGKT TESC</t>
  </si>
  <si>
    <t>KIEŁB.ŚLĄSKA 90% MP AS LIDL EX</t>
  </si>
  <si>
    <t>KIEŁB.ŚLĄSKA 90% MP BS LIDL EX</t>
  </si>
  <si>
    <t>***K.ŚLĄSKA MP 1.3KGMAP4STKT LIDL EX LT</t>
  </si>
  <si>
    <t>***KIEŁB.ŚLĄSKA MP 1.3KGMAP 4STKT MR</t>
  </si>
  <si>
    <t>***KIEŁB.ŚLĄSKA MP 1.3KGMAP 4STKT DMR</t>
  </si>
  <si>
    <t>***K.ŚLĄSKA MP 1.3KGMAP4STKT LIDL EX CZ</t>
  </si>
  <si>
    <t>***K.ŚLĄSKA MP 1.3KGMAP4STKT LIDL EX SK</t>
  </si>
  <si>
    <t>***KIEŁB.ŚLĄSKA OK1KGMAP OK10KGKT</t>
  </si>
  <si>
    <t>***KIEŁB.ŚLĄSKA MP 1.3KGMAP4STKT LIDL HU</t>
  </si>
  <si>
    <t>***K.ŚLĄSKA MP 1.3KGMAP4STKT LIDL EX BG</t>
  </si>
  <si>
    <t>***K.ŚLĄSKA MP 1.3KGMAP4STKT LIDL EX AT</t>
  </si>
  <si>
    <t>***KIEŁB.ŚLĄSKA OK1.3KGMAP 5.2KGKT LIDL</t>
  </si>
  <si>
    <t>***K.ŚLĄSKA MP 1.3KGMAP4STKT LIDL EX HR</t>
  </si>
  <si>
    <t>***K.ŚLĄSKA MP 1.3KGMAP4STKT LIDL EX RO</t>
  </si>
  <si>
    <t>KIEŁB.ŚLĄSKA MP 1.3KGMAP 6STKT LIDL CZ</t>
  </si>
  <si>
    <t>KIEŁB.ŚLĄSKA MP 1.3KGMAP 6STKT LIDL SK</t>
  </si>
  <si>
    <t>KIEŁB.ŚLĄSKA MP 1.3KGMAP 6STKT LIDL HU</t>
  </si>
  <si>
    <t>KIEŁB.ŚLĄSKA MP 1.3KGMAP 6STKT LIDL BG</t>
  </si>
  <si>
    <t>KIEŁB.ŚLĄSKA MP 1.3KGMAP 6STKT LIDL HR</t>
  </si>
  <si>
    <t>KIEŁB.ŚLĄSKA MP 1.3KGMAP 6STKT LIDL DK</t>
  </si>
  <si>
    <t>KIEŁB.TORUŃSKA.AS BIED</t>
  </si>
  <si>
    <t>KIEŁB.TORUŃSKA BS BIED</t>
  </si>
  <si>
    <t>KIEŁB.TORUŃSKA OK800GMAP OK5KGKT BIED</t>
  </si>
  <si>
    <t>***KIEŁB.TORUŃSKA OK500GVAC 7KGKT LIDL</t>
  </si>
  <si>
    <t>***KIEŁB.TORUŃSKA 520GVAC 12STKT MOR</t>
  </si>
  <si>
    <t>PP KIEŁB.MAZURSKA 520GMAP 10STKT LIDL</t>
  </si>
  <si>
    <t>***KIEŁB.ŚLĄSKA 90% AS LIDL EX</t>
  </si>
  <si>
    <t>***KIEŁB.ŚLĄSKA 90% BS LIDL EX</t>
  </si>
  <si>
    <t>***KIEŁB.ŚLĄSKA 500GMAP10STKT LIDL EX SK</t>
  </si>
  <si>
    <t>***KIEŁB.ŚLĄSKA 500GMAP10STKT LIDL EX RO</t>
  </si>
  <si>
    <t>***KIEŁB.ŚLĄSKA 500GMAP10STKT LIDL EX HR</t>
  </si>
  <si>
    <t>***KIEŁB.ŚLĄSKA 500GMAP10STKT LIDL EX GB</t>
  </si>
  <si>
    <t>***KIEŁB.ŚLĄSKA 500GMAP10STKT LIDL EX SI</t>
  </si>
  <si>
    <t>***FRANK.AS LIDL</t>
  </si>
  <si>
    <t>***FRANK.BS LIDL</t>
  </si>
  <si>
    <t>***KIEŁB.BIAŁA AS LIDL</t>
  </si>
  <si>
    <t>***KIEŁB.BIAŁA OK15KGWOR PJ MR</t>
  </si>
  <si>
    <t>***KIEŁB.BIAŁA BS LIDL</t>
  </si>
  <si>
    <t>***KIEŁB.BIAŁA OK15KGWOR PJ DMR</t>
  </si>
  <si>
    <t>***KIEŁB.BIAŁA OK15KGWOR PJ</t>
  </si>
  <si>
    <t>***KIEŁB.BIAŁA 500GMAP 12STKT LIDL</t>
  </si>
  <si>
    <t>***KIEŁB.PODSUSZANA AD</t>
  </si>
  <si>
    <t>***KIEŁB.PODSUSZANA BS</t>
  </si>
  <si>
    <t>***KIEŁB.PODSUSZANA AS</t>
  </si>
  <si>
    <t>***KIEŁB.PODSUSZANA 350GMAP BL</t>
  </si>
  <si>
    <t>***KIEŁB.PODSUSZ.PIEPRZ/MAJER.AD</t>
  </si>
  <si>
    <t>***KIEŁB.PODSUSZ.PIEPRZ/MAJER.BS</t>
  </si>
  <si>
    <t>***KIEŁB.PODSUSZ.PIEPRZ/MAJER.AS</t>
  </si>
  <si>
    <t>***KIEŁB.PODSUSZ.PIEPRZ/MAJER.350GMAP BL</t>
  </si>
  <si>
    <t>KABAN.MOR.WYB.</t>
  </si>
  <si>
    <t>KABAN.MOR.WYB.BS</t>
  </si>
  <si>
    <t>KABAN.MOR.WYB.AS</t>
  </si>
  <si>
    <t>***KABAN.MOR.WYBORNE 105G MAP 14 ST KT</t>
  </si>
  <si>
    <t>***KABAN.MOR.WYB.105GMAP 20STKT UK</t>
  </si>
  <si>
    <t>***KABAN.MOR.WYB.105GMAP 14STKT DE</t>
  </si>
  <si>
    <t>***KABAN.MORLIN.WYBORNE 1.47KG KT</t>
  </si>
  <si>
    <t>***KAB.MOR WYBORNE105GMAP2.1KGKTĆW.P.</t>
  </si>
  <si>
    <t>***KABAN.MOR.WYB.1.47KGMAP 14STKT EX SE</t>
  </si>
  <si>
    <t>***KABAN.MOR.WYB.105GMAP 14STKT EX RO</t>
  </si>
  <si>
    <t>***KAB.MOR.WYB.105G MAP 22.05KG KT SEL</t>
  </si>
  <si>
    <t>***KABAN.MOR.WYB.105GMAP 20STKT MOR</t>
  </si>
  <si>
    <t>***KAB.MOR.WYBORNE 105G MAP 20ST EX CZ</t>
  </si>
  <si>
    <t>***KABAN.MOR.105GMAP 18STKT KAUF EX CZ</t>
  </si>
  <si>
    <t>***KABAN.MOR.WYB.105G MAP 18ST KT EX HU</t>
  </si>
  <si>
    <t>***KABAN.MOR.WYB.105GMAP 10STKT MOR</t>
  </si>
  <si>
    <t>***KABAN.MOR.Z PIEPRZ.AD</t>
  </si>
  <si>
    <t>***KABAN.MOR.Z PIEPRZ.BS</t>
  </si>
  <si>
    <t>***KABAN.MOR.Z PIEPRZ.AS</t>
  </si>
  <si>
    <t>***KABAN.MOR.Z PIEPRZ.105G MAP 14 ST KT</t>
  </si>
  <si>
    <t>***KABAN.MOR.Z PIEPRZ.105GMAP 20ST KT UK</t>
  </si>
  <si>
    <t>***KABAN.MOR.Z PIEPRZ.105GMAP 14STKT DE</t>
  </si>
  <si>
    <t>***KABAN.MORLIN.Z/PIEPRZ.1.47KG KT</t>
  </si>
  <si>
    <t>***KAB.MOR Z/PIEPRZ.105GMAP2.1KGKT ĆW.P.</t>
  </si>
  <si>
    <t>***KABAN.MOR.ZPIEPRZ.1.47KGMAP14STKTEXSE</t>
  </si>
  <si>
    <t>***KABAN.MOR.Z PIEPRZ.105GMAP14STKTEX RO</t>
  </si>
  <si>
    <t>***KABAN.MOR.Z PIEPRZ.105GMAP18STKTEX HU</t>
  </si>
  <si>
    <t>***KABAN.MOR.Z PIEPRZ.105GMAP 20STKT</t>
  </si>
  <si>
    <t>***KABAN.MOR.CHILLI AD</t>
  </si>
  <si>
    <t>***KABAN.MOR.CHILI BS</t>
  </si>
  <si>
    <t>***KABAN.MOR.CHILI AS</t>
  </si>
  <si>
    <t>***KABAN.MOR.CHILI 105G MAP 14 ST KT</t>
  </si>
  <si>
    <t>***KABAN.MOR.CHILI 105G MAP 20ST KT UK</t>
  </si>
  <si>
    <t>***KABAN.MOR.CHILI 105GMAP 14STKT DE</t>
  </si>
  <si>
    <t>***KABAN.MORLIN.CHILI 105GMAP14ST KT MOR</t>
  </si>
  <si>
    <t>***KABAN.MORLIN.CHILI 1.47KG KT</t>
  </si>
  <si>
    <t>***KAB.MOR.CHILI105GMAP 2.1KG KT ĆW.PAL</t>
  </si>
  <si>
    <t>***KABAN.MOR.CHILLI 105GMAP 14STKT EX SE</t>
  </si>
  <si>
    <t>***KABAN.MOR CHILLI 105GMAP 14STKT EX RO</t>
  </si>
  <si>
    <t>***KABAN.MOR.CHILLI 105GMAP 20STKT</t>
  </si>
  <si>
    <t>***KABAN.MOR.CHILI 105G MAP 20ST EX CZ</t>
  </si>
  <si>
    <t>***KABAN.MOR.CHILLI 105GMAP 18STKT EX HU</t>
  </si>
  <si>
    <t>***KABAN.PART.CLASSIC</t>
  </si>
  <si>
    <t>***KABAN.PART.CLASSIC BS</t>
  </si>
  <si>
    <t>***KABAN.PART.CLASSIC AS</t>
  </si>
  <si>
    <t>***KABAN.PARTYCZAKI CLAS.60G MAP 24ST KT</t>
  </si>
  <si>
    <t>***KABAN.PART.CLASSIC 60GMAP 10ST KT UK</t>
  </si>
  <si>
    <t>***KABAN.PART.CLASSIC OK750G MAP KT</t>
  </si>
  <si>
    <t>***KABAN.PARTYCZAKI CLAS.60GMAP 20STKTEX</t>
  </si>
  <si>
    <t>***KAB.PARTYCZAKI CLASSIK60G MAP 18ST KT</t>
  </si>
  <si>
    <t>***KABAN.PART.CLAS.60G MAP20ST KT ĆW.PAL</t>
  </si>
  <si>
    <t>***KABAN.PARTY.CLASSIC 1.44KG KT SE EX</t>
  </si>
  <si>
    <t>***KABAN.PART.CLASSIC 60GMAP 10STKT MOR</t>
  </si>
  <si>
    <t>***KABAN.PART.CLASSIC 60GMAP 10STKTMOREX</t>
  </si>
  <si>
    <t>***KABAN.PART.Z PIEPRZ.</t>
  </si>
  <si>
    <t>***KABAN.PART.Z PIEPRZ.BS</t>
  </si>
  <si>
    <t>***KABAN.PART.Z PIEPRZ.AS</t>
  </si>
  <si>
    <t>***KABAN.PART Z PIEPRZ.60GMAP 24ST KT</t>
  </si>
  <si>
    <t>***KABAN.PART.Z PIEPRZ.60GMAP 10ST KT UK</t>
  </si>
  <si>
    <t>***KABAN.PART.Z/PIEPRZ. OK.750G MAP KT</t>
  </si>
  <si>
    <t>***KABA.PART.Z/PIEPRZ.60GMAP20STKTĆW.PAL</t>
  </si>
  <si>
    <t>***KABA.PARTY.Z PIEPRZEM 1.44KG KT SE EX</t>
  </si>
  <si>
    <t>***KABAN.PART.Z PIEP.0.6KGMAP10STKTEXSE</t>
  </si>
  <si>
    <t>***KABAN.PART.Z PIEPRZ.60G MAP 10STKTMOR</t>
  </si>
  <si>
    <t>***KABAN.PART.CHILI</t>
  </si>
  <si>
    <t>***KABAN.PART.CHILI BS</t>
  </si>
  <si>
    <t>***KABAN.PART.CHILI AS</t>
  </si>
  <si>
    <t>***KABAN.PARTYCZAKI CHILI60G MAP24ST KT</t>
  </si>
  <si>
    <t>***KABAN.PART.CHILI 60G MAP 10ST KT UK</t>
  </si>
  <si>
    <t>***KABAN.PART.CHILI OK750G MAP KT</t>
  </si>
  <si>
    <t>***KABA.PART.CHILI 60G MAP 20STKT ĆW.PAL</t>
  </si>
  <si>
    <t>***KABAN.PARTY.CHILI 1.44KG KT SE EX</t>
  </si>
  <si>
    <t>***KABAN.PART.CHILI 0.6KGMAP10STKT EX SE</t>
  </si>
  <si>
    <t>***KABAN.PART.CHILI 60G MAP 10ST KT MOR</t>
  </si>
  <si>
    <t>***KABAN.PART.MIX 60G MAP 45ST KT</t>
  </si>
  <si>
    <t>***KABAN.PART.MIX 60GMAP 1.8KGKT ĆW.PAL</t>
  </si>
  <si>
    <t>***KABA.PARTYCZAKI MIX 60G MAP 2.7KGKT</t>
  </si>
  <si>
    <t>***KABAN.PARTY.MIX 2.7KG KT SE EX</t>
  </si>
  <si>
    <t>***KABAN.PART.MIX 60G MAP 10ST KT MOR</t>
  </si>
  <si>
    <t>***KAB.MORLIŃSKIE MIX 105GMAP 2.205KG KT</t>
  </si>
  <si>
    <t>***KABA.MOR.MIX 105GMAP 2.205KGKT ĆW.PAL</t>
  </si>
  <si>
    <t>***KABAN.MOR.MIX 105G MAP 20ST KT ĆW.PAL</t>
  </si>
  <si>
    <t>***KABAN.MOR MIX 105GMAP18STKT PENNYHUEX</t>
  </si>
  <si>
    <t>***KABAN.MOR MIX105GMAP18STKTPENNY RO EX</t>
  </si>
  <si>
    <t>***KABAN.MOR MIX 105GMAP18STKTPENNY CZEX</t>
  </si>
  <si>
    <t>***KAB.MOR MIX 12.6KG KT MOR TESCO</t>
  </si>
  <si>
    <t>***KABAN.LASSO ORIGINAL</t>
  </si>
  <si>
    <t>***KABAN.LASSO ORIGINAL BS</t>
  </si>
  <si>
    <t>***KABAN.LASSO ORIGINAL AS</t>
  </si>
  <si>
    <t>***KABAN.LASSO ORIGINAL60G MAP16ST KT EX</t>
  </si>
  <si>
    <t>***KABAN.LASSO BBQ</t>
  </si>
  <si>
    <t>***KABAN.LASSO BBQ BS</t>
  </si>
  <si>
    <t>***KABAN.LASSO BBQ AS</t>
  </si>
  <si>
    <t>***KABAN.LASSO BBQ 60G MAP 16ST KT EX</t>
  </si>
  <si>
    <t>***KABAN.LASSO HOT'N'SPICY</t>
  </si>
  <si>
    <t>***KABAN.LASSO HOT'N'SPICY BS</t>
  </si>
  <si>
    <t>***KABAN.LASSO HOT'N'SPICY AS</t>
  </si>
  <si>
    <t>***KABAN.LASSO HOT'N'SPICY60GMAP16STKTEX</t>
  </si>
  <si>
    <t>***KABAN.MOR.Z SZYN.AD</t>
  </si>
  <si>
    <t>***KABAN.MOR.Z SZYN.BS</t>
  </si>
  <si>
    <t>***KABAN.MOR.Z SZYN.AS</t>
  </si>
  <si>
    <t>***KABAN.MOR.Z SZYN.105GFPK 20STKT MOR</t>
  </si>
  <si>
    <t>***KABAN.MOR.Z SZYN.105GFPK 14STKT</t>
  </si>
  <si>
    <t>***KABAN.MOR.Z SZYN.120GFPK210STKTNETTO</t>
  </si>
  <si>
    <t>***KABAN.MOR.Z SZYN.105GFPK 20STKT EX RO</t>
  </si>
  <si>
    <t>***KABAN.MOR.Z SZYN.105GMAP 10STKT MOR</t>
  </si>
  <si>
    <t>***KABAN.MINI Z SZYN.AD</t>
  </si>
  <si>
    <t>***KABAN.MINI Z SZYN.BS</t>
  </si>
  <si>
    <t>***KABAN.MINI Z SZYN.AS</t>
  </si>
  <si>
    <t>***KABAN.MINI Z SZYN.60G MAP 10ST KT ŻAB</t>
  </si>
  <si>
    <t>***KIEŁB.MORLIŃSKA Z BOCZ.AS</t>
  </si>
  <si>
    <t>***KIEŁB.MORLIŃSKA Z BOCZ.BS I</t>
  </si>
  <si>
    <t>***K.MORLIŃSKA Z BOCZ.540GMAP 8STKT MOR</t>
  </si>
  <si>
    <t>***K.MORLIŃSKA Z BOCZ.OK1KGMAPOK6KGKTMOR</t>
  </si>
  <si>
    <t>***KABAN.MOR.WYB.155G AD</t>
  </si>
  <si>
    <t>***KABAN.MOR.WYB.155G BS</t>
  </si>
  <si>
    <t>***KABAN.MOR.WYB.155G AS</t>
  </si>
  <si>
    <t>***KABAN.MOR WYB.155G MAP 24ST KT BIED</t>
  </si>
  <si>
    <t>***KABAN.MOR.Z PIEPRZ.155G AD</t>
  </si>
  <si>
    <t>***KABAN.MOR.Z PIEPRZ.155G BS</t>
  </si>
  <si>
    <t>***KABAN.MOR.Z PIEPRZ.155G AS</t>
  </si>
  <si>
    <t>***KABAN.MOR.CHILLI 155G AD</t>
  </si>
  <si>
    <t>***KABAN.MOR.CHILI 155G BS</t>
  </si>
  <si>
    <t>***KABAN.MOR.CHILI 155G AS</t>
  </si>
  <si>
    <t>***KABAN.MOR.155GMAP 32.55KG 210STKTBIED</t>
  </si>
  <si>
    <t>FRANK.WĘDZ.BS</t>
  </si>
  <si>
    <t>FRANK.WĘDZ.420GMAP 18STKT MR BP</t>
  </si>
  <si>
    <t>FRANK.WĘDZ.420GMAP 18STKT DMR BP</t>
  </si>
  <si>
    <t>KIEŁB.WP.PARZ.BS</t>
  </si>
  <si>
    <t>KIEŁB.WP.PARZ.420GMAP 18STKT DMR BP</t>
  </si>
  <si>
    <t>KIEŁB.ŚLĄSKA GRILL.BS</t>
  </si>
  <si>
    <t>***PAR.XXL HOT DOG900G VAC 10.8KGKT DMR</t>
  </si>
  <si>
    <t>***PAR.CHILLI HOT DOG700GVAC 5.6KGKTDMR</t>
  </si>
  <si>
    <t>MORT.AS</t>
  </si>
  <si>
    <t>MORT.BS</t>
  </si>
  <si>
    <t>MORT.OK2.2KGLUZ OK6.5KGKT CON</t>
  </si>
  <si>
    <t>KIEŁB.PAR.DROB/WP.AS</t>
  </si>
  <si>
    <t>KIEŁB.PAR.DROB/WP.BS</t>
  </si>
  <si>
    <t>KIEŁB.PAR.OK700GMAP OK12KGKT MOR EX</t>
  </si>
  <si>
    <t>***KIEŁB.SŁOIKOWA</t>
  </si>
  <si>
    <t>***KIEŁB.SŁOIKOWA BS</t>
  </si>
  <si>
    <t>***KIEŁB.SŁOIKOWA OK400G 21ST KT CON</t>
  </si>
  <si>
    <t>***PASZT.KAN.300GLUZ 7ST KT MOR RO EX</t>
  </si>
  <si>
    <t>***PASZT.KREMOWA LUZ OK.10KG KT SŁO.</t>
  </si>
  <si>
    <t>***SZYN.KONSERWOWA BLOK YANO</t>
  </si>
  <si>
    <t>***SZYN.KONS.BLOK LUZ KT MK.KOD</t>
  </si>
  <si>
    <t>***SZYN.KONSERWOWA BLOK LUZ 3ST KT YANO</t>
  </si>
  <si>
    <t>***SZYN.KONSER.CZ/SŁ</t>
  </si>
  <si>
    <t>***SZYN.KONSER.BS CZ/SŁ</t>
  </si>
  <si>
    <t>***SZYN.KONSER.LUZ OK15KG KT EX CZ/SŁ</t>
  </si>
  <si>
    <t>***SZYN.ŚNIADANIOWA W</t>
  </si>
  <si>
    <t>***SZYN.ŚNIADANIOWA LUZ W</t>
  </si>
  <si>
    <t>***SZYN.KONSERWOWA BLOK LUZ OK.9KG KT</t>
  </si>
  <si>
    <t>***SZYN.KONS.BLOK LUZ OK.15KG KT ROS M</t>
  </si>
  <si>
    <t>***SZYN.BLOK OK3KG LUZ OK9KG KT MOR</t>
  </si>
  <si>
    <t>***SZYN.KONS.BLOK LUZ OK 9KG KT EC</t>
  </si>
  <si>
    <t>SZYN.GOTOWANA LUZ OK 15KG KT</t>
  </si>
  <si>
    <t>***SZYN.KONS.OK3KG OK9KG KT MOR TESC</t>
  </si>
  <si>
    <t>***SZYN.KONS.500G LUZ 5KG KT MOR</t>
  </si>
  <si>
    <t>***SZYN. KONSERW.WP. 500G 6ST KT UK</t>
  </si>
  <si>
    <t>***SZYN.KONS.WP.500G LUZ 5KG KT MOR EX</t>
  </si>
  <si>
    <t>***SZYN.KONS.WP.500G 4ST KT MOR EX UK</t>
  </si>
  <si>
    <t>***SZYN.KONSERWOWA P. LUZ OK.15KG KT CZ</t>
  </si>
  <si>
    <t>***ŻEB.VORES SPARERIBS</t>
  </si>
  <si>
    <t>***ŻEB.VORES SPARERIBS BS</t>
  </si>
  <si>
    <t>***ŻEB.VORES SPARE.550G MAP 3.3KG KT EX</t>
  </si>
  <si>
    <t>***ŻEB.MEAL QUICK 550G MAP 3.3KGKT NETTO</t>
  </si>
  <si>
    <t>SCH.DO ZAPIECZ.BIED</t>
  </si>
  <si>
    <t>SCH.DO ZAPIECZ.BS BIED</t>
  </si>
  <si>
    <t>***SCH.DO ZAPIECZ.OK1KGVAC OK4KG KT BIED</t>
  </si>
  <si>
    <t>KARK.DO ZAPIECZ.BIED</t>
  </si>
  <si>
    <t>KARK.WP.DO ZAPIECZ.BS BIED</t>
  </si>
  <si>
    <t>***KARK.DO ZAPIECZ.OK1KGVAC OK4KGKT BIED</t>
  </si>
  <si>
    <t>***KARK.DO ZAPIECZ.OK1KGVAC OK4KG KT CON</t>
  </si>
  <si>
    <t>SZYN.DO ZAPIECZ.BIED</t>
  </si>
  <si>
    <t>SZYN.WP.DO ZAPIECZ.BS BIED</t>
  </si>
  <si>
    <t>***SZYN.DO ZAPIECZ.OK1KGVAC OK4KGKT BIED</t>
  </si>
  <si>
    <t>ŻEB.SCH.B/K.Z PRZYP.AS</t>
  </si>
  <si>
    <t>***ŻEB.SCH.B/K.ZPRZYP.3STVACOK12KGKTMRUS</t>
  </si>
  <si>
    <t>ŻEB.SCH.B/K.Z PRZYP.BS</t>
  </si>
  <si>
    <t>***ŻEB.SCH.B/K.Z PRZYP.AS</t>
  </si>
  <si>
    <t>ŻEB.SCH.B/K.Z PRZYP.3STVACOK12KGKTDMR US</t>
  </si>
  <si>
    <t>ŻEB.BOCZ.B/K.Z PRZYP.AS</t>
  </si>
  <si>
    <t>***ŻEB.BOC.B/K.ZPRZYP.3STVACOK12KGKTMRUS</t>
  </si>
  <si>
    <t>ŻEB.BOCZ.B/K.Z PRZYP.BS</t>
  </si>
  <si>
    <t>ŻEB.BOCZ.B/K.Z PRZYP.3STVACOK12KGKTDMRUS</t>
  </si>
  <si>
    <t>ŻEB.MOST.WĘDZ.PARZ.Z/CH/MP.AS</t>
  </si>
  <si>
    <t>ŻEB.MOST.WĘDZ.PARZ.Z/CH/MP.BS</t>
  </si>
  <si>
    <t>***ŻEB.MOS.WĘD.PA.Z/CH/MP.OK1.5KGMAPKTEX</t>
  </si>
  <si>
    <t>***ŻEB.SCH.B/K.AS SUBWAY</t>
  </si>
  <si>
    <t>***ŻEB.SCH.B/K.6STVACOK12KGKTMRSUBWAY US</t>
  </si>
  <si>
    <t>***ŻEB.SCH.B/K.BS SUBWAY</t>
  </si>
  <si>
    <t>***ŻEB.SCH.B/K.6STVACOK12KGKTDMRSUBWAYUS</t>
  </si>
  <si>
    <t>***ŻEB.BOCZ.B/K.AS SUBWAY</t>
  </si>
  <si>
    <t>***ŻE.BOCZ.B/K.6STVACOK12KGKTMRSUBWAY US</t>
  </si>
  <si>
    <t>***ŻEB.BOCZ.B/K.BS SUBWAY</t>
  </si>
  <si>
    <t>***ŻEB.BOCZ.B/K6STVACOK12KGKTDMRSUBWAYUS</t>
  </si>
  <si>
    <t>BOCZ.ROL.AS</t>
  </si>
  <si>
    <t>BOCZ.ROL.BS</t>
  </si>
  <si>
    <t>***BOCZ.ROL.1/2STTRM OK15KGKT MOR EX</t>
  </si>
  <si>
    <t>***BOCZ.ROL.1/2STTRM OK8KGKT MOR EX</t>
  </si>
  <si>
    <t>ŻEB.MOST.Z/CH.B/MP.WĘDZ.BS</t>
  </si>
  <si>
    <t>***ŻEB.MOST.WĘDZ.OK500GMAP OK4KGKT BIED</t>
  </si>
  <si>
    <t>SZYN.KLASYCZNA AS</t>
  </si>
  <si>
    <t>SZYN.KLASYCZNA BS</t>
  </si>
  <si>
    <t>SZYN.KLASYCZNA OK400GVAC OK5KGKT BIED</t>
  </si>
  <si>
    <t>SZYN.POLSKA AS</t>
  </si>
  <si>
    <t>SZYN.POLSKA BS</t>
  </si>
  <si>
    <t>***SZYN.POLSKA OK700GVAC OK6KGKT MOR</t>
  </si>
  <si>
    <t>***SZYN.POLSKA OK500GVAC OK5KGKT MOR</t>
  </si>
  <si>
    <t>SZYN.DELIKATNA OK500GVAC OK5KGKT MOR</t>
  </si>
  <si>
    <t>SZYN.DELIKATNA OK500GVAC OK3KGKT MOR EX</t>
  </si>
  <si>
    <t>SZYN.DELIKATNA OK500GVAC 5KGKT MOR</t>
  </si>
  <si>
    <t>SZYN.WP.M.70% OK500GVAC 5KGKT LIDL BG</t>
  </si>
  <si>
    <t>ŻEB.PASKI WĘDZ.PARZ.BS</t>
  </si>
  <si>
    <t>***ŻEB.PS WĘDZ.PARZ.OK2KGMAPOK10KGKTMOR</t>
  </si>
  <si>
    <t>***ŻEB.PASKI WĘDZ.PARZ.1STMAPOK5KGKT MOR</t>
  </si>
  <si>
    <t>ŻEB.PASKI WĘDZ.PARZ1/2STMAPOK5KGKTLIDLEX</t>
  </si>
  <si>
    <t>***ŻEB.MOST.WĘDZONE</t>
  </si>
  <si>
    <t>***ŻEB.MOSTKI WĘDZ.OK1.5KGMAP KT KORONA</t>
  </si>
  <si>
    <t>***ŻEB.WP.MIĘSNE WĘDZ.PARZ.</t>
  </si>
  <si>
    <t>***ŻEB.WP.MIĘSNE WĘDZ.PARZ.BS</t>
  </si>
  <si>
    <t>***ŻEB.MIĘS.WĘDZ.PARZ.1ST MAP OK.10KG KT</t>
  </si>
  <si>
    <t>***ŻEB.MĘS.WĘDZ.PARZ.1/2ST MAP OK.5KG KT</t>
  </si>
  <si>
    <t>***ŻEB.WĘDZONE PARZONE</t>
  </si>
  <si>
    <t>***ŻEB.MOSTKI WĘDZ.PARZ.OK1KG MAP EXP.MK</t>
  </si>
  <si>
    <t>***ŻEB.MOSTKI WĘDZ.PARZ.OK1KG MAP EX.MAK</t>
  </si>
  <si>
    <t>***ŻEB.MOSTKI WĘDZ.PARZ.OK1KG MAP EX.LAB</t>
  </si>
  <si>
    <t>***ŻEB.MOSTKI WĘDZ.PARZ.OK1KG MAP EX.PAV</t>
  </si>
  <si>
    <t>WĘDZ.KROTOSZYŃSKA AS KRA</t>
  </si>
  <si>
    <t>WĘDZ.KROTOSZYŃSKA BS KRA</t>
  </si>
  <si>
    <t>WĘDZ.KROTOSZYŃSKA PC VAC OK5KGKT KRA</t>
  </si>
  <si>
    <t>WĘDZ.KROT.OK400GVAC BL</t>
  </si>
  <si>
    <t>***WĘDZ.KROTOSZ.KRAK OK.0.5KG VAC KT UK</t>
  </si>
  <si>
    <t>***WĘDZ.KROTOSZYŃSKA OK500GVAC3.5KGKTKRA</t>
  </si>
  <si>
    <t>POL.KROTOSZYŃSKA OK0.5KGVAC OK5KGKT KRA</t>
  </si>
  <si>
    <t>***WĘDZ.KROTOSZ.OK500GVAC OK5KGKT KRA EX</t>
  </si>
  <si>
    <t>***WĘDZ.KROT.KRAK.OK0.4KGTRM OK 5KGKT K</t>
  </si>
  <si>
    <t>***WĘDZ.KROTOSZ.KRAK.1/2STTRM OK5KGKT K</t>
  </si>
  <si>
    <t>WĘDZ.KROT.1/2ST TRM BL</t>
  </si>
  <si>
    <t>POL.ŁOSOSIOWA AS KRA</t>
  </si>
  <si>
    <t>POL.ŁOSOSIOWA BS KRA</t>
  </si>
  <si>
    <t>***POLĘD.ŁOSOSIOWA LUZ OK 20KG POJ ST</t>
  </si>
  <si>
    <t>***POLĘD.ŁOSOS.OK400G VAC OK5KG KT KRA</t>
  </si>
  <si>
    <t>POL.ŁOSOSIOWA BL KRA</t>
  </si>
  <si>
    <t>***POL.ŁOS.OK400GVAC4.7-5.5KGKT KAUF</t>
  </si>
  <si>
    <t>***POL.ŁOSOSIOWA VAC OK05KG T KRA</t>
  </si>
  <si>
    <t>***POL.ŁOSOS.300-400GVAC3KGKT KRAK NETTO</t>
  </si>
  <si>
    <t>POL.ŁOSOS.OK400GVAC 5KGKT KRA</t>
  </si>
  <si>
    <t>POLĘ.ŁOSOSIOWA OK 500G VAC 4ST MAP PJ EX</t>
  </si>
  <si>
    <t>***POL.ŁOSOSIOWA KRAKUS VAC PORCJA K</t>
  </si>
  <si>
    <t>KABAN.AD KRA</t>
  </si>
  <si>
    <t>KABAN.BS KRA</t>
  </si>
  <si>
    <t>KABAN.AS KRA</t>
  </si>
  <si>
    <t>KABAN.180GVAC BL ST</t>
  </si>
  <si>
    <t>***KABAN.180GVAC 10STKT KRA EX</t>
  </si>
  <si>
    <t>KABAN.180GVAC 10STKT KRA TESC</t>
  </si>
  <si>
    <t>***KABAN.180GVAC 1.8KGKT KRA KAUF DE</t>
  </si>
  <si>
    <t>KABAN.180GVAC 10STKT KRA SE</t>
  </si>
  <si>
    <t>***KABAN.180GVAC 10STKT KRA EX CZ</t>
  </si>
  <si>
    <t>***KABAN.180GVAC 10STKT KRA EX RO</t>
  </si>
  <si>
    <t>***KABAN.180GVAC 26STKT KRA</t>
  </si>
  <si>
    <t>KABAN.OK0.8KGMAP OK5KGKT KRA</t>
  </si>
  <si>
    <t>***KABAN.OK2KGMAP OK10KGKT KRA</t>
  </si>
  <si>
    <t>***KABAN.OK0.8KGMAP OK5KGKT KRA UK</t>
  </si>
  <si>
    <t>***KABAN.OD SZWAGRA 150GMAP 33STKT KRA</t>
  </si>
  <si>
    <t>***KABAN.OD SZWAGRA 150GMAP BL</t>
  </si>
  <si>
    <t>***KABAN.OD SZWAGRA OK0.8KGMAPOK5KGKTKRA</t>
  </si>
  <si>
    <t>***KABAN.OD SZWAGRA 150GMAP 9STKT KRA</t>
  </si>
  <si>
    <t>***KABAN.OD SZWAGRA 150GMAP 60STPJ KRA</t>
  </si>
  <si>
    <t>***KABAN.6X180GVAC 5STKT KRA</t>
  </si>
  <si>
    <t>KABAN.WP.150GMAP 14STKT KRA</t>
  </si>
  <si>
    <t>KABAN.WP.150GMAP BL ST</t>
  </si>
  <si>
    <t>KABAN.WP.150GMAP 8STKT KRA</t>
  </si>
  <si>
    <t>KABAN.WP.150GMAP 54STPJ KRA</t>
  </si>
  <si>
    <t>KABAN.WP.150GMAP 27STPJ KRA</t>
  </si>
  <si>
    <t>***KABAN.EXP.KRA</t>
  </si>
  <si>
    <t>***KABAN.EXP.BS KRA</t>
  </si>
  <si>
    <t>***KABAN.EXP.AS KRA</t>
  </si>
  <si>
    <t>***KAB.EXPORTOWE 150G VAC 39ST KT KRA</t>
  </si>
  <si>
    <t>***KABAN.EXP.150GVAC 20STKT KRA EX US</t>
  </si>
  <si>
    <t>***KABAN.EXP.180G MAP 10ST KT</t>
  </si>
  <si>
    <t>***KABAN.270GVAC 27ST KT KRA JMP</t>
  </si>
  <si>
    <t>***KABAN.EXP.180G MAP 10ST KT KRA UK</t>
  </si>
  <si>
    <t>***KABAN.180G+30G MAP 10ST KT KRA EX</t>
  </si>
  <si>
    <t>***KAB.EXPORTOWE 180G MAP10ST KT EX RO</t>
  </si>
  <si>
    <t>***KAB.EXPORTOWE 210G MAP 12ST KT KRA</t>
  </si>
  <si>
    <t>***KABAN.EXP.180+60GMAP 10ST KT KRA TESC</t>
  </si>
  <si>
    <t>***KIEŁB.KRAKOWSKA SUCHA KRAK</t>
  </si>
  <si>
    <t>***KIEŁB.KRAKOWSKA SUCHA KRAKUS MAP M</t>
  </si>
  <si>
    <t>***KIEŁ.KRAKOWSKA SUCHA KRAK. 320G BL</t>
  </si>
  <si>
    <t>***KIEŁB.KRAK.SUCHA KRAKUS 320G1/2STVAC</t>
  </si>
  <si>
    <t>***KIEŁB.KRAK.SUCHA KRAKUS 3X300G P.ZB</t>
  </si>
  <si>
    <t>***KIEŁB.KRAKOWSKA SUCHA 1SZT VAC NIEMCY</t>
  </si>
  <si>
    <t>***KIEŁB.KRAK.SUCHA KRAKUS 320G VAC T</t>
  </si>
  <si>
    <t>***KIEŁB.KRAK.SUCHA KRAKUS 320G EX T</t>
  </si>
  <si>
    <t>***KIEŁB.KRAK.SUCHA KRAKUS 320G EX M</t>
  </si>
  <si>
    <t>KIEŁB.ŻYWIECKA AD KRA</t>
  </si>
  <si>
    <t>KIEŁB.ŻYWIECKA KRA BS</t>
  </si>
  <si>
    <t>KIEŁB.ŻYWIECKA AS KRA</t>
  </si>
  <si>
    <t>***KIEŁB.ŻYWIECKA OK1.7KGMAP OK5KGKT KRA</t>
  </si>
  <si>
    <t>***KIEŁB.ŻYWIECKA KRAKUS MAP M</t>
  </si>
  <si>
    <t>***KIEŁB.ŻYWIECKA KRAKUS 5.0KG MAP R</t>
  </si>
  <si>
    <t>***KIEŁB.ŻYWIECKA KRAKUS 1/2SZT</t>
  </si>
  <si>
    <t>***KIEŁB.ŻYWIECKA KRA1ST VAC OK 7KG KT T</t>
  </si>
  <si>
    <t>KIEŁB.ŻYWIECKA 286G VAC 5.148KG KT ŁOT</t>
  </si>
  <si>
    <t>***KIEŁB.ŻYWIECKA 1ST VAC OK6KG KT DYS.</t>
  </si>
  <si>
    <t>***KIEŁB.ŻYWIECKA 286GVAC18STKT EX CZ/SK</t>
  </si>
  <si>
    <t>***KIEŁB.ŻYWIECKA 572GVAC 12ST KT KRA UK</t>
  </si>
  <si>
    <t>***KIEŁB.ŻYWIECKA 286GVAC 18STKT BIED</t>
  </si>
  <si>
    <t>***KIEŁB.ŻYWIECKA 286GVAC 22STKT BIED</t>
  </si>
  <si>
    <t>***KIEŁB.ŻYWIECKA 286G VAC5.148KG KT KRA</t>
  </si>
  <si>
    <t>***KIEŁB.ŻYWIECKA KRAKUS 3X286G PDP.ZB.</t>
  </si>
  <si>
    <t>***KIEŁB.ŻYWIECKA 286G VAC KT EX</t>
  </si>
  <si>
    <t>***KIEŁB.KRAKOWSKA 286G VAC 18ST KT ROS</t>
  </si>
  <si>
    <t>***KIEŁB.ŻYW.KRAK.286GVAC 5.14KGKT R2</t>
  </si>
  <si>
    <t>***KIEŁB.ŻYWIECKA 572GVAC 5.148KG KT KRA</t>
  </si>
  <si>
    <t>***KIEŁB.ŻYWIECKA 572GVAC9STKT KRA EX GB</t>
  </si>
  <si>
    <t>***KIEŁB.ŻYWIECKA 286GVAC 5.148KG KT KRA</t>
  </si>
  <si>
    <t>***KIEŁB.ŻYWIECKA 1STVAC OK5KGKT KRA</t>
  </si>
  <si>
    <t>***KIEŁB.ŻYWIECKA 286GVAC 22STKT BIED I</t>
  </si>
  <si>
    <t>KIEŁB.ŻYWIECKA 572G VAC 6.864KG KT KRA</t>
  </si>
  <si>
    <t>***KIEŁB.ŻYWIECKA 1ST VAC OK7 KG KT KRA</t>
  </si>
  <si>
    <t>***KIEŁB.ŻYWIECKA KRAKUS 572G EX M</t>
  </si>
  <si>
    <t>***KIEŁB.ŻYWIECKA 3ST MAP OK5KG KT KRA</t>
  </si>
  <si>
    <t>***KIEŁB.ŻYWIECKA 286GVAC 12STKT MOR RO</t>
  </si>
  <si>
    <t>KIEŁB.ŻYWIECKA 286GVAC 12STKT KRA TESCEX</t>
  </si>
  <si>
    <t>***KIEŁB.ŻYWIECKA 286GVAC 2.574KGKT TESC</t>
  </si>
  <si>
    <t>***KIEŁB.ŻYWIECKA572G VAC6.864KG KT TESC</t>
  </si>
  <si>
    <t>***KIEŁB.ŻYWIECKA MAŁA KRA</t>
  </si>
  <si>
    <t>***KIEŁB.ŻYWIECKA MAŁA KRA BS</t>
  </si>
  <si>
    <t>***KIEŁB.ŻYWIECKA MAŁA KRA AS</t>
  </si>
  <si>
    <t>***KIEŁB.ŻYWIECKA 450G TRM 5.4KG KT KRA</t>
  </si>
  <si>
    <t>***SZYN.WP.GOTOW.KRAK1/6ST TRM OK5KG KT</t>
  </si>
  <si>
    <t>***SZYN.WP.GOTOW.KRAK 1/2ST TRM OK5KG KT</t>
  </si>
  <si>
    <t>***SZYN.WP.GOTOW.KRAK 1ST TRM OK5KG KT</t>
  </si>
  <si>
    <t>***SZYN.WP. GOT. KRAKUS 1SZT VAC A</t>
  </si>
  <si>
    <t>***SZ.WP.GOT.KRAK.EXP.VAC 1SZT NIEM</t>
  </si>
  <si>
    <t>***SZYN.WP.GOT.OK500G TRMOK5KGKT KRAKANG</t>
  </si>
  <si>
    <t>***SZYN.WP.GOT.OK500G TRM 8ST.KTKRAK ANG</t>
  </si>
  <si>
    <t>POL.WĘDZ.AS</t>
  </si>
  <si>
    <t>POL.WĘDZ.BS</t>
  </si>
  <si>
    <t>***POL.WĘDZ.1STVAC OK4KGKT LIDL</t>
  </si>
  <si>
    <t>***POLĘ.WĘDZ.1ST VAC 3KG KT LIDL</t>
  </si>
  <si>
    <t>***POL.WĘDZ.OK500GVAC 4KGKT EX</t>
  </si>
  <si>
    <t>***POL.WĘDZ.OK500GVAC 4KGKT EX AT</t>
  </si>
  <si>
    <t>POL.WĘDZ.1STVAC OK6KGKT LIDL</t>
  </si>
  <si>
    <t>POL.WĘDZ.AS KRA</t>
  </si>
  <si>
    <t>POL.WĘDZ.1STVAC BL</t>
  </si>
  <si>
    <t>***POL.WĘDZ.1STVAC 4KGKT KRA N</t>
  </si>
  <si>
    <t>POL.WĘDZ.GOLD 1STVAC OK5KGKT KRA</t>
  </si>
  <si>
    <t>POL.WĘDZ.OK500GVAC 5KGKT KRA</t>
  </si>
  <si>
    <t>POL.WĘDZ.O SMAKU TRUFLI BS</t>
  </si>
  <si>
    <t>POL.WĘDZ.O SM.TRUFLI 1STVAC BL</t>
  </si>
  <si>
    <t>***KABAN.Z SZYN.AD KRA</t>
  </si>
  <si>
    <t>***KABAN.Z SZYN.BS KRA</t>
  </si>
  <si>
    <t>***KABAN.Z SZYN.AS KRA</t>
  </si>
  <si>
    <t>***KABAN.Z SZYN.150GVAC 39STKT KRA</t>
  </si>
  <si>
    <t>***KIEŁB.ŻYWIECKA NOWA AD KRA</t>
  </si>
  <si>
    <t>***KIEŁB.ŻYWIECKA NOWA BS KRA</t>
  </si>
  <si>
    <t>***KIEŁB.ŻYWIECKA NOWA AS KRA</t>
  </si>
  <si>
    <t>***KIEŁB.ŻYWIECKA 3STMAP OK5KGKT KRA</t>
  </si>
  <si>
    <t>***KIEŁB.ŻYWIECKA 286G VAC 18ST KT BIED</t>
  </si>
  <si>
    <t>***KIEŁB.ŻYWIECKA 260GVAC 18STKT KRA I</t>
  </si>
  <si>
    <t>***KIEŁB.ŻYWIECKA 260GVAC 9STKT KRA</t>
  </si>
  <si>
    <t>***KIEŁB.ŻYWIECKA 520GVAC 9STKT KRA I</t>
  </si>
  <si>
    <t>***KIEŁB.ŻYWIECKA 520GVAC BL</t>
  </si>
  <si>
    <t>***KIEŁB.ŻYWIECKA OK520GVAC OK5KGKT KRA</t>
  </si>
  <si>
    <t>***KIEŁB.ŻYWIECKA 520GVAC 9STKT KRA II</t>
  </si>
  <si>
    <t>***K.ŻYWIECKA 520GVAC 9STKT ĆW.PAL KRA</t>
  </si>
  <si>
    <t>***KIEŁB.ŻYWIECKA 520GVAC 9STKT KRA III</t>
  </si>
  <si>
    <t>***KIEŁB.ŻYWIECKA 260GVAC 18STKT KRA II</t>
  </si>
  <si>
    <t>***KIEŁB.ŻYWIECKA 1STVAC OK5KGKT KRA EX</t>
  </si>
  <si>
    <t>***K.ŻYWIECKA 520GVAC 9STKTĆW.PAL KRA II</t>
  </si>
  <si>
    <t>***KIEŁB.ŻYWIECKA 260GVAC 47STPJ KRA</t>
  </si>
  <si>
    <t>***SZYN.KONS.11LBS</t>
  </si>
  <si>
    <t>***SZYN.KONS.11LBS LUZ KT EX</t>
  </si>
  <si>
    <t>***SZYN.KONS.2.5KG LUZ 10KG KT KRA</t>
  </si>
  <si>
    <t>***SZYN.WP.KON.2.5KG LUZ 4ST KT KRA UK</t>
  </si>
  <si>
    <t>***SZYN.WP.KONS.2.5KGLUZ 4STKT MOR RO EX</t>
  </si>
  <si>
    <t>***SZYN.KONS.570G LUZ 8.55KG KT KRA</t>
  </si>
  <si>
    <t>***SZYN.KONS.4.56KG KT KRA SE EX</t>
  </si>
  <si>
    <t>***SZYN.KONSERWOWA KRAK. 570G BL</t>
  </si>
  <si>
    <t>***SZYN.WP.KONS.KRAKUS 570G ELAZAR</t>
  </si>
  <si>
    <t>***SZYN.WP.KONSERW. 570G 15ST KT RQ</t>
  </si>
  <si>
    <t>***SZYN.KON.KRA 570G 1ST LUZ 15ST KT UK</t>
  </si>
  <si>
    <t>***SZYN.WP.KONSER.KRAK 570G 4.56KG KT</t>
  </si>
  <si>
    <t>***SZYN.KONS.570G LUZ 15ST KT MOR RO EX</t>
  </si>
  <si>
    <t>***SZYN.WP.KONS.KRAKUS570KG LUZ 15STKT R</t>
  </si>
  <si>
    <t>***SZYN.KONS.570G 5.13KG KT KRA</t>
  </si>
  <si>
    <t>***SZYN.KONS.570G VAC 8ST KT KRA SE EX</t>
  </si>
  <si>
    <t>SZYN.MAGNACKA AS</t>
  </si>
  <si>
    <t>SZYN.MAGNACKA BS</t>
  </si>
  <si>
    <t>SZYN.MAGNACKA 1/2STVAC OK8KGKT KRA</t>
  </si>
  <si>
    <t>***KABAN.MINI CLASSIC AD</t>
  </si>
  <si>
    <t>***KABAN.MINI CLASSIC BS</t>
  </si>
  <si>
    <t>***KABAN.MINI CLASSIC AS</t>
  </si>
  <si>
    <t>***KABAN.MINI CLASSIC 105GMAP9STKTKRA GB</t>
  </si>
  <si>
    <t>***KAB.MINI CLASSIC 105GMAP 9STKT KRA EX</t>
  </si>
  <si>
    <t>***KABAN.MINI BACON AD</t>
  </si>
  <si>
    <t>***KABAN.MINI BACON BS</t>
  </si>
  <si>
    <t>***KABAN.MINI BACON AS</t>
  </si>
  <si>
    <t>***KABAN.MINI BACON 105GMAP 9STKT KRA GB</t>
  </si>
  <si>
    <t>***KAB.MINI BACON 105G MAP 9STKT KRA EX</t>
  </si>
  <si>
    <t>***KABAN.SPICY AD KRA</t>
  </si>
  <si>
    <t>***KABAN.SPICY BS KRA</t>
  </si>
  <si>
    <t>***KABAN.SPICY AS KRA</t>
  </si>
  <si>
    <t>***KABAN.SPICY 150GVAC 20STKT KRA EX US</t>
  </si>
  <si>
    <t>***KABAN.Z ROZMARYNEM</t>
  </si>
  <si>
    <t>***KABAN.Z ROZMARYNEM BS</t>
  </si>
  <si>
    <t>***KABAN.Z ROZMARYNEM AS</t>
  </si>
  <si>
    <t>***KABAN.Z ROZMARYNEM 180G VAC BL</t>
  </si>
  <si>
    <t>***KABAN.Z JAŁOWCEM</t>
  </si>
  <si>
    <t>***KABAN.Z JAŁOWCEM BS</t>
  </si>
  <si>
    <t>***KABAN.Z JAŁOWCEM AS</t>
  </si>
  <si>
    <t>***KABAN.Z JAŁOWCEM 180G VAC BL</t>
  </si>
  <si>
    <t>***KABAN.EXP.AD KRA US</t>
  </si>
  <si>
    <t>***KABAN.EXP.BS KRA US</t>
  </si>
  <si>
    <t>***KABAN.EXP.AS KRA US</t>
  </si>
  <si>
    <t>***KABAN.EXP.150GVAC 20STKT KRA EX US I</t>
  </si>
  <si>
    <t>***KABAN.EXP.150GVAC 20STKT ALDI EX US</t>
  </si>
  <si>
    <t>***KABAN.MINI DROB.-WP.AD</t>
  </si>
  <si>
    <t>***KABAN.MINI DROB.-WP.BS</t>
  </si>
  <si>
    <t>***KABAN.MINI DROB.-WP.AS</t>
  </si>
  <si>
    <t>***KABAN.MINI DROB.WP.105GMAP9STKTKRA GB</t>
  </si>
  <si>
    <t>KIEŁB.PIEPRZOWE AS</t>
  </si>
  <si>
    <t>KIEŁB.PIEPRZOWE BS</t>
  </si>
  <si>
    <t>KIEŁB.PIEPRZOWE 300GMAP BL</t>
  </si>
  <si>
    <t>***KIEŁB.PIEPRZOWE OK1KGMAP OK10KGKT KRA</t>
  </si>
  <si>
    <t>***KIEŁB.Z/PIEP.240GMAP 10STKT MOR</t>
  </si>
  <si>
    <t>KIEŁB.PIEPRZOWE 250GMAP BL</t>
  </si>
  <si>
    <t>***KIEŁB.SWOJSKA MAŁA AS</t>
  </si>
  <si>
    <t>***KIEŁB.SWOJSKA MAŁA BS</t>
  </si>
  <si>
    <t>***KIEŁB.SWOJSKA 300GMAP 16STKT KRA</t>
  </si>
  <si>
    <t>***KABAN.Z SZYN.95GMAP 14STKT KRA</t>
  </si>
  <si>
    <t>***KABAN.Z SZYN.95GMAP 8STKT KRA</t>
  </si>
  <si>
    <t>KABAN.WP.AD KRA</t>
  </si>
  <si>
    <t>KABAN.WP.BS KRA</t>
  </si>
  <si>
    <t>KABAN.WP.AS KRA</t>
  </si>
  <si>
    <t>KABAN.WP.95GMAP 14STKT KRA</t>
  </si>
  <si>
    <t>KABAN.WP.95GMAP BL ST</t>
  </si>
  <si>
    <t>KABAN.WP.95GMAP 8STKT KRA</t>
  </si>
  <si>
    <t>***KABAN.WP.95GMAP 14STKT KRA EX</t>
  </si>
  <si>
    <t>KABAN.WP.95GMAP 8STKT KRA EX</t>
  </si>
  <si>
    <t>KABAN.WP.NA KRAW.95GMAP 10STKT KRA EX</t>
  </si>
  <si>
    <t>KABAN.DROB.-WP.BS KRA</t>
  </si>
  <si>
    <t>KABAN.DROB/WP.95GMAP 14STKT KRA</t>
  </si>
  <si>
    <t>KIEŁB.ŻYWIECKA 600G AD BIED</t>
  </si>
  <si>
    <t>KIEŁB.ŻYWIECKA BIED BS</t>
  </si>
  <si>
    <t>KIEŁB.ŻYWIECKA AS BIED</t>
  </si>
  <si>
    <t>***KIEŁB.ŻYWIECKA 1SZT VAC</t>
  </si>
  <si>
    <t>***KIEŁB.ŻYWIECKA 286GVAC 5.148KGKT BIED</t>
  </si>
  <si>
    <t>***KIEŁB.ŻYWIECKA 600G VAC 9ST KT AUCH</t>
  </si>
  <si>
    <t>***KIEŁB.ŻYWIECKA 600GVAC JM</t>
  </si>
  <si>
    <t>KIEŁB.ŻYWIECKA 600GVAC 12STKT BIED</t>
  </si>
  <si>
    <t>***KIEŁB.ŻYWIECKA 600GVAC 12STKT BIED I</t>
  </si>
  <si>
    <t>***KIEŁB.ŻYWIECKA 600GVAC 11STKT LIDL BG</t>
  </si>
  <si>
    <t>KABAN.JEL.BAR.DROB.-WP.AD KRA</t>
  </si>
  <si>
    <t>KABAN.JEL.BAR.DROB.-WP.BS KRA</t>
  </si>
  <si>
    <t>KABAN.JEL.BAR.DROB.-WP.AS KRA</t>
  </si>
  <si>
    <t>KABAN.DROB.-WP.150GMAP 14STKT KRA</t>
  </si>
  <si>
    <t>KABAN.DROB.-WP.150GMAP BL ST</t>
  </si>
  <si>
    <t>KABAN.DROB.-WP.150GMAP 8STKT KRA</t>
  </si>
  <si>
    <t>KABAN.DROB/WP.150GMAP 54STPJ KRA</t>
  </si>
  <si>
    <t>KABAN.DROB.-WP.150GMAP 8STKT KRA ST</t>
  </si>
  <si>
    <t>KABAN.DROB/WP.150GMAP 27STPJ KRA</t>
  </si>
  <si>
    <t>***KABAN.MIX 228ST STAND KRA</t>
  </si>
  <si>
    <t>***KABAN.+KIEŁB.ŻYWIECKA 150ST STAND KRA</t>
  </si>
  <si>
    <t>KIEŁB.BIAŁE AS</t>
  </si>
  <si>
    <t>KIEŁB.BIAŁE BS</t>
  </si>
  <si>
    <t>KIEŁB.BIAŁE 300GMAP BL</t>
  </si>
  <si>
    <t>KIEŁB.BIAŁE 250GMAP BL</t>
  </si>
  <si>
    <t>***K.MIX BIAŁE+PIEPRZ.300GMAP20STKT KRA</t>
  </si>
  <si>
    <t>***K.MIX BIAŁE+PIEPRZ.300GMAP16STKT KRA</t>
  </si>
  <si>
    <t>KIEŁB.BIAŁE+PIEPRZOWE 250GMAP 12STKT KRA</t>
  </si>
  <si>
    <t>KABAN.WP.160G BS KRA</t>
  </si>
  <si>
    <t>KABAN.WP.160G AS KRA</t>
  </si>
  <si>
    <t>KABAN.WP.160GMAP BL KRA ST</t>
  </si>
  <si>
    <t>KABAN.JALAPENO AD KRA</t>
  </si>
  <si>
    <t>KABAN.JALAPENO BS KRA</t>
  </si>
  <si>
    <t>KABAN.JALAPENO AS KRA</t>
  </si>
  <si>
    <t>KABAN.JALAPENO 95GMAP BL ST</t>
  </si>
  <si>
    <t>KABAN.JALAPENO 95GMAP 60STPJ KRA</t>
  </si>
  <si>
    <t>***KIEŁB.KRAKOWSKA 572G KRAK</t>
  </si>
  <si>
    <t>***KIEŁB.KRAKOWSKA KRAKUS 572G 1ST VAC</t>
  </si>
  <si>
    <t>***KIEŁB.KRAKOWSKA KRAKUS VAC</t>
  </si>
  <si>
    <t>SZYN.RYCERSKA AS KRA</t>
  </si>
  <si>
    <t>SZYN.RYCERSKA BS KRA</t>
  </si>
  <si>
    <t>***SZYN.B/KNST.1STTRM OK10KGKT KRA EX</t>
  </si>
  <si>
    <t>***SZYN.B/KNST.1/2STTRM OK10KGKT KRA</t>
  </si>
  <si>
    <t>***SZYN.B/KO.1/2ST TRM OK10KGKT KRAK KOD</t>
  </si>
  <si>
    <t>***SZYN.B/KNST.1STTRM OK3KGKT KRA</t>
  </si>
  <si>
    <t>***SZYN.B/KNST.1STTRM OK8KGKT KRA</t>
  </si>
  <si>
    <t>***SZYN.B/KON. 1/2SZT TRM OK4KG KT KRAK</t>
  </si>
  <si>
    <t>***SZYN.B/KNST.1/2STTRM OK4KGKT KRA</t>
  </si>
  <si>
    <t>***SZYN.B/KNST.1/4STVAC OK5KGKT KRA II</t>
  </si>
  <si>
    <t>***SZYN.B/KON. KRAK 1/2ST TRM 4KGKTNETO</t>
  </si>
  <si>
    <t>***SZYN.B/KON 1SZT KT KRA INTER</t>
  </si>
  <si>
    <t>***SZYN.B/KNST.1STVAC OK4KGKT KAUF</t>
  </si>
  <si>
    <t>***SZYN.B/KONS.1/2SZTVAC OK10KGKT KRAK K</t>
  </si>
  <si>
    <t>***SZYN.B/KON.1/2 STTRM OK.3KGKT KRA JMP</t>
  </si>
  <si>
    <t>***SZYN.SZLACHECKA 1STTRMOK10KGKT MOR DC</t>
  </si>
  <si>
    <t>***SZYN.B/KNST.1/2STVAC OK5KGKT BIED</t>
  </si>
  <si>
    <t>***SZYN.B/KNST.1/4STVAC 5KGKT LIDL</t>
  </si>
  <si>
    <t>SZYN.ZRAZOWA AS</t>
  </si>
  <si>
    <t>SZYN.ZRAZOWA BS</t>
  </si>
  <si>
    <t>***SZYN.ZRAZ.MAŁA1ST VAC OK4KG KT KAUF P</t>
  </si>
  <si>
    <t>***SZYN.ZRAZ.MAŁA 1STTRM 6STKT KRA EX UK</t>
  </si>
  <si>
    <t>***SZYN.ZRAZOWA MAŁA 1STTRM OK4KGKT KRA</t>
  </si>
  <si>
    <t>***SZYN.ZRAZOWA MAŁA1ST TRM 3KGKT KRAK N</t>
  </si>
  <si>
    <t>***SZYN.ZRAZOWA MAŁA1ST TRM8ST KT KRA EX</t>
  </si>
  <si>
    <t>***SZYN.ZRAZOWA MAŁA 1STVAC OK5KGKT KRA</t>
  </si>
  <si>
    <t>***SZYN.ZRAZOWA MAŁAOK500GVACOK5KGKTKRA</t>
  </si>
  <si>
    <t>***BOCZ.WP.Z CZOSN.KRA</t>
  </si>
  <si>
    <t>***BOCZ.WP.Z CZOSN.KRA BS</t>
  </si>
  <si>
    <t>***BOCZ.WP.Z CZOSN.OK500GVACOK5KGKT KRA</t>
  </si>
  <si>
    <t>***KABAN.MIX 174ST STAND KRA</t>
  </si>
  <si>
    <t>***KABAN.MIX 114ST STAND KRA</t>
  </si>
  <si>
    <t>KIEŁB.KRUCHA OD SZWAGRA AD</t>
  </si>
  <si>
    <t>KIEŁB.KRUCHA OD SZWAGRA BS</t>
  </si>
  <si>
    <t>KIEŁB.KRUCHA OD SZWAGRA AS</t>
  </si>
  <si>
    <t>***K.KRUCHA OD SZWAGRA 260GMAP18STKT KRA</t>
  </si>
  <si>
    <t>***K.KRUCHA OD SZWAG.OK780GMAPOK5KGKTKRA</t>
  </si>
  <si>
    <t>***K.KRUCHA OD SZWAGRA 260GMAP60STPJ KRA</t>
  </si>
  <si>
    <t>PP KIEŁB.ŻYWIECKA FI 50 AD KRA</t>
  </si>
  <si>
    <t>PP KIEŁB.ŻYWIECKA FI 50 BS KRA</t>
  </si>
  <si>
    <t>KIEŁB.ŻYWIECKA FI 50 AS KRA</t>
  </si>
  <si>
    <t>KIEŁB.ŻYWIECKA 460GVAC BL ST</t>
  </si>
  <si>
    <t>KIEŁB.ŻYWIECKA 230GVAC 20STKT KRA</t>
  </si>
  <si>
    <t>KIEŁB.ŻYWIECKA 230GVAC BL ST</t>
  </si>
  <si>
    <t>***KIEŁB.ŻYWIECKA 460GVAC 6STKT KRA</t>
  </si>
  <si>
    <t>KIEŁB.ŻYWIECKA 230GVAC 20STKT KRA DE</t>
  </si>
  <si>
    <t>KIEŁB.ŻYWIECKA 230GVAC 60STPJ KRA</t>
  </si>
  <si>
    <t>***KIEŁB.ŻYWIECKA 2STMAP OK5.5KGKT KRA</t>
  </si>
  <si>
    <t>KABAN.DROB.-WP.250G BS KRA</t>
  </si>
  <si>
    <t>KABAN.DROB/WP.250GMAP BL ST</t>
  </si>
  <si>
    <t>KABAN.DROB/WP.250GMAP 43STPJ KRA</t>
  </si>
  <si>
    <t>KABAN.DROB/WP.250GMAP 24STPJ KRA</t>
  </si>
  <si>
    <t>KABAN.SŁODKA PAPR.AD KRA</t>
  </si>
  <si>
    <t>KABAN.SŁODKA PAPR.BS KRA</t>
  </si>
  <si>
    <t>KABAN.SŁODKA PAPR.AS KRA</t>
  </si>
  <si>
    <t>KABAN.SŁODKA PAPR.95GMAP 14STKT KRA</t>
  </si>
  <si>
    <t>KABAN.SŁODKA PAPR.95G MAP BL ST</t>
  </si>
  <si>
    <t>KABAN.SŁODKA PAPR.95GMAP 14STKT KRA ST</t>
  </si>
  <si>
    <t>KABAN.SŁODKA PAPR.95GMAP 60STPJ KRA</t>
  </si>
  <si>
    <t>KIEŁB.OD MASARZA BS</t>
  </si>
  <si>
    <t>KABAN.ZIEL.CEB.BS KRA</t>
  </si>
  <si>
    <t>KABAN.ZIEL.CEB.AS KRA</t>
  </si>
  <si>
    <t>KABAN.ZIEL.CEB.95GMAP 14STKT KRA</t>
  </si>
  <si>
    <t>KABAN.ZIEL.CEB.95GMAP BL ST</t>
  </si>
  <si>
    <t>KABAN.ZIEL.CEB.95GMAP 14STKT KRA ST</t>
  </si>
  <si>
    <t>KABAN.ZIEL.CEB.95GMAP 60STPJ KRA</t>
  </si>
  <si>
    <t>KABAN.DROB/WP.Z/SER.BS KRA</t>
  </si>
  <si>
    <t>KABAN.DROB/WP.Z/SER.AS KRA</t>
  </si>
  <si>
    <t>KABAN.DROB/WP.Z/SER.95GMAP BL ST</t>
  </si>
  <si>
    <t>PP KIEŁB.PODWAW.BS KRA</t>
  </si>
  <si>
    <t>PP KIEŁB.PODWAW.500GVAC 5KGKT KRA</t>
  </si>
  <si>
    <t>KABAN.Z/BEK.AD KRA</t>
  </si>
  <si>
    <t>KABAN.Z/BEK.BS KRA</t>
  </si>
  <si>
    <t>KABAN.Z/BEK.AS KRA</t>
  </si>
  <si>
    <t>KABAN.Z/BEK.95GMAP 14STKT KRA</t>
  </si>
  <si>
    <t>KABAN.Z/BEK.95GMAP BL ST</t>
  </si>
  <si>
    <t>***KIEŁB.SWOJSKA AS</t>
  </si>
  <si>
    <t>***KIEŁB.SWOJSKA BS</t>
  </si>
  <si>
    <t>***KIEŁB.SWOJSKA OK1.5KGMAP OK7KGKT KRA</t>
  </si>
  <si>
    <t>KABAN.DROB/WP.CHED.AD KRA</t>
  </si>
  <si>
    <t>KABAN.DROB/WP.CHED.BS KRA</t>
  </si>
  <si>
    <t>KABAN.DROB/WP.CHED.AS KRA</t>
  </si>
  <si>
    <t>KABAN.DROB/WP.CHED.95GMAP BL ST</t>
  </si>
  <si>
    <t>LUKS.PRZEKĄS.WĘDZ.KRAKUS MAP180G</t>
  </si>
  <si>
    <t>***LUKS.PRZEK.WĘDZ.KRAK 180G EXP.T</t>
  </si>
  <si>
    <t>***LUKS.PRZEKĄS.WĘDZ.KRAKUS180G+20GMAP</t>
  </si>
  <si>
    <t>***LUKS.PRZEK.WĘDZ.OK1KG MAPOK3KGKT TESC</t>
  </si>
  <si>
    <t>***LUKS.PRZEKĄS.WĘDZ.KRAK.180GMAP1.8KGKT</t>
  </si>
  <si>
    <t>KABAN.180GMAP 10STKT KRA EX</t>
  </si>
  <si>
    <t>***LUKS.PRZEK.WĘDZ.180G+20GMAP2.8KGKTKRA</t>
  </si>
  <si>
    <t>***LUKS.PRZEK.WĘDZ.KRA180G MAP10STKTEX</t>
  </si>
  <si>
    <t>***LUKS.PRZEKĄS.WĘDZ180GMAP1.8KGKTĆW.PAL</t>
  </si>
  <si>
    <t>***LUKS.PRZEK.WĘDZ180G+20GMAP2.4KG KTKRA</t>
  </si>
  <si>
    <t>***KABAN.180GMAP 10STKT KRA</t>
  </si>
  <si>
    <t>***KIEŁB.ŚLĄSKA KRAKUS OK700G MAP</t>
  </si>
  <si>
    <t>***KIEŁB.ŚLĄSKA KRAKUS 700G MAP 4.9KG KT</t>
  </si>
  <si>
    <t>***KIEŁB.ŚLĄSKA 460G MAP 12ST KT KRA</t>
  </si>
  <si>
    <t>***KIEŁB.ŚLĄSKA NORM.BRAN.</t>
  </si>
  <si>
    <t>***KIEŁB.ŚLĄSKA NORM.BRAN.BS</t>
  </si>
  <si>
    <t>***KIEŁB.ŚLĄSKA N.B.550G MAP 4.95KGKTKRA</t>
  </si>
  <si>
    <t>***KIEŁB.ŚLĄSKA N.B.OK1KG MAPOK7KGKTKRA</t>
  </si>
  <si>
    <t>KIEŁB.OD SZWAGRA AS</t>
  </si>
  <si>
    <t>KIEŁB.OD SZWAGRA BS</t>
  </si>
  <si>
    <t>***KIEŁB.OD SZWAGRA 400GMAP 12STKT KRA</t>
  </si>
  <si>
    <t>***KIEŁB.OD SZWAGRA OK1KGMAP OK9KGKT KRA</t>
  </si>
  <si>
    <t>***K.OD SZWAGRA OK1.2KGMAPOK4.8KGKT KRA</t>
  </si>
  <si>
    <t>***KIEŁB.OD SZWAGRA 400GMAP 16STKT KRA I</t>
  </si>
  <si>
    <t>***KIEŁB.OD SZWAGRA 400GMAP16STKT KRA II</t>
  </si>
  <si>
    <t>SZYN.WG BS KRA</t>
  </si>
  <si>
    <t>SZYN.WG OK1KG VAC OK4KG KT KRA</t>
  </si>
  <si>
    <t>***SZYN.WG OK1KG VAC 3KG KT KRA</t>
  </si>
  <si>
    <t>SCH.WG KRA</t>
  </si>
  <si>
    <t>SCH.WG BS KRA</t>
  </si>
  <si>
    <t>***SCH.WG.OK1KGVAC OK4KGKT KRA</t>
  </si>
  <si>
    <t>***SCH.WG OK1KG VAC 3KG KT KRA</t>
  </si>
  <si>
    <t>PP SZYN.OD KRAKUSA</t>
  </si>
  <si>
    <t>PP SZYN.OD KRAKUSA BS</t>
  </si>
  <si>
    <t>SZYN.OD KRAKUSA 1STVAC OK5KGKT KRA PROM.</t>
  </si>
  <si>
    <t>PP BOCZ.OD KRAKUSA</t>
  </si>
  <si>
    <t>PP BOCZ.OD KRAKUSA  BS</t>
  </si>
  <si>
    <t>***BOCZ.OD KRAKUSA 1STVACOK5KGKTKRAPROM.</t>
  </si>
  <si>
    <t>SCH.OD KRAKUSA BS</t>
  </si>
  <si>
    <t>***SCH.OD KRAKUSA 1STVACOK5KGKTKRA PROM.</t>
  </si>
  <si>
    <t>PP SZYN.ŚWIĘTOKRZ.AS</t>
  </si>
  <si>
    <t>PP SZYN.ŚWIĘTOKRZ.BS</t>
  </si>
  <si>
    <t>PP SCH.ŚWIĘTOKRZ.AS</t>
  </si>
  <si>
    <t>PP SCH.ŚWIĘTOKRZ.BS</t>
  </si>
  <si>
    <t>***BOCZ.WĘDZ.KLAS.AS KRA</t>
  </si>
  <si>
    <t>***BOCZ.KLASYCZNY WĘDZ.BS KRA</t>
  </si>
  <si>
    <t>***BOCZ.KLAS.WĘDZ.PC VAC OK5KG KT KRA</t>
  </si>
  <si>
    <t>***BOCZ.KLAS.WĘDZ.PC VAC BL KRA</t>
  </si>
  <si>
    <t>***BOCZ.KLAS.WĘDZ.OK0.4KGVAC4.7-5.5KGKTK</t>
  </si>
  <si>
    <t>***BOCZ.KLAS.WĘDZ.OK0.4KGVACOK5KGKTKRAGB</t>
  </si>
  <si>
    <t>***BOCZ.KLAS.WĘDZ.KRA OK0.4KGVACOK5KGKTK</t>
  </si>
  <si>
    <t>***BOCZ.KLAS.WĘDZ.OK400GVAC OK4KGKT KRA</t>
  </si>
  <si>
    <t>***BOCZ.KLAS.WĘDZ.OK400GVAC OK5KGKT KRA</t>
  </si>
  <si>
    <t>***BOCZ.KLAS.WĘDZ.OK400GVACOK5KGKTKRA EX</t>
  </si>
  <si>
    <t>***BOCZ.KLAS.WĘDZ.OK1KGVAC OK5KGKT KRA</t>
  </si>
  <si>
    <t>***BOCZ.KLAS.WĘDZ.OK1KG BL KRA</t>
  </si>
  <si>
    <t>***BOCZ.KLAS.WĘDZ 1/2STTRM OK5KGKT EX RO</t>
  </si>
  <si>
    <t>***ŻEB.PARZ.WĘDZ.AS</t>
  </si>
  <si>
    <t>***ŻEB.PARZ.WĘDZ.BS</t>
  </si>
  <si>
    <t>***ŻEB.WĘDZ.PARZ.2ST MAP OK10KG KT MOR</t>
  </si>
  <si>
    <t>***ŻEB.WĘDZONE</t>
  </si>
  <si>
    <t>SZYN.KONS.7LBS KRA</t>
  </si>
  <si>
    <t>***SZYN.WP.KONS.7LB KRA EXP.1S</t>
  </si>
  <si>
    <t>SZYN.WP.KONS.7LBS LUZ OK 6KG KT MOR EX</t>
  </si>
  <si>
    <t>***SZYN.KONS.BIAŁA 7LBS LUZ 2STKT MOR</t>
  </si>
  <si>
    <t>***SZYN.WP.KONS.LUZ OK6KG KT MOR</t>
  </si>
  <si>
    <t>***K.PAR.OK1.5KGMAPOK12KGKTEXCZ/SKMOR</t>
  </si>
  <si>
    <t>***KIEŁB.KRAK SUCHA320GVAC18ST KT CH EX</t>
  </si>
  <si>
    <t>KIEŁB.KRAK.SUCHA 320G VAC 18ST KT EX</t>
  </si>
  <si>
    <t>K.KRAK.SUCHA KRAKUS 1/2SZT VAC 18KT CH</t>
  </si>
  <si>
    <t>ŻEB.WP.MOST.WĘDZ.MAP KT EX MOR</t>
  </si>
  <si>
    <t>***SERD.Z IND.TARIEL MAP OK12.0 KT EX Y</t>
  </si>
  <si>
    <t>SZYN.KONS.SOG 11LB FKP2KT KRAKUS</t>
  </si>
  <si>
    <t>SZYN.WP.SOG11LB FKP2KT YAN CZ/SL</t>
  </si>
  <si>
    <t>***SZYN.KONS.SFG2.50KG F KP4KT KRAK</t>
  </si>
  <si>
    <t>***KIEŁB.PARÓWKOWA OK1.5KG MAP KT CONS</t>
  </si>
  <si>
    <t>SZYN.IND.W GALARECIE OK15KGKT EX YAN</t>
  </si>
  <si>
    <t>***POLĘD.FASZEROWANA VAC OK10.0 KT EX Y</t>
  </si>
  <si>
    <t>***KIEŁB.BIWAK.OK1.5KGMAPOK12KGKT EX MOR</t>
  </si>
  <si>
    <t>KOTL.IND.PANIER.1.0 MAP 14ST KT EX Y</t>
  </si>
  <si>
    <t>***HAMB.DROB.4x250G VAC WOR 8ST KT Y EX</t>
  </si>
  <si>
    <t>SZYN.DROB.OK2.5KG LUZ 5ST KT MOR EX CZ</t>
  </si>
  <si>
    <t>***KIEŁB.ŚLĄSKA OK.700G MAP KT MORL</t>
  </si>
  <si>
    <t>WT KIEŁB.WĘDZ.PARZ.MIX AS</t>
  </si>
  <si>
    <t>WT KIEŁB.MIX AS KOBEX</t>
  </si>
  <si>
    <t>WT BOCZ.WĘDZ.PARZ.OK450GVAC OK10KGKT EX</t>
  </si>
  <si>
    <t>WT KABAN.MIX BAR.AD</t>
  </si>
  <si>
    <t>WT KABAN.MIX ALG.AD</t>
  </si>
  <si>
    <t>WT KABAN.MIX ALG.RO</t>
  </si>
  <si>
    <t>WT KABAN.Z/SER.RO</t>
  </si>
  <si>
    <t>WT KABAN.MIX OK1KGVAC KT</t>
  </si>
  <si>
    <t>WT KABAN.MIX BAR.OK1KGVAC KT</t>
  </si>
  <si>
    <t>WT BOCZ.WĘDZ.PARZ.IV OK15KG NB MR</t>
  </si>
  <si>
    <t>WT BOCZ.WĘDZ.PARZ.IV OK15KG NB DMR</t>
  </si>
  <si>
    <t>WT BOCZ.WĘDZ.PARZ.IV RO</t>
  </si>
  <si>
    <t>PT WĘDZ.AS</t>
  </si>
  <si>
    <t>***PT M.MIEL.FARSZ</t>
  </si>
  <si>
    <t>PT EL.M-SO WP.PJ EŁ</t>
  </si>
  <si>
    <t>MIESZ.PREPARAT ZAGĘSZCZ.DO PAR.BJ DFO135</t>
  </si>
  <si>
    <t>MIESZ.SERDELKI E</t>
  </si>
  <si>
    <t>MIESZ.FOSFOSAL H</t>
  </si>
  <si>
    <t>MIESZ.HAM-P-15-24 PLUS</t>
  </si>
  <si>
    <t>MIESZ.SOVMIX F 600 B</t>
  </si>
  <si>
    <t>MIESZ.PROSCIUTTO COTTO</t>
  </si>
  <si>
    <t>MIESZ.PEKLUJĄCA-PEKLOSÓL 0.9</t>
  </si>
  <si>
    <t>MIESZ. KARAGEN EUROGEL MB-55</t>
  </si>
  <si>
    <t>DYM WĘDZ.FUMARO K</t>
  </si>
  <si>
    <t>MIESZ.DANSMAK KIEŁBASA SWOJSKA</t>
  </si>
  <si>
    <t>MIESZ.BRATAROMAT OG 110399-31</t>
  </si>
  <si>
    <t>MIESZ.BASIC MSG FREE 140369-14</t>
  </si>
  <si>
    <t>MIESZ.ECOAROM WĘDZONKA DOJRZEWAJACA BG</t>
  </si>
  <si>
    <t>MIESZ.SZYNKA PIECZENIOWA T</t>
  </si>
  <si>
    <t>PRZYP.SCHAB PIECZENIOWY</t>
  </si>
  <si>
    <t>MIESZ.KARKÓWKA PIECZENIOWA T</t>
  </si>
  <si>
    <t>PRZYP.BOCZEK  PIECZENIOWY</t>
  </si>
  <si>
    <t>MIESZ.PROMASOL DO WĘDZ.PC 130 R05</t>
  </si>
  <si>
    <t>MIESZ.AMCOSOL G5 100 DS.4</t>
  </si>
  <si>
    <t>MIESZ.SPS SZYNKA W-20F</t>
  </si>
  <si>
    <t>MIESZ.SCHIADIT PP 0813</t>
  </si>
  <si>
    <t>MIESZ.PERŁY ŚWIEŻOŚCI 078501</t>
  </si>
  <si>
    <t>MIESZ.PULLED P 256513</t>
  </si>
  <si>
    <t>MIESZ.AROMIX BRATFLEISCH 140480-21</t>
  </si>
  <si>
    <t>CHILI</t>
  </si>
  <si>
    <t>MIESZ.ECOROM KIEŁBASKI KEBAB BG</t>
  </si>
  <si>
    <t>MIESZ.ECOROM BIAŁA LUKSUSOWA</t>
  </si>
  <si>
    <t>MIESZ.KNACKER COMBI</t>
  </si>
  <si>
    <t>MIESZ.GRILLOWA PURE</t>
  </si>
  <si>
    <t>L</t>
  </si>
  <si>
    <t>MIESZ.PROAROMA STEK OG</t>
  </si>
  <si>
    <t>MIESZ.VAN HESS PH OPTIMAL</t>
  </si>
  <si>
    <t>MIESZ.MIX STEAK E SPRAY</t>
  </si>
  <si>
    <t>MIESZ.GRILOWA C A30315</t>
  </si>
  <si>
    <t>MIESZ.ALMI C720</t>
  </si>
  <si>
    <t>MIESZ.ALMI DELIKAT 100-120-MOD</t>
  </si>
  <si>
    <t>MIESZ.SZYNKA POLSKA (WT 1)</t>
  </si>
  <si>
    <t>MIESZ.HAM P-15-105</t>
  </si>
  <si>
    <t>MIESZ.PROMASOL PBC 120 R06</t>
  </si>
  <si>
    <t>MIESZ.MARYNATA BBQ STH 1062900</t>
  </si>
  <si>
    <t>MIESZ.MARYNATA PORK BBQ</t>
  </si>
  <si>
    <t>MIESZ.SALCESON PL RO I</t>
  </si>
  <si>
    <t>MIESZ.MARYNATA BBQ MK SASZETKA 50G</t>
  </si>
  <si>
    <t>MIESZ.KASZANKA MAZURSKA BRUNO TASSI 1209</t>
  </si>
  <si>
    <t>MIESZ.PODWAWELSKA NOWA FREE P5100111</t>
  </si>
  <si>
    <t>MIESZ.PROMASOL DO BLOKÓW P110 R06</t>
  </si>
  <si>
    <t>MIESZ.ERPU GOLD 6012 13</t>
  </si>
  <si>
    <t>PRZYP.PIZZAGEWURZ 433200012DE</t>
  </si>
  <si>
    <t>MIESZ.APRORED</t>
  </si>
  <si>
    <t>MIESZ.KIEŁBASA WIEJSKA E</t>
  </si>
  <si>
    <t>MIESZ.KIEŁBASA SUROWA PAPRYKOWA  F</t>
  </si>
  <si>
    <t>MIESZ.HAMSTAR C</t>
  </si>
  <si>
    <t>MIESZ.VERDAD POWDER N6</t>
  </si>
  <si>
    <t>OPTI.FORM SD 4</t>
  </si>
  <si>
    <t>MIESZ.SMAK.AROMAT SMR</t>
  </si>
  <si>
    <t>MIESZ.PODWAWELSKA RO</t>
  </si>
  <si>
    <t>MIESZ.TARI COLPUR 51</t>
  </si>
  <si>
    <t>PRZYP.FIBRICOLOR</t>
  </si>
  <si>
    <t>MIESZ.SOS WĘGIERSKI Z NUTĄ PIECZ.EF</t>
  </si>
  <si>
    <t>MIESZ.AROMEAT SZYNKA SŁOWIAŃSKA</t>
  </si>
  <si>
    <t>MIESZ.AROMEAT-SZYNKA BLOKOWA</t>
  </si>
  <si>
    <t>MIESZ.PRIMAL KIEŁB.KRAK.SUCHA OG 247684</t>
  </si>
  <si>
    <t>MIESZ.FRISCHZWIEBEL L 333118048</t>
  </si>
  <si>
    <t>MIESZ.SMAK GOURMET OGAF 107235</t>
  </si>
  <si>
    <t>MIESZ.AROMA C2 OG 242751</t>
  </si>
  <si>
    <t>MIESZ.SOS AMERYKAŃSKI FINE OG 201163EU</t>
  </si>
  <si>
    <t>MIESZ.AROMIX KNOBLAUCH LW 308745660</t>
  </si>
  <si>
    <t>MIESZ.VAN HEES PH-OPTIMAL S2</t>
  </si>
  <si>
    <t>MIESZ.KABANOS WIEPRZOWY-BACON 4</t>
  </si>
  <si>
    <t>MIESZ.SOVAROM KABANOS BGP II</t>
  </si>
  <si>
    <t>***MIESZ.KABANOS WIEPRZOWY-BACON 3</t>
  </si>
  <si>
    <t>MIESZ.BRINE ACTIWAGG BZ</t>
  </si>
  <si>
    <t>MIESZ.BIND P6 PROFIT</t>
  </si>
  <si>
    <t>MIESZ.SCHULTER MIX NATURAL</t>
  </si>
  <si>
    <t>MIESZ.DOMOWA ZE WSI E-O EU</t>
  </si>
  <si>
    <t>MIESZ.DOMOWA ZE WSI W PŁYNIE BG 27006</t>
  </si>
  <si>
    <t>MIESZ.SMAK ROSOŁOWY 147864013 PL</t>
  </si>
  <si>
    <t>MIESZ.AROMIX NATUR GARLIC 309412660PL</t>
  </si>
  <si>
    <t>MIESZ.AROMIX NATUR ONION 309413130PL</t>
  </si>
  <si>
    <t>MIESZ.VAN HEES STAB PH 147865023PL</t>
  </si>
  <si>
    <t>MIESZ.SMAK MIX NATUR 247456013PL</t>
  </si>
  <si>
    <t>MIESZ.PORK BELLY 65 S</t>
  </si>
  <si>
    <t>MIESZ.AROMEAT-KOMPLEX-17</t>
  </si>
  <si>
    <t>MIESZ.AROMEAT-KOMPLEX-16</t>
  </si>
  <si>
    <t>MIESZ.SOLANKA W50</t>
  </si>
  <si>
    <t>MIESZ.TARI COMBI KRAKAUER 05/17PL</t>
  </si>
  <si>
    <t>MIESZ.DORAMIX KOMPLEX 01-54</t>
  </si>
  <si>
    <t>MIESZ.DEKOR WIOSENNY</t>
  </si>
  <si>
    <t>MIESZ.KIEŁBASA GÓRALSKA RO</t>
  </si>
  <si>
    <t>MIESZ.PRZYPRAWA BARBECUE DO KARKÓWKI</t>
  </si>
  <si>
    <t>MIESZ.GRILL.JALAPENO</t>
  </si>
  <si>
    <t>MAR.CZOSN/ZIOŁ.</t>
  </si>
  <si>
    <t>MIESZ.MEAT BOOSTER</t>
  </si>
  <si>
    <t>MIESZ.KEBAB BASIC E</t>
  </si>
  <si>
    <t>MIESZ.MADRYCKA AE O 2</t>
  </si>
  <si>
    <t>MIESZ.CHORIZO HSP NG</t>
  </si>
  <si>
    <t>MIESZ.VAN HEES BASIC MSG FREE</t>
  </si>
  <si>
    <t>MIESZ.PEKLOMIX 3.0FCB</t>
  </si>
  <si>
    <t>MIESZ.GOLD FRESCH PLUS</t>
  </si>
  <si>
    <t>MIESZ.BIANKA MIX</t>
  </si>
  <si>
    <t>MIESZ.ORIENT MIX</t>
  </si>
  <si>
    <t>MIESZ.VAN HEES BASIC</t>
  </si>
  <si>
    <t>OPTI.FORM PD PLUS</t>
  </si>
  <si>
    <t>MIESZ.MIX 2 KARK.AE</t>
  </si>
  <si>
    <t>MIESZ.MIX 1 SZYNKA AE</t>
  </si>
  <si>
    <t>MIESZ.MIX 1 SCHAB AE</t>
  </si>
  <si>
    <t>MIESZ.AMCOSOL G8 15 PIECZEŃ AE</t>
  </si>
  <si>
    <t>MIESZ.PROAROMA SOS GRZYBOWY EF</t>
  </si>
  <si>
    <t>MIESZ.PROMASOL SOL.DO MIĘSA KULIN.EF R07</t>
  </si>
  <si>
    <t>MIESZ.SOVAROM BIAŁA SUROWA III 2429</t>
  </si>
  <si>
    <t>***MIESZ.KABANOS ROZMARYN ATL</t>
  </si>
  <si>
    <t>***MIESZ.KABANOS JAŁOWIEC ATL</t>
  </si>
  <si>
    <t>MIESZ.ZARTAVO L 03</t>
  </si>
  <si>
    <t>MIESZ.PALCÓWKA NAT 2</t>
  </si>
  <si>
    <t>MIESZ.PEPPERONI</t>
  </si>
  <si>
    <t>MIESZ.PROAROMA KABANOS ORANGE</t>
  </si>
  <si>
    <t>MIESZ.PAPRYKOWA NASTRZYKOWA</t>
  </si>
  <si>
    <t>MIESZ.PROSOL SOLANKA NF</t>
  </si>
  <si>
    <t>MIESZ.COMBI MIX-WĘDLINA BIS</t>
  </si>
  <si>
    <t>MIESZ.PODWAWELSKA RO FB</t>
  </si>
  <si>
    <t>MIESZ.AROMAT BOCZKU FB</t>
  </si>
  <si>
    <t>MIESZ.KUTMAXX P-4</t>
  </si>
  <si>
    <t>PRZYP.WIEDEŃSKA</t>
  </si>
  <si>
    <t>MIESZ.KRAKOWSKA DROBIOWA</t>
  </si>
  <si>
    <t>***MIESZ.PEKLOMIX 3.0FKB5 SUPREME</t>
  </si>
  <si>
    <t>***MIESZ.PRZYPRAWA TURYŃSKA</t>
  </si>
  <si>
    <t>MIESZ.AMCOSOL G5 GRILL</t>
  </si>
  <si>
    <t>MIESZ.CHILIE SMOKED GROUND(TYP CHIPOTLE)</t>
  </si>
  <si>
    <t>MIESZ.INWEX HOME BINDER</t>
  </si>
  <si>
    <t>MIESZ.DORAMIX KOMPLEX 01-58</t>
  </si>
  <si>
    <t>MIESZ.ŚLĄSKA TRADYCYJNA</t>
  </si>
  <si>
    <t>PRZYP.ZWYCZAJNA EXTRA - BIAŁA</t>
  </si>
  <si>
    <t>MIESZ.PROMASOL DO KIEŁBAS 20</t>
  </si>
  <si>
    <t>MIESZ.PEKLOMAS PM-30 BOCZ.SOK-3</t>
  </si>
  <si>
    <t>***MIESZ.PROMASOL STABILO 100</t>
  </si>
  <si>
    <t>***MIESZ.POSYPKA MAJER/CZOSN.</t>
  </si>
  <si>
    <t>MIESZ.MARYNATA SYROP KLONOWY&amp;BURBON</t>
  </si>
  <si>
    <t>MIESZ.DOMOWA ZE WSI OE PIE.</t>
  </si>
  <si>
    <t>MIESZ.PREPARAT SZYNKA RZEŹNIKA RO FB</t>
  </si>
  <si>
    <t>MIESZ.SOLANKA ZARTAVO 02</t>
  </si>
  <si>
    <t>MIESZ.AROMEAT-KOMPLEX-52</t>
  </si>
  <si>
    <t>MIESZ.SPICEMIX-28</t>
  </si>
  <si>
    <t>MIESZ.KIEŁBASA WIEJSKA FEIN FB</t>
  </si>
  <si>
    <t>MIESZ.KIEŁBASA GÓRALSKA RO FB</t>
  </si>
  <si>
    <t>***MIESZ.TASTE GARLIC</t>
  </si>
  <si>
    <t>MIESZ.SMAK.AROMEAT KOMPLEX-58</t>
  </si>
  <si>
    <t>MIESZ.PROSMAK SPICE MIX</t>
  </si>
  <si>
    <t>MIESZ.VAN HEES AROMIX BASIC</t>
  </si>
  <si>
    <t>OPTI.FORM PPA PLUS</t>
  </si>
  <si>
    <t>***MIESZ.FUNK.PODWAWELSKA RO NC</t>
  </si>
  <si>
    <t>MIESZ.AMCOSYSTEM E SZYN.</t>
  </si>
  <si>
    <t>MIESZ.PROMASOL DO KIEŁBAS 30</t>
  </si>
  <si>
    <t>MIESZ.SMAK.TASTE E 28</t>
  </si>
  <si>
    <t>***MIESZ.FUNK.W 2500 PUR NEW</t>
  </si>
  <si>
    <t>MIESZ.SMAK.KABANOS DROBIOWY II</t>
  </si>
  <si>
    <t>MIESZ.FUNK.PROSOL OPTIMAL S</t>
  </si>
  <si>
    <t>MIESZ.FUNK.PROSOL SOLANKA 73</t>
  </si>
  <si>
    <t>MIESZ.FUNK.W 2500 PUR NEW OA</t>
  </si>
  <si>
    <t>MIESZ.FUNK.ACTIVKUT 78 AFT</t>
  </si>
  <si>
    <t>MIESZ.SMAK.AVO SMAKER</t>
  </si>
  <si>
    <t>MIESZ.AROMAT PULLED BEEF</t>
  </si>
  <si>
    <t>MIESZ.SMAK.KABANOS WIEPRZOWY II</t>
  </si>
  <si>
    <t>MIESZ.SMAK.SOV.MIX AROMATYCZNY BG</t>
  </si>
  <si>
    <t>MIESZ.SMAK.SOV.PRZYP.EXTRA BG</t>
  </si>
  <si>
    <t>MIESZ.FUNK.BIND 50 BS</t>
  </si>
  <si>
    <t>MIESZ.FUNK.HAM P-15-197</t>
  </si>
  <si>
    <t>MIESZ.SMA.PAPRYKA OSTRA WĘDZONA 100 ASTA</t>
  </si>
  <si>
    <t>MIESZ.SMAK.PROAROMA BASIC D</t>
  </si>
  <si>
    <t>MIESZ.FUNK.BIND K30</t>
  </si>
  <si>
    <t>MIESZ.SMAK.MAR.DO KIEŁBAS SWOJSKICH</t>
  </si>
  <si>
    <t>MIESZ.SMAK.KIEŁB.BEK/CEB.</t>
  </si>
  <si>
    <t>MIESZ.FUNK.SM KHM ROT</t>
  </si>
  <si>
    <t>MIESZ.FUNK.SUPERFRISH INW</t>
  </si>
  <si>
    <t>MIESZ.SMAK.VAN HEES PARÓWKI 2 FAMILI OG</t>
  </si>
  <si>
    <t>MIESZ.SMAK.VAN HEES WIENER GLUT OGAF</t>
  </si>
  <si>
    <t>MIESZ.PEPPERONI B FB</t>
  </si>
  <si>
    <t>MIESZ.SMAK.PROSMAK PARÓWKI FAMILIADA OG</t>
  </si>
  <si>
    <t>MIESZ.SMAK.PROSMAK WIENER GOLD OGAF</t>
  </si>
  <si>
    <t>MIESZ.SMAK.KABANOS WIEPRZOWY AN</t>
  </si>
  <si>
    <t>MIESZ.SMAK.SZYN.Z LASU</t>
  </si>
  <si>
    <t>MIESZ.SMAK.PROAROMA KABAN.SPICE</t>
  </si>
  <si>
    <t>MIESZ.PEKLOMAS PM-30 BEKON-2</t>
  </si>
  <si>
    <t>MIESZ.SMAK.KABANOS O SMAKU PAPRYKI</t>
  </si>
  <si>
    <t>MIESZ.FUNK.PROSOL MIX NATUR</t>
  </si>
  <si>
    <t>MIESZ.FUNK.FRANKFURTERKI RO.02</t>
  </si>
  <si>
    <t>MIESZ.SMAK.SOVAROM PRZYPR.LUX</t>
  </si>
  <si>
    <t>MIESZ.PROSMAK-158</t>
  </si>
  <si>
    <t>MIESZ.PROSMAK-159</t>
  </si>
  <si>
    <t>MIESZ.FUNK.PROMASOL DO KIEŁBAS 40</t>
  </si>
  <si>
    <t>MIESZ.FUNK.BASIC ULTRA FRESH</t>
  </si>
  <si>
    <t>MIESZ.SMAK.PROAROMA O SMAKU ZIEL.CEBULKI</t>
  </si>
  <si>
    <t>MIESZ.FUNK.PROMASOL DO KIEŁBAS 90%</t>
  </si>
  <si>
    <t>MIESZ.SMAK.PROSMAK-K5 KOMBI 5866</t>
  </si>
  <si>
    <t>MIESZ.FUNK.AMCOSOL SUPER 50 NI AN</t>
  </si>
  <si>
    <t>MIESZ.FUNK.SOL.ALLSOL W6A KOD197-2021</t>
  </si>
  <si>
    <t>MIESZ.SMAK.PRZYP.O SMAKU SERA G ID243759</t>
  </si>
  <si>
    <t>MIESZ.SMAK.MIX PFEFFER</t>
  </si>
  <si>
    <t>MIESZ.PRZYP.PODWAWELSKA KOMBI 245913</t>
  </si>
  <si>
    <t>MIESZ.FUNK.PRZYP.POLSKA 02 B/COLOR I MSG</t>
  </si>
  <si>
    <t>MIESZ.SMAK.IBERIA BG III 2817500</t>
  </si>
  <si>
    <t>MIESZ.SMAK.DO KIEŁBASEK PIEPRZOWYCH 3452</t>
  </si>
  <si>
    <t>MIESZ.FUNK.SMAKOVITA VITASOL T2 D</t>
  </si>
  <si>
    <t>DYM WĘDZ.SMOKESTREAM RT-13</t>
  </si>
  <si>
    <t>MIESZ.FUNK.BASIC-FUNKCJA KOL</t>
  </si>
  <si>
    <t>MIESZ.SMAK.ŚLĄSKA PREMIUM REF.1790</t>
  </si>
  <si>
    <t>MIESZ.FUNK.BASIC KOMPLET K</t>
  </si>
  <si>
    <t>MIESZ.SMAK.PROSMAK KEIŁBASKI JALAPENO</t>
  </si>
  <si>
    <t>MIESZ.FUNK.KIEŁB.REGIONALNA COMBI 2</t>
  </si>
  <si>
    <t>MIESZ.FUNK.SOLANKA W 501 AN</t>
  </si>
  <si>
    <t>MIESZ.MAR.PAPRIKANA 28294</t>
  </si>
  <si>
    <t>MIESZ.PEKLOMAS PZ-40 J2</t>
  </si>
  <si>
    <t>UPPZ KAT.2-METANOL POPROD.SKAŻONY</t>
  </si>
  <si>
    <t>MIESZ.SMAK.BIAŁA LUX M B/MSG-2</t>
  </si>
  <si>
    <t>PRZYP.VH BASIC</t>
  </si>
  <si>
    <t>MIESZ.SAUMAD SZYNKA 80NA</t>
  </si>
  <si>
    <t>MIESZ.POLIVAL 2P</t>
  </si>
  <si>
    <t>MIESZ.GLUTONI 60</t>
  </si>
  <si>
    <t>MIESZ.ZARTIN CDS 20</t>
  </si>
  <si>
    <t>MIESZ.STABIL B STBIL ZALEWA 100%</t>
  </si>
  <si>
    <t>MIESZ.PREPARAT PRZYPRAWOWY AT 2472 00</t>
  </si>
  <si>
    <t>MIESZ.INWEX-STABIL</t>
  </si>
  <si>
    <t>KARMIN</t>
  </si>
  <si>
    <t>MIESZ.DANKOL BS</t>
  </si>
  <si>
    <t>WODA</t>
  </si>
  <si>
    <t>KAR.WA.269X179X187 3W DIS.GRAN.ŻYW.KW D</t>
  </si>
  <si>
    <t>KAR.WA.270X183X191 3W SZAR.W</t>
  </si>
  <si>
    <t>PRZYP.PIEPRZ MIX</t>
  </si>
  <si>
    <t>PRZYP.BINTER PEPEFFER</t>
  </si>
  <si>
    <t>KAR.WA.321X252X224 3W DIS.KOL.KRA D</t>
  </si>
  <si>
    <t>KAR.WA.384X249X152 3W DIS.GRAN.MOR D</t>
  </si>
  <si>
    <t>KAR.WR.192X159X300 3W DIS.BEŻ.D</t>
  </si>
  <si>
    <t>KAR.WA.205X170X305 5W BEŻ.W</t>
  </si>
  <si>
    <t>***KAR.W.321X252X224 K.ŚLASKA BIED D</t>
  </si>
  <si>
    <t>***KTN.370X65X35BEŻ.FLT PRK DUL CZ/SK/HU</t>
  </si>
  <si>
    <t>KAR.WA.379X130X206 2W CZAR.LIMITED D</t>
  </si>
  <si>
    <t>KAR.WR.370X129X203 3W CZAR.W</t>
  </si>
  <si>
    <t>KAR.WA.385X256X176 3W SZAR.W</t>
  </si>
  <si>
    <t>KAR.WA.385X256X176 5W DIS.BRĄ.PODW.BIEDD</t>
  </si>
  <si>
    <t>KAR.WA.288X254X150 3W DIS.7L CZAR.G&amp;F D</t>
  </si>
  <si>
    <t>KAR.WA.288X254X150 3W SZAR.W</t>
  </si>
  <si>
    <t>KAR.WA.393X289X135 3W SZAR.W</t>
  </si>
  <si>
    <t>KAR.WA.393X289X135 3W DIS.6L CZAR.G&amp;F D</t>
  </si>
  <si>
    <t>KAR.WR.235X220X140 3W DIS.CZER/CZA.BAR D</t>
  </si>
  <si>
    <t>KAR.WA.235X220X140 3W CZER.W</t>
  </si>
  <si>
    <t>KAR.WA.325X259X229 3W BRĄZ.BIAŁA.PA.KW D</t>
  </si>
  <si>
    <t>KAR.WA.325X259X229 3W SZAR.W</t>
  </si>
  <si>
    <t>***KAR.W.320X230X107 K.ŻYW.600G BIED D</t>
  </si>
  <si>
    <t>***KAR.W.320X230X107 K.ŻYW.286G BIED D</t>
  </si>
  <si>
    <t>***KAR.W.320X230X107 W</t>
  </si>
  <si>
    <t>KAR.WA.279X86X253 3W SZAR.W</t>
  </si>
  <si>
    <t>KAR.287X91X126 MEATERS CZARNY D</t>
  </si>
  <si>
    <t>KAR.WA.287X91X126 3W DIS.CZER.MEAT.D</t>
  </si>
  <si>
    <t>KAR.WA.287X91X126 3W DIS.NIEB.MEAT.D</t>
  </si>
  <si>
    <t>KAR.WA.287X91X126 3W DIS.BIA.D</t>
  </si>
  <si>
    <t>***KAR.W.287X91X126 BIAŁY W</t>
  </si>
  <si>
    <t>WOR.TRMK 425X230 GR45 Z/TAŚ.</t>
  </si>
  <si>
    <t>KAR.WA.288X254X150 3W DIS.7L DESKA D</t>
  </si>
  <si>
    <t>KAR.WA.393X289X135 3W DIS.6L DESKA D</t>
  </si>
  <si>
    <t>KAR.WA.348X85X119 3W DIS.KOL.KRA D</t>
  </si>
  <si>
    <t>KAR.WA.344X84X124 3W SZAR.W</t>
  </si>
  <si>
    <t>KAR.WA.290X175X245 3W KOL.KRA D</t>
  </si>
  <si>
    <t>KAR.WA.290X175X245 3W SZAR.W</t>
  </si>
  <si>
    <t>ST.TAC.562X360X260 3W KOL.KRA</t>
  </si>
  <si>
    <t>***ST.TAC.562X360X189 3W KRA</t>
  </si>
  <si>
    <t>***ST.CZAPA 595X396X956 SZARY</t>
  </si>
  <si>
    <t>***ST.WKŁADKA 550X260</t>
  </si>
  <si>
    <t>***ST.PODPORA 260X722</t>
  </si>
  <si>
    <t>***ST.LISTWA CEN.39X580</t>
  </si>
  <si>
    <t>***WOR.TRMK 180X200 GR45 Z/TAŚ.</t>
  </si>
  <si>
    <t>ST.LISTWA CEN.39X500</t>
  </si>
  <si>
    <t>ST.CZAPA 595X395X950 3W SZAR.</t>
  </si>
  <si>
    <t>KAR.KR.540X240X176 5W BIA.AX</t>
  </si>
  <si>
    <t>ST.WKŁADKA 562X260 3W SZAR.</t>
  </si>
  <si>
    <t>ST.PODPORA 359X260 3W</t>
  </si>
  <si>
    <t>ST.COKÓŁ 581X384X117 3W KOL.KRA</t>
  </si>
  <si>
    <t>KAR.WA.251X291X213 3W DIS.GRAN.APLA D</t>
  </si>
  <si>
    <t>ST.KRATOWNICA 581X384X117 5W</t>
  </si>
  <si>
    <t>KAR.WA.251X291X213 3W SZAR.W</t>
  </si>
  <si>
    <t>KAR.WA.249X281X210 5W DIS.GRAN.KW D</t>
  </si>
  <si>
    <t>KAR.WA.249X281X210 3W SZAR.W</t>
  </si>
  <si>
    <t>KTN.WA.370X65X35 KOL.POL.LIDL</t>
  </si>
  <si>
    <t>KAR.WA.305X138X240 3W DIS.BIA.KRA D</t>
  </si>
  <si>
    <t>KAR.WA.317X143X241 3W SZAR.W</t>
  </si>
  <si>
    <t>KTN.WA.370X65X35 KOL.POL.TRUF.KRA</t>
  </si>
  <si>
    <t>ST.COKÓŁ 582X384X391 3W KOL.KRA</t>
  </si>
  <si>
    <t>KAR.WA.380X249X185 3W DIS.GRAN.TORUŃ.KWD</t>
  </si>
  <si>
    <t>ST.KRATOWNICA 578X374X426 5W</t>
  </si>
  <si>
    <t>KAR.WA.390X248X185 3W DIS.GRAN.PODW.KW D</t>
  </si>
  <si>
    <t>KAR.WA.390X248X185 3W SZAR.W</t>
  </si>
  <si>
    <t>KAR.WA.320X252X224 3W DIS.GRA.BIA.KW D</t>
  </si>
  <si>
    <t>KAR.WA.247X282X207 3W DIS.GRAN.ŻYW.KW D</t>
  </si>
  <si>
    <t>KAR.WA.380X249X185 3W GRAN.ŻYW.600G KW D</t>
  </si>
  <si>
    <t>KAR.WS.320X246X222 5W DIS.F/KR.DESKA D</t>
  </si>
  <si>
    <t>***OKT.1170X770X1500 7W SZAR.</t>
  </si>
  <si>
    <t>KAR.WS.315X252X222 3W DIS.GRAN.MOR D</t>
  </si>
  <si>
    <t>KAR.WA.315X252X222 3W SZAR.W</t>
  </si>
  <si>
    <t>NAR.1700X200 3W SZAR.</t>
  </si>
  <si>
    <t>KAR.WA.284X245X150 3W SZAR.W</t>
  </si>
  <si>
    <t>KAR.WS.284X245X150 3W DIS.GRAN.D</t>
  </si>
  <si>
    <t>ST.TOPER 576X415 5W BIA/GRA.ŚWIĄT.KRA</t>
  </si>
  <si>
    <t>OKT.1180X780X1180 5W SZAR.B/D</t>
  </si>
  <si>
    <t>ST.TOPER 580X315 5W KOL.KRA</t>
  </si>
  <si>
    <t>KAR.WS.315X252X222 3W DIS.GRAN.ŚLĄS.KW D</t>
  </si>
  <si>
    <t>KAR.WS.315X252X222 3W DIS.GRAN.KW D</t>
  </si>
  <si>
    <t>KAR.WS.315X252X222 3W SZAR.W</t>
  </si>
  <si>
    <t>KAR.WA.320X246X222 5W SZAR.W</t>
  </si>
  <si>
    <t>KAR.WS.320X246X222 5W DIS.F/DŁ.DESKA D</t>
  </si>
  <si>
    <t>KAR.WA.315X252X222 3W DIS.GRAN.D</t>
  </si>
  <si>
    <t>OKT.1170X770X1000 7W SZAR.B/D</t>
  </si>
  <si>
    <t>KAR.KR.380X240X159 5W SZAR.STRZ.</t>
  </si>
  <si>
    <t>WOR.LDPE 1430X2340X2F535 GR60 NIEB.</t>
  </si>
  <si>
    <t>KAR.WA.256X550 3W SZAR.W</t>
  </si>
  <si>
    <t>***WOR.TRMK.PA/EVOH/PE230X500GR45 Z/TAŚ.</t>
  </si>
  <si>
    <t>WOR.TRMK 450X300 GR45 Z/TAŚ.</t>
  </si>
  <si>
    <t>***WOR.TRMK.PA/EVOH/PE180X350GR45 Z/TAŚ.</t>
  </si>
  <si>
    <t>KAR.WA.282X147X208 3W DIS.GRAN.MOR D</t>
  </si>
  <si>
    <t>KAR.WA.188X137X207 3W SZAR.W</t>
  </si>
  <si>
    <t>KAR.KR.480X280X190 5W SZAR.</t>
  </si>
  <si>
    <t>KAR.WA.195X144X212 3W DIS.GRAN.MOR D</t>
  </si>
  <si>
    <t>KAR.WA.386X159X188 3W DIS.BIA.KRA D</t>
  </si>
  <si>
    <t>KAR.WA.377X150X235 3W SZAR.W</t>
  </si>
  <si>
    <t>KAR.WA.281X185X224 5W DIS.BIA.KRA D</t>
  </si>
  <si>
    <t>KAR.WA.288X197X224 3W SZAR.W</t>
  </si>
  <si>
    <t>KAR.WA.295X257X150 3W DIS.CZER.WĘDL.D</t>
  </si>
  <si>
    <t>ST.PODPORA 260X831 5W</t>
  </si>
  <si>
    <t>ST.COKÓŁ 582X384X117 3W BIA.KRA</t>
  </si>
  <si>
    <t>ST.KRATOWNICA 578X121 5W DŁ.A WZM</t>
  </si>
  <si>
    <t>ST.KRATOWNICA 375X152 5W KR.B WZM</t>
  </si>
  <si>
    <t>ST.KRATOWNICA 375X152 5W KR.C WZM</t>
  </si>
  <si>
    <t>ST.KRATOWNICA 375X127 5W KR.D WZM</t>
  </si>
  <si>
    <t>ST.WKŁADKA 1071X218 5W SZAR.</t>
  </si>
  <si>
    <t>ST.WKŁADKA 654X365 5W SZAR.</t>
  </si>
  <si>
    <t>ST.WKŁADKA 550X436 5W SZAR.</t>
  </si>
  <si>
    <t>ST.TOPER 356X580 3W BIA.KRA</t>
  </si>
  <si>
    <t>ST.TAC.562X360X260 5W BIA.KRA</t>
  </si>
  <si>
    <t>KAR.WS.315X252X242 3W DIS.GRAN.KW D</t>
  </si>
  <si>
    <t>KAR.WS.315X252X242 3W DIS.GRAN.MOR D</t>
  </si>
  <si>
    <t>KAR.WS.315X252X242 3W DIS.GRAN.ŚLĄS.KW D</t>
  </si>
  <si>
    <t>KAR.WS.323X252X244 3W SZAR.W</t>
  </si>
  <si>
    <t>KAR.WA.293X161X195 3W DIS.BIA.KRA.D</t>
  </si>
  <si>
    <t>KAR.WA.286X154X193 3W SZAR.W</t>
  </si>
  <si>
    <t>KAR.WS.284X245X150 5W DIS.7L DESKA D</t>
  </si>
  <si>
    <t>KAR.WS.296X260X50 3W SZAR.W</t>
  </si>
  <si>
    <t>KAR.WA.294X157X230 3W SZAR.W</t>
  </si>
  <si>
    <t>KAR.WA.289X147X228 3W DIS.GRA.K.BIA.KW D</t>
  </si>
  <si>
    <t>KAR.WA.285X151X195 3W DIS.GRAN.MOR D</t>
  </si>
  <si>
    <t>KAR.WA.523X304X102 3W SZAR.D</t>
  </si>
  <si>
    <t>KAR.WA.535X320X105 3W SZAR.AX W</t>
  </si>
  <si>
    <t>KAR.WA.574X372X150 3W SZAR.D</t>
  </si>
  <si>
    <t>KAR.WA.586X388X153 3W SZAR.AX W</t>
  </si>
  <si>
    <t>KAR.WA.344X94X241 5W SZAR.</t>
  </si>
  <si>
    <t>KAR.WA.282X147X208 3W DIS.GRA/BIA.MOR D</t>
  </si>
  <si>
    <t>KAR.WS.314X252X222 5W DIS.BEŻ.ŚLĄ.KW D</t>
  </si>
  <si>
    <t>ST.COKÓŁ 386X386X397 3W BIA.KRA</t>
  </si>
  <si>
    <t>ST.LISTWA CEN.39X370</t>
  </si>
  <si>
    <t>ST.TOPER 392X292 3W BIA.KRA</t>
  </si>
  <si>
    <t>ST.PODPORA 350X260 5W</t>
  </si>
  <si>
    <t>ST.TAC.360X360X270 5W BIA.KRA</t>
  </si>
  <si>
    <t>ST.KRATOWNICA 386X386X397 5W</t>
  </si>
  <si>
    <t>KAR.WA.284X254X180 3W SZAR.W</t>
  </si>
  <si>
    <t>NAR.1500X200 3W SZAR.</t>
  </si>
  <si>
    <t>KAR.WA.283X250X188 5W DIS.BIA.KRA D</t>
  </si>
  <si>
    <t>ST.MONOLIT 600X400 BIA.KRA</t>
  </si>
  <si>
    <t>KAR.WA.321X252X224 3W DIS.BIA.KRA D</t>
  </si>
  <si>
    <t>KAR.WA.375X182X188 3W SZAR.W</t>
  </si>
  <si>
    <t>KAR.WA.562X250X193 3W SZAR.D</t>
  </si>
  <si>
    <t>KAR.WA.550X250X190 3W SZAR.AX W</t>
  </si>
  <si>
    <t>KAR.WA.574X333X150 3W SZAR.D</t>
  </si>
  <si>
    <t>KAR.WA.586X349X153 3W SZAR.AX W</t>
  </si>
  <si>
    <t>KAR.WA.383X248X182 5W DIS.POM.</t>
  </si>
  <si>
    <t>KAR.WA.320X160X218 3W GRAN.MOR D</t>
  </si>
  <si>
    <t>KAR.WA.326X166X231 3W SZAR.W</t>
  </si>
  <si>
    <t>KAR.WA.288X193X212 3W DIS.GRA/BIA.MOR D</t>
  </si>
  <si>
    <t>KAR.WS.376X183X254 5W BIA.D</t>
  </si>
  <si>
    <t>KAR.WS.376X183X254 5W BIA.STÓŁ SOŁ.D</t>
  </si>
  <si>
    <t>KAR.WS.292X254X150 3W BIA.STÓŁ SOŁ.D</t>
  </si>
  <si>
    <t>KAR.WS.587X373X71 5W TAC.KR.SZAR.</t>
  </si>
  <si>
    <t>KAR.WA.294X198X218 3W SZAR.W</t>
  </si>
  <si>
    <t>OKT.1170X770X800 7W SZAR.B/D</t>
  </si>
  <si>
    <t>OS.NAT.JEL.BAR.22/24</t>
  </si>
  <si>
    <t>MIESZ.PASZTET LUKSUSOWY</t>
  </si>
  <si>
    <t>MIESZ.FRESH PREMIUM</t>
  </si>
  <si>
    <t>MIESZ..SOLANKA DO KIEŁBAS 30</t>
  </si>
  <si>
    <t>PRZYP.ZWIBBEL GRANULAT</t>
  </si>
  <si>
    <t>MIESZ.AROMEAT WĘD.OPTY B/GLUTAMINIANU</t>
  </si>
  <si>
    <t>MAGGI</t>
  </si>
  <si>
    <t>MIESZ.SPECJAL K1</t>
  </si>
  <si>
    <t>PRZYP. SZYNKA WĘDZONA</t>
  </si>
  <si>
    <t>MIESZ.PRO-MIX PLUS</t>
  </si>
  <si>
    <t>MIESZ.MORTADELA COMBI</t>
  </si>
  <si>
    <t>MIESZ.PRZYPRAW FRAN COMBI</t>
  </si>
  <si>
    <t>MIESZ.PASZTET DUŃSKI</t>
  </si>
  <si>
    <t>***MIESZ.HARIMIX PP</t>
  </si>
  <si>
    <t>MIESZ.HARIMIX C P</t>
  </si>
  <si>
    <t>MIESZ. FRISCHEX FF</t>
  </si>
  <si>
    <t>MIESZ.KRAKOWSKA PARZONA COMBI DA</t>
  </si>
  <si>
    <t>PRZYP.MP-SZYNKOWA FA</t>
  </si>
  <si>
    <t>MIESZ.HAM-P-09 PLUS PREMIUM</t>
  </si>
  <si>
    <t>MIESZ.WĘDZONKA SMAK P</t>
  </si>
  <si>
    <t>MIESZ.BULION W PROSZKU</t>
  </si>
  <si>
    <t>MIESZ.EMO-P-09 SUPER L3000</t>
  </si>
  <si>
    <t>MIESZ.KIEŁBASA ZIELONOGÓRSKA</t>
  </si>
  <si>
    <t>MIESZ.PASZTET BESKIDZKI</t>
  </si>
  <si>
    <t>MIESZ.PATE MIX DD</t>
  </si>
  <si>
    <t>MIESZ.AMCOSOL EKO-AN</t>
  </si>
  <si>
    <t>MIESZ.SOVARUM LUNCHEON MET</t>
  </si>
  <si>
    <t>MIESZ.KASZANKA MAZURSKA</t>
  </si>
  <si>
    <t>MIESZ.WINZERSTEAK PRZYP. GRILOWA A</t>
  </si>
  <si>
    <t>MIESZ.PROSMAK 1 PLUS</t>
  </si>
  <si>
    <t>MIESZ.PRZYPRAWA ITALIA</t>
  </si>
  <si>
    <t>MIESZ.AMCOSOL SUPER 50NI</t>
  </si>
  <si>
    <t>MIESZ.SZYNKA KRUCHA</t>
  </si>
  <si>
    <t>MIESZ.HAMBURGER LS</t>
  </si>
  <si>
    <t>MIESZ.LAFINESS STEAK ARIZONA</t>
  </si>
  <si>
    <t>MIESZ.LAFINESS CLASSIC CHILI</t>
  </si>
  <si>
    <t>MIESZ.LAFINESS KRAUTER - 560901</t>
  </si>
  <si>
    <t>MIESZ.MARYNATA HONEY - 854106</t>
  </si>
  <si>
    <t>MIESZ.BORDEUX GRILLGEWURTZ</t>
  </si>
  <si>
    <t>MIESZ.MARYNATA MIX BRAWIA</t>
  </si>
  <si>
    <t>MIESZ.MARYNATA GRILOWA</t>
  </si>
  <si>
    <t>MIESZ.GRILL STEAK AEO</t>
  </si>
  <si>
    <t>MIESZ.KIEŁBASA BIAŁA 364800</t>
  </si>
  <si>
    <t>MIESZ. PRZYPRAWA DO PIZZY</t>
  </si>
  <si>
    <t>***PRZYP.AMCOSYSTEM EO SZYNKA</t>
  </si>
  <si>
    <t>MIESZ.KIEŁBASA SZYNKOWA 801387</t>
  </si>
  <si>
    <t>MIESZ.SOVAROM-BIAŁA SUROWA NR 583</t>
  </si>
  <si>
    <t>MIESZ.MARYNATA GRILOWA BIDA3</t>
  </si>
  <si>
    <t>MIESZ.PLASTROLINE G3</t>
  </si>
  <si>
    <t>MIESZ.SZYNKOWA D</t>
  </si>
  <si>
    <t>MIESZ.ŻARTIN RS M05</t>
  </si>
  <si>
    <t>MIESZ.PROSMAK MEKSYKAŃSKA</t>
  </si>
  <si>
    <t>MIESZ.LAFINESS ZWEBBEL KMO</t>
  </si>
  <si>
    <t>PRZYP.MIX KULINARNY E</t>
  </si>
  <si>
    <t>PRZYP.BRATZARTIN</t>
  </si>
  <si>
    <t>PRZYP.DEKORACYJNA LIGURIA-13011</t>
  </si>
  <si>
    <t>PRZYP.SZYNKOWA TOSTOWA</t>
  </si>
  <si>
    <t>MIESZ.ERPU GOLD PROFI 656602</t>
  </si>
  <si>
    <t>MIESZ.SOLANKA Z45AN</t>
  </si>
  <si>
    <t>OS.NAT.JEL.WP.28/30 TUBA</t>
  </si>
  <si>
    <t>JEL.BAR. 18/20 TUBA</t>
  </si>
  <si>
    <t>KAR.470X250X160 KOREA W BIAŁY</t>
  </si>
  <si>
    <t>JEL.WP 28-30 PASKI</t>
  </si>
  <si>
    <t>JEL.WP 30-32 PASKI RĘCZNE</t>
  </si>
  <si>
    <t>JEL.BAR.24/26 TUBA</t>
  </si>
  <si>
    <t>OS.NAT.JEL.WP.28/30 14/+ 5-OD.PAS.</t>
  </si>
  <si>
    <t>OS.NAT.JEL.BAR.20/22 5/+ AA 10/12-OD.RUR</t>
  </si>
  <si>
    <t>OS.NAT.JEL.BAR.16/18 TUBA</t>
  </si>
  <si>
    <t>***OS.NAT.JEL.WP.34/36</t>
  </si>
  <si>
    <t>OS.NAT.JEL.BAR.22/24 AA 5/+ 10/12-OD.RUR</t>
  </si>
  <si>
    <t>OS.FIB.FI50 NAT.</t>
  </si>
  <si>
    <t>OS.POL.FI130 SZYN.BIAŁ.KRÓL.MOR</t>
  </si>
  <si>
    <t>OS.FIB.FI100 SZYN.MOR</t>
  </si>
  <si>
    <t>OS.BIAŁ.FI80 KRAK.PARZ.MOR</t>
  </si>
  <si>
    <t>OS.KOL.FI22 AFF</t>
  </si>
  <si>
    <t>OS.NAT.JEL.WP.34/36 8/+ PAS.BRĄZ.</t>
  </si>
  <si>
    <t>CN OS.NAT.JEL.WP.34/38 8/8-OD.PAS.</t>
  </si>
  <si>
    <t>CN OS.NAT.JEL.WP.36/40 8/8-OD.PAS.</t>
  </si>
  <si>
    <t>CN OS.NAT.JEL.WP.38/43 8/8-OD.PAS.</t>
  </si>
  <si>
    <t>CN OS.NAT.JEL.WP.40/45 8/8-OD.PAS.</t>
  </si>
  <si>
    <t>CN OS.NAT.JEL.WP.42/47 8/8-OD.PAS.</t>
  </si>
  <si>
    <t>CN OS.NAT.JEL.WP.47/+ 8/8-OD.PAS.</t>
  </si>
  <si>
    <t>CN OS.NAT.JEL.WP.36/40 12/6-OD.PAS.</t>
  </si>
  <si>
    <t>CN OS.NAT.JEL.WP.38/43 12/6-OD.PAS.</t>
  </si>
  <si>
    <t>CN OS.NAT.JEL.WP.40/45 12/6-OD.PAS.</t>
  </si>
  <si>
    <t>CN OS.NAT.JEL.WP.42/47 12/6-OD.PAS.</t>
  </si>
  <si>
    <t>OS.KOL.FI18 30FT</t>
  </si>
  <si>
    <t>OS.BIAŁ.FI80 KRAK.PARZ.CON</t>
  </si>
  <si>
    <t>***OS.BIAŁ.FI 45 KARMEL MARSZCZONA</t>
  </si>
  <si>
    <t>***OS.BIAŁ.FI85SPRL KAL CLEAR MARSZCZONA</t>
  </si>
  <si>
    <t>***OS.BIAŁ.FI 80 CARMEL CONST KIEŁ.SCHAB</t>
  </si>
  <si>
    <t>***OS.KOL.FI 19 CUTISIN DŁUGA</t>
  </si>
  <si>
    <t>***OS.KOL.FI 22 CUTISIN</t>
  </si>
  <si>
    <t>***OS.KOL.FI 22 EDICAS</t>
  </si>
  <si>
    <t>FOL.CELULOZOWA 48</t>
  </si>
  <si>
    <t>***FOL.KOLAGENOWA D-58</t>
  </si>
  <si>
    <t>***FOL.KOLAG.R58X100 EDICOL MX BRWN</t>
  </si>
  <si>
    <t>OS.POL.60/30 FLEX SMARSZCZ.</t>
  </si>
  <si>
    <t>***OS.POL.FI 110 SZYN.KONSERWOWA</t>
  </si>
  <si>
    <t>***OS.POL.FI40 PASZTETOWA KANAPKOWA MOR</t>
  </si>
  <si>
    <t>OS.FIB.FI55 BUK</t>
  </si>
  <si>
    <t>***OS.FIB.FI 60 MARSZCZONA</t>
  </si>
  <si>
    <t>***OS.POL.FI 30 PASZT.KANAP.MARSZCZ.</t>
  </si>
  <si>
    <t>OS.FIB.FI58 BRĄZ.JAS.</t>
  </si>
  <si>
    <t>OS.POL.FI95 SUPER SMAK CON</t>
  </si>
  <si>
    <t>OS.POL.FI95 ŻÓŁ.MORT.SUPER SMAK CON</t>
  </si>
  <si>
    <t>OS.POL. FI73 KRATKA SALC.TRADYCYJNY</t>
  </si>
  <si>
    <t>***OS.POL.FI80BARIER.CZRW.KRATKA MARSZCZ</t>
  </si>
  <si>
    <t>***OS.POL.FI110 SZYNKA KONS MORLINYMARSZ</t>
  </si>
  <si>
    <t>***OS.POL. FI100 KIEŁ.ZIELONOGÓRSKA CON</t>
  </si>
  <si>
    <t>***OS.POL.FI 40 PASZT. KREM MARSZCZ</t>
  </si>
  <si>
    <t>***OS.POLIAM.FI 45 BEZB. MARSZ</t>
  </si>
  <si>
    <t>***OS.POLIAM.FI73MIELON.SNIADANI MARSZCZ</t>
  </si>
  <si>
    <t>OS.POL.FI130 SZYN.BIAŁ.KRÓL.CON</t>
  </si>
  <si>
    <t>***OS.POLIAMID FI 95 CZERWONA MARSZCZ</t>
  </si>
  <si>
    <t>***OS.TEKSTYLNA SALCESON KRAKUS</t>
  </si>
  <si>
    <t>***OS.POL.FI 110 SZYN. KONSER MARSZ CON</t>
  </si>
  <si>
    <t>***OS.POLIAM.FI 60 ZŁOTA MARSZCZ PASZT.</t>
  </si>
  <si>
    <t>***OS.POL.FI 95 MORLINY FAFORYT MARSZCZ</t>
  </si>
  <si>
    <t>***OS.POLIAMID FI 95 MARSZCZ TYROLS</t>
  </si>
  <si>
    <t>OS.PŁY.ROŚLINNA ŻELOWA</t>
  </si>
  <si>
    <t>***OS.POLIAMID FI 110 MARSZCZ EXP</t>
  </si>
  <si>
    <t>***OS.POL.FI 110 CZERWONA MARSZCZONA</t>
  </si>
  <si>
    <t>OS.POL.FI 110 SZYN. KONSER MOR CZ-SŁ</t>
  </si>
  <si>
    <t>OS.FIB.FI100</t>
  </si>
  <si>
    <t>***OS.FIB.FI 55 FGO MARSZCZONA</t>
  </si>
  <si>
    <t>OS.POL.FI 95 SALCESON MOR</t>
  </si>
  <si>
    <t>***OS.POLI. FI 80 KASZANKA</t>
  </si>
  <si>
    <t>OS.POLIAMID FI 110 SZYNKA KONSER.MORLINY</t>
  </si>
  <si>
    <t>***OS.POLIAMID FI 95 SALCCESON WOJSKOWY</t>
  </si>
  <si>
    <t>***OS.POLIAMID FI 80 SZYN.MORLINY 500G</t>
  </si>
  <si>
    <t>***OS.FIBRUS FI 60 KRAKOWSKA  MARSZCZONA</t>
  </si>
  <si>
    <t>***OS.FIBRUS FI45 MC98</t>
  </si>
  <si>
    <t>***OS.FIBRUS FI 90 AMBER MASZCZONA</t>
  </si>
  <si>
    <t>OS.POLIAM.FI 95 SALCESON CZARNY MORLINY</t>
  </si>
  <si>
    <t>OS.COLFAN J FI 18/55 BEZBARW. FAM</t>
  </si>
  <si>
    <t>***OS.POL.PASZTETOWA MORLINY FI 36</t>
  </si>
  <si>
    <t>***OS.CEL.FI23SMOKE Z/N CONSTAR PAR.ŚNIA</t>
  </si>
  <si>
    <t>***OS.POL.FI 110 SZYNKA GOTOWANA</t>
  </si>
  <si>
    <t>OS.FIB.FI 60 NALO BRĄZ</t>
  </si>
  <si>
    <t>***OS.BIAŁ.FI 80 KRAK.PARZ. MARSZCZ. B/N</t>
  </si>
  <si>
    <t>***OS.POL.FI100KIEŁZIELONOGÓRSKA MORLINY</t>
  </si>
  <si>
    <t>***OS.POL.FI 90KRATKAMARSZCZ.STUDZIENINA</t>
  </si>
  <si>
    <t>***OS.KOL.NDX FI18/50 BEZBARWNA Z KNOTEM</t>
  </si>
  <si>
    <t>OS.CEL.FI 23 EP ORANGE</t>
  </si>
  <si>
    <t>OS.CEL.FI 25 EP ORANGE</t>
  </si>
  <si>
    <t>***OS.POLIAMID FI 110 SZYNKA KONS.YANO</t>
  </si>
  <si>
    <t>OS.POL.FI 125 KRATKA CZERWONA</t>
  </si>
  <si>
    <t>***OS.CEL.FI20/84FTREDORANGE Z/N CONSTAR</t>
  </si>
  <si>
    <t>OS.POL.FI 80 MULIBAR CZERWONA KRATKA</t>
  </si>
  <si>
    <t>OS.POL.FI90 CZER.Z/KRAT.</t>
  </si>
  <si>
    <t>***OS.FIB.FI 053 MARSZCZONA KOLOR 36</t>
  </si>
  <si>
    <t>***OS.FIB.FL 053 MARSZCZONA KOLOR 36</t>
  </si>
  <si>
    <t>***OS.CEL.FI 32 FT DARK SMOKE Z PASKAMI</t>
  </si>
  <si>
    <t>OS.EUROGEL XEA 4750</t>
  </si>
  <si>
    <t>OS.KOL.FI22 FINE</t>
  </si>
  <si>
    <t>OS.KOL.FI18</t>
  </si>
  <si>
    <t>OS.KOL.EDICAS FI 19 NC OE</t>
  </si>
  <si>
    <t>OS.KOL.FI 22 RONDO</t>
  </si>
  <si>
    <t>OS.PRO.ALG.</t>
  </si>
  <si>
    <t>***OS.KOL.FI 20 FINE C CLR</t>
  </si>
  <si>
    <t>OS.KOL.FI 23</t>
  </si>
  <si>
    <t>OS.KOL.FI22</t>
  </si>
  <si>
    <t>OS.PŁY.ŻEL.POM.</t>
  </si>
  <si>
    <t>***FOL.OPALEN 75/555</t>
  </si>
  <si>
    <t>***FOL.FLEX F 170X422</t>
  </si>
  <si>
    <t>FOL.PA/PE 200X565</t>
  </si>
  <si>
    <t>***FOL.OPALEN 75X406</t>
  </si>
  <si>
    <t>***FOL.FLEX F 170X565</t>
  </si>
  <si>
    <t>FOL.FLEX F 200X422</t>
  </si>
  <si>
    <t>FOL.PA/PE 75X415</t>
  </si>
  <si>
    <t>***FOL.MET.OPET/PE 72X422 ZŁOTY</t>
  </si>
  <si>
    <t>FOL.PP/PA/PE 170X322 FLEX F</t>
  </si>
  <si>
    <t>***FOL.OPET/PE 125X420 GRILL</t>
  </si>
  <si>
    <t>***FOL.FLEX F 200X322</t>
  </si>
  <si>
    <t>FOL.OPET 64X270 EOM</t>
  </si>
  <si>
    <t>***FOL.LINTOP PP AC 270</t>
  </si>
  <si>
    <t>***FOL.LINTOP PP DAN 230</t>
  </si>
  <si>
    <t>***FOL.LINTOP PE/HB F30X580</t>
  </si>
  <si>
    <t>FOL.PET/EVOH/PE 80X425</t>
  </si>
  <si>
    <t>***FOL.PE/HB 227X178S KRAINA MIĘSA</t>
  </si>
  <si>
    <t>FOL.FS 50X525 NR3</t>
  </si>
  <si>
    <t>FOL.FS 90X520 GR50</t>
  </si>
  <si>
    <t>FOL.FS 90X520 GR70</t>
  </si>
  <si>
    <t>FOL.PE ARK.22X600X600 PROD.OF POL.</t>
  </si>
  <si>
    <t>FOL.OPET 64X406 EOM</t>
  </si>
  <si>
    <t>FOL.PE ARK.22X900X900 PROD.OF POL.</t>
  </si>
  <si>
    <t>***FOL.HAMFORM 240X432</t>
  </si>
  <si>
    <t>***FOL.HAMTOP 120X420</t>
  </si>
  <si>
    <t>FOL.PAO/PEM 60X350 RND</t>
  </si>
  <si>
    <t>FOL.PA/EVOH/PE 180X462</t>
  </si>
  <si>
    <t>***FOL.PE/HB 230 187X137M KRAINA MIĘSA</t>
  </si>
  <si>
    <t>FOL.PA/PE 80X420</t>
  </si>
  <si>
    <t>***FOL.45/406 KASZANKA NASZE SMAKI</t>
  </si>
  <si>
    <t>FOL.PA/PE 120/463</t>
  </si>
  <si>
    <t>***FOL.STAR SL 580 KRAINA MIĘSA</t>
  </si>
  <si>
    <t>***FOL.PET/EVEP PEEL 60X555 KRAK KAB</t>
  </si>
  <si>
    <t>***FOL.PE/HB 230 187X137S KRAINA MIĘSA</t>
  </si>
  <si>
    <t>***FOL.PE/HB 260 205X160S KRAINA MIĘSA</t>
  </si>
  <si>
    <t>***FOL.KAUFLAND 227X178 S</t>
  </si>
  <si>
    <t>***FOL.PA/PE 200/433</t>
  </si>
  <si>
    <t>***FOL.FLEX F 170X356</t>
  </si>
  <si>
    <t>***FOL.HBPE 270 205X160S KAUFLAND</t>
  </si>
  <si>
    <t>***FOL.OPET 64X240 EOM</t>
  </si>
  <si>
    <t>***FOL.PET/EVE 60X355 KRAKUS</t>
  </si>
  <si>
    <t>FOL.PET/EVEP 60X355 RND</t>
  </si>
  <si>
    <t>FOL.PE/EVE 80X445</t>
  </si>
  <si>
    <t>***FOL.BIAXER PP/AF 55X230 LIDL</t>
  </si>
  <si>
    <t>***FOL.BIAXER PPAF 55/270 LIDL</t>
  </si>
  <si>
    <t>***FOL.KAUFLAND 187X137 M</t>
  </si>
  <si>
    <t>***FOL.BIAXER PPAF 55/245 NIEBIESKA LIDL</t>
  </si>
  <si>
    <t>***FOL.5PAO/PE 60/415 MORLINY RAD</t>
  </si>
  <si>
    <t>***FOL.BOPA/PE 55X415 CONSTAR</t>
  </si>
  <si>
    <t>***FOL.GRILL KARKÓWKA 187X178 S</t>
  </si>
  <si>
    <t>***FOL.PET/EVEP 60X415 MORLINY RND</t>
  </si>
  <si>
    <t>FOL.PA/PE 200MYX358</t>
  </si>
  <si>
    <t>***FOL.OPET/PE 125X340 GRILL</t>
  </si>
  <si>
    <t>***FOL.BIAXER 55/230 SD BLUA MUL</t>
  </si>
  <si>
    <t>***FOL.12/45/415 LAMFILM  KASZANKA JMD</t>
  </si>
  <si>
    <t>***FOL.PE HB 50 230 KULKI 206X160S</t>
  </si>
  <si>
    <t>***FOL.PE HB50 230HAMBURGERY 217X178 RND</t>
  </si>
  <si>
    <t>***FOL.240 PERFOROWANA</t>
  </si>
  <si>
    <t>***FOL.OPET/PE 72/340</t>
  </si>
  <si>
    <t>***FOL.KOLAGENOWA D-95</t>
  </si>
  <si>
    <t>***FOL.BIAXER 55/250 LIDL CZERWONY</t>
  </si>
  <si>
    <t>***FOL.PPHB 227/178  GRILL SZASZŁYK</t>
  </si>
  <si>
    <t>***FOL.FRANKFURTERKI GRILLOWE MORLINY</t>
  </si>
  <si>
    <t>***FOL.PP HB 270 GRILL PARTY 227X178S</t>
  </si>
  <si>
    <t>***FOL.BIAXER55/245ŚW POR BLAU CZ/SŁ LID</t>
  </si>
  <si>
    <t>***FOL.BIAXER55/270W POR BLAU CZ/SŁLIDL</t>
  </si>
  <si>
    <t>***FOL.PAO/PE 60X415 KIEŁBASA Z SZYNKI</t>
  </si>
  <si>
    <t>***FOL.BIAXER PPAF 55X245 MM WOŁ. LIDL</t>
  </si>
  <si>
    <t>***FOL.PE/HB 50/266 WIEPRZOWINA 205X160</t>
  </si>
  <si>
    <t>***FOL.PE/HB 50/270 WIEPRZOWINA 227X178</t>
  </si>
  <si>
    <t>***FOL.OPALEN 65X300</t>
  </si>
  <si>
    <t>***FOL.60/415 KASZANKA ULMA</t>
  </si>
  <si>
    <t>***FOL.BOPA/PE 15/50/400 CONSTAR</t>
  </si>
  <si>
    <t>***FOL.GA 150X423 MULTIFOL</t>
  </si>
  <si>
    <t>***FOL.MULTIFOL GA 170/423</t>
  </si>
  <si>
    <t>***FOL.OPA/PE 15/50 PEEL KRAKUS/415</t>
  </si>
  <si>
    <t>***FOL.OPA/PE15/50 PEEL LDL.PIKOK PR/415</t>
  </si>
  <si>
    <t>***FOL.OPA/PE 15/50-355</t>
  </si>
  <si>
    <t>***FOL.APET/PE 250X422</t>
  </si>
  <si>
    <t>***FOL.205X160 LIDL BLUE CZECHY-245</t>
  </si>
  <si>
    <t>***FOL.205X160 LIDL BLUE SŁOWACJA-245</t>
  </si>
  <si>
    <t>***FOL.227X178 LIDL BLUE CZECHY-270</t>
  </si>
  <si>
    <t>***FOL.227X178 LIDL BLUE SŁOWACJA-270</t>
  </si>
  <si>
    <t>***FOL.PET/EVOH/PE 62X240 KABANOS KRAKUS</t>
  </si>
  <si>
    <t>***FOL.LINTOP PE/HB 50AX270</t>
  </si>
  <si>
    <t>***FOL.12/45/415 LAMFILM MAZURY</t>
  </si>
  <si>
    <t>***FOL.OPA/PE 65X420 LIDL RUMUNIA</t>
  </si>
  <si>
    <t>***FOL.5PAO/PE 60/415 KASZANKA MOR RND</t>
  </si>
  <si>
    <t>***FOL.LAMF.57X415 KASZANKA DLA JMD</t>
  </si>
  <si>
    <t>***FOL.PA/PE 200/423</t>
  </si>
  <si>
    <t>FOL.PE 0,023X900 TERMOKURCZ.Z/N</t>
  </si>
  <si>
    <t>FOL.PE 0,023X900 TERMOKURCZ.</t>
  </si>
  <si>
    <t>***FOL.FS 50X525 NR3 LIDL BARONI</t>
  </si>
  <si>
    <t>***FOL.EOM.64/540</t>
  </si>
  <si>
    <t>***FOL.OPET/PE 72X405 ZŁOTA</t>
  </si>
  <si>
    <t>FOL.PE TAŚMA 700X0.045</t>
  </si>
  <si>
    <t>***WOR.MS40 400X700 GR.40</t>
  </si>
  <si>
    <t>***FOL.TAŚMA 0.045X700 PRODUCT OF POLAND</t>
  </si>
  <si>
    <t>***FOL.PET/PAPE 57X410 TIROMAT</t>
  </si>
  <si>
    <t>***FOL.PET/PAPE 57X420 COMPACT</t>
  </si>
  <si>
    <t>FOL.PE 0,045X800 TAŚMA</t>
  </si>
  <si>
    <t>***FOL.OPA/PE 65X420 LIDL CHORWACJA</t>
  </si>
  <si>
    <t>***FOL.BOPA/PE 65X420 PIKOK PRZEK LUX</t>
  </si>
  <si>
    <t>***FOL.PAO/PEPC 60/415 ŚLĄSKA 4130019</t>
  </si>
  <si>
    <t>***FOL.PAO/PE 60/415 EŁK RADOS 4131740</t>
  </si>
  <si>
    <t>***FOL.65/340 OPALEN</t>
  </si>
  <si>
    <t>***WOR.MS40 350X550 GR.40</t>
  </si>
  <si>
    <t>***WOR.MS40 300X500GR 40</t>
  </si>
  <si>
    <t>***WOR.MS40 300X400GR 40</t>
  </si>
  <si>
    <t>***FOL.PET/PAPE 57X410 DIXI</t>
  </si>
  <si>
    <t>***FOL.BOPA PE 65X420 PRZEKĄSKA</t>
  </si>
  <si>
    <t>***FOL.444X12X45 PET/PAPE KASZANKAJMDR53</t>
  </si>
  <si>
    <t>FOL.HB 55X420 ROSJA ULMA G</t>
  </si>
  <si>
    <t>***FOL.HB 150X323 ROSJA DIXI D</t>
  </si>
  <si>
    <t>FOL.HB 150X423 ROSJA ULNA D</t>
  </si>
  <si>
    <t>***FOL.HB 55X305 ROSJA DIXI D</t>
  </si>
  <si>
    <t>***WOR.MS40 230X300 GR 40</t>
  </si>
  <si>
    <t>***WOR.MS40 300X450 GR 40</t>
  </si>
  <si>
    <t>***WOR.MS40 250X700 GR 40</t>
  </si>
  <si>
    <t>***WOR.MS40 250X400 GR 40</t>
  </si>
  <si>
    <t>***WOR.MS40 150X250 GR 40</t>
  </si>
  <si>
    <t>***WOR.MS40 230X400 GR 40</t>
  </si>
  <si>
    <t>***WOR.MS40 180X550 GR 40</t>
  </si>
  <si>
    <t>***WOR.MS40 180X350 GR 40</t>
  </si>
  <si>
    <t>***WOR.MS40 150X350 GR 40</t>
  </si>
  <si>
    <t>***WOR.MK 230X500 GR 70</t>
  </si>
  <si>
    <t>***FOL.BOPA 415X0.065</t>
  </si>
  <si>
    <t>***FOL.OP HB 65X420 ROSJA G</t>
  </si>
  <si>
    <t>***WOR.MS40 230X550 GR 40</t>
  </si>
  <si>
    <t>***FOL.CPP/BFCR 255X432 SZYNKOWA D</t>
  </si>
  <si>
    <t>***FOL.OPET/T30 72X420 SZYNKOWA G</t>
  </si>
  <si>
    <t>***WOR.ML40-MK 300X450 GR 70</t>
  </si>
  <si>
    <t>***FOL.BOPA/PE 15/50 CONSTAR 415</t>
  </si>
  <si>
    <t>***FOL.HB 150X356 ROSJA MULTIVAC D</t>
  </si>
  <si>
    <t>***FOL.HB 55X340 ROSJA MULTIVAC G</t>
  </si>
  <si>
    <t>***FOL.PET/PE/EVOH/PE/AF42X240 KAB.MORL.</t>
  </si>
  <si>
    <t>***WOR.ML40-MI 300X450 GR 50</t>
  </si>
  <si>
    <t>***FOL.PET/PE/EVOH/PE/AF 57X240 CLASIK</t>
  </si>
  <si>
    <t>***FOL.PETPE/EVOH/PE/AF 57X240 CHILI</t>
  </si>
  <si>
    <t>***FOL.PET/PE/EVOH/PE/AF 57X240 PIEPRZ</t>
  </si>
  <si>
    <t>***WOR.ML40-MI 180X350 GR 50</t>
  </si>
  <si>
    <t>FOL.COOK IN 200X423 D</t>
  </si>
  <si>
    <t>FOL.COOK IN 40X420 G</t>
  </si>
  <si>
    <t>***FOL.MF GVA 230X444 DO CZOSNKOWEJ</t>
  </si>
  <si>
    <t>***FOL.PET/PVDC/PE12/25 KRAFT PAP.GR35/2</t>
  </si>
  <si>
    <t>***FOL.PE/HB 50X270 DO NETTO</t>
  </si>
  <si>
    <t>***FOL.PE/HB 50X266 DO NETTO</t>
  </si>
  <si>
    <t>***FOL.PET/PE/EVOH AF 57X420 KRAK.ŚLĄSKA</t>
  </si>
  <si>
    <t>***FOL.PET/PE/EVOH AF 55X245 LIDL MWP</t>
  </si>
  <si>
    <t>***FOL.PET/PE/EVOH AF 55X270 LIDL</t>
  </si>
  <si>
    <t>***FOL.PET/PE/EVOH AF 55X230 LIDL</t>
  </si>
  <si>
    <t>***FOL.PET/PE/EVOH AF 55X245 LIDL MWPWŁ</t>
  </si>
  <si>
    <t>WOR.ODA7005 350X500</t>
  </si>
  <si>
    <t>WOR.XG800 230X750 CESB P400</t>
  </si>
  <si>
    <t>***WOR.600(2X200)X850GR50MIKRONÓW NIEB.L</t>
  </si>
  <si>
    <t>***WOR.MS40 100X450 GR40</t>
  </si>
  <si>
    <t>WOR.PE 1800X800 GR80</t>
  </si>
  <si>
    <t>***WOR. MS40 200X550 GR 40</t>
  </si>
  <si>
    <t>***WOR.MS40 180X300 GR 40</t>
  </si>
  <si>
    <t>***WOR.MS40 240X450 GR 40</t>
  </si>
  <si>
    <t>***WOR.MS40 300X700 GR 40</t>
  </si>
  <si>
    <t>***WOR.MS85 300X350GR 85</t>
  </si>
  <si>
    <t>***WOR.MS85 300X700 GR 85</t>
  </si>
  <si>
    <t>***WOR.LDPE 200X300 GR30</t>
  </si>
  <si>
    <t>***FOL.COOL CKFPE 150X422 MYLAR D</t>
  </si>
  <si>
    <t>***FOL.COOK CKFPE 50X420 MYLAR G</t>
  </si>
  <si>
    <t>***FOL.PET/PAPE 57X444 KASZANKA MORLINY</t>
  </si>
  <si>
    <t>***WOR.350X500 GR 68 BB6050</t>
  </si>
  <si>
    <t>***WOR.MS40 250X700 GR 85</t>
  </si>
  <si>
    <t>***FOL.PET/PE 250X422 SZTYWNA</t>
  </si>
  <si>
    <t>***FOL.BOPA/PE PEEL KRAKUS KABAN. EXPORT</t>
  </si>
  <si>
    <t>***FOL.BOPA LPDE 55X555</t>
  </si>
  <si>
    <t>***FOL.HB/PE 205X252 KRAINA MIĘSA</t>
  </si>
  <si>
    <t>***WOR.MS40 240X300 GR 40</t>
  </si>
  <si>
    <t>FOL.STRETCH RĘCZ.17X500 PERF.</t>
  </si>
  <si>
    <t>***FOL.PAO/PE 57X444 KIEŁB. Z SZYNKI R53</t>
  </si>
  <si>
    <t>***FOL.TAŚMA 0.045X700 Z NUMEREM</t>
  </si>
  <si>
    <t>***FOL.OPA/PE 65X444 KIEŁB.ŚLĄSKA R530</t>
  </si>
  <si>
    <t>FOL.PET/PE/EVOH AF 55X330 TRANSP.</t>
  </si>
  <si>
    <t>***FOL.PET/PE/EVOH AF 52X330 POLĘDW.LIDL</t>
  </si>
  <si>
    <t>***FOL.BOPA/PE 65X420 KABANOSY JMD</t>
  </si>
  <si>
    <t>***WOR.MS40 200X700 GR.40</t>
  </si>
  <si>
    <t>***WOR.MS40 400X600 GR.40</t>
  </si>
  <si>
    <t>***FOL.PEHB 205X160 MM KRAINA MIĘSA</t>
  </si>
  <si>
    <t>***FOL.PET/PE/EVOCH/PE 12X45X420KRAK.KAR</t>
  </si>
  <si>
    <t>***FOL.PET/PE/EVOCH/PE 12X45X420KR.SZYN</t>
  </si>
  <si>
    <t>***FOL.PET/PE/EVOCH/PE 12X45X420 KR.BOCZ</t>
  </si>
  <si>
    <t>***FOL.PET/PE/EVOCH/PE12X45X420KR.ŻEB.</t>
  </si>
  <si>
    <t>***FOL.PET/PE/EVOCH/PE12X45X420SCHABZEŚL</t>
  </si>
  <si>
    <t>***FOL.PET/PE EVOCH AF12X45X252LIDLWP.S</t>
  </si>
  <si>
    <t>***FOL.PEHB45A230X187KMWP.MV/SP AS/PRJMD</t>
  </si>
  <si>
    <t>***FOL.PEHB45A 265X205 KM MIEL.SP AS/KM</t>
  </si>
  <si>
    <t>***FOL.PEHB45A 230X187KM WP.SP AS/KM JMD</t>
  </si>
  <si>
    <t>***FOL.PEHB45A 265X205 KM W.SP AS/KM JMD</t>
  </si>
  <si>
    <t>***FOL.PEHB45A 252X205 KM WP.SP/AS JMD</t>
  </si>
  <si>
    <t>***FOL.PEHB45A 330X276 KM POLĘD.</t>
  </si>
  <si>
    <t>***WOR.200X375 BB6050</t>
  </si>
  <si>
    <t>***WOR.MS40 400X550 GR.40</t>
  </si>
  <si>
    <t>***FOL.PET/EVEHPC 57X555 KR.KABAN.Z PEEL</t>
  </si>
  <si>
    <t>FOL.TAŚMA 700X0.045 PROD.OF POL.</t>
  </si>
  <si>
    <t>***FOL.PET/PE EVOH AF52X270 WŁ.LIDL ŚW.</t>
  </si>
  <si>
    <t>FOL.PA/PE DD13B004 180X356 DO GOTOW.D</t>
  </si>
  <si>
    <t>FOL.PA/PE TF06 100X340 DO GOTOWANIA G</t>
  </si>
  <si>
    <t>***FOL.LAMF.57X410 JMD KASZ. PO SEZ.DIXI</t>
  </si>
  <si>
    <t>***WOR.BIAXER 510X610 SREBRNY</t>
  </si>
  <si>
    <t>***WOR.260X550 GR 68 BB6050</t>
  </si>
  <si>
    <t>FOL.PET/PE 12X45X500 SZYN.KRA</t>
  </si>
  <si>
    <t>***FOL.PET/PE 12X45X450 BOCZEK KRAKUS</t>
  </si>
  <si>
    <t>***FOL.PET/PE 12X45X450 KARKÓWKA KRAKUS</t>
  </si>
  <si>
    <t>***FOL. PET/PE 12X45X450SCHAB ZE ŚL.KRAK</t>
  </si>
  <si>
    <t>***FOL.BOPA/PE 15X50X415 TIROMAT</t>
  </si>
  <si>
    <t>***FOL.BOPA/PE 15X50X445 R530 MULTIVAC</t>
  </si>
  <si>
    <t>***WOR. 600X900 GR 60 BEZB.</t>
  </si>
  <si>
    <t>***WOR. 250X500 GR60 BEZB.</t>
  </si>
  <si>
    <t>***WOR. 350X600 GR60 BEZB.</t>
  </si>
  <si>
    <t>FOL.PA/PE 158X180 Z PIZZĄ GRIL</t>
  </si>
  <si>
    <t>***FOL.65X420 PEEL LIDL PIKOK EXPORT</t>
  </si>
  <si>
    <t>***FOL.APET/PE 350X422 BLACK</t>
  </si>
  <si>
    <t>***FOL.PET/PA/PE 57X415 KASZ.GRILL COMP.</t>
  </si>
  <si>
    <t>***FOL.PET/PA/PE57X415KASZ.GRILLTIROMAT</t>
  </si>
  <si>
    <t>FOL.PET/PA/PE 60X420 KIEŁ.Z PIERSI MORLI</t>
  </si>
  <si>
    <t>FOL.PET/PE/EVOH AF 52X270 TRANSP.</t>
  </si>
  <si>
    <t>***FOL.PET/PE/EVOH AF 52X240 TRANSP.</t>
  </si>
  <si>
    <t>***FOL.BOPA/PE AF 57X420 KASZ.GRILL R225</t>
  </si>
  <si>
    <t>***WOR.300X450 GR 50 CLT52</t>
  </si>
  <si>
    <t>WOR.TRMK 300X450 GR67</t>
  </si>
  <si>
    <t>***FOL.BOPA/PE AF 57X450 KASZ.GRILL R530</t>
  </si>
  <si>
    <t>***FOL. FS 50X525 NR3 BARONI GRILL LIDL</t>
  </si>
  <si>
    <t>***FOL.PET/PE/EVOH/PE57X240KAB.MOR.CHIL</t>
  </si>
  <si>
    <t>***FOL.PET/PE/EVOH/PE 57X240 KAB.MOR.CLA</t>
  </si>
  <si>
    <t>***FOL.PET/PE/EVOH/PE57X240KAB.MOR.PIEP</t>
  </si>
  <si>
    <t>***WOR.MS40 250X750 GR.85</t>
  </si>
  <si>
    <t>***FOL.PET/PE/EVOH/PE 57X445 PART.CLASIC</t>
  </si>
  <si>
    <t>***FOL.PET/PE/EVOH/PE 57X445 PART.PIEPRZ</t>
  </si>
  <si>
    <t>***FOL.PET/PE/EVOH/PE 57X445 PART. CHILI</t>
  </si>
  <si>
    <t>FOL.PET/PA/EVOH/PE 57X415 KIEŁB.MOR</t>
  </si>
  <si>
    <t>***WOR.200X500 GR 50 CLT52</t>
  </si>
  <si>
    <t>***WOR.230X400 GR 50 CLT52</t>
  </si>
  <si>
    <t>***WOR.180XX350 GR 50 CLT52</t>
  </si>
  <si>
    <t>***WOR.230X550GR 50 CLT52</t>
  </si>
  <si>
    <t>***WOR.200X375 GR 50 CLT52</t>
  </si>
  <si>
    <t>***WOR.180X500 GR 50 CLT52</t>
  </si>
  <si>
    <t>***FOL.BOPET/PAPE57X415KIEŁB.MORLINY TIR</t>
  </si>
  <si>
    <t>***FOL.PET/PE/EVOH/PE57X240LAS.ORIGINAL</t>
  </si>
  <si>
    <t>***FOL.PET/PE/EVOH/PE 57X240 LAS.RED HOT</t>
  </si>
  <si>
    <t>***FOL.PET/PE/EVOH/PE57X240LAS.CLASS.BBQ</t>
  </si>
  <si>
    <t>***FOL.ML80/OPAPE2060 80X620</t>
  </si>
  <si>
    <t>***FOL.UPAPE90160 250X624</t>
  </si>
  <si>
    <t>***WOR.100X350 B FME3050</t>
  </si>
  <si>
    <t>WOR.180XX350 GR 50 CLT52 H</t>
  </si>
  <si>
    <t>WOR.230X550GR 50 CLT52 H</t>
  </si>
  <si>
    <t>WOR.TRMK 180X500 GR50</t>
  </si>
  <si>
    <t>WOR.230X400 GR 50 CLT52 H</t>
  </si>
  <si>
    <t>FOL.PET/EVOH/PE 60X350 PODWAW.</t>
  </si>
  <si>
    <t>***FOL.BOPA LPDE 55X406</t>
  </si>
  <si>
    <t>***FOL.PET/PE/EVOH/PE57X445PCHILI Z PEEL</t>
  </si>
  <si>
    <t>***FOL.PET/PE/EVOH/PE57X445P.PIEP.Z PEEL</t>
  </si>
  <si>
    <t>FOL.PET/EVOH/PE/PEEL 57X445 PAR.CLASSIC</t>
  </si>
  <si>
    <t>***FOL.BLB42X415 KASZ.PO SEZ.TIROMAT</t>
  </si>
  <si>
    <t>***FOL.PEHB A50X275 MAKRO T227</t>
  </si>
  <si>
    <t>***FOL. PEHB A50X265 MAKRO T205</t>
  </si>
  <si>
    <t>FOL.HB 60X620 G MULTIVAC 535</t>
  </si>
  <si>
    <t>***FOL.HB 225X623 D MV 535</t>
  </si>
  <si>
    <t>***FOL.PA/EVOH/PE 150X422 GEH150</t>
  </si>
  <si>
    <t>***FOL.BLB 42X415 KASZ.PO SEZ.COMPACT</t>
  </si>
  <si>
    <t>***FOL.PET/PE 12X45X500 KARKÓWKA KRA</t>
  </si>
  <si>
    <t>WOR.TRMK 300X500 GR68</t>
  </si>
  <si>
    <t>***FOL.PET/PE 12X45X500 SCHAB ZE ŚL.KRA</t>
  </si>
  <si>
    <t>***FOL.PET PE EVOH 55X245 LIDL RZEŹNIK</t>
  </si>
  <si>
    <t>***FOL.PA/PE DD13B004 220X356 DO GOT.</t>
  </si>
  <si>
    <t>***FOL.PAPE 200X624 D MV535</t>
  </si>
  <si>
    <t>FOL.APET/PE/PEEL 250X522 JUMBO</t>
  </si>
  <si>
    <t>***FOL.PE ARK.15X800X1500</t>
  </si>
  <si>
    <t>***FOL.PET/PE/EVOH/PE 57X500 TRANS.</t>
  </si>
  <si>
    <t>***FOL.PET/PE/EVOH 52X330 LIDL RZEŹ POL.</t>
  </si>
  <si>
    <t>FOL.PET/PE/EVOH 57X252 LIDL RZEŹNIK</t>
  </si>
  <si>
    <t>FOL.PET/PE/EVOH/PE 60X406 TOPLEX</t>
  </si>
  <si>
    <t>***FOL.PET/PE/EVOH/PE PEEL57X520K.ŚLĄSKA</t>
  </si>
  <si>
    <t>***FOL.PE ARK.70X70</t>
  </si>
  <si>
    <t>FOL.BOPP/EVOH/PE 45X280 227 GRILL</t>
  </si>
  <si>
    <t>***FOL.BOPP/EVOH/PE 45X265 205 GRILL</t>
  </si>
  <si>
    <t>***FOL.PET/PA/PE 50X525 NR3 BARONI GRILL</t>
  </si>
  <si>
    <t>***FOL.BOPP/EVOH/PE 45X265 205 K.BIAŁE</t>
  </si>
  <si>
    <t>***FOL.PET/PA/EVOH/PE 57X415 K.GRILL TIR</t>
  </si>
  <si>
    <t>***FOL.PET/PA/EVOH/PE 57X445K.GRILL R530</t>
  </si>
  <si>
    <t>***FOL.PET/PA/EVOH/PE 57X420K.GRILL R225</t>
  </si>
  <si>
    <t>***FOL.PET/PA/EVOH/PE 57X415 K.GRILL COM</t>
  </si>
  <si>
    <t>***FOL.PET/EVOH/PE57X240 KAB.MOR.Z SZYN.</t>
  </si>
  <si>
    <t>FOL.PET/PE/EVOH/PE PEEL 57X420 PRZEKĄSKA</t>
  </si>
  <si>
    <t>FOL.PE ARK.90X90</t>
  </si>
  <si>
    <t>***FOL.PET/PA/EVOH/PE 57X445 P.CLASIK EU</t>
  </si>
  <si>
    <t>***FOL.PET/PA/EVOH/PE 57X445 P.PIEPRZ EU</t>
  </si>
  <si>
    <t>***FOL.PET/PA/EVOH/PE 57X445 P.CHILI EU</t>
  </si>
  <si>
    <t>***FOL.PA/PE 130X420 CZARNA</t>
  </si>
  <si>
    <t>***FOL.PET/PE/EVOH 57X270 LIDL RZEŹNIK</t>
  </si>
  <si>
    <t>WOR.1180X500 HT3060</t>
  </si>
  <si>
    <t>***FOL.PAO/EVOH/PEM 60X520 BIAŁY GRILL</t>
  </si>
  <si>
    <t>FOL.PET/EVOH/PE/PEEL 60X520 ŚLĄSKA MOR</t>
  </si>
  <si>
    <t>FOL.BOPA/PE 65X520 MORLIŃSKA Z SZYN.MOR</t>
  </si>
  <si>
    <t>***FOL.PA/PE 130X406 CZARNA</t>
  </si>
  <si>
    <t>WOR.PET/PE 294X357 GR120 SCHUR-LOCK MOR</t>
  </si>
  <si>
    <t>FOL.PET/PE/EVOH/PE 57X240 K.MOR PIEPRZ</t>
  </si>
  <si>
    <t>FOL.PET/PE/EVOH/PE 57X240 K.MORL.CHILI</t>
  </si>
  <si>
    <t>FOL.PET/PE/EVOH/PE 57X240 K.MORL.CLASIK</t>
  </si>
  <si>
    <t>FOL.PET/PA/EVOH/PE 42X520 ŚLĄS.GRILLTESC</t>
  </si>
  <si>
    <t>FOL.PA/PE 160X524</t>
  </si>
  <si>
    <t>***FOL.APET/PE 500X522 JUMBO</t>
  </si>
  <si>
    <t>FOL.PA/PE 120X525</t>
  </si>
  <si>
    <t>***FOL.PA/PE 60X520</t>
  </si>
  <si>
    <t>***FOL.PET/PE/EVOH/PE57X420AFKAB.KRA UK</t>
  </si>
  <si>
    <t>***FOL.PA/PE 120X406 CZARNA</t>
  </si>
  <si>
    <t>***FOL.PET/EVOH/PEM 60X530 K.GŁOG</t>
  </si>
  <si>
    <t>***FOL.PET/EVOH/PE PEEL 57X420 K.Z SZYN.</t>
  </si>
  <si>
    <t>***FOL.PET/PE AF 57X500 KARKÓWKA</t>
  </si>
  <si>
    <t>FOL.PET/PA/EVOH/PE 42X300 MAZUR/PODWAW.</t>
  </si>
  <si>
    <t>***FOL.PET/PE AF 57X500 SZYNKA</t>
  </si>
  <si>
    <t>***FOL.PET/PE AF 57X500 SCHAB ZE ŚLIWKĄ</t>
  </si>
  <si>
    <t>FOL.APET/PE PEEL 400X423 CZARNA</t>
  </si>
  <si>
    <t>FOL.APET/PE 450X422 BLACK</t>
  </si>
  <si>
    <t>***FOL.PEHB 45X265 205 WP.NETTO</t>
  </si>
  <si>
    <t>***FOL.PE/HB 55X345 276 POL.NETTO</t>
  </si>
  <si>
    <t>***FOL.PEHB 45X270 227 WP.NETTO</t>
  </si>
  <si>
    <t>FOL.PET/PE/EVOH/PE/PEEL 62X555 KABAN.KRA</t>
  </si>
  <si>
    <t>FOL.PET/PE/EVOH/PE/PEEL 60X445 CLAS.PRK</t>
  </si>
  <si>
    <t>***FOL.PET/PE/EVOH/PE 60X445 BAC.FLAVOUR</t>
  </si>
  <si>
    <t>***FOL.PAO/EVOH/PEM 60X415 TAPETA</t>
  </si>
  <si>
    <t>FOL.PEHB A 50X265 DO205 TRANSP.</t>
  </si>
  <si>
    <t>FOL.PET/EVOH/PE/PEEL 57X420 KABAN.KRA UK</t>
  </si>
  <si>
    <t>WOR.PE 1200X650 GR33</t>
  </si>
  <si>
    <t>***WOR.LDPE 80X120 GR50 STRUN.</t>
  </si>
  <si>
    <t>***WOR.350X600 GR40 PERFOROWANY BEZB.</t>
  </si>
  <si>
    <t>***WOR.130X550 BB3050</t>
  </si>
  <si>
    <t>***WOR.180X230 GR 50 KRAKUS KRATKA</t>
  </si>
  <si>
    <t>***WOR.600X720 GR21 NA POJEMNIKI</t>
  </si>
  <si>
    <t>WOR.700X1900 PE</t>
  </si>
  <si>
    <t>WOR.PE 900X600 GR33 NIEB.</t>
  </si>
  <si>
    <t>WOR.250X400 BB3050 RND MORLINY</t>
  </si>
  <si>
    <t>***WOR.250X500 GR40 NIEB.</t>
  </si>
  <si>
    <t>***WOR.300X800 GR 40 NIEBIESKI</t>
  </si>
  <si>
    <t>WOR.200X500 BB6050</t>
  </si>
  <si>
    <t>***WOR.230X550 GR.58 OSB 5050</t>
  </si>
  <si>
    <t>***WOR.300X600 GR 50 BB 3050</t>
  </si>
  <si>
    <t>***WOR.180X550 GR 68 BB6050</t>
  </si>
  <si>
    <t>WOR.300X750 B BB905 TBG</t>
  </si>
  <si>
    <t>WOR.230X400 OSB3050 KRAKUS</t>
  </si>
  <si>
    <t>***WOR.150X350 GR 68 BB6050</t>
  </si>
  <si>
    <t>***WOR.TRMK 300X450 GR68</t>
  </si>
  <si>
    <t>WOR.100X450 GR 68 BB6050</t>
  </si>
  <si>
    <t>WOR.TRMK 350X180 GR68</t>
  </si>
  <si>
    <t>WOR.TRMK 230X550 GR68</t>
  </si>
  <si>
    <t>***WOR.150x250 GR 68 BB6050</t>
  </si>
  <si>
    <t>WOR.TRMK 230X400 GR68</t>
  </si>
  <si>
    <t>***WOR.250X400 GR 68 BB6050</t>
  </si>
  <si>
    <t>***WOR.325X500 GR 68 BB6050</t>
  </si>
  <si>
    <t>WOR.LDPE 850X600X2F200 GR30 NIEB.</t>
  </si>
  <si>
    <t>***WOR.200X640 GR45 LDPE 700/2F</t>
  </si>
  <si>
    <t>***WOR.200X375 BB6050 SZYNKA B/KONSER</t>
  </si>
  <si>
    <t>WOR.PE 850X600X2F200 GR30 NIEB.</t>
  </si>
  <si>
    <t>WOR.PET/PE 357X294 SCHUR-LOCK G&amp;F</t>
  </si>
  <si>
    <t>***WOR.MDPE 1200X600 GR33</t>
  </si>
  <si>
    <t>WOR.PET/PE 294X357 SCHUR-L.GRILL FUN EX</t>
  </si>
  <si>
    <t>***ET.52X60 PARTYCZAKI PIEPRZ  60G</t>
  </si>
  <si>
    <t>WOR.PE 2400X1300X2F500 GR45 NIEB.</t>
  </si>
  <si>
    <t>***WOR.250X300 GR 0.04 NIEB.</t>
  </si>
  <si>
    <t>TAC.PP 187X137X50 BEZBARWNA</t>
  </si>
  <si>
    <t>***TAC.PP 187X137X50 PF PAD</t>
  </si>
  <si>
    <t>TAC.PET/PE 187X137X50</t>
  </si>
  <si>
    <t>TAC.PET 205X160X50 CZARNA</t>
  </si>
  <si>
    <t>TAC.PET 205X160X50</t>
  </si>
  <si>
    <t>TAC.PET 205X160X60</t>
  </si>
  <si>
    <t>TAC.PET 227X178X50</t>
  </si>
  <si>
    <t>TAC.PET/PE 187X137X50 PAD</t>
  </si>
  <si>
    <t>TAC.PET/PE 187X137X83 BEZBARWNA</t>
  </si>
  <si>
    <t>TAC.PET/PE 227X178X80 PAD</t>
  </si>
  <si>
    <t>TAC.PET/PE 227X178X50 PAD</t>
  </si>
  <si>
    <t>TAC.PET/PE 187X137X63 PAD</t>
  </si>
  <si>
    <t>TAC.PET/PE 205X160X100 PAD</t>
  </si>
  <si>
    <t>TAC.PET 205X160X60 PAD</t>
  </si>
  <si>
    <t>***TAC.PET/PE227X178X32 CZARNA HAMBURGER</t>
  </si>
  <si>
    <t>***TAC.PET/PE 205X160X36 KULKI</t>
  </si>
  <si>
    <t>TAC.PET/PE 227X178X60 PAD</t>
  </si>
  <si>
    <t>TAC.PET/PE 205X160X50 LIDL</t>
  </si>
  <si>
    <t>TAC.PET/PE 205X160X50 PAD LIDL</t>
  </si>
  <si>
    <t>TAC.PET/PE 227X178X50 PAD LIDL</t>
  </si>
  <si>
    <t>TAC.PET/PE 227X178X80 PAD LIDL</t>
  </si>
  <si>
    <t>TAC.PET/PE 205X160X80 PAD</t>
  </si>
  <si>
    <t>TAC.PET 187X137X83 PAD</t>
  </si>
  <si>
    <t>***TAC.PP 227X178X50 DZIELONA</t>
  </si>
  <si>
    <t>***TAC.PP 227X178X45 CZRNA DZIELONA</t>
  </si>
  <si>
    <t>***TAC.KC 227X178X80 PAD BIAŁA</t>
  </si>
  <si>
    <t>TAC.PET 187X137X50 Z WKŁ.MP 1700</t>
  </si>
  <si>
    <t>TAC.PET 187X137X83 PAD 4000 ŚWIEŻA PORCJ</t>
  </si>
  <si>
    <t>TAC.PET/PE 205X160X50 PAD</t>
  </si>
  <si>
    <t>TAC.PET 187X137X50 PAD 4000 ŚWIEŻA PORCJ</t>
  </si>
  <si>
    <t>***TAC.PP 205X160X90 PAD 4000</t>
  </si>
  <si>
    <t>TAC.PET/PE 205X160X40 PAD LIDL</t>
  </si>
  <si>
    <t>TAC.PET/PE 227X178X80</t>
  </si>
  <si>
    <t>TAC.PET/PE 227X178X60</t>
  </si>
  <si>
    <t>***TAC.PET/PE205X160X50PAD4000 ŚWIERZA P</t>
  </si>
  <si>
    <t>***TAC.PET/PE 205X160X100PAD4000ŚWIERZA</t>
  </si>
  <si>
    <t>TAC.PET/PE 276X88X75 PAD LIDL</t>
  </si>
  <si>
    <t>TAC.PET/PE 276X88X75 Z PAD NA POL.</t>
  </si>
  <si>
    <t>TAC.PET/PE 227X178X40</t>
  </si>
  <si>
    <t>TAC.PET/PE 227X178X40 Z PAD</t>
  </si>
  <si>
    <t>TAC.PET/PE 205X160X100 Z PAD MG75L</t>
  </si>
  <si>
    <t>TAC.PET/PE 205X160X60 Z PAD MG75L</t>
  </si>
  <si>
    <t>TAC.PET/PE 205X160X80 Z PAD MG75L</t>
  </si>
  <si>
    <t>TAC.205X160X40 PAD</t>
  </si>
  <si>
    <t>TAC.PET/PE 205X160X50 Z PAD MG75L</t>
  </si>
  <si>
    <t>TAC.PET/PE 205X160X40</t>
  </si>
  <si>
    <t>TAC.PET/PE 205X160X80 CZARNA</t>
  </si>
  <si>
    <t>TAC.PET/PE 227X178X25 CZARNA</t>
  </si>
  <si>
    <t>TAC.PET/PE 227X178X50 CZARNY</t>
  </si>
  <si>
    <t>TAC.PET/PE 205X160X50 PAD CZARNA</t>
  </si>
  <si>
    <t>TAC.PET/PE 227X178X40 CZARNA 2-KOMOROWA</t>
  </si>
  <si>
    <t>TAC.PET/PE 205X160X60 PAD LIDL</t>
  </si>
  <si>
    <t>TAC.PET/PE 227X178X60 PAD LIDL</t>
  </si>
  <si>
    <t>TAC.PET/PE 227X178X60 LIDL M.MIEL.1KG</t>
  </si>
  <si>
    <t>TAC.PET/PE 205X160X80 PAD LIDL</t>
  </si>
  <si>
    <t>FOR.ALU.220X150X70</t>
  </si>
  <si>
    <t>WOR.180X350 OSB3050 GR 50</t>
  </si>
  <si>
    <t>FOL.PET MET/PE 77X620 ZŁOTY</t>
  </si>
  <si>
    <t>***WOR.200X700 PA/PE GR70</t>
  </si>
  <si>
    <t>***WOR.400X550 PA/PE GR70</t>
  </si>
  <si>
    <t>***WOR.250X700 PA/PE GR70</t>
  </si>
  <si>
    <t>***WOR.240X450 PA/PE GR70</t>
  </si>
  <si>
    <t>***WOR.350X400 PA/PE GR140</t>
  </si>
  <si>
    <t>***WOR.300X700 PA/PE GR140</t>
  </si>
  <si>
    <t>***FOL.PET/PE/EVOH/PE57X445PEEL KAB.MINI</t>
  </si>
  <si>
    <t>***FOL.PEHB45A 265X205 KM GARMA.SP AS/KM</t>
  </si>
  <si>
    <t>FOL.PET/EVOH/PE 52X350</t>
  </si>
  <si>
    <t>***FOL.PET/PA/EVOH/PE 52X520 K.ŚL.PIK</t>
  </si>
  <si>
    <t>***FOL.PET/PE/EVOH 52X260 LIDL</t>
  </si>
  <si>
    <t>FOL.PA/EVOH/PE 200X623</t>
  </si>
  <si>
    <t>FOL.PET/PE/EVOH 52X270 SCHAB RZ.XXL</t>
  </si>
  <si>
    <t>FOL.PET/PE/EVOH 52X270 M.MIELONE RZ.XXL</t>
  </si>
  <si>
    <t>FOL.PA/PE 200X425</t>
  </si>
  <si>
    <t>FOL.PET/PE/EVOH/PE 52X265 M.M Z SZYNKI</t>
  </si>
  <si>
    <t>FOL.PET/PE/EVOH 52X270 LIDL</t>
  </si>
  <si>
    <t>FOL.PET/PE/EVOH/PE 52X265 M.M Z ŁOP.</t>
  </si>
  <si>
    <t>FOL.PA/PE 100X420 GÓRA KRATKA SZYN.</t>
  </si>
  <si>
    <t>FOL.PA/PE 240X432 DÓŁ KRATKA SZYN.</t>
  </si>
  <si>
    <t>***FOL.PET/PE/EVOH/PE 42X445 KAB.KRA</t>
  </si>
  <si>
    <t>***FOL.HB 60X520 GÓRA</t>
  </si>
  <si>
    <t>***FOL.HB 200X523 DÓŁ</t>
  </si>
  <si>
    <t>***FOL.PA/EVOH/PE 90X527 D</t>
  </si>
  <si>
    <t>FOL.PET/EVOH/PE 50X530 G</t>
  </si>
  <si>
    <t>***FOL.PET/PA/EVOH/PE 57X415 KASZ.COM.</t>
  </si>
  <si>
    <t>FOL.PET/PA/EVOH/PE 57X445 KASZ.R530</t>
  </si>
  <si>
    <t>FOL.APET/PE 350X522</t>
  </si>
  <si>
    <t>FOL.PET/EVOH/PE 72X620</t>
  </si>
  <si>
    <t>***FOL.PET/PE 52X500 BOCZEK JMD</t>
  </si>
  <si>
    <t>FOL.PET/PE/EVOH 52X265 LIDL</t>
  </si>
  <si>
    <t>FOL.PET/PE/EVOH  52X345 POL.LIDL</t>
  </si>
  <si>
    <t>FOL.PET/PE/EVOH 52X390 LIDL</t>
  </si>
  <si>
    <t>FOL.PA/EVOH/PE 200X523</t>
  </si>
  <si>
    <t>FOL.PE/HB 45X265 GARM.WP.-WŁ.B/ZŚ</t>
  </si>
  <si>
    <t>FOL.PE/HB 45X265 ELEM.M-SA ZŚ</t>
  </si>
  <si>
    <t>FOL.PE/HB 45X265 ZŚ+100% Z ŁOP.I WŁ.</t>
  </si>
  <si>
    <t>FOL.PE/HB 45X265 GARM.WP.B/ZŚ</t>
  </si>
  <si>
    <t>***FOL.PE/HB A 45X390 GARMAŻ.</t>
  </si>
  <si>
    <t>FOL.PA/EVOH/PE 60X520</t>
  </si>
  <si>
    <t>***FOL.PEHB A 45X390</t>
  </si>
  <si>
    <t>***FOL.PET/EVOH/PE 72X520</t>
  </si>
  <si>
    <t>FOL.PA/PE 80X415 DO GOTOWANIA</t>
  </si>
  <si>
    <t>FOL.PA/PE 200X424 DO GOT.</t>
  </si>
  <si>
    <t>FOL.PE/HB A 55X345 POL.ZŚ</t>
  </si>
  <si>
    <t>FOL.PE/HB A 45X265X205 MM Z ŁOP.ZŚ+100%</t>
  </si>
  <si>
    <t>FOL.PE/HB A 45X265 M.MIEL.GARM.B/ZŚ</t>
  </si>
  <si>
    <t>FOL.PE/HB A 45X265X205 M.MIEL.ZŚ+100%</t>
  </si>
  <si>
    <t>FOL.PE/HB A 45X230X187 ZŚ</t>
  </si>
  <si>
    <t>FOL.PE/HB 45X390 MM Z ŁOP.I WŁ.ZŚ+100%MM</t>
  </si>
  <si>
    <t>FOL.PE/HB 45X390M.MIEL.GARM.WP-WŁ.B/ZŚ</t>
  </si>
  <si>
    <t>FOL.PE/HB 45X390 MM Z ŁOP.-SZYN.ZŚ+100%</t>
  </si>
  <si>
    <t>FOL.PE/HB 45X390 M-SO WP.GARM. B/ZŚ</t>
  </si>
  <si>
    <t>FOL.APET/PE 350X622 BLACK</t>
  </si>
  <si>
    <t>FOL.PE/HB A 45X230X187 ZŚ MULTIVAC</t>
  </si>
  <si>
    <t>FOL.PET/PE/EVOH/PE Z PEEL 60X520 K.280G</t>
  </si>
  <si>
    <t>FOL.PET/PE/EVOH 52X390 MM Z SZYNKI</t>
  </si>
  <si>
    <t>FOL.PET/PE/EVOH 52X390 M-SO Z ŁOP.</t>
  </si>
  <si>
    <t>FOL.PE/HB 45X275 GRILL</t>
  </si>
  <si>
    <t>FOL.PET/PA/EVOH/PE 42X520 BIAŁA Z SZ.NS</t>
  </si>
  <si>
    <t>FOL.PET/PA/EVOH/PE PEEL 42X520 GRILL-FUN</t>
  </si>
  <si>
    <t>FOL.PET/PA/EVOH/PE 42X420 BIAŁA Z MAJER.</t>
  </si>
  <si>
    <t>FOL.TOPLEX/HB 60X525 DUŻA GILZA</t>
  </si>
  <si>
    <t>FOL.PET/PA/EVOH/PE 42X415 KASZ.TEŚĆ.</t>
  </si>
  <si>
    <t>FOL.PET/EVOH/PE 57X520 ŚLĄSKA.550G</t>
  </si>
  <si>
    <t>WOR.TRMK 300X450 GR50</t>
  </si>
  <si>
    <t>WOR.230X550 OSB3050 GR50</t>
  </si>
  <si>
    <t>***ARK.LDPE 800X800 GR30 NIEB.</t>
  </si>
  <si>
    <t>FOL.PET/PE/EVOH/PE 57X420 PRZEK.</t>
  </si>
  <si>
    <t>FOL.PET/PA/EVOH/PE 45X420KAB.KRAKUS USA</t>
  </si>
  <si>
    <t>WOR.230X400 OSB3050 GR 50</t>
  </si>
  <si>
    <t>FOL.PA/EVOH/PE 150X422</t>
  </si>
  <si>
    <t>WOR.TRMK 230X400 GR45</t>
  </si>
  <si>
    <t>FOL.PET/PE/EVOH/PE 55X520 K.ŚL.PREMIUM</t>
  </si>
  <si>
    <t>FOL.PET/PA/EVOH/PE 45X415 KASZ.JMD</t>
  </si>
  <si>
    <t>FOL.PET/PA/EVOH/PE 45X445 KASZ.JMD</t>
  </si>
  <si>
    <t>FOL.PET23/PE/EVOH/PE 7095X520 BIAŁ.Z SZ.</t>
  </si>
  <si>
    <t>***FOL.PE ARK.70X80</t>
  </si>
  <si>
    <t>FOL.PET/PA/EVOH/PE 42X415 SZYN.WĘDZ.</t>
  </si>
  <si>
    <t>FOL.PA/EVOH/PE 60X445</t>
  </si>
  <si>
    <t>FOL.PET/PE/EVOH/PE 57X220 K.MORL.PIEPRZ.</t>
  </si>
  <si>
    <t>FOL.PET/PE/EVOH/PE 57X220 K.MORL.CHILI</t>
  </si>
  <si>
    <t>FOL.PET/PE/EVOH/PE 57X220 K.MORL.CLASSIC</t>
  </si>
  <si>
    <t>FOL.PET/PE/EVOH/PE 57X220 K.MORL.Z SZYN.</t>
  </si>
  <si>
    <t>FOL.PET/PE 65X500 KARK.</t>
  </si>
  <si>
    <t>FOL.PET/PE 65X500 SCH.ZE ŚLIWKĄ</t>
  </si>
  <si>
    <t>FOL.PET/PE 65X500 SZYN.</t>
  </si>
  <si>
    <t>FOL.PET/PE 65X500 WG KRA</t>
  </si>
  <si>
    <t>FOL.ICE 100X420</t>
  </si>
  <si>
    <t>FOL.ICE 200X422</t>
  </si>
  <si>
    <t>FOL.PET/EVOH/PE 57X420 TRANSP.</t>
  </si>
  <si>
    <t>FOL.PE TRMK 50X500</t>
  </si>
  <si>
    <t>FOL.PA/PE B 100X420 DO GOTOWANIA G</t>
  </si>
  <si>
    <t>FOL.PP/PA/PE PB 200X422 DO GOTOWANIA D</t>
  </si>
  <si>
    <t>FOL.PET/PE/EVOH/PE 62X555 KAB.Z JAŁOWCEM</t>
  </si>
  <si>
    <t>FOL.PET/PE/EVOH/PE 62X555 KAB.Z ROZMAR.</t>
  </si>
  <si>
    <t>***FOL.PET/PE/EVOH/PE 62X555 KABAN.</t>
  </si>
  <si>
    <t>FOL.PET/PA/EVOH/PE 42X520 REGIONALNA</t>
  </si>
  <si>
    <t>FOL.PET/PE/EVOH/PE 57X555</t>
  </si>
  <si>
    <t>FOL.LLDPE/TIE/PA/EVOH/PA/TIE 140X462 MIN</t>
  </si>
  <si>
    <t>ARK.HDPE 450X650 GR15 NIEB.</t>
  </si>
  <si>
    <t>FOL.PA/PE 100X445</t>
  </si>
  <si>
    <t>FOL.CRYSTALPAK 85X520</t>
  </si>
  <si>
    <t>FOL.PET/PE/EVOH 57X220 MEATERS CHILLI</t>
  </si>
  <si>
    <t>FOL.PET/PE/EVOH 57X220 MEATERS DROB.-WP.</t>
  </si>
  <si>
    <t>FOL.PET/PE/EVOH 57X220 MEATERS MIĘSNY</t>
  </si>
  <si>
    <t>FOL.APET/PE 200X422 ZŁO.</t>
  </si>
  <si>
    <t>FOL.PET/PE/EVOH/PE 42X520 K.ŚLĄSKA PREM.</t>
  </si>
  <si>
    <t>FOL.CRYSTALPAK 150X523</t>
  </si>
  <si>
    <t>FOL.PET/PE/EVOH/PE/AF 60X555 MASERO</t>
  </si>
  <si>
    <t>FOL.PET/PE/EVOH/PE 42X520 K.ŚL.90% PIK</t>
  </si>
  <si>
    <t>FOL.PET/PA/EVOH/PE/PEEL 42X520 MOR</t>
  </si>
  <si>
    <t>***FOL.PET/PA/PE 190.5X270 K.REGIONALNA</t>
  </si>
  <si>
    <t>FOL.PET/PE/EVOH/PE 42X420 K.TEKSAŃSKA</t>
  </si>
  <si>
    <t>FOL.PET/PE/EVOH 57X220 MEATERS EXP.CHILI</t>
  </si>
  <si>
    <t>FOL.PET/PE/EVOH 57X220 MEATERS EXP.PORK</t>
  </si>
  <si>
    <t>FOL.PET/PE/EVOH 57X220 MEATERS EXP.CH&amp;P</t>
  </si>
  <si>
    <t>***FOL.PET/PE/EVOH/PE 42X520 PIK EX</t>
  </si>
  <si>
    <t>FOL.PET/PE/EVOH/PE 42X520 GRILL&amp;FUN</t>
  </si>
  <si>
    <t>FOL.RS2000 50X450 TRMK</t>
  </si>
  <si>
    <t>FOL.PET/PA/EVOH/PE 42X415 KASZ.BIED</t>
  </si>
  <si>
    <t>FOL.PET/PA/EVOH/PE 42X520 KASZ.BIED</t>
  </si>
  <si>
    <t>FOL.PA/EVOH/PE 57X520</t>
  </si>
  <si>
    <t>FOL.PA/EVOH/PE 180X523</t>
  </si>
  <si>
    <t>FOL.PA/EVOH/PE 57X620</t>
  </si>
  <si>
    <t>***FOL.PA/EVOH/PE 180X623</t>
  </si>
  <si>
    <t>***FOL.PE TAŚMA 700X0.028</t>
  </si>
  <si>
    <t>***FOL.TAŚMA 700X0.028 PROD.OF POL.</t>
  </si>
  <si>
    <t>***FOL.PET/PA/EVOH/PE 42X520 DULANO</t>
  </si>
  <si>
    <t>FOL.PE TAŚ.28X700 PROD.OF POL.</t>
  </si>
  <si>
    <t>FOL.PE TAŚ.28X700</t>
  </si>
  <si>
    <t>***FOL.PET/PE/EVOH/PE/PEEL57X445 CHICKEN</t>
  </si>
  <si>
    <t>***FOL.TRMK FS 50X325 GR40</t>
  </si>
  <si>
    <t>***FOL.TRMK FS 90X325 GR70</t>
  </si>
  <si>
    <t>***FOL.TRMK FS 90X325 GR90</t>
  </si>
  <si>
    <t>FOL.PET/EVOH/PE 57X400 KRA</t>
  </si>
  <si>
    <t>FOL.PET/PA/EVOH/PE 42X520 BIAŁA Z SZYN.</t>
  </si>
  <si>
    <t>***FOL.OPET/PE/EVOH 57X300 K.TORUŃSKA</t>
  </si>
  <si>
    <t>FOL.PA/EVOH/PE 90X420</t>
  </si>
  <si>
    <t>***FOL.PA/PE 160X565</t>
  </si>
  <si>
    <t>FOL.PA/EVOH/PE 150X423</t>
  </si>
  <si>
    <t>FOL.PA/EVOH/PE 90X620</t>
  </si>
  <si>
    <t>FOL.PA/EVOH/PE 170X623</t>
  </si>
  <si>
    <t>FOL.PA/EVOH/PE 90X520</t>
  </si>
  <si>
    <t>FOL.PA/EVOH/PE 170X523</t>
  </si>
  <si>
    <t>FOL.PA/EVOH/PE 170X423</t>
  </si>
  <si>
    <t>FOL.PET/PA/EVOH/PE 57X260 KIEŁB.SZW.KRA</t>
  </si>
  <si>
    <t>FOL.PET/PA/EVOH/PE 42X520 FRANK.KRA</t>
  </si>
  <si>
    <t>FOL.PET/PA/EVOH/PE 42X520 FRANK PREM350G</t>
  </si>
  <si>
    <t>FOL.PET/PE/EVOH/PE/AF 52X270 KRUCHA SZW.</t>
  </si>
  <si>
    <t>FOL.PET/EVOH/PE 42X520 FRANKI</t>
  </si>
  <si>
    <t>FOL.PET/PE/EVOH 42X260 KIEŁB.PODSUSZANA</t>
  </si>
  <si>
    <t>FOL.PET/PE/EVOH/PE/AF 52X220 PODW.Z SZYN</t>
  </si>
  <si>
    <t>FOL.PET/EVOH/PE 42X520 FRANKI DROB.</t>
  </si>
  <si>
    <t>FOL.PET/PA/EVOH/PE 52X520 FRANK.220G</t>
  </si>
  <si>
    <t>FOL.PET/PA/EVOH/PE 62X520 KABAN.OD SZW.</t>
  </si>
  <si>
    <t>FOL.PET/EVOH/PE 42X520 FRANKI BIAŁE</t>
  </si>
  <si>
    <t>***FOL.PA/PE XFF 150X420 DO GOTOWANIA</t>
  </si>
  <si>
    <t>***FOL.PA/PE XFF 200X422 DO GOTOWANIA</t>
  </si>
  <si>
    <t>FOL.PET/PA/EVOH/PE 52X520 MORL.BOCZ.1KG</t>
  </si>
  <si>
    <t>FOL.PET/PA/EVOH/PE 52X490 MORL.Z BOCZ.</t>
  </si>
  <si>
    <t>FOL.PA/EVOH/PE 170X626</t>
  </si>
  <si>
    <t>FOL.PET/PE/EVOH/PE 57X420 KABAN.US</t>
  </si>
  <si>
    <t>FOL.PET/PE/EVOH/PE 62X560 KABAN.NA LADĘ</t>
  </si>
  <si>
    <t>FOL.PET/PA/EVOH/PE 42X520 ŚLĄSKA PRE500G</t>
  </si>
  <si>
    <t>FOL.PA/EVOH/PE 200X492</t>
  </si>
  <si>
    <t>FOL.PET/PA/EVOH/PE 52X490</t>
  </si>
  <si>
    <t>FOL.STRETCH RĘCZ.23X500</t>
  </si>
  <si>
    <t>FOL.PE TRMK 45X300</t>
  </si>
  <si>
    <t>***FOL.PET/PE/EVOH/PE42X520PR.CZAS NA GR</t>
  </si>
  <si>
    <t>FOL.PET/PA/EVOH/PE 60X525</t>
  </si>
  <si>
    <t>WOR.PE 850X600X2F200 GR60 NIEB.</t>
  </si>
  <si>
    <t>FOL.PET/EVOH/PE 42X520 FRANKI WP.EX</t>
  </si>
  <si>
    <t>FOL.PET/EVOH/PE 42X520 FRANKI DROB.EX</t>
  </si>
  <si>
    <t>FOL.PET/EVOH/PE 42X520 FRANKI BIAŁE EX</t>
  </si>
  <si>
    <t>FOL.OPET/EVOH/PE 52X260 K.MORLIŃSKIE</t>
  </si>
  <si>
    <t>***WOR.350X400 PA/PE GR70</t>
  </si>
  <si>
    <t>FOL.PA/PE 80X415</t>
  </si>
  <si>
    <t>FOL.PAO/PE 72X415</t>
  </si>
  <si>
    <t>FOL.PET/EVOH/PE 52X620 MP</t>
  </si>
  <si>
    <t>FOL.PET/EVOH/PE 52X620 TAP.MOR</t>
  </si>
  <si>
    <t>FOL.OPET/PE/EVOH 57X330 K.TORUŃSKA BIED</t>
  </si>
  <si>
    <t>FOL.PET/EVOH/PE 42X230 KABAN.WP.KRA</t>
  </si>
  <si>
    <t>FOL.PET/EVOH/PE 42X230 KABAN.DR/WP.KRA</t>
  </si>
  <si>
    <t>FOL.PET/EVOH/PE 42X230 KABAN.SZYN.KRA</t>
  </si>
  <si>
    <t>FOL.PET/EVOH/PE 42X230 KABAN.WP.EX</t>
  </si>
  <si>
    <t>FOL.PET/EVOH/PE 42X230 KABAN.DR/WP.EX</t>
  </si>
  <si>
    <t>FOL.PET/EVOH/PE 42X240 KABAN.WP.KLAS.KRA</t>
  </si>
  <si>
    <t>FOL.PET/EVOH/PE 42X240 KABAN.DR/WP.KRA</t>
  </si>
  <si>
    <t>FOL.PET/EVOH/PE 42X240 KABAN.WP.MOR</t>
  </si>
  <si>
    <t>FOL.PET/EVOH/PE 42X240 KABAN.DR/WP.MOR</t>
  </si>
  <si>
    <t>FOL.PET/PA/EVOH/PE 52X270 KRUCHA OD SZW.</t>
  </si>
  <si>
    <t>FOL.PET/EVOH/PE 57X330 KIEŁB.TORUŃSKA</t>
  </si>
  <si>
    <t>FOL.PET/EVOH/PE 52X520 ŚLĄSKA MP MOR</t>
  </si>
  <si>
    <t>FOL.PET/PE/EVOH/PE 42X520 ŚLĄSKA BIED</t>
  </si>
  <si>
    <t>FOL.PET/EVOH/PE 52X520 ŚLĄSKA 90% 550G</t>
  </si>
  <si>
    <t>***FOL.PET/EVOH/PE 52X520 ŚLĄSKA MP KW</t>
  </si>
  <si>
    <t>FOL.PA/EVOH/PE 120X525</t>
  </si>
  <si>
    <t>FOL.PET/EVOH/PE 52X520 BIAŁA Z SZYN.</t>
  </si>
  <si>
    <t>FOL.PET/PA/EVOH/PE 52X400 TAP.MOR</t>
  </si>
  <si>
    <t>FOL.PET/EVOH/PE 42X230 KABAN.WP.95GKRA</t>
  </si>
  <si>
    <t>FOL.PET/EVOH/PE 42X230 KABAN.DR/WP95GKRA</t>
  </si>
  <si>
    <t>FOL.PET/EVOH/PE 42X230 KABAN.SZYN.95GKRA</t>
  </si>
  <si>
    <t>FOL.PET/EVOH/PE 42X230 KABAN.DR/WP.KRAEX</t>
  </si>
  <si>
    <t>FOL.PET/EVOH/PE 42X230KABAN.WP.95GKRA EX</t>
  </si>
  <si>
    <t>FOL.PET/PE/EVOH/PE/PEEL 62X560 KABAN.KRA</t>
  </si>
  <si>
    <t>FOL.PA/EVOH/PE 180X424</t>
  </si>
  <si>
    <t>FOL.PET/EVOH/PE/PEEL 57X520 ŚLĄSKA KRA</t>
  </si>
  <si>
    <t>FOL.PET/PE/EVOH/PE 42X240 KABAN.150G KRA</t>
  </si>
  <si>
    <t>FOL.PET/PE/EVOH/PE 42X240 KABAN.DR/WPKRA</t>
  </si>
  <si>
    <t>FOL.PET/PE/EVOH/PE 57X300 KIEŁB.PODSUSZ.</t>
  </si>
  <si>
    <t>FOL.PET/PE/EVOH/PE 57X400 TAP.KRA</t>
  </si>
  <si>
    <t>FOL.PET/PA/EVOH/PE 52X290</t>
  </si>
  <si>
    <t>FOL.PET/EVOH/PE/PEEL 60X420 FRANK.</t>
  </si>
  <si>
    <t>FOL.APET/PE 250X422</t>
  </si>
  <si>
    <t>WOR.PE 700X1150 GR30 NIEB.</t>
  </si>
  <si>
    <t>FOL.PA/PE 180X565</t>
  </si>
  <si>
    <t>WOR.TRMK 350X645 GR70 Z/TAŚ.</t>
  </si>
  <si>
    <t>FOL.PET/EVOH/PE 52X520 ŚLĄSKA MOR</t>
  </si>
  <si>
    <t>FOL.PET/EVOH/PE 42X230 KABAN.JALAP.</t>
  </si>
  <si>
    <t>FOL.PA/EVOH/PE 60X415</t>
  </si>
  <si>
    <t>FOL.PET/PE/EVOH/PE 54X300 K.PODSUSZ.GOLD</t>
  </si>
  <si>
    <t>FOL.PET/EVOH/PE 42X230 KABAN.PAPR.95GKRA</t>
  </si>
  <si>
    <t>FOL.STRETCH MASZ.17X500 250%</t>
  </si>
  <si>
    <t>FOL.PA/EVOH/PE 170X424</t>
  </si>
  <si>
    <t>FOL.PET/PETM/PE/PA/PE 114X425 ZŁO/ZŁO.</t>
  </si>
  <si>
    <t>FOL.PET/PETM/PE/PA/PE 114X490 ZŁO/ZŁO.</t>
  </si>
  <si>
    <t>FOL.PET/EVOH/PE/PEEL 59X520 BIAŁA SZYN.</t>
  </si>
  <si>
    <t>FOL.PA/EVOH/PE 90X415</t>
  </si>
  <si>
    <t>FOL.PET/EVOH/PE/PEEL 59X520 K.PIEPRZ.KRA</t>
  </si>
  <si>
    <t>FOL.PA/EVOH/PE 180X420</t>
  </si>
  <si>
    <t>FOL.PET/EVOH/PE/PEEL 59X420 KABAN.180GGB</t>
  </si>
  <si>
    <t>WOR.TRMK 475X230 GR45 Z/TAŚ.</t>
  </si>
  <si>
    <t>FOL.PET/PE/EVOH/PE 42X280 KABAN.160G KRA</t>
  </si>
  <si>
    <t>FOL.PET/PE/EVOH/PE 54X260 K.OD MASARZA</t>
  </si>
  <si>
    <t>FOL.PET/EVOH/PE 52X260 PODWAW.300G MOR</t>
  </si>
  <si>
    <t>FOL.STRETCH RĘCZ.23X500 NIEB.</t>
  </si>
  <si>
    <t>FOL.PET/PE/EVOH/PE/PEEL 59X420 FRANK.MOR</t>
  </si>
  <si>
    <t>FOL.PET/PE/EVOH/PE/PEEL 59X520 ŚL.DP MOR</t>
  </si>
  <si>
    <t>***FOL.PET/PE/EVOH/PE/PEEL59X620ŚL.DP KW</t>
  </si>
  <si>
    <t>FOL.PET/PE/EVOH/PE 54X300 MAZURSKA MOR</t>
  </si>
  <si>
    <t>FOL.PET/EVOH/PE/PEEL 57X420 MOR</t>
  </si>
  <si>
    <t>FOL.PET/EVOH/PE/PEEL 57X420 MOR EX</t>
  </si>
  <si>
    <t>FOL.PET/PE/EVOH/PE 42X230 KABAN.CEB.KRA</t>
  </si>
  <si>
    <t>FOL.PE TAŚ.28X900</t>
  </si>
  <si>
    <t>FOL.APET/PE/PEEL 220X522 JUMBO</t>
  </si>
  <si>
    <t>WOR.PE 1800X600X2F200 GR17 NIEB.</t>
  </si>
  <si>
    <t>FOL.PET/PA/EVOH/PE 52X520 ŚLĄSKA GRILL.</t>
  </si>
  <si>
    <t>FOL.PET/EVOH/PE 42X230 KABAN.WP.KRAEXWZM</t>
  </si>
  <si>
    <t>FOL.PET/EVOH/PE 55X420 MOR</t>
  </si>
  <si>
    <t>FOL.PET/PA/EVOH/PE 52X520 ŚLĄSKA 68%</t>
  </si>
  <si>
    <t>FOL.PET/EVOH/PE 42X230 KABAN.SER.95G KRA</t>
  </si>
  <si>
    <t>FOL.PET/PE/EVOH/PE 52X520.REGIONALNA</t>
  </si>
  <si>
    <t>FOL.PA/PE 70X620</t>
  </si>
  <si>
    <t>FOL.PA/PE 120X626</t>
  </si>
  <si>
    <t>PAD.CEL.ZAMK.112X167 3000 BIA.</t>
  </si>
  <si>
    <t>FOL.PET/EVOH/PE 55X520 KIEŁB.ŚLĄSKA DUL</t>
  </si>
  <si>
    <t>FOL.PET/PE/EVOH/PE 57X620 K.REGIONALNA</t>
  </si>
  <si>
    <t>***FOL.PETEVOHPEPEEL57X520K.ŚL.TŁ20G550G</t>
  </si>
  <si>
    <t>***FOL.PETEVOHPE57X520K.ŚLĄS.TŁ.20GMP KW</t>
  </si>
  <si>
    <t>FOL.OPA/PP/PE 105X525 TAPETA NIEB.MOR</t>
  </si>
  <si>
    <t>FOL.PET/EVOH/PE 55X300 K.MAZURSKA DUL</t>
  </si>
  <si>
    <t>FOL.PET/EVOH/PE/PEEL57X520K.ŚLĄSKA91% KW</t>
  </si>
  <si>
    <t>PAD.CEL.ZAMK.120X80 2500 CZAR.</t>
  </si>
  <si>
    <t>FOL.PET/EVOH/PE 57X520K.ŚLĄSKA 91% MP KW</t>
  </si>
  <si>
    <t>FOL.PET/PE/EVOH/PE 59X520KABAN.PARTY KRA</t>
  </si>
  <si>
    <t>FOL.PET/EVOH/PE/PEEL 52X420 JALAPENO MOR</t>
  </si>
  <si>
    <t>FOL.PET/EVOH/PE/PEEL 52X420 SER/POM.MOR</t>
  </si>
  <si>
    <t>FOL.PE 35X600 PAS.DO JELIT TYP S</t>
  </si>
  <si>
    <t>PAD.CEL.ZAMK.110X165 5000 BIA.</t>
  </si>
  <si>
    <t>FOL.PET/PETM/PE/PA/PE 114X420 ZŁO/ZŁO.</t>
  </si>
  <si>
    <t>FOL.PET/PETM/PE/PA/PE 114X525 ZŁO/ZŁO.</t>
  </si>
  <si>
    <t>FOL.PE 32X600 PAS.DO JELIT TYP S</t>
  </si>
  <si>
    <t>FOL.PE 30X600 PAS.DO JELIT TYP S</t>
  </si>
  <si>
    <t>FOL.PET/PE/EVOH/PE 57X520 ŚLĄSKA DP MOR</t>
  </si>
  <si>
    <t>***WOR.PE 1000X560X2F250 GR60</t>
  </si>
  <si>
    <t>WOR.TRMK 650X250 GR45 Z/TAŚ.</t>
  </si>
  <si>
    <t>FOL.PET/PVDC/PE 56X620 ŚLĄSKA DP MOR</t>
  </si>
  <si>
    <t>FOL.PET/EVOH/PE 42X230 KABAN.Z/BEK.</t>
  </si>
  <si>
    <t>WOR.PE 1000X850 GR60</t>
  </si>
  <si>
    <t>WOR.PE 1900X1300X2F500 GR30 NIEB.</t>
  </si>
  <si>
    <t>FOL.PET/EVOH/PE 42X230 KABAN.SER CHED.</t>
  </si>
  <si>
    <t>FOL.PET/EVOH/PE 42X230KABAN.SALSA POMID.</t>
  </si>
  <si>
    <t>FOL.PET/PE/EVOH/PE/PEEL52X520K.ŚLĄSKA EX</t>
  </si>
  <si>
    <t>FOL.PET/PVDC/PE/PEEL 56X520 ŚLĄZERKI MOR</t>
  </si>
  <si>
    <t>ET.70X190 IW NUMER  WE</t>
  </si>
  <si>
    <t>***ET.67X95 BIZERBA Z PERFORACJĄ KRA</t>
  </si>
  <si>
    <t>***ET.80X80 SZYNKA OWAL KRAKUS</t>
  </si>
  <si>
    <t>***ET.80X80 ŁOSOSIOWA MAŁA KRA</t>
  </si>
  <si>
    <t>ET.80X80 WĘDZONKA KROTOSZYŃSKA KRAKUS</t>
  </si>
  <si>
    <t>ET.210X85 KIEŁ SUCHA KRAKOWSKA BANDEROLA</t>
  </si>
  <si>
    <t>***ET.67X57 BIZERBA TESC</t>
  </si>
  <si>
    <t>ET.175X75 KABANOS BANDEROLA KRAKUS</t>
  </si>
  <si>
    <t>***ET.SP.80X80 TERMO FI 40</t>
  </si>
  <si>
    <t>***ET.100X47 SCANVEG CZYSTA</t>
  </si>
  <si>
    <t>***ET.210X94 ŻYWIECKA KRAKUS OWIJKA</t>
  </si>
  <si>
    <t>***ET.68X68 BIZERBA</t>
  </si>
  <si>
    <t>***ET.44X10 KODY ZABEZPIECZAJACE</t>
  </si>
  <si>
    <t>ET.78X98 KOD KRESKOWY 7LBS</t>
  </si>
  <si>
    <t>ET.100X138 7LBS KRA</t>
  </si>
  <si>
    <t>***ET.90X80 KRAKUS KIEŁ.KRAK.SUCHA 320G</t>
  </si>
  <si>
    <t>***ET.90X80 K.ŻYWIECKA SUCHA 286G KRA</t>
  </si>
  <si>
    <t>***ET.104X40 KRAKUSKI 250G KRAKUS</t>
  </si>
  <si>
    <t>***ET.72X34 KRAKUS SZYNKA TYŁ</t>
  </si>
  <si>
    <t>***ET.72X34 WĘDZONKA KROTOSZ.KRAKUS TYŁ</t>
  </si>
  <si>
    <t>ET.72X34 POLĘDWICZKA ŁOSOSIOWA KRAKUS TY</t>
  </si>
  <si>
    <t>ET.90X79 KIEŁ. KRAKOW.ZMIENNOWAG. KRAKUS</t>
  </si>
  <si>
    <t>***ET.90X79 KIEŁ.ŻYWIEC. ZMIENNOWAG.KRA</t>
  </si>
  <si>
    <t>ET.80X120 BEZ NADRUKU</t>
  </si>
  <si>
    <t>***ET.76X99 BIZERBA YAN SK</t>
  </si>
  <si>
    <t>ET.100X100 TERMO</t>
  </si>
  <si>
    <t>***ET.60X60 BIZERBA MIĘSO BIED</t>
  </si>
  <si>
    <t>***ET.72X35 BOCZEK KLAS.WĘDZ.TYŁ KRAKUS</t>
  </si>
  <si>
    <t>***ET.80X80 BOCZEK KLASYCZNY WĘDZONY KRA</t>
  </si>
  <si>
    <t>ET.48X78 7LBS KRA T</t>
  </si>
  <si>
    <t>ET.75X101 YANO UNIWERSALNA EXPORT</t>
  </si>
  <si>
    <t>***ET.68X68 BIZERBA BEZ LOGO</t>
  </si>
  <si>
    <t>***ET.68X98 BIZERBA POSKIE PRZYSMAKI</t>
  </si>
  <si>
    <t>***ET.66X95 POLĘDWICA SOP. SUPER SMAK</t>
  </si>
  <si>
    <t>***ET.56X90 SZYN.DELIKATNA MOR RND</t>
  </si>
  <si>
    <t>ET.80X100 SZYN.KONS.570G</t>
  </si>
  <si>
    <t>***ET.90X80 KIEŁ.KRAKOWS. 275 G JMD</t>
  </si>
  <si>
    <t>***ET.70X98 KIEŁ CZOSNKOWA OPTIMA LITWA</t>
  </si>
  <si>
    <t>***ET.88X94PODWAWELSKA JMD SZERSZA GILZA</t>
  </si>
  <si>
    <t>***ET.60X90 KIEŁ.PODWAWELSKA MORLINY RND</t>
  </si>
  <si>
    <t>***ET.90X80 KIEŁ.ŻYWIECKA 286 G JMD</t>
  </si>
  <si>
    <t>***ET.65X55 BIZERBA MAP.</t>
  </si>
  <si>
    <t>ET.67X80 BIZERBA KRAKUS</t>
  </si>
  <si>
    <t>***ET.80X120 YANO LITWA</t>
  </si>
  <si>
    <t>***ET.86X128 BALERON GOT.BT</t>
  </si>
  <si>
    <t>***ET.86X128SZYNKA RUBINOWA  BRUMO TASSI</t>
  </si>
  <si>
    <t>***ET.98X65 KIEŁBASA PODWAWELSKA MAP</t>
  </si>
  <si>
    <t>***ET.67X94 BIZERBA MORLINY RND</t>
  </si>
  <si>
    <t>***ET.71X97 BIZERBA MAZ</t>
  </si>
  <si>
    <t>***ET.70X89 KAARLI EXPORT</t>
  </si>
  <si>
    <t>***ET.60X90 SZYNKA AKSAMITNA MORLINY RND</t>
  </si>
  <si>
    <t>***ET.85X127 BOCZ.WĘDZ.GOT.BT</t>
  </si>
  <si>
    <t>***ET.66X110 POLĘDWICZKA WP. ŚWIEZA JMD</t>
  </si>
  <si>
    <t>ET.90X80 KIEŁ.KRAKOWSKA SUCHA 320G NIEMC</t>
  </si>
  <si>
    <t>***ET.80X110 KIEŁB.GRILL.BIED T</t>
  </si>
  <si>
    <t>ET.65X90 BIZERBA SWOJSCY</t>
  </si>
  <si>
    <t>ET.120X100 SWOJSCY OZDOBNA</t>
  </si>
  <si>
    <t>***ET.56X90 SZYNKOWA WP.RND</t>
  </si>
  <si>
    <t>***ET.360X80 SZYNKOWA WP.BANDEROLA</t>
  </si>
  <si>
    <t>***ET.67X120 KABAN.180G KRA T</t>
  </si>
  <si>
    <t>***ET.60X88SZYNKA KONSER.500G MORL.TESCO</t>
  </si>
  <si>
    <t>***ET.127X75KARCZEK DO PIECZ MORLINY RND</t>
  </si>
  <si>
    <t>***ET.127X75ŁOPATKA DO PIECZ MORLINY RND</t>
  </si>
  <si>
    <t>ET.70X63 BIZERBA KAUF</t>
  </si>
  <si>
    <t>***ET.63X70 BIZERBA KAUF</t>
  </si>
  <si>
    <t>***ET.80X110 M.MIEL.Z ŁOP.WŁ.BIED T</t>
  </si>
  <si>
    <t>***ET.85X54 KABAN.WYBORNE 210G</t>
  </si>
  <si>
    <t>***ET.80X110 M.MIEL.Z SZYN.WP.JM T</t>
  </si>
  <si>
    <t>ET.58X90 PRZYSMAK SZYNKOWY 570G MORLINY</t>
  </si>
  <si>
    <t>***ET.80X120 SZYNKA KULKA TYŁ JMD</t>
  </si>
  <si>
    <t>***ET.80X110 SCH.B/K.KOTL.360G BIED T</t>
  </si>
  <si>
    <t>***ET.80X110 KARK.B/K WP.JMP560G TYŁ</t>
  </si>
  <si>
    <t>***ET.85X53KABANOSYWYBOR ZMIENNOWAG.MORL</t>
  </si>
  <si>
    <t>***ET.60X120 ŻEBERKA MIĘSNE TYŁ JMD</t>
  </si>
  <si>
    <t>***ET.80X110  ŁOP.WP.B/K.BIED T</t>
  </si>
  <si>
    <t>***ET.80X100 SZYNKA KONS 570 G REAL</t>
  </si>
  <si>
    <t>ET.75X91 TESC KIEŁ.PODWAWELSKA</t>
  </si>
  <si>
    <t>***ET.75X120 MORLINY ŚWIAT MIĘS</t>
  </si>
  <si>
    <t>***ET.68X101 TESCO UNIWERSALNA</t>
  </si>
  <si>
    <t>ET.90X130XŻEBERKA WĘDZONE PARZONE HORECA</t>
  </si>
  <si>
    <t>ET.68X95 BIZERBA MORLINY EXPORT</t>
  </si>
  <si>
    <t>***ET.65X42 SCHAB B/K WPLAST.360G - LIDL</t>
  </si>
  <si>
    <t>***ET.77X50 KARK.B/K.1KG LIDL</t>
  </si>
  <si>
    <t>***ET.77X50 KARK.B/K WPLAST. 560G - LIDL</t>
  </si>
  <si>
    <t>***ET.68X80 KRAKUS EXPORT</t>
  </si>
  <si>
    <t>***ET.80X100 KRAK SZYN.KONS.570G-EXPORT</t>
  </si>
  <si>
    <t>***ET.60X68 PASZTETOWA KANAPKOWA 300G</t>
  </si>
  <si>
    <t>***ET.68X95 PIKNIK UNIWERSALNA</t>
  </si>
  <si>
    <t>***ET.77X50 M-SO WP.- WŁ.500 LIDL P</t>
  </si>
  <si>
    <t>***ET.90X130 ŻEB.WĘDZ.PARZ.HORECA</t>
  </si>
  <si>
    <t>***ET.84X129 KIEŁB.SZYN.KORONA T</t>
  </si>
  <si>
    <t>***ET.350125 KIEŁB.SZYN-KORONA OWIJKA</t>
  </si>
  <si>
    <t>***ET.77X50 POLĘDWICZKA WP - LIDL</t>
  </si>
  <si>
    <t>***ET.77X55 MIĘSO MIEL Z ŁOATKI LIDL</t>
  </si>
  <si>
    <t>***ET.77X50 ŁOPATKA WP - LIDL</t>
  </si>
  <si>
    <t>***ET.60X90 KASZANKA GRILLOWA TESCO</t>
  </si>
  <si>
    <t>***ET.58X86 POLĘDWICA SOPCKA TESCO</t>
  </si>
  <si>
    <t>***ET.75X120 GRILL BIEDRONKA KARCZEK</t>
  </si>
  <si>
    <t>***ET.75X120 GRILL BIEDRONKA BOCZEK</t>
  </si>
  <si>
    <t>***ET.50X90 PRZEKĄS.LUKSUS.KRAKUS UK</t>
  </si>
  <si>
    <t>***ET.50X40 STIKER TESCO GRILL</t>
  </si>
  <si>
    <t>***ET.90X80 KRAKUS KIEŁ.ŻYWIEC.286G-ANG.</t>
  </si>
  <si>
    <t>***ET.90X80 KRAKUS KIEŁ.KRAK.320G-ANG.</t>
  </si>
  <si>
    <t>***ET.58X86 KABANOS WIEPRZ 250G TESCO</t>
  </si>
  <si>
    <t>***ET.58X86 KABANOSY WIEPRZ.450G TESCO</t>
  </si>
  <si>
    <t>***ET.58X86 BALERON Z GOSPODY TESCO</t>
  </si>
  <si>
    <t>***ET.67X90 SZYNKA DOMOWA TESCO</t>
  </si>
  <si>
    <t>***ET.67X90 SALCESON TESCO</t>
  </si>
  <si>
    <t>***ET.67X90 KIEŁB.KANAPKOWA TESC</t>
  </si>
  <si>
    <t>***ET.73X109.5 BOCZ.WĘDZ.ARO</t>
  </si>
  <si>
    <t>***ET.74X105 KASZANKA GRILL JMD</t>
  </si>
  <si>
    <t>***ET.90X80 KRAKUS ŻYWIECKA 600G JMD</t>
  </si>
  <si>
    <t>***ET.68X102 TESCO LIGHT CHOICES</t>
  </si>
  <si>
    <t>***ET.68X102 TESCO JOINT (ELEMENT)</t>
  </si>
  <si>
    <t>***ET.68X102 TESCO PORK (MIELONE)</t>
  </si>
  <si>
    <t>***ET.68X102 TESCO PORK (PLASTRY)</t>
  </si>
  <si>
    <t>ET.68X90 RAGNOS CZOSNEK</t>
  </si>
  <si>
    <t>***ET.72X65 KULKA WP-WOŁ. 290G</t>
  </si>
  <si>
    <t>***ET.60X90 KIEŁB.PODWAW.DROŻ.MOR RND</t>
  </si>
  <si>
    <t>***ET.98X65 KIEŁBASA PODWAWELSKA MORLINY</t>
  </si>
  <si>
    <t>***ET.68X90 SCH.B/K.KOTL.360G BIED P</t>
  </si>
  <si>
    <t>***ET.68X110 SZYNKA KULKA JMD-PRZÓD</t>
  </si>
  <si>
    <t>***ET.68X90 M.MIEL.ŁOP.WŁ.BIED P</t>
  </si>
  <si>
    <t>***ET.68X90 M.MIEL.Z SZYN.WP.P J</t>
  </si>
  <si>
    <t>***ET.68X90 ŁOP.WP.B/K.BIED P</t>
  </si>
  <si>
    <t>***ET.84X93KIEŁ.PODWAWELSKA CHWILA SMAKU</t>
  </si>
  <si>
    <t>ET.80X120 BALERON MAKRO ARO</t>
  </si>
  <si>
    <t>***ET.68X93 BALERON KAUF</t>
  </si>
  <si>
    <t>***ET.68X93 KAUFLAND BOCZEK</t>
  </si>
  <si>
    <t>ET.60X90 MORLINY SALCESON</t>
  </si>
  <si>
    <t>ET.120X100 PARÓWKI JAPONIA 225G DROŻDŻE</t>
  </si>
  <si>
    <t>ET.80X60 PARÓWKI JAPONIA 9KG-DROŻDŻ.</t>
  </si>
  <si>
    <t>***ET.80X120 TORUŃSKA HORECA SELECT</t>
  </si>
  <si>
    <t>***ET.OZD.75X135 SCH.BIED</t>
  </si>
  <si>
    <t>***ET.OZD.75X135  KARK.BIED</t>
  </si>
  <si>
    <t>***ET.66X75 SCH.NA SZARO BIED T</t>
  </si>
  <si>
    <t>***ET.66X75 KARK.NA SZARO BIED T</t>
  </si>
  <si>
    <t>***ET.58X91 WĘDZONKA WIEJSKA MOR</t>
  </si>
  <si>
    <t>***ET.68X90 KARK.WP.B/K.560G BIED P</t>
  </si>
  <si>
    <t>***ET.65X120 SZYNKA DA GRASSO</t>
  </si>
  <si>
    <t>***ET.35X45 PEWNIAK 7ZŁ TESCO</t>
  </si>
  <si>
    <t>***ET.50X77 MIĘSO WOŁ. GARMAZERYJNE LIDL</t>
  </si>
  <si>
    <t>***ET.120X210 THERMO</t>
  </si>
  <si>
    <t>***ET.210X85 K.SUCHA ŻYWIECKA 320G BANDE</t>
  </si>
  <si>
    <t>ET.80X120 TERMO</t>
  </si>
  <si>
    <t>***ET.110X68 ŻEBERKA ""TRÓJKĄT"" JMD P</t>
  </si>
  <si>
    <t>***ET.68X90 KRAKOWSKA CZ/SK 286G</t>
  </si>
  <si>
    <t>***ET.68X90 KRAKOWSKA CZ/SK 572G</t>
  </si>
  <si>
    <t>***ET.80X120 KIEŁ.BIAŁA SUROWA JMD</t>
  </si>
  <si>
    <t>***ET.110X68 KIEŁB.BIAŁA SUROWA BIED P</t>
  </si>
  <si>
    <t>***ET.75X25 STICER 100% MIĘSA Z ŁOPATKI</t>
  </si>
  <si>
    <t>***ET.85X156 KRAKUS ŁOPATKA IUM</t>
  </si>
  <si>
    <t>***ET.85X156 KRAKUS IUM SCHAB</t>
  </si>
  <si>
    <t>***ET.85X156 KRAKUS IUM BOCZEK</t>
  </si>
  <si>
    <t>***ET.85X156 KRAKUS IUM KARCZEK</t>
  </si>
  <si>
    <t>***ET.SP.80X80 TERMO FI 76</t>
  </si>
  <si>
    <t>ET.75X150 MORLINY ŚWIAT MIĘS</t>
  </si>
  <si>
    <t>***ET.90X50 FRANKFUR.CLASSIC 450G GRILL</t>
  </si>
  <si>
    <t>***ET.75X145 KARK.GRILL.W MAR.MOR</t>
  </si>
  <si>
    <t>***ET.75X142 BOCZ.GRILL.W MAR.MOR</t>
  </si>
  <si>
    <t>***ET.55X90 FRANK.HOT CHILI 450G GRILL</t>
  </si>
  <si>
    <t>***ET.55X90 FRANKFUR.Z SEREM 450G GRILL</t>
  </si>
  <si>
    <t>ET.90X100 M.MIEL.Z ŁOP.KAUF</t>
  </si>
  <si>
    <t>ET.90X100 M.MIEL.Z SZYN.KAUF</t>
  </si>
  <si>
    <t>***ET.90X100 KAUFLAND BOCZEK GRILL 600 G</t>
  </si>
  <si>
    <t>***ET.60X90 KAUF KARKÓWKA GRILL 600 G</t>
  </si>
  <si>
    <t>***ET.58X68 MORLINY PASZTETOWA EKSPORT</t>
  </si>
  <si>
    <t>ET.58X91 SAUSAGE 400G MORL.RND GARLIC</t>
  </si>
  <si>
    <t>***ET.45X79 BIZERBA NATURALNIE NETTO</t>
  </si>
  <si>
    <t>***ET.94X54 PRZEKĄSKA 11% GRATIS MOR</t>
  </si>
  <si>
    <t>***ET.68X102 TESCO VALUE</t>
  </si>
  <si>
    <t>***ET.25X28 STIKER PRZEKĄSKA +11% GRATIS</t>
  </si>
  <si>
    <t>***ET.25X28 STIKER PRZEKĄSKA +10% GRATIS</t>
  </si>
  <si>
    <t>***ET.68X90 BIZERBA NATURALNE</t>
  </si>
  <si>
    <t>***ET.78X120 SALCESON 700G YAN</t>
  </si>
  <si>
    <t>***ET.43X43 STIKER PROD.NAJWYŻ.JAKOŚCI</t>
  </si>
  <si>
    <t>***ET.65X42 LIDL CZ/SK VEPR.KYTA B/K-1KG</t>
  </si>
  <si>
    <t>***ET.65X42 LIDL CZ/SK VEPR.PLEC B/K-1KG</t>
  </si>
  <si>
    <t>***ET.65X42 LIDL CZ/SK VEPR.KOSTKY-500G</t>
  </si>
  <si>
    <t>***ET.77X50 LIDL CZ/SK VEPR.PECENE-750G</t>
  </si>
  <si>
    <t>***ET.77X50LIDL CZ/SK VP.BOK S KOSTI 1KG</t>
  </si>
  <si>
    <t>***ET.77X50LIDL CZ/SK VEPROVE RIZKY-450G</t>
  </si>
  <si>
    <t>***ET.40X32 STIKER TESCO GRILL</t>
  </si>
  <si>
    <t>***ET.50X77 SZYNKA WIEPRZ.LIDL</t>
  </si>
  <si>
    <t>***ET.68X68  SZYNKA WIEPRZOWA - TYŁ LIDL</t>
  </si>
  <si>
    <t>***ET.50X77SZYNKA WIEPRZOWA - PRZÓD LIDL</t>
  </si>
  <si>
    <t>***ET.65X72 KULKI WIEPRZOWE MORLINY KOD</t>
  </si>
  <si>
    <t>***ET.60X89  PRZEKĄSKA 180G LIDL PIKOK</t>
  </si>
  <si>
    <t>***ET.95X110 BREASTBONES STERNUMS</t>
  </si>
  <si>
    <t>***ET.95X110SOFTBONES-MR.CHRZ.Z BOCZ.WP.</t>
  </si>
  <si>
    <t>***ET.95X110 FEMUR BONES</t>
  </si>
  <si>
    <t>***ET.95X110 HIND FEET SHORT</t>
  </si>
  <si>
    <t>***ET.95X110 HUMEROUS</t>
  </si>
  <si>
    <t>***ET.95X110 NECK BONES-WP.KO.KARK.MR</t>
  </si>
  <si>
    <t>***ET.95X110 FRONT FEET-MR.PRZ.NÓŻKI.WP.</t>
  </si>
  <si>
    <t>***ET.95X110 HIND FEET STANDARD</t>
  </si>
  <si>
    <t>***ET.95X110 TAILS-MR.OGONY.WP</t>
  </si>
  <si>
    <t>***ET.95X110 EARFLAPS-MR.USZY WP.</t>
  </si>
  <si>
    <t>***ET.95X110 RIB BONES MB.K.ŻEBERK.WP.</t>
  </si>
  <si>
    <t>***ET.95X110 SPARERIBS WITH SOFTBONE</t>
  </si>
  <si>
    <t>***ET.95X110 LOIN RIBS-MR.ŻEB.SCHAB.WP</t>
  </si>
  <si>
    <t>***ET.95X110 FLAT BONES</t>
  </si>
  <si>
    <t>***ET.95X110 SHEET BELLY SKINLESS</t>
  </si>
  <si>
    <t>***ET.95X110 BELLY BONE-IN SKIN-ON</t>
  </si>
  <si>
    <t>***ET.95X110 SHEET BELLY SKIN-ON</t>
  </si>
  <si>
    <t>***ET.95X110 BELLY BONE-IN SKINLESS</t>
  </si>
  <si>
    <t>***ET.95X110 SINGLE RIBBED BELLY SKIN-ON</t>
  </si>
  <si>
    <t>***ET.95X110SINGLE RIBBED BELLY SKINLESS</t>
  </si>
  <si>
    <t>***ET.95X110 COLLAR BONELESS-MR.KAR.B/K</t>
  </si>
  <si>
    <t>***ET.75X120 BIZERBA M-SO PREMIUM BT</t>
  </si>
  <si>
    <t>***ET.25X28 STIKER +25% GRATIS</t>
  </si>
  <si>
    <t>***ET.65X90 PRZEK.WĘDZ-SMOKED PORK-EXP.</t>
  </si>
  <si>
    <t>***ET.90X100  STEK Z KARK.750G KAUFLAND</t>
  </si>
  <si>
    <t>***ET.90X100 KAUFLAND BOCZEK 750G</t>
  </si>
  <si>
    <t>***ET.65X72 MORLINY KULKI WP.-BEZ KODU</t>
  </si>
  <si>
    <t>ET.92X94 KIEŁB.ŻYWIECKA 600G JMD</t>
  </si>
  <si>
    <t>***ET.30X45 STIKER + 25% GRATIS</t>
  </si>
  <si>
    <t>ET.68X90 CZ/SK BOCZEK ŁUSKANY</t>
  </si>
  <si>
    <t>ET.68X90 CZ/SK BALERON GOTOWANY</t>
  </si>
  <si>
    <t>***ET.68X90 POL.SOPOCKA CZ/SK</t>
  </si>
  <si>
    <t>***ET.68X90 CZ/SK WĘDZONKA BOCZKOWA</t>
  </si>
  <si>
    <t>ET.68X90 CZ/SK SZYNKA MOCNO WĘDZONA</t>
  </si>
  <si>
    <t>ET.68X90 BOCZ.MOCNO WĘDZ.CZ/SK</t>
  </si>
  <si>
    <t>***ET.68X77 LUKSUS.PRZEKĄSKA WĘDZ.</t>
  </si>
  <si>
    <t>***ET.55X80 SZYN.500G MOR P</t>
  </si>
  <si>
    <t>***ET.60X60 SZYN.500G MOR T</t>
  </si>
  <si>
    <t>ET.77X50 LIDL CZECHY VEPROVE RIZKY-450G</t>
  </si>
  <si>
    <t>ET.77X50 LIDL CZECHY VEPROVE PECENE-750G</t>
  </si>
  <si>
    <t>ET.77X50 LIDL CZECHY VP.BOK S KOSTI-1KG</t>
  </si>
  <si>
    <t>ET.65X42 LIDL CZECHY VPR.KOSTKY-500G</t>
  </si>
  <si>
    <t>ET.65X42 LIDL CZECHY VPR.KYTA B/K 1KG</t>
  </si>
  <si>
    <t>ET.65X42 LIDL CZECHY VP.KR.B/K 750G V CE</t>
  </si>
  <si>
    <t>***ET.65X42LIDL CZECHY VP.KRKOV B/K 375G</t>
  </si>
  <si>
    <t>ET.65X42 LIDL CZECHY VPR.PLEC B/K 1KG</t>
  </si>
  <si>
    <t>ET.77X50 LIDL CZECHY VP.KRK-750G PL.Z/K</t>
  </si>
  <si>
    <t>***ET.77X50 LIDL CZECH VP KRK-750 PL.Z/K</t>
  </si>
  <si>
    <t>***ET.77X50 LIDL CZECH VEPR PECENE -750G</t>
  </si>
  <si>
    <t>***ET.77X50 LIDL CZECH VP.BOK S KOST-1KG</t>
  </si>
  <si>
    <t>ET.77X50 LIDL CZECH VEPR.KROKOV.B/K-375G</t>
  </si>
  <si>
    <t>***ET.77X50 LIDL CZECH VEPR.PLEC B/K-1KG</t>
  </si>
  <si>
    <t>***ET.77X50 LIDL CZECH VEPR.KOSTKY-500G</t>
  </si>
  <si>
    <t>ET.65X42 LIDL SLOW.BRAV.PLIECKO-1KG</t>
  </si>
  <si>
    <t>ET.65X42 LIDL SLOW.BRAV.KRKOV-750G V CEL</t>
  </si>
  <si>
    <t>***ET.65X42 LIDL SLOW.BRAV.GULAS-500G</t>
  </si>
  <si>
    <t>ET.65X42 LIDL SLOW.BRAV.KRKOV.-375G</t>
  </si>
  <si>
    <t>ET.65X42 LIDL SLOW.BRAV.KARE-320G</t>
  </si>
  <si>
    <t>ET.65X42 LIDL SLOW.BRAV.STEHNO-1KG</t>
  </si>
  <si>
    <t>ET.77X50 LIDL SLOW.BRAV.REZNE-450G</t>
  </si>
  <si>
    <t>ET.77X50 LIDL SLOW.BRAV.KARE-750G</t>
  </si>
  <si>
    <t>ET.77X50 LIDL SL.BRV.KRKOV.-750G Z/K PLA</t>
  </si>
  <si>
    <t>ET.77X50 LIDL SLOW.BRAV.BOK-1KG</t>
  </si>
  <si>
    <t>***ET.68X45 KOLOR</t>
  </si>
  <si>
    <t>***ET.95X110 FROZEN PORK HELF HEADS</t>
  </si>
  <si>
    <t>***ET.55X330 ZWIESZ.NA WÓZKI WĘDZAR.KOL.</t>
  </si>
  <si>
    <t>***ET.355X146 KARTONETKA KARCZEK KRAKUS</t>
  </si>
  <si>
    <t>***ET.355X146 KARTONETKA BOCZEK KRAKUS</t>
  </si>
  <si>
    <t>***ET.355X146 KARTONETKA SZYNKA KRAKUS</t>
  </si>
  <si>
    <t>***ET.355X146 KARTONETKA SCHAB KRAKUS</t>
  </si>
  <si>
    <t>ET.FI40 STIKER FOLIA</t>
  </si>
  <si>
    <t>***ET.90X70 SZYN.B/KNST.KRA</t>
  </si>
  <si>
    <t>***ET.152X67PRZEKĄSKA LUSUSOWA WĘDZ.KRA</t>
  </si>
  <si>
    <t>***ET.119X69 SCH.WP.Z/K.PL 750G LIDLT</t>
  </si>
  <si>
    <t>***ET.119X69 POL.WP.LIDL T</t>
  </si>
  <si>
    <t>***ET.119X69 SCH.WP.B/K.560G LIDL T</t>
  </si>
  <si>
    <t>***ET.119X69 SCH.WP.B/K.PL 360G LIDL T</t>
  </si>
  <si>
    <t>***ET.119X69 M.MIEL.Z ŁOP.WP.500G LIDL T</t>
  </si>
  <si>
    <t>***ET.119X69 KARK.WP.B/K.1KG LIDL T</t>
  </si>
  <si>
    <t>***ET.119X69 LIDL MIĘSO WOŁOWE 500G TYŁ</t>
  </si>
  <si>
    <t>***ET.119X69 KARK.B/K.PL 500G LIDL T</t>
  </si>
  <si>
    <t>***ET.119X69 ŁOP.WP.LIDL T</t>
  </si>
  <si>
    <t>***ET.60X89 PRZEKĄSKA 180G PIK LIDL RO</t>
  </si>
  <si>
    <t>***ET.50X77 VEPROVA SEKANA 500G LIDL CZ</t>
  </si>
  <si>
    <t>***ET.50X77 BRAVCOVA SEKANA 500G LIDL SK</t>
  </si>
  <si>
    <t>***ET.50X77 SEKANA MIX 500G LIDL CZ</t>
  </si>
  <si>
    <t>ET.124X63 ZEBRA B/N</t>
  </si>
  <si>
    <t>***ET.50X77SEKANA Z BRAVCOVEHO HOVA500G</t>
  </si>
  <si>
    <t>***ET.77X50 KARK.WP.B/K.SCH 1KG LIDL</t>
  </si>
  <si>
    <t>***ET.77X50 KARK.WP.B/K.W PL SCH 560G L</t>
  </si>
  <si>
    <t>***ET.77X50 ŁOP.WP.B/K.SCH LIDL</t>
  </si>
  <si>
    <t>***ET.65X42 MIĘSO GARMA WOŁ 500G LIDL</t>
  </si>
  <si>
    <t>***ET.65X42 MIĘSO GARMA WP-WŁ 500G LIDL</t>
  </si>
  <si>
    <t>***ET.77X50 M.MIEL.Z ŁOP.WP.SCH 500G</t>
  </si>
  <si>
    <t>***ET.77X50 POL.WP.SCH LIDL G</t>
  </si>
  <si>
    <t>***ET.65X42 SCH.WP.B/K.SCH.560G LIDL</t>
  </si>
  <si>
    <t>***ET.65X42 SCH.WP.B/K.PL SCH 360G LIDL</t>
  </si>
  <si>
    <t>***ET.77X50 SCH.WP.Z/K.PL SCH 750G LIDL</t>
  </si>
  <si>
    <t>***ET.74X95 KASZANKA 600G BIED T</t>
  </si>
  <si>
    <t>***ET.58X91 SZYNKA WIEJSKA MORLINY</t>
  </si>
  <si>
    <t>ET.70X89 CZYSTA MORLINY RND</t>
  </si>
  <si>
    <t>***ET.68X93 KAUFLAND POLĘDWICA SOPOCKA</t>
  </si>
  <si>
    <t>ET.65X95 BIZERBA KRAJ RND</t>
  </si>
  <si>
    <t>***ET.80X120 BOCZ.GRILL.PL PARTY MOR</t>
  </si>
  <si>
    <t>***ET.80X120 KARK.GRILL.PL PARTY MOR</t>
  </si>
  <si>
    <t>***ET.60X90 KIEŁB.PODWAWELSKA 500G BAR</t>
  </si>
  <si>
    <t>***ET.95X125 BOCZEK GRILOWY JMD</t>
  </si>
  <si>
    <t>***ET.92X94 K.ŻYWIECKA 600G WIELKA BIED</t>
  </si>
  <si>
    <t>***ET.90X63 KIEŁBASA Z SZYNKI 500G</t>
  </si>
  <si>
    <t>***ET.95X125 KARCZEK GRILOWY JMD</t>
  </si>
  <si>
    <t>***ET.81X120 SALCESON 700 G YANO EST</t>
  </si>
  <si>
    <t>***ET.58X68 PASZ.300G  SEALIHAPASTEET ES</t>
  </si>
  <si>
    <t>ET.68X90 KIEŁ. CZOS POOLSUITSUVORST 400G</t>
  </si>
  <si>
    <t>***ET.120X98 FRANFUR.WĘDZ.225G JAP</t>
  </si>
  <si>
    <t>***ET.120X98 FRANFUR.7.875KG JAP</t>
  </si>
  <si>
    <t>***ET.120X98 FRANFUR.225G JAP</t>
  </si>
  <si>
    <t>***ET.80X60 FRANFUR.WĘDZ.900G JAP</t>
  </si>
  <si>
    <t>***ET.80X60 FRANFUR.7.2KG JAP</t>
  </si>
  <si>
    <t>***ET.120X98 FRANFUR.WĘDZ.7.875KG JAP</t>
  </si>
  <si>
    <t>***ET.80X60 FRANFUR.900G JAP</t>
  </si>
  <si>
    <t>***ET.80X60 FRANFUR.WĘDZ.7.2KG JP</t>
  </si>
  <si>
    <t>***ET.80X100 PRZYSMAK SZYN.570G GB</t>
  </si>
  <si>
    <t>***ET.75X83 KIEŁ. PODWAWEL. 94% MIĘS</t>
  </si>
  <si>
    <t>***ET.90X60 LUKSUS. PRZEKĄSKA LIDL HR</t>
  </si>
  <si>
    <t>MIESZ.PASZTET Z KURKAMI</t>
  </si>
  <si>
    <t>***ET.90X75 ET. LUKS PRZEKĄSKA WĘDZ KRA</t>
  </si>
  <si>
    <t>***ET.90X95 KRAKUS KIEŁ.KRAK.SUCHA 275 G</t>
  </si>
  <si>
    <t>***ET.80X120 ET.ELEMENTY CHŁODZO ROSJA</t>
  </si>
  <si>
    <t>***ET.65X130 KIEŁ. PODWAWEL. 94% MIĘS</t>
  </si>
  <si>
    <t>***ET.70X120 KABAN.180G KRA GB</t>
  </si>
  <si>
    <t>***ET.120X70 ŁOP.RZEŹ T</t>
  </si>
  <si>
    <t>***ET.90X75 SALCESON PEWNIAK 360G MOR</t>
  </si>
  <si>
    <t>***ET.50X77 VEPROVA PLEC MLETA500GLIDLCZ</t>
  </si>
  <si>
    <t>***ET.80X120 KIEŁ.BIA SUROWA JMD T GJ</t>
  </si>
  <si>
    <t>***ET.90X170 SZYNKA GOTOWANA  MORLINY</t>
  </si>
  <si>
    <t>***ET.72X35 SZYNKA GOTOWANA KRAKUS</t>
  </si>
  <si>
    <t>***ET.80X120 FRANK. GRILL PARTY Z SEREM</t>
  </si>
  <si>
    <t>***ET.60X90 KAUFLAND KARK. MARYNATA PROW</t>
  </si>
  <si>
    <t>ET.29X52 STICKER EDEKA DE KABANOS</t>
  </si>
  <si>
    <t>***ET.95X110FROZEN PORK TONGUES OZORY MR</t>
  </si>
  <si>
    <t>***ET.95X110 FROZEN LIVER WĄTROBA MR</t>
  </si>
  <si>
    <t>***ET.75X175 LUKS.PRZEK.WĘDZ.KRA BAND.</t>
  </si>
  <si>
    <t>***ET.52X40 PASZTETOWA KURKOWA 140G</t>
  </si>
  <si>
    <t>***ET.55X90 POL.WĘDZ.KRAKUS VAC ZM.</t>
  </si>
  <si>
    <t>***ET.280X60 KRAKOWSKA PARZONA BANDEROLA</t>
  </si>
  <si>
    <t>***ET.100X80 FOOD GARDEN</t>
  </si>
  <si>
    <t>***ET.52X40 KABANOSY CHILI MOR BIZERBA</t>
  </si>
  <si>
    <t>***ET.52X40 KABANOSY PIEPRZ MOR BIZERBA</t>
  </si>
  <si>
    <t>***ET.52X40 KABANOSY WYBORNE MOR BIZERBA</t>
  </si>
  <si>
    <t>***ET.140X80KABAN.MORLINSKI WYBORNY BAND</t>
  </si>
  <si>
    <t>***ET.140X80KABAN.MORLINSKI PIEPRZ BAND.</t>
  </si>
  <si>
    <t>***T.140X80 KABAN.MORLINSKI CHILI BAND.</t>
  </si>
  <si>
    <t>ET.40X40STICKER TESCO WIĘKSZ.OP.LEP.CENA</t>
  </si>
  <si>
    <t>***ET.65X85 ŚWIAT MIĘS MOR</t>
  </si>
  <si>
    <t>***ET.60X50 GULASZ WP Z ŁOP NETTO 450G</t>
  </si>
  <si>
    <t>***ET.60X50 ŻEBERKA WP TRÓJKĄT NETTO</t>
  </si>
  <si>
    <t>***ET.60X50 SCH.WP.Z/K.PL 750G NETTO</t>
  </si>
  <si>
    <t>***ET.80X70 POLĘDWICZKA WIEPRZOWA NETTO</t>
  </si>
  <si>
    <t>***ET.80X70 BIZERBA NETTO</t>
  </si>
  <si>
    <t>***ET.52X40 PARTYCZAKI CHILI 60G</t>
  </si>
  <si>
    <t>***ET.52X40 PARTYCZAKI CLASSIC 60G</t>
  </si>
  <si>
    <t>***ET.52X40 PARTYCZAKI Z PIEPRZEM 60G</t>
  </si>
  <si>
    <t>***ET.68X110 POL. ŚWIEŻA WP JMD MAP</t>
  </si>
  <si>
    <t>***ET.100X148SCHAB ZE ŚLIWKĄ W PŁ.CZOSKR</t>
  </si>
  <si>
    <t>***ET.80X100 SZYN.KONS.GIFTPACK570G TESC</t>
  </si>
  <si>
    <t>***ET.67X120 KABAN.GIFTPACK 180G TESC</t>
  </si>
  <si>
    <t>***ET.78X78 ZBIORCZA GIFTPACK TESC</t>
  </si>
  <si>
    <t>***ET.150X98 BOCZEK DO PIECZENIA KRAKUS</t>
  </si>
  <si>
    <t>***ET.150X98 SCHAB DO PIECZENIA KRAKUS</t>
  </si>
  <si>
    <t>***ET.150X98 KARCZEK DO PIECZENIA KRAKUS</t>
  </si>
  <si>
    <t>***ET.150X98 SZYNKA DO PIECZENIA KRAKUS</t>
  </si>
  <si>
    <t>***ET.160X100KARCZEK Z MAJERANKIEM KRAKU</t>
  </si>
  <si>
    <t>***ET.55X90 POL.WĘDZONA PROMO KRAKU</t>
  </si>
  <si>
    <t>***ET.58X91 SZYN.DELIKATNA MORLINY PROMO</t>
  </si>
  <si>
    <t>***ET.90X70 SZYN.B/KONSERWAN.KRAK PROMO</t>
  </si>
  <si>
    <t>***ET.81X80 BOCZEK KLAS.WĘDZ.KRA PROMO</t>
  </si>
  <si>
    <t>***ET.81X80 WĘDZONKA KROTOSZ.KRA PROMO</t>
  </si>
  <si>
    <t>***ET.80X120 POL.WP.CH MAP BIED</t>
  </si>
  <si>
    <t>***ET.85X95 KIEŁB.PODWAWELSKA 520G MAKR</t>
  </si>
  <si>
    <t>***ET.95X110SPARERIBS WITH SOFTBONEPRÓBA</t>
  </si>
  <si>
    <t>***ET.95X110 BELLY BONE-IN SKIN-ON PRÓBA</t>
  </si>
  <si>
    <t>***ET.95X110 PORK LOIN BONE IN SKINL P</t>
  </si>
  <si>
    <t>***ET.52X40 PASZTET KURKOWA SŁOWACJA 140</t>
  </si>
  <si>
    <t>***ET.52X40 PASZTET KANAPKOWA SŁOWACJA 3</t>
  </si>
  <si>
    <t>***ET.77X50 M-SO WP.GARMAŻ.500G LIDL P</t>
  </si>
  <si>
    <t>***ET.70X120 M-SO WP.GARM.500G LIDL T</t>
  </si>
  <si>
    <t>***ET.68X120 GULASZ WP.Z SZYN.LIDL500G T</t>
  </si>
  <si>
    <t>***ET.77X50 GUL.Z SZYN.500G LIDL P</t>
  </si>
  <si>
    <t>***ET.95X110 FROZEN PORK BACK BONES</t>
  </si>
  <si>
    <t>***ET.75X240SZYN.2.5KG POLSKIE PRZYSMAKI</t>
  </si>
  <si>
    <t>ET.84X175 OZ.SZYN.KON.STAROPOL.WĘDLINY</t>
  </si>
  <si>
    <t>ET.72X190 SZYN.KONS.2.5KG KOR</t>
  </si>
  <si>
    <t>ET.70X67 SZYN.KONS.MAZ</t>
  </si>
  <si>
    <t>***ET.65X100 BIZERBA FUKS</t>
  </si>
  <si>
    <t>ET.74X97 BIZERBA STAROPOLSKIE WĘDLINY</t>
  </si>
  <si>
    <t>***ET.68X89 KIEŁB.CZOSNKOWA CZ/SK 400G M</t>
  </si>
  <si>
    <t>***ET.95X110 FROZEN PORK BACK RIND</t>
  </si>
  <si>
    <t>ET.70X120 M.MIEL.Z SZYN.500G LIDL T</t>
  </si>
  <si>
    <t>***ET.68X49 M.MIEL.Z.SZYN 500G LIDL P</t>
  </si>
  <si>
    <t>**ET.70X120 M-SO WP.-WŁ.GARM.500G LIDL T</t>
  </si>
  <si>
    <t>***ET.68X110 ŻEBERKA PASKI JMD 600G P</t>
  </si>
  <si>
    <t>***ET.68X110 SZYN.WP.B/K.OK1KG BIED P</t>
  </si>
  <si>
    <t>***ET.68X110 GOL.PRZED.700G JMD P</t>
  </si>
  <si>
    <t>***ET.80X110 GOL.PRZED.700G JMD T</t>
  </si>
  <si>
    <t>***ET.80X110 SŁONINA JMD 250G TYŁ</t>
  </si>
  <si>
    <t>***ET.68X110 SŁONINA JMD 250G PRZÓD</t>
  </si>
  <si>
    <t>***ET.80X110 KOŚCI WP.700G JMD T</t>
  </si>
  <si>
    <t>***ET.80X110 ŻEBERKA PASKI JMD 600G TYŁ</t>
  </si>
  <si>
    <t>***ET.80X110 SZYN.WP.B/K.OK1KG JMD T</t>
  </si>
  <si>
    <t>***ET.80X110 BOCZEK ZE SKÓRĄ JMD700G T</t>
  </si>
  <si>
    <t>***ET.68X110 BOCZ.ZE SKÓRĄ JMD 700G P</t>
  </si>
  <si>
    <t>***ET.68X110 KOŚCI WP.700G JMD P</t>
  </si>
  <si>
    <t>***ET.95X110 FROZEN PORK HEAD EAR OFF</t>
  </si>
  <si>
    <t>***ET.68X95 BOCZEK WP.ŁUSKANY BARONI</t>
  </si>
  <si>
    <t>***ET.95X110 FROZEN PORK HEAD EAR ON</t>
  </si>
  <si>
    <t>***ET.67X89 KIEŁB.CZOSNKOWA MAKRO 400G</t>
  </si>
  <si>
    <t>***ET.120X62.5 KIEŁB.BIAŁA SUROWA MOR</t>
  </si>
  <si>
    <t>ET.72X170 SZYN.KONS.MIĘSNE SPECJAŁY EC 2</t>
  </si>
  <si>
    <t>ET.60X97 POL.SOPOCKA WĘDZ.DOM.TESC</t>
  </si>
  <si>
    <t>ET.85X250 SZYN.KONS.2.5KG KRA</t>
  </si>
  <si>
    <t>***ET.60X140 POL.EKSPERT MOR</t>
  </si>
  <si>
    <t>***ET.70X140 GOLONKA EKSPERT MORLINY</t>
  </si>
  <si>
    <t>***ET.70X170SCH.KROJ.Z/K.EKSPERT MORLINY</t>
  </si>
  <si>
    <t>***ET.60X170 MIĘSO MIEL.EKSPERT MORLINY</t>
  </si>
  <si>
    <t>***ET.70X140 SCH.KARKOWY EKSPERT MORLINY</t>
  </si>
  <si>
    <t>***ET.90X40 KIEŁBASA ŚLĄSKA KRAKUS</t>
  </si>
  <si>
    <t>ET.68X80 BIZERBA MORLINY EXPERT</t>
  </si>
  <si>
    <t>***ET.140X100 BOCZEK MARYNATY RETRO KRA</t>
  </si>
  <si>
    <t>***ET.140X100 KARCZEK MARYNATY RETRO KRA</t>
  </si>
  <si>
    <t>***ET.140X100 SCHAB MARYNATY RETRO KRA</t>
  </si>
  <si>
    <t>***ET.140X100 SZYN.MARYNATY RETRO KRA</t>
  </si>
  <si>
    <t>***ET.42X22 STICKER ZIOŁA KAUFLAND</t>
  </si>
  <si>
    <t>***ET.42X22 STICKER CEBULA KAUFLAND</t>
  </si>
  <si>
    <t>***ET.42X22 STICKER CHILI  KAUFLAND</t>
  </si>
  <si>
    <t>***ET.42X22 STICKER CZOSNEK  KAUFLAND</t>
  </si>
  <si>
    <t>***ET.78X150 FRANK.GRILL Z SEREM MOR RND</t>
  </si>
  <si>
    <t>***ET.78X150 FRANK.PARZ.GRILLCLASSIC MOR</t>
  </si>
  <si>
    <t>***ET.78X110 KASZANKA GRILL TESCO</t>
  </si>
  <si>
    <t>***ET.78X150 FRANK.GRILLHOTCHILLI  MOR R</t>
  </si>
  <si>
    <t>***ET.78X110 BOCZ.GRILL.TESC</t>
  </si>
  <si>
    <t>***ET.78X110 KARK.GRILL.TESC</t>
  </si>
  <si>
    <t>***ET.78X130 MIX GRILLOWY ŚL.KASZANKA</t>
  </si>
  <si>
    <t>***ET.90X100 KARKÓWKA KAUF RED GARLIC</t>
  </si>
  <si>
    <t>***ET.60X140 KARK.EKSPERT MAŁA PORCJA</t>
  </si>
  <si>
    <t>**ET.70X140 BOCZ.ŁUS EKSPERT MAŁA PORCJA</t>
  </si>
  <si>
    <t>***ET.60X170 ŻEBERKA EKSPERT MAŁA PORCJA</t>
  </si>
  <si>
    <t>***ET.70X140 SCH.EKSPERT MAŁA PORCJA</t>
  </si>
  <si>
    <t>***ET.70X140BOCZ.ŁUS B/S.EKSPERT MAŁA PO</t>
  </si>
  <si>
    <t>***ET.80X36 STICKER 100% M-SO Z ŁOP.</t>
  </si>
  <si>
    <t>***ET.60X100 KABANOS EKSPORT PRL 180G</t>
  </si>
  <si>
    <t>***ET.75X149 ŚWIAT MIĘS 30%GRATIS MOR J</t>
  </si>
  <si>
    <t>***ET.60X60STICKER KAB.MORLIŃSKI CLASSIC</t>
  </si>
  <si>
    <t>***ET.60X60 STICKER KAB.MORLIŃSKI PIEPRZ</t>
  </si>
  <si>
    <t>***ET.60X60STICKER KAB.MORLIŃSKI CHILLI</t>
  </si>
  <si>
    <t>***ET.85X125 DYSKĄCIK BT</t>
  </si>
  <si>
    <t>***ET.68X120 KIEŁB.KRUCHA MOR</t>
  </si>
  <si>
    <t>***ET.140X90 PARTYCZAKI PIEPRZ OZDOBNA</t>
  </si>
  <si>
    <t>***ET.140X90 PARTYCZAKI CLASSIC OZDOBNA</t>
  </si>
  <si>
    <t>***ET.140X90 PARTYCZAKI CHILI OZDOBNA</t>
  </si>
  <si>
    <t>ET. 70X98 MAKRO - WIEPRZOWINA</t>
  </si>
  <si>
    <t>ET.73X70 POL.WP.BIED</t>
  </si>
  <si>
    <t>***ET.40X145 POL.WP.JMD T</t>
  </si>
  <si>
    <t>ET.70X120 SMAKTON</t>
  </si>
  <si>
    <t>***ET.80X80 TERMO FI76 LAKIEROWANA</t>
  </si>
  <si>
    <t>***ET.40X180 POL.WP.LIDL NOWA T.T</t>
  </si>
  <si>
    <t>***ET.68X49 POL.WP.LIDL NOWA TACKA</t>
  </si>
  <si>
    <t>***ET.80X110 M-SO GARM.WP.BIED T</t>
  </si>
  <si>
    <t>***ET.68X110 M-S0 GARM.WP.BIED P</t>
  </si>
  <si>
    <t>***ET.68X49 SZYN.WP.B/K.LIDL P</t>
  </si>
  <si>
    <t>***ET.68X121 SZYN.WP.B/K.LIDL T</t>
  </si>
  <si>
    <t>***ET.70X120 KARK.WP.B/K.1KG LIDL T</t>
  </si>
  <si>
    <t>***ET.77X50 KARK.WP.B/K.1KG LIDL P</t>
  </si>
  <si>
    <t>***ET.64X64 STICKER KUCHARZ LIDL</t>
  </si>
  <si>
    <t>ET.70X103 BIZERBA RND MORLINY EKSPORT</t>
  </si>
  <si>
    <t>***ET.82X115 BOCZ.WĘDZ.PARZ.MOR LT/LV/EE</t>
  </si>
  <si>
    <t>ET.73X110 BOCZ.WĘDZ.MS EC</t>
  </si>
  <si>
    <t>***ET.90X66 POL.SOPOCKA LION EX UK</t>
  </si>
  <si>
    <t>***ET.60X170 BOCZ.PL EKSPERT MORLINY</t>
  </si>
  <si>
    <t>***ET.60X170 SZN.Z SZYN.EKSPERT MOR</t>
  </si>
  <si>
    <t>***ET.60X170 SCH.KOTL.EKSPERT MOR</t>
  </si>
  <si>
    <t>***ET.60X170 KARK.KOTL. EKSPERT MOR</t>
  </si>
  <si>
    <t>***ET.60X50 ŻEB.WP.PASKI NETTO</t>
  </si>
  <si>
    <t>***ET.80X100 FRESH PORK SF</t>
  </si>
  <si>
    <t>ET.70X103 BIZERBA RND KRAJ EKSPORT MOR</t>
  </si>
  <si>
    <t>***ET.60X65 SCH.PIECZ.ZE ŚLIWKĄ KRA</t>
  </si>
  <si>
    <t>***ET.60X65 ŻEBERKA PIECZENIOWE KRAKUS</t>
  </si>
  <si>
    <t>***ET.60X65 BOCZ.PIECZENIOWY KRA</t>
  </si>
  <si>
    <t>***ET.60X65 SZYN.PIECZ.KRA</t>
  </si>
  <si>
    <t>***ET.60X65 KARK.PIECZ.KRA</t>
  </si>
  <si>
    <t>***ET.260X50 SZYNECZKA I KLASA MORLINY</t>
  </si>
  <si>
    <t>***ET.76X140 PARTYCZAKI BANDEROLA CHILI</t>
  </si>
  <si>
    <t>***ET.76X140 PARTYCZAKI BANDEROLA PIEPRZ</t>
  </si>
  <si>
    <t>***ET.76X140PARTYCZAKI BANDEROLA CLASSIC</t>
  </si>
  <si>
    <t>***ET.52X60 PARTYCZAKI CHILI  60G</t>
  </si>
  <si>
    <t>***ET.52X60 PARTYCZAKI CLASSIC 60G</t>
  </si>
  <si>
    <t>***ET.52X60 KABANOMORLIŃSKIE PIEPRZ 105G</t>
  </si>
  <si>
    <t>***ET.52X60 KABANOMORLIŃSKIE CHILI 105G</t>
  </si>
  <si>
    <t>***ET.52X60KABANOSY MORLIŃSKIE CLASS105G</t>
  </si>
  <si>
    <t>ET.55X100 POL.WĘDZ.PRL KRA</t>
  </si>
  <si>
    <t>***ET.80X120 SCHAB B/K VAC JMP PRZÓD</t>
  </si>
  <si>
    <t>***ET.80X110 MIĘSO NA ROLADY Z SZYNTYŁ</t>
  </si>
  <si>
    <t>***ET.68X90 MIĘSO NA ROLADY Z SZYNKI PR</t>
  </si>
  <si>
    <t>***ET.80X36 STICKER 100% M-SA Z SZYN.</t>
  </si>
  <si>
    <t>***ET.70X120 MIĘSO MIEL.WŁ LIDL TYŁ 500G</t>
  </si>
  <si>
    <t>***ET.68X49 MIĘSO MIEL.WŁLIDL PRZÓD 500G</t>
  </si>
  <si>
    <t>ET.60X90 SZYN.B/KNST.PRL T</t>
  </si>
  <si>
    <t>ET.60X90 SZYNKA BEZ KONSERWANTÓW PRL PRZ</t>
  </si>
  <si>
    <t>ET.85X125 TESC WIEPRZOWINA BIZERBA</t>
  </si>
  <si>
    <t>***ET.80X100 KIEŁB.ŻYWIECKA OZDOBNA KRA</t>
  </si>
  <si>
    <t>***ET.92X104 KIEŁB.ŻYWIECKA 600G BIED</t>
  </si>
  <si>
    <t>***ET.53X210 SMAKTON ŻYWIECKA OWIJKA</t>
  </si>
  <si>
    <t>ET.60X80 POL.ŁOS.PRL KRA P</t>
  </si>
  <si>
    <t>***ET.60X80 POL.ŁOS.PRL PROMO KRA</t>
  </si>
  <si>
    <t>ET.80X50 POL.ŁOS.PRL KRA T</t>
  </si>
  <si>
    <t>***ET.60X90 SZYNKA TEŚCIOWEJ MORLINY</t>
  </si>
  <si>
    <t>***ET.68X90 BOCZ.Z/S.BIED P</t>
  </si>
  <si>
    <t>***ET.80X110 BOCZ.Z/S.BIED T</t>
  </si>
  <si>
    <t>***ET.100X140 BOCZEK DO WĘDZENIA MOR</t>
  </si>
  <si>
    <t>***ET.100X140 KARCZEK DO WĘDZENIA MOR</t>
  </si>
  <si>
    <t>***ET.100X140 SZYNKA DO WĘDZENIA MORLINY</t>
  </si>
  <si>
    <t>***ET.100X140 SCHAB DO WĘDZENIA MORLINY</t>
  </si>
  <si>
    <t>***ET.68X86 BIZERBA BEZ LOGO</t>
  </si>
  <si>
    <t>ET.60X80 WĘDZONKA KROT.PRL KRA P</t>
  </si>
  <si>
    <t>***ET.80X50 BOCZEK KLAS.WĘDZ.PRL KRATYŁ</t>
  </si>
  <si>
    <t>ET.80X50 WĘDZONKA KROT.PRL KRA T</t>
  </si>
  <si>
    <t>***ET.68X120 KIEŁB.KRUCHA PRL KRA</t>
  </si>
  <si>
    <t>***ET.65X95 SZYNKA POLSKA MORLINY</t>
  </si>
  <si>
    <t>***ET.65X90 BIZERBA PRL KRA</t>
  </si>
  <si>
    <t>ET.75X75 BIZERBA MAP</t>
  </si>
  <si>
    <t>ET.70X121 RAGNOS SAN</t>
  </si>
  <si>
    <t>ET.72X105 BIZERBA CZYSTA-KAARLI</t>
  </si>
  <si>
    <t>***ET.85X125 POLSKIE PRZYSMAKI BIZERBA</t>
  </si>
  <si>
    <t>***ET.60X80 BOCZEK KLAS.PRL KRAKUS PROMO</t>
  </si>
  <si>
    <t>***ET.60X80 WĘDZONKA KROT.PRL KRA PROMO</t>
  </si>
  <si>
    <t>ET.40X25 STICKER PULLED PORK DANIA</t>
  </si>
  <si>
    <t>***ET.60X90 PRZEKĄSKA BUŁGARIA PIKOK</t>
  </si>
  <si>
    <t>ET.80X115  BIZERBA MAZ POWIĘKSZONA</t>
  </si>
  <si>
    <t>***ET.70X110 FOOD SERVICE ŚWIEŻE</t>
  </si>
  <si>
    <t>***ET.70X110 FOOD SERVICE MR</t>
  </si>
  <si>
    <t>***ET.60X80 KABANOSSI MIT PFEFFER 105G</t>
  </si>
  <si>
    <t>***ET.60X80 KABANOSSI CHILLI 105G</t>
  </si>
  <si>
    <t>***ET.60X80 KABANOSSI CLASSIK 105G</t>
  </si>
  <si>
    <t>***ET.80X110 MIĘSO NA GUL.Z ŁOP.TYŁ JMP</t>
  </si>
  <si>
    <t>ET.70X62 POLĘDWICA ŁOSOSIOWA NIEMCY</t>
  </si>
  <si>
    <t>***ET.68X110 ŻEB.TRÓJKĄT BIED P</t>
  </si>
  <si>
    <t>***ET.80X110 ŻEB.TRÓJKĄT BIED T</t>
  </si>
  <si>
    <t>ET.60X212 ŻYWIECKA BANDEROLA PRL KRAKUS</t>
  </si>
  <si>
    <t>***ET.68X95 KIEŁBASKI BIAŁE SUROWE PRZÓD</t>
  </si>
  <si>
    <t>***ET.60X85 KIEŁBASKI BIAŁE SUROWE TYŁ</t>
  </si>
  <si>
    <t>***ET.60X170 M.MIEL.Z SZYN.EKSPERT</t>
  </si>
  <si>
    <t>***ET.80X110 KIEŁBASA BIAŁA SUR.TYŁ JMP</t>
  </si>
  <si>
    <t>***ET.68X90 KIEŁBASA BIAŁA SUR.PRZÓD JMP</t>
  </si>
  <si>
    <t>ET.70X110 CZYSTA FOOD SERVICE</t>
  </si>
  <si>
    <t>***ET.83X113 SZYNKA ZRAZOWA KRAKUS PRL</t>
  </si>
  <si>
    <t>***ET.260X50 SZYNECZKA I KLASA ŚWIĘTA</t>
  </si>
  <si>
    <t>ET.70X110 BIZERBA YANO KONSERWOWA</t>
  </si>
  <si>
    <t>ET.90X65 PRZEKĄSKA LUXUSNI SNACK CZ</t>
  </si>
  <si>
    <t>***ET.70X100 ŻYWIECKA ZM.WAG PRL KRAKUS</t>
  </si>
  <si>
    <t>***ET.80X45 STICKER LIDL HR PRZEKĄSKA</t>
  </si>
  <si>
    <t>***ET.85X54 KIEŁBASA ZWYCZAJNA</t>
  </si>
  <si>
    <t>***ET.75X100 KASZANKA MOR</t>
  </si>
  <si>
    <t>***ET.80X110 BOCZ.GRILL.BIED T</t>
  </si>
  <si>
    <t>***ET.80X120 BOCZEK GRILLOWY PRZÓD BIED.</t>
  </si>
  <si>
    <t>***ET.68X89 BOCZEK KRAKUS WIĘKSZA PRL</t>
  </si>
  <si>
    <t>***ET.68X89 BOCZEK KRAKUS WIĘKSZA PROMO</t>
  </si>
  <si>
    <t>***ET.80X110 KARK.GRILL.BIED T</t>
  </si>
  <si>
    <t>ET.70X90 KARCZEK GRILL.BIED P</t>
  </si>
  <si>
    <t>ET.70X120 KABANOSY KRAKUS SZWECJA</t>
  </si>
  <si>
    <t>***ET.68X90 TRM</t>
  </si>
  <si>
    <t>***ET.STIC.80X45 PRZEKĄSKA LIDL RO</t>
  </si>
  <si>
    <t>***ET.48X61 STIKER GRILUJEMY</t>
  </si>
  <si>
    <t>ET.60X90 SZYNKA POLSKA RND</t>
  </si>
  <si>
    <t>***ET.60X90 BOCZ.Z KOMINA RND</t>
  </si>
  <si>
    <t>ET.60X90 K. PODWAWELSKA EXTRA RND</t>
  </si>
  <si>
    <t>***ET.108X79 SCH.WP.PL NETTO T</t>
  </si>
  <si>
    <t>***ET.108X79 ŻEB.PS NETTO T</t>
  </si>
  <si>
    <t>***ET.100X65 STEK KARK.CHILLI KAUF T</t>
  </si>
  <si>
    <t>ET.90X100 STEK CHILLI KAR.KAUF P</t>
  </si>
  <si>
    <t>***ET.80X45 STICKER PRZEKĄSKA BUŁGARIA</t>
  </si>
  <si>
    <t>ET.74X105 BIZERBA MORLINY</t>
  </si>
  <si>
    <t>***ET.75X120 FRANKFURTERKI KLASYCZNE</t>
  </si>
  <si>
    <t>***ET.75X120 FRANKFURTERKI Z CHILLI</t>
  </si>
  <si>
    <t>***ET.75X120 FRANKFURTERKI Z SEREM</t>
  </si>
  <si>
    <t>***ET.70X90 SZYNKA ZRAZOWA KRAKUS PRL</t>
  </si>
  <si>
    <t>***ET.60X90 K.PODWAWELSKA GRILL&amp;FUN BAR</t>
  </si>
  <si>
    <t>ET.70X90 BOCZEK GRILL.600G BIED P</t>
  </si>
  <si>
    <t>***ET.90X130 KIEŁB.PODWAWELSKA MAP MOR</t>
  </si>
  <si>
    <t>ET.70X110 CZYSTA FOOD SERVICE MROŻONE</t>
  </si>
  <si>
    <t>ET.68X95 BOCZEK BARONI CZ</t>
  </si>
  <si>
    <t>***ET.58X91 BOCZEK Z KOMINA MORLINYPRZÓD</t>
  </si>
  <si>
    <t>***ET.58X91 SZYNKA POLSKA MORLINY PRZÓD</t>
  </si>
  <si>
    <t>***ET.58X91 KIEŁB.PODWAWELSKA EXTRA P</t>
  </si>
  <si>
    <t>ET.65X100 M.MIEL.Z SZYN.KAUF T</t>
  </si>
  <si>
    <t>ET.65X100 M.MIEL.Z ŁOP.KAUF T</t>
  </si>
  <si>
    <t>***ET.70X75 ŻYWIECKA ZM.WAG KRAKUS PRL</t>
  </si>
  <si>
    <t>***ET.40X50 POLĘDWICZKA NETTO PRZÓD</t>
  </si>
  <si>
    <t>***ET.40X130 POLĘDWICZKA NETTO TYŁ</t>
  </si>
  <si>
    <t>***ET.40X145 TERMO</t>
  </si>
  <si>
    <t>***ET.55X330 ZAWIESZKA DETEKCJA</t>
  </si>
  <si>
    <t>***ET.60X170 GUL.Z SZYN.EKSPERT</t>
  </si>
  <si>
    <t>***ET.60X170 GUL.Z ŁOP.EKSPERT</t>
  </si>
  <si>
    <t>***ET.58X74 BOCZEK Z KOMINA TYŁ</t>
  </si>
  <si>
    <t>***ET.58X74 KIEŁB.PODWAWELSKA EXTRA TYŁ</t>
  </si>
  <si>
    <t>***ET.58X74 SZYNKA POLSKA TYŁ</t>
  </si>
  <si>
    <t>***ET.FI 29.5 STICKER 30G WIĘCEJ</t>
  </si>
  <si>
    <t>***ET.FI 50 STICKER 15% GRATIS</t>
  </si>
  <si>
    <t>***ET.52X74 PARTYCZAKI CHILI 60G</t>
  </si>
  <si>
    <t>ET.52X74 PARTYCZAKI CLASSIC 60G</t>
  </si>
  <si>
    <t>***ET.52X74 PARTYCZAKI PIEPRZ  60G</t>
  </si>
  <si>
    <t>***ET.52X74 KABAN.MOR.CHILI 105G T</t>
  </si>
  <si>
    <t>***ET.52X74 KABAN.MOR.CLASSIC 105G T</t>
  </si>
  <si>
    <t>***ET.52X74 KABAN.MOR.PIEPRZ 105G T</t>
  </si>
  <si>
    <t>***ET.70X105 KIEŁB.PODWAWELSKA 80% MOR</t>
  </si>
  <si>
    <t>***ET.45X30+25% WIĘCEJ STICKER KAUF</t>
  </si>
  <si>
    <t>ET.70X104 KIEŁB.PODWAWELSKA 94% MORLINY</t>
  </si>
  <si>
    <t>***ET.32X38 MEGA PACZKA STICKER 180G+90G</t>
  </si>
  <si>
    <t>ET.FI40 STICKER PÓŁ CENY TESCO</t>
  </si>
  <si>
    <t>***ET.68X92 CZOSNKOWA LANKUVOS LT</t>
  </si>
  <si>
    <t>***ET.78X120 SALCESON LANKUVOS LT</t>
  </si>
  <si>
    <t>***ET.90X99 MIEL.Z SZYN.PROMO KAUF P</t>
  </si>
  <si>
    <t>***ET.65X98 MIEL.Z SZYN.PROMO KAUF T</t>
  </si>
  <si>
    <t>ET.58X33 STICKER KOLOR EKSPEDYCJA</t>
  </si>
  <si>
    <t>***ET.70X100 SALCESON Z PIETRUSZKĄ BIED</t>
  </si>
  <si>
    <t>ET.90X130 SZYN.BIAŁA 7LBS MOR</t>
  </si>
  <si>
    <t>***ET.80X85 KIEŁBASA WYBORCZA MORLINY</t>
  </si>
  <si>
    <t>***ET.70X103 BOCZ.CHŁOPSKI 95% MOR</t>
  </si>
  <si>
    <t>ET.90X110 SCH.PRZEPIS BIED T</t>
  </si>
  <si>
    <t>ET.80X120 SZYN.KONS.2.5KG 5% MOR</t>
  </si>
  <si>
    <t>***ET.65X100 SCHAB B/K PIECZEŃ PRZÓD JMP</t>
  </si>
  <si>
    <t>***ET.80X110KIEŁB.ŻYWIECKA OZD.KRA STAM</t>
  </si>
  <si>
    <t>***ET.40X40 STICKER 180+20G TESCO KARTON</t>
  </si>
  <si>
    <t>***ET.85X65 KIEŁB.Z SZYN.500G MOR</t>
  </si>
  <si>
    <t>***ET.85X81 KIEŁB.ZWYCZAJNA MOR</t>
  </si>
  <si>
    <t>ET.68X105 BIZERBA MORLINY EKSPERT DŁUGA</t>
  </si>
  <si>
    <t>***ET.65X100 ŁOP.B/K.PIECZEŃ JMP PRZÓD</t>
  </si>
  <si>
    <t>***ET.65X100 SZYN.B/K.PIECZEŃ PRZÓD JMP</t>
  </si>
  <si>
    <t>ET.78X120 BOCZ.LOUKUVOS LT</t>
  </si>
  <si>
    <t>***ET.40X145 POL.MOR EXP.T.</t>
  </si>
  <si>
    <t>***ET.119X73 KIEŁB.BIAŁA MOR</t>
  </si>
  <si>
    <t>***ET.70X120 KABANOSY KRAKUS CZECHY 180G</t>
  </si>
  <si>
    <t>***ET.145X40 POL.EKSPERT PL-UK T</t>
  </si>
  <si>
    <t>***ET.70X105 SZYN.POLSKA MOR</t>
  </si>
  <si>
    <t>ET.80X100 PRZYSMAK SZYNK.570G MOR</t>
  </si>
  <si>
    <t>***ET.70X105 BOCZEK KOPCONY MOR</t>
  </si>
  <si>
    <t>ET.70X105 SZYNKA DELIKATNA MOR</t>
  </si>
  <si>
    <t>***ET.70X105 BOCZEK OKOPCONY MOR</t>
  </si>
  <si>
    <t>***ET.80X55 KABAN.PIPER 105G RO</t>
  </si>
  <si>
    <t>***ET.80X55 KABAN.CHILI 105G RO</t>
  </si>
  <si>
    <t>***ET.80X55 KABAN.CLASSIC 105G RO</t>
  </si>
  <si>
    <t>ET.70X96 BOCZ.WĘDZ.MOR</t>
  </si>
  <si>
    <t>***ET.70X105 BOCZEK NA KANAPKĘ MOR</t>
  </si>
  <si>
    <t>ET.80X100 RUMUNIA SUNCA PRAGA 570G</t>
  </si>
  <si>
    <t>ET.70X90 RUMUNIA SALAM DE PORC 286G</t>
  </si>
  <si>
    <t>***ET.74X90 BIZERBA STÓŁ POLSKI</t>
  </si>
  <si>
    <t>***ET.70X90 SZYN.ZRAZOWA PROM KRA</t>
  </si>
  <si>
    <t>***ET.65X100 KARK.B/K.PIECZEŃ BIED P</t>
  </si>
  <si>
    <t>ET.80X100 SZYN.KONSER. 570G SE</t>
  </si>
  <si>
    <t>***ET.STIC.48X16 100% M-SAZ ŁOP.BIED</t>
  </si>
  <si>
    <t>***ET.STIC.48X16 100% M-SA Z SZYN.BIED</t>
  </si>
  <si>
    <t>***ET.65X100 SZYN.B/K.PIECZEŃ BIED</t>
  </si>
  <si>
    <t>***ET.65X100 SCH.B/K.PIECZEŃ BIED</t>
  </si>
  <si>
    <t>***ET.65X100 ŁOP.B/K.PIECZEŃ BIED</t>
  </si>
  <si>
    <t>***ET.90X130 GŁOGOWSKA Z SZYNKI</t>
  </si>
  <si>
    <t>***ET.70X105 WĘDZ.KULINARNA MOR</t>
  </si>
  <si>
    <t>***ET.70X105 BOCZ.BACON RUMUNIA</t>
  </si>
  <si>
    <t>ET.152X111 TERMO</t>
  </si>
  <si>
    <t>***ET.90X68 M.MIEL.Z ŁOP.BIED P</t>
  </si>
  <si>
    <t>***ET.80X110 M.MIEL.Z ŁOP.BIED T</t>
  </si>
  <si>
    <t>***ET.70X105 PASZTET MOR</t>
  </si>
  <si>
    <t>***ET.70X105 PODWAWELSKA EXT. 80% MOR</t>
  </si>
  <si>
    <t>***ET.65X100 KARK.B/K.PIECZEŃ BIED</t>
  </si>
  <si>
    <t>***ET.52X74 KABAN.MOR.CLASSIC 155G PROM</t>
  </si>
  <si>
    <t>***ET.52X74 KABAN.MOR.PIEPRZ 155G PROM</t>
  </si>
  <si>
    <t>***ET.52X74 KABAN.MOR.CHILI 155G PROM</t>
  </si>
  <si>
    <t>***ET.70X103 BOCZ.WĘDZ.PARZ.MOR</t>
  </si>
  <si>
    <t>***ET.75X119.5 ŚWIAT MIĘS MOR NETTO</t>
  </si>
  <si>
    <t>ET.80X110 KIEŁB.BIAŁA BIED T</t>
  </si>
  <si>
    <t>***ET.60X90 KIEŁB.BIAŁA BIED P</t>
  </si>
  <si>
    <t>ET.50X45 SZYN.B/K.RZEŹ P</t>
  </si>
  <si>
    <t>ET.120X70 SZYN.B/K.RZEŹ T</t>
  </si>
  <si>
    <t>***ET.56X50 KARK.B/K.RZEŹ P</t>
  </si>
  <si>
    <t>***ET.120X70 KARK.B/K.RZEŹ T</t>
  </si>
  <si>
    <t>ET.120X70 GULASZ WP.RZEŹ T</t>
  </si>
  <si>
    <t>ET.50X45 GULASZ WP.RZEŹ P</t>
  </si>
  <si>
    <t>***ET.90X50 KIEŁB.ŚLĄSKA 550G KRA</t>
  </si>
  <si>
    <t>ET.50X45 M-SO GARMAŻ.WP.RZEŹ P</t>
  </si>
  <si>
    <t>***ET.70X115 SZYNKA DELIKATNA PROMOCJA</t>
  </si>
  <si>
    <t>***ET.45X45 STICKER MEGA PACZKA KABANOSY</t>
  </si>
  <si>
    <t>***ET.120X70 GARMAŻ.WP.RZEŹ T</t>
  </si>
  <si>
    <t>ET.50X45 M.MIEL.Z ŁOP.RZEŹ P</t>
  </si>
  <si>
    <t>ET.70X120 M.MIEL.Z ŁOP.RZEŹ T</t>
  </si>
  <si>
    <t>ET.50X45 M-SO GARM.WP.-WŁ.RZEŹ P</t>
  </si>
  <si>
    <t>ET.FI 40 STICKER CZAS NA GRILL.BIED</t>
  </si>
  <si>
    <t>***ET.11X7.5 BOCZ.MORLIŃSKI OZDOBNA</t>
  </si>
  <si>
    <t>ET.70X120 M-SO GARM WP.-WŁ.RZEŹ T</t>
  </si>
  <si>
    <t>***ET.80X110 M-SO NA GUL.Z SZYN.BIED T</t>
  </si>
  <si>
    <t>ET.120X70 KARK.PL RZEŹ T</t>
  </si>
  <si>
    <t>***ET.80X120 KIEŁB.ZAWIJANE 330G JMP P</t>
  </si>
  <si>
    <t>***ET.79X110 KIEŁB.ZAWIJANE 330G JMP TYŁ</t>
  </si>
  <si>
    <t>***ET.BOCZ.CYGAŃSKI P.PRZYSMAKI OZDOBNA</t>
  </si>
  <si>
    <t>ET.80X100 BIZERBA POLSKIE PRZYSMAKI</t>
  </si>
  <si>
    <t>ET.70X105 KIEŁB.ŚLĄSKA 550G</t>
  </si>
  <si>
    <t>***ET.30X30 STICKER SAVE 2 PER KG</t>
  </si>
  <si>
    <t>***ET.52X52 SZTUKA MIĘSA ŁOPATKA MOR</t>
  </si>
  <si>
    <t>***ET.90X90 FARTUCH W ŚRODKU KARTON</t>
  </si>
  <si>
    <t>***ET.68X90 M-SO NA GUL.Z SZYN.BIED P</t>
  </si>
  <si>
    <t>***ET.65X99 BOCZ.WP.BIED P</t>
  </si>
  <si>
    <t>ET.58X68 PASZTETOWA MORLINY LV</t>
  </si>
  <si>
    <t>***ET.85X180 SUNCA DIN PORC 5% MOR CZ</t>
  </si>
  <si>
    <t>***ET.85X180 SUNCA PRAGA PREM.2.5KGMORRO</t>
  </si>
  <si>
    <t>***ET.90X130 BURSZTYNOWA Z SZYN.MOR</t>
  </si>
  <si>
    <t>***ET.132X47 BURSZTYNOWA BANDEROLA MOR</t>
  </si>
  <si>
    <t>***ET.32X38 TERAZ WIĘKSZ.OPAK 180+90G</t>
  </si>
  <si>
    <t>ET.57X54 KARK.PL RZEŹ P</t>
  </si>
  <si>
    <t>ET.80X110 KASZANKA 600G TESC</t>
  </si>
  <si>
    <t>***ET.80X55 KABAN.CLASSIC 105G CZ</t>
  </si>
  <si>
    <t>***ET.80X55 KABAN.CHILLI 105G CZ</t>
  </si>
  <si>
    <t>***ET.58X91 BIZERBA AUCHAN ZÓŁTE LOGO</t>
  </si>
  <si>
    <t>ET.74X70 K.MORLIŃSKA Z SZYNKI 550G ST</t>
  </si>
  <si>
    <t>***ET.75X79 KIEŁB.ŚLĄSKA MP</t>
  </si>
  <si>
    <t>***ET.74X95 KIEŁB.ŚLĄSKA GRILL TESC</t>
  </si>
  <si>
    <t>***ET.60X90 KIEŁB.GRILLOWA 550G T LIDL</t>
  </si>
  <si>
    <t>***ET.60X90 KIEŁB.GRILLOWA 550G P LIDL</t>
  </si>
  <si>
    <t>***ET.65X85 KIEŁB.WYBORNA MORLINY</t>
  </si>
  <si>
    <t>ET.50X45 SCH.PL 360G RZEŹ P</t>
  </si>
  <si>
    <t>ET.58X68 PASZTETOWA ESTONIA MORLINY 300G</t>
  </si>
  <si>
    <t>***ET.52X80 KABAN.Z SZYN.150G KRA</t>
  </si>
  <si>
    <t>ET.TRM.60X98 KABAN.CLASSIC 180G KRA</t>
  </si>
  <si>
    <t>***ET.52X80 KABAN.Z SZYN.105G MOR N</t>
  </si>
  <si>
    <t>ET.70X75 PRZEKĄSKA KABAN.180G T</t>
  </si>
  <si>
    <t>ET.68X99 CZ/SK S.MOCNO WĘDZONA MOR</t>
  </si>
  <si>
    <t>ET.70X90 ŻYWIECKA KRAKUS UK 286G</t>
  </si>
  <si>
    <t>ET.80X99 SCH.VAC KAUF</t>
  </si>
  <si>
    <t>***ET.60X90 SZYN.SZLACHECKA P</t>
  </si>
  <si>
    <t>ET.120X70 SCH.PL 360G RZEŹ T</t>
  </si>
  <si>
    <t>***ET.80X130 POLIPROPYLEN MOR ŚWIAT MIĘS</t>
  </si>
  <si>
    <t>ET.75X125 BIZERBA SWOJSCY</t>
  </si>
  <si>
    <t>ET.80X115 OZD. SWOJSCY</t>
  </si>
  <si>
    <t>***ET.120X80 KIEŁBASKI GRILL JMP PRZÓD</t>
  </si>
  <si>
    <t>***ET.80X110 ZESTAW GRILL.BIED T</t>
  </si>
  <si>
    <t>ET.120X80 ZESTAW GRILLOWY BIED P</t>
  </si>
  <si>
    <t>***ET.90X90 STICKER Z KOSZULKA KARTON</t>
  </si>
  <si>
    <t>***ET.70X105 PODWAWELSKA OPISOWA</t>
  </si>
  <si>
    <t>ET.80X99 KARK.VAC KAUF</t>
  </si>
  <si>
    <t>ET.80X99 SZYN.VAC KAUF</t>
  </si>
  <si>
    <t>***ET.70X75 KABAN.180G CZ</t>
  </si>
  <si>
    <t>***ET.60X90 SZYN.SZLACHECKA D.CENTRUM</t>
  </si>
  <si>
    <t>***ET.70X103 KIEŁB.Z SZYN.DC OPISOWA</t>
  </si>
  <si>
    <t>***ET.BAND.47.5X31.5 KIEŁB.Z SZYN.DC</t>
  </si>
  <si>
    <t>ET.80X99 ŁOP.VAC KAUF</t>
  </si>
  <si>
    <t>ET.60X80 PODWAWELSKA MORLINY UK 520G</t>
  </si>
  <si>
    <t>***ET.70X103 KIEŁB.Z SZYNKI LOGO MORLINY</t>
  </si>
  <si>
    <t>***ET.70X105 BURSZTYNOWA Z SZYN.OPISOWA</t>
  </si>
  <si>
    <t>***ET.132X47 OWIJKA K.Z SZYNKI 94%</t>
  </si>
  <si>
    <t>***ET.52X80 KABAN.Z SZYN.120G T</t>
  </si>
  <si>
    <t>***ET.75X100 BOCZ.360G PL NETTO P</t>
  </si>
  <si>
    <t>***ET.100X60 BOCZ.PL 360G NETTO T</t>
  </si>
  <si>
    <t>***ET.75X100 SCH.Z/K.750G NETTO P</t>
  </si>
  <si>
    <t>***ET.100X60 SCH.Z/K.750G NETTO T</t>
  </si>
  <si>
    <t>ET.50X50 POL.NETTO P</t>
  </si>
  <si>
    <t>ET.145X40 POL.NETTO T</t>
  </si>
  <si>
    <t>***ET.65X80 POL.SOPOCKA LOIN MOR</t>
  </si>
  <si>
    <t>ET.70X105 GŁOGOWSKA Z SZYNKI OPISOWA</t>
  </si>
  <si>
    <t>ET.78X105 BIZERBA MOR IKONKOWA</t>
  </si>
  <si>
    <t>***ET.80X110 K.BIAŁA PO SEZONIE BIED T</t>
  </si>
  <si>
    <t>***ET.60X90 K.BIAŁA PO SEZONIE BIED P</t>
  </si>
  <si>
    <t>ET.70X95 BIZERBA KRA PRL</t>
  </si>
  <si>
    <t>***ET.70X103GŁOGOWSKA DELIKATESY CENTRUM</t>
  </si>
  <si>
    <t>ET.50X90 PRZEKĄSKA EXPORT 180G</t>
  </si>
  <si>
    <t>***ET.35X130 BANDEROLA ŚLĄSKA KRAKUS</t>
  </si>
  <si>
    <t>ET.55X80 KABAN.CLASSIC 105G KRA GB</t>
  </si>
  <si>
    <t>***ET.55X80 KABAN.BACON 105G KRA GB</t>
  </si>
  <si>
    <t>***ET.80X110SZYN.B/K.1KGFOL.POLIP.BIED T</t>
  </si>
  <si>
    <t>ET.60X98 KABANOS KLASYCZNY KRAKUS 180G</t>
  </si>
  <si>
    <t>***ET.176X53 OWIJKA KABANOSY KLASYCZNE</t>
  </si>
  <si>
    <t>***ET.80X100 ŻYWIECKA 600G KRAKUS</t>
  </si>
  <si>
    <t>ET.70X100 SCH.VAC LIDL P</t>
  </si>
  <si>
    <t>ET.80X100 SCH.VAC LIDL T</t>
  </si>
  <si>
    <t>***ET.52X74 KABANOSY Z SZYNKI MINI 60G</t>
  </si>
  <si>
    <t>***ET.60X90 PODWAWELSKA 500G PIK LIDL  P</t>
  </si>
  <si>
    <t>***ET.60X90 PODWAWELSKA 500G PIK LIDL T</t>
  </si>
  <si>
    <t>***ET.80X110ŻEB.TRÓJKĄT FOL.POLIP.BIED T</t>
  </si>
  <si>
    <t>***ET.70X105 PIECZEŃ MIĘSNA MOR</t>
  </si>
  <si>
    <t>***ET.60X65 BOCZ.MAR.KRA</t>
  </si>
  <si>
    <t>***ET.60X65 KARK.MAR.KRA</t>
  </si>
  <si>
    <t>ET.120X70 KIEŁB.BIAŁA LIDL T</t>
  </si>
  <si>
    <t>***ET.60X65 SZYN.MAR.KRA</t>
  </si>
  <si>
    <t>***ET.60X65 SCH.MAR.KRA</t>
  </si>
  <si>
    <t>ET.50X45 GOL.LIDL P</t>
  </si>
  <si>
    <t>ET.120X70 GOL.LIDL T</t>
  </si>
  <si>
    <t>ET.45X50 KIEŁB.BIAŁA WP.LIDL P</t>
  </si>
  <si>
    <t>ET.80X110 M-SO GARM.FOL.POLIP.BIED T</t>
  </si>
  <si>
    <t>ET.60X90 KIEŁB.ŚLĄSKA LIDL PIK P</t>
  </si>
  <si>
    <t>***ET.60X90 KIEŁB.ŚLĄSKA LIDL PIK T</t>
  </si>
  <si>
    <t>***ET.60X90 KARCZEK ŚWIĘTA JMD T</t>
  </si>
  <si>
    <t>***ET.60X90 SZYN.ŚWIĘTA JMD T</t>
  </si>
  <si>
    <t>***ET.60X90 SCH.ŚWIĘTA JMD T</t>
  </si>
  <si>
    <t>***ET.60X71 SZYN.ŚWIĘTA  JMD P</t>
  </si>
  <si>
    <t>***ET.60X71 SCH.ŚWIĘTA JMD P</t>
  </si>
  <si>
    <t>***ET.60X71 KAR.ŚWIĘTA JMD P</t>
  </si>
  <si>
    <t>***ET.68X90 M-SO GARM.BIED P</t>
  </si>
  <si>
    <t>***ET.80X110 GUL.Z ŁOP.FOL.POLIP.BIED T</t>
  </si>
  <si>
    <t>***ET.68X90 M-SO GARM.WP.-WŁ.BIED P</t>
  </si>
  <si>
    <t>***ET.80X110 M-SO GARM.WP.WŁ.F.POL.BIEDT</t>
  </si>
  <si>
    <t>ET.120X70 ŻEB.MOST.LIDL T</t>
  </si>
  <si>
    <t>ET.80X100 SZYN.VAC XXL LIDL T</t>
  </si>
  <si>
    <t>ET.70X100 SZYN.VAC XXL LIDL P</t>
  </si>
  <si>
    <t>ET.50X45 BOCZ.PL LIDL P</t>
  </si>
  <si>
    <t>ET.120X70 BOCZ.PL LIDL T</t>
  </si>
  <si>
    <t>ET.50X45 KOŚCI LIDL P</t>
  </si>
  <si>
    <t>ET.120X70 KOŚCI LIDL T</t>
  </si>
  <si>
    <t>***ET.80X110 KARK.B/K.560G F.POL.BIED T</t>
  </si>
  <si>
    <t>ET.50X45 ŻEB.TRÓJKĄT LIDL P</t>
  </si>
  <si>
    <t>***ET.70X100 ŁOP.VAC XXL LIDL  P</t>
  </si>
  <si>
    <t>***ET.80X100 ŁOPATKA VAC XXL LIDL</t>
  </si>
  <si>
    <t>ET.120X70 SCH.ZK.LIDL T</t>
  </si>
  <si>
    <t>ET.56X50 SCH.Z/K.LIDL P</t>
  </si>
  <si>
    <t>***ET.80X110M-SO GARM.FOL.POLIP.NW BIEDT</t>
  </si>
  <si>
    <t>***ET.60X90 KIEŁB.ZE SCH.260G JMD T</t>
  </si>
  <si>
    <t>***ET.60X90 KIEŁB.ZE SCH.260G JMD P</t>
  </si>
  <si>
    <t>***ET.38X38 STICKER 180+60G TESCO</t>
  </si>
  <si>
    <t>***ET.80X110 SCH.KOTL.360G F.POL.BIED T</t>
  </si>
  <si>
    <t>***ET.FI42 WYPRODUKOWANO Z SZYNKI</t>
  </si>
  <si>
    <t>***ET.80X100 KARK.VAC XXL LIDL T</t>
  </si>
  <si>
    <t>***ET.70X100 KAR.VAC XXL LIDL P</t>
  </si>
  <si>
    <t>***ET.75X79 KIEŁB.ŚLĄSKA 1KG +100G GRA</t>
  </si>
  <si>
    <t>ET.56X50 SCH.KOTL.LIDL 700G</t>
  </si>
  <si>
    <t>ET.120X70 SCH.KOTL.700G LIDL T</t>
  </si>
  <si>
    <t>***ET.55X80 PRZEKĄSKA KABAN.60G T</t>
  </si>
  <si>
    <t>***ET.70X140 ŻEB.MOST.M-SNE EKSPERT</t>
  </si>
  <si>
    <t>***ET.80X110 M.MIEL.Z SZYN.F.POL.BIED T</t>
  </si>
  <si>
    <t>ET.56X50 M.MIEL.Z ŁOP.1KG RZEŹ P</t>
  </si>
  <si>
    <t>ET.120X70 M.MIEL.Z ŁOP.1KG RZEŹ T</t>
  </si>
  <si>
    <t>***ET.60X90 KARK.WĘDZ.BIED T</t>
  </si>
  <si>
    <t>***ET.60X71 KARK.WĘDZ.BIED P</t>
  </si>
  <si>
    <t>***ET.148X210 ZBIORCZA STAND</t>
  </si>
  <si>
    <t>ET.120X70 M-SO GARM.WP.-WŁ.1KG RZEŹ T</t>
  </si>
  <si>
    <t>ET.56X50 M-SO GARM.WP.-WŁ.1KG RZEŹ P</t>
  </si>
  <si>
    <t>ET.120X70 M-SO GARM.90% RZEŹ T</t>
  </si>
  <si>
    <t>***ET.60X90 K.PODWAWELSKA LIDL LT T</t>
  </si>
  <si>
    <t>***ET.80X110 M.MIEL.ŁOP.WŁ.F.POL.BIED T</t>
  </si>
  <si>
    <t>***ET.60X90 K.PODWAWELSKA LIDL LT P</t>
  </si>
  <si>
    <t>***ET.80X110 GARM.WP.-WŁ.FOLIA BIED T</t>
  </si>
  <si>
    <t>***ET.70X100 BIZERBA TESCO CZECHY</t>
  </si>
  <si>
    <t>ET.80X110 KIEŁB.BIAŁA MOR-EKSPERT</t>
  </si>
  <si>
    <t>ET.80X55 KABAN.Z PIEPRZ.105G HU</t>
  </si>
  <si>
    <t>ET.TESTOWA PRÓBY</t>
  </si>
  <si>
    <t>ET.80X55 KABAN.CHILI 105G HU</t>
  </si>
  <si>
    <t>ET.80X55 KABANOSY KLASYCZNE 105G WĘGRY</t>
  </si>
  <si>
    <t>***ET.80X110 KOŚCI 700G FOL.POLIP.BIED T</t>
  </si>
  <si>
    <t>ET.80X55 KABAN.CHILI MIX 105G RO</t>
  </si>
  <si>
    <t>ET.80X55 KAB.CLASSIC MIX 105G RO</t>
  </si>
  <si>
    <t>***ET.80X100 SCH.VAC FOL POL LIDL T</t>
  </si>
  <si>
    <t>***ET.80X100 SZYN.VAC FOL POL LIDL T</t>
  </si>
  <si>
    <t>***ET.80X100 ŁOP.VAC FOL POL LIDL T</t>
  </si>
  <si>
    <t>***ET.80X100 KAR.VAC FOL POL LIDL T</t>
  </si>
  <si>
    <t>***ET.700X100 SCH.VAC FOL POL LIDL P</t>
  </si>
  <si>
    <t>***ET.700X100 SZYN.VAC FOL POL LIDL P</t>
  </si>
  <si>
    <t>***ET.700X100 ŁOP.VAC FOL POL LIDL P</t>
  </si>
  <si>
    <t>***ET.80X110 GOL.700G FOL.POLIP.BIED T</t>
  </si>
  <si>
    <t>***ET.700X100 KARK.VAC FOL POL LIDL P</t>
  </si>
  <si>
    <t>***ET.60X98 KAB.MINI CLASSIC CZ/SK 105G</t>
  </si>
  <si>
    <t>***ET.60X98 KABAN.MINI BACON 105G CZ/SK</t>
  </si>
  <si>
    <t>ET.90X50 KIEŁB.ŚLĄSKA KRAKUS ZM.WAG</t>
  </si>
  <si>
    <t>ET.70X55 M.MIEL.Z ŁOP.BIED P</t>
  </si>
  <si>
    <t>ET.70X55 ŻEB.TRÓJKĄT BIED P</t>
  </si>
  <si>
    <t>ET.70X55 KOŚCI BIED P</t>
  </si>
  <si>
    <t>***ET.80X110 ŁOP.B/K.FOL.POLIP.BIED T</t>
  </si>
  <si>
    <t>ET.70X55 KARCZEK 560G BIED P</t>
  </si>
  <si>
    <t>ET.70X55 M.MIEL.Z SZYN.500G BIED P</t>
  </si>
  <si>
    <t>ET.70X55 M.MIEL.Z ŁOP.WŁ.500G BIED P</t>
  </si>
  <si>
    <t>ET.70X55 SCH.KOTL.360G BIED P</t>
  </si>
  <si>
    <t>ET.70X55 GOL.BIED P</t>
  </si>
  <si>
    <t>ET.70X55 GULASZ Z SZYN.BIED P</t>
  </si>
  <si>
    <t>***ET.52X74 KABAN.Z SZYN.MOR</t>
  </si>
  <si>
    <t>ET.70X55 M-SO GARM.WP.-WŁ.BIED P</t>
  </si>
  <si>
    <t>ET.70X55 M-SO GARM.WP.BIED P</t>
  </si>
  <si>
    <t>ET.70X55 GULASZ Z ŁOP.BIED P</t>
  </si>
  <si>
    <t>ET.70X55 KIEŁB.BIAŁA BIED P</t>
  </si>
  <si>
    <t>ET.85X125 TESCO-WIEPRZOWINA</t>
  </si>
  <si>
    <t>***ET.68X105 M.MIEL.Z ŁOP.MOR EKSP</t>
  </si>
  <si>
    <t>***ET.BAN.70X90 KIEŁB.ŻYWIECKA 260G KRA</t>
  </si>
  <si>
    <t>ET.70X105 KIEŁB.GŁOGOWSKA Z SZYNKI</t>
  </si>
  <si>
    <t>***ET.40X145 POL.FOL.POLIP.BIED T</t>
  </si>
  <si>
    <t>ET.50X27 STICKER BIAŁY LIDL</t>
  </si>
  <si>
    <t>ET.70X89 GŁOGOWSKA Z SZYN.540G T</t>
  </si>
  <si>
    <t>ET.60X90 KIEŁB.ŚLĄSKA G&amp;F LIDL T</t>
  </si>
  <si>
    <t>ET.75X100 K.BIAŁA Z MAJER.600G BIED T</t>
  </si>
  <si>
    <t>ET.74X105 K.BIAŁA Z SZYN.500G BIED T ST</t>
  </si>
  <si>
    <t>ET.80X110 BOCZEK GRILL MOR</t>
  </si>
  <si>
    <t>ET.80X110 KARCZEK GRILL MOR</t>
  </si>
  <si>
    <t>ET.90X145 SZYNKA WĘDZONA P.PRZYSMAKI</t>
  </si>
  <si>
    <t>ET.35X48 STICKER GRILLUJEMY NETTO</t>
  </si>
  <si>
    <t>ET.80X110 BIZERBA GRILL MOR</t>
  </si>
  <si>
    <t>***ET.78X105 BIZERBA KSIĘŻY MŁYN</t>
  </si>
  <si>
    <t>***ET.70X105 ŚLĄSKA MORLINY NS</t>
  </si>
  <si>
    <t>ET.70X103 PODWAWELSKA OPISOWA ZM.OSŁ.</t>
  </si>
  <si>
    <t>ET.70X103 PODWAWELSKA 80% ZM.OSŁ.</t>
  </si>
  <si>
    <t>ET.60X80 PODWAWELSKA MORLINY UK ZM.OSŁ.</t>
  </si>
  <si>
    <t>***ET.120X80 TERMO FI 76 PAK.WĘDLIN</t>
  </si>
  <si>
    <t>ET.70X105 ŚLĄSKA Z SZYNKI OZDOBNA</t>
  </si>
  <si>
    <t>ET.90X100 STEK KARK.BBQ KAUF P</t>
  </si>
  <si>
    <t>ET.70X105 ŚLĄSKA Z SZYNKI OPISOWA</t>
  </si>
  <si>
    <t>ET.75X79 ŚLĄSKA MEGA PAKA N.SKŁ.</t>
  </si>
  <si>
    <t>ET.70X73 LUKSUSOWA PRZEKĄSKA 180G</t>
  </si>
  <si>
    <t>ET.90X210 SZYN.KONS.OLEWNIK</t>
  </si>
  <si>
    <t>ET.75X110 M-SO GARM.MOR NETTO</t>
  </si>
  <si>
    <t>***ET.100X65 STEK KARK.CZOSNEK KAUF T</t>
  </si>
  <si>
    <t>***ET.60X90 KIEŁB.BBQ</t>
  </si>
  <si>
    <t>***ET.60X90 KIEŁB.SZASZŁYKOWA</t>
  </si>
  <si>
    <t>***ET.60X90 KIEŁB.Z SEREM</t>
  </si>
  <si>
    <t>***ET.60X90 KIEŁB.DEBRECZYŃSKA</t>
  </si>
  <si>
    <t>ET.80X100 SZYN.VAC LIDL LT T</t>
  </si>
  <si>
    <t>ET.70X100 SZYN.VAC LIDL LT PRZ</t>
  </si>
  <si>
    <t>ET.80X100 SCH.VAC LIDL LT T</t>
  </si>
  <si>
    <t>ET.70X100 SCHAB VAC LIDL LT PRZ</t>
  </si>
  <si>
    <t>ET.80X100 ŁOP.VAC LIDL LT T</t>
  </si>
  <si>
    <t>ET.90X100 STEK KARK.CZOSNEK KAUF P</t>
  </si>
  <si>
    <t>ET.70X100 ŁOP.VAC LIDL LTPRZ</t>
  </si>
  <si>
    <t>ET.80X100 KARK.VAC LIDL LT T</t>
  </si>
  <si>
    <t>ET.70X100 KARCZEK VAC LIDL LT PRZ</t>
  </si>
  <si>
    <t>***ET.90X99 M.MIEL.Z SZYN.500G KAUF</t>
  </si>
  <si>
    <t>***ET.65X98 M.MIEL.Z SZYN.500G KAUF T</t>
  </si>
  <si>
    <t>ET.70X90 GULASZ Z ŁOP.500G KAUF P</t>
  </si>
  <si>
    <t>ET.100X65 GULASZ Z ŁOP.500G KAUF T</t>
  </si>
  <si>
    <t>ET.70X90 KARK.KOTL.560G KAUF P</t>
  </si>
  <si>
    <t>ET.100X65 KARK.KOTL.560G KAUF T</t>
  </si>
  <si>
    <t>***ET.100X65 STEK KARK.BBQ KAUF T</t>
  </si>
  <si>
    <t>ET.70X90 GULASZ Z SZYN.500G KAUF P</t>
  </si>
  <si>
    <t>ET.100X65 GULASZ Z SZYN.500G KAUF T</t>
  </si>
  <si>
    <t>ET.70X60 POL.KAUF P</t>
  </si>
  <si>
    <t>ET.150X40 POL.KAUF T</t>
  </si>
  <si>
    <t>ET.70X90 SCH.KOTL.360G KAUF P</t>
  </si>
  <si>
    <t>ET.100X65 SCH.KOTL.360G KAUF T</t>
  </si>
  <si>
    <t>ET.80X100 SZYN.VAC SK T</t>
  </si>
  <si>
    <t>***ET.60X89 KIEŁB.CHORIZO</t>
  </si>
  <si>
    <t>***ET.60X89 KIEŁB.KEBAB</t>
  </si>
  <si>
    <t>ET.80X110 GRILL UNIWERSALNA TESC</t>
  </si>
  <si>
    <t>***ET.70X100 KABANOSY 150G USA</t>
  </si>
  <si>
    <t>***ET.60X90 KIEŁB.BURSZTYN.OZDB.</t>
  </si>
  <si>
    <t>ET.60X89 ŚLĄSKA PREMIUM 550G LIDL PIK</t>
  </si>
  <si>
    <t>ET.80X140 ŻEB.WP.CH RZEŹ P</t>
  </si>
  <si>
    <t>***ET.58X110 BOCZ.WĘDZ.PARZ.LIDL</t>
  </si>
  <si>
    <t>ET.75X94 KASZANKA 600G BIED</t>
  </si>
  <si>
    <t>ET.92X104 KIEŁB.ŻYWIECKA 600G BIED N</t>
  </si>
  <si>
    <t>***ET.60X90 K.ŚLĄSKA Z SZYN.550G PIK P</t>
  </si>
  <si>
    <t>ET.72X93 SZYN.WĘDZ.EXT.BIED</t>
  </si>
  <si>
    <t>ET.60X90 KIEŁB.PODWAW.G&amp;F OZD.LIDL</t>
  </si>
  <si>
    <t>ET.60X55 KIEŁB.ŻYWIECKA 286G BIED N</t>
  </si>
  <si>
    <t>ET.60X60 KIEŁB.BIAŁA PARZ.MP BIED</t>
  </si>
  <si>
    <t>ET.60X90 KIEŁB.BIAŁA PARZ.BIED T</t>
  </si>
  <si>
    <t>ET.90X90 SZYN.WĘDZ.EXT.BIED P</t>
  </si>
  <si>
    <t>ET.80X110 KIEŁB.BIAŁA SUROWA BIED T N</t>
  </si>
  <si>
    <t>ET.60X80 SZYN.B/KONS.BIED T</t>
  </si>
  <si>
    <t>ET.60X80 SZYN.B/KONS.BIED P</t>
  </si>
  <si>
    <t>***ET.101X139 SZYN.7LBS KROGER</t>
  </si>
  <si>
    <t>ET.50X90 SZYN.KROGER T</t>
  </si>
  <si>
    <t>ET.60X90 KIEŁB.PODWAW.G&amp;F T LIDL</t>
  </si>
  <si>
    <t>ET.78X105 BIAŁA Z SZYNKI 500G BIED</t>
  </si>
  <si>
    <t>ET.70X100 BOCZ.VAC LIDL</t>
  </si>
  <si>
    <t>ET.80X100 BOCZ.VAC LIDL T</t>
  </si>
  <si>
    <t>ET.70X80 SZYN.OD SZWAGRA KRA</t>
  </si>
  <si>
    <t>ET.70X75 SCH.OD SZWAGRA KRA T</t>
  </si>
  <si>
    <t>ET.70X80 SCH.OD SZWAGRA KRA BIED</t>
  </si>
  <si>
    <t>***ET.60X70 SCH.WĘDZ.400G BIED P</t>
  </si>
  <si>
    <t>***ET.60X90 SCH.WĘDZ.400G BIED T</t>
  </si>
  <si>
    <t>ET.75X97 SCH.ZE ŚLIWKĄ SOUS VIDE BIED</t>
  </si>
  <si>
    <t>ET.50X45 M.MIEL.Z SZYN.500G RZEŹ P</t>
  </si>
  <si>
    <t>ET.75X97 SZYN.Z BOROWIK.SOUS VIDE BIED</t>
  </si>
  <si>
    <t>***ET.80X70 SZYN.Z BOROW.SOUS VIDE T</t>
  </si>
  <si>
    <t>***ET.80X70 SCH.ZE ŚLIWKĄ SOUS VIDE T</t>
  </si>
  <si>
    <t>ET.70X120 KARK.VAC SK P</t>
  </si>
  <si>
    <t>ET.70X120 ŁOP.VAC SK P</t>
  </si>
  <si>
    <t>ET.80X100 ŁOP.VAC SK T</t>
  </si>
  <si>
    <t>ET.70X100 SZYN.VAC SK P</t>
  </si>
  <si>
    <t>ET.80X100 SCH.VAC SK T</t>
  </si>
  <si>
    <t>ET.70X120 M.MIEL.Z SZYN.500G RZEŹ T</t>
  </si>
  <si>
    <t>ET.70X100 SCH.VAC SK P</t>
  </si>
  <si>
    <t>ET.80X100 KARK.VAC SK T</t>
  </si>
  <si>
    <t>***ET.60X80 BOCZ.Z CZOSNKIEM KRA P</t>
  </si>
  <si>
    <t>***ET.80X50 BOCZ.Z CZOSNKIEM KRA T</t>
  </si>
  <si>
    <t>***ET.FI 50 STICKER PIECZEŃ</t>
  </si>
  <si>
    <t>ET.60X110 BOCZ.LIDL BAR LT</t>
  </si>
  <si>
    <t>ET.40X30 STICKER KABAN.Z ROZMARYNEM</t>
  </si>
  <si>
    <t>ET.40X30 STICKER KABAN.Z JAŁOWCEM</t>
  </si>
  <si>
    <t>ET.52X80 KABAN.Z SZYN.105G</t>
  </si>
  <si>
    <t>ET.52.5X60 POL.RZEŹNIK P</t>
  </si>
  <si>
    <t>ET.60X80 KABAN.CLASSIC 105G DE</t>
  </si>
  <si>
    <t>ET.52X74 KABAN.CLASSIC 105G</t>
  </si>
  <si>
    <t>***ET.52X74 KABAN.CLASSIC 155G</t>
  </si>
  <si>
    <t>***ET.80X55 KABAN.CLASSIC 105G CZ N</t>
  </si>
  <si>
    <t>ET.80X55 KABAN.CLASSIC 105G RO N</t>
  </si>
  <si>
    <t>ET.80X55 KABAN.CLASSIC 105G HU</t>
  </si>
  <si>
    <t>ET.60X80 KABAN.CHILI 105G DE</t>
  </si>
  <si>
    <t>ET.52X74 KABAN.CHILI 105G</t>
  </si>
  <si>
    <t>***ET.80X55 KABAN.CHILI 105G CZ N</t>
  </si>
  <si>
    <t>ET.180X40 POL.RZEŹ T</t>
  </si>
  <si>
    <t>ET.80X55 KABAN.CHILI 105G HU N</t>
  </si>
  <si>
    <t>ET.80X55 KABAN.CHILI 105G RO N</t>
  </si>
  <si>
    <t>ET.60X80 KABAN.Z PIEPRZ.105G DE</t>
  </si>
  <si>
    <t>ET.52X74 KABAN.Z PIEPRZ.105G</t>
  </si>
  <si>
    <t>ET.80X55 KABAN.Z PIEPRZ.105G RO</t>
  </si>
  <si>
    <t>***ET.80X55 KABAN.Z PIEPRZ.105G HU N</t>
  </si>
  <si>
    <t>***ET.52X74 PARTYCZAKI 60G N</t>
  </si>
  <si>
    <t>***ET.70X75 PRZEKĄSKA KABANOS 180G N</t>
  </si>
  <si>
    <t>***ET.60X98 KABAN.KLASYCZNE 180G</t>
  </si>
  <si>
    <t>***ET.57X54 ŁOP.RZEŹ P</t>
  </si>
  <si>
    <t>***ET.55X80 KABAN.BACON 105G GB</t>
  </si>
  <si>
    <t>***ET.60X98 KABAN.MINI BACON 105G</t>
  </si>
  <si>
    <t>***ET.55X80 KABAN.CLASSIC 105G GB</t>
  </si>
  <si>
    <t>***ET.60X98 KABAN.CLASSIC MINI 105G GB</t>
  </si>
  <si>
    <t>***ET.70X73 PRZEKĄSKA LUKSUSOWA 180G N</t>
  </si>
  <si>
    <t>***ET.70X105 KIEŁB.TORUŃSKA</t>
  </si>
  <si>
    <t>ET.60X90 KIEŁB.TORUŃSKA T</t>
  </si>
  <si>
    <t>ET.60X90 KIEŁB.PODWAWELSKA LIDL PIK T</t>
  </si>
  <si>
    <t>ET.63X85 KIEŁB.PODWAWELSKA LIDL PIK P</t>
  </si>
  <si>
    <t>***ET.80X130 KIEŁB.OD SZWAGRA 400G P</t>
  </si>
  <si>
    <t>ET.90X50 KIEŁB.OD SZWAGRA 400G T</t>
  </si>
  <si>
    <t>ET.90X60 K.ŚLĄSKA Z SZYN.PREM.550G LIDL</t>
  </si>
  <si>
    <t>ET.58X110 BOCZ.WĘDZ.PARZ.</t>
  </si>
  <si>
    <t>ET.70X105 SZYN.POLSKA MOR N</t>
  </si>
  <si>
    <t>ET.72X93 SZYN.WĘDZ.BIED</t>
  </si>
  <si>
    <t>ET.TRM.40X50</t>
  </si>
  <si>
    <t>ET.120X80 KIEŁB.ŚLĄSKA ARO</t>
  </si>
  <si>
    <t>ET.70X105 BOCZ.PS</t>
  </si>
  <si>
    <t>ET.80X50 POL.KROTOSZYŃSKA T</t>
  </si>
  <si>
    <t>ET.60X80 POL.KROTOSZYŃSKA P</t>
  </si>
  <si>
    <t>ET.69.5X95 K.ŚLĄSKA 90% 500G LIDL PIK</t>
  </si>
  <si>
    <t>ET.90X93.7 K.ŚLĄSKA 90%M.500G LIDL PIK</t>
  </si>
  <si>
    <t>***ET.70X105 KIEŁB.TORUŃSKA DR.-WP.</t>
  </si>
  <si>
    <t>ET.80X100 KIEŁB.ŚLĄSKA 1.3KG LIDL T</t>
  </si>
  <si>
    <t>ET.67X90 KIEŁB.KRAKOWSKA Z KURCZ.MOR P</t>
  </si>
  <si>
    <t>***ET.50X60 KIEŁB.DO KOSZYCZKA</t>
  </si>
  <si>
    <t>ET.58X110 BOCZ.WĘDZ.PARZ PIK CZ</t>
  </si>
  <si>
    <t>ET.67X90 KIEŁB.KRAKOWSKA Z KURCZ.MOR T</t>
  </si>
  <si>
    <t>ET.60X90 KIEŁB.TORUŃSKA</t>
  </si>
  <si>
    <t>ET.83X113 FRANKFURTERKI</t>
  </si>
  <si>
    <t>***ET.67X90 KIEŁB.ŻYWIECKA Z KURCZ.T</t>
  </si>
  <si>
    <t>***ET.74X117 KIEŁB.ŻYWIECKA Z KURCZ.P</t>
  </si>
  <si>
    <t>ET.70X100 SCH.VAC LIDL P N</t>
  </si>
  <si>
    <t>ET.70X100 SCH.VAC LIDL T</t>
  </si>
  <si>
    <t>ET.70X100 ŁOP.VAC LIDL P</t>
  </si>
  <si>
    <t>ET.70X100 ŁOP.VAC LIDL T</t>
  </si>
  <si>
    <t>ET.70X100 KARK.VAC P</t>
  </si>
  <si>
    <t>ET.70X100 KARK.VAC T</t>
  </si>
  <si>
    <t>ET.70X100 SZYN.VAC P</t>
  </si>
  <si>
    <t>ET.70X100 SZYN.VAC T</t>
  </si>
  <si>
    <t>ET.70X100 BOCZ.VAC LIDL P</t>
  </si>
  <si>
    <t>ET.70X100 BOCZ.VAC LIDL T</t>
  </si>
  <si>
    <t>ET.60X90 KIEŁB.GŁOGOWSKA</t>
  </si>
  <si>
    <t>ET.75X110 K.PODWAWELSKA PZ GRILL TESC</t>
  </si>
  <si>
    <t>***ET.70X90 K.CEBULOWE 300G G&amp;F LIDL P</t>
  </si>
  <si>
    <t>***ET.70X90 K.CEBULOWE 300G G&amp;F LIDL T</t>
  </si>
  <si>
    <t>***ET.70X90 K.BIAŁE Z SZYN.G&amp;F LIDL P</t>
  </si>
  <si>
    <t>***ET.70X90 K.BIAŁE Z SZYN.G&amp;F LIDL T</t>
  </si>
  <si>
    <t>ET.80X100 K.ŚLĄSKA 90% 1.3KG LIDL LT P</t>
  </si>
  <si>
    <t>ET.80X100 K.ŚLĄSKA 90% 1.3KG LIDL LT T</t>
  </si>
  <si>
    <t>ET.60X90 KIEŁB.ŚLĄSKA G&amp;F LIDL T N</t>
  </si>
  <si>
    <t>ET.90X60 KIEŁB.ŚLĄSKA Z SZYN.550G LIDL</t>
  </si>
  <si>
    <t>ET.90X125 K.ŚLĄSKA Z SZYN.550G LIDL P</t>
  </si>
  <si>
    <t>ET.80X100 K.ŚLĄSKA 90% 1.3KG LIDL CZ T</t>
  </si>
  <si>
    <t>ET.70X99 ŻEB.VAC LIDL P</t>
  </si>
  <si>
    <t>ET.70X99 ŻEB.VAC LIDL T</t>
  </si>
  <si>
    <t>ET.69.5X95 KIEŁB.DULANO LIDL EX GB</t>
  </si>
  <si>
    <t>ET.TRM.70X99 ŻEB.LIDL LT P</t>
  </si>
  <si>
    <t>***ET.TRM.70X99 ŻEB.LIDL LT T</t>
  </si>
  <si>
    <t>ET.69.5X95 K.ŚLĄSKA 90% 500G LIDL RO T</t>
  </si>
  <si>
    <t>***ET.85X71 K.ŚLĄSKA 90% 500G LIDL RO P</t>
  </si>
  <si>
    <t>***ET.70X105 K.ŚLĄSKA GRILL TESC P</t>
  </si>
  <si>
    <t>ET.69.5X95 K.ŚLĄSKA 90% 500G LIDL SK T</t>
  </si>
  <si>
    <t>***ET.85X71 K.ŚLĄSKA 90% 500G LIDL SK P</t>
  </si>
  <si>
    <t>ET.69.5X95 K.ŚLĄSKA 90% 500G LIDL HR T</t>
  </si>
  <si>
    <t>***ET.85X71 K.ŚLĄSKA 90% 500G LIDL HR P</t>
  </si>
  <si>
    <t>ET.69.5X95 K.ŚLĄSKA 90% 500G LIDL SI T</t>
  </si>
  <si>
    <t>ET.85X71 K.ŚLĄSKA 90% 500G LIDL SI P</t>
  </si>
  <si>
    <t>ET.70X99 KARK.VAC LIDL LT P</t>
  </si>
  <si>
    <t>ET.70X99 KAR.VAC LIDL LT T</t>
  </si>
  <si>
    <t>ET.70X99 ŁOP.VAC LIDL LT P</t>
  </si>
  <si>
    <t>ET.70X99 ŁOP.VAC LIDL LT T</t>
  </si>
  <si>
    <t>ET.70X99 SZYN.VAC LIDL LT P</t>
  </si>
  <si>
    <t>ET.70X99 SZYN.VAC LIDL LT T</t>
  </si>
  <si>
    <t>ET.70X99 SCH.VAC LIDL LT P</t>
  </si>
  <si>
    <t>ET.70X99 SCH.VAC LIDL LT T</t>
  </si>
  <si>
    <t>***ET.80X100K.ŚLĄSKA 90% 1.3KG LIDL HU T</t>
  </si>
  <si>
    <t>ET.70X99 ŻEB.LIDL LT T N</t>
  </si>
  <si>
    <t>ET.70X99 BOCZ.LIDL LT P</t>
  </si>
  <si>
    <t>ET.70X99 BOCZ.LIDL LT T</t>
  </si>
  <si>
    <t>ET.80X100 K.ŚLĄSKA 90% 1.3KG LIDL SK T</t>
  </si>
  <si>
    <t>ET.60X70 PASZTETOWA MOR LT</t>
  </si>
  <si>
    <t>***ET.85X71 K.ŚLĄSKA 90% 500G FOL LIDLSI</t>
  </si>
  <si>
    <t>ET.85X71 K.ŚLĄSKA 90% 500G FOL LIDL HR</t>
  </si>
  <si>
    <t>ET.85X71 K.ŚLĄSKA 90% 500G FOL LIDL SK</t>
  </si>
  <si>
    <t>ET.85X71 K.ŚLĄSKA 90% 500G FOL LIDL RO</t>
  </si>
  <si>
    <t>ET.60X90 KIEŁB.ŚLĄSKA 550G LIDL LT T</t>
  </si>
  <si>
    <t>ET.90X125 KIEŁB.ŚLĄSKA 550G LIDL LT P</t>
  </si>
  <si>
    <t>***ET.80X100 K.ŚLĄSKA 90% 1.3KG LIDLCZTN</t>
  </si>
  <si>
    <t>***ET.60X90 K.PODWAWELSKA LIDL LT T N</t>
  </si>
  <si>
    <t>ET.69.5X95 K.ŚLĄSKA 90% 500G LIDL PIK N</t>
  </si>
  <si>
    <t>ET.60X90 K.PODWAWELSKA500G PIK LIDL T  N</t>
  </si>
  <si>
    <t>ET.60X90K.ŚLĄSKA Z SZYN.PREM.550G LIDL T</t>
  </si>
  <si>
    <t>***ET.50X80 KIEŁB.TEKSAŃSKA T</t>
  </si>
  <si>
    <t>ET.90X50 KIEŁB.ŚLĄSKA 104G KRA</t>
  </si>
  <si>
    <t>ET.58X110 BOCZ.WĘDZ.PARZ.400G KRA</t>
  </si>
  <si>
    <t>ET.78X120 BOCZ.95%M.LAUK LT</t>
  </si>
  <si>
    <t>ET.78X120 BOCZ.85%M.LAUK LT</t>
  </si>
  <si>
    <t>ET.74X105 KIEŁB.BIAŁA Z SZYN.BIED T</t>
  </si>
  <si>
    <t>ET.70X95 FRANK.350G T</t>
  </si>
  <si>
    <t>ET.TRM.55X99</t>
  </si>
  <si>
    <t>ET.70X100 KABAN.150G KRA PA</t>
  </si>
  <si>
    <t>ET.47X210 BANDEROLA KRA</t>
  </si>
  <si>
    <t>ET.70X100 KIEŁB.SWOJSKA KRA P</t>
  </si>
  <si>
    <t>***ET.70X100 BOCZ.OD SZWAGRA KRA P</t>
  </si>
  <si>
    <t>ET.65X80 KIEŁB.OD SZWAGRA KRA T</t>
  </si>
  <si>
    <t>***ET.STIC.FI 3 KUCHNIA POLSKA BIED</t>
  </si>
  <si>
    <t>ET.TRM.70X95 KIEŁB.BIAŁA Z SZYN.LIDL</t>
  </si>
  <si>
    <t>ET.TRM.80X65 KIEŁB.KRUCHA OD SZWAGRA</t>
  </si>
  <si>
    <t>ET.OZD.90X125 KIEŁB.BIAŁA Z SZYN.LIDL P</t>
  </si>
  <si>
    <t>ET.OZD.60X90 SZYN.WP.PIK P</t>
  </si>
  <si>
    <t>ET.TRM.60X80 SZYN.WP PIK T</t>
  </si>
  <si>
    <t>ET.OZD.65X80 KIEŁ.PODSUSZANA 350G BIED P</t>
  </si>
  <si>
    <t>ET.TRM.65X80 K.PODSUSZANA 350G BIED T</t>
  </si>
  <si>
    <t>ET.OZD.65X80K.PODSUSZANA PIEP/MAJ.BIED P</t>
  </si>
  <si>
    <t>ET.TRM.65X80K.PODSUSZANA PIEP/MAJ.BIED T</t>
  </si>
  <si>
    <t>ET.TRM.70X99 SZYN.VAC LIDL SK T</t>
  </si>
  <si>
    <t>ET.TRM.70X99 SZYN.VAC LIDL SK P</t>
  </si>
  <si>
    <t>ET.OZD.65X80 BOCZ.WĘDZ.NA CIE.KW BIED T</t>
  </si>
  <si>
    <t>ET.TRM.60X70 BOCZ.WĘDZ.NA CIE.KW BIED P</t>
  </si>
  <si>
    <t>ET.TRM.60X80 FRANKI KIEŁB.WP.240G</t>
  </si>
  <si>
    <t>ET.TRM.60X100 KABAN.OD SZWAGRA 150G</t>
  </si>
  <si>
    <t>ET.TRM.70X100 KARK.WP.B/K.KAUF P</t>
  </si>
  <si>
    <t>ET.TRM.70X100 SZYN.WP.B/K.KAUF P</t>
  </si>
  <si>
    <t>ET.TRM.70X100 ŁOP.WP.B/K.KAUF P</t>
  </si>
  <si>
    <t>ET.TRM.70X100 SCH.KAUF</t>
  </si>
  <si>
    <t>ET.TRM.70X99 KARK.VAC LIDL SK P</t>
  </si>
  <si>
    <t>***ET.TRM.70X99 KARK.VAC LIDL SK T</t>
  </si>
  <si>
    <t>ET.BAN.132X47 KIEŁB.PODWAWELSKA Z SZYN.</t>
  </si>
  <si>
    <t>ET.TRM.70X100 KABAN.POLISH SASUAGE</t>
  </si>
  <si>
    <t>ET.OZD.60X90 KIEŁB.TORUŃSKA PIK P</t>
  </si>
  <si>
    <t>ET.TRM.60X90 KIEŁB.TORUŃSKA PIK T</t>
  </si>
  <si>
    <t>***ET.TRM.60X90 FRANK.Z SZYN.220G</t>
  </si>
  <si>
    <t>***ET.TRM.60X90KABAN.MORLIŃSKIE300G RO T</t>
  </si>
  <si>
    <t>***ET.OZD.60X90KABAN.MORLIŃSKIE300G RO P</t>
  </si>
  <si>
    <t>***ET.OZD.90X125K.ŚLĄSKAZ SZYN.500GLIDLP</t>
  </si>
  <si>
    <t>***ET.TRM.60X90K.ŚLĄSKA Z SZYN.500GLIDLT</t>
  </si>
  <si>
    <t>ET.TRM.70X80 KIEŁB.MORLIŃSKA Z BOCZ.</t>
  </si>
  <si>
    <t>***ET.BAN.132X47 KIEŁB.MORLIŃSKA Z BOCZ.</t>
  </si>
  <si>
    <t>ET.TRM.70X100 SCH.VAC LIDL CZ P</t>
  </si>
  <si>
    <t>ET.TRM.70X100 SCH.VAC LIDL CZ T WE</t>
  </si>
  <si>
    <t>***ET.TRM.70X100 SZYN.VAC LIDL CZ T</t>
  </si>
  <si>
    <t>ET.TRM.70X100 SZYN.VAC LIDL CZ P</t>
  </si>
  <si>
    <t>ET.TRM.70X100 KARK.VAC LIDL CZ T</t>
  </si>
  <si>
    <t>ET.TRM.70X100 KARK.VAC LIDL CZ P</t>
  </si>
  <si>
    <t>ET.TRM.80X100 BEST BUTCHER</t>
  </si>
  <si>
    <t>ET.TRM.70X103 K.PODWAWELSKA 500G KRA</t>
  </si>
  <si>
    <t>ET.TRM.70X90 FRANKI KIEŁB.WP.240G CZ/SK</t>
  </si>
  <si>
    <t>ET.BAN.70X90 KIEŁB.ŻYWIECKA 260G KRA N</t>
  </si>
  <si>
    <t>ET.TRM.70X73 ŻYWIECKA ZM.WAG PRL KRA</t>
  </si>
  <si>
    <t>ET.OZD.83X113 KIEŁB.PIEPRZOWE KRA</t>
  </si>
  <si>
    <t>ET.TRM.70X105 ŻEB.MOST.WĘDZ.400G</t>
  </si>
  <si>
    <t>ET.TRM.60X80 KIEŁB.ŚLĄSKA KRA</t>
  </si>
  <si>
    <t>ET.TRM.65X80 KIEŁB.SWOJSKA KRA</t>
  </si>
  <si>
    <t>ET.OZD.90X135 K.PODWAWELSKA Z SZYN.MOR</t>
  </si>
  <si>
    <t>***ET.OZD.85X115K.ŚLĄSKAZSZYN.PREM.PIK P</t>
  </si>
  <si>
    <t>ET.TRM.60X90 K.ŚLĄSKA Z SZYN.PREM.PIK T</t>
  </si>
  <si>
    <t>***ET.OZD.60X90 K.PODWAWELSKA G&amp;F 95% P</t>
  </si>
  <si>
    <t>ET.TRM.60X90 K.PODWAWELSKA G&amp;F 95% T</t>
  </si>
  <si>
    <t>ET.TRM.55X90 KABAN.CLASSIC 105G KRA GB</t>
  </si>
  <si>
    <t>***ET.OZD.70X90 K.ŚLĄSKA CODZIENNA G&amp;F P</t>
  </si>
  <si>
    <t>ET.OZD.80X100 KIEŁB.ŚLĄSKA MP G&amp;F</t>
  </si>
  <si>
    <t>ET.TRM.70X80 KIEŁB.TEKSAŃSKA 270G T</t>
  </si>
  <si>
    <t>ET.TRM.85x80 KIEŁB.MORLIŃSKA GRILL.</t>
  </si>
  <si>
    <t>***ET.TRM.80X100 KIEŁB.ŚLĄSKA MP G&amp;F T</t>
  </si>
  <si>
    <t>ET.TRM.80X90 PROSTOKĄT ZIEL.</t>
  </si>
  <si>
    <t>ET.TRM.70X90 SZYN.KLASYCZNA SW T</t>
  </si>
  <si>
    <t>***ET.OZD.70X60 SZYN.KLASYCZNA SW P</t>
  </si>
  <si>
    <t>ET.TRM.70X103 KIEŁB.PODWAWELSKA MOR</t>
  </si>
  <si>
    <t>ET.TRM.84X84 KIEŁB.ZWYCZAJNA MOR</t>
  </si>
  <si>
    <t>ET.OZD.55X55 SZYN.KLASYCZNA ŚW P</t>
  </si>
  <si>
    <t>ET.OZD.60X90 KIEŁB.ŻYWIECKA KRA</t>
  </si>
  <si>
    <t>ET.OZD.88X90 KIEŁB.ŻYWIECKA 286G BIED</t>
  </si>
  <si>
    <t>ET.OZD.70X90 KIEŁB.ŻYWIECKA 286G LIDL P</t>
  </si>
  <si>
    <t>ET.OZD.60X80 SZYN.ZRAZOWA KRA</t>
  </si>
  <si>
    <t>ET.TRM.80X100 K.ŚLĄSKA 1.3KG LIDL AT T</t>
  </si>
  <si>
    <t>***ET.OZD.80X100 SLESKA KOBASICA G&amp;F</t>
  </si>
  <si>
    <t>***ET.TRM.80X100 SLESKA KOBASICA G&amp;F T</t>
  </si>
  <si>
    <t>***ET.TRM.69X95 KIEŁB.ŚLĄSKA DUL T</t>
  </si>
  <si>
    <t>ET.OZD.90X100 KIEŁB.ŚLĄSKA 198 KCAL DUL</t>
  </si>
  <si>
    <t>ET.OZD.60X90 KIEŁB.TORUŃSKA PIK P N</t>
  </si>
  <si>
    <t>ET.OZD.63X85 KIEŁB.PODWAWELSKA PIK P N</t>
  </si>
  <si>
    <t>ET.TRM.60X89 KIEŁB.PODWAWELSKA PIK T</t>
  </si>
  <si>
    <t>ET.FOL.PP 70X100 KARK.VAC P</t>
  </si>
  <si>
    <t>ET.FOL.PP 70X100 SZYN.VAC P</t>
  </si>
  <si>
    <t>ET.FOL.PP 70X99 ŻEB.VAC LIDL LT P</t>
  </si>
  <si>
    <t>ET.FOL.PP 70X100 BOCZ.VAC LIDL P</t>
  </si>
  <si>
    <t>ET.FOL.PP 70X99 ŁOP.VAC SK P</t>
  </si>
  <si>
    <t>ET.FOL.PP 70X100 SZYN.VAC SK P</t>
  </si>
  <si>
    <t>ET.FOL.PP 70X100 SCH.VAC LIDL CZ P</t>
  </si>
  <si>
    <t>ET.TRM.60X80 KIEŁB.ŚLĄSKA 104G KRA P</t>
  </si>
  <si>
    <t>ET.FOL.PP 70X99 KARK.VAC LIDL LT P</t>
  </si>
  <si>
    <t>ET.FOL.PP 70X99 SZYN.VAC LIDL LT P</t>
  </si>
  <si>
    <t>ET.FOL.PP 70X99 ŻEB.LIDL LT P</t>
  </si>
  <si>
    <t>ET.FOL.PP 70X100 ŁOP.VAC LIDL P</t>
  </si>
  <si>
    <t>ET.FOL.PP 70X99 ŁOP.VAC LIDL LT P</t>
  </si>
  <si>
    <t>ET.OZD.60X80 SZYN.GOLD KRA</t>
  </si>
  <si>
    <t>ET.TRM.60X80 SZYN.GOLD KRA</t>
  </si>
  <si>
    <t>ET.TRM.55X90 KABAN.CLASSIC 105G KRA</t>
  </si>
  <si>
    <t>ET.FOL.PP 70X100 SCH.VAC LIDL T</t>
  </si>
  <si>
    <t>ET.TRM.70X103 KIEŁB.TORUŃSKA 520G MOR</t>
  </si>
  <si>
    <t>ET.OZD.83X113 KIEŁB.BIAŁA KRA</t>
  </si>
  <si>
    <t>ET.FOL.PP 100X70 ŻEB.VAC LIDL P</t>
  </si>
  <si>
    <t>ET.FOL.PP 70X100 ŻEB.VAC LIDL T</t>
  </si>
  <si>
    <t>ET.TRM.58X110 BOCZ.CARSKI MOR</t>
  </si>
  <si>
    <t>ET.TRM.58X110 BOCZ.OKOPC.MOR</t>
  </si>
  <si>
    <t>ET.TRM.90X70 BAL.MOR</t>
  </si>
  <si>
    <t>ET.OZD.115X75 BOCZ.OKOPC.MOR</t>
  </si>
  <si>
    <t>ET.OZD.70X90 KIEŁB.ŚLĄSKA MP KW</t>
  </si>
  <si>
    <t>ET.FOL.PP 70X100 SZYN.VAC LIDL P</t>
  </si>
  <si>
    <t>ET.STICP.50X22.KABAN.DROB.-WP.150G KRA</t>
  </si>
  <si>
    <t>ET.STICP.50X22.KABAN.WP.150G KRA</t>
  </si>
  <si>
    <t>ET.STICP.50X22.KABAN.WP.95G KRA</t>
  </si>
  <si>
    <t>ET.STICP.50X22.KABAN.DROB.-WP.95G KRA</t>
  </si>
  <si>
    <t>ET.STICP.35X50.KABAN.DROB.-WP.300G MOR</t>
  </si>
  <si>
    <t>ET.STICP.35X50.KABAN.WP.300G MOR</t>
  </si>
  <si>
    <t>ET.TRMP.58X110 BOCZ.WĘDZ.PARZ.MOR T</t>
  </si>
  <si>
    <t>ET.OZDP.115X70 BOCZ.WĘDZ.PARZ.MOR P</t>
  </si>
  <si>
    <t>ET.TRMP.72X102 KIEŁB.TORUŃSKA 520G MOR</t>
  </si>
  <si>
    <t>ET.TRMP.70X105 SZYN.DELIKATNA 70% MOR</t>
  </si>
  <si>
    <t>ET.TRMP.68X90 K.CZOSNKOWA MOR UK/LT/EE</t>
  </si>
  <si>
    <t>ET.BANP.70X90 KIEŁB.ŻYWIECKA 230G KRA</t>
  </si>
  <si>
    <t>ET.FOL.PP 70X100 SCH.VAC LIDL P</t>
  </si>
  <si>
    <t>ET.TRMP.70X90 POL.SOPOCKA MOR</t>
  </si>
  <si>
    <t>ET.TRMP.70X80 SCH.OD SZWAGRA KRA T</t>
  </si>
  <si>
    <t>ET.TRMP.72X102 FRANK.MOR PL/GB T</t>
  </si>
  <si>
    <t>ET.TRMP.58X110 BOCZ.WĘDZ.PARZ.97% ALDI T</t>
  </si>
  <si>
    <t>ET.TRMP.70X100 BIZERBA KRA</t>
  </si>
  <si>
    <t>ET.BANF.210X47 KABAN.KLAS.KRA</t>
  </si>
  <si>
    <t>ET.TRMP.60X80 POL.ŁOSOS.KRA T</t>
  </si>
  <si>
    <t>ET.OZDP.50X80 POL.ŁOSOS.KRA P</t>
  </si>
  <si>
    <t>ET.TRMP.50X80 WĘDZ.KROTOSZYŃSKA KRA T</t>
  </si>
  <si>
    <t>ET.TRMP.50X80 WĘDZ.KROTOSZYŃSKA KRA P</t>
  </si>
  <si>
    <t>ET.STICP.FI40 MP</t>
  </si>
  <si>
    <t>ET.STICP.FI35 ODBIERZ ZA 1 GROSZ</t>
  </si>
  <si>
    <t>ET.TRMP.60X80 SZYN.B/KNST.KRA T</t>
  </si>
  <si>
    <t>ET.TRMP.55X100 POL.WĘDZ.KRA T</t>
  </si>
  <si>
    <t>ET.OZDP.50X80 SZYN.B/KNST.KRA P</t>
  </si>
  <si>
    <t>ET.OZDP.50X70 SCH.ZAPIEK.KRA P</t>
  </si>
  <si>
    <t>ET.OZDP.50X70 SZYN.ZAPIEK.KRA P</t>
  </si>
  <si>
    <t>ET.OZDP.50X70 BOCZ.ZAPIEK.KRA P</t>
  </si>
  <si>
    <t>ET.TRMP.60X80 SCH.ZAPIEK.KRA T</t>
  </si>
  <si>
    <t>ET.TRMP.60X80 SZYN.ZAPIEK.KRA T</t>
  </si>
  <si>
    <t>ET.TRMP.60X80 BOCZ.ZAPIEK.KRA T</t>
  </si>
  <si>
    <t>ET.TRMP.58X110 BOCZ.WĘDZ.KW T</t>
  </si>
  <si>
    <t>ET.TRMP.58X110 BOCZ.WĘDZ.PIK T WE</t>
  </si>
  <si>
    <t>ET.OZDP.50X80 SZYN.ZRAZOWA KRA P</t>
  </si>
  <si>
    <t>ET.TRMP.60X80 SZYN.ZRAZOWA KRA T</t>
  </si>
  <si>
    <t>ET.OZDF.50X80 SCH.OD SZWAGRA KRA P</t>
  </si>
  <si>
    <t>ET.TRMF.70X80 SCH.OD SZWAGRA KRA T</t>
  </si>
  <si>
    <t>ET.TRMF.58X110 BOCZ.WĘDZ.PARZ.400G KRA T</t>
  </si>
  <si>
    <t>ET.TRMF.60X80 POL.ŁOSOS.KRA T</t>
  </si>
  <si>
    <t>ET.OZDF.50X80 POL.ŁOSOS.KRA P</t>
  </si>
  <si>
    <t>ET.OZDF.50X80 SZYN.B/KNST.KRA P</t>
  </si>
  <si>
    <t>ET.TRMF.60X80 SZYN.B/KNST.KRA T</t>
  </si>
  <si>
    <t>ET.TRMF.55X100 POL.WĘDZ.KRA T</t>
  </si>
  <si>
    <t>ET.OZDF.80X100 BOCZ.OD KRAKUSA KRA P</t>
  </si>
  <si>
    <t>ET.TRMF.70X100 SZYN.OD KRAKUSA KRA T</t>
  </si>
  <si>
    <t>ET.OZDF.80X100 SCH.OD KRAKUSA KRA P</t>
  </si>
  <si>
    <t>ET.TRMF.70X100 BOCZ.OD KRAKUSA KRA T</t>
  </si>
  <si>
    <t>ET.OZDF.50X80 SZYN.ZRAZOWA KRA P</t>
  </si>
  <si>
    <t>ET.TRMF.60X80 SZYN.ZRAZOWA KRA PL/UK T</t>
  </si>
  <si>
    <t>ET.TRMP.80X100 KIEŁB.SZYN.MOR T</t>
  </si>
  <si>
    <t>ET.OZDP.55X100 POL.WĘDZ.GOLD KRA P</t>
  </si>
  <si>
    <t>ET.TRMF.55X100 POL.WĘDZ.GOLD KRA T</t>
  </si>
  <si>
    <t>ET.OZDP.55X55 SZYN.KLAS.ALDI P</t>
  </si>
  <si>
    <t>ET.TRMP.70X90 SZYN.KLAS.ALDI T</t>
  </si>
  <si>
    <t>ET.TRMP.70X90 KIEŁB.CODZIENNA PIK RO T</t>
  </si>
  <si>
    <t>ET.OZDP.90X100 KIEŁB.CODZIENNA PIK RO P</t>
  </si>
  <si>
    <t>ET.OZDF.50X80 SCH.OD SZWAGRA GOLD KRA P</t>
  </si>
  <si>
    <t>ET.TRMF.70X80 SCH.OD SZWAGRA GOLD KRA T</t>
  </si>
  <si>
    <t>ET.TRMP.84X95 KIEŁB.ZWYCZ.MOR PL/UK T</t>
  </si>
  <si>
    <t>ET.TRMP.58X110 BOCZ.CARSKI MOR PL/UK T</t>
  </si>
  <si>
    <t>ET.TRMP.80X90 POL.SOPOCKA MOR PL/UK T</t>
  </si>
  <si>
    <t>ET.TRMP.80X100 ŻEB.WP.MOR PL/UK T</t>
  </si>
  <si>
    <t>ET.OZDF.80X100 KIEŁB.BIAŁE KRA P</t>
  </si>
  <si>
    <t>ET.TRMP.70X90 BOCZ.PENNY MOR HU T</t>
  </si>
  <si>
    <t>ET.TRMP.78X120 BOCZ.95% PORM PL/LT T</t>
  </si>
  <si>
    <t>ET.TRMP.78X120 BOCZ.95% PORM LV/EE T</t>
  </si>
  <si>
    <t>ET.TRMP.83X103 KIEŁB.BIWAKOWA 1KG RO T</t>
  </si>
  <si>
    <t>ET.OZDP.70X90 KIEŁ.BIWAKOWA 1KG RO P</t>
  </si>
  <si>
    <t>ET.OZDF.50X60 BOCZ.WĘDZ.PARZ.400G KRA P</t>
  </si>
  <si>
    <t>ET.TRMP.80X100 BOCZ.CARSKI ELIT GB T</t>
  </si>
  <si>
    <t>ET.OZDP.80X100 KIEŁB.OD MASARZA KRA P</t>
  </si>
  <si>
    <t>ET.TRMP.72X105 K.MAZURSKA MOR PL/UK T</t>
  </si>
  <si>
    <t>ET.OZDP.63X85 KASZANKA MOR P</t>
  </si>
  <si>
    <t>ET.TRMP.68X90 SALAMI ELIT T</t>
  </si>
  <si>
    <t>ET.OZDP.80X100 KIEŁB.SER/POM.MOR P</t>
  </si>
  <si>
    <t>ET.OZDP.60X60 BOCZ.CARSKI MOR P</t>
  </si>
  <si>
    <t>ET.OZDP.60X60 SZYN.DELIKATNA MOR P</t>
  </si>
  <si>
    <t>ET.TRMP.70X105 SZYN.DELIKATNA MOR T</t>
  </si>
  <si>
    <t>ET.TRMP.58X110 BOCZ.CARSKI MOR T</t>
  </si>
  <si>
    <t>ET.OZDP.80X100 KIEŁB.SŁODKA PAPR.MOR P</t>
  </si>
  <si>
    <t>ET.OZDP.80X100 KIEŁ.ŚLĄSKA KW P</t>
  </si>
  <si>
    <t>ET.OZDP.63X85 FRANK.DROB.MOR P</t>
  </si>
  <si>
    <t>ET.TRMP.68X90 BALERON MOR T</t>
  </si>
  <si>
    <t>ET.OZDP.60X60 BALERON MOR P</t>
  </si>
  <si>
    <t>ET.TRMP.80X110 KARK.VAC BIED P</t>
  </si>
  <si>
    <t>ET.TRMF.70X100 KARK.VAC LIDL T</t>
  </si>
  <si>
    <t>ET.TRMF.70X100 BOCZ.VAC LIDL T</t>
  </si>
  <si>
    <t>ET.TRMF.70X100 SZYN.VAC LIDL T</t>
  </si>
  <si>
    <t>ET.TRMF.70X100 SCH.VAC LIDL T</t>
  </si>
  <si>
    <t>ET.TRMF.70X100 ŁOP.VAC LIDL T</t>
  </si>
  <si>
    <t>ET.OZDF.50X80 SCH.ŚWIĘTOKRZ.KRA P</t>
  </si>
  <si>
    <t>ET.TRMF.60X80 SZYN.ŚWIĘTOKRZ.KRA T</t>
  </si>
  <si>
    <t>ET.TRMF.60X80 SCH.ŚWIĘTOKRZ.KRA T</t>
  </si>
  <si>
    <t>ET.OZDF.50X80 SZYN.RYCERSKA KRA P</t>
  </si>
  <si>
    <t>ET.TRMF.70X80 SZYN.RYCERSKA KRA T</t>
  </si>
  <si>
    <t>ET.TRMP.60X80 SZYN.MAGNACKA KRA T</t>
  </si>
  <si>
    <t>ET.OZDP.70X80 SZYN.MAGNACKA KR P</t>
  </si>
  <si>
    <t>ET.TRMP.73X102 K.ŚLĄSKA TŁ.20G MP KW</t>
  </si>
  <si>
    <t>ET.TRMP.73X102 K.ŚLĄSKA 550G TŁ.18G KW</t>
  </si>
  <si>
    <t>ET.TRMP.73X102 K.ŚLĄSKA TŁ.18G MP KW</t>
  </si>
  <si>
    <t>ET.OZDP.90X100 ŻEB.WP.MOR P</t>
  </si>
  <si>
    <t>ET.OZDP.80X100 KIEŁB.WP.BIAŁE PARZ.P</t>
  </si>
  <si>
    <t>ET.OZDP.80X100 KIEŁB.SER/POMID.P</t>
  </si>
  <si>
    <t>ET.TRMP.75X90 KIEŁB.SER/POMID.T</t>
  </si>
  <si>
    <t>ET.TRMP.75X90 KIEŁB.PAPR.T</t>
  </si>
  <si>
    <t>ET.OZDP.80X100 KIEŁB.PAPR.P</t>
  </si>
  <si>
    <t>ET.OZDP.70X90 FRANK.Z.SZYN.MOR P</t>
  </si>
  <si>
    <t>ET.TRMP.72X102 FRANK.CZ/SK/HU T</t>
  </si>
  <si>
    <t>ET.TRMP.78X120 BOCZ.PORM LT/LV/EE T</t>
  </si>
  <si>
    <t>ET.TRMF.60X90 KARK.STM T</t>
  </si>
  <si>
    <t>ET.TRMF.60X90 ŁOP.STM T</t>
  </si>
  <si>
    <t>ET.OZDF.65X100 KARCZEK STM P</t>
  </si>
  <si>
    <t>ET.OZDF.65X100 ŁOP.STM P</t>
  </si>
  <si>
    <t>PAD CEL.ZAMK.100X150 4000 BIA.</t>
  </si>
  <si>
    <t>KAR.470X250X160 KOREA D</t>
  </si>
  <si>
    <t>***KAR.380X380X180 B/N</t>
  </si>
  <si>
    <t>KAR.KR.480X290X180 5W BIA.K.FRZ AX B/OT.</t>
  </si>
  <si>
    <t>KAR.440X240X230 ANIMEX EXP KOREA</t>
  </si>
  <si>
    <t>KAR.360X300X105 KRAKUS SZARY</t>
  </si>
  <si>
    <t>***KAR.590X400X160 KOREA EXP</t>
  </si>
  <si>
    <t>OKT.POK.1195X795X145 3W SZAR.</t>
  </si>
  <si>
    <t>KAR.430X330X126 KRA EX</t>
  </si>
  <si>
    <t>KAR.535X360X105 ANIMEX EXP KOREA BIAŁY</t>
  </si>
  <si>
    <t>KAR.382X252X176 5W SZARY STRZAŁKA</t>
  </si>
  <si>
    <t>KAR.571X366X176 5W SZARY STRZAŁKA</t>
  </si>
  <si>
    <t>KAR.576X366X86 5W SZARY STRZAŁKA</t>
  </si>
  <si>
    <t>KAR.KR.360X300X105 3W SZAR.STRZ.</t>
  </si>
  <si>
    <t>***KAR.571X366X140 5W SZARY STRZAŁKA</t>
  </si>
  <si>
    <t>OKT.1180X780X985 5W SZAR.B/D</t>
  </si>
  <si>
    <t>***KAR.380X380X145 3 W SZARY STRZAŁKA</t>
  </si>
  <si>
    <t>***KAR.380X280X120 3 W SZARY STRZAŁKA</t>
  </si>
  <si>
    <t>KAR.585X390X150 SMITHFIELD</t>
  </si>
  <si>
    <t>KAR.375X189X181 UNIWERSALNY KRAKUS D</t>
  </si>
  <si>
    <t>***KAR.150X125X250 GRANAT.KRAKUS</t>
  </si>
  <si>
    <t>KAR.586X387X149 D SMITHFIELA NADRUK USA</t>
  </si>
  <si>
    <t>KAR.KA.285X191X100 3W SZAR.STRZ.</t>
  </si>
  <si>
    <t>***KAR.220X160X218 KRAKUSKI</t>
  </si>
  <si>
    <t>***KAR.358X238X160 KASZANKA NS D</t>
  </si>
  <si>
    <t>KAR.280X130X200 MORLINY PLASTRY</t>
  </si>
  <si>
    <t>***KAR.560X400X130 WZMOCNIONY</t>
  </si>
  <si>
    <t>***KAR.318X193X114 3W</t>
  </si>
  <si>
    <t>KAR.306X205X133 KRAKUS SZARY W</t>
  </si>
  <si>
    <t>KAR.306X205X133 KRAKUS 300G NIEB.D</t>
  </si>
  <si>
    <t>KAR.218X158X125 PARÓWKI ALDI</t>
  </si>
  <si>
    <t>***KAR.375X189X180 W ŻYWIECKA BIEDRONKA</t>
  </si>
  <si>
    <t>***KAR.375X189X180 D ŻYWIECKA BIEDRONKA</t>
  </si>
  <si>
    <t>KAR.375X189X180 KRAKOWSKA BIEDRONKA W</t>
  </si>
  <si>
    <t>KAR.375X189X180 KRAKOWSKA BIEDRONKA D</t>
  </si>
  <si>
    <t>***KAR.W.375X182X188 KIEŁB.PODWAW.PRO W</t>
  </si>
  <si>
    <t>***KAR.W.375X182X188 KIEŁB.PODWAW.PRO D</t>
  </si>
  <si>
    <t>KAR.358X238X160 KASZANKA NASZE SMAKI W</t>
  </si>
  <si>
    <t>KAR.370X200X210 TESCO GRILL D</t>
  </si>
  <si>
    <t>KAR.370X200X210 TESCO W</t>
  </si>
  <si>
    <t>***KAR.218X158X215 TESCO GRILL</t>
  </si>
  <si>
    <t>***KAR.200X195X220 D TESCO SALCESON</t>
  </si>
  <si>
    <t>***KAR.200X195X220 D TESCO SZYNKA DOMOWA</t>
  </si>
  <si>
    <t>***KAR.200195X220 D TESCO KIEŁ.KANAPKOWA</t>
  </si>
  <si>
    <t>KAR.370X200X210 D TESCO POL WĘDLINY</t>
  </si>
  <si>
    <t>***KAR.218X158X215 MORLINY Z/N</t>
  </si>
  <si>
    <t>KAR.W.200X195X220 SZARY TESC W</t>
  </si>
  <si>
    <t>***KAR.194X189X215 D SZYNKA MIELONA</t>
  </si>
  <si>
    <t>KAR.200X195X220 KRAKUS TESCO D</t>
  </si>
  <si>
    <t>***KAR.370X200X210 D TESCO KRAKUS</t>
  </si>
  <si>
    <t>***KAR.370X200X210 MORLINY RND D</t>
  </si>
  <si>
    <t>KAR.W.200X195X220 MOR TESC D</t>
  </si>
  <si>
    <t>***KAR.200X195X220 POL.WĘDL.TESCO D</t>
  </si>
  <si>
    <t>***KAR.295X190X220 W COMPRO MORLINY</t>
  </si>
  <si>
    <t>***KAR.295X190X220 D COMPRO MORLINY</t>
  </si>
  <si>
    <t>KAR.590X400X70 TACA KARTONOWA</t>
  </si>
  <si>
    <t>KAR.564X362X109 TACKA</t>
  </si>
  <si>
    <t>KAR.575X378X120 TACA KARTON.</t>
  </si>
  <si>
    <t>***KAR.315X192X117 COMPRO KRAKUS W</t>
  </si>
  <si>
    <t>***KAR.315X192X117 COMPRO KRAKUS D</t>
  </si>
  <si>
    <t>***KAR.412X238X202 W JMD KABANOS MAP</t>
  </si>
  <si>
    <t>***KAR.412X238X202 D JMD KABANOS MAP</t>
  </si>
  <si>
    <t>***KAR.200X390X145 W JMD PODWAWELSKA</t>
  </si>
  <si>
    <t>***KAR.200X390X145 D JMD PODWAWELSKA</t>
  </si>
  <si>
    <t>KAR.375X189X181 UNIWERSALNY</t>
  </si>
  <si>
    <t>***KAR.375X189X181 D UNIWERSALNY</t>
  </si>
  <si>
    <t>KAR.355X235X75 POLĘDWICZKI WP.</t>
  </si>
  <si>
    <t>KAR.586X387X149 W SMITHFIELA NADRUK USA</t>
  </si>
  <si>
    <t>KAR.380X240X160 5W B/N</t>
  </si>
  <si>
    <t>***KAR.571X366X176 5W STARZAŁKA WZMOC</t>
  </si>
  <si>
    <t>KAR.205X170X127 3W TESCO W</t>
  </si>
  <si>
    <t>***KAR.209X174X128 MORLINY FLAGA D</t>
  </si>
  <si>
    <t>***KAR.571X366X176 5W WZMOC</t>
  </si>
  <si>
    <t>KAR.375X189X180 W PIKOK KABANOSSI</t>
  </si>
  <si>
    <t>KAR.375X189X180 D PIKOK KABANOSSI</t>
  </si>
  <si>
    <t>KAR.375X189X180 KIEŁB.ŻYWIECKA 600G D</t>
  </si>
  <si>
    <t>KAR.MORLINY 228X188X215 WIEKO</t>
  </si>
  <si>
    <t>KAR.228X188X215 MORLINY D</t>
  </si>
  <si>
    <t>***KAR.580X380X90 KRAKUS</t>
  </si>
  <si>
    <t>KAR.KR.580X385X160 3W SZAR.</t>
  </si>
  <si>
    <t>***KAR.376X183X187 W SALCESON  MORLINY</t>
  </si>
  <si>
    <t>KAR.580X375X120 TACKA</t>
  </si>
  <si>
    <t>***KAR.285X255X200 W PASZTEK WP MORINY</t>
  </si>
  <si>
    <t>***KAR.320X250X220 D KASZANKA JMD</t>
  </si>
  <si>
    <t>***KAR.320X250X220 W KASZANKA JMD</t>
  </si>
  <si>
    <t>KAR.380X187X186X D BARONI LIDL</t>
  </si>
  <si>
    <t>KAR.WR.375X182X188 3W SZAR.W</t>
  </si>
  <si>
    <t>***KAR.200X195X220 GRANAT B/N</t>
  </si>
  <si>
    <t>***KAR.320X250X220 KASZANKA GRILL JMD D</t>
  </si>
  <si>
    <t>***KAR.320X250X220 KASZANKA GRILL W JMD</t>
  </si>
  <si>
    <t>***KAR.600X400X175 TACKA</t>
  </si>
  <si>
    <t>KAR.358X236X160 KASZANKA GRILL D</t>
  </si>
  <si>
    <t>KAR.380X290X140 TACKA</t>
  </si>
  <si>
    <t>***KAR.285X255X200 D PASZTET WP MORINY</t>
  </si>
  <si>
    <t>***KAR.376X183X187 D SALCESON  MORLINY</t>
  </si>
  <si>
    <t>***KAR.376X183X190ŻYW D 600G SKŁADAR JMD</t>
  </si>
  <si>
    <t>***KAR.376X183X190ŻYWIECKA W 600GSKŁADAR</t>
  </si>
  <si>
    <t>KAR.WR.573X385X173 3W TAC.DŁ.SZAR.</t>
  </si>
  <si>
    <t>KAR.375X282X143 TACA 5W SZARY</t>
  </si>
  <si>
    <t>***KAR.W.560X356X141 SZARY RO D</t>
  </si>
  <si>
    <t>KAR.W.595X375X144 BIAŁY RO W</t>
  </si>
  <si>
    <t>KAR.376X183X190 ŻYWIECKA JMD 286G D</t>
  </si>
  <si>
    <t>KAR.WA.377X187X120 3W SZAR.W</t>
  </si>
  <si>
    <t>KAR.330X210X125 3W B/N</t>
  </si>
  <si>
    <t>KAR.480X260X166 PORKLAND W</t>
  </si>
  <si>
    <t>KAR.470X250X160 PORKLAND D</t>
  </si>
  <si>
    <t>KAR.535X360X105 PORKLAND</t>
  </si>
  <si>
    <t>KAR.368X242X207 WKŁADKA MIX PARTYCZAKI</t>
  </si>
  <si>
    <t>KAR.368X242X207 MIX PARTYCZAKI W</t>
  </si>
  <si>
    <t>KAR.368X242X207 MIX PARTYCZAKI D</t>
  </si>
  <si>
    <t>KAR.330X210X180 3W B/N</t>
  </si>
  <si>
    <t>KAR.375X182X180 MORLINY SKŁADARKA D</t>
  </si>
  <si>
    <t>KAR.375X182X180 MORLINY SKŁADARKA W</t>
  </si>
  <si>
    <t>KAR.200X195X220 D WĘDLINY DOMOWE</t>
  </si>
  <si>
    <t>***KAR.375X182X188 POLSKIE WĘDLINY TESCO</t>
  </si>
  <si>
    <t>***KAR.360X300X105 B/N Z OTWORAMI</t>
  </si>
  <si>
    <t>KAR.535X360X105 BIAŁY B/N</t>
  </si>
  <si>
    <t>***KAR.571X366X140 5W  Z OTWOREM</t>
  </si>
  <si>
    <t>KAR.W.1170X970X925 SZARY JUMBO BOX</t>
  </si>
  <si>
    <t>***KAR.593X393X140 TACKA</t>
  </si>
  <si>
    <t>KAR.238X288X187 KIEŁBASA KRUCHA W</t>
  </si>
  <si>
    <t>KAR.238X288X187 KIEŁBASA KRUCHA D</t>
  </si>
  <si>
    <t>***KAR.306X205X133 KRAKUS CZERWONY D</t>
  </si>
  <si>
    <t>***KAR.312X206X185 KRAKUS W</t>
  </si>
  <si>
    <t>***KAR.312X206X185 KRAKUS D</t>
  </si>
  <si>
    <t>KAR.200X195X220 TESCO SALCESON VALUA</t>
  </si>
  <si>
    <t>KAR.573X336X116 TACKA</t>
  </si>
  <si>
    <t>KAR.WA.379X130X206 2W CZAR.DELUX D</t>
  </si>
  <si>
    <t>***KAR.W.379X130X206 DELUXE LIDL W</t>
  </si>
  <si>
    <t>KAR.376X290X141 TACKA JMD</t>
  </si>
  <si>
    <t>KAR.W.370X65X35 KARTONETKA POLĘDWICZKA</t>
  </si>
  <si>
    <t>KAR.312X206X185 KRAKUS RETRO D</t>
  </si>
  <si>
    <t>KAR.312X206X185 KRAKUS RETRO W</t>
  </si>
  <si>
    <t>KAR.W.380X290X140 TACKA JMD NR</t>
  </si>
  <si>
    <t>KAR.WS.580X375X70 5W TAC.KR.SZAR.</t>
  </si>
  <si>
    <t>KAR.WS.587X374X120 5W TAC.KR.SZAR.</t>
  </si>
  <si>
    <t>KAR.KR.360X300X105 3W SZAR.KRA</t>
  </si>
  <si>
    <t>KAR.WS.390X283X90 5W TAC.KR.SZAR.</t>
  </si>
  <si>
    <t>***KAR.370X200X210 RETRO TESCO KRAKUS D</t>
  </si>
  <si>
    <t>***KAR.375X189X181 RETRO UNIWERSALNY D</t>
  </si>
  <si>
    <t>***KAR.200X195X220 KRAKUS RETRO TESCO D</t>
  </si>
  <si>
    <t>KAR.200X195X220 KRAKUS TESCO NOWY D</t>
  </si>
  <si>
    <t>KAR.376X290X141 TACKA</t>
  </si>
  <si>
    <t>***KAR.192X100X61 KARTONET.PULLED PORK</t>
  </si>
  <si>
    <t>KAR.380X240X280 5W LOGO SZARE</t>
  </si>
  <si>
    <t>KAR.380X250X100 5W SZARY LOGO</t>
  </si>
  <si>
    <t>***KAR.326X247X166  W KASZ. 4.8  JMD</t>
  </si>
  <si>
    <t>***KAR.376X183X160ŻYW.600G JMD WSPÓLNE W</t>
  </si>
  <si>
    <t>KAR.KR.380X240X100 5W SZAR.</t>
  </si>
  <si>
    <t>***KAR.376X183X160 ŻYW D 600G  JMD</t>
  </si>
  <si>
    <t>***KAR.184X95X61 KAR.PULLED PORK BARBE</t>
  </si>
  <si>
    <t>KAR.376X183X160 ŻYW.600 JMD ŚWIĄT.D</t>
  </si>
  <si>
    <t>KAR.254X96X190 MEAL QUICK</t>
  </si>
  <si>
    <t>KAR.480X290X180 ANIMEX EXP KOREA 5W BIAŁ</t>
  </si>
  <si>
    <t>KAR.W.376X183X160 ŻYW.286G JMD D</t>
  </si>
  <si>
    <t>***KAR.390X390X110 TAC.RĘCZ.SK.</t>
  </si>
  <si>
    <t>***KAR.380X290X90 TAC.RĘCZ.SKŁ.</t>
  </si>
  <si>
    <t>***KAR.580X375X70 TAC.RĘCZ.SKŁ.</t>
  </si>
  <si>
    <t>***KAR.380X290X140 TAC.RĘCZ.SKŁ.</t>
  </si>
  <si>
    <t>***KAR.580X380X120 TAC.FALA BC</t>
  </si>
  <si>
    <t>KAR.370X200X210 MORLINY  D</t>
  </si>
  <si>
    <t>KAR.W.145X139X210 MOR W</t>
  </si>
  <si>
    <t>KAR.150X144X212 MORLINY D</t>
  </si>
  <si>
    <t>***KAR.380X187X186X W GRILL FUN LIDL</t>
  </si>
  <si>
    <t>***KAR.380X187X186X D GRILL FUN LIDL</t>
  </si>
  <si>
    <t>KAR.278X242X207 MOR.KABANOS W</t>
  </si>
  <si>
    <t>KAR.278X242X207 MOR.KABANOS D</t>
  </si>
  <si>
    <t>KAR.278X242X207 MOR.KABANOS SEPARATOR</t>
  </si>
  <si>
    <t>KAR.W.560X356X141 SZARY SMITHFIELD D</t>
  </si>
  <si>
    <t>KAR.W.560X356X141 BIAŁY SMITHFIELD W</t>
  </si>
  <si>
    <t>KAR.285X185X220X WKŁADKA PARTYCZAKI</t>
  </si>
  <si>
    <t>KAR.285X185X220X PARTYCZAKI W</t>
  </si>
  <si>
    <t>KAR.285X185X220X PARTYCZAKI D</t>
  </si>
  <si>
    <t>KAR.W.580X375X120 TACKA 1/4 NOWA SKŁ.</t>
  </si>
  <si>
    <t>***KAR.490X210X162 ŻEB.DK</t>
  </si>
  <si>
    <t>KAR.480X290X180 ANIMEX EX 5W Z/N</t>
  </si>
  <si>
    <t>***KAR.292X87X238 LASSOO</t>
  </si>
  <si>
    <t>KAR.384X288X245 KRA W</t>
  </si>
  <si>
    <t>KAR.384X288X245 SEPARATOR  KRAKUS</t>
  </si>
  <si>
    <t>KAR.384X288X245 KRA D</t>
  </si>
  <si>
    <t>***KAR.248X162X209 ŻEB.MQ</t>
  </si>
  <si>
    <t>KAR.320X160X200 EXP  KRAKUS</t>
  </si>
  <si>
    <t>***KAR.371X183X120SALCESON Z PIETR.JMP D</t>
  </si>
  <si>
    <t>***KAR.371X183X120SALCESON Z PIETR.JMD W</t>
  </si>
  <si>
    <t>KAR.375X182X188 MORLINY NOWE SKŁ.W</t>
  </si>
  <si>
    <t>KAR.WS.375X182X188 5W DIS.GRAN.MOR D</t>
  </si>
  <si>
    <t>KAR.377X245X210  PARTYCZAKI WKŁADKA</t>
  </si>
  <si>
    <t>KAR.377X245X210  PARTYCZAKI WIEKO</t>
  </si>
  <si>
    <t>KAR.377X245X210 PARTYCZAKI DNO</t>
  </si>
  <si>
    <t>KAR.390X390X110 TAC.SKŁ.</t>
  </si>
  <si>
    <t>***KAR.W.370X65X35 POLEDWICZKA EX</t>
  </si>
  <si>
    <t>KAR.WA.371X183X165 5W DIS.KOL.KRA D</t>
  </si>
  <si>
    <t>KAR.WA.300X597 3W SZAR.W</t>
  </si>
  <si>
    <t>KAR.228X188X215 MOR D</t>
  </si>
  <si>
    <t>KAR.184X95X61 MEAL QUCIK GOLONKA</t>
  </si>
  <si>
    <t>KAR.184X95X61 MEAL QUCIK POLICZKI</t>
  </si>
  <si>
    <t>KAR.575X370X305 MORLINY STEND</t>
  </si>
  <si>
    <t>KAR.595X395X305 KRATOWNICA STEND</t>
  </si>
  <si>
    <t>KAR.277X175X117 KRAKUS DNO</t>
  </si>
  <si>
    <t>KAR.586X386X140 KRATOWNICA STEND</t>
  </si>
  <si>
    <t>***KAR.577X385X319 TACA STEND</t>
  </si>
  <si>
    <t>***KAR.W.370X200X210 GRILL.TESC D SKŁ.</t>
  </si>
  <si>
    <t>KAR.277X175X117 KRAKUS WIEKO</t>
  </si>
  <si>
    <t>KAR.388X588X140  PODEST STEND</t>
  </si>
  <si>
    <t>KAR.392X592X1120 CZAPA STEND</t>
  </si>
  <si>
    <t>KAR.540X355X120 SEPARATOR STEND</t>
  </si>
  <si>
    <t>***KAR.W.376X183X190 KRA.SKŁ.</t>
  </si>
  <si>
    <t>KAR.K.535X360X105 RÓŻ.BIG</t>
  </si>
  <si>
    <t>OKT.1180X780X1560 5W SZAR.B/D</t>
  </si>
  <si>
    <t>KAR.320X252X220 KASZANKA SKŁ.JMD D</t>
  </si>
  <si>
    <t>KAR.320X252X220  W</t>
  </si>
  <si>
    <t>KAR.WA.387X160X190 3W DIS.KOL.KRA D</t>
  </si>
  <si>
    <t>KAR.KR.355X235X180 5W SZAR.</t>
  </si>
  <si>
    <t>KAR.136X126X200 W</t>
  </si>
  <si>
    <t>KAR.187X187X194 W</t>
  </si>
  <si>
    <t>KAR.WA.194X194X195 3W DIS.GRAN.MOR D</t>
  </si>
  <si>
    <t>KAR.139X126X225 W</t>
  </si>
  <si>
    <t>KAR.144X134X195 MORLINY D</t>
  </si>
  <si>
    <t>KAR.WA.294X162X195 3W DIS.KOL.KRA D</t>
  </si>
  <si>
    <t>KAR.287X155X194 W</t>
  </si>
  <si>
    <t>KAR.320X252X220 SZTUKS MIĘSA MOR D</t>
  </si>
  <si>
    <t>KAR.W.320X246X222 K.MOR.Z SZYN.SKŁ.D</t>
  </si>
  <si>
    <t>***KAR.W.294X194X195 KRA W</t>
  </si>
  <si>
    <t>KAR.289X117X195 KRAKUS D</t>
  </si>
  <si>
    <t>***KAR.200X195X220 W TESCO</t>
  </si>
  <si>
    <t>KAR.WA.294X116X128 3W DIS.GRAN.MOR D</t>
  </si>
  <si>
    <t>KAR.WA.294X116X125 3W SZAR.W</t>
  </si>
  <si>
    <t>***KAR.W.294X194X195 KRA D</t>
  </si>
  <si>
    <t>KAR.WA.294X194X195 3W DIS.GRAN.MOR D</t>
  </si>
  <si>
    <t>KAR.WA.294X194X195 3W SZAR.W</t>
  </si>
  <si>
    <t>KAR.289X117X195 KRAKUS W</t>
  </si>
  <si>
    <t>KAR.389X194X194 MORLINY D</t>
  </si>
  <si>
    <t>KAR.380X185X192 SZARY MORLINY W</t>
  </si>
  <si>
    <t>KAR.302X241X207 GRILL FUN LIDL D</t>
  </si>
  <si>
    <t>KAR.1170X770X600  5W OKTOBINA</t>
  </si>
  <si>
    <t>KAR.302X241X207 GRILL FUN LIDL W</t>
  </si>
  <si>
    <t>KAR.WS.320X252X220 5W DIS.GRAN.MOR D</t>
  </si>
  <si>
    <t>KAR.380X380X230</t>
  </si>
  <si>
    <t>KAR.408X563 WKŁADKA NA PÓŁKĘ STEND</t>
  </si>
  <si>
    <t>KAR.1532X1170 STAND MODUŁOWY - 3 PÓŁKOWY</t>
  </si>
  <si>
    <t>KAR.1015X355 OSŁONA PRZEDNIA STEND</t>
  </si>
  <si>
    <t>***KAR.1015X355 TACKA PÓŁKA STEND</t>
  </si>
  <si>
    <t>KAR.974X325 BAZA STEND</t>
  </si>
  <si>
    <t>KAR.1164X335 KRATOWNICA DO PODESTU STEND</t>
  </si>
  <si>
    <t>***KAR.2032X1308 CZAPA TRANSPORT.STEND</t>
  </si>
  <si>
    <t>***KAR.W.379X273X244 KRA D</t>
  </si>
  <si>
    <t>***KAR.W.379X273X244 KRA W</t>
  </si>
  <si>
    <t>***KAR.W.379X273X244 KRA SEPARATOR</t>
  </si>
  <si>
    <t>KAR.WA.161X293X194 3W DIS.SZAR.KRA D</t>
  </si>
  <si>
    <t>KAR.WA.161X293X194 3W SZAR.W</t>
  </si>
  <si>
    <t>KAR.159X134X195 MOR D</t>
  </si>
  <si>
    <t>KAR.WA.154X129X200 3W SZAR.W</t>
  </si>
  <si>
    <t>KAR.W.374X187X182 PIK SKŁ.D</t>
  </si>
  <si>
    <t>KAR.374X187X182 PIKOK WIEKO</t>
  </si>
  <si>
    <t>KAR.WA.294X162X195 3W SZAR.W</t>
  </si>
  <si>
    <t>KAR.WA.294X162X195 3W DIS.GRAN.MOR D</t>
  </si>
  <si>
    <t>KAR.WA.150X125X250 3W DIS.KOL.KRA C</t>
  </si>
  <si>
    <t>KAR.WA.90X308X160 3W SZAR.W</t>
  </si>
  <si>
    <t>KAR.WA.82X290X155 3W KOL.KRA D</t>
  </si>
  <si>
    <t>KAR.374X243X134 PIKOK 4PK W</t>
  </si>
  <si>
    <t>***KAR.W.380X249X135 4PK PIK D</t>
  </si>
  <si>
    <t>***KAR.W.153X142X211 CZARNY B/LOGO D</t>
  </si>
  <si>
    <t>***KAR.W.153X142X211 W</t>
  </si>
  <si>
    <t>KAR.374X182X193 ŚWIĄTECZNY DNO</t>
  </si>
  <si>
    <t>KAR.583X384X120 TACA 1/4</t>
  </si>
  <si>
    <t>KAR.583X384X150 TACA</t>
  </si>
  <si>
    <t>KAR.388X287X137 TACA</t>
  </si>
  <si>
    <t>KAR.KR.586X286X190 5W BIA.AX</t>
  </si>
  <si>
    <t>***KAR.294X162X195 MORLINY D PENNY</t>
  </si>
  <si>
    <t>KAR.550X360X332 PÓŁKA STAND MOR</t>
  </si>
  <si>
    <t>***ST.CZAPA 594X393X1047</t>
  </si>
  <si>
    <t>KAR.584X384X119  STEND PODEST MOR</t>
  </si>
  <si>
    <t>***KAR.327X248X167 KASZANKA 4.8KG JMD D</t>
  </si>
  <si>
    <t>***KAR.327X248X167 KASZANKA 4.8 KG JMD W</t>
  </si>
  <si>
    <t>KAR.W.586X246X190 BIAŁY ANIMEX EX</t>
  </si>
  <si>
    <t>KAR.WA.192X192X194 3W DIS.KOL.KRA D</t>
  </si>
  <si>
    <t>KAR.WA.185X185X220 3W SZAR.W</t>
  </si>
  <si>
    <t>***KAR.192X192X194 WĘDLINY DOMOWE KOST.D</t>
  </si>
  <si>
    <t>KAR.380X212X135 GRILL&amp;FAN 6PK D</t>
  </si>
  <si>
    <t>KAR.686X286X190 5W</t>
  </si>
  <si>
    <t>KAR.WS.320X252X220 5W DIS.GRAN.D</t>
  </si>
  <si>
    <t>KAR.W.374X243X134 PIK.4PK W NAKŁADANE</t>
  </si>
  <si>
    <t>KAR.KR.382X287X230 5W SZAR.</t>
  </si>
  <si>
    <t>KAR.380X249X135 4PK D</t>
  </si>
  <si>
    <t>KAR.380X249X135 GRILL &amp; FUN 4PK D</t>
  </si>
  <si>
    <t>KAR.380X212X135 6PK W</t>
  </si>
  <si>
    <t>KAR.WS.328X255X220 3W SZAR.W</t>
  </si>
  <si>
    <t>KAR.382X287X270 5W KLAP.SZARY B/N</t>
  </si>
  <si>
    <t>***KAR.320X246X222 MOR KIEŁB.BIAŁ.MAJE D</t>
  </si>
  <si>
    <t>KAR.580X375X150 SKŁADARKA</t>
  </si>
  <si>
    <t>KAR.WA.287X124X160 3W DIS.KOL.KRA D</t>
  </si>
  <si>
    <t>KAR.WA.286X130X160 3W SZAR.W</t>
  </si>
  <si>
    <t>KAR.WA.92X192X194 3W DIS.CZER.NW D</t>
  </si>
  <si>
    <t>KAR.542X375X152 1/4PAL.ANIMEX W</t>
  </si>
  <si>
    <t>KAR.542X375X152 1/4PAL.ANIMEX D</t>
  </si>
  <si>
    <t>KAR.WA.575X390X152 3W BIA.KEEP FRZ AX W</t>
  </si>
  <si>
    <t>KAR.WA.247X282X207 5W DIS.BEŻ.KW D</t>
  </si>
  <si>
    <t>KAR.W.247X282X207 KW BIED W</t>
  </si>
  <si>
    <t>KAR.430X330X126</t>
  </si>
  <si>
    <t>KAR.372X241X186 PIK W</t>
  </si>
  <si>
    <t>KAR.W.378X249X180 KW D</t>
  </si>
  <si>
    <t>KAR.W.320X252X224 KW D</t>
  </si>
  <si>
    <t>KAR.W.320X252X224 W</t>
  </si>
  <si>
    <t>***KTN.368X64X34 BIA.FLT PRK DELUX PL/AT</t>
  </si>
  <si>
    <t>KAR.WA.385X178X185 3W SZAR.W</t>
  </si>
  <si>
    <t>KAR.WA.384X184X186 5W DIS.GRAN.MOR D</t>
  </si>
  <si>
    <t>KAR.1180X780X835 OKTABINA</t>
  </si>
  <si>
    <t>KAR.391X279X133 TACA GRILL BIED</t>
  </si>
  <si>
    <t>KAR.WS.320X246X222 5W DIS.KOL.KRA D</t>
  </si>
  <si>
    <t>KAR.WA.377X188X255 3W SZAR.W</t>
  </si>
  <si>
    <t>KAR.WA.383X248X182 3W SZAR.W</t>
  </si>
  <si>
    <t>KAR.WS.375X182X252 5W DIS.KOL.REGION.D</t>
  </si>
  <si>
    <t>KAR.WA.1159X397 5W DIS.KOL.K.REG.D</t>
  </si>
  <si>
    <t>KAR.WS.375X196X255 5W CZER/ZŁ.ZWYCZ.D</t>
  </si>
  <si>
    <t>KAR.WA.383X248X182 5W DIS.CZER.YAN D</t>
  </si>
  <si>
    <t>***KAR.283X186X238 MEATERSY D</t>
  </si>
  <si>
    <t>***KAR.283X186X238 MEATERSY W</t>
  </si>
  <si>
    <t>KAR.WA.575X390X152 3W SZAR.D</t>
  </si>
  <si>
    <t>KAR.180X100X54 OWIJKA KARK.WP.B/K.PL</t>
  </si>
  <si>
    <t>KAR.100X89X78 OWIJKA MEDALIONY Z POL.W</t>
  </si>
  <si>
    <t>KAR.161X100X54 OWIJKA M-SO MIEL.Z ŁOP.W</t>
  </si>
  <si>
    <t>KAR.161X100X54 OWIJKA M-SO MIEL.Z SZYN.W</t>
  </si>
  <si>
    <t>KAR.161X124X44.5 OWIJKA SCH.WP.B/K.PL</t>
  </si>
  <si>
    <t>KAR.WA.283X193X253 3W DIS.CZER.MEAT.D</t>
  </si>
  <si>
    <t>KAR.WA.283X193X253 3W DIS.NIEB.MEAT.D</t>
  </si>
  <si>
    <t>KAR.WA.283X193X253 3W DIS.CZAR.MEAT.D</t>
  </si>
  <si>
    <t>KAR.WA.285X198X256 3W SZAR.W</t>
  </si>
  <si>
    <t>KAR.WR.385X309X211 3W CZER.MEAT.W</t>
  </si>
  <si>
    <t>KAR.W.320X252X103 BIED KW D</t>
  </si>
  <si>
    <t>KAR.W.320X252X103 BIED KW W</t>
  </si>
  <si>
    <t>KAR.470X336X100 SZARY</t>
  </si>
  <si>
    <t>KAR.WA.256X196X106 3W DIS.CZER.MEAT.D</t>
  </si>
  <si>
    <t>KAR.WR.256X196X106 3W CZAR.MEAT.W</t>
  </si>
  <si>
    <t>KAR.WA.256X196X106 3W DIS.CZAR.MEAT.D</t>
  </si>
  <si>
    <t>KAR.WA.256X196X106 3W NIEB.MEATERS D</t>
  </si>
  <si>
    <t>KAR.W.247X282X207 KIEŁB.ŻYWIECKA BIED D</t>
  </si>
  <si>
    <t>KAR.380X250X188 G&amp;F D</t>
  </si>
  <si>
    <t>KAR.320X291X224 KIEŁB.BIAŁA BIED D</t>
  </si>
  <si>
    <t>KAR.320X291X224 W</t>
  </si>
  <si>
    <t>KAR.WS.320X246X222 5W DIS.CZAR.G&amp;F D</t>
  </si>
  <si>
    <t>***KAR.W.580X375X70 TACA WZM</t>
  </si>
  <si>
    <t>KAR.KR.577X380X151 5W BIA.KEEP FRZ AX</t>
  </si>
  <si>
    <t>KAR.KR.535X320X105 5W BIA.AX</t>
  </si>
  <si>
    <t>KAR.W.535X320X105 SZARY</t>
  </si>
  <si>
    <t>KAR.WA.249X279X205 5W DIS.BRĄZ.ŻYW.KW D</t>
  </si>
  <si>
    <t>KAR.KR.535X320X105 5W RÓŻ.</t>
  </si>
  <si>
    <t>***KAR.W.321X254X224K.BIAŁA Z SZYN.BIEDD</t>
  </si>
  <si>
    <t>***KAR.W321X254X224 W</t>
  </si>
  <si>
    <t>KAR.WA.378X249X180 5W KOL.ŻYW.600G KW D</t>
  </si>
  <si>
    <t>KAR.W.577X340X151 BIAŁY AX KEEP FROZEN</t>
  </si>
  <si>
    <t>KAR.KR.535X320X105 5W BIA.</t>
  </si>
  <si>
    <t>KAR.W.480X290X180 AX BIAŁY</t>
  </si>
  <si>
    <t>KAR.WA.380X249X185 3W DIS.BEŻ.TORUŃ.KW D</t>
  </si>
  <si>
    <t>KAR.WA.380X249X185 3W SZAR.W</t>
  </si>
  <si>
    <t>KAR.WA.182X281X235 3W SZAR.W</t>
  </si>
  <si>
    <t>KAR.WA.182X281X235 3W DIS.KOL.KRA D</t>
  </si>
  <si>
    <t>KAR.WA.241X290X209 3W SZAR.W</t>
  </si>
  <si>
    <t>KAR.WA.250X281X210 5W DIS.GRAN.D</t>
  </si>
  <si>
    <t>KAR.WA.321X252X224 3W DIS.DESKA D</t>
  </si>
  <si>
    <t>KAR.WA.321X252X224 3W SZAR.W</t>
  </si>
  <si>
    <t>KAR.WR.380X219X150 5W BIA.W</t>
  </si>
  <si>
    <t>KAR.WA.380X219X150 3W DIS.DESKA 4PKDA D</t>
  </si>
  <si>
    <t>KAR.WA.378X249X180 5W DIS.KOL.KW D</t>
  </si>
  <si>
    <t>KAR.WA.247X282X207 4W DIS.BRĄZ.KW D</t>
  </si>
  <si>
    <t>KAR.W.590X390X155 TACKA</t>
  </si>
  <si>
    <t>KAR.WA.391X124X160 3W DIS.GRAN.MOR D</t>
  </si>
  <si>
    <t>KAR.WA.390X130X160 3W SZAR.W</t>
  </si>
  <si>
    <t>FOL.PE ARK.25X1200X1500 NIEB.</t>
  </si>
  <si>
    <t>PRZEKŁ.1200X800 3W SZAR.</t>
  </si>
  <si>
    <t>ST.KRATOWNICA 578X121 5W DŁ.A</t>
  </si>
  <si>
    <t>ST.KRATOWNICA 375X152 5W KR.B</t>
  </si>
  <si>
    <t>ST.KRATOWNICA 375X152 5W KR.C</t>
  </si>
  <si>
    <t>ST.KRATOWNICA 375X127 5W KR.D</t>
  </si>
  <si>
    <t>KAR.WA.294X162X195 3W DIS.NIEB/BIA.MOR D</t>
  </si>
  <si>
    <t>KAR.WA.282X250X188 5W DIS.GRAN.KW D</t>
  </si>
  <si>
    <t>KAR.WA.283X243X188 3W SZAR.W</t>
  </si>
  <si>
    <t>KAR.WA.291X84X155 3W KOL.KRA D</t>
  </si>
  <si>
    <t>KAR.WA.300X100X251 3W SZAR.W</t>
  </si>
  <si>
    <t>KAR.WA.294X162X195 3W DIS.CZAR.ELIT D</t>
  </si>
  <si>
    <t>NAR.1300X230 3W SZAR.</t>
  </si>
  <si>
    <t>KOSZ MET.DUŻY</t>
  </si>
  <si>
    <t>FOL.STRECZ MASZ.</t>
  </si>
  <si>
    <t>***FOL.TAŚMA TEROKURCZ800X0.03 NIEBIESKA</t>
  </si>
  <si>
    <t>***FOL.STRECH 23MY 500</t>
  </si>
  <si>
    <t>***WOR.PE 521X1330 GR30 NIEB.</t>
  </si>
  <si>
    <t>***WOR.1600X740 GR 80  NA SZCZECINE</t>
  </si>
  <si>
    <t>ET.ZAWIESZKI NA WÓZKI WĘDZ.</t>
  </si>
  <si>
    <t>WOR.PE 750X1120X2F500 GR25 NIEB.</t>
  </si>
  <si>
    <t>***ET.68X90 M-SO NA GUL.Z ŁOP.BIED P</t>
  </si>
  <si>
    <t>GAZ SPOŻ.MIESZ.AZOT Z CO2/MAPAX3</t>
  </si>
  <si>
    <t>m3</t>
  </si>
  <si>
    <t>MIESZ.MAPAX 3 N2/CO2</t>
  </si>
  <si>
    <t>MIESZ.MAPAX 20/80 O2/CO2</t>
  </si>
  <si>
    <t>WYKRAW.SZYNEK</t>
  </si>
  <si>
    <t>PROC</t>
  </si>
  <si>
    <t>WYKRAW.POLĘDWICZEK Z/MAC.</t>
  </si>
  <si>
    <t>WYKRAW.SZYN.Z/MAC.</t>
  </si>
  <si>
    <t>WYKRAW.PRZODKA Z/MAC.</t>
  </si>
  <si>
    <t>WYKRAW.ŚRODKÓW Z/MAC.</t>
  </si>
  <si>
    <t>WYKRAW.PRZODKA</t>
  </si>
  <si>
    <t>WYKRAW.ĆW.SCHABOWYCH</t>
  </si>
  <si>
    <t>WYKRAW.BOCZKÓW</t>
  </si>
  <si>
    <t>WYKRAW.POLĘDWICZEK</t>
  </si>
  <si>
    <t>WYKRAW.GŁÓW</t>
  </si>
  <si>
    <t>GAZ SPOŻ.TLEN CIEKŁY</t>
  </si>
  <si>
    <t>GAZ SPOŻ.AZOT CIEKŁY</t>
  </si>
  <si>
    <t>GAZ SPOŻ.DWUTLENEK WĘGLA CO2 CIEKŁY</t>
  </si>
  <si>
    <t>PL BOCZ.B BL.SZ.Z/S/PACH/MŚ.SCH.PBX ST1</t>
  </si>
  <si>
    <t>M-so kl. 3B</t>
  </si>
  <si>
    <t>M-so kl. 3A</t>
  </si>
  <si>
    <t>KABAN.DROB/WP.SALSA POMID.AD KRA</t>
  </si>
  <si>
    <t>KABAN.Z/BEK.220G AD KRA</t>
  </si>
  <si>
    <t xml:space="preserve">KIEŁB.TORUŃSKA </t>
  </si>
  <si>
    <t>Nastrzyk</t>
  </si>
  <si>
    <t>Surowiec łącznie po nastrzyku</t>
  </si>
  <si>
    <t>Brak /nadwyżka do prognoz I</t>
  </si>
  <si>
    <t>Brak /nadwyżka do prognoz II</t>
  </si>
  <si>
    <t xml:space="preserve">Brak /nadwyżka do planu </t>
  </si>
  <si>
    <t>PP PRZEPONA KL2 CH1</t>
  </si>
  <si>
    <t>PP M-SO WP.DR.KL2A Z SZYN.PBX ST1</t>
  </si>
  <si>
    <t>PP M-SO WP.DR.KL3B Z SZYN.PBX ST1</t>
  </si>
  <si>
    <t>EU M-SO WP.DR.KL3 ODŚĆ. 80/20 CH</t>
  </si>
  <si>
    <t>PP TŁUSZCZ DR.PBX ST1</t>
  </si>
  <si>
    <t>FARSZ NA KIEŁB.KRAK.PARZONĄ</t>
  </si>
  <si>
    <t>FARSZ KUR.PEKL.PBX SU</t>
  </si>
  <si>
    <t>ŚLĄZERKI FARSZ</t>
  </si>
  <si>
    <t>EMULSJA M</t>
  </si>
  <si>
    <t>PP EMULSJA M</t>
  </si>
  <si>
    <t>PP M-SO WP.DR.KL1 CIE.Z SZYN.PBX ST1</t>
  </si>
  <si>
    <t>PP M-SO WP.KL3A PEKL.1.5%</t>
  </si>
  <si>
    <t>PP M-SO WP.TRYMING 60/40 PBX ST1</t>
  </si>
  <si>
    <t>PP M-SO WP.DR.KL1 JAS.Z SZYN.PBX ST1</t>
  </si>
  <si>
    <t>EU M-SO WP.TRIMING 70/30 RO1</t>
  </si>
  <si>
    <t>TŁUSZCZ WP.DROBNY PB RO1</t>
  </si>
  <si>
    <t>PP M-SO WP.DR.KL2B Z SZYN.PBX ST1</t>
  </si>
  <si>
    <t>PP M-SO WP.DR.KL2A USR PBX ST1</t>
  </si>
  <si>
    <t>PP M-SO WP.DR.KL3A USR PBX ST1</t>
  </si>
  <si>
    <t>PP M-SO WP.DR.KL3A Z SZYN.PBX ST1</t>
  </si>
  <si>
    <t>POZOSTALE</t>
  </si>
  <si>
    <t>***KOŚCI SCHABOWE I KARKOWE</t>
  </si>
  <si>
    <t>AX001_MS_WP</t>
  </si>
  <si>
    <t>ZYWIEC WP.: KL.1</t>
  </si>
  <si>
    <t>ZYWIEC WP.: KL.2</t>
  </si>
  <si>
    <t>ZYWIEC WP.: KL.3</t>
  </si>
  <si>
    <t>ZYWIEC WP. MACIORY KL.M1</t>
  </si>
  <si>
    <t>ZYWIEC WP. MACIORY KL.M2</t>
  </si>
  <si>
    <t>ZYWIEC WP.: WARCHLAKI</t>
  </si>
  <si>
    <t>ZYWIEC WP.: KASTRATY</t>
  </si>
  <si>
    <t>ZYWIEC WP.: KNURY</t>
  </si>
  <si>
    <t>TRZODA PADLA W TRANSPORCIE CONST</t>
  </si>
  <si>
    <t>TRZODA PADLA NA MAGAZYNIE ZYWCA</t>
  </si>
  <si>
    <t>TRZODA NA SANITARKE</t>
  </si>
  <si>
    <t>TRZODA KLA</t>
  </si>
  <si>
    <t>AX001_SKUP_WP</t>
  </si>
  <si>
    <t>TRZODA KLC</t>
  </si>
  <si>
    <t>TRZODA KLD</t>
  </si>
  <si>
    <t>TRZODA KL.K</t>
  </si>
  <si>
    <t>TRZODA KLS</t>
  </si>
  <si>
    <t>TRZODA KLE</t>
  </si>
  <si>
    <t>TRZODA KLU</t>
  </si>
  <si>
    <t>TRZODA KLR</t>
  </si>
  <si>
    <t>TRZODA KLO</t>
  </si>
  <si>
    <t>TRZODA KLP</t>
  </si>
  <si>
    <t>TRZODA-KONFISKATA CAŁKOWITA</t>
  </si>
  <si>
    <t>TRZODA-KONFISKATA CZĘŚCIOWA</t>
  </si>
  <si>
    <t>KLA_001_MPOM_0001</t>
  </si>
  <si>
    <t>***KLOCKI WĘDZ.</t>
  </si>
  <si>
    <t>KLA_001_MPOM_0004</t>
  </si>
  <si>
    <t>ZRĘBKI WĘDZ.BUK-OLCHA</t>
  </si>
  <si>
    <t>***PRZEKŁADKI CHŁODNICZE</t>
  </si>
  <si>
    <t>ZRĘBKI WĘDZ.BUK</t>
  </si>
  <si>
    <t>KLA_023_HALB_0004</t>
  </si>
  <si>
    <t>KLA_001_MPOM_0006</t>
  </si>
  <si>
    <t>KLOCKI WĘDZ.10X10X90</t>
  </si>
  <si>
    <t>KLA_023_DODA_0015</t>
  </si>
  <si>
    <t>KLA_022_FERT_0001</t>
  </si>
  <si>
    <t>ŻYWICA AMBERLITE FPA 98CI</t>
  </si>
  <si>
    <t>KLA_022_MPOM_0007</t>
  </si>
  <si>
    <t>AX001_PP_PK_WEDLIN</t>
  </si>
  <si>
    <t>AX001_MS_PK_WP</t>
  </si>
  <si>
    <t>***PLBOCZ.B B/Ż/S/CH.MŚ.PRZEP.PRZ.W1KTMR</t>
  </si>
  <si>
    <t>PALBOX USZK.</t>
  </si>
  <si>
    <t>PALBOX 1200X1000X790-VAT ZW.</t>
  </si>
  <si>
    <t>PALETA 1200X1000 FUMIG.</t>
  </si>
  <si>
    <t>PALETA 1200X800 PLAST.AŻUR PROD.</t>
  </si>
  <si>
    <t>PALETA 1200X800 PLAST.A1 AŻUR.CZARNY PRO</t>
  </si>
  <si>
    <t>PALETA 1200X800 PLAST.AŻUR TRANSP.JEDNOR</t>
  </si>
  <si>
    <t>PALETA 1200X800 PLAST.BIAŁY PROD.</t>
  </si>
  <si>
    <t>PALETA 600X800 PÓŁPPAL.</t>
  </si>
  <si>
    <t>POJEMNIK 600X400X145 NIEB.PROD.</t>
  </si>
  <si>
    <t>POJEMNIK CBL 17</t>
  </si>
  <si>
    <t>POJEMNIK 600X400X179 NIEB.PROD.</t>
  </si>
  <si>
    <t>POJEMNIK 600X400X225 BIAŁY PROD.</t>
  </si>
  <si>
    <t>POJEMNIK 600X400X225 NIEB.PROD.</t>
  </si>
  <si>
    <t>POJEMNIK 600X400X300 NIEB.PROD.</t>
  </si>
  <si>
    <t>POJEMNIK BIAŁY ALMI PROD.</t>
  </si>
  <si>
    <t>POJEMNIK E-2 BIAŁY</t>
  </si>
  <si>
    <t>POJEMNIK E-2 CZERW.</t>
  </si>
  <si>
    <t>POJEMNIK E-2 NIEB.PROD.</t>
  </si>
  <si>
    <t>POJEMNIK E-2 ZIELONY PROD.</t>
  </si>
  <si>
    <t>POJEMNIK E-2 ŻÓŁTY PROD.</t>
  </si>
  <si>
    <t>POJEMNIK A10 PROD.</t>
  </si>
  <si>
    <t>POJEMNIK A20 PROD.</t>
  </si>
  <si>
    <t>POJEMNIK CBL 23</t>
  </si>
  <si>
    <t>POJEMNIK PROD.</t>
  </si>
  <si>
    <t>POJEMNIK TESCO CZERW.</t>
  </si>
  <si>
    <t>POJEMNIK TESCO NIEB.</t>
  </si>
  <si>
    <t>POJEMNIK TESCO ZÓŁTY</t>
  </si>
  <si>
    <t>PALETA DREWN.TRANSP.-USZK.JEDNORAZ.</t>
  </si>
  <si>
    <t>KOSZ OCYNK.</t>
  </si>
  <si>
    <t>KLA_022_MPOM_0005</t>
  </si>
  <si>
    <t>PALBOX 1200X1000X790 LOGIST.</t>
  </si>
  <si>
    <t>POJEMNIK 600X400X179 CZERW.PROD.</t>
  </si>
  <si>
    <t>KLA_022_MPOM_0004</t>
  </si>
  <si>
    <t>POJEMNIK E-1 CZERW.</t>
  </si>
  <si>
    <t>KLA_022_MPOM_0001</t>
  </si>
  <si>
    <t>PALETA 1200X800 PLAST.NIEB.PROD.</t>
  </si>
  <si>
    <t>POJEMNIK TESCO ZIELONY</t>
  </si>
  <si>
    <t>KLA_023_ODPN_0012</t>
  </si>
  <si>
    <t>PALETA 1200X1000 CP DREWN.</t>
  </si>
  <si>
    <t>PALETA 1250X1150 CP DREWN.</t>
  </si>
  <si>
    <t>RAMKA 1200X1000 CP DREWN</t>
  </si>
  <si>
    <t>RAMKA 1250X1150 CP DREWN.</t>
  </si>
  <si>
    <t>PALETA 400X600 DREWN.</t>
  </si>
  <si>
    <t>PALBOX 1200X1000X745 POMARAŃCZ.PROD.</t>
  </si>
  <si>
    <t>KLA_022_MPOM_0002</t>
  </si>
  <si>
    <t>PALBOX 1200X1000X740 WBG CZERW.</t>
  </si>
  <si>
    <t>PALETA 1200X1000 PLAST.CHEP LOGIST.</t>
  </si>
  <si>
    <t>KLA_023_ODPU_0013</t>
  </si>
  <si>
    <t>KALKULACJA PRÓB TECHN. PRZETWÓRSTWO 1</t>
  </si>
  <si>
    <t>KALKULACJA PRÓB TECHN. PRZETWÓRSTWO 2</t>
  </si>
  <si>
    <t>KALKULACJA PRÓB TECHN. PRZETWÓRSTWO 23</t>
  </si>
  <si>
    <t>KALKULACJA PRÓB TECHN. PRZETWÓRSTWO 24</t>
  </si>
  <si>
    <t>KALKULACJA PRÓB TECHN. PRZETWÓRSTWO 25</t>
  </si>
  <si>
    <t>KALKULACJA PRÓB TECHN. PRZETWÓRSTWO 26</t>
  </si>
  <si>
    <t>KALKULACJA PRÓB TECHN. PRZETWÓRSTWO 27</t>
  </si>
  <si>
    <t>KALKULACJA PRÓB TECHN. PRZETWÓRSTWO 28</t>
  </si>
  <si>
    <t>KALKULACJA PRÓB TECHNOLOG. MIĘSO 10</t>
  </si>
  <si>
    <t>KALKULACJA PRÓB TECHN. PRZETWÓRSTWO 3</t>
  </si>
  <si>
    <t>KALKULACJA PRÓB TECHN. PRZETWÓRSTWO 4</t>
  </si>
  <si>
    <t>KALKULACJA PRÓB TECHN. PRZETWÓRSTWO 5</t>
  </si>
  <si>
    <t>KALKULACJA PRÓB TECHN. PRZETWÓRSTWO 6</t>
  </si>
  <si>
    <t>KALKULACJA PRÓB TECHN. PRZETWÓRSTWO 7</t>
  </si>
  <si>
    <t>KALKULACJA PRÓB TECHN. PRZETWÓRSTWO 8</t>
  </si>
  <si>
    <t>KALKULACJA PRÓB TECHN. PRZETWÓRSTWO 9</t>
  </si>
  <si>
    <t>KALKULACJA PRÓB TECHN. PRZETWÓRSTWO 10</t>
  </si>
  <si>
    <t>KALKULACJA PRÓB TECHN. PRZETWÓRSTWO 11</t>
  </si>
  <si>
    <t>KALKULACJA PRÓB TECHN. PRZETWÓRSTWO 12</t>
  </si>
  <si>
    <t>KALKULACJA PRÓB TECHN. PRZETWÓRSTWO 13</t>
  </si>
  <si>
    <t>KALKULACJA PRÓB TECHN. PRZETWÓRSTWO 14</t>
  </si>
  <si>
    <t>KALKULACJA PRÓB TECHN. PRZETWÓRSTWO 15</t>
  </si>
  <si>
    <t>KALKULACJA PRÓB TECHN. PRZETWÓRSTWO 16</t>
  </si>
  <si>
    <t>KALKULACJA PRÓB TECHN. PRZETWÓRSTWO 17</t>
  </si>
  <si>
    <t>KALKULACJA PRÓB TECHN. PRZETWÓRSTWO 18</t>
  </si>
  <si>
    <t>KALKULACJA PRÓB TECHN. PRZETWÓRSTWO 19</t>
  </si>
  <si>
    <t>KALKULACJA PRÓB TECHN. PRZETWÓRSTWO 20</t>
  </si>
  <si>
    <t>KALKULACJA PRÓB TECHN. PRZETWÓRSTWO 21</t>
  </si>
  <si>
    <t>KALKULACJA PRÓB TECHN. PRZETWÓRSTWO 22</t>
  </si>
  <si>
    <t>KALKULACJA PRÓB TECHN. PRZETWÓRSTWO 41</t>
  </si>
  <si>
    <t>KALKULACJA PRÓB TECHN. PRZETWÓRSTWO 42</t>
  </si>
  <si>
    <t>KALKULACJA PRÓB TECHN. PRZETWÓRSTWO 29</t>
  </si>
  <si>
    <t>KALKULACJA PRÓB TECHN. PRZETWÓRSTWO 30</t>
  </si>
  <si>
    <t>KALKULACJA PRÓB TECHN. PRZETWÓRSTWO 31</t>
  </si>
  <si>
    <t>KALKULACJA PRÓB TECHN. PRZETWÓRSTWO 32</t>
  </si>
  <si>
    <t>KALKULACJA PRÓB TECHN. PRZETWÓRSTWO 33</t>
  </si>
  <si>
    <t>KALKULACJA PRÓB TECHN. PRZETWÓRSTWO 34</t>
  </si>
  <si>
    <t>KALKULACJA PRÓB TECHN. PRZETWÓRSTWO 35</t>
  </si>
  <si>
    <t>KALKULACJA PRÓB TECHN. PRZETWÓRSTWO 36</t>
  </si>
  <si>
    <t>KALKULACJA PRÓB TECHN. PRZETWÓRSTWO 37</t>
  </si>
  <si>
    <t>KALKULACJA PRÓB TECHN. PRZETWÓRSTWO 38</t>
  </si>
  <si>
    <t>KALKULACJA PRÓB TECHN. PRZETWÓRSTWO 39</t>
  </si>
  <si>
    <t>KALKULACJA PRÓB TECHN. PRZETWÓRSTWO 40</t>
  </si>
  <si>
    <t>KALKULACJA PRÓB TECHN. PRZETWÓRSTWO 47</t>
  </si>
  <si>
    <t>KALKULACJA PRÓB TECHN. PRZETWÓRSTWO 43</t>
  </si>
  <si>
    <t>KALKULACJA PRÓB TECHN. PRZETWÓRSTWO 44</t>
  </si>
  <si>
    <t>KALKULACJA PRÓB TECHN. PRZETWÓRSTWO 45</t>
  </si>
  <si>
    <t>KALKULACJA PRÓB TECHN. PRZETWÓRSTWO 46</t>
  </si>
  <si>
    <t>KALKULACJA PRÓB TECHN. PRZETWÓRSTWO 48</t>
  </si>
  <si>
    <t>KALKULACJA PRÓB TECHN. PRZETWÓRSTWO 49</t>
  </si>
  <si>
    <t>KALKULACJA PRÓB TECHN. PRZETWÓRSTWO 50</t>
  </si>
  <si>
    <t>KALKULACJA PRÓB TECHN. PRZETWÓRSTWO 51</t>
  </si>
  <si>
    <t>KALKULACJA PRÓB TECHN. PRZETWÓRSTWO 52</t>
  </si>
  <si>
    <t>KALKULACJA PRÓB TECHN. PRZETWÓRSTWO 53</t>
  </si>
  <si>
    <t>KALKULACJA PRÓB TECHN. PRZETWÓRSTWO 54.</t>
  </si>
  <si>
    <t>KALKULACJA PRÓB TECHN. PRZETWÓRSTWO 55</t>
  </si>
  <si>
    <t>KALKULACJA PRÓB TECHN. PRZETWÓRSTWO 56</t>
  </si>
  <si>
    <t>KALKULACJA PRÓB TECHN. PRZETWÓRSTWO 57</t>
  </si>
  <si>
    <t>KALKULACJA PRÓB TECHN. PRZETWÓRSTWO 58</t>
  </si>
  <si>
    <t>KALKULACJA PRÓB TECHN. PRZETWÓRSTWO 59</t>
  </si>
  <si>
    <t>KALKULACJA PRÓB TECHN. PRZETWÓRSTWO 60</t>
  </si>
  <si>
    <t>PRÓBY TECHNOLOGICZNE-OPAKOWANIA 6</t>
  </si>
  <si>
    <t>PRÓBY TECHNOLOGICZNE - PRZYPRAWY 1</t>
  </si>
  <si>
    <t>KALKULACJA PRÓB TECHN. PRZETWÓRSTWO 61</t>
  </si>
  <si>
    <t>KALKULACJA PRÓB TECHN. PRZETWÓRSTWO 62</t>
  </si>
  <si>
    <t>KALKULACJA PRÓB TECHN. PRZETWÓRSTWO 63</t>
  </si>
  <si>
    <t>KALKULACJA PRÓB TECHN. PRZETWÓRSTWO 64</t>
  </si>
  <si>
    <t>KALKULACJA PRÓB TECHN. PRZETWÓRSTWO 65</t>
  </si>
  <si>
    <t>KALKULACJA PRÓB TECHN. PRZETWÓRSTWO 66</t>
  </si>
  <si>
    <t>KALKULACJA PRÓB TECHN. PRZETWÓRSTWO 67</t>
  </si>
  <si>
    <t>KALKULACJA PRÓB TECHN. PRZETWÓRSTWO 68</t>
  </si>
  <si>
    <t>KALKULACJA PRÓB TECHN. PRZETWÓRSTWO 69</t>
  </si>
  <si>
    <t>KALKULACJA PRÓB TECHN. PRZETWÓRSTWO 70</t>
  </si>
  <si>
    <t>KALKULACJA PRÓB TECHN. PRZETWÓRSTWO 71</t>
  </si>
  <si>
    <t>KALKULACJA PRÓB TECHN. PRZETWÓRSTWO 72</t>
  </si>
  <si>
    <t>KALKULACJA PRÓB TECHN. PRZETWÓRSTWO 73</t>
  </si>
  <si>
    <t>KALKULACJA PRÓB TECHN. PRZETWÓRSTWO 74</t>
  </si>
  <si>
    <t>KALKULACJA PRÓB TECHN. PRZETWÓRSTWO 75</t>
  </si>
  <si>
    <t>KALKULACJA PRÓB TECHN. PRZETWÓRSTWO 76</t>
  </si>
  <si>
    <t>KALKULACJA PRÓB TECHN. PRZETWÓRSTWO 77</t>
  </si>
  <si>
    <t>KALKULACJA PRÓB TECHN. PRZETWÓRSTWO 78</t>
  </si>
  <si>
    <t>KALKULACJA PRÓB TECHN. PRZETWÓRSTWO 79</t>
  </si>
  <si>
    <t>KALKULACJA PRÓB TECHN. PRZETWÓRSTWO 80</t>
  </si>
  <si>
    <t>KALKULACJA PRÓB TECHN. PRZETWÓRSTWO 81</t>
  </si>
  <si>
    <t>KALKULACJA PRÓB TECHN. PRZETWÓRSTWO 82</t>
  </si>
  <si>
    <t>KALKULACJA PRÓB TECHN. PRZETWÓRSTWO 83</t>
  </si>
  <si>
    <t>KALKULACJA PRÓB TECHN. PRZETWÓRSTWO 84</t>
  </si>
  <si>
    <t>KALKULACJA PRÓB TECHN. PRZETWÓRSTWO 85</t>
  </si>
  <si>
    <t>KALKULACJA PRÓB TECHN. PRZETWÓRSTWO 86</t>
  </si>
  <si>
    <t>KALKULACJA PRÓB TECHN. PRZETWÓRSTWO 88</t>
  </si>
  <si>
    <t>KALKULACJA PRÓB TECHN. PRZETWÓRSTWO 89</t>
  </si>
  <si>
    <t>KALKULACJA PRÓB TECHN. PRZETWÓRSTWO 90</t>
  </si>
  <si>
    <t>KALKULACJA PRÓB TECHN. PRZETWÓRSTWO 91</t>
  </si>
  <si>
    <t>KALKULACJA PRÓB TECHN. PRZETWÓRSTWO 92</t>
  </si>
  <si>
    <t>KALKULACJA PRÓB TECHN. PRZETWÓRSTWO 93</t>
  </si>
  <si>
    <t>KALKULACJA PRÓB TECHN. PRZETWÓRSTWO 94</t>
  </si>
  <si>
    <t>KALKULACJA PRÓB TECHN. PRZETWÓRSTWO 95</t>
  </si>
  <si>
    <t>KALKULACJA PRÓB TECHN. PRZETWÓRSTWO 96</t>
  </si>
  <si>
    <t>KALKULACJA PRÓB TECHN. PRZETWÓRSTWO 97</t>
  </si>
  <si>
    <t>KALKULACJA PRÓB TECHN. PRZETWÓRSTWO 98</t>
  </si>
  <si>
    <t>KALKULACJA PRÓB TECHN. PRZETWÓRSTWO 99</t>
  </si>
  <si>
    <t>KALKULACJA PRÓB TECHN. PRZETWÓRSTWO 100</t>
  </si>
  <si>
    <t>PRÓBY TECHNOLOGICZNE - PRZYPRAWY 26</t>
  </si>
  <si>
    <t>KALKULACJA PRÓB TECHN. PRZETWÓRSTWO 173</t>
  </si>
  <si>
    <t>KALKULACJA PRÓB TECHN. PRZETWÓRSTWO 174</t>
  </si>
  <si>
    <t>KALKULACJA PRÓB TECHN. PRZETWÓRSTWO 175</t>
  </si>
  <si>
    <t>KALKULACJA PRÓB TECHN. PRZETWÓRSTWO 176</t>
  </si>
  <si>
    <t>KALKULACJA PRÓB TECHN. PRZETWÓRSTWO 177</t>
  </si>
  <si>
    <t>KALKULACJA PRÓB TECHN. PRZETWÓRSTWO 178</t>
  </si>
  <si>
    <t>KALKULACJA PRÓB TECHN. PRZETWÓRSTWO 161</t>
  </si>
  <si>
    <t>KALKULACJA PRÓB TECHN. PRZETWÓRSTWO 172</t>
  </si>
  <si>
    <t>KALKULACJA PRÓB TECHN. PRZETWÓRSTWO 151</t>
  </si>
  <si>
    <t>KALKULACJA PRÓB TECHN. PRZETWÓRSTWO 152</t>
  </si>
  <si>
    <t>KALKULACJA PRÓB TECHN. PRZETWÓRSTWO 153</t>
  </si>
  <si>
    <t>KALKULACJA PRÓB TECHN. PRZETWÓRSTWO 154</t>
  </si>
  <si>
    <t>KALKULACJA PRÓB TECHN. PRZETWÓRSTWO 155</t>
  </si>
  <si>
    <t>KALKULACJA PRÓB TECHN. PRZETWÓRSTWO 156</t>
  </si>
  <si>
    <t>KALKULACJA PRÓB TECHN. PRZETWÓRSTWO 157</t>
  </si>
  <si>
    <t>KALKULACJA PRÓB TECHN. PRZETWÓRSTWO 158</t>
  </si>
  <si>
    <t>KALKULACJA PRÓB TECHN. PRZETWÓRSTWO 159</t>
  </si>
  <si>
    <t>KALKULACJA PRÓB TECHN. PRZETWÓRSTWO 162</t>
  </si>
  <si>
    <t>KALKULACJA PRÓB TECHN. PRZETWÓRSTWO 163</t>
  </si>
  <si>
    <t>KALKULACJA PRÓB TECHN. PRZETWÓRSTWO 164</t>
  </si>
  <si>
    <t>KALKULACJA PRÓB TECHN. PRZETWÓRSTWO 165</t>
  </si>
  <si>
    <t>KALKULACJA PRÓB TECHN. PRZETWÓRSTWO 166</t>
  </si>
  <si>
    <t>KALKULACJA PRÓB TECHN. PRZETWÓRSTWO 167</t>
  </si>
  <si>
    <t>KALKULACJA PRÓB TECHN. PRZETWÓRSTWO 168</t>
  </si>
  <si>
    <t>KALKULACJA PRÓB TECHN. PRZETWÓRSTWO 169</t>
  </si>
  <si>
    <t>KALKULACJA PRÓB TECHN. PRZETWÓRSTWO 170</t>
  </si>
  <si>
    <t>KALKULACJA PRÓB TECHN. PRZETWÓRSTWO 171</t>
  </si>
  <si>
    <t>KALKULACJA PRÓB TECHN. PRZETWÓRSTWO 179</t>
  </si>
  <si>
    <t>KALKULACJA PRÓB TECHN. PRZETWÓRSTWO 180</t>
  </si>
  <si>
    <t>KALKULACJA PRÓB TECHN. PRZETWÓRSTWO 101</t>
  </si>
  <si>
    <t>KALKULACJA PRÓB TECHN. PRZETWÓRSTWO 102</t>
  </si>
  <si>
    <t>KALKULACJA PRÓB TECHN. PRZETWÓRSTWO 103</t>
  </si>
  <si>
    <t>KALKULACJA PRÓB TECHN. PRZETWÓRSTWO 104</t>
  </si>
  <si>
    <t>KALKULACJA PRÓB TECHN. PRZETWÓRSTWO 105</t>
  </si>
  <si>
    <t>KALKULACJA PRÓB TECHN. PRZETWÓRSTWO 106</t>
  </si>
  <si>
    <t>KALKULACJA PRÓB TECHN. PRZETWÓRSTWO 107</t>
  </si>
  <si>
    <t>KALKULACJA PRÓB TECHN. PRZETWÓRSTWO 108</t>
  </si>
  <si>
    <t>KALKULACJA PRÓB TECHN. PRZETWÓRSTWO 109</t>
  </si>
  <si>
    <t>KALKULACJA PRÓB TECHN. PRZETWÓRSTWO 110</t>
  </si>
  <si>
    <t>KALKULACJA PRÓB TECHN. PRZETWÓRSTWO 111</t>
  </si>
  <si>
    <t>KALKULACJA PRÓB TECHN. PRZETWÓRSTWO 112</t>
  </si>
  <si>
    <t>KALKULACJA PRÓB TECHN. PRZETWÓRSTWO 113</t>
  </si>
  <si>
    <t>KALKULACJA PRÓB TECHN. PRZETWÓRSTWO 114</t>
  </si>
  <si>
    <t>KALKULACJA PRÓB TECHN. PRZETWÓRSTWO 115</t>
  </si>
  <si>
    <t>KALKULACJA PRÓB TECHN. PRZETWÓRSTWO 116</t>
  </si>
  <si>
    <t>KALKULACJA PRÓB TECHN. PRZETWÓRSTWO 117</t>
  </si>
  <si>
    <t>KALKULACJA PRÓB TECHN. PRZETWÓRSTWO 118</t>
  </si>
  <si>
    <t>KALKULACJA PRÓB TECHN. PRZETWÓRSTWO 119</t>
  </si>
  <si>
    <t>KALKULACJA PRÓB TECHN. PRZETWÓRSTWO 120</t>
  </si>
  <si>
    <t>KALKULACJA PRÓB TECHN. PRZETWÓRSTWO 121</t>
  </si>
  <si>
    <t>KALKULACJA PRÓB TECHN. PRZETWÓRSTWO 122</t>
  </si>
  <si>
    <t>KALKULACJA PRÓB TECHN. PRZETWÓRSTWO 123</t>
  </si>
  <si>
    <t>KALKULACJA PRÓB TECHN. PRZETWÓRSTWO 124</t>
  </si>
  <si>
    <t>KALKULACJA PRÓB TECHN. PRZETWÓRSTWO 125</t>
  </si>
  <si>
    <t>KALKULACJA PRÓB TECHN. PRZETWÓRSTWO 126</t>
  </si>
  <si>
    <t>KALKULACJA PRÓB TECHN. PRZETWÓRSTWO 127</t>
  </si>
  <si>
    <t>KALKULACJA PRÓB TECHN. PRZETWÓRSTWO 128</t>
  </si>
  <si>
    <t>KALKULACJA PRÓB TECHN. PRZETWÓRSTWO 129</t>
  </si>
  <si>
    <t>KALKULACJA PRÓB TECHN. PRZETWÓRSTWO 130</t>
  </si>
  <si>
    <t>KALKULACJA PRÓB TECHN. PRZETWÓRSTWO 131</t>
  </si>
  <si>
    <t>KALKULACJA PRÓB TECHN. PRZETWÓRSTWO 132</t>
  </si>
  <si>
    <t>KALKULACJA PRÓB TECHN. PRZETWÓRSTWO 133</t>
  </si>
  <si>
    <t>KALKULACJA PRÓB TECHN. PRZETWÓRSTWO 134</t>
  </si>
  <si>
    <t>KALKULACJA PRÓB TECHN. PRZETWÓRSTWO 135</t>
  </si>
  <si>
    <t>KALKULACJA PRÓB TECHN. PRZETWÓRSTWO 136</t>
  </si>
  <si>
    <t>KALKULACJA PRÓB TECHN. PRZETWÓRSTWO 137</t>
  </si>
  <si>
    <t>KALKULACJA PRÓB TECHN. PRZETWÓRSTWO 138</t>
  </si>
  <si>
    <t>KALKULACJA PRÓB TECHN. PRZETWÓRSTWO 139</t>
  </si>
  <si>
    <t>KALKULACJA PRÓB TECHN. PRZETWÓRSTWO 140</t>
  </si>
  <si>
    <t>KALKULACJA PRÓB TECHN. PRZETWÓRSTWO 141</t>
  </si>
  <si>
    <t>KALKULACJA PRÓB TECHN. PRZETWÓRSTWO 142</t>
  </si>
  <si>
    <t>KALKULACJA PRÓB TECHN. PRZETWÓRSTWO 143</t>
  </si>
  <si>
    <t>KALKULACJA PRÓB TECHN. PRZETWÓRSTWO 144</t>
  </si>
  <si>
    <t>KALKULACJA PRÓB TECHN. PRZETWÓRSTWO 145</t>
  </si>
  <si>
    <t>KALKULACJA PRÓB TECHN. PRZETWÓRSTWO 146</t>
  </si>
  <si>
    <t>KALKULACJA PRÓB TECHN. PRZETWÓRSTWO 147</t>
  </si>
  <si>
    <t>KALKULACJA PRÓB TECHN. PRZETWÓRSTWO 148</t>
  </si>
  <si>
    <t>KALKULACJA PRÓB TECHN. PRZETWÓRSTWO 149</t>
  </si>
  <si>
    <t>KALKULACJA PRÓB TECHN. PRZETWÓRSTWO 150</t>
  </si>
  <si>
    <t>PRÓBY TECHNOLOGICZNE-PRZYPRAWY 61</t>
  </si>
  <si>
    <t>KALKULACJA PRÓB TECHN. PRZETWÓRSTWO 201</t>
  </si>
  <si>
    <t>KALKULACJA PRÓB TECHN. PRZETWÓRSTWO 202</t>
  </si>
  <si>
    <t>KALKULACJA PRÓB TECHN. PRZETWÓRSTWO 203</t>
  </si>
  <si>
    <t>KALKULACJA PRÓB TECHN. PRZETWÓRSTWO 204</t>
  </si>
  <si>
    <t>KALKULACJA PRÓB TECHN. PRZETWÓRSTWO 205</t>
  </si>
  <si>
    <t>KALKULACJA PRÓB TECHN. PRZETWÓRSTWO 206</t>
  </si>
  <si>
    <t>KALKULACJA PRÓB TECHN. PRZETWÓRSTWO 207</t>
  </si>
  <si>
    <t>KALKULACJA PRÓB TECHN. PRZETWÓRSTWO 208</t>
  </si>
  <si>
    <t>KALKULACJA PRÓB TECHN. PRZETWÓRSTWO 209</t>
  </si>
  <si>
    <t>KALKULACJA PRÓB TECHN. PRZETWÓRSTWO 210</t>
  </si>
  <si>
    <t>KALKULACJA PRÓB TECHN. PRZETWÓRSTWO 211</t>
  </si>
  <si>
    <t>KALKULACJA PRÓB TECHN. PRZETWÓRSTWO 212</t>
  </si>
  <si>
    <t>KALKULACJA PRÓB TECHN. PRZETWÓRSTWO 213</t>
  </si>
  <si>
    <t>KALKULACJA PRÓB TECHN. PRZETWÓRSTWO 214</t>
  </si>
  <si>
    <t>KALKULACJA PRÓB TECHN. PRZETWÓRSTWO 215</t>
  </si>
  <si>
    <t>KALKULACJA PRÓB TECHN. PRZETWÓRSTWO 216</t>
  </si>
  <si>
    <t>KALKULACJA PRÓB TECHN. PRZETWÓRSTWO 217</t>
  </si>
  <si>
    <t>KALKULACJA PRÓB TECHN. PRZETWÓRSTWO 218</t>
  </si>
  <si>
    <t>KALKULACJA PRÓB TECHN. PRZETWÓRSTWO 219</t>
  </si>
  <si>
    <t>KALKULACJA PRÓB TECHN. PRZETWÓRSTWO 220</t>
  </si>
  <si>
    <t>KALKULACJA PRÓB TECHN. PRZETWÓRSTWO 221</t>
  </si>
  <si>
    <t>KALKULACJA PRÓB TECHN. PRZETWÓRSTWO 222</t>
  </si>
  <si>
    <t>KALKULACJA PRÓB TECHN. PRZETWÓRSTWO 223</t>
  </si>
  <si>
    <t>KALKULACJA PRÓB TECHN. PRZETWÓRSTWO 224</t>
  </si>
  <si>
    <t>KALKULACJA PRÓB TECHN. PRZETWÓRSTWO 225</t>
  </si>
  <si>
    <t>KALKULACJA PRÓB TECHN. PRZETWÓRSTWO 226</t>
  </si>
  <si>
    <t>KALKULACJA PRÓB TECHN. PRZETWÓRSTWO 227</t>
  </si>
  <si>
    <t>KALKULACJA PRÓB TECHN. PRZETWÓRSTWO 228</t>
  </si>
  <si>
    <t>KALKULACJA PRÓB TECHN. PRZETWÓRSTWO 229</t>
  </si>
  <si>
    <t>KALKULACJA PRÓB TECHN. PRZETWÓRSTWO 230</t>
  </si>
  <si>
    <t>KALKULACJA PRÓB TECHN. PRZETWÓRSTWO 181</t>
  </si>
  <si>
    <t>KALKULACJA PRÓB TECHN. PRZETWÓRSTWO 182</t>
  </si>
  <si>
    <t>KALKULACJA PRÓB TECHN. PRZETWÓRSTWO 183</t>
  </si>
  <si>
    <t>KALKULACJA PRÓB TECHN. PRZETWÓRSTWO 184</t>
  </si>
  <si>
    <t>KALKULACJA PRÓB TECHN. PRZETWÓRSTWO 185</t>
  </si>
  <si>
    <t>KALKULACJA PRÓB TECHN. PRZETWÓRSTWO 186</t>
  </si>
  <si>
    <t>KALKULACJA PRÓB TECHN. PRZETWÓRSTWO 187</t>
  </si>
  <si>
    <t>KALKULACJA PRÓB TECHN. PRZETWÓRSTWO 188</t>
  </si>
  <si>
    <t>KLA_023_PUCH</t>
  </si>
  <si>
    <t>KALKULACJA PRÓB TECHN. PRZETWÓRSTWO 189</t>
  </si>
  <si>
    <t>KALKULACJA PRÓB TECHN. PRZETWÓRSTWO 190</t>
  </si>
  <si>
    <t>KALKULACJA PRÓB TECHN. PRZETWÓRSTWO 191</t>
  </si>
  <si>
    <t>KALKULACJA PRÓB TECHN. PRZETWÓRSTWO 192</t>
  </si>
  <si>
    <t>KALKULACJA PRÓB TECHN. PRZETWÓRSTWO 193</t>
  </si>
  <si>
    <t>KALKULACJA PRÓB TECHN. PRZETWÓRSTWO 194</t>
  </si>
  <si>
    <t>KALKULACJA PRÓB TECHN. PRZETWÓRSTWO 195</t>
  </si>
  <si>
    <t>KALKULACJA PRÓB TECHN. PRZETWÓRSTWO 196</t>
  </si>
  <si>
    <t>KALKULACJA PRÓB TECHN. PRZETWÓRSTWO 197</t>
  </si>
  <si>
    <t>KALKULACJA PRÓB TECHN. PRZETWÓRSTWO 198</t>
  </si>
  <si>
    <t>KALKULACJA PRÓB TECHN. PRZETWÓRSTWO 199</t>
  </si>
  <si>
    <t>KALKULACJA PRÓB TECHN. PRZETWÓRSTWO 200</t>
  </si>
  <si>
    <t>KALKULACJA PRÓB TECHN. PRZETWÓRSTWO 231</t>
  </si>
  <si>
    <t>KALKULACJA PRÓB TECHN. PRZETWÓRSTWO 232</t>
  </si>
  <si>
    <t>AP_023_ZPASZE</t>
  </si>
  <si>
    <t>KALKULACJA PRÓB TECHN. PRZETWÓRSTWO 233</t>
  </si>
  <si>
    <t>KALKULACJA PRÓB TECHN. PRZETWÓRSTWO 234</t>
  </si>
  <si>
    <t>KALKULACJA PRÓB TECHN. PRZETWÓRSTWO 235</t>
  </si>
  <si>
    <t>KALKULACJA PRÓB TECHN. PRZETWÓRSTWO 236</t>
  </si>
  <si>
    <t>KALKULACJA PRÓB TECHN. PRZETWÓRSTWO 237</t>
  </si>
  <si>
    <t>KALKULACJA PRÓB TECHN. PRZETWÓRSTWO 238</t>
  </si>
  <si>
    <t>KALKULACJA PRÓB TECHN. PRZETWÓRSTWO 239</t>
  </si>
  <si>
    <t>KALKULACJA PRÓB TECHN.PRZETWÓRSTWO 240G</t>
  </si>
  <si>
    <t>KALKULACJA PRÓB TECHN. PRZETWÓRSTWO 241</t>
  </si>
  <si>
    <t>KALKULACJA PRÓB TECHN. PRZETWÓRSTWO 242</t>
  </si>
  <si>
    <t>KALKULACJA PRÓB TECHN. PRZETWÓRSTWO 243</t>
  </si>
  <si>
    <t>KALKULACJA PRÓB TECHN. PRZETWÓRSTWO 244</t>
  </si>
  <si>
    <t>KALKULACJA PRÓB TECHN. PRZETWÓRSTWO 245</t>
  </si>
  <si>
    <t>KALKULACJA PRÓB TECHN. PRZETWÓRSTWO 246</t>
  </si>
  <si>
    <t>KALKULACJA PRÓB TECHN. PRZETWÓRSTWO 247</t>
  </si>
  <si>
    <t>KALKULACJA PRÓB TECHN. PRZETWÓRSTWO 248</t>
  </si>
  <si>
    <t>KALKULACJA PRÓB TECHN. PRZETWÓRSTWO 249</t>
  </si>
  <si>
    <t>KALKULACJA PRÓB TECHN. PRZETWÓRSTWO 250</t>
  </si>
  <si>
    <t>KALKULACJA PRÓB TECHN. PRZETWÓRSTWO 251</t>
  </si>
  <si>
    <t>KALKULACJA PRÓB TECHN. PRZETWÓRSTWO 252</t>
  </si>
  <si>
    <t>KALKULACJA PRÓB TECHN. PRZETWÓRSTWO 253</t>
  </si>
  <si>
    <t>KALKULACJA PRÓB TECHN. PRZETWÓRSTWO 254</t>
  </si>
  <si>
    <t>KALKULACJA PRÓB TECHN. PRZETWÓRSTWO 255</t>
  </si>
  <si>
    <t>KALKULACJA PRÓB TECHN. PRZETWÓRSTWO 257</t>
  </si>
  <si>
    <t>KALKULACJA PRÓB TECHN. PRZETWÓRSTWO 258</t>
  </si>
  <si>
    <t>KALKULACJA PRÓB TECHN. PRZETWÓRSTWO 259</t>
  </si>
  <si>
    <t>KALKULACJA PRÓB TECHN. PRZETWÓRSTWO 260</t>
  </si>
  <si>
    <t>KALKULACJA PRÓB TECHN. PRZETWÓRSTWO 261</t>
  </si>
  <si>
    <t>KALKULACJA PRÓB TECHN. PRZETWÓRSTWO 262</t>
  </si>
  <si>
    <t>KALKULACJA PRÓB TECHN. PRZETWÓRSTWO 263</t>
  </si>
  <si>
    <t>KALKULACJA PRÓB TECHN. PRZETWÓRSTWO 265</t>
  </si>
  <si>
    <t>KALKULACJA PRÓB TECHN. PRZETWÓRSTWO 266</t>
  </si>
  <si>
    <t>KALKULACJA PRÓB TECHN. PRZETWÓRSTWO 267</t>
  </si>
  <si>
    <t>KALKULACJA PRÓB TECHN. PRZETWÓRSTWO 268</t>
  </si>
  <si>
    <t>KALKULACJA PRÓB TECHN. PRZETWÓRSTWO 269</t>
  </si>
  <si>
    <t>KALKULACJA PRÓB TECHN. PRZETWÓRSTWO 270</t>
  </si>
  <si>
    <t>KALKULACJA PRÓB TECHN. PRZETWÓRSTWO 271</t>
  </si>
  <si>
    <t>KALKULACJA PRÓB TECHN. PRZETWÓRSTWO 272</t>
  </si>
  <si>
    <t>KALKULACJA PRÓB TECHN. PRZETWÓRSTWO 273</t>
  </si>
  <si>
    <t>KALKULACJA PRÓB TECHN. PRZETWÓRSTWO 274</t>
  </si>
  <si>
    <t>KALKULACJA PRÓB TECHN. PRZETWÓRSTWO 275</t>
  </si>
  <si>
    <t>KALKULACJA PRÓB TECHN. PRZETWÓRSTWO 276</t>
  </si>
  <si>
    <t>KALKULACJA PRÓB TECHN. PRZETWÓRSTWO 277</t>
  </si>
  <si>
    <t>KALKULACJA PRÓB TECHN. PRZETWÓRSTWO 278</t>
  </si>
  <si>
    <t>KALKULACJA PRÓB TECHN. PRZETWÓRSTWO 279</t>
  </si>
  <si>
    <t>KALKULACJA PRÓB TECHN. PRZETWÓRSTWO 280</t>
  </si>
  <si>
    <t>KALKULACJA PRÓB TECHN.PRZETW.240G_1</t>
  </si>
  <si>
    <t>AX001_PP_PK_KONSER</t>
  </si>
  <si>
    <t>KALKULACJA PRÓB TECHN.PRZETWÓRSTWO34.2G</t>
  </si>
  <si>
    <t>PÓŁTUSZ WP.B/GŁ.KL.S CH</t>
  </si>
  <si>
    <t>AX001_MS_WP_POL+CW</t>
  </si>
  <si>
    <t>PÓŁTUSZ WP.B/GŁ.KL.E CH</t>
  </si>
  <si>
    <t>PÓŁTUSZ WP. B/GŁ. KL. U CH</t>
  </si>
  <si>
    <t>PÓŁTUSZ WP.B/GŁ.KL.R CH</t>
  </si>
  <si>
    <t>PÓŁTUSZ WP.B/GŁ.KL.O CH</t>
  </si>
  <si>
    <t>PÓŁTUSZ WP.B/GŁ.KL.P CH</t>
  </si>
  <si>
    <t>PÓŁTUSZA WP.B/GŁ KL.MDP CH</t>
  </si>
  <si>
    <t>PÓŁTUSZA WP. LUZ PJ CH -MAT.KAT.3</t>
  </si>
  <si>
    <t>AX001_ODPADY</t>
  </si>
  <si>
    <t>***PL SCH.B/K.1/2ST TRM OK8KG KT MOR EX</t>
  </si>
  <si>
    <t>KLA_023_ROH_0011</t>
  </si>
  <si>
    <t>***EU SCH.B/K.1ST TRM OK8 KG KT MOR EX</t>
  </si>
  <si>
    <t>***EU SCH.B/K.1/2ST TRM OK8KG KT MOR EX</t>
  </si>
  <si>
    <t>***SCHAB B/K KRÓTKI CH</t>
  </si>
  <si>
    <t>***SCHAB B/K KRÓTKI NB MR ST</t>
  </si>
  <si>
    <t>***SCHAB B/K KRÓTKI NB DMR</t>
  </si>
  <si>
    <t>***SCHAB B/K KRÓTKI NB RO</t>
  </si>
  <si>
    <t>***SCHAB B/K KRÓTKI USR</t>
  </si>
  <si>
    <t>***PL SCH.WP.B/K.16CM 1STTRM 4STKT SFL</t>
  </si>
  <si>
    <t>***PL SCH.WP.B/K.16CM 1STTRM JBX UK</t>
  </si>
  <si>
    <t>***EU SCH.WP.B/K.16CM 1STTRM 4STKT SFL</t>
  </si>
  <si>
    <t>***EU SCH.WP.B/K.16CM 1STTRM JBX UK</t>
  </si>
  <si>
    <t>***PL SCH.WP.B/K.CIĘ.LUZ KT KAUF</t>
  </si>
  <si>
    <t>***EU SCH.WP.B/K.CIĘ.3STMAP 2STKT KAUF</t>
  </si>
  <si>
    <t>***EU SCH.B/K.CIĘ.PBX CH KAUF2</t>
  </si>
  <si>
    <t>KLA_022_MPOM_0003</t>
  </si>
  <si>
    <t>***EU SCH.B/K.Z/TŁ.2MM PBX CH2</t>
  </si>
  <si>
    <t>***PL SCH.B/K.Z/TŁ.2MM.KAW.OK15KG PB MR</t>
  </si>
  <si>
    <t>***PL SCH.B/K.Z/TŁ.2MM.KAW.OK15KG PB DMR</t>
  </si>
  <si>
    <t>***PL SCH.B/K.Z/TŁ.2MM.KAW.OK15KG PB RO1</t>
  </si>
  <si>
    <t>***PL SCH.B/K.Z/TŁ.2MM.KAW.OK15KG PB RO2</t>
  </si>
  <si>
    <t>***PL SCH.B/K/TŁ.KAW.3STVACOK20KGKTKAUF</t>
  </si>
  <si>
    <t>***BR KARE B/KOSTI PLATKY RB SV MAP720GT</t>
  </si>
  <si>
    <t>***BR KARE B/KOSTI PLATKY SV MAP 360G T</t>
  </si>
  <si>
    <t>***BRAVCOVE KARE BEZ KOSTI MAP OK.1KG T</t>
  </si>
  <si>
    <t>***SCHAB Z/K.Z POLĘDWICZ.KL1 LUZ KA</t>
  </si>
  <si>
    <t>***PL SCH.WP.Z/K.KTL 750G MAP 3KG KT ME</t>
  </si>
  <si>
    <t>***PL SCH.Z/K.KTL 625G MAP 2.5KG KT ME</t>
  </si>
  <si>
    <t>***PL SCH.Z/K.KTL.OK1.2KGMAPOK4.8KGKT ME</t>
  </si>
  <si>
    <t>***PL SCH.CZ.ODK.KTL.750G MAP 6KGKT LIDL</t>
  </si>
  <si>
    <t>***PL SCH.CZ.ODK.KOTL.750GMAP 3KGKT AUCH</t>
  </si>
  <si>
    <t>***PL SCH.CZ.ODK.KTL750GMAP1.5KGKT NETTO</t>
  </si>
  <si>
    <t>***PL SCH.CZ.ODK.PL OK500G PACZ.TESC</t>
  </si>
  <si>
    <t>***PL SCH.CZ.ODK.PACZ.OK1KG TESC</t>
  </si>
  <si>
    <t>***PL SCH.CZ.ODK.1.10KG MAP NETTO</t>
  </si>
  <si>
    <t>***EU SCH.Z/K.KOTL.OK1.2KGMAPOK4.8KGKTME</t>
  </si>
  <si>
    <t>***EU SCH.CZ.ODK.KTL 750G MAP LIDL</t>
  </si>
  <si>
    <t>***EU SCH.CZ.ODK.KTL 750GMAP1.5KGKTNETTO</t>
  </si>
  <si>
    <t>***EU SCH.CZ.ODK.PL OK500G PACZ.TESCO</t>
  </si>
  <si>
    <t>***EU SCH.CZ.ODK.PACZ.OK1KG TESCO</t>
  </si>
  <si>
    <t>***EU SCH.CZ.ODK.1.10KG MAP NETTO</t>
  </si>
  <si>
    <t>***PL SCH.CZ.ODK.B/TŁ.KOTL.</t>
  </si>
  <si>
    <t>***EU SCH.CZ.ODK.B/TŁ.KOTL.</t>
  </si>
  <si>
    <t>***SCHAB WP.B/K/TŁ/M.CZWOROBOCZ.KOTLETY</t>
  </si>
  <si>
    <t>***SCHAB WP.B/K KOTLETY LUZ OK.8KG PJ</t>
  </si>
  <si>
    <t>***PL SCH.B/K.KTL MAP OK1.6KG MAKR</t>
  </si>
  <si>
    <t>***PL SCH.B/K.KTL 360GMAP 2.16KG KT AUCH</t>
  </si>
  <si>
    <t>***PL SCH.B/K.KTL JM 360G MAP</t>
  </si>
  <si>
    <t>5901784154017</t>
  </si>
  <si>
    <t>***PL SCH.B/K.KTL 700G MAP 5.6KG KT LIDL</t>
  </si>
  <si>
    <t>***PL SCH.B/K.KTL MAP360G</t>
  </si>
  <si>
    <t>***PL SCH.B/K.KTL 360G MAP 2.16KGKTME</t>
  </si>
  <si>
    <t>***PL SCH.B/K.KTL 360G MAP TESC</t>
  </si>
  <si>
    <t>***PL SCH.B/K.KOTLETY OK3KG VAC OK15KGKT</t>
  </si>
  <si>
    <t>***PL SCH.B/K.KTLOK2KG TRM OK15KG KT STO</t>
  </si>
  <si>
    <t>***PL SCH.B/K.KTL 8X360G MAP MAKR</t>
  </si>
  <si>
    <t>***PL SCH.B/K.KTL 420G MAP TESC</t>
  </si>
  <si>
    <t>***PL SCH.B/K.KTL 1KG MAP 6KG KT POLM</t>
  </si>
  <si>
    <t>5904634007136</t>
  </si>
  <si>
    <t>***PL SCH.B/K.KTL 360G MAP 8ST KT ECS</t>
  </si>
  <si>
    <t>***PL SCH.B/K.KTL360GMAP4.32KGKT LIDL LT</t>
  </si>
  <si>
    <t>***PL SCH.B/K.KTL700GMAP 5.6KGKT LIDL LT</t>
  </si>
  <si>
    <t>***PL SCH.B/K.PL 360G MAP</t>
  </si>
  <si>
    <t>***PL SCH.B/K.KTL 360G MAP 4.32KG KT</t>
  </si>
  <si>
    <t>***PL SCH.B/K.KTL 360G MAP KAUF</t>
  </si>
  <si>
    <t>***PL SCH.B/K.KTL 360G MAP KAUF BL</t>
  </si>
  <si>
    <t>***EU SCH.B/K/WAR/TŁ.KOTLETY</t>
  </si>
  <si>
    <t>***EU SCH.B/K.KTL MAP OK1.6KG MAKR</t>
  </si>
  <si>
    <t>***EU SCH.B/K.KTL 360GMAP 2.16KG KT AUCH</t>
  </si>
  <si>
    <t>***EU SCH.B/K.KTL MAP360G</t>
  </si>
  <si>
    <t>***EU SCH.B/K.KTL 360G MAP TESCO</t>
  </si>
  <si>
    <t>***EU SCH.B/K.KOTLETY OK3KG VAC OK15KGKT</t>
  </si>
  <si>
    <t>***EU SCH.B/K.KTLOK2KG TRM OK15KG KT STO</t>
  </si>
  <si>
    <t>***EU SCH.B/K.KTL 8X360G MAP MAKR</t>
  </si>
  <si>
    <t>***EU SCH.B/K.KTL 420G MAP TESCO</t>
  </si>
  <si>
    <t>***EU SCH.B/K.KTL 360G MAP 8ST KT ECS</t>
  </si>
  <si>
    <t>***EU SCH.B/K.PL 360G MAP</t>
  </si>
  <si>
    <t>***EU SCH.B/K.KTL 360G MAP KAUF</t>
  </si>
  <si>
    <t>***PL SCH.B/K.KOTLETYOK700GRODZ.PACZTESC</t>
  </si>
  <si>
    <t>***PL SCH.B/K.KOTLETY 360G+GRATIS JMD</t>
  </si>
  <si>
    <t>***EU SCH.B/K.KOTLETY OK700G RODZ.PACZ.T</t>
  </si>
  <si>
    <t>***SCHAB B/K/WAR.TŁ CH</t>
  </si>
  <si>
    <t>***SCHABB/K/POL.B/WA-Ż.KLEU2.2-2.8PBMRST</t>
  </si>
  <si>
    <t>***PL SCH. B/K/TŁ WOR OK 15KG PJ EC</t>
  </si>
  <si>
    <t>***PL SCH.B/K.PC 560G MAP STO</t>
  </si>
  <si>
    <t>***PL SCH.B/K.PC 560G MAP</t>
  </si>
  <si>
    <t>***PL SCH.B/K/WAR/TŁ.OK1KGMAP OK6KGKT ME</t>
  </si>
  <si>
    <t>***PL SCH.WP.B/K 1KG MAP 6KG KT ME</t>
  </si>
  <si>
    <t>***PL SCH.B/K/WAR/TŁ.OK1KGMAPOK6KGKTAUCH</t>
  </si>
  <si>
    <t>***PL SCH.WP.B/K.OK1.15KGVACOK13.8KGKTKA</t>
  </si>
  <si>
    <t>***PL SCH.B/K/TŁ.OK3KGVAC OK15KGKT MAKR</t>
  </si>
  <si>
    <t>***PL SCH.B/K.1660 1STVAC OK20KGKT MR EX</t>
  </si>
  <si>
    <t>***PL SCH.B/K.1STVAC OK15KGKT</t>
  </si>
  <si>
    <t>***PL SCH.B/K.1STVAC OK12KGKT SEL</t>
  </si>
  <si>
    <t>***PL SCH.B/K/WAR/TŁ.OK1KGMAP 6KGKT POLM</t>
  </si>
  <si>
    <t>***PL SCH.B/K.PC 8X560G MAP MAKR</t>
  </si>
  <si>
    <t>***PL SCH.B/K.OK1KG MAP OK5KG KT BIED</t>
  </si>
  <si>
    <t>***SCHAB B/K SEUR GR.2.2-2.8 WOR PJCH ST</t>
  </si>
  <si>
    <t>***SCHAB B/K SEUR GR1.8-2.2 WOR PJ CH ST</t>
  </si>
  <si>
    <t>***PL SCH.B/K.TŁ.1STVAC OK20KG KT DMR EX</t>
  </si>
  <si>
    <t>***EU SCH. B/K/TŁ WOR OK15KG PJ EC</t>
  </si>
  <si>
    <t>***EU SCH.B/K.PC 560G MAP STO</t>
  </si>
  <si>
    <t>***EU SCH.B/K.PC 560G MAP</t>
  </si>
  <si>
    <t>***EU SCH.B/K.PC 560GMAP 4.48KGKT ECS</t>
  </si>
  <si>
    <t>***EU SCH.B/K/WAR/TŁ.OK1KGMAPOK6KGKTAUCH</t>
  </si>
  <si>
    <t>***EU SCH.WP.B/K.OK1.15KGVACOK13.8KGKTKA</t>
  </si>
  <si>
    <t>***EU SCH.B/K/TŁ.OK3KGVAC OK15KGKT MAKR</t>
  </si>
  <si>
    <t>***EU SCH.B/K.1STVAC OK15KGKT</t>
  </si>
  <si>
    <t>***EU SCH.B/K.PC 8X560G MAP MAKR</t>
  </si>
  <si>
    <t>***EU SCH.B/K.PC OK800G PACZ.TESCO</t>
  </si>
  <si>
    <t>***EU SCH.B/K/WAR/TŁ.OK15KG PJ ST</t>
  </si>
  <si>
    <t>***PL SCH.Z/K.CH WOR OK15KG KT CH</t>
  </si>
  <si>
    <t>***PL SCH.Z/K.CH WOR OK15KG KT.OTW.</t>
  </si>
  <si>
    <t>***PL SCH.Z/K.OK16KG WOR SK T CH</t>
  </si>
  <si>
    <t>***PL SCH.Z/K 3ST KT MR CN</t>
  </si>
  <si>
    <t>***PL SCH.Z/K.1STTRM OK15KGPJ ECS</t>
  </si>
  <si>
    <t>***PL SCH.WP.Z/K.1STTRM OK15KGKT</t>
  </si>
  <si>
    <t>***PL SCH.WP.Z/K.1ST TRM OK10KG KT</t>
  </si>
  <si>
    <t>***PL SCH.Z/K.LUZ</t>
  </si>
  <si>
    <t>***PL SCH.Z/K.3ST KT DMR CN</t>
  </si>
  <si>
    <t>***EU SCH.Z/K.CH WOR OK15KG KT CH</t>
  </si>
  <si>
    <t>***EU SCH.Z/K.CH WOR OK15KG KT.OTW.</t>
  </si>
  <si>
    <t>***EU SCH.Z/K.OK16KG WOR SK T CH</t>
  </si>
  <si>
    <t>***EU SCH.Z/K.1STTRM OK15KGPJ ECS</t>
  </si>
  <si>
    <t>***EU SCH.WP.Z/K.1STTRM OK15KGKT</t>
  </si>
  <si>
    <t>***EU SCH.WP.Z/K.1ST TRM OK10KG KT</t>
  </si>
  <si>
    <t>***EU SCH.Z/K.LUZ</t>
  </si>
  <si>
    <t>***EU SCH.Z/K 3ST KT DMR CN</t>
  </si>
  <si>
    <t>***PL SCH.B/K.LUZ OK15KG KT TIP</t>
  </si>
  <si>
    <t>***PL SCH.B/K.KOTL.500GMAP 6KGKT LIDL LT</t>
  </si>
  <si>
    <t>***PL SCH.B/K.Z/WAR.OK1KGMAPOK6KGKT</t>
  </si>
  <si>
    <t>***PL SCH.B/K.VAC OK20KG KT TIP</t>
  </si>
  <si>
    <t>***PL SCH.Z/2WAR.OK1KG VAC OK20KG CARR</t>
  </si>
  <si>
    <t>***PL SCH.B/K.OK1KG VAC OK5KGKT SK TESC</t>
  </si>
  <si>
    <t>***PL SCH.WP.B/K.Z/2WAROK1KGVAC OK4KG KT</t>
  </si>
  <si>
    <t>***PL SCH.B/K.Z/WAR.VAC OK1KG REAL</t>
  </si>
  <si>
    <t>***PL SCH.B/K.Z/WAR.OK1KGVAC OK10KGKT</t>
  </si>
  <si>
    <t>***PL SCH.B/K.Z/WAR.OK18KGVAC KT CH TESC</t>
  </si>
  <si>
    <t>***PL SCH.B/K.Z/2WAR.1STTRMOK20KGKT CARR</t>
  </si>
  <si>
    <t>***PL SCH.Z/2WAR.1ST TRM OK15KG KT KV</t>
  </si>
  <si>
    <t>***PL SCH.B/K.Z/WAR.1STVAC OK15KGKT</t>
  </si>
  <si>
    <t>***PL SCH.B/K.Z/WAR.1STVAC OK12KGKT SEL</t>
  </si>
  <si>
    <t>***PL SCH.B/K.Z/WAR.1KG VAC 6 KG KT POLM</t>
  </si>
  <si>
    <t>***PL SCH.B/K.Z/WAR.OK1KGVACOK15KGKTAUCH</t>
  </si>
  <si>
    <t>***PL SCH.B/K.Z/WAR.1/2STVAC OK5KGKT</t>
  </si>
  <si>
    <t>***PL SCH.WP.B/K.OK1KGVAC OK4.2KGKT MOR</t>
  </si>
  <si>
    <t>***PL SCH.B/K.Z/WAR.OK1KGVACOK6KGKT LIDL</t>
  </si>
  <si>
    <t>***PL SCH.B/K.Z/2WAR.OK15KG PJ CH ST</t>
  </si>
  <si>
    <t>***PL SCH.B/K.Z/2WAR.VAC DMR</t>
  </si>
  <si>
    <t>***EU SCH.B/K.LUZ OK15KG KT TIP</t>
  </si>
  <si>
    <t>***EU SCH.B/K.VAC OK20KG KT TIP</t>
  </si>
  <si>
    <t>***EU SCH.B/K.Z/2WAR.OK1KGVAC OK5KG TESC</t>
  </si>
  <si>
    <t>***EU SCH.Z/2WAR.OK1KG VAC OK20KG C</t>
  </si>
  <si>
    <t>***EU SCH.B/K.OK1KG VAC OK5KGKT SK TESC</t>
  </si>
  <si>
    <t>***EU SCH.WP.B/K.Z/2WAR OK1KGVACOK4KG KT</t>
  </si>
  <si>
    <t>***EU SCH.B/K.Z/WAR.VAC OK1KG REAL</t>
  </si>
  <si>
    <t>***EU SCH.B/K.Z/WAR.OK1KGVAC OK10KGKT</t>
  </si>
  <si>
    <t>***EU SCH.B/K.Z/WAR.VAC KT CH TESCO</t>
  </si>
  <si>
    <t>***EU SCH.B/K.Z/2WAR.1ST TRM OK20KG KT C</t>
  </si>
  <si>
    <t>***EU SCH.B/K.Z/WAR.VAC</t>
  </si>
  <si>
    <t>***EU SCH.Z/2WAR.1ST TRM OK15KG KT KV</t>
  </si>
  <si>
    <t>***EU SCH.B/K.Z/WAR.1STVAC OK15KGKT</t>
  </si>
  <si>
    <t>***EU SCH.B/K.Z/WAR.OK1KGVACOK15KGKTAUCH</t>
  </si>
  <si>
    <t>***EU SCH.WP.B/K.OK1KGVAC OK4.2KGKT MOR</t>
  </si>
  <si>
    <t>***EU SCH.B/K.Z/2WAR.OK15KG PJ CH</t>
  </si>
  <si>
    <t>***EU SCH.B/K.Z/2WAR.VAC DMR</t>
  </si>
  <si>
    <t>***PL SCH.B/K.PB MR RU</t>
  </si>
  <si>
    <t>***PL SCH.ODK.CH LUZ KT</t>
  </si>
  <si>
    <t>***PL SCH.B/K.LUZ OK15KG KT CH EX</t>
  </si>
  <si>
    <t>***PL SCH.B/K/TŁ.1ST FOL.OK20KG KT MR EX</t>
  </si>
  <si>
    <t>***PL SCH.B/K.OK1KG VAC OK5KG SK TESC</t>
  </si>
  <si>
    <t>***PL SCH.ODK.CH VAC</t>
  </si>
  <si>
    <t>***PL SCH.B/K.OK1KG VAC OK6KG KT RU</t>
  </si>
  <si>
    <t>***PL SCH.B/K.OK1KGVAC OK20KG KT CARR</t>
  </si>
  <si>
    <t>***PL SCH.B/K.1ST TRM OK15KG PJ STO</t>
  </si>
  <si>
    <t>***PL SCH.B/K.1ST TRM OK20KG RU</t>
  </si>
  <si>
    <t>***PL SCH.B/K.1ST TRM OK20KG KJM RU</t>
  </si>
  <si>
    <t>***PL SCH.B/K.1STVAC OK15KGKT EX</t>
  </si>
  <si>
    <t>***PL SCH.B/K.1STTRM OK20KGKT</t>
  </si>
  <si>
    <t>***PL SCH.B/K.1STTRM OK6KGKT CARR</t>
  </si>
  <si>
    <t>***PL SCH.B/K.VAC HILT</t>
  </si>
  <si>
    <t>***PL SCH.B/K/TŁ.VAC OK15KG KT MR EX</t>
  </si>
  <si>
    <t>***PL SCH.B/K.LUZ HILT</t>
  </si>
  <si>
    <t>***SCHAB B/K/TŁ. OK.15KG WOR PJ CH EŁ PL</t>
  </si>
  <si>
    <t>***PL SCH.B/K/TŁ.PB DMR</t>
  </si>
  <si>
    <t>***PL SCH.B/K.PB DMR RU</t>
  </si>
  <si>
    <t>***PL SCH.B/K.Z/WAR.DMR</t>
  </si>
  <si>
    <t>***PL SCH.B/K/TŁ.VAC DMR CZ</t>
  </si>
  <si>
    <t>***EU SCH.ODK.CH LUZ KT</t>
  </si>
  <si>
    <t>***EU SCH.B/K.LUZ OK15KG KT CH EX</t>
  </si>
  <si>
    <t>***EU SCH.B/K/TŁ.1ST FOL.OK20KG KT MR EX</t>
  </si>
  <si>
    <t>***EU SCH.B/K.OK1KG VAC OK5KG SK TESCO</t>
  </si>
  <si>
    <t>***EU SCH.ODK.CH VAC</t>
  </si>
  <si>
    <t>***EU SCH.B/K.OK1KG VAC OK6KG KT RU</t>
  </si>
  <si>
    <t>***EU SCH.B/K.OK1KGVAC OK20KG KT CARR</t>
  </si>
  <si>
    <t>***EU SCH.B/K.1ST TRM OK15KG PJ STO</t>
  </si>
  <si>
    <t>***EU SCH.B/K.1ST TRM OK20KG RU</t>
  </si>
  <si>
    <t>***EU SCH.B/K.1ST TRM OK20KG KJM RU</t>
  </si>
  <si>
    <t>***EU SCH.B/K.1STVAC OK15KGKT EX</t>
  </si>
  <si>
    <t>***EU SCH.B/K.1STTRM OK20KGKT</t>
  </si>
  <si>
    <t>***EU SCH.B/K.1STTRM OK6KGKT CARR</t>
  </si>
  <si>
    <t>***EU SCH.B/K.VAC HILT</t>
  </si>
  <si>
    <t>***EU SCH.B/K/TŁ.VAC OK15KG KT MR EX</t>
  </si>
  <si>
    <t>***EU SCH.B/K.LUZ HILT</t>
  </si>
  <si>
    <t>***EU SCH.B/K/TŁ.PB DMR</t>
  </si>
  <si>
    <t>***EU SCH.B/K.PB DMR RU</t>
  </si>
  <si>
    <t>***EU SCH.B/K.Z/WAR.DMR</t>
  </si>
  <si>
    <t>***EU SCH.B/K/TŁ.VAC DMR CZ</t>
  </si>
  <si>
    <t>***SCHAB GARMAŻ.B/K KRÓTKI LUZ KT</t>
  </si>
  <si>
    <t>***PL SCH.WP.B/K/TŁ.1ST ZAW OK25KGKT MR</t>
  </si>
  <si>
    <t>***PL SCH.B/K/WAR/TŁ.1ST TRM PJ</t>
  </si>
  <si>
    <t>***PL SCH.WP.B/K/TŁ.1ST ZAW OK25KGKT DMR</t>
  </si>
  <si>
    <t>***EU SCH.WP.B/K/TŁ.1ST ZAW OK25KG KT MR</t>
  </si>
  <si>
    <t>***EU SCH.B/K/WAR/TŁ.1STTRM OK15KGPJ MOR</t>
  </si>
  <si>
    <t>***EU SCH.B/K/WAR/TŁ.1ST TRM PJ</t>
  </si>
  <si>
    <t>***EU SCH.WP.B/K/TŁ.1STZAWOK25KGKT DMR</t>
  </si>
  <si>
    <t>***PL SCH.B/K.Z/2WAR.1STVAC OK5KGKT BIED</t>
  </si>
  <si>
    <t>***PL SCH.B/K.Z/WAR/TŁ.3MM PBX K4 ZAK</t>
  </si>
  <si>
    <t>***PL SCH.KARKOWY CH1</t>
  </si>
  <si>
    <t>***PL SCH.KARKOWY WOR OK20KG KT CH</t>
  </si>
  <si>
    <t>***PLSCHWPKARKOWY 1ST TRM OK8KGKT MOR EX</t>
  </si>
  <si>
    <t>***PL SCH.KARKOWY CH2</t>
  </si>
  <si>
    <t>***EU SCH.KARKOWY CH</t>
  </si>
  <si>
    <t>***EU SCH.KARKOWY WOR OK20KG KT CH</t>
  </si>
  <si>
    <t>***PL SCH.Z/K.B/TŁ.CH</t>
  </si>
  <si>
    <t>***EU SCH.Z/K.B/TŁ.CH</t>
  </si>
  <si>
    <t>***PL SCH.B/K/TŁ/MŚ.BIODR/MŚ.CZWOROBOCZ.</t>
  </si>
  <si>
    <t>***EU SCH.B/K/TŁ/MŚ.BIODR/MŚ.CZWOROBOCZ.</t>
  </si>
  <si>
    <t>***PL SCH.B/K/TŁ.MAC.CH</t>
  </si>
  <si>
    <t>***PL SCH.B/K/TŁ.MAC.PBX</t>
  </si>
  <si>
    <t>***PL SCH.B/K/TŁ.MAC.PBX ST</t>
  </si>
  <si>
    <t>***PP SCH.B/K/TŁ.MAC.CH</t>
  </si>
  <si>
    <t>***PP SCH.B/K/TŁ.MAC.PBX</t>
  </si>
  <si>
    <t>***PP SCH.B/K/TŁ.MAC.PBX ST</t>
  </si>
  <si>
    <t>***PL SCH.B/K.Z/WAR.1669 1STVACOK15KG EX</t>
  </si>
  <si>
    <t>***PL SCH.B/K.Z/WAR.16691STVACOK20KGKTEX</t>
  </si>
  <si>
    <t>***EU SCH.B/K.Z/WAR.1669 PBX CH1</t>
  </si>
  <si>
    <t>***EU SCH.B/K.Z/WAR.1669 PBX CH2</t>
  </si>
  <si>
    <t>***PL SCH.B/K/WAR/TŁ.CH1</t>
  </si>
  <si>
    <t>***PL SCH.B/K/WAR/TŁ.CH2</t>
  </si>
  <si>
    <t>***EU SCH.B/K/WAR/TŁ.CH1</t>
  </si>
  <si>
    <t>***EU SCH.B/K/WAR/TŁ.CH2</t>
  </si>
  <si>
    <t>JAMBON DE PORC (1,5D)</t>
  </si>
  <si>
    <t>***PL SZYN.1.5D B/MŚ.DWUG/PÓŁBŁ.ZAK RO</t>
  </si>
  <si>
    <t>***PP SZYN.1.5D PBX ST</t>
  </si>
  <si>
    <t>***PL SZYN.Z/K.B/GOL.11911 LUZ PBX HILT</t>
  </si>
  <si>
    <t>***EU SZYN.Z/K.B/GOL.11911 LUZ PBX HILT</t>
  </si>
  <si>
    <t>***PL SZYN.B/K.COLARINO OK20KG KT CH EX</t>
  </si>
  <si>
    <t>***PL SZYN.B/K.COLARINO1ST TRM OK20KT EX</t>
  </si>
  <si>
    <t>***EU SZYN.B/K.COLARINO CH OK20KG KT EX</t>
  </si>
  <si>
    <t>***EU SZYN.B/K.COLARINO 1STTRMOK20KGKTEX</t>
  </si>
  <si>
    <t>***PL SZYN.B/K.VELUTATO OK20KG KT EX</t>
  </si>
  <si>
    <t>***PL SZYN.B/K.VELUTATO 1STTRM OK20KT EX</t>
  </si>
  <si>
    <t>***EU SZYN.B/K.VELUTATO CH OK20KG KT EX</t>
  </si>
  <si>
    <t>***EU SZYN.B/K.VELUTATO 1STTRMOK20KGKTEX</t>
  </si>
  <si>
    <t>***PL SZYN.B/K.COLARONE OK20KG KT EX</t>
  </si>
  <si>
    <t>***PL SZYN.B/K.COLARONE 1STTRM OK20KT EX</t>
  </si>
  <si>
    <t>***EU SZYN.B/K.COLARONE OK20KG KT CH EX</t>
  </si>
  <si>
    <t>***EU SZYN.B/K.COLARONE 1STTRMOK20KGKTEX</t>
  </si>
  <si>
    <t>***M-Ń WP.SZYNKI UK USR</t>
  </si>
  <si>
    <t>***PL SZYN.Z/K/SK/NG.REDONDO CHOIN.CH EX</t>
  </si>
  <si>
    <t>***EU SZYN.Z/K/SK/NG.REDONDO CHOIN.CH EX</t>
  </si>
  <si>
    <t>***PL SZYN.B/K/S.SPECK 1STTRMOK20KGKTEXI</t>
  </si>
  <si>
    <t>***PL SZYN.B/K/S.SPECK 1STTRMOK15KGKT EX</t>
  </si>
  <si>
    <t>***PL SZYN.B/K/S.SPECK KT CH EX</t>
  </si>
  <si>
    <t>***EU SZYN.B/K/S.SPECK 1STTRMOK20KGKTEXI</t>
  </si>
  <si>
    <t>***EU SZYN.B/K/S.SPECK 1STTRMOK15KGKT EX</t>
  </si>
  <si>
    <t>***EUSZYN.B/K/S.SPECK 1STTRMOK20KGKTEXII</t>
  </si>
  <si>
    <t>***EU SZYN.B/K/S.SPECK KT CH EX</t>
  </si>
  <si>
    <t>***PL SZYN.SILVERSIDE WORLUZOK20KG KT EX</t>
  </si>
  <si>
    <t>***PL SZYN.SILVERS.OK10KGTRMOK20KG KT EX</t>
  </si>
  <si>
    <t>***EU SZYN.SILVERSIDE WOR.LUZOK20KGKT EX</t>
  </si>
  <si>
    <t>***SZYNKA Z/K B/GOLONKI LUZ</t>
  </si>
  <si>
    <t>***PL SZYN.Z/K/S/NG.REDONDO V-CUT PBX CH</t>
  </si>
  <si>
    <t>***PL SZYN.Z/K/S/NG.REDONDO V 9-12 CHOIN</t>
  </si>
  <si>
    <t>***PL SZYN.Z/K/S/NG.REDONDOV12-12.5CHOIN</t>
  </si>
  <si>
    <t>***EU SZYN.Z/K/SK/NG.REDONDO V-CUT PBXCH</t>
  </si>
  <si>
    <t>***EUSZYN.Z/K/S/NG.REDONDO V 9-11.5CHOIN</t>
  </si>
  <si>
    <t>***EUSZYN.Z/K/S/NG.REDONDO V11.5-12.5CHO</t>
  </si>
  <si>
    <t>***PL SZYN.B/K/MŚ.DWUG.Z/MŚ.BRZUCH.1</t>
  </si>
  <si>
    <t>***PL SZYN.B/K/MŚ.DWUG.Z/MŚ.BRZUCH.2</t>
  </si>
  <si>
    <t>***EU SZYN.B/K/MŚ.DWUG.Z/MŚ.BRZUCH.1</t>
  </si>
  <si>
    <t>***EU SZYN.B/K/MŚ.DWUG.Z/MŚ.BRZUCH.2</t>
  </si>
  <si>
    <t>***PLSZYN.Z/K/S/NG.REDONDO V 12-14KG CHO</t>
  </si>
  <si>
    <t>***EU SZYN.Z/K/S/NG.REDONDO V 12-14KGCHO</t>
  </si>
  <si>
    <t>***PLSZYN.WP.B/K.OK1.4KGVACOK8.4KTLIDLCZ</t>
  </si>
  <si>
    <t>***PL SZYN.B/K/S.OK1KGVAC OK5KGKT</t>
  </si>
  <si>
    <t>***SZYNKA WP.Z/K B/GOL.OBROB. LUZ</t>
  </si>
  <si>
    <t>***PL SZYN.B/K.VELUTATO PBX CH</t>
  </si>
  <si>
    <t>***EU SZYN.B/K.VELUTATO PBX CH</t>
  </si>
  <si>
    <t>***PL SZYN.B/K.LUZ OK15KG KT TIP</t>
  </si>
  <si>
    <t>***PL SZYN.WP.4D WOR OK15KG PJ EC</t>
  </si>
  <si>
    <t>***PL SZYN.4D 1ST FOL OK20KG KT MR</t>
  </si>
  <si>
    <t>***PL SZYN.B/K.OK1KG MAP</t>
  </si>
  <si>
    <t>***PL SZYN.B/K.OK1KGMAPOK6KGKT AUCH</t>
  </si>
  <si>
    <t>***PL SZYN.B/K.OK1KGVAC OK5KGKT TESC</t>
  </si>
  <si>
    <t>***PL SZYN.B/K.4D OK1.3KGVAC OK15KGKT</t>
  </si>
  <si>
    <t>***PL SZYN.B/K.4D.OK1KGVAC 6KGKT ME</t>
  </si>
  <si>
    <t>***PL SZYN.B/K.VAC OK15KG KT</t>
  </si>
  <si>
    <t>***PL SZYN.4D OK1KG VAC 6KG KT CH RU</t>
  </si>
  <si>
    <t>***PL SZYN.B/K.OK1KGVAC OK5KGKT SK TESC</t>
  </si>
  <si>
    <t>***PL SZYN.4D OK1KGVAC OK20KGKT CH CARR</t>
  </si>
  <si>
    <t>***PL SZYN.WP.B/K.OK1KGVAC OK4.2KGKT MOR</t>
  </si>
  <si>
    <t>***PL SZYN.B/K.4D 1STVAC OK15KGKT SEL</t>
  </si>
  <si>
    <t>***PL SZYN.4D 1STVAC OK15KGKT SK</t>
  </si>
  <si>
    <t>***PL SZYN.4D 1ST TRM OK20KT SFL</t>
  </si>
  <si>
    <t>***PL SZYN.4D 1ST TRM OK20KG KT CARR</t>
  </si>
  <si>
    <t>***PL SZYN.4D 1ST TRM OK20KG KJM RU</t>
  </si>
  <si>
    <t>***PL SZYN.4D 1ST TRM OK20KG RU</t>
  </si>
  <si>
    <t>***PL SZYN.4D 1STTRM OK6KGKT CARR</t>
  </si>
  <si>
    <t>***PL SZYN.B/K 4D.OK1KG VAC 6 KG KT POLM</t>
  </si>
  <si>
    <t>***PL SZYN.OK1KG MAP 6KG KT LIDL</t>
  </si>
  <si>
    <t>***PL SZYN.B/K.4D.1STVAC OK15KGKT</t>
  </si>
  <si>
    <t>***PL SZYN.4D KT MR KAUF</t>
  </si>
  <si>
    <t>***PL SZYN.WP.4D LUZ OK15KG PJ CH EX</t>
  </si>
  <si>
    <t>***SZYN.4 D OK.15,00KG WOR PJ CH EŁ</t>
  </si>
  <si>
    <t>***PL SZYN.4D 1ST FOL OK20KG KT DMR</t>
  </si>
  <si>
    <t>***PL SZYN.4D DMR KAUF</t>
  </si>
  <si>
    <t>***EU SZYN.4D OK15KG KT CH ST</t>
  </si>
  <si>
    <t>***EU SZYN.B/K.LUZ OK15KG KT TIP</t>
  </si>
  <si>
    <t>***EU SZYN.4D CH LUZ OK15KG KT EX</t>
  </si>
  <si>
    <t>***EU SZYN.WP.4D WOR OK15KG PJ EC</t>
  </si>
  <si>
    <t>***EU SZYN.4D OK15KG KT MR EX RU</t>
  </si>
  <si>
    <t>***EU SZYN.4D 1ST FOL OK20KG KT MR</t>
  </si>
  <si>
    <t>***EU SZYN.B/K.OK1KGMAPOK6KGKT AUCH</t>
  </si>
  <si>
    <t>***EU SZYN.B/K.OK1KGVAC OK5KGKT TESC</t>
  </si>
  <si>
    <t>***EU SZYN.4D VAC KT CH TESCO</t>
  </si>
  <si>
    <t>***EU SZYN.B/K.VAC OK15KG KT</t>
  </si>
  <si>
    <t>***EU SZYN.4D OK1KG VAC 6KG KT CH RU</t>
  </si>
  <si>
    <t>***EU SZYN.B/K.OK1KGVAC OK5KGKT SK TESC</t>
  </si>
  <si>
    <t>***EUSZYN.4D OK1KGVAC OK20KGKT CH CARR</t>
  </si>
  <si>
    <t>***EU SZYN.WP.B/K.OK1KGVAC OK4.2KGKT MOR</t>
  </si>
  <si>
    <t>***EU SZYN.WP.4D 1STVAC OK15KGPJ MOR</t>
  </si>
  <si>
    <t>***EU SZYN.4D 1STVAC OK15KGKT SK</t>
  </si>
  <si>
    <t>***EU SZYN.4D 1ST TRM OK20KT SFL</t>
  </si>
  <si>
    <t>***EU SZYN.4D 1ST TRM OK20KG KT CARR</t>
  </si>
  <si>
    <t>***EU SZYN.4D 1ST TRM OK20KG KJM RU</t>
  </si>
  <si>
    <t>***EU SZYN.4D 1ST TRM OK20KG RU</t>
  </si>
  <si>
    <t>***EU SZYN.4D 1STVAC OK15KGKT</t>
  </si>
  <si>
    <t>***EU SZYN.4D 1STTRM OK6KGKT CARR</t>
  </si>
  <si>
    <t>***EU SZYN.OK1KG MAP 6KG KT LIDL</t>
  </si>
  <si>
    <t>***EU SZYN.4D KT MR KAUF</t>
  </si>
  <si>
    <t>***EU SZYN.WP.4D LUZ OK15KG PJ CH EX</t>
  </si>
  <si>
    <t>***EU SZYN.4D PROMOCJA MAX.21KG PJ</t>
  </si>
  <si>
    <t>***EU SZYN.4D DMR</t>
  </si>
  <si>
    <t>***EU SZYN.4D 1ST FOL OK20KG KT DMR</t>
  </si>
  <si>
    <t>***EU SZYN.4D DMR KAUF</t>
  </si>
  <si>
    <t>PL SZYNKA WP.B/K.CH KAUF</t>
  </si>
  <si>
    <t>***PL SZYN.WP.B/K.CIĘ.LUZ KT KAUF</t>
  </si>
  <si>
    <t>***PLSZYN.WP.B/K.OK1.3KGVACOK15.6KGKTKAU</t>
  </si>
  <si>
    <t>***PL SZYN.WP.B/K.CIĘ.2STMAP BL KAUF</t>
  </si>
  <si>
    <t>EU SZYNKA WP.B/K.KAUF</t>
  </si>
  <si>
    <t>***EU SZYN.WP.B/K.PBX CH KAUF1</t>
  </si>
  <si>
    <t>***EU SZYN.WP.B/K.CIĘ.2STMAP 2STKT KAUF</t>
  </si>
  <si>
    <t>***EUSZYN.WP.B/K.OK1.3KGVACOK15.6KGKTKAU</t>
  </si>
  <si>
    <t>***EUSZYNWP.B/K.CIĘ.OK6KGVACOK20KGKTKAUF</t>
  </si>
  <si>
    <t xml:space="preserve">00100054 </t>
  </si>
  <si>
    <t>***EU SZYN.WP.B/K.PBX CH KAUF2</t>
  </si>
  <si>
    <t>***PL M-SO OD SZYNKI LUZ OK15KG KT HURT</t>
  </si>
  <si>
    <t>***PL M-SOODSZYNKI OK2.5KG VAC OK15KG KT</t>
  </si>
  <si>
    <t>AX001_MS_PK_DB</t>
  </si>
  <si>
    <t>***EU M-SO OD SZYNKI LUZ OK15KG KT HURT</t>
  </si>
  <si>
    <t>***EU M-SOODSZYNKIOK2.5KG VAC OK15KG KT</t>
  </si>
  <si>
    <t>M-Ń BRZUCHATY NIEOB. USR</t>
  </si>
  <si>
    <t>***M-Ń SZYN.ODBŁ.JASNE UŚR</t>
  </si>
  <si>
    <t>***MŃ SZYN.ODBŁ.JASNEOK15KG WR MR MORLEŁ</t>
  </si>
  <si>
    <t>***M-Ń WP.SZYN.SOG JASNE KL.SEUR PB RO</t>
  </si>
  <si>
    <t>KLA_022_MPOM_0006</t>
  </si>
  <si>
    <t>***M-Ń SZYN.ODBŁ.JASNE BLOK USR</t>
  </si>
  <si>
    <t>***M-Ń Z GOL PB DMR</t>
  </si>
  <si>
    <t>***M-Ń Z GOL PB RO</t>
  </si>
  <si>
    <t>MIĘSIEŃ GOLONKOWY USR CH</t>
  </si>
  <si>
    <t>***M-Ń SZYN.ODBŁ.CIEMNE NB MR ST</t>
  </si>
  <si>
    <t>***PL M-SOWP.GULASZ EXOK2.5KGVACOK15KGKT</t>
  </si>
  <si>
    <t>***M-Ń SZYN.ODBŁ.CIEMNE NB DMR</t>
  </si>
  <si>
    <t>***M-Ń SZYN.ODBŁ.CIEMNE NB RO</t>
  </si>
  <si>
    <t>***EU M-SO WP.GULASZEXOK2.5KGVACOK15KGKT</t>
  </si>
  <si>
    <t>***M-Ń CZTEROGŁOWY N/OBR.11000HILTON USR</t>
  </si>
  <si>
    <t>***EU SZYN.4D PBX CH1</t>
  </si>
  <si>
    <t>***EU SZYN.4D PBX CH2</t>
  </si>
  <si>
    <t>***M-Ń SZYN.ODBŁ.JASNE KL.U CH</t>
  </si>
  <si>
    <t>***M-Ń SZYN.ODBŁ.JASNE KL.U NB MR</t>
  </si>
  <si>
    <t>***M-Ń SZYN.ODBŁ.JASNE KL.U NB DMR</t>
  </si>
  <si>
    <t>***M-Ń SZYN.ODBŁ.JASNE KL.U BLOK CH</t>
  </si>
  <si>
    <t>***M-Ń SZYN.ODBŁ.JASNE KL.R CH</t>
  </si>
  <si>
    <t>***M-Ń SZYN.ODBŁ.JASNE KL.R BLOK CH</t>
  </si>
  <si>
    <t>***M-Ń SZYN.ODBŁ.JASNE KL.S CH</t>
  </si>
  <si>
    <t>***M-Ń SZYN.ODBŁ.JASNE KL.S NB MR</t>
  </si>
  <si>
    <t>***M-Ń SZYN.ODBŁ.JASNE KL.S NB DMR</t>
  </si>
  <si>
    <t>***M-Ń SZYN.ODBŁ.JASNE KL.S BLOK CH</t>
  </si>
  <si>
    <t>***M-Ń SZYN.ODBŁ.CIEMNE KL.U CH</t>
  </si>
  <si>
    <t>***M-Ń SZYN.ODBŁ.CIEMNE KL.R CH</t>
  </si>
  <si>
    <t>***M-Ń SZYN.ODBŁ.CIEMNE KL.S CH</t>
  </si>
  <si>
    <t>***PL SZYN.4D B/M.DWUG.CH</t>
  </si>
  <si>
    <t>***EU SZYN.4D B/M.DWUG.CH</t>
  </si>
  <si>
    <t>***PL SZYN.B/K.COLARONE PBX CH</t>
  </si>
  <si>
    <t>***EU SZYN.B/K.COLARONE PBX CH</t>
  </si>
  <si>
    <t>***PL SZYN.Z/K/SK/NG.REDONDO PBX CH</t>
  </si>
  <si>
    <t>***EU SZYN.Z/K/SK/NG.REDONDO PBX CH</t>
  </si>
  <si>
    <t>***M-Ń SZYNKI UK KL.S</t>
  </si>
  <si>
    <t>***EU SZYN.B/K/SK.SPECK PBX CH</t>
  </si>
  <si>
    <t>***PL SZYN.SILVERSIDE</t>
  </si>
  <si>
    <t>***PL SZYN.SILVERSIDE PBX CH</t>
  </si>
  <si>
    <t>***EU SZYN.SILVERSIDE</t>
  </si>
  <si>
    <t>***EU SZYN.SILVERSIDE PBX CH</t>
  </si>
  <si>
    <t>***PL SZYN.4D KAW.OK1KG OK500KG PBX CH</t>
  </si>
  <si>
    <t>***M-Ń SZYN.ODBŁ.JASNE KL.A CH</t>
  </si>
  <si>
    <t>***SZYN4D.B/M.BRZUCH11005 HILTON KL.S CH</t>
  </si>
  <si>
    <t>***PLSZYN4D.1209.1.5-2.2KGVACOK5.5KGKTJM</t>
  </si>
  <si>
    <t>***PLSZYN.B/K/MŚ.BRZUCH.1/2STVACOK7KGKT</t>
  </si>
  <si>
    <t>***SZYN4D.B/M.BRZUCH11005 HILTON KL.U CH</t>
  </si>
  <si>
    <t>***PL SZYN.2D B/M.DWUG.CH</t>
  </si>
  <si>
    <t>***EU SZYN.2D B/M.DWUG.CH</t>
  </si>
  <si>
    <t>***PL ŁOP.Z/K/SK.B/GOL.LUZ PBX HILT</t>
  </si>
  <si>
    <t>***EU ŁOP.Z/K/SK.B/GOL.LUZ PBX HILT</t>
  </si>
  <si>
    <t>***EU ŁOP.WP.1.5D PBX CH2</t>
  </si>
  <si>
    <t>***PL ŁOPZ/K/SK/GOLB/M.PODŁOP.CH PBXHILT</t>
  </si>
  <si>
    <t>***EU ŁOP.Z/K/SK/GOL.B/M.PODŁOP.CH PBX.H</t>
  </si>
  <si>
    <t>***PL ŁOP.WP.B/K. WOR.OK15KG PJ EC</t>
  </si>
  <si>
    <t>***PL ŁOP.WP.B/K.1STTRM OK15KGPJ ECS</t>
  </si>
  <si>
    <t>***PL ŁOP.WP.3D 2STVAC OK15KGKT EX</t>
  </si>
  <si>
    <t>***PL ŁOP.WP.3D 1STVAC OK20KGKT MR EX</t>
  </si>
  <si>
    <t>***PL ŁOP.WP.3D 1ST VAC OK20KG KT DMR</t>
  </si>
  <si>
    <t>***EU ŁOP.WP.B/K. WOR.OK15KG PJ EC</t>
  </si>
  <si>
    <t>***EU ŁOP.WP.B/K.1STTRM OK15KGPJ ECS</t>
  </si>
  <si>
    <t>***EU ŁOP.WP.3D 1STVAC OK20KGKT MR EX</t>
  </si>
  <si>
    <t>***EU ŁOP.WP.3D 1ST VAC OK20KG KT DMR</t>
  </si>
  <si>
    <t>***PL ŁOP.2D PB DMR</t>
  </si>
  <si>
    <t>***EU ŁOP.2D PB DMR</t>
  </si>
  <si>
    <t>***PL ŁOP.WP.B/K.PBX CH KAUF1</t>
  </si>
  <si>
    <t>***PL ŁOP.WP.B/K.OK1.95KGVACOK11.7KGKTKA</t>
  </si>
  <si>
    <t>***PL ŁOP.WP.B/K.PBX CH KAUF2</t>
  </si>
  <si>
    <t>***EU ŁOPATKA WP.B/K.KAUF</t>
  </si>
  <si>
    <t>***EU ŁOP.WP.B/K.PBX CH KAUF1</t>
  </si>
  <si>
    <t>***EU ŁOP.WP.B/K.2ST MAP 2ST KT KAUF</t>
  </si>
  <si>
    <t>***EU ŁOP.WP.B/K.OK1.95KGVACOK11.7KGKTKA</t>
  </si>
  <si>
    <t>***EU ŁOP.WP.B/K.PBX CH KAUF2</t>
  </si>
  <si>
    <t>***PL ŁOP.Z/K/GOL/SK.PBX ST</t>
  </si>
  <si>
    <t>***EU ŁOP.Z/K/GOL/SK.PBX ST</t>
  </si>
  <si>
    <t>***PL ŁOP.4D PB MR RU</t>
  </si>
  <si>
    <t>***PL ŁOP.B/K.LUZ OK15KG KT CH TIP</t>
  </si>
  <si>
    <t>***PL ŁOP.4D OK15KG KT MR EX RU</t>
  </si>
  <si>
    <t>??????? ?????????? ???????????? (??????? 4?)</t>
  </si>
  <si>
    <t>***PL ŁOP.WP.4D OK1KGVAC OK6KGKT ME</t>
  </si>
  <si>
    <t>***PL ŁOP.4D VAC KT CH TESC</t>
  </si>
  <si>
    <t>***PL ŁOP.4D OK1KG VAC OK6KG KT RU</t>
  </si>
  <si>
    <t>***PL ŁOP.WP.B/K.OK1KGVAC OK4.2KGKT MOR</t>
  </si>
  <si>
    <t>***PL ŁOP.4D 1ST VAC OK15KG KT SK</t>
  </si>
  <si>
    <t>***PL ŁOP.WP.4D OK1KG VAC 6KG KT POLM</t>
  </si>
  <si>
    <t>***PL ŁOP.WP.4D 2ST VAC OK15 KG KT EX</t>
  </si>
  <si>
    <t>***PL ŁOP.4D 1ST TRM OK15KG RU</t>
  </si>
  <si>
    <t>***PL ŁOP.4D 1STVAC OK15KGKT</t>
  </si>
  <si>
    <t>***PL ŁOP.4D 1STVAC OK12KGKT SEL</t>
  </si>
  <si>
    <t>***PL ŁOP.WP.B/K.OK1KGVAC OK15KGKT AUCH</t>
  </si>
  <si>
    <t>***PL ŁOP.4D LUZ OK15KG PJ CH 11681 HILT</t>
  </si>
  <si>
    <t>***PL ŁOP.WP.4D LUZ WOR OK15KG PJ CH EX</t>
  </si>
  <si>
    <t>***ŁOP.4D OK.15,00KG WOR PJ CH EŁ</t>
  </si>
  <si>
    <t>***PL ŁOP.4D PB DMR</t>
  </si>
  <si>
    <t>***PL ŁOP.4D LUZ KT DMR</t>
  </si>
  <si>
    <t>***EU ŁOP.4D PB MR RU</t>
  </si>
  <si>
    <t>***EU ŁOP.4D OK15KG WOR KT CH</t>
  </si>
  <si>
    <t>***EU ŁOP.B/K.LUZ OK15KG KT CH TIP</t>
  </si>
  <si>
    <t>***EU ŁOP.4D OK15KG KT MR EX RU</t>
  </si>
  <si>
    <t>***EU ŁOP.B/K.VAC OK20KG KT CH TIP</t>
  </si>
  <si>
    <t>***EU ŁOP.4D VAC KT CH TESCO</t>
  </si>
  <si>
    <t>***EU ŁOP.4D OK1KG VAC OK6KG KT RU</t>
  </si>
  <si>
    <t>***EU ŁOP.B/K.4D 1STVAC OK10KGKT</t>
  </si>
  <si>
    <t>***EU ŁOP.WP.B/K.OK1KGVAC OK4.2KGKT MOR</t>
  </si>
  <si>
    <t>***EU ŁOP.4D 1ST TRM OK15KG RU</t>
  </si>
  <si>
    <t>***EU ŁOP.4D 1STVAC OK15KGKT</t>
  </si>
  <si>
    <t>***EU ŁOP.WP.B/K.OK1KGVACOK15KGKTAUCH</t>
  </si>
  <si>
    <t>***EU ŁOP.4D 1STVAC OK20KGKT KAUF BG</t>
  </si>
  <si>
    <t>***EU ŁOP.4D LUZ OK15KG PJ CH 11681 HILT</t>
  </si>
  <si>
    <t>***EU ŁOP.WP.4D LUZ WOR OK15KG PJ CH EX</t>
  </si>
  <si>
    <t>***EU ŁOP.4D PB DMR</t>
  </si>
  <si>
    <t>***EU ŁOP.4D LUZ KT DMR</t>
  </si>
  <si>
    <t>***PL ŁOP.B/K.OK1KG MAP OK6KG KT BIED</t>
  </si>
  <si>
    <t>***PL ŁOP.CAŁA B/K.MAP DO 1KG REAL</t>
  </si>
  <si>
    <t>***PL ŁOP.4D OK1KGMAP OK4KGKT LIDL</t>
  </si>
  <si>
    <t>***PL ŁOP.4D OK1KG MAP OK6KG KT LIDL LT</t>
  </si>
  <si>
    <t>***PL ŁOP.CAŁA B/K.MAP STO</t>
  </si>
  <si>
    <t>***PL ŁOP.B/K.OK1KGMAP OK6KGKT AUCH</t>
  </si>
  <si>
    <t>***PL ŁOP.4D OK1KGMAP OK4KGKT LIDL LT</t>
  </si>
  <si>
    <t>***PL ŁOPB/KOK1KGVAC OK5KG SK PROMO TESC</t>
  </si>
  <si>
    <t>***PL ŁOP.B/K.OK1KG VAC OK5KG SK CH TESC</t>
  </si>
  <si>
    <t>***PL ŁOP.B/K.OK1KGVAC OK20KG KT CH CARR</t>
  </si>
  <si>
    <t>***PL ŁOP.B/K.1STTRM OK20KGKT CH CARR</t>
  </si>
  <si>
    <t>***PL ŁOP.B/K.1STTRM OK6KGKT CH CARR</t>
  </si>
  <si>
    <t>***PL ŁOP.B/K.WOR PJ CH CON BIED SZ</t>
  </si>
  <si>
    <t>***PL ŁOP.6D OK15KG WOR PJ CH EŁ</t>
  </si>
  <si>
    <t>***EU ŁOP.CAŁA B/K.MAP DO 1KG REAL</t>
  </si>
  <si>
    <t>***EU ŁOP.4D OK1KG MAP 4KG KT LIDL</t>
  </si>
  <si>
    <t>***EU ŁOP.4D OK1KGMAP OK6KGKT LIDL LT</t>
  </si>
  <si>
    <t>***EU ŁOP.CAŁA B/K.MAP STO</t>
  </si>
  <si>
    <t>***EU ŁOP.B/K.OK1KGMAPOK6KGKT AUCH</t>
  </si>
  <si>
    <t>***EU ŁOP.B/K.OK1KGVACOK5KGSK PROMOTESCO</t>
  </si>
  <si>
    <t>***EU ŁOP.B/K.OK1KGVAC OK5KG SK CH TESCO</t>
  </si>
  <si>
    <t>***EU ŁOP.B/K.OK1KGVAC OK20KGKT CH CARR</t>
  </si>
  <si>
    <t>***EU ŁOP.B/K.1STTRM OK6KGKT CH CARR</t>
  </si>
  <si>
    <t>***PL ŁOP.3D B/M.TRÓJG/M.GOL.CH</t>
  </si>
  <si>
    <t>***EU ŁOP.3D B/M.TRÓJG/M.GOL.CH</t>
  </si>
  <si>
    <t>***MRTRÓJGŁOWY WP. Z ŁOPATKI CH</t>
  </si>
  <si>
    <t>***MŚ TRÓJGŁ.OK3KG VAC OK20KG KT KJM ROS</t>
  </si>
  <si>
    <t>***PL ŁOP.DO PIECZ.2STTRMOK8KG KT MOR EX</t>
  </si>
  <si>
    <t>***ŁOPATKA WP Z/K/SK  B/GOL LUZ CH KT</t>
  </si>
  <si>
    <t>***EU ŁOP.Z/K/SK/GOL.B/M.PODŁOP.CH</t>
  </si>
  <si>
    <t>***PL ŁOP.B/K.OK1.4KGVACOK8.4KGKTLIDLCZ</t>
  </si>
  <si>
    <t>***PL ŁOP.4D NA MIĘSO MIELONE1</t>
  </si>
  <si>
    <t>***PL ŁOP.4D NA MIĘSO MIELONE2</t>
  </si>
  <si>
    <t>***PL ŁOP.4D PORCJA1</t>
  </si>
  <si>
    <t>***PL ŁOP.4D PORCJA2</t>
  </si>
  <si>
    <t>***PL ŁOP.4D GULASZ1</t>
  </si>
  <si>
    <t>***PL ŁOP.4D GULASZ2</t>
  </si>
  <si>
    <t>***PL ŁOP.5D CONS.CH</t>
  </si>
  <si>
    <t>***PL ŁOP.5D CONS.CH2</t>
  </si>
  <si>
    <t>***ŁOPATKA 5D VAC</t>
  </si>
  <si>
    <t>***PL ŁOP.5D VAC ST</t>
  </si>
  <si>
    <t>***DE ŁOP.5D WOR PJ CONS.SZ</t>
  </si>
  <si>
    <t>***EU ŁOP.5D VAC</t>
  </si>
  <si>
    <t>***EU ELEM.ŁOP.PBX CH BIED1</t>
  </si>
  <si>
    <t>***EU ELEM.ŁOP.PBX CH BIED2</t>
  </si>
  <si>
    <t>***PLKARK.B/K.Z/KOR1/2STTRMOK8KGKT MOREX</t>
  </si>
  <si>
    <t>***EUKARK.B/K.Z/KOR.1STTRMOK8KGKT MOR EX</t>
  </si>
  <si>
    <t>***KARKÓWKA Z/K/KOR USR CH</t>
  </si>
  <si>
    <t>***PL KARK.Z/K.LUZ CH OK20KG KT</t>
  </si>
  <si>
    <t>***PL KARK.Z/K/KOR.1KG MAP JM</t>
  </si>
  <si>
    <t>KARKÓWKA WP Z/K LUZ OK.20KG SK T</t>
  </si>
  <si>
    <t>***EU KARK.Z/K.LUZ CH OK20KG KT</t>
  </si>
  <si>
    <t>***PL KARK.Z/K.LUZ OK20KG PJ EX CZ</t>
  </si>
  <si>
    <t>***PL KARK.B/K.KTL 560G MAP 3.36KGKT ME</t>
  </si>
  <si>
    <t>***PL KARK.B/K.Z/KOR.KTL 1KGMAP6KGKTPOLM</t>
  </si>
  <si>
    <t>5904634005385</t>
  </si>
  <si>
    <t>***PL KARK.B/K.KTL 560G MAP 6ST KT ECS</t>
  </si>
  <si>
    <t>***PL KARK.B/K.KTL560GMAP4.48KGKTLIDL LT</t>
  </si>
  <si>
    <t>***PL KARK.B/K.Z/KOR.KTL 560G MAP LIDL</t>
  </si>
  <si>
    <t>***PL KARK.B/K.Z/KOR.KTL560GMAP3.36KGKTA</t>
  </si>
  <si>
    <t>**PL KARK.B/K.KTL 560G MAP 3.36KGKT KAUF</t>
  </si>
  <si>
    <t>***PL KARK.B/K.KTLOK2KGTRMOK15KG KT STO</t>
  </si>
  <si>
    <t>***PL KARK.B/K.KTL 560G MAP KAUF BL</t>
  </si>
  <si>
    <t>***EU KARK.B/K.Z/KOR.KOTLETY CH</t>
  </si>
  <si>
    <t>***EU KARK.B/K.KTL 560G MAP 6ST KT ECS</t>
  </si>
  <si>
    <t>***EU KARK.B/K.Z/KOR.KTL 560G MAP LIDL</t>
  </si>
  <si>
    <t>***EU KARK.B/K.Z/KOR.KTL560GMAP3.36KGKTA</t>
  </si>
  <si>
    <t>***EU KARK.B/K.KTLOK2KGTRM OK15KG KT STO</t>
  </si>
  <si>
    <t>***PL KARK.B/K.Z/KOR.1STFOL.12KGKTMR SFL</t>
  </si>
  <si>
    <t>***PL KARK.B/K.Z/KOR.1STFOL13.6KGKTMR GB</t>
  </si>
  <si>
    <t>***PL KARK.B/K.Z/KOR.1STFOL OK20KGKT MR</t>
  </si>
  <si>
    <t>***PL KARK.B/K.Z/KOR.MAP 1KG MAKR</t>
  </si>
  <si>
    <t>***PL KARK.B/K.Z/KOR.OK1KGMAPOK6KGKTBIED</t>
  </si>
  <si>
    <t>***PL KARK.B/K.1KGMAP 4KGKT LIDL</t>
  </si>
  <si>
    <t>***PL KARK.B/K.VAC OK20KG KT TIP</t>
  </si>
  <si>
    <t>***PL KARK.B/K.Z/KOR.OK1KGVACOK5KGKTTESC</t>
  </si>
  <si>
    <t>***PL KARK.B/K.OK1KG VAC OK5KG KT TESC</t>
  </si>
  <si>
    <t>***PL KARK.B/K.Z/KOR.1ST TRM OK10KT JMP</t>
  </si>
  <si>
    <t>***PL KARK.B/K.Z/KOR.OK1KG VAC OK10KG KT</t>
  </si>
  <si>
    <t>***PL KARK.B/K.VAC KT CH TESC</t>
  </si>
  <si>
    <t>***PLKARK.B/K.Z/KOR.OK1KGVACOK20KGKTCARR</t>
  </si>
  <si>
    <t>***PLKARK.B/K.Z/KOR.OK1KGVACOK15KGKTAUCH</t>
  </si>
  <si>
    <t>***PL KARK.B/K.Z/KOR.1STTRMOK20KGKT CARR</t>
  </si>
  <si>
    <t>***PL KARK.B/K.Z/KOR.1STTRM OK6KGKT CARR</t>
  </si>
  <si>
    <t>***PL KARK.B/K.Z/KOR.OK1KG VAC6KG KTPOL</t>
  </si>
  <si>
    <t>***PL KARK.B/K.Z/KOR.2STVAC OK15KGKT EX</t>
  </si>
  <si>
    <t>***PL KARK.B/K.Z/KOR.OK1KGVAC 6KGKT ME</t>
  </si>
  <si>
    <t>***PL KARK.B/K.OK1KG VAC 4KG KT NETTO</t>
  </si>
  <si>
    <t>***PL KARK.B/K.Z/KOR.4X1KG MAP MAKR</t>
  </si>
  <si>
    <t>***PL KARK.WP.B/K.OK1KGVAC OK4.2KGKT</t>
  </si>
  <si>
    <t>***PL KARK.B/K.Z/KOR.1STVAC OK12KGKT SEL</t>
  </si>
  <si>
    <t>***PL KARK.B/K.Z/KOR.KAW.OK500KGPBX ST</t>
  </si>
  <si>
    <t>***PL KARK.B/K.Z/KOR.PC MAP 1KG STO</t>
  </si>
  <si>
    <t>***KARKÓWKA B/K Z/KOR/WAR15KGWOR PJ CHEŁ</t>
  </si>
  <si>
    <t>***KARKÓWKA B/K Z/KOR/WAROK20KG WOR.R EŁ</t>
  </si>
  <si>
    <t>***KARKÓWKA WP B K ZAW KT MR ROSJA</t>
  </si>
  <si>
    <t>***KARKB/K Z/KOR/CAŁYM WAROK15KGPJ CH EŁ</t>
  </si>
  <si>
    <t>***KARKB/K Z/KOR/CAŁ/WAROK15KGPJCH PL EŁ</t>
  </si>
  <si>
    <t>***KARKÓWKA B/K Z/KOR/WAR 2SZTVAC PJMREŁ</t>
  </si>
  <si>
    <t>***PL KARK.B/K.Z/KOR 1STFOL.12KGKTDMRSFL</t>
  </si>
  <si>
    <t>***PL KARK.B/K.Z/KOR.1STFOL.OK20KGKT DMR</t>
  </si>
  <si>
    <t>***PL KARK.B/K.VAC DMR</t>
  </si>
  <si>
    <t>***PL KARK.B/K.Z/KOR.VAC DMR</t>
  </si>
  <si>
    <t>***EU KARK.B/K.LUZ OK15KG KT</t>
  </si>
  <si>
    <t>***EU KARK.B/K.Z/KOR.1STFOL12KGKTMR SFL</t>
  </si>
  <si>
    <t>***EU KARK.B/K.Z/KOR.1STFOL.13.6KGKTMRGB</t>
  </si>
  <si>
    <t>***EU KARK.B/K.Z/KOR.1STFOL OK20KGKT MR</t>
  </si>
  <si>
    <t>***EU KARK.B/K.Z/KOR.MAP 1KG MAKR</t>
  </si>
  <si>
    <t>***EU KARK.B/K.1KG MAP 4KG KT LIDL</t>
  </si>
  <si>
    <t>***EU KARK.B/K.VAC OK20KG KT TIP</t>
  </si>
  <si>
    <t>***EU KARK.B/K.2ST TRM OK20KG SK</t>
  </si>
  <si>
    <t>***EU KARK.B/K.Z/KOR.OK1KGVACOK5KGKTTESC</t>
  </si>
  <si>
    <t>***EU KARK.B/K.OK1KG VAC OK5KG KT TESC</t>
  </si>
  <si>
    <t>***EU KARK.B/K.VAC OK20KG KT CH</t>
  </si>
  <si>
    <t>***EU KARK.B/K.Z/KOR.OK1KG VAC OK10KG KT</t>
  </si>
  <si>
    <t>***EU KARK.B/K.VAC KT CH TESCO</t>
  </si>
  <si>
    <t>***EUKARK.B/K.Z/KOR.OK1KGVACOK20KGKTCARR</t>
  </si>
  <si>
    <t>***EUKARK.B/K.Z/KOR.OK1KGVACOK15KGKTAUCH</t>
  </si>
  <si>
    <t>***EU KARK.B/K.VAC HILT</t>
  </si>
  <si>
    <t>***EU KARK.B/K.Z/KOR.1STTRMOK20KGKT CARR</t>
  </si>
  <si>
    <t>***EU KARK.B/K.Z/KOR.1STTRM OK6KGKT CARR</t>
  </si>
  <si>
    <t>***EU KARK.B/K.Z/KOR.VAC KT OK15KG MR RU</t>
  </si>
  <si>
    <t>***EU KARK.B/K.OK1KG VAC 4KG KT NETTO</t>
  </si>
  <si>
    <t>***EU KARK.B/K.Z/KOR.4X1KG MAP MAKR</t>
  </si>
  <si>
    <t>***EU KARK.WP.B/K.OK1KGVAC OK4.2KGKT MOR</t>
  </si>
  <si>
    <t>***EU KARK.B/K.Z/KOR.PC MAP 1KG STO</t>
  </si>
  <si>
    <t>***EU KARK.B/K.Z/KOR 1STFOL12KGKTDMR SFL</t>
  </si>
  <si>
    <t>***EU KARK.B/K.Z/KOR.1STFOL13.6KGKTDMRGB</t>
  </si>
  <si>
    <t>***EU KARK.B/K.Z/KOR.1STFOL.OK20KGKTDMR</t>
  </si>
  <si>
    <t>***EU KARK.B/K.VAC DMR</t>
  </si>
  <si>
    <t>***EU KARK.B/K.Z/KOR.VAC DMR</t>
  </si>
  <si>
    <t>***EU KARK.B/K.Z/KOR.VAC OK15KGKT DMR RU</t>
  </si>
  <si>
    <t>***PL KARK.B/K.Z/KOR/WAR.1320 KOTL.CH</t>
  </si>
  <si>
    <t>***EU KARK.B/K.Z/KOR/WAR.1320 KOTL.CH</t>
  </si>
  <si>
    <t>***KARCZEK WP.B/K MR EX</t>
  </si>
  <si>
    <t>***KARCZEK WP B/K KT RO</t>
  </si>
  <si>
    <t>***PL KARK.Z/K.LUZ OK15KG KT TIP</t>
  </si>
  <si>
    <t>***PL KARK.Z/K.OK15KG KT CH REAL</t>
  </si>
  <si>
    <t>***PLKARK.Z/K/KOR.2STWORROLOK20KGKTMR CL</t>
  </si>
  <si>
    <t>***PL KARK.Z/K.MAŁA PORC.MAP OK1KG</t>
  </si>
  <si>
    <t>***PL KARK.Z/K.B/KOR.1ST VAC OK15KG KT</t>
  </si>
  <si>
    <t>***PL KARK.WP.Z/K.OK15KG WOR PJ CH ST</t>
  </si>
  <si>
    <t>CEAFA DE PORC CU OS</t>
  </si>
  <si>
    <t>***EU KARK.Z/K.CH LUZ OK15KG KT</t>
  </si>
  <si>
    <t>***EU KARK.Z/K.LUZ OK15KG KT TIP</t>
  </si>
  <si>
    <t>***EU KARK.Z/K.OK15KG KT CH REAL</t>
  </si>
  <si>
    <t>***EU KARK.Z/K.MAŁA PORC.MAP OK1KG</t>
  </si>
  <si>
    <t>***EU KARK.Z/K.B/KOR.1STVAC OK15KGKT</t>
  </si>
  <si>
    <t>***PL KARK.B/K/KOR/WAR.OK20KG KT MR EX</t>
  </si>
  <si>
    <t>***PL KARK.B/K/KOR.OK15KG KT MR EX</t>
  </si>
  <si>
    <t>***PL KARK.B/K.EXTRA PORC.PACZKA 1KG MAP</t>
  </si>
  <si>
    <t>***PL KARK.B/K.EXT.OK1KGMAPOK6KGKT AUCH</t>
  </si>
  <si>
    <t>***PLKARK.B/K/K/WA.OK1KGMAPOK6KGKTLIDLLT</t>
  </si>
  <si>
    <t>***PL KARK.B/K.EXT.1STVAC OK15KGKT</t>
  </si>
  <si>
    <t>***PL KARK.B/K.EXT.1STVAC OK12KGKT SEL</t>
  </si>
  <si>
    <t>***PL KARK.B/K.EXT.OK2KGVAC OK8KGKT MAKR</t>
  </si>
  <si>
    <t>***PL KAR.B/K./KOR./WAR.1STTRMOK15KGKTEX</t>
  </si>
  <si>
    <t>***PLKARK.B/K/KOR/WAR.1STVACOK20KGKTMREX</t>
  </si>
  <si>
    <t>***PL KARK.B/K.EXTRA 800G RODZ.PACZ.TESC</t>
  </si>
  <si>
    <t>***PL KARK.B/K.EXTRA 400G RODZ.PACZ.TESC</t>
  </si>
  <si>
    <t>***KARKÓWKA WP B/K WOR PJ CONSTAR SZ</t>
  </si>
  <si>
    <t>***KARKÓWKA B/K/KOR/WAROK15KGWORPJ CHEŁ</t>
  </si>
  <si>
    <t>***KARKB/K/KOR/WAROK15KG WOR PJ CH EŁ PL</t>
  </si>
  <si>
    <t>***PL KARK.B/K/KOR/WAR.OK20KG KT DMR EX</t>
  </si>
  <si>
    <t>***PL KARK.B/K.EXTRA DMR</t>
  </si>
  <si>
    <t>***EU KARK.B/K.EXTRA LUZ KT</t>
  </si>
  <si>
    <t>***EU KARK.B/K/KOR/WAR.OK20KGKT MR EX</t>
  </si>
  <si>
    <t>***EU KARK.B/K/KOR.OK15KGKT MR EX</t>
  </si>
  <si>
    <t>***EU KARK.B/K.EXTRA PORC.PACZKA 1KG MAP</t>
  </si>
  <si>
    <t>***EU KARK.B/K.EXT.OK1KGMAPOK6KGKT AUCH</t>
  </si>
  <si>
    <t>***EU KARK.B/K.EXT.1STVAC OK15KGKT</t>
  </si>
  <si>
    <t>***EU KARK.WP.B/K.1STVAC OK15KGPJ MOR</t>
  </si>
  <si>
    <t>***EU KARK.B/K.EXT.OK2KGVAC OK8KGKT MAKR</t>
  </si>
  <si>
    <t>***EU KAR.B/K./KOR./WAR.1STTRMOK15KGKTEX</t>
  </si>
  <si>
    <t>***EUKARK.B/K/KOR/WAR.1STVACOK20KGKTMREX</t>
  </si>
  <si>
    <t>***EU KARK.B/K.EXTRA 800G RODZ.PACZ.TESC</t>
  </si>
  <si>
    <t>***EU KARK.B/K.EXTRA 400G RODZ.PACZ.TESC</t>
  </si>
  <si>
    <t>***EU KARK.B/K/KOR/WAR.OK20KG KT DMR EX</t>
  </si>
  <si>
    <t>***EU KARK.B/K.EXTRA DMR</t>
  </si>
  <si>
    <t>***PL KARK.B/K.Z/KOR.LUZ KT KAUF</t>
  </si>
  <si>
    <t>***PL KARK.B/K.Z/KOR/TŁ.25KGWOR KT MR EX</t>
  </si>
  <si>
    <t>***PLKARK.WP.B/K.OK1.15KGVACOK11.5KGKTKA</t>
  </si>
  <si>
    <t>***PL KARK.B/K.Z/KOR.1STVACOK20KGKT KAUF</t>
  </si>
  <si>
    <t>***PL KARK.B/K.OK20KG PB MR K4 ZAK</t>
  </si>
  <si>
    <t>***PL KARK.B/K.Z/KOR/TŁ.25KGWORKT DMR EX</t>
  </si>
  <si>
    <t>***PL KARK.B/K.Z/KOR.CZ.WAR.WYRÓW.RO1</t>
  </si>
  <si>
    <t>***PL KARK.B/K.Z/KOR.CZ.WAR.WYRÓW.RO2</t>
  </si>
  <si>
    <t>***EU KARK.WP.B/K.PBX CH KAUF1</t>
  </si>
  <si>
    <t>***EU KARK.B/K.Z/KOR.2STMAP4-5.6KGKTKAUF</t>
  </si>
  <si>
    <t>***EUKARK.WP.B/K.OK1.15KGVACOK11.5KGKTKA</t>
  </si>
  <si>
    <t>***EU KARK.WP.B/K.PBX CH KAUF2</t>
  </si>
  <si>
    <t>***PL KARK.B/K/KOR.KOTLETY CH</t>
  </si>
  <si>
    <t>***PL KARK.B/K.KTL 560G MAP JM</t>
  </si>
  <si>
    <t>5901784154024</t>
  </si>
  <si>
    <t>***PL KARK.B/K.KTL 560G</t>
  </si>
  <si>
    <t>***PL KARK.B/K.KTL  560G MAP CARR</t>
  </si>
  <si>
    <t>***KARCZEK WP.B/K Z KOTLETY 8X560G MAP</t>
  </si>
  <si>
    <t>***EU KARK.B/K/KOR.KOTLETY CH</t>
  </si>
  <si>
    <t>***EU KARK.B/K.KTL 560G</t>
  </si>
  <si>
    <t>***EU KARK.B/K.KTL  560G MAP CARR</t>
  </si>
  <si>
    <t>***PL KARK.B/K/KOR/WAR.OK500PBX CH ST</t>
  </si>
  <si>
    <t>***PL KARK.Z/K.B/KOR.CH</t>
  </si>
  <si>
    <t>***KARKOWKA B/K Z/KOR/WAR KL.R CH</t>
  </si>
  <si>
    <t>***PL KARK.Z/K/KOR.PBX CH</t>
  </si>
  <si>
    <t>***EU KARK.Z/K/KOR.PBX CH</t>
  </si>
  <si>
    <t>***KARKÓWKA Z/K/KOR KL.U CH</t>
  </si>
  <si>
    <t>***KARKÓWKA Z/K/KOR KL.S CH</t>
  </si>
  <si>
    <t>***KARKOWKA B/K Z/KOR/WAR KL.S CH</t>
  </si>
  <si>
    <t>KARKÓWKA Z/K/KOR KL.R CH</t>
  </si>
  <si>
    <t>***BRAVCO.KRKOVICKA BK PL.RB.ST MAP800GT</t>
  </si>
  <si>
    <t>***BRAVCOVA KRKOVICKA S KOSTOU MAPOK1KGT</t>
  </si>
  <si>
    <t>***PL BOCZ.ŁUS.WĄS.B/SK.1/3STTRMOK8KGKT</t>
  </si>
  <si>
    <t>***EU BOCZ.ŁUS.WĄS.B/SK.1/3STTRM OK8KGKT</t>
  </si>
  <si>
    <t>***PLBOCZ.B ŁUS.WĄS.Z/SK.1STTRMOK6KGKTCH</t>
  </si>
  <si>
    <t>***PLBOCZ.ŁUS.WĄS.Z/SK.1/3STTRMOK8KG KT</t>
  </si>
  <si>
    <t>***PLBOCZ.B ŁUS.WĄS.Z/SK.1STTRM8KGKTPOLM</t>
  </si>
  <si>
    <t>***EUBOCZ.ŁUS.WĄS.Z/SK.1STTRMOK6KG KT CH</t>
  </si>
  <si>
    <t>***EU BOCZ.ŁUS.WĄS.Z/SK.1/3STTRMOK8KGKT</t>
  </si>
  <si>
    <t>***PL BOCZ.B BLAT.WĄS.B/SK.PB MR</t>
  </si>
  <si>
    <t>***PL BOCZ.B BLAT.WĄS.B/SK.LUZ OKT CH EX</t>
  </si>
  <si>
    <t>***PL BOCZ.A B/Ż/SK/CH.22X47 ZAW KTMR SZ</t>
  </si>
  <si>
    <t>***PL BOCZ.B BLAT.WĄS.B/SK.PB DMR</t>
  </si>
  <si>
    <t>***EU BOCZ.B BLAT.WĄS.B/SK.PB MR</t>
  </si>
  <si>
    <t>***EU BOCZ.B BLAT.WĄS.B/SK.WOR PJ CH EX</t>
  </si>
  <si>
    <t>***EU BOCZ.B BLAT.WĄS.B/SK.PB DMR</t>
  </si>
  <si>
    <t>***PL BOCZ.B BLAT.B/S/M.PRZEP.4STKTMRUS</t>
  </si>
  <si>
    <t>Przechowywać zamrożone/Keep frozen</t>
  </si>
  <si>
    <t>***PL BOCZ.B BLAT.B/S/M.PRZEP.4STKTDMRUS</t>
  </si>
  <si>
    <t>***EU BOCZ.B BLAT.B/S/M.PRZEP.4STKTMR US</t>
  </si>
  <si>
    <t>***EU BOCZ.B BLAT.B/S/M.PRZEP.4STKTDMRUS</t>
  </si>
  <si>
    <t>***PL BOCZ.B/Ż/SK.ODTŁ.16/22 MR</t>
  </si>
  <si>
    <t>***EU BOCZ.B/Ż/SK.ODTŁ.16/22 MR</t>
  </si>
  <si>
    <t>***EU BOCZ.B/Ż/SK.ODTŁ.16/22 DMR CH</t>
  </si>
  <si>
    <t>***PL BOCZ.Z/Ż/SK.NT/C KT DMR</t>
  </si>
  <si>
    <t>***EU BOCZ.C Z/Ż/SK.NT/C.KT DMR</t>
  </si>
  <si>
    <t>***PL BOCZ.A.BLAT.WĄS.Z/SK.PBX CH1</t>
  </si>
  <si>
    <t>***PL BOCZ.A BLAT.WĄS.Z/S.LUZ OK15KGKT</t>
  </si>
  <si>
    <t>***PL BOCZ.A.BLAT.WĄS.Z/SK.PBX CH2</t>
  </si>
  <si>
    <t>***EU BOCZ.A.BLAT.WĄS.Z/SK.PBX CH1</t>
  </si>
  <si>
    <t>***EU BOCZ.A BLAT.WĄS.Z/SK.LUZ OK15KG KT</t>
  </si>
  <si>
    <t>***EU BOCZ.A.BLAT.WĄS.Z/SK.PBX CH2</t>
  </si>
  <si>
    <t>***PL BOCZ.C BLAT.Z/SK.PBX CH1</t>
  </si>
  <si>
    <t>***PL BOCZ.C BLAT.Z/SK.PBX CH2</t>
  </si>
  <si>
    <t>***EU BOCZ.C BLAT.Z/SK.PBX CH1</t>
  </si>
  <si>
    <t>***EU BOCZ.C BLAT.Z/SK.PBX CH2</t>
  </si>
  <si>
    <t>***PL BOCZ.B Z/Ż/SK.OK16KG WOR KT TESC</t>
  </si>
  <si>
    <t>***PL BOCZ.B WĄS.Z/Ż/SK.OK15KG KT CH TIP</t>
  </si>
  <si>
    <t>***PL BOCZ.B Z/Ż.OK15KG KT CH REAL</t>
  </si>
  <si>
    <t>***PL BOCZ.B Z/Ż/SK.2ST RMM OK12KGKT MOR</t>
  </si>
  <si>
    <t>***PL BOCZ.B Z/Ż/S.1STVAC OK15KGKT</t>
  </si>
  <si>
    <t>***PL BOCZ.B WĄS.Z/Ż/SK.LUZOK15KGPJ HILT</t>
  </si>
  <si>
    <t>***EU BOCZ.Z/Ż.CH LUZ KT</t>
  </si>
  <si>
    <t>***EU BOCZ.B Z/Ż/SK.OK16KG WOR TESC</t>
  </si>
  <si>
    <t>***EU BOCZ.B WĄS.Z/Ż/SK.OK15KG KT CH TIP</t>
  </si>
  <si>
    <t>***EU BOCZ.B Z/Ż.OK15KG KT CH REAL</t>
  </si>
  <si>
    <t>***EU BOCZ.B Z/Ż/SK.2ST RMM 2ST KT KAUF</t>
  </si>
  <si>
    <t>***EU BOCZ.B Z/Ż/S.1/2STTRM OK15KGPJ ECS</t>
  </si>
  <si>
    <t>***EU BOCZ.B Z/Ż/S.1STVAC OK15KGKT</t>
  </si>
  <si>
    <t>***EU BOCZ.B WĄS.Z/Ż/S.OK15KGLUZPJ HILT</t>
  </si>
  <si>
    <t>***BOCZŁUS.SZER.B/SK.Z/CHRZ USR CH KOREA</t>
  </si>
  <si>
    <t>***PLBOCZ.ŁUS.SZER.B/SK.LUZ MR LIDL KO</t>
  </si>
  <si>
    <t>***PLBOCZ.ŁUS.SZER.B/SK.LUZ MR KO</t>
  </si>
  <si>
    <t>***PL BOCZ.ŁUS.SZER.B/SK.MR CH KO</t>
  </si>
  <si>
    <t>***PLBOCZ.ŁUS.SZ.B/SK.Z/CH.OK15KGKTDMRKO</t>
  </si>
  <si>
    <t>***PLBOCZ.ŁUS.SZ.B/SK.Z/CH.OK20KGKTDMRKO</t>
  </si>
  <si>
    <t>***PLBOCZ.ŁUS.SZ.B/SK.Z/CH.OK20KGKTDMRCN</t>
  </si>
  <si>
    <t>***EUBOCZ.ŁUS.SZER.B/SK.LUZ MR LIDL KO</t>
  </si>
  <si>
    <t>***EU BOCZ.ŁUS.SZER.B/SK.LUZ MR KO</t>
  </si>
  <si>
    <t>***EU BOCZ.ŁUS.SZER.B/SK.MR CH KO</t>
  </si>
  <si>
    <t>***EUBOCZ.ŁUS.SZ.B/SK.Z/CH.OK15KGKTDMRKO</t>
  </si>
  <si>
    <t>***EUBOCZ.ŁUS.SZ.B/SK.Z/CH.OK20KGKTDMRKO</t>
  </si>
  <si>
    <t>***EUBOCZ.ŁUS.SZ.B/SK.Z/CH.OK20KGKTDMRCN</t>
  </si>
  <si>
    <t>***PL BOCZ.ŁUS.SZER.B/SK.Z/CHRZ.CH KO</t>
  </si>
  <si>
    <t>***EU BOCZ.ŁUS.SZER.B/SK.Z/CHRZ.CH KO</t>
  </si>
  <si>
    <t>KK SKÓRY Z PIERSI OK15KG PB MR SU1</t>
  </si>
  <si>
    <t>***PL BOCZ.B BLAT.WĄS.Z/SK.PLASTRY</t>
  </si>
  <si>
    <t>***PL BOCZ.PLASTRY360G MAP2.88KG KT JMP</t>
  </si>
  <si>
    <t>***PL BOCZ.B PL 360GMAP 2.16KGKT MOR EX</t>
  </si>
  <si>
    <t>***PL BOCZ.PLASTRY 360G MAP 12ST KT ECS</t>
  </si>
  <si>
    <t>***PL BOCZ.B PL 360GMAP 1.44KGKT</t>
  </si>
  <si>
    <t>***PL BOCZ.B PL 360G MAP 1.44KG KT NETTO</t>
  </si>
  <si>
    <t>***PL BOCZ.B PL 400G MAP 4.8KG KT LIDL</t>
  </si>
  <si>
    <t>***PL BOCZ.B PL400G MAP 4.8KG KT LIDL LT</t>
  </si>
  <si>
    <t>***PL BOCZ.B WĄS.B/Ż.Z/SK.1STTRMOK15KGPJ</t>
  </si>
  <si>
    <t>***PL BOCZ.B WĄS.B/Ż.Z/S.1STVAC OK15KGKT</t>
  </si>
  <si>
    <t>***PL BOCZ.B WĄS.B/Ż.Z/SK.OK15KG PJ HILT</t>
  </si>
  <si>
    <t>***EU BOCZ.B BLAT.WĄS.Z/SK.PLASTRY</t>
  </si>
  <si>
    <t>***EU BOCZ.PLASTRY 360G MAP 12ST KT ECS</t>
  </si>
  <si>
    <t>***EU BOCZ.PLASTRY360G MAP2.16KGKT NETTO</t>
  </si>
  <si>
    <t>***EU BOCZ.B WĄS.B/Ż.Z/SK.1STTRMOK15KGPJ</t>
  </si>
  <si>
    <t>***EU BOCZ.B WĄS.B/Ż.Z/SK.OK15KG PJ HILT</t>
  </si>
  <si>
    <t>***BOCZEK B/Ż.Z/SK.TŁUSTY ZAW KT MR SZ</t>
  </si>
  <si>
    <t>***BOCZEK B/K Z/SK NAT.CIĘCIE UŚR</t>
  </si>
  <si>
    <t>***PL BOCZ.BC BLAT.Z/SK.NT/C.OK15KGLUZKT</t>
  </si>
  <si>
    <t>***PLBOCZ.B/Ż.Z/SK.4.5-5.5KGNT/C.KTMR US</t>
  </si>
  <si>
    <t>***PLBOCZ.B/Ż.Z/SK.5.5-6.5KGNT/C.KTMR US</t>
  </si>
  <si>
    <t>***PL BOCZ.BC B/Ż.Z/SK.NT/C.1STVACKTMREX</t>
  </si>
  <si>
    <t>***PL BOCZ.BC BLAT.Z/S.NT/C.LUZOKT CH EX</t>
  </si>
  <si>
    <t>***PLBOCZ.B/Ż.Z/SK.4.5-5.5KG NT/C.KT DMR</t>
  </si>
  <si>
    <t>***PLBOCZ.B/Ż.Z/SK.5.5-6.5KG NT/C.KT DMR</t>
  </si>
  <si>
    <t>***PLBOCZ.BC B/Ż.Z/SK.NT/C.1STVACKTDMREX</t>
  </si>
  <si>
    <t>***EU BOCZ.BC BLAT.Z/S.NT/C.OK15KGLUZ KT</t>
  </si>
  <si>
    <t>***EU BOCZ.BC B/Ż.Z/S.NT/C.1STFOLKTMR US</t>
  </si>
  <si>
    <t>***EUBOCZ.B/Ż.Z/SK.4.5-5.5KGNT/C.KTMR US</t>
  </si>
  <si>
    <t>***EUBOCZ.B/Ż.Z/SK.5.5-6.5KGNT/C.KTMR US</t>
  </si>
  <si>
    <t>***EU BOCZ.B/Ż.Z/SK.NT/C.1STVAC KT MR EX</t>
  </si>
  <si>
    <t>***EU BOCZ.BC BLAT.Z/S.NT/C.LUZOKTCH EX</t>
  </si>
  <si>
    <t>***EUBOCZ.BC B/Ż.Z/S.NT/C.1STFOLKTDMRUS</t>
  </si>
  <si>
    <t>***EUBOCZ.B/Ż.Z/SK.4.5-5.5KGNT/C.KTDMR</t>
  </si>
  <si>
    <t>***EUBOCZ.B/Ż.Z/SK.5.5-6.5KGNT/C.KTDMR</t>
  </si>
  <si>
    <t>***EU BOCZ.BC B/Ż.Z/SK.NT/C1STVACKTDMREX</t>
  </si>
  <si>
    <t>***BOCZEK ŁUSK. B/S OK.15KG LUZ KT ST</t>
  </si>
  <si>
    <t>***PL BOCZ.Z/Ż/SK.NT/C KL.A KT CH</t>
  </si>
  <si>
    <t>***PL BOCZ.Z/Ż/SK.NT/C KL.A KT MR CH</t>
  </si>
  <si>
    <t>***PL BOCZ.B Z/Ż/SK.NT/C.CH CHOIN.EX</t>
  </si>
  <si>
    <t>***PL BOCZ.B Z/Ż/SK.NT/C.CH OKT</t>
  </si>
  <si>
    <t>***PL BOCZ.Z/Ż/SK.NT/C KL.A KT DMR</t>
  </si>
  <si>
    <t>***EU BOCZ.Z/Ż/SK.NT/C KL.A KT MR CH</t>
  </si>
  <si>
    <t>***EU BOCZ.B Z/Ż/SK.NT/C.CH CHOIN.EX</t>
  </si>
  <si>
    <t>***EU BOCZ.B Z/Ż/SK.NT/C.CH OKT CH</t>
  </si>
  <si>
    <t>***EU BOCZ.Z/Ż/SK.NT/C KL.A KT DMR</t>
  </si>
  <si>
    <t>***PL BOCZ.Z/Ż/SK.NT/C KL.B KT MR CH</t>
  </si>
  <si>
    <t>***PL BOCZ.C Z/Ż/SK.NT/C.CH CHOIN.EX</t>
  </si>
  <si>
    <t>***PL BOCZ.C Z/Ż/SK.NT/C.CH OKT CH</t>
  </si>
  <si>
    <t>***PL BOCZ.Z/Ż/SK.NT/C KL.B KT DMR</t>
  </si>
  <si>
    <t>***EU BOCZ.Z/Ż/SK.NT/C KL.B KT MR CH</t>
  </si>
  <si>
    <t>***EU BOCZ.C Z/Ż/SK.NT/C.CH CHOIN.EX</t>
  </si>
  <si>
    <t>***EU BOCZ.C Z/Ż/SK.NT/C.CH OKT CH</t>
  </si>
  <si>
    <t>***EU BOCZ.Z/Ż/SK.NT/C KL.B KT DMR</t>
  </si>
  <si>
    <t>***PL BOCZ.ŁUS.LUX Z/SK.NB MR EX</t>
  </si>
  <si>
    <t>***PL BOCZ.B ŁUS.Z/SK.LUX LUZ KT CH</t>
  </si>
  <si>
    <t>***PLBOCZ.BŁUS.Z/S.LUX1STTRMOK15KGKTTESC</t>
  </si>
  <si>
    <t>***PL BOCZ.B ŁUS.Z/S.1/2STTRM PJ ECS</t>
  </si>
  <si>
    <t>***PL BOCZ.B B/Ż.1STTRM OK20KGKT CARR</t>
  </si>
  <si>
    <t>***PL BOCZ.ŁUS.Z/SK/CHRZ.1STTRM OK20KGRU</t>
  </si>
  <si>
    <t>***PL BOCZ.B ŁUS.Z/S.LUX TRM OK15KGKT CZ</t>
  </si>
  <si>
    <t>***PL BOCZ.B B/Ż.1STTRM OK8KGKT CARR</t>
  </si>
  <si>
    <t>***PL BOCZ.B B/Ż.OK1KG TRM OK20KG KT CH</t>
  </si>
  <si>
    <t>***PL BOCZ.B ŁUS.Z/SK/CH1STTRM OK10KG KT</t>
  </si>
  <si>
    <t>***PL BOCZ.B ŁUS.Z/SK/CH.1STTRM OK15KGKT</t>
  </si>
  <si>
    <t>***PL BOCZ.ŁUS.WĄS.1STTRMOK15KG KTMR CZ</t>
  </si>
  <si>
    <t>***BOCZŁUSK.Z/SK/CHRZ.16-22\45 PBX CH ST</t>
  </si>
  <si>
    <t>***PL BOCZ.ŁUS.LUX Z/SK.DMR CH</t>
  </si>
  <si>
    <t>***PL BOCZ.ŁUS.WĄS.TRM OK15KG KT DMR CZ</t>
  </si>
  <si>
    <t>***EU BOCZ.ŁUS.LUX Z/SK.NB MR EX</t>
  </si>
  <si>
    <t>***EU BOCZ.B ŁUS.Z/SK.LUX LUZ KT CH</t>
  </si>
  <si>
    <t>***EU BOCZ.BŁUSZ/SKLUX1STTRMOK15KGKTTESC</t>
  </si>
  <si>
    <t>***EU BOCZ.B ŁUS.Z/S.1/2STTRM PJ ECS</t>
  </si>
  <si>
    <t>***EU BOCZ.B B/Ż.1STTRM OK20KGKT CARR</t>
  </si>
  <si>
    <t>***EU BOCZ.ŁUS.Z/SK/CHRZ.1STTRMOK20KG RU</t>
  </si>
  <si>
    <t>***EU BOCZ.B B/Ż.1STTRM OK8KGKT CARR</t>
  </si>
  <si>
    <t>***EU BOCZ.B B/Ż.OK1KG TRM OK20KG KT CH</t>
  </si>
  <si>
    <t>***EU BOCZ.B ŁUS.Z/SK/CH.1STTRMOK10KGKT</t>
  </si>
  <si>
    <t>***EU BOCZ.B ŁUS.Z/SK/CH.1STTRM OK15KGKT</t>
  </si>
  <si>
    <t>***EU BOCZ.ŁUS.LUX Z/SK.DMR CH</t>
  </si>
  <si>
    <t>***EU BOCZ.ŁUS.WĄS.TRM OK15KG KT DMR CZ</t>
  </si>
  <si>
    <t>***PL BOCZ.C SZER.Z/Ż/SK/PACH.CHOIN.CHEX</t>
  </si>
  <si>
    <t>***PL BOCZ.C SZER.Z/Ż/SK/PACH.OKT CH EX</t>
  </si>
  <si>
    <t>***EU BOCZ.C SZER.Z/Ż/SK/PACH.CHOIN.CHEX</t>
  </si>
  <si>
    <t>***EU BOCZ.C SZER.Z/Ż/SK/PACH.OKT CH EX</t>
  </si>
  <si>
    <t>***PL BOCZ.BC B/Ż/SK/TŁ.PACH NB MR EX</t>
  </si>
  <si>
    <t>Przechowywać zamrożone / Keep frozen</t>
  </si>
  <si>
    <t>***PLBOCZ.BC B/Ż/S/TŁ.PA.4STOK15KGKTMRST</t>
  </si>
  <si>
    <t>***PL BOCZ.BC B/Ż/SK/TŁ.PACH NB DMR EX</t>
  </si>
  <si>
    <t>***EU BOCZ.BC B/Ż/S/TŁ.PACH1STFOL4STKTMR</t>
  </si>
  <si>
    <t>***EU BOCZ.BC B/Ż/SK/TŁ.PACH.CH CHOIN EX</t>
  </si>
  <si>
    <t>***EUBOCZ.BCB/K/S/TŁ.PACH1STFOL4STKTDMR</t>
  </si>
  <si>
    <t>***PL BOCZ.C SZER.Z/Ż/SK/PACH.CH</t>
  </si>
  <si>
    <t>***EU BOCZ.C SZER.Z/Ż/SK/PACHW.CH</t>
  </si>
  <si>
    <t>***PL BOC.B BLAT.WĄS.Z/SK.LUZWOROK20KGKT</t>
  </si>
  <si>
    <t>***PL BOCZ.B BLAT.WĄS.Z/SK.OK20KGWORPJ</t>
  </si>
  <si>
    <t>***EUBOCZ.BBLAT.WĄS.Z/SK.LUZWOR OK20KGKT</t>
  </si>
  <si>
    <t>***EU BOCZ.B BLAT.WĄS.Z/S.LUZWOROK20KGPJ</t>
  </si>
  <si>
    <t>***PLBOCZ.B B/Ż/SK/CH.MŚ.PRZ.PR.W1PBXCH1</t>
  </si>
  <si>
    <t>***PLBOCZ.BB/Ż/S/CH.M.PRZEP.PRZ.W1KTMREX</t>
  </si>
  <si>
    <t>***PLBOCZ.B B/Ż/S.400GRTMOK4.8KGKTLIDLLT</t>
  </si>
  <si>
    <t>***PL BOCZ.B B/Ż/SK.1STVAC OK12KGKT ME</t>
  </si>
  <si>
    <t>***PLBOCZ.B B/Ż/S/CH.M.PRZ.PR.W1OK15PJST</t>
  </si>
  <si>
    <t>***PLBOCZ.B B/Ż/S/CH.M.PRZEP.PRZ.W1KTDMR</t>
  </si>
  <si>
    <t>***EU BOCZ.B B/Ż/SK.1STVAC OK15KGPJ MOR</t>
  </si>
  <si>
    <t>***PLBOCZ.B B/Ż/SK/CH.MŚ.PRZEP.PRZ.W1KOT</t>
  </si>
  <si>
    <t>***PL BOCZ.B BLAT.B/S/M.PRZEP.CH BL</t>
  </si>
  <si>
    <t>***EU BOCZ.B BLAT.B/S/M.PRZEP.CH</t>
  </si>
  <si>
    <t>***PL BOCZ.A BLAT.Z/SK.LUZ PBX CH ST</t>
  </si>
  <si>
    <t>***PL BOCZ.ŁUS.WĄS.Z/SK/CHRZ.LUX CH</t>
  </si>
  <si>
    <t>***EU BOCZ.ŁUS.WĄS.Z/SK/CHRZ.LUX CH</t>
  </si>
  <si>
    <t>***PL BOCZ.BC BLAT.B/SK/CH.PBX USR CH ES</t>
  </si>
  <si>
    <t>***BOCZWP.ŁUSK.B/SK.Z/CHRZ. KL.S CH M.E.</t>
  </si>
  <si>
    <t>***EU BOCZ.A ŁUS.Z/SK/CH.PBX CH BIED1</t>
  </si>
  <si>
    <t>***EU BOCZ.A ŁUS.Z/SK/CH.PBX CH BIED2</t>
  </si>
  <si>
    <t>***PL BOCZ.B BLAT.WĄS.Z/SK.PBX CH1</t>
  </si>
  <si>
    <t>***PLBOCZ.BBLAT.WĄS.Z/S.1STVACOK15KGKTME</t>
  </si>
  <si>
    <t>***PL BOCZ.B BLAT.WĄS.Z/SK.NB DMR</t>
  </si>
  <si>
    <t>***PL BOCZ.B BLAT.WĄS.Z/SK.RO1</t>
  </si>
  <si>
    <t>***PL BOCZ.B BLAT.WĄS.Z/SK.RO2</t>
  </si>
  <si>
    <t>***PL BOCZ.B BLAT.WĄS.Z/SK.PBX CH2</t>
  </si>
  <si>
    <t>***EU BOCZ.B BLAT.WĄS.Z/SK.PBX CH1</t>
  </si>
  <si>
    <t>***EU BOCZ.B BLAT.WĄS.Z/SK.PBX CH2</t>
  </si>
  <si>
    <t>***EUBOCZ.ABC.SZER.BLAT/B/S.Z/MŚ.CIE.PBX</t>
  </si>
  <si>
    <t>***PL BOCZ.BC BLAT.B/SK/TŁ.PACH.USR CH</t>
  </si>
  <si>
    <t>***PL BOCZ.ABC BLAT.B/SK.Z/MŚ.CIE.RO1</t>
  </si>
  <si>
    <t>***PL BOCZ.ABC BLAT.B/SK.Z/MŚ.CIE.RO2</t>
  </si>
  <si>
    <t>***EU BOCZ.ABC 1822 OK20KG WOR KT MR EX</t>
  </si>
  <si>
    <t>***EU BOCZ.ABC 1822 OK20KG WOR KT DMR EX</t>
  </si>
  <si>
    <t>KLA_022_MPOM_0010</t>
  </si>
  <si>
    <t>***PL BOCZ.BLAT.Z/SK.WĄS.CH</t>
  </si>
  <si>
    <t>***PL BOCZ.BLAT.Z/SK.WĄS.CH2</t>
  </si>
  <si>
    <t>***EU BOCZ.BLAT.Z/SK.WĄS.CH</t>
  </si>
  <si>
    <t>***EU BOCZ.B B/Ż.Z/SK.NT/C.PBX CH1</t>
  </si>
  <si>
    <t>***EU BOCZ.B B/Ż.Z/SK.NT/C.PBX CH2</t>
  </si>
  <si>
    <t>***PL BOCZ.B BLAT.Z/SK.KROJONY KAUF CH</t>
  </si>
  <si>
    <t>***EU BOCZ.BC BLAT.B/SK/TŁ.PACH.USR CH</t>
  </si>
  <si>
    <t>***PL BOCZ.BLAT.B/CHRZ.Z/SK.OKOPC.CH2</t>
  </si>
  <si>
    <t>***PL BOCZ.B Z/Ż/SK.CH.OK15KG MR EX</t>
  </si>
  <si>
    <t>***PLBOCZ.B Z/Ż/S.OK700GMAPOK6KGKTLIDLLT</t>
  </si>
  <si>
    <t>***PL BOCZ.B Z/Ż/SK.CH.OK15KG DMR EX</t>
  </si>
  <si>
    <t>***EU BOCZ.B Z/Ż/SK.PBX CH</t>
  </si>
  <si>
    <t>***EU BOCZ.B Z/Ż/SK.CH.OK15KG MR EX</t>
  </si>
  <si>
    <t>***EU BOCZ.B Z/Ż/SK.CH.OK15KG DMR EX</t>
  </si>
  <si>
    <t>***PL BOCZ.B Z/Ż/SK.CH PORCJA</t>
  </si>
  <si>
    <t>***CONSTAR BOCZEK Z ŻEBR.KLR WĄSKI MR EX</t>
  </si>
  <si>
    <t>***BOCZEK Z/ŻEB. Z/K KL.S WĄSKI MR EX</t>
  </si>
  <si>
    <t>***PL BOCZ.C B/Ż/S/TŁ.PACH.CHOIN.CH EXCZ</t>
  </si>
  <si>
    <t>***PL ŻEB.PŁAT.Z/CH.M.OK15KGWOR PJ</t>
  </si>
  <si>
    <t>***PL ŻEB.PŁAT.Z/CHRZ.MOST.MR EX NLP</t>
  </si>
  <si>
    <t>***PL ŻEB.PŁAT.Z/CH.M.OK15KGWOR KT MR EX</t>
  </si>
  <si>
    <t>***PL ŻEB.PŁAT.Z/CHRZ.MOST.MR CH</t>
  </si>
  <si>
    <t>***PL ŻEB.PŁAT.Z/CHRZ.4STMAP OK8KGKT SEL</t>
  </si>
  <si>
    <t>***PL ŻEB.PŁAT.Z/CH.OK2KGRMM OK12KGKTECS</t>
  </si>
  <si>
    <t>***PL ŻEB.PŁAT.Z/CHR.MO.OK15KG KTDMR EX</t>
  </si>
  <si>
    <t>***PL ŻEB.PŁAT.Z/CH.M.OK15KGWORKT DMR EX</t>
  </si>
  <si>
    <t>***PL ŻEB.PŁAT.Z/CHRZ.MOST.OK15KGKTDMRCN</t>
  </si>
  <si>
    <t>***EU ŻEB.PŁAT.Z/CH.M.OK15KGWOR PJ</t>
  </si>
  <si>
    <t>***EU ŻEB.PŁAT.Z/CHRZ.MOST.MR EX NLP</t>
  </si>
  <si>
    <t>***EU ŻEB.PŁAT.Z/CH.M.OK15KGWOR KT MR EX</t>
  </si>
  <si>
    <t>***EU ŻEB.PŁAT.Z/CHRZ.MOST.MR CH</t>
  </si>
  <si>
    <t>***EU ŻEB.PŁAT.Z/CHR.MO.OK15KG KTDMR EX</t>
  </si>
  <si>
    <t>***EU ŻEB.PŁAT.Z/CH.M.OK15KGWORKT DMR EX</t>
  </si>
  <si>
    <t>***EU ŻEB.PŁAT.Z/CHRZ.MOST.OK15KGKTDMRCN</t>
  </si>
  <si>
    <t>***PL ŻEB.SCH.LUZ OK15KG KT CH</t>
  </si>
  <si>
    <t>***PL ŻEB.SCH.MR</t>
  </si>
  <si>
    <t>***PL ŻEB.SCH.PB DMR</t>
  </si>
  <si>
    <t>***EU ŻEB.SCH.LUZ OK15KG KT CH</t>
  </si>
  <si>
    <t>***EU ŻEB.SCH.MR</t>
  </si>
  <si>
    <t>***EU ŻEB.SCH.PB DMR</t>
  </si>
  <si>
    <t>***PL ŻEB.PASKI LUZ KT CH</t>
  </si>
  <si>
    <t>***PL ŻEB.PASKI LUZ OK5KG KT CH TIP</t>
  </si>
  <si>
    <t>***PL ŻEB.PASKIOK600GMAP OK.2.4KG KT JMD</t>
  </si>
  <si>
    <t>***PL ŻEB.PASKI OK750G MAP 3KG KT NETTO</t>
  </si>
  <si>
    <t>***PL ŻEB.PASKI 2ST TRM OK6KG KT MOR EX</t>
  </si>
  <si>
    <t>***PL ŻEB.PASKI 1ST TRM OK8KG KT MOR EX</t>
  </si>
  <si>
    <t>***PL ŻEB.PASKI 2ST TRM OK9KG KT</t>
  </si>
  <si>
    <t>***PL ŻEB.PASKI OK2.5KG TRM OK5KG KT</t>
  </si>
  <si>
    <t>***PL ŻEB.PASKI CH2</t>
  </si>
  <si>
    <t>***EU ŻEB.PASKI LUZ KT CH</t>
  </si>
  <si>
    <t>***EU ŻEB.PASKI LUZ OK5KG KT CH TIP</t>
  </si>
  <si>
    <t>***EU ŻEB.PASKI OK750G MAP 3KG KT NETTO</t>
  </si>
  <si>
    <t>***EU ŻEB.PASKI 2STTRM OK9KGKT</t>
  </si>
  <si>
    <t>***EU ŻEB.PASKI OK2.5KG TRM OK5KG KT</t>
  </si>
  <si>
    <t>***PL ŻEB.SCH.LUZ KT CH</t>
  </si>
  <si>
    <t>***PL ŻEB.SCH.OK15KGWOR KT MR EX</t>
  </si>
  <si>
    <t>***PL ŻEB.SCH.EXP.MR LUZ</t>
  </si>
  <si>
    <t>***PL ŻEB.SCH.FOL 10KG KT MR SFL</t>
  </si>
  <si>
    <t>***PL ŻEB.SCH.OK20KGWOR PJ</t>
  </si>
  <si>
    <t>***PL ŻEB.SCH.OK15KG KT DMR CN</t>
  </si>
  <si>
    <t>***PL ŻEB.SCH.OK15KG KT DMR EX</t>
  </si>
  <si>
    <t>***PL ŻEB.SCH.FOL 10KG KT DMR SFL</t>
  </si>
  <si>
    <t>***EU ŻEB.SCH.LUZ KT CH</t>
  </si>
  <si>
    <t>***EU ŻEB.SCH.OK15KG KT MR EX</t>
  </si>
  <si>
    <t>***EU ŻEB.SCH.EXP.MR LUZ</t>
  </si>
  <si>
    <t>***EU ŻEB.SCH.FOL 10KG KT MR SFL</t>
  </si>
  <si>
    <t>***EU ŻEB.SCH.OK20KGWOR PJ</t>
  </si>
  <si>
    <t>***EU ŻEB.SCH.OK15KG KT DMR CN</t>
  </si>
  <si>
    <t>KLA_022_MPOM_0009</t>
  </si>
  <si>
    <t>***EU ŻEB.SCH.OK15KG KT DMR EX</t>
  </si>
  <si>
    <t>***EU ŻEB.SCH.FOL 10KG KT DMR SFL</t>
  </si>
  <si>
    <t>***PL POZ.PŁAT.ŻEB.Z/CH/KM.OK15KGWOR KT</t>
  </si>
  <si>
    <t>AX001_PP_PK_CONVIE</t>
  </si>
  <si>
    <t>***PL POZ.PŁAT.ŻEB.Z/CH/KM.OK10KGWOR KT</t>
  </si>
  <si>
    <t>***PL POZ.PŁAT.ŻEB.Z/CH/KM.OK20KGKTMR EX</t>
  </si>
  <si>
    <t>***PL POZ.PŁAT.ŻEB.Z/CH/KM.OK20KGKT DMR</t>
  </si>
  <si>
    <t>***EU POZ.PŁAT.ŻEB.Z/CH/KM.PBX CH</t>
  </si>
  <si>
    <t>***EU POZ.PŁAT.ŻEB.Z/CH/KM.OK20KGKTMR EX</t>
  </si>
  <si>
    <t>***EU POZ.PŁAT.ŻEB.Z/CH/KM.OK20KGKT DMR</t>
  </si>
  <si>
    <t>***PL ŻEB.BOCZ.8CM OK15KG WOR KT TESC</t>
  </si>
  <si>
    <t>***PL ŻEB.BOCZ.8CM OK2.5KGRMMOK5KGKTAUCH</t>
  </si>
  <si>
    <t>***PL ŻEB.BOCZ.8CMOK4.5KGRMMOK9KGKT KAUF</t>
  </si>
  <si>
    <t>***PL ŻEB.BOCZ.8CMOK4.5KGRMMOK15KGPJ STO</t>
  </si>
  <si>
    <t>***PL ŻEB.BOCZ.8CM OK15KGPJ CH ST</t>
  </si>
  <si>
    <t>***EU ŻEB.BOCZ.8CM PBX CH1</t>
  </si>
  <si>
    <t>***EU ŻEB.BOCZ.8CM OK2.5KGRMMOK5KGKTAUCH</t>
  </si>
  <si>
    <t>***EU ŻEB.BOCZ.8CMOK4.5KGRMMOK9KGKT KAUF</t>
  </si>
  <si>
    <t>***EU ŻEB.BOCZ.8CMOK4.5KGRMMOK15KGPJ STO</t>
  </si>
  <si>
    <t>***EU ŻEB.BOCZ.8CM OK2.5KGRMMOK5KGKT PIP</t>
  </si>
  <si>
    <t>***EU ŻEB.BOCZ.8CM PBX CH2</t>
  </si>
  <si>
    <t>***PL ŻEB.PASKI WĄS.KOREA CH</t>
  </si>
  <si>
    <t>***EU ŻEB.PASKI WĄS.KOREA CH</t>
  </si>
  <si>
    <t>***PORK SPARERIBS WITHOUT BREAST BO</t>
  </si>
  <si>
    <t>***FRPK SPARERIBS WITHOUT BREAST B NBDMR</t>
  </si>
  <si>
    <t>***PL ŻEB.(1/2 BOCZ.B) PBX CH</t>
  </si>
  <si>
    <t>***PL ŻEB.(1/2 BOCZKU B) LUZ KT CH</t>
  </si>
  <si>
    <t>***EU ŻEB.(1/2 BOCZ.B) PBX CH</t>
  </si>
  <si>
    <t>***EU ŻEB.(1/2 BOCZKU B) LUZ KT CH</t>
  </si>
  <si>
    <t>***ŻEBERKA WP.PŁATY KOREA MRŻ.EXP</t>
  </si>
  <si>
    <t>***PL ŻEB.BOCZ.10.5CM 682-795G MR ST</t>
  </si>
  <si>
    <t>***PL ŻEB.BOCZ.10.5CM 682-795G PBX CH1</t>
  </si>
  <si>
    <t>***PL ŻEB.BOCZ.682-795G OK20KG KT MR EX</t>
  </si>
  <si>
    <t>***PL ŻEB.BOCZ.682-795G OK20KG KT MR ST</t>
  </si>
  <si>
    <t>***PL ŻEB.BOCZ.682-795G OK20KG KT DMR</t>
  </si>
  <si>
    <t>***PL ŻEB.BOCZ.10.5CM 682-795G PBX CH2</t>
  </si>
  <si>
    <t>***PL ŻEB.BOCZ.515-568G OK20KG KT MR EX</t>
  </si>
  <si>
    <t>***PL ŻEB.BOCZ.515-568G OK20KG KT MR ST</t>
  </si>
  <si>
    <t>***PL ŻEB.BOCZ 515-568G OK20KG KT DMR</t>
  </si>
  <si>
    <t>***PL ŻEB.PIECZENIOWE OK15KG KT CH</t>
  </si>
  <si>
    <t>***PL ŻEB.PIECZENIOWE WOR OK5KGKT CH</t>
  </si>
  <si>
    <t>***PL ŻEB.PIECZENIOWE OK10KGWOR KT</t>
  </si>
  <si>
    <t>***PL ŻEB.PIECZENIOWE OK20KGKT MR</t>
  </si>
  <si>
    <t>***PL ŻEB.PIECZ.OK2.5KGRMM OK5KGKT AUCH</t>
  </si>
  <si>
    <t>***PL ŻEB.PIECZ.OK4.5KGRMMOK9KGKTKAUF BG</t>
  </si>
  <si>
    <t>***PL ŻEB.PIECZ.2ST VAC OK12KG PJ CH ECS</t>
  </si>
  <si>
    <t>***PL ŻEB.PIECZENIOWE 3STVACOK6KGKT AUCH</t>
  </si>
  <si>
    <t>***PL ŻEB.PIECZENIOWE OK5KGTRM OK10KGKT</t>
  </si>
  <si>
    <t>***PL ŻEB.PIECZENIOWE OK20KG KT DMR</t>
  </si>
  <si>
    <t>***EU ŻEB.PIECZENIOWE OK15KG KT CH</t>
  </si>
  <si>
    <t>***EU ŻEB.PIECZENIOWE WOR OK5KG KT CH</t>
  </si>
  <si>
    <t>***EU ŻEB.PIECZENIOWE OK10KG WOR KT</t>
  </si>
  <si>
    <t>***EU ŻEB.PIECZ.OK4.5KGRMMOK9KGKTKAUF BG</t>
  </si>
  <si>
    <t>***EU ŻEB.PIECZ.2ST VAC OK12KG PJ CH ECS</t>
  </si>
  <si>
    <t>***EU ŻEB.PIECZENIOWE 3STVAC OK6KGKT MOR</t>
  </si>
  <si>
    <t>***EU ŻEB.PIECZ.OK5KGTRM OK10KGKT</t>
  </si>
  <si>
    <t>***PL ŻEB.PIECZENIOWE USR CH</t>
  </si>
  <si>
    <t>***PL ŻEB.BOCZ.569-681G OK20KG KT MR EX</t>
  </si>
  <si>
    <t>***PL ŻEB.BOCZ.569-681G OK20KG KT DMR</t>
  </si>
  <si>
    <t>***KOŃCÓWKI ŻEBER NB MR ST</t>
  </si>
  <si>
    <t>***KOŃCÓWKI ŻEBER NB DMR</t>
  </si>
  <si>
    <t>***KOŃCÓWKI ŻEBER NB RO</t>
  </si>
  <si>
    <t>***PL ŻEB.BOCZ.796-899G OK20KG KT MR EX</t>
  </si>
  <si>
    <t>***PL ŻEB.BOCZ.OK800GVAC 10STKT EX</t>
  </si>
  <si>
    <t>***EU ŻEB.BOCZ.OK800GVAC 10STKT EX I</t>
  </si>
  <si>
    <t>***PL ŻEB.BOCZ.OK800GVAC 10STKT LV</t>
  </si>
  <si>
    <t>***PL ŻEB.BOCZ.OK800GTRM 10STKT LIDL</t>
  </si>
  <si>
    <t>***PL ŻEB.BOCZ.4STVAC OK8KGKT ME</t>
  </si>
  <si>
    <t>***PL ŻEB.BOCZ.4STMAP 6KGKT POLM</t>
  </si>
  <si>
    <t>***PL ŻEB.BOCZ.OK800GVAC OK8KGKT MR EX</t>
  </si>
  <si>
    <t>***PL ŻEB.BOCZ.OK800GVAC 10STKT LIDL LT</t>
  </si>
  <si>
    <t>***PL ŻEB.BOCZ.OK800GVAC OK8KGKT EX</t>
  </si>
  <si>
    <t>***PL ŻEB.BOCZ.796 - 899G OK20KG KT DMR</t>
  </si>
  <si>
    <t>***EU ŻEB.BOCZ.OK800GVAC 10STKT EX</t>
  </si>
  <si>
    <t>***PL ŻEB.BOCZ.900-1000G OK20KG KT MR EX</t>
  </si>
  <si>
    <t>***PL ŻEB.BOCZ.900-1000G OK20KGKT DMR EX</t>
  </si>
  <si>
    <t>***PL ŻEB.PŁAT.LUZ WOR CH TESC</t>
  </si>
  <si>
    <t>***PL ŻEB.PŁATY OK5KG WOR OK10KG KT</t>
  </si>
  <si>
    <t>***PL ŻEB.PŁAT.B/CH.OK20KGWOR KT MR EX</t>
  </si>
  <si>
    <t>***PL ŻEB.LUZ HILT</t>
  </si>
  <si>
    <t>***PL ŻEB.PŁAT.B/CH.OK20KGKT DMR EX</t>
  </si>
  <si>
    <t>***EU ŻEB.PŁAT.LUZ KT CH</t>
  </si>
  <si>
    <t>***EU ŻEB.PŁAT.LUZ WOR CH TESCO</t>
  </si>
  <si>
    <t>***EU ŻEB.PŁATY OK5KG WOR OK10KG KT</t>
  </si>
  <si>
    <t>***EU ŻEB.PŁAT.B/CH.OK20KGKT MR EX</t>
  </si>
  <si>
    <t>***EU ŻEB.LUZ HILT</t>
  </si>
  <si>
    <t>***EU ŻEB.PŁAT.OK500KGWOROKT CH EX</t>
  </si>
  <si>
    <t>***EU ŻEB.PŁAT.B/CH.OK20KGKT DMR EX</t>
  </si>
  <si>
    <t>***PL ŻEB.PŁAT.B/CH.CIĘ.PBX CH</t>
  </si>
  <si>
    <t>***EU ŻEB.PŁAT.B/CH.CIĘ.PBX CH</t>
  </si>
  <si>
    <t>***PL ŻEB.PŁAT.B/CH.10KGKT MR GB EX</t>
  </si>
  <si>
    <t>***PL ŻEB.PŁAT.B/CH.10KG KT MR EX</t>
  </si>
  <si>
    <t>***PL ŻEB.PŁAT.B/CH.OK10KG KT MR ST</t>
  </si>
  <si>
    <t>***PL ŻEB.PŁAT.B/CHRZ.OK10KG KT MR ST</t>
  </si>
  <si>
    <t>***PL ŻEB.PŁAT.B/CH.10KGKT MR SFL</t>
  </si>
  <si>
    <t>***PL ŻEB.PŁAT.B/CH.10KGKT DMR GB EX</t>
  </si>
  <si>
    <t>***PL ŻEB.PŁAT.B/CH.10KG KT DMR EX</t>
  </si>
  <si>
    <t>***PL ŻEB.PŁAT.B/CH.10KGKT DMR SFL</t>
  </si>
  <si>
    <t>***PL ŻEB.PŁAT.B/CH.OK10KGKT RO1</t>
  </si>
  <si>
    <t>***PL ŻEB.PŁAT.B/CH.OK10KGKT RO2</t>
  </si>
  <si>
    <t>***EU ŻEB.PŁAT.B/CH.10KGKT MR SFL</t>
  </si>
  <si>
    <t>***EU ŻEB.PŁAT.B/CH.10KGKT DMR SFL</t>
  </si>
  <si>
    <t>***BIODRÓWKA Z/K UŚR CH</t>
  </si>
  <si>
    <t>***EU SZYN.6D PBX CH1</t>
  </si>
  <si>
    <t>***EU SZYN.6D PBX CH2</t>
  </si>
  <si>
    <t>04051-11005</t>
  </si>
  <si>
    <t>***EU ŻEB.SCH.500-600G 35STLUZKTMR US EX</t>
  </si>
  <si>
    <t>04051-11008</t>
  </si>
  <si>
    <t>***PL ŻEB.SCH.600-850G LUZ 30ST KT MR ST</t>
  </si>
  <si>
    <t>***EU ŻEB.SCH.600-850G 30STLUZKTMR US EX</t>
  </si>
  <si>
    <t>***EU ŻEB.SCH.SZER.600-850GOK15KGWORPJST</t>
  </si>
  <si>
    <t>04051-11009</t>
  </si>
  <si>
    <t>***PL ŻEB.SCH.&gt;850G LUZ 25ST KT MR US ST</t>
  </si>
  <si>
    <t>***PL ŻEB.SCH.850-960 25STWOR KT RO1</t>
  </si>
  <si>
    <t>***PL ŻEB.SCH.850-960 25STWOR KT RO2</t>
  </si>
  <si>
    <t>***EU ŻEB.SCH.&gt;850G LUZ 25ST KT MR US EX</t>
  </si>
  <si>
    <t>***PL ŻEB.PASKI CIĘ.GRILL.MR</t>
  </si>
  <si>
    <t>***PL ŻEB.PASKI CIĘ.GRILL.DMR</t>
  </si>
  <si>
    <t>***EU ŻEB.PASKI CIĘ.CH</t>
  </si>
  <si>
    <t>***PL ŻEB.BOCZ.OK10KG KT MR</t>
  </si>
  <si>
    <t>***PL ŻEB.BOCZ. OK10KG KT DMR</t>
  </si>
  <si>
    <t>AX001_MS_DB</t>
  </si>
  <si>
    <t>***EU POL.WP.FIL.OK15KGWOR PJ ST</t>
  </si>
  <si>
    <t>***EU POL.WP.FIL.WOR LUZ OK15KG KT</t>
  </si>
  <si>
    <t>***EU POL.WP.FIL.OK2.5KGVAC OK15KGKT</t>
  </si>
  <si>
    <t>***EU POL.WP.FIL.OK2.5KGVACOK10KGKTMR EX</t>
  </si>
  <si>
    <t>***EU POL.WP.FIL.OK2.5KGVACOK10KGKTDMREX</t>
  </si>
  <si>
    <t>***PL POL.B/WAR.Z/GŁOK2.5KGVAC OK20KG PJ</t>
  </si>
  <si>
    <t>***PL POL.Z/GŁ.B/WAR.OK2.5KG VAC KT</t>
  </si>
  <si>
    <t>***PL POL.Z/GŁ.B/WAR.CH EX</t>
  </si>
  <si>
    <t>***PL POL.B/WAR.Z/GŁ.OK2.5KGVAC PJ NL</t>
  </si>
  <si>
    <t>***PL POL.Z/GŁ.B/WAR.1STVACOK15KG KTREAL</t>
  </si>
  <si>
    <t>***PL POL.Z/GŁ.B/WAR.VAC MR</t>
  </si>
  <si>
    <t>***PL POL.Z/GŁ.B/WAR.VAC DMR</t>
  </si>
  <si>
    <t>***EU POL.B/WAR.Z/GŁOK2.5KGVAC OK20KG PJ</t>
  </si>
  <si>
    <t>***EU POL.Z/GŁ.B/WAR.OK2.5KG VAC KT</t>
  </si>
  <si>
    <t>***EU POL.Z/GŁ.B/WAR.CH EX</t>
  </si>
  <si>
    <t>***EU POL.B/WAR.Z/GŁ.OK2.5KGVAC PJ NL</t>
  </si>
  <si>
    <t>***EU POL.Z/GŁ.B/WAR.1STVACOK15KGKT REAL</t>
  </si>
  <si>
    <t>***EU POL.Z/GŁ.B/WAR.VAC MR</t>
  </si>
  <si>
    <t>***EU POL.Z/GŁ.B/WAR.VAC DMR</t>
  </si>
  <si>
    <t>***POLĘDWICZKA Z/GŁ.B/WARK USR PL</t>
  </si>
  <si>
    <t>PL ŻEB.PASKI EXT.OK20KGWOR KT MR</t>
  </si>
  <si>
    <t>PL ŻEB.PASKI EXT.OK20KGWOR KT DMR</t>
  </si>
  <si>
    <t>POLĘDWICZKA Z/GŁ.B/WARK USR CH</t>
  </si>
  <si>
    <t>***PL POL.Z/GŁ.LUZ OK5KG KT TI</t>
  </si>
  <si>
    <t>***PL POL.Z/GŁ.B/WAR.1STMAP OK4KG KT ECS</t>
  </si>
  <si>
    <t>***PL POL.Z/GŁ.1STMAP KT BIED</t>
  </si>
  <si>
    <t>***PL POL.Z/GŁ.MAP 2ST MAKR</t>
  </si>
  <si>
    <t>***PL POL.Z/GŁ.MAP 1ST LIDL</t>
  </si>
  <si>
    <t>***PL POL.Z/GŁ.B/WAR.1STMAP 2KGKT NETTO</t>
  </si>
  <si>
    <t>***PL POL.Z/GŁ.1STMAP OK4KGKT ME</t>
  </si>
  <si>
    <t>***PL POL.Z/GŁ.1STMAP 2KGKT ME</t>
  </si>
  <si>
    <t>***PL POL.Z/GŁ.1ST MAP OK4KG KT AUCH</t>
  </si>
  <si>
    <t>***PL POL.Z/GŁ.B/WAR.1STVAC OK7KGPJ ECS</t>
  </si>
  <si>
    <t>***PL POL.Z/GŁ.1STVAC OK4KGKT TESC SK</t>
  </si>
  <si>
    <t>***PL POL.Z/GŁ.1ST VAC 2.5KG KT NETTO</t>
  </si>
  <si>
    <t>***PL POL.Z/GŁ.1ST VAC OK4KG KT MOR EX</t>
  </si>
  <si>
    <t>***PL POL.Z/GŁ.B/WAR.1STVAC 5KGKT EX</t>
  </si>
  <si>
    <t>***PL POL.Z/GŁ.OK1.7KGVAC OK5KGKT</t>
  </si>
  <si>
    <t>***PL POL.WP.Z/GŁ.OK2.5KGVACOK15KGKTMAKR</t>
  </si>
  <si>
    <t>***PL POL.Z/GŁ.B/WAR.10ST VAC PJ HILT</t>
  </si>
  <si>
    <t>***PL POL.Z/GŁ.1ST VAC OK2KG KT CARR</t>
  </si>
  <si>
    <t>PL POL.Z/GŁ.B/WAR.4-5STVAC 2STKT KAUF</t>
  </si>
  <si>
    <t>***PL POL.Z/GŁ.1STVAC MR</t>
  </si>
  <si>
    <t>***PL POL.Z/GŁ.B/WAR.OK5KGVACOK20KGPJ EX</t>
  </si>
  <si>
    <t>***PL POL.Z/GŁ.1STMAP OK4KGKT LIDL LT</t>
  </si>
  <si>
    <t>***PL POL.Z/GŁ.LUZ PJ CH</t>
  </si>
  <si>
    <t>***PL POL.LUZ HILT</t>
  </si>
  <si>
    <t>***PL POL.Z/GŁ.1ST MAP 4KG KT POLM</t>
  </si>
  <si>
    <t>***PL POL.Z/GŁ.OK500GMAP OK2KGKT KAUF</t>
  </si>
  <si>
    <t>***POLĘDWICZKA Z/GŁ.B/WARK5KGWOR PJ CHEŁ</t>
  </si>
  <si>
    <t>***PL POL.Z/GŁ.OK500G MAP KAUF BL</t>
  </si>
  <si>
    <t>***PL POL.Z/GŁ.B/WAR.1ST VAC DMR</t>
  </si>
  <si>
    <t>***EU POL.Z/GŁ.LUZ OK5KG KT TI</t>
  </si>
  <si>
    <t>***EU POL.Z/GŁ.B/WAR.1STMAP OK4KG KT ECS</t>
  </si>
  <si>
    <t>***EU POL.Z/GŁ.MAP 2ST MAKR</t>
  </si>
  <si>
    <t>***EU POL.Z/GŁ.MAP 1ST LIDL</t>
  </si>
  <si>
    <t>***EU POL.Z/GŁ.B/WAR.1STMAP 2KG KT NETTO</t>
  </si>
  <si>
    <t>***EU POL.Z/GŁ.1ST MAP OK4KG KT AUCH</t>
  </si>
  <si>
    <t>***EU POL.Z/GŁ.B/WAR.1STVAC OK7KGPJ ECS</t>
  </si>
  <si>
    <t>***EU POL.WP.Z/GŁ.5STMAP 2STKT KAUF</t>
  </si>
  <si>
    <t>***EU POL.Z/GŁ.OK2KGVAC OK4KGKT TESC</t>
  </si>
  <si>
    <t>***EU POL.Z/GŁ.1STVAC OK4KGKT TESC SK</t>
  </si>
  <si>
    <t>***EU POL.Z/GŁ.1ST VAC 2.5KG KT NETTO</t>
  </si>
  <si>
    <t>***EU POL.Z/GŁ.B/WAR.1STVAC 5KGKT EX</t>
  </si>
  <si>
    <t>***EU POL.Z/GŁ.OK1.7KGVAC OK5KGKT</t>
  </si>
  <si>
    <t>***EU POL.WP.Z/GŁ.OK2.5KGVACOK15KGKTMAKR</t>
  </si>
  <si>
    <t>***EU POL.Z/GŁ.B/WAR.10ST VAC PJ HILT</t>
  </si>
  <si>
    <t>***EU POL.WP.Z/GŁ.4STVAC OK15KGPJ MOR</t>
  </si>
  <si>
    <t>***EU POL.Z/GŁ.1STVAC MR</t>
  </si>
  <si>
    <t>***EU POL.Z/GŁ.LUZ PJ CH</t>
  </si>
  <si>
    <t>***EU POL.LUZ HILT</t>
  </si>
  <si>
    <t>***EU POL.Z/GŁ.B/WAR.1ST VAC DMR</t>
  </si>
  <si>
    <t>***EU POL.B/GŁ.N/OBR.</t>
  </si>
  <si>
    <t>GŁÓWKA POL.ODBŁ USR CH</t>
  </si>
  <si>
    <t>***PL POL.B/WAR./GŁ.OK2KGVAC OK15KGKT</t>
  </si>
  <si>
    <t>***PL POL.B/GŁ/WAR.VAC</t>
  </si>
  <si>
    <t>***PL POL.B/GŁ/WAR.OK2KGVAC PJ NL</t>
  </si>
  <si>
    <t>***PL POL.B/GŁ/WAR.VAC 2KG EX</t>
  </si>
  <si>
    <t>***EU POL.B/WAR./GŁ.OK2KGVAC OK15KGKT</t>
  </si>
  <si>
    <t>***EU POL.B/GŁ/WAR.VAC</t>
  </si>
  <si>
    <t>***EU POL.B/GŁ/WAR.OK2KGVAC PJ NL</t>
  </si>
  <si>
    <t>***EU POL.B/GŁ/WAR.VAC 2KG EX</t>
  </si>
  <si>
    <t>KLA_022_MPOM_0008</t>
  </si>
  <si>
    <t>PL NOGA TYL.DŁ.OK15KGWOR KT</t>
  </si>
  <si>
    <t>***NOGI WP.TYL.DŁ.OK2KGWOR OK10KGKT</t>
  </si>
  <si>
    <t>***NOGI WP.TYLNE DŁUGIE MR CH</t>
  </si>
  <si>
    <t>***NOGI WP.TYL.DŁ.10KG KT MR EX</t>
  </si>
  <si>
    <t>***NOGI WP.TYL.3STMAP OK7.5KGKT SEL</t>
  </si>
  <si>
    <t>***NOGI WP.TYL.OK2.5KG RMM OK5KG KT MOR</t>
  </si>
  <si>
    <t>PL NOGA TYL.DŁ.OK20KGWOR PJ POLM</t>
  </si>
  <si>
    <t>***NOGI TYLNE OK 10KG KT DMR CHIN</t>
  </si>
  <si>
    <t>***NOGI WP.TYL.DŁ.10KG KT DMR EX</t>
  </si>
  <si>
    <t>CZ NOGA WP.TYL.DŁ.</t>
  </si>
  <si>
    <t>CZ NOGA WP.TYL.DŁ.10KGWOR KT MR EX</t>
  </si>
  <si>
    <t>CZ NOGA WP.TYL.DŁ.10KGWOR KT DMR EX</t>
  </si>
  <si>
    <t>***NOGI TYLNE DŁUGIE PL UŚR</t>
  </si>
  <si>
    <t>***EU SCH.B/K.Z/BOCZ/TŁ.3MM PBX CH1</t>
  </si>
  <si>
    <t>***EU SCH.B/K.Z/BOCZ/TŁ.3MM PBX CH2</t>
  </si>
  <si>
    <t>ŚRODEK B/POL/POK.MAC.CH</t>
  </si>
  <si>
    <t>ŚRODEK B/POL/POK.KLA CH</t>
  </si>
  <si>
    <t>ŚRODEK B/POL/POK.KLB CH</t>
  </si>
  <si>
    <t>ŚRODEK B/POL/POK.KLC CH</t>
  </si>
  <si>
    <t>***M-Ń CZTEROGŁOWY N/OBR KL.S CH</t>
  </si>
  <si>
    <t>***M-Ń CZTEROGŁOWY N/OBR KL.S NB MR</t>
  </si>
  <si>
    <t>***M-Ń CZTEROGŁOWY N/OBR KL.S NB DMR</t>
  </si>
  <si>
    <t>***EU SCH.B/K.Z/BOCZ.3CM/TŁ.6MM PBX CH1</t>
  </si>
  <si>
    <t>***EU SCH.B/K.Z/BOCZ.3CM/TŁ.6MM PBX CH2</t>
  </si>
  <si>
    <t>***PL SZYN.Z/K/SK/GOL.CH CHOIN.</t>
  </si>
  <si>
    <t>***PL SZYN.Z/K/SK/GOL.OKT CH HILT</t>
  </si>
  <si>
    <t>***PL SZYN.Z/K/SK/GOL.CH PBX CH HILT</t>
  </si>
  <si>
    <t>***EU SZYN.Z/K/SK/GOL.CH CHOIN.</t>
  </si>
  <si>
    <t>***EU SZYN.Z/K/SK/GOL.OKT CH HILT</t>
  </si>
  <si>
    <t>***EU SZYN.Z/K/SK/GOL.CH PBX CH HILT</t>
  </si>
  <si>
    <t>***PL GOL.PRZED.Z/S.B/K.OK500KG PBX ST</t>
  </si>
  <si>
    <t>***PL GOL.PRZED.LUZ OK15KG KT TIP</t>
  </si>
  <si>
    <t>PL GOL.PRZED.4STMAP OK12KGPJ</t>
  </si>
  <si>
    <t>***PL GOL.PRZED.700GMAP OK4.2KGKT LIDL</t>
  </si>
  <si>
    <t>***PL GOL.PRZED.VAC OK15KG KT TIP</t>
  </si>
  <si>
    <t>***PL GOL.WP.PRZED.VAC OK10KG KT</t>
  </si>
  <si>
    <t>***PL GOL.PRZED.OK2.5KGVAC OK5KGKT</t>
  </si>
  <si>
    <t>***PL GOL.WP.PRZED.VAC OK7KG PJ TESC</t>
  </si>
  <si>
    <t>***PL GOL.PRZED.2STMAP OK9KGKT SEL</t>
  </si>
  <si>
    <t>***PL GOL.PRZED.3STVAC OK5KGKT MOR</t>
  </si>
  <si>
    <t>***EU GOL.PRZED.Z/K.PBX CH</t>
  </si>
  <si>
    <t>***EU GOL.PRZED.CH LUZ KT</t>
  </si>
  <si>
    <t>***EU GOL.PRZED.LUZ OK15KG KT TIP</t>
  </si>
  <si>
    <t>***EU GOL.PRZED.4ST RMM 2ST KT KAUF</t>
  </si>
  <si>
    <t>***EU GOL.PRZED.VAC OK15KG KT TIP</t>
  </si>
  <si>
    <t>***EU GOL.WP.PRZED.VAC OK10KG KT</t>
  </si>
  <si>
    <t>***EU GOL.PRZED.OK2.5KGVAC OK5KGKT</t>
  </si>
  <si>
    <t>***EU GOL.WP.PRZED.VAC  OK7KG PJ TESC</t>
  </si>
  <si>
    <t>***EU GOL.PRZED.2STTRM OK15KGPJ ECS</t>
  </si>
  <si>
    <t>***EU GOL.PRZED.3STVAC OK5KGKT MOR</t>
  </si>
  <si>
    <t>***PL GOL.PRZED.Z/K.CIĘ.PBX CH</t>
  </si>
  <si>
    <t>***PL GOL.PRZED.OK700GMAP OK2.8KGKT BIED</t>
  </si>
  <si>
    <t>***PL GOL.PRZED.OK700GMAP OK4.2KGKT AUCH</t>
  </si>
  <si>
    <t>***PL GOL.PRZED.CIĘTA 2ST TRM OK8KGKT</t>
  </si>
  <si>
    <t>***EU GOL.PRZED.Z/K.CIĘ.PBX CH</t>
  </si>
  <si>
    <t>***EU GOL.PRZED.OK700GMAP OK4.2KGKT AUCH</t>
  </si>
  <si>
    <t>***EU GOL.PRZED.CIĘTA 2ST TRM OK8KGKT</t>
  </si>
  <si>
    <t>***PL GOL.TYL.LUZ OK15KG KT TIP</t>
  </si>
  <si>
    <t>***PL GOL.TYL.VAC OK15KG KT TIP</t>
  </si>
  <si>
    <t>***PL GOL.WP.TYL.VAC OK10KG KT</t>
  </si>
  <si>
    <t>***PL GOL.WP.TYL.VAC OK8KG PJ TESC</t>
  </si>
  <si>
    <t>***PL GOL.WP.TYL.2STVAC OK5KGKT MOR</t>
  </si>
  <si>
    <t>***PL GOL.WP.TYL.2ST VAC 8KG KT POLM</t>
  </si>
  <si>
    <t>***PL GOL.WP.TYL.2STVAC 8KGKT ME</t>
  </si>
  <si>
    <t>***PL GOL.TYL.11231 LUZ PJ HILT</t>
  </si>
  <si>
    <t>***EU GOL.TYL.Z/K.B/M.BRZUCH.CH</t>
  </si>
  <si>
    <t>***EU GOL.TYL.LUZ KT</t>
  </si>
  <si>
    <t>***EU GOL.TYLNA.LUZ OK15KG KT TIP</t>
  </si>
  <si>
    <t>***EU GOL.TYL.3ST RMM 2ST KT KAUF</t>
  </si>
  <si>
    <t>***EU GOL.TYLNA.VAC OK15KG KT TIP</t>
  </si>
  <si>
    <t>***EU GOL.WP.TYL.VAC OK10KG KT</t>
  </si>
  <si>
    <t>***EU GOL.WP.TYL.VAC OK8KG PJ TESC</t>
  </si>
  <si>
    <t>***EU GOL.TYL.2STVAC OK10KGKT MAKR</t>
  </si>
  <si>
    <t>***EU GOL.WP.TYL.2STVAC OK5KGKT MOR</t>
  </si>
  <si>
    <t>***EU GOL.TYL.11231 LUZ PJ HILT</t>
  </si>
  <si>
    <t>***GOLONKA TYLNA UŚR CH</t>
  </si>
  <si>
    <t>***GOLONKA TYLNA B/K.Z/SK CH</t>
  </si>
  <si>
    <t>PL ŚRODEK B WP.Z/K.CH</t>
  </si>
  <si>
    <t>PL ŚRODEK B WP.Z/K.LUZ OKT MR</t>
  </si>
  <si>
    <t>PL ŚRODEK B/P.KLB PBX ST</t>
  </si>
  <si>
    <t>***PL ŚRODEK WP Z/K LUZ WOR 1ST PJ</t>
  </si>
  <si>
    <t>PL ŚRODEK B WP.Z/K.LUZ OKT DMR</t>
  </si>
  <si>
    <t>PL ŚRODEK B WP.Z/K.LUZ OKT RO</t>
  </si>
  <si>
    <t>EU ŚRODEK B WP.Z/K.CH</t>
  </si>
  <si>
    <t>***EU ŚRODEK WP.Z/K LUZ WOR 1ST PJ</t>
  </si>
  <si>
    <t>***PL ŚRODEK WP. Z/K. USR</t>
  </si>
  <si>
    <t>***EU ŚRODEK WP. Z/K. USR</t>
  </si>
  <si>
    <t>***PL GOL.TYL.Z/M.BRZUCH.OK15KG PJ MR ST</t>
  </si>
  <si>
    <t>***PL GOL.TYL.1STMAP OK7KGKT SEL</t>
  </si>
  <si>
    <t>***PL GOL.TYL.Z/M.BRZUCH.OK15KG PJ DMR</t>
  </si>
  <si>
    <t>***EU GOL.TYL.Z/M.BRZUCH.PBX CH</t>
  </si>
  <si>
    <t>***NOGI PRZEDNIE CH</t>
  </si>
  <si>
    <t>***NOGI WP.KRÓTKIE LUZ KAR</t>
  </si>
  <si>
    <t>***NOGI WP.PRZEDNIE WOR OK 2KG OK10KG KT</t>
  </si>
  <si>
    <t>***NOGI WP.PRZED.WOR OK2KG PJ EC</t>
  </si>
  <si>
    <t>***NOGI WP.KRÓTKIE MR EX PL</t>
  </si>
  <si>
    <t>PL NOGA PRZED.10KG KT MR EX</t>
  </si>
  <si>
    <t>***NOGI WP.KRÓTKIE MR CH</t>
  </si>
  <si>
    <t>***NOGI WP.PRZED.6STMAP OK8KGKT SEL</t>
  </si>
  <si>
    <t>***NOGI WP.PRZED.OK2.5KGVAC OK5KGKT</t>
  </si>
  <si>
    <t>***NOGI WP.PRZED.2ST TRM OK7KG PJ TESC</t>
  </si>
  <si>
    <t>PL NOGA WP.PRZED.OK20KGWOR PJ</t>
  </si>
  <si>
    <t>***NOGI WP.PRZED.LUZ H KL.S.E.U</t>
  </si>
  <si>
    <t>PL NOGA PRZED.OK600KG OKT EX</t>
  </si>
  <si>
    <t>PL NOGA PRZED.PBX</t>
  </si>
  <si>
    <t>***NOGI WP.KRÓTKIE PRZ.</t>
  </si>
  <si>
    <t>***NOGI WP.PRZED.PL OK20KG KT DMR EX</t>
  </si>
  <si>
    <t>PL NOGA PRZED.10KG KT DMR EX</t>
  </si>
  <si>
    <t>***NOGI PRZEDNIE PL OK 20KG KT DMR CH</t>
  </si>
  <si>
    <t>***NOGI WP.PRZED.OK15KG KT DMR KOR</t>
  </si>
  <si>
    <t>NOGA PRZED.USR</t>
  </si>
  <si>
    <t>PP NOGA WP.PRZED.CH</t>
  </si>
  <si>
    <t>CZ NOGA WP.PRZED.CH</t>
  </si>
  <si>
    <t>CZ NOGA WP.PRZED.20KGWOR KT MR EX</t>
  </si>
  <si>
    <t>CZ NOGA WP.PRZED.20KGWOR KT DMR EX</t>
  </si>
  <si>
    <t>***NOGI PRZEDNIE PL UŚR</t>
  </si>
  <si>
    <t>PP NOGA WP.PRZED.USR</t>
  </si>
  <si>
    <t>***NOGI WP.DŁUGIE</t>
  </si>
  <si>
    <t>KOLANKO OD NOGI CH</t>
  </si>
  <si>
    <t>***KOLANKO OD NOGI WP.LUZ KT</t>
  </si>
  <si>
    <t>KOLANKO WP.10KGWOR KT MR EX</t>
  </si>
  <si>
    <t>PL KOLANKO WP.10KGWOR KT DMR</t>
  </si>
  <si>
    <t>KOLANKO OD NOGI USR CH</t>
  </si>
  <si>
    <t>***NOGI WP. LUZ PJ CH -MAT.KAT.3</t>
  </si>
  <si>
    <t>***GŁOWA WP. LUZ KARTON</t>
  </si>
  <si>
    <t>***GŁOWA WP.CIĘ.B/USZU OKT MR</t>
  </si>
  <si>
    <t>***GŁOWA WP.CIĘ.B/USZU LUZ POJ</t>
  </si>
  <si>
    <t>***GŁOWA WP.CIĘ.B/USZU LUZ OK15KGWOR PJ</t>
  </si>
  <si>
    <t>***GŁOWA WP. LUZ OKTABINA MR</t>
  </si>
  <si>
    <t>GŁOWA CH ZAK</t>
  </si>
  <si>
    <t>***GŁOWA WP.CIĘ.B/USZU OKT DMR</t>
  </si>
  <si>
    <t>***GŁOWA WP. LUZ OKTABINA DMR</t>
  </si>
  <si>
    <t>***GŁOWA WP.CIĘTA B/USZU OK.12KG KT RO</t>
  </si>
  <si>
    <t>***GŁOWA WP.CIĘTA B/USZU CH PL</t>
  </si>
  <si>
    <t>***GŁOWA WP. CIĘTA B/USZU CH PL USR</t>
  </si>
  <si>
    <t>NOGA PRZED.KLB PBX</t>
  </si>
  <si>
    <t>***PL NOGI WP.PRZED.KL2 20KGWOR KT MR EX</t>
  </si>
  <si>
    <t>NOGA PRZED.KLB OK20KGWOR PJ ST</t>
  </si>
  <si>
    <t>PL NOGA PRZED.KLB OK600KG OKT EX</t>
  </si>
  <si>
    <t>***PL NOGI WP.PRZED.KL2 20KGWORKT DMR EX</t>
  </si>
  <si>
    <t>NOGA PRZED.KLB USR</t>
  </si>
  <si>
    <t>PL USZY WP.KLA 10KGWOR KT MR EX</t>
  </si>
  <si>
    <t>***USZY WP.KLA 10KG KT MR EX</t>
  </si>
  <si>
    <t>***USZY WP.10KG KT MR EX</t>
  </si>
  <si>
    <t>PL USZY WP.KLA 10KGWOR KT DMR EX</t>
  </si>
  <si>
    <t>***USZY WP.KLA 10KG KT DMR EX</t>
  </si>
  <si>
    <t>***USZY WP.10KG KT DMR EX</t>
  </si>
  <si>
    <t>***USZY WP.KLA RO1</t>
  </si>
  <si>
    <t>***USZY WP.CH2</t>
  </si>
  <si>
    <t>***USZY WP.KLA RO2</t>
  </si>
  <si>
    <t>EU USZY WP.CH</t>
  </si>
  <si>
    <t>EU USZY WP.KL A 10KGWOR KT MR EX</t>
  </si>
  <si>
    <t>EU USZY WP.KLA 10KGWOR KT DMR EX</t>
  </si>
  <si>
    <t>CZ USZY WP.CH</t>
  </si>
  <si>
    <t>CZ USZY WP.KLA 10KGWOR KT MR EX</t>
  </si>
  <si>
    <t>CZ USZY WP.KLA 10KGWOR KT DMR EX</t>
  </si>
  <si>
    <t>***USZY PL UŚR</t>
  </si>
  <si>
    <t>OGON Z/CZ.K.OG.10CM CH</t>
  </si>
  <si>
    <t>PL OGON Z/CZ.K.OG.10CM 15KGWOR KT MR EX</t>
  </si>
  <si>
    <t>PL OGON Z/CZ.K.OG.10CM 15KGWOR KT DMR</t>
  </si>
  <si>
    <t>EU OGON Z/CZ.K.OG.10CM CH</t>
  </si>
  <si>
    <t>EU OGON Z/CZ.K.OG.10CM 15KGWOR KT MR EX</t>
  </si>
  <si>
    <t>EU OGON Z/CZ.K.OG.10CM 15KGWOR KT DMR</t>
  </si>
  <si>
    <t>OGON Z/CZ.K.OG.10CM USR</t>
  </si>
  <si>
    <t>OGON Z/CZ.K.OG.10CM PBX</t>
  </si>
  <si>
    <t>EU OGON Z/CZ.K.OG.10CM USR</t>
  </si>
  <si>
    <t>PL OGON OK15KGWOR KT</t>
  </si>
  <si>
    <t>***OGON WP. WOR OK2KG OK10KG KT</t>
  </si>
  <si>
    <t>***OGON WP.WOR OK2KG PJ EC</t>
  </si>
  <si>
    <t>***OGON WP.OK2.5KG WOR OK5KG KT</t>
  </si>
  <si>
    <t>***OGON WP.OK15KGWOR KT ST</t>
  </si>
  <si>
    <t>***OGON WP.OK15KGWOR KT</t>
  </si>
  <si>
    <t>PL OGON 15KGWOR KT MR EX</t>
  </si>
  <si>
    <t>PL OGON 10KGWOR KT MR EX</t>
  </si>
  <si>
    <t>Rabo de Porco com Osso Congelado</t>
  </si>
  <si>
    <t>***OGON WP.OK15KGWOR KT MR EX</t>
  </si>
  <si>
    <t>***OGON WP.OK2KGROL OK12KGPJ ECS</t>
  </si>
  <si>
    <t>***OGON WP.OK2KGRMM OK4KGKT</t>
  </si>
  <si>
    <t>PL OGON 15KGWOR KT DMR EX</t>
  </si>
  <si>
    <t>PL OGON 10KGWOR KT DMR EX</t>
  </si>
  <si>
    <t>***OGON WP.15KGWOR KT DMR EX</t>
  </si>
  <si>
    <t>EU OGON CH</t>
  </si>
  <si>
    <t>EU OGON 15KGWOR KT MR EX</t>
  </si>
  <si>
    <t>EU OGON 10KGWOR KT MR EX</t>
  </si>
  <si>
    <t>EU OGON 15KGWOR KT DMR EX</t>
  </si>
  <si>
    <t>EU OGON 10KGWOR KT DMR EX</t>
  </si>
  <si>
    <t>CZ OGON CH</t>
  </si>
  <si>
    <t>CZ OGON 15KGWOR KT MR EX</t>
  </si>
  <si>
    <t>CZ OGON 15KGWOR KT DMR EX</t>
  </si>
  <si>
    <t>EU OGON USR</t>
  </si>
  <si>
    <t>EU M-SO Z/K.KOTL.CH</t>
  </si>
  <si>
    <t>***EU M-SO Z/K.KOTLETOWE MAP</t>
  </si>
  <si>
    <t>***M-SO WP KOTLETOWE Z/K LUZ OK. 15KG PJ</t>
  </si>
  <si>
    <t>PL NOGA TYL.KR.10KGWOR KT MR</t>
  </si>
  <si>
    <t>***M-Ń CZTEROGŁOWY N/OBR CH BIED</t>
  </si>
  <si>
    <t>***PL SZYN.WP.KULKA MAP OK800G B</t>
  </si>
  <si>
    <t>***PL SZYN.KULKA MAP K</t>
  </si>
  <si>
    <t>***PL SZYN.KULKA MAP MAKR</t>
  </si>
  <si>
    <t>***PL SZYN.KULKA MAP STO</t>
  </si>
  <si>
    <t>***PL SZYN.KULKA PC OK800G PACZKA TESC</t>
  </si>
  <si>
    <t>***PL SZYN.KUL.OK0.8KG MAP TESC</t>
  </si>
  <si>
    <t>***M-Ń SZYN.ODBŁ.CIEM.OK15KGWR PJCH EŁPL</t>
  </si>
  <si>
    <t>***EU SZYN.KULKA MAP K</t>
  </si>
  <si>
    <t>***EU SZYN.KULKA MAP MAKR</t>
  </si>
  <si>
    <t>***EU SZYN.KULKA MAP STO</t>
  </si>
  <si>
    <t>***EU SZYN.KULKA PC OK800G PACZKA TESCO</t>
  </si>
  <si>
    <t>***EU SZYN.KULKA OK1KG MAP 6KG KT LIDL</t>
  </si>
  <si>
    <t>***EU SZYN.KUL.OK0.8KG MAP TESCO</t>
  </si>
  <si>
    <t>PL OGON Z/K.KRZ.10KGWOR KT MR EX</t>
  </si>
  <si>
    <t>PL OGON Z/K.KRZ.MAX4KGMAP MAX20KGPJ POLM</t>
  </si>
  <si>
    <t>PL OGON Z/K.KRZ.OK2KGMAP OK12KGPJ ES</t>
  </si>
  <si>
    <t>PL OGON Z/K.KRZ.OK4KGMAP OK12KGKT</t>
  </si>
  <si>
    <t>PL OGON Z/K.KRZ.OK2.5KGMAP 4STPJ STO</t>
  </si>
  <si>
    <t>PL OGON Z/K.KRZ.10KGWOR KT DMR EX</t>
  </si>
  <si>
    <t>***NOGI WP.TYLNE KRÓTKIE CIĘTE MR CH</t>
  </si>
  <si>
    <t>***NOGI WP.TYLNE KRÓTKO CIĘTE EXP.M</t>
  </si>
  <si>
    <t>***NOGI TYLNE KR.CIĘTE OK15KGKT DMR CHIN</t>
  </si>
  <si>
    <t>***NOGI TYLNE KR.CIĘTE OK15KG KT DMR EXP</t>
  </si>
  <si>
    <t>***NOGI TYLNE KRÓTKO CIĘTE PL</t>
  </si>
  <si>
    <t>***NOGI TYLNE KRÓTKO CIĘTE PL UŚR</t>
  </si>
  <si>
    <t>***SKÓRKI WP.B/TŁ.OK15KG CH KT</t>
  </si>
  <si>
    <t>***SKÓRKI WP.B/TŁ.PB MR ST</t>
  </si>
  <si>
    <t>***SKÓRKI WP.EX</t>
  </si>
  <si>
    <t>***SKÓRKI WP.B/TŁ.OK15KG PJ CH ST</t>
  </si>
  <si>
    <t>***SKÓRKI WP.B/TŁ.OK15KG PJ WOR CH</t>
  </si>
  <si>
    <t>***SKÓRKI Z/TŁ.PB</t>
  </si>
  <si>
    <t>***SKÓRKI WP.B/TŁ.PBX ST</t>
  </si>
  <si>
    <t>***SKÓRKI WP.B/TŁ. OKTABINA ST</t>
  </si>
  <si>
    <t>***SKÓRKI WP.B/TŁ.OK500KG PBX K4 ZAK</t>
  </si>
  <si>
    <t>***SKORKI PB DMR</t>
  </si>
  <si>
    <t>***SKÓRKI WP.B/TŁ. PB DMR EX</t>
  </si>
  <si>
    <t>***SKORKI Z TŁ. PB DMR</t>
  </si>
  <si>
    <t>PP SKÓRY Z SZYN.OK20KG NB MR ST</t>
  </si>
  <si>
    <t>PP SKÓRY B/TŁ.USR</t>
  </si>
  <si>
    <t>PP SKÓRY B/TŁ.OK20KG NB DMR</t>
  </si>
  <si>
    <t>***SKÓRKI Z TŁ.OK15KG PJ CH ST</t>
  </si>
  <si>
    <t>***SKÓRKI WP.Z/TŁ.OK15KG PJ CH ST</t>
  </si>
  <si>
    <t>SKÓRY Z TŁ.OK20KG NB DMR</t>
  </si>
  <si>
    <t xml:space="preserve">***SKÓRKI WP.GRZBIETOWE 15KG KT MR </t>
  </si>
  <si>
    <t>***SKÓRKI WP.GRZBIETOWE15KG KT DMR CHINY</t>
  </si>
  <si>
    <t>***SKÓRKI WP.GRZBIETOWE B/TŁ.CH PL</t>
  </si>
  <si>
    <t>***SKÓRKI WP.GRZBIETOWE B/TŁ.CH PL USR</t>
  </si>
  <si>
    <t>PRZODEK MAC.CH</t>
  </si>
  <si>
    <t>PRZODEK Z/GOL. MDP CH</t>
  </si>
  <si>
    <t>PRZODEK Z/GOL.CH</t>
  </si>
  <si>
    <t>PRZODEK Z/GOL.LUZ OKT MR</t>
  </si>
  <si>
    <t>PL PRZODEK Z/GOL.OK500KG PBX ST</t>
  </si>
  <si>
    <t>***PL PRZODEK Z/GOL. LUZ WOR 1ST PJ</t>
  </si>
  <si>
    <t>***PL PRZODEK Z/GOL.LUZ OKT CH ST</t>
  </si>
  <si>
    <t>***PRZODEK WP. KL.E OKT CH</t>
  </si>
  <si>
    <t>***PRZODEK WP.Z/GOL.OK500KG PBX K4 ZAK</t>
  </si>
  <si>
    <t>***PRZODEK WP. KL.E OKT CH SZ</t>
  </si>
  <si>
    <t>PRZODEK Z/GOL.OK600KG OKT SZ</t>
  </si>
  <si>
    <t>PL PRZODEK OK650KG OKT K4</t>
  </si>
  <si>
    <t>PRZODEK Z/GOL.OK500KG OKT ZAK</t>
  </si>
  <si>
    <t>PL PRZODEK PBX K4</t>
  </si>
  <si>
    <t>PRZODEK Z/GOL.LUZ OKT DMR</t>
  </si>
  <si>
    <t>PRZODEK Z/GOL.LUZ OKT RO</t>
  </si>
  <si>
    <t>***EU PRZODEK Z/GOL. LUZ WOR 1ST PJ</t>
  </si>
  <si>
    <t>***EU PRZODEK Z /GOL.LUZ OKT CH ST</t>
  </si>
  <si>
    <t>PL PRZODEK Z/GOL. USR</t>
  </si>
  <si>
    <t>***EU PRZODEK Z/GOL. USR</t>
  </si>
  <si>
    <t>PRZODEK Z/GOL.B/PODG.OK6ST HAK ZAK</t>
  </si>
  <si>
    <t>***PRZODEK Z/GOL.KL.R CH</t>
  </si>
  <si>
    <t>***SZYNKA KL.E Z/K/SK LUZ PJ CH ST</t>
  </si>
  <si>
    <t>***M-Ń CZTEROGŁOWY N/OBR KL.E NB MR</t>
  </si>
  <si>
    <t>***M-Ń CZTEROGŁOWY N/OBR KL.E NB DMR</t>
  </si>
  <si>
    <t>***M-Ń CZTEROGŁOWYN/OBR11000HILTON KLU C</t>
  </si>
  <si>
    <t>***M-Ń CZTEROGŁOWY N/OBR KL.R CH</t>
  </si>
  <si>
    <t>***SZYNKA KL.E LUZ PJ CH ST</t>
  </si>
  <si>
    <t>***PRZODEK Z/GOL.KL.S CH</t>
  </si>
  <si>
    <t>POLICZEK ZEW.CH1</t>
  </si>
  <si>
    <t>POLICZEK ZEW.OK20KG NB MR ST</t>
  </si>
  <si>
    <t>POLICZEK ZEW.OK20KG PB MR EX</t>
  </si>
  <si>
    <t>***PL POLICZEK ZEW.OK1KGVACOK4KGKTMAKR</t>
  </si>
  <si>
    <t>POLICZEK ZEW.OK5KGVAC OK20KGKT MR EX</t>
  </si>
  <si>
    <t>POLICZEK ZEW.OK1.5-2KGVAC OK20KGKT MR EX</t>
  </si>
  <si>
    <t>PL POLICZEK ZEW.OK1.5-2KGVAC OK20KGKT</t>
  </si>
  <si>
    <t>PL POLICZEK ZEW.OK1KGVAC OK12KGPJ ECS</t>
  </si>
  <si>
    <t>PL POLICZEK ZEW.OK1KGVAC OK10KGKT POLM</t>
  </si>
  <si>
    <t>POLICZEK ZEW.MAC.OK1.5KGVACOK20KGKTMR EX</t>
  </si>
  <si>
    <t>PL POLICZEK ZEW.MAC.OK1.5KGVAC OK20KGKT</t>
  </si>
  <si>
    <t>***POLICZEK ZEW.WP.5KG TRM OK.15KG KT EX</t>
  </si>
  <si>
    <t>***POLICZEK ZEW.5KG TRM 15KG KT MR EX</t>
  </si>
  <si>
    <t>***POLICZEK ZEW.WP.5KGTRM 15KGKT MR DAN</t>
  </si>
  <si>
    <t>***POLICZEK ZEW.1KGVAC 10KGKT MR EX</t>
  </si>
  <si>
    <t>***POLICZEK ZEW.1KG VAC 10KG KT MR EX</t>
  </si>
  <si>
    <t>***POLICZEK ZEW.OK1KGVAC 10KGKT MR EX</t>
  </si>
  <si>
    <t>POLICZEK ZEW.OK20KGLUZ PJ ST</t>
  </si>
  <si>
    <t>PL POLICZEK ZEW.OK20KGWOR PJ</t>
  </si>
  <si>
    <t>PL POLICZEK ZEW.MAC.OK20KGWOR PJ</t>
  </si>
  <si>
    <t>***POLICZKI CH ZAK</t>
  </si>
  <si>
    <t>EU POLICZKI WP.OK15KGLUZ PJ SZ</t>
  </si>
  <si>
    <t>POLICZEK ZEW.OK20KG NB DMR</t>
  </si>
  <si>
    <t>POLICZEK ZEW.OK20KG PB DMR</t>
  </si>
  <si>
    <t>POLICZEK ZEW.OK5KGVAC OK20KGKT DMR</t>
  </si>
  <si>
    <t>POLICZEK ZEW.OK1.5-2KGVAC OK20KGKT DMR</t>
  </si>
  <si>
    <t>POLICZEK ZEW.MAC.OK1.5KGVAC OK20KGKT DMR</t>
  </si>
  <si>
    <t>***POLICZEK ZEW.5KG VAC 15KG KT DMR EX</t>
  </si>
  <si>
    <t>***POLICZEK ZEW.5KG VAC 15KG KT DMR DAN</t>
  </si>
  <si>
    <t>***POLICZEK ZEW.1KG VAC 10KG KT DMR EX</t>
  </si>
  <si>
    <t>***POLICZEK ZEW.OK1KGVAC10KGKT DMR EX</t>
  </si>
  <si>
    <t>***POLICZEK ZEW.WP.RO1</t>
  </si>
  <si>
    <t>POLICZEK ZEW.CH2</t>
  </si>
  <si>
    <t>***POLICZEK ZEW.WP.RO2</t>
  </si>
  <si>
    <t>POLICZEK WEW.WP.CH1</t>
  </si>
  <si>
    <t>***PL POLICZEK WEW.OK1KGVACOK4KGKTMAKR</t>
  </si>
  <si>
    <t>***PL POLICZEK WEW.OK5KGVACOK15KGKTMR EX</t>
  </si>
  <si>
    <t>***PL POLICZEK WEW.OK5KGVAC OK15KGKT DMR</t>
  </si>
  <si>
    <t>POLICZEK WEW.WP.CH2</t>
  </si>
  <si>
    <t>***M-SO WP.TŁUSTE Z GŁÓW</t>
  </si>
  <si>
    <t>PL M-SO MIEL.Z/ŁOP.</t>
  </si>
  <si>
    <t>***EU M-SO MIEL.Z ŁOP.500G MAP</t>
  </si>
  <si>
    <t>***EU M-SO MIEL.Z ŁOP.500G MAP6KGKTPOLP</t>
  </si>
  <si>
    <t>***EU M-SO MIEL.Z ŁOP.500GMAP 6STKT KAUF</t>
  </si>
  <si>
    <t>***EU M-SO MIEL.Z ŁOP.500G MAP CARR</t>
  </si>
  <si>
    <t>M-SO MIELONE Z ŁOP. 750G MAP M</t>
  </si>
  <si>
    <t>***EU M-SO MIEL.Z ŁOP.500G MAP3KGKTMAKR</t>
  </si>
  <si>
    <t>EU M-SO MIEL.Z ŁOP.600G MAP 3.6KG KT</t>
  </si>
  <si>
    <t>***EU M-SO MIEL.Z ŁOP.500GMAP4KGKT KAUF</t>
  </si>
  <si>
    <t>***PL M-SO MIEL.Z ŁOP.500GMAP6KGKTMOR EX</t>
  </si>
  <si>
    <t>***M-SO MIEL.Z ŁOP.500G 3KG KT JMP</t>
  </si>
  <si>
    <t>5901784157056</t>
  </si>
  <si>
    <t>***PL M-SO MIEL.Z ŁOP.1KGMAP 8KGKT LIDL</t>
  </si>
  <si>
    <t>***PL M-SO MIEL.Z ŁOP.1KGMAP 8KGKT POLM</t>
  </si>
  <si>
    <t>5904634007129</t>
  </si>
  <si>
    <t>***EU M-SO MIEL.Z ŁOP.750G MAP STO</t>
  </si>
  <si>
    <t>***PL M-SO MIEL.Z ŁOP.500GMAP 3KGKTMOREX</t>
  </si>
  <si>
    <t>590178415360</t>
  </si>
  <si>
    <t>***M-SOMIEL.ZŁOP. 500GMAP 3KGKT LIDL CZ</t>
  </si>
  <si>
    <t>***M-SO MIEL.Z ŁOP.500G MAP 6KG KT LIDL</t>
  </si>
  <si>
    <t>***PL M-SO MM Z ŁOP.500GMAP 6KGKT LIDLLT</t>
  </si>
  <si>
    <t>***EU M-SO MIEL.Z ŁOP.500G MAP LIDL</t>
  </si>
  <si>
    <t>***M-SO MIEL.Z ŁOP.500GMAP 3KGKT LIDLSŁO</t>
  </si>
  <si>
    <t>***PL M-SO MIELZ/ŁOP575G MAP3.45KG KT ME</t>
  </si>
  <si>
    <t>***EU M-SO MIEL.Z ŁOP.500G MAP KAUF BL</t>
  </si>
  <si>
    <t>***EU M-SO MIEL.Z/ŁOP.</t>
  </si>
  <si>
    <t>PL M-SO MIEL.Z/SZYN.</t>
  </si>
  <si>
    <t>***EU M-SO MIEL.Z SZYN.500G MAP4KGKTKAUF</t>
  </si>
  <si>
    <t>***EU M-SO MIEL.ZSZYN.500GMAP6KG KT POLP</t>
  </si>
  <si>
    <t>***PL M-SO WP.MIEL.Z SZYN.500G MAP</t>
  </si>
  <si>
    <t>5901784153997</t>
  </si>
  <si>
    <t>***EU M-SO MIEL.Z SZYN.500GMAP6STKT KAUF</t>
  </si>
  <si>
    <t>***EU M-SO MIEL.Z SZYN.500G MAP CARR</t>
  </si>
  <si>
    <t>***EU M-SO MIEL.Z SZYN.500GMAP 12STKTECS</t>
  </si>
  <si>
    <t>***M-SO WP.MIEL.Z/SZYN.500GMAP6KGKT M.E.</t>
  </si>
  <si>
    <t>***M-SO WP.MIEL.Z/SZYN.500GMAP 3KGKTAUCH</t>
  </si>
  <si>
    <t>***EU M-SO MIEL.Z SZYN.500G MAP6KG KT LI</t>
  </si>
  <si>
    <t>***M-SO WP.MIEL.Z SZYN.500GMAP 3KGKTJMP</t>
  </si>
  <si>
    <t>***PL M-SO MIEL.Z SZYN.1KGMAP 8KGKT LIDL</t>
  </si>
  <si>
    <t>***PL M-SO MIEL.Z SZYN.1KGMAP 8KGKTPOLM</t>
  </si>
  <si>
    <t>5904634006139</t>
  </si>
  <si>
    <t>***EU M-SO MIEL.Z SZYN.750G MAP STO</t>
  </si>
  <si>
    <t>***PL M-SO MM Z SZYN.500GMAP6KGKTLIDLLT</t>
  </si>
  <si>
    <t>***PL M-SO MIEL.Z SZYN.500G+10% GRAJMD</t>
  </si>
  <si>
    <t>***EU M-SO MIEL.Z SZYN.500G MAP BT</t>
  </si>
  <si>
    <t>***EU M-SO MIEL.Z SZYN.500GMAP 6KG KT LI</t>
  </si>
  <si>
    <t>***M-SO WP.MIEL.Z/SZYN.500G 3KG KT ME</t>
  </si>
  <si>
    <t>***PL M-SOMIEL.Z/SZYN575GMAP3.45KG KT ME</t>
  </si>
  <si>
    <t>***EU M-SO MIEL.Z/SZYN625 MAP6ST KT KAUF</t>
  </si>
  <si>
    <t>***EU M-SO MIEL.Z/SZYN.625GMAP 6ST KT ME</t>
  </si>
  <si>
    <t>***EU M-SO MIEL.Z SZYN.500G MAP KAUF BL</t>
  </si>
  <si>
    <t>***EU M-SO MIEL.Z/SZYN.</t>
  </si>
  <si>
    <t>***EU M-SO WP.MIELONE Z SZYN.500G MAP</t>
  </si>
  <si>
    <t>***M-SO WP.MIEL.Z/ŁOP.</t>
  </si>
  <si>
    <t>***M-SO WP.MIELONE Z/ŁOP.500GMAP 12ST KT</t>
  </si>
  <si>
    <t>***PL BOCZ.BLAT.WĄS.Z/SK.GRILL KROJ.CH</t>
  </si>
  <si>
    <t>***EU BOCZ.BLAT.WĄS.Z/SK.GRILL KROJ.CH</t>
  </si>
  <si>
    <t>***M-SO MIEL.WP.-WOŁ. 80/20</t>
  </si>
  <si>
    <t>***M-SO MIEL.WP.-WOŁ. 70/30</t>
  </si>
  <si>
    <t>***PRZEPONA WP.NB MR</t>
  </si>
  <si>
    <t>***M-SO WP-PRZEPONA OK15KG WOR PJ CH EŁ</t>
  </si>
  <si>
    <t>***PRZEPONA WP. NB DMR</t>
  </si>
  <si>
    <t>***PRZEPONA WP.NB RO</t>
  </si>
  <si>
    <t>PRZEPONA CP</t>
  </si>
  <si>
    <t>PRZEPONA KL2 CH1</t>
  </si>
  <si>
    <t>PRZEPONA KL2 OK20KG NB MR ST</t>
  </si>
  <si>
    <t>PRZEPONA KL2 LUZ PJ ST</t>
  </si>
  <si>
    <t>***PL PRZEPONA OK20KG PB MR ŻST K4 ZAK</t>
  </si>
  <si>
    <t>PL PRZEPONA OK20KG NB MR K4</t>
  </si>
  <si>
    <t>PRZEPONA KL2 NB DMR</t>
  </si>
  <si>
    <t>PRZEPONA KL2 NB RO1</t>
  </si>
  <si>
    <t>PRZEPONA KL2 CH2</t>
  </si>
  <si>
    <t>PRZEPONA KL2 NB RO2</t>
  </si>
  <si>
    <t>PP PRZEPONA KL2 OK20KG NB MR ST</t>
  </si>
  <si>
    <t>PP M-SO WP.PRZEP.OK15KG NB DMR</t>
  </si>
  <si>
    <t>PP M-SO WP.-PRZEP.RO1</t>
  </si>
  <si>
    <t>PP PRZEPONA KL2 CH2</t>
  </si>
  <si>
    <t>PP M-SO WP.-PRZEP.RO2</t>
  </si>
  <si>
    <t>PRZEPONA KL2 ROZP1</t>
  </si>
  <si>
    <t>PRZEPONA KL2 ROZP2</t>
  </si>
  <si>
    <t>***EU ŁOP.3D PBX CH1</t>
  </si>
  <si>
    <t>***EU ŁOP.3D PBX CH2</t>
  </si>
  <si>
    <t>PP ŁOP.3D PBX CH1</t>
  </si>
  <si>
    <t>PP ŁOP.3D PBX CH2</t>
  </si>
  <si>
    <t>***PL ŁOP.3D KAW.OK500KG PBX CH</t>
  </si>
  <si>
    <t>***EU ŁOP.3D KAW.OK500KG PBX CH</t>
  </si>
  <si>
    <t>***EU ŁOP.3D OK1KGVAC OK12KGKT EX</t>
  </si>
  <si>
    <t>***POLEDWICZKA B/GŁ/WARK  KL.S CH</t>
  </si>
  <si>
    <t>***PL POL.B/GŁ/WAR.PBX CH</t>
  </si>
  <si>
    <t>***EU POL.B/GŁ/WAR.PBX CH</t>
  </si>
  <si>
    <t>***POLEDWICZKA B/GŁ/WARK KL.U CH</t>
  </si>
  <si>
    <t>***POLEDWICZKA B/GŁ/WARK KL.R CH</t>
  </si>
  <si>
    <t>***EU ŁOP.2D PBX CH1</t>
  </si>
  <si>
    <t>***EU ŁOP.2D PBX CH2</t>
  </si>
  <si>
    <t>***EU POL.N/OBR.MDP CH</t>
  </si>
  <si>
    <t>***EU POL.N/OBR.CH</t>
  </si>
  <si>
    <t>***EU POL.Z/GŁ.B/WAR.PBX CH1</t>
  </si>
  <si>
    <t>***EU POL.Z/GŁ.B/WAR.PBX CH2</t>
  </si>
  <si>
    <t>***POLĘDWICZKA Z/GŁ B/WARK  KL.U CH PL</t>
  </si>
  <si>
    <t>***POLĘDWICZKA Z/GŁ.B/WARK KL.R CH</t>
  </si>
  <si>
    <t>***POLĘDWICZKA Z/GŁ.B/WARK KL.S CH</t>
  </si>
  <si>
    <t>***POLĘDWICZKA Z/GŁ B/WARK KL.S CH PL</t>
  </si>
  <si>
    <t>***PL PODG.Z/S.OK2.5KGVAC OK10KGKT</t>
  </si>
  <si>
    <t>***EU PODGARDLE Z/SK.LUZ KT CH</t>
  </si>
  <si>
    <t>***EU PODG.Z/S.OK2.5KGVAC OK10KGKT</t>
  </si>
  <si>
    <t>***PODGARDLE Z/SK.OBR USR CH</t>
  </si>
  <si>
    <t>***PODGARDLE B/SK PB MR ST</t>
  </si>
  <si>
    <t>***PL PODG.WP.B/SK.20CM NB MR ST</t>
  </si>
  <si>
    <t>***PL PODG.B/S.LUZ OK10KG KT</t>
  </si>
  <si>
    <t>***PL PODG.WP.B/SK.WOR OK2KG PJ EC</t>
  </si>
  <si>
    <t>***PODGARDLE B/SK. OK.15KG WOR MR ST</t>
  </si>
  <si>
    <t>***PL PODG.WP.B/SK.LUZ OK15KG KT MR EX</t>
  </si>
  <si>
    <t>***PL PODG.B/S.OK2.5KGVAC OK5KGKT</t>
  </si>
  <si>
    <t>***PL PODG.B/SK.OK2KGVAC OK6KG PJ TESC</t>
  </si>
  <si>
    <t>***PODGARDLE WP.B/SK WOR PJ ST</t>
  </si>
  <si>
    <t>***PL PODG.B/S.LUZ PJ HILT</t>
  </si>
  <si>
    <t>***PODGARDLE WP.B/SK OKTABINA ST</t>
  </si>
  <si>
    <t>***PODGARDLE B/SK  NB DMR</t>
  </si>
  <si>
    <t>***PL PODG.WP.B/SK.20CM NB DMR</t>
  </si>
  <si>
    <t>***PL PODGARDLE B/SK.KT DMR</t>
  </si>
  <si>
    <t>***PL PODG.WP.B/SK.LUZ OK15KG KT DMR</t>
  </si>
  <si>
    <t>***PODGARDLE B/SK OK 15KG WOR RO</t>
  </si>
  <si>
    <t>***EU PODG.WP.B/SK.20CM NB MR ST</t>
  </si>
  <si>
    <t>***EU PODG.B/S.LUZ KT</t>
  </si>
  <si>
    <t>***EU PODG.B/S.LUZ OK10KG KT</t>
  </si>
  <si>
    <t>***EU PODG.WP.B/SK.WOR OK2KG PJ EC</t>
  </si>
  <si>
    <t>***EU PODG.WP.B/SK.LUZ OK15KG KT MR EX</t>
  </si>
  <si>
    <t>***EU PODG.B/S.OK2.5KGVAC OK5KGKT</t>
  </si>
  <si>
    <t>***EU PODG.B/SK.OK2KGVAC OK 6KG PJ TESC</t>
  </si>
  <si>
    <t>***EU PODG.B/S.LUZ PJ HILT</t>
  </si>
  <si>
    <t>***EU PODG.WP.B/SK.20CM NB DMR</t>
  </si>
  <si>
    <t>***EU PODG.B/S.KT DMR</t>
  </si>
  <si>
    <t>***EU PODG.B/S.PB DMR</t>
  </si>
  <si>
    <t>***EU PODG.WP.B/SK.LUZ OK15KG KT DMR</t>
  </si>
  <si>
    <t>PODGARDLE B/SK USR CH</t>
  </si>
  <si>
    <t>***PL BOCZ.SZER.Z/Ż.PBX CH</t>
  </si>
  <si>
    <t>***EU BOCZ.SZER.Z/Ż.PBX CH</t>
  </si>
  <si>
    <t>Keep frozen</t>
  </si>
  <si>
    <t>***PL BOCZ.B BLAT.Z/S.1STVACOK12KGKTAUCH</t>
  </si>
  <si>
    <t>***PLBOCZ.B B/Ż.Z/S.OK1KGVACOK6KTLIDLCZ</t>
  </si>
  <si>
    <t>***PL BOCZ.A BL.Z/S.OK600KG PBX K4 ZAK</t>
  </si>
  <si>
    <t>***EU BOCZ.BC B/Ż/SK/CH/MP.PBX CH US</t>
  </si>
  <si>
    <t>***PL BOCZ.A B/Ż.Z/SK.NT/C.MR ST</t>
  </si>
  <si>
    <t>***PL BOCZ.A B/Ż.Z/SK.NT/C.DMR</t>
  </si>
  <si>
    <t>***PL BOCZ.A B/Ż.Z/SK.NT/C.RO1</t>
  </si>
  <si>
    <t>***PL BOCZ.A B/Ż.Z/SK.NT/C.RO2</t>
  </si>
  <si>
    <t>***EU BOCZ.A B/Ż.Z/SK.NT/C.PBX CH2</t>
  </si>
  <si>
    <t>***BOCZEK B/K Z/SK NAT.CIĘCIE KL.S CH</t>
  </si>
  <si>
    <t>***PL BOCZ.B B/Ż.Z/SK.1/2STVACOK12KGKTME</t>
  </si>
  <si>
    <t>***PL BOCZ.B B/Ż.Z/SK.1STVAC OK20KGPJ</t>
  </si>
  <si>
    <t>***EU BOCZ.B B/Ż.Z/SK.1/2STVACOK15KGKTPJ</t>
  </si>
  <si>
    <t>***EU BOCZ.B B/Ż.Z/SK.1STVAC OK20KGPJ</t>
  </si>
  <si>
    <t>***EU BOCZ.B B/Ż.Z/SK.1STVAC OK15KGKT ME</t>
  </si>
  <si>
    <t>***BOCZEK B/K Z/SK NAT.CIĘCIE KL.U CH</t>
  </si>
  <si>
    <t>***PL ŻEB.MOST.Z/CH.B/MP.10KGWORKT MR EX</t>
  </si>
  <si>
    <t>***PL ŻEB.MOST.Z/CH.B/MP.10KGWORKTDMR EX</t>
  </si>
  <si>
    <t>***EU ŻEB.MOST.Z/CH.B/MP. ...PBX CH</t>
  </si>
  <si>
    <t>***EU ŻEB.MOST.Z/CH.B/MP.10KGWORKT MR EX</t>
  </si>
  <si>
    <t>***EU ŻEB.MOST.Z/CH.B/MP.OK10KGWORKTMREX</t>
  </si>
  <si>
    <t>***EU ŻEB.MOST.Z/CH.B/MP.10KGWORKTDMR EX</t>
  </si>
  <si>
    <t>***PL ŻEB.MOST.Z/CH/MP.OK14KGWOR KT TESC</t>
  </si>
  <si>
    <t>***PL ŻEB.MOST.Z/CH/MP.OK10KGWORKT MR EX</t>
  </si>
  <si>
    <t>***PL ŻEB.MOST.Z/CH/MP.OK15KGWORKT MR EX</t>
  </si>
  <si>
    <t>***PL ŻEB.MOST.Z/CH/MP.OK5KGTRM OK15KGKT</t>
  </si>
  <si>
    <t>***PL ŻEB.MOST.TRÓJ.B/CH.2STVACOK8KGKTME</t>
  </si>
  <si>
    <t>***PL ŻEB.MOST.Z/CH/MP.OK10KGWOR KT DMR</t>
  </si>
  <si>
    <t>***PL ŻEB.MOST.Z/CH/MP.OK15KGWOR KT DMR</t>
  </si>
  <si>
    <t>***EU ŻEB.MOST.Z/CH/MP.OK14KGWOR KT TESC</t>
  </si>
  <si>
    <t>***EU ŻEB.MOST.Z/CH/MP.OK15KGWORKT MR EX</t>
  </si>
  <si>
    <t>***EU ŻEB.MOST.Z/CHRZ.OK5KGTRM OK15KG KT</t>
  </si>
  <si>
    <t>***EU ŻEB.MOST.Z/CH/MP.OK10KGWORKTDMR</t>
  </si>
  <si>
    <t>***PL ŻEB.SCH.510-600G OK20KGLUZKTMR EX</t>
  </si>
  <si>
    <t>90704051110055</t>
  </si>
  <si>
    <t>***PL ŻEB.SCH.SZER.510-600G KT DMR US</t>
  </si>
  <si>
    <t>***EU ŻEB.SCH.510-600G OK20KGLUZKT MR EX</t>
  </si>
  <si>
    <t>***EU ŻEB.SCH.SZER.510-600G KT DMR US</t>
  </si>
  <si>
    <t>***ŻEBERKA WP.MOSTKI-KOREA STD MR EXP</t>
  </si>
  <si>
    <t>***PL ŻEB.SCH.SZER.&lt;665G MR</t>
  </si>
  <si>
    <t>***PL ŻEB.SCH.SZER.&lt;665G OK20KG KT DMR</t>
  </si>
  <si>
    <t>***EU ŻEB.SCH.SZER.&lt;665G MR</t>
  </si>
  <si>
    <t>***EU ŻEB.SCH.SZER.&lt;665G OK20KG KT DMR</t>
  </si>
  <si>
    <t>***PL ŻEB.SCH.SZER.&gt;665G PBX CH</t>
  </si>
  <si>
    <t>***PL ŻEB.SCH.SZER.&gt;665G MR</t>
  </si>
  <si>
    <t>***PL ŻEB.SCH.SZER.&gt;665G OK20KG KT DMR</t>
  </si>
  <si>
    <t>***EU ŻEB.SCH.SZER.&gt;665G PBX CH</t>
  </si>
  <si>
    <t>***EU ŻEB.SCH.SZER.&gt;665G MR</t>
  </si>
  <si>
    <t>***EU ŻEB.SCH.SZER.&gt;665G OK20KG KT DMR</t>
  </si>
  <si>
    <t>KLA_023_MPOM_0016</t>
  </si>
  <si>
    <t>***PL ŻEB.SCH.WĄS.1645 400-510GPBX CH US</t>
  </si>
  <si>
    <t>***PL ŻEB.SCH.WĄS.400-510G MR</t>
  </si>
  <si>
    <t>90704051110024</t>
  </si>
  <si>
    <t>***PL ŻEB.SCH.WĄS.400-510G OK20KG DMR CH</t>
  </si>
  <si>
    <t>***EU ŻEB.SCH.WĄS.1645 14/18 400-510CHUS</t>
  </si>
  <si>
    <t>***EU ŻEB.SCH.WĄS.1645 400-510GPBX CH US</t>
  </si>
  <si>
    <t>***EU ŻEB.SCH.WĄS.400-510G MR</t>
  </si>
  <si>
    <t>***EU ŻEB.SCH.WĄS.400-510G OK20KG DMR CH</t>
  </si>
  <si>
    <t>***PL ŻEB.SCH.WĄS.&gt;510G CH</t>
  </si>
  <si>
    <t>***PL ŻEB.SCH.WĄS.&gt;510G MR</t>
  </si>
  <si>
    <t>90704051110017</t>
  </si>
  <si>
    <t>***PL ŻEB.SCH.WĄS.&gt;510G OK20KG KT DMR CH</t>
  </si>
  <si>
    <t>***EU ŻEB.SCH.WĄS.&gt;510G CH</t>
  </si>
  <si>
    <t>***EU ŻEB.SCH.WĄS.&gt;510G MR</t>
  </si>
  <si>
    <t>***EU ŻEB.SCH.WĄS.&gt;510G OK20KG KT DMR CH</t>
  </si>
  <si>
    <t>***PL ŻEB.MOST.MIĘSNE 3ST VAC OK15KG KT</t>
  </si>
  <si>
    <t>***EU ŻEB.MOST.Z/CH.B/CZ.MP.OK500KGPBXCH</t>
  </si>
  <si>
    <t>***EU ŻEB.MOST.Z/CH.B/CZ.MP.OK20KGWORKT</t>
  </si>
  <si>
    <t>***EU ŻEB.MOST.MIĘSNE 3ST VAC OK15KG KT</t>
  </si>
  <si>
    <t>***PL ŻEB.MOST.B/CH.Z/MP.OK15KGWORKTREAL</t>
  </si>
  <si>
    <t>***PL ŻEB.TRÓJKĄTY LUZ WOR TESC</t>
  </si>
  <si>
    <t>***PL ŻEB.TRÓJKĄTY LUZ OK10KG KT TIP</t>
  </si>
  <si>
    <t>***PL ŻEB.TRÓJKĄTY LUZ OK15KG KT HURT</t>
  </si>
  <si>
    <t>***PL ŻEB.TRÓJKĄTY 1ST MAP 5KG KT POLM</t>
  </si>
  <si>
    <t>***PL ŻEB.TRÓJKĄTY OK1KGMAP OK6KGKT AUCH</t>
  </si>
  <si>
    <t>***PL ŻEB.TRÓJKĄTY OK800GMAP OK4KGKT B</t>
  </si>
  <si>
    <t>***PL ŻEB.TRÓJKĄTY MAP KAUF</t>
  </si>
  <si>
    <t>***PL ŻEB.TRÓJKĄTY MAP TESC</t>
  </si>
  <si>
    <t>***PL ŻEB.TRÓJKĄTYOK1KG MAP 4KG KT NETTO</t>
  </si>
  <si>
    <t>***PL ŻEB.TRÓJKĄTY OK800GMAP OK5KGKT MOR</t>
  </si>
  <si>
    <t>***PL ŻEB.MOST.B/CH.1STMAPOK4.8KGKT LIDL</t>
  </si>
  <si>
    <t>***PL ŻEB.MOST.B/CH.2STVAC OK8KGKT ME</t>
  </si>
  <si>
    <t>***PL ŻEB.MOST.B/CH.1STMAP OK4.8KGKT LT</t>
  </si>
  <si>
    <t>***ŻEBERKA TRÓJKĄTY WOR PJ CONSTAR SZ</t>
  </si>
  <si>
    <t>***EU ŻEB.MOST.B/CH.Z/MP.OK500KG PBX CH</t>
  </si>
  <si>
    <t>***EU ŻEB.MOST.B/CH.Z/MP.OK15KGWORKTREAL</t>
  </si>
  <si>
    <t>***EU ŻEB.TRÓJKĄTY LUZ WOR TESC</t>
  </si>
  <si>
    <t>***EU ŻEB.TRÓJKĄTY LUZ OK10KG KT TIP</t>
  </si>
  <si>
    <t>***EU ŻEB.TRÓJKĄTY LUZ OK15KGKT HURT</t>
  </si>
  <si>
    <t>***EU ŻEB.TRÓJKĄTY OK1KGMAP OK6KGKT AUCH</t>
  </si>
  <si>
    <t>***EU ŻEB.TRÓJKĄTY MAP KAUF</t>
  </si>
  <si>
    <t>***EU ŻEB.TRÓJKĄTY MAP TESCO</t>
  </si>
  <si>
    <t>***EU ŻEB.TRÓJKĄTYOK1KG MAP 4KG KT NETTO</t>
  </si>
  <si>
    <t>***EU ŻEB.TRÓJKĄTY OK800GMAP OK5KGKT MOR</t>
  </si>
  <si>
    <t>***PL ŻEB.SCH.&gt;600G LUZ OK20KG KT MR EX</t>
  </si>
  <si>
    <t>90704051110086</t>
  </si>
  <si>
    <t>***PL ŻEB.SCH.SZER.&gt;600G KT DMR US</t>
  </si>
  <si>
    <t>***EU ŻEB.SCH.&gt;600G LUZ OK20KG KT MR EX</t>
  </si>
  <si>
    <t>***EU ŻEB.SCH.SZER.&gt;600G KT DMR US</t>
  </si>
  <si>
    <t>***PL ŻEB.SCH.SZER.5-8CM OK10KGKTMRSF EX</t>
  </si>
  <si>
    <t>***PL ŻEB.SCH.SZER.5-8CM OK10KGKTDMRSFEX</t>
  </si>
  <si>
    <t>***PL ŻEB.SCH/BOCZ.OK2.5KGRMM OK5KGKT</t>
  </si>
  <si>
    <t>***PL ŻEB.Z PŁAT.SCH/BOCZ.OK15KGPJ CH ST</t>
  </si>
  <si>
    <t>***EU ŻEB.SCH.500-680 OK20KGLUZKTMREX US</t>
  </si>
  <si>
    <t>***EU KARK.B/K.Z/KOR.KROJ.GRILL CH RQ</t>
  </si>
  <si>
    <t>***PRZEPONA CH KOR</t>
  </si>
  <si>
    <t>***PRZEPONA WP.EXP.KOREA VAC MRŻ.</t>
  </si>
  <si>
    <t>DIRECTION PACK</t>
  </si>
  <si>
    <t>***PRZEPONA OK 15KG KR DMR KOR</t>
  </si>
  <si>
    <t>***M-SO MIEL.WP.DO 20% TŁ.</t>
  </si>
  <si>
    <t>***M-SO MIEL.WP.500G MAP 6KG KT</t>
  </si>
  <si>
    <t>***M-SO MIEL.WP CH</t>
  </si>
  <si>
    <t>***MIĘSO MIEL. WP KOST. 250G M MR</t>
  </si>
  <si>
    <t>***M-SO MIEL.WP 250G KO 5,5KG KT DMR</t>
  </si>
  <si>
    <t>***M-SO MIEL.WP-WOŁ CH</t>
  </si>
  <si>
    <t>***MIĘSO WP.-WŁ.MIEL.KOST.250G M MR</t>
  </si>
  <si>
    <t>AX001_MS_PK_WL</t>
  </si>
  <si>
    <t>***M-SO WP.-WŁ. MIELONE 500G MAP</t>
  </si>
  <si>
    <t>***M-SO WP.-WŁ.MIELONE 500G MAP C</t>
  </si>
  <si>
    <t>***M-SO WP.-WOŁ.MIELONE 500G MAP BT</t>
  </si>
  <si>
    <t>***M-SO MIEL.WP-WOŁ 250G KO 5,5KG KT DMR</t>
  </si>
  <si>
    <t>M-SO MIEL.WP-WOŁ 650G MAP 7.8KG KT JMP</t>
  </si>
  <si>
    <t>****EU M-SO MIEL.WP-WŁ.500GMAP6KGKT CARR</t>
  </si>
  <si>
    <t>***PL M-SO MIEL.WP-WŁ.18% TŁ.</t>
  </si>
  <si>
    <t>***EU M-SO MIEL.WP-WŁ500G MAP3KG KT MAK</t>
  </si>
  <si>
    <t>***PL M-SO WP-WŁ.TŁ.18% 500G MAP</t>
  </si>
  <si>
    <t>5901784155816</t>
  </si>
  <si>
    <t>***M-SO WP-WŁ.TŁ.18% 500G 3KG KT MAP JMP</t>
  </si>
  <si>
    <t>5901784154000</t>
  </si>
  <si>
    <t>***EU M-SO MIEL.WP-WŁ.18% TŁ.</t>
  </si>
  <si>
    <t>***M-SO MIEL.Z ŁOP. TŁ.20% CH</t>
  </si>
  <si>
    <t>***M-SO MIELONE Z ŁOPATKI20%TŁ.MAP500GBT</t>
  </si>
  <si>
    <t>***GULASZ WP Z SZYNKI MAP 500G T</t>
  </si>
  <si>
    <t>***GULASZ WP.Z SZYN.500G MAP 6KG KT BIED</t>
  </si>
  <si>
    <t>PL GULASZ Z/SZYN.4D KOSTKA</t>
  </si>
  <si>
    <t>***PL GUL.Z SZYN.500GMAP 3KGKT LIDL</t>
  </si>
  <si>
    <t>***PL GULASZ Z SZYN.500G MAP 3KG KT ME</t>
  </si>
  <si>
    <t>5901784156974</t>
  </si>
  <si>
    <t>***PL GULASZ Z SZYN.500G MAP 3KG KT AUCH</t>
  </si>
  <si>
    <t>***PL GULASZ Z SZYN.OK500GMAP 6KGKT POLM</t>
  </si>
  <si>
    <t>***PL GULASZ Z SZYN.500GMAP 3KGKT KAUF</t>
  </si>
  <si>
    <t>***PL GUL.Z SZYN.500GMAP 3KGKT LIDL LT</t>
  </si>
  <si>
    <t xml:space="preserve"> ***PL GULASZ Z SZYN.500G MAP BL</t>
  </si>
  <si>
    <t>***EU GULASZ Z SZYN.4D KOSTKA</t>
  </si>
  <si>
    <t>***EU GULASZ Z SZYN.500G MAP 3KG KT LIDL</t>
  </si>
  <si>
    <t>BIAŁKO SANDIPRO IP-105</t>
  </si>
  <si>
    <t>***SZNYCEL Z SZYNKI</t>
  </si>
  <si>
    <t>***SZNYCEL Z SZYNKI PLAST.PACZOK500GMAPT</t>
  </si>
  <si>
    <t>***SZNYCEL Z SZYNKI 300G MAP N</t>
  </si>
  <si>
    <t>***PL SZYN.WP.KOTL.</t>
  </si>
  <si>
    <t>SZNYCEL Z/SZYN.PL.OK.500GMAP OK6KGKT JMP</t>
  </si>
  <si>
    <t>***PL SZNYC.Z SZYN.PLOK500GMAPOK3KGKT ME</t>
  </si>
  <si>
    <t>***PL SZN.Z SZYN.500G MAP 3KG KT ME</t>
  </si>
  <si>
    <t>***PL M-SO Z SZYN.NAROL.OK600GMAP KT JMP</t>
  </si>
  <si>
    <t>PL GULASZ Z ŁOP.1313 KOSTKA</t>
  </si>
  <si>
    <t>***PL GUL.Z ŁOP.500GMAP 2.5KGKT BIED</t>
  </si>
  <si>
    <t>5901784155861</t>
  </si>
  <si>
    <t>***PL GULASZ Z ŁOP.500G MAP 3KG KT ME</t>
  </si>
  <si>
    <t>***PL GULASZ Z ŁOP.500G MAP 3KG KT AUCH</t>
  </si>
  <si>
    <t>***GULASZ WP Z ŁOPATKI MAP 500G T</t>
  </si>
  <si>
    <t>***GULASZ WP. Z ŁOP. 450G MAP 2.7KGKT N</t>
  </si>
  <si>
    <t>***PL GULASZ Z ŁOP.500GMAP 3KGKT KAUF</t>
  </si>
  <si>
    <t>***PL GUL.Z ŁOP.500GMAP 3KGKT BIED</t>
  </si>
  <si>
    <t>5901784158176</t>
  </si>
  <si>
    <t>***PL GULASZ Z ŁOP.500G MAP KAUF BL</t>
  </si>
  <si>
    <t>EU TRYMING 70/30 Z SZYN.CH</t>
  </si>
  <si>
    <t>EU TRYMING 70/30 Z/SZYN.OK20KG NB MR ST</t>
  </si>
  <si>
    <t>EU TRYMING 70/30 Z SZYN.OK800KGOKT EX ST</t>
  </si>
  <si>
    <t>EU TRYMING 70/30 Z/SZYN.OK20KG NB DMR</t>
  </si>
  <si>
    <t>EU TRYMING WP.60/40 CH</t>
  </si>
  <si>
    <t>***M-SO WP. KL.2B WOR PJ CH ST</t>
  </si>
  <si>
    <t>EU M-SO WP.DR.KL2B WOR PJ ST</t>
  </si>
  <si>
    <t>***M-SO WP.KL.2B OKTABINA ST</t>
  </si>
  <si>
    <t>EU M-SO WP.DR.KL2B PBX ST</t>
  </si>
  <si>
    <t>***EU M-SO DR.WP.KL2B OKT ST</t>
  </si>
  <si>
    <t>EU TRYMING 70/30 CH</t>
  </si>
  <si>
    <t>EU TRYMING 70/30 OK800KG OKT EX ST</t>
  </si>
  <si>
    <t>EU M-SO WP.TRIMING 70/30 RO2</t>
  </si>
  <si>
    <t>EU TRYMING 70/30 USR</t>
  </si>
  <si>
    <t>PP M-SO WP.DR.KL2B CH</t>
  </si>
  <si>
    <t>PP M-SO WP.DR.KL2B OK15KG NB MR ST</t>
  </si>
  <si>
    <t>PP M-SO WP.DR.KL2B PBX ST1</t>
  </si>
  <si>
    <t>PP M-SO WP.DR.KL2B OK20KG NB MR K4</t>
  </si>
  <si>
    <t>PP M-SO WP.DR.KL2B USR CH</t>
  </si>
  <si>
    <t>PP M-SO WP.DR.KL2B OK15KG NB DMR</t>
  </si>
  <si>
    <t>PP M-SO WP.DR.KL2B RO1</t>
  </si>
  <si>
    <t>PP M-SO WP.DR.KL2B RO2</t>
  </si>
  <si>
    <t>PP M-SO WP.DR.KL2B PBX ST2</t>
  </si>
  <si>
    <t>EU M-SO WP.DR.50/50 OK20KG NB MR K4</t>
  </si>
  <si>
    <t>EU TRYMING 60/40 CH1</t>
  </si>
  <si>
    <t>***EU TRYMING 60/40 NB MR ST</t>
  </si>
  <si>
    <t>EU TRYMING WP.60/40 NB MR ST</t>
  </si>
  <si>
    <t>***TRYMING WP.60/40 NB MR ST</t>
  </si>
  <si>
    <t>***TRYMING 60/40 OK15KG NB MR ROS</t>
  </si>
  <si>
    <t>***EU M-SO DR.WP.KL2B PBX CH ST</t>
  </si>
  <si>
    <t>***TRYMING 60/40 OK15KG PJ</t>
  </si>
  <si>
    <t>***EU TRYMING 60/40 OK20KGWOR PJ CH ST</t>
  </si>
  <si>
    <t>***EU TRYMING 60/40 OK700KG OKT ST</t>
  </si>
  <si>
    <t>***M-SO WP.TRIMING 60/40 PBX CH K4 ZAK</t>
  </si>
  <si>
    <t>EU M-SO WP.TRIM.60/40 OK400KGCVP PBX SZ</t>
  </si>
  <si>
    <t>EU M-SO WP.TRIMING 60/40 OK500KG OKT SZ</t>
  </si>
  <si>
    <t>***EU TRYMING 60/40 NB DMR</t>
  </si>
  <si>
    <t>TRYMING WP.60/40 NB DMR</t>
  </si>
  <si>
    <t>***EU TRYMING 60/40 PB DMR</t>
  </si>
  <si>
    <t>***TRYMING 60/40 OK15KG NB DMR ROS</t>
  </si>
  <si>
    <t>EU TRYMING 60/40 NB RO1</t>
  </si>
  <si>
    <t>TRYMING WP.60/40 NB RO1</t>
  </si>
  <si>
    <t>EU TRYMING 60/40 CH2</t>
  </si>
  <si>
    <t>EU TRYMING 60/40 NB RO2</t>
  </si>
  <si>
    <t>TRYMING WP.60/40 NB RO2</t>
  </si>
  <si>
    <t>PP M-SO WP.TRYMING 60/40 CH</t>
  </si>
  <si>
    <t>PP M-SO WP.TRYMING 60/40 OK15KG NB MR ST</t>
  </si>
  <si>
    <t>PP M-SO WP.TRYMING 60/40 ROZDR.PBX SZ</t>
  </si>
  <si>
    <t>PP M-SO WP.TRYMING 60/40 OK15KG NB DMR</t>
  </si>
  <si>
    <t>PP M-SO WP.TRYMING 60/40 PBX ST2</t>
  </si>
  <si>
    <t>EU TRYMING 60/40 ROZP1</t>
  </si>
  <si>
    <t>EU TRYMING 60/40 ROZP2</t>
  </si>
  <si>
    <t>EU TRYMING 70/30 Z ŁOP.CH</t>
  </si>
  <si>
    <t>EU TRYMING 70/30 Z/ŁOP.OK20KG NB MR ST</t>
  </si>
  <si>
    <t>EU TRYMING 70/30 Z ŁOP OK800KG OKT EX</t>
  </si>
  <si>
    <t>EU TRYMING 70/30 Z/ŁOP.OK20KG NB DMR</t>
  </si>
  <si>
    <t>***TRYMING 80/20 CH</t>
  </si>
  <si>
    <t>***TRYMING 80/20 OK.15KG PJ</t>
  </si>
  <si>
    <t>EU M-SO WP.DR.KL1 JAS.Z SZYN.CH1</t>
  </si>
  <si>
    <t>EU M-SO WP.DR.KL1 JAS.Z SZYN.NB MR</t>
  </si>
  <si>
    <t>EU M-SO WP.DR.KL1 JAS.Z SZYN.NB MR ST</t>
  </si>
  <si>
    <t>***M-SO WP. KL.1 JASNE Z SZYN. PB MR ST</t>
  </si>
  <si>
    <t>***EU M-SO DR.WP.KL.1 JAS.ZSZYN.OK15KGKT</t>
  </si>
  <si>
    <t>***EUM-SO DR.WP.KL1JAS.Z SZYN.OK15KGKTMR</t>
  </si>
  <si>
    <t>***M-SO WP.DR.KL1JASNE Z SZYNKI CH PJ ST</t>
  </si>
  <si>
    <t>***EU M-SO DR.WP.KL1 Z SZYN.LUZ PJ ST</t>
  </si>
  <si>
    <t>***EUM-SOWP.DR.KL1JAS.ZSZYN.OK700KGOKTST</t>
  </si>
  <si>
    <t>M-SO KL1 JAS.Z SZYN.CH ZAK</t>
  </si>
  <si>
    <t>***M-SO KL1 JASNE Z SZYN.MR ZAK</t>
  </si>
  <si>
    <t>EU M-SO WP.DR.KL1 JAS.Z SZYN.NB DMR</t>
  </si>
  <si>
    <t>***M-SO KL.1 JASNE Z SZYN. PB DMR</t>
  </si>
  <si>
    <t>***EU M-SO DR.WP.KL1 JAS.Z SZYN.PBDMRKRA</t>
  </si>
  <si>
    <t>EU M-SO WP.DR.KL1 JAS.Z SZYN.NB RO1</t>
  </si>
  <si>
    <t>***M-SO KL.1 JASNE Z SZYN. PB RO</t>
  </si>
  <si>
    <t>EU M-SO WP.DR.KL1 JAS.Z SZYN.CH2</t>
  </si>
  <si>
    <t>EU M-SO WP.DR.KL1 JAS.Z SZYN.NB RO2</t>
  </si>
  <si>
    <t>EU M-SO WP.DR.KL1 JAS.Z SZYN.USR CH</t>
  </si>
  <si>
    <t>PP M-SO WP.DR.KL1 JAS.Z SZYN.CH</t>
  </si>
  <si>
    <t>PPM-SO WP.DR.KL1 JAS.Z SZYN.OK15KGNBMRST</t>
  </si>
  <si>
    <t>PP M-SO WP.DR.KL1 JAS.Z SZYN.USR CH</t>
  </si>
  <si>
    <t>PP M-SO WP.DR.KL1 JAS.Z SZYN.RO1</t>
  </si>
  <si>
    <t>PP M-SO WP.DR.KL1 JAS.Z SZYN.RO2</t>
  </si>
  <si>
    <t>PP M-SO WP.DR.KL1 JAS.Z SZYN.PBX ST2</t>
  </si>
  <si>
    <t>EU M-SO WP.DR.KL1 CIE.Z SZYN.CH1</t>
  </si>
  <si>
    <t>***EU M-SO DR.WP.KL.1 CIE.Z SZYN.NB MR</t>
  </si>
  <si>
    <t>***EU M-SO DR.WP.KL.1CIE.Z SZYN.OK15KGKT</t>
  </si>
  <si>
    <t>***EU M-SOOD SZYNKI OK1.5KG MAP OK6KG KT</t>
  </si>
  <si>
    <t>***EU M-SO WP.NAGULASZOK2.5KGVACOK15KGKT</t>
  </si>
  <si>
    <t>***M-SO DR.WP.KL.1 CIEMNE LUZ PJ ST</t>
  </si>
  <si>
    <t>***EU M-SO WP.DR.KL1 CIE.OK15KGWOR PJ CH</t>
  </si>
  <si>
    <t>EU M-SO WP.DR.KL1 CIE.Z SZYN.LUZ PJ ST</t>
  </si>
  <si>
    <t>***M-SO WP.KL.1 CIEMNA EXTRA PBX CH EŁ</t>
  </si>
  <si>
    <t>***M-SO WP.KL.1 CIEMNA EXTRA WOR. MR EŁ</t>
  </si>
  <si>
    <t>EU M-SO WP.DR.KL1 CIE.Z SZYN.PBX SZ</t>
  </si>
  <si>
    <t>EU M-SO WP.DR.KL1 CIE.Z SZYN.CVP PBX SZ</t>
  </si>
  <si>
    <t>EU M-SO WP.DR.KL1 CIE.Z SZYN.PBX K4</t>
  </si>
  <si>
    <t>EU M-SO DR.WP.KL.1 CIE.Z SZYN.NB DMR</t>
  </si>
  <si>
    <t>***EU M-SO DR.WP.KL.1 CIE.Z SZYN.NB RO</t>
  </si>
  <si>
    <t>***MIĘSO WP.KL.1 CIEMNA EXTRA WOR.RO</t>
  </si>
  <si>
    <t>EU M-SO WP.DR.KL1 CIE.Z SZYN.CH2</t>
  </si>
  <si>
    <t>EU M-SO WP.DR.KL1 CIE.Z SZYN.CH</t>
  </si>
  <si>
    <t>***M-SO KL.1 CIEMNE Z SZYN. UŚR CH</t>
  </si>
  <si>
    <t>PP M-SO WP.DR.KL1 CIE.Z SZYN.CH</t>
  </si>
  <si>
    <t>PP M-SO WP.DR.KL1 CIE.Z SZYN.PBX ST2</t>
  </si>
  <si>
    <t>EU M-SO WP.DR.KL2A CH</t>
  </si>
  <si>
    <t>***M-SO KL.2A NB MR ST</t>
  </si>
  <si>
    <t>EU M-SO WP.DR.KL2A OK15KGWOR MR MORR ST</t>
  </si>
  <si>
    <t>EU M-SO WP.DR.KL2A OK20KG NB MR ST</t>
  </si>
  <si>
    <t>***EU M-SO DR.WP.KL2A PJ MR ST</t>
  </si>
  <si>
    <t>***EUM-SO DR.WP.KL2A OK2.5KGVAC OK10KGKT</t>
  </si>
  <si>
    <t>EU M-SO WP.KL2A OK3KGVAC OK12KGKT SEL</t>
  </si>
  <si>
    <t>EU M-SO WP.KL2A OK3.5KGVAC 3STKT STO</t>
  </si>
  <si>
    <t>***M-SO WP. KL.2A WOR PJ ST</t>
  </si>
  <si>
    <t>EU M-SO WP.DR.KL2A WOR PJ ST</t>
  </si>
  <si>
    <t>***EU M-SO DR.WP.KL2A OK700KG OKT ST</t>
  </si>
  <si>
    <t>EU TRYMING 80/20 OK800KG OKT EX</t>
  </si>
  <si>
    <t>EU M-SO WP.DR.KL2A PBX ST</t>
  </si>
  <si>
    <t>M-SO KL2A CH ZAK</t>
  </si>
  <si>
    <t>EU M-SO WP.DR.KL2A PBX EŁ1</t>
  </si>
  <si>
    <t>***M-SO WP.DR.KL2A OK500KGPBX MR K4 ZAK</t>
  </si>
  <si>
    <t>EU M-SO WP.DR.KL2A OK20KG NB MR K4</t>
  </si>
  <si>
    <t>EU M-SO WP.TRIMING 80/20 PBX SZ</t>
  </si>
  <si>
    <t>AX001_PP_PKL</t>
  </si>
  <si>
    <t>EU M-SO WP.DR.KL2A PBX 1OB K4</t>
  </si>
  <si>
    <t>EU M-SO WP.DR.KL2A OK20KG NB MR 1OB K4</t>
  </si>
  <si>
    <t>EU M-SO WP.TRIM.80/20 OK400KG CVP PBX SZ</t>
  </si>
  <si>
    <t>***M-SO WP.KL2A OK20KGLUZ PJ K4 ZAK</t>
  </si>
  <si>
    <t>EU M-SO WP.DR.KL2A PBX K4</t>
  </si>
  <si>
    <t>EU TRYMING WP.80/20 OK20KG NB MR ZAK</t>
  </si>
  <si>
    <t>EU TRYMING WP.80/20 OK20KG PB MR ZAK</t>
  </si>
  <si>
    <t>M-SO WP KL.2A DMR</t>
  </si>
  <si>
    <t>EU M-SO WP.DR.KL2A OK15KGWOR DMR MORR</t>
  </si>
  <si>
    <t>EU M-SO WP.DR.KL2A OK20KG NB DMR</t>
  </si>
  <si>
    <t>***EU M-SO DR.WP.KL2A PB DMR</t>
  </si>
  <si>
    <t>***EU M-SO DR.WP.KL2A PB RO</t>
  </si>
  <si>
    <t>EU M-SO WP.DR.KL2A Z SZYN.CH1</t>
  </si>
  <si>
    <t>EU M-SO WP.DR.KL2A Z SZYN.MR ST</t>
  </si>
  <si>
    <t>EU M-SO WP.DR.2A Z SZYN.OK15KGWOR PJ EŁ</t>
  </si>
  <si>
    <t>EU M-SO WP.DR.KL2A Z SZYN.OK20KGNB MR EŁ</t>
  </si>
  <si>
    <t>EU M-SO WP.DR.KL2A Z SZYN.USR CH</t>
  </si>
  <si>
    <t>EU M-SO WP.DR.KL2A Z SZYN.DMR</t>
  </si>
  <si>
    <t>EU M-SO WP.DR.KL2A Z SZYN.RO1</t>
  </si>
  <si>
    <t>EU M-SO WP.DR.KL2A Z SZYN.CH2</t>
  </si>
  <si>
    <t>EU M-SO WP.DR.KL2A Z SZYN.RO2</t>
  </si>
  <si>
    <t>EU M-SO WP.DR.KL2A USR CH1</t>
  </si>
  <si>
    <t>EU M-SO WP.DR.KL2A USR PBX ST1</t>
  </si>
  <si>
    <t>EU M-SO WP.DR.KL2A USR CH MORR</t>
  </si>
  <si>
    <t>EU M-SO WP.DR.KL2A PBX GAP</t>
  </si>
  <si>
    <t>EU M-SO WP.DR.KL2A OK20KGLUZPJ GAP ST</t>
  </si>
  <si>
    <t>EU M-SO WP.DR.KL2A USR CH2</t>
  </si>
  <si>
    <t>EU M-SO WP.DR.KL2A USR PBX ST2</t>
  </si>
  <si>
    <t>PP M-SO WP.DR.KL2A CH</t>
  </si>
  <si>
    <t>PP M-SO WP.DR.KL2A OK20KG NB MR ST</t>
  </si>
  <si>
    <t>PP M-SO WP.DR.KL2A Z SZYN.OK20KGNB MR ST</t>
  </si>
  <si>
    <t>PP M-SO WP.DR.KL2A OK20KG NB MR K4</t>
  </si>
  <si>
    <t>PP M-SO WP.DR.KL2A PBX K4</t>
  </si>
  <si>
    <t>PP M-SO WP.DR.KL2A Z SZYN.CH</t>
  </si>
  <si>
    <t>PP M-SO WP.DR.KL2A USR CH</t>
  </si>
  <si>
    <t>PP M-SO WP.DR.KL2A OK20KG NB DMR</t>
  </si>
  <si>
    <t>PP M-SO WP.DR.KL2A Z SZYN.OK20KG NB DMR</t>
  </si>
  <si>
    <t>PP M-SO WP.DR.KL2A RO1</t>
  </si>
  <si>
    <t>PP M-SO WP.DR.KL2A Z SZYN.RO1</t>
  </si>
  <si>
    <t>PP M-SO WP.DR.KL2A RO2</t>
  </si>
  <si>
    <t>PP M-SO WP.DR.KL2A USR PBX ST2</t>
  </si>
  <si>
    <t>PP M-SO WP.DR.KL2A Z SZYN.RO2</t>
  </si>
  <si>
    <t>PP M-SO WP.DR.KL2A Z SZYN.PBX ST2</t>
  </si>
  <si>
    <t>***M-SO WP.KL.2A Z SZYNKI USR</t>
  </si>
  <si>
    <t>EU M-SO WP.DR.KL2A Z SZYN.PJ ST</t>
  </si>
  <si>
    <t>***EUM-SO DR.WP.KL2A Z SZYN.OK700KGOKTST</t>
  </si>
  <si>
    <t>***EU M-SO WP.DR.KL2A Z SZYN.PBX ST</t>
  </si>
  <si>
    <t>PP M-SO WP.DR.KL2A Z SZYN.USR CH</t>
  </si>
  <si>
    <t>EU M-SO WP.DR.KL2A Z BOCZ.CH</t>
  </si>
  <si>
    <t>EU M-SO WP.DR.KL2A Z BOCZ.PBX ST</t>
  </si>
  <si>
    <t>EU M-SO WP.DR.KL2A CH MORR</t>
  </si>
  <si>
    <t>EU M-SO WP.DR.KL2A Z SZYN.ROZP1</t>
  </si>
  <si>
    <t>EU M-SO WP.DR.KL2A Z SZYN.ROZP2</t>
  </si>
  <si>
    <t>EU M-SO WP.DR.KL2B CH</t>
  </si>
  <si>
    <t>***EU M-SO WP.KL2B OK2KGVAC OK12KGKT</t>
  </si>
  <si>
    <t>EU M-SO WP.KL2B OK2KGVAC OK12KGKT SEL</t>
  </si>
  <si>
    <t>***EU M-SO DR.WP.KL2B OK15KG PJ CH ST</t>
  </si>
  <si>
    <t>EU M-SO WP.TRIMING 60/40 PBX SZ</t>
  </si>
  <si>
    <t>***EU M-SO WP.DR.KL2B OK20KGNB MR K4 ZAK</t>
  </si>
  <si>
    <t>EU M-SO WP.DR.KL2B PBX K4</t>
  </si>
  <si>
    <t>EU M-SO WP.DR.KL2B OK650KG OKT K4</t>
  </si>
  <si>
    <t>EU M-SO WP.DR.KL2B OK20KG NB MR K4</t>
  </si>
  <si>
    <t>EU M-SO WP.DR.KL2B PBX 1OB K4</t>
  </si>
  <si>
    <t>EU TRYMING WP.60/40 OK20KG PB MR ZAK</t>
  </si>
  <si>
    <t>EU M-SO WP.DR.KL2B ZAK RO</t>
  </si>
  <si>
    <t>EU M-SO WP.DR.KL2B Z SZYN.CH</t>
  </si>
  <si>
    <t>EU M-SO WP.DR.KL2B Z SZYN.MR ST</t>
  </si>
  <si>
    <t>EU M-SO WP.DR.KL2B Z SZYN.USR CH</t>
  </si>
  <si>
    <t>EU M-SO WP.DR.KL2B Z SZYN.DMR</t>
  </si>
  <si>
    <t>EU M-SO WP.DR.KL2B Z SZYN. RO1</t>
  </si>
  <si>
    <t>***EU M-SO DR.WP.KL.2B Z SZYN.CH2</t>
  </si>
  <si>
    <t>EU M-SO WP.DR.KL2B Z SZYN. RO2</t>
  </si>
  <si>
    <t>EU M-SO WP.DR.KL2B USR CH1</t>
  </si>
  <si>
    <t>EU M-SO WP.DR.KL2B GAP USR CH</t>
  </si>
  <si>
    <t>EU M-SO WP.DR.KL2B PBX GAP</t>
  </si>
  <si>
    <t>EU M-SO WP.DR.KL2B OK20KGLUZPJ GAP ST</t>
  </si>
  <si>
    <t>EU M-SO WP.DR.KL2B USR CH2</t>
  </si>
  <si>
    <t>EU M-SO WP.DR.KL2B ZE SCH.CH1</t>
  </si>
  <si>
    <t>***EU M-SO DR.WP.KL2B ZE SCH.PBX CH1</t>
  </si>
  <si>
    <t>PP M-SO WP.DR.KL2B Z SZYN.OK15KGPB MR ST</t>
  </si>
  <si>
    <t>***EU M-SO DR.WP.KL2B Z/SCH.OK15KGPJCHST</t>
  </si>
  <si>
    <t>PP M-SO WP.DR.KL2B Z SZYN.CH</t>
  </si>
  <si>
    <t>PP M-SO WP.DR.KL2B Z SZYN.OK15KG PB DMR</t>
  </si>
  <si>
    <t>PP M-SO WP.DR.KL2B Z SZYN.RO1</t>
  </si>
  <si>
    <t>EU M-SO WP.DR.KL2B ZE SCH.CH2</t>
  </si>
  <si>
    <t>***EU M-SO DR.WP.KL2B ZE SCH.PBX CH2</t>
  </si>
  <si>
    <t>PP M-SO WP.DR.KL2B Z SZYN.RO2</t>
  </si>
  <si>
    <t>PP M-SO WP.DR.KL2B Z SZYN.PBX ST2</t>
  </si>
  <si>
    <t>***M-SO WP.KL.2B Z SZYNKI USR</t>
  </si>
  <si>
    <t>***EU M-SO DR.WP.KL2B Z SZYN.PJ ST</t>
  </si>
  <si>
    <t>***EUM-SO DR.WP.KL2B Z SZYN.LUZ KOSZP.ST</t>
  </si>
  <si>
    <t>EU M-SO WP.DR.KL2B Z SZYN.LUZ PBX ST</t>
  </si>
  <si>
    <t>PP M-SO WP.DR.KL2B Z SZYN.USR CH</t>
  </si>
  <si>
    <t>EU M-SO WP.DR.KL2B Z BOCZ.CH</t>
  </si>
  <si>
    <t>EU M-SO WP.DR.KL2B Z BOCZ.PBX ST</t>
  </si>
  <si>
    <t>***EU M-SO DR.WP.KL.2B ROZB.CH</t>
  </si>
  <si>
    <t>EU M-SO WP.DR.KL2B GAP CH</t>
  </si>
  <si>
    <t>EU M-SO WP.DR.KL2B OK20KG NB GAP MR ST</t>
  </si>
  <si>
    <t>EU M-SO WP.DR.KL2B OK20KG NB GAP DMR</t>
  </si>
  <si>
    <t>EU M-SO WP.DR.KL3A CH1</t>
  </si>
  <si>
    <t>***EU M-SO DR.WP.KL3A NB MR</t>
  </si>
  <si>
    <t>EU M-SO WP.DR.KL3A OK20KG NB MR ST</t>
  </si>
  <si>
    <t>***EU M-SO DR.WP.KL.3A PB MR ST</t>
  </si>
  <si>
    <t>***EU M-SOWP.KAWAŁKIOK1.5KGMAP OK6KG KT</t>
  </si>
  <si>
    <t>***EU M-SO WP.DR.OK2.5KGVACOK15KGKT AUCH</t>
  </si>
  <si>
    <t>***EU M-SO WP.3A OK2.5KGVAC OK15KGK MAKR</t>
  </si>
  <si>
    <t>EU M-SO WP.KL3A OK2KGVAC OK12KGKT SEL</t>
  </si>
  <si>
    <t>***M-SO DR.WP.KL.3A PJ CH ST</t>
  </si>
  <si>
    <t>***EU M-SO DR.WP.KL3A OK20KG WOR PJ HILT</t>
  </si>
  <si>
    <t>EU M-SO WP.DR.KL3A PJ ST</t>
  </si>
  <si>
    <t>EU M-SO WP.DR.KL3A OKT ST</t>
  </si>
  <si>
    <t>EU M-SO WP.DR.KL3A PBX ST</t>
  </si>
  <si>
    <t>***EU M-SO WP.DR.KL3A OK20KGWORPJ K4 ZAK</t>
  </si>
  <si>
    <t>EU M-SO WP.DR.KL3A Z GŁÓW OK15KGNB MR SZ</t>
  </si>
  <si>
    <t>EU M-SO WP.DR.KL3A OK20KGLUZ PJ K4</t>
  </si>
  <si>
    <t>EU M-SO WP.DR.KL3A OK20KG NB MR K4</t>
  </si>
  <si>
    <t>EU M-SO DR.WP.KL3A DMR</t>
  </si>
  <si>
    <t>EU M-SO WP.DR.KL3A OK20KG NB DMR</t>
  </si>
  <si>
    <t>***EU M-SO DR.WP.KL.3A PB DMR</t>
  </si>
  <si>
    <t>***EU M-SO DR.WP.KL3A NB RO1</t>
  </si>
  <si>
    <t>EU M-SO WP.DR.KL3A PB RO1</t>
  </si>
  <si>
    <t>***EU M-SO DR.WP.KL.3A PB RO</t>
  </si>
  <si>
    <t>EU M-SO WP.DR.KL3A CH2</t>
  </si>
  <si>
    <t>***EU M-SO DR.WP.KL3A NB RO2</t>
  </si>
  <si>
    <t>EU M-SO WP.DR.KL3A PB RO2</t>
  </si>
  <si>
    <t>***M-SO KL.3A PL</t>
  </si>
  <si>
    <t>EU M-SO WP.DR.KL3A Z SZYN.CH1</t>
  </si>
  <si>
    <t>EU M-SO WP.DR.KL3A Z SZYN.OK20KGNB MR ST</t>
  </si>
  <si>
    <t>EU M-SO WP.DR.KL3A Z SZYN.PJ CH ST</t>
  </si>
  <si>
    <t>EU M-SO WP.DR.KL3A Z SZYN.PBX K4</t>
  </si>
  <si>
    <t>EU M-SO WP.DR.KL3A Z SZYN.USR CH</t>
  </si>
  <si>
    <t>EU M-SO WP.DR.KL3A Z SZYN.OK20KGNB DMR</t>
  </si>
  <si>
    <t>EU M-SO WP.DR.KL3 Z SZYN.RO1</t>
  </si>
  <si>
    <t>EU M-SO WP.DR.KL3A Z SZYN.CH2</t>
  </si>
  <si>
    <t>EU M-SO WP.DR.KL3 Z SZYN.RO2</t>
  </si>
  <si>
    <t>EU M-SO WP.DR.KL3A USR CH1</t>
  </si>
  <si>
    <t>EU M-SO WP.DR.KL3A PBX USR ST1</t>
  </si>
  <si>
    <t>EU M-SO WP.DR.KL3A USR CH2</t>
  </si>
  <si>
    <t>EU M-SO WP.DR.KL3A PBX USR ST2</t>
  </si>
  <si>
    <t>PP M-SO WP.DR.KL3A CH</t>
  </si>
  <si>
    <t>PP M-SO WP.DR.KL3A OK15KG NB MR ST</t>
  </si>
  <si>
    <t>PP M-SO WP.DR.KL3A Z SZYN.OK20KGNB MR ST</t>
  </si>
  <si>
    <t>PP M-SO WP.DR.KL3A Z POL.OK15KG NB MR ST</t>
  </si>
  <si>
    <t>PP M-SO WP.DR.KL3A Z SZYN.CH</t>
  </si>
  <si>
    <t>PP M-SO WP.DR.KL3A Z SZYN.OK15KGLUZPJ ST</t>
  </si>
  <si>
    <t>PP M-SO WP.DR.KL3A USR</t>
  </si>
  <si>
    <t>AX001_MS_WL</t>
  </si>
  <si>
    <t>PP M-SO WP.DR.KL3A OK15KG NB DMR</t>
  </si>
  <si>
    <t>PP M-SO WP.DR.KL3A Z SZYN.OK20KGNB DMR</t>
  </si>
  <si>
    <t>PP M-SO WP.DR.KL3A Z POL.OK20KG NB DMR</t>
  </si>
  <si>
    <t>PP M-SO WP.DR.KL3A RO1</t>
  </si>
  <si>
    <t>PP M-SO WP.DR.KL3 Z SZYN.RO1</t>
  </si>
  <si>
    <t>PP M-SO WP.DR.KL3A Z POL.RO1</t>
  </si>
  <si>
    <t>PP M-SO WP.DR.KL3A Z POL.CH</t>
  </si>
  <si>
    <t>PP M-SO WP.DR.KL3A RO2</t>
  </si>
  <si>
    <t>PP M-SO WP.DR.KL3A USR PBX ST2</t>
  </si>
  <si>
    <t>PP M-SO WP.DR.KL3 Z SZYN.RO2</t>
  </si>
  <si>
    <t>PP M-SO WP.DR.KL3A Z SZYN.PBX ST2</t>
  </si>
  <si>
    <t>PP M-SO WP.DR.KL3A Z POL.RO2</t>
  </si>
  <si>
    <t>EU M-SO WP.KL3 ŻWACZE NB MR ST</t>
  </si>
  <si>
    <t>***EU M-SO WP.KL3 ŻWACZE PBX CH ST</t>
  </si>
  <si>
    <t>PP M-SO WP.DR.KL3A Z SZYN.USR CH</t>
  </si>
  <si>
    <t>EU M-SO WP.KL3 ŻWACZE NB DMR</t>
  </si>
  <si>
    <t>EU M-SO WP.KL3 ŻWACZE NB RO1</t>
  </si>
  <si>
    <t>PP M-SO WP.DR.KL3A Z POL.USR CH</t>
  </si>
  <si>
    <t>EU M-SO WP.KL3 ŻWACZE NB RO2</t>
  </si>
  <si>
    <t>***M-SO KL.3A PL UŚR</t>
  </si>
  <si>
    <t>***M-SO KL.3A OK 20KG PB MR ROSJA</t>
  </si>
  <si>
    <t>***EU M-SO DR.WP.KL3A OK20KGPB DMR RU</t>
  </si>
  <si>
    <t>EU M-SO WP.DR.KL3A Z POL.CH</t>
  </si>
  <si>
    <t>EU M-SO WP.DR.KL3A Z POL.OK20KGNB MR ST</t>
  </si>
  <si>
    <t>EU M-SO WP.DR.KL3A Z POL.PBX1</t>
  </si>
  <si>
    <t>EU M-SO WP.DR.KL3A Z POL.USR CH</t>
  </si>
  <si>
    <t>EU M-SO WP.DR.KL3A Z POL.OK20KG NB DMR</t>
  </si>
  <si>
    <t>EU M-SO WP.DR.KL3A Z POL.RO1</t>
  </si>
  <si>
    <t>EU M-SO WP.DR.KL3A Z POL.RO2</t>
  </si>
  <si>
    <t>EU M-SO WP.DR.KL3A Z POL.PBX2</t>
  </si>
  <si>
    <t>EU M-SO WP.DR.KL3A Z GŁÓW CH</t>
  </si>
  <si>
    <t>EU M-SO WP.DR.KL3B CH1</t>
  </si>
  <si>
    <t>***EU M-SO DR.WP.KL.3B NB MR ST</t>
  </si>
  <si>
    <t>EU M-SO WP.DR.KL3B OK20KG NB MR ST</t>
  </si>
  <si>
    <t>***EU M-SO DR.WP.KL.3B NB MR</t>
  </si>
  <si>
    <t>***EU M-SO DR.WP.KL.3B OK15KG KT CH</t>
  </si>
  <si>
    <t>***M-SO WP. DROBNE KL.3B NB MR ST</t>
  </si>
  <si>
    <t>***M-SO DR.WP.KL.3B PJ CH ST</t>
  </si>
  <si>
    <t>EU M-SO WP.DR.KL3B PJ ST</t>
  </si>
  <si>
    <t>***EU M-SO DR.WP.KL3B OKT ST</t>
  </si>
  <si>
    <t>EU M-SO WP.DR.KL3B PBX ST</t>
  </si>
  <si>
    <t>EU M-SO WP.DR.KL3B OK20KG NB MR K4</t>
  </si>
  <si>
    <t>EU M-SO DR.WP.KL.3B DMR</t>
  </si>
  <si>
    <t>EU M-SO WP.DR.KL3B OK20KG NB DMR</t>
  </si>
  <si>
    <t>***EU M-SO DR.WP.KL.3B PB DMR</t>
  </si>
  <si>
    <t>***M-SO WP. KL.3B OK.20KG PJ DMR</t>
  </si>
  <si>
    <t>EU M-SO WP.DR.KL3B NB RO1</t>
  </si>
  <si>
    <t>***EU M-SO DR.WP.KL.3B PB RO</t>
  </si>
  <si>
    <t>EU M-SO WP.DR.KL3B NB RO2</t>
  </si>
  <si>
    <t>***EU M-SO WP.DR.KL3B Z SCH.NB MR ST</t>
  </si>
  <si>
    <t>***M-SO WP.DR.KL3B Z SCH.PJ ST</t>
  </si>
  <si>
    <t>***EU M-SO WP.DR.KL3B Z SCH.NB DMR</t>
  </si>
  <si>
    <t>***EU M-SO WP.DR.KL3B Z SCH.NB RO1</t>
  </si>
  <si>
    <t>***EU M-SO WP.DR.KL3B Z SCH.NB RO2</t>
  </si>
  <si>
    <t>EU M-SO WP.DR.KL3B Z SZYN.CH1</t>
  </si>
  <si>
    <t>EU M-SO WP.DR.KL3B Z SZYN.OK20KG NB MRST</t>
  </si>
  <si>
    <t>EU M-SO WP.DR.KL3B Z SZYN.PJ ST</t>
  </si>
  <si>
    <t>EU M-SO WP.DR.KL3B Z SZYN.OK20KGLUZPJ K4</t>
  </si>
  <si>
    <t>EU M-SO WP.DR.KL3B Z SZYN.OK20KG NB MRK4</t>
  </si>
  <si>
    <t>EU M-SO WP.DR.KL3B Z SZYN.USR CH</t>
  </si>
  <si>
    <t>EU M-SO WP.DR.KL3B Z SZYN.OK20KG NB DMR</t>
  </si>
  <si>
    <t>EU M-SO WP.KL3B Z SZYN. RO1</t>
  </si>
  <si>
    <t>EU M-SO WP.DR.KL3B Z SZYN.CH2</t>
  </si>
  <si>
    <t>EU M-SO WP.KL3B Z SZYN. RO2</t>
  </si>
  <si>
    <t>EU M-SO WP.DR.KL3B USR CH1</t>
  </si>
  <si>
    <t>EU M-SO WP.DR.KL3B USR CH ST1</t>
  </si>
  <si>
    <t>EU M-SO WP.DR.KL3B USR CH2</t>
  </si>
  <si>
    <t>EU M-SO WP.DR.KL3B USR CH ST2</t>
  </si>
  <si>
    <t>PP M-SO WP.DR.KL3B CH1</t>
  </si>
  <si>
    <t>PP M-SO WP.DR.KL3B PBX ST1</t>
  </si>
  <si>
    <t>PP M-SO WP.DR.KL3B Z SZYN.OK15KGPB MR ST</t>
  </si>
  <si>
    <t>PP M-SO WP.DR.KL3B Z SZYN.CH</t>
  </si>
  <si>
    <t>PP M-SO WP.DR.KL3B Z SZYN.OK15KGLUZ PJST</t>
  </si>
  <si>
    <t>PP M-SO WP.DR.KL3B USR</t>
  </si>
  <si>
    <t>PP M-SO WP.DR.KL3B Z SZYN.OK15KG PB DMR</t>
  </si>
  <si>
    <t>PP M-SO WP.DR.KL3B Z SZYN.RO1</t>
  </si>
  <si>
    <t>PP M-SO WP.DR.KL3B PBX ST2</t>
  </si>
  <si>
    <t>PP M-SO WP.DR.KL3B Z SZYN.RO2</t>
  </si>
  <si>
    <t>PP M-SO WP.DR.KL3B Z SZYN.PBX ST2</t>
  </si>
  <si>
    <t>***M-SO KL.3B Z SZYNKI USR</t>
  </si>
  <si>
    <t>PP M-SO WP.DR.KL3B Z SZYN.USR CH</t>
  </si>
  <si>
    <t>EU M-SO WP.DR.KL3 ODŚC.80/20 USR CH1</t>
  </si>
  <si>
    <t>EU M-SO WP.DR.KL3ODŚC.80/20OK20KGPBMR ST</t>
  </si>
  <si>
    <t>EU M-SO WP.DR.KL3ODŚC.80/20OK20KGNBMR ST</t>
  </si>
  <si>
    <t>EU M-SO WP.DR.KL3B ODŚC.OK20KG NB MR K4</t>
  </si>
  <si>
    <t>EU M-SO WP.DR.KL3ODŚC.80/20 OK20KG PBDMR</t>
  </si>
  <si>
    <t>EU M-SO WP.DR.KL3ODŚC.80/20OK20KGNB DMR</t>
  </si>
  <si>
    <t>EU M-SO WP.DR.KL3 ODŚC.80/20 RO1</t>
  </si>
  <si>
    <t>***M-SO WP.DR.KL3 ODŚC.80/20 PB RO1</t>
  </si>
  <si>
    <t>EU M-SO WP.DR.KL3 ODŚC.80/20 USR CH2</t>
  </si>
  <si>
    <t>EU M-SO WP.DR.KL3 ODŚC.80/20 RO2</t>
  </si>
  <si>
    <t>***M-SO WP.DR.KL3 ODŚC.80/20 PB RO2</t>
  </si>
  <si>
    <t>EU M-SO WP.DR.KL3B ROZP1</t>
  </si>
  <si>
    <t>EU M-SO WP.DR.KL3B Z SZYN.ROZP1</t>
  </si>
  <si>
    <t>EU M-SO WP.DR.KL3B ROZP2</t>
  </si>
  <si>
    <t>EU M-SO WP.DR.KL3B Z SZYN.ROZP2</t>
  </si>
  <si>
    <t>EU M-SO WP.DR.KL4 CIE.CH</t>
  </si>
  <si>
    <t>***EU M-SO DR.WP.KL.4 NB PJ MR ST</t>
  </si>
  <si>
    <t>***M-SO WP.KL.4 CIEMNE OK.15KGWOR PJCHST</t>
  </si>
  <si>
    <t>***EU M-SO WP.DR.KL4 CIE.OK15KGWOR PJ ST</t>
  </si>
  <si>
    <t>***EU M-SO DR.WP.KL4 CIE.OKT ST</t>
  </si>
  <si>
    <t>EU M-SO WP.DR.KL4 CIE.PBX ST</t>
  </si>
  <si>
    <t>EU M-SO DR.WP.KL.4 NB DMR</t>
  </si>
  <si>
    <t>EU M-SO WP.DR.KL4 CIE.PBX USR ST1</t>
  </si>
  <si>
    <t>EU M-SO WP.DR.KL4 CIE.PBX USR ST2</t>
  </si>
  <si>
    <t>PP M-SO WP.DR.KL4 CIE.CH</t>
  </si>
  <si>
    <t>PP M-SO WP.DR.KL4 CIE.PBX ST1</t>
  </si>
  <si>
    <t>PP M-SO WP.DR.KL4 CIE.PBX ST2</t>
  </si>
  <si>
    <t>***EU M-SO WP.DR.KL2 LUZ KT</t>
  </si>
  <si>
    <t>PP M-SO WP.KL1 CIE.EXT.CH</t>
  </si>
  <si>
    <t>PP M-SO WP.DR.KL1 CIE.EXT.PBX1</t>
  </si>
  <si>
    <t>PP M-SO WP.KL1 CIE.EXT.USR</t>
  </si>
  <si>
    <t>PP M-SO WP.DR.KL1 CIE.EXT.PBX2</t>
  </si>
  <si>
    <t>EU M-SO WP.DR.KL1 CIE.Z ŁOP.CH</t>
  </si>
  <si>
    <t>EU M-SO WP.DR.KL1 CIE.Z ŁOP.OK20KGNBMRST</t>
  </si>
  <si>
    <t>EU M-SO WP.DR.KL1 CIE.Z ŁOP.PBX1</t>
  </si>
  <si>
    <t>EU M-SO WP.DR.KL1 CIE.Z ŁOP.PBX ST</t>
  </si>
  <si>
    <t>EU M-SO WP.DR.KL1 ŁOP.OK20KGWOR PJ K4</t>
  </si>
  <si>
    <t>EU M-SO WP.DR.KL1 CIE.Z ŁOP.OK20KGNB DMR</t>
  </si>
  <si>
    <t>EU M-SO WP.DR.KL1 CIE.Z ŁOP.RO1</t>
  </si>
  <si>
    <t>EU M-SO WP.DR.KL1 CIE.Z ŁOP.RO2</t>
  </si>
  <si>
    <t>EU M-SO WP.DR.KL1 CIE.Z ŁOP.PBX2</t>
  </si>
  <si>
    <t>PP M-SO WP.Z ŁOP.KL1B</t>
  </si>
  <si>
    <t>PPM-SO WP.DR.KL1B CIE.Z ŁOP.OK15KGNBMRST</t>
  </si>
  <si>
    <t>PP M-SO WP.DR.KL1B CIE.Z ŁOP.PBX ST1</t>
  </si>
  <si>
    <t>PPM-SO WP.DR.KL1B CIE.Z ŁOP.OK15KGNB DMR</t>
  </si>
  <si>
    <t>PP M-SO WP.DR.KL1B CIE.Z ŁOP.RO1</t>
  </si>
  <si>
    <t>PP M-SO WP.DR.KL1B CIE.Z ŁOP.RO2</t>
  </si>
  <si>
    <t>PP M-SO WP.DR.KL1B CIE.Z ŁOP.PBX ST2</t>
  </si>
  <si>
    <t>EU M-SO WP.DR.KL1 JAS.CH</t>
  </si>
  <si>
    <t>EU M-SO WP.DR.KL1 JAS.OK20KG NB MR ST</t>
  </si>
  <si>
    <t>***EU M-SO WP.DR.KL1 JAS.OK15KG PJ CH ST</t>
  </si>
  <si>
    <t>***EU M-SO WP.DR.KL1 JAS.OK700KG OKT ST</t>
  </si>
  <si>
    <t>***EUM-SO WP.DR.KL1 JAS.OK20KGWORPJK4ZAK</t>
  </si>
  <si>
    <t>EU M-SO WP.DR.KL1 JAS.OK20KGWOR PJ K4</t>
  </si>
  <si>
    <t>EU M-SO WP.DR.KL1 JAS.OK20KG NB MR K4</t>
  </si>
  <si>
    <t>EU M-SO WP.DR.KL1 JAS.OK20KG NB DMR</t>
  </si>
  <si>
    <t>EU M-SO WP.DR.KL1 JAS.NB RO1</t>
  </si>
  <si>
    <t>EU M-SO WP.DR.KL1 JAS.NB RO2</t>
  </si>
  <si>
    <t>EU M-SO WP.DR.KL1 JAS.USR CH1</t>
  </si>
  <si>
    <t>EU M-SO WP.DR.KL1 JAS.USR CH2</t>
  </si>
  <si>
    <t>PP M-SO WP.DR.KL1 JAS.CH</t>
  </si>
  <si>
    <t>PP M-SO WP.DR.KL1 JAS.PBX ST1</t>
  </si>
  <si>
    <t>PP M-SO WP.DR.KL1 JAS.USR</t>
  </si>
  <si>
    <t>PP M-SO WP.DR.KL1 JAS.PBX ST2</t>
  </si>
  <si>
    <t>EU M-SO WP.DR.KL1 CIE.CH</t>
  </si>
  <si>
    <t>EU M-SO WP.DR.KL1 CIE.OK20KG NB MR ST</t>
  </si>
  <si>
    <t>EU M-SO WP.DR.KL1 CIE.OK15KG PJ CH ST</t>
  </si>
  <si>
    <t>***EU M-SO WP.DR.KL1 CIE.OK700KG OKT ST</t>
  </si>
  <si>
    <t>EU M-SO WP.DR.KL1 CIE.PBX ST</t>
  </si>
  <si>
    <t>EU M-SO WP.DR.KL1B Z ŁOP.NB MR SZ</t>
  </si>
  <si>
    <t>EU M-SO WP.DR.KL1 CIE.OK15KGWOR PJ CH K2</t>
  </si>
  <si>
    <t>***M-SO WP.KL1 CIE.KGVAC K4 ZAK</t>
  </si>
  <si>
    <t>EU M-SO WP.DR.KL1 CIE.OK20KGWOR PJ K4</t>
  </si>
  <si>
    <t>EU M-SO WP.DR.KL1 CIE.OK20KG NB MR K4</t>
  </si>
  <si>
    <t>EU M-SO WP.DR.KL1 CIE.PBX 1OB K4</t>
  </si>
  <si>
    <t>EU M-SO WP.DR.KL1 CIE.PBX K4</t>
  </si>
  <si>
    <t>EU M-SO WP.DR.KL1 CIE.OK20KG NB DMR</t>
  </si>
  <si>
    <t>EU M-SO WP.DR.KL1B Z ŁOP.RO1</t>
  </si>
  <si>
    <t>EU M-SO WP.DR.KL1 CIE.RO1</t>
  </si>
  <si>
    <t>EU M-SO WP.DR.KL1B Z ŁOP.RO2</t>
  </si>
  <si>
    <t>EU M-SO WP.DR.KL1 CIE.RO2</t>
  </si>
  <si>
    <t>EU M-SO WP.DR.KL1 CIE.USR CH1</t>
  </si>
  <si>
    <t>EU M-SO WP.DR.KL1 CIE.GAP USR CH</t>
  </si>
  <si>
    <t>EU M-SO WP.DR.KL1 CIE.PBX GAP</t>
  </si>
  <si>
    <t>EU M-SO WP.DR.KL1 CIE.OK20KGLUZPJ GAP ST</t>
  </si>
  <si>
    <t>EU M-SO WP.DR.KL1 CIE.USR CH2</t>
  </si>
  <si>
    <t>PP M-SO WP.DR.KL1 CIE.CH</t>
  </si>
  <si>
    <t>PP M-SO WP.DR.KL1 CIE.OK15KG NB MR ST</t>
  </si>
  <si>
    <t>PP M-SO WP.DR.KL1 CIE.USR PBX ST1</t>
  </si>
  <si>
    <t>PP M-SO WP.DR.KL1 CIE.OK15KGLUZ PJ ST</t>
  </si>
  <si>
    <t>PP M-SO WP.DR.KL1 CIE.USR</t>
  </si>
  <si>
    <t>PP M-SO WP.DR.KL1 CIE.OK15KG NB DMR</t>
  </si>
  <si>
    <t>PP M-SO WP.DR.KL1 CIE.RO1</t>
  </si>
  <si>
    <t>PP M-SO WP.DR.KL1 CIE.RO2</t>
  </si>
  <si>
    <t>PP M-SO WP.DR.KL1 CIE.USR PBX ST2</t>
  </si>
  <si>
    <t>EU M-SO WP.DR.KL1 CIE.GAP CH</t>
  </si>
  <si>
    <t>EU M-SO WP.DR.KL1 CIE.OK20KGNB GAP MR ST</t>
  </si>
  <si>
    <t>EU M-SO WP.DR.KL1 CIE.OK20KG NB GAP DMR</t>
  </si>
  <si>
    <t>EU M-SO WP.DR.KL2A.Z ŁOP.CH1</t>
  </si>
  <si>
    <t>EU M-SO WP.DR.KL2A Z ŁOP.NB MR ST</t>
  </si>
  <si>
    <t>EU M-SO WP.DR.KL2A Z ŁOP.PBX ST1</t>
  </si>
  <si>
    <t>EU M-SO WP.DR.KL2A Z ŁOP.OK15KGNBGAPMRST</t>
  </si>
  <si>
    <t>EU M-SO WP.DR.KL2A.Z ŁOP.NB DMR</t>
  </si>
  <si>
    <t>EU M-SO WP.DR.KL2A Z ŁOP.OK15KGNBGAP DMR</t>
  </si>
  <si>
    <t>EU M-SO WP.DR.Z ŁOP.KL2A NB RO1</t>
  </si>
  <si>
    <t>EU M-SO WP.DR.KL2A.Z ŁOP.CH2</t>
  </si>
  <si>
    <t>EU M-SO WP.DR.Z ŁOP.KL2A NB RO2</t>
  </si>
  <si>
    <t>EU M-SO WP.DR.KL2A Z ŁOP.PBX ST2</t>
  </si>
  <si>
    <t>EU M-SO WP.DR.KL2A Z ŁOP.USR CH</t>
  </si>
  <si>
    <t>PP M-SO WP.DR.KL2A Z ŁOP.CH</t>
  </si>
  <si>
    <t>PP M-SO WP.DR.KL2A Z ŁOP.OK20KG NB MR ST</t>
  </si>
  <si>
    <t>PP M-SO WP.DR.KL2A Z ŁOP.PBX ST1</t>
  </si>
  <si>
    <t>PP M-SO WP.DR.KL2A Z ŁOP.USR CH</t>
  </si>
  <si>
    <t>PP M-SO WP.DR.KL2A Z ŁOP.OK15KG NB DMR</t>
  </si>
  <si>
    <t>PP M-SO WP.DR.KL2A Z ŁOP.RO1</t>
  </si>
  <si>
    <t>PP M-SO WP.DR.KL2A Z ŁOP.RO2</t>
  </si>
  <si>
    <t>PP M-SO WP.DR.KL2A Z ŁOP.PBX ST2</t>
  </si>
  <si>
    <t>EU M-SO WP.DR.KL2A.Z ŁOP.GAP CH</t>
  </si>
  <si>
    <t>EU M-SO WP.DR.KL2A Z ŁOP.PBX GAP</t>
  </si>
  <si>
    <t>***M-SO WP.KL4 Z OBR.PODR.NB MR</t>
  </si>
  <si>
    <t>M-SO WP KL.4 Z OBR.PODR.OK15KG WOR MR EŁ</t>
  </si>
  <si>
    <t>***M-SO WP.KL4 Z OBR.PODR.NB DMR</t>
  </si>
  <si>
    <t>***M-SO KL.4 Z.OBR.PODR. PB DMR</t>
  </si>
  <si>
    <t>***M-SO KL.4 Z. OBR.PODR. PB RO</t>
  </si>
  <si>
    <t>***M-SO KL.4 Z. OBR.PODR. CP</t>
  </si>
  <si>
    <t>PP M-SO WP.DR.KL1 CIE.ZE SCH.PBX ST</t>
  </si>
  <si>
    <t>EU M-SO DR.WP.KL.1 CIE.KABAN.CH</t>
  </si>
  <si>
    <t>***EU M-SO WP.DR.KL1 CIE.KABAN.NB MR</t>
  </si>
  <si>
    <t>***EU M-SO DR.WP.KL1 CIE.KABAN.PJ MR ST</t>
  </si>
  <si>
    <t>***M-SO WP.KL.1DR.CIEM.KABANOSMR LUZPJST</t>
  </si>
  <si>
    <t>***EU M-SO DR.WP.KL.1 CIE.KABAN.LUZ PJ</t>
  </si>
  <si>
    <t>***EU M-SO DR.WP.KL.1 CIE.KABAN.PJ CH ST</t>
  </si>
  <si>
    <t>***EU M-SO WP.DR.KL1 CIE.KABAN.NB DMR</t>
  </si>
  <si>
    <t>***EU M-SO DR.WP.KL.1 CIE.KABAN.PB DMR</t>
  </si>
  <si>
    <t>***M-SO KL.1 CIEMNE KABAN. PB DMR</t>
  </si>
  <si>
    <t>***EU M-SO WP.DR.KL1 CIE.KABAN.NB RO</t>
  </si>
  <si>
    <t>***M-SO WP.KL1 DR.CIE.KABAN.PB RO</t>
  </si>
  <si>
    <t>***M-SO KL.1 CIEMNE KABAN. PB RO</t>
  </si>
  <si>
    <t>***M-SO KL.1 CIEMNE KABAN. UŚR CH</t>
  </si>
  <si>
    <t>***EU M-SO DR.WP.KL.4 OBR.POLĘD.</t>
  </si>
  <si>
    <t>***EU M-SO DR.WP.KL.4 OBR.POLĘD.NB MR</t>
  </si>
  <si>
    <t>***EU M-SO DR.WP.KL.4 OBR.POLĘD.NB DMR</t>
  </si>
  <si>
    <t>EU M-SO WP.DR.KL4B CH1</t>
  </si>
  <si>
    <t>EU M-SO WP.DR.KL4B NB MR ST</t>
  </si>
  <si>
    <t>EU M-SO WP.DR.KL4B OK20KG PB MR ST</t>
  </si>
  <si>
    <t>***M-SO WP.DR.KL4B MR PB</t>
  </si>
  <si>
    <t>EU M-SO WP.DR.KL4B OK15KGPJ CH ST</t>
  </si>
  <si>
    <t>EU M-SO WP.DR.KL4B OK20KG NB DMR</t>
  </si>
  <si>
    <t>EU M-SO WP.DR.KL4B OK20KG PB DMR</t>
  </si>
  <si>
    <t>***EU M-SO DR.WP.KL4B PB DMR</t>
  </si>
  <si>
    <t>EU M-SO WP.DR.KL4B NB RO1</t>
  </si>
  <si>
    <t>EU M-SO WP.DR.KL4B PB RO1</t>
  </si>
  <si>
    <t>EU M-SO WP.DR.KL4B CH2</t>
  </si>
  <si>
    <t>EU M-SO WP.DR.KL4B NB RO2</t>
  </si>
  <si>
    <t>EU M-SO WP.DR.KL4B PB RO2</t>
  </si>
  <si>
    <t>EU M-SO WP.DR.KL4B ROZP1</t>
  </si>
  <si>
    <t>EU M-SO WP.DR.KL4B ROZP2</t>
  </si>
  <si>
    <t>EU M-SO WP.DR.KL4 OBR.FIL.PRZEP.CH1</t>
  </si>
  <si>
    <t>***EU M-SO DR.WP.KL4 OBR.FIL.PRZEP.NB MR</t>
  </si>
  <si>
    <t>***EU M-SO DR.WP.KL4 OBR.FIL.PRZEP.NBDMR</t>
  </si>
  <si>
    <t>***EU M-SO DR.WP.KL4 OBR.FIL.PRZEP.NB RO</t>
  </si>
  <si>
    <t>EU M-SO WP.DR.KL4 OBR.FIL.PRZEP.CH2</t>
  </si>
  <si>
    <t>EU M-SO WP.KL4P Z/OBR.PODR.CH1</t>
  </si>
  <si>
    <t>EU M-SO WP.KL4P OK20KGPB MR ST</t>
  </si>
  <si>
    <t>EU M-SO WP.KL4 POUB.Z/OBR.PODR.PBX1</t>
  </si>
  <si>
    <t>EU M-SO WP.KL4P Z/OBR.PODR.OK20KGNBMR ST</t>
  </si>
  <si>
    <t>EU M-SO WP.KL4P Z/OBR.PODR.OK20KGL PJ ST</t>
  </si>
  <si>
    <t>***M-SO WP.DR.KL4B PBX MR K4 ZAK</t>
  </si>
  <si>
    <t>EU M-SO WP.KL4P OK20KG PB DMR</t>
  </si>
  <si>
    <t>EU M-SO WP.KL4P Z/OBR.PODR.OK20KG NB DMR</t>
  </si>
  <si>
    <t>EU M-SO WP.KL4P Z/OBR.PODR.RO1</t>
  </si>
  <si>
    <t>EU M-SO WP.KL4P Z/OBR.PODR.CH2</t>
  </si>
  <si>
    <t>EU M-SO WP.KL4 POUB.Z/OBR.PODR.PBX2</t>
  </si>
  <si>
    <t>EU M-SO WP.KL4P Z/OBR.PODR.RO2</t>
  </si>
  <si>
    <t>PP M-SO WP.KL4 POUB.CH1</t>
  </si>
  <si>
    <t>PP M-SO WP.KL4P Z/OBR.PODR.PBX1</t>
  </si>
  <si>
    <t>PP M-SO WP.KL4P Z/OBR.PODR.OK20KGNBMR ST</t>
  </si>
  <si>
    <t>PP M-SO WP.KL4P Z/OBR.PODR.OK20KGL PJ ST</t>
  </si>
  <si>
    <t>PP M-SO WP.KL4P Z/OBR.PODR.OK20KG NB DMR</t>
  </si>
  <si>
    <t>PP M-SO WP.KL4 POUB.Z/OBR.PODR.RO1</t>
  </si>
  <si>
    <t>PP M-SO WP.KL4 POUB.CH2</t>
  </si>
  <si>
    <t>PP M-SO WP.KL4P Z/OBR.PODR.PBX2</t>
  </si>
  <si>
    <t>PP M-SO WP.KL4 POUB.Z/OBR.PODR.RO2</t>
  </si>
  <si>
    <t>PP M-SO WP.DR.KL4B CH1</t>
  </si>
  <si>
    <t>PP M-SO WP.DR.KL4B OK20KG NB MR ST</t>
  </si>
  <si>
    <t>PP M-SO WP.DR.KL4B PBX1</t>
  </si>
  <si>
    <t>PP M-SO WP.DR.KL4B OK20KG NB DMR</t>
  </si>
  <si>
    <t>PP M-SO WP.DR.KL4B RO1</t>
  </si>
  <si>
    <t>PP M-SO WP.DR.KL4B CH2</t>
  </si>
  <si>
    <t>PP M-SO WP.DR.KL4B RO2</t>
  </si>
  <si>
    <t>PP M-SO WP.DR.KL4B PBX2</t>
  </si>
  <si>
    <t>PL M-SO DR.KL1 CIE.Z SZYN.MAC.CH</t>
  </si>
  <si>
    <t>PL M-SO WP.DR.KL1 CIE.Z SZYN.MAC.PBX1</t>
  </si>
  <si>
    <t>PL M-SO WP.DR.KL1 CIE.Z SZYN.MAC.PBX ST</t>
  </si>
  <si>
    <t>PL M-SO WP.DR.KL1 CIE.Z SZYN.MAC.PBX2</t>
  </si>
  <si>
    <t>PP M-SO WP.DR.KL1 CIE.Z SZYN.MAC.CH</t>
  </si>
  <si>
    <t>PP M-SO WP.DR.KL1 CIE.Z SZYN.MAC.PBX1</t>
  </si>
  <si>
    <t>PP M-SO WP.DR.KL1 CIE.Z SZYN.MAC.PBX ST</t>
  </si>
  <si>
    <t>PP M-SO WP.DR.KL1 CIE.Z SZYN.MAC.PBX2</t>
  </si>
  <si>
    <t>***PL M-SO WP.DR.KL2A PRZOD.MAC.CH</t>
  </si>
  <si>
    <t>***PL M-SO WP.DR.KL2A PRZOD.MAC.PBX</t>
  </si>
  <si>
    <t>***PP M-SO WP.DR.KL2A PRZOD.MAC.CH</t>
  </si>
  <si>
    <t>***PP M-SO WP.DR.KL2A PRZOD.MAC.PBX</t>
  </si>
  <si>
    <t>PL M-SO WP.DR.KL1 CIE.Z POL.MAC.CH</t>
  </si>
  <si>
    <t>PL M-SO WP.DR.KL1 CIE.Z POL.MAC.PBX1</t>
  </si>
  <si>
    <t>PL M-SO WP.DR.KL1 CIE.Z POL.MAC.PBX2</t>
  </si>
  <si>
    <t>PP M-SO WP.DR.KL1 CIE.Z POL.MAC.CH</t>
  </si>
  <si>
    <t>PP M-SO WP.DR.KL1 CIE.Z POL.MAC.PBX1</t>
  </si>
  <si>
    <t>PP M-SO WP.DR.KL1 CIE.Z POL.MAC.PBX2</t>
  </si>
  <si>
    <t>PL M-SO WP.DR.KL2A ŚR.MAC.CH</t>
  </si>
  <si>
    <t>PL M-SO WP.DR.KL2A ŚR.MAC.PBX1</t>
  </si>
  <si>
    <t>PL M-SO WP.DR.KL2A ŚR.MAC.PBX2</t>
  </si>
  <si>
    <t>PP M-SO WP.DR.KL2A ŚR.MAC.CH</t>
  </si>
  <si>
    <t>PP M-SO WP.DR.KL2A ŚR.MAC.PBX1</t>
  </si>
  <si>
    <t>PP M-SO WP.DR.KL2A ŚR.MAC.PBX2</t>
  </si>
  <si>
    <t>PL M-SO WP.DR.KL1 CIE.ZE SCH.MAC.CH</t>
  </si>
  <si>
    <t>PL M-SO WP.DR.KL1 CIE.ZE SCH.MAC.PBX1</t>
  </si>
  <si>
    <t>PL M-SO WP.DR.KL1 CIE.ZE SCH.MAC.PBX ST</t>
  </si>
  <si>
    <t>PL M-SO WP.DR.KL1 CIE.ZE SCH.MAC.PBX2</t>
  </si>
  <si>
    <t>PP M-SO WP.DR.KL1 CIE.ZE SCH.MAC.CH</t>
  </si>
  <si>
    <t>PP M-SO WP.DR.KL1 CIE.ZE SCH.MAC.PBX1</t>
  </si>
  <si>
    <t>PP M-SO WP.DR.KL1 CIE.ZE SCH.MAC.PBX ST</t>
  </si>
  <si>
    <t>PP M-SO WP.DR.KL1 CIE.ZE SCH.MAC.PBX2</t>
  </si>
  <si>
    <t>OKOSTNA CH</t>
  </si>
  <si>
    <t>OKOSTNA CH ZAK</t>
  </si>
  <si>
    <t>OKOSTNA CH USR</t>
  </si>
  <si>
    <t>EU M-SO WP.DR.KL1 JAS.ZAPARZ.CH</t>
  </si>
  <si>
    <t>PP M-SO WP.DR.KL1 JAS.ZAPARZ.CH</t>
  </si>
  <si>
    <t>PP M-SO WP.DR.KL3 ODŚC.80/20 CH</t>
  </si>
  <si>
    <t>PP M-SO WP.DR.KL3 ODŚC.80/20 PBX ST</t>
  </si>
  <si>
    <t>PP M-SO WP.DR.KL3ODŚC.80/20 OK20KGNBMRST</t>
  </si>
  <si>
    <t>PP M-SO WP.DR.KL3 ODŚC.80/20 USR CH</t>
  </si>
  <si>
    <t>PP M-SO WP.DR.KL3ODŚC.80/20 OK20KGNBDMR</t>
  </si>
  <si>
    <t>PP M-SO WP.DR.KL3 ODŚC.80/20 RO1</t>
  </si>
  <si>
    <t>PP M-SO WP.DR.KL3 ODŚC.80/20 RO2</t>
  </si>
  <si>
    <t>MASKI TŁ.Z/GŁ/S/RYJ.OK20KGWOR KT</t>
  </si>
  <si>
    <t>***PL MASKI TŁ.Z/GŁ.Z/SK.10KGWORKT MR EX</t>
  </si>
  <si>
    <t>PORCO MASCARA</t>
  </si>
  <si>
    <t>***MASKI TŁ.Z/GŁ/SK.10KG WOR KT MR EX</t>
  </si>
  <si>
    <t>PL MASKI TŁ.Z/GŁ/S/RYJ.OK800KG OKT</t>
  </si>
  <si>
    <t>***PL MASKI TŁ.Z/GŁ/SK.10KGWOR KT DMR EX</t>
  </si>
  <si>
    <t>***MASKI TŁ.Z/GŁ/SK.10KG WOR KT DMR EX</t>
  </si>
  <si>
    <t>***MASKI TŁ.Z/GŁ/SK.WOR OK10KG KT RO1</t>
  </si>
  <si>
    <t>***MASKI TŁ.Z/GŁ/SK.WOR OK10KG KT RO2</t>
  </si>
  <si>
    <t>***EU MASKI TŁ.Z/GŁ/SK.10KG WOR KT MR EX</t>
  </si>
  <si>
    <t>***EU MASKI TŁ.Z/GŁ/S.10KGWOR KT DMR EX</t>
  </si>
  <si>
    <t>***PL RYJEK WP.15KGWOR KT MR EX</t>
  </si>
  <si>
    <t>***RYJEK WP.15G WOR KT MR EX</t>
  </si>
  <si>
    <t>***PL RYJEK WP.15KG KT DMR EX</t>
  </si>
  <si>
    <t>***RYJEK WP.15G WOR KT DMR EX</t>
  </si>
  <si>
    <t>***RYJEK WP.15GWOR KT RO1</t>
  </si>
  <si>
    <t>***RYJEK WP.15GWOR KT RO2</t>
  </si>
  <si>
    <t>EU RYJEK WP.CH</t>
  </si>
  <si>
    <t>***EU RYJEK WP.15KGWOR KT MR EX</t>
  </si>
  <si>
    <t>***EU RYJEK WP.15G WOR KT DMR EX</t>
  </si>
  <si>
    <t>***MASKI I M-SO Z/GŁ.Z/SK.NB MR ST</t>
  </si>
  <si>
    <t>***MASKI Z GŁ.B/USZU CH ZAK</t>
  </si>
  <si>
    <t>MASKI I M-SO Z/GŁ.Z/SK.PBX CH SZ</t>
  </si>
  <si>
    <t>***MASKI I M-SO Z/GŁ.Z/SK.NB DMR</t>
  </si>
  <si>
    <t>***MASKI Z GŁÓW RO1</t>
  </si>
  <si>
    <t>***MASKI Z GŁÓW RO2</t>
  </si>
  <si>
    <t>SŁONINA Z/SK CH</t>
  </si>
  <si>
    <t>SŁONINA Z/SK UŚR CH</t>
  </si>
  <si>
    <t>SŁONINA HANDL.B/S.CH</t>
  </si>
  <si>
    <t>***SŁONINA B/SK MR</t>
  </si>
  <si>
    <t>***SŁONINA WP.B/S.LUZ OK5KGKT TIP</t>
  </si>
  <si>
    <t>***SŁONINA WP.HANDLOWA PB MR ST</t>
  </si>
  <si>
    <t>***SŁONIWP.B/SK. OK.250G MAP OK.2KG KT J</t>
  </si>
  <si>
    <t>***SŁONINA HANDL.B/SK.OK1.5KGVACOK9KG KT</t>
  </si>
  <si>
    <t>***SŁONIHAND.B/SK.OK2.5KGVACOK7KGPJ TESC</t>
  </si>
  <si>
    <t>***SŁONINA WP.OK2.5KGVAC OK5KGKT MOR</t>
  </si>
  <si>
    <t>***SŁONINA HAND.B/S.OK1.5KGVACOK9KGKTSEL</t>
  </si>
  <si>
    <t>PL SŁONINA WP.OK2.5KG VAC OK5KG KT MOR</t>
  </si>
  <si>
    <t>***SŁONINA B/SK DMR</t>
  </si>
  <si>
    <t>***SŁONINA B/SK OK.15KG KT DMR</t>
  </si>
  <si>
    <t>***SŁONINA WP.B/SK.HANDL.PB DMR</t>
  </si>
  <si>
    <t>***SŁONINA WP.B/SK.HANDL.PB RO1</t>
  </si>
  <si>
    <t>***SŁONINA WP.B/SK.HANDL.PB RO2</t>
  </si>
  <si>
    <t>***EU SŁONINA WP.OK2.5KG VACOK5KG KT MOR</t>
  </si>
  <si>
    <t>EU SŁONINA WP.OK2.5KG VAC OK5KG KT MOR</t>
  </si>
  <si>
    <t>SŁONINA HANDL.B/S.USR CH1</t>
  </si>
  <si>
    <t>***SŁONINA HANDL.B/SK.PBX USR CH</t>
  </si>
  <si>
    <t>SŁONINA HANDL.B/S.USR CH2</t>
  </si>
  <si>
    <t>TŁUSZCZ WP. PACHWINOWY CH</t>
  </si>
  <si>
    <t>PL TŁUSZCZ WP.PACH.OK20KG NB MR EX</t>
  </si>
  <si>
    <t>***TŁUSZCZ PACHW.MRŻ.</t>
  </si>
  <si>
    <t>SLANINA BUCATI MOALE</t>
  </si>
  <si>
    <t>TŁUSZCZ PACH.PB MR EX</t>
  </si>
  <si>
    <t>***TŁUSZCZ PACH.OK15KGPJ CH</t>
  </si>
  <si>
    <t>PL TŁUSZCZ WP.PACH.OK20KG NB DMR</t>
  </si>
  <si>
    <t>***TŁUSZCZ PACH. PB DMR</t>
  </si>
  <si>
    <t>Slanina bucati moale</t>
  </si>
  <si>
    <t>TŁUSZCZ Z/SK CH</t>
  </si>
  <si>
    <t>TŁUSZCZ Z/S.OK20KG NB MR</t>
  </si>
  <si>
    <t>***TŁUSZCZ WP.Z/S.OK20KG LUZ PJ ST</t>
  </si>
  <si>
    <t>TŁUSZCZ WP.Z/S.PB RO1</t>
  </si>
  <si>
    <t>***TŁUSZCZ Z/S.PB RO1</t>
  </si>
  <si>
    <t>TŁUSZCZ WP.Z/S.PB RO2</t>
  </si>
  <si>
    <t>***TŁUSZCZ Z/S.PB RO2</t>
  </si>
  <si>
    <t>TŁUSZCZ Z/SK UŚR CH1</t>
  </si>
  <si>
    <t>TŁUSZCZ Z/SK UŚR CH2</t>
  </si>
  <si>
    <t>TŁUSZCZ WP.Z/SK.ROZP1</t>
  </si>
  <si>
    <t>TŁUSZCZ WP.Z/SK.ROZP2</t>
  </si>
  <si>
    <t>TŁUSZCZ WP.DR.CH</t>
  </si>
  <si>
    <t>***TŁUSZCZ DROBNY NB MR</t>
  </si>
  <si>
    <t>***TŁUSZCZ DROBNY MR. OW</t>
  </si>
  <si>
    <t>TŁUSZCZ WP.DR.OK20KG NB MR EX ST</t>
  </si>
  <si>
    <t>SLANINA BUCATI TARE</t>
  </si>
  <si>
    <t>TŁUSZCZ DR.OK20KG PB MR EX</t>
  </si>
  <si>
    <t>TŁUSZCZ WP.DROBNY PB MR ST</t>
  </si>
  <si>
    <t>TŁUSZCZ DROBNY MR EX PL</t>
  </si>
  <si>
    <t>Slanina bucati tare</t>
  </si>
  <si>
    <t>TŁUSZCZ DR.20KGWOR KT MR HK</t>
  </si>
  <si>
    <t>***TŁUSZCZ DROBNY OK.15KG KT MR ST</t>
  </si>
  <si>
    <t>***TŁUSZCZ DR.10KGWORKT MR HK</t>
  </si>
  <si>
    <t>***TŁUSZCZ DROBNY NB MR ROS</t>
  </si>
  <si>
    <t>***TŁUSZCZ DROBNY MRŻ.EXP.STRETCH</t>
  </si>
  <si>
    <t>TŁUSZCZ DR.10KGWORKT MR VN</t>
  </si>
  <si>
    <t>TŁUSZCZ DROBNY CH PJ OW ST</t>
  </si>
  <si>
    <t>***TŁUSZCZ DR.WP.PBX CH ST</t>
  </si>
  <si>
    <t>***TŁUSZCZ DROBNY PLASTBOX</t>
  </si>
  <si>
    <t>***TŁUSZCZ DROBNY WP. OKTOBINA ST</t>
  </si>
  <si>
    <t>TŁUSZCZ WP.DR.TWARDY OK15KGLUZ PJ SZ</t>
  </si>
  <si>
    <t>TŁUSZCZ DR.WP.OK15KG PB MR K2</t>
  </si>
  <si>
    <t>***TŁUSZCZ DR.PBX K4 ZAK</t>
  </si>
  <si>
    <t>TŁUSZCZ DR.OK15KG PB MR SZ</t>
  </si>
  <si>
    <t>TŁUSZCZ WP.DR.OK20KG NB MR EŁ</t>
  </si>
  <si>
    <t>***TŁUSZCZ DROBNY NB DMR</t>
  </si>
  <si>
    <t>***TŁUSZCZ DROBNY NB DMR OW</t>
  </si>
  <si>
    <t>TŁUSZCZ DR.OK20KG PB DMR EX</t>
  </si>
  <si>
    <t>***TŁUSZCZ DROBNY OK 15KG KT DMR EX</t>
  </si>
  <si>
    <t>***TŁUSZCZ DR.10KGWOR KT DMR HK</t>
  </si>
  <si>
    <t>***TŁUSZCZ DROBNY NB DMR ROS</t>
  </si>
  <si>
    <t>***TŁUSZCZ DROBNY PB DMR EX</t>
  </si>
  <si>
    <t>***TŁUSZCZ DROBNY NB RO1</t>
  </si>
  <si>
    <t>TŁUSZCZ DROBNY NB RO OW</t>
  </si>
  <si>
    <t>***TŁUSZCZ DROBNY NB ROS RO</t>
  </si>
  <si>
    <t>***TŁUSZCZ DROBNY NB RO2</t>
  </si>
  <si>
    <t>TŁUSZCZ WP.DROBNY PB RO2</t>
  </si>
  <si>
    <t>***TŁUSZCZ DROB.WP. PL</t>
  </si>
  <si>
    <t>TŁUSZCZ DR.Z SZYN.CH1</t>
  </si>
  <si>
    <t>TŁUSZCZ DR.Z SZYN.USR CH</t>
  </si>
  <si>
    <t>TŁUSZCZ DR.Z SZYN.CH2</t>
  </si>
  <si>
    <t>TŁUSZCZ DROBNY UŚR CH1</t>
  </si>
  <si>
    <t>TŁUSZCZ DROBNY UŚR CH2</t>
  </si>
  <si>
    <t>PP TŁUSZCZ WP.DR.CH</t>
  </si>
  <si>
    <t>PP TŁUSZCZ WP.DR.OK20KG NB MR ST</t>
  </si>
  <si>
    <t>PP TŁUSZCZ WP.DR.OK20KG PB MR EŁ</t>
  </si>
  <si>
    <t>PP TŁUSZCZ WP.DR.Z SZYN.CH</t>
  </si>
  <si>
    <t>PP TŁUSZCZ DR.Z SZYN.PBX ST1</t>
  </si>
  <si>
    <t>PP TŁUSZCZ WP.DR.Z SZYN.OK15KGWOR PJ ST</t>
  </si>
  <si>
    <t>PP TŁUSZCZ WP.DR.Z SZYN.OK500KG OKT ST</t>
  </si>
  <si>
    <t>PP TŁUSZCZ DR.USR CH</t>
  </si>
  <si>
    <t>PP TŁUSZCZ DR.OK20KG NB DMR</t>
  </si>
  <si>
    <t>PP TŁUSZCZ WP.DR.RO1</t>
  </si>
  <si>
    <t>PP TŁUSZCZ DR.PBX ST2</t>
  </si>
  <si>
    <t>PP TŁUSZCZ WP.DR.RO2</t>
  </si>
  <si>
    <t>PP TŁUSZCZ DR.Z SZYN.PBX ST2</t>
  </si>
  <si>
    <t>***TŁUSZCZ DROBNY Z SZYNKI USR</t>
  </si>
  <si>
    <t>TŁUSZCZ DR.Z SZYN.OK20KG NB MR ST</t>
  </si>
  <si>
    <t>PP TŁUSZCZ DR.Z SZYN.OK20KG NB MR ST</t>
  </si>
  <si>
    <t>***TŁUSZCZ DR.Z SZYN.OK500KGPBX CH ST</t>
  </si>
  <si>
    <t>TŁUSZCZ WP.DR.Z SZYN.OK.15KGLUZ PJ SZ</t>
  </si>
  <si>
    <t>PP TŁUSZCZ DR.Z SZYN.USR CH</t>
  </si>
  <si>
    <t>TŁUSZCZ DR.Z SZYN.OK20KG NB DMR</t>
  </si>
  <si>
    <t>PP TŁUSZCZ DR.Z SZYN.OK20KG NB DMR</t>
  </si>
  <si>
    <t>TŁUSZCZ DROB.WP. UŚR</t>
  </si>
  <si>
    <t>TŁUSZCZ DR.WP.ROZP1</t>
  </si>
  <si>
    <t>TŁUSZCZ DR.WP.ROZP2</t>
  </si>
  <si>
    <t>TŁUSZCZ ODPAD. CP</t>
  </si>
  <si>
    <t>SŁONINA PRZEM.B/S.CH</t>
  </si>
  <si>
    <t>SŁONINA HANDL.B/S.OK20KGWOR MR MORR ST</t>
  </si>
  <si>
    <t>SŁONINA PRZEM.B/S.OK15KG NB MR ST</t>
  </si>
  <si>
    <t>***SŁONINA PRZEM. B/SK NB MR ROS</t>
  </si>
  <si>
    <t>SŁONINA PRZEM.B/S.OK20KG PB MR</t>
  </si>
  <si>
    <t>***SŁONINA PRZEMYSŁOWA EXPORT</t>
  </si>
  <si>
    <t>SŁONINA PRZEM.B/S.OK1.2KGVAC 15KGPJ ECS</t>
  </si>
  <si>
    <t>PL SŁONINA OK3KGVAC OK9KGKT MORE EX</t>
  </si>
  <si>
    <t>PP SŁONINA OK1.5KGVAC OK3KGKT BIED</t>
  </si>
  <si>
    <t>SŁONINA PRZEM.B/S.MAX.18KGWOR PJ</t>
  </si>
  <si>
    <t>***SŁONINA PRZEMYSŁOWA OK20KGPJ CH ST</t>
  </si>
  <si>
    <t>SŁONINA PRZEM.B/S.OK15KGWOR PJ</t>
  </si>
  <si>
    <t>***SŁONINA B/SK PRZEM.PB CH</t>
  </si>
  <si>
    <t>SŁONINA HANDL.B/S.OK20KGWOR DMR MORR</t>
  </si>
  <si>
    <t>SŁONINA PRZEM.B/S.OK15KG PJ DMR</t>
  </si>
  <si>
    <t>***SŁONINA PRZEM. B/SK NB DMR</t>
  </si>
  <si>
    <t>SŁONINA PRZEM.B/S.OK20KG PB DMR</t>
  </si>
  <si>
    <t>***SŁONINA B/SK PRZEM. PB DMR EX</t>
  </si>
  <si>
    <t>SŁONINA PRZEM.B/S.RO1</t>
  </si>
  <si>
    <t>***SŁONINA PRZEM. B/SK NB ROS RO</t>
  </si>
  <si>
    <t>SŁONINA PRZEMYSŁOWA RO</t>
  </si>
  <si>
    <t>***SŁONINA PRZEMYSŁOWA EXPORT RO</t>
  </si>
  <si>
    <t>SŁONINA PRZEM.B/S.RO2</t>
  </si>
  <si>
    <t>***SŁONINA PRZEMYSŁOWA PL</t>
  </si>
  <si>
    <t>SŁONINA PRZEM.B/S.USR CH1</t>
  </si>
  <si>
    <t>SŁONINA PRZEM.B/S.USR CH MORR</t>
  </si>
  <si>
    <t>SŁONINA PRZEM.B/S.USR CH2</t>
  </si>
  <si>
    <t>PP SŁONINA PRZEM.B/S.CH</t>
  </si>
  <si>
    <t>***SŁONINA PRZEMYSŁOWA PL UŚR</t>
  </si>
  <si>
    <t>SŁONINA PRZEM.B/S.CH MORR</t>
  </si>
  <si>
    <t>PP SŁONINA PRZEM.B/S.USR</t>
  </si>
  <si>
    <t>SŁONINA PRZEM.B/S.PŁATY CH</t>
  </si>
  <si>
    <t>SŁONINA PRZEM.B/S.PŁATY OK15KGWOR PJ ST</t>
  </si>
  <si>
    <t>SŁONINA PRZEM.B/S.10KGWOR KT DMR EX</t>
  </si>
  <si>
    <t>SŁONINA PRZEM.B/S.NA KRAK.CH</t>
  </si>
  <si>
    <t>SŁONINA PRZEM.B/S.NA KRAK.OK20KGLUZPJ ST</t>
  </si>
  <si>
    <t>SŁONINA PRZEM.B/S.NA KRAK.PBX ST</t>
  </si>
  <si>
    <t>PP SŁONINA PRZEM.B/S.NA KRAK.CH</t>
  </si>
  <si>
    <t>PP SŁONINA PRZ.B/S.NA KRAK.OK20KGLUZPJST</t>
  </si>
  <si>
    <t>PP SŁONINA PRZEM.B/S.NA KRAK.PBX ST</t>
  </si>
  <si>
    <t>***MÓZG WP.ŚWŻ.LUZ KAR.</t>
  </si>
  <si>
    <t>***MÓZG PB MR EX</t>
  </si>
  <si>
    <t>***MÓZG WP. 1 KG MRZ. WOREK EXP.</t>
  </si>
  <si>
    <t>***MÓZG WP.EKSPORT</t>
  </si>
  <si>
    <t>***MÓZG PB DMR</t>
  </si>
  <si>
    <t>***MÓZG OK.10KG KT DMR EX</t>
  </si>
  <si>
    <t>***MÓZG PB DMR EX</t>
  </si>
  <si>
    <t>***MÓZG CP</t>
  </si>
  <si>
    <t>***SADŁO ŚWŻ.</t>
  </si>
  <si>
    <t>***SADŁO MRŻ.</t>
  </si>
  <si>
    <t>***SADŁO PJ CH</t>
  </si>
  <si>
    <t>***SADŁO PB DMR</t>
  </si>
  <si>
    <t>WĄTROBA WP.CH1</t>
  </si>
  <si>
    <t>***WĄTROBA WP.OK2.5KG WOR OK5KG KT ST</t>
  </si>
  <si>
    <t>***WĄTROBA WP. WOR.OK2KG OK10KG KT</t>
  </si>
  <si>
    <t>***WĄTROBA WP.WOR OK2KG PJ EC</t>
  </si>
  <si>
    <t>***WĄTROBA WP.WOR.OK2.5KG OK5KG KT</t>
  </si>
  <si>
    <t>WĄTROBA WP.OK20KG NB MR</t>
  </si>
  <si>
    <t>***WĄTROBA WP.MRŻ.EXP POLIBLOK</t>
  </si>
  <si>
    <t>WĄTROBA WP.NB MR EX</t>
  </si>
  <si>
    <t>***WĄTROBA WP.400G MAP 6SZT KT JMD</t>
  </si>
  <si>
    <t>***WĄTROBA WP.OK500GMAP OK3KGKT BIED</t>
  </si>
  <si>
    <t>WĄTROBA WP.OK3.5KGMAP 4STPJ STO</t>
  </si>
  <si>
    <t>WĄTROBA WP.OK4KGMAP OK16KGPJ</t>
  </si>
  <si>
    <t>WĄTROBA OK4KGMAP OK12KGKT</t>
  </si>
  <si>
    <t>***WĄTROBA WP. OK.600G MAP T</t>
  </si>
  <si>
    <t>***WĄTROBA  WP. MAP OK.1KG</t>
  </si>
  <si>
    <t>***WĄTROBA WP.OK2.5KGVAC OK5KGKT EKO</t>
  </si>
  <si>
    <t>***WĄTROBA WP. VAC OK.2.5KG R</t>
  </si>
  <si>
    <t>PP WĄTROBA WP.OK4KGMAP OK4KGKT BIED</t>
  </si>
  <si>
    <t>WĄTROBA WP. MAX.20KGLUZ PJ AGRO</t>
  </si>
  <si>
    <t>***WĄTROBA WP.OK20KGPJ CH ST</t>
  </si>
  <si>
    <t>PL WĄTROBA WP.OK15KGWOR PJ</t>
  </si>
  <si>
    <t>WĄTROBA WP.NB MR EŁ</t>
  </si>
  <si>
    <t>***WĄTROBA PB DMR</t>
  </si>
  <si>
    <t>WĄTROBA WP.OK20KG NB DMR</t>
  </si>
  <si>
    <t>***WĄTROBA PB DMR EX</t>
  </si>
  <si>
    <t>WĄTROBA WP.NB DMR</t>
  </si>
  <si>
    <t>WĄTROBA WP.PB RO1</t>
  </si>
  <si>
    <t>WĄTROBA WP.CH2</t>
  </si>
  <si>
    <t>WĄTROBA WP.PB RO2</t>
  </si>
  <si>
    <t>WĄTROBA CP</t>
  </si>
  <si>
    <t>PP WĄTROBA WP.CH</t>
  </si>
  <si>
    <t>WĄTROBA WP.ROZP1</t>
  </si>
  <si>
    <t>WĄTROBA WP.ROZP2</t>
  </si>
  <si>
    <t>WĄTROBA WP.CH-MAT.-KAT.3</t>
  </si>
  <si>
    <t>***SERCA WP.OK2.5KG WOR OK5KG KT TESC</t>
  </si>
  <si>
    <t>***SERCA WP.OK5KG LUZ KT TIP</t>
  </si>
  <si>
    <t>***SERCA WP.OK2KGRMM OK4KGKT</t>
  </si>
  <si>
    <t>***SERCA WP.OK2.5KG VAC OK10KG KT</t>
  </si>
  <si>
    <t>***SERCA WP.OK2.5KG VAC OK5KG KT</t>
  </si>
  <si>
    <t>***SERCA WP.RO1</t>
  </si>
  <si>
    <t>***SERCA WP.RO2</t>
  </si>
  <si>
    <t>***SERCA WP.</t>
  </si>
  <si>
    <t>***PŁUCA SKON. PB EX - MAT.KAT.3</t>
  </si>
  <si>
    <t>OZORY CH1</t>
  </si>
  <si>
    <t>OZORY OK20KG NB MR ST</t>
  </si>
  <si>
    <t>PL OZORY OK15KG PB MR ST</t>
  </si>
  <si>
    <t>***OZORY WP.OK1KG WOR PJ EC</t>
  </si>
  <si>
    <t>***OZORY WP.N/OBR.OK15KG LUZ KT CH EX</t>
  </si>
  <si>
    <t>PL OZORY 10KGWOR KT MR VN</t>
  </si>
  <si>
    <t>PL OZORY 10KGWOR KT MR EX</t>
  </si>
  <si>
    <t>***OZORY WP.N/OBR.10KG LUZ KT MR CN</t>
  </si>
  <si>
    <t>FROZEN PORK TONGUES SWISS CUT</t>
  </si>
  <si>
    <t>***OZORY WP.N/OBR.MR EX</t>
  </si>
  <si>
    <t>OZORY OK3.5KGMAP 2STKT STO</t>
  </si>
  <si>
    <t>***OZORY OK2KGVAC OK4KGKT TESC</t>
  </si>
  <si>
    <t>***OZORY WP.OK1KGVAC OK14KGPJ ECS</t>
  </si>
  <si>
    <t>***OZÓR WP. VAC OK2.5KG OK10KG KT</t>
  </si>
  <si>
    <t>***OZÓR WP.OK2.5KG VAC OK5KG KT</t>
  </si>
  <si>
    <t>OZORY OK20KG PB MR SZ</t>
  </si>
  <si>
    <t>OZORY OK20KG NB DMR II</t>
  </si>
  <si>
    <t>PL OZORY OK15KG PB DMR</t>
  </si>
  <si>
    <t>PL OZORY 10KGWOR KT DMR VN</t>
  </si>
  <si>
    <t>PL OZORY 10KGWOR KT DMR EX</t>
  </si>
  <si>
    <t>***OZORY WP.N/OBR.LUZ 10KG KT DMR CN</t>
  </si>
  <si>
    <t>***OZORY WP.N/OBR.PB DMR EX</t>
  </si>
  <si>
    <t>***OZORY WP.N/OBR.RO1</t>
  </si>
  <si>
    <t>OZORY CH2</t>
  </si>
  <si>
    <t>***OZORY WP.N/OBR.RO2</t>
  </si>
  <si>
    <t>EU OZORY CH</t>
  </si>
  <si>
    <t>EU OZORY 10KGWOR KT MR EX</t>
  </si>
  <si>
    <t>EU OZORY 10KGWOR KT DMR EX</t>
  </si>
  <si>
    <t>PP OZORY CH</t>
  </si>
  <si>
    <t>PP OZORY OK1.5KGVAC OK3KGKT BIED</t>
  </si>
  <si>
    <t>CZ OZORY CH</t>
  </si>
  <si>
    <t>CZ OZORY 10KGWOR KT MR EX</t>
  </si>
  <si>
    <t>CZ OZORY 10KGWOR KT DMR EX</t>
  </si>
  <si>
    <t>OZORY ROZP.1</t>
  </si>
  <si>
    <t>OZORY ROZP.2</t>
  </si>
  <si>
    <t>OZORY KL2 CH1</t>
  </si>
  <si>
    <t>OZORY KL2 OK20KG NB MR ST</t>
  </si>
  <si>
    <t>***OZORY WP.N/OBR.KL2 PB MR</t>
  </si>
  <si>
    <t>OZORY KL2 OK20KG NB DMR</t>
  </si>
  <si>
    <t>***OZORY WP.N/OBR.KL2 PB DMR</t>
  </si>
  <si>
    <t>OZORY KL2 RO1</t>
  </si>
  <si>
    <t>OZORY KL2 CH2</t>
  </si>
  <si>
    <t>OZORY KL2 RO2</t>
  </si>
  <si>
    <t>OZÓR N/OBR. KL.2 CP</t>
  </si>
  <si>
    <t>***NERKI WP. WOR OK2KG OK10KG KT</t>
  </si>
  <si>
    <t>***NERKI WP.OK15KG LUZ KT CH ST</t>
  </si>
  <si>
    <t>***NERKI WP.WOR OK2KG PJ EC</t>
  </si>
  <si>
    <t>***NERKI WP.OK2.5KG WOR OK5KG KT</t>
  </si>
  <si>
    <t>***NERKI WP.MRŻ.</t>
  </si>
  <si>
    <t>***NERKI WP.OK2KGROL OK12KGKT ECS</t>
  </si>
  <si>
    <t>NERKI OK4KGMAP OK12KGKT</t>
  </si>
  <si>
    <t>***NERKI WP.OK2.5KGRMM OK5KGKT</t>
  </si>
  <si>
    <t>***NERKI WP. VAC OK.2.5KG R</t>
  </si>
  <si>
    <t>NERKI MAX20KG PJ AGRO</t>
  </si>
  <si>
    <t>***NERKI PB DMR</t>
  </si>
  <si>
    <t>***NERKI WP.OK15KG NB RO1</t>
  </si>
  <si>
    <t>***NERKI WP.OK15KG NB RO2</t>
  </si>
  <si>
    <t>***OŚRODKI WP.ZAK</t>
  </si>
  <si>
    <t>PL OGON KR.12CM 10KGWOR KT MR EX</t>
  </si>
  <si>
    <t>***PL OGON WP.KR.10KGWOR KT MR EX</t>
  </si>
  <si>
    <t>***OGON WP.KR.MR CN</t>
  </si>
  <si>
    <t>***OGON WP.KRÓTKI MRŻ.EXP.</t>
  </si>
  <si>
    <t>PL OGON KR.12CM 10KGWOR KT DMR EX</t>
  </si>
  <si>
    <t>***PL OGON WP.KR.10KGWOR KT DMR EX</t>
  </si>
  <si>
    <t>***OGON WP.KR.10KGWOR KT DMR CN</t>
  </si>
  <si>
    <t>EU OGON KR.CH</t>
  </si>
  <si>
    <t>***EU OGON WP.KR.10KGWOR KT MR CH</t>
  </si>
  <si>
    <t>***EU OGON WP.KR.10KGWOR KT DMR EX</t>
  </si>
  <si>
    <t>***OGON WP.KR.OK500KGPBX USR CH</t>
  </si>
  <si>
    <t>PP OGON KR.CH</t>
  </si>
  <si>
    <t>PP OGON KR.OK1.5KGVAC OK3KGKT BIED</t>
  </si>
  <si>
    <t>***OGON KRÓTKI PL UŚR</t>
  </si>
  <si>
    <t>ŻOŁĄDEK CH</t>
  </si>
  <si>
    <t>ŻOŁĄDEK SOL.550G BL</t>
  </si>
  <si>
    <t>ŻOŁĄDEK OK20KG NB MR</t>
  </si>
  <si>
    <t>***ŻOŁĄDEK OK10KGWOR KT MR</t>
  </si>
  <si>
    <t>250 sztuk w beczce / 250pcs in barrel</t>
  </si>
  <si>
    <t>***ŻOŁĄDEK PARZ.10KGWOR KT MR EX</t>
  </si>
  <si>
    <t>ŻOŁĄDEK PBX</t>
  </si>
  <si>
    <t>ŻOŁĄDEK OK20KG NB DMR</t>
  </si>
  <si>
    <t>***ŻOŁĄDEK OK10KGWOR KT DMR</t>
  </si>
  <si>
    <t>***ŻOŁĄDEK PARZ.10KGWOR KT DMR EX</t>
  </si>
  <si>
    <t>JELITO GRU.CH</t>
  </si>
  <si>
    <t>JELITO GRU.SOL.1M 0.36KG 20MSIA.BL</t>
  </si>
  <si>
    <t>JELITO GRU.SOL.3.2KGSIA.BL</t>
  </si>
  <si>
    <t>JELITO GRU.MAC.SOL.3.2KGSIA.BL</t>
  </si>
  <si>
    <t>***JELITO GRU.SOL.2.5M 20MSIA.35ST BECZ.</t>
  </si>
  <si>
    <t>JELITO GRU.SOL.9M 3.2KGSIA.BECZ.</t>
  </si>
  <si>
    <t>9 m w siatce</t>
  </si>
  <si>
    <t>9m w siatce</t>
  </si>
  <si>
    <t>20 m w siatce,40 siatek w beczce / 20 m/net,40 nets in a barrel</t>
  </si>
  <si>
    <t>20m w siatce, 32 siatek w beczce / 20m in the grid, 32 nets in a barrel</t>
  </si>
  <si>
    <t>JELITO GRU.SOL.1M0.36KG 20MSIA.40STBECZ.</t>
  </si>
  <si>
    <t>JELITO GRU.PBX</t>
  </si>
  <si>
    <t>JELITO GRU.1M 360GLUZ PBX</t>
  </si>
  <si>
    <t>JELITO CIEN.CH</t>
  </si>
  <si>
    <t>20 sztuk w siatce / 20 pcs net</t>
  </si>
  <si>
    <t>20 sztuk w siatce / 20 pcs in the grid</t>
  </si>
  <si>
    <t>20 SZTUK PĘCZEK, 1000SZT PBX</t>
  </si>
  <si>
    <t>JELITO CIEN.200G 10STPCZ.1000ST PBX</t>
  </si>
  <si>
    <t xml:space="preserve">10 SZTUK W PĘCZKU </t>
  </si>
  <si>
    <t>10 SZTUK W PĘCZKU</t>
  </si>
  <si>
    <t>KĄTNICA CH</t>
  </si>
  <si>
    <t>KĄTNICA SOL.200G BL</t>
  </si>
  <si>
    <t>KĄTNICA SOL.250G BL</t>
  </si>
  <si>
    <t>KĄTNICA MAC.SOL.250G 20STSIA.BL</t>
  </si>
  <si>
    <t>***KĄTNICA SOL.200G 40STSIA.BECZ.</t>
  </si>
  <si>
    <t xml:space="preserve"> 40 sztuk w siatce</t>
  </si>
  <si>
    <t>KĄTNICA SOL.250G 40STSIA.BECZ.</t>
  </si>
  <si>
    <t>40 sztuk w siatce / 40 pieces in a grid</t>
  </si>
  <si>
    <t>KĄTNICA MAC.SOL.250G 20STSIA.BECZ.</t>
  </si>
  <si>
    <t>KĄTNICA OK200GLUZ PBX</t>
  </si>
  <si>
    <t>KĄTNICA 200GLUZ PBX</t>
  </si>
  <si>
    <t>KRZYŻÓWKA CH</t>
  </si>
  <si>
    <t>KRZYŻÓWKA SOL.70CM 230G BL</t>
  </si>
  <si>
    <t>KRZYŻÓWKA SOL.100G BL</t>
  </si>
  <si>
    <t>KRZYŻÓWKA SOL.200G BL</t>
  </si>
  <si>
    <t>KRZYŻÓWKA MAC.SOL.200G BL</t>
  </si>
  <si>
    <t>KRZYŻÓWKA SOL.70CM 350G BL</t>
  </si>
  <si>
    <t>KRZYŻÓWKA OK10KGWOR KT MR</t>
  </si>
  <si>
    <t>KRZYŻÓWKA 10KGWOR KT MR EX</t>
  </si>
  <si>
    <t>KRZYŻÓWKA WIEPRZOWA MROŻONA</t>
  </si>
  <si>
    <t>***KRZYŻÓWKA SOL.100G 20STSIA.BECZ.</t>
  </si>
  <si>
    <t>20 sztuk  w siatce</t>
  </si>
  <si>
    <t>KRZYŻÓWKA SOL.200G 20STSIA.BECZ.</t>
  </si>
  <si>
    <t>20 sztuk w siatce / 20 pieces in a grid</t>
  </si>
  <si>
    <t>KRZYŻÓWKA MAC.SOL.200G 20STSIA.BECZ.</t>
  </si>
  <si>
    <t>KRZYŻÓWKA SOL.70CM 350G 20STSIA.BECZ.</t>
  </si>
  <si>
    <t>KRZYŻÓWKA SOL.70CM 230G 20STSIA.BECZ.</t>
  </si>
  <si>
    <t>KRZYŻÓWKA PBX</t>
  </si>
  <si>
    <t>KRZYŻÓWKA OK10KGWOR KT DMR</t>
  </si>
  <si>
    <t>KRZYŻÓWKA 10KGWOR KT DMR EX</t>
  </si>
  <si>
    <t>PĘCHERZ CH</t>
  </si>
  <si>
    <t>PĘCHERZ SOL.40G BL</t>
  </si>
  <si>
    <t>PĘCHERZ MAC.SOL.40G BL</t>
  </si>
  <si>
    <t>***PĘCHERZ OK10KGWOR KT MR</t>
  </si>
  <si>
    <t>***PĘCHERZ 10KGWOR KT MR EX</t>
  </si>
  <si>
    <t>PĘCHERZ SOL.40G 100STSIA.BECZ.EUR</t>
  </si>
  <si>
    <t>100 szt w siatce / 100 pieces in a grid</t>
  </si>
  <si>
    <t>PĘCHERZ MAC.SOL.40G 50STSIA.BECZ.</t>
  </si>
  <si>
    <t>50 szt w siatce / 50 pieces in a grid</t>
  </si>
  <si>
    <t>PĘCHERZ PBX BON</t>
  </si>
  <si>
    <t>***PĘCHERZ OK10KGWOR KT DMR</t>
  </si>
  <si>
    <t>***PĘCHERZ 10KGWOR KT DMR EX</t>
  </si>
  <si>
    <t>JELITO PRO.CH</t>
  </si>
  <si>
    <t>JELITO PRO.SOL.1M 0.19KG 120SIA.BL</t>
  </si>
  <si>
    <t>JELITO PRO.SOL.1.7KG BL</t>
  </si>
  <si>
    <t>JELITO PRO.SOL.28M 5.3KGSIA.BL</t>
  </si>
  <si>
    <t>JELITO PRO.MAC.SOL.9M 1.7KG BL</t>
  </si>
  <si>
    <t>JELITO PRO.SOL.1.7KG BL EUR</t>
  </si>
  <si>
    <t>***JELITO PRO.SOL.100G 9MPCZ.35ST BECZ.</t>
  </si>
  <si>
    <t>JELITO PRO.SOL.9M 1.7KGSIA.BECZ.</t>
  </si>
  <si>
    <t>9 m w siatce / 9 m/ net</t>
  </si>
  <si>
    <t>JELITO PRO.SOL.0.7M 9MSIA.BECZ.EUR</t>
  </si>
  <si>
    <t>9 m w siatce / 9m in a grid</t>
  </si>
  <si>
    <t>JELITO PRO.SOL.28M 5.3KGSIA.BECZ.DAT</t>
  </si>
  <si>
    <t>28m w siatce / 28m in a grid</t>
  </si>
  <si>
    <t>JELITO PRO.MAC.SOL.9M1.7KGSIA.100SIABECZ</t>
  </si>
  <si>
    <t>JELITO PRO.SOL.9M 1.7KGSIA.BECZ.EUR</t>
  </si>
  <si>
    <t>JELITO PRO.SOL.1M 0.19KG 120SIA.BECZ.</t>
  </si>
  <si>
    <t>JELITO PRO.PBX</t>
  </si>
  <si>
    <t>ŚLEDZIONA CH</t>
  </si>
  <si>
    <t>ŚLEDZIONA PBX</t>
  </si>
  <si>
    <t>ŚLUZ Z JELIT LUZ ZAK</t>
  </si>
  <si>
    <t>TRZUSTKA CH</t>
  </si>
  <si>
    <t>***TRZUSTKA OK20KG NB MR</t>
  </si>
  <si>
    <t>TRZUSTKA 10KG NB MR BON</t>
  </si>
  <si>
    <t>TRZUSTKA MAC.10KG NB MR BON</t>
  </si>
  <si>
    <t>***TRZUSTKA OK10KGWOR KT MR</t>
  </si>
  <si>
    <t>***TRZUSTKA 10KGWOR KT MR EX</t>
  </si>
  <si>
    <t>***TRZUSTKA OK20KG NB DMR</t>
  </si>
  <si>
    <t>TRZUSTKA 10KG NB DMR</t>
  </si>
  <si>
    <t>TRZUSTKA MAC.10KG NB DMR</t>
  </si>
  <si>
    <t>***TRZUSTKA OK10KGWOR KT DMR</t>
  </si>
  <si>
    <t>***TRZUSTKA 10KGWOR KT DMR EX</t>
  </si>
  <si>
    <t>MACICA CH</t>
  </si>
  <si>
    <t>MACICA OK10KGWOR KT MR</t>
  </si>
  <si>
    <t>MACICA 10KGWOR KT MR EX</t>
  </si>
  <si>
    <t>MACICA PBX BON</t>
  </si>
  <si>
    <t>MACICA OK10KGWOR KT DMR</t>
  </si>
  <si>
    <t>MACICA 10KGWOR KT DMR EX</t>
  </si>
  <si>
    <t>10 sztuk w siatce / 10 pieces in a grid</t>
  </si>
  <si>
    <t>JELITO KPL.LUZ PJ ST</t>
  </si>
  <si>
    <t>ODPAD/SZT. NIEZDATNE DO SPOŻ./-MAT.KAT.2</t>
  </si>
  <si>
    <t>ODPADY /ŻYWIEC PADŁY/- MAT.KAT.2</t>
  </si>
  <si>
    <t>ŚLUZ Z JELIT CH ZAK</t>
  </si>
  <si>
    <t>TCHAWICA WP.LUZ PJ-KAT.3</t>
  </si>
  <si>
    <t>AORTA 10KGWOR KT DMR</t>
  </si>
  <si>
    <t>***KREW WP.SPOŻ.NB MR</t>
  </si>
  <si>
    <t>***KREW WP.SPOŻ.RO1</t>
  </si>
  <si>
    <t>***KREW WP.SPOŻ.RO2</t>
  </si>
  <si>
    <t>M-SO KRWAWE RANA KŁUCIA ODP. -MAT.KAT.3</t>
  </si>
  <si>
    <t>USZY WEWNĘTRZNE -MAT.KAT.3</t>
  </si>
  <si>
    <t>PENISY WP.PB CH -MAT.KAT.3</t>
  </si>
  <si>
    <t>KOŚCI STRZAŁ.CH</t>
  </si>
  <si>
    <t>KOŚCI STRZAŁ.PBX</t>
  </si>
  <si>
    <t>KOŚCI KARK.CIĘ.4CM CH</t>
  </si>
  <si>
    <t>***KOŚCI KARK.CIĘ OK20KGWOR KT MR EX</t>
  </si>
  <si>
    <t>***KOŚCI KARK.CIĘ.OK20KGWOR KT DMR EX</t>
  </si>
  <si>
    <t>PL KOŚCI SCH.WIZARD CH</t>
  </si>
  <si>
    <t>PL KOŚCI SCH.WIZARD PBX</t>
  </si>
  <si>
    <t>***PL KOŚCI SCH.WIZARD 10KGWOR KT MR EX</t>
  </si>
  <si>
    <t>***PL KOŚCI SCH.WIZARD 10KGWOR KT DMR EX</t>
  </si>
  <si>
    <t>EU KOŚCI SCH.WIZARD CH</t>
  </si>
  <si>
    <t>***EU KOŚCI SCH.WIZARD 10KGWOR KT MR EX</t>
  </si>
  <si>
    <t>***EU KOŚCI SCH.WIZARD 10KGWOR KT DMR EX</t>
  </si>
  <si>
    <t>PL KOŚCI POKRZEP.CH</t>
  </si>
  <si>
    <t>***KOŚCI POKRZEP.20KGWOR KT EX</t>
  </si>
  <si>
    <t>PL KOŚCI POKRZEP.20KGWOR KT MR EX</t>
  </si>
  <si>
    <t>***KOŚCI POKRZEP.OK20KGWOR KT MR EX</t>
  </si>
  <si>
    <t>KOŚCI POKRZEP.OK3KGMAP OK6KGKT</t>
  </si>
  <si>
    <t>PL KOŚCI POKRZEP.OK500KG OKT EŁ</t>
  </si>
  <si>
    <t>PL KOŚCI POKRZEP.PBX K4</t>
  </si>
  <si>
    <t>PL KOŚCI POKRZEP.20KGWOR KT DMR EX</t>
  </si>
  <si>
    <t>***KOŚCI POKRZEP.20KGWOR KT DMR EX</t>
  </si>
  <si>
    <t>EU KOŚCI POKRZEP.CH</t>
  </si>
  <si>
    <t>EU KOŚCI POKRZEP.20KGWOR KT MR EX</t>
  </si>
  <si>
    <t>EU KOŚCI POKRZEP.PBX EŁ</t>
  </si>
  <si>
    <t>EU KOŚCI POKRZEP.20KGWOR KT DMR EX</t>
  </si>
  <si>
    <t>PL KOŚCI POKRZEP.USR</t>
  </si>
  <si>
    <t>PL KOŚCI POKRZEP.PBX</t>
  </si>
  <si>
    <t>KOŚCI POKRZEPOWE PBX CH2</t>
  </si>
  <si>
    <t>PL KOŚCI POKRZEP.CIĘ.CH</t>
  </si>
  <si>
    <t>PP KOŚCI POKRZEP.PBX EŁ</t>
  </si>
  <si>
    <t>PL KOŚCI SCH.CIĘ.CH</t>
  </si>
  <si>
    <t>***PL KOŚCI SCH.CIĘ.OK500KG PBX CH</t>
  </si>
  <si>
    <t>***PL K-CI SCHAB.OK700G MAP OK4.2KG TESC</t>
  </si>
  <si>
    <t>***PL KOŚCI SCH.CIĘ.4STMAP OK8KGKT SEL</t>
  </si>
  <si>
    <t>PL KOŚCI SCH.CIĘ.OK20KGLUZ PJ AGRO</t>
  </si>
  <si>
    <t>***PL KOŚCI SCH.CIĘ.OK700KGOKT ST</t>
  </si>
  <si>
    <t>PL KOŚCI SCH.CIĘ.PBX AGRO</t>
  </si>
  <si>
    <t>PL KOŚCI SCH.SPOŻ.CIĘ.PBX K4</t>
  </si>
  <si>
    <t>EU KOŚCI SCH.CIĘ.CH</t>
  </si>
  <si>
    <t>***EU KOŚCI SCH.CIĘ.OK500KG PBX CH</t>
  </si>
  <si>
    <t>***EU K-CI SCHAB.OK700G MAPOK4.2KG TESCO</t>
  </si>
  <si>
    <t>***K-CI SCH.SPOŻ CIĘTE USR</t>
  </si>
  <si>
    <t>PL KOŚCI SCH.LĘDŹW.CH</t>
  </si>
  <si>
    <t>***KOŚCI SCH.LĘDŹW.OK20KGWOR KT</t>
  </si>
  <si>
    <t>***KOŚCI SCH.LĘDŹW.OK20KGWOR KT MR EX</t>
  </si>
  <si>
    <t>***PL K-C WP.SPOŻ.OK1KG MAP OK4KG KT JMD</t>
  </si>
  <si>
    <t>***KOŚCI SCH.LĘDŹW.OK20KGWOR KT DMR EX</t>
  </si>
  <si>
    <t>***KOŚCI SCH.LĘDŹW.USR CH</t>
  </si>
  <si>
    <t>KOŚCI MOST.CH</t>
  </si>
  <si>
    <t>***KOŚCI MOST.OK500KG PBX CH</t>
  </si>
  <si>
    <t>***K-CI MOST.SPOŻ UŚR CH</t>
  </si>
  <si>
    <t>PL KOŚCI BOCZ.CH</t>
  </si>
  <si>
    <t>KOŚCI BOCZ.PBX</t>
  </si>
  <si>
    <t>***KOŚCI Z BOCZKU  USR CH</t>
  </si>
  <si>
    <t>KOŚCI KARK.CH</t>
  </si>
  <si>
    <t>KOŚCI KARK.PBX EX</t>
  </si>
  <si>
    <t>***KOŚCI KARK.OK20KG PB MR ST</t>
  </si>
  <si>
    <t>PL KOŚCI KARK.15KGWOR KT MR VN</t>
  </si>
  <si>
    <t>PL KOŚCI KARK.15KGWOR KT MR EX</t>
  </si>
  <si>
    <t>***KOŚCI WP.KARKOWE MR CH</t>
  </si>
  <si>
    <t>***KOŚCI KARK.OK15KGWOR KT MR EX</t>
  </si>
  <si>
    <t>PL KOŚCI KARK.10KGWOR KT MR EX</t>
  </si>
  <si>
    <t>Ossos do pescoço de porco congelados</t>
  </si>
  <si>
    <t>PP KOŚCI KARK.OK3KGMAP OK6KGKT BIED</t>
  </si>
  <si>
    <t>PL KOŚCI KARK.OK3KGMAP OK9KGPJ</t>
  </si>
  <si>
    <t>PL KOŚCI KARK.OK20KGWOR PJ ST</t>
  </si>
  <si>
    <t>PL KOŚCI KARK.OK500KGWOR JBX EŁ</t>
  </si>
  <si>
    <t>***KOŚCI KARK.OK20KG PB DMR</t>
  </si>
  <si>
    <t>PL KOŚCI KARK.15KGWOR KT DMR VN</t>
  </si>
  <si>
    <t>PL KOŚCI KARK.15KGWOR KT DMR EX</t>
  </si>
  <si>
    <t>***K-CI KARK.15KG KT DMR CHIN</t>
  </si>
  <si>
    <t>***KOŚCI KARK.OK15KGWOR KT DMR EX</t>
  </si>
  <si>
    <t>PL KOŚCI KARK.10KGWOR KT DMR EX</t>
  </si>
  <si>
    <t>EU KOŚCI KARK.CH</t>
  </si>
  <si>
    <t>EU KOŚCI KARK.15KGWOR KT MR EX</t>
  </si>
  <si>
    <t>EU KOŚCI KARK.10KGWOR KT MR EX</t>
  </si>
  <si>
    <t>EU KOŚCI KARK.15KGWOR KT DMR EX</t>
  </si>
  <si>
    <t>EU KOŚCI KARK.10KGWOR KT DMR EX</t>
  </si>
  <si>
    <t>***KOŚCI KARKOWE EX.KOREA USR CH</t>
  </si>
  <si>
    <t>CZ KOŚCI KARK.CH</t>
  </si>
  <si>
    <t>CZ KOŚCI KARK.15KGWOR KT MR EX</t>
  </si>
  <si>
    <t>CZ KOŚCI KARK.15KGWOR KT DMR EX</t>
  </si>
  <si>
    <t>***KOŚCI KARK. PL UŚR</t>
  </si>
  <si>
    <t>PL KOŚCI KARK.CH</t>
  </si>
  <si>
    <t>***PL KOŚCI KARK.OK500KG PBX CH</t>
  </si>
  <si>
    <t>PL KOŚCI KARK.OK15KGWOR KT</t>
  </si>
  <si>
    <t>***KOŚCI WP.KARK.OK2KG WOR OK10KG KT</t>
  </si>
  <si>
    <t>***KOŚCI KARK.OK15KGWOR KT EX</t>
  </si>
  <si>
    <t>***KOŚCI KARK.OK2.5KGWOR PERF.OK10KGKT</t>
  </si>
  <si>
    <t>***KOŚCI WP.KARK.OK2KG WOR 8KG KT POLM</t>
  </si>
  <si>
    <t>***KOŚCI KARK.OK15KGWOR PJ ST</t>
  </si>
  <si>
    <t>***KOŚCI KARK.OK500KGWOR OKT CH EX</t>
  </si>
  <si>
    <t>PL KOŚCI KARK.OK500KG OKT EX</t>
  </si>
  <si>
    <t>PL KOŚCI KARKOWE PBX CH2</t>
  </si>
  <si>
    <t>EU KOŚCI KARK.PBX EŁ</t>
  </si>
  <si>
    <t>***K-CI KARK.SPOŻ UŚR CH</t>
  </si>
  <si>
    <t>PP KOŚCI KARK.CH</t>
  </si>
  <si>
    <t>CZ KOŚCI KARK.TRYB.CH</t>
  </si>
  <si>
    <t>KOŚCI SCH.CH</t>
  </si>
  <si>
    <t>KOŚCI SCH.PBX</t>
  </si>
  <si>
    <t>PL KOŚCI SCH.OK15KGWOR KT</t>
  </si>
  <si>
    <t>***KOŚCI WP.SCH.WOR OK2.5KG PJ EC</t>
  </si>
  <si>
    <t>***KOŚCI SCH.OK2.5KGWOR PERF.OK10KG KT</t>
  </si>
  <si>
    <t>***K-CI SCHABOWE 15 KG KT MR CHINY</t>
  </si>
  <si>
    <t>***PL K-CIWP.SPOŻ.OK1KG MAP OK4KG KT JMP</t>
  </si>
  <si>
    <t>***KOŚCI SCH.OK3KGMAP OK10KGPJ ECS</t>
  </si>
  <si>
    <t>KOŚCI SCH.MAX3.5KGMAP OK14KGPJ POLM</t>
  </si>
  <si>
    <t>***KOŚCI SCH.OK15KGWOR PJ CH</t>
  </si>
  <si>
    <t>PL KOŚCI SCH.OK500KG OKT EX</t>
  </si>
  <si>
    <t>***KOŚCI SCH.OK15KGWOR KT DMR CN</t>
  </si>
  <si>
    <t>***K-CI SCH.SPOŻ CH PL</t>
  </si>
  <si>
    <t>***K-CI SCH.SPOŻ UŚR CH</t>
  </si>
  <si>
    <t>***K-CI SCH.SPOŻ CH PL USR</t>
  </si>
  <si>
    <t>KOŚCI Z WYKR.GŁÓW CH</t>
  </si>
  <si>
    <t>KOŚCI RÓŻNOK.SZYN.ŁOP.CH</t>
  </si>
  <si>
    <t>PL KOŚCI RÓŻNOK.SZYN.ŁOP.OK500KG OKT</t>
  </si>
  <si>
    <t>KOŚCI RÓŻNOK.SZYN.ŁOP.USR</t>
  </si>
  <si>
    <t>KOŚCI RÓŻNOK.SZYN.ŁOP.PBX ST</t>
  </si>
  <si>
    <t>PL KOŚCI RÓŻNOK.I RUR.NISKOC.CH</t>
  </si>
  <si>
    <t>***KOŚCI RURKOWE LUZ</t>
  </si>
  <si>
    <t>***KOŚCI RURK.OK2KGWOR.PERF.OK8KGKT TESC</t>
  </si>
  <si>
    <t>***PL KOŚCI RUR.SZYN.ŁOP.10KGWORKT MR EX</t>
  </si>
  <si>
    <t>***PL KOŚCI RUR.SZYN.ŁOP.OK10KGFOLKTMREX</t>
  </si>
  <si>
    <t>***PL KOŚCI RUR.SZYN.ŁOP.OK15KGWOR PJ</t>
  </si>
  <si>
    <t>***PL KOŚCI RUR.SZYN.ŁOP.10KGWORKTDMR EX</t>
  </si>
  <si>
    <t>***PLKOŚCI RUR.SZYN.ŁOP.OK10KGWORKTDMREX</t>
  </si>
  <si>
    <t>EU KOŚCI RÓŻNOK.I RUR.NISKOC.CH</t>
  </si>
  <si>
    <t>***EU KOŚCI RUR.SZYN.ŁOP.10KGWORKT MR EX</t>
  </si>
  <si>
    <t>***EU KOŚCI RUR.SZYN.ŁOP.10KGWORKTDMR EX</t>
  </si>
  <si>
    <t>PL KOŚCI RUR.SZYN.ŁOP.USR</t>
  </si>
  <si>
    <t>PL KOŚCI RUR.SZYN.ŁOP.PBX</t>
  </si>
  <si>
    <t>CZ KOŚCI RÓŻNOK.I RUR.NISKOC.CH</t>
  </si>
  <si>
    <t>***PL KOŚCI MIX OK0.7KGMAPOK3.2KGKT BIED</t>
  </si>
  <si>
    <t>***KOŚCI MIX OK0.7KG MAP 4.2KG KT MOR</t>
  </si>
  <si>
    <t>***PL KOŚCI MIX OK0.5KGMAPOK4.2KGKT LIDL</t>
  </si>
  <si>
    <t>KOŚCI KARK.CIĘ.CH</t>
  </si>
  <si>
    <t>***KOŚCI KARK.CIĘ.OK500KG PBX CH</t>
  </si>
  <si>
    <t>***KOŚCI WP.KARK.SPOŻ.4STMAPOK8KGKT SEL</t>
  </si>
  <si>
    <t>***KOŚCI KARK.CIĘ.1/2ST OK20KGWORPJCH ST</t>
  </si>
  <si>
    <t>***KOŚCI KARK.SPOŻ.CIĘ.USR</t>
  </si>
  <si>
    <t>***KOŚCI KARK.SPOŻ.CIĘ.1/2 CH</t>
  </si>
  <si>
    <t>***K-CI WP.KARK.SPOŻ.CIĘTE 1/2 CH USR</t>
  </si>
  <si>
    <t>***K-CI SCH.EXTRA CH</t>
  </si>
  <si>
    <t>***KOŚCI WP.SCHABOWE EXTRA MR CH</t>
  </si>
  <si>
    <t>***K-CI SCH.EXTRA OK 15KG KT MR EX</t>
  </si>
  <si>
    <t>***K-CI SCH.EXTRA 15KG KT DMR CHIN</t>
  </si>
  <si>
    <t>***K-CI SCH.EXTRA OK 15KG KT DMR EX</t>
  </si>
  <si>
    <t>***KOŚCI SCH.EXTRA PL</t>
  </si>
  <si>
    <t>***KOŚCI SCH.EXTRA PL UŚR</t>
  </si>
  <si>
    <t>PL KOŚCI BOCZ.PBX</t>
  </si>
  <si>
    <t>PL KOŚCI BOCZ.OK10KGWOR KT MR EX</t>
  </si>
  <si>
    <t>***KOŚCI BOCZKOWE MR CH EX</t>
  </si>
  <si>
    <t>PL KOŚCI BOCZ.OK800KG OKT</t>
  </si>
  <si>
    <t>PL KOŚCI BOCZ.10KGWOR KT DMR EX</t>
  </si>
  <si>
    <t>***PL KOŚCI BOCZ.WOR KT DMR</t>
  </si>
  <si>
    <t>EU KOŚCI BOCZ.CH</t>
  </si>
  <si>
    <t>***EU KOŚCI BOCZ.OK10KGWOR KT MR EX</t>
  </si>
  <si>
    <t>***EU KOŚCI BOCZ.10KGWOR KT DMR EX</t>
  </si>
  <si>
    <t>***K-CI BOCZ.PALUSZKI USR</t>
  </si>
  <si>
    <t>***KOŚCI BOCZ."PALUSZKI" PL UŚR</t>
  </si>
  <si>
    <t>PL KOŚCI RUR.SZYN.Z/RZ.CH</t>
  </si>
  <si>
    <t>PL KOŚCI RUR.SZYN.Z/RZ.PBX</t>
  </si>
  <si>
    <t>PL KOŚCI RUR.SZYN.10KGWOR KT MR VN</t>
  </si>
  <si>
    <t>PL KOŚCI RUR.SZYN.Z/RZ.10KGWOR KT MR EX</t>
  </si>
  <si>
    <t>***PLKOŚCI RUR.SZYN.Z/RZ.OK10KGWORKTMREX</t>
  </si>
  <si>
    <t>***KOŚCI WP.RURKOWE EXP.LUZ MRŻ.</t>
  </si>
  <si>
    <t>PL KOŚCI RUR.SZYN.Z/RZ.OK500KG OKT</t>
  </si>
  <si>
    <t>PL KOŚCI RUR.SZYN.10KGWOR KT DMR VN</t>
  </si>
  <si>
    <t>PL KOŚCI RUR.SZYN.Z/RZ.10KGWOR KT DMR EX</t>
  </si>
  <si>
    <t>***PLKOŚCIRUR.SZYN.Z/RZ.OK10KGWORKTDMREX</t>
  </si>
  <si>
    <t>***K-CI RURK. B/RZEP. OK 10KG KT DMR EX</t>
  </si>
  <si>
    <t>EU KOŚCI RUR.SZYN.Z/RZ.</t>
  </si>
  <si>
    <t>EU KOŚCI RUR.SZYN.Z/RZ.10KGWOR KT MR EX</t>
  </si>
  <si>
    <t>EU KOŚCI RUR.SZYN.Z/RZ.10KGWOR KT DMR EX</t>
  </si>
  <si>
    <t>PL KOŚCI RUR.SZYN.Z/RZ.USR</t>
  </si>
  <si>
    <t>CZ KOŚCI RUR.SZYN.Z/RZ.CH</t>
  </si>
  <si>
    <t>CZ KOŚCI RUR.SZYN.Z/RZ.10KGWOR KT MR EX</t>
  </si>
  <si>
    <t>CZ KOŚCI RUR.SZYN.Z/RZ.10KGWOR KT DMR EX</t>
  </si>
  <si>
    <t>***KOŚCI RURK. B/RZEP. PL UŚR</t>
  </si>
  <si>
    <t>PL KOŚCI RUR.ŁOP.CH</t>
  </si>
  <si>
    <t>PL KOŚCI RUR.ŁOP.10KGWOR KT MR EX</t>
  </si>
  <si>
    <t>***PL KOŚCI RUR.ŁOP.OK10KGWOR KT MR EX</t>
  </si>
  <si>
    <t>PL KOŚCI RUR.ŁOP.10KGWOR KT DMR EX</t>
  </si>
  <si>
    <t>***PL KOŚCI RUR.ŁOP.OK10KGWOR KT DMR EX</t>
  </si>
  <si>
    <t>EU KOŚCI RUR.ŁOP.CH</t>
  </si>
  <si>
    <t>***EU KOŚCI RUR.ŁOP.10KGWOR KT MR EX</t>
  </si>
  <si>
    <t>***EU KOŚCI RUR.ŁOP.10KGWOR KT DMR EX</t>
  </si>
  <si>
    <t>***K-CI ŁOP. UŚR CH</t>
  </si>
  <si>
    <t>***KOŚCI ŁOP. PL UŚR</t>
  </si>
  <si>
    <t>PL KOŚCI OGON.CH</t>
  </si>
  <si>
    <t>PL KOŚCI OGON.OK20KGWOR KT</t>
  </si>
  <si>
    <t>PL KOŚCI OGON.10KGWOR KT MR VN</t>
  </si>
  <si>
    <t>***PL KOŚCI OGON.OK10KGWOR KT MR EX</t>
  </si>
  <si>
    <t>PL KOŚCI OGON.10KGWOR KT MR EX</t>
  </si>
  <si>
    <t>KOŚCI OGON.OK3.5KGMAP 2STKT STO</t>
  </si>
  <si>
    <t>PL KOŚCI OGON.OK20KGWOR PJ ST</t>
  </si>
  <si>
    <t>***PL KOŚCI OGON.OK500KG OKT CH EX</t>
  </si>
  <si>
    <t>PL KOŚCI OGON.10KGWOR KT DMR VN</t>
  </si>
  <si>
    <t>***PL KOŚCI OGON.OK10KGWOR KT DMR EX</t>
  </si>
  <si>
    <t>PL KOŚCI OGON.10KGWOR KT DMR</t>
  </si>
  <si>
    <t>***PL KOŚCI OGON.RO1</t>
  </si>
  <si>
    <t>***PL KOŚCI OGON.RO2</t>
  </si>
  <si>
    <t>EU KOŚCI OGON.CH</t>
  </si>
  <si>
    <t>EU KOŚCI OGON.10KGWOR KT MR EX</t>
  </si>
  <si>
    <t>EU KOŚCI OGON.10KGWOR KT DMR</t>
  </si>
  <si>
    <t>PL KOŚCI OGON.USR</t>
  </si>
  <si>
    <t>PL KOŚCI OGON.PBX ST</t>
  </si>
  <si>
    <t>CZ KOŚCI OGON.CH</t>
  </si>
  <si>
    <t>CZ KOŚCI OGON.10KGWOR KT MR EX</t>
  </si>
  <si>
    <t>CZ KOŚCI OGON.10KGWOR KT DMR</t>
  </si>
  <si>
    <t>EU KOŚCI OGON.USR</t>
  </si>
  <si>
    <t>***EU KOŚCI OGON.OK500KG PBX USR CH</t>
  </si>
  <si>
    <t>***CHRZĄSTKI Z ŁOPATKI</t>
  </si>
  <si>
    <t>***CHRZĄSTKI Z ŁOPATKI WP. MR EX</t>
  </si>
  <si>
    <t>***CH-TKI.Z ŁOP. OK 10KG KT DMR EX</t>
  </si>
  <si>
    <t>***CH-TKI.Z ŁOP. CH</t>
  </si>
  <si>
    <t>***CHRZĄSTKI BOCZKOWE LUZ KARTON</t>
  </si>
  <si>
    <t>CHRZĘŚCI BOCZKOWE USR CH</t>
  </si>
  <si>
    <t>***PL SCH.CZ.ODK.B/TŁ.PBX CH1</t>
  </si>
  <si>
    <t>***PL SCH.CZ.ODK.B/TŁ.PBX CH2</t>
  </si>
  <si>
    <t>***EU SCH.CZ.ODK.B/TŁ.PBX CH</t>
  </si>
  <si>
    <t>ODPAD CHRZĘSTNY KAT.3</t>
  </si>
  <si>
    <t>***CHRZĄSTKI SOFTBONES MR CH</t>
  </si>
  <si>
    <t>***CHRZĄSTKI SOFTBONES MRŻ.EXP.</t>
  </si>
  <si>
    <t>***CH-TKI.SOFTBONES 10KG KT DMR CHIN</t>
  </si>
  <si>
    <t>***CH-TKI.SOFTBONES 10KG KT DMR EX</t>
  </si>
  <si>
    <t>EU CH-TKI.SOFTBONES CH</t>
  </si>
  <si>
    <t>***EU CHRZ.WP.SOFTBONES 10KG KT MR EX</t>
  </si>
  <si>
    <t>***EU CHRZ.WP.SOFTBONES 10KG KT DMR</t>
  </si>
  <si>
    <t>***CH-TKI.SOFTBONES UŚR CH</t>
  </si>
  <si>
    <t>***CH-TKI SOFTBONES PL UŚR</t>
  </si>
  <si>
    <t>***K-CI RURK.CIĘTE 1/2 CH</t>
  </si>
  <si>
    <t>***KOŚCI WP. RURK.CIĘTE 1/2 MR EX</t>
  </si>
  <si>
    <t>***K-CI RURK.CIĘTE 1/2 OK.10KG KT DMR</t>
  </si>
  <si>
    <t>***K-CI RURK.CIĘTE 1/2 UŚR CH</t>
  </si>
  <si>
    <t>KOŚCI SCH.LĘDŹW.CH</t>
  </si>
  <si>
    <t>***KOŚCI SCH.LĘDŹW.OK500KG PBX CH EX</t>
  </si>
  <si>
    <t>PL KOŚĆI SCH.LĘDŹW.OK15KGLUZ KT</t>
  </si>
  <si>
    <t>***KOŚĆ KULINARNA LUZ OK15KG KT CH EX</t>
  </si>
  <si>
    <t>***KOŚCI SCH.LĘDŹW.OK10KGWOR KT MR EX</t>
  </si>
  <si>
    <t>***PL KOŚCI SCH.LĘDŹW.10KGWOR KT MR EX</t>
  </si>
  <si>
    <t>***KOŚCI SCH.LĘDŹW.OK500KG PBX</t>
  </si>
  <si>
    <t>***KOŚCI SCH.LĘDŹW.OK10KGWOR KT DMR EX</t>
  </si>
  <si>
    <t>***PL KOŚCI SCH.LĘDŹW.10KGWOR KT DMR EX</t>
  </si>
  <si>
    <t>***EU KOŚCI SCH.LĘDŹW.CH</t>
  </si>
  <si>
    <t>***EU KOŚCI SCH.LĘDŹW.10KGWOR KT MR EX</t>
  </si>
  <si>
    <t>***EU KOŚCI SCH.LĘDŹW.10KGWOR KT DMR EX</t>
  </si>
  <si>
    <t>KOŚCI SCH.LĘDŹW.USR</t>
  </si>
  <si>
    <t>PL KOŚCI RUR.ŁOP.OK15KGWOR KT</t>
  </si>
  <si>
    <t>***KOŚCI WP.RURKOWE Z ŁPT. MR EX</t>
  </si>
  <si>
    <t>***K-CI RURK. Z.ŁOP OK.15KG KT DMR EX</t>
  </si>
  <si>
    <t>***K-CI RURK. Z.ŁOP CH</t>
  </si>
  <si>
    <t>***KOŚCI WP.KLC,D</t>
  </si>
  <si>
    <t>***KOŚCI WP. KL.C,D USR</t>
  </si>
  <si>
    <t>KOŚCI RÓŻNOK.POZ.SCH.CH</t>
  </si>
  <si>
    <t>***KOŚCI RÓŻNOKSZT.POZ.SCH.OK500KG PBX</t>
  </si>
  <si>
    <t>***KOŚCI RÓŻNOKSZT.POZ.SCH.OK700KGOKT EX</t>
  </si>
  <si>
    <t>***CHRZĄSTKI MOSTKOWE LUZ KARTON</t>
  </si>
  <si>
    <t>MIAZGA KOSTNA CH</t>
  </si>
  <si>
    <t>***K-CI RURK.CIĘTE Z SZYN. 1/2 CH</t>
  </si>
  <si>
    <t>***KOŚCI WP.RURK.Z RZEPKĄ CIĘTE1/2STMREX</t>
  </si>
  <si>
    <t>***K-CI RURK.CIĘTE Z SZYN.1/2 OK10KG DMR</t>
  </si>
  <si>
    <t>***K-CI RURK.CIĘTE Z SZYN. 1/2 UŚR CH</t>
  </si>
  <si>
    <t>***CHRZĄSTKI WP.Z MOSTKA MR CH</t>
  </si>
  <si>
    <t>***CHRZĄSTKI WP.Z MOSTKA MR EX</t>
  </si>
  <si>
    <t xml:space="preserve"> DE PORK CONGLESS</t>
  </si>
  <si>
    <t>***CH-TKI. Z MOSTK. 10KG DMR CHIN</t>
  </si>
  <si>
    <t>***CH-TKI. Z MOSTK. 10KG DMR  EX</t>
  </si>
  <si>
    <t>***CH-TKI. Z MOSTK. UŚR CH</t>
  </si>
  <si>
    <t>***CH-TKI Z MOSTKA PL UŚR</t>
  </si>
  <si>
    <t>KOŚCI RÓŻNOK.CH</t>
  </si>
  <si>
    <t>PL KOŚCI RÓŻNOK.I PŁASKIE CH</t>
  </si>
  <si>
    <t>EU KOŚCI RÓŻNOK.I PŁASKIE CH</t>
  </si>
  <si>
    <t>HEPARYNA CRUDE LUZ WOR</t>
  </si>
  <si>
    <t>HEPARYNA CRUD LUZ WOR BECZ</t>
  </si>
  <si>
    <t>MOM - MAT.KAT.3</t>
  </si>
  <si>
    <t>***SKÓRKI WP.PJ CH -MAT.KAT.3</t>
  </si>
  <si>
    <t>ODPAD PRODUKCYJNY CH -MAT.KAT.3</t>
  </si>
  <si>
    <t>ODPAD Z PODCZYSZCZALNI</t>
  </si>
  <si>
    <t>***ODPAD Z PODCZYSZCZALNI</t>
  </si>
  <si>
    <t>OSAD Z PODCZYSZCZALNI</t>
  </si>
  <si>
    <t>***OSAD Z PODCZYSZCZALNI</t>
  </si>
  <si>
    <t>MIERZWA MAT.KAT.2</t>
  </si>
  <si>
    <t>ODPAD ROZBIOROWY CH-MAT.KAT.3</t>
  </si>
  <si>
    <t>ŻÓŁĆ CH MAT.KAT.3</t>
  </si>
  <si>
    <t>ODPAD - ŻÓŁĆ CH MAT.KAT.3</t>
  </si>
  <si>
    <t>KONFISKATA CH-MAT.KAT.2</t>
  </si>
  <si>
    <t>ODPAD KATEGORII 2 BAR LUZ PJ -MAT.KAT2</t>
  </si>
  <si>
    <t>ODPAD MIESZ.KONF.-MAT.KAT.2</t>
  </si>
  <si>
    <t>KONFISKATA III -NISKIE RYZYKO -MAT.KAT.3</t>
  </si>
  <si>
    <t>ODPAD-SZCZECINA -MAT.KAT.3</t>
  </si>
  <si>
    <t>***RDZEŃ KRĘG. CH -MAT.KAT.3</t>
  </si>
  <si>
    <t>***ODPAD-RDZEŃ KRĘGOWY CH -MAT.KAT.3</t>
  </si>
  <si>
    <t>***PRÓBKI TRICHINOSK. CH -MAT.KAT.3</t>
  </si>
  <si>
    <t>***ŚLUZ ZAKONS.LUZ PJ</t>
  </si>
  <si>
    <t>***SUROWA HEPARYNA NA ŻYWICY LUZ PJ</t>
  </si>
  <si>
    <t>SUROWA HEPARYNA NA ŻYWICY LUZ BECZ.</t>
  </si>
  <si>
    <t>SUR.HEPARYNA NA ŻYWICYOK150KGLUZBECZ.ZAK</t>
  </si>
  <si>
    <t>***KONFISKATA Z HEPARYNY CH -MAT.KAT.2</t>
  </si>
  <si>
    <t>***M-Ń BIODROWY N/OBR UŚR</t>
  </si>
  <si>
    <t>***M-Ń CZTEROGŁOWY NIEODBŁONIONY USR</t>
  </si>
  <si>
    <t>***EU SZYN.B/K.1ST TRM OK8KG KT MOR EX</t>
  </si>
  <si>
    <t>***M-Ń DWUGŁOWY N/OBR USR</t>
  </si>
  <si>
    <t>***M-Ń PÓŁBŁONIASTY NIEOBROBIONY KL.U CH</t>
  </si>
  <si>
    <t>***M-Ń PÓŁBŁONIASTY NIEOBROBIONY KL.S CH</t>
  </si>
  <si>
    <t>***M-Ń DWUGŁOWY N/OBR KL.U CH</t>
  </si>
  <si>
    <t>***M-Ń DWUGŁOWY N/OBR KL.S CH</t>
  </si>
  <si>
    <t>***M-Ń BIODROWY N/OBR.KL.U CH</t>
  </si>
  <si>
    <t>***M-Ń BIODROWY N/OBR.KL.S CH</t>
  </si>
  <si>
    <t>***M-Ń CZTEROGŁOWY NIEODBŁONIONY KL.U CH</t>
  </si>
  <si>
    <t>***M-Ń CZTEROGŁOWY NIEODBŁONIONY KL.S CH</t>
  </si>
  <si>
    <t>***M-N SMUKLY USR</t>
  </si>
  <si>
    <t>***M-Ń DWUGŁOWY N/OBR.KL.R CH</t>
  </si>
  <si>
    <t>***M-Ń DWUGŁOWY N/OBR KL.A CH</t>
  </si>
  <si>
    <t>***M-N NAPINACZ USR</t>
  </si>
  <si>
    <t>***M-Ń PÓŁBŁONIASTY N/OBR.KL.R CH</t>
  </si>
  <si>
    <t>***M-Ń PÓŁBŁONIASTY N/OBR.KL.A CH</t>
  </si>
  <si>
    <t>***M-Ń DWUGŁOWY OK.10KG TRM EX</t>
  </si>
  <si>
    <t>EL.SZYN.MAZURSKA DOJRZ.OK20KG NB MR EŁ</t>
  </si>
  <si>
    <t>PL EL.SZYN.SZWAGRA OK20KGWOR KT</t>
  </si>
  <si>
    <t>***PL ELEM.SZYN.SZWAGRA PBX CH ST</t>
  </si>
  <si>
    <t>***PL BOCZ.ŁUS.SZER.Z/SK.B/CHRZ.CH</t>
  </si>
  <si>
    <t>***EU BOCZ.ŁUS.SZER.Z/SK.B/CHRZ.CH</t>
  </si>
  <si>
    <t>PLBOCZB BLATSZERB/SK.Z/PACH/MŚ.SCH.PBXST</t>
  </si>
  <si>
    <t>***PLBOCZ.B BLAT.SZER.B/S.Z/P/M.SCH.WOST</t>
  </si>
  <si>
    <t>PLBOCZB BLATSZERB/SKZ/PACH/MŚ.SCH.PBXST2</t>
  </si>
  <si>
    <t>***M-Ń BIODROWY NIEOBROBIONY KL.R CH</t>
  </si>
  <si>
    <t>***M-Ń BIODROWY N/OBR.KL.A CH</t>
  </si>
  <si>
    <t>***M-Ń PÓŁŚCIĘG.N/OBR11285HILTON KL.S CH</t>
  </si>
  <si>
    <t>***GŁOWA Z MACIOR CH</t>
  </si>
  <si>
    <t>***BOCZEK Z ŻEB.B/SKÓRY KLE MRŻ EXPKOREA</t>
  </si>
  <si>
    <t>***BOC Z ŻEB. B/SKÓRY KL.U MRŻ EXP KOREA</t>
  </si>
  <si>
    <t>***PLBOCZ.A BLAT.SZER.B/S.Z/PACH/MŚ.SCH.</t>
  </si>
  <si>
    <t>***PLBOCZ.ABLAT.SZER.B/S.Z/P/M.SCHOK15KG</t>
  </si>
  <si>
    <t>***PL BOCZ.A BLAT.B/S.30X52 PBX CH ST</t>
  </si>
  <si>
    <t>***PL BOCZ.A Z/Ż/SK.B/CZ.PACH.OK15KGKTMR</t>
  </si>
  <si>
    <t>***EU BOCZ.A Z/Ż/SK.B/CZ.PACH.OK15KGKTMR</t>
  </si>
  <si>
    <t>***EUMŚPÓŁBŁB/M.SMUK.N/ODBŁCIĘ3CZ.PBXCH1</t>
  </si>
  <si>
    <t>***EUMŚPÓŁBŁB/M.SMUK.N/ODBŁCIĘ3CZ.PBXCH2</t>
  </si>
  <si>
    <t>***PLBOCZABCBLAT.B/S.Z/P/M.SCH34CMKTMREX</t>
  </si>
  <si>
    <t>***PLBOCZ.ABCBLAT.B/S.Z/P/M.SCH34CMKTDMR</t>
  </si>
  <si>
    <t>***EUBOCZABCBLAT.B/S.Z/P/M.SCH34CMKTMREX</t>
  </si>
  <si>
    <t>***PL BOCZ.A B/Ż/SK/PACH.PORCJA</t>
  </si>
  <si>
    <t>***PLBOCZ.A B/Ż/S/P.POKR1.5VACOK15KTMR</t>
  </si>
  <si>
    <t>***PLBOCZ.A B/Ż/S/P.POKR1.5VACOK15KTDMR</t>
  </si>
  <si>
    <t>***PL BOCZ.ŁUS.B/SK.MR JP</t>
  </si>
  <si>
    <t>***PLBOCZ.ŁUS.SZER.B/SK/CHRZ.VACKTMR EX</t>
  </si>
  <si>
    <t>FROZEN PORK BELLIES SKIN ON</t>
  </si>
  <si>
    <t>***EU BOCZ.ŁUS.B/SK.MR JP</t>
  </si>
  <si>
    <t>***EUBOCZŁUS.SZER.B/SK/CHRZ.VAC KT MR EX</t>
  </si>
  <si>
    <t>***PL BOCZ.A BLAT.B/SK.MR CN</t>
  </si>
  <si>
    <t>***PL BOCZ.A BLAT.WĄS.B/S.10KGKT DMR CN</t>
  </si>
  <si>
    <t>***EU BOCZ.A BLAT.B/SK.MR CN</t>
  </si>
  <si>
    <t>***EU BOCZ.A BLAT.WĄS.B/SK.10KGKT DMR CN</t>
  </si>
  <si>
    <t>***PL BOCZ.A BLAT.WĄS.B/SK.PB MR EX</t>
  </si>
  <si>
    <t>***PLBOCZ.A BLAT.B/S.OK1KGVACOK4KGKTBIED</t>
  </si>
  <si>
    <t>***PLBOCZ.A BLAT.WĄS.B/SK.1STTRMOK12KGKT</t>
  </si>
  <si>
    <t>***PL BOCZ.A BLAT.WĄS.B/S.1STTRMOK10KGKT</t>
  </si>
  <si>
    <t>***PL BOCZ.A BLAT.WĄS.B/SK.LUZ WOR PJEX</t>
  </si>
  <si>
    <t>***PL BOCZ.A BLAT.WĄS.B/SK.PB DMR</t>
  </si>
  <si>
    <t>***PLBOCZA B/Ż1811AACIĘOK1.5VACOK15KTDMR</t>
  </si>
  <si>
    <t>***EU BOCZ.A BLAT.B/SK.PBX CH JP1</t>
  </si>
  <si>
    <t>***EU BOCZ.A BLAT.WĄS.B/SK.PB MR EX</t>
  </si>
  <si>
    <t>***EUBOCZ.A BLAT.WĄS.B/SK.1STTRMOK12KGKT</t>
  </si>
  <si>
    <t>***EU BOCZ.A BLAT.WĄS.B/S.1STTRMOK10KGKT</t>
  </si>
  <si>
    <t>***EU BOCZ.A BLAT.WĄS.B/S.CH LUZWORPJ EX</t>
  </si>
  <si>
    <t>***EU BOCZ.A BLAT.WĄS.B/SK.PB DMR</t>
  </si>
  <si>
    <t>***EU BOCZ.A BLAT.B/SK.PBX CH JP2</t>
  </si>
  <si>
    <t>***PL ŁOP.WP.B/K.1313 1STVAC OK15KGKT</t>
  </si>
  <si>
    <t>***PL ŁOP.WP.B/K.1313 1STVACOK10KGKT SEL</t>
  </si>
  <si>
    <t>***PL ŁOP.B/K.1313 1ST VAC OK15KG PJ CH</t>
  </si>
  <si>
    <t>***PL ŁOP.B/K.3D PROMOCJA MAX.21KG PJ</t>
  </si>
  <si>
    <t>***EU ŁOP.B/K.1313 LUZ KT CH</t>
  </si>
  <si>
    <t>***EU ŁOP.B/K.1313 1ST VAC OK15KG PJ CH</t>
  </si>
  <si>
    <t>***EU ŁOP.B/K.3D PROMOCJA MAX.21KG PJ</t>
  </si>
  <si>
    <t>***PL ŁOP.B/K/SK.Z/TŁ.1313 CH1</t>
  </si>
  <si>
    <t>***PL ŁOP.B/K/SK.Z/TŁ.1313 CH2</t>
  </si>
  <si>
    <t>***EU ŁOP.B/K/SK.Z/TŁ.1313 CH1</t>
  </si>
  <si>
    <t>***EU ŁOP.B/K/SK.Z/TŁ.1313 CH2</t>
  </si>
  <si>
    <t>***PL KARK.B/K.Z/KOR/WAR.WOR OK15KGPJ EC</t>
  </si>
  <si>
    <t>***PLKARK.B/K.Z/KOR/W1320VACOK15KGKTMRES</t>
  </si>
  <si>
    <t>***PL KARK.B/K.1320 1STVAC OK10KGKT</t>
  </si>
  <si>
    <t>***PL KARK.B/K.1STVAC OK15KGKT EX</t>
  </si>
  <si>
    <t>***PL KARK.B/K.Z/KOR/WAR.1320 1STVAC PJ</t>
  </si>
  <si>
    <t>***PL KARK.B/K.1320 2STVACOK16KGKTMR USA</t>
  </si>
  <si>
    <t>FROZEN PORK COLLAR BONELESS VAC</t>
  </si>
  <si>
    <t>***PL KARK.B/K.1320 1STVACOK15KGKT MR EX</t>
  </si>
  <si>
    <t>***PL KARK.B/K.Z/KOR/WAR.OK15KGWORPJ EX</t>
  </si>
  <si>
    <t>***PL KARK.B/K.Z/KOR/WAR.MAX.21KG PJ</t>
  </si>
  <si>
    <t>***PL KARK.B/K.Z/KOR/WAR.1320 VAC DMR ES</t>
  </si>
  <si>
    <t>***PL KARK.B/K.Z/KOR/WAR.1320 VAC DMR</t>
  </si>
  <si>
    <t>***PL KARK.B/K.1320 2STVACOK16KGKTDMRUSA</t>
  </si>
  <si>
    <t>***PLKARK.B/K.Z/KOR/WAR.1320 1STVACDMREX</t>
  </si>
  <si>
    <t>***EU KARK.B/K.1320 LUZ KT</t>
  </si>
  <si>
    <t>***EU KARK.B/K.Z/KOR/WAR.WOR OK15KGPJ EC</t>
  </si>
  <si>
    <t>***EU KARK.B/K.1STVAC OK15KGKT</t>
  </si>
  <si>
    <t>***EU KARK.B/K.Z/KOR/W1320VACOK15KGKTMRC</t>
  </si>
  <si>
    <t>***EU KARK.B/K.1320 1STVAC OK10KGKT</t>
  </si>
  <si>
    <t>***EU KARK.B/K.1STVAC OK15KGKT EX</t>
  </si>
  <si>
    <t>***EU KARK.B/K.Z/KOR/WAR.1320 1STVAC PJ</t>
  </si>
  <si>
    <t>***U KARK.B/K.1320 1STVACOK15KGKT MR EX</t>
  </si>
  <si>
    <t>***EU KARK.B/K.Z/KOR/WAR.OK15KGWOR PJ EX</t>
  </si>
  <si>
    <t>***EU KARK.B/K.Z/KOR/WAR.1320 VACDMR CZ</t>
  </si>
  <si>
    <t>***EU KARK.B/K.Z/KOR/WAR.1320 VAC DMR</t>
  </si>
  <si>
    <t>***EUKARK.B/K.Z/KOR/WAR.1320 1STVACDMREX</t>
  </si>
  <si>
    <t>***PLBOCZ.ABLAT.B/S.Z/P./M.SC.37CMKTMREX</t>
  </si>
  <si>
    <t>***PLBOCZ.ABLAT.B/S.Z/P/MŚ.SCH.37CMKTDMR</t>
  </si>
  <si>
    <t>***PLKARK.WP.B/K.Z/KOR/WAR.KAWOK15KGPJST</t>
  </si>
  <si>
    <t>***SCHB/K.Z/TŁ3 PRZYC2ST VAC KT MR JAPEŁ</t>
  </si>
  <si>
    <t>***OKO SCH. 25/26-28  L  VAC KT MR JAP</t>
  </si>
  <si>
    <t>***PL BOCZ.B BL.B/S.Z/P/M.SCH.OK15KGPJST</t>
  </si>
  <si>
    <t>***PLSZYN.SPECK 7.2-8KG1STVACOK20KGKTEXI</t>
  </si>
  <si>
    <t>***PL SZYN.SPECK &gt;8KG1STVACOK20KGKTEX I</t>
  </si>
  <si>
    <t>***PLBOCZ.ABBLAT.B/S.Z/P./M.SCH.37CMKTMR</t>
  </si>
  <si>
    <t>***PLBOCZ.AB BLAT.B/S.Z/P/M.SCH37CMKTDMR</t>
  </si>
  <si>
    <t>“A”???????</t>
  </si>
  <si>
    <t>***PL BOCZ.B ŁUS.Z/S.B/CH.2STRMM 2STKT</t>
  </si>
  <si>
    <t>“A”???????(???)</t>
  </si>
  <si>
    <t>***PL BOCZ.B B/Ż/S/CH/MPP OK20KGKT MR EX</t>
  </si>
  <si>
    <t>***PLBOCZ.A B/Ż.Z/S/MPP/M.S.OK20KGKTMREX</t>
  </si>
  <si>
    <t>***PL BOCZ.A B/Ż.Z/S/MPP/M.SCH.DMR</t>
  </si>
  <si>
    <t>***PL BOCZ.B ŁUS.Z/SK/CH.OK15KG PB MR EX</t>
  </si>
  <si>
    <t>***PL BOCZ.B ŁUS.Z/SK/CH.OK15KGPB DMR EX</t>
  </si>
  <si>
    <t>***EU BOCZ.B ŁUS.Z/SK/CH.CH</t>
  </si>
  <si>
    <t>***EU BOCZ.B ŁUS.Z/SK/CH.OK15KG PB MR EX</t>
  </si>
  <si>
    <t>***PL BOCZ.C ŁUS.Z/SK/CH.OK15KG PB MR EX</t>
  </si>
  <si>
    <t>***PL BOCZ.C ŁUS.Z/SK/CH.OK15KGPB DMR EX</t>
  </si>
  <si>
    <t>***EU BOCZ.C ŁUS.Z/SK/CH.OK15KG PB MR EX</t>
  </si>
  <si>
    <t>***EU BOCZ.C ŁUS.Z/SK/CH.OK15KGPB DMR EX</t>
  </si>
  <si>
    <t>***PL BOCZ.ŁUS.SZER.Z/SK.B/CHRZ.PB MR</t>
  </si>
  <si>
    <t>***PL BOCZ.ŁUSKANY/SK.MR CH</t>
  </si>
  <si>
    <t>***PL BOCZ.ŁUS.SZER.Z/SK.B/CH1STFOL KTMR</t>
  </si>
  <si>
    <t>***PL BOCZ.ŁUS.Z/SK.B/CHRZ.1STVACKTMR EX</t>
  </si>
  <si>
    <t xml:space="preserve">FR RIB BELLY SKIN ON WITHOUT SOFTBONE </t>
  </si>
  <si>
    <t>***PL BOCZ.ŁUS.SZER.Z/SK.B/CHRZ.PB DMR</t>
  </si>
  <si>
    <t>***PL BOCZ.ŁUS.SZER.Z/SK.B/CH10KGKTDMRCN</t>
  </si>
  <si>
    <t>***PL BOCZ.ŁUS.SZ.Z/SK.B/CH1STFOLKT DMR</t>
  </si>
  <si>
    <t>***PL BOCZ.ŁUS.Z/SK.B/CHRZ.1STVACKTDMREX</t>
  </si>
  <si>
    <t>FROZEN SINGLE RIBBED BELLY SKIN ON WITHOUT SOFTBONE VAC</t>
  </si>
  <si>
    <t>***EU BOCZ.ŁUS.SZER.Z/SK.B/CHRZ.PB MR</t>
  </si>
  <si>
    <t>***EU BOCZ.ŁUSKANY/SK.MR CH</t>
  </si>
  <si>
    <t>***EU BOCZ.ŁUS.SZER.Z/SK.B/CH.1STFOLKTMR</t>
  </si>
  <si>
    <t>***EU BOCZ.ŁUS.Z/SK.B/CHRZ.1STVACKTMR EX</t>
  </si>
  <si>
    <t>***EU BOCZ.ŁUS.SZER.Z/SK.B/CHRZ.PB DMR</t>
  </si>
  <si>
    <t>***EU BOCZ.ŁUS.SZER.Z/SK.B/CH10KGKTDMRCN</t>
  </si>
  <si>
    <t>***EU BOCZ.ŁUS.SZ.Z/SK.B/CH1STFOL KT DMR</t>
  </si>
  <si>
    <t>***EU BOCZ.ŁUS.Z/SK.B/CHRZ.1STVACKTDMREX</t>
  </si>
  <si>
    <t>***EU BOCZ.B BLAT.B/SK.MR</t>
  </si>
  <si>
    <t>***EU BOCZ.B BLAT.B/SK.NB DMR</t>
  </si>
  <si>
    <t>***EU BOCZ.B BLAT.B/SK.RO1</t>
  </si>
  <si>
    <t>***EU BOCZ.B BLAT.B/SK.RO2</t>
  </si>
  <si>
    <t>***PL BOCZ.B BLAT.B/S.GRILL.CH BIED1</t>
  </si>
  <si>
    <t>***PL BOCZ.B BLAT.B/SK.GRILL PBX CH BIED</t>
  </si>
  <si>
    <t>***PLBOCZ.B BLAT.B/S.GRILLOK15WPJBIEDST</t>
  </si>
  <si>
    <t>***PL BOCZ.B BLAT.B/S.GRILL.CH BIED2</t>
  </si>
  <si>
    <t>***EU BOCZ.B BLAT.B/S.GRILL.CH BIED1</t>
  </si>
  <si>
    <t>***EU BOCZ.B BLAT.B/S.GRILL.CH BIED2</t>
  </si>
  <si>
    <t>***PL BOCZ.A BLAT.B/SK.GRILL NB MR</t>
  </si>
  <si>
    <t>***PL BOCZ.A BLAT.B/S..GRILL.PBX BIED1</t>
  </si>
  <si>
    <t>***PL BOCZ.A BLAT.B/S.OK15WOR PJ BIED ST</t>
  </si>
  <si>
    <t>***PLBOCZ.ABLAT.B/S.GRILL.OK500KGPBXCHST</t>
  </si>
  <si>
    <t>***PL BOCZ.A BLAT.B/SK.GRILL NB DMR</t>
  </si>
  <si>
    <t>***PL BOCZ.A BLAT.B/SK.GRILL NB RO1</t>
  </si>
  <si>
    <t>***PL BOCZ.A BLAT.B/S.GRILL.CH BIED2</t>
  </si>
  <si>
    <t>***PL BOCZ.A BLAT.B/SK.GRILL NB RO2</t>
  </si>
  <si>
    <t>***PL BOCZ.A BLAT.B/S..GRILL.PBX BIED2</t>
  </si>
  <si>
    <t>***EU BOCZ.A BLAT.B/S.GRILL.PBX CH BIED1</t>
  </si>
  <si>
    <t>***EU BOCZ.A BLAT.B/S.GRILL.CH BIED2</t>
  </si>
  <si>
    <t>***EU BOCZ.A BLAT.B/S.GRILL.PBX CH BIED2</t>
  </si>
  <si>
    <t>***PL BOCZ.A BLAT.B/SK.CH1</t>
  </si>
  <si>
    <t>***PL BOCZ.A BLAT.B/SK.CH2</t>
  </si>
  <si>
    <t>***EU BOCZ.A BLAT.B/SK.CH1</t>
  </si>
  <si>
    <t>***EU BOCZ.A BLAT.B/SK.CH2</t>
  </si>
  <si>
    <t>***PL BOCZ.B BLAT.B/SK.OK15KGKT MR EX</t>
  </si>
  <si>
    <t>***PL BOCZ.B BLAT.B/S.OK1KGVACOK4KGKT EX</t>
  </si>
  <si>
    <t>***PL BOCZ.B BLAT.B/SK.OK 15KG KT DMR EX</t>
  </si>
  <si>
    <t>***PL BOCZ.A BL.Z/S.OK20KG NB MR K4 ZAK</t>
  </si>
  <si>
    <t>***EU BOCZ.A BLAT.B/SK.CH.PBX CH ST</t>
  </si>
  <si>
    <t>***M-Ń WP MARMUR. Z SZYN. PB MR ST</t>
  </si>
  <si>
    <t>***M-SO WP.DR.KL1 Z SZYN.JAS.MARM.PBMRST</t>
  </si>
  <si>
    <t>***PL BOCZ.ŁUS.SZER.B/SK.CH</t>
  </si>
  <si>
    <t>***PL BOCZ.ŁUS.SZER.B/SK.LUZ KT</t>
  </si>
  <si>
    <t>***PL BOCZ.ŁUS.SZER.B/SK.VAC KT</t>
  </si>
  <si>
    <t>***EU BOCZ.ŁUS.SZER.B/SK.LUZ KT</t>
  </si>
  <si>
    <t>***EU BOCZ.ŁUS.SZER.B/SK.VAC KT</t>
  </si>
  <si>
    <t>***BOCZEK Z/ŻEB. SZEROKI LUZ KT</t>
  </si>
  <si>
    <t>***PL BOCZ.ABC OK20KGWOR KT MR ŻST EX</t>
  </si>
  <si>
    <t>***PL BOCZ.ABC OK20KGWOR KT DMR ŻST EX</t>
  </si>
  <si>
    <t>***EU BOCZ.ABC 1823 OK20KG WOR KT MR EX</t>
  </si>
  <si>
    <t>***M-Ń SZYN.ODBŁ.JASNE PL CH</t>
  </si>
  <si>
    <t>***M-Ń SZYN.ODBŁ.JASNE PL NB MR</t>
  </si>
  <si>
    <t>***M-Ń SZYN.ODBŁ.JASNE PL NB DMR</t>
  </si>
  <si>
    <t>***M-Ń SZYN.ODBŁ.JASNE PL NB RO</t>
  </si>
  <si>
    <t>***M-Ń SZYN.ODBŁ.CIEMNE PL CH</t>
  </si>
  <si>
    <t>***M-Ń SZYN.ODBŁ.CIEMNE PL NB MR</t>
  </si>
  <si>
    <t>***M-Ń SZYN.ODBŁ.CIEMNE PL NB DMR</t>
  </si>
  <si>
    <t>***M-Ń SZYN.ODBŁ.CIEMNE PL NB RO</t>
  </si>
  <si>
    <t>***PL BOCZ.B/K.OK700G MAP OK5.6KG KT JMD</t>
  </si>
  <si>
    <t>***PL BOCZ.ŁUS.Z/SK/CH.MDP MR BIED SZ</t>
  </si>
  <si>
    <t>BOCZEK ŁUSK.Z/S CHRZ. LUZ PJ BIEDR.OW ST</t>
  </si>
  <si>
    <t>***PL BOCZ.B BLAT.Z/S.OK5KGMAPOK10KGKT K</t>
  </si>
  <si>
    <t>***PLBOCZ.B BLAT.Z/S.OK5KGVACOK10KGKTSEL</t>
  </si>
  <si>
    <t>***EU BOCZ.B BLAT.Z/S.OK5KGMAPOK10KGKT K</t>
  </si>
  <si>
    <t>***EUBOCZ.B BLAT.Z/S.OK5KGVACOK15KGKTSTO</t>
  </si>
  <si>
    <t>***EUBOCZ.B BLAT.Z/S.OK5KGVACOK10KGKTPIP</t>
  </si>
  <si>
    <t>***EUBOCZ.B BLAT.Z/S.OK5KGVACOK10KGKTSEL</t>
  </si>
  <si>
    <t>**PL BOCZ.B ŁUS.Z/SK/CH.20+/-2CM PBX CH1</t>
  </si>
  <si>
    <t>***PL BOCZ.B ŁUS.Z/SK/CH.OK20KG KT MR EX</t>
  </si>
  <si>
    <t>***PL BOCZ.B ŁUS.OK1KGVAC OK4.2KGKT MOR</t>
  </si>
  <si>
    <t>**PL BOCZ.B ŁUS.Z/SK/CH.OK20KG KT DMR EX</t>
  </si>
  <si>
    <t>**PL BOCZ.B ŁUS.Z/SK/CH.20+/-2CM PBX CH2</t>
  </si>
  <si>
    <t>***EU BOCZ.B ŁUS.Z/SK/CH.20+/-2CM PBXCH1</t>
  </si>
  <si>
    <t>***EUBOCZ.B ŁUS.Z/SK/CH.2STRMM2STKT KAUF</t>
  </si>
  <si>
    <t>***EU BOCZ.B ŁUS.OK1KGVAC OK4.2KGKT MOR</t>
  </si>
  <si>
    <t>***EU BOCZ.B ŁUS.Z/SK/CH.20+/-2CM PBXCH2</t>
  </si>
  <si>
    <t>***PL BOCZ.BLAT.WĄS.Z/SK.GRILL CH</t>
  </si>
  <si>
    <t>***EU BOCZ.BLAT.WĄS.Z/SK.GRILL CH</t>
  </si>
  <si>
    <t>***VEPROVA KYTA BEZ KOSTI-VCELKU1KGMAPL</t>
  </si>
  <si>
    <t>***SZYNKA B/K MŚN/OBR1KG MAP6KG KTLIDLSK</t>
  </si>
  <si>
    <t>***VEPROVA - RIZKY 450G MAP L</t>
  </si>
  <si>
    <t>***SZNYCEL WP.PL450G MAP5.4KG KT LIDL SK</t>
  </si>
  <si>
    <t>***VEPROVA PLEC B/KOSTI-VCELKU 1KG MAP L</t>
  </si>
  <si>
    <t>***ŁOPATKA4D B/K PC1KG MAP 6KGKT LIDL SK</t>
  </si>
  <si>
    <t>***GULASZ Z/SZYNKI 500G MAP 3KG KT LIDL</t>
  </si>
  <si>
    <t>***VEPROVA PECENE S KOSTI PLATKY750GMAPL</t>
  </si>
  <si>
    <t>***SCHAB  Z/K PL 750G MAP 3KG KT LIDL SK</t>
  </si>
  <si>
    <t>***SCHAB WP.B/K PL320GMAP 3.84KG KT LIDL</t>
  </si>
  <si>
    <t>***VEPROVY BOK S KOSTI 1KG MAP L</t>
  </si>
  <si>
    <t>***BOCZEK WP.Z/Ż PC1KG MAP 4KGKT LIDL SK</t>
  </si>
  <si>
    <t>***PL BOCZ.B SZER.Z/Ż/SK.1STTRMOK15KG KT</t>
  </si>
  <si>
    <t>***PL BOCZ.B SZER.Z/Ż/S.B/TŁ.PACH.WOR PJ</t>
  </si>
  <si>
    <t>***PL BOCZ.B SZER.Z/Ż/S.B/TŁ.PACHW.OKTCH</t>
  </si>
  <si>
    <t>***EU BOCZ.B SZER.Z/Ż/SK.1STTRMOK15KG KT</t>
  </si>
  <si>
    <t>***EU BOCZ.B SZER.Z/Ż/S.B/TŁ.PACH.WOR PJ</t>
  </si>
  <si>
    <t>***EU BOCZ.B SZER.Z/Ż/S.B/TŁ.PACH.OKT CH</t>
  </si>
  <si>
    <t>***M-Ń KRZYŻOWY CH</t>
  </si>
  <si>
    <t>***M-Ń CZTEROGŁOWY ODBŁ CH</t>
  </si>
  <si>
    <t>***BOCZEK BLAT.SZER B/S LUZ KT MR KOREA</t>
  </si>
  <si>
    <t>***PLBOCZ.B ŁUS.Z/S.B/TŁ.PACH.OK15KGKTST</t>
  </si>
  <si>
    <t>***PL BOCZ.B ŁUS.Z/SK.B/TŁ.PACH.LUZOKTCH</t>
  </si>
  <si>
    <t>***EUBOCZ.B ŁUS.Z/S.B/TŁ.PACH.OK15KGKTST</t>
  </si>
  <si>
    <t>***EU BOCZ.B ŁUS.Z/S.B/TŁ.PACH.LUZOKT CH</t>
  </si>
  <si>
    <t>***PL BOCZ.B ŁUS.SZER.Z/SK.B/TŁ.PACH.CH</t>
  </si>
  <si>
    <t>***EU BOCZ.B ŁUS.SZER.Z/SK.B/TŁ.PACH.CH</t>
  </si>
  <si>
    <t>***BOCZEK KLUR B/TŁ.PACH.OK20KG PJ CH ST</t>
  </si>
  <si>
    <t>***M-SO WP.B/K (ŚRODEK CZ. Z/SK) KL.S CH</t>
  </si>
  <si>
    <t>***M-SO WP. B/K KL.S PB MR ROS</t>
  </si>
  <si>
    <t>***M-SO WP. B/K (ŚRODK.CZ.Z/SK) KL.S DMR</t>
  </si>
  <si>
    <t>***M-SO WP.B/K(SRODEK CZ.Z/SK.)KLS PB RO</t>
  </si>
  <si>
    <t>***M-SO WP.B/K(ŚRODK.CZ.Z/S) KL.S PL</t>
  </si>
  <si>
    <t>***M-SO WP.B/K(ŚRODK.CZ.Z/SK) KLS USR CH</t>
  </si>
  <si>
    <t>***M-SO WP.B/K(ŚRODK.CZ.Z/S) KL.S PL USR</t>
  </si>
  <si>
    <t>***ŚRODEK WP.B/K (MIDLES) CH</t>
  </si>
  <si>
    <t>***M-SO WP. B/K KL.E PB MR ROS</t>
  </si>
  <si>
    <t>***ŚRODEK WP.B/K(MIDLES) LUZ CHOIN.CH EX</t>
  </si>
  <si>
    <t>***M-SO WP. B/K (RODK.CZ. Z/S) KL E DMR</t>
  </si>
  <si>
    <t>***M-SO WP.B/K(ŚRODK.CZ.Z/S) KL.E PL</t>
  </si>
  <si>
    <t>***M-SO WP.B/K(ŚRODK.CZ.Z/SK) KLE USR CH</t>
  </si>
  <si>
    <t>***M-SO WP.B/K(ŚRODK.CZ.Z/S) KL.E PL UŚR</t>
  </si>
  <si>
    <t>PP ŚRODEK B/K/SK/POL.KLA CH</t>
  </si>
  <si>
    <t>PP ŚRODEK B/K/SK/POL.KLA PBX ST</t>
  </si>
  <si>
    <t>***PL BOCZ.SZER.Z/Ż/SK.B/TŁ.PACHW.CH</t>
  </si>
  <si>
    <t>***EU BOCZ.SZER.Z/Ż/SK.B/TŁ.PACHW.CH</t>
  </si>
  <si>
    <t>POLICZKI WP.CH</t>
  </si>
  <si>
    <t>***GŁOWA WP.CAŁA Z/USZAMI OK15KGKT MR CH</t>
  </si>
  <si>
    <t>***GŁOWA WP. CAŁA Z USZAMI OKT CH EX</t>
  </si>
  <si>
    <t>***GŁOWA WP.CAŁA Z/USZAMI OK.15KG KT RO</t>
  </si>
  <si>
    <t>***GŁOWA WP.CAŁA Z/USZAMI PL CH</t>
  </si>
  <si>
    <t>***GŁOWA WP.CAŁA Z/USZAMI PL USR</t>
  </si>
  <si>
    <t>USZY KLB CH EX</t>
  </si>
  <si>
    <t>PL USZY WP.KLB 10KGWOR KT MR EX</t>
  </si>
  <si>
    <t>***USZY KL.B 10KG KT MR EX</t>
  </si>
  <si>
    <t>PL USZY WP.KLB 10KGWOR KT DMR EX</t>
  </si>
  <si>
    <t>***USZY KLB 10KG KT DMR EX</t>
  </si>
  <si>
    <t>EU USZY WP.KLB CH</t>
  </si>
  <si>
    <t>EU USZY WP.KLB 10KGWOR KT MR EX</t>
  </si>
  <si>
    <t>EU USZY WP.KLB 10KGWOR KT DMR EX</t>
  </si>
  <si>
    <t>CZ USZY KLB CH EX</t>
  </si>
  <si>
    <t>CZ USZY WP.KLB 10KGWOR KT MR EX</t>
  </si>
  <si>
    <t>CZ USZY WP.KLB 10KGWOR KT DMR EX</t>
  </si>
  <si>
    <t>***GŁOWA WP.CAŁA B/USZU OK15KG KT MR</t>
  </si>
  <si>
    <t>***GŁOWA WP.CAŁA B/USZU CH PBX</t>
  </si>
  <si>
    <t>***GŁOWA WP.CAŁA B/USZU CH OKT. ST</t>
  </si>
  <si>
    <t>***GŁOWA WP.CAŁA B/USZU CH PBX ST</t>
  </si>
  <si>
    <t>***GŁOWA WP.CAŁA B/USZU PL CH</t>
  </si>
  <si>
    <t>***GŁOWA WP.CAŁA B/USZU PL USR</t>
  </si>
  <si>
    <t>***NOGI PRZEDNIE KL.2 CH</t>
  </si>
  <si>
    <t>***NOGI WP. KL.2 PRZED.MRŻ. EXP LUZ</t>
  </si>
  <si>
    <t>***NOGI PRZEDNIE KL.2 OK.10KG KT DMR EX</t>
  </si>
  <si>
    <t>***NOGI WP.KL.2 PRZEDNIE PL</t>
  </si>
  <si>
    <t>***NOGI WP.KL.2 PRZEDNIE UŚR</t>
  </si>
  <si>
    <t>***NOGI TYLNE KL.2 CH</t>
  </si>
  <si>
    <t>***NOGI WP. KL.2 TYLNE LUZ MR  EX</t>
  </si>
  <si>
    <t>***NOGI TYLNE KL.2 OK.10KG KT DMR EX</t>
  </si>
  <si>
    <t>***NOGI WP.KL.2 TYLNE PL</t>
  </si>
  <si>
    <t>***NOGI WP.KL.2 TYLNE UŚR</t>
  </si>
  <si>
    <t>***M-SO DROBNE BD CH</t>
  </si>
  <si>
    <t>***M-SO DROBNE BD NB MR</t>
  </si>
  <si>
    <t>***M-SO DROBNE BD PB MR</t>
  </si>
  <si>
    <t>***M-SO WP.DROBNE BD LUZ PJ ST</t>
  </si>
  <si>
    <t>***M-SO DROBNE BD NB DMR</t>
  </si>
  <si>
    <t>***M-SO DROBNE BD PB DMR</t>
  </si>
  <si>
    <t>***M-SO DROBNE BD NB RO</t>
  </si>
  <si>
    <t>***M-SO DROBNE BD PB RO</t>
  </si>
  <si>
    <t>***M-SO DROBNE BD UŚR CH</t>
  </si>
  <si>
    <t>USZY KLC CH</t>
  </si>
  <si>
    <t>PL USZY WP.KLC OK15KG NB MR EX</t>
  </si>
  <si>
    <t>PL USZY WP.KLC OK15KG NB DMR</t>
  </si>
  <si>
    <t>PL USZY WP.KLC USR</t>
  </si>
  <si>
    <t>***M-SO DO GOTOWANIA1</t>
  </si>
  <si>
    <t>***M-SO DO GOTOWANIA MR ST</t>
  </si>
  <si>
    <t>***M-SO DO GOTOWANIA DMR</t>
  </si>
  <si>
    <t>***M-SO DO GOTOWANIA RO1</t>
  </si>
  <si>
    <t>***M-SO DO GOTOWANIA2</t>
  </si>
  <si>
    <t>***M-SO DO GOTOWANIA RO2</t>
  </si>
  <si>
    <t>***M-SO WP.DO PEKL.CH1</t>
  </si>
  <si>
    <t>***M-SO WP.DO PEKL.MR ST</t>
  </si>
  <si>
    <t>***M-SO WP.DO PEKL.DMR</t>
  </si>
  <si>
    <t>***M-SO WP.DO PEKL.RO1</t>
  </si>
  <si>
    <t>***M-SO WP.DO PEKL.CH2</t>
  </si>
  <si>
    <t>***M-SO WP.DO PEKL.RO2</t>
  </si>
  <si>
    <t>M-SO DO WYKROJENIA</t>
  </si>
  <si>
    <t>***M-SO DO WYKROJENIA MRŻ</t>
  </si>
  <si>
    <t>***M-SO DO WYKROJENIA DMR</t>
  </si>
  <si>
    <t>***M-SO DO WYKROJENIA RO</t>
  </si>
  <si>
    <t>***M-SO WP.-WŁ. DO PEKL. CH</t>
  </si>
  <si>
    <t>***M-SO WP.-WŁ.DO PEKL.MR</t>
  </si>
  <si>
    <t>***M-SO WP.-WŁ.DO PEKL.DMR</t>
  </si>
  <si>
    <t>***M-SO WP.-WŁ. DO PEKL. RO1</t>
  </si>
  <si>
    <t>***M-SO WP.-WŁ. DO PEKL. RO2</t>
  </si>
  <si>
    <t>***M-SO WP.-WŁ.DO PEKL.</t>
  </si>
  <si>
    <t>***M-SO GARM.WP.-WŁ. DO PEKL.CH</t>
  </si>
  <si>
    <t>KREW TECH.-KAT.3</t>
  </si>
  <si>
    <t>ODPAD LUZ PJ CH -MAT.KAT.3</t>
  </si>
  <si>
    <t>ODPAD -MAT.KAT.3</t>
  </si>
  <si>
    <t>***KK M-SO PRZET.OK15KG PB MR</t>
  </si>
  <si>
    <t>***KK M-SO DO PRZET.OK540KGFOLPJ OP</t>
  </si>
  <si>
    <t>***KK M-SO DO PRZET.15KG PB MR OP1</t>
  </si>
  <si>
    <t>KK M-SO DO PRZET.PB MR ZAK</t>
  </si>
  <si>
    <t>***KK M-SO PRZET.OK15KG PB DMR</t>
  </si>
  <si>
    <t>***KK M-SO PRZET.RO1</t>
  </si>
  <si>
    <t>***KK M-SO PRZET.RO2</t>
  </si>
  <si>
    <t>KK MDOM WYS.CIŚ.15KG NB MR OP1</t>
  </si>
  <si>
    <t>KK MDOM NIS.CIŚ.15KG NB MR OP1</t>
  </si>
  <si>
    <t>***KK MDOM OK15KG FOL MR DĘB1</t>
  </si>
  <si>
    <t>KK MDOM OK7.5KG PB MR SU1</t>
  </si>
  <si>
    <t>KK MDOM OK15KG NB MR K3</t>
  </si>
  <si>
    <t>KK MDOM 10KG PB MR SU1</t>
  </si>
  <si>
    <t>KK MDOM B/SZ.OK15KG NB MR K3</t>
  </si>
  <si>
    <t>KK MDOM 10KG NB MR SU1</t>
  </si>
  <si>
    <t>LT KK MDOM 10KG NB MR SU</t>
  </si>
  <si>
    <t>KK MDOM RO1</t>
  </si>
  <si>
    <t>***KK MDOM RO2</t>
  </si>
  <si>
    <t>LT KK M-SO Z FIL.D6 15KG NB MR SU1</t>
  </si>
  <si>
    <t>KK M-SO Z FIL.D6 OK15KGWOR PJ SU</t>
  </si>
  <si>
    <t>CZ KK M-SO Z FIL.D3 15KG NB MR OP1</t>
  </si>
  <si>
    <t>KK M-SO Z FIL.D6 OK15KG PB MR SU1</t>
  </si>
  <si>
    <t>KK M-SO Z FIL.D6 OK15KG PB MR ZAK</t>
  </si>
  <si>
    <t>IKA UDO B/K.Z/S.ROZ.80% OK20KG PB MR IŁ</t>
  </si>
  <si>
    <t>KK M-SO Z FIL.FOLPJ OK540KGPAL OP1</t>
  </si>
  <si>
    <t>KK M-SO Z FIL.15KG PB MR OP1</t>
  </si>
  <si>
    <t>KK M-SO Z FIL.D3 15KG PB MR OP1</t>
  </si>
  <si>
    <t>KK M-SO Z FIL.D3 15KG NB MR OP</t>
  </si>
  <si>
    <t>KK M-SO Z FIL.D6 OK15KG NB MR SU1</t>
  </si>
  <si>
    <t>KK M-SO Z FIL.D6 LUZPJ OK540KG K3</t>
  </si>
  <si>
    <t>KK M-SO Z FIL.D6 OK15KG PB MR K3</t>
  </si>
  <si>
    <t>KK M-SO Z FIL.D6 OK15KG NB MR K3</t>
  </si>
  <si>
    <t>KK M-SO Z FIL.D6 RO1</t>
  </si>
  <si>
    <t>LT KK M-SO Z FIL.D6 RO1</t>
  </si>
  <si>
    <t>KK M-SO Z FIL.D6 RO2</t>
  </si>
  <si>
    <t>LT KK M-SO Z FIL.D6 RO2</t>
  </si>
  <si>
    <t>***KK SKÓRY OK15KG NB MR</t>
  </si>
  <si>
    <t>***KK SKÓRY ZAK</t>
  </si>
  <si>
    <t>KK SKÓRY OK15KGWOR PJ SU</t>
  </si>
  <si>
    <t>KK SKÓRY Z PIERSI OK15KGWOR PJ SU</t>
  </si>
  <si>
    <t>KK SKÓRY OK20KG NB MR ZAK</t>
  </si>
  <si>
    <t>KK SKÓRY 15KG PB MR OP1</t>
  </si>
  <si>
    <t>KK SKÓRY OK15KG PB MR SU1</t>
  </si>
  <si>
    <t>KK SKÓRY OK10KGFOL KT MR SU1</t>
  </si>
  <si>
    <t>KK SKÓRY Z PIERSI 15KG PB MR OP1</t>
  </si>
  <si>
    <t>KK SKÓRY OK15KG NB MR K3</t>
  </si>
  <si>
    <t>KK SKÓRY OK15KG NB MR SU1</t>
  </si>
  <si>
    <t>KK SKÓRY Z PIERSI OK15KG PB MR K3</t>
  </si>
  <si>
    <t>KK SKÓRY OK15KG PB MR K3</t>
  </si>
  <si>
    <t>KK SKÓRY 15KG NB HAL MR OP1</t>
  </si>
  <si>
    <t>KK SKÓRY Z PIERSI 10KG NB MR SU1</t>
  </si>
  <si>
    <t>LT KK SKÓRY 15KG NB MR SU</t>
  </si>
  <si>
    <t>KK SKÓRY Z PIERSI OK15KG NB MR K3</t>
  </si>
  <si>
    <t>KK SKÓRY OK15KG NB DMR</t>
  </si>
  <si>
    <t>***KK SKÓRY RO</t>
  </si>
  <si>
    <t>KK SKÓRY RO1</t>
  </si>
  <si>
    <t>KK SKÓRY RO2</t>
  </si>
  <si>
    <t>***KK PODUD.B/K/S.15KG 50MY PB MR IŁ</t>
  </si>
  <si>
    <t>LT KK PODUD.B/K/S.15KG NB MR SU</t>
  </si>
  <si>
    <t>LT KK PODUD.B/K/S.RO1</t>
  </si>
  <si>
    <t>LT KK PODUD.B/K/S.RO2</t>
  </si>
  <si>
    <t>***KK UDO B/K/S.15KG PB MR</t>
  </si>
  <si>
    <t>KK UDO B/K/S.DCZ.LUZPJ OK540KG K3</t>
  </si>
  <si>
    <t>LT KK UDO B/K/S.12KG NB MR SU</t>
  </si>
  <si>
    <t>KK UDO B/K/S.10KG PB MR OP1</t>
  </si>
  <si>
    <t>KK UDO B/K/S.OK15KGLUZ PJ K3</t>
  </si>
  <si>
    <t>KK UDO B/K/S.15KG PB MR OP</t>
  </si>
  <si>
    <t>KK UDO B/K/S.LUZPJ OK540KG OP</t>
  </si>
  <si>
    <t>KK UDO B/K/S.OK15KG PB MR K3</t>
  </si>
  <si>
    <t>KK UDO B/K/S.12KG NB MR SU</t>
  </si>
  <si>
    <t>KK UDO B/K/S.OK15KG PB MR SU</t>
  </si>
  <si>
    <t>KK UDO B/K/S.15KG NB MR EX OP</t>
  </si>
  <si>
    <t>KK UDO B/K/S.15KG NB MR SU</t>
  </si>
  <si>
    <t>KK UDO B/K/S.OK15KG NB MR K3</t>
  </si>
  <si>
    <t>***KK UDO B/K/S.15KG PB DMR</t>
  </si>
  <si>
    <t>KK UDO B/K/S.RO1</t>
  </si>
  <si>
    <t>LT KK UDO B/K/S.RO1</t>
  </si>
  <si>
    <t>KK UDO B/K/S.RO2</t>
  </si>
  <si>
    <t>LT KK UDO B/K/S.RO2</t>
  </si>
  <si>
    <t>***KK NOGA B/K.OK15KG NB MR</t>
  </si>
  <si>
    <t>KK M-SO Z NOGI D6 OK15KG PB MR K3</t>
  </si>
  <si>
    <t>KK M-SO Z NOGI D6 OK15KG PB MR SU1</t>
  </si>
  <si>
    <t>LT KK M-SO Z NOGI D6 15KG NB MR SU</t>
  </si>
  <si>
    <t>KK NOGA B/K.OK15KGLUZ PJ K3</t>
  </si>
  <si>
    <t>KK M-SO Z NOGI 15KG PB MR OP1</t>
  </si>
  <si>
    <t>KK M-SO Z NOGI D6 LUZPJ OK540KG K3</t>
  </si>
  <si>
    <t>KK M-SO Z NOGI D6 OK15KG NB MR K3</t>
  </si>
  <si>
    <t>KK NOGA B/K.OK15KG NB MR K3</t>
  </si>
  <si>
    <t>CZ KK M-SO Z NOGI D3 15KG NB MR OP1</t>
  </si>
  <si>
    <t>CZ KK M-SO Z NOGI D3 15KG PB MR OP1</t>
  </si>
  <si>
    <t>KK M-SO Z NOGI D3 15KG NB MR OP1</t>
  </si>
  <si>
    <t>KK M-SO Z NOGI D3 15KG PB MR OP1</t>
  </si>
  <si>
    <t>KK NOGA B/K.OK15KG PB MR K3</t>
  </si>
  <si>
    <t>KK M-SO Z NOGI D6 OK15KG NB MR SU1</t>
  </si>
  <si>
    <t>KK NOGA B/K.PRZT.OK15KG NB MR K3</t>
  </si>
  <si>
    <t>KK M-SO Z NOGI D3 OK15KG NB MR ZAK</t>
  </si>
  <si>
    <t>KK M-SO Z NOGI D3 OK15KG NB MR IŁ</t>
  </si>
  <si>
    <t>***KK NOGA B/K.OK15KG NB DMR</t>
  </si>
  <si>
    <t>***KK M-SO Z NOGI D6 RO</t>
  </si>
  <si>
    <t>LT KK M-SO Z NOGI D6 RO</t>
  </si>
  <si>
    <t>KK M-SO Z NOGI D6 RO1</t>
  </si>
  <si>
    <t>***KK PODUD.B/K.OK15KG PB MR</t>
  </si>
  <si>
    <t>CZ KK PODUD.B/K.10KG PB MR OP</t>
  </si>
  <si>
    <t>***KK PODUD.B/K.OK15KG PB DMR</t>
  </si>
  <si>
    <t>KK UDO B/K/S.OK15KGWOR PJ SU</t>
  </si>
  <si>
    <t>KK UDO B/K.180G- PBX OP</t>
  </si>
  <si>
    <t>KK UDO B/K.15KG PB MR OP1</t>
  </si>
  <si>
    <t>KK UDO B/K.OK15KG PB MR SU</t>
  </si>
  <si>
    <t>KK UDO B/K.OK15KG PB MR K3</t>
  </si>
  <si>
    <t>KK UDO B/K.15KG NB MR SU</t>
  </si>
  <si>
    <t>KK UDO B/K.OK15KG NB MR K3</t>
  </si>
  <si>
    <t>KK UDO B/K.180G- 15KG NB MR OP</t>
  </si>
  <si>
    <t>KK UDO B/K.RO1</t>
  </si>
  <si>
    <t>***KK UDO B/K. Z/S 15KG PB RO</t>
  </si>
  <si>
    <t>KK NOGA B/K/S.OK15KGLUZ PJ K3</t>
  </si>
  <si>
    <t>KK NOGA B/K/S.OK15KG PB MR K3</t>
  </si>
  <si>
    <t>KK NOGA B/K/S.15KG PB MR OP1</t>
  </si>
  <si>
    <t>KK NOGA B/K/S.OK15KG NB MR K3</t>
  </si>
  <si>
    <t>KK NOGA B/K/S.RO1</t>
  </si>
  <si>
    <t>KK NOGA B/K/S.RO2</t>
  </si>
  <si>
    <t>KK NOGA B/K.RO1</t>
  </si>
  <si>
    <t>KK NOGA B/K.RO2</t>
  </si>
  <si>
    <t>KK M-SO Z FIL.D3 EXT.15KG NB MR OP</t>
  </si>
  <si>
    <t>KK M-SO Z FIL.D6 EXT.15KG NB MR SU</t>
  </si>
  <si>
    <t>KK M-SO Z FIL.D3 EXT.RO1</t>
  </si>
  <si>
    <t>KK M-SO Z FIL.D3 EXT.RO2</t>
  </si>
  <si>
    <t>GS BF B/S.OK15KG PB MR SU</t>
  </si>
  <si>
    <t>GS NOGA B/K/S.RODZ.OK15KG PB MR IŁ</t>
  </si>
  <si>
    <t>***M-SO WŁ. KL.2 NB MR ST</t>
  </si>
  <si>
    <t>***M-SO WŁ.KL2 NB MR ST</t>
  </si>
  <si>
    <t>***M-SO WŁ. KL.2 BP MR</t>
  </si>
  <si>
    <t>***M-SO DR.WŁ.KL.2 OK.15KG LUZ KT CH ZAK</t>
  </si>
  <si>
    <t>EU M-SO WŁ.DR.KL2 CH ZAK</t>
  </si>
  <si>
    <t>***M-SO WŁ.KL. 2 NB DMR</t>
  </si>
  <si>
    <t>***M-SO WŁ.KL2 NB DMR</t>
  </si>
  <si>
    <t>***M-SO WŁ.KL2 PB DMR</t>
  </si>
  <si>
    <t>***M-SO WŁ.KL2 NB RO1</t>
  </si>
  <si>
    <t>***M-SO WŁ.KL2 NB RO2</t>
  </si>
  <si>
    <t>***M-SO DR.WŁ.KL.4 NB MR ZAK</t>
  </si>
  <si>
    <t>***M-SO DR. WŁ.KL.4 NB RO</t>
  </si>
  <si>
    <t>***M-SO WŁ.KL2 PEKL.2%</t>
  </si>
  <si>
    <t>PP M-SO WP.KL1 CIE.PEKL.1.5%</t>
  </si>
  <si>
    <t>PRZEPONA KL2 PEKL.2%</t>
  </si>
  <si>
    <t>PP M-SO WP.DR.KL1 JAS.PEKL.1.5%</t>
  </si>
  <si>
    <t>***M-SO WP.DR.KL1 Z SZYN.CIE.PEKL.2%</t>
  </si>
  <si>
    <t>***PP M-SO WP.DR.KL1CIE.Z SZYN.PEKL.1.5%</t>
  </si>
  <si>
    <t>PP M-SO WP.DR.KL2A PEKL.1.5%</t>
  </si>
  <si>
    <t>PP M-SO WP.KL2B PEKL.1.5%</t>
  </si>
  <si>
    <t>***M-SO WP.KL2B PEKL.MOKRO 15%</t>
  </si>
  <si>
    <t>***M-SO WP.MIEL.DO PROD.</t>
  </si>
  <si>
    <t>***M-SO WP.MIEL.DO PROD.NB MR ST</t>
  </si>
  <si>
    <t>***M-SO WP.MIEL.DO PROD.NB DMR</t>
  </si>
  <si>
    <t>***M-SO WP.MIEL.DO PROD.RO</t>
  </si>
  <si>
    <t>***M-SO WP.MIEL.DO PROD.ROZP.</t>
  </si>
  <si>
    <t>WT M-SO WP.DR.KARK.PEKL.OK20KG NB MR K2</t>
  </si>
  <si>
    <t>WT M-SO WP.DR.PEKL.MAR.OK15KG NB MR K2</t>
  </si>
  <si>
    <t>WT M-SO WP.DR.BOCZ.PEKL.OK20KG NB MR K2</t>
  </si>
  <si>
    <t>***M-SO GARM.WP-WŁ.CH DO PEKL.</t>
  </si>
  <si>
    <t>***M-SO GARM.WP-WŁ.CH DO PEKL.MR ST</t>
  </si>
  <si>
    <t>***M-SO GARM.WP-WŁ.CH DO PEKL.DMR</t>
  </si>
  <si>
    <t>***M-SO GARM.WP-WŁ.CH DO PEKL.RO</t>
  </si>
  <si>
    <t>***M-SO GARM.WP-WŁ.DO PEKL.ROZP.</t>
  </si>
  <si>
    <t>***M-SO GARM.WP.DO PEKL.CH</t>
  </si>
  <si>
    <t>***M-SO GARM.WP.DO PEKL.MR</t>
  </si>
  <si>
    <t>***M-SO GARM.WP.DO PEKL.DMR</t>
  </si>
  <si>
    <t>***M-SO GARM.WP.DO PEKL.RO</t>
  </si>
  <si>
    <t>***M-SO GARM.WP.DO PEKL.ROZP.</t>
  </si>
  <si>
    <t>***M-SO WP.-WŁ.MIEL.DO PROD.</t>
  </si>
  <si>
    <t>***M-SO WP.-WŁ.MIEL.DO PROD.NB MR ST</t>
  </si>
  <si>
    <t>***M-SO WP.-WŁ.MIEL.DO PROD.NB DMR</t>
  </si>
  <si>
    <t>***M-SO WP.-WŁ.MIEL.DO PROD.ROZP.RO</t>
  </si>
  <si>
    <t>***M-SO WP.-WŁ.MIEL.DO PROD.ROZP.</t>
  </si>
  <si>
    <t>AX001_PP_FR</t>
  </si>
  <si>
    <t>***M-SA DO PROD.MIESZ.WSTĘPNEJ DO KABAN.</t>
  </si>
  <si>
    <t>FARSZ SZYN.KONS. 7LBS PEKL.18%</t>
  </si>
  <si>
    <t>***PP M-SO WP.KL1 CIE.PEKL.2%</t>
  </si>
  <si>
    <t>***OGONÓWKA PEKL.90%</t>
  </si>
  <si>
    <t>OZORY PEKL.4%</t>
  </si>
  <si>
    <t>***FARSZ NA SZYN.KONSERWOWĄ EXPORT</t>
  </si>
  <si>
    <t>FARSZ NA KIEŁ.SZYNKOWĄ</t>
  </si>
  <si>
    <t>FARSZ NA SZYN.BIAŁĄ KRÓLEWSKĄ</t>
  </si>
  <si>
    <t>***FARSZ NA SZYN.DOMOWĄ</t>
  </si>
  <si>
    <t>***FARSZ NA PRZYSMAK SZYNKOWY</t>
  </si>
  <si>
    <t>***FARSZ NA KIEŁ.PODWAWELSKĄ PZ</t>
  </si>
  <si>
    <t>***FARSZ SZYN.KONS.CZ/SŁ</t>
  </si>
  <si>
    <t>FARSZ NA SZYN.KONSERWOWĄ BLOK</t>
  </si>
  <si>
    <t>***FARSZ NA KIEŁ. WIOSENNĄ</t>
  </si>
  <si>
    <t>***FARSZ NA KIEŁ.GRILLOWĄ</t>
  </si>
  <si>
    <t>***FARSZ NA KIEŁ.BIAŁĄ SUROWĄ MORL.</t>
  </si>
  <si>
    <t>GŁOWA PEKL.4%</t>
  </si>
  <si>
    <t>***POSYPKA DO PASZTETU PIECZONEGO</t>
  </si>
  <si>
    <t>M-SO Z GŁOW GOT.</t>
  </si>
  <si>
    <t>M-SO Z GŁÓW GOT.NB MR</t>
  </si>
  <si>
    <t>M-SO Z GŁÓW GOT.DMR</t>
  </si>
  <si>
    <t>M-SO Z GŁOW GOT. NB RO</t>
  </si>
  <si>
    <t>PRZEPONA GOT.KL2 PEKL.2%</t>
  </si>
  <si>
    <t>***PRZEPONA WP.GOT.MR</t>
  </si>
  <si>
    <t>***PRZEPONA WP.GOT.DMR</t>
  </si>
  <si>
    <t>KLA_001_HALB_0002</t>
  </si>
  <si>
    <t>***PRZEPONA WP.GOT.RO</t>
  </si>
  <si>
    <t>TLUSZCZ WP.DROBNY PARZONY</t>
  </si>
  <si>
    <t>OZORY GOT.</t>
  </si>
  <si>
    <t>***OZORY WP.GOT MR</t>
  </si>
  <si>
    <t>***OZORY WP.GOT.DMR</t>
  </si>
  <si>
    <t>***OZORY WP.GOT.RO</t>
  </si>
  <si>
    <t>***USZY WP.GOT.</t>
  </si>
  <si>
    <t>***USZY WP.GOT MR</t>
  </si>
  <si>
    <t>***USZY WP.GOT.DMR</t>
  </si>
  <si>
    <t>***USZY WP.GOT.RO</t>
  </si>
  <si>
    <t>***SERCA WP.GOT.</t>
  </si>
  <si>
    <t>***SERCA WP.GOT.MR</t>
  </si>
  <si>
    <t>***SERCA WP.GOT.DMR</t>
  </si>
  <si>
    <t>***SERCA WP.GOT.RO</t>
  </si>
  <si>
    <t>NERKI GOT.</t>
  </si>
  <si>
    <t>***NERKI WP.GOT.MR</t>
  </si>
  <si>
    <t>***NERKI WP.GOT.DMR</t>
  </si>
  <si>
    <t>***NERKI WP.GOT.RO</t>
  </si>
  <si>
    <t>***SKÓRKI WP.B/TŁ.GOT.MR</t>
  </si>
  <si>
    <t>***SKÓRKI WP.B/TŁ.GOT.DMR</t>
  </si>
  <si>
    <t>***SKÓRKI WP.B/TŁ.GOT.RO</t>
  </si>
  <si>
    <t>M-S Z GŁÓW MOCZONE</t>
  </si>
  <si>
    <t>ZALEWA DO EMULSJI</t>
  </si>
  <si>
    <t>***M-SO WP.DR.KL3A PEKL.4%</t>
  </si>
  <si>
    <t>***M-SO WP.DR.KL3A GOT.PEKL.4%</t>
  </si>
  <si>
    <t>AX001_PP_AS_AD</t>
  </si>
  <si>
    <t>***M-SO TŁ. Z GŁOW PKL.4%</t>
  </si>
  <si>
    <t>***M-SO TŁ. Z GŁOW GOT.PKL.4%</t>
  </si>
  <si>
    <t>***M-SO TŁ. Z GŁÓW GOT.PKL.4% NB MR</t>
  </si>
  <si>
    <t>***M-SO TŁ.Z GŁÓW GOT.PKL.4% NB DMR</t>
  </si>
  <si>
    <t>***M-SO TŁ. Z GŁÓW GOT.PKL.4% NB RO</t>
  </si>
  <si>
    <t>SŁONINA PARZONA</t>
  </si>
  <si>
    <t>***MASKI I M-SO Z/GŁ.Z/SK.GOT.PEKL.NB MR</t>
  </si>
  <si>
    <t>***MASKI I M-SO Z/GŁ.Z/SK.GOT.PEKL.NBDMR</t>
  </si>
  <si>
    <t>***MASKI I M-SO Z/GŁ.Z/SK.GOT.PEKL.NB RO</t>
  </si>
  <si>
    <t>FARSZ KUR.PEKL.OK15KG NB MR</t>
  </si>
  <si>
    <t>LT FARSZ KUR.PEKL.PBX SU</t>
  </si>
  <si>
    <t>FARSZ KUR.PEKL.OK15KG NB DMR</t>
  </si>
  <si>
    <t>FARSZ KUR.PEKL.RO1</t>
  </si>
  <si>
    <t>***FARSZ NA MIELONKE</t>
  </si>
  <si>
    <t>***FARSZ NA KIEŁ.ZIELONOGÓRSKĄ</t>
  </si>
  <si>
    <t>***ROZTWOR CHLORKU WAPNIA</t>
  </si>
  <si>
    <t>***FARSZ NA KABAN.LASSO BBQ</t>
  </si>
  <si>
    <t>***FARSZ NA KABAN.LASSO HOT'N'SPICY</t>
  </si>
  <si>
    <t>FARSZ NA KIEŁB.GŁOGOWSKĄ</t>
  </si>
  <si>
    <t>FARSZ NA KIEŁBASKI GRILLOWE ME</t>
  </si>
  <si>
    <t>***FARSZ NA KIEŁB.GRILLOWE BIAŁE BIED</t>
  </si>
  <si>
    <t>***FARSZ NA KIEŁB.GRILLOWE CZERWONE BIE</t>
  </si>
  <si>
    <t>FARSZ NA KIEŁB.ŚLĄSKA NORM.BRAN.</t>
  </si>
  <si>
    <t>FARSZ NA KIEŁB.GRILLOWĄ LIDL</t>
  </si>
  <si>
    <t>***FARSZ NA KIEŁB.ZE SCH.</t>
  </si>
  <si>
    <t>MEATERS MIĘSNY FARSZ</t>
  </si>
  <si>
    <t>MEATERS DROB.-WP.FARSZ</t>
  </si>
  <si>
    <t>MEATERS CHILLI FARSZ</t>
  </si>
  <si>
    <t>PRZEKĄSKA WĘDZ.KRA FARSZ</t>
  </si>
  <si>
    <t>***FARSZ NA PASZTETOWĄ O SMAKU KURKOWYM</t>
  </si>
  <si>
    <t>***FARSZ NA PARÓWKI HOT-DOG KRÓTKIE</t>
  </si>
  <si>
    <t>***FARSZ NA KIEŁ.KRAK.572G KRAK</t>
  </si>
  <si>
    <t>***FARSZ NA FRANKF.GRILLOWE PARZONE</t>
  </si>
  <si>
    <t>***FARSZ NA FRANKF.GRILLOWE WĘDZONE</t>
  </si>
  <si>
    <t>***FARSZ NA FRAN.GRILLOWE PARZ. Z SEREM</t>
  </si>
  <si>
    <t>***FARSZ FRANK.GRILL.PARZ.CHILI</t>
  </si>
  <si>
    <t>***FARSZ NA KIŁB.TATRZAŃSKĄ</t>
  </si>
  <si>
    <t>***FARSZ NA KIEŁ.KRAK.SUCHĄ</t>
  </si>
  <si>
    <t>***PARÓWKI ŚNIADANIOWE WP.-WŁ.FARSZ</t>
  </si>
  <si>
    <t>***FARSZ NA PARÓWKI HOT-DOG</t>
  </si>
  <si>
    <t>***FARSZ NA OZORY W GALARECIE</t>
  </si>
  <si>
    <t>***FARSZ NA MIĘSO W GALARECIE</t>
  </si>
  <si>
    <t>FARSZ NA MORTADELĘ</t>
  </si>
  <si>
    <t>***FARSZ NA SALCESON WŁOSKI</t>
  </si>
  <si>
    <t>FARSZ NA SALCESON CZARNY</t>
  </si>
  <si>
    <t>***FARSZ NA TUSZONKĘ</t>
  </si>
  <si>
    <t>***FARSZ NA PASZTETOWĄ KREM.</t>
  </si>
  <si>
    <t>***FARSZ NA KASZANKĘ JĘCZM.BIED</t>
  </si>
  <si>
    <t>***FARSZ NA KIEŁB.SŁOIKOWĄ</t>
  </si>
  <si>
    <t>***FARSZ NA PASZTET</t>
  </si>
  <si>
    <t>FARSZ NA KIEŁ.KRAK.SUCHĄ KRAK.</t>
  </si>
  <si>
    <t>***FARSZ NA KABANOSY BIED</t>
  </si>
  <si>
    <t>***FARSZ NA KIEŁB.ŻYWIECKĄ BIED</t>
  </si>
  <si>
    <t>***PIECZEŃ MIĘSNA FARSZ</t>
  </si>
  <si>
    <t>***FARSZ NA LUKS.PRZEKĄSKĘ WĘDZ.KRAK</t>
  </si>
  <si>
    <t>***FARSZ NA SALCESON TRADYCYJNY 700G</t>
  </si>
  <si>
    <t>M-SO GARM.WP.-WŁ.ZAW TŁ.DO 20%</t>
  </si>
  <si>
    <t>***M-SO WP.-WŁ.GARM.1KGMAP 8KGKT LIDL LT</t>
  </si>
  <si>
    <t>***M-SO WP.-WŁ.GARM.0.5KGMAP6KGKTLIDL LT</t>
  </si>
  <si>
    <t>***MIĘSO WP-WŁ GARMAŻER.500GMAP 3KGKT N</t>
  </si>
  <si>
    <t>***M-SO MIEL.WP.-WOŁ.GARM.500GMAP6KGKTPP</t>
  </si>
  <si>
    <t>***M-SO WP.WŁ.GARMAŻER.500GMAP 6KG KT M.</t>
  </si>
  <si>
    <t>***M-SO WP.-WŁ.GARMAŻER 500G MAP 3KG KT</t>
  </si>
  <si>
    <t>***M-SO WP-WŁ GARMAŻER 6X750G MAP MAKR</t>
  </si>
  <si>
    <t>***M-SO WP.-WŁ.GARMAŻER. 500G MAP L</t>
  </si>
  <si>
    <t>***M-SO WP.-WŁ.GARM.1KGMAP 8KGKT LIDL</t>
  </si>
  <si>
    <t>***M-SO WP-WOŁ.GARMAŻERYJNE 500G MAP BT</t>
  </si>
  <si>
    <t>***M-SO MIEL.WP.-WOŁ.GARM.500GMAP3GKTECO</t>
  </si>
  <si>
    <t>***BL MAR.ŁOP.PO.ST.OK 1KG VAC OK 8KG KT</t>
  </si>
  <si>
    <t>***M-SO GARMAŻERYJNE WP. JMP</t>
  </si>
  <si>
    <t>***M-SO GARM.WP. 500G MAP 3KG KT JMP</t>
  </si>
  <si>
    <t>5901784155809</t>
  </si>
  <si>
    <t>***M-SO GARM.WP.500G MAP 3KG KT NETTO</t>
  </si>
  <si>
    <t>***M-SO WP.GARMAŻ.750G MAP 4.5KG KT M.E.</t>
  </si>
  <si>
    <t>***M-SO MIEL.WP.GARM.ZAW TŁ.DO 23%</t>
  </si>
  <si>
    <t>***M-SO MIEL.WP.GARM.500G MAP 3KG KT JMP</t>
  </si>
  <si>
    <t>5901784158206</t>
  </si>
  <si>
    <t>***M-SO WŁ.GARM.FARSZ</t>
  </si>
  <si>
    <t>***M-SO WŁ.GARMAŻERYJNE 500G MAP L</t>
  </si>
  <si>
    <t>KIEŁBASKI PODWAW.FARSZ</t>
  </si>
  <si>
    <t>KABAN.DROB/WP.SALSA POMID.FARSZ KRA</t>
  </si>
  <si>
    <t>***M-SO MIEL.WP-WŁ GARM.500GMAP6KGKT JMD</t>
  </si>
  <si>
    <t>5901784153829</t>
  </si>
  <si>
    <t>M-SO GARM. WP.-WŁ. 750G MAP 6ST KT NETTO</t>
  </si>
  <si>
    <t>***M-SO GARM.WP-WŁ 500GMAP 6KGKT C</t>
  </si>
  <si>
    <t>***M-SO GARM.WP.-WŁ.500G MAP 3KGKT AUCH</t>
  </si>
  <si>
    <t>M-SO GARM.WP.-WŁ.ZAW TŁ.DO 30%</t>
  </si>
  <si>
    <t>***M-SO GARM.WP.-WŁ.500G MAP 3KG KT JMP</t>
  </si>
  <si>
    <t>5901784158190</t>
  </si>
  <si>
    <t>5901784155144</t>
  </si>
  <si>
    <t>AX001_PP_BS</t>
  </si>
  <si>
    <t>ŚLĄZERKI SWEET JALAPENO FARSZ</t>
  </si>
  <si>
    <t>***KARCZEK DO PIECZENIA OK.1KG VAC</t>
  </si>
  <si>
    <t>***ŻEBERKA DO PIECZ.VAC 1.4 KG T</t>
  </si>
  <si>
    <t>5901784157339</t>
  </si>
  <si>
    <t>***M-SO WP.POP. KO</t>
  </si>
  <si>
    <t>***MIĘSO WP.POPULAR.KOST.250GMR.SZT</t>
  </si>
  <si>
    <t>***M-SO WP.POPULARNE KOST 250G MRŻ</t>
  </si>
  <si>
    <t>***MIĘSO WP.POPULAR.KOST.250G MR KG</t>
  </si>
  <si>
    <t>***M-SO WP.POPUL.250G KOST.11.5KG KT DMR</t>
  </si>
  <si>
    <t>***M-SO WP.POP.250G KO 11.5KG KT DMR</t>
  </si>
  <si>
    <t>***KARKPSTAROP.NA/SZ.OK.1KG VAC 4KGKT JM</t>
  </si>
  <si>
    <t>***BLKARCZPOSTAROP.NA SZARO OK1KG VACJMD</t>
  </si>
  <si>
    <t>***SCH ZE ŚLIWKĄ OK.1KG VAC 4KG KT KRA N</t>
  </si>
  <si>
    <t>***M-SO ZMIELONE WP-WOŁ</t>
  </si>
  <si>
    <t>***M-SO WP.-WŁ.MIELONE 500G MAP T</t>
  </si>
  <si>
    <t>***M-SO ZMIELONE WP</t>
  </si>
  <si>
    <t>***M-SO MIELONE WP. 500G MAP T</t>
  </si>
  <si>
    <t>***M-SO ZMIELONE Z.ŁOP.</t>
  </si>
  <si>
    <t>***M-SO ZMIELONE Z.SZYN.</t>
  </si>
  <si>
    <t>***M-SO MIEL.WP.Z SZYN.500G MAP T</t>
  </si>
  <si>
    <t>***STEK Z KARK-GRILLW MAR.PROWANSALSKIEJ</t>
  </si>
  <si>
    <t>***STEK KARK.MARYN.PROW.OK2KG VAC BL</t>
  </si>
  <si>
    <t>***STEK Z KARK.GRILL W MARYN.CHILI</t>
  </si>
  <si>
    <t>***STEK KARK.MARYN.CHILI600GVAC4.8KGKT K</t>
  </si>
  <si>
    <t>***STEK KARK.CHILI OK600GVAC OK4.8KGKT K</t>
  </si>
  <si>
    <t>***STEK KARK.MAR.CHILI600GVAC 4.8KG KT K</t>
  </si>
  <si>
    <t>***STEK KARK.CHILI OK600GVACOK4.8KGKT BL</t>
  </si>
  <si>
    <t>***STEK Z KARK-GRILL W MARYN. BARBECUE</t>
  </si>
  <si>
    <t>***STEK KARK-GRILL M.BBQOK2KGVACOK6KGKTK</t>
  </si>
  <si>
    <t>***STEK KARK.BBQ OK2KG VAC OK10KG KT K</t>
  </si>
  <si>
    <t>***STEK KARK.BBQ OK600GVAC OK4.8KGKTKAUF</t>
  </si>
  <si>
    <t>***STEK KARK.BBQ OK600G VAC BL</t>
  </si>
  <si>
    <t>***STEK KARK.BBQ OK2KG VAC BL</t>
  </si>
  <si>
    <t>***STEK ZE SCH.-GRILL W MARYN.CLASSIC</t>
  </si>
  <si>
    <t>***STEK SCH.GRILL MAR.CLASS.OK2KGVACKAUF</t>
  </si>
  <si>
    <t>***BOCZEK JAK U MAMY 1SZT VAC</t>
  </si>
  <si>
    <t>***BOCZEK JAK U MAMY 1SZT VAC M</t>
  </si>
  <si>
    <t>***BOCZEK JAK U MAMY 1SZT VAC N</t>
  </si>
  <si>
    <t>***BL MAR.BOCZ. J.U.M OK1KG VAC OK5KG KT</t>
  </si>
  <si>
    <t>***BL MAR.BOCZ.J.U.M OK1KG VAC OK8KG KT</t>
  </si>
  <si>
    <t>***BL MAR.BOCZ.J.U.M OK1KG VAC 4KG KT</t>
  </si>
  <si>
    <t>***OPATKA JAK U MAMY 1SZT VAC</t>
  </si>
  <si>
    <t>***ŁOPATKA JAK U MAMY 1SZT VAC M</t>
  </si>
  <si>
    <t>***ŁOPATKA JAK U MAMY 1SZT VAC R</t>
  </si>
  <si>
    <t>***ŁOPATKA JAK U MAMY 1SZT VAC T</t>
  </si>
  <si>
    <t>***BL MAR.ŁOP.J.U.M OK 1KG VAC OK 5KG KT</t>
  </si>
  <si>
    <t>***BL MAR.ŁOP.J.U.M OK1KG VAC OK8KG KT M</t>
  </si>
  <si>
    <t>***BL MAR.ŁOP.J.U.M OK1KG VAC OK5KG KT R</t>
  </si>
  <si>
    <t>***BL MAR.ŁOP.J.U.M OK1KG VAC OK5KG KT T</t>
  </si>
  <si>
    <t>***KARCZEK JAK U MAMY 1SZT VAC</t>
  </si>
  <si>
    <t>***KARCZEK JAK U MAMY 1SZT VAC M</t>
  </si>
  <si>
    <t>***KARCZEK JAK U MAMY 1SZT VAC R</t>
  </si>
  <si>
    <t>***KARCZEK JAK U MAMY 1SZT VAC T</t>
  </si>
  <si>
    <t>***BL MAR.KARK.J.U.M OK1KG VAC OK5KG KT</t>
  </si>
  <si>
    <t>***BL MAR.KAR.J.U.M OK1KG VAC OK8KG KT M</t>
  </si>
  <si>
    <t>***BL MAR.KAR.J.U.M OK1KG VAC OK5KG KT R</t>
  </si>
  <si>
    <t>***BL MAR.KAR.J.U.M OK1KG VAC OK5KG KT T</t>
  </si>
  <si>
    <t>***SCHAB ZE ŚLIWKĄ JAK U MAMY 1SZT VAC</t>
  </si>
  <si>
    <t>***SCHAB ZE ŚLIWKĄ JAK U MAMY 1SZT VAC M</t>
  </si>
  <si>
    <t>***SCHAB ZE ŚLIWKĄ JAK U MAMY 1SZT VAC R</t>
  </si>
  <si>
    <t>***SCHAB ZE ŚLIWKĄ JAK U MAMY 1SZT VAC T</t>
  </si>
  <si>
    <t>***SCHAB ZE ŚLIWKĄ JAK U MAMY 1SZT VAC N</t>
  </si>
  <si>
    <t>***BL MAR.SCH. J.U.M OK 1KG VAC OK5KG KT</t>
  </si>
  <si>
    <t>***BL MAR.SCH.J.U.M OK1KG VAC OK8KG KT M</t>
  </si>
  <si>
    <t>***BL MAR.SCH.J.U.M OK1KG VAC OK5KG KT R</t>
  </si>
  <si>
    <t>***BL MAR.SCH.J.U.M OK1KG VAC OK5KG KT T</t>
  </si>
  <si>
    <t>***BL MAR.SCH. J.U.M OK 1KG VAC 4KG KT N</t>
  </si>
  <si>
    <t>***STEK Z KARK.GRILL W MARYN.PROWANSALSK</t>
  </si>
  <si>
    <t>***TEK Z KARK.MAR.PROWAN.600GVAC 8STKT K</t>
  </si>
  <si>
    <t>***STEK Z KARK.GRILL W MAR. RED GARLIC</t>
  </si>
  <si>
    <t>***STEKZ KAR.GRILLW MAR.REDGARLOK600GMAP</t>
  </si>
  <si>
    <t>***STEK KARK.REDGAR.OK600GVACOK4.8KGKT K</t>
  </si>
  <si>
    <t>***STEK KARK.RED GAR.OK600G VAC BL</t>
  </si>
  <si>
    <t>***KARCZEK GRILLOWY OK600G VAC C</t>
  </si>
  <si>
    <t>***KARCZEK GRILL 600G VAC N</t>
  </si>
  <si>
    <t>***KARCZEK GRILL.OK2.5KGVAC OK5KG KT T</t>
  </si>
  <si>
    <t>***KARCZEK GRILLOWY OK2.5KG VAC C</t>
  </si>
  <si>
    <t>***BLGRIL.KAR.PLOK 600G VAC OK 5KG KT M</t>
  </si>
  <si>
    <t>***BL GRIL.KAR.POK 600G VAC OK 5KG KT R</t>
  </si>
  <si>
    <t>***BL GRIL.KAR.POK 600G VAC OK 5KG KT C</t>
  </si>
  <si>
    <t>***BL GRIL.KAR.POK 600G VAC OK 3KG KT T</t>
  </si>
  <si>
    <t>***BL GRIL.KAR.P600G VAC 3.6KG KT N</t>
  </si>
  <si>
    <t>***BL GRIL.KAR.PLOK2,5KGVAC OK 10KG PJ T</t>
  </si>
  <si>
    <t>***BLGRILKAR.PL.OK2,5KG VA OK 7,5KG KT C</t>
  </si>
  <si>
    <t>***BOCZEK GRILLOWY OK600G VAC M</t>
  </si>
  <si>
    <t>***BOCZEK GRILLOWY OK600G VAC R</t>
  </si>
  <si>
    <t>***BOCZEK GRILLOWY OK600G VAC C</t>
  </si>
  <si>
    <t>***BOCZEK GRILLOWY OK600G VAC T</t>
  </si>
  <si>
    <t>***BOCZEK GRILLOWY 600G VAC N</t>
  </si>
  <si>
    <t>***BOCZEK GRILLOWY OK2.5KG VAC C</t>
  </si>
  <si>
    <t>***BLGRIL.BOCZ.PLOK 600G VAC OK 5KG KT M</t>
  </si>
  <si>
    <t>***BLGRIL.BOCZ.PLOK 600G VAC OK 5KG KT R</t>
  </si>
  <si>
    <t>***BLGRIL.BOCZ.PLOK 600G VAC OK 5KG KT C</t>
  </si>
  <si>
    <t>***BLGRIL.BOCZ.PLOK 600G VAC OK 5KG KT T</t>
  </si>
  <si>
    <t>***BLGRIL.BOCZ.PL600G VAC 3.6KG KT N</t>
  </si>
  <si>
    <t>***BLGR.BOCZ.POK 2,5KG VAC OK 10KG PJ T</t>
  </si>
  <si>
    <t>***BLGR.BOCZPLOK 2,5KG VA OK 7,5KG KT C</t>
  </si>
  <si>
    <t>***STEK Z KARK.GRILL W MARYN.CLASSIC</t>
  </si>
  <si>
    <t>***STEK Z/KARK.GRILL BARBECOK2KGVAC KT K</t>
  </si>
  <si>
    <t>***BS KIEŁB. WIOSENNA</t>
  </si>
  <si>
    <t>***STEK Z KAR. CEBULOWY</t>
  </si>
  <si>
    <t>***BL STEK Z KAR. CECULOWY OK.2KG VAC K</t>
  </si>
  <si>
    <t>***KULKI WP.</t>
  </si>
  <si>
    <t>***KULKI WP.290G MAP</t>
  </si>
  <si>
    <t>***KULKI WP.290G MAP N</t>
  </si>
  <si>
    <t>***SCHAB OPRÓSZ.PŁAT.CZOS.VAC OK5KGKTKRA</t>
  </si>
  <si>
    <t>***SCHAB OPRÓSZ.PŁAT.CZOS.VACOK5KGKTKRAM</t>
  </si>
  <si>
    <t>***SCHAB OPRÓSZ.PŁAT.CZOS.VACOK5KGKTKRAA</t>
  </si>
  <si>
    <t>***BL SCHAB OPRÓSZ.PŁAT.CZOS.VAC</t>
  </si>
  <si>
    <t>***M-SO WP. GARMAŻ.</t>
  </si>
  <si>
    <t>***M-SO WP.GARM. 500G MAP LIDL SŁO</t>
  </si>
  <si>
    <t>***M-SO WP.GARM. 500G MAP LIDL CZ</t>
  </si>
  <si>
    <t>***M-SO WP.-WŁ. GARM.</t>
  </si>
  <si>
    <t>***M-SOWP.WŁ.GARM.500GMAP LIDL SŁO.</t>
  </si>
  <si>
    <t>***M-SO WP.-WŁ. GARM. 500G MAP LIDL CZ</t>
  </si>
  <si>
    <t>***SCHAB ZE ŚLIWKĄ DO PIECZ.VAC MR ST</t>
  </si>
  <si>
    <t>***SZYNKA DO PIECZ.OK5KG VAC KT TESC</t>
  </si>
  <si>
    <t>***M-SO WP.GARM.500GMAP 6KGKT LIDL</t>
  </si>
  <si>
    <t>***M-SO WP.GARM.500G MAP 12ST KT EC</t>
  </si>
  <si>
    <t>***M-SO WP.GARMAŻ.500GMAP 6KGKT LIDL LT</t>
  </si>
  <si>
    <t>***ŻEBERKA DO PIECZENIA VAC MR ST</t>
  </si>
  <si>
    <t>***ŻEBERKA DO PIECZENIA VAC DMR</t>
  </si>
  <si>
    <t>***ŻEBERKA DO PIECZENIA VAC RO</t>
  </si>
  <si>
    <t>***ZESTAW GRILL OK700GMAP OK2.8KGKT JMP</t>
  </si>
  <si>
    <t>***ZESTAW GRILL.OK700GMAP BL BIED</t>
  </si>
  <si>
    <t>***KARCZEK DO PIECZ.MARYN.JMP</t>
  </si>
  <si>
    <t>***KARCZEK DO PIECZ.OK0.9KGVACOK2KGKTJMP</t>
  </si>
  <si>
    <t>FRANKI BIAŁE FARSZ</t>
  </si>
  <si>
    <t>***FRANKI DROB.FARSZ</t>
  </si>
  <si>
    <t>***KRĘCIOŁKI Z BOCZ.300GMAP2.4KGKTLIDLLT</t>
  </si>
  <si>
    <t>***MASA TŁ-BIAŁ.WP.OD.ME.OK15KG WOR MREŁ</t>
  </si>
  <si>
    <t>SOL.NAST.50% NA SZYN.KONS. 2,5KG</t>
  </si>
  <si>
    <t>SOL.NAST.40% NA SZYN.KONS.2,5KG</t>
  </si>
  <si>
    <t>***SOLANKA DO BOCZKU CARSKIEGO</t>
  </si>
  <si>
    <t>***SL NASTRZ.17% GRILL</t>
  </si>
  <si>
    <t>SL NASTRZYK.15% PROD. ZIMOWE</t>
  </si>
  <si>
    <t>SL NASTRZ.10% DO WG KRA</t>
  </si>
  <si>
    <t>***ROZTWOR HEMOGLOBINY</t>
  </si>
  <si>
    <t>***SL NASTRZ.2% BOCZ.</t>
  </si>
  <si>
    <t>SL PELOMIX BOCZ.KRAJ 22%</t>
  </si>
  <si>
    <t>***POLĘDWICA SOPOCKA KL.1-OP. 0.5</t>
  </si>
  <si>
    <t>***POLĘDWICA SOPOCKA 1 KG VAC</t>
  </si>
  <si>
    <t>***SOPOCKA POLĘD.KL1-OP. 2.0</t>
  </si>
  <si>
    <t>***SOPOCKA POLĘD.OK500G VAC OK10KG KT EX</t>
  </si>
  <si>
    <t>***SOPOCKA POL.OK500G VAC OK5KG KT SŁO</t>
  </si>
  <si>
    <t>***SOPOCKA POLĘD.VAC DO 2KG POL.PRZ</t>
  </si>
  <si>
    <t>***SOPOCKA POLĘD.PC OK0.5KG VAC KT UK</t>
  </si>
  <si>
    <t>***SOPOCKA POLĘD. OK 500G VAC 4SZT.KT UK</t>
  </si>
  <si>
    <t>***SOPOCKA POLĘDWICA VAC K</t>
  </si>
  <si>
    <t>***SOPOCKA POLĘDWICA VAC OK.2KG M</t>
  </si>
  <si>
    <t>***SOPOCKA POLĘDWICA 1/2SZT VAC</t>
  </si>
  <si>
    <t>***SOPOCKA POLĘDWICA VAC EXPORT</t>
  </si>
  <si>
    <t>***SOPOCKA POLĘDWICA EXP. 1/2 VAC</t>
  </si>
  <si>
    <t>***SOPOCKA POL.1/2 VAC EXPORT MK</t>
  </si>
  <si>
    <t>***SOPOCKA POL.OK500G VAC OK10KG KT KAUF</t>
  </si>
  <si>
    <t>***SOPOCKAPOLĘD. OK.500G VAC OK.5KG KT Y</t>
  </si>
  <si>
    <t>***SOPOCKA POLĘDWICA 1/2 VAC T</t>
  </si>
  <si>
    <t>***SOPOCKA POLĘDWICA VAC N EX</t>
  </si>
  <si>
    <t>***SOPOCKA POLĘDWICA VAC EX</t>
  </si>
  <si>
    <t>***SOPOCKA TRM VAC  OK.15KG KT KORONA</t>
  </si>
  <si>
    <t>***SOPOCKA POLEDWICA S</t>
  </si>
  <si>
    <t>***BS SOPOCKA POLEDWICA S</t>
  </si>
  <si>
    <t>***SOPOCKA POLĘDWICA SOK500GTRM OK5KGKTC</t>
  </si>
  <si>
    <t>***SOPOCKA POL. S 1SZT TRM OK 10KG KT</t>
  </si>
  <si>
    <t>***SOPOCKA POL. S OK500GTRM OK10KGKT R</t>
  </si>
  <si>
    <t>***SOPOCKA POL.S OK500G TRM OK4KGKT T</t>
  </si>
  <si>
    <t>***POL.FARMERSKASOK.0,5KGVAC OK.4KGKT T</t>
  </si>
  <si>
    <t>***POLSOPS1ST TRM OK 8KG KT WĘD.DOM.T</t>
  </si>
  <si>
    <t>***POLĘDWICA SPOCKA EXTRA S</t>
  </si>
  <si>
    <t>***POLĘDWICA SOPOCKA EXTRA S BS</t>
  </si>
  <si>
    <t>***POLĘSOPOCKA WD OK.0.5KG VAC OK.4KG KT</t>
  </si>
  <si>
    <t>***SCHAB W PRZYPRAWACH</t>
  </si>
  <si>
    <t>***BS SCHAB W PRZYPRAWACH</t>
  </si>
  <si>
    <t>***SCHAB W POSYPCE CZOSN-PAPRYK</t>
  </si>
  <si>
    <t>***BS SCHAB W POSYPCE CZOSN-PAPRYK</t>
  </si>
  <si>
    <t>***SCHAB W POSYPCE CZOSNK.-PAPR.VAC 1SZT</t>
  </si>
  <si>
    <t>***SCHAB W POSYPCE CZOSNK-PAPR.VAC1ST ET</t>
  </si>
  <si>
    <t>***SCHAB W POSYPCE PIEPRZOWEJ</t>
  </si>
  <si>
    <t>***BS SCHAB W POSYPCE PIEPRZOWEJ</t>
  </si>
  <si>
    <t>***SCHAB W POSYPCE PIEPRZOWEJ VAC 1SZT</t>
  </si>
  <si>
    <t>***SCHAB W POSYPCE PIEPRZOWEJ VAC1SZT ET</t>
  </si>
  <si>
    <t>***SZYNECZKA I KLASA</t>
  </si>
  <si>
    <t>***SZYNECZKA I KLASA BS</t>
  </si>
  <si>
    <t>***SZYTEŚCIOWEJ 1/6ST VAC OK.6KG KT TESC</t>
  </si>
  <si>
    <t>***SZYNKA TRADYCYJNA VAC 1SZT M</t>
  </si>
  <si>
    <t>***SZYNKA BIAŁA KRÓLEWSKA LUZ</t>
  </si>
  <si>
    <t>***SZYNKA BIAŁA KRÓLEWSKA OK15KG KT MAKR</t>
  </si>
  <si>
    <t>BS SZYNKA KONS. 2.5KG</t>
  </si>
  <si>
    <t>2900066005002</t>
  </si>
  <si>
    <t>5901784153324</t>
  </si>
  <si>
    <t>5901784153409</t>
  </si>
  <si>
    <t>5901784153362</t>
  </si>
  <si>
    <t>5901784153416</t>
  </si>
  <si>
    <t>SZYNKA KONS. 40% 5,5LBS</t>
  </si>
  <si>
    <t>3S SZYN.KONS. 40% 5,5LBS</t>
  </si>
  <si>
    <t>***SZYN.WP.KON.5,5LBS LUZ 4ST KT ECS</t>
  </si>
  <si>
    <t>5908235950013</t>
  </si>
  <si>
    <t>5901784156370</t>
  </si>
  <si>
    <t>***SZYNKA DOMOWA</t>
  </si>
  <si>
    <t>***BS SZYNKA DOMOWA</t>
  </si>
  <si>
    <t>***SZYNKA DOMOWA 400G T</t>
  </si>
  <si>
    <t>***SZYNKA WP.WĘDZ.PARZ.BS</t>
  </si>
  <si>
    <t>***SZYNKA MOCNO WĘDZ.1SZT VAC M</t>
  </si>
  <si>
    <t>***SZYNKA CYGAŃSKA 1SZT VAC</t>
  </si>
  <si>
    <t>***SZYNKA MOCNO WĘDZ.1SZT TRM KT ROS</t>
  </si>
  <si>
    <t>***SZYNKA MOCNO WĘDZ.EXP.1SZT VAC</t>
  </si>
  <si>
    <t>***SZYNKA MOCNO WĘDZ.VAC EX P SŁ.</t>
  </si>
  <si>
    <t>***SZYNKA MOCNO WĘDZONA 1SZT VAC EX E</t>
  </si>
  <si>
    <t>***OGONÓWKA AS</t>
  </si>
  <si>
    <t>***OGONÓWKA BS</t>
  </si>
  <si>
    <t>***OGONÓWKA 1STTRM OK15KGKT YAN</t>
  </si>
  <si>
    <t>***OGONÓWKA 1ST TRM OK 15KG KT YANO UK</t>
  </si>
  <si>
    <t>***OGONÓWKA 1ST TRM OK10KG KT SP</t>
  </si>
  <si>
    <t>***WĘDZONKA MORLIŃSKA</t>
  </si>
  <si>
    <t>***BALERON GOT.AS</t>
  </si>
  <si>
    <t>***BALERON GOT.S BS</t>
  </si>
  <si>
    <t>***BALERON GOTOWANY S VAC 0.5KG</t>
  </si>
  <si>
    <t>***BALERON GOT.OK.500G VAC OK.15KG KT K</t>
  </si>
  <si>
    <t>***BALERON Z GOSPODY VAC PORCJA T</t>
  </si>
  <si>
    <t>***BALERON GOTOWANY OK. 500G VAC KP</t>
  </si>
  <si>
    <t>***BALERON GOT.OK.400-500G VAC EX L</t>
  </si>
  <si>
    <t>***BALERON GOT.OK.500G VAC OK.5KG KT Y</t>
  </si>
  <si>
    <t>***BALERON GOT.OK500G VAC OK 5KG KT ANG</t>
  </si>
  <si>
    <t>***BALERON GOTOWANY S VAC 1/2SZT</t>
  </si>
  <si>
    <t>***BALERON GOT.1ST TRM OK.15KG KT</t>
  </si>
  <si>
    <t>***BALERON GOT.1STTRM OK15KGKT MOR</t>
  </si>
  <si>
    <t>***BALERON GOT.1ST TRM OK.15KG KT KAARLI</t>
  </si>
  <si>
    <t>***BALERON GOTOW.1ST TRM OK.15KG KT PP</t>
  </si>
  <si>
    <t>***BALERON GOTOWANY VAC 1SZT POL.PRZYSM.</t>
  </si>
  <si>
    <t>***BALERON GOT.1STTRM OK10KGKT SP</t>
  </si>
  <si>
    <t>***BALERON GOTOWANY VAC K</t>
  </si>
  <si>
    <t>***BALERON GOT.1ST TRM OK15KG KT ŁO</t>
  </si>
  <si>
    <t>***BALERON GOTOWANY 1SZT VAC</t>
  </si>
  <si>
    <t>***BALERON GOT.1STVAC EX</t>
  </si>
  <si>
    <t>***BALERON GOTOWANY D 1SZT VAC EX</t>
  </si>
  <si>
    <t>***BALERON 1SZT VAC EX</t>
  </si>
  <si>
    <t>***BALERON ARO OK.1KG VAC M</t>
  </si>
  <si>
    <t>***BALERON 1SZT VAC P EX</t>
  </si>
  <si>
    <t>***BALERON GOT.1STTRM OK15KGKT YANO</t>
  </si>
  <si>
    <t>***BALERON GOT.1ST TRM OK15KT KOR</t>
  </si>
  <si>
    <t>***BALERON WĘDZ.PARZ.AS</t>
  </si>
  <si>
    <t>***BALERON WĘDZ.PARZ.BS</t>
  </si>
  <si>
    <t>***BALERON OK.0.5KG VAC OK.8KG KT K</t>
  </si>
  <si>
    <t>***BALERON OK0.5KGVAC OK8KGKT CON.</t>
  </si>
  <si>
    <t>***BALERON 1/2STTRM OK6KGKT MOR</t>
  </si>
  <si>
    <t>***BALERON 1ST TRM OK10KG KT MOR</t>
  </si>
  <si>
    <t>***KARCZEK WP.WĘDZ.PARZ.</t>
  </si>
  <si>
    <t>***KARCZEK WP.WĘDZ.PARZ.BS</t>
  </si>
  <si>
    <t>***KARCZEK WP.WĘDZ.OK400G VAC JMP</t>
  </si>
  <si>
    <t>***WYBORNA PRZEK.WĘDZ.180G MAP 14ST KT R</t>
  </si>
  <si>
    <t>***BOCZEK MOCNO WĘDZ.VAC 400-500G</t>
  </si>
  <si>
    <t>***BOCZEK MOCNO WĘDZONY 1/2SZT VAC D EX</t>
  </si>
  <si>
    <t>***BOCZEK MOCNO WĘDZONY 1/2SZT VAC E EX</t>
  </si>
  <si>
    <t>***BOCZEK MOCNO WĘDZONY 1/2SZT VAC CZ</t>
  </si>
  <si>
    <t>***BOCZEK MOCNO WĘDZ.1/2SZT VAC EXP G</t>
  </si>
  <si>
    <t>***BOCZEK MOCNO WĘDZ.1/2SZT VAC EXP EV</t>
  </si>
  <si>
    <t>***BOCZEK MOCNO WĘDZONY VAC EX</t>
  </si>
  <si>
    <t>***BOCZEK ŁUSKANY WĘDZONY GOTOWANY</t>
  </si>
  <si>
    <t>BOCZEK CARSKI</t>
  </si>
  <si>
    <t>***BOCZEK CARSKI 1ST VAC OK10KG KT</t>
  </si>
  <si>
    <t>***WĘDZONKA BOCZ.AS</t>
  </si>
  <si>
    <t>***BS WEDZONKA BOCZKOWA</t>
  </si>
  <si>
    <t>***WĘDZONKA STAROPOL.VAC OK.0.6KG T</t>
  </si>
  <si>
    <t>***WĘDZONKA Z BECZKI VAC OK.0.5KGR</t>
  </si>
  <si>
    <t>***WĘDZONKA WIEJSKA OK0.5KGVAC T</t>
  </si>
  <si>
    <t>***WĘDZONKA RODZINNA PORCJE 0.5KG VAC T</t>
  </si>
  <si>
    <t>***WĘDZONKA BOCZKOWA OK.500G VAC EX E</t>
  </si>
  <si>
    <t>***WĘDZONKA BOCZKOWA OK.500G VAC EX G</t>
  </si>
  <si>
    <t>***WĘDZONKA BOCZKOWA OK.500G VAC EXP. P</t>
  </si>
  <si>
    <t>***WĘDZONKA BOCZKOWA OK.500G VAC EX S</t>
  </si>
  <si>
    <t>***WĘDZONKA BOCZKOWA TRM</t>
  </si>
  <si>
    <t>***WĘDZONKA BOCZK.OK0.5KGVAC OK5KGKT ŁOT</t>
  </si>
  <si>
    <t>***WĘDZONKA BOCZKOWA MW VAC 1/2SZT</t>
  </si>
  <si>
    <t>***WĘDZONKA BOCZKOWA VAC 3.0KG</t>
  </si>
  <si>
    <t>***WĘDZONKA BECZKOWA VAC 1SZT</t>
  </si>
  <si>
    <t>***WĘDZONKA BOCZKOWA 1SZT VAC EX E</t>
  </si>
  <si>
    <t>***WĘDZONKA BOCZKOWA 1SZT VAC EX G</t>
  </si>
  <si>
    <t>***WĘDZ.BOCZ.OK0,5KGTRM OK5KGKT ANG</t>
  </si>
  <si>
    <t>***WĘDZONKA BECZKOWA VAC M</t>
  </si>
  <si>
    <t>***WĘDZONKA BOCZKOWA VAC OK.500G</t>
  </si>
  <si>
    <t>***WĘDZONKA BOCZKOWA VAC E.L.</t>
  </si>
  <si>
    <t>***WĘDZONKA BOCZKOWA VAC 1SZT EXP</t>
  </si>
  <si>
    <t>***WĘDZONKA BOCZKOWA VAC 1SZT EXP P</t>
  </si>
  <si>
    <t>***BOCZEK  WEDZONY</t>
  </si>
  <si>
    <t>***BS BOCZEK  WEDZONY</t>
  </si>
  <si>
    <t>***BOCZEK Z KOMINA</t>
  </si>
  <si>
    <t>***BS BOCZEK  Z KOMINA</t>
  </si>
  <si>
    <t>5901784160629</t>
  </si>
  <si>
    <t>PP BOCZ.WĘDZ.PARZ.OK1KGVACOK5KGKTLIDL LT</t>
  </si>
  <si>
    <t>***BS BOCZ.CHŁOPSKI CIEMNO-WĘDZONY</t>
  </si>
  <si>
    <t>***BOCZEK CHŁOPSKI CIEMNO WĘDZ.VAC</t>
  </si>
  <si>
    <t>***BS BOCZ.WĘDZ.GOT.ŁUSK.B/CHRZ.</t>
  </si>
  <si>
    <t>***BS BOCZ.MOCN.WĘDZ.B/CHRZ.</t>
  </si>
  <si>
    <t>***SZYNKA DELIKATNA VAC 1SZT 1.5KG</t>
  </si>
  <si>
    <t>***SZYNKA DELIKATNA VAC 1/2 SZT. T</t>
  </si>
  <si>
    <t>***SZYNKOWA WP.MAP 3SZT</t>
  </si>
  <si>
    <t>***SZYNKOWA WP.VAC KORONA</t>
  </si>
  <si>
    <t>***KRAKOWSKA PARZONA VAC ET</t>
  </si>
  <si>
    <t>***KRAKOWSKA PARZONA VAC 1ST M</t>
  </si>
  <si>
    <t>5901784159869</t>
  </si>
  <si>
    <t>433403512055</t>
  </si>
  <si>
    <t>5901784160704</t>
  </si>
  <si>
    <t>KRAKOWSKA PARZONA 1STVAC OK10.5KGKT MOR</t>
  </si>
  <si>
    <t>***BS KIEŁ.KRAKOWSKA SUCHA</t>
  </si>
  <si>
    <t>***AS KIEŁ.KRAKOWSKA SUCHA</t>
  </si>
  <si>
    <t>***KRAKOWSKA SUCHA VAC 275G</t>
  </si>
  <si>
    <t>***KRAKOWSKA SUCHA VAC 1SZT</t>
  </si>
  <si>
    <t>***BS KIEŁ.ZIELONOGÓRSKA</t>
  </si>
  <si>
    <t>***BS KIEŁ.SZYNKOWA WP. DO PLASTRÓW</t>
  </si>
  <si>
    <t>***BS KIEŁ. ŻYWIECKA EXTRA</t>
  </si>
  <si>
    <t>***AS KIEŁ. ŻYWIECKA EXTRA</t>
  </si>
  <si>
    <t>***BS KIEŁB. CZOSNKOWA ROSJA</t>
  </si>
  <si>
    <t>5902160864094</t>
  </si>
  <si>
    <t>5902160364792</t>
  </si>
  <si>
    <t>5901784162883</t>
  </si>
  <si>
    <t>5901784163330</t>
  </si>
  <si>
    <t>5010801407071</t>
  </si>
  <si>
    <t>5907701321869</t>
  </si>
  <si>
    <t>***KIEŁB.PODWAW. OK1,2KG MAP OK12KGKT</t>
  </si>
  <si>
    <t>5901784150156</t>
  </si>
  <si>
    <t>5901784156837</t>
  </si>
  <si>
    <t>5901784160902</t>
  </si>
  <si>
    <t>***BS KIEŁB.Z SZYNKI</t>
  </si>
  <si>
    <t>5907701322668</t>
  </si>
  <si>
    <t>***BS KIEŁB. ŻYWIECKA S</t>
  </si>
  <si>
    <t>***MIX FRANKF.PARZONE+ SEROWE VAC 450G T</t>
  </si>
  <si>
    <t>***MIX GRILLOWY 1.1KG MAP 5.5KG KT</t>
  </si>
  <si>
    <t>5901784154499</t>
  </si>
  <si>
    <t>5901784157278</t>
  </si>
  <si>
    <t>5901784158756</t>
  </si>
  <si>
    <t>5901784160780</t>
  </si>
  <si>
    <t>***PODWAW.Z SZYN.OK1.1KGMAPOK5.5KGKTMOR</t>
  </si>
  <si>
    <t>5901784160674</t>
  </si>
  <si>
    <t>***BS KIEŁ.PODLASKA</t>
  </si>
  <si>
    <t>***PODLASKA KIEŁBASA MAP 2.0KG</t>
  </si>
  <si>
    <t>***KABANOS HOT DOG</t>
  </si>
  <si>
    <t>KABANOSY DO HOT DOGA BS</t>
  </si>
  <si>
    <t>***KABANOS HOT DOG 700G VAC 5.6KG KT MR</t>
  </si>
  <si>
    <t>***KABANOS HOT DOG700G VAC 5.6KGKT DMR</t>
  </si>
  <si>
    <t>5901784157698</t>
  </si>
  <si>
    <t>5901784157841</t>
  </si>
  <si>
    <t>5901784158763</t>
  </si>
  <si>
    <t>5901784161268</t>
  </si>
  <si>
    <t>5901784157582</t>
  </si>
  <si>
    <t>5901784157902</t>
  </si>
  <si>
    <t>5901784158282</t>
  </si>
  <si>
    <t>5901784157575</t>
  </si>
  <si>
    <t>***KIEŁB.CODZIENNA OK1KGMAP4KGKT LIDL II</t>
  </si>
  <si>
    <t>5902160364235</t>
  </si>
  <si>
    <t>***K.ŚLĄSKA Z SZYN.OK1KGMAP OK6KGKT MOR</t>
  </si>
  <si>
    <t>5051007054553</t>
  </si>
  <si>
    <t>5901784157315</t>
  </si>
  <si>
    <t>5901784158787</t>
  </si>
  <si>
    <t>5901784160353</t>
  </si>
  <si>
    <t>5901784158220</t>
  </si>
  <si>
    <t>***MIX KIEŁB.SZASZŁ+BBQ550GMAP12STKT MOR</t>
  </si>
  <si>
    <t>5901784159012</t>
  </si>
  <si>
    <t>***MIX KIEŁB.KEB+CHOR 270GMAP 24STKTMOR</t>
  </si>
  <si>
    <t>5901784159272</t>
  </si>
  <si>
    <t>5901799101105</t>
  </si>
  <si>
    <t>***KIEŁB.BIWAKOWA OK1KGMAP 6KGKT LIDL</t>
  </si>
  <si>
    <t>5010801600687</t>
  </si>
  <si>
    <t>5902160464782</t>
  </si>
  <si>
    <t>ŚLĄZERKI BIAŁE BS</t>
  </si>
  <si>
    <t>5901784164603</t>
  </si>
  <si>
    <t>***KIEŁB.CHILI/SER 300GMAP 18STKT LIDL</t>
  </si>
  <si>
    <t>5901784163415</t>
  </si>
  <si>
    <t>4052917539919</t>
  </si>
  <si>
    <t>***KIEŁB.BEK/CEB.300GMAP 18STKT LIDL</t>
  </si>
  <si>
    <t>5901784162418</t>
  </si>
  <si>
    <t>4334035927695</t>
  </si>
  <si>
    <t>5901784163996</t>
  </si>
  <si>
    <t>***KIEŁ.CZOSN.OK.400GVACOK4,8KGKTROSOPTI</t>
  </si>
  <si>
    <t>5907701316315</t>
  </si>
  <si>
    <t>***682005 CESNAKOVA SALAMA 400G</t>
  </si>
  <si>
    <t>***BS KIEŁB.TATRZAŃSKA</t>
  </si>
  <si>
    <t>***AS KIEŁB.TATRZAŃSKA</t>
  </si>
  <si>
    <t>WT PP KIEŁB.CZOSN.KAW.OK15KG NB MR</t>
  </si>
  <si>
    <t>WT PP KIEŁB.CZOSN.KAW.OK15KG NB DMR</t>
  </si>
  <si>
    <t>WT PP KIEŁB.CZOSN.KAW.RO</t>
  </si>
  <si>
    <t>4052917471561</t>
  </si>
  <si>
    <t>5901784163552</t>
  </si>
  <si>
    <t>4052917542681</t>
  </si>
  <si>
    <t>5901784164405</t>
  </si>
  <si>
    <t>ŚLĄZERKI SER/POMID.BS</t>
  </si>
  <si>
    <t>ŚLĄZERKI SER/POMID.240GMAP 11STKT MOR</t>
  </si>
  <si>
    <t>5901784164566</t>
  </si>
  <si>
    <t>ŚLĄZERKI SER/POMID.240GMAP BL</t>
  </si>
  <si>
    <t>ŚLĄZERKI SWEET JALAPENO BS</t>
  </si>
  <si>
    <t>ŚLĄZERKI SWEET JALAPENO 240GMAP11STKTMOR</t>
  </si>
  <si>
    <t>5901784164559</t>
  </si>
  <si>
    <t>ŚLĄZERKI SWEET JALAPENO 240GMAP BL</t>
  </si>
  <si>
    <t>ŚLĄZERKI BS</t>
  </si>
  <si>
    <t>ŚLĄZERKI 240GMAP 12STKT MOR</t>
  </si>
  <si>
    <t>5901784164580</t>
  </si>
  <si>
    <t>ŚLĄZERKI 240GMAP 8STKT MOR</t>
  </si>
  <si>
    <t>5901784164702</t>
  </si>
  <si>
    <t>***BS FRANK.GRILLOWE PARZONE</t>
  </si>
  <si>
    <t>***FRANKFURTERKI GRILL.CLASSIC 450G VAC</t>
  </si>
  <si>
    <t>***FRANKFURTERKI GRILL.PARZ.225GVACMR EX</t>
  </si>
  <si>
    <t>***FRANKF.PARZ.225GVAC 7,875KGKT MR JAP</t>
  </si>
  <si>
    <t>***FRANPARZONE 225GVAC 7,875KGKT JAP DMR</t>
  </si>
  <si>
    <t>***FRANKF.PARZONE 900GMAP 7,2KGKT MR JAP</t>
  </si>
  <si>
    <t>***BS FRANK.GRILLOWE WĘDZONE</t>
  </si>
  <si>
    <t>***FRANKFURTERKI GRILL.WĘDZ.225GVACMR EX</t>
  </si>
  <si>
    <t>***FRANKF.WĘDZ.225GVAC 7.875KGKT MR JAP</t>
  </si>
  <si>
    <t>***FRANKF.WĘDZONE225GVAC7.875KGKTJAP DMR</t>
  </si>
  <si>
    <t>***FRANKF.WĘDZ.900GMAP 7,2KGKT MR JAP</t>
  </si>
  <si>
    <t>***FRANKF.WĘDZONE 900GMAP7,2KGKT JAP DMR</t>
  </si>
  <si>
    <t>***BS FRANK.GRILLOWE PARZONE Z SEREM</t>
  </si>
  <si>
    <t>***FRANKFURTER.GRILL.PARZ.SER V450G</t>
  </si>
  <si>
    <t>5901784164535</t>
  </si>
  <si>
    <t>4052917542698</t>
  </si>
  <si>
    <t>ŚLĄZERKI KOL.18 AS</t>
  </si>
  <si>
    <t>ŚLĄZERKI KOL.18 BS</t>
  </si>
  <si>
    <t>***KABAN.WYBORNE 210G MAP 2,94KG KT</t>
  </si>
  <si>
    <t>***KIEŁB.ŚLĄSKA 550GMAP 7STKT LIDL EX SK</t>
  </si>
  <si>
    <t>***KIEŁB.ŚLĄSKA 550GMAP 7STKT LIDL EX RO</t>
  </si>
  <si>
    <t>***KIEŁB.ŚLĄSKA 550GMAP 7STKT LIDL EX HR</t>
  </si>
  <si>
    <t>***K.ŚLĄSKA 550GMAP7STKT LIDL EX GB/IRL</t>
  </si>
  <si>
    <t>5901784161381</t>
  </si>
  <si>
    <t>KIEŁBASKI PODWAW.AS</t>
  </si>
  <si>
    <t>KIEŁBASKI PODWAW.BS</t>
  </si>
  <si>
    <t>***KIEŁBASKI MORLIŃSKIE 360GMAP16STKTMOR</t>
  </si>
  <si>
    <t>5901784161442</t>
  </si>
  <si>
    <t>5901784163217</t>
  </si>
  <si>
    <t>5901784161893</t>
  </si>
  <si>
    <t>***FRANKFURT.GRILLPARZ.CHILI450GVAC7STKT</t>
  </si>
  <si>
    <t>5051007022026</t>
  </si>
  <si>
    <t>5901529101726</t>
  </si>
  <si>
    <t>5901799102089</t>
  </si>
  <si>
    <t>***BS FRANK.GRILLOWE PARZONE KRÓTKIE</t>
  </si>
  <si>
    <t>5901784159852</t>
  </si>
  <si>
    <t>5901784160742</t>
  </si>
  <si>
    <t>5900567018003</t>
  </si>
  <si>
    <t>590056701880</t>
  </si>
  <si>
    <t>5901784159913</t>
  </si>
  <si>
    <t>5901784159937</t>
  </si>
  <si>
    <t>5901784159951</t>
  </si>
  <si>
    <t>4334035718958</t>
  </si>
  <si>
    <t>4052917055402</t>
  </si>
  <si>
    <t>***KIEŁB.ŚLĄSKA MP 1.3KGMAP6STKT LIDL AT</t>
  </si>
  <si>
    <t>5901784162029</t>
  </si>
  <si>
    <t>4052917470717</t>
  </si>
  <si>
    <t>***FRANKI AS</t>
  </si>
  <si>
    <t>***FRANKI BS</t>
  </si>
  <si>
    <t>***FRANKI 240GMAP 20STKT MOR</t>
  </si>
  <si>
    <t>5901784160445</t>
  </si>
  <si>
    <t>***FRANKI 240G MAP BL</t>
  </si>
  <si>
    <t>***FRANKI 240GMAP 16STKT MOR</t>
  </si>
  <si>
    <t>5901784160766</t>
  </si>
  <si>
    <t>***FRANKI 240GMAP 9STKT MOR</t>
  </si>
  <si>
    <t>5901784160933</t>
  </si>
  <si>
    <t>***FRANKI 1KGMAP 10STKT MOR FS</t>
  </si>
  <si>
    <t>5901784160964</t>
  </si>
  <si>
    <t>***FRANKI 1KGMAP 10STKT MR MOR FS</t>
  </si>
  <si>
    <t>5901784161404</t>
  </si>
  <si>
    <t>***FRANKI 1KGMAP 10STKT MOR DMR FS</t>
  </si>
  <si>
    <t>***FRANKI 240GMAP 16STKT MOR EX CZ/SK</t>
  </si>
  <si>
    <t>5901784160971</t>
  </si>
  <si>
    <t>***FRANKI 240GMAP 20STKT MOR EX</t>
  </si>
  <si>
    <t>***FRANKI 240GMAP 16STKT MOR EX</t>
  </si>
  <si>
    <t>KIEŁB.TORUŃSKA AS</t>
  </si>
  <si>
    <t>KIEŁB.TORUŃSKA BS</t>
  </si>
  <si>
    <t>***MIX KIEŁB.PODSUSZ.350GMAP 12STKT BIED</t>
  </si>
  <si>
    <t>5901784160605</t>
  </si>
  <si>
    <t>***WYBORNA PRZEK.WĘDZ. 180G MAP14ST KT Y</t>
  </si>
  <si>
    <t>***LUKSUSOWA PRZEKASKA WEDZ.PIKOK</t>
  </si>
  <si>
    <t>***LUKSUSOWA PRZEKASKA WĘDZ.PIKOK BS</t>
  </si>
  <si>
    <t>***LUKSUS.PRZEKĄS.WĘDZ.180G MAP</t>
  </si>
  <si>
    <t>***LUKSUSOWA PRZEKĄS.WĘDZ.180GMAP PIK R</t>
  </si>
  <si>
    <t>***LUKSUS.PRZEK.WĘDZ.180GMAP 14ST KT CHR</t>
  </si>
  <si>
    <t>5901784155960</t>
  </si>
  <si>
    <t>5901784157117</t>
  </si>
  <si>
    <t>5901784161374</t>
  </si>
  <si>
    <t>5901784157124</t>
  </si>
  <si>
    <t>5901784157131</t>
  </si>
  <si>
    <t>5901784157346</t>
  </si>
  <si>
    <t>5901784157353</t>
  </si>
  <si>
    <t>5901784157360</t>
  </si>
  <si>
    <t>5901784157612</t>
  </si>
  <si>
    <t>5901784158299</t>
  </si>
  <si>
    <t>5901784158480</t>
  </si>
  <si>
    <t>5901784157384</t>
  </si>
  <si>
    <t>5901784158343</t>
  </si>
  <si>
    <t>5901784161367</t>
  </si>
  <si>
    <t>5901784158053</t>
  </si>
  <si>
    <t>5901784160773</t>
  </si>
  <si>
    <t>***FRANKI BIAŁE AS</t>
  </si>
  <si>
    <t>***FRANKI BIAŁE BS</t>
  </si>
  <si>
    <t>***FRANKI BIAŁE 240GMAP 20STKT MOR</t>
  </si>
  <si>
    <t>5901784160810</t>
  </si>
  <si>
    <t>***FRANKI BIAŁE 240GMAP 16STKT MOR</t>
  </si>
  <si>
    <t>5901784160827</t>
  </si>
  <si>
    <t>***FRANKI BIAŁE 240GMAP 9STKT MOR</t>
  </si>
  <si>
    <t>5901784160940</t>
  </si>
  <si>
    <t>***FRANKI BIAŁE 1KGMAP 10STKT MOR FS</t>
  </si>
  <si>
    <t>5901784161190</t>
  </si>
  <si>
    <t>***FRANKI BIAŁE 240GMAP 16STKT MOR EX</t>
  </si>
  <si>
    <t>***FRANKI DROB.AS</t>
  </si>
  <si>
    <t>***FRANKI DROB.BS</t>
  </si>
  <si>
    <t>***FRANKI DROB.240GMAP 20STKT MOR</t>
  </si>
  <si>
    <t>5901784160889</t>
  </si>
  <si>
    <t>***FRANKI DROB.240G MAP BL</t>
  </si>
  <si>
    <t>***FRANKI DROB.240GMAP 16STKT MOR</t>
  </si>
  <si>
    <t>5901784160841</t>
  </si>
  <si>
    <t>***FRANKI DROB.240GMAP 9STKT MOR</t>
  </si>
  <si>
    <t>5901784160957</t>
  </si>
  <si>
    <t>***FRANKI DROB.240GMAP 16STKT MOR EX</t>
  </si>
  <si>
    <t>***MIX FRANKI 240GMAP 16STKT MOR</t>
  </si>
  <si>
    <t>5901784161077</t>
  </si>
  <si>
    <t>5901784159302</t>
  </si>
  <si>
    <t>MEATERS MIĘSNY BS</t>
  </si>
  <si>
    <t>MEATERS M-SNY AS</t>
  </si>
  <si>
    <t>***MEATERS MIĘSNY 82GMAP 20STKT MOR</t>
  </si>
  <si>
    <t>5901784159647</t>
  </si>
  <si>
    <t>***MEATERS MIĘSNY 82GMAP 9STKT MOR</t>
  </si>
  <si>
    <t>5901784160155</t>
  </si>
  <si>
    <t>***MEATERS MIĘSNY 82GMAP 20STKT MOR EX</t>
  </si>
  <si>
    <t>***MEATERS MIĘSNY 82GMAP 10STKT MOR</t>
  </si>
  <si>
    <t>5902659894649</t>
  </si>
  <si>
    <t>MEATERS DROB.-WP.</t>
  </si>
  <si>
    <t>MEATERS DROB.-WP.BS</t>
  </si>
  <si>
    <t>MEATERS DROB.-WP.AS</t>
  </si>
  <si>
    <t>***MEATERS DROB.-WP.82GMAP 20STKT MOR</t>
  </si>
  <si>
    <t>5901784159685</t>
  </si>
  <si>
    <t>***MEATERS DROB.-WP.82GMAP 9STKT MOR</t>
  </si>
  <si>
    <t>5901784160162</t>
  </si>
  <si>
    <t>***MEATERS DROB.-WP.82GMAP 20STKT MOR EX</t>
  </si>
  <si>
    <t>***MEATERS DROB.-WP.82GMAP 10STKT MOR</t>
  </si>
  <si>
    <t>5902659894632</t>
  </si>
  <si>
    <t>MEATERS CHILLI</t>
  </si>
  <si>
    <t>MEATERS CHILLI BS</t>
  </si>
  <si>
    <t>MEATERS CHILLI AS</t>
  </si>
  <si>
    <t>***MEATERS CHILLI 82GMAP 20STKT MOR</t>
  </si>
  <si>
    <t>5901784159661</t>
  </si>
  <si>
    <t>***MEATERS CHILLI 82GMAP 9STKT MOR</t>
  </si>
  <si>
    <t>5901784160179</t>
  </si>
  <si>
    <t>***MEATERS CHILLI 82GMAP 20STKT MOR EX</t>
  </si>
  <si>
    <t>***MEATERS CHILLI 82GMAP 10STKT MOR</t>
  </si>
  <si>
    <t>5902659894625</t>
  </si>
  <si>
    <t>***MEATERS MIX 82GMAP 20STKT MOR EX</t>
  </si>
  <si>
    <t>5901784159999</t>
  </si>
  <si>
    <t>***MEATERS STAND MIX 82GMAP 180STKT MOR</t>
  </si>
  <si>
    <t>***MEATERS MIX 82GMAP 20STKT MOR</t>
  </si>
  <si>
    <t>***MEATERS MIX 82GMAP 60STSTD MOR</t>
  </si>
  <si>
    <t>5901784163248</t>
  </si>
  <si>
    <t>5901784163385</t>
  </si>
  <si>
    <t>***PARÓWKI ŚNIADANIOWE WP.-WŁ.</t>
  </si>
  <si>
    <t>***PARÓWKI ŚNIADANIOWE WP.-WŁ.BS</t>
  </si>
  <si>
    <t>***PAR.ŚNIADANIOWE OK1,5KGMAP OK12KGKT</t>
  </si>
  <si>
    <t>***PARÓWKA HOT DOG</t>
  </si>
  <si>
    <t>***BS PARÓWKA HOT DOG</t>
  </si>
  <si>
    <t>***PARÓWKA HOT DOG VAC 225G MRŻ.</t>
  </si>
  <si>
    <t>***PARÓWKA HOT DOG 225GVAC 7,875KG KTDMR</t>
  </si>
  <si>
    <t>***PARÓWKA HOT DOG 225G VAC MR EX</t>
  </si>
  <si>
    <t>***PAR.HOT DOG 225GVAC 7,87KG KT DMR EXP</t>
  </si>
  <si>
    <t>***PARÓWKA HOT DOG MAP 2.25KG MRŻ.</t>
  </si>
  <si>
    <t>***PARÓWKA HOT DOG 2,25 MAP 9KG KT DMR.</t>
  </si>
  <si>
    <t>***PARÓWKI HOT DOG</t>
  </si>
  <si>
    <t>PARÓWKI HOT DOG BS</t>
  </si>
  <si>
    <t>***PARÓWKA HOTDOG700GVAC 5.6KG KT MR</t>
  </si>
  <si>
    <t>***PARÓWKA HOT DOG 700G VAC 5.6KGKT DMR</t>
  </si>
  <si>
    <t>***PARÓWKA XXL HOT DOG</t>
  </si>
  <si>
    <t>PARÓWKA XXL BS</t>
  </si>
  <si>
    <t>***PARÓWKA XXLHOTDOG900GVAC 10.8KG KT MR</t>
  </si>
  <si>
    <t>***PARÓWKA CHILLI HOT DOG</t>
  </si>
  <si>
    <t>***PARÓWKA CHILLI HOT DOG BS</t>
  </si>
  <si>
    <t>***PARÓWKA CHILI HOT DOG700GVAC5.6KGKTMR</t>
  </si>
  <si>
    <t>***MEGA PARÓWKA HOT DOG</t>
  </si>
  <si>
    <t>***MEGA PARÓWKA HOT DOG BS</t>
  </si>
  <si>
    <t>***MEGA PARÓWHOT DOG 770GVAC 6.16KGKT MR</t>
  </si>
  <si>
    <t>***MEGA PAR.HODOG 770G VAC 6.16KG KT DMR</t>
  </si>
  <si>
    <t>***PARÓWKA HOT DOG KRÓTKA</t>
  </si>
  <si>
    <t>***BS PARÓWKA HOT DOG KRÓTKA</t>
  </si>
  <si>
    <t>***MORTADELA</t>
  </si>
  <si>
    <t>***MORTADELA ET.</t>
  </si>
  <si>
    <t>***MORTADELA LUZ M</t>
  </si>
  <si>
    <t>***SALCESON WŁOSKI AS</t>
  </si>
  <si>
    <t>***SALCESON WŁOSKI BS</t>
  </si>
  <si>
    <t>***SALCESON WŁOSKI KL.1</t>
  </si>
  <si>
    <t>***SALCESON WŁOSKI LUZ ET</t>
  </si>
  <si>
    <t>***SALCESON WŁOSKI LUZ CA 2KG</t>
  </si>
  <si>
    <t>***SALCESON WŁOSKI LUZ M.</t>
  </si>
  <si>
    <t>***OZORY W GALARECIE</t>
  </si>
  <si>
    <t>***OZORY W GALARECIE BS</t>
  </si>
  <si>
    <t>***OZORY W GALARECIE LUZ OK 15KGKT ROS</t>
  </si>
  <si>
    <t>***M-SO W GALARECIE</t>
  </si>
  <si>
    <t>***M-SO W GALARECIE BS</t>
  </si>
  <si>
    <t>***M-SO W GALARECIE LUZ OK.15KG KT ROS</t>
  </si>
  <si>
    <t>***WIEPRZOW.W GALAR.LUZ OK15KGKT VM ROS</t>
  </si>
  <si>
    <t>***M-SO W GALARECIE LUZ OK15KG KT HURT</t>
  </si>
  <si>
    <t>***OZORY W GALARECIE MORLINY</t>
  </si>
  <si>
    <t>***OZORY W GALARECIE MORLINY BS</t>
  </si>
  <si>
    <t>***OZORY W GALARECIE MORLINY LUZOK15KGKT</t>
  </si>
  <si>
    <t>***TUSZONKA</t>
  </si>
  <si>
    <t>***TUSZONKA BS</t>
  </si>
  <si>
    <t>***TUSZONKA OK600G 12ST KT CON</t>
  </si>
  <si>
    <t>SALCESON CZARNY AS</t>
  </si>
  <si>
    <t>SALCESON CZARNY BS</t>
  </si>
  <si>
    <t>***SALCESON CZARNY LUZ OK6KGKT</t>
  </si>
  <si>
    <t>***SALCESON CZARNY LUZ OK8KGKT</t>
  </si>
  <si>
    <t>***SALCESON CZARNY MORLINY</t>
  </si>
  <si>
    <t>***SALCESON CZARNY MORLINY BS</t>
  </si>
  <si>
    <t>***SALCESON CZARNY MORLINY OK6 KG KT CAR</t>
  </si>
  <si>
    <t>***SALCESON AS</t>
  </si>
  <si>
    <t>***SALCESON BS</t>
  </si>
  <si>
    <t>***SALCESON 360G 4.32KG KT MOR TESC</t>
  </si>
  <si>
    <t>5051007023528</t>
  </si>
  <si>
    <t>***SALCESON 360G 3.24KG KT MOR</t>
  </si>
  <si>
    <t>5907701332810</t>
  </si>
  <si>
    <t>***SALCESON 360G 12ST KT EX L</t>
  </si>
  <si>
    <t>***SALCESON 360G LUZ 9ST KT EX</t>
  </si>
  <si>
    <t>***SALCESON 360G 9ST KT M</t>
  </si>
  <si>
    <t>***SALCESON 360G 9ST KT EX A</t>
  </si>
  <si>
    <t>***SALCESON 360G 12ST KT RKW EX</t>
  </si>
  <si>
    <t>***SALCESON DOMOWY 360G LUZ KT BIED</t>
  </si>
  <si>
    <t>***SALCESON OK 360G OK 3,2KG KT MOR</t>
  </si>
  <si>
    <t>***SALCESON WŁOSKI AS MOR</t>
  </si>
  <si>
    <t>***SALCESON WŁOSKI BS MOR</t>
  </si>
  <si>
    <t>***SALCESON WŁOSKI LUZ MOR</t>
  </si>
  <si>
    <t>***SALCESON WŁOSKI OK2.2KG OK7KG KT MOR</t>
  </si>
  <si>
    <t>***SALCESON WŁOSKI LUZ MORLINY EX E</t>
  </si>
  <si>
    <t>***SALCESON WŁOSKI MORLINY KT.EX.GRANT</t>
  </si>
  <si>
    <t>***SALCESON WŁOSKI MOR.LUZ OK16KGKT ŁOT</t>
  </si>
  <si>
    <t>***SALCESON WŁOSKI LUZ OK15KG KT MOR EX</t>
  </si>
  <si>
    <t>***SALCESON WOJSKOWY</t>
  </si>
  <si>
    <t>***BS SALCESON WOJSKOWY</t>
  </si>
  <si>
    <t>***SALCESON WOJSKOWY LUZ SWOJ</t>
  </si>
  <si>
    <t>***PASZTETOWA KREMOWA</t>
  </si>
  <si>
    <t>***BS PASZTETOWA KREMOWA</t>
  </si>
  <si>
    <t>***PASZTETOWA KREMOWA LUZ</t>
  </si>
  <si>
    <t>***PASZTETOWA KREMOWA LUZ OK. 1.2KG</t>
  </si>
  <si>
    <t>***PASZTETOWA KREMOWA LUZ E.L.</t>
  </si>
  <si>
    <t>***PASZTETOWA KANAPKOWA MAŁA AS</t>
  </si>
  <si>
    <t>***PASZTETOWA KANAPKOWA MAŁA BS</t>
  </si>
  <si>
    <t>***PASZTETOWA KANAPKOWA MAŁA ST 300G</t>
  </si>
  <si>
    <t>***PASZTETOWA KANAPK. MAŁA 300G EXP</t>
  </si>
  <si>
    <t>***PASZTET.KANAPKOWA 300G 2.1KG KT SŁO.</t>
  </si>
  <si>
    <t>***PASZTET.KANAPK.MAŁA300G EXP.LUZ</t>
  </si>
  <si>
    <t>***PASZTETOWA KANAPKOWA MAŁA 300G EX P</t>
  </si>
  <si>
    <t>***PASZTETOWA KANAPKOWA MAŁA 300G EXP.L</t>
  </si>
  <si>
    <t>***PASZTETOWA KANAP.MAŁA 300G 14STKTEX T</t>
  </si>
  <si>
    <t>***PASZTETOWA KANAPK.MAŁA300G 2.1KGKTEST</t>
  </si>
  <si>
    <t>PASZTETOWA KANAP.MAŁA 300G 2.1KGKT LT</t>
  </si>
  <si>
    <t>5907701331561</t>
  </si>
  <si>
    <t>***PASZTETOWA KREMOWA MORL</t>
  </si>
  <si>
    <t>***BS PASZTETOWA KREMOWA MORL</t>
  </si>
  <si>
    <t>***PASZTETOWA KREMOWA M LUZ EX</t>
  </si>
  <si>
    <t>***PASZTETOWA KREMOWA M LUZ EXP. S</t>
  </si>
  <si>
    <t>***PASZTETOWA KREMOWA M EXP. G</t>
  </si>
  <si>
    <t>***PASZTETOWA KREMOWA M LUZ OK.10KG KT</t>
  </si>
  <si>
    <t>***PASZTET.KREMOWA 800GLUZ 12KGKT EX</t>
  </si>
  <si>
    <t>***PASZTETOWA O SMAKU KURKOWYM</t>
  </si>
  <si>
    <t>***BS PASZTETOWA O SMAKU KURKOWYM</t>
  </si>
  <si>
    <t>***PASZTETOWA 140G 2.1KG KT MOR</t>
  </si>
  <si>
    <t>***PASZTETOWA 140G 2.1KG KT SŁOW.</t>
  </si>
  <si>
    <t>***KASZANKA TEŚCIOWEJ VAC 300G</t>
  </si>
  <si>
    <t>***KASZANKA OK 0.6KG MAP 4.8KG KT JMD</t>
  </si>
  <si>
    <t>***KASZANKA 600G MAP 4.8KG KT JMP</t>
  </si>
  <si>
    <t>***KASZANKA 600G MAP Z KECZUPEM 5ST KT T</t>
  </si>
  <si>
    <t>5907701332469</t>
  </si>
  <si>
    <t>***KASZANKA TEŚCIOWEJ MAP C OK800G</t>
  </si>
  <si>
    <t>***KASZANKA 600GMAP 4.8KGKT GRILL T</t>
  </si>
  <si>
    <t>5051007054577</t>
  </si>
  <si>
    <t>***KASZANKA TEŚCIOWEJ OK12KGMAP P</t>
  </si>
  <si>
    <t>***KASZANKA TEŚCIOWEJ VAC 300G R</t>
  </si>
  <si>
    <t>KASZANKA TEŚCIOWEJ OK.1.5KG MAP M</t>
  </si>
  <si>
    <t>***KASZANKA 600G MAP 7.2KG KT GRILL BIED</t>
  </si>
  <si>
    <t>***KASZANKA 480GMAP 3.84KGKT T</t>
  </si>
  <si>
    <t>5901784155595</t>
  </si>
  <si>
    <t>***KASZANKA TEŚCIOWEJ 600GMAP 4.8KGKT EX</t>
  </si>
  <si>
    <t>***KASZANKA OK600GMAP OK6KGKT</t>
  </si>
  <si>
    <t>***KASZANKA JĘCZMIENNA AS BIED</t>
  </si>
  <si>
    <t>***KASZANKA JĘCZMIENNA BS BIED</t>
  </si>
  <si>
    <t>***KASZANKA 600G MAP 4.8KG KT BIED</t>
  </si>
  <si>
    <t>***KASZANKA 600GMAP 7.2KGKT GRILL BIED</t>
  </si>
  <si>
    <t>***KASZANKA 600GMAP 10STKT BIED</t>
  </si>
  <si>
    <t>5901784159418</t>
  </si>
  <si>
    <t>***BS SZYNKA KONSERWOWA BLOK YANO</t>
  </si>
  <si>
    <t>***SZYNKA KONSERWOWA BLOK LUZ</t>
  </si>
  <si>
    <t>***SZYNKA KONSERWOWA BLOK LUZ ET</t>
  </si>
  <si>
    <t>***SZYNKA KONSERWOWA BLOK LUZ M</t>
  </si>
  <si>
    <t>SZYNKA BLOK</t>
  </si>
  <si>
    <t>BS SZYNKA BLOK</t>
  </si>
  <si>
    <t>***SZYNKA BLOK LUZ MORLINY M</t>
  </si>
  <si>
    <t>***SZYNKA BLOK LUZ MK A</t>
  </si>
  <si>
    <t>***SZYNKA FOOD GARDEN LUZ</t>
  </si>
  <si>
    <t>***SZYNKA BLOK LUZ EXPORT LUZ L</t>
  </si>
  <si>
    <t>***SZYNKA BLOK KT EX KRL</t>
  </si>
  <si>
    <t>***SZYNKA BLOK OK.15KG KT ROSJA</t>
  </si>
  <si>
    <t>***SZYNKA GOTOWANA</t>
  </si>
  <si>
    <t>SZYNKA GOTOWANA BS</t>
  </si>
  <si>
    <t>***SZYNKA KONSERW.WP</t>
  </si>
  <si>
    <t>***BS SZYNKA KONSERW. WP</t>
  </si>
  <si>
    <t>***SZYNKA KONSERW.WP 500G</t>
  </si>
  <si>
    <t>***BS SZYNKA KONSERW.WP 500G</t>
  </si>
  <si>
    <t>5907701371963</t>
  </si>
  <si>
    <t>***SZYNKA KONSER.WIEPRZ.500G 1SZT</t>
  </si>
  <si>
    <t>VEPROVA SUNKA STANDARD</t>
  </si>
  <si>
    <t>BS VEPROVA SUNKA STANDARD</t>
  </si>
  <si>
    <t>***VEPROVA SUNKA STAND.LUZ EXP K</t>
  </si>
  <si>
    <t>***VEPROVA SUNKA STAND. EXP.IMPAR</t>
  </si>
  <si>
    <t>***VEPROVA SUNKA STANDARD EXP. N</t>
  </si>
  <si>
    <t>***SZYNKA KONSERWOWA BLOK LUZ KT EX P</t>
  </si>
  <si>
    <t>***VEPROVA SUNKA STANDARD EXP.D</t>
  </si>
  <si>
    <t>***SZYNKA KONSERWOWA BLOK LUZ EXP M</t>
  </si>
  <si>
    <t>***SZYNKA KONSERWOWA BLOK P</t>
  </si>
  <si>
    <t>***BS SZYNKA KONSERWOWA BLOK P</t>
  </si>
  <si>
    <t>***SZYNKA KONSERWOWA BLOK P EXP.LUZ</t>
  </si>
  <si>
    <t>***SZYNKA FOOD GARDEN LUZ OK.9KG KT</t>
  </si>
  <si>
    <t>SZYNKA BLOK S</t>
  </si>
  <si>
    <t>***BS SZYNKA BLOK S</t>
  </si>
  <si>
    <t>***PULLED PORK</t>
  </si>
  <si>
    <t>***PULLED PORK BS</t>
  </si>
  <si>
    <t>***PULLED PORK 550G 3.3KG KT EX</t>
  </si>
  <si>
    <t>***PULLED PORK 550G 2.2KG KT EX</t>
  </si>
  <si>
    <t>Meal Quick Pulled pork 550g</t>
  </si>
  <si>
    <t>***POLICZKI MEAL QUICK PORK</t>
  </si>
  <si>
    <t>***POLICZKI MEAL QUICK PORK BS</t>
  </si>
  <si>
    <t>***POLICZKI MEAL QUICK PORK 500G 2KG KT</t>
  </si>
  <si>
    <t>***POLICZKI VORES SVINEKABER 500G3KGKTEX</t>
  </si>
  <si>
    <t>***GOLONKA MEAL QUICK PORK</t>
  </si>
  <si>
    <t>***GOLONKA MEAL QUICK PORK BS</t>
  </si>
  <si>
    <t>***GOLONKA MEAL QUICK PORK 550G 2.2KG KT</t>
  </si>
  <si>
    <t>***MEALQUICK SPARE.550G MAP 1.65KG KT EX</t>
  </si>
  <si>
    <t>***ŻEBPASKIWĘDZ.PARZ.OK2KGMOK10KGKTMOREX</t>
  </si>
  <si>
    <t>***FAWORYTKA</t>
  </si>
  <si>
    <t>***BS FAWORYTKA</t>
  </si>
  <si>
    <t>***FAWORYTKA LUZ 1.6KG</t>
  </si>
  <si>
    <t>FAWORYTKA LUZ</t>
  </si>
  <si>
    <t>***FAWORYTKA LUZ S</t>
  </si>
  <si>
    <t>***PRZYSMAK SZYN.AS</t>
  </si>
  <si>
    <t>***PRZYSMAK SZYN.BS</t>
  </si>
  <si>
    <t>***PRZYSMAK SZYNKOWY 570G EX</t>
  </si>
  <si>
    <t>***PRZYSMAK SZYNK.570G LUZ 4.56KG KT MOR</t>
  </si>
  <si>
    <t>5907701332360</t>
  </si>
  <si>
    <t>***PRZYSMAK SZYN.570G LUZ 8.55KG KT MOR</t>
  </si>
  <si>
    <t>5901784152549</t>
  </si>
  <si>
    <t>***PRZYSMAK SZYNKOWY 570G LUZ KT EX L</t>
  </si>
  <si>
    <t>***PRZYSMAK SZYNKOWY 570G EXP S</t>
  </si>
  <si>
    <t>***PRZYSMAK SZYNKOWY 570G EX P</t>
  </si>
  <si>
    <t>***PRZYSMAK SZYNKOWY 570G  15ST KT M EX</t>
  </si>
  <si>
    <t>***PRZYSMAK SZYNKOWY 570G EXP A</t>
  </si>
  <si>
    <t>***PRZYSMAK SZYNKOWY 570G KT UK EX</t>
  </si>
  <si>
    <t>***PRZYSMAK SZYNKOWY 570GLUZ EX MORRISON</t>
  </si>
  <si>
    <t>***PIECZEŃ MIĘSNA</t>
  </si>
  <si>
    <t>***PIECZEŃ MIĘSNA BS</t>
  </si>
  <si>
    <t>***PIECZEŃ M-SNA OK500G VAC OK5KG KT MOR</t>
  </si>
  <si>
    <t>***PASZTET WIEPRZOWY</t>
  </si>
  <si>
    <t>***BS PASZTET WIEPRZOWY</t>
  </si>
  <si>
    <t>***PASZTET WP.TAFLA OK2KGVAC OK4KGKT</t>
  </si>
  <si>
    <t>***PASZTET WP.400G VAC 7.2KG KT MOR</t>
  </si>
  <si>
    <t>5907701331363</t>
  </si>
  <si>
    <t>***PASZTET WIEPRZOWY VAC 400G TM</t>
  </si>
  <si>
    <t>***PASZTET WIEPRZOWY 400G VAC EXP.L</t>
  </si>
  <si>
    <t>***PASZTET WIEPRZOWY 400G VAC EXP.K</t>
  </si>
  <si>
    <t>***PASZTET WIEPRZOWY 400G VAC N</t>
  </si>
  <si>
    <t>5907701332919</t>
  </si>
  <si>
    <t>***PASZTET WP PC 0.4KG VAC KT BIED</t>
  </si>
  <si>
    <t>5907701333060</t>
  </si>
  <si>
    <t>***PASZTET WP.OK2KG VAC OK4KG KT MOR UK</t>
  </si>
  <si>
    <t>***PASZTET WP.400G VAC 7.2KG KT MOR EX</t>
  </si>
  <si>
    <t>***BS ŻEB.MOST.WĘDZONE</t>
  </si>
  <si>
    <t>***ŻEBERKA MOSTKI WĘDZONE MAP 3.5KG</t>
  </si>
  <si>
    <t>***ŻEBERKA MOSTKI WĘDZONE MAP</t>
  </si>
  <si>
    <t>***BS ŻEB.MOST.WĘDZONE PARZONE</t>
  </si>
  <si>
    <t>***ŻEBERKA MOSTKI WĘDZ.PARZONE MAP</t>
  </si>
  <si>
    <t>***WĘDZONKA KROTOSZ.KRAKUS VAC PORCJA K</t>
  </si>
  <si>
    <t>5904906810778</t>
  </si>
  <si>
    <t>5901784153522</t>
  </si>
  <si>
    <t>CABANOSSI CLASSIK 180G VAC</t>
  </si>
  <si>
    <t>5901784160360</t>
  </si>
  <si>
    <t>KABANOSY KRAK 180G MAP 12ST KT</t>
  </si>
  <si>
    <t>KABANOSY KRAK 180G MAP 10STKT EX</t>
  </si>
  <si>
    <t>5901784160919</t>
  </si>
  <si>
    <t>5901784161060</t>
  </si>
  <si>
    <t>5904906811270</t>
  </si>
  <si>
    <t>***KABANOSY KRAK180G VAC 1.08KG OZ PJ ED</t>
  </si>
  <si>
    <t>***KABANO KRAK.180G VAC OZ 6X180G 5ST KT</t>
  </si>
  <si>
    <t>5901784161879</t>
  </si>
  <si>
    <t>5901784161886</t>
  </si>
  <si>
    <t>***KABANOSY KRAK</t>
  </si>
  <si>
    <t>***BS KABANOSY KRAK</t>
  </si>
  <si>
    <t>***AS KABANOSY KRAKUS</t>
  </si>
  <si>
    <t>***KABANOSY KRAKUS MAP 1.0 MK</t>
  </si>
  <si>
    <t>***KABANOSY KRAKUS MAP M</t>
  </si>
  <si>
    <t>***KABANOS OK1KG MAP OK5KG KT Z DESKĄ KA</t>
  </si>
  <si>
    <t>***KABANOSY KRAK.180G VAC 24ST KT MR JAP</t>
  </si>
  <si>
    <t>***KABANOSYKRAK. 180GVAC 24SZTKT JAP DMR</t>
  </si>
  <si>
    <t>***KABANOSY KRAKUS 180G BL</t>
  </si>
  <si>
    <t>***KABANOSY KRAKUS VAC 0.18KG</t>
  </si>
  <si>
    <t>***KABANOSY KRAKUS VAC 180G EX</t>
  </si>
  <si>
    <t>***KABANOSY KRAKUS VAC 180G T</t>
  </si>
  <si>
    <t>***KABANOSY KRAKUS MAP 1KG</t>
  </si>
  <si>
    <t>***KABANOSY KRAKUS MAP 1.0</t>
  </si>
  <si>
    <t>***KABANOSY KRAKUS MAP 2.0 ET.</t>
  </si>
  <si>
    <t>***KABANOSY KRAKUS MAP 1.0  A</t>
  </si>
  <si>
    <t>***KABANOSY KRAKUS 6X180 PDP.ZB.</t>
  </si>
  <si>
    <t>***KABANOSYKRAKUS 180GVAC1.08KG OZ EDEKA</t>
  </si>
  <si>
    <t>***KABANOSY KRAKUS 180G FP</t>
  </si>
  <si>
    <t>***KABANOSY KRAKUS 180G TRM 4.32KT ROSJA</t>
  </si>
  <si>
    <t>***KABANOSY 180G MAP 1SZT KT KRAKUS</t>
  </si>
  <si>
    <t>***KABANOSY KRAKUS VAC 180G ELAZAR</t>
  </si>
  <si>
    <t>***682006 KABANOSY 180G</t>
  </si>
  <si>
    <t>***KABANOSY KRAKUS 180G EXP. LI</t>
  </si>
  <si>
    <t>***KABANOSY KRAKUS 180G EXP M</t>
  </si>
  <si>
    <t>***KABANOSY KRAK.180G VAC 1.8KGKTSZWECJA</t>
  </si>
  <si>
    <t>***KABANOSY KRAKUS MAP OK. 1KG T</t>
  </si>
  <si>
    <t>5901784153874</t>
  </si>
  <si>
    <t>5901784156295</t>
  </si>
  <si>
    <t>5901784156103</t>
  </si>
  <si>
    <t>5901784158275</t>
  </si>
  <si>
    <t>***BS KIEŁ.KRAKOWSKA SUCHA KRAK</t>
  </si>
  <si>
    <t>***AS KIEŁ.KRAKOWSKA SUCHA KRAK</t>
  </si>
  <si>
    <t>***KRAKOW.SUCHA KRAKUS MW MAP3.0 MK</t>
  </si>
  <si>
    <t>***KRAKOWSKA SUCHA KRAKUS OP 0.5</t>
  </si>
  <si>
    <t>***KRAKOWSKA SU.KRAKUS VAC 320G EX</t>
  </si>
  <si>
    <t>***KRAKOWSKA SUCHA KRAKUS VAC 1SZT</t>
  </si>
  <si>
    <t>***KRAKOWSKA SUCHA KRAKUS V320G ELA</t>
  </si>
  <si>
    <t>***682001 KRAKOVSKA SALAMA 320G</t>
  </si>
  <si>
    <t>***KIEŁB.ŻYWIEC.286GVAC 5,15KGKTROS OPTI</t>
  </si>
  <si>
    <t>5904906810365</t>
  </si>
  <si>
    <t>5904906810808</t>
  </si>
  <si>
    <t>***SZYNKA GOT.KRAK</t>
  </si>
  <si>
    <t>***SZYNKA GOT.KRAK DP</t>
  </si>
  <si>
    <t>***BS SZYNKA GOT.KRAK</t>
  </si>
  <si>
    <t>***BL SZYN.WP.GOT.KRAK PC</t>
  </si>
  <si>
    <t>***BL SZYN.GOT. 1/2ST TRM OK 5KG KT KRAK</t>
  </si>
  <si>
    <t>***BL SZYN.WP.GOT.KRAK 1SZT</t>
  </si>
  <si>
    <t>***SZYNKA WP.GOT.KRAKUS VAC PORCJA EXP L</t>
  </si>
  <si>
    <t>***SZYNKA WP.GOT.KRAKUS VAC 1SZT M</t>
  </si>
  <si>
    <t>***SZYNKA WP.GOT.KRAKUS 1SZT VAC EX</t>
  </si>
  <si>
    <t>***SZYNKA WP.GOT.KRAKUS 1SZT VAC K EX</t>
  </si>
  <si>
    <t>POLĘDWICZKA WĘDZ.BS KRAKUS</t>
  </si>
  <si>
    <t>***POLĘDWICZ WĘDZ.KRAK 1ST VAC OK3KG KT</t>
  </si>
  <si>
    <t>***POL.WĘDZ.1STVAC OK4KGKT KRA BIED</t>
  </si>
  <si>
    <t>5901784156905</t>
  </si>
  <si>
    <t>5901784157759</t>
  </si>
  <si>
    <t>5901784159289</t>
  </si>
  <si>
    <t>5901784158442</t>
  </si>
  <si>
    <t>5901784159388</t>
  </si>
  <si>
    <t>***BS SZYN.KONS.11LBS</t>
  </si>
  <si>
    <t>SZYNKA WP.KONSERWOWA 5,5LBS KRAKUS</t>
  </si>
  <si>
    <t>BS SZYNKA WP.KONSERWOWA 5,5LBS KRAKUS</t>
  </si>
  <si>
    <t>**SZYN. WP.KON.2,5KG LUZ 4ST KT KRAKUS T</t>
  </si>
  <si>
    <t>5901784153676</t>
  </si>
  <si>
    <t>***SZYNKA KONSER.570G KRAK</t>
  </si>
  <si>
    <t>***BS SZYNKA KONSER.570G KRAK</t>
  </si>
  <si>
    <t>5904906810594</t>
  </si>
  <si>
    <t>***PRAZSKA SUNKA MINI 570G 15STKT SLO</t>
  </si>
  <si>
    <t>590 1784 1570 87</t>
  </si>
  <si>
    <t>SZYN.MAGNACKA 1/2STVAC OK8KGKT POLO</t>
  </si>
  <si>
    <t>***MIX KABAN.ROZM+JAŁOW.180GVAC 26ST KT</t>
  </si>
  <si>
    <t>5901784159531</t>
  </si>
  <si>
    <t>***KIEŁB.PIEPRZOWE 300GMAP 20STKT KRA</t>
  </si>
  <si>
    <t>5901784161114</t>
  </si>
  <si>
    <t>5901784163927</t>
  </si>
  <si>
    <t>5901784161152</t>
  </si>
  <si>
    <t>5901784161596</t>
  </si>
  <si>
    <t>5901784161602</t>
  </si>
  <si>
    <t>5901784161619</t>
  </si>
  <si>
    <t>5901784161626</t>
  </si>
  <si>
    <t>KABAN.WP.95GMAP 60STPJ KRA I</t>
  </si>
  <si>
    <t>5901784164849</t>
  </si>
  <si>
    <t>KABAN.WP.95GMAP 60STPJ KRA II</t>
  </si>
  <si>
    <t>5901784161633</t>
  </si>
  <si>
    <t>5901784161640</t>
  </si>
  <si>
    <t>5901784164856</t>
  </si>
  <si>
    <t>KABAN.DROB/WP.95GMAP 60STKT KRA II</t>
  </si>
  <si>
    <t>***KABANOSY KRAK BIED</t>
  </si>
  <si>
    <t>***BS KABANOSY KRAK BIED</t>
  </si>
  <si>
    <t>***AS KABANOSY KRAKUS JMB</t>
  </si>
  <si>
    <t>***KABANOS KRAKUS JM MAP 280G</t>
  </si>
  <si>
    <t>***KABANOS KRAKUS 280G MAP EX L</t>
  </si>
  <si>
    <t>5904906810396</t>
  </si>
  <si>
    <t>5901784159395</t>
  </si>
  <si>
    <t>4052917095682</t>
  </si>
  <si>
    <t>5901784161855</t>
  </si>
  <si>
    <t>5901784161862</t>
  </si>
  <si>
    <t>***MIX KABAN.95G 192ST STAND KRA</t>
  </si>
  <si>
    <t>5901784161916</t>
  </si>
  <si>
    <t>0000000000000</t>
  </si>
  <si>
    <t>5901784161961</t>
  </si>
  <si>
    <t>ZESTAW PROD.201ST STAND KRA</t>
  </si>
  <si>
    <t>5901784162739</t>
  </si>
  <si>
    <t>5901784162852</t>
  </si>
  <si>
    <t>***ZESTAW PROD.222ST STAND KRA</t>
  </si>
  <si>
    <t>5901784162869</t>
  </si>
  <si>
    <t>ZESTAW PROD.96ST STAND KRA</t>
  </si>
  <si>
    <t>5901784162876</t>
  </si>
  <si>
    <t>5901784163118</t>
  </si>
  <si>
    <t>***ZESTAW PROD.157ST STAND KRA</t>
  </si>
  <si>
    <t>5901784163132</t>
  </si>
  <si>
    <t>5901784164825</t>
  </si>
  <si>
    <t>ZESTAW PROD.162ST STAND KRA</t>
  </si>
  <si>
    <t>5901784163224</t>
  </si>
  <si>
    <t>ZESTAW PROD.226ST STAND KRA</t>
  </si>
  <si>
    <t>5901784163255</t>
  </si>
  <si>
    <t>5901784163309</t>
  </si>
  <si>
    <t>ZESTAW PROD.168ST STAND KRA</t>
  </si>
  <si>
    <t>5901784163323</t>
  </si>
  <si>
    <t>ZESTAW PROD.164ST STAND KRA</t>
  </si>
  <si>
    <t>5901784163507</t>
  </si>
  <si>
    <t>5901784163569</t>
  </si>
  <si>
    <t>ZESTAW PROD.171ST STAND KRA</t>
  </si>
  <si>
    <t>5901784163576</t>
  </si>
  <si>
    <t>5901784163644</t>
  </si>
  <si>
    <t>***ZESTAW PROD.216ST STAND KRA</t>
  </si>
  <si>
    <t>5901784163811</t>
  </si>
  <si>
    <t>ZESTAW PROD.226ST STAND KRA II</t>
  </si>
  <si>
    <t>5901784163880</t>
  </si>
  <si>
    <t>5901784164146</t>
  </si>
  <si>
    <t>ZESTAW PROD.169ST STAND KRA</t>
  </si>
  <si>
    <t>5901784164153</t>
  </si>
  <si>
    <t>5901784164184</t>
  </si>
  <si>
    <t>5901784164214</t>
  </si>
  <si>
    <t>5901784164399</t>
  </si>
  <si>
    <t>ZESTAW PROD.174ST STAND KRA II</t>
  </si>
  <si>
    <t>5901784164467</t>
  </si>
  <si>
    <t>5901784164474</t>
  </si>
  <si>
    <t>ZESTAW PROD.217ST STAND KRA II</t>
  </si>
  <si>
    <t>5901784164504</t>
  </si>
  <si>
    <t>ZESTAW PROD.177ST STAND KRA II</t>
  </si>
  <si>
    <t>5901784164542</t>
  </si>
  <si>
    <t>ZESTAW PROD.174ST STAND KRA III</t>
  </si>
  <si>
    <t>5901784164771</t>
  </si>
  <si>
    <t>ZESTAW PROD.174ST STAND KRA IV</t>
  </si>
  <si>
    <t>ZESTAW PROD.175ST STAND KRA</t>
  </si>
  <si>
    <t>5901784164887</t>
  </si>
  <si>
    <t>***KIEŁB.BIAŁE 300GMAP 20STKT KRA</t>
  </si>
  <si>
    <t>5901784162333</t>
  </si>
  <si>
    <t>5901784164122</t>
  </si>
  <si>
    <t>5901784162067</t>
  </si>
  <si>
    <t>5901784163934</t>
  </si>
  <si>
    <t>5901784164283</t>
  </si>
  <si>
    <t>5901784162722</t>
  </si>
  <si>
    <t>5901784162791</t>
  </si>
  <si>
    <t>***BS KIEŁ.KRAKOWSKA 572G KRAK</t>
  </si>
  <si>
    <t>***AS KIEŁ.KRAKOWSKA 572G KRAK</t>
  </si>
  <si>
    <t>5901784161169</t>
  </si>
  <si>
    <t>***SZYN.ZRAZOWA 1STTRM OK5KGKT KRA</t>
  </si>
  <si>
    <t>5901784162074</t>
  </si>
  <si>
    <t>5901784160476</t>
  </si>
  <si>
    <t>5901784162913</t>
  </si>
  <si>
    <t>5901784163422</t>
  </si>
  <si>
    <t>5901784162449</t>
  </si>
  <si>
    <t>5901784162456</t>
  </si>
  <si>
    <t>5901784162890</t>
  </si>
  <si>
    <t>05901784163286</t>
  </si>
  <si>
    <t>5901784162845</t>
  </si>
  <si>
    <t>5901784163286</t>
  </si>
  <si>
    <t>5901784163460</t>
  </si>
  <si>
    <t>5901784164238</t>
  </si>
  <si>
    <t>KABAN.SŁODKA PAPR.95GMAP 30STPJ KRA</t>
  </si>
  <si>
    <t>5901784163293</t>
  </si>
  <si>
    <t>5901784163361</t>
  </si>
  <si>
    <t>KABAN.ZIEL.CEB.95GMAP 30STPJ KRA</t>
  </si>
  <si>
    <t>5901784164207</t>
  </si>
  <si>
    <t>5901784164788</t>
  </si>
  <si>
    <t>KABAN.Z/BEK.95GMAP 8STKT KRA</t>
  </si>
  <si>
    <t>5901784164863</t>
  </si>
  <si>
    <t>KABAN.Z/BEK.95GMAP 60STPJ KRA</t>
  </si>
  <si>
    <t>KABAN.Z/BEK.95GMAP 30STPJ KRA</t>
  </si>
  <si>
    <t>KABAN.DROB/WP.CHED.95GMAP 14STKT KRA</t>
  </si>
  <si>
    <t>5901784164870</t>
  </si>
  <si>
    <t>KABAN.DROB/WP.CHED.95GMAP 60STPJ KRA</t>
  </si>
  <si>
    <t>KABAN.DROB/WP.CHED.95GMAP 30STPJ KRA</t>
  </si>
  <si>
    <t>***LUKSUSOWA PRZEKASKA WEDZ.KRAK</t>
  </si>
  <si>
    <t>***BS LUKSUSOWA PRZEKASKA WEDZ.KRAK</t>
  </si>
  <si>
    <t>***LUKSUSOWA PRZEKĄS.WĘDZ.KRA MAP 180G T</t>
  </si>
  <si>
    <t>***KABANOSIKI MAP 180G M</t>
  </si>
  <si>
    <t>***LUKSUS.PRZEKĄS.WĘDZ.KRAKUS MAP1SZTJMD</t>
  </si>
  <si>
    <t>***LUKSUS.PRZEK.WĘDZ.180G MAP10ST KT ROS</t>
  </si>
  <si>
    <t>PRZEKĄSKA WĘDZ.AD KRA</t>
  </si>
  <si>
    <t>PRZEKĄSKA WĘDZ.KRA BS</t>
  </si>
  <si>
    <t>PRZEKĄSKA WĘDZ.AS KRA</t>
  </si>
  <si>
    <t>5901784158800</t>
  </si>
  <si>
    <t>5901784157834</t>
  </si>
  <si>
    <t>KABAN.DROB/WP.SALSA POMID.BS KRA</t>
  </si>
  <si>
    <t>KABAN.DROB/WP.SALSA POMID.AS KRA</t>
  </si>
  <si>
    <t>KABAN.DROB/WP.SALSA POMID95GMAP14STKTKRA</t>
  </si>
  <si>
    <t>5901784164917</t>
  </si>
  <si>
    <t>KABAN.DROB/WP.SALSA POMID.95GMAP BL ST</t>
  </si>
  <si>
    <t>KABAN.Z/BEK.220G BS KRA</t>
  </si>
  <si>
    <t>KABAN.Z/BEK.220G AS KRA</t>
  </si>
  <si>
    <t>KABAN.Z/BEK.220GMAP BL ST</t>
  </si>
  <si>
    <t>***ZESTAW ŚWIĄTECZNY KRAKUS</t>
  </si>
  <si>
    <t>***ZESTAW ŚWIĄTECZNY KRAK</t>
  </si>
  <si>
    <t>***KIEŁBASA ŚLĄSKA</t>
  </si>
  <si>
    <t>***KIEŁBASA ŚLĄSKA BS</t>
  </si>
  <si>
    <t>5901784159500</t>
  </si>
  <si>
    <t>5901784160407</t>
  </si>
  <si>
    <t>***ŻEBERKA PARZONE WĘDZONE MAP 1KG</t>
  </si>
  <si>
    <t>***ŻEBERKAPARZONEWĘDZONEMAP OK.1,8 KG M</t>
  </si>
  <si>
    <t>***BS ŻEB.WĘDZONE</t>
  </si>
  <si>
    <t>***ŻEBERKA WĘDZONE MAP 3.5KG</t>
  </si>
  <si>
    <t>BS SZYNKA KONSER.7LBS KRAK</t>
  </si>
  <si>
    <t>SZYNKA KRAKUS LUZ</t>
  </si>
  <si>
    <t>***CZUJKI TERMOSTATY</t>
  </si>
  <si>
    <t>***SALCESON TRADYCYJNY 700G</t>
  </si>
  <si>
    <t>***BS SALCESON TRADYCYJNY 700G</t>
  </si>
  <si>
    <t>***SALCESON TRADYCYJNY 700G E.L.</t>
  </si>
  <si>
    <t>***SALCESON TRADYCYJNY 700G EX E</t>
  </si>
  <si>
    <t>***SALCESON TRADYCYJNY 700G LUZ</t>
  </si>
  <si>
    <t>***SALCESON TRADYCYJNY 700G LUZ EXP</t>
  </si>
  <si>
    <t>***SALCESON TRADYCYJNY 700G EXP.MAX</t>
  </si>
  <si>
    <t>***SALCESON TRADYCYJNY 700G 1SZT EX</t>
  </si>
  <si>
    <t>***SALCESON TRADYCYJNY 700G EXPORT P</t>
  </si>
  <si>
    <t>***SALCESON TRADYCYJNY 700G 7KG KT M EX</t>
  </si>
  <si>
    <t>***SALCESON TRADYCYJNY 700G EXP.B</t>
  </si>
  <si>
    <t>***SALCESON TRADYCYJNY 1SZT EXP G</t>
  </si>
  <si>
    <t>***SALCESON TRADYCYJNY 700G LUZ EX E</t>
  </si>
  <si>
    <t>***SALCESON TRADYCYJNY 700G 7KGKT EST</t>
  </si>
  <si>
    <t>***SALCESON TRADYCYJNY 700G 7KG KT LITWA</t>
  </si>
  <si>
    <t>***SUNKOVE PARKY 200G VAC 4KT CZ/SK EX</t>
  </si>
  <si>
    <t>***SUNKOVE PARKY 2*200G VAC.4KT CZ/SK EX</t>
  </si>
  <si>
    <t>***PARÓWKI Z SZYNKI B/O200G VAC4KT CZ EX</t>
  </si>
  <si>
    <t>SZYNKA OD SZWAGRA 1/2ST TERM KT KRAK</t>
  </si>
  <si>
    <t>***PARÓWKI ŚNIADANIOWEOK.3KG MAP15KGKT</t>
  </si>
  <si>
    <t>***PARÓWKI ŚNIADANIOWEOK.1.5KGMAP15KG KT</t>
  </si>
  <si>
    <t>SZYNKA LITEWSKA 1ST TRM Z KOD KT</t>
  </si>
  <si>
    <t>***POLĘDWICA Z KURCZAKA 500G LUZ EX CZ</t>
  </si>
  <si>
    <t>***SCHAB B/K VAC</t>
  </si>
  <si>
    <t>***HYDINOVY NAREZSKAPIOU (SZYNKA PAPRYK)</t>
  </si>
  <si>
    <t>***KOSICKY KURACI NAREZ (BLOK DROB.)</t>
  </si>
  <si>
    <t>***POLĘDWICA ŁOSOS.IND.VAC OK5.0 KT EX Y</t>
  </si>
  <si>
    <t>***WBL DROBIOWA OK1KG LUZ 10ST KT Y EX</t>
  </si>
  <si>
    <t>***HAMBURGER MEXICANA4X200GVAC EX YANO</t>
  </si>
  <si>
    <t>***PARÓWKI WĘDZONE 1KG MAP EX</t>
  </si>
  <si>
    <t>***BRAVCOVY HAMB. 4X210G VAC EX YANO</t>
  </si>
  <si>
    <t>BOCZEK ZAPIEKANY 1ST MAP KT EX MORL</t>
  </si>
  <si>
    <t>***BERLINKI CLASSIC B/OSŁ. 250VAC16KT EX</t>
  </si>
  <si>
    <t>***BERLINKI CLASSIC 1.0 MAP 4.0 KT EX</t>
  </si>
  <si>
    <t>***FILET WĘDZ.Z KURCZ250-420VAC4KG KTMOR</t>
  </si>
  <si>
    <t>***SALAPEPPERONI PL.1.0 KG MAP 5.0 KT EX</t>
  </si>
  <si>
    <t>BOCZEK ZAPIEKANY 1ST MAP KT EX MAKR</t>
  </si>
  <si>
    <t>***MIX PRODUKTOWY II AS</t>
  </si>
  <si>
    <t>***MIX PRODUKTOWY II GRILL</t>
  </si>
  <si>
    <t>***MIX PRODUKTOWY II P MR</t>
  </si>
  <si>
    <t>***MIX PRODUKTOWY II P DMR</t>
  </si>
  <si>
    <t>***MIX PRODUKTOWY I P -ŻEB.B/K.Z PRZYP.</t>
  </si>
  <si>
    <t>***MIX PRODUKTOWY I P</t>
  </si>
  <si>
    <t>***MIX PRODUKTOWY II P KIEŁ.ŻYWIECKA VAC</t>
  </si>
  <si>
    <t>***WT BOCZ.WĘDZ.OK450GVAC OK10KGKT EX</t>
  </si>
  <si>
    <t>***MIX PRODUKTOWY V-WĘDL. SUCHA</t>
  </si>
  <si>
    <t>***MIX PRODUKTOWY V</t>
  </si>
  <si>
    <t>***MIX PRODUKTOWY IV P MR</t>
  </si>
  <si>
    <t>PT M-SO KT MR</t>
  </si>
  <si>
    <t>***PRÓBY TECHN.M-SO LUZ KT MR ST</t>
  </si>
  <si>
    <t>***PRÓBY TECHN.M-SO MAP KT</t>
  </si>
  <si>
    <t>***PRÓBY TECH. M-SO MIEL. 500G MAP KT</t>
  </si>
  <si>
    <t>PT M-SO VAC</t>
  </si>
  <si>
    <t>PT M-SO LUZ PJ ST</t>
  </si>
  <si>
    <t>PT M-SO MR SZ</t>
  </si>
  <si>
    <t>PT IA M-SO WOR MR IŁ</t>
  </si>
  <si>
    <t>PT M-SO PAK.SZ</t>
  </si>
  <si>
    <t>PT KK M-SO KT SU</t>
  </si>
  <si>
    <t>PT IKA M-SO PJ IŁ</t>
  </si>
  <si>
    <t>PT M-SO WP.OK20KGLUZ KT MR K4</t>
  </si>
  <si>
    <t>PT M-SO WP.OK20KGLUZ PJ K4</t>
  </si>
  <si>
    <t>PT KK M-SO KT K3</t>
  </si>
  <si>
    <t>PT M-SO KT DMR</t>
  </si>
  <si>
    <t>***PRÓBY TECHN.M-SO KT RO</t>
  </si>
  <si>
    <t>PT WĘDLINY AS</t>
  </si>
  <si>
    <t>***PRÓBY - MIĘSO</t>
  </si>
  <si>
    <t>PT WĘDLINY DOJRZEW.AD</t>
  </si>
  <si>
    <t>***PRÓBY TECH.WĘDLINY LUZ</t>
  </si>
  <si>
    <t>***PRÓBY TECHNOLOGICZNE</t>
  </si>
  <si>
    <t>***PRÓBA LABORATORYJNA KT</t>
  </si>
  <si>
    <t>PT WĘDLINY KT</t>
  </si>
  <si>
    <t>***PRÓBA- PRODUKT TESTOWY KONSERWY 160G</t>
  </si>
  <si>
    <t>BIAŁKO SUPRO EX 33 IP</t>
  </si>
  <si>
    <t>KLA_001_DODA_0001</t>
  </si>
  <si>
    <t>BIAŁKO ALPHA 8 IP</t>
  </si>
  <si>
    <t>BIAŁKO PROCON 2100</t>
  </si>
  <si>
    <t>BIAŁKO SUPRO 595 IP</t>
  </si>
  <si>
    <t>BIAŁKO SERWATKI KONCENTRAT</t>
  </si>
  <si>
    <t>HEMOGLOBIN</t>
  </si>
  <si>
    <t>BIAŁKO ALPHA 11IP</t>
  </si>
  <si>
    <t>BIAŁKO SCANPRO T95</t>
  </si>
  <si>
    <t>BIAŁKO ARCON SM</t>
  </si>
  <si>
    <t>BIAŁKO SUPRO 548 IP</t>
  </si>
  <si>
    <t>SCANPRO TC 70</t>
  </si>
  <si>
    <t>BIAŁKO SOPROTEX N MINCED</t>
  </si>
  <si>
    <t>VITACEL KF 500</t>
  </si>
  <si>
    <t>PROMASOL M512</t>
  </si>
  <si>
    <t>BŁONNIK PROMACEL WF 90</t>
  </si>
  <si>
    <t>COMBI  SF  PLUS</t>
  </si>
  <si>
    <t>HELABAC FLUESSIG ŚR.PRZEDŁ.TRWAŁOŚĆ</t>
  </si>
  <si>
    <t>MARYNATA LAFINESS CLASSIK RED</t>
  </si>
  <si>
    <t>PREPARAT SL 10 III E</t>
  </si>
  <si>
    <t>SKROBIA KUKURYDZIANA MODYF. E 1422</t>
  </si>
  <si>
    <t>PAPRYKA CZERWONA GRYS 3X3</t>
  </si>
  <si>
    <t>AVO ACTIVE PREPARAT DO MOCZENIA JELIT</t>
  </si>
  <si>
    <t>MARYNATA CONCERTO E O SPRAY 03.14.023.01</t>
  </si>
  <si>
    <t>MARYNATA LAFINESS RED GARLICNIE</t>
  </si>
  <si>
    <t>BŁONNIK WF 200</t>
  </si>
  <si>
    <t>PROTOGEL 400</t>
  </si>
  <si>
    <t>BIAŁKO ZWIERZĘCE 95</t>
  </si>
  <si>
    <t>AROMAT B-FLAVOUR SZYNKOWY RARYTAS</t>
  </si>
  <si>
    <t>BŁONNIK PSZENNY WF 2000</t>
  </si>
  <si>
    <t>MARYNATA  MIODOWA BBQ   A 110914</t>
  </si>
  <si>
    <t>HAM-P-15-61</t>
  </si>
  <si>
    <t>SELCHFLEISCH 70 42-52125N/2</t>
  </si>
  <si>
    <t>PROMASOL M002</t>
  </si>
  <si>
    <t>B-HARMONY PARÓWKA TRAD. BJ MPR 565</t>
  </si>
  <si>
    <t>PROMASOL M450</t>
  </si>
  <si>
    <t>EMULGATOR GLICERYDOWY DAN</t>
  </si>
  <si>
    <t>AROMAT PIEPRZU CZARNEGO GF</t>
  </si>
  <si>
    <t>WĘDZONKA COMBI 70 PLUS 2</t>
  </si>
  <si>
    <t>WODOROTLENEK SODU 50%</t>
  </si>
  <si>
    <t>ROZTWÓR PIROSIARCZYNU SODU 2,5%</t>
  </si>
  <si>
    <t>ROZTWÓR PIROSIARCZYNU SODU 38-40%</t>
  </si>
  <si>
    <t>SAVINASE 16L TYP E</t>
  </si>
  <si>
    <t>VEROL N-90</t>
  </si>
  <si>
    <t>JAMBON SUP SN</t>
  </si>
  <si>
    <t>KLA_001_MPOM_0002</t>
  </si>
  <si>
    <t>CZOSNEK MIELONY</t>
  </si>
  <si>
    <t>PIETRUSZKA NATKA</t>
  </si>
  <si>
    <t>AROMAT DROŻDŻY</t>
  </si>
  <si>
    <t>MARYNATA BBQ MAR38196AB</t>
  </si>
  <si>
    <t>MARYNATA FRANKS RED HOT MAR38238AB</t>
  </si>
  <si>
    <t>FSK 100 (9083)</t>
  </si>
  <si>
    <t>SOLANKA BT A50 3150 D</t>
  </si>
  <si>
    <t>MARYNATA PORTO AE 0  2202605</t>
  </si>
  <si>
    <t>PROSMAK KRAK.SUCHA AROMA</t>
  </si>
  <si>
    <t>DWUOCTAN SODU</t>
  </si>
  <si>
    <t>PASTA  CZOSNKOWA</t>
  </si>
  <si>
    <t>KWAS CYTRYNOWY JEDNOWODNY E330</t>
  </si>
  <si>
    <t>POMIDOR  MIELONY</t>
  </si>
  <si>
    <t>KOLENDRA MIELONA</t>
  </si>
  <si>
    <t>AROMAT CZOSNEK W PŁYNIE</t>
  </si>
  <si>
    <t>BIAŁKO KOLAGENOWE PROWICO II</t>
  </si>
  <si>
    <t>ALIT FB KS (5678)</t>
  </si>
  <si>
    <t>BIAŁKO SUPRO EX 37 HG IP</t>
  </si>
  <si>
    <t>MAJORAN THURINGER GEREBELT 411029023</t>
  </si>
  <si>
    <t>PIETRUSZKA SUSZONA</t>
  </si>
  <si>
    <t>BIAŁKO INWEX 950</t>
  </si>
  <si>
    <t>PIEPRZ CZARNY ŁAMANY 630/1000</t>
  </si>
  <si>
    <t>BRINEAID NEW LINE  6131PL</t>
  </si>
  <si>
    <t>ALMI FRISCH X</t>
  </si>
  <si>
    <t>MIÓD LIPOWY</t>
  </si>
  <si>
    <t>AMCOSTAT NATURAL</t>
  </si>
  <si>
    <t>PROMIX B/A</t>
  </si>
  <si>
    <t>AROMAT DYMU WĘDZ.051604</t>
  </si>
  <si>
    <t>AROMAT SMAK MIĘSA</t>
  </si>
  <si>
    <t>MARYNATA KONCENTRAT PROVENCE R</t>
  </si>
  <si>
    <t>MARYNATA LAFINES PAPRYKA II</t>
  </si>
  <si>
    <t>MARYNATA CZOSNKOWO-PIEPRZOWA L</t>
  </si>
  <si>
    <t>MARYNATA ARIZONA-KONCENTRAT</t>
  </si>
  <si>
    <t>BOROWIK SUSZONY KROJONY</t>
  </si>
  <si>
    <t>ŻURAWINA SUSZONA</t>
  </si>
  <si>
    <t>POSYPKA CZOSNKOWA</t>
  </si>
  <si>
    <t>OCET SPIRYTUSOWY 10%</t>
  </si>
  <si>
    <t>WITAFLOR 7480 N</t>
  </si>
  <si>
    <t>CEBULA MIELONA</t>
  </si>
  <si>
    <t>TEKSTUROWANE BIAŁKO SOJOWE</t>
  </si>
  <si>
    <t>PREPARAT BIAŁKOWY</t>
  </si>
  <si>
    <t>TARI P 31</t>
  </si>
  <si>
    <t>BESTATE-P</t>
  </si>
  <si>
    <t>PROMASOL M451 86-KSP518</t>
  </si>
  <si>
    <t>PIEPRZ CZARNY GRUBO MIELONY KRIO</t>
  </si>
  <si>
    <t>BŁONNIK VITACEL WF 300</t>
  </si>
  <si>
    <t>AROMAMIX MAGIC S</t>
  </si>
  <si>
    <t>AROMAT BASIC PAPRIKOSA</t>
  </si>
  <si>
    <t>MARYNATA LAFINESS BAVARESE L</t>
  </si>
  <si>
    <t>AROMAT WOŁOWINY</t>
  </si>
  <si>
    <t>STABI FRESH MAX</t>
  </si>
  <si>
    <t>BIAŁKO SANDIPRO IPP-95</t>
  </si>
  <si>
    <t>BIAŁKO KONC.UNICO SPC 200</t>
  </si>
  <si>
    <t>VERDAD N4</t>
  </si>
  <si>
    <t>PURASAL XTEND 12</t>
  </si>
  <si>
    <t>CHILI JALAPENO PŁATKI 2-3MM</t>
  </si>
  <si>
    <t>CHILLI GRYS 1-3MM</t>
  </si>
  <si>
    <t>PAPRYKA CZERWONA OSTRA A 100 Z WĘDZONKĄ</t>
  </si>
  <si>
    <t>BARWNIK ALMI KARMIN</t>
  </si>
  <si>
    <t>AROMAT SZYN.PIECZ.FB BD</t>
  </si>
  <si>
    <t>BŁONNIK UNIFIT DRY</t>
  </si>
  <si>
    <t>BIAŁKO PROCON 2000</t>
  </si>
  <si>
    <t>OLEJ SŁONECZNIKOWY 5L</t>
  </si>
  <si>
    <t>KULTURY STARTEROWE ALMI 20</t>
  </si>
  <si>
    <t>AROMAT UMAMI</t>
  </si>
  <si>
    <t>BASIC K79</t>
  </si>
  <si>
    <t>POMIDOR SUSZONY GRYS 3-4</t>
  </si>
  <si>
    <t>PŁATKI POMIDOROWE Z BAZYLIĄ I CZOSNKIEM</t>
  </si>
  <si>
    <t>SÓL SPOŻYWCZA KAMIENNA 1.4-0.4 OS</t>
  </si>
  <si>
    <t>PIROSIARCZYN SODU SPOŻYWCZY E 223</t>
  </si>
  <si>
    <t>PROSZEK SEROWY 85% ID A0043</t>
  </si>
  <si>
    <t>PIEPRZ CZARNY OTOCZKA 786201</t>
  </si>
  <si>
    <t>AROMAT TRUFLI 070501</t>
  </si>
  <si>
    <t>METANOL SYNTETYCZNY</t>
  </si>
  <si>
    <t>TRANSGLUTAMINAZA BDF PROBIND</t>
  </si>
  <si>
    <t>PAPRYKA ZIELONA GRYS 3 MM</t>
  </si>
  <si>
    <t>TEXTURECE 30000 GA SODIUM</t>
  </si>
  <si>
    <t>SÓL SPOŻYWCZA KAMIENNA 0.7-0.16</t>
  </si>
  <si>
    <t>PAPRYKA CZERWONA PŁATEK 3MM</t>
  </si>
  <si>
    <t>AROMAT SMR FB</t>
  </si>
  <si>
    <t>AROMAT BOCZKU FB</t>
  </si>
  <si>
    <t>AROMAT ZAMIENNIK F</t>
  </si>
  <si>
    <t>MIESZ.SMAK.PROAMA DO KABAN.Z/SER.CHED.</t>
  </si>
  <si>
    <t>MIESZ.SMAK.PROAROMA DO KAB.O SMAKU SALSA</t>
  </si>
  <si>
    <t>KARAGEN BENGEL DX 10102</t>
  </si>
  <si>
    <t>KARAGEN TYPA</t>
  </si>
  <si>
    <t>CARRAGEL DS-14</t>
  </si>
  <si>
    <t>MALTODEKSTRYNA</t>
  </si>
  <si>
    <t>CUKIER BIAŁY</t>
  </si>
  <si>
    <t>GLUKOZA KRYSTALICZNA</t>
  </si>
  <si>
    <t>SKROBIA ZIEMNIACZANA NATYWNA</t>
  </si>
  <si>
    <t>BŁONNIK VITALPROCEL WF400 PLUS</t>
  </si>
  <si>
    <t>VITALPROCEL WF 650</t>
  </si>
  <si>
    <t>BŁONNIK VITALPROCEL WF200 H</t>
  </si>
  <si>
    <t>WIELOFOSORAN HAMINA S</t>
  </si>
  <si>
    <t>GLUTONI M25P</t>
  </si>
  <si>
    <t>MIESZANKA STABILIZUJACA D</t>
  </si>
  <si>
    <t>ŚRODEK DO NASTRZYKU</t>
  </si>
  <si>
    <t>PREPARAT B GEL PWP</t>
  </si>
  <si>
    <t>TEXEL NATURED LT</t>
  </si>
  <si>
    <t>EMULGATOR A</t>
  </si>
  <si>
    <t>MĄKA PSZENNA TYP 500</t>
  </si>
  <si>
    <t>KWAS MLEKOWY 80%</t>
  </si>
  <si>
    <t>IZOASKORBINIAN  SODU</t>
  </si>
  <si>
    <t>CYTRYNIAN SODU</t>
  </si>
  <si>
    <t>NITRYT (AZOTYN SODU)</t>
  </si>
  <si>
    <t>GLUTAMINIAN SODU</t>
  </si>
  <si>
    <t>MLECZAN SODU SPOŻYWCZY E325</t>
  </si>
  <si>
    <t>BŁONNIK VITACEL WF-200</t>
  </si>
  <si>
    <t>KASZA MANNA</t>
  </si>
  <si>
    <t>KASZA GRYCZANA PRAŻONA CAŁA</t>
  </si>
  <si>
    <t>BUŁKA TARTA</t>
  </si>
  <si>
    <t>KASZA JĘCZMIENNA ŚREDNIA</t>
  </si>
  <si>
    <t>KASZA JĘCZMIENNA WIEJSKA</t>
  </si>
  <si>
    <t>SER ŻÓŁTY</t>
  </si>
  <si>
    <t>ASKORBINIAN SODU</t>
  </si>
  <si>
    <t>BŁONNIK VITACEL WF 600 R</t>
  </si>
  <si>
    <t>BŁONNIK VITACEL WF 400</t>
  </si>
  <si>
    <t>CHLOREK POTASU</t>
  </si>
  <si>
    <t>ŻELATYNA SPOŻYWCZA 280 BLOOM</t>
  </si>
  <si>
    <t>BŁONNIK VITACEL KF 500</t>
  </si>
  <si>
    <t>CHLOREK WAPNIA</t>
  </si>
  <si>
    <t>MLECZAN WAPNIA</t>
  </si>
  <si>
    <t>WĘGLAN PH11.5 (KARBONAT)</t>
  </si>
  <si>
    <t>BARWNIK ROSSO C</t>
  </si>
  <si>
    <t>SUPERIOR-BAZA-PREP. DO NASTRZYKU</t>
  </si>
  <si>
    <t>KWAS CYTRYNOWY MONOHYDRAT</t>
  </si>
  <si>
    <t>WITAMINA C B300</t>
  </si>
  <si>
    <t>POJEMNIK TESCO BIA.</t>
  </si>
  <si>
    <t>ALMONAT DO SZYNKI COMBI 16% FB I</t>
  </si>
  <si>
    <t>PIEPRZ BIAŁY MIELONY</t>
  </si>
  <si>
    <t>SOVAROM PIEPRZU CZARNEGO B</t>
  </si>
  <si>
    <t>PROSMAK PRZYPRAWA MEKSYKAŃSKA BEZ  MSG</t>
  </si>
  <si>
    <t>KABANOSY  TRADYCYJNE  OF NEU</t>
  </si>
  <si>
    <t>LIŚĆ LAUROWY</t>
  </si>
  <si>
    <t>PIEPRZ CZARNY MIELONY</t>
  </si>
  <si>
    <t>GAŁKA MUSZKATOŁOWA MIELONA</t>
  </si>
  <si>
    <t>GORCZYCA BIAŁA ZIARNO</t>
  </si>
  <si>
    <t>GORCZYCA MIELONA</t>
  </si>
  <si>
    <t>KMINEK MIELONY</t>
  </si>
  <si>
    <t>PIEPRZ ZIOŁOWY</t>
  </si>
  <si>
    <t>PALETA 1200X800 TRANSP.JEDNORAZ.FUMIG.</t>
  </si>
  <si>
    <t>PALETA 1200X1000 TRANSP.FUMIG.</t>
  </si>
  <si>
    <t>PIEPRZ ZIELONY ZIARNO</t>
  </si>
  <si>
    <t>PIEPRZ CZARNY ZIARNO</t>
  </si>
  <si>
    <t>ZIELE ANGIELSKIE MIELONE</t>
  </si>
  <si>
    <t>MAJERANEK SYRYLIZOWANY</t>
  </si>
  <si>
    <t>PALETA-ĆWIERĆPALETA 400X400 TEKTUROWA</t>
  </si>
  <si>
    <t>SEPARATOR 490X180 3W BIA.</t>
  </si>
  <si>
    <t>BECZKA PLAST.220L</t>
  </si>
  <si>
    <t>BECZKA PLAST.45L</t>
  </si>
  <si>
    <t>KAR.WA.382X190X43 3W SZAR.W</t>
  </si>
  <si>
    <t>MIESZANKA WARZYWNA</t>
  </si>
  <si>
    <t>PAPRYKA SŁODKA MIELONA</t>
  </si>
  <si>
    <t>CEBULA SMAŻONA PANIEROWANA</t>
  </si>
  <si>
    <t>POMIDORY SUSZONE INSTANT</t>
  </si>
  <si>
    <t>CZOSNEK SUSZONY PŁATKI</t>
  </si>
  <si>
    <t>CZOSNEK W PROSZKU</t>
  </si>
  <si>
    <t>PAPRYKA CZERWONA GRANULAT 2-4MM</t>
  </si>
  <si>
    <t>CEBULA PRAZONA PROSZEK</t>
  </si>
  <si>
    <t>CEBULA SUSZONA PŁATEK</t>
  </si>
  <si>
    <t>CZOSNEK PULPA KNOFI PUR</t>
  </si>
  <si>
    <t>PAPRYKA CZERWONA PŁATEK 2-4MM</t>
  </si>
  <si>
    <t>OREGANO MIELONE</t>
  </si>
  <si>
    <t>SÓL SPOŻYWCZA SYPKA</t>
  </si>
  <si>
    <t>AROMAT DYMOWY</t>
  </si>
  <si>
    <t>BIAŁKO CENTEX 4130 IP</t>
  </si>
  <si>
    <t>CZOSNEK GRANULOWANY</t>
  </si>
  <si>
    <t>ŚLIWKA KALIFORNIJSKA</t>
  </si>
  <si>
    <t>AROMAT PIEPRZU M</t>
  </si>
  <si>
    <t>BARWNIK KARMEL</t>
  </si>
  <si>
    <t>BRIFISOL 512 NEU</t>
  </si>
  <si>
    <t>***AROMAT B-FLAVOUR KONSERWA-MIELONKA</t>
  </si>
  <si>
    <t>AROMAT CONDIMENT D</t>
  </si>
  <si>
    <t>AROMAT DYMOWY OG</t>
  </si>
  <si>
    <t>AROMAT WEDZONKA</t>
  </si>
  <si>
    <t>MARYNATA BRAVA K</t>
  </si>
  <si>
    <t>***MARYNATA GRILSTEAK K</t>
  </si>
  <si>
    <t>MARYNATA LAFINESS CLASSIK 8091 00</t>
  </si>
  <si>
    <t>MARYNATA LAFINESS KRAUTER ZIOLOWA 5609 0</t>
  </si>
  <si>
    <t>MARYNATA LAFINESS ARIZONA 8751 02</t>
  </si>
  <si>
    <t>MARYNATA LAFINESS RED CHILLI 8088 00</t>
  </si>
  <si>
    <t>MARYNATA HONEY 3549 00</t>
  </si>
  <si>
    <t>EKSTRAKT DROŻDŻOWY MAXAROME SELECT P.</t>
  </si>
  <si>
    <t>BIAŁKO SCANPRO TC 70</t>
  </si>
  <si>
    <t>BŁONNIK VIP 100</t>
  </si>
  <si>
    <t>PANIER RUSK DYR</t>
  </si>
  <si>
    <t>POSYPKA DEKORACYJNA DEKO</t>
  </si>
  <si>
    <t>POMIDORY SUSZONE, 10 MM</t>
  </si>
  <si>
    <t>MARYNATA ZIELONA KOMBI-R676 CK</t>
  </si>
  <si>
    <t>OLEJ RZEPAKOWY IBC</t>
  </si>
  <si>
    <t>BIAŁKO SCANCEL A95</t>
  </si>
  <si>
    <t>TAŚMA MASZ.48X990 KAUCZUK PROM.</t>
  </si>
  <si>
    <t>***SUCHY LÓD PJ ST</t>
  </si>
  <si>
    <t>LÓD TECHNOLOGICZNY</t>
  </si>
  <si>
    <t>***ZRĘBKI WĘDZ.BUK</t>
  </si>
  <si>
    <t>KLOCKI WĘDZ.8X8X90</t>
  </si>
  <si>
    <t>SÓL SPOŻYWCZA KAMIENNA 0.7-0.16 B/ZBRYL.</t>
  </si>
  <si>
    <t>***OSPOLIAM.FI10BIAŁY MAT PERŁA FI36/102</t>
  </si>
  <si>
    <t>***SIATKA 12/24/3ER-4 BIAŁA</t>
  </si>
  <si>
    <t>SIATKA20/3/EB SOFTx2 BIAŁA</t>
  </si>
  <si>
    <t>SZNUREK BC-800 BIAŁY</t>
  </si>
  <si>
    <t>KLA_001_MPOM_0009</t>
  </si>
  <si>
    <t>SIATKA 26/3/EB SOFT BIAŁY</t>
  </si>
  <si>
    <t>SZNUREK POLIPROPYLENOWY 3000 TEX BIAŁY</t>
  </si>
  <si>
    <t>***OSŁONKA ROŚLINNA ŻELOWA CZERWONA</t>
  </si>
  <si>
    <t>SIATKA 24/5/CB SOFT X2 BIAŁY</t>
  </si>
  <si>
    <t>SIATKA STRING 18/10/9 G3 JUTA</t>
  </si>
  <si>
    <t>SIATKA STRING 22/10/3 1-G SOFT JUTA</t>
  </si>
  <si>
    <t>SIATKA 200X36 EXTRA ŁATWOZDEJMOWALNA</t>
  </si>
  <si>
    <t>SIATKA 30/3/EB BIAŁY</t>
  </si>
  <si>
    <t>***FOL.550/0,06 PÓŁREKAW</t>
  </si>
  <si>
    <t>***ARKUSZ FOLIOWY PE5000X10000 NIEBIESKI</t>
  </si>
  <si>
    <t>ARKUSZ FOL.130X110/0.06</t>
  </si>
  <si>
    <t>KLA_001_MPOM_0005</t>
  </si>
  <si>
    <t>***REKLAMÓWKA 24X45 NIEB.</t>
  </si>
  <si>
    <t>KLA_001_MPOM_0007</t>
  </si>
  <si>
    <t>KLA_001_MPOM_0003</t>
  </si>
  <si>
    <t>KLIPSY 18-07/5X1.75 L</t>
  </si>
  <si>
    <t>KLA_001_MPOM_0008</t>
  </si>
  <si>
    <t>KLIPSY 18-09/5X2.00 L</t>
  </si>
  <si>
    <t>KLIPSY 18-12/5X2.20L</t>
  </si>
  <si>
    <t>KLIPSY S8744 POLY CLIP</t>
  </si>
  <si>
    <t>PETELKI TW.SZTUCZNE 20-100 POLY CLIP</t>
  </si>
  <si>
    <t>***KLIPSY Z321 SP</t>
  </si>
  <si>
    <t>KLIPSY 18-09/5X1.75</t>
  </si>
  <si>
    <t>KLIPSY 18-13/5X2.50 L</t>
  </si>
  <si>
    <t>KLIPSY 18-09/5X2  PE</t>
  </si>
  <si>
    <t>KLIPSY 07-175L</t>
  </si>
  <si>
    <t>KLIPSY 12-200L</t>
  </si>
  <si>
    <t>KLIPSY 09-200L</t>
  </si>
  <si>
    <t>KLIPSY 18-07/5X1,75 ALPINA</t>
  </si>
  <si>
    <t>KLIPSY 230 BT</t>
  </si>
  <si>
    <t>PĘTELKI BIAŁE ALPINA</t>
  </si>
  <si>
    <t>PĘTELKI 20-100 POLY CLIP CZER.</t>
  </si>
  <si>
    <t>PĘTELKI 20-100 POLY CLIP NIEB.</t>
  </si>
  <si>
    <t>SZNUREK DO WIĄZAŁKI BIA/CZER.</t>
  </si>
  <si>
    <t>SIATKA TSN 16/4/8 G-3 BIAŁY</t>
  </si>
  <si>
    <t>WKŁAD ABSORB.112X167 MG 75L</t>
  </si>
  <si>
    <t>KLIPSY 18-09/5X2 SZPULE</t>
  </si>
  <si>
    <t>***KLIPSY 18-07/5X1.75 SZPULE</t>
  </si>
  <si>
    <t>PĘTELKI 25-100 BIAŁY</t>
  </si>
  <si>
    <t>SZNUREK WĘDLINIARSKI BIA/NIEB.</t>
  </si>
  <si>
    <t>***WOR.TRMK 650X250 GR75 Z/TAŚ.</t>
  </si>
  <si>
    <t>SIATKA WĘDL.30/10/6/S (1G) BIA.</t>
  </si>
  <si>
    <t>SZNUREK POLIPROPYLENOWY</t>
  </si>
  <si>
    <t>SZNUREK BAWEŁNIANY BIAŁO-CZERWONY</t>
  </si>
  <si>
    <t>SZNUREK GUMOWY</t>
  </si>
  <si>
    <t>SIATKA 180/20 CLAS.MINUS EASY NET BI</t>
  </si>
  <si>
    <t>SIATKA 46/29/8 BIA.</t>
  </si>
  <si>
    <t>SIATKA 46/29/8 CZER.</t>
  </si>
  <si>
    <t>SZNUREK WĘDLINIARSKI NIEB.</t>
  </si>
  <si>
    <t>SZNUREK WĘDLINIARSKI ZIEL.</t>
  </si>
  <si>
    <t>SZNUREK WĘDLINIARSKI BIAŁY</t>
  </si>
  <si>
    <t>SZNUREK WĘDLINIARSKI ŻÓŁTY</t>
  </si>
  <si>
    <t>SZNUREK WĘDLINIARSKI BIA/CZER.</t>
  </si>
  <si>
    <t>SIATKA 46/29/8 NIEB.</t>
  </si>
  <si>
    <t>SIATKA 180/9 BIG NET</t>
  </si>
  <si>
    <t>KRAWAT BEZBARWNY</t>
  </si>
  <si>
    <t>FOL.PET/PVDC/PE/PEEL56X520KABAN.Z/BEK.DP</t>
  </si>
  <si>
    <t>FOL.APET/PE/PEEL 250X522</t>
  </si>
  <si>
    <t>***SIATKA DEKORACYJNA DO WĘDLIN</t>
  </si>
  <si>
    <t>***SIATKA STRING 220\10\9\CB KREMOW</t>
  </si>
  <si>
    <t>***SIATKA 180 HL2</t>
  </si>
  <si>
    <t>***SIATKA 15 SQR-45 MR-RA 1 UK</t>
  </si>
  <si>
    <t>SIATKA 220X32</t>
  </si>
  <si>
    <t>SIATKA STRING 16/6/20G-2 BIAŁY</t>
  </si>
  <si>
    <t>***ET67X90BIZERBA KABANOS 280GKRAKUS JMD</t>
  </si>
  <si>
    <t>***ET175X75 KABANOS BANDEROLA KRAKUS JMD</t>
  </si>
  <si>
    <t>***ET94X78GOLONKA DO PIECZ MORLINYRND</t>
  </si>
  <si>
    <t>***ET80X155MIĘSO MIEL.Z ŁOPATKI MORL.RND</t>
  </si>
  <si>
    <t>***ET90X50PRZEKĄSKA LUKS.WĘDZONA KRAKUS</t>
  </si>
  <si>
    <t>***ET68X68SCHAB WP PLASTRY  PRZÓD JMD</t>
  </si>
  <si>
    <t>***ET90X130PARÓWKI PREM250G-CHWILA SMAKU</t>
  </si>
  <si>
    <t>***ET90X120KABANOSIKI FINE FOOD-MACRO</t>
  </si>
  <si>
    <t>ET.80X60 PARÓWKI JAPONIA 2,25KG-DROŻDŻ.</t>
  </si>
  <si>
    <t>ET.80X60 PARÓWKI JAPONIA 7,875KG-DROŻDŻ.</t>
  </si>
  <si>
    <t>***ET.78X148,5 MORLINY KIEŁBASA BIAŁA</t>
  </si>
  <si>
    <t>***ET85X68,5MORLINY FRANK.HOT CHILI TESC</t>
  </si>
  <si>
    <t>***ET85X68,5FRANK.CLASSIC TESCO(MORLINY)</t>
  </si>
  <si>
    <t>***ET85X68,5FRANK.Z SEREM TESCO(MORLINY)</t>
  </si>
  <si>
    <t>***ET52X85FRANK.CLASSIC450G GRIL.Z TESCO</t>
  </si>
  <si>
    <t>***ET52X85FRAN.Z SEREM450G GRILL Z TESCO</t>
  </si>
  <si>
    <t>***ET65X42 LIDL CZ/SK VEPR.PECE.B/K-320G</t>
  </si>
  <si>
    <t>***ET65X42LID.CZ/SK VP.KR.B/K750G VCELKU</t>
  </si>
  <si>
    <t>***ET65X42LIDL CZ/SK VEPR.KRKOV.B/K-375G</t>
  </si>
  <si>
    <t>***ET77X50LID.CZ/SK VEPR.KRK.750G PL.Z/K</t>
  </si>
  <si>
    <t>***ET65X42 LIDL CZECHY VPR.PECE B/K-320G</t>
  </si>
  <si>
    <t>***ET77X50LIDL CZECH  VEPROVE RIZKY-450G</t>
  </si>
  <si>
    <t>***ET77X50LIDL CZECH VEPROVE PECE B/K -3</t>
  </si>
  <si>
    <t>***ET77X50LIDL CZECH VEPROVE KYTA B/K-1K</t>
  </si>
  <si>
    <t>***ET77X50LIDL CZECH VP.KR B/K750GV CELK</t>
  </si>
  <si>
    <t>***ET119X69LIDL MIĘSO GARM.WP-WŁ500G TYŁ</t>
  </si>
  <si>
    <t>***ET50X77MLETE MAS.Z PLIEC500G LIDL SŁO</t>
  </si>
  <si>
    <t>***ET95X110FROZEN PORK KIDNEYS  NERKI MR</t>
  </si>
  <si>
    <t>***ET100X148BOCZEK ZKOLOROWYM PIEPRZEM K</t>
  </si>
  <si>
    <t>***ET.85X250 SZYN.KONSERWOWA 2,5KG MOR</t>
  </si>
  <si>
    <t>***ET.55X84,5 PODWAWELSKA WURST 520G</t>
  </si>
  <si>
    <t>***SZNUREK DO WIĄZAŁKI BIAŁO-CZERW.</t>
  </si>
  <si>
    <t>ET.TRMP.74X105 K.BIAŁA Z SZYN.MAP KW T</t>
  </si>
  <si>
    <t>ET.TRMP.72X102 FRANK.MAP MOR PL/GB T</t>
  </si>
  <si>
    <t>ET.OZDP.50X60 BOCZ.WĘDZ.PARZ.MOR P</t>
  </si>
  <si>
    <t>ET.TRMP.72X102 ŚLĄZERKI KLAS.T</t>
  </si>
  <si>
    <t>ET.TRMP.72X102 ŚLĄZERKI SER/POMID.T</t>
  </si>
  <si>
    <t>ET.TRMP.75X99 KABAN.Z/BEK.KRA T</t>
  </si>
  <si>
    <t>ET.TRMP.58X110 BOCZ.WĘDZ.PARZ.BAR RO T</t>
  </si>
  <si>
    <t>ET.OZDP.58X110 BOCZ.WĘDZ.PARZ.BAR RO P</t>
  </si>
  <si>
    <t>ET.OZDP.58X110 BOCZ.WĘDZ.PARZ.BAR LT T</t>
  </si>
  <si>
    <t>ET.OZDP.58X110 BOCZ.WĘDZ.PARZ BAR LT P</t>
  </si>
  <si>
    <t>PĘTELKI TW. SZTUCZNE</t>
  </si>
  <si>
    <t>***OPASKA KABLOWA 190X4.8</t>
  </si>
  <si>
    <t>WKŁAD ABSORB.KP 90X130</t>
  </si>
  <si>
    <t>WKŁAD ABSORB.CZARNY 100X160</t>
  </si>
  <si>
    <t>WKŁAD ABSORB MP 80X120</t>
  </si>
  <si>
    <t>WKŁAD ABSORB.CZARNY 150X200</t>
  </si>
  <si>
    <t>WKŁAD ABSORB MP 4000 80X120</t>
  </si>
  <si>
    <t>WKŁAD ABSORB MP 4000 120X160</t>
  </si>
  <si>
    <t>WKŁAD ABSORPCYJNY MG-40S87X132 BIAŁY</t>
  </si>
  <si>
    <t>PERGAMIN DO PORCJOMATU DUŻA GILZA</t>
  </si>
  <si>
    <t>WKŁAD ABSORB.CZARNY 100X200</t>
  </si>
  <si>
    <t>WKŁAD ABSORB.110X150 KP-MP4000</t>
  </si>
  <si>
    <t>***WKŁAD ABSORB.CZARNY 112X167 ZAMKNIĘTY</t>
  </si>
  <si>
    <t>WKŁAD ABSORB.CZARNY 90X130</t>
  </si>
  <si>
    <t>BANDAŻ NA KOŚCI 250MM/90MIC.</t>
  </si>
  <si>
    <t>WKŁAD ABSORB.MP8000 90X130</t>
  </si>
  <si>
    <t>WKŁAD ABSORB.CELULOZA 100X120</t>
  </si>
  <si>
    <t>PAPIER DO ŻEBEREK</t>
  </si>
  <si>
    <t>KAR 377X187X120 D KRAKUS</t>
  </si>
  <si>
    <t>PRZEKŁADKA 160X240 PORKLAND</t>
  </si>
  <si>
    <t>PRZEKŁADKA 330X210 3W</t>
  </si>
  <si>
    <t>PRZEKŁADKA 530X100 SZARA</t>
  </si>
  <si>
    <t>PRZEKŁADKA 115X100 SZARA</t>
  </si>
  <si>
    <t>***KAR.326X247X166  D KASZ. 4,8  JMD</t>
  </si>
  <si>
    <t>KARTONETKA 207X464 ŻEBERKA PIECZONE BBQ</t>
  </si>
  <si>
    <t>***KARTONETKA 207X464 ŻEB.MQ</t>
  </si>
  <si>
    <t>***PRZEKŁADKA 409X561 STEND</t>
  </si>
  <si>
    <t>***PRZEKŁADKA 549X305 BLOKADA STEND</t>
  </si>
  <si>
    <t>PRZEKŁADKA 39X570 3 W LISTWA CENOWA</t>
  </si>
  <si>
    <t>KĄTOWNIK OCHRONNY PLASTIKOWY</t>
  </si>
  <si>
    <t>KARTONETKA 207X464 ŻEB.VRS</t>
  </si>
  <si>
    <t>KARTONETKA 192X100X61 POLICZKI VRS</t>
  </si>
  <si>
    <t>***KARTON150X235 SZTUKA MIĘSA MORLINY</t>
  </si>
  <si>
    <t>***PALBOX 1200X1000X580 PLAST.KOL.PROD.</t>
  </si>
  <si>
    <t>***KLEJ SI 5000 GRANULAT</t>
  </si>
  <si>
    <t>OPASKA ZACISKOWA 300X4.8</t>
  </si>
  <si>
    <t>***PRZEKŁ.432X183 BIGOWANA</t>
  </si>
  <si>
    <t>NAROŻNIK SZARY</t>
  </si>
  <si>
    <t>PALETA CHEP 1200X1000 PLASTIK.</t>
  </si>
  <si>
    <t>PRZEKŁADKA 425X325 3W</t>
  </si>
  <si>
    <t>KARATOWNICA 420X325</t>
  </si>
  <si>
    <t>***PRZEKŁADKA 370X270 3W</t>
  </si>
  <si>
    <t>***PRZEKŁAKA 370X370 3W</t>
  </si>
  <si>
    <t>***PRZEKŁADKA 375X245 3W</t>
  </si>
  <si>
    <t>***PRZEKŁADKA 440X240 3W</t>
  </si>
  <si>
    <t>PRZEKŁADKA 513X305 DO KART.108</t>
  </si>
  <si>
    <t>***NAROŻNIK TEKTUROWY 100X100</t>
  </si>
  <si>
    <t>NAROŻNIK 1300X300</t>
  </si>
  <si>
    <t>PRZEKŁADKA 1510X120</t>
  </si>
  <si>
    <t>POJEMNIK PERF.PROD.</t>
  </si>
  <si>
    <t>POJEMNIK A20 ROZBIOROWY CZER.PROD.</t>
  </si>
  <si>
    <t>POKRYWA NA POJEMNIK A20 PROD.</t>
  </si>
  <si>
    <t>POJEMNIK SITA PROD.</t>
  </si>
  <si>
    <t>PAPIER NA MIĘSO WP.POPULARNE 250G</t>
  </si>
  <si>
    <t>GUMKI RECEPTURKI 60</t>
  </si>
  <si>
    <t>KLEJ SI 5000</t>
  </si>
  <si>
    <t>TAŚMA MASZ.50X990 SAMOPRZ.</t>
  </si>
  <si>
    <t>KLA_001_MPOM_0010</t>
  </si>
  <si>
    <t>TAŚMA 50X66 SAMOPRZ.Z NUMEREM IW</t>
  </si>
  <si>
    <t>TAŚMA RĘCZ.POLIP PP 9X50MM 4000M BIAŁA</t>
  </si>
  <si>
    <t>***KLEJ PERFORMA GTS</t>
  </si>
  <si>
    <t>TAŚMA RĘCZ.ZATRZYMANE PRZEZ KJ</t>
  </si>
  <si>
    <t>TAŚMA 25X60 APLA KLEJĄCA CZARNA</t>
  </si>
  <si>
    <t>TAŚMA RĘCZ.50X66 SAMOPRZ.ŻÓŁTY LOGO AX</t>
  </si>
  <si>
    <t>TAŚMA 25X60 KLEJĄCA CZERWONA</t>
  </si>
  <si>
    <t>TAŚMA RĘCZ.25X60 KLEJĄCA NIEB.</t>
  </si>
  <si>
    <t>TAŚMA 25X60 KLEJĄCA POMARAŃCZOWA</t>
  </si>
  <si>
    <t>TAŚMA 25X60 APLA KLEJACA ZIELONA</t>
  </si>
  <si>
    <t>TAŚMA 25X60 ŻÓŁTA APLA</t>
  </si>
  <si>
    <t>***TAŚMA RĘCZ.ZATRZYMANE DO BADAŃ</t>
  </si>
  <si>
    <t>TAŚMA 48X60 KLEJĄCA POMARAŃCZOWA</t>
  </si>
  <si>
    <t>***TAŚMA TERM.V-AR-BK-55X1600 CZARNA</t>
  </si>
  <si>
    <t>***TAŚMA TERM.V-WR1-UW-55X1100 BIAŁA</t>
  </si>
  <si>
    <t>TAŚMA MASZ.48X990 SAMOPRZ.CZER.IW</t>
  </si>
  <si>
    <t>***REKLAMÓWKA 24/45 ZIEL.</t>
  </si>
  <si>
    <t>***TAŚMA TERMOTRANSF.WOSK 60X4500</t>
  </si>
  <si>
    <t>***REKLAMÓWKA 24X45 ZIEL.</t>
  </si>
  <si>
    <t>PALETA-ĆWIERĆPALETA 600X400 TEKTUROWA</t>
  </si>
  <si>
    <t>PALETA 1200X1000 DREWNIANA</t>
  </si>
  <si>
    <t>PALETA 1200X800 JEDNORAZ.</t>
  </si>
  <si>
    <t>PALETA 1200X800 JEDNORAZOWA PLASTIKOW</t>
  </si>
  <si>
    <t>PALETA 1200X800 DREW.JEDNORAZ.LOG.</t>
  </si>
  <si>
    <t>PALETA 1200X1000 DREW.JEDNORAZ.LOG.</t>
  </si>
  <si>
    <t>PALETA 1200X1000 PLAST.AŻUR.LOG.</t>
  </si>
  <si>
    <t>PALETA 1200X800 PLAST.H1 LOG.</t>
  </si>
  <si>
    <t>PALETA 1200X800 DREW.EURO LOG.</t>
  </si>
  <si>
    <t>CHOINKA PLASTIKOWA</t>
  </si>
  <si>
    <t>PALBOX PRODUKCYJNY</t>
  </si>
  <si>
    <t>PRZEKŁADKA DO MROŻENIA PROD.</t>
  </si>
  <si>
    <t>PLOMBA BUTELKOWA POLS,AL</t>
  </si>
  <si>
    <t>POKRYWA DO PALBOX PROD.</t>
  </si>
  <si>
    <t>PALBOX 1200X1000X790 DOLAV ZIEL.LOG.</t>
  </si>
  <si>
    <t>PALETA 600X400 PLAST.CHEP LOG.</t>
  </si>
  <si>
    <t>PALETA CHEP 600X400 PLASTIK.</t>
  </si>
  <si>
    <t>PALETA 1200X800 DREW.EURO CHEP LOG.</t>
  </si>
  <si>
    <t>PALBOX 1200X1000X650 PLAST.AŻUR.KOL.PROD</t>
  </si>
  <si>
    <t>***PALBOX 1200X1000X790 SARIA SZAR.</t>
  </si>
  <si>
    <t>PALETA DREWNIANA 400X600</t>
  </si>
  <si>
    <t>***PALETA 400X400X150DREWNIANA JEDNORAZ.</t>
  </si>
  <si>
    <t>PALETA 1200X800 CHEP DREW.FUMIG.</t>
  </si>
  <si>
    <t>PALETA 1200X1000 PLAST.LOG.</t>
  </si>
  <si>
    <t>PATYCZKI DO SZASZŁYKÓW</t>
  </si>
  <si>
    <t>***TAŚMA TERMOTRANSF.WOSK.95X450</t>
  </si>
  <si>
    <t>BĘBEN TEKT.ZAMYK.</t>
  </si>
  <si>
    <t>KLA_023_SUROW_A</t>
  </si>
  <si>
    <t>JELICIARNIA</t>
  </si>
  <si>
    <t>ROZBIÓR WP.MAC.</t>
  </si>
  <si>
    <t>ROZBIÓR WP.</t>
  </si>
  <si>
    <t>UZYSK MIĘŚNI SZYNKOWYCH KL.E</t>
  </si>
  <si>
    <t>***WYKRAW.PRZODKA STAND.</t>
  </si>
  <si>
    <t>***ROZBIÓR WP.KL.U</t>
  </si>
  <si>
    <t>***UZYSK MIĘŚNI SZYNKOWYCH KL.U</t>
  </si>
  <si>
    <t>***WYKRAW.PRZODKA KL.U</t>
  </si>
  <si>
    <t>***ROZBIÓR WP.KL.R</t>
  </si>
  <si>
    <t>***UZYSK MIĘŚNI SZYNKOWYCH KL.R</t>
  </si>
  <si>
    <t>***WYKRAW.PRZODKA KL.R</t>
  </si>
  <si>
    <t>***ROZBIÓR WP.KL.O</t>
  </si>
  <si>
    <t>***ROZBIÓR WP.KL.S</t>
  </si>
  <si>
    <t>***UZYSK MIĘŚNI SZYNKOWYCH KL.S</t>
  </si>
  <si>
    <t>***WYKRAW.PRZODKA KL.S</t>
  </si>
  <si>
    <t>***ROZBIÓR WP.KL.A</t>
  </si>
  <si>
    <t>***UZYSK MIĘŚNI SZYNKOWYCH KL.A</t>
  </si>
  <si>
    <t>***ROZBIÓR WP.KL.C</t>
  </si>
  <si>
    <t>***ROZBIÓR WP.KL.D</t>
  </si>
  <si>
    <t>***ROZBIÓR WP.KL.U,R,O,A,C,D</t>
  </si>
  <si>
    <t>***DWUTLENEK WĘGLA CO2 CIEKŁY</t>
  </si>
  <si>
    <t>BECZKA PLAST.</t>
  </si>
  <si>
    <t>EU TRYMING 70/30 PBX CH ST2</t>
  </si>
  <si>
    <t>M. Z GOLONKI</t>
  </si>
  <si>
    <t xml:space="preserve">Polędwiczka </t>
  </si>
  <si>
    <t>2796/2768/1827</t>
  </si>
  <si>
    <t>PP TŁUSZCZ WP.DR.OK20KG NB MR EŁ</t>
  </si>
  <si>
    <t>+1300</t>
  </si>
  <si>
    <t>+25600</t>
  </si>
  <si>
    <t>+200</t>
  </si>
  <si>
    <t>-1200</t>
  </si>
  <si>
    <t>PP SKÓRY B/TŁ.PBX1</t>
  </si>
  <si>
    <t>PP MŚ.CZTER.N/OBR.Z/NAP.PBX1</t>
  </si>
  <si>
    <t>SŁONINA PRZEM.B/S.USR PBX1</t>
  </si>
  <si>
    <t>EU M-SO WP.DR.KL1 CIE.Z SZYN.PBX1</t>
  </si>
  <si>
    <t>M-SO WP.KL3 ODŚC.80/20 PBX1</t>
  </si>
  <si>
    <t>PL SCH.B/K/TŁ.OK15KGWOR KT</t>
  </si>
  <si>
    <t>EU SCH.B/K/TŁ.OK15KGWOR KT</t>
  </si>
  <si>
    <t>PL MŚ.PÓŁBŁ.ODBŁ.JAS.CH US</t>
  </si>
  <si>
    <t>PL MŚ.PÓŁBŁ.ODBŁ.JAS.PBX US ST</t>
  </si>
  <si>
    <t>PP MŚ.PÓŁBŁ.ODBŁ.JAS.US</t>
  </si>
  <si>
    <t>PP MŚ.PÓŁBŁ.ODBŁ.JAS.PBX US ST</t>
  </si>
  <si>
    <t>PL SZYN.4D OK15KGWOR KT ST</t>
  </si>
  <si>
    <t>PL SZYN.4D 1STVAC OK15KGKT PIP</t>
  </si>
  <si>
    <t>PL MŚ.BRZUCH.N/OBR.PBX1</t>
  </si>
  <si>
    <t>PL MŚ.BRZUCH.N/OBR.PBX2</t>
  </si>
  <si>
    <t>EU MŚ.BRZUCH.N/OBR.PBX1</t>
  </si>
  <si>
    <t>EU MŚ.BRZUCH.N/OBR.PBX2</t>
  </si>
  <si>
    <t>PL MŚ.PÓŁBŁ.ODBŁ.JAS.</t>
  </si>
  <si>
    <t>EU MŚ.PÓŁBŁ.ODBŁ.JAS.</t>
  </si>
  <si>
    <t>PP MŚ.PÓŁBŁ.ODBŁ.JAS.</t>
  </si>
  <si>
    <t>PP MŚ.PÓŁBŁ.ODBŁ.JAS.PBX ST1</t>
  </si>
  <si>
    <t>PP MŚ.PÓŁBŁ.ODBŁ.JAS.PBX ST2</t>
  </si>
  <si>
    <t>PL MŚ.PÓŁBŁ.ODBŁ.JAS.ROZP1</t>
  </si>
  <si>
    <t>PL MŚ.PÓŁBŁ.ODBŁ.JAS.ROZP2</t>
  </si>
  <si>
    <t>ŁOP.4D OK20KG PB MR ZAK</t>
  </si>
  <si>
    <t>PL KARK.B/K.OK15KGWOR KT</t>
  </si>
  <si>
    <t>EU KARK.B/K.OK15KGWOR KT</t>
  </si>
  <si>
    <t>CZ KARK.B/K.OK15KGWOR KT</t>
  </si>
  <si>
    <t>PL KARK.B/K/KOR/WAR.OK20KGWOR KT MR ST</t>
  </si>
  <si>
    <t>PP ŻEB.PŁAT.Z/CH.OK4.5KGMAPOK4.5KGKTBIED</t>
  </si>
  <si>
    <t>ŻEB.POZ.PŁAT.OK10KGWOR KT MR VN</t>
  </si>
  <si>
    <t>ŻEB.POZ.PŁAT.OK10KGWOR KT MR EX</t>
  </si>
  <si>
    <t>PL ŻEB.POZ.PŁAT.OK10KGWOR KT DMR</t>
  </si>
  <si>
    <t>ŻEB.BOCZ.8CM PBX1</t>
  </si>
  <si>
    <t>ŻEB.BOCZ.8CM PBX2</t>
  </si>
  <si>
    <t>PL ŻEB.PIE.OK15KGWOR KT</t>
  </si>
  <si>
    <t>EU ŻEB.PIE.OK15KGWOR KT</t>
  </si>
  <si>
    <t>CZ ŻEB.PIE.OK15KGWOR KT</t>
  </si>
  <si>
    <t>PL ŻEB.BOCZ.10.5CM 796-899G PBX1</t>
  </si>
  <si>
    <t>PL ŻEB.BOCZ.10.5CM 796-899G PBX2</t>
  </si>
  <si>
    <t>PL ŻEB.PŁAT.B/CH.PBX1</t>
  </si>
  <si>
    <t>PL ŻEB.PŁAT.B/CH.OK15KGWOR KT</t>
  </si>
  <si>
    <t>PL ŻEB.PŁAT.B/CH.PBX2</t>
  </si>
  <si>
    <t>PL ŻEB.PŁAT.B/CH.CIĘ.OK15KGWOR KT</t>
  </si>
  <si>
    <t>PL ŻEB.PŁAT.B/CH.CIĘ.10CM OK20KGNB MR ST</t>
  </si>
  <si>
    <t>PL ŻEB.PŁAT.B/CH.CIĘ.10CM OK20KG NB DMR</t>
  </si>
  <si>
    <t>PL ŻEB.SCH.600-750G PBX RAS1</t>
  </si>
  <si>
    <t>PL ŻEB.SCH.600-750G PBX RAS2</t>
  </si>
  <si>
    <t>PL ŻEB.BOCZ.600-750 PBX RAS1</t>
  </si>
  <si>
    <t>PL ŻEB.BOCZ.600-750 PBX RAS2</t>
  </si>
  <si>
    <t>PL ŻEB.SCH.OK500KG PBX SUBWAY1</t>
  </si>
  <si>
    <t>PL ŻEB.SCH.OK500KG PBX SUBWAY2</t>
  </si>
  <si>
    <t>PL ŻEB.BOCZ.OK500KG PBX SUBWAY1</t>
  </si>
  <si>
    <t>PL ŻEB.BOCZ.OK500KG PBX SUBWAY2</t>
  </si>
  <si>
    <t>PL ŻEB.PASKI EXT.2STMAP OK12KGKT MAKR</t>
  </si>
  <si>
    <t>PL ŻEB.PASKI EXT.2STMAP OK12KGKT SEL</t>
  </si>
  <si>
    <t>PP ŻEB.PASKI EXT.CH</t>
  </si>
  <si>
    <t>PP ŻEB.PASKI EXT.OK3KGMAP OK6KGKT BIED</t>
  </si>
  <si>
    <t>PL POL.Z/GŁ.B/WAR.OK2KGVACOK10KGKT MR ST</t>
  </si>
  <si>
    <t>PL POL.Z/GŁ.B/W.OK2KGVAC OK10KGKT DMR</t>
  </si>
  <si>
    <t>ŚRODEK B/POL.Z/POK.MAC.CH</t>
  </si>
  <si>
    <t>PL GOL.PRZED.OK15KGWOR KT</t>
  </si>
  <si>
    <t>PL GOL.TYL.Z/M.BRZUCH.OK15KGWOR KT</t>
  </si>
  <si>
    <t>PL NOGA PRZED.KL2 OK15KGWOR KT</t>
  </si>
  <si>
    <t>USZY WP.USR PBX1</t>
  </si>
  <si>
    <t>USZY WP.USR PBX2</t>
  </si>
  <si>
    <t>PL MŚ.CZTER.N/OBR.MAX20KGWOR PJ POLM</t>
  </si>
  <si>
    <t>SKÓRY B/TŁ.CH</t>
  </si>
  <si>
    <t>SKÓRY B/TŁ.OK20KG NB MR ST</t>
  </si>
  <si>
    <t>SKÓRY B/TŁ.10KGWORKT MR EX</t>
  </si>
  <si>
    <t>SKÓRY B/TŁ.OK20KGWOR PJ JBB ST</t>
  </si>
  <si>
    <t>SKÓRY B/TŁ.PJ ST</t>
  </si>
  <si>
    <t>SKÓRY B/TŁ.CH OKT</t>
  </si>
  <si>
    <t>SKÓRY B/TŁ.OKT ST</t>
  </si>
  <si>
    <t>SKÓRY OK15KGLUZ PJ SZ</t>
  </si>
  <si>
    <t>SKÓRY B/TŁ.OK20KG NB DMR</t>
  </si>
  <si>
    <t>SKÓRY B/TŁ.10KGWOR KT DMR</t>
  </si>
  <si>
    <t>SKÓRY B/TŁ.PB RO1</t>
  </si>
  <si>
    <t>SKÓRY B/TŁ.PB RO2</t>
  </si>
  <si>
    <t>SKÓRY B/TŁ.Z SZYN.CH1</t>
  </si>
  <si>
    <t>SKÓRY B/TŁ.Z SZYN.PBX1</t>
  </si>
  <si>
    <t>SKÓRY Z SZYN.OK20KG NB MR ST</t>
  </si>
  <si>
    <t>EU SKÓRY B/TŁ.Z SZYN.USR CH</t>
  </si>
  <si>
    <t>SKÓRY Z SZYN.OK20KG NB DMR</t>
  </si>
  <si>
    <t>SKÓRY B/TŁ.Z SZYN.CH2</t>
  </si>
  <si>
    <t>SKÓRY B/TŁ.Z SZYN.PBX2</t>
  </si>
  <si>
    <t>SKÓRY B/TŁ.USR CH1</t>
  </si>
  <si>
    <t>SKÓRY B/TŁ.USR PBX1</t>
  </si>
  <si>
    <t>SKÓRY B/TŁ.USR CH2</t>
  </si>
  <si>
    <t>SKÓRY B/TŁ.USR PBX2</t>
  </si>
  <si>
    <t>PP SKÓRY B/TŁ.CH</t>
  </si>
  <si>
    <t>PP SKÓRY B/TŁ.OK20KG NB MR ST</t>
  </si>
  <si>
    <t>PP SKÓRY B/TŁ.Z SZYN.CH</t>
  </si>
  <si>
    <t>PP SKÓRY B/TŁ.Z SZYN.PBX ST1</t>
  </si>
  <si>
    <t>PP SKÓRY Z SZYN.OK15KG NB DMR</t>
  </si>
  <si>
    <t>PP SKÓRY B/TŁ.RO1</t>
  </si>
  <si>
    <t>PP SKÓRY B/TŁ.PBX2</t>
  </si>
  <si>
    <t>PP SKÓRY B/TŁ.RO2</t>
  </si>
  <si>
    <t>PP SKÓRY B/TŁ.Z SZYN.PBX ST2</t>
  </si>
  <si>
    <t>PP SKÓRY B/TŁ.Z SZYN.USR CH</t>
  </si>
  <si>
    <t>SKÓRY B/TŁ.MAC.CH</t>
  </si>
  <si>
    <t>SKÓRY B/TŁ.MAC.USR CH</t>
  </si>
  <si>
    <t>SKÓRY B/TŁ. ROZP1</t>
  </si>
  <si>
    <t>SKÓRY B/TŁ. ROZP2</t>
  </si>
  <si>
    <t>SKÓRY Z/TŁ.CH</t>
  </si>
  <si>
    <t>SKÓRY Z/TŁ.LUZ KOSZOPALETA ST</t>
  </si>
  <si>
    <t>PL SKÓRY Z/TŁ.Z SZYN.CH</t>
  </si>
  <si>
    <t>SKÓRY Z/TŁ.USR CH1</t>
  </si>
  <si>
    <t>SKÓRY Z/TŁ.USR PBX1</t>
  </si>
  <si>
    <t>SKÓRY Z/TŁ.USR CH2</t>
  </si>
  <si>
    <t>SKÓRY Z/TŁ.USR PBX2</t>
  </si>
  <si>
    <t>PP SKÓRY Z/TŁ.CH</t>
  </si>
  <si>
    <t>PP SKÓRY Z/TŁ.USR CH</t>
  </si>
  <si>
    <t>SKÓRY GRZBIET.B/TŁ.ZE SCH.CH</t>
  </si>
  <si>
    <t>SKÓRY GRZB.B/TŁ.ZE SCH.OK700KGOKT EX</t>
  </si>
  <si>
    <t>PRZODEK Z/GOL.B/PODG.MAC.CH</t>
  </si>
  <si>
    <t>POLICZEK ZEW.DCZ.CH</t>
  </si>
  <si>
    <t>POLICZEK ZEW.DCZ.OK20KGLUZ PJ ST</t>
  </si>
  <si>
    <t>PP PRZEPONA OK20KGLUZ PJ K4</t>
  </si>
  <si>
    <t>EU PODG.Z/SK.PBX1</t>
  </si>
  <si>
    <t>EU PODG.Z/SK.PBX2</t>
  </si>
  <si>
    <t>PL PODG.B/S.PBX ST1</t>
  </si>
  <si>
    <t>PL PODG.B/S.OK15KGWOR KT</t>
  </si>
  <si>
    <t>PL PODG.B/S.PBX ST2</t>
  </si>
  <si>
    <t>EU PODG.B/S.PBX1</t>
  </si>
  <si>
    <t>EU PODG.B/S.PBX2</t>
  </si>
  <si>
    <t>PL ŻEB.MOST.Z/CH.B/MP.OK500KG PBX</t>
  </si>
  <si>
    <t>EU ŻEB.MOST.Z/CH/MP.OK500KG PBX1</t>
  </si>
  <si>
    <t>EU ŻEB.MOST.Z/CH/MP.OK500KG PBX2</t>
  </si>
  <si>
    <t>PL ŻEB.MOST.Z/CH.B/CZ.MP.OK500KG PBX</t>
  </si>
  <si>
    <t>PL ŻEB.MOST.Z/CH.B/CZ.MP.OK20KGLUZPJ ST</t>
  </si>
  <si>
    <t>EU TRYMING 70/30 Z SZYN.PBX</t>
  </si>
  <si>
    <t>EU TRYMING 70/30 OK500KG PBX</t>
  </si>
  <si>
    <t>EU TRYMING 60/40 PBX ST1</t>
  </si>
  <si>
    <t>EU TRYMING 60/40 PBX ST2</t>
  </si>
  <si>
    <t>EU TRYMING 70/30 Z ŁOP.PBX</t>
  </si>
  <si>
    <t>M-SO WP.DR.KL4.CIE.CH</t>
  </si>
  <si>
    <t>***EU M-SO WP.DR.KL4 CIE.CH</t>
  </si>
  <si>
    <t>EU M-SO WP.DR.KL1 JAS.Z SZYN.PBX1</t>
  </si>
  <si>
    <t>EU M-SO WP.DR.KL1 JAS.Z SZYN.PBX2</t>
  </si>
  <si>
    <t>EU M-SO WP.DR.KL1 CIE.Z SZYN.NB MR ST</t>
  </si>
  <si>
    <t>EU M-SO WP.DR.KL1 CIE.Z SZYN.NB MR SZ</t>
  </si>
  <si>
    <t>EU M-SO WP.DR.KL1 CIE.Z SZYN.OK15KGLUZ P</t>
  </si>
  <si>
    <t>M-SO WP.KL1 CIE.Z SZYN.PBX EŁ1</t>
  </si>
  <si>
    <t>M-SO WP.KL1 CIE.Z SZYN.OK20KG PB MR EŁ</t>
  </si>
  <si>
    <t>EU M-SO WP.DR.KL1 CIE.Z SZYN.NB DMR</t>
  </si>
  <si>
    <t>EU M-SO WP.DR.KL1 CIE.Z SZYN.NB RO1</t>
  </si>
  <si>
    <t>EU M-SO WP.DR.KL1 CIE.Z SZYN.PBX2</t>
  </si>
  <si>
    <t>EU M-SO WP.DR.KL1 CIE.Z SZYN.NB RO2</t>
  </si>
  <si>
    <t>PPM-SO WP.DR.KL1 CIE.Z SZYN.OK15KGNBMRST</t>
  </si>
  <si>
    <t>PP M-SO WP.DR.KL1 CIE.Z SZYN.OK15KGNBDMR</t>
  </si>
  <si>
    <t>PP M-SO WP.DR.KL1 CIE.Z SZYN.RO1</t>
  </si>
  <si>
    <t>PP M-SO WP.DR.KL1 CIE.Z SZYN.RO2</t>
  </si>
  <si>
    <t>EU M-SO WP.DR.KL2A Z SZYN.PBX1</t>
  </si>
  <si>
    <t>EU M-SO WP.DR.KL2A Z SZYN.PBX2</t>
  </si>
  <si>
    <t>M-SO WP.KL2B PBX EŁ1</t>
  </si>
  <si>
    <t>EU M-SO WP.DR.KL2B Z SZYN.PBX1</t>
  </si>
  <si>
    <t>EU M-SO WP.DR.KL2B Z SZYN.PBX2</t>
  </si>
  <si>
    <t>EU M-SO WP.DR.KL2B USR PBX1</t>
  </si>
  <si>
    <t>EU M-SO WP.DR.KL2B USR PBX2</t>
  </si>
  <si>
    <t>EU M-SO WP.DR.KL3A Z SZYN.PBX1</t>
  </si>
  <si>
    <t>EU M-SO WP.DR.KL3A Z SZYN.PBX2</t>
  </si>
  <si>
    <t>EU M-SO WP.DR.KL4.MIZD.CH1</t>
  </si>
  <si>
    <t>EU M-SO WP.DR.KL4.MIZD.CH2</t>
  </si>
  <si>
    <t>M-SO WP.DR.KL3B Z SZYN.PBX1</t>
  </si>
  <si>
    <t>M-SO WP.DR.KL3B Z SZYN.PBX2</t>
  </si>
  <si>
    <t>M-SO WP.ODŚC.80/20 PBX1</t>
  </si>
  <si>
    <t>M-SO WP.ODŚC.80/20 PBX2</t>
  </si>
  <si>
    <t>M-SO WP.KL3 ODŚC.80/20 PBX2</t>
  </si>
  <si>
    <t>EU M-SO WP.DR.KL4 CIE.OK20KG NB MR ST</t>
  </si>
  <si>
    <t>M-SO WP.DR.KL4.CIE.OK.KG NB MR ZAK</t>
  </si>
  <si>
    <t>EU M-SO WP.DR.KL4 CIE.OK20KG NB DMR</t>
  </si>
  <si>
    <t>EU M-SO WP.DR.KL4 CIE.RO1</t>
  </si>
  <si>
    <t>EU M-SO WP.DR.KL4 CIE.RO2</t>
  </si>
  <si>
    <t>EU M-SO WP.DR.KL4 CIE.Z SZYN.CH</t>
  </si>
  <si>
    <t>EU M-SO WP.DR.KL4 CIE.Z SZYN.PBX1</t>
  </si>
  <si>
    <t>EU M-SO WP.DR.KL4 CIE.Z SZYN.USR</t>
  </si>
  <si>
    <t>EU M-SO WP.DR.KL4 CIE.Z SZYN.PBX2</t>
  </si>
  <si>
    <t>EU M-SO WP.DR.KL4 CIE.USR1</t>
  </si>
  <si>
    <t>EU M-SO WP.DR.KL4 CIE.USR2</t>
  </si>
  <si>
    <t>PP M-SO WP.DR.KL4 CIE.OK15KG NB MR ST</t>
  </si>
  <si>
    <t>PP M-SO WP.DR.KL4 CIE.PBX K4</t>
  </si>
  <si>
    <t>PP M-SO WP.DR.KL4 CIE.Z SZYN.CH</t>
  </si>
  <si>
    <t>PP M-SO WP.DR.KL4 CIE.Z SZYN.PBX ST1</t>
  </si>
  <si>
    <t>PP M-SO WP.DR.KL4 CIE.USR</t>
  </si>
  <si>
    <t>PP M-SO WP.DR.KL4 CIE.OK15KG NB DMR</t>
  </si>
  <si>
    <t>PP M-SO WP.DR.KL4 CIE.Z SZYN.PBX ST2</t>
  </si>
  <si>
    <t>PP M-SO WP.DR.KL4 CIE.Z SZYN.USR</t>
  </si>
  <si>
    <t>EU M-SO WP.DR.KL1 JAS.USR PBX1</t>
  </si>
  <si>
    <t>EU M-SO WP.DR.KL1 JAS.USR PBX2</t>
  </si>
  <si>
    <t>EU M-SO WP.DR.KL1 CIE.USR PBX1</t>
  </si>
  <si>
    <t>EU M-SO WP.DR.KL1 CIE.USR PBX2</t>
  </si>
  <si>
    <t>PP M-SO WP.DR.KL1 CIE.ZE SCH.CH</t>
  </si>
  <si>
    <t>EU M-SO WP.DR.KL4 JAS.Z SZYN.CH1</t>
  </si>
  <si>
    <t>EU M-SO WP.DR.KL4 JAS.Z SZYN.CH2</t>
  </si>
  <si>
    <t>EU M-SO DR.WP.KL4B PBX1</t>
  </si>
  <si>
    <t>EU M-SO WP.DR.KL4B PBX ST</t>
  </si>
  <si>
    <t>EU M-SO DR.WP.KL4B PBX2</t>
  </si>
  <si>
    <t>PL MOM WP.OK20KG NB MR K4</t>
  </si>
  <si>
    <t>MASKI TŁ.Z/GŁ.Z/RYJ/USZ/S.10KGKTWORMR EX</t>
  </si>
  <si>
    <t>Máscaras de carne de porco congeladas com orelhas</t>
  </si>
  <si>
    <t>MASKI TŁ.Z/GŁ/SK.OK20KGWOR KT MR</t>
  </si>
  <si>
    <t>SŁON.HANDL.B/S.OK15KGWOR KT</t>
  </si>
  <si>
    <t>TŁUSZCZ PACHW.USR PBX1</t>
  </si>
  <si>
    <t>TŁUSZCZ PACHW.USR PBX2</t>
  </si>
  <si>
    <t>TŁUSZCZ Z/SK.USR PBX1</t>
  </si>
  <si>
    <t>TŁUSZCZ Z/SK.USR PBX2</t>
  </si>
  <si>
    <t>TŁUSZCZ DR.OK20KG NB MR SZ</t>
  </si>
  <si>
    <t>TŁUSZCZ DR.Z SZYN.PBX1</t>
  </si>
  <si>
    <t>TŁUSZCZ DR.Z SZYN.PBX2</t>
  </si>
  <si>
    <t>TŁUSZCZ DR.USR PBX USRST1</t>
  </si>
  <si>
    <t>TŁUSZCZ DR.USR PBX USRST2</t>
  </si>
  <si>
    <t>TŁUSZCZ WP.DR.Z SZYN.PBX EŁ1</t>
  </si>
  <si>
    <t>SŁONINA PRZEM.B/S.USR PBX2</t>
  </si>
  <si>
    <t>SADŁO WP.PBX ST</t>
  </si>
  <si>
    <t>PL WĄTROBA OK15KGWOR KT</t>
  </si>
  <si>
    <t>SERCE OK15KGWOR KT</t>
  </si>
  <si>
    <t>OZORY OK15KGWOR KT</t>
  </si>
  <si>
    <t>***OZORY OK20KG NB MR</t>
  </si>
  <si>
    <t>OZORY N/OBR.MAX4KGVAC MAX20KGPJ POLM</t>
  </si>
  <si>
    <t>OZORY OK4KGVAC OK15KGKT</t>
  </si>
  <si>
    <t>OZORY MAX20KG PJ AGRO</t>
  </si>
  <si>
    <t>***OZORY OK20KG NB DMR</t>
  </si>
  <si>
    <t>NERKI OK15KGWOR KT</t>
  </si>
  <si>
    <t>ŻOŁĄDEK 10KGWOR KT MR EX</t>
  </si>
  <si>
    <t>ŻOŁĄDEK SOL.550G 250STBECZ.JX</t>
  </si>
  <si>
    <t>ŻOŁĄDEK 10KGWOR KT DMR EX</t>
  </si>
  <si>
    <t>***JELITO GRU.MAC.SOL.9M 3.2KGSIA.BECZ.</t>
  </si>
  <si>
    <t>JELITO GRU.PEKL.8% PBX</t>
  </si>
  <si>
    <t>JELITO CIEN.SOL.210G BL</t>
  </si>
  <si>
    <t>JELITO CIEN.MAC.SOL.210G BL</t>
  </si>
  <si>
    <t>JELITO CIEN.SOL.210G 20STSIA.BECZ.JX</t>
  </si>
  <si>
    <t>JELITO CIEN.MAC.SOL.210G 20STSIA.BECZ.</t>
  </si>
  <si>
    <t>JELITO CIEN.210G 20STPCZ.PBX ASG</t>
  </si>
  <si>
    <t>JELITO CIEN.MAC.210G 10STPCZ.1000ST PBX</t>
  </si>
  <si>
    <t>JELITO CIEN.210G 10STPCZ.1400ST PBX K4</t>
  </si>
  <si>
    <t>UPPZ KAT.3-ŚLUZ ZAKONS.K4</t>
  </si>
  <si>
    <t>PL KOŚCI SCH.WIZARD OK15KGWOR KT</t>
  </si>
  <si>
    <t>PL KOŚCI POKRZEP.OK15KGWOR KT</t>
  </si>
  <si>
    <t>PL KOŚCI SCH.CIĘ.OK600KG PBX ST</t>
  </si>
  <si>
    <t>PL KOŚCI BOCZ.OK15KGWOR KT</t>
  </si>
  <si>
    <t>PL KOŚCI OGON.PBX K4</t>
  </si>
  <si>
    <t>CHRZ.BOCZ.PBX</t>
  </si>
  <si>
    <t>PL SCH.CZ.ODK.B/TŁ.1STMAP OK15KGKT AUCH</t>
  </si>
  <si>
    <t>PL SCH.CZ.ODK.B/TŁ.1STMAP MAX20KGPJ STO</t>
  </si>
  <si>
    <t>PP SCH.CZ.ODK.B/TŁ.CH</t>
  </si>
  <si>
    <t>PL ŻEB.POZ.PŁAT.CIĘ.WĄS.OK20KG PB MR ST</t>
  </si>
  <si>
    <t>PL ŻEB.POZ.PŁAT.CIĘ.WĄS.OK20KG PB DMR</t>
  </si>
  <si>
    <t>PP ŻEB.POZ.PŁAT.CIĘ.WĄS.CH</t>
  </si>
  <si>
    <t>PP ŻEB.POZ.PŁAT.OK10KGWOR KT BIED</t>
  </si>
  <si>
    <t>PP ŻEB.POZ.PŁAT.OK5KGMAP OK10KGKT BIED</t>
  </si>
  <si>
    <t>PL KOŚCI SCH.LĘDŹW.OK10KGWOR PJ EŁ</t>
  </si>
  <si>
    <t>CHRZ.MOST.PBX</t>
  </si>
  <si>
    <t>UPPZ KAT.3-SOL.Z JELIT BECZ.</t>
  </si>
  <si>
    <t>UPPZ KAT.3-ODPAD MIESZ.KONF.</t>
  </si>
  <si>
    <t>PL MŚ.PÓŁBŁ.SMUK.N/ODBŁ.OK15KGWOR KT</t>
  </si>
  <si>
    <t>PL MŚ.CZTER.N/OBR.Z/NAP.OK15KGWORKT</t>
  </si>
  <si>
    <t>PL MŚ.CZTER.N/OBR.Z/NAP.OK20KG NB DMR</t>
  </si>
  <si>
    <t>EU MŚ.CZTER.N/OBR.Z/NAP.OK15KGWOR KT</t>
  </si>
  <si>
    <t>PL MŚ.DWUG.N/OBR.OK15KGWOR KT</t>
  </si>
  <si>
    <t>PP MŚ.CZTER.N/OBR.Z/NAP.PBX2</t>
  </si>
  <si>
    <t>MŚ.CZTER.N/OBR.Z/NAP.ROZP1</t>
  </si>
  <si>
    <t>MŚ.CZTER.N/OBR.Z/NAP.ROZP2</t>
  </si>
  <si>
    <t>PL EL.SZYN.SZWAGRA OK20KGWOR KT MR</t>
  </si>
  <si>
    <t>PL EL.SZYN.SZWAGRA OK20KGWOR KT DMR</t>
  </si>
  <si>
    <t>ELEM.SZYN.KLASYCZNA OK20KG NB MR ST</t>
  </si>
  <si>
    <t>PL ŁOP.3D OK15KGWOR KT</t>
  </si>
  <si>
    <t>PL KARK.B/K.Z/KOR/W.OK.15KGWOR KT</t>
  </si>
  <si>
    <t>***BOCZ.A ŁUS.Z/SK/CZ.PACH/MŚ.CIE.CH</t>
  </si>
  <si>
    <t>***BOCZ.AŁUS.Z/S/CZ.P/M.C.PCOK20KGNBMRST</t>
  </si>
  <si>
    <t>***PLBOCZ.A ŁUS.Z/S/CZ.P/CIE.OK20KGNBDMR</t>
  </si>
  <si>
    <t>***BOCZ.A ŁUS.Z/SK/CZ.P/MŚ.CIE.PC RO1</t>
  </si>
  <si>
    <t>***BOCZ.A ŁUS.Z/SK/CZ.P/MŚ.CIE.PC RO2</t>
  </si>
  <si>
    <t>USZY WP.KL2 USR PBX</t>
  </si>
  <si>
    <t>GŁ.WP.CAŁ.B/USZ.USR PBX1</t>
  </si>
  <si>
    <t>GŁ.WP.CAŁ.B/USZ.USR PBX2</t>
  </si>
  <si>
    <t>KK MDOM PRZT.OK15KG NB MR K3</t>
  </si>
  <si>
    <t>KK SKÓRY Z PIERSI OK15KG NB MR K2</t>
  </si>
  <si>
    <t>KK UDO B/K/S.17.5KGFOL PJ OP</t>
  </si>
  <si>
    <t>KK UDO B/K/S.DCZ.LUZPJ OK630KG OP</t>
  </si>
  <si>
    <t>KK UDO B/K/S.OK15KG NB MR K2</t>
  </si>
  <si>
    <t>LT KK PODUD.B/K.15KG NB MR SU</t>
  </si>
  <si>
    <t>CZ KK PODUD.B/K.OK15KG NB MR OP</t>
  </si>
  <si>
    <t>CZ KK PODUD.B/K.RO1</t>
  </si>
  <si>
    <t>CZ KK PODUD.B/K.RO2</t>
  </si>
  <si>
    <t>KK NOGA B/K/S.OK15KG PB MR K2</t>
  </si>
  <si>
    <t>KK PODUD.OK20KG PB MR K2</t>
  </si>
  <si>
    <t>KK PODUD.RO1</t>
  </si>
  <si>
    <t>KK PODUD.RO2</t>
  </si>
  <si>
    <t>KK UDO B/K/S.DCZ.OK15KG NB MR</t>
  </si>
  <si>
    <t>KK UDO B/K/S.DCZ.OK15KG NB DMR</t>
  </si>
  <si>
    <t>KIEŁB.KRAK.250GVAC 40ST PJ KRA SZ</t>
  </si>
  <si>
    <t>SZYN.KONS.STE.SFS 455G 34STPJ KRA SZ</t>
  </si>
  <si>
    <t>PAPRYKARZ 077 300G 72STPJ KRA SZ</t>
  </si>
  <si>
    <t>M-SO WP.DR.KL3B PEKL.1.5%</t>
  </si>
  <si>
    <t>***SCH.WĘDZ.PEKL.20%</t>
  </si>
  <si>
    <t>SKÓRY MOCZONE PEKL.45%</t>
  </si>
  <si>
    <t>PP SKÓRY MOCZONE PEKL.45%</t>
  </si>
  <si>
    <t>SKÓRY GOT.</t>
  </si>
  <si>
    <t>SKÓRY Z/TŁ.GOT.</t>
  </si>
  <si>
    <t>***KIEŁB.ŚLĄSKA 90% FES FARSZ</t>
  </si>
  <si>
    <t>M-SO WP.DR.KL1 CIE.Z SZYN.PEKL.2%</t>
  </si>
  <si>
    <t>EMULSJA SKÓRY GOT.</t>
  </si>
  <si>
    <t>***SOL.NAS.NA GRILLE</t>
  </si>
  <si>
    <t>***SOL.NAS.20% NA WĘDZONKI BIED</t>
  </si>
  <si>
    <t>POL.SOPOCKA EXT.OK500GVAC 5KGKT LIDL BG</t>
  </si>
  <si>
    <t>POL.SOPOCKA OK500GTRM OK5KGKT CAR</t>
  </si>
  <si>
    <t>***SCH.WĘDZ.PARZ.AS</t>
  </si>
  <si>
    <t>***SCH.WP.WĘDZ.PARZ.BS</t>
  </si>
  <si>
    <t>***SCH.OD SZWAGRA OK500GVAC OK4KGKT KRA</t>
  </si>
  <si>
    <t>***BAL.WĘDZ.PARZ.OK450GVAC OK4.5KGKT MOR</t>
  </si>
  <si>
    <t>***BOCZ.CARSKI 1STVAC OK15KGKT MOR EX</t>
  </si>
  <si>
    <t>***BOCZ.OKOPC.OK500GVAC 5STKT MOR EX</t>
  </si>
  <si>
    <t>***BOCZ.OKOPC.OK500GVAC OK5KGKT EX LV/EE</t>
  </si>
  <si>
    <t>BOCZ.MORL.WĘDZ.PARZ.1/2STVAC OK15KGKT</t>
  </si>
  <si>
    <t>***BOCZ.MORL.WĘDZ.PARZ.1STVAC OK10KGKT</t>
  </si>
  <si>
    <t>***BOCZ.WĘDZ.OK400GVAC  5KGKT MOR</t>
  </si>
  <si>
    <t>***BOCZ.WĘDZ.PARZ.OK3KGVAC OK15KGKT GOB</t>
  </si>
  <si>
    <t>***KIEŁB.SZYN.WP.AS</t>
  </si>
  <si>
    <t>***KIEŁB.SZYN.WP.BS</t>
  </si>
  <si>
    <t>***KIEŁB.BIAŁA Z SZYN.OK1KGMAPOK6KGKTMAZ</t>
  </si>
  <si>
    <t>***K.BIAŁA Z SZYN.OK1KGMAP OK6KGKT MOR</t>
  </si>
  <si>
    <t>***KIEŁB.PODWAWELSKA EXT.OK500GVACMOR EX</t>
  </si>
  <si>
    <t>***K.PODWAWELSKA 95% 500GVAC 6KGKT MOR</t>
  </si>
  <si>
    <t>***KIEŁB.PODWAWELSKA 500GVAC 5KGKT KRA</t>
  </si>
  <si>
    <t>***KIEŁB.GŁOG.OK1.1KG FPK OK5.5KG KT MOR</t>
  </si>
  <si>
    <t>***KIEŁB.ŚLĄSKA OK1.2KGMAP OK7KGKT MOR</t>
  </si>
  <si>
    <t>***KIEŁB.ŚLĄSKA 90% FES AS</t>
  </si>
  <si>
    <t>***K.ŚLĄSKA 90% 550GMAP 12STKT BIED II</t>
  </si>
  <si>
    <t>***ŚLĄZERKI BIAŁE 240GMAP 11STKT MOR</t>
  </si>
  <si>
    <t>***K.PODWAWEL.OK500GVAC 7.5KGKT LIDL II</t>
  </si>
  <si>
    <t>***KIEŁB.PODW.500GVAC 7.5KGKT LIDL LT II</t>
  </si>
  <si>
    <t>***KIEŁB.PODW.500GVAC 7.5KGKT LIDL SK II</t>
  </si>
  <si>
    <t>***K.TORUŃSKA 67% 520GVAC 12STKT MOR</t>
  </si>
  <si>
    <t>***KIEŁB.ŚLĄSKA 550GMAP 7STKT LIDL BG II</t>
  </si>
  <si>
    <t>KIEŁB.CZOSNKOWA 400GVAC 9STKT MOR</t>
  </si>
  <si>
    <t>5901784165167</t>
  </si>
  <si>
    <t>***KIEŁB.SER/POMID.300GMAP 20STKT MOR</t>
  </si>
  <si>
    <t>***ŚLĄZERKISER/POM240GM11STKTMORCZ/SK/HU</t>
  </si>
  <si>
    <t>***ŚLĄZERKIJALAP240GMAP11STKTMORCZ/SK/HU</t>
  </si>
  <si>
    <t>***KIEŁB.PAPR.300GMAP 20STKT LIDL</t>
  </si>
  <si>
    <t>***ŚLĄZERKI KOL.240GMAP 12STKT MOR</t>
  </si>
  <si>
    <t>***KIEŁB.ŚLĄSKA OK1.2KGMAP 7.2KGKT MOR</t>
  </si>
  <si>
    <t>KIEŁB.ŚLĄSKA MP 1.3KGMAP 6STKT LIDL GB</t>
  </si>
  <si>
    <t>***KIEŁB.TORUŃSKA OK520GVAC 7.2KGKT LIDL</t>
  </si>
  <si>
    <t>***ŻEB.MOST.WĘDZ.PARZOK1.5KGMAPOK9KGKTEX</t>
  </si>
  <si>
    <t>ŻEB.PASKI WĘDZ.PARZ.1/2STMAPOK5KGKT LIDL</t>
  </si>
  <si>
    <t>4052917644583</t>
  </si>
  <si>
    <t>***KABAN.180GVAC 24STKT KRA ELAZAR</t>
  </si>
  <si>
    <t>KIEŁB.KRAK.250GVAC 40STPJ KRA LIDL II</t>
  </si>
  <si>
    <t>KIEŁB.KRAK.250GVAC 40STPJ KRA</t>
  </si>
  <si>
    <t>***KIEŁB.ŻYWIECKA 286GVAC 14STKT BIED</t>
  </si>
  <si>
    <t>SZYN.KONS.STE.SFS 455G 68STPJ KRA</t>
  </si>
  <si>
    <t>SZYN.MAGNACKA 1/2STVAC OK8KGKT KRA II</t>
  </si>
  <si>
    <t>KONS.MIEL.LUKS.+PAPRYKARZ 80STPJ KRA</t>
  </si>
  <si>
    <t>KABAN.DROB/WP.AD KRA</t>
  </si>
  <si>
    <t>KABAN.DROB/WP.AS KRA</t>
  </si>
  <si>
    <t>KABAN.DROB/WP.95GMAP BL ST</t>
  </si>
  <si>
    <t>KABAN.DROB/WP.95GMAP 14STKT KRA EX</t>
  </si>
  <si>
    <t>KABAN.DROB/WP.95GMAP 8STKT KRA EX</t>
  </si>
  <si>
    <t>KABAN.DROB/WP.95GMAP 60STPJ KRA</t>
  </si>
  <si>
    <t>KIEŁB.ŻYWIECKA OK600GVAC 9STKT KRA</t>
  </si>
  <si>
    <t>***KABAN.MIX 150GMAP 216ST STAND KRA</t>
  </si>
  <si>
    <t>***ZESTAW PROD.250ST STAND KRA</t>
  </si>
  <si>
    <t>***ZESTAW PROD.234ST STAND KRA</t>
  </si>
  <si>
    <t>***ZESTAW PROD.266ST STAND KRA</t>
  </si>
  <si>
    <t>***ZESTAW PROD.240ST STAND KRA</t>
  </si>
  <si>
    <t>***ZESTAW PROD.160ST STAND KRA</t>
  </si>
  <si>
    <t>***ZESTAW PROD.174ST STAND KRA</t>
  </si>
  <si>
    <t>ZESTAW PROD.169ST STAND KRA II</t>
  </si>
  <si>
    <t>ZESTAW PROD.180ST STAND KRA II</t>
  </si>
  <si>
    <t>ZESTAW PROD.174ST STAND KRA V</t>
  </si>
  <si>
    <t>ZESTAW PROD.175ST STAND KRA II</t>
  </si>
  <si>
    <t>ZESTAW PROD.208ST STAND KRA</t>
  </si>
  <si>
    <t>5901784165174</t>
  </si>
  <si>
    <t>***KIEŁB.BIAŁE OK1KGMAP OK10KGKT KRA</t>
  </si>
  <si>
    <t>***KIEŁB.BIAŁE 300GMAP 10STKT KRA</t>
  </si>
  <si>
    <t>***SZYN.RYCERSKA 1/4STVAC OK5KGKT KRA I</t>
  </si>
  <si>
    <t>***SZYN.ZRAZOWA 1STTRM OK10KGKT KRA</t>
  </si>
  <si>
    <t>***SZYN.ZRAZOWA MAŁA AS</t>
  </si>
  <si>
    <t>***SZYN.ZRAZOWA MAŁA BS</t>
  </si>
  <si>
    <t>***KIEŁB.ŻYWIECKA 460GVAC 12STKT KRA</t>
  </si>
  <si>
    <t>***K.ŻYWIECKA 460GVAC 12STKT ĆW.PAL KRA</t>
  </si>
  <si>
    <t>***KIEŁB.ŻYWIECKA 460GVAC 36STPJ KRA</t>
  </si>
  <si>
    <t>KABAN.DROB/WP.250G AD KRA</t>
  </si>
  <si>
    <t>KABAN.DROB/WP.250G AS KRA</t>
  </si>
  <si>
    <t>***KABAN.DROB/WP.250GMAP10STKT KRA EX II</t>
  </si>
  <si>
    <t>KABAN.DROB/WP.250GMAP 43STPJ KRA II</t>
  </si>
  <si>
    <t>KABAN.DROB/WP.250GMAP 86STPJ KRA</t>
  </si>
  <si>
    <t>***K.OD MASARZA OK1.2KGMAPOK4.8KGKT KRA</t>
  </si>
  <si>
    <t>KABAN.DR/WP.CHED.NA KRAW.95GMAP10STKTKRA</t>
  </si>
  <si>
    <t>***SZYN.OD KRAKUSA 1STVAC OK5KGKT KRA</t>
  </si>
  <si>
    <t>***BOCZ.OD KRAKUSA 1STVAC OK5KGKT KRA</t>
  </si>
  <si>
    <t>***SCH.OD KRAKUSA 1STVAC OK5KGKT KRA</t>
  </si>
  <si>
    <t>***PP SCH.ŚWIĘTOKRZ.OK450GVACOK5KGKT KRA</t>
  </si>
  <si>
    <t>MIESZ.FUNK.INIECT P-BOCZEK</t>
  </si>
  <si>
    <t>BIAŁKO SOJOWE JSP GS5100</t>
  </si>
  <si>
    <t>MIESZ.COEX NADZ.TRINIDAD SCORPION MPA382</t>
  </si>
  <si>
    <t>ST.TOPER 576X415 3W BIA/GRA.MUNDIAL.KRA</t>
  </si>
  <si>
    <t>KAR.WS.315X252X222 5W DIS.GRAN.MOR D</t>
  </si>
  <si>
    <t>CN OS.NAT.JEL.WP.34/38 12/6-OD.PAS.</t>
  </si>
  <si>
    <t>OS.PŁY.ŻEL.ALG.ORANGE</t>
  </si>
  <si>
    <t>OS.PŁY.ŻEL.ALG.PROM.</t>
  </si>
  <si>
    <t>***FOL.PA/PE 200X565</t>
  </si>
  <si>
    <t>PRZĘDZA WĘDLINIARSKA BIA.</t>
  </si>
  <si>
    <t>PRZĘDZA WĘDLINIARSKA BIA/ZIEL.</t>
  </si>
  <si>
    <t>PRZĘDZA WĘDLINIARSKA BIA/ŻÓŁ.</t>
  </si>
  <si>
    <t>PRZĘDZA WĘDLINIARSKA BIA/NIEB.</t>
  </si>
  <si>
    <t>PRZĘDZA WĘDLINIARSKA CZER.</t>
  </si>
  <si>
    <t>***FOL.PA/EVOH/PE 60X525</t>
  </si>
  <si>
    <t>WOR.PE 700X640X2F200 GR30 NIEB.</t>
  </si>
  <si>
    <t>FOL.PA/PE 55X620</t>
  </si>
  <si>
    <t>FOL.PE PIAN.80X85X700 ROL.</t>
  </si>
  <si>
    <t>FOL.PET/PVDC/PE/PEEL56X520KABAN.250G KRA</t>
  </si>
  <si>
    <t>FOL.PA/PE 90X520</t>
  </si>
  <si>
    <t>FOL.PA/PE 170X523</t>
  </si>
  <si>
    <t>FOL.PA/PE 90X620</t>
  </si>
  <si>
    <t>FOL.PA/PE 170X626</t>
  </si>
  <si>
    <t>FOL.PA/PE 60X520</t>
  </si>
  <si>
    <t>FOL.PA/PE 60X620</t>
  </si>
  <si>
    <t>WOR.LDPE 1000X850 GR120</t>
  </si>
  <si>
    <t>FOL.PET/EVOH/PE 62X252 SNAKERSY CLASSIC</t>
  </si>
  <si>
    <t>FOL.PET/EVOH/PE62X252 SNAK.Z/PAPR.SCORP.</t>
  </si>
  <si>
    <t>***ET.100X180 ŁOP.MORE</t>
  </si>
  <si>
    <t>***ET.70X140 SZYNKA EKSPERT MORLINY</t>
  </si>
  <si>
    <t>***ET.100X200 ŻEB.MORE</t>
  </si>
  <si>
    <t>***ET.100X200 SCH.MORE</t>
  </si>
  <si>
    <t>***ET.100X200 BOCZ.ŁUS.MORE</t>
  </si>
  <si>
    <t>***ET.100X200 KARK.MORE</t>
  </si>
  <si>
    <t>***ET.47.7X131.5 BANDEROLA PODWAWELSKA</t>
  </si>
  <si>
    <t>***ET.132X47 BANDEROLA GŁOGOWSKA</t>
  </si>
  <si>
    <t>***ET.75X121 KIEŁB.DROB.-WP.MESARO</t>
  </si>
  <si>
    <t>***ET.70X90 KIEŁB.TEKSAŃSKA 270G P</t>
  </si>
  <si>
    <t>***ET.50X80 KIEŁB.TEKSAŃSKA 270G T</t>
  </si>
  <si>
    <t>***ET.TRM.73X102 KIEŁB.ŚLĄSKA 550G KW</t>
  </si>
  <si>
    <t>***ET.TRM.73X102 KIEŁB.ŚLĄSKA MP KW</t>
  </si>
  <si>
    <t>ET.TRMP.80X100 ŻEB.PIK LT T</t>
  </si>
  <si>
    <t>ET.OZDP.80X100 ŻEB.PIK LT P</t>
  </si>
  <si>
    <t>ET.TRMP.80X100 ŻEB.PIK SK T</t>
  </si>
  <si>
    <t>ET.OZDP.80X100 ŻEB.PIK SK P</t>
  </si>
  <si>
    <t>ET.OZDP.60X80 BOCZ.CARSKI MOR P</t>
  </si>
  <si>
    <t>ET.OZDP.80X100 ŻEB.PIK P</t>
  </si>
  <si>
    <t>ET.TRMP.80X100 ŻEB.PIK T</t>
  </si>
  <si>
    <t>EU TRYMING 50/50 PBX CH ST2</t>
  </si>
  <si>
    <t>M-so kl. 3A(52020000)</t>
  </si>
  <si>
    <t xml:space="preserve">Ozory wp.  </t>
  </si>
  <si>
    <t xml:space="preserve">M-so kl 4 M wp.  </t>
  </si>
  <si>
    <t xml:space="preserve">I dr. 90/10  ŻYWIECKA </t>
  </si>
  <si>
    <t>I dr. 90/10  50/50</t>
  </si>
  <si>
    <t xml:space="preserve">I dr. 90/10  Czysta </t>
  </si>
  <si>
    <t>MŚ. BRZUCHATY</t>
  </si>
  <si>
    <t xml:space="preserve">            </t>
  </si>
  <si>
    <t>BOCZ.BL.C B/P.PBX1</t>
  </si>
  <si>
    <t>PL BOCZ.BL.A B/P.20CM PRZ.PBX1</t>
  </si>
  <si>
    <t>5010/5202</t>
  </si>
  <si>
    <t>PP BOCZ.BL.A B/CZP.MC.PBX ST1</t>
  </si>
  <si>
    <t>PP BOCZ.BL.A B/CZP.MC.RO1</t>
  </si>
  <si>
    <t>OS.NAT.JEL.WP.30/32 14+ 4/6-OD.PAS.</t>
  </si>
  <si>
    <t>CN OS.NAT.JEL.WP.40/44 6/10-OD.PAS.</t>
  </si>
  <si>
    <t>PP BOCZ.BL.A B/P.20CM PRZ.PBX1</t>
  </si>
  <si>
    <t>PL BOCZ.BL.B B/S/P.RO1</t>
  </si>
  <si>
    <t>PL BOCZ.BL.A B/CZP.MC.PBX ST1</t>
  </si>
  <si>
    <t>OS.NAT.JEL.WP.28/30 14/+ 5/6-OD.PAS.</t>
  </si>
  <si>
    <t>PP MŚ.GOL.Z SZYN.RO1</t>
  </si>
  <si>
    <t>PLSCH.B/K.Z/2WAR.OK1.4KGVACOK5KGKT AUCH</t>
  </si>
  <si>
    <t>PL BOCZ.B B/P.1STVAC OK11KGKT ME</t>
  </si>
  <si>
    <t>PL BOCZ.B B/P.1STVAC OK11KGKT MORE EX</t>
  </si>
  <si>
    <t>PL BOCZ.B B/P.1STVAC OK11KGKT</t>
  </si>
  <si>
    <t>PL ĆW.BOCZ.C OK120KG CHOIN.EX</t>
  </si>
  <si>
    <t>PL ĆW.BOCZ.C OK500KG OKT EX</t>
  </si>
  <si>
    <t>PL BOCZ.BL.A B/P.20CM CH</t>
  </si>
  <si>
    <t>PL BOCZ.BL.B B/P.20CM OK20KG PB MR EŁ</t>
  </si>
  <si>
    <t>PL BOCZ.BL.B B/P.20CM RO1</t>
  </si>
  <si>
    <t>***PL BOCZ.BL.A B/P.20CM CH2</t>
  </si>
  <si>
    <t>PL BOCZ.BL.B B/P.20CM RO2</t>
  </si>
  <si>
    <t>***EU BOCZ.BL.A B/P.20CM CH1</t>
  </si>
  <si>
    <t>***EU BOCZ.BL.A B/P.20CM CH2</t>
  </si>
  <si>
    <t>PL BOCZ.BL.C B/P.CH</t>
  </si>
  <si>
    <t>***EU BOCZ.BL.C B/P.CH</t>
  </si>
  <si>
    <t>PL BOCZ.BL.B B/CZP.MC.CH</t>
  </si>
  <si>
    <t>PL BOCZ.BL.B B/CZP.MC.PBX ST1</t>
  </si>
  <si>
    <t>PL BOCZ.BL.B B/CZP.MC.PBX ST2</t>
  </si>
  <si>
    <t>PL BOCZ.B B/P.OK20KGWOR KT</t>
  </si>
  <si>
    <t>PL BOCZ.B B/P.1/2STVAC OK18KGPJ</t>
  </si>
  <si>
    <t>BOCZ.BL.C B/P.OK15KG NB MR</t>
  </si>
  <si>
    <t>BOCZ.BL.C B/CZP.MC.OK20KG PB MR EŁ</t>
  </si>
  <si>
    <t>BOCZ.BL.C B/P.PBX EŁ1</t>
  </si>
  <si>
    <t>PL BOCZ.BL.C B/P.OK20KG NB DMR</t>
  </si>
  <si>
    <t>BOCZ.BL.C B/P.RO1</t>
  </si>
  <si>
    <t>BOCZ.BL.C B/CZP.MC.RO1</t>
  </si>
  <si>
    <t>BOCZ.BL.C B/P.RO2</t>
  </si>
  <si>
    <t>***PL BOCZ.BL.BC B/P.1STFO OK15KGKTMRUS</t>
  </si>
  <si>
    <t>***PL BOCZ.BL.BC B/P.1STFOLOK15KGKTDMRUS</t>
  </si>
  <si>
    <t>***BOCZ.ŁU.B B/P/M.ZAK</t>
  </si>
  <si>
    <t>***BOCZ.ŁU.B B/P/M.NB MR ZAK</t>
  </si>
  <si>
    <t>PL BOCZ.BL.BC B/S.1STFOL 4STKT MR</t>
  </si>
  <si>
    <t>PL BOCZ.BL.BC B/S.OK20KGWOR PJ EX</t>
  </si>
  <si>
    <t>PL BOCZ.BL.BC B/S.OK70KG CHOIN.EX</t>
  </si>
  <si>
    <t>PL BOCZ.BL.BC B/S.OK500KG OKT EX</t>
  </si>
  <si>
    <t>PL BOCZ.BL.BC B/S.1STFOL 4STKT DMR</t>
  </si>
  <si>
    <t>EU BOCZ.BL.ABC B/S.USR US</t>
  </si>
  <si>
    <t>***PL BOCZ.BL.B B/P.CH1</t>
  </si>
  <si>
    <t>***PL BOCZ.BL.B B/P.CH2</t>
  </si>
  <si>
    <t>***EU BOCZ.BL.B B/P.CH1</t>
  </si>
  <si>
    <t>***EU BOCZ.BL.B B/P.CH2</t>
  </si>
  <si>
    <t>PL BOCZ.BL.B B/S.CH US</t>
  </si>
  <si>
    <t>***PL BOCZ.BL.B B/S.1STVAC OK15KGPJ STO</t>
  </si>
  <si>
    <t>EU BOCZ.BL.B B/S.CH US</t>
  </si>
  <si>
    <t>PL BOCZ.BL.A B/S.MC.CH1</t>
  </si>
  <si>
    <t>***PL BOCZ.BL.A B/S.MC.CH2</t>
  </si>
  <si>
    <t>EU BOCZ.BL.A B/S.MC.CH1</t>
  </si>
  <si>
    <t>***EU BOCZ.BL.A B/S.MC.CH2</t>
  </si>
  <si>
    <t>PL BOCZ.BL.A B/P.CH1</t>
  </si>
  <si>
    <t>***BOCZ.BL.B B/S/P.CH</t>
  </si>
  <si>
    <t>***EU BOCZ.BL.B B/S/P.CH</t>
  </si>
  <si>
    <t>***PL BOCZ.BL.BC B/S/P.USR</t>
  </si>
  <si>
    <t>BOCZ.BL.C B/P.CH1</t>
  </si>
  <si>
    <t>BOCZ.BL.C B/P.KAW.OK15KG NB MR</t>
  </si>
  <si>
    <t>PL BOCZ.BL.C B/P.OK15KG PB MR ST</t>
  </si>
  <si>
    <t>PL BOCZ.BL.C B/P.OK500KG OKT EX</t>
  </si>
  <si>
    <t>PL BOCZ.BL.C B/P.PBX K4</t>
  </si>
  <si>
    <t>BOCZ.BL.C B/P.OK15KG NB DMR</t>
  </si>
  <si>
    <t>PL BOCZ.BL.C B/P.OK15KG PB DMR</t>
  </si>
  <si>
    <t>BOCZ.BL.C B/P.KAW.RO1</t>
  </si>
  <si>
    <t>BOCZ.BL.C B/P.CH2</t>
  </si>
  <si>
    <t>BOCZ.BL.C B/P.KAW.RO2</t>
  </si>
  <si>
    <t>BOCZ.BL.C B/P.PBX2</t>
  </si>
  <si>
    <t>BOCZ.BL.C B/P.ROZP1</t>
  </si>
  <si>
    <t>BOCZ.BL.C B/P.ROZP2</t>
  </si>
  <si>
    <t>***PL BOCZ.BL.C B/S/P.CH</t>
  </si>
  <si>
    <t>***EU BOCZ.BL.C B/S/P.CH</t>
  </si>
  <si>
    <t>***EU BOCZ.BL.BC B/S/P.USR</t>
  </si>
  <si>
    <t>PL BOCZ.ŁU.A B/P/M.20CM CH1</t>
  </si>
  <si>
    <t>PL BOCZ.ŁU.A B/P/M.20CM PBX BIED1</t>
  </si>
  <si>
    <t>PL BOCZ.ŁU.A B/P/M.20CM PBX BIED EŁ1</t>
  </si>
  <si>
    <t>PL BOCZ.BL.A B/P.20CM PBX EŁ1</t>
  </si>
  <si>
    <t>PL BOCZ.ŁU.A B/P/M.20CM CH2</t>
  </si>
  <si>
    <t>PL BOCZ.ŁU.A B/P/M.20CM PBX BIED2</t>
  </si>
  <si>
    <t>EU BOCZ.ŁU.A B/P/M.20CM CH1</t>
  </si>
  <si>
    <t>EU BOCZ.ŁU.A B/P/M.20CM CH2</t>
  </si>
  <si>
    <t>PL BOCZ.BL.B B/P.20CM OK15KGWOR PJ EŁ</t>
  </si>
  <si>
    <t>PL BOCZ.BL.B B/S.MC.CH</t>
  </si>
  <si>
    <t>EU BOCZ.BL.B B/S.MC.CH</t>
  </si>
  <si>
    <t>PL BOCZ.BL.C B/S.MC.CH</t>
  </si>
  <si>
    <t>EU BOCZ.BL.C B/S.MC.CH</t>
  </si>
  <si>
    <t>***EU BOCZ.BL.ABC B/S.MC.USR</t>
  </si>
  <si>
    <t>PL BOCZ.BL.B B/S.CH</t>
  </si>
  <si>
    <t>***EU BOCZ.BL.B B/S.CH</t>
  </si>
  <si>
    <t>***PL BOCZ.BL.ABC B/S.MC.OK20KG PB MR</t>
  </si>
  <si>
    <t>***PL BOCZ.BL.ABC B/S.MC.OK20KGWORKTMREX</t>
  </si>
  <si>
    <t>***PL BOCZ.BL.ABC B/S.MC.OK20KGWORKTMRST</t>
  </si>
  <si>
    <t>***PL BOCZ.BL.ABC B/S.MC.OK20KG PB DMR</t>
  </si>
  <si>
    <t>***PL BOCZ.BL.ABC B/S.MC.OK20KGWORKT DMR</t>
  </si>
  <si>
    <t>PL BOCZ.BL.ABC B/S.MC.USR</t>
  </si>
  <si>
    <t>***PL BOCZ.BL.ABC B/S.MC.PBX1</t>
  </si>
  <si>
    <t>***PL BOCZ.BL.ABC B/S.MC.PBX2</t>
  </si>
  <si>
    <t>PL BOCZ.BL.B B/P.CH</t>
  </si>
  <si>
    <t>PL BOCZ.BL.B B/P.PBX1</t>
  </si>
  <si>
    <t>PP BOCZ.BL.B B/P.OK1KGVAC 6STKT LIDL</t>
  </si>
  <si>
    <t>PL BOCZ.BL.B B/P.OK1KGVAC OK6KGKT LIDLLT</t>
  </si>
  <si>
    <t>PL BOCZ.BL.B B/P.OK1KGVAC OK6KGKT LIDL</t>
  </si>
  <si>
    <t>PL BOCZ.BL.B B/P.OK1KGVAC OK6KGKT NETTO</t>
  </si>
  <si>
    <t>PL BOCZ.BL.B B/P.OK15KGWOR PJ</t>
  </si>
  <si>
    <t>PL BOCZ.BL.B B/P.OK15KGWOR PJ ST</t>
  </si>
  <si>
    <t>PL BOCZ.BL.B B/P.OK800KG OKT EX</t>
  </si>
  <si>
    <t>PL BOCZ.BL.B B/P.PBX2</t>
  </si>
  <si>
    <t>PL BOCZ.BL.A B/S.CH US</t>
  </si>
  <si>
    <t>EU BOCZ.BL.A B/S.CH US</t>
  </si>
  <si>
    <t>PL BOCZ.BL.ABC B/S.USR</t>
  </si>
  <si>
    <t>***PL BOCZ.BL.BC B/S.PBX US</t>
  </si>
  <si>
    <t>***PL BOCZ.BL.C B/P.PBX1</t>
  </si>
  <si>
    <t>***PL BOCZ.BL.C B/P.PBX2</t>
  </si>
  <si>
    <t>PL BOCZ.B B/P.CH</t>
  </si>
  <si>
    <t>PL BOCZ.B B/P.PBX</t>
  </si>
  <si>
    <t>EU BOCZ.B B/P.CH</t>
  </si>
  <si>
    <t>***PL BOCZ.C B/P.CH</t>
  </si>
  <si>
    <t>***EU BOCZ.C B/P.CH</t>
  </si>
  <si>
    <t>PL BOCZ.BL.C B/S.CH US</t>
  </si>
  <si>
    <t>EU BOCZ.BL.C B/S.CH US</t>
  </si>
  <si>
    <t>PL BOCZ.B B/S/P.ODTŁ.1/2ST CH</t>
  </si>
  <si>
    <t>EU BOCZ.B B/S/P.ODTŁ.1/2ST CH</t>
  </si>
  <si>
    <t>PL ŻEB.PASKI EXT.OK8KGWOR KT POLM</t>
  </si>
  <si>
    <t>PL ŻEB.PASKI EXT.OK4KGMAP OK8KGKT POLM</t>
  </si>
  <si>
    <t>PP ŻEB.PASKI EXT.OK4KGWOR KT BIED</t>
  </si>
  <si>
    <t>NOGA TYL.DŁ.</t>
  </si>
  <si>
    <t>PL NOGA TYL.DŁ.10KGWOR KT MR VN</t>
  </si>
  <si>
    <t>PL NOGA TYL.DŁ.10KGWOR KT MR EX</t>
  </si>
  <si>
    <t>NOGA TYL.OK4KGMAP OK8KGKT STO</t>
  </si>
  <si>
    <t>NOGA TYL.MAX4KGMAP 4STPJ POLM</t>
  </si>
  <si>
    <t>NOGA TYL.OK4KGMAP OK12KGKT</t>
  </si>
  <si>
    <t>PL NOGA TYL.DŁ.10KGWOR KT DMR VN</t>
  </si>
  <si>
    <t>PL NOGA TYL.DŁ.10KGWOR KT DMR EX</t>
  </si>
  <si>
    <t>EU NOGA TYL.DŁ.CH</t>
  </si>
  <si>
    <t>EU NOGA TYL.DŁ.10KGWOR KT MR EX</t>
  </si>
  <si>
    <t>EU NOGA TYL.DŁ.10KGWOR KT DMR EX</t>
  </si>
  <si>
    <t>NOGA TYL.DŁ.USR CH</t>
  </si>
  <si>
    <t>ĆW.BOCZ.A MC.CH</t>
  </si>
  <si>
    <t>ĆW.BOCZ.B MC.CH</t>
  </si>
  <si>
    <t>ĆW.BOCZ.C MC.CH</t>
  </si>
  <si>
    <t>PL NOGA PRZED.20KGWOR KT MR VN</t>
  </si>
  <si>
    <t>PL NOGA PRZED.20KGWOR KT MR EX</t>
  </si>
  <si>
    <t>PL NOGA PRZED.OK2.5KGMAP OK15KGPJ ECS</t>
  </si>
  <si>
    <t>NOGA PRZED.OK4KGMAP OK8KGKT STO</t>
  </si>
  <si>
    <t>PP NOGA PRZED.OK4KGMAP OK4KGKT BIED</t>
  </si>
  <si>
    <t>PL NOGA PRZED.OK20KGWOR KT DMR VN</t>
  </si>
  <si>
    <t>PL NOGA PRZED.20KGWOR KT DMR EX</t>
  </si>
  <si>
    <t>EU NOGA PRZED.CH</t>
  </si>
  <si>
    <t>EU NOGA PRZED.20KGWOR KT MR EX</t>
  </si>
  <si>
    <t>EU NOGA PRZED.20KGWOR KT DMR EX</t>
  </si>
  <si>
    <t>NOGA PRZED.USR PBX</t>
  </si>
  <si>
    <t>NOGA TYL.USR CH</t>
  </si>
  <si>
    <t>NOGA TYL.USR PBX</t>
  </si>
  <si>
    <t>NOGA KL2 CH</t>
  </si>
  <si>
    <t>NOGA KL2 USR</t>
  </si>
  <si>
    <t>NOGA KL2 USR PBX</t>
  </si>
  <si>
    <t>PL NOGA PRZED.KL2 10KGWOR KT MR EX</t>
  </si>
  <si>
    <t>PL NOGA PRZED.KL2 10KGWOR KT DMR EX</t>
  </si>
  <si>
    <t>PL NOGA TYL.DŁ.KL2 10KGWOR KT MR EX</t>
  </si>
  <si>
    <t>PL NOGA TYL.DŁ.KL2 10KGWOR KT DMR EX</t>
  </si>
  <si>
    <t>ĆW.BOCZ.C MDP CH</t>
  </si>
  <si>
    <t>ĆW.BOCZ.B OK120KG CHOIN.EX</t>
  </si>
  <si>
    <t>ĆW.BOCZ.B OK650KG OKT ST</t>
  </si>
  <si>
    <t>ĆW.BOCZ.B OK650KG OKT EX</t>
  </si>
  <si>
    <t>PL ĆW.BOCZ.A OK120KG CHOIN.EX</t>
  </si>
  <si>
    <t>BOCZ.A B/P.OK20KGLUZ PJ ZAK</t>
  </si>
  <si>
    <t>PL BOCZ.A B/P.CH</t>
  </si>
  <si>
    <t>PL BOCZ.A B/P.OK20KG NB MR ST</t>
  </si>
  <si>
    <t>PL BOCZ.A B/P.OK15KGWOR KT</t>
  </si>
  <si>
    <t>PL BOCZ.A B/P.1STMAP OK15KGKT</t>
  </si>
  <si>
    <t>PL BOCZ.A B/P.1STMAP OK15KGPJ POLM</t>
  </si>
  <si>
    <t>PL BOCZ.A B/P.1STMAP OK16KGKT SEL</t>
  </si>
  <si>
    <t>PL BOCZ.A B/P.1STMAP OK10KGKTMAKR</t>
  </si>
  <si>
    <t>PL BOCZ.A B/P.1STMAP OK12KGKT AUCH</t>
  </si>
  <si>
    <t>PL BOCZ.A B/P.OK20KGWOR PJ POLM</t>
  </si>
  <si>
    <t>PL BOCZ.A B/P.OK20KG NB DMR</t>
  </si>
  <si>
    <t>PL BOCZ.A B/P.RO1</t>
  </si>
  <si>
    <t>PL BOCZ.A B/P.RO2</t>
  </si>
  <si>
    <t>BOCZ.ŁU.A B/P/CHB.18CM CH</t>
  </si>
  <si>
    <t>BOCZ.ŁU.A B/P/CHB.18CM PBX1</t>
  </si>
  <si>
    <t>BOCZ.ŁU.A B/P/CHB.18CM PBX2</t>
  </si>
  <si>
    <t>PP BOCZ.ŁU.A B/P/CHB.18CM CH</t>
  </si>
  <si>
    <t>PP BOCZ.ŁU.A B/P/CHB.18CM PBX ST1</t>
  </si>
  <si>
    <t>PP BOCZ.ŁU.A B/P/CHB.18CM PBX ST2</t>
  </si>
  <si>
    <t>PL BOCZ.BL.C CH</t>
  </si>
  <si>
    <t>PL BOCZ.BL.B CH</t>
  </si>
  <si>
    <t>PL BOCZ.BL.A CH</t>
  </si>
  <si>
    <t>PL BOCZ.BL.ABC USR</t>
  </si>
  <si>
    <t>***PL BOCZ.BL.ABC OK20KGFOL KT MR RU</t>
  </si>
  <si>
    <t>PL BOCZ.BL.ABC OK20KGFOL KT DMR US</t>
  </si>
  <si>
    <t>PL BOCZ.BL.B B/P.20CM CH</t>
  </si>
  <si>
    <t>PP BOCZ.BL.B B/P.20CM CH</t>
  </si>
  <si>
    <t>PP BOCZ.BL.B B/P.20CM OK3KGV OK3KGKTBIED</t>
  </si>
  <si>
    <t>PL BOCZ.BL.B B/P.KAW.CH</t>
  </si>
  <si>
    <t>PL BOCZ.BL.A B/P.KAW.PBX K4</t>
  </si>
  <si>
    <t>PL BOCZ.BL.B B/P.PBX EŁ</t>
  </si>
  <si>
    <t>PP BOCZ.BL.B B/P.KAW.CH</t>
  </si>
  <si>
    <t>PP BOCZ.BL.B B/P.KAW.PBX</t>
  </si>
  <si>
    <t>PP BOCZ.BL.A B/P.KAW.PBX K4</t>
  </si>
  <si>
    <t>PL BOCZ.BL.B B/S/CZPF.OK10CM KAW.CH</t>
  </si>
  <si>
    <t>PL BOCZ.BL.B B/S/CZPF.OK10CM KAW.PBX</t>
  </si>
  <si>
    <t>PL BOCZ.BL.A B/P.20CM PRZ.CH</t>
  </si>
  <si>
    <t>PL BOCZ.BL.A B/P.20CM OK15KG NB MR ST</t>
  </si>
  <si>
    <t>PL BOCZ.BL.A B/P.20CM 1STVAC OK15KGPJSTO</t>
  </si>
  <si>
    <t>PL BOCZ.BL.A B/P.20CM 1STVAC OK12KGKT</t>
  </si>
  <si>
    <t>PL BOCZ.BL.A B/P.20CM 1/2STVOK15KGPJ ECS</t>
  </si>
  <si>
    <t>PL BOCZ.BL.A B/P.20CM MAX20KGLUZ PJ AGRO</t>
  </si>
  <si>
    <t>PL BOCZ.BL.A B/P.20CM PRZ.OK20KG PB MREŁ</t>
  </si>
  <si>
    <t>PL BOCZ.BL.A B/P.20CM PBX 3OB K4</t>
  </si>
  <si>
    <t>PL BOCZ.BL.A B/P.20CM OK20KG PB MR EŁ</t>
  </si>
  <si>
    <t>PL BOCZ.BL.A B/P.20CM OK20KG NB MR 3OBK4</t>
  </si>
  <si>
    <t>PL BOCZ.BL.A B/P.20CM OK15KG NB DMR</t>
  </si>
  <si>
    <t>BOCZ.BL.A B/P.20CM PRZ.RO1</t>
  </si>
  <si>
    <t>***BOCZ.BL.A B/P.20CM RO</t>
  </si>
  <si>
    <t>BOCZ.BL.A B/P.20CM PRZ.RO2</t>
  </si>
  <si>
    <t>PL BOCZ.BL.A B/P.20CM PRZ.PBX2</t>
  </si>
  <si>
    <t>EU BOCZ.BL.A B/P.20CM PRZ.CH</t>
  </si>
  <si>
    <t>EU BOCZ.BL.A B/P.20CM 1STVAC OK15KGPJSTO</t>
  </si>
  <si>
    <t>EU BOCZ.BL.A B/P.20CM 1STVAC OK12KGKT</t>
  </si>
  <si>
    <t>EU BOCZ.BL.A B/P.20CM MAX20KGLUZ PJ AGRO</t>
  </si>
  <si>
    <t>PP BOCZ.BL.A B/P.20CM PRZ.CH</t>
  </si>
  <si>
    <t>PP BOCZ.BL.A B/P.20CM OK15KG NB MR ST</t>
  </si>
  <si>
    <t>PP BOCZ.BL.A B/P.20CM OK20KGLUZ PJ ST</t>
  </si>
  <si>
    <t>PP BOCZ.BL.A B/P.20CM OK15KG NB DMR</t>
  </si>
  <si>
    <t>PP BOCZ.BL.A B/P.20CM RO1</t>
  </si>
  <si>
    <t>PP BOCZ.BL.A B/P.20CM RO2</t>
  </si>
  <si>
    <t>PP BOCZ.BL.A B/P.20CM PRZ.PBX2</t>
  </si>
  <si>
    <t>PL BOCZ.BL.A B/P.20CM ROZP1</t>
  </si>
  <si>
    <t>PL BOCZ.BL.A B/P.20CM ROZP2</t>
  </si>
  <si>
    <t>***EU BOCZ.BL.ABC B/S.USR US</t>
  </si>
  <si>
    <t>***EU BOCZ.BL.ABC B/P.USR</t>
  </si>
  <si>
    <t>***PL BOCZ.BL.ABC B/P.USR</t>
  </si>
  <si>
    <t>***PL BOCZ.BL.BC B/P.PBX USR</t>
  </si>
  <si>
    <t>***PL BOCZ.BL.A B/P.PBX1</t>
  </si>
  <si>
    <t>***PL BOCZ.BL.A B/P.1/2STVAC OK15KGKT PJ</t>
  </si>
  <si>
    <t>***PL BOCZ.BL.A B/P.CH2</t>
  </si>
  <si>
    <t>***PL BOCZ.BL.A B/P.PBX2</t>
  </si>
  <si>
    <t>***EU BOCZ.BL.A B/P.CH1</t>
  </si>
  <si>
    <t>***EU BOCZ.BL.A B/P.PBX1</t>
  </si>
  <si>
    <t>***EU BOCZ.BL.A B/P.CH2</t>
  </si>
  <si>
    <t>***EU BOCZ.BL.BC B/P.USR</t>
  </si>
  <si>
    <t>PL BOCZ.BL.B B/P.1/2STVAC OK15KG KT</t>
  </si>
  <si>
    <t>PL BOCZ.BL.B B/P.1STVAC OK15KGKT ME</t>
  </si>
  <si>
    <t>PL BOCZ.BL.B B/P.1STVAC OK12KGKT MORE EX</t>
  </si>
  <si>
    <t>PL BOCZ.BL.B B/P.1STVAC OK12KGKT</t>
  </si>
  <si>
    <t>***PL BOCZ.BL.BC B/P.USR</t>
  </si>
  <si>
    <t>PP BOCZ.BL.B B/P.CH</t>
  </si>
  <si>
    <t>***EU BOCZ.BL.B B/P.CH</t>
  </si>
  <si>
    <t>***PL BOCZ.BL.C B/P.CH</t>
  </si>
  <si>
    <t>PL BOCZ.BL.C B/S.KAW.CH</t>
  </si>
  <si>
    <t>JELITO GRU.60+ 350G PEKL.8% PBX</t>
  </si>
  <si>
    <t>JELITO CIEN.SOL.210G K4 BL</t>
  </si>
  <si>
    <t>JELITO CIEN.SOL.210G K4 20STSIA.BECZ.</t>
  </si>
  <si>
    <t>PP SCH.CZ.ODK.B/TŁ.1/2STMAP OK6KGKT BIED</t>
  </si>
  <si>
    <t>***PL BOCZ.BL.B B/S.MC.CH</t>
  </si>
  <si>
    <t>***PL BOCZ.BL.B B/S.MC.PBX ST</t>
  </si>
  <si>
    <t>***EU BOCZ.BL.B B/S.MC.CH</t>
  </si>
  <si>
    <t>PP BOCZ.BL.B B/S.MC.CH</t>
  </si>
  <si>
    <t>PP BOCZ.BL.B B/S.MC.PBX ST</t>
  </si>
  <si>
    <t>PL BOCZ.BL.A B/S.MC.PBX ST</t>
  </si>
  <si>
    <t>PP BOCZ.BL.A B/S.MC.CH</t>
  </si>
  <si>
    <t>PP BOCZ.BL.A B/S.MC.PBX ST</t>
  </si>
  <si>
    <t>PL BOCZ.BL.A B/S/CZP.MC.30X52 CH</t>
  </si>
  <si>
    <t>PL BOCZ.A B/CZP.CH</t>
  </si>
  <si>
    <t>EU BOCZ.A B/CZP.CH</t>
  </si>
  <si>
    <t>PL BOCZ.BL.A B/S.MC.34CM CH</t>
  </si>
  <si>
    <t>EU BOCZ.BL.A B/S.MC.34CM CH</t>
  </si>
  <si>
    <t>PL BOCZ.BL.B B/S.MC.34CM CH</t>
  </si>
  <si>
    <t>EU BOCZ.BL.B B/S.MC.34CM CH</t>
  </si>
  <si>
    <t>PL BOCZ.BL.C B/S.MC.34CM CH</t>
  </si>
  <si>
    <t>EU BOCZ.BL.C B/S.MC.34CM CH</t>
  </si>
  <si>
    <t>PL BOCZ.BL.ABC B/S.MC.34CM USR</t>
  </si>
  <si>
    <t>***PLBOCZ.BL.ABCB/S.MC.34CMOK20KGFKTMREX</t>
  </si>
  <si>
    <t>PL BOCZ.BL.ABC B/S.MC.34CM OK20KGF KTDMR</t>
  </si>
  <si>
    <t>EU BOCZ.BL.ABC B/S.MC.34CM USR</t>
  </si>
  <si>
    <t>***PL BOCZ.BL.B OK20KGFOL KT MR EX</t>
  </si>
  <si>
    <t>***PL BOCZ.BL.B OK20KGFOL KT DMR</t>
  </si>
  <si>
    <t>***PL BOCZ.BL.A CH</t>
  </si>
  <si>
    <t>***PL BOCZ.BL.AB USR</t>
  </si>
  <si>
    <t>PL BOCZ.BL.A B/S/P.CH</t>
  </si>
  <si>
    <t>PL BOCZ.BL.A B/S/P.PBX1</t>
  </si>
  <si>
    <t>PL BOCZ.BL.A B/S/P.OK15KGWOR KT</t>
  </si>
  <si>
    <t>PL BOCZ.BL.A B/S/P.1STFOL 4-5STKT MR NZ</t>
  </si>
  <si>
    <t>PL BOCZ.BL.A B/S/P.PBX ST</t>
  </si>
  <si>
    <t>PL BOCZ.BL.A B/S/P.1STFOL 4-5STKT DMR NZ</t>
  </si>
  <si>
    <t>PL BOCZ.BL.A B/S/P.PBX2</t>
  </si>
  <si>
    <t>EU BOCZ.BL.A B/S/P.CH</t>
  </si>
  <si>
    <t>***PL BOCZ.BL.A B/S.MC.37CM CH</t>
  </si>
  <si>
    <t>***PLBOCZ.BL.A B/S.MC.37CM OK15KGWORPJST</t>
  </si>
  <si>
    <t>***PL BOCZ.BL.A B/S.MC.37CM GAP CH</t>
  </si>
  <si>
    <t>PL BOCZ.BL.B B/S.MC.34CM OK20KGFOL KT MR</t>
  </si>
  <si>
    <t>PL BOCZ.BL.B B/S.MC.34CM OK20KGFOL KTDMR</t>
  </si>
  <si>
    <t>***PL BOCZ.BL.B B/S.MC.37CM GAP CH</t>
  </si>
  <si>
    <t>***PL BOCZ.BL.AB B/S.MC.37CM GAP USR</t>
  </si>
  <si>
    <t>***PL BOCZ.ŁU.B B/S/P/CHB.20X50 CH</t>
  </si>
  <si>
    <t>***PLBOCZ.ŁU.BB/S/P/CHB.20X50OK20KGWKTEX</t>
  </si>
  <si>
    <t>***PL BOCZ.BL.C B/S.CH</t>
  </si>
  <si>
    <t>***PL BOCZ.BL.C B/S.OK800KG OKT EX</t>
  </si>
  <si>
    <t>***PL BOCZ.BL.C B/S.PBX ST</t>
  </si>
  <si>
    <t>PL BOCZ.BL.A B/S/CZPF.26CM CH</t>
  </si>
  <si>
    <t>PL BOCZ.BL.A B/S/CZPF.26CM OK20KGFKTMRNZ</t>
  </si>
  <si>
    <t>PL BOCZ.BL.A B/S/CZPF.26CM OK800KG OKTST</t>
  </si>
  <si>
    <t>PL BOCZ.BL.A B/S/CZPF.26CMOK20KGFKTDMRNZ</t>
  </si>
  <si>
    <t>EU BOCZ.BL.A B/S/CZPF.25CM CH</t>
  </si>
  <si>
    <t>EU BOCZ.BL.A B/S/CZPF.26CM OK20KGWKTMRNZ</t>
  </si>
  <si>
    <t>EU BOCZ.BL.A B/S/CZPF.26CMOK20KGWKTDMRNZ</t>
  </si>
  <si>
    <t>CZ BOCZ.BL.A B/S/CZPF.26CM CH</t>
  </si>
  <si>
    <t>CZ BOCZ.BL.A B/S/CZPF.26CM OK20KGWKTMRNZ</t>
  </si>
  <si>
    <t>CZ BOCZ.BL.A B/S/CZPF.26CMOK20KGWKTDMRNZ</t>
  </si>
  <si>
    <t>***EU BOCZ.BL.C B/S.CH</t>
  </si>
  <si>
    <t>***PL BOCZ.BL.BC B/S.OK20KGWOR KT</t>
  </si>
  <si>
    <t>***PL BOCZ.BL.BC B/S.OK800KG OKT</t>
  </si>
  <si>
    <t>***PL BOCZ.BL.BC B/S.PBX ST</t>
  </si>
  <si>
    <t>***EU BOCZ.BL.BC B/S.OK800KG OKT</t>
  </si>
  <si>
    <t>PL BOCZ.BL.BC B/S.USR</t>
  </si>
  <si>
    <t>***EU BOCZ.BL.BC B/S.USR</t>
  </si>
  <si>
    <t>PL BOCZ.BL.B B/S/P.20X50 CH</t>
  </si>
  <si>
    <t>PL BOCZ.BL.B B/S/P.20X50 OK500KG OKT EX</t>
  </si>
  <si>
    <t>PL BOCZ.BL.B B/S/P.20X50 PBX ST</t>
  </si>
  <si>
    <t>EU BOCZ.BL.B B/S/P.20X50 CH</t>
  </si>
  <si>
    <t>EU BOCZ.BL.B B/S/P.20X50 PBX ST</t>
  </si>
  <si>
    <t>PL BOCZ.ŁU.B B/CZP.28X55 CH</t>
  </si>
  <si>
    <t>PL BOCZ.ŁU.B B/CZP.28X55 OK20KGFOL KT MR</t>
  </si>
  <si>
    <t>PL BOCZ.ŁU.B B/CZP.28X55 OK20KGFOL KTDMR</t>
  </si>
  <si>
    <t>EU BOCZ.ŁU.B B/CZP.28X55 CH</t>
  </si>
  <si>
    <t>***EUBOCZ.ŁU.B B/CZP.28X55 OK20KGFOLKTMR</t>
  </si>
  <si>
    <t>EU BOCZ.ŁU.B B/CZP.28X55 OK20KGFOL KTDMR</t>
  </si>
  <si>
    <t>PL BOCZ.ŁU.B B/CZP/M.CH</t>
  </si>
  <si>
    <t>PL BOCZ.ŁU.B B/CZP/M.OK20KGWOR KT MR</t>
  </si>
  <si>
    <t>PL BOCZ.ŁU.B B/CZP/M.OK20KGWOR PJ</t>
  </si>
  <si>
    <t>PL BOCZ.ŁU.B B/CZP/M.1STFOL OK20KGKT DMR</t>
  </si>
  <si>
    <t>EU BOCZ.ŁU.B B/CZP/M.CH</t>
  </si>
  <si>
    <t>EU BOCZ.ŁU.B B/CZP/M.1STFOL OK20KGKT MR</t>
  </si>
  <si>
    <t>EU BOCZ.ŁU.B B/CZP/M.1STFOL OK20KGKT DMR</t>
  </si>
  <si>
    <t>***PL BOCZ.BL.C B/S.CHOIN.EX CZ</t>
  </si>
  <si>
    <t>PL BOCZ.ŁU.B B/CHB.24X52 CH</t>
  </si>
  <si>
    <t>***EU BOCZ.ŁU.B B/CHB.24X52 CH</t>
  </si>
  <si>
    <t>PL BOCZ.ŁU.B B/S/CZP/M.CH</t>
  </si>
  <si>
    <t>PL BOCZ.ŁU.B B/S/CZP/M.OK20KGFOL KT MR</t>
  </si>
  <si>
    <t>PL BOCZ.ŁU.B B/S/CZP/M.OK20KGFOL KT DMR</t>
  </si>
  <si>
    <t>PL BOCZ.BL.A B/S/CZP.MC.CH</t>
  </si>
  <si>
    <t>***PL BOCZ.BL.A B/S/CZP.MC.OK15KGNBMR ST</t>
  </si>
  <si>
    <t>***PL BOCZ.BL.A B/S/CZP.MC.PBX ST</t>
  </si>
  <si>
    <t>***PL BOCZ.BL.A B/S/CZP.MC.OK15KG NB DMR</t>
  </si>
  <si>
    <t>PL BOCZ.BL.B B/S/CZP.24X52 CH</t>
  </si>
  <si>
    <t>PL BOCZ.BL.B B/S/CZP.24X52 1STV OK20KGKT</t>
  </si>
  <si>
    <t>PL BOCZ.BL.B B/S/CZP.24X52 OK700KG OKT</t>
  </si>
  <si>
    <t>PL BOCZ.BL.B B/S/CZP.24X52 PBX ST</t>
  </si>
  <si>
    <t>PL BOCZ.ŁU.B B/CZP/CHB.CH</t>
  </si>
  <si>
    <t>***PL BOCZ.ŁU.B B/CZP/CHB.OK20KGFOLKT MR</t>
  </si>
  <si>
    <t>PL BOCZ.ŁU.B B/CZP/CHB.OK20KGFOL KT DMR</t>
  </si>
  <si>
    <t>PL BOCZ.BL.A B/S/CZP.24X52 CH</t>
  </si>
  <si>
    <t>PL BOCZ.BL.A B/S/CZP.24X52 OK20KGL PJ ST</t>
  </si>
  <si>
    <t>PL BOCZ.BL.A B/S/CZP.24X52 PBX ST</t>
  </si>
  <si>
    <t>PP BOCZ.BL.A B/S/CZP.24X52 CH</t>
  </si>
  <si>
    <t>PP BOCZ.BL.A B/S/CZP.24X52 OK20KGL PJ ST</t>
  </si>
  <si>
    <t>PP BOCZ.BL.A B/S/CZP.24X52 PBX ST</t>
  </si>
  <si>
    <t>PL BOCZ.BL.B B/S.PBX ST</t>
  </si>
  <si>
    <t>***PL BOCZ.BL.A MC.CH</t>
  </si>
  <si>
    <t>PL BOCZ.BL.A B/S/CZPF.23X49 CH</t>
  </si>
  <si>
    <t>PL BOCZ.BL.A B/S/CZPF.23X49 OK20KGF KTMR</t>
  </si>
  <si>
    <t>PL BOCZ.BL.A B/S/CZPF.23X49 PBX ST</t>
  </si>
  <si>
    <t>PL BOCZ.BL.A B/S/CZPF.23X49 OK20KGFKTDMR</t>
  </si>
  <si>
    <t>***PL BOCZ.BL.A B/S/CZPF.MAX50CM CH</t>
  </si>
  <si>
    <t>***PLBO.BL.A B/S/CZPF.MAX50CMOK20KGWKTMR</t>
  </si>
  <si>
    <t>***PLBOC.BL.AB/S/CZPFMAX50CMOK20KGWKTDMR</t>
  </si>
  <si>
    <t>***EU BOCZ.BL.A B/S/CZPF.MAX50CM CH</t>
  </si>
  <si>
    <t>***EUBO.BL.A B/S/CZPF.MAX50CMOK20KGWKTMR</t>
  </si>
  <si>
    <t>***EUBOC.BL.AB/S/CZPFMAX50CMOK20KGWKTDMR</t>
  </si>
  <si>
    <t>PL BOCZ.BL.B B/P.20X50 CH</t>
  </si>
  <si>
    <t>PL BOCZ.BL.B B/P.20X50 1STVAC OK11KGKT</t>
  </si>
  <si>
    <t>BOCZ.BL.A B/S/CZP.25CM CH</t>
  </si>
  <si>
    <t>***BOCZ.BL.A B/S/CZP.25CM PBX ST</t>
  </si>
  <si>
    <t>PP BOCZ.BL.A B/S/CZP.25CM CH</t>
  </si>
  <si>
    <t>***PP BOCZ.BL.A B/S/CZP.25CM PBX ST</t>
  </si>
  <si>
    <t>PL BOCZ.ŁU.B B/S/CZP/CHB.CH</t>
  </si>
  <si>
    <t>PL BOCZ.ŁU.B B/S/CZP/CHB.MAX4KGVAC20KGPJ</t>
  </si>
  <si>
    <t>PL BOCZ.ŁU.B B/S/CZP/CHB.1/2STOK20KGW PJ</t>
  </si>
  <si>
    <t>***PLBO.ŁU.BB/S/CZP/CHB.MCOK20KGFKTDMREX</t>
  </si>
  <si>
    <t>PL BOCZ.BL.B B/S/P.CH1</t>
  </si>
  <si>
    <t>PL BOCZ.BL.B B/S/P.OK20KG NB MR ST</t>
  </si>
  <si>
    <t>PL BOCZ.BL.B B/S/P.PBX1</t>
  </si>
  <si>
    <t>PL BOCZ.BL.B B/S/P.OK20KGLUZ PJ ST</t>
  </si>
  <si>
    <t>PL BOCZ.BL.B B/S/CZPF.22X56 OK15KGW PJEŁ</t>
  </si>
  <si>
    <t>PL BOCZ.BL.B B/S/P.OK20KG NB DMR</t>
  </si>
  <si>
    <t>PL BOCZ.BL.B B/S/P.CH2</t>
  </si>
  <si>
    <t>PL BOCZ.BL.B B/S/P.RO2</t>
  </si>
  <si>
    <t>PL BOCZ.BL.B B/S/P.PBX2</t>
  </si>
  <si>
    <t>EU BOCZ.BL.B B/S/P.CH</t>
  </si>
  <si>
    <t>EU BOCZ.BL.B B/S/P.PBX1</t>
  </si>
  <si>
    <t>EU BOCZ.BL.B B/S/P.PBX2</t>
  </si>
  <si>
    <t>PP BOCZ.BL.B B/S/P.CH</t>
  </si>
  <si>
    <t>PP BOCZ.BL.B B/S/P.OK20KGLUZ PJ ST</t>
  </si>
  <si>
    <t>PL BOCZ.BL.B B/S/CZPF.22X56 CH</t>
  </si>
  <si>
    <t>PLBOCZ.BLBB/S/CZPF22X56OK1KGVOK4KGKTBIED</t>
  </si>
  <si>
    <t>PPBOCZ.BL.B B/S/CZPF.22X56 1/2STVOK3KGKT</t>
  </si>
  <si>
    <t>PLBOCZ.BLB B/S/CZPF22X56OK1KGVOK4KGKT3OB</t>
  </si>
  <si>
    <t>PP BOCZ.BL.B B/S/CZPF.22X56 CH</t>
  </si>
  <si>
    <t>PL BOCZ.BL.B B/S/CZPF.22X56 ROZP1</t>
  </si>
  <si>
    <t>PL BOCZ.BL.B B/S/CZPF.22X56 ROZP2</t>
  </si>
  <si>
    <t>PL BOCZ.BL.A B/CZP.MC.CH</t>
  </si>
  <si>
    <t>PL BOCZ.BL.A B/CZP.MC.OK20KG NB MRBIEDST</t>
  </si>
  <si>
    <t>PL BOCZ.BL.A B/CZP.MC.PBX EŁ</t>
  </si>
  <si>
    <t>PL BOCZ.BL.A B/CZP.MC.OK20KG NB MR K4</t>
  </si>
  <si>
    <t>PL BOCZ.BL.A B/CZP.MC.PBX SZ</t>
  </si>
  <si>
    <t>PL BOCZ.BL.A B/CZP.MC.OK20KG NB MR EŁ</t>
  </si>
  <si>
    <t>PL BOCZ.BL.A B/CZP.MC.PBX K4</t>
  </si>
  <si>
    <t>PL BOCZ.BL.A B/CZP.MC.PBX 1OB K4</t>
  </si>
  <si>
    <t>PL BOCZ.BL.A B/CZP.MC.CVP PBX K4</t>
  </si>
  <si>
    <t>PL BOCZ.BL.A B/CZP.MC.OK20KG NB DMR BIED</t>
  </si>
  <si>
    <t>PL BOCZ.BL.A B/CZP.MC.RO1</t>
  </si>
  <si>
    <t>PL BOCZ.BL.A B/CZP.MC.RO2</t>
  </si>
  <si>
    <t>PL BOCZ.BL.A B/CZP.MC.PBX ST2</t>
  </si>
  <si>
    <t>EU BOCZ.BL.A B/CZP.MC.CH</t>
  </si>
  <si>
    <t>EU BOCZ.BL.A BL.B/CZP.MC.PBX1</t>
  </si>
  <si>
    <t>EU BOCZ.BL.A BL.B/CZP.MC.PBX2</t>
  </si>
  <si>
    <t>PP BOCZ.BL.A B/CZP.MC.CH</t>
  </si>
  <si>
    <t>PP BOCZ.BL.A B/CZP.MC.OK20KG NB MRBIEDST</t>
  </si>
  <si>
    <t>PP BOCZ.BL.A B/CZP.MC.PBX SZ</t>
  </si>
  <si>
    <t>PP BOCZ.BL.A B/CZP.MC.PBX K4</t>
  </si>
  <si>
    <t>PP BOCZ.BL.A B/CZP.MC.OK20KG NB DMR BIED</t>
  </si>
  <si>
    <t>PP BOCZ.BL.A B/CZP.MC.RO2</t>
  </si>
  <si>
    <t>PP BOCZ.BL.A B/CZP.MC.PBX ST2</t>
  </si>
  <si>
    <t>PL BOCZ.BL.A B/CZP.MC.ROZP1</t>
  </si>
  <si>
    <t>PL BOCZ.BL.A B/CZP.MC.ROZP2</t>
  </si>
  <si>
    <t>***PL BOCZ.BL.A B/S/CZPF.22X56 CH</t>
  </si>
  <si>
    <t>***EU BOCZ.BL.A B/S/CZPF.22X56 CH</t>
  </si>
  <si>
    <t>PL BOCZ.BL.B B/S/CZP.25CM CH</t>
  </si>
  <si>
    <t>PL BOCZ.BL.B B/S/CZP.25CM PBX ST</t>
  </si>
  <si>
    <t>PP BOCZ.BL.B B/S/CZP.25CM CH</t>
  </si>
  <si>
    <t>PP BOCZ.BL.B B/S/CZP.25CM PBX ST</t>
  </si>
  <si>
    <t>PP BOCZ.BL.A B/CZP.MC.PBX EŁ</t>
  </si>
  <si>
    <t>PP BOCZ.BL.A B/CZP.MC.OK20KG NB MR EŁ</t>
  </si>
  <si>
    <t>PP BOCZ.BL.A B/CZP.MC.OK20KG NB MR ST</t>
  </si>
  <si>
    <t>PL BOCZ.BL.C B/P.MAC.CH</t>
  </si>
  <si>
    <t>PL BOCZ.BL.C B/P.MAC.PBX1</t>
  </si>
  <si>
    <t>PL BOCZ.BL.C B/P.MAC.PBX2</t>
  </si>
  <si>
    <t>PP BOCZ.BL.C B/P.MAC.CH</t>
  </si>
  <si>
    <t>PP BOCZ.BL.C B/P.MAC.PBX1</t>
  </si>
  <si>
    <t>PP BOCZ.BL.C B/P.MAC.PBX2</t>
  </si>
  <si>
    <t>PL BOCZ.BL.A B/P.MAC.20CM CH</t>
  </si>
  <si>
    <t>PL BOCZ.BL.A B/P.MAC.20CM PBX1</t>
  </si>
  <si>
    <t>PL BOCZ.BL.A B/P.MAC.20CM PBX2</t>
  </si>
  <si>
    <t>PP BOCZ.BL.A B/P.MAC.20CM CH</t>
  </si>
  <si>
    <t>PP BOCZ.BL.A B/P.MAC.20CM PBX1</t>
  </si>
  <si>
    <t>PP BOCZ.BL.A B/P.MAC.20CM PBX2</t>
  </si>
  <si>
    <t>PL BOCZ.BL.A B/CZP.MC.MAC.CH</t>
  </si>
  <si>
    <t>PL BOCZ.BL.A B/CZP.MC.MAC.PBX1</t>
  </si>
  <si>
    <t>PL BOCZ.BL.A B/CZP.MC.MAC.PBX2</t>
  </si>
  <si>
    <t>PP BOCZ.BL.A B/CZP.MC.MAC.CH</t>
  </si>
  <si>
    <t>PP BOCZ.BL.A B/CZP.MC.MAC.PBX1</t>
  </si>
  <si>
    <t>PP BOCZ.BL.A B/CZP.MC.MAC.PBX2</t>
  </si>
  <si>
    <t>PL BOCZ.BL.A MC.CH1</t>
  </si>
  <si>
    <t>PL BOCZ.BL.A MC.CH2</t>
  </si>
  <si>
    <t>EU BOCZ.BL.A MC.CH1</t>
  </si>
  <si>
    <t>EU BOCZ.BL.A MC.CH2</t>
  </si>
  <si>
    <t>PL BOCZ.BL.B MC.CH</t>
  </si>
  <si>
    <t>EU BOCZ.BL.B MC.CH</t>
  </si>
  <si>
    <t>PL BOCZ.BL.C MC.CH</t>
  </si>
  <si>
    <t>EU BOCZ.BL.C MC.CH</t>
  </si>
  <si>
    <t>***PL BOCZ.BL.ABC MC.OK20KGWOR KT MR EX</t>
  </si>
  <si>
    <t>PL BOCZ.BL.ABC MC.1STFOL OK20KGKT DMR EX</t>
  </si>
  <si>
    <t>PL BOCZ.BL.ABC MC.USR</t>
  </si>
  <si>
    <t>EU BOCZ.BL.ABC MC.USR</t>
  </si>
  <si>
    <t>PL BOCZ.BL.A MC.KAW.MAX12CM CH1</t>
  </si>
  <si>
    <t>PL BOCZ.BL.A MC.KAW.MAX12CM OK15KGNBMRST</t>
  </si>
  <si>
    <t>PL BOCZ.BL.A MC.KAW.MAX12CM PBX ST1</t>
  </si>
  <si>
    <t>PL BOCZ.BL.A MC.KAW.MAX12CM PBX EŁ</t>
  </si>
  <si>
    <t>PL BOCZ.BL.A MC.PBX K4</t>
  </si>
  <si>
    <t>PL BOCZ.BL.A MC.KAW.MAX12CM OK15KGNBDMR</t>
  </si>
  <si>
    <t>PL BOCZ.BL.A MC.KAW.MAX12CM RO1</t>
  </si>
  <si>
    <t>PL BOCZ.BL.A MC.KAW.MAX12CM CH2</t>
  </si>
  <si>
    <t>PL BOCZ.BL.A MC.KAW.MAX12CM RO2</t>
  </si>
  <si>
    <t>PL BOCZ.BL.A MC.KAW.MAX12CM PBX ST2</t>
  </si>
  <si>
    <t>***EU BOCZ.BL.A MC.KAW.MAX12CM CH</t>
  </si>
  <si>
    <t>PL BOCZ.BL.B B/S/CZPF.24X52 CH</t>
  </si>
  <si>
    <t>***PL BOCZ.BL.B B/S/CZPF.22X52 PBX ST</t>
  </si>
  <si>
    <t>***PLBOCZ.BL.BB/S/CZPF.22X52OK700KGOKTST</t>
  </si>
  <si>
    <t>***PP BOCZ.BL.B B/S/CZPF.24X45 CH</t>
  </si>
  <si>
    <t>***PP BOCZ.BL.B B/S/CZPF.22X52 PBX ST</t>
  </si>
  <si>
    <t>***EU BOCZ.BL.B B/S.CH US</t>
  </si>
  <si>
    <t>***PL BOCZ.BL.A B/S/CZPF.24X45 CH</t>
  </si>
  <si>
    <t>***PL BOCZ.BL.A B/S/CZPF.24X45 PBX</t>
  </si>
  <si>
    <t>***PL BOCZ.BL.A B/S/CZPF.24X45OK700KGOKT</t>
  </si>
  <si>
    <t>***PL BOCZ.BL.A B/S/CZPF.24X45 PBX ST</t>
  </si>
  <si>
    <t>PL BOCZ.ŁU.A B/P/M.20X52 CH</t>
  </si>
  <si>
    <t>PL BOCZ.ŁU.A B/P/M.20X52 1STVAC OK12KGKT</t>
  </si>
  <si>
    <t>PL BOCZ.ŁU.A B/P/M.20X52 OK15KGWOR PJ ST</t>
  </si>
  <si>
    <t>PL BOCZ.ŁU.A B/P/M.20CM OK20KGPBMRBIEDEŁ</t>
  </si>
  <si>
    <t>PL BOCZ.BL.B B/CZP.MC.1/3ST CH</t>
  </si>
  <si>
    <t>PL BOCZ.BL.B B/CZP.MC.OK5KGV OK15KGPJSTO</t>
  </si>
  <si>
    <t>PL BOCZ.BL.B B/CZP.MC.OK5KGV OK10KGKTPIP</t>
  </si>
  <si>
    <t>PL BOCZ.BL.B B/CZP.MC.PBX EŁ</t>
  </si>
  <si>
    <t>EU BOCZ.BL.B B/CZP.MC.1/3ST CH</t>
  </si>
  <si>
    <t>PL BOCZ.ŁU.B B/P/M.20CM CH1</t>
  </si>
  <si>
    <t>PL BOCZ.ŁU.B B/P/M.20CM OK15KGWOR KT</t>
  </si>
  <si>
    <t>PL BOCZ.ŁU.B B/P/M.20CM 1STVAC OK15KGKT</t>
  </si>
  <si>
    <t>PL BOCZ.ŁU.B B/P/M.OK20KG PB MR EŁ</t>
  </si>
  <si>
    <t>PL BOCZ.ŁU.B B/P/M.20CM PBX BIED EŁ</t>
  </si>
  <si>
    <t>PL BOCZ.ŁU.B B/P/M.20CM CH2</t>
  </si>
  <si>
    <t>EU BOCZ.ŁU.B B/P/M.20CM CH1</t>
  </si>
  <si>
    <t>EU BOCZ.ŁU.B B/P/M.20CM OK15KGWOR KT</t>
  </si>
  <si>
    <t>EU BOCZ.ŁU.B B/P/M.20CM 1STVAC OK15KGKT</t>
  </si>
  <si>
    <t>EU BOCZ.ŁU.B B/P/M.20CM CH2</t>
  </si>
  <si>
    <t>BOCZ.ŁU.B B/P/M.20CM ROZP1</t>
  </si>
  <si>
    <t>BOCZ.ŁU.B B/P/M.20CM ROZP2</t>
  </si>
  <si>
    <t>***BOCZ.BL.B B/P.ZAK</t>
  </si>
  <si>
    <t>PL BOCZ.BL.B MC.KAW.MAX12CM CH</t>
  </si>
  <si>
    <t>PL BOCZ.BL.B MC.KAW.MAX12CM PBX ST</t>
  </si>
  <si>
    <t>***PL BOCZ.B B/P.OK15KGWOR PJ ST</t>
  </si>
  <si>
    <t>PL BOCZ.BL.B B/S/CZP.28X55 CH</t>
  </si>
  <si>
    <t>***PLBOCZ.BL.B B/S/CZP.28X55 OK20KGFKTMR</t>
  </si>
  <si>
    <t>PL BOCZ.BL.B B/S/CZP.28X55 OK20KGF KTDMR</t>
  </si>
  <si>
    <t>EU BOCZ.BL.B B/S/CZP.28X55 CH</t>
  </si>
  <si>
    <t>***EUBOCZ.BL.B B/S/CZP.28X55 OK20KGFKTMR</t>
  </si>
  <si>
    <t>EU BOCZ.BL.B B/S/CZP.28X55 OK20KGF KTDMR</t>
  </si>
  <si>
    <t>GŁ.WP.CAŁ.Z/USZ.RO1</t>
  </si>
  <si>
    <t>GŁ.WP.CAŁ.Z/USZ.RO2</t>
  </si>
  <si>
    <t>SNAKERSY PAPR.NADZ.KRA</t>
  </si>
  <si>
    <t>SZYN.BIAŁA KRÓLEWSKA MAX2KG AS MOR</t>
  </si>
  <si>
    <t>SZYN.BIAŁA KRÓLEWSKA MAX2KG BS MOR</t>
  </si>
  <si>
    <t>SZYN.BIAŁA KRÓLEWSKA OK2KGLUZOK6KGKT MOR</t>
  </si>
  <si>
    <t>SZYN.BIAŁA KRÓLEWSKA OK6KGLUZ KT MOR</t>
  </si>
  <si>
    <t>KRAKOWSKA PARZONA 1STVAC OK7.5KGKT MOR</t>
  </si>
  <si>
    <t>ZESTAW PROD.164ST STAND KRA III</t>
  </si>
  <si>
    <t>KABAN.DROB/WP.250GMAP 10STKT KRA</t>
  </si>
  <si>
    <t>SNAKERSY CLASS.AD KRA</t>
  </si>
  <si>
    <t>SNAKERSY CLASS.BS KRA</t>
  </si>
  <si>
    <t>SNAKERSY CLASS.AS KRA</t>
  </si>
  <si>
    <t>SNAKERSY CLASS.85GMAP 14STKT KRA</t>
  </si>
  <si>
    <t>5901784165136</t>
  </si>
  <si>
    <t>SNAKERSY PAPR.AD KRA</t>
  </si>
  <si>
    <t>SNAKERSY PAPR.BS KRA</t>
  </si>
  <si>
    <t>SNAKERSY PAPR.AS KRA</t>
  </si>
  <si>
    <t>SNAKERSY PAPR.85GMAP 14STKT KRA</t>
  </si>
  <si>
    <t>5901784165150</t>
  </si>
  <si>
    <t>KAR.KR.580X385X160 5W SZAR.</t>
  </si>
  <si>
    <t>ST.WKŁADKA 354X429 3W BIA.</t>
  </si>
  <si>
    <t>KAR.WA.296X196X129 3W KOL.SNAKERSY KRA C</t>
  </si>
  <si>
    <t>CN OS.NAT.JEL.WP.40/44 2/16-OD.PAS.</t>
  </si>
  <si>
    <t>OS.NAT.JEL.WP.28/30 4/+ 6/10-OD.PAS.</t>
  </si>
  <si>
    <t>OS.NAT.JEL.WP.30/32 4/+ 6/10-OD.PAS.ODW.</t>
  </si>
  <si>
    <t>OS.NAT.JEL.WP.32/34 4/+ 6/10-OD.PAS.</t>
  </si>
  <si>
    <t>OS.NAT.JEL.WP.34/36 4/+ 6/10-OD.PAS.</t>
  </si>
  <si>
    <t>OS.NAT.JEL.WP.36/38 4/+ 6/10-OD.PAS.</t>
  </si>
  <si>
    <t>OS.NAT.JEL.WP.38/40 4/+ 6/10-OD.PAS.</t>
  </si>
  <si>
    <t>OS.NAT.JEL.WP.40/42 4/+ 6/10-OD.PAS.</t>
  </si>
  <si>
    <t>OS.NAT.JEL.WP.30/32 4/+ 6/10-OD.PAS.</t>
  </si>
  <si>
    <t>OS.NAT.JEL.WP.42/+ .4/+ 6/10-OD.PAS.</t>
  </si>
  <si>
    <t>OS.NAT.JEL.WP.28/- 4/+ 6/10-OD.PAS.</t>
  </si>
  <si>
    <t>OS.NAT.JEL.WP.30/32 14/+ 5/6-OD.PAS.FES.</t>
  </si>
  <si>
    <t>OS.NAT.JEL.WP.30/32 14+ 4/6-OD.PAS.FES.</t>
  </si>
  <si>
    <t>***FOL.PET/EVOH/PE 42X230 KABAN.Z/CZOSN.</t>
  </si>
  <si>
    <t>***FOL.PET/PE/EVOH/PE 57X525 TAP.MOR</t>
  </si>
  <si>
    <t>***FOL.PA/PE 200X523</t>
  </si>
  <si>
    <t>WOR.PE 900X600 GR40</t>
  </si>
  <si>
    <t>***ET.100X200 BOCZ.Z/K.EXPERT MORLINY</t>
  </si>
  <si>
    <t>***ET.OZD.80X100K.ŚLĄSKA 1.3KG LIDL AT P</t>
  </si>
  <si>
    <t>***ET.OZDP.80x100 KIEŁB.BOCZ/CEB.G&amp;F P</t>
  </si>
  <si>
    <t>***ET.OZDP.80X100 KIEŁB.SER/CHILI G&amp;F P</t>
  </si>
  <si>
    <t>***ET.TRMP.75X90 KIEŁB.BOCZ/CEB.G&amp;F T</t>
  </si>
  <si>
    <t>***ET.TRMP.75X90 KIEŁB.SER/CHILI G&amp;F T</t>
  </si>
  <si>
    <t>***KAR.BECZKA 160L 850X800</t>
  </si>
  <si>
    <t>KAR.KR.577X380X151 5W BIA.AX</t>
  </si>
  <si>
    <t>SZYN.BIAŁA KRÓLEWSKA</t>
  </si>
  <si>
    <t>EU MŚ.SZYN.ODBŁ.JAS.OK20KG NB MR ST</t>
  </si>
  <si>
    <t>EU  MŚ.SZYN.ODBŁ.JAS.OK20KG NB DMR</t>
  </si>
  <si>
    <t>PP MŚ.GOL.Z SZYN.RO2</t>
  </si>
  <si>
    <t>EU MŚ.SZYN.ODBŁ.CIE.OK20KG NB MR ST</t>
  </si>
  <si>
    <t>EU MŚ.SZYN.ODBŁ.CIE.OK15KG NB DMR</t>
  </si>
  <si>
    <t xml:space="preserve"> EU ŁOP.4D OK1KGVAC OK6KGKT BIED</t>
  </si>
  <si>
    <t>EU ŁOP.4D KAW.</t>
  </si>
  <si>
    <t>PL KARK.B/K.Z/KOR/W.1STVAC OK20KGKTMR EX</t>
  </si>
  <si>
    <t>PL KARK.B/K.Z/KOR/W.1STVACOK20KGKTDMR EX</t>
  </si>
  <si>
    <t>EU KARK.B/K.Z/KOR/W.1STVACOK20KGKT MR EX</t>
  </si>
  <si>
    <t>EU KARK.B/K.Z/KOR/W.1STVACOK20KGKTDMR EX</t>
  </si>
  <si>
    <t>EU MŚ.SZYN.N/ODBŁ.JAS.OK20KG NB MR ST</t>
  </si>
  <si>
    <t>EU MŚ.SZYN.N/ODBŁ.JAS.OK20KG NB DMR</t>
  </si>
  <si>
    <t>PP OGON Z/K.KRZ.CH</t>
  </si>
  <si>
    <t>PP OGON Z/K.KRZ.OK4KGWOR OK4KGKT BIED</t>
  </si>
  <si>
    <t>PP OGON Z/K.KRZ.USR</t>
  </si>
  <si>
    <t>PP ŻEB.MOST.Z/CH/MP.OK5KGMAPOK5KGKT BIED</t>
  </si>
  <si>
    <t>PL ŻEB.SCH.&gt;600G OK20KGWOR KT DMR</t>
  </si>
  <si>
    <t>M-SO WP.DR.KL1 CIE.Z ŁOP.MAC.CH</t>
  </si>
  <si>
    <t>M-SO WP.DR.KL1 CIE.Z ŁOP.MAC.PBX ST</t>
  </si>
  <si>
    <t>***SŁONINA PRZEM.B/S.10KGWOR KT MR EX</t>
  </si>
  <si>
    <t>PP OZORY OK3KGWOR OK3KGKT BIED</t>
  </si>
  <si>
    <t>PP NERKI CH</t>
  </si>
  <si>
    <t>PP NERKI OK3KGVAC OK3KGKT BIED</t>
  </si>
  <si>
    <t>SL Z JEL.CIE.ZASOL.CH</t>
  </si>
  <si>
    <t>PP KOŚCI RÓŻNOK.SZYN.ŁOP.CH</t>
  </si>
  <si>
    <t>PP KOŚCI RÓŻNOK.SZYN.ŁOP.OK4KGWORKT BIED</t>
  </si>
  <si>
    <t>PP KOŚCI RÓŻNOK.SZYN.ŁOP.USR</t>
  </si>
  <si>
    <t>EU ŁOP.3D 1STVAC OK20KGKT</t>
  </si>
  <si>
    <t>PP BOCZ.BL.A B/CZP.MC.OK20KG NB MR SZ</t>
  </si>
  <si>
    <t>PL GŁ.WP.CAŁ.B/USZ.PBX 1OB K4</t>
  </si>
  <si>
    <t>KK UDO B/K/S.DCZ.RO1</t>
  </si>
  <si>
    <t>KK UDO B/K/S.DCZ.RO2</t>
  </si>
  <si>
    <t>SERD.WP/DROB.FARSZ MOR</t>
  </si>
  <si>
    <t>SERD.WP/DROB.AS MOR</t>
  </si>
  <si>
    <t>SERD.WP/DROB.BS MOR</t>
  </si>
  <si>
    <t>SERD.WP/DROB.OK900GMAP OK7.2KGKT MOR</t>
  </si>
  <si>
    <t>WĘDZ.KROTOSZYŃSKA OK500GVAC 5KGKT KRA</t>
  </si>
  <si>
    <t>95901784165092</t>
  </si>
  <si>
    <t>ZESTAW PROD.169ST STAND KRA III</t>
  </si>
  <si>
    <t>5901784165297</t>
  </si>
  <si>
    <t>SNAKERSY CLASS.85GMAP BL</t>
  </si>
  <si>
    <t>SNAKERSY PAPR.85GMAP BL</t>
  </si>
  <si>
    <t>SNAKERSY MIX 85GMAP 14STKT KRA</t>
  </si>
  <si>
    <t>MIESZ.FUNK.PAR.PIKAN.COMBI PL 4569</t>
  </si>
  <si>
    <t>MIESZ.FUNK.ALMI GEL MIX 5333</t>
  </si>
  <si>
    <t>MIESZ.AROM.SMAK SZLACHECKI 01 1788N</t>
  </si>
  <si>
    <t>***FOL.PET/EVOH/PE 55X490 MOR</t>
  </si>
  <si>
    <t>FOL.PA/EVOH/PE 80X415</t>
  </si>
  <si>
    <t>WYKRAW.ŚRODKÓW</t>
  </si>
  <si>
    <t>PL SZYN.4D B/M.BRZ.KAW.</t>
  </si>
  <si>
    <t>EU SZYN.4D B/M.BRZ.KAW.</t>
  </si>
  <si>
    <t>EU SZYN.4D B/M.BRZ.OK1.3KGVACOK6KGKTBIED</t>
  </si>
  <si>
    <t>PL ŻEB.SCH.&gt;600G OK20KGWOR KT MR</t>
  </si>
  <si>
    <t>PL MŚ.SZYN.ODBŁ.PÓŁBŁ.OK20KGLUZ PJ AGRO</t>
  </si>
  <si>
    <t>EU ŁOP.4D MAX20KGWOR PJ POLM</t>
  </si>
  <si>
    <t>EU KARK.B/K.Z/KOR.OK1.4KGVACOK6KGKTBIED</t>
  </si>
  <si>
    <t>EU KARK.B/K.Z/KOR.MAX20KGWOR PJ</t>
  </si>
  <si>
    <t>EU KARK.B/K.Z/KOR.KAW.</t>
  </si>
  <si>
    <t>PP KARK.B/K.Z/KOR/CZ.WAR.MAC.KAW.PBX ST</t>
  </si>
  <si>
    <t>EU SKÓRY B/TŁ.CH</t>
  </si>
  <si>
    <t>EU SKÓRY B/TŁ.PBX1</t>
  </si>
  <si>
    <t>EU SKÓRY B/TŁ.OK500KG OKT</t>
  </si>
  <si>
    <t>EU SKÓRY B/TŁ.USR</t>
  </si>
  <si>
    <t>EU SKÓRY B/TŁ.PBX2</t>
  </si>
  <si>
    <t>M-SO WP.TRYMING 75/25 ŻWACZE CH</t>
  </si>
  <si>
    <t>M-SO WP.TRYMING 75/25 ŻWACZE PBX1</t>
  </si>
  <si>
    <t>M-SO WP.TRYMING 75/25 ŻWACZE PBX2</t>
  </si>
  <si>
    <t>PP M-SO WP.DR.KL1 CIE.Z ŁOP.MAC.CH</t>
  </si>
  <si>
    <t>PP M-SO WP.DR.KL1 CIE.Z ŁOP.MAC.PBX ST</t>
  </si>
  <si>
    <t>SL Z JEL.CIE.ZASOL.200L BECZ.ST</t>
  </si>
  <si>
    <t>EU ŁOP.3D 1STVAC OK18KGPJ</t>
  </si>
  <si>
    <t>KIEŁB.ZWYCZAJNA DROB/WP.FARSZ</t>
  </si>
  <si>
    <t>***POL.SOPOCKA EXT.1/2STTRM OK15KGKT YAN</t>
  </si>
  <si>
    <t>***POL.SOPOCKA EXT.1/2STTRM OK15KGKT CZ</t>
  </si>
  <si>
    <t>***BAL.WĘDZ.PARZ.OK450GVAC OK6KGKT MOR</t>
  </si>
  <si>
    <t>***BAL.WĘDZ.PARZ.OK450GVAC 6KGKT MOR</t>
  </si>
  <si>
    <t>***BOCZ.CARSKI OK500GVAC 7STKT ELIT</t>
  </si>
  <si>
    <t>***BOCZ.WĘDZ.PARZ.OK400GVACOK5KGKT LV/EE</t>
  </si>
  <si>
    <t>***BOCZ.WĘDZ.PARZ.OK450GVAC 5KGKT LIDL</t>
  </si>
  <si>
    <t>***BOCZ.WĘDZ.PARZ.SZER.1/2STTRMOK15KGKTY</t>
  </si>
  <si>
    <t>***KIEŁB.PODW.95% OK500GVAC 6KGKT NETTO</t>
  </si>
  <si>
    <t>***KIEŁB.ZWYCZAJNA OK1KGMAP 6KGKT YAN</t>
  </si>
  <si>
    <t>***K.ŚLĄSKA CODZIENNA OK1KGMAP OK7.2KGKT</t>
  </si>
  <si>
    <t>***ŚLĄZERKI MIX 240GMAP 16STKT MOR</t>
  </si>
  <si>
    <t>***ŚLĄZERKI MIX 240GMAP 12STKT MOR</t>
  </si>
  <si>
    <t>***KIEŁB.BIAŁE 300GMAP 20STKT LIDL</t>
  </si>
  <si>
    <t>***KIEŁB.PODWAW.300GMAP 16STKT MOR</t>
  </si>
  <si>
    <t>***KIEŁB.ŚLĄSKA OK1.3KGMAP 7.7KGKT LIDL</t>
  </si>
  <si>
    <t>***KIEŁB.ZWYCZ.DOMOWA OK1KGMAP OK10KGKTY</t>
  </si>
  <si>
    <t>***FRANK.240GMAP 11STKT MOR EX</t>
  </si>
  <si>
    <t>***SZYN.KLASYCZNA OK400GVAC 4KGKT ALDI</t>
  </si>
  <si>
    <t>***SZYN.DELIKATNA OK500GVACOK3.5KGKT MOR</t>
  </si>
  <si>
    <t>5901784165273</t>
  </si>
  <si>
    <t>***POL.ŁOSOS.OK400GVAC OK5KGKT KRA</t>
  </si>
  <si>
    <t>***KIEŁB.PIEPRZOWE 300GMAP 10STKT KRA</t>
  </si>
  <si>
    <t>***ZESTAW PROD.226ST STAND KRA I</t>
  </si>
  <si>
    <t>***ZESTAW PROD.164ST STAND KRA II</t>
  </si>
  <si>
    <t>***ZESTAW PROD.217ST STAND KRA</t>
  </si>
  <si>
    <t>ZESTAW PROD.176ST STAND KRA</t>
  </si>
  <si>
    <t>***SZYN.RYCERSKA 1STVAC OK10KGKT KRA</t>
  </si>
  <si>
    <t>***SZYN.RYCERSKA 1STVAC OK4KGKT KRA</t>
  </si>
  <si>
    <t>***SZYN.RYCERSKA 1/2STVAC OK5KGKT KRA</t>
  </si>
  <si>
    <t>***SZYN.ZAPIE.OK400GVAC OK5KGKT KRA EX</t>
  </si>
  <si>
    <t>***PP SZYN.ŚWIĘTOKRZ.OK450GVACOK5KGKTKRA</t>
  </si>
  <si>
    <t>MIESZ.FUNK.STABEX 4789/2</t>
  </si>
  <si>
    <t>FOL.PA/EVOH/PE 250X424</t>
  </si>
  <si>
    <t xml:space="preserve">Woda </t>
  </si>
  <si>
    <t xml:space="preserve">Mięso </t>
  </si>
  <si>
    <t>EU SZYN.1.5D OK20KG NB MR ST</t>
  </si>
  <si>
    <t>EU SZYN.1.5D OK20KG NB DMR</t>
  </si>
  <si>
    <t>EU SZYN.1.5D RO1</t>
  </si>
  <si>
    <t>EU SZYN.1.5D RO2</t>
  </si>
  <si>
    <t>PL SZYN.4D 1STVAC OK15KGKT MET</t>
  </si>
  <si>
    <t>EU MŚ.BRZ.N/OBR.OK20KG NB MR ST</t>
  </si>
  <si>
    <t>EU MŚ.BRZ.N/OBR.OK20KG NB DMR</t>
  </si>
  <si>
    <t>EU MŚ.BRZ.N/OBR.RO1</t>
  </si>
  <si>
    <t>EU MŚ.BRZ.N/OBR.RO2</t>
  </si>
  <si>
    <t>EU MŚ.GOL.Z SZYN.OK20KG NB MR ST</t>
  </si>
  <si>
    <t>EU MŚ.GOL.Z SZYN.OK20KG NB DMR</t>
  </si>
  <si>
    <t>EU SKÓRY B/TŁ.OK20KG NB MR ST</t>
  </si>
  <si>
    <t>EU SKÓRY B/TŁ.OK20KG NB DMR</t>
  </si>
  <si>
    <t>EU SKÓRY B/TŁ.RO1</t>
  </si>
  <si>
    <t>EU SKÓRY B/TŁ.RO2</t>
  </si>
  <si>
    <t>EU SKÓRY B/TŁ.Z SZYN.CH</t>
  </si>
  <si>
    <t>EU SKÓRY B/TŁ.Z SZYN.OK20KG NB MR ST</t>
  </si>
  <si>
    <t>EU SKÓRY B/TŁ.Z SZYN.OK20KG NB DMR</t>
  </si>
  <si>
    <t>EU PODG.B/S.OK15KG NB MR ST</t>
  </si>
  <si>
    <t>EU PODG.B/S.OK15KG NB DMR</t>
  </si>
  <si>
    <t>EU PODG.B/S.RO1</t>
  </si>
  <si>
    <t>EU EL.SZYN.SZWAGRA OK20KG NB MR ST</t>
  </si>
  <si>
    <t>EU EL.SZYN.SZWAGRA OK20KG NB DMR</t>
  </si>
  <si>
    <t>EU EL.SZYN.SZWAGRA RO1</t>
  </si>
  <si>
    <t>EU EL.SZYN.SZWAGRA RO2</t>
  </si>
  <si>
    <t>EU EL.SZYN.SZWAGRA CH</t>
  </si>
  <si>
    <t>ELEM.SZYN.KLASYCZNA OK20KG NB DMR</t>
  </si>
  <si>
    <t>KIEŁB.ZWYCZAJNA DROB/WP.FES FARSZ</t>
  </si>
  <si>
    <t>KIEŁB.ZWYCZAJNA DROB/WP.FES AS</t>
  </si>
  <si>
    <t>KIEŁB.ZWYCZAJNA OK1KGMAP 6KGKT NETTO II</t>
  </si>
  <si>
    <t>KIEŁB.BIESIADNA 1KGMAP 8STKT YAN II</t>
  </si>
  <si>
    <t>5901784165259</t>
  </si>
  <si>
    <t>JEL.CIEN.ODW.30/32 PAS.SOL.91.4M PĘCZ.</t>
  </si>
  <si>
    <t>PL SCH.B/K/TŁ.1STVAC OK20KGKT MET</t>
  </si>
  <si>
    <t>EU SCH.B/K.Z/WAR.1STVAC OK20KGKT MET</t>
  </si>
  <si>
    <t>PL SZYN.1.5D MAC.PBX ST1</t>
  </si>
  <si>
    <t>PL SZYN.1.5D MAC.PBX ST2</t>
  </si>
  <si>
    <t>PP SZYN.1.5D MAC.PBX ST1</t>
  </si>
  <si>
    <t>PP SZYN.1.5D MAC.PBX ST2</t>
  </si>
  <si>
    <t>EU SZYN.4D 1STVAC OK15KGKT MET</t>
  </si>
  <si>
    <t>EU MŚ.SZYN.ODBŁ.PÓŁBŁ.PBX ST</t>
  </si>
  <si>
    <t>EU ŁOP.4D 1STVAC OK20KGKT MET</t>
  </si>
  <si>
    <t>EU KARK.B/K.1STVAC OK20KGKT MET</t>
  </si>
  <si>
    <t>PL ŻEB.PIE.4STMAP OK9KGKT SEL</t>
  </si>
  <si>
    <t>PL ŻEB.PIE.3STMAP OK12KGPJ ECS</t>
  </si>
  <si>
    <t>PL ŻEB.PIE.Z.OK4KGMAP OK12KGKT MORE EX</t>
  </si>
  <si>
    <t>EU ŻEB.PIE.3STMAP OK12KGPJ ECS</t>
  </si>
  <si>
    <t>EU ŻEB.MOST.Z/CH.B/MP.OK15KG PB MR ST</t>
  </si>
  <si>
    <t>EU ŻEB.MOST.Z/CH.B/MP.OK15KG PB DMR</t>
  </si>
  <si>
    <t>EU PODG.B/S.RO2</t>
  </si>
  <si>
    <t>PL BOCZ.BL.B B/P.20CM OK1KGVOK12KGKTAUCH</t>
  </si>
  <si>
    <t>M-SO WP.TRYMING75/25 ŻWACZE OK20KGNBMRST</t>
  </si>
  <si>
    <t>M-SO WP.TRYMING 75/25 ŻWACZE OK20KGNBDMR</t>
  </si>
  <si>
    <t>M-SO WP.TRYMING 75/25 ŻWACZE RO1</t>
  </si>
  <si>
    <t>M-SO WP.TRYMING 75/25 ŻWACZE RO2</t>
  </si>
  <si>
    <t>PP MOM WP.CH</t>
  </si>
  <si>
    <t>PP MOM WP.OK20KG NB MR ST</t>
  </si>
  <si>
    <t>PP MOM WP.PBX1</t>
  </si>
  <si>
    <t>PP MOM WP.OK20KG NB DMR</t>
  </si>
  <si>
    <t>PP MOM WP.RO1</t>
  </si>
  <si>
    <t>PP MOM WP.RO2</t>
  </si>
  <si>
    <t>PP MOM WP.PBX2</t>
  </si>
  <si>
    <t>JELITO GRU.SOL.5.2KGSIA.BL</t>
  </si>
  <si>
    <t>JELITO GRU.MAC.SOL.5.2KGSIA.BL</t>
  </si>
  <si>
    <t>JELITO GRU.SOL.20M 5.2KGSIA.40STBECZ.</t>
  </si>
  <si>
    <t>PP KOŚCI POKRZEP.CH</t>
  </si>
  <si>
    <t>EU MŚ.CZTER.N/OBR.Z/NAP.PBX1</t>
  </si>
  <si>
    <t>EU MŚ.CZTER.N/OBR.Z/NAP.PBX2</t>
  </si>
  <si>
    <t>***PL BOCZ.BL.B OK20KGWOR PJ EX</t>
  </si>
  <si>
    <t>***PL BOCZ.BL.B OK500KG OKT</t>
  </si>
  <si>
    <t>***PLBOCZ.ŁU.B B/S/CZP/CHBOK20KGFKTMREX</t>
  </si>
  <si>
    <t>EU SUR.MIĘS.90/10 PEKL.1.5% OK20KGNB DMR</t>
  </si>
  <si>
    <t>KIEŁB.BIWAKOWA WP/DROB.FES FARSZ</t>
  </si>
  <si>
    <t>KIEŁB.KRAK.Z KUR.400GVAC 18STKT MOR</t>
  </si>
  <si>
    <t>KIEŁB.KRAK.Z KUR.400GVAC 12STKT MOR EX</t>
  </si>
  <si>
    <t>***K.PODWAWELSKA OK500GVACOK7KGKTBIEDII</t>
  </si>
  <si>
    <t>***KIEŁB.BIWAKOWA OK1.2KGMAP7.2KGKT LIDL</t>
  </si>
  <si>
    <t>***KIEŁB.MIX 300GMAP 20STKT LIDL</t>
  </si>
  <si>
    <t>KIEŁB.BIWAKOWA WP/DROB.FES AS</t>
  </si>
  <si>
    <t>***K.CODZIENNA OK1.2KGMAP7.2KGKTLIDL RO</t>
  </si>
  <si>
    <t>***KIEŁB.WP.PARZ.420GMAP 18STKT MR BP</t>
  </si>
  <si>
    <t>KONS.MIEL.LUKS.+KONS.WP.W S.WŁ.80STPJKRA</t>
  </si>
  <si>
    <t>***KIEŁB.ŻYWIECKA 600GVAC 11STKT LIDL</t>
  </si>
  <si>
    <t>ZESTAW PROD.156ST STAND KRA</t>
  </si>
  <si>
    <t>5901784165396</t>
  </si>
  <si>
    <t>***KIEŁB.PODSUSZ.GOLD 260GMAP 12STKT KRA</t>
  </si>
  <si>
    <t>JEL.CIEN.28/30 LUZ SOL.90M PĘCZ.ST</t>
  </si>
  <si>
    <t>JEL.CIEN.26/28 LUZ SOL.90M PĘCZ.ST</t>
  </si>
  <si>
    <t>OS.NAT.JEL.WP.30/32 10/+ 6/8-OD.PAS.</t>
  </si>
  <si>
    <t>PP SUR.MIĘS.80/20 PEKL.1.5%</t>
  </si>
  <si>
    <t>PP SUR.MIĘS.60/40 PEKL.1.5%</t>
  </si>
  <si>
    <t>PP SUR.MIĘS.Z SZYN.90/10 PEKL.1.5%</t>
  </si>
  <si>
    <t>PP KOŚCI POKRZEP.PBX K4</t>
  </si>
  <si>
    <t>SUR.MIĘS.75/25 PEKL.1.5%</t>
  </si>
  <si>
    <t>EU SUR.MIĘS.90/10 PEKL.1.5%</t>
  </si>
  <si>
    <t>PP M-SO WP.DR.KL2B PBX K4</t>
  </si>
  <si>
    <t>PL SCH.B/K/TŁ.KAW.OK1.5KGVACOK12KGKT SAN</t>
  </si>
  <si>
    <t>PL SCH.B/K/TŁ.KAW.OK1.5KGVAC OK5GKT AUCH</t>
  </si>
  <si>
    <t>PL SZYN.4D.1STVAC OK20KGKT EX</t>
  </si>
  <si>
    <t>PL SZYN.4D MAX.21KGLUZ PJ POLM</t>
  </si>
  <si>
    <t>PL SZYN.4D KAW.OK1.5KGVACOK15KGKT SEL</t>
  </si>
  <si>
    <t>PL SZYN.4D KAW.OK1.5KGVACOK12KGKT SAN</t>
  </si>
  <si>
    <t>PL SZYN.4D KAW.OK1.5KGVAC OK12KGKT AUCH</t>
  </si>
  <si>
    <t>PL ŁOP.4D 1STVAC OK10KGKT PIP</t>
  </si>
  <si>
    <t>PL ŁOP.4D 1STVAC OK14KGKT MORE EX</t>
  </si>
  <si>
    <t>PL ŁOP.4D OK15KGLUZ PJ AGRO</t>
  </si>
  <si>
    <t>PL ŁOP.4D OK1.5KGVAC OK12KGKT SAN</t>
  </si>
  <si>
    <t>PL ŁOP.4D OK1.5KGVAC OK12KGKT AUCH</t>
  </si>
  <si>
    <t>PL KARK.B/K.Z/KOR.1STVAC OK15KGKT AUCH</t>
  </si>
  <si>
    <t>PL KARK.B/K/KOR/WAR.1STVAC OK15KGKT AUCH</t>
  </si>
  <si>
    <t>PL KARK.B/K.Z/KOR.OK1.5KGVAC OK12KGKTSAN</t>
  </si>
  <si>
    <t>PL BOCZ.B B/P.2STMAP 2STKT KAUF</t>
  </si>
  <si>
    <t>PL ŻEB.BOCZ.8CM OK2.5KGMAP OK5KGKT PIP</t>
  </si>
  <si>
    <t>PL ŻEB.BOCZ.8CM OK2.5KGMAP OK10KGKT MAKR</t>
  </si>
  <si>
    <t>PL ŻEB.PIE.OK3KGMAP OK6KGKT CARR</t>
  </si>
  <si>
    <t>PL ŻEB.PIE.OK2.5KGMAP OK10KGKT MAKR</t>
  </si>
  <si>
    <t>PL ŻEB.BOCZ.4STMAP OK6KGKT ME</t>
  </si>
  <si>
    <t>PL ŻEB.PŁAT.B/CH.OK2.7KGMAP OK16KGPJ ECS</t>
  </si>
  <si>
    <t>EU ŻEB.MOST.Z/CH.B/MP.PBX1</t>
  </si>
  <si>
    <t>PL NOGA TYL.OK2KGMAP OK12KGKT ECS</t>
  </si>
  <si>
    <t>PL GOL.PRZED.4STMAP 2STKT KAUF</t>
  </si>
  <si>
    <t>PL GOL.PRZED.OK3KGMAP OK9KGKT MAKR</t>
  </si>
  <si>
    <t>PL GOL.PRZED.4STMAP OK9KGKT ME</t>
  </si>
  <si>
    <t>PL GOL.TYL.3STMAP 2STKT KAUF</t>
  </si>
  <si>
    <t>NOGA PRZED.OK3KGMAP OK10KGKT MAKR</t>
  </si>
  <si>
    <t>USZY OK10KGLUZ PJ ST</t>
  </si>
  <si>
    <t>PL MŚ.CZTER.N/OBR.4STMAP 2STKT KAUF</t>
  </si>
  <si>
    <t>PL BOCZ.BL.B B/P.20CM OK1KGVOK12KGKT SAN</t>
  </si>
  <si>
    <t>PL BOCZ.BL.A B/P.1/2STVAC OK20KGKT MR NZ</t>
  </si>
  <si>
    <t>PL ŻEB.MOST.Z/CH/MP.OK4KGMAP OK12KGKTSAN</t>
  </si>
  <si>
    <t>PP ŻEB.Z PŁAT.SCH/BOCZ.8-10 3OB ROZP1</t>
  </si>
  <si>
    <t>PP ŻEB.Z PŁAT.SCH/BOCZ.8-10 3OB ROZP2</t>
  </si>
  <si>
    <t>SUR.MIĘSNE DO PROD.MIĘSA 29%</t>
  </si>
  <si>
    <t>SUR.MIĘSNE DO PROD.MIĘSA 29% PBX ST</t>
  </si>
  <si>
    <t>TŁUSZCZ WP.DR.PBX EŁ1</t>
  </si>
  <si>
    <t>TŁ.WP.DR.OK15KG WOR PJ CH EŁ1</t>
  </si>
  <si>
    <t>PP TŁUSZCZ WP.DR.PBX EŁ1</t>
  </si>
  <si>
    <t>PP TŁUSZCZ WP.DR.OK15KGWOR PJ EŁ</t>
  </si>
  <si>
    <t>WĄTROBA WP.OK2KGMAP OK12KGPJ ECS</t>
  </si>
  <si>
    <t>JELITO GRU.FI&lt;62 CH</t>
  </si>
  <si>
    <t>JEL.GRU.FI&lt;62 SOL.20M 4.1KGSIA.BL</t>
  </si>
  <si>
    <t>JEL.GRU.FI&lt;62 SOL.20M 4.1KGSIA.45STBECZ.</t>
  </si>
  <si>
    <t>20 m w siatce,45 siatek w beczce / 20 m/net,45 nets in a barrel</t>
  </si>
  <si>
    <t>KOŚCI SCH.OK2.5KGMAP OK10KGPJ ECS</t>
  </si>
  <si>
    <t>EU KOŚCI RUR.SZYN.ŁOP.PBX</t>
  </si>
  <si>
    <t>PL BOCZ.ŁU.B B/S/CZP/M.OK20KGLUZPJ AGRO</t>
  </si>
  <si>
    <t>KK UDO B/K.LUZPJ OK630KG OP</t>
  </si>
  <si>
    <t>SUR.MIĘS.Z ŁOP.SZYN.TŁ.20%</t>
  </si>
  <si>
    <t>SUR.MIĘS.Z ŁOP.PODG.TŁ.40%</t>
  </si>
  <si>
    <t>SUR.MIĘS.65/35 PEKL.2%</t>
  </si>
  <si>
    <t>SUR.MIĘS.80/20 PEKL.1.5%</t>
  </si>
  <si>
    <t>PP SUR.MIĘS.80/20 PEKL.1.5% OK20KG NB MR</t>
  </si>
  <si>
    <t>PP SUR.MIĘS.80/20 PEKL.1.5% OK20KGNB DMR</t>
  </si>
  <si>
    <t>PP SUR.MIĘS.80/20 PEKL.1.5% RO</t>
  </si>
  <si>
    <t>SUR.MIĘS.60/40 PEKL.1.5%</t>
  </si>
  <si>
    <t>PP SUR.MIĘS.60/40 PEKL.1.5% OK20KG NB MR</t>
  </si>
  <si>
    <t>PP SUR.MIĘS.60/40 PEKL.1.5% OK20KGNB DMR</t>
  </si>
  <si>
    <t>PP SUR.MIĘS.60/40 PEKL.1.5% RO</t>
  </si>
  <si>
    <t>PP SUR.MIĘS.KL4 PEKL.1.5%</t>
  </si>
  <si>
    <t>SUR.MIĘS.80/20 PEKL.1.5% II</t>
  </si>
  <si>
    <t>SUR.MIĘS.60/40 PEKL.1.5% II</t>
  </si>
  <si>
    <t>EU SUR.MIĘS.90/10PEKL.1.5% OK20KG NB MR</t>
  </si>
  <si>
    <t>PP SUR.MIĘS.90/10PEKL.1.5% OK20KG NB MR</t>
  </si>
  <si>
    <t>PP SUR.MIĘS.90/10 PEKL.1.5% OK20KGNB DMR</t>
  </si>
  <si>
    <t>PP SUR.MIĘS.90/10 PEKL.1.5% RO</t>
  </si>
  <si>
    <t>PP M-SO WP.DR.KL1 CIE.PEKL.1.5%</t>
  </si>
  <si>
    <t>KIEŁB.KRUCHA PIE.FARSZ</t>
  </si>
  <si>
    <t>ZP OS.ŻELOWA CZER.</t>
  </si>
  <si>
    <t>***POL.SOPOCKA EXT.OK500GVACOK5KGKTEXRO</t>
  </si>
  <si>
    <t>***BOCZ.MOCNO WĘDZ.1/2STVAC EX E</t>
  </si>
  <si>
    <t>***BOCZ.WĘDZ.OK450GVAC OK6KGKT BIED</t>
  </si>
  <si>
    <t>BOCZ.WĘDZ.PARZ.Z/S.OK400GVAC OK5KGKT ARO</t>
  </si>
  <si>
    <t>***KIEŁB.REGIONALNA OK1KGMAP 6KGKT BIED</t>
  </si>
  <si>
    <t>***K.BIWAKOWA OK1.3KGMAP 7.8KGKT LIDL</t>
  </si>
  <si>
    <t>***KIEŁ.BIESIADNA 1KGMAP 8STKT YAN</t>
  </si>
  <si>
    <t>SALCESON CZARNY OK14.5KG LUZ KT</t>
  </si>
  <si>
    <t>5901784165402</t>
  </si>
  <si>
    <t>KABAN.DROB/WP.NA KRAW.95GMAP10STKTKRA</t>
  </si>
  <si>
    <t>ZESTAW PROD.189ST STAND KRA</t>
  </si>
  <si>
    <t>5901784165419</t>
  </si>
  <si>
    <t>***KIEŁB.OD MASARZA 400GMAP 16STKT KRA</t>
  </si>
  <si>
    <t>***BOCZ.ZAPIE.OK400GVAC OK5KGKT KRA EX</t>
  </si>
  <si>
    <t>***SCH.ZAPIE.OK400GVAC OK5KGKT KRA EX</t>
  </si>
  <si>
    <t>KIEŁB.KRUCHA PIE.AS</t>
  </si>
  <si>
    <t>KIEŁB.KRUCHA PIE.BS</t>
  </si>
  <si>
    <t>KIEŁB.KRUCHA PIE.OK1KGMAP OK6KGKT KRA</t>
  </si>
  <si>
    <t>WĘDZ.CHŁOP.Z MAZUR 1STMAP OK10KGKT MORLI</t>
  </si>
  <si>
    <t>SZYN.OD SZWAGRA 1STTRM KT MOR EX</t>
  </si>
  <si>
    <t>BARWNIK DO CZERWONEGO ŻELU 74-100106/20</t>
  </si>
  <si>
    <t>MIESZ.SMAK.INIECT ROLADA BOCZ.</t>
  </si>
  <si>
    <t>MIESZ.FUNK.SOFT L</t>
  </si>
  <si>
    <t>FOL.PET/PE 59X520 MOR</t>
  </si>
  <si>
    <t>FOL.PET/PE/PEEL 52X520 YAN</t>
  </si>
  <si>
    <t>Zlecenie 1</t>
  </si>
  <si>
    <t>Zlecenie 2</t>
  </si>
  <si>
    <t>Zlecenie 3</t>
  </si>
  <si>
    <t>Zlecenie 4</t>
  </si>
  <si>
    <t>Zlecenie 0</t>
  </si>
  <si>
    <t>Tryming 70/30</t>
  </si>
  <si>
    <t xml:space="preserve">Tryming Morliny </t>
  </si>
  <si>
    <t>PL KOŚCI KARK.PBX K4</t>
  </si>
  <si>
    <t>M-SO WP.TRIMING 75/25 CH ZAK</t>
  </si>
  <si>
    <t>Zlecenie 5</t>
  </si>
  <si>
    <t>SUR.MIĘS.70/30 USR</t>
  </si>
  <si>
    <t>KIEŁB.ŚLĄSKA WP/DR.FES FARSZ MOR</t>
  </si>
  <si>
    <t>PL SCH.B/K.1STVAC OK8KGKT MOR EX</t>
  </si>
  <si>
    <t>PL SCH.B/K/TŁ.1STVAC OK9KGKT PIP</t>
  </si>
  <si>
    <t>PL SCH.B/K/TŁ.1STVAC OK15KGPJ ECS</t>
  </si>
  <si>
    <t>EU SCH.B/K/TŁ.1STVAC OK9KGKT PIP</t>
  </si>
  <si>
    <t>EU SCH.B/K/TŁ.1STVAC OK15KGPJ ECS</t>
  </si>
  <si>
    <t>PL SCH.B/K/WAR/TŁ.1STVAC OK15KGPJ STO</t>
  </si>
  <si>
    <t>PL SZYN.B/K/S.SPECK 1STVACOK20KGKT EX II</t>
  </si>
  <si>
    <t>PL SZYN.4D 1STVAC OK15KGPJ ECS</t>
  </si>
  <si>
    <t>EU SZYN.4D 1STVAC OK15KGPJ ECS</t>
  </si>
  <si>
    <t>PL ŁOP.4D 1STVAC OK8KGKT MOR EX</t>
  </si>
  <si>
    <t>PL KARK.B/K.Z/KOR.1STVAC OK8KGKT MOR EX</t>
  </si>
  <si>
    <t>PL ŻEB.PIE.OK4.5KGMAP OK9KGKT KAUF</t>
  </si>
  <si>
    <t>PL ŻEB.PASKI EXT.OK20KGLUZ PJ AGRO</t>
  </si>
  <si>
    <t>PL POL.Z/GŁ.B/WAR.OK2.5KGVAC OK13KGKT EX</t>
  </si>
  <si>
    <t>PL GOL.PRZED.2STMAP OK15KGPJ ECS</t>
  </si>
  <si>
    <t>PL MŚ.CZTER.2STVAC OK15KGPJ ECS</t>
  </si>
  <si>
    <t>EU POL.Z/GŁ.B/WAR.OK2.5KGVACOK15KGKT LAD</t>
  </si>
  <si>
    <t>PP M-SOWP.DR.KL4 CIE.Z SZYN.OK20KGNBMRST</t>
  </si>
  <si>
    <t>PP M-SO WP.DR.KL4 CIE.Z SZYN.OK20KGNBDMR</t>
  </si>
  <si>
    <t>PP M-SO WP.DR.KL2A Z ŁOP.OK15KG NB MR SZ</t>
  </si>
  <si>
    <t>PL TŁUSZCZ WP.DR.PBX BST SZ</t>
  </si>
  <si>
    <t>PP TŁUSZCZ WP.DR.PBX SZ</t>
  </si>
  <si>
    <t>UPPZ.KAT.3-TŁUSZCZ PJ</t>
  </si>
  <si>
    <t>KREW SPOŻ.OK1000KG BECZ.ST           </t>
  </si>
  <si>
    <t>UPPZ KAT.3-JĄDRO LUZ PJ</t>
  </si>
  <si>
    <t>UPPZ KAT.3-MIAZGA Z MOM</t>
  </si>
  <si>
    <t>UPPZ KAT.3-NOGA</t>
  </si>
  <si>
    <t>UPPZ KAT.3-SERCE LUZ PJ</t>
  </si>
  <si>
    <t>UPPZ KAT.3-OZORY LUZ PJ</t>
  </si>
  <si>
    <t>PL MŚ.CZTER.Z/NAP.2STVAC OK15KGPJ</t>
  </si>
  <si>
    <t>PL BOCZ.BL.A B/S/P.20X50 CH</t>
  </si>
  <si>
    <t>PLBOCZ.BL.A B/S/P20X50 1/2STOK500KGOKTEX</t>
  </si>
  <si>
    <t>PL BOCZ.ŁU.B B/P/M.20CM 2STMAP 2STKTKAUF</t>
  </si>
  <si>
    <t>SUR.MIĘS.70/30 USR OK20KGNB MR ST</t>
  </si>
  <si>
    <t>SUR.MIĘS.70/30 USR OK20KGNB DMR</t>
  </si>
  <si>
    <t>PRZEPONA GOT.</t>
  </si>
  <si>
    <t>WT KIEŁB.KRAK.KUR.KAW OK15KG NB MR</t>
  </si>
  <si>
    <t>WT KIEŁB.KRAK.KUR.KAW OK15KG NB DMR</t>
  </si>
  <si>
    <t>KIEŁB.BIWAKOWA OK1.3KGMAP OK7.8KGKT MOR</t>
  </si>
  <si>
    <t>K.ŚLĄSKA OK1.3KGMAP OK7.8KGKT YAN</t>
  </si>
  <si>
    <t>KIEŁB.ŚLĄSKA WP/DR.FES AS MOR</t>
  </si>
  <si>
    <t>DYM WĘDZ.FUMARO OG 221659</t>
  </si>
  <si>
    <t>MIESZ.FUNK.AMCOFRESH G22 ATF 32.196</t>
  </si>
  <si>
    <t>MIESZ.SMAK.WIEJSKA Z CZOS.2-BK 2 DC 2056</t>
  </si>
  <si>
    <t>MIESZ.SMAK.DO KABANOSA DROB.AN MPA388</t>
  </si>
  <si>
    <t>MIESZ.FUNK.PROMASOL STABACK 79-POZ003</t>
  </si>
  <si>
    <t>KAR.KR.360X285X105 3W SZAR.</t>
  </si>
  <si>
    <t>KAR.WA.305X138X245 3W DIS.GRA/BIA.MOR D</t>
  </si>
  <si>
    <t>KAR.WA.311X142X45 3W SZAR.W</t>
  </si>
  <si>
    <t>OS.NAT.JEL.WP.30/32 8/+ PAS.BRĄZ.</t>
  </si>
  <si>
    <t>FOL.PA/PE 60X525</t>
  </si>
  <si>
    <t>FOL.PET/PE/PEEL 55X520 ŚLĄSKA 550G DUL</t>
  </si>
  <si>
    <t>FOL.PET/PE/PEEL 54X520 ŚLĄZERKI MOR LOT.</t>
  </si>
  <si>
    <t>FOL.PET/PE 59X520 K.ŚLĄSKA DP MOR LOT.</t>
  </si>
  <si>
    <t>FOL.PET/PE 59X520 KIEŁB.ŚLĄSKA GRILL.</t>
  </si>
  <si>
    <t>FOL.PET/PE/PEEL 52X520 KIEŁB.ŚLĄSKA EX</t>
  </si>
  <si>
    <t>FOL.PET/PE 59X620 ŚLĄSKA DP MOR LOT.</t>
  </si>
  <si>
    <t>FOL.PA/PE 170X424</t>
  </si>
  <si>
    <t>JEL.CIEN.28/30 PAS.SOL.180M SIA.ST</t>
  </si>
  <si>
    <t>JEL.CIEN.32/34 PAS.SOL.180M SIA.ST</t>
  </si>
  <si>
    <t>JEL.CIEN.34/36 PAS.SOL.180M SIA.ST</t>
  </si>
  <si>
    <t>JEL.CIEN.36/38 PAS.SOL.180M SIA.ST</t>
  </si>
  <si>
    <t>JEL.CIEN.38/40 PAS.SOL.180M SIA.ST</t>
  </si>
  <si>
    <t>JEL.CIEN.30/32 PAS.SOL.180M SIA.ST</t>
  </si>
  <si>
    <t>TŁUSZCZ DR.PBX K4</t>
  </si>
  <si>
    <t>PL KARK.B/K.Z/KOR.1STVAC OK20KGKT MET</t>
  </si>
  <si>
    <t>PL KARK.B/K.Z/KOR.OK1.4KGVACOK6KGKT ALDI</t>
  </si>
  <si>
    <t>PL USZY KLA OK20KG NB MR ST</t>
  </si>
  <si>
    <t>PL USZY KLA OK20KG NB DMR</t>
  </si>
  <si>
    <t>PL ŻEB.MOST.Z/CH/MP.OK5KGMAP MAX15KGPJ</t>
  </si>
  <si>
    <t>PL ŻEB.MOST.Z/CH/MP.MAX15KGWOR PJ</t>
  </si>
  <si>
    <t>EU M-SO WP.DR.KL3A OK20KGWOR PJ K4</t>
  </si>
  <si>
    <t>EU M-SO WP.DR.KL3B Z SZYN.OK20KGWORPJ K4</t>
  </si>
  <si>
    <t>EU M-SO WP.DR.KL4 CIE.PBX K4</t>
  </si>
  <si>
    <t>TŁUSZCZ DR.PBX 1OB K4</t>
  </si>
  <si>
    <t>TŁUSZCZ DR.OK20KG NB MR K4</t>
  </si>
  <si>
    <t>ŻOŁĄDEK DCZ.BL</t>
  </si>
  <si>
    <t>JELITO GRU.MAC.SOL.2.6KGSIA.BL</t>
  </si>
  <si>
    <t>JELITO GRU.MAC.SOL.20M5.2KGSIA.32STBECZ.</t>
  </si>
  <si>
    <t>JELITO GRU.MAC.SOL.10M2.6KGSIA.64STBECZ.</t>
  </si>
  <si>
    <t>10m w siatce, 64 siatek w beczce / 10m in the grid, 64 nets in a barrel</t>
  </si>
  <si>
    <t>PL KOŚCI POKRZEP.OK500KG OKT SZ</t>
  </si>
  <si>
    <t>PP KOŚCI POKRZEP.OK500KG OKT SZ</t>
  </si>
  <si>
    <t>PL KOŚCI KARK.OK500KG OKT SZ</t>
  </si>
  <si>
    <t>PP KOŚCI KARK.OK500KG OKT SZ</t>
  </si>
  <si>
    <t>UPPZ KAT.3-SZCZECINA PBX</t>
  </si>
  <si>
    <t>PL BOCZ.BL.A B/S/P.ROL.27CM CH</t>
  </si>
  <si>
    <t>PP BOCZ.BL.B B/S/P.PBX ST</t>
  </si>
  <si>
    <t>PL BOCZ.BL.B B/S/CZPF.22X56 PBX ST1</t>
  </si>
  <si>
    <t>PL BOCZ.BL.B B/S/CZPF.22X56 PBX ST2</t>
  </si>
  <si>
    <t>PL BOCZ.BL.A B/CZP.MC.KN CH</t>
  </si>
  <si>
    <t>PL BOCZ.BL.A B/CZP.MC.KN PBX1</t>
  </si>
  <si>
    <t>PL BOCZ.BL.A B/S.PBX ST</t>
  </si>
  <si>
    <t>PL BOCZ.BL.A B/CZP.MC.KN PBX2</t>
  </si>
  <si>
    <t>PP BOCZ.BL.A B/CZP.MC.KN CH</t>
  </si>
  <si>
    <t>PP BOCZ.BL.A B/CZP.MC.KN PBX1</t>
  </si>
  <si>
    <t>PP BOCZ.BL.A B/CZP.MC.KN OK20KG NB DMR</t>
  </si>
  <si>
    <t>PP BOCZ.BL.A B/CZP.MC.KN RO1</t>
  </si>
  <si>
    <t>PP BOCZ.BL.A B/CZP.MC.KN RO2</t>
  </si>
  <si>
    <t>PP BOCZ.BL.A B/CZP.MC.KN PBX2</t>
  </si>
  <si>
    <t>PL BOCZ.BL.A B/S.CH</t>
  </si>
  <si>
    <t>KK SKÓRY Z PIERSI 15KG NB MR OP1</t>
  </si>
  <si>
    <t>EU SUR.MIĘS.90/10 PEKL.1.5% RO1</t>
  </si>
  <si>
    <t>***EU SUR.MIĘS.90/10 PEKL.1.5% RO2</t>
  </si>
  <si>
    <t>SNAKERSY PAPR.NADZ.OK15KG NB MR</t>
  </si>
  <si>
    <t>SNAKERSY PAPR.NADZ.OK15KG NB DMR</t>
  </si>
  <si>
    <t>SNAKERSY PAPR.NADZ.RO</t>
  </si>
  <si>
    <t>KIEŁB.BIWAKOWA WP/DROB.FARSZ</t>
  </si>
  <si>
    <t>5901784155731</t>
  </si>
  <si>
    <t>K.ŚLĄSKA OK1.3KGMAP OK7.8KGKT YAN EX</t>
  </si>
  <si>
    <t>KIEŁB.BIWAKOWA WP/DROB.AS</t>
  </si>
  <si>
    <t>KIEŁB.BIWAKOWA WP/DROB.BS</t>
  </si>
  <si>
    <t>***KABAN.180GVAC 24STKT KRA</t>
  </si>
  <si>
    <t>***KABAN.WP.NA KRAW.95GMAP 10STKT KRA</t>
  </si>
  <si>
    <t>ZESTAW PROD.226ST STAND KRA III</t>
  </si>
  <si>
    <t>5901784165518</t>
  </si>
  <si>
    <t>***KABAN.DROB/WP.250GMAP 14STKT KRA</t>
  </si>
  <si>
    <t>SNAKERSY CLASS.85GMAP 14STKT KRA EX</t>
  </si>
  <si>
    <t>SNAKERSY PAPR.85GMAP 14STKT KRA EX</t>
  </si>
  <si>
    <t>5901784165266</t>
  </si>
  <si>
    <t>WT WĘDLINY MIX IV OK12KG NB MR ST</t>
  </si>
  <si>
    <t>WT WĘDLINY MIX IV OK12KG NB DMR</t>
  </si>
  <si>
    <t>PT WĘDLINY VAC MR</t>
  </si>
  <si>
    <t>PT WĘDLINY VAC DMR</t>
  </si>
  <si>
    <t>VITACEL KF 200 PLUS</t>
  </si>
  <si>
    <t>ET.OZDP.80X100 BOCZ.OD KRAK.KRA P</t>
  </si>
  <si>
    <t>KAR.KR.534X319X103 5W SZAR.AX</t>
  </si>
  <si>
    <t>KAR.KR.586X286X190 5W SZAR.AX</t>
  </si>
  <si>
    <t>KAR.KR.540X240X176 5W SZAR.AX</t>
  </si>
  <si>
    <t>KAR.WA.378X247X148 3W DIS.DESKA 4PKDA D</t>
  </si>
  <si>
    <t>KAR.WR.369X239X149 5W SZAR.W</t>
  </si>
  <si>
    <t>28-30, pęczek 90m+/-2m, 180m w siatce /28-30, bunch 90+/-2m, 180m in net</t>
  </si>
  <si>
    <t>28-30, pęczek 90m+/-2m, 180m w siatce / 28-30, bunch 90+/-2m, 180m in net</t>
  </si>
  <si>
    <t>30-32, pęczek 90m+/-2m, 180m w siatce / 30-32, bunch 90+/-2m, 180m in net</t>
  </si>
  <si>
    <t>32-34, pęczek 90m+/-2m, 180m w siatce /32-34, bunch 90+/-2m, 180m in net</t>
  </si>
  <si>
    <t>34-36, pęczek 90m+/-2m, 180m w siatce / 34-36, bunch 90+/-2m, 180m in net</t>
  </si>
  <si>
    <t>36-38, pęczek 90m+/-2m, 180m w siatce / 36-38, bunch 90+/-2m, 180m in net</t>
  </si>
  <si>
    <t>38-40, pęczek 90m+/-2m, 180m w siatce / 38-40, bunch 90+/-2m, 180m in net</t>
  </si>
  <si>
    <t>JEL.CIEN.38/40 3-8 LUZ SOL.90M PĘCZ.ST</t>
  </si>
  <si>
    <t>38-40 odcinki 3-8, pęczek 90m+/-2m / 38-40 lenght 3-8, bunch 90+/-2m</t>
  </si>
  <si>
    <t>JEL.CIEN.38/40 8+ LUZ SOL.90M PĘCZ.ST</t>
  </si>
  <si>
    <t>38-40 odcinki 8+, pęczek 90m+/-2m / 38-40 lenght 8+, bunch 90+/-2m</t>
  </si>
  <si>
    <t>JEL.CIEN.40/42 8+ LUZ.SOL.90M PĘCZ.ST</t>
  </si>
  <si>
    <t>40-42 odcinki 8+, pęczek 90m+/-2m / 40-42 lenght 8, bunch 90+/-2m</t>
  </si>
  <si>
    <t>JEL.CIEN.40/42 3-8 LUZ SOL.90M PĘCZ.ST</t>
  </si>
  <si>
    <t>40-42 odcinki 3-8, pęczek 90m+/-2m / 42-42 lenght 3-8, bunch 90+/-2m</t>
  </si>
  <si>
    <t>40+, pęczek 90m+/-2m, 180m w siatce / 40+, bunch 90+/-2m, 180m in net</t>
  </si>
  <si>
    <t xml:space="preserve">42+ odcinki 8+, pęczek 90m+/-2m / 42+ lenght 8+, bunch 90+/-2m </t>
  </si>
  <si>
    <t>42+ odcinki 3-8, pęczek 90m+/-2m / 42+ lenght 3-8, bunch 90+/-2m</t>
  </si>
  <si>
    <t>JEL.CIEN.28- PAS.SOL.180M SIA.ST</t>
  </si>
  <si>
    <t>&lt;28, pęczek 90m+/-2m, 180m w siatce / &lt;28, bunch 90+/-2m, 180m in net</t>
  </si>
  <si>
    <t>26-28, pęczek 90m+/-2m / 26-28, bunch 90+/-2m</t>
  </si>
  <si>
    <t>***FOL.PET/EVOH/PE 42X520 PIK EX N</t>
  </si>
  <si>
    <t>***FOL.PET/PE/EVOH/PE/PEEL59X620ŚL.DPMOR</t>
  </si>
  <si>
    <t>***FOL.PET/EVOH/PE 55X520ŚLĄZERKI240GMOR</t>
  </si>
  <si>
    <t>FOL.PET/PE/PEEL 54X420 FRANK.MOR LOT.</t>
  </si>
  <si>
    <t>***FOL.PA/PE 90X415</t>
  </si>
  <si>
    <t>FOL.STRETCH RĘCZ.17X500</t>
  </si>
  <si>
    <t>FOL.PA/PE 90X415</t>
  </si>
  <si>
    <t>FOL.STRETCH RĘCZ.17X500 NIEB.</t>
  </si>
  <si>
    <t>FOL.PET/PE 54X300 KIEŁB.PODSUSZ.260G KRA</t>
  </si>
  <si>
    <t>FOL.PET/PE 54X300 K.MAZURSKA 520G MOR</t>
  </si>
  <si>
    <t>FOL.PET/PE/PEEL52X520 K.BIAŁA Z/SZYN.KW</t>
  </si>
  <si>
    <t>FOL.PET/PE/PEEL57X520 ŚLĄSKA 91% 550G KW</t>
  </si>
  <si>
    <t>FOL.PET/PE 57X520 ŚLĄSKA 91% MP KW</t>
  </si>
  <si>
    <t>FOL.OPET/PE 57X330 KIEŁB.TORUŃSKA</t>
  </si>
  <si>
    <t>FOL.PET/PE 55X300 MAZURSKA 520G DUL</t>
  </si>
  <si>
    <t>FOL.PET/PE 55X520 KIEŁB.REGIONALNA</t>
  </si>
  <si>
    <t>ET.TRMP.72X121 KABAN.180G KRA DE T</t>
  </si>
  <si>
    <t>ET.TRMP.70X105 BOCZ.MOC.WĘDZ.MOR T</t>
  </si>
  <si>
    <t>ET.TRMF.100X80 BOCZ.VAC BIED P</t>
  </si>
  <si>
    <t>ET.TRMF.100X80 ŁOP.VAC BIED P</t>
  </si>
  <si>
    <t>ET.TRMF.100X80 SCH.VAC BIED P</t>
  </si>
  <si>
    <t>ET.TRMP.55X84.5 PODWAW.T</t>
  </si>
  <si>
    <t>ET.TRMP.69X106 REGIONALNA MAP T</t>
  </si>
  <si>
    <t>ET.OZDP.75X55 ŚLĄSKA Z SZYN.500G MOR P</t>
  </si>
  <si>
    <t>ET.OZDP.80X100 ŚLĄSKA 90% 1.3KGLIDL CZ P</t>
  </si>
  <si>
    <t>ET.OZDP.80X100 ŚLĄSKA 90% 1.3KGLIDL HU P</t>
  </si>
  <si>
    <t>ET.TRMP.88X90 ŻYWIECKA 286G BIED T</t>
  </si>
  <si>
    <t>ET.TRMP.90X104 ŻYWIECKA 600G BIED T</t>
  </si>
  <si>
    <t>ET.TRMP.60X90 PODWAW.500G PIK LIDL LT T</t>
  </si>
  <si>
    <t>ET.TRMP.58X110 BOCZ.WĘDZ.PARZ.BIED T</t>
  </si>
  <si>
    <t>ET.TRMP.70X90 ŻYWIECKA 286G LIDL T</t>
  </si>
  <si>
    <t>ET.TRMP.60X80 FRANKI DROB.240G T</t>
  </si>
  <si>
    <t>ET.OZDP.70X90 BIWAKOWA BAR P</t>
  </si>
  <si>
    <t>ET.TRMP.85X100 BIWAKOWA MAP BAR T</t>
  </si>
  <si>
    <t>ET.OZDP.80X100 ŚLĄSKA CODZ.G&amp;F P</t>
  </si>
  <si>
    <t>ET.OZDP.60X90 GŁOGOWSKA Z SZYN.MOR P</t>
  </si>
  <si>
    <t>ET.OZDP.70X90 ŚLĄSKA MP MOR P</t>
  </si>
  <si>
    <t>ET.OZDP.90X100 ŚLĄSKA DUL P</t>
  </si>
  <si>
    <t>ET.TRMP.69X95 ŚLĄSKA 550GMAP HR T</t>
  </si>
  <si>
    <t>ET.OZDF.71X85 ŚLĄSKA 90% HR P</t>
  </si>
  <si>
    <t>ET.TRMP.70X90 ŻYWIECKA XXL 572G PIK T</t>
  </si>
  <si>
    <t>ET.OZDP.50X85 ŻYWIECKA PIK P</t>
  </si>
  <si>
    <t>ET.OZDF.85X71 ŚLĄSKA 90% RO P</t>
  </si>
  <si>
    <t>ET.TRMP.69X95 ŚLĄSKA 550GMAP RO T</t>
  </si>
  <si>
    <t>ET.OZDF.71X85 ŚLĄSKA 90% SK P</t>
  </si>
  <si>
    <t>ET.TRMP.69X95 ŚLĄSKA 550GMAP SK T</t>
  </si>
  <si>
    <t>ET.TRMP.70X90 SZYN.KLAS.KW BIED T</t>
  </si>
  <si>
    <t>ET.OZDP.55X55 SZYN.KLAS.KW BIED</t>
  </si>
  <si>
    <t>ET.TRMP.70X103 PODWAW.96% KW T</t>
  </si>
  <si>
    <t>ET.TRMP.85X100 SZYN.VAC TESC T</t>
  </si>
  <si>
    <t>ET.TRMP.60X90 PODWAW.95% PIK T</t>
  </si>
  <si>
    <t>ET.OZDP.90X100 ŚLĄSKA 1.3KG LIDL P</t>
  </si>
  <si>
    <t>ET.TRMP.80X100 ŻEB.MOR T</t>
  </si>
  <si>
    <t>ET.OZDP.50X85 ŻYWIECKA 600G LIDL P</t>
  </si>
  <si>
    <t>ET.TRMP.70X90 ŻYWIECKA 600G LIDL T</t>
  </si>
  <si>
    <t>ET.TRMP.60X90 GŁOGOWSKA Z SZYN.MOR T</t>
  </si>
  <si>
    <t>ET.TRMP.72X102 PODWAW.MOR PL/UK T</t>
  </si>
  <si>
    <t>ET.TRMP.90X100 M.WP.KAUF P</t>
  </si>
  <si>
    <t>ET.TRMP.70X99 KABAN.KLAS.180G KRA T</t>
  </si>
  <si>
    <t>ET.TRMP.70X99 ŚLĄSKA 104GMAP KRA T</t>
  </si>
  <si>
    <t>ET.TRMF.55X75 ŻYWIECKA PODSUSZ.KRA P</t>
  </si>
  <si>
    <t>ET.BANF.210X47 ŻYWIECKA PODSUSZ.KRA</t>
  </si>
  <si>
    <t>ET.TRMP.70X90 ŻYWIECKA PODSUSZ.KRA T</t>
  </si>
  <si>
    <t>ET.TRMP.60X105 PODWAW.500G KRA T</t>
  </si>
  <si>
    <t>ET.OZDP.80X100 SZYN.OD KRAK.KRA P</t>
  </si>
  <si>
    <t>ET.OZDP.80X100 SCH.OD KRAK.KRA P</t>
  </si>
  <si>
    <t>ET.TRMF.100X70 BOCZ.VAC LIDL PP P</t>
  </si>
  <si>
    <t>ET.OZDP.55X75 ŻYWIECKA 230G DE P</t>
  </si>
  <si>
    <t>ET.TRMP.70X90 ŻYWIECKA 230G DE T</t>
  </si>
  <si>
    <t>ET.TRMF.100X70 KARK.VAC LIDL PP P</t>
  </si>
  <si>
    <t>ET.TRMF.100X70 ŁOP.VAC LIDL PP P</t>
  </si>
  <si>
    <t>ET.TRMF.100X70 SZYN.VAC LIDL PP P</t>
  </si>
  <si>
    <t>ET.TRMF.100X70 SCH.VAC LIDL PP P</t>
  </si>
  <si>
    <t>ET.TRMP.68X90 K.CZOSN.MOR LT/EE T</t>
  </si>
  <si>
    <t>ET.TRMP.68X90 K.CZOSN.MOR PL/GB T</t>
  </si>
  <si>
    <t>ET.OZDF.50X80 WĘDZ.KROTOSZ.KRA P</t>
  </si>
  <si>
    <t>ET.TRMF.60X80 WĘDZ.KROTOSZ.KRA T</t>
  </si>
  <si>
    <t>ET.OZDF.80X100 SZYN.OD KRAK.KRA P</t>
  </si>
  <si>
    <t>ET.OZDF.50X80 SCH.ZAPIE.KRA P</t>
  </si>
  <si>
    <t>ET.TRMF.60X80 SZYN.ZAPIE.KRA T</t>
  </si>
  <si>
    <t>ET.TRMF.60X80 BOCZ.ZAPIE.KRA T</t>
  </si>
  <si>
    <t>ET.OZDF.50X80 SZYN.ZAPIE.KRA P</t>
  </si>
  <si>
    <t>ET.OZDF.50X80 BOCZ.ZAPIE.KRA P</t>
  </si>
  <si>
    <t>ET.TRMF.60X80 SCH.ZAPIE.KRA T</t>
  </si>
  <si>
    <t>ET.TRMP.70X100 ŻYWIECKA 286GLT/LV/EE T</t>
  </si>
  <si>
    <t>ET.OZDP.70X90 ŻYWIECKA286G LT/LV/EE P</t>
  </si>
  <si>
    <t>ET.TRMP.60X80 MAZURSKA MOR GB T</t>
  </si>
  <si>
    <t>ET.OZDP.63X85 PODWAW.500G PIK SK P</t>
  </si>
  <si>
    <t>ET.TRMP.60X90 PODWAW.500G PIK SK T</t>
  </si>
  <si>
    <t>ET.TRMP.80X100 KRAK.PARZ.MOR T</t>
  </si>
  <si>
    <t>ET.OZDP.55X75 ŻYWIECKA PODSUSZ.KRA GB P</t>
  </si>
  <si>
    <t>ET.TRMP.70X90 ŻYWIECKA PODSUSZ.KRA GB T</t>
  </si>
  <si>
    <t>ET.OZDP.50X70 BOCZ.ZAPIE.GOLD KRA P</t>
  </si>
  <si>
    <t>ET.TRMP.60X80 BOCZ.ZAPIE.GOLD KRA T</t>
  </si>
  <si>
    <t>ET.TRMP.63X90 KRAK.KUR.MOR PL/UK T</t>
  </si>
  <si>
    <t>ET.OZDP.90X100 ŚLĄSKA 1.3KG PIK CZ P</t>
  </si>
  <si>
    <t>ET.TRMP.69.5X95 ŚLĄSKA MAP DUL T</t>
  </si>
  <si>
    <t>ET.OZDF.60X90 PODWAW.KRA P</t>
  </si>
  <si>
    <t>ET.OZDF.80X100 K.PIEPRZ.KRA P</t>
  </si>
  <si>
    <t>ET.OZDP.63X85 PODWAW.PIK LV/EE/LT P</t>
  </si>
  <si>
    <t>ET.TRMP.75X110 PODWAW.PIK LV/EE/LT</t>
  </si>
  <si>
    <t>ET.TRMP.70X99 KABAN.KLAS.180G KRA SE T</t>
  </si>
  <si>
    <t>ET.OZDP.80X100 MAZURSKA BIA.Z SZYN.MAZ P</t>
  </si>
  <si>
    <t>ET.TRMP.80X90 BIWAKOWA ELIT GB T</t>
  </si>
  <si>
    <t>ET.TRMP.72X102 GŁOG.Z SZYN.MOR PL/UK T</t>
  </si>
  <si>
    <t>ET.TRMP.84X100 ŚLĄSKA 67% MOR PL/UK T</t>
  </si>
  <si>
    <t>ET.TRMP.84X100 ZWYCZAJNA MAP MOR PL/GB T</t>
  </si>
  <si>
    <t>ET.TRMP.70X100 KRAK.KUR.MOR PL/GB T</t>
  </si>
  <si>
    <t>ET.OZDP.80X100 KIEŁB.SER/CHILLI MOR GB P</t>
  </si>
  <si>
    <t>ET.OZDP.63X85 GŁOGOWSKA Z SZYN.MOR P</t>
  </si>
  <si>
    <t>ET.TRMP.73X102 MAZURSKA MOR GB T</t>
  </si>
  <si>
    <t>ET.OZDP.63X85 PODWAW.95% MOR P</t>
  </si>
  <si>
    <t>ET.OZDP.63X85 PODWAW.80% MOR P</t>
  </si>
  <si>
    <t>ET.OZDP.65X85 ZWYCZAJNA MOR P</t>
  </si>
  <si>
    <t>ET.TRMP.73X102 ŚLĄSKA GRILL.MAP KW T</t>
  </si>
  <si>
    <t>ET.TRMP.73X102 ŚLĄSKA MAP KW T</t>
  </si>
  <si>
    <t>ET.OZDP.60X89 KRAK.KUR.MOR P</t>
  </si>
  <si>
    <t>ET.OZDP.80X100 ŚLĄSKA GRILL.KW P</t>
  </si>
  <si>
    <t>ET.OZDP.90X100 ŚLĄSKA 1.3KG LIDL DK P</t>
  </si>
  <si>
    <t>ET.OZDF.50X80 SZYN.ŚWIĘTOKRZ.KRA P</t>
  </si>
  <si>
    <t>ET.OZDP.90X100 ŚLĄSKA 1.3KG PIK RO P</t>
  </si>
  <si>
    <t>ET.OZDP.60X90 PODWAW.95% KRA P</t>
  </si>
  <si>
    <t>ET.TRMP.80X100 BIWAKOWA MAP ELIT GB T</t>
  </si>
  <si>
    <t>ET.OZDF.55X75 ŻYWIECKA PAPR.P</t>
  </si>
  <si>
    <t>ET.TRMF.70X90 ŻYWIECKA PAPR.T</t>
  </si>
  <si>
    <t>ET.TRMP.73X102 MAZURSKA DUL T</t>
  </si>
  <si>
    <t>ET.OZDP.63X65 FRANK.CZ/SK P</t>
  </si>
  <si>
    <t>ET.OZDP.60X70 K.CZOSN.DUL P</t>
  </si>
  <si>
    <t>ET.TRMP.60X89 K.CZOSN.DUL T</t>
  </si>
  <si>
    <t>ET.TRMP.90X100 ZWYCZAJNA MAP ALDI T</t>
  </si>
  <si>
    <t>ET.OZDP.70X90 ŚLĄZERKI SER/POMID.P</t>
  </si>
  <si>
    <t>ET.OZDP.70X90 ŚLĄZERKI SWEET JALAP.P</t>
  </si>
  <si>
    <t>ET.OZDP.70X90 ŚLAZERKI P</t>
  </si>
  <si>
    <t>ET.OZDP.60X72 K.CZOSN.MOR P</t>
  </si>
  <si>
    <t>ET.OZDP.63X85 ŚLĄZERKI BIAŁE P</t>
  </si>
  <si>
    <t>ET.OZDP.80X100 K.PODSUSZ.KRA P</t>
  </si>
  <si>
    <t>ET.TRMP.75X90 KIŁB.WP.BIAŁE PARZ.T</t>
  </si>
  <si>
    <t>ET.OZDP.80X100 ZWYCZAJNA STS P</t>
  </si>
  <si>
    <t>ET.TRMP.72X102 ZWYCZAJNA MAP STS T</t>
  </si>
  <si>
    <t>ET.OZDP.70X90 ŚLĄZ.SER/POM.CZ/SK/HU P</t>
  </si>
  <si>
    <t>ET.OZDP.70X90 ŚLĄZ.SWEETJALAP.CZ/SK/HU P</t>
  </si>
  <si>
    <t>ET.TRMP.80X110 KARK.VAC ALDI T</t>
  </si>
  <si>
    <t>ET.TRMP.58X110 BOCZ.WĘDZ.STS T</t>
  </si>
  <si>
    <t>ET.TRMP.80X100 ŚLĄSKA MP PIK CZ T</t>
  </si>
  <si>
    <t>ET.OZDP.90X100 ŚLĄSKA MP PIK CZ P</t>
  </si>
  <si>
    <t>ET.TRMF.70X90 ŻYWIECKA SUCHA KRA T</t>
  </si>
  <si>
    <t>ET.OZDF.55X75 ŻYWIECKA SUCHA KRA P</t>
  </si>
  <si>
    <t>ET.TRMF.70X90 ŻYWIECKA SUCHA KRA GB T</t>
  </si>
  <si>
    <t>ET.OZDF.55X75 ŻYWIECKA SUCHA KRA GB P</t>
  </si>
  <si>
    <t>ET.OZDF.60X70 K.CZOSN.DUL P</t>
  </si>
  <si>
    <t>ET.TRMP.80X110 STM NETTO P</t>
  </si>
  <si>
    <t>ET.TRMP.72X102 ŚLĄZERKI JALAP.T</t>
  </si>
  <si>
    <t>ET.TRMF.68X90 K.CZOSN.MOR PL/GB T</t>
  </si>
  <si>
    <t>ET.TRMP.60X50 BOCZ.WĘDZ.PARZ.MOR T</t>
  </si>
  <si>
    <t>ET.TRMF.68X90 K.CZOSN.MOR LT/EE T</t>
  </si>
  <si>
    <t>ET.TRMF.80X110 SCH.B/K.KM BIED T</t>
  </si>
  <si>
    <t>ET.TRMF.80X110 ŁOP.B/K.KM BIED T</t>
  </si>
  <si>
    <t>ET.TRMF.80X110 SZYN.B/K.KM BIED T</t>
  </si>
  <si>
    <t>ET.TRMF.80X110 KARK.B/K.KM BIED T</t>
  </si>
  <si>
    <t>ET.TRMF.80X110 BOCZ.B/S.KM BIED T</t>
  </si>
  <si>
    <t>ET.TRMP.84X100 ZWYCZAJNA MOR PL/GB T</t>
  </si>
  <si>
    <t>ET.TRMP.70X99 ŚLĄSKA 104G KRA T</t>
  </si>
  <si>
    <t>ET.TRMP.90X100 ZWYCZAJNA ALDI T</t>
  </si>
  <si>
    <t>ET.TRMP.73X102 ŚLĄSKA GRILL.KW T</t>
  </si>
  <si>
    <t>ET.TRMP.74X105 K.BIAŁA Z SZYN.KW T</t>
  </si>
  <si>
    <t>ET.TRMP.85X100 BIWAKOWA BAR T</t>
  </si>
  <si>
    <t>ET.TRMP.69.5X95 ŚLĄSKA DUL T</t>
  </si>
  <si>
    <t>ET.TRMP.69X95 ŚLĄSKA 550G HR T</t>
  </si>
  <si>
    <t>ET.TRMP.69X95 ŚLĄSKA 550G RO T</t>
  </si>
  <si>
    <t>ET.TRMP.69X95 ŚLĄSKA 550G SK T</t>
  </si>
  <si>
    <t>ET.TRMP.73X102 ŚLĄSKA KW T</t>
  </si>
  <si>
    <t>ET.TRMP.80X100 SZYN.BIA.KRÓL.MOR T</t>
  </si>
  <si>
    <t>ET.STICP.FI40</t>
  </si>
  <si>
    <t>ET.OZDP.80X100 BOCZ.MORL.WĘDZ.PARZ.MOR P</t>
  </si>
  <si>
    <t>ET.OZDP.60X72 K.CZOSN.MOR PL/GB P</t>
  </si>
  <si>
    <t>ET.TRMP.73X102 PODWAW.WURST T</t>
  </si>
  <si>
    <t>ET.STICP.45X70 LOT.MOR</t>
  </si>
  <si>
    <t>ET.OZDP.63X100 PODWAW.80% MOR LOT.P</t>
  </si>
  <si>
    <t>ET.OZDP.63X100 GŁOGOWSKA Z SZYN.MORLOT.P</t>
  </si>
  <si>
    <t>ET.OZDP.70X90 SERD.MOR P</t>
  </si>
  <si>
    <t>ET.OZDP.90X100 ŚLĄSKA 1.3KG PIK SK P</t>
  </si>
  <si>
    <t>ET.OZDP.80X100 ŚLĄSKA CODZ.BAR LT</t>
  </si>
  <si>
    <t>ET.TRMP.70X90 ŚLĄSKA CODZ.BAR LT T</t>
  </si>
  <si>
    <t>ET.OZDP.80X100 TORUŃSKA KW P</t>
  </si>
  <si>
    <t>ET.TRMP.73X102 TORUŃSKA KW T</t>
  </si>
  <si>
    <t>ET.OZDP.90X100 ŚLĄSKA 1.3KG PIK BG P</t>
  </si>
  <si>
    <t>ET.TRMP.80X100 ŚLĄSKA 1.3KG PIK BG T</t>
  </si>
  <si>
    <t>ET.TRMP.70X100 POL.SOPOCKA BAR BG T</t>
  </si>
  <si>
    <t>ET.OZDP.90X100 ŚLĄSKA 1.3KG DUL SE P</t>
  </si>
  <si>
    <t>ET.OZDP.95X85 BIESIADNA YAN P</t>
  </si>
  <si>
    <t>ET.OZDP.95X85 ŚLĄSKA YAN P</t>
  </si>
  <si>
    <t>ET.OZDP.80X95 BIWAKOWA MOR P</t>
  </si>
  <si>
    <t>ET.OZDP.80X100 K.KRUCHA PIE.KRA P</t>
  </si>
  <si>
    <t>ET.TRMP.80X110 ŁOP.B/K.KM BIED P</t>
  </si>
  <si>
    <t>ET.TRMP.80X110 SCH.B/K.KM BIED P</t>
  </si>
  <si>
    <t>ET.TRMP.80X110 SZYN.B/K.KM BIED P</t>
  </si>
  <si>
    <t>ET.TRMP.80X110 BOCZ.B/K/S.KM BIED P</t>
  </si>
  <si>
    <t>ET.OZDP.63X110 ŚLĄSKA DROB.MOR LOT.P</t>
  </si>
  <si>
    <t>ET.TRMP.95X110 SCH.B/K.MP KM BIED T</t>
  </si>
  <si>
    <t>ET.TRMP.70X99 KAB.KLAS.Z SZYN.180G KRA T</t>
  </si>
  <si>
    <t>ET.OZDP.80X100 ŻEB.107% PIK LV/EE P</t>
  </si>
  <si>
    <t>KIEŁB.ŚLĄSKA WP/DR.BS MOR</t>
  </si>
  <si>
    <t>PL SCH.B/K/TŁ.1STVAC OK12KGKT AUCH</t>
  </si>
  <si>
    <t>PL SCH.B/K.Z/WAR.1STVAC OK15KGKT AUCH</t>
  </si>
  <si>
    <t>PL SZYN.WP.4D 1STVAC OK15KGKT AUCH</t>
  </si>
  <si>
    <t>PL ŁOP.4D 1STVAC OK15KGKT AUCH</t>
  </si>
  <si>
    <t>PL KARK.B/K.EXT 1STVAC OK6KGKT AUCH</t>
  </si>
  <si>
    <t>PL ŻEB.SCH.SZER.12CM CH</t>
  </si>
  <si>
    <t>PL ŻEB.SCH.SZER.12CM OK10KGWOR KT DMR</t>
  </si>
  <si>
    <t>PL ŁOP.2D 1STVAC OK12KGKT AUCH</t>
  </si>
  <si>
    <t>PL SŁON.PRZEM.B/K.OK2.5KGVACOK5KGKT AUCH</t>
  </si>
  <si>
    <t>KIEŁB.ŚLĄSKA WP/DR.FARSZ MOR</t>
  </si>
  <si>
    <t>KIEŁB.BIWAKOWA OK1.3KGMAP7.8KGKT LIDL II</t>
  </si>
  <si>
    <t>KIEŁB.BIWAKOWA OK1.3KGMAP 7.8KGKT NETTO</t>
  </si>
  <si>
    <t>KIEŁB.ŚLĄSKA 550GMAP 12STKT MOR</t>
  </si>
  <si>
    <t>KIEŁB.ŚLĄSKA WP/DR.AS MOR</t>
  </si>
  <si>
    <t>KIEŁB.ŚLĄSKA 735GMAP 10STKT MOR</t>
  </si>
  <si>
    <t>KIEŁB.PODSUSZ.260GMAP 12STKT KRA</t>
  </si>
  <si>
    <t>PP KIEŁB.PODWAW.450G AS KRA</t>
  </si>
  <si>
    <t>PP KIEŁB.PODWAW.450G BS KRA</t>
  </si>
  <si>
    <t>PP KIEŁB.PODWAW.450GVAC 10STKT KRA</t>
  </si>
  <si>
    <t>ST.WKŁADKA 1218X555 3W BIA.</t>
  </si>
  <si>
    <t>JEL.CIEN.40+ PAS.SOL.180M SIAT.ST</t>
  </si>
  <si>
    <t>FOL.PET/PE 57X620 KIEŁB.REGIONALNA</t>
  </si>
  <si>
    <t>FOL.PET/PE 54X490</t>
  </si>
  <si>
    <t>FOL.PA/PE 200X492</t>
  </si>
  <si>
    <t>FOL.PET/PE 57X620 K.ŚLĄSKA 91% MP KW</t>
  </si>
  <si>
    <t>FOL.PET/EVOH/PE/PEEL62X520KAB.Z SZYN180G</t>
  </si>
  <si>
    <t>ET.TRMP.80X110 SCH.B/K.VAC ALDI T</t>
  </si>
  <si>
    <t>ET.OZDP.80X100 ŚLĄSKA 91% KW P</t>
  </si>
  <si>
    <t>ET.OZDP.70X80 ŚLĄSKA 360G MOR LOT.P</t>
  </si>
  <si>
    <t>ET.OZDP.63X85 PODWAW.95% PIK P</t>
  </si>
  <si>
    <t>TŁUSZCZ WP.DR.TWARDY OK500KG OKT SZ</t>
  </si>
  <si>
    <t>KK UDO B/K.15KG NB MR OP</t>
  </si>
  <si>
    <t>KK NOGA B/K.PRZT.15KG NB MR SU</t>
  </si>
  <si>
    <t>5902160730153</t>
  </si>
  <si>
    <t>5901784165440</t>
  </si>
  <si>
    <t>ZESTAW PROD.194ST STAND KRA</t>
  </si>
  <si>
    <t>5901784165495</t>
  </si>
  <si>
    <t>5901784165549</t>
  </si>
  <si>
    <t>PĘTELKI 20-100 CZAR.E POLY CLIP</t>
  </si>
  <si>
    <t>2314/2316/2395/2303</t>
  </si>
  <si>
    <t>BOCZEK OD SZWAGRA</t>
  </si>
  <si>
    <t>PP TŁUSZCZ DR.PBX K4</t>
  </si>
  <si>
    <t>PP GŁ.WP.CAŁ.B/USZ.PBX K4</t>
  </si>
  <si>
    <t>M-SO WP.DR.50/50 NB CH ZAK</t>
  </si>
  <si>
    <t>PP TRYMING 80/20 FI3 PBX1</t>
  </si>
  <si>
    <t>WT KIEŁB.ŚLĄSKA KAW.AS</t>
  </si>
  <si>
    <t>Śwież Zakup/Huber</t>
  </si>
  <si>
    <t>M-SO WP.TRYMING 75/25 RO</t>
  </si>
  <si>
    <t>PP M-SO WP.TRYMING 75/25 ŻWACZE PBX1</t>
  </si>
  <si>
    <t>WT KIEŁB.REGIONALNA KAW.RO</t>
  </si>
  <si>
    <t>PP M-SO WP.DR.KL2B PBX SZ</t>
  </si>
  <si>
    <t>PP KIEŁB.PODWAW.WP/DR.FARSZ KRA</t>
  </si>
  <si>
    <t>WT KIEŁB.AS</t>
  </si>
  <si>
    <t>2010 - TRZODA</t>
  </si>
  <si>
    <t>2930 - ODPAD KAT.2</t>
  </si>
  <si>
    <t>1822DA - BOCZ.BLAT.B/SK.Z/PACH/MŚ.CIE.</t>
  </si>
  <si>
    <t>1815AA - BOCZ.BLAT.Z/SK.</t>
  </si>
  <si>
    <t>1811AA - BOCZ.BLAT.B/SK/PACH.</t>
  </si>
  <si>
    <t>2011 - PÓŁTUSZA PEŁNA CP</t>
  </si>
  <si>
    <t>2013 - PÓŁTUSZA PEŁNA</t>
  </si>
  <si>
    <t>2015 - PÓŁTUSZA B/GŁ.</t>
  </si>
  <si>
    <t>2931 - ODPAD KAT.3</t>
  </si>
  <si>
    <t>1664 - SCH.B/K/MŚ.BIOD/MŚ.CZWOR.</t>
  </si>
  <si>
    <t>1660 - SCH.B/K/TŁ.</t>
  </si>
  <si>
    <t>1601 - SCH.B/K.Z/TŁ.16CM GB</t>
  </si>
  <si>
    <t>1662 - SCH.B/K/TŁ.2MM</t>
  </si>
  <si>
    <t>1667 - SCH.B/K/MŚ.CIE.TŁ.5MM</t>
  </si>
  <si>
    <t>1670 - SCH.B/K/MŚ.CIE/MŚ.CZWOR.TŁ.5MM</t>
  </si>
  <si>
    <t>1609 - SCH.Z/K.B/POL/K.POK.</t>
  </si>
  <si>
    <t>PL SCH.B/K/TŁ.1STVAC OK20KGKT MET CZ</t>
  </si>
  <si>
    <t>1606 - SCH.B/K.Z/WAR/TŁ.3MM</t>
  </si>
  <si>
    <t>1668 - SCH.B/K.Z/WAR/TŁ.3MM.B/CZ.BOCZ.</t>
  </si>
  <si>
    <t>PL SCH.B/K.Z/2WAR.OK1.5KGVACOK6KGKT ALDI</t>
  </si>
  <si>
    <t>1663 - SCH.B/K/TŁ/MŚ.BIOD.</t>
  </si>
  <si>
    <t>1607 - SCH.B/POL.B/MIZDRY</t>
  </si>
  <si>
    <t>1608 - SCH.Z/K.B/POL.</t>
  </si>
  <si>
    <t>1618 - SCH.B/K.Z/WAR/TŁ.3MM MAC.</t>
  </si>
  <si>
    <t>1602 - SCH.B/K.Z/TŁ.18CM GB</t>
  </si>
  <si>
    <t>1671 - SCH.B/K/TŁ.MAC.</t>
  </si>
  <si>
    <t>1669 - SCH.B/K.Z/WAR.</t>
  </si>
  <si>
    <t>PL SCH.B/K.Z/WAR.1STVACOK20KGKTMET CZ II</t>
  </si>
  <si>
    <t>PL SCH.B/K.Z/WAR.1STVAC OK20KGKT MET HU</t>
  </si>
  <si>
    <t>2652 - M-SO DROBNE KL1 JAS.</t>
  </si>
  <si>
    <t>1015 - MŚ.SZYN.ODBŁ.</t>
  </si>
  <si>
    <t>1219 - SZYN.1.5D</t>
  </si>
  <si>
    <t>1219 - SZYN.B/K/MŚ.DWUG/MŚ.PÓŁBŁ.TŁ.OKR.NAT</t>
  </si>
  <si>
    <t>1238 - SZYN.1.5D MAC.</t>
  </si>
  <si>
    <t>1211 - SZYN.Z/K.B/GOL.</t>
  </si>
  <si>
    <t>1009 - MŚ.DWUG.PÓŁŚC.PÓŁBŁ.SMUK.TŁ.OKR.7MM</t>
  </si>
  <si>
    <t>1202 - SZYN.B/K/GOL/BIODR.COLARINO</t>
  </si>
  <si>
    <t>1207 - SZYN.B/K/PÓŁBŁ.VELUTATO</t>
  </si>
  <si>
    <t>1203 - SZYN.B/K/GOL/BIODR.COLARONE</t>
  </si>
  <si>
    <t>1016 - MŚ.SZYN.ODBŁ.GB</t>
  </si>
  <si>
    <t>1214 - SZYN.Z/NG/POL/SK.REDONDO</t>
  </si>
  <si>
    <t>1210 - SZYN.B/K/SK/PÓŁBŁ.SPECK</t>
  </si>
  <si>
    <t>1005 - MŚ.DWUG.EL.NA SZWAGRA</t>
  </si>
  <si>
    <t>1005 - MŚ.DWUG.ODBŁ.EL.NA SZWAGRA</t>
  </si>
  <si>
    <t>1215 - SZYN.Z/NG/POL/SK.REDONDO V</t>
  </si>
  <si>
    <t>1204 - SZYN.B/K/MŚ.DWUG/MŚ.BRZUCH.</t>
  </si>
  <si>
    <t>1206 - SZYN.B/K/MŚ.DWUG.Z/MŚ.BRZUCH.</t>
  </si>
  <si>
    <t>1205 - SZYN.B/K/MŚ.DWUG/MŚ.PÓŁBŁ.</t>
  </si>
  <si>
    <t>1010 - MŚ.PÓŁBŁ.N/ODBŁ.TŁ.PNK.2MM</t>
  </si>
  <si>
    <t>1209 - SZYN.B/K/SK/MŚ.BRZUCH.</t>
  </si>
  <si>
    <t>1011 - MŚ.PÓŁBŁ.PÓŁŚC.N/OBR.TŁ.OKR.7MM</t>
  </si>
  <si>
    <t>1201 - SZYN.4D</t>
  </si>
  <si>
    <t>PL SZYN.4D.1STVAC OK20KGKT MET CZ</t>
  </si>
  <si>
    <t>PL SZYN.4D.1STVAC OK20KGKT MET HU</t>
  </si>
  <si>
    <t>1208 - SZYN.B/K/SK/GOL/PÓŁBŁ.</t>
  </si>
  <si>
    <t>2620 - MŚ.BRZUCH.</t>
  </si>
  <si>
    <t>1213 - SZYN.Z/NG/POL/SK.</t>
  </si>
  <si>
    <t>1228 - SZYN.Z/K/GOL.B/NG.HAMBURGO</t>
  </si>
  <si>
    <t>2610 - MŚ.GOL.</t>
  </si>
  <si>
    <t>2613 - MŚ.GOL.Z SZYN.</t>
  </si>
  <si>
    <t>1014 - MŚ.SZYN.N/ODBŁ.JAS.</t>
  </si>
  <si>
    <t>1002 - MŚ.CZTEROG.N/OBR.</t>
  </si>
  <si>
    <t>1023 - MŚ.CZTEROG.ODBŁ.</t>
  </si>
  <si>
    <t>1029 - MŚ.SZYN.ODBŁ.MAC.</t>
  </si>
  <si>
    <t>1004 - MŚ.DWUG.N/OBR.</t>
  </si>
  <si>
    <t>PL SZYN.4D B/M.BRZ.OK1.5KGVACOK6KGKTALDI</t>
  </si>
  <si>
    <t>1236 - SZYN.B/K/MŚ.DWUG/MŚ.PÓŁBŁ/MŚ.BRZUCH.</t>
  </si>
  <si>
    <t>1315 - ŁOP.Z/K/SK.B/GOL.</t>
  </si>
  <si>
    <t>1317 - ŁOP.Z/K/GOL/SK/TŁ.KARK.</t>
  </si>
  <si>
    <t>1310 - ŁOP.1.5D</t>
  </si>
  <si>
    <t>1318 - ŁOP.1.5D MAC.</t>
  </si>
  <si>
    <t>PP ŁOP.1.5D MAC.PBX ST1</t>
  </si>
  <si>
    <t>PP ŁOP.1.5D MAC.PBX ST2</t>
  </si>
  <si>
    <t>1313 - ŁOP.3D</t>
  </si>
  <si>
    <t>1302 - ŁOP.4D</t>
  </si>
  <si>
    <t>1301 - ŁOP.2D</t>
  </si>
  <si>
    <t>1305 - ŁOP.B/K/MŚ.GOL.</t>
  </si>
  <si>
    <t>1308 - ŁOP.Z/K/GOL/SK.</t>
  </si>
  <si>
    <t>PL ŁOP.4D 1STVAC OK20KGKT MET HU</t>
  </si>
  <si>
    <t>PL ŁOP.4D 1STVAC OK20KGKT MET CZ</t>
  </si>
  <si>
    <t>EU ŁOP.WP.4D 1STVAC OK15KGPJ STO</t>
  </si>
  <si>
    <t>1309 - MŚ.TRÓJG.</t>
  </si>
  <si>
    <t>1306 - ŁOP.NA WĘDZ.BOCZ.</t>
  </si>
  <si>
    <t>2612 - MŚ.GOL.Z ŁOP.</t>
  </si>
  <si>
    <t>1303 - ŁOP.5D</t>
  </si>
  <si>
    <t>1322 - KARK.B/K.Z/KOR/CZ.WAR.</t>
  </si>
  <si>
    <t>1326 - KARK.Z/K/KOR.</t>
  </si>
  <si>
    <t>1321 - KARK.B/K.Z/KOR/CZ.WAR.WYRÓW.</t>
  </si>
  <si>
    <t>1320 - KARK.B/K.Z/KOR/WAR.TŁ.3MM</t>
  </si>
  <si>
    <t>PL KARK.B/K.Z/K/CZ.W.1STVACOK20KGKTMETCZ</t>
  </si>
  <si>
    <t>PL KARK.B/K.Z/K/CZ.W.1STVACOK20KGKTMETHU</t>
  </si>
  <si>
    <t>EU KARK.B/K.Z/KOR.1STVAC MAX15KG PJ STO</t>
  </si>
  <si>
    <t>EU KARK.B/K.Z/KOR.OK20KGLUZ PJ ST</t>
  </si>
  <si>
    <t>1323 - KARK.B/K/KOR/WAR.</t>
  </si>
  <si>
    <t>PL KARK.B/K.Z/KOR.1STVAC OK20KGKT SF</t>
  </si>
  <si>
    <t>1329 - KARK.B/K/WAR.Z/CZ.KOR.TŁ.3MM</t>
  </si>
  <si>
    <t>1330 - KARK.B/K.Z/KOR/CZ.WAR.MAC.</t>
  </si>
  <si>
    <t>1808DA - BOCZ.ŁUS.Z/SK/CH.BOCZ.</t>
  </si>
  <si>
    <t>1809AA - BOCZ.ŁUS.Z/SK.B/CH.BOCZ.</t>
  </si>
  <si>
    <t>1823AA - BOCZ.BLAT.Z/MŚ.CIE.</t>
  </si>
  <si>
    <t>1803AA - BOCZ.Z/ŻEB.B/PACH.</t>
  </si>
  <si>
    <t>1810AA - BOCZ.BLAT.B/SK/MŚ.PRZEP.Z/PACH.</t>
  </si>
  <si>
    <t>1801AA - ĆW.BOCZ.Z/ŻEB.</t>
  </si>
  <si>
    <t>1801AA - ĆW.BOCZ.</t>
  </si>
  <si>
    <t>1815DA - BOCZ.BLAT.B/PACH.</t>
  </si>
  <si>
    <t>1815DA - BOCZ.BLAT.Z/SK.</t>
  </si>
  <si>
    <t>1816AA - BOCZ.BLAT.Z/SK/PACH.</t>
  </si>
  <si>
    <t>1815AA - BOCZ.BLAT.B/PACH.</t>
  </si>
  <si>
    <t>1824AA - BOCZ.BLAT.B/CZ.PACH.Z/MŚ.CIE.</t>
  </si>
  <si>
    <t>PL BOCZ.BL.B B/CZP.MC.PBX K4</t>
  </si>
  <si>
    <t>1803AA - BOCZ.Z/ŻEB/SK.B/PACH.</t>
  </si>
  <si>
    <t>7761 - SKÓRY</t>
  </si>
  <si>
    <t>1808 - BOCZ.ŁUS.Z/SK/CH.-REG.</t>
  </si>
  <si>
    <t>1808DA - BOCZ.ŁUS.B/PACH.Z/CH.BOCZ.</t>
  </si>
  <si>
    <t>1803 - BOCZ.Z/ŻEB/SK/MŚ.PRZEP.-REG.</t>
  </si>
  <si>
    <t>1819AA - BOCZ.BLAT.B/SK.Z/PACH.</t>
  </si>
  <si>
    <t>1819AA - BOCZ.BLAT.B/SK.</t>
  </si>
  <si>
    <t>1815 - BOCZ.BLAT.Z/SK.-REG.</t>
  </si>
  <si>
    <t>1822AA - BOCZ.BLAT.B/SK.Z/MŚ.CIE.</t>
  </si>
  <si>
    <t>1811DD - BOCZ.BLAT.B/SK/PACH.</t>
  </si>
  <si>
    <t>1822AA - BOCZ.BLAT.B/SK.Z/PACH/MŚ.CIE.</t>
  </si>
  <si>
    <t>2201 - ŻEB.PŁAT.Z/CH.</t>
  </si>
  <si>
    <t>2401 - ŻEB.SCH.</t>
  </si>
  <si>
    <t>2403 - ŻEB.SCH.5-10CM</t>
  </si>
  <si>
    <t>2502 - ŻEB.KAW.Z.PŁAT.</t>
  </si>
  <si>
    <t>2503 - ŻEB.POZ.Z.PŁAT.Z.CH.</t>
  </si>
  <si>
    <t>2225 - ŻEB.PŁAT.B/CH.DOCIN.8CM</t>
  </si>
  <si>
    <t>1804AA - BOCZ.Z/ŻEB.B/SK/PACH.ODTŁ.</t>
  </si>
  <si>
    <t>2223 - ŻEB.PŁAT.B/CH.DOCIN.10.5CM.B/USZK.</t>
  </si>
  <si>
    <t>2223 - ŻEB.PŁAT.B/CH.DOCIN.10,5CM.B/USZK.</t>
  </si>
  <si>
    <t>2224 - ŻEB.PŁAT.B/CH.DOCIN.10CM</t>
  </si>
  <si>
    <t>2101 - ŻEB.MOST.Z/CH/MŚ.PODŁOP.</t>
  </si>
  <si>
    <t>2202 - ŻEB.PŁAT.B/CH.</t>
  </si>
  <si>
    <t>2424 - ŻEB.SCH.DOCIN.8CM.B/USZK.</t>
  </si>
  <si>
    <t>PL ŻEB.SCH.SZ600-850 OK2KGMAP 10KGKTSEL</t>
  </si>
  <si>
    <t>2425 - ŻEB.SCH.DOCIN.9X34CM</t>
  </si>
  <si>
    <t>2103 - ŻEB.MOST.Z/CH.B/MŚ.PODŁOP.</t>
  </si>
  <si>
    <t>1007 - MŚ.DWUG.PÓŁŚC.N/OBR.TŁ.OKR.5MM PROF.</t>
  </si>
  <si>
    <t>2421 - ŻEB.SCH.DOCIN.6CM</t>
  </si>
  <si>
    <t>2227 - ŻEB.PŁAT.B/CH.DOCIN.6CM</t>
  </si>
  <si>
    <t>2229 - ŻEB.PŁAT.B/CH.DOCIN.9X34CM</t>
  </si>
  <si>
    <t>1906 - POL.FIL.</t>
  </si>
  <si>
    <t>2427 - ŻEB.SCH.DOCIN.12CM.B/USZK.</t>
  </si>
  <si>
    <t>1904 - POL.Z/GŁ.B/WAR.</t>
  </si>
  <si>
    <t>2301 - ŻEB.PASK.Z/CZ.BOCZ.5-8CM</t>
  </si>
  <si>
    <t>PL ŻEB.PASKI EXT.2STMAP OK5KGKT AUCH</t>
  </si>
  <si>
    <t>PL POL.Z/G.B/W.OK2.5KGVAC OK5KGKT AUCH</t>
  </si>
  <si>
    <t>1908 - POL.B/GŁ.N/OBR.</t>
  </si>
  <si>
    <t>1905 - POL.N/OBR.</t>
  </si>
  <si>
    <t>1901 - GŁ.POL.N/ODBŁ.</t>
  </si>
  <si>
    <t>1028 - MŚ.CZTEROG.ODBŁ.CIE.</t>
  </si>
  <si>
    <t>1903 - POL.B/GŁ/WAR.</t>
  </si>
  <si>
    <t>2785 - NOGA TYL.</t>
  </si>
  <si>
    <t>1696 - ŚRODEK B/POL.MAC.</t>
  </si>
  <si>
    <t>1695 - ŚRODEK B/POL/POK.MAC.</t>
  </si>
  <si>
    <t>1693 - ŚRODEK B/POL/POK.</t>
  </si>
  <si>
    <t>1800AA - ĆW.BOCZ.Z/ŻEB.MŚ.CIE.</t>
  </si>
  <si>
    <t>1603 - SCH.B/K.NA WĘDZ.KROT.</t>
  </si>
  <si>
    <t>1234 - SZYN.Z/POL/SK.B/NG.REDONDO V</t>
  </si>
  <si>
    <t>1212 - SZYN.Z/K/SK/GOL.B/BIODR.</t>
  </si>
  <si>
    <t>2602 - GOL.PRZED.B/K.Z/SK.</t>
  </si>
  <si>
    <t>2601 - GOL.PRZED.Z/K/SK.</t>
  </si>
  <si>
    <t>PL GOL.PRZED.OK5KGMAP OK5KGKT AUCH</t>
  </si>
  <si>
    <t>2607 - GOL.TYL.B/SK.Z/K.STRZAŁ.</t>
  </si>
  <si>
    <t>2606 - GOL.TYL.Z/K.B/M.BRZUCH.</t>
  </si>
  <si>
    <t>1691 - ŚRODEK B/POL.</t>
  </si>
  <si>
    <t>2605 - GOL.TYL.Z/K/M.BRZUCH.</t>
  </si>
  <si>
    <t>PL GOL.TYL.OK5KGMAP OK5KGKT AUCH</t>
  </si>
  <si>
    <t>1218 - ĆW.SZYN.B/POL/OG/K.OG.</t>
  </si>
  <si>
    <t>1223 - SZYN.Z/POL/SK.B/NG/PACH.</t>
  </si>
  <si>
    <t>2780 - NOGA PRZED.</t>
  </si>
  <si>
    <t>2920 - ODPAD KOSTNY</t>
  </si>
  <si>
    <t>2750 - GŁOWA B/USZ.</t>
  </si>
  <si>
    <t>2770 - USZY</t>
  </si>
  <si>
    <t>2791 - OGON Z/CZ.K.OG.10CM</t>
  </si>
  <si>
    <t>2790 - OGON</t>
  </si>
  <si>
    <t>1232 - ĆW.SZYN.Z/GOL/K.OG.B/NG/PACH/POL.</t>
  </si>
  <si>
    <t>2793 - OGON Z/K.KRZYŻ.</t>
  </si>
  <si>
    <t>2740 - SKÓRY</t>
  </si>
  <si>
    <t>SKÓRY B/TŁ.OK20KG PB MR</t>
  </si>
  <si>
    <t>2740 - SKÓRKI</t>
  </si>
  <si>
    <t>SKÓRY B/TŁ.OK20KG PB DMR</t>
  </si>
  <si>
    <t>2741 - SKÓRY Z/TŁ.</t>
  </si>
  <si>
    <t>1352 - PRZODEK MAC.</t>
  </si>
  <si>
    <t>1300 - PRZODEK</t>
  </si>
  <si>
    <t>1353 - PRZODEK Z/GOL.B/PODG.MAC.</t>
  </si>
  <si>
    <t>1350 - PRZODEK Z/GOL.B/PODG.</t>
  </si>
  <si>
    <t>1612 - ĆW.SCH.B/POK.</t>
  </si>
  <si>
    <t>1611 - ĆW.SCH.B/POL.Z/POK.</t>
  </si>
  <si>
    <t>1610 - ĆW.SCH.Z/POL/POK.</t>
  </si>
  <si>
    <t>EU ŁOP.Z/K/GOL/S.HAK ZAK</t>
  </si>
  <si>
    <t>1026 - MŚ.DWUG.ODBŁ.</t>
  </si>
  <si>
    <t>1025 - MŚ.PÓŁBŁ.SMUK.ODBŁ.</t>
  </si>
  <si>
    <t>1024 - MŚ.PÓŁBŁ.ODBŁ.</t>
  </si>
  <si>
    <t>1237 - ĆW.SZYN.B/POL/OG/K.OG.MAC.</t>
  </si>
  <si>
    <t>2766 - POLICZEK ZEW.DOCZ.</t>
  </si>
  <si>
    <t>2760 - POLICZKI ZEW.</t>
  </si>
  <si>
    <t>2675 - M-SO DROBNE KL3A</t>
  </si>
  <si>
    <t>3103 - SUR.M-SNE WP.Z SZYN.TŁ.7%</t>
  </si>
  <si>
    <t>2834 - PRZEPONA</t>
  </si>
  <si>
    <t>1909 - POL.N/OBR.MAC.</t>
  </si>
  <si>
    <t>1907 - POL.Z/GŁ/WAR.</t>
  </si>
  <si>
    <t>1902 - GŁ.POL.ODBŁ.</t>
  </si>
  <si>
    <t>2630 - PODG.Z/SK.</t>
  </si>
  <si>
    <t>2631 - PODG.B/SK.</t>
  </si>
  <si>
    <t>PP PODG.B/S.OK20KG NB MR K4</t>
  </si>
  <si>
    <t>2632 - PODG.B/SK/TŁ.-ŁATKA</t>
  </si>
  <si>
    <t>PP PODG.WP.B/S.OK15KG NB MR SZ</t>
  </si>
  <si>
    <t>1836DA - BOCZ.ŁUS.B/PACH/CH.BOCZ.</t>
  </si>
  <si>
    <t>1816AA - BOCZ.BLAT.</t>
  </si>
  <si>
    <t>PL BOCZ.BL.B B/P.20CM 1STVACOK12KGKTAUCH</t>
  </si>
  <si>
    <t>1837AA - BOCZ.BLAT.B/SK/CZ.PACH.FAZ.</t>
  </si>
  <si>
    <t>2422 - ŻEB.SCH.DOCIN.9,5CM</t>
  </si>
  <si>
    <t>2426 - ŻEB.SCH.DOCIN.10CM</t>
  </si>
  <si>
    <t>2102 - ŻEB.MOST.Z/CH/CZ.MŚ.PODŁOP.</t>
  </si>
  <si>
    <t>2104 - ŻEB.MOST.B/CH.Z/MŚ.PODŁOP.</t>
  </si>
  <si>
    <t>PLŻEB.MOST.B/CH.Z/MP.OK5KGMAPOK5KGKTAUCH</t>
  </si>
  <si>
    <t>2402 - ŻEB.SCH.5-8CM</t>
  </si>
  <si>
    <t>2500 - ŻEB.SCH.-PŁAT.</t>
  </si>
  <si>
    <t>2501 - ŻEB.SCH.-PŁAT.8-10CM</t>
  </si>
  <si>
    <t>2428 - ŻEB.SCH.DOCIN.8CM.B/BŁ.</t>
  </si>
  <si>
    <t>2228 - ŻEB.PŁAT.B/CH.DOCIN.16CM</t>
  </si>
  <si>
    <t>2504 - ŻEB.SCH.-PŁAT.8-10CM MAC.</t>
  </si>
  <si>
    <t>PL ŻEB.SCH.SZER.730-830 CH</t>
  </si>
  <si>
    <t>PL ŻEB.SCH.SZER.730-830 OK20KGNB MR ST</t>
  </si>
  <si>
    <t>PL ŻEB.SCH.5-8CM 730-830 OK20KGLUZPJ ST</t>
  </si>
  <si>
    <t>PL ŻEB.SCH.5-8CM 730-830 PBX ST</t>
  </si>
  <si>
    <t>PL ŻEB.SCH.SZER.730-830 OK20KGNB DMR</t>
  </si>
  <si>
    <t>2404 - ŻEB.SCH.10-12CM</t>
  </si>
  <si>
    <t>2670 - M-SO DROBNE KL2B</t>
  </si>
  <si>
    <t>3105 - SUR.M-SNE WP.Z ŁOP.TŁ.29%</t>
  </si>
  <si>
    <t>MM114 - EU M.MIEL.WP-WŁ.FARSZ BIED</t>
  </si>
  <si>
    <t>PP M-SO WP.TRYMING 75/25 ŻWACZE CH</t>
  </si>
  <si>
    <t>PP M-SO WP.TRYMING 75/25 ŻWACZE PBX2</t>
  </si>
  <si>
    <t>PP TRYMING 80/20 FI3 CH</t>
  </si>
  <si>
    <t>2693 - TRYMING 80/20 FI3</t>
  </si>
  <si>
    <t>PP TRYMING 80/20 FI3 OK15KG NB MR ST</t>
  </si>
  <si>
    <t>PP TRYMING 80/20 FI3 OK15KG NB DMR</t>
  </si>
  <si>
    <t>PP TRYMING 80/20 FI3 PBX2</t>
  </si>
  <si>
    <t>2663 - M-SO DROBNE 70/30 Z SZYN.</t>
  </si>
  <si>
    <t>2662 - M-SO DROBNE 70/30</t>
  </si>
  <si>
    <t>2672 - M-SO DROBNE 50/50</t>
  </si>
  <si>
    <t>PP M-SO WP.TRYMING 60/40 OK15KG NB MR SZ</t>
  </si>
  <si>
    <t>2685 - M-SO DROBNE KL4</t>
  </si>
  <si>
    <t>2653 - M-SO DROBNE KL1 JAS.Z SZYN.</t>
  </si>
  <si>
    <t>2651 - M-SO DROBNE KL1 CIE.Z SZYN.</t>
  </si>
  <si>
    <t>2650 - M-SO DROBNE KL1 CIE.</t>
  </si>
  <si>
    <t>2660 - M-SO DROBNE KL2A</t>
  </si>
  <si>
    <t>2661 - M-SO DROBNE KL2A Z SZYN.</t>
  </si>
  <si>
    <t>2671 - M-SO DROBNE KL2B Z SZYN.</t>
  </si>
  <si>
    <t>2676 - M-SO DROBNE KL3A Z SZYN.</t>
  </si>
  <si>
    <t>2680 - M-SO DROBNE KL3B</t>
  </si>
  <si>
    <t>2681 - M-SO DROBNE KL3B Z SZYN.</t>
  </si>
  <si>
    <t>2679 - M-SO ODŚC.</t>
  </si>
  <si>
    <t>2686 - M-SO DROBNE KL4 Z SZYN.</t>
  </si>
  <si>
    <t>2658 - M-SO DROBNE KL1 CIE.EXT.</t>
  </si>
  <si>
    <t>2688 - M-SO DROBNE KL4 POUB.</t>
  </si>
  <si>
    <t>2687 - M-SO DROBNE KL4B</t>
  </si>
  <si>
    <t>2692 - WP MOM</t>
  </si>
  <si>
    <t>2656 - M-SO DROBNE KL1 CIE.Z SZYN.MAC.</t>
  </si>
  <si>
    <t>2664 - M-SO DROBNE KL2A Z PRZ.MAC.</t>
  </si>
  <si>
    <t>2657 - M-SO DROBNE KL1 CIE.Z POL.MAC.</t>
  </si>
  <si>
    <t>2665 - M-SO DROBNE KL2A ŚR.MAC.</t>
  </si>
  <si>
    <t>2659 - M-SO DROBNE KL1 CIE.ZE SCH.MAC.</t>
  </si>
  <si>
    <t>2690 - OKOSTNA</t>
  </si>
  <si>
    <t>2654 - M-SO DROBNE KL1 ZAPARZ.</t>
  </si>
  <si>
    <t>2765 - MASKI TŁUSTE Z GŁÓW  Z/RYJ/USZ/SK.</t>
  </si>
  <si>
    <t>2764 - RYJEK</t>
  </si>
  <si>
    <t>2763 - MASKI TŁUSTE</t>
  </si>
  <si>
    <t>2761 - MASKI I M-SO Z GŁÓW Z/SK.</t>
  </si>
  <si>
    <t>2762 - MASKI Z GŁÓW</t>
  </si>
  <si>
    <t>2702 - SŁONINA HAND.Z/SK.</t>
  </si>
  <si>
    <t>2701 - SŁONINA HAND.B/SK.</t>
  </si>
  <si>
    <t>2720 - TŁUSZCZ PACH.</t>
  </si>
  <si>
    <t>2710 - TŁUSZCZ DR.</t>
  </si>
  <si>
    <t>***TŁUSZCZ ODPAD CH</t>
  </si>
  <si>
    <t>***TLUSZCZ ODPADOWY WP.LUZ MRZ.</t>
  </si>
  <si>
    <t>2912 - TŁUSZCZ KAT.3</t>
  </si>
  <si>
    <t>***TŁUSZCZ ODPAD.PB DMR</t>
  </si>
  <si>
    <t>2703 - SŁONINA PRZEM.B/SK.</t>
  </si>
  <si>
    <t>2830 - MÓZG</t>
  </si>
  <si>
    <t>2721 - SADŁO</t>
  </si>
  <si>
    <t>2836 - WĄTROBA</t>
  </si>
  <si>
    <t>2903 - WĄTROBA KAT.3</t>
  </si>
  <si>
    <t>2835 - SERCE</t>
  </si>
  <si>
    <t>2902 - PŁUCA KAT.3</t>
  </si>
  <si>
    <t>2832 - OZORY</t>
  </si>
  <si>
    <t>2832 - OZORKI</t>
  </si>
  <si>
    <t>2831 - NERKI</t>
  </si>
  <si>
    <t>2901 - NERKI KAT.3</t>
  </si>
  <si>
    <t>2792 - OGON KRÓTKI</t>
  </si>
  <si>
    <t>2850 - ŻOŁĄDEK</t>
  </si>
  <si>
    <t>***ŻOŁĄDEK KLB PBX ST</t>
  </si>
  <si>
    <t>2853 - JELITO GRUBE</t>
  </si>
  <si>
    <t>JELITO GRU.MAC.SOL.90-100CM 5.3KGSIA.BL</t>
  </si>
  <si>
    <t>JEL.GRU.MAC.SOL.90-100CM5.3KGSIA.40STBEC</t>
  </si>
  <si>
    <t>10 sztuk w siatce,40 siatek w beczce / 10 pieces net,40 nets in a barrel</t>
  </si>
  <si>
    <t>2852 - JELITO CIENKIE</t>
  </si>
  <si>
    <t>2851 - KĄTNICA</t>
  </si>
  <si>
    <t>2855 - KRZYŻÓWKA</t>
  </si>
  <si>
    <t>2856 - PĘCHERZ</t>
  </si>
  <si>
    <t>2854 - JELITO PROSTE</t>
  </si>
  <si>
    <t>2858 - ŚLEDZIONA</t>
  </si>
  <si>
    <t>2904 - ŚLUZ KAT.3</t>
  </si>
  <si>
    <t>2859 - TRZUSTKA</t>
  </si>
  <si>
    <t>2857 - MACICA</t>
  </si>
  <si>
    <t>2861 - JELITO GRUBE+PROSTE CZ.+KĄTNICA</t>
  </si>
  <si>
    <t>2860 - JELITO PROSTE+KRZYŻÓWKA+KORONA</t>
  </si>
  <si>
    <t>2899 - SOL.Z JELITA CIENKIEGO ZASOLONEGO</t>
  </si>
  <si>
    <t>2866 - JELITO GRUBE FI&lt;62</t>
  </si>
  <si>
    <t>2839 - JELITA KPL.</t>
  </si>
  <si>
    <t>2911 - ŚLEDZIONA KAT.3</t>
  </si>
  <si>
    <t>2837 - HEPARYNA</t>
  </si>
  <si>
    <t>2838 - AORTA</t>
  </si>
  <si>
    <t>2840 - KREW SPOŻ.</t>
  </si>
  <si>
    <t>2906 - RANA KŁUCIA KAT.3</t>
  </si>
  <si>
    <t>2908 - USZY WEW.KAT.3</t>
  </si>
  <si>
    <t>2905 - PENIS KAT.3</t>
  </si>
  <si>
    <t>2800 - KOŚCI MIX</t>
  </si>
  <si>
    <t>2803 - KOŚCI KARK.</t>
  </si>
  <si>
    <t>2804 - KOŚCI SCH.</t>
  </si>
  <si>
    <t>2805 - KOŚCI POKRZEP.</t>
  </si>
  <si>
    <t>PL KOŚCI POKRZEP.PBX SZ</t>
  </si>
  <si>
    <t>PP KOŚCI POKRZEP.PBX SZ</t>
  </si>
  <si>
    <t>2822 - CHRZ.MOST.</t>
  </si>
  <si>
    <t>2801 - KOŚCI BOCZ.</t>
  </si>
  <si>
    <t>PL KOŚCI KARK.PBX SZ</t>
  </si>
  <si>
    <t>2920 - ODPAD KOSTNY KAT.3</t>
  </si>
  <si>
    <t>2806 - KOŚCI CZASZKI I ŻUCHWY</t>
  </si>
  <si>
    <t>2802 - KOŚCI RURKI Z SZYN.ŁOP.</t>
  </si>
  <si>
    <t>2799 - KOŚCI OGON.</t>
  </si>
  <si>
    <t>2820 - CHRZ.BOCZ.</t>
  </si>
  <si>
    <t>2821 - CHRZ.KSIĘŻYCOWA</t>
  </si>
  <si>
    <t>2862 - HEPARYNA CRUDE</t>
  </si>
  <si>
    <t>2910 - ŻOŁĄDEK KAT.3</t>
  </si>
  <si>
    <t>2913 - SERCE KAT.3</t>
  </si>
  <si>
    <t>2907 - SZCZECINA KAT.3</t>
  </si>
  <si>
    <t>2909 - OZORY KAT.3</t>
  </si>
  <si>
    <t>1012 - MŚ.PÓŁBŁ.SMUK.N/ODBŁ.TŁ.PNK.2MM</t>
  </si>
  <si>
    <t>PL MŚ.CZTER.N/OBR.Z/NAP.OK20KG NB MR ST</t>
  </si>
  <si>
    <t>1003 - MŚ.CZTEROG.N/OBR.Z/NAP.</t>
  </si>
  <si>
    <t>1021 - MŚ.SZYN.N/ODBŁ.</t>
  </si>
  <si>
    <t>1233 - SZYN.B/K/MŚ.DWUG/MŚ.PÓŁBŁ.Z/MŚ.GOL.</t>
  </si>
  <si>
    <t>1019 - MŚ.BIODR.B/MŚ.SZARP.N/OBR.TŁ.PNK.2MM</t>
  </si>
  <si>
    <t>1008 - MŚ.DWUG.PÓŁŚC.N/OBR.TŁ.PNK.2MM</t>
  </si>
  <si>
    <t>1001 - MŚ.BIODR.N/OBR.TŁ.PNK.2MM</t>
  </si>
  <si>
    <t>1030 - MŚ.DWUG.EL.NA MAZURSKĄ</t>
  </si>
  <si>
    <t>PL BOCZ.BL.A B/S.MC.OK20KG NB MR ST</t>
  </si>
  <si>
    <t>PL BOCZ.BL.A B/S.MC.PBX1</t>
  </si>
  <si>
    <t>PL BOCZ.BL.A B/S.MC.OK20KGNB DMR</t>
  </si>
  <si>
    <t>PL BOCZ.BL.A B/S.MC.RO1</t>
  </si>
  <si>
    <t>PL BOCZ.BL.A B/S.MC.RO2</t>
  </si>
  <si>
    <t>PL BOCZ.BL.A B/S.MC.PBX2</t>
  </si>
  <si>
    <t>1020 - MŚ.DWUG.PÓŁŚC.EL.NA SZWAGRA.LOG</t>
  </si>
  <si>
    <t>1827DD - BOCZ.BLAT.B/SK/CZ.PACH.Z/MŚ.CIE.</t>
  </si>
  <si>
    <t>1827DD - BOCZ.BLAT.B/SK.Z/CZ.PACH/MŚ.CIE.</t>
  </si>
  <si>
    <t>1802AA - BOCZ.Z/ŻEB.B/CZ.PACH.</t>
  </si>
  <si>
    <t>1802AA - BOCZ.Z/ŻEB/SK.B/CZ.PACH.</t>
  </si>
  <si>
    <t>1822DA - BOCZ.BLAT.B/SK.Z/MŚ.CIE.</t>
  </si>
  <si>
    <t>1806 - BOCZ.ŁUS.B/SK/CH.Z/CZ.MŚ.PRZEP.-REG.</t>
  </si>
  <si>
    <t>1831AD - BOCZ.BLAT.Z/SK/CZ.PACH.</t>
  </si>
  <si>
    <t>1224 - SZYN.Z/NG/POL/SK.B/PACH.</t>
  </si>
  <si>
    <t>1022 - MŚ.DWUG.TŁ.OKR.2MM</t>
  </si>
  <si>
    <t>1806DD2 - BOCZ.ŁUS.B/SK/PACH/CH.BOCZ.</t>
  </si>
  <si>
    <t>1837DA - BOCZ.BLAT.B/SK/CZ.PACH.FAZ.</t>
  </si>
  <si>
    <t>1843DA - BOCZ.BLAT.B/SK/PACH.Z/MŚ.PRZEP.ODTŁ.</t>
  </si>
  <si>
    <t>1831AA - BOCZ.BLAT.Z/SK/CZ.PACH.</t>
  </si>
  <si>
    <t>1811DD2 - BOCZ.BLAT.B/SK/PACH.</t>
  </si>
  <si>
    <t>1828AD - BOCZ.ŁUS.B/CZ.PACH/CH.BOCZ/CH.MOST.</t>
  </si>
  <si>
    <t>1821AA - BOCZ.ŁUS.B/CZ.PACH.Z/CH.BOCZ.</t>
  </si>
  <si>
    <t>1809DD - BOCZ.ŁUS.B/CH.BOCZ.</t>
  </si>
  <si>
    <t>1809DD2 - BOCZ.ŁUS.Z/SK.B/CH.BOCZ.</t>
  </si>
  <si>
    <t>1825AA - BOCZ.ŁUS.B/SK/CZ.PACH.Z/CH.BOCZ.</t>
  </si>
  <si>
    <t>1827AA - BOCZ.BLAT.B/SK/CZ.PACH.Z/MŚ.CIE.</t>
  </si>
  <si>
    <t>1827AA - BOCZ.BLAT.B/SK.Z/CZ.PACH/MŚ.CIE.</t>
  </si>
  <si>
    <t>1832DD - BOCZ.BLAT.B/SK/CZ.PACH.</t>
  </si>
  <si>
    <t>1830AA - BOCZ.ŁUS.B/CZ.PACH/CHB.</t>
  </si>
  <si>
    <t>1823AA - BOCZ.BLAT.Z/SK/PACH/MŚ.CIE.</t>
  </si>
  <si>
    <t>1808AA - BOCZ.ŁUS.Z/SK/CH.BOCZ.</t>
  </si>
  <si>
    <t>1837DD - BOCZ.BLAT.B/SK/CZ.PACH.FAZ.</t>
  </si>
  <si>
    <t>1815DD - BOCZ.BLAT.B/PACH.</t>
  </si>
  <si>
    <t>1832DA - BOCZ.BLAT.B/SK/CZ.PACH.</t>
  </si>
  <si>
    <t>1829AA - BOCZ.ŁUS.B/SK/CZ.PACH/CH.BOCZ.</t>
  </si>
  <si>
    <t>1829AA - BOCZ.ŁUS.B/SK/CZ.PACH/CH.BOCZ.Z/MŚ.CIE.</t>
  </si>
  <si>
    <t>1837DD2 - BOCZ.BLAT.B/SK/CZ.PACH.FAZ.</t>
  </si>
  <si>
    <t>1811DA2 - BOCZ.BLAT.B/SK/PACH.</t>
  </si>
  <si>
    <t>1824AA - BOCZ.BLAT.Z/SK/CZ.PACH/MŚ.CIE.</t>
  </si>
  <si>
    <t>PL BOCZ.BL.A B/CZP.MC.OK15KGNBMR BIED SZ</t>
  </si>
  <si>
    <t>1842AA - BOCZ.BLAT.B/PACH.MAC.</t>
  </si>
  <si>
    <t>1842DA - BOCZ.BLAT.B/PACH.MAC.</t>
  </si>
  <si>
    <t>1841AA - BOCZ.BLAT.B/CZ.PACH.Z/MŚ.CIE.MAC.</t>
  </si>
  <si>
    <t>1808DD - BOCZ.ŁUS.B/PACH.Z/CH.BOCZ.</t>
  </si>
  <si>
    <t>1808AA - BOCZ.ŁUS.B/PACH.Z/CH.BOCZ.</t>
  </si>
  <si>
    <t>1013 - MŚ.PÓŁŚC.N/OBR.</t>
  </si>
  <si>
    <t>1821AA - BOCZ.ŁUS.Z/SK/CH.BOCZ/CZ.PACH.</t>
  </si>
  <si>
    <t>1694 - ŚRODEK B/K/SK/POL.</t>
  </si>
  <si>
    <t>1834AA - BOCZ.ŁUS.Z/SK/CH.BOCZ/CZ.PACH/MŚ.CIE.</t>
  </si>
  <si>
    <t>1832AD - BOCZ.BLAT.B/SK/CZ.PACH.</t>
  </si>
  <si>
    <t>2751 - GŁOWA Z/USZ.</t>
  </si>
  <si>
    <t>2841 - KREW TECH.</t>
  </si>
  <si>
    <t>7771 - MDOM</t>
  </si>
  <si>
    <t>7521 - FIL.B/SK.Z/POL.</t>
  </si>
  <si>
    <t>7731 - M-SO BAADER JAS.</t>
  </si>
  <si>
    <t>6316KA - BAADER UDO B/K/SK.80%</t>
  </si>
  <si>
    <t>7701 - POL.</t>
  </si>
  <si>
    <t>7405 - PODUD.B/K/SK.</t>
  </si>
  <si>
    <t>7408 - PODUD.B/K/SK/DOCZ.ŚCIĘG.</t>
  </si>
  <si>
    <t>7305 - UDO B/K/SK.</t>
  </si>
  <si>
    <t>7310 - UDO B/K/SK.DOCZ.</t>
  </si>
  <si>
    <t>LT KK UDO B/K/S.KL1 PRZ.OK15KGWOR PJ SU</t>
  </si>
  <si>
    <t>KK UDO B/K/S.KL1 PRZ.PBX SU</t>
  </si>
  <si>
    <t>LT KK UDO B/K/S.KL1 PRZ.PBX SU</t>
  </si>
  <si>
    <t>KK UDO B/K/S.KL1 PRZ.OK15KGWOR PJ SU</t>
  </si>
  <si>
    <t>7205 - NOGA B/K.Z/SK.</t>
  </si>
  <si>
    <t>7741 - M-SO BAADER CIE.</t>
  </si>
  <si>
    <t>7404 - PODUD.B/K.Z/SK.</t>
  </si>
  <si>
    <t>7302 - UDO B/K.Z/SK.</t>
  </si>
  <si>
    <t>LT KK UDO B/K.15KG NB MR SU</t>
  </si>
  <si>
    <t>KK UDO B/K.PRZT.OK15KG NB MR K3</t>
  </si>
  <si>
    <t>CZ KK UDO B/K.180G- 15KG NB MR OP</t>
  </si>
  <si>
    <t>CZ KK UDO B/K.15KG NB MR OP</t>
  </si>
  <si>
    <t>7204 - NOGA B/K/SK.</t>
  </si>
  <si>
    <t>KK NOGA B/K/S.OK15KG PB MR SU1</t>
  </si>
  <si>
    <t>KK NOGA B/K.OK15KGFOL PJ SU</t>
  </si>
  <si>
    <t>KK NOGA B/K.15KG NB MR SU</t>
  </si>
  <si>
    <t>7732 - M-SO BAADER JAS/EXT.</t>
  </si>
  <si>
    <t>7401 - PODUD.Z/K/SK.</t>
  </si>
  <si>
    <t>4507 - BF B/SK.Z/POL.</t>
  </si>
  <si>
    <t>4204 - NOGA B/K/SK.</t>
  </si>
  <si>
    <t>8045 - M-SO DROBNE KL2</t>
  </si>
  <si>
    <t>PS110 - WI KONS.BOCZ.100 M.85 300G</t>
  </si>
  <si>
    <t>PS152 - WI KONS.GOL.611 M.89 300G</t>
  </si>
  <si>
    <t>PS111 - WI KONS.LUKS.MIEL.4112 M.94 300G</t>
  </si>
  <si>
    <t>PS207 - WI KONS.W S.WŁ.B/KONS.404 M.94 300G</t>
  </si>
  <si>
    <t>KP144 - WI KIEŁB.KRAK.FIB.60 M.160 640G</t>
  </si>
  <si>
    <t>KP138 - KU KIEŁB.KRAK.PŚ FIB.55 M.120 300G</t>
  </si>
  <si>
    <t>KP147 - WI KIEŁB.KRAK.SUCH.FIB.55 M.146 500G</t>
  </si>
  <si>
    <t>KP120 - WI KIEŁB.MYŚL.SUCH.JWP.28-30M.136 90G</t>
  </si>
  <si>
    <t>PS232 - WI KONS.SZYN.STE.SFS M.80 455G</t>
  </si>
  <si>
    <t>KP148 - WI KIEŁB.ŻYWIECKA FIB.50 M.125 460G</t>
  </si>
  <si>
    <t>PS258 - WI PAPRYKARZ M.32 300G</t>
  </si>
  <si>
    <t>SU1205PS - SZYN.B/K/MŚ.DWUG/MŚ.PÓŁBŁ.</t>
  </si>
  <si>
    <t>SU2834PS - PRZEPONA</t>
  </si>
  <si>
    <t>SU2653PS - M-SO DROBNE KL1 JAS.Z SZYN.</t>
  </si>
  <si>
    <t>SU2660PS - M-SO DROBNE KL2A</t>
  </si>
  <si>
    <t>SU2670PS - M-SO DROBNE KL2B</t>
  </si>
  <si>
    <t>SU2675PS - M-SO DROBNE KL3A</t>
  </si>
  <si>
    <t>***WT M-SO WP.DR.PROD.</t>
  </si>
  <si>
    <t>WY110AS - WYSORTY MS: M-SO DO PROD.</t>
  </si>
  <si>
    <t>***WT M-SO WP.DR.PROD.AS MR</t>
  </si>
  <si>
    <t>WY107MR - WYSORTY MA: M-SO PEKL.</t>
  </si>
  <si>
    <t>WY100 - WYSORTY I PRÓBY</t>
  </si>
  <si>
    <t>***WT M-SO WP.DR.PROD.AS DMR</t>
  </si>
  <si>
    <t>***WT M-SO WP.DR.PROD.AS RO</t>
  </si>
  <si>
    <t>***WT M-SO WP.DR.PROD.ROZP</t>
  </si>
  <si>
    <t>SU1015PS - MŚ.SZYN.ODBŁ.</t>
  </si>
  <si>
    <t>MW110 - MIESZ.WSTĘPNA DO KABAN.</t>
  </si>
  <si>
    <t>SU1219PS - SZYN.1.5D</t>
  </si>
  <si>
    <t>SU2661PS - M-SO DROBNE KL2A Z SZYN.</t>
  </si>
  <si>
    <t>SU1236PS - SZYN.B/K/MŚ.DWUG/MŚ.PÓŁBŁ/MŚ.BRZUCH.</t>
  </si>
  <si>
    <t>SU2680PS - M-SO DROBNE KL3B</t>
  </si>
  <si>
    <t>WE164PM - WI POL.SOPOCKA PARZ.WĘDZ.M60 1664</t>
  </si>
  <si>
    <t>WE159PM - WI POL.ŁOSOSIOWA WĘDZ.M92 1607</t>
  </si>
  <si>
    <t>SU1302PS - ŁOP.4D</t>
  </si>
  <si>
    <t>SU1904PS - POL.Z/GŁ.B/WAR.</t>
  </si>
  <si>
    <t>WE155PM - WI BOCZ.Z/S.PARZ.MOC.WĘDZ.M85 1815</t>
  </si>
  <si>
    <t>WE162PM - WI BOCZ.Z/S.OKOPC.PARZ.WĘDZ.M85 1815</t>
  </si>
  <si>
    <t>WE174PM - WI BOCZ.Z/S.PARZ.WĘDZ.M72 1823</t>
  </si>
  <si>
    <t>MA127 - SCH.Z/ŚLIW.MAR.15% PEKL.BIED</t>
  </si>
  <si>
    <t>SU1811PS - BOCZ.BLAT.B/SK/PACH.</t>
  </si>
  <si>
    <t>SU2832PM - OZORY</t>
  </si>
  <si>
    <t>WE263PM - WI POL.WĘDZ.O SMTRUFLI M105 1904</t>
  </si>
  <si>
    <t>WE269PM - WI SZYN.MAGNACKA M105 1009</t>
  </si>
  <si>
    <t>KG128FA - WI KIEŁB.KRAK.PARZ.BIA80 M66</t>
  </si>
  <si>
    <t>WE161PM - WI SZYN.B/KNST.PARZ.WĘDZ.SIA.M104 1005</t>
  </si>
  <si>
    <t>WE168PM - WI SZYN.ZRAZ.PARZ.WĘDZ.SIA.M104 1010</t>
  </si>
  <si>
    <t>KG127FA - WI KIEŁB.SZYN.FIB100 M70</t>
  </si>
  <si>
    <t>WE158PM - WI SCH.KROTOSZ.WĘDZ.M86 1603</t>
  </si>
  <si>
    <t>MA124 - BOCZEK GRILL MAR.CONCERTO PEKL.</t>
  </si>
  <si>
    <t>MA123 - BOCZ.GRILL MAR.CONCERTO Z MROŻ.PEKL.</t>
  </si>
  <si>
    <t>WE153PM - WI SZYN.PARZ.MOC.WĘDZ.M70 1011</t>
  </si>
  <si>
    <t>MA125 - KARK.GRILL MAR.PEKL.</t>
  </si>
  <si>
    <t>MA132 - KARK.GRILL MAR.RO CH PEKL.</t>
  </si>
  <si>
    <t>MA126 - KARK.GRILL MAR.CONCERTO Z MROŻ.PEKL.</t>
  </si>
  <si>
    <t>SU1824PM - BOCZ.BLAT.B/CZ.PACH.Z/MŚ.CIE.</t>
  </si>
  <si>
    <t>PB135FA - WI SZYN.BIA.KRÓL.POLI130 M63</t>
  </si>
  <si>
    <t>MA137 - SZYN.GRILL MAR.PORTO PEKL.</t>
  </si>
  <si>
    <t>MA138 - KARK.GRILL MAR.PORTO PEKL.</t>
  </si>
  <si>
    <t>MA139 - BOCZ.GRILL MAR.PORTO PEKL.</t>
  </si>
  <si>
    <t>KC147FA - WI KIEŁB.PODWAW.JWP30-32 M80</t>
  </si>
  <si>
    <t>BOCZ.OD SZWAGRA PEKL.25%</t>
  </si>
  <si>
    <t>WE163PM - WI SZYN.ZAPIE.SIA.M124 1005</t>
  </si>
  <si>
    <t>WE204PM - WI BOCZ.Z/S.ZAPIE.M124 1808</t>
  </si>
  <si>
    <t>WE171PM - WI SCH.ZAPIE.SIA.M124 1667</t>
  </si>
  <si>
    <t>WE259PM - WI SZYN.ŚWIĘTOKRZ.SIA.M100 1010</t>
  </si>
  <si>
    <t>WE258PM - WI SCH.ŚWIĘTOKRZ.SIA.M100 1664</t>
  </si>
  <si>
    <t>PP SUR.MIĘS.70/30 USR</t>
  </si>
  <si>
    <t>PP SUR.MIĘS.70/30 USR OK20KG NB MR ST</t>
  </si>
  <si>
    <t>PP SUR.MIĘS.70/30 USR OK20KG NB DMR</t>
  </si>
  <si>
    <t>3107 - SUR.M-SNE WP.Z ŁOP.SZYN.TŁ.20%</t>
  </si>
  <si>
    <t>3106 - SUR.M-SNE WP.Z ŁOP.PODG.TŁ.40%</t>
  </si>
  <si>
    <t>SU2688PS - M-SO DROBNE KL4 POUB.</t>
  </si>
  <si>
    <t>SU2710PS - TŁUSZCZ DR.</t>
  </si>
  <si>
    <t>SU2650PS - M-SO DROBNE KL1 CIE.</t>
  </si>
  <si>
    <t>PO113PM - WI SALCESON CZARNY POLI95</t>
  </si>
  <si>
    <t>SU2740PS - SKÓRY</t>
  </si>
  <si>
    <t>PO113GO - WI SALCESON CZARNY POLI95</t>
  </si>
  <si>
    <t>PO115GO - WI KASZANKA JWP30-32</t>
  </si>
  <si>
    <t>SU2831GO - NERKI</t>
  </si>
  <si>
    <t>SU2740GO - SKÓRY</t>
  </si>
  <si>
    <t>WY118AS - WYSORTY PO: WYR.PODR.</t>
  </si>
  <si>
    <t>PO113FA - WI SALCESON CZARNY POLI95</t>
  </si>
  <si>
    <t>SU2740SL - SKÓRY</t>
  </si>
  <si>
    <t>SU2741GO - SKÓRY Z/TŁ.</t>
  </si>
  <si>
    <t>KC149FA - WI KIEŁB.PODWAW.JWP30-32 M95</t>
  </si>
  <si>
    <t>SU2701GO - SŁONINA HAND.B/SK.</t>
  </si>
  <si>
    <t>SU2763PM - MASKI TŁUSTE</t>
  </si>
  <si>
    <t>SU2763GO - MASKI TŁUSTE</t>
  </si>
  <si>
    <t>MG990 - MDOM93 PEKL.</t>
  </si>
  <si>
    <t>WE248PM - WI ŻEB.PŁ.PS PARZ.WĘDZ.M107 2201</t>
  </si>
  <si>
    <t>WE193PM - WI BOCZ.Z/S.PARZ.WĘDZ.M94 1824</t>
  </si>
  <si>
    <t>WE188PM - WI ŻEB.MOST.PARZ.WĘDZ.M106 2101</t>
  </si>
  <si>
    <t>1815AAPS - BOCZ.BLAT.Z/SK.</t>
  </si>
  <si>
    <t>WE187PM - WI BOCZ.Z/S.PARZ.WĘDZ.M95 1815</t>
  </si>
  <si>
    <t>WE110PM - WI BOCZ.Z/S.WĘDZ.M96 1824</t>
  </si>
  <si>
    <t>WE131PM - WI SCH.SZWAGRA PARZ.WĘDZ.SIA.M100 1660</t>
  </si>
  <si>
    <t>WE245PM - WI BALERON PARZ.WĘDZ.SIA.M75 1322</t>
  </si>
  <si>
    <t>WG134PM - WI ŻEB.SCH.B/K.8CM</t>
  </si>
  <si>
    <t>WG127PM - WI ŻEB.PŁ.B/K.8CM</t>
  </si>
  <si>
    <t>WE124PM - WI SZYN.POLSKA PARZ.WĘDZ.SIA.M70 1007</t>
  </si>
  <si>
    <t>WE228PM - WI SZYN.KLAS.PARZ.WĘDZ.SIA.M91 1007</t>
  </si>
  <si>
    <t>WE224PM - WI BOCZ.Z/S.ROL.PARZ.WĘDZ.SIA.M85 1823</t>
  </si>
  <si>
    <t>MA128 - KARK.DO PIECZ.15% PEKL.</t>
  </si>
  <si>
    <t>KC168FA - WI KIEŁB.BIAŁA Z SZYN.JWP28-30 M90</t>
  </si>
  <si>
    <t>KC155FA - WI KIEŁB.ZWYCZAJNA JWP30-32 M70</t>
  </si>
  <si>
    <t>KC158FA - WI KIEŁB.GŁOGOWSKA JWP32-34 M94</t>
  </si>
  <si>
    <t>KC143FA - WI KIEŁB.ŚLĄSKA JWP30 M67</t>
  </si>
  <si>
    <t>KC153FA - WI KIEŁB.MORL.Z SZYN.JWP28-30 M80</t>
  </si>
  <si>
    <t>KC170FA - WI KIEŁB.GRILL.JWP30-32 M104</t>
  </si>
  <si>
    <t>KC182FA - WI/KU KIEŁB.REGIONALNA JWP30 M21</t>
  </si>
  <si>
    <t>KC188FA - WI KIEŁB.OD SZWAGRA JWP32-34 M115</t>
  </si>
  <si>
    <t>KC191FA - DR/WI KIEŁB.ZWYCZAJNA JWP30-32 M21</t>
  </si>
  <si>
    <t>PA179FA - DR/WI KIEŁB.PAR.JWP30-32 MDOM33</t>
  </si>
  <si>
    <t>KP132FA - KU KIEŁB.KRAK.FIB55 M120</t>
  </si>
  <si>
    <t>KC119FA - WI FRANK.KOL18 M105</t>
  </si>
  <si>
    <t>KP134FA - WI KIEŁB.SZWAGRA JWP30-32 M135</t>
  </si>
  <si>
    <t>KP123FA - WI KIEŁB.ŻYWIECKA FIB55 M125</t>
  </si>
  <si>
    <t>KG129FA - WI KIEŁB.CZOSN.FIB58 M57</t>
  </si>
  <si>
    <t>KG130FA - WI MORT.POLI95</t>
  </si>
  <si>
    <t>PO115FA - WI KASZANKA JWP30-32</t>
  </si>
  <si>
    <t>KA117FA - WI KABAN.JBAR18-20 M171</t>
  </si>
  <si>
    <t>3101 - SUR.M-SNE WP.Z ŁOP.TŁ.20%</t>
  </si>
  <si>
    <t>3104 - SUR.M-SNE WP.DR.TŁ.30%</t>
  </si>
  <si>
    <t>KA134FA - WI KABAN.PRO8 M175</t>
  </si>
  <si>
    <t>KA135FA - DR/WI KABAN.PRO8 M160</t>
  </si>
  <si>
    <t>KA136FA - DR/WI KABAN.JBAR18-20 M168</t>
  </si>
  <si>
    <t>KA137FA - WI KABAN.PRO15 M142</t>
  </si>
  <si>
    <t>KC243FA - WI KIEŁB.PODWAW.JWP30-32 M96</t>
  </si>
  <si>
    <t>KC282FA - WI KIEŁB.BIAŁA PARZ.KOL18 M80</t>
  </si>
  <si>
    <t>KC181FA - WI KIEŁB.ŚLĄSKA JWP28-30 M90</t>
  </si>
  <si>
    <t>MM117 - M-SO WŁ.GARM.FARSZ</t>
  </si>
  <si>
    <t>KC156FA - WI FRANK.WĘDZ.KOL22 M116</t>
  </si>
  <si>
    <t>KC239FA - WI KIEŁB.MORL.KOL22 M80</t>
  </si>
  <si>
    <t>KC164FA - WI KIEŁB.OD MASARZA JWP30-32 M80</t>
  </si>
  <si>
    <t>KA138FA - DR/WI KABAN.Z SEREM PRO8 M160</t>
  </si>
  <si>
    <t>KA140FA - DR/WI KABAN.SALSA POMID.PRO8 M160</t>
  </si>
  <si>
    <t>MM113 - M.MIEL.WP-WŁ.GARM.FARSZ BIED</t>
  </si>
  <si>
    <t>3102 - SUR.M-SNE WP.Z SZYN.TŁ.30%</t>
  </si>
  <si>
    <t>KC250FA - WI KIEŁB.CHILLI/SER.KOL18 M83</t>
  </si>
  <si>
    <t>KC251FA - WI KIEŁB.BEC/CEB.KOL18 M58</t>
  </si>
  <si>
    <t>KC201FA - WI KIEŁB.TORUŃ/PODWAW.JWP30-32 M80</t>
  </si>
  <si>
    <t>KC193FA - WI KIEŁB.ŚLĄSKA JWP30-32 M90</t>
  </si>
  <si>
    <t>KC237FA - WI KIEŁB.ŚLĄSKA JWP30-32 M90</t>
  </si>
  <si>
    <t>KA114FA - DR/WI KABAN.JALAPENO PRO8 M160</t>
  </si>
  <si>
    <t>KA116FA - DR/WI KABAN.PAPR/SŁOD.PRO8 M160</t>
  </si>
  <si>
    <t>KG119FA - WI KIEŁB.SUMMER SALAMI FIB50 M57</t>
  </si>
  <si>
    <t>KA118FA - DR/WI KABAN.ZIEL.CEB.PRO8 M160</t>
  </si>
  <si>
    <t>KC279FA - WI ŚLĄZERKI SER/POMID.KOL18 M80</t>
  </si>
  <si>
    <t>KC264FA - WI KIEŁB.ŚLĄS.GRILL.JWP30-32 M68</t>
  </si>
  <si>
    <t>KC268FA - WI KIEŁB.PODWAW.KRA.JWP30-32 M95</t>
  </si>
  <si>
    <t>KC269FA - WI KIEŁB.ŚLĄSKA JWP30-32 M91</t>
  </si>
  <si>
    <t>KA139FA - WI KABAN.Z BEKONEM PRO8 M152</t>
  </si>
  <si>
    <t>KS112 - KIEŁB.GRILL.BS ME</t>
  </si>
  <si>
    <t>KS113 - KIEŁB.GRILL.CZERWONE BS BIED</t>
  </si>
  <si>
    <t>KG147FA - WI KIEŁB.CZOSN.FIB58</t>
  </si>
  <si>
    <t>KC284FA - WI KIEŁB.BIAŁE KOL18 M80</t>
  </si>
  <si>
    <t>KC280FA - WI ŚLĄZERKI SWEET JALAP.KOL18 M80</t>
  </si>
  <si>
    <t>KC281FA - WI ŚLĄZERKI JBAR22-24 M90</t>
  </si>
  <si>
    <t>KC285FA - WI KIEŁB.PAPR.KOL18 M80</t>
  </si>
  <si>
    <t>MA110 - GOL.PRZED.DO PIECZ.PEKL.</t>
  </si>
  <si>
    <t>MA111 - KARK.DO PIECZ.PEKL.</t>
  </si>
  <si>
    <t>MA112 - ŻEB.DO PIECZ.PEKL.</t>
  </si>
  <si>
    <t>SU2651PM - M-SO DROBNE KL1 CIE.Z SZYN.</t>
  </si>
  <si>
    <t>MA129 - ŻEB.GRILL.MAR.MIOD.PEKL.</t>
  </si>
  <si>
    <t>MA155 - ŻEB.GRILL.MAR.MIOD.OK2KGVAC BL</t>
  </si>
  <si>
    <t>MA130 - BOCZ.B/K.GRILL.MAR.PROWANS.PEKL.</t>
  </si>
  <si>
    <t>MA146 - BOCZ.B/K.GRILL.MAR.PROWANS.OK2.5KG</t>
  </si>
  <si>
    <t>MA147 - BOCZ.B/K.GRILL.MAR.RED GAR.OK2.5KG</t>
  </si>
  <si>
    <t>MA131 - ŻEB.GRILL.MAR.CHILLI PEKL.</t>
  </si>
  <si>
    <t>MA100 - MIX PRODUKTOWY</t>
  </si>
  <si>
    <t>MA148 - BOCZ.B/K.GRILL.MAR.RED GAR.PEKL.</t>
  </si>
  <si>
    <t>KC185BS - WI KIEŁB.PARZ.KOL22 M80</t>
  </si>
  <si>
    <t>KC265FA - WI KIEŁB.Z/PIEPRZ.KOL18 M105</t>
  </si>
  <si>
    <t>KA132FA - DR/WI KABAN.PRO15 M119</t>
  </si>
  <si>
    <t>MA156 - KARK.GRILL.CZOSN/ZIOŁ.OK600GVAC BL LIDL</t>
  </si>
  <si>
    <t>MA157 - KARK.GRILL.BAWARSKA OK600GVAC BL LIDL</t>
  </si>
  <si>
    <t>MA158 - KARK.GRILL.CZOSN/PIEPRZ.OK600GVAC BL</t>
  </si>
  <si>
    <t>MA159 - KARK.GRILL.PAPR./PIEPRZ.OK600GVAC</t>
  </si>
  <si>
    <t>MA160 - BOCZ.KRĘCIOŁKI PEKL.LIDL</t>
  </si>
  <si>
    <t>EM110EM - EMULSJA</t>
  </si>
  <si>
    <t>WY102AS - WYSORTY KC: KIEŁB.CIEN.</t>
  </si>
  <si>
    <t>WT KIEŁB.OK15KG NB MR</t>
  </si>
  <si>
    <t>WY102MR - WYSORTY KC: KIEŁB.CIEN.</t>
  </si>
  <si>
    <t>WT KIEŁB.OK15KG NB DMR</t>
  </si>
  <si>
    <t>WY102DM - WYSORTY KC: KIEŁB.CIEN.</t>
  </si>
  <si>
    <t>WT KIEŁB.RO</t>
  </si>
  <si>
    <t>WY102RO - WYSORTY KC: KIEŁB.CIEN.</t>
  </si>
  <si>
    <t>WE245SL - WI BALERON PARZ.WĘDZ.SIA.M75 1322</t>
  </si>
  <si>
    <t>WE163SL - WI SZYN.ZAPIE.SIA.M124 1005</t>
  </si>
  <si>
    <t>WE162SL - WI BOCZ.Z/S.OKOPC.PARZ.WĘDZ.M85 1815</t>
  </si>
  <si>
    <t>WE161SL - WI SZYN.B/KNST.PARZ.WĘDZ.SIA.M104 1005</t>
  </si>
  <si>
    <t>KG127SL - WI KIEŁB.SZYN.FIB100 M70</t>
  </si>
  <si>
    <t>WE153SL - WI SZYN.PARZ.MOC.WĘDZ.M70 1011</t>
  </si>
  <si>
    <t>WE164SL - WI POL.SOPOCKA PARZ.WĘDZ.M60 1664</t>
  </si>
  <si>
    <t>PO113SL - WI SALCESON CZARNY POLI95</t>
  </si>
  <si>
    <t>WG134SL - WI ŻEB.SCH.B/K.8CM</t>
  </si>
  <si>
    <t>WE110SL - WI BOCZ.Z/S.WĘDZ.M96 1824</t>
  </si>
  <si>
    <t>KA135ZP - DR/WI KABAN.PRO8 M160</t>
  </si>
  <si>
    <t>WE159SL - WI POL.ŁOSOSIOWA WĘDZ.M92 1607</t>
  </si>
  <si>
    <t>WE248SL - WI ŻEB.PŁ.PS PARZ.WĘDZ.M107 2201</t>
  </si>
  <si>
    <t>WE131SL - WI SCH.SZWAGRA PARZ.WĘDZ.SIA.M100 1660</t>
  </si>
  <si>
    <t>SU1904SL - POL.Z/GŁ.B/WAR.</t>
  </si>
  <si>
    <t>WE193SL - WI BOCZ.Z/S.PARZ.WĘDZ.M94 1824</t>
  </si>
  <si>
    <t>WE187SL - WI BOCZ.Z/S.PARZ.WĘDZ.M95 1815</t>
  </si>
  <si>
    <t>WE228SL - WI SZYN.KLAS.PARZ.WĘDZ.SIA.M91 1007</t>
  </si>
  <si>
    <t>WE124SL - WI SZYN.POLSKA PARZ.WĘDZ.SIA.M70 1007</t>
  </si>
  <si>
    <t>WE174SL - WI BOCZ.Z/S.PARZ.WĘDZ.M72 1823</t>
  </si>
  <si>
    <t>WE154 - POL.SOPOCKA</t>
  </si>
  <si>
    <t>WE164 - WI POL.SOPOCKA PARZ.WĘDZ.M.60 1664</t>
  </si>
  <si>
    <t>WE164BS - WI POL.SOPOCKA PARZ.WĘDZ.M60 1664</t>
  </si>
  <si>
    <t>4052917739944</t>
  </si>
  <si>
    <t>WE169 - POL.SOPOCKA EXT.</t>
  </si>
  <si>
    <t>WE182 - WI SCH.PARZ.WĘDZ.M.102 1662</t>
  </si>
  <si>
    <t>WE182 - WI SCH.WĘDZ.PARZ1662</t>
  </si>
  <si>
    <t>WE190 - SCH.WĘDZ.PARZ</t>
  </si>
  <si>
    <t>WE190 - WI SCH.PARZ.MOC.WĘDZ.M.60 1660</t>
  </si>
  <si>
    <t>WE190 - WI SCH.MOCNO WĘDZ.PARZ.1660</t>
  </si>
  <si>
    <t>WE131AS - WI SCH.SZWAGRA PARZ.WĘDZ.SIA.M100 1660</t>
  </si>
  <si>
    <t>WE131BS - WI SCH.SZWAGRA PARZ.WĘDZ.SIA.M100 1660</t>
  </si>
  <si>
    <t>WE131 - WI SCH.SZWAGRA PARZ.WĘDZ.SIA.M.100 1660</t>
  </si>
  <si>
    <t>WE221 - SCH.MAJER/CZOSN</t>
  </si>
  <si>
    <t>PB135AS - WI SZYN.BIA. KRÓL.POLI130 M63</t>
  </si>
  <si>
    <t>PB135 - WI SZYN.BIA.KRÓL.POLI130 M63</t>
  </si>
  <si>
    <t>WE152 - WI SZYN.ŚNIAD.PARZ.WĘDZ.M.70 1011</t>
  </si>
  <si>
    <t>WE152 - WI SZYN.ŚNIAD.1011</t>
  </si>
  <si>
    <t>WE155 - SZYN.ŚNIADAN</t>
  </si>
  <si>
    <t>PB135BS - WI SZYN.BIA.KRÓL.POLI130 M63</t>
  </si>
  <si>
    <t>PB135 - WI SZYN.BIAŁA KRÓL.POLI.130 M.63 2.5KG</t>
  </si>
  <si>
    <t>PB135 - WI SZYN.BIAŁA KRÓLEWSKA</t>
  </si>
  <si>
    <t>PK125 - WI SZYN.KONS.BIA.FOL.M.86 2.5KG</t>
  </si>
  <si>
    <t>WE181 - WI SZYN.PARZ.WĘDZ.SIA.M.108 1010</t>
  </si>
  <si>
    <t>WE181 - WI SZYN.WĘDZ.PARZ.1010</t>
  </si>
  <si>
    <t>WE189 - SZYN.WĘDZ.PARZ</t>
  </si>
  <si>
    <t>WE153AS - WI SZYN.PARZ.MOC.WĘDZ.M70 1011</t>
  </si>
  <si>
    <t>WE153BS - WI SZYN.PARZ.MOC.WĘDZ.M70 1011</t>
  </si>
  <si>
    <t>WE156 - SZYN.MOCNO WĘDZ</t>
  </si>
  <si>
    <t>WE153 - WI SZYN.PARZ.MOC.WĘDZ.M.70 1011</t>
  </si>
  <si>
    <t>WE191 - WI SZYN.PARZ.WĘDZ.M.63 1010</t>
  </si>
  <si>
    <t>WE191 - WI SZYN.WĘDZ.CON 90% 1010</t>
  </si>
  <si>
    <t>WE132 - OGONÓWKA</t>
  </si>
  <si>
    <t>WE154 - WI BALERON WĘDZ.GOT.1322</t>
  </si>
  <si>
    <t>WE157 - BALERON GOT</t>
  </si>
  <si>
    <t>WE129 - WI BALERON WĘDZ.PARZ.1322</t>
  </si>
  <si>
    <t>WE130 - BALERON WĘDZ.PARZ</t>
  </si>
  <si>
    <t>WE245AS - WI BALERON PARZ.WĘDZ.SIA.M75 1322</t>
  </si>
  <si>
    <t>WE245BS - WI BALERON PARZ.WĘDZ.SIA.M75 1322</t>
  </si>
  <si>
    <t>WE245 - WI BALERON PARZ.WĘDZ.SIA.M.75 1322</t>
  </si>
  <si>
    <t>WE155AS - WI BOCZ.Z/S.PARZ.MOC.WĘDZ.M85 1815</t>
  </si>
  <si>
    <t>WE155BS - WI BOCZ.Z/S.PARZ.MOC.WĘDZ.M85 1815</t>
  </si>
  <si>
    <t>WE155 - WI BOCZ.Z/S.PARZ.MOC.WĘDZ.M85 1815</t>
  </si>
  <si>
    <t>WE158 - BOCZ.MOCNO WĘDZ</t>
  </si>
  <si>
    <t>WE155 - WI BOCZ.Z/S.PARZ.MOC.WĘDZ.M.85 1815DA</t>
  </si>
  <si>
    <t>WE171 - WI BOCZ.KOPCONY 1815AA-B</t>
  </si>
  <si>
    <t>WE177 - BOCZ.KOPCONY</t>
  </si>
  <si>
    <t>WE174AS - WI BOCZ.Z/S.PARZ.WĘDZ.M72 1823</t>
  </si>
  <si>
    <t>WE174BS - WI BOCZ.Z/S.PARZ.WĘDZ.M72 1823</t>
  </si>
  <si>
    <t>WE174 - WI BOCZ.WĘDZ.PARZ.MOR 1823AA-A</t>
  </si>
  <si>
    <t>WE174 - WI BOCZ.Z/S.PARZ.WĘDZ.M72 1823</t>
  </si>
  <si>
    <t>WE162 - WI BOCZ.Z/S.OKOPC.PARZ.WĘDZ.M.85 1815</t>
  </si>
  <si>
    <t>WE162BS - WI BOCZ.Z/S.OKOPC.PARZ.WĘDZ.M85 1815</t>
  </si>
  <si>
    <t>WE167 - BOCZ.OKOPCONY</t>
  </si>
  <si>
    <t>WE160AS - WI BOCZ.Z/S.PARZ.WĘDZ.M85 1815</t>
  </si>
  <si>
    <t>WE160BS - WI BOCZ.Z/S.PARZ.WĘDZ.M85 1815</t>
  </si>
  <si>
    <t>WE160 - WI BOCZ.Z/S.PARZ.WĘDZ.M.85 1815DA</t>
  </si>
  <si>
    <t>WE165 - BOCZ.WĘDZ.PARZ.SZER</t>
  </si>
  <si>
    <t>WE160 - WI BOCZ.Z/S.PARZ.WĘDZ.M85 1815</t>
  </si>
  <si>
    <t>WE246 - WI BOCZ.Z/S.CIE.PARZ.WĘDZ.M.96 1834AA</t>
  </si>
  <si>
    <t>WE246 - WI BOCZ.Z/S.CIE.PARZ.WĘDZ.M96 1834</t>
  </si>
  <si>
    <t>WE110AS - WI BOCZ.Z/S.WĘDZ.M96 1824</t>
  </si>
  <si>
    <t>WE110BS - WI BOCZ.Z/S.WĘDZ.M96 1824</t>
  </si>
  <si>
    <t>WE156 - WI BOCZ.Z/S.KLAS.WĘDZ.M.96 1815DA</t>
  </si>
  <si>
    <t>WE110 - WI BOCZ.Z/S.WĘDZ.M96 1824</t>
  </si>
  <si>
    <t>WE110 - WI BOCZ.Z/S.WĘDZ.M.96 1824AA</t>
  </si>
  <si>
    <t>WE175AS - WI BOCZ.B/S.WĘDZ.M95 1811</t>
  </si>
  <si>
    <t>WE175BS - WI BOCZ.B/S.WĘDZ.M95 1811</t>
  </si>
  <si>
    <t>WE175 - WI BOCZ.B/S.WĘDZ.M95 1811</t>
  </si>
  <si>
    <t>WE160 - WĘDZONKA BOCZ</t>
  </si>
  <si>
    <t>WE187AS - WI BOCZ.Z/S.PARZ.WĘDZ.M95 1815</t>
  </si>
  <si>
    <t>WE187BS - WI BOCZ.Z/S.PARZ.WĘDZ.M95 1815</t>
  </si>
  <si>
    <t>WE187 - WI BOCZ.Z/S.PARZ.WĘDZ.M95 1815</t>
  </si>
  <si>
    <t>WE193 - WI BOCZ.Z/S.PARZ.WĘDZ.M94 1824</t>
  </si>
  <si>
    <t>WE193BS - WI BOCZ.Z/S.PARZ.WĘDZ.M94 1824</t>
  </si>
  <si>
    <t>WE193 - WI BOCZ.Z/S.PARZ.WĘDZ.M.94 1824AA</t>
  </si>
  <si>
    <t>WE200 - BOCZ.Z/S.WĘDZ.PARZ.SZER.</t>
  </si>
  <si>
    <t>WE193 - WI BOCZ.WĘDZ.PARZ.Z/S.SZER.1824AA-A</t>
  </si>
  <si>
    <t>***WT BOCZ.WĘDZ.PARZ.Z/S.SZER.</t>
  </si>
  <si>
    <t>WY115AS - WYSORTY WE: WĘDZ.</t>
  </si>
  <si>
    <t>WE205 - BOCZ.B/S.WĘDZ.PARZ</t>
  </si>
  <si>
    <t>WE207 - BOCZ.Z/S.WĘDZ.PARZ.SZER CZ</t>
  </si>
  <si>
    <t>WE193AS - WI BOCZ.Z/S.PARZ.WĘDZ.M94 1824</t>
  </si>
  <si>
    <t>WE219 - WI BOCZ.Z/S.CIE.PARZ.MOC.WĘDZ.M.115 1815</t>
  </si>
  <si>
    <t>WE219 - WI BOCZ.WĘDZ.NA CIEMNO 1815DA-A</t>
  </si>
  <si>
    <t>WE163 - WI BOCZ.NIEOKOPCONY 1815AA-C</t>
  </si>
  <si>
    <t>WE168 - BOCZ.NIEOKOPCONY</t>
  </si>
  <si>
    <t>WE157 - WI SZYN.DELIKAT.PARZ.WĘDZ.SIA.M.78 1007</t>
  </si>
  <si>
    <t>WE157 - WI SZYN.DELIKATNA 1007</t>
  </si>
  <si>
    <t>WE161 - SZYN.DELIKATNA</t>
  </si>
  <si>
    <t>KG127AS - WI KIEŁB.SZYN.FIB100 M70</t>
  </si>
  <si>
    <t>KG127BS - WI KIEŁB.SZYN.FIB100 M70</t>
  </si>
  <si>
    <t>KG127 - WI KIEŁB.SZYN.FIB.100 M70</t>
  </si>
  <si>
    <t>KG127 - WI KIEŁB.SZYN.FIB.100 M.70 2.6KG</t>
  </si>
  <si>
    <t>KG127 - WI KIEŁB.SZYNKOWA</t>
  </si>
  <si>
    <t>KG128 - KIEŁB.SZYN.WP</t>
  </si>
  <si>
    <t>KG128 - WI KIEŁB.KRAK.PARZ.BIA.80 M.66 1.5KG</t>
  </si>
  <si>
    <t>KG128 - WI KIEŁB.KRAK.PARZ.</t>
  </si>
  <si>
    <t>KP132 - KU KIEŁB.KRAK.FIB.55 M.120 400G</t>
  </si>
  <si>
    <t>KP132BS - KU KIEŁB.KRAK.FIB55 M120</t>
  </si>
  <si>
    <t>KP132AS - KU KIEŁB.KRAK.FIB55 M120</t>
  </si>
  <si>
    <t>WT KIEŁB.KRAK.KUR.KAW.AS</t>
  </si>
  <si>
    <t>WY105AS - WYSORTY KP: KIEŁB.SUCHE I PODSUSZ.</t>
  </si>
  <si>
    <t>WY105MR - WYSORTY KP: KIEŁB.SUCHE I PODSUSZ.</t>
  </si>
  <si>
    <t>WY105DM - WYSORTY KP: KIEŁB.SUCHE I PODSUSZ.</t>
  </si>
  <si>
    <t>***WT KIEŁB.KRAK.KUR.KAW RO</t>
  </si>
  <si>
    <t>WY105RO - WYSORTY KP: KIEŁB.SUCHE I PODSUSZ.</t>
  </si>
  <si>
    <t>KP135 - WI KIEŁB.ŻYWIECKA FIB.55 M.130 572G</t>
  </si>
  <si>
    <t>KP135BS - WI KIEŁB.ŻYWIECKA FIB55 M130</t>
  </si>
  <si>
    <t>KP135AS - WI KIEŁB.ŻYWIECKA FIB55 M130</t>
  </si>
  <si>
    <t>KP139 - KU KIEŁB.KRAK.SUCHA W2</t>
  </si>
  <si>
    <t>KG128AS - WI KIEŁB.KRAK.PARZ.BIA80 M66</t>
  </si>
  <si>
    <t>KG128BS - WI KIEŁB.KRAK.PARZ.BIA80 M66</t>
  </si>
  <si>
    <t>KG128 - WI KIEŁB.KRAK.PARZ.BIA80 M66</t>
  </si>
  <si>
    <t>KC180 - WI KIEŁB.BIAŁA PARZ.BIED</t>
  </si>
  <si>
    <t>KC187 - KIEŁB.BIAŁA PARZ.BIED</t>
  </si>
  <si>
    <t>KC136 - WI KIEŁB.BIAŁA PARZ.JWP.28-30 M.63 100G</t>
  </si>
  <si>
    <t>KC179 - KIEŁB.BIAŁA PARZ</t>
  </si>
  <si>
    <t>KC168AS - WI KIEŁB.BIAŁA Z SZYN.JWP28-30 M90</t>
  </si>
  <si>
    <t>KC168BS - WI KIEŁB.BIAŁA Z SZYN.JWP28-30 M90</t>
  </si>
  <si>
    <t>KC171 - KIEŁB.BIAŁA Z SZYN</t>
  </si>
  <si>
    <t>KC168 - WI KIEŁB.BIAŁA Z SZYN.JWP.28-30 M.90 83G</t>
  </si>
  <si>
    <t>WT KIEŁB.BIAŁA Z SZYN.KAW.AS</t>
  </si>
  <si>
    <t>WT KIEŁB.BIAŁA Z SZYN.KAW.OK15KG NB MR</t>
  </si>
  <si>
    <t>WT KIEŁB.BIAŁA Z SZYN.KAW.OK15KG NB DMR</t>
  </si>
  <si>
    <t>WY102CH - WYSORTY KC: KIEŁB.CIEN.</t>
  </si>
  <si>
    <t>KC147AS - WI KIEŁB.PODWAW.JWP30-32 M80</t>
  </si>
  <si>
    <t>KC147BS - WI KIEŁB.PODWAW.JWP30-32 M80</t>
  </si>
  <si>
    <t>KC147 - KIEŁB.PODWAWELSKA 80%</t>
  </si>
  <si>
    <t>KC147 - WI KIEŁB.PODWAW.JWP.30-32 M.80 260G</t>
  </si>
  <si>
    <t>KC149AS - WI KIEŁB.PODWAW.JWP30-32 M95</t>
  </si>
  <si>
    <t>KC149BS - WI KIEŁB.PODWAW.JWP30-32 M95</t>
  </si>
  <si>
    <t>KC149 - WI KIEŁB.PODWAWELSKA BAR</t>
  </si>
  <si>
    <t>KC149 - WI KIEŁB.PODWAW.JWP.30-32 M.95 250G</t>
  </si>
  <si>
    <t>PO115 - WI KASZANKA JWP.120G</t>
  </si>
  <si>
    <t>KC128 - WI KIEŁB.KRUCHA SUCHA</t>
  </si>
  <si>
    <t>KC130 - KIEŁB.KRUCHA SUCHA</t>
  </si>
  <si>
    <t>KC158AS - WI KIEŁB.GŁOGOWSKA JWP32-34 M94</t>
  </si>
  <si>
    <t>KC158BS - WI KIEŁB.GŁOGOWSKA JWP32-34 M94</t>
  </si>
  <si>
    <t>KC159 - KIEŁB.GŁOGOWSKA</t>
  </si>
  <si>
    <t>KC158 - WI KIEŁB.GŁOGOWSKA JWP.32-34 M.94 270G</t>
  </si>
  <si>
    <t>KC158 - WI KIEŁB.GŁOGOWSKA</t>
  </si>
  <si>
    <t>KC155AS - WI KIEŁB.ZWYCZAJNA JWP30-32 M70</t>
  </si>
  <si>
    <t>KC155BS - WI KIEŁB.ZWYCZAJNA JWP30-32 M70</t>
  </si>
  <si>
    <t>KC156 - KIEŁB.ZWYCZAJNA</t>
  </si>
  <si>
    <t>KC155 - WI KIEŁB.ZWYCZAJNA JWP.30-32 M.70 140G</t>
  </si>
  <si>
    <t>WT KIEŁB.ZWYCZAJNA KAW.AS</t>
  </si>
  <si>
    <t>***WT KIEŁB.ZWYCZAJNA KAW.RO</t>
  </si>
  <si>
    <t>KC143AS - WI KIEŁB.ŚLĄSKA JWP30 M67</t>
  </si>
  <si>
    <t>KC143BS - WI KIEŁB.ŚLĄSKA JWP30 M67</t>
  </si>
  <si>
    <t>KC143 - KIEŁB.ŚLĄSKA MOR</t>
  </si>
  <si>
    <t>KC143 - WI KIEŁB.ŚLĄSKA JWP.30 M.67 92G</t>
  </si>
  <si>
    <t>KC163AS - WI KIEŁB.MORL.Z SZYN.JWP28-30 M80</t>
  </si>
  <si>
    <t>KC163BS - WI KIEŁB.MORL.Z SZYN.JWP28-30 M80</t>
  </si>
  <si>
    <t>KC166 - KIEŁB.MORLIŃSKA Z SZYN.KRÓTKA</t>
  </si>
  <si>
    <t>KC163 - WI KIEŁB.MORL.Z SZYN.JWP.28-30M.80 92G</t>
  </si>
  <si>
    <t>KC170AS - WI KIEŁB.GRILL.JWP30-32 M104</t>
  </si>
  <si>
    <t>KC170BS - WI KIEŁB.GRILL.JWP30-32 M104</t>
  </si>
  <si>
    <t>KC170 - WI KIEŁB.GRILL.LIDL</t>
  </si>
  <si>
    <t>KC170 - WI KIEŁB.GRILL.JWP.30-32 M.104 92G</t>
  </si>
  <si>
    <t>KC173 - KIEŁB.GRILL.LIDL</t>
  </si>
  <si>
    <t>KC176 - WI KIEŁB.ŚLĄSKA MP</t>
  </si>
  <si>
    <t>KC182 - KIEŁB.ŚLĄSKA MP</t>
  </si>
  <si>
    <t>KC186 - KIEŁB.BURSZTYN</t>
  </si>
  <si>
    <t>KC182AS - WI/KU KIEŁB.REGIONALNA JWP30 M21</t>
  </si>
  <si>
    <t>KC182BS - WI/KU KIEŁB.REGIONALNA JWP30 M21</t>
  </si>
  <si>
    <t>KC182 - WI/KU KIEŁB.REGIONALNA JWP.30 M.21 100G</t>
  </si>
  <si>
    <t>KC189 - KIEŁB.REGIONALNA</t>
  </si>
  <si>
    <t>KC229 - WI KIEŁB.ŚLĄSKA Z SZYN.BIED</t>
  </si>
  <si>
    <t>KC230 - WI KIEŁB.ŚLĄSKA JWP.30-32 M.104 83G</t>
  </si>
  <si>
    <t>KC230 - WI KIEŁB.ŚLĄSKA 500G LIDL</t>
  </si>
  <si>
    <t>KC231 - WI KIEŁB.CODZIENNA</t>
  </si>
  <si>
    <t>KC181AS - WI KIEŁB.ŚLĄSKA JWP28-30 M90</t>
  </si>
  <si>
    <t>KC181BS - WI KIEŁB.ŚLĄSKA JWP28-30 M90</t>
  </si>
  <si>
    <t>KC181 - WI KIEŁB.ŚLĄSKA JWP.28-30 M.90 92G</t>
  </si>
  <si>
    <t>KC282AS - WI KIEŁB.BIAŁA PARZ.KOL18 M80</t>
  </si>
  <si>
    <t>KC282BS - WI KIEŁB.BIAŁA PARZ.KOL18 M80</t>
  </si>
  <si>
    <t>KC282 - WI KIEŁB.BIAŁA PARZ.KOL.18 M.80 40G</t>
  </si>
  <si>
    <t>KC250AS - WI KIEŁB.CHILLI/SER.KOL18 M83</t>
  </si>
  <si>
    <t>KC250BS - WI KIEŁB.CHILLI/SER.KOL18 M83</t>
  </si>
  <si>
    <t>KC250 - WI KIEŁB.CHILLI/SER.KOL.18 M.83 43G</t>
  </si>
  <si>
    <t>KC251AS - WI KIEŁB.BEC/CEB.KOL18 M58</t>
  </si>
  <si>
    <t>KC251BS - WI KIEŁB.BEC/CEB.KOL18 M58</t>
  </si>
  <si>
    <t>KC251 - WI KIEŁB.BEK/CEB.KOL.18 M.58 43G</t>
  </si>
  <si>
    <t>KC201AS - WI KIEŁB.TORUŃ/PODWAW.JWP30-32 M80</t>
  </si>
  <si>
    <t>WT KIEŁB.TORUŃSKA/PODWAW.KAW.AS</t>
  </si>
  <si>
    <t>WT KIEŁB.TOR/PODW.KAW.OK15KG NB MR</t>
  </si>
  <si>
    <t>WT KIEŁB.TOR/PODW.KAW.OK15KG NB DMR</t>
  </si>
  <si>
    <t>WT KIEŁB.TOR/PODW.KAW.RO</t>
  </si>
  <si>
    <t>WT KIEŁB.PODWAWELSKA KAW.AS BAR</t>
  </si>
  <si>
    <t>KC243AS - WI KIEŁB.PODWAW.JWP30-32 M96</t>
  </si>
  <si>
    <t>KC243 - WI KIEŁB.PODWAW.JWP.30-32 M.96 250G</t>
  </si>
  <si>
    <t>***WT KIEŁB.PODWAWELSKA KAW.FES BIED</t>
  </si>
  <si>
    <t>KC255AS - WI KIEŁB.TORUŃSKA JWP30-32 M67</t>
  </si>
  <si>
    <t>KC255 - WI KIEŁB.TORUŃSKA JWP.30-32 M.67 260G</t>
  </si>
  <si>
    <t>KC193AS - WI KIEŁB.ŚLĄSKA JWP30-32 M90</t>
  </si>
  <si>
    <t>WT KIEŁB.REGIONALNA KAW.AS</t>
  </si>
  <si>
    <t>WT KIEŁB.REGIONALNA KAW.OK15KG NB MR</t>
  </si>
  <si>
    <t>WT KIEŁB.REGIONALNA KAW.OK15KG NB DMR</t>
  </si>
  <si>
    <t>KC237AS - WI KIEŁB.ŚLĄSKA JWP30-32 M90</t>
  </si>
  <si>
    <t>KC237 - WI KIEŁB.ŚLĄSKA JWP.30-32 M.90 92G</t>
  </si>
  <si>
    <t>KC264AS - WI KIEŁB.ŚLĄS.GRILL.JWP30-32 M68</t>
  </si>
  <si>
    <t>KC264 - WI KIEŁB.ŚLĄS.GRILL.JWP.30-32 M.68 100G</t>
  </si>
  <si>
    <t>***WT KIEŁB.ŚLĄSKA GRILL.KAW.FES</t>
  </si>
  <si>
    <t>***WT K.ŚLĄSKA GRILL.KAW.OK15KGNB MR FES</t>
  </si>
  <si>
    <t>***WT K.ŚLĄSKA GRILL.KAW.OK15KGNBDMR FES</t>
  </si>
  <si>
    <t>***WT KIEŁB.ŚLĄSKA GRILL.KAW.FES RO</t>
  </si>
  <si>
    <t>KC265AS - WI KIEŁB.Z/PIEPRZ.KOL18 M105</t>
  </si>
  <si>
    <t>KC265BS - WI KIEŁB.Z/PIEPRZ.KOL18 M105</t>
  </si>
  <si>
    <t>KC265 - WI KIEŁB.Z/PIEPRZ.KOL.18 M.105 40G</t>
  </si>
  <si>
    <t>KG129AS - WI KIEŁB.CZOSN.FIB58 M57</t>
  </si>
  <si>
    <t>KG129BS - WI KIEŁB.CZOSN.FIB58 M57</t>
  </si>
  <si>
    <t>KG129 - WI KIEŁB.CZOSNKOWA</t>
  </si>
  <si>
    <t>KG129 - WI KIEŁB.CZOSN.FIB58 M57</t>
  </si>
  <si>
    <t>KG129 - WI KIEŁB.CZOSN.FIB.58 M.57 800G</t>
  </si>
  <si>
    <t>KG119AS - WI KIEŁB.SUMMER SALAMI FIB50 M57</t>
  </si>
  <si>
    <t>KG119BS - WI KIEŁB.SUMMER SALAMI FIB50 M57</t>
  </si>
  <si>
    <t>KG119 - WI KIEŁB.SUMMER SALAMI FIB50 M57</t>
  </si>
  <si>
    <t>KG147AS - WI KIEŁB.CZOSN.FIB58</t>
  </si>
  <si>
    <t>KG147BS - WI KIEŁB.CZOSN.FIB58</t>
  </si>
  <si>
    <t>KG147 - WI KIEŁB.CZOSN.FIB58 M57</t>
  </si>
  <si>
    <t>KC186AS - WI KIEŁB.SER/POMID.KOL18 M80</t>
  </si>
  <si>
    <t>KC186BS - WI KIEŁB.SER/POMID.KOL18 M80</t>
  </si>
  <si>
    <t>KC186 - WI KIEŁB.SER/POMID.KOL.18 M.80 43G</t>
  </si>
  <si>
    <t>KC270AS - WI FRANK.SER/POMID.KOL22 M80</t>
  </si>
  <si>
    <t>WE270BS - WI ŻEB.PŁ.WĘDZ.HICKORY M120 2228</t>
  </si>
  <si>
    <t>KC270 - WI FRANK.SER/POMID.KOL.22 M.80 80G</t>
  </si>
  <si>
    <t>KC269AS - WI KIEŁB.ŚLĄSKA JWP30-32 M91</t>
  </si>
  <si>
    <t>KC269 - WI KIEŁB.ŚLĄSKA JWP.30-32 M.91 92G</t>
  </si>
  <si>
    <t>KC269BS - WI KIEŁB.ŚLĄSKA JWP30-32 M91</t>
  </si>
  <si>
    <t>KC279AS - WI ŚLĄZERKI SER/POMID.KOL18 M80</t>
  </si>
  <si>
    <t>KC279BS - WI ŚLĄZERKI SER/POMID.KOL18 M80</t>
  </si>
  <si>
    <t>KC279 - WI ŚLĄZERKI SER/POMID.KOL.18 M.80 40G</t>
  </si>
  <si>
    <t>KC280AS - WI ŚLĄZERKI SWEET JALAP.KOL18 M80</t>
  </si>
  <si>
    <t>KC280BS - WI ŚLĄZERKI SWEET JALAP.KOL18 M80</t>
  </si>
  <si>
    <t>KC280 - WI ŚLĄZERKI SWEET JALAP.KOL.18 M.80 40G</t>
  </si>
  <si>
    <t>KC287AS - WI ŚLĄZERKI KOL18 M90</t>
  </si>
  <si>
    <t>KC281BS - WI ŚLĄZERKI JBAR22-24 M90</t>
  </si>
  <si>
    <t>KC287 - WI ŚLĄZERKI KOL.18 M.90 40G</t>
  </si>
  <si>
    <t>WT ŚLĄZERKI KAW.AS</t>
  </si>
  <si>
    <t>KC100 - MIX PRODUKTOWY</t>
  </si>
  <si>
    <t>KC285AS - WI KIEŁB.PAPR.KOL18 M80</t>
  </si>
  <si>
    <t>KC285BS - WI KIEŁB.PAPR.KOL18 M80</t>
  </si>
  <si>
    <t>KC285 - WI KIEŁB.PAPR.KOL.18 M.80 43G</t>
  </si>
  <si>
    <t>KC284AS - WI KIEŁB.BIAŁE KOL18 M80</t>
  </si>
  <si>
    <t>KC284BS - WI KIEŁB.BIAŁE KOL18 M80</t>
  </si>
  <si>
    <t>KC284 - WI KIEŁB.BIAŁE KOL.18 M.80 43G</t>
  </si>
  <si>
    <t>KC287BS - WI ŚLĄZERKI KOL18 M90</t>
  </si>
  <si>
    <t>KC293 - WI/DR KIEŁB.BIWAKOWA JWP.30-32 M18</t>
  </si>
  <si>
    <t>KC237BS - WI KIEŁB.ŚLĄSKA JWP30-32 M90</t>
  </si>
  <si>
    <t>KA132 - DR/WI KABAN.PRO.15 M.119 75G</t>
  </si>
  <si>
    <t>KA132BS - DR/WI KABAN.PRO15 M119</t>
  </si>
  <si>
    <t>KA132AS - DR/WI KABAN.PRO15 M119</t>
  </si>
  <si>
    <t>KC239AS - WI KIEŁB.MORL.KOL22 M80</t>
  </si>
  <si>
    <t>KC239BS - WI KIEŁB.MORL.KOL22 M80</t>
  </si>
  <si>
    <t>KC239 - WI KIEŁB.MORL.KOL.22 M.80 72G</t>
  </si>
  <si>
    <t>KA137 - WI KABAN.PRO.15 M.142 75G</t>
  </si>
  <si>
    <t>KA137BS - WI KABAN.PRO15 M142</t>
  </si>
  <si>
    <t>KA137AS - WI KABAN.PRO15 M142</t>
  </si>
  <si>
    <t>KC243BS - WI KIEŁB.PODWAW.JWP30-32 M96</t>
  </si>
  <si>
    <t>KC191AS - DR/WI KIEŁB.ZWYCZAJNA JWP30-32 M21</t>
  </si>
  <si>
    <t>KC191 - DR/WI KIEŁB.ZWYCZAJNA JWP.30-32M.21 170G</t>
  </si>
  <si>
    <t>KC193BS - WI KIEŁB.ŚLĄSKA JWP30-32 M90</t>
  </si>
  <si>
    <t>KC193 - WI KIEŁB.ŚLĄSKA JWP.30-32 M.90 108G</t>
  </si>
  <si>
    <t>KC193 - WI KIEŁB.ŚLĄSKA 90% MP LIDL</t>
  </si>
  <si>
    <t>KC148 - WI KIEŁB.PODWAWELSKA PZ</t>
  </si>
  <si>
    <t>KC148 - KIEŁB.PODWAWELSKA PZ</t>
  </si>
  <si>
    <t>KC190 - WI KIEŁB.ŚLĄSKA 83G 90%</t>
  </si>
  <si>
    <t>KC191BS - DR/WI KIEŁB.ZWYCZAJNA JWP30-32 M21</t>
  </si>
  <si>
    <t>WT KIEŁB.ZWYCZ.DROB/WP.KAW.AS</t>
  </si>
  <si>
    <t>WT KIEŁB.ZWYCZ.DROB/WP.KAW.OK15KG NB MR</t>
  </si>
  <si>
    <t>WT KIEŁB.ZWYCZ.DROB/WP.KAW.OK15KG NB DMR</t>
  </si>
  <si>
    <t>***WT K.ZWYCZ.DROB/WP.KAW.FES RO</t>
  </si>
  <si>
    <t>KC197 - KIEŁB.ŚLĄSKA ARO</t>
  </si>
  <si>
    <t>KC119AS - WI FRANK.KOL18 M105</t>
  </si>
  <si>
    <t>KC119BS - WI FRANK.KOL18 M105</t>
  </si>
  <si>
    <t>KC119 - WI FRANK.KOL.18 M.105 43G</t>
  </si>
  <si>
    <t>***WT FRANK.KAW.</t>
  </si>
  <si>
    <t>KC195 - WI KIEŁB.TEKSAŃSKA JWP.30-32 M.68 90G</t>
  </si>
  <si>
    <t>KC195 - WI KIEŁB.TEKSAŃSKA</t>
  </si>
  <si>
    <t>KC205 - KIEŁB.GŁOGOWSKA Z GORCZYCĄ</t>
  </si>
  <si>
    <t>KC296 - WI/KU KIEŁB.ŚLĄSKA JWP30-32 M67</t>
  </si>
  <si>
    <t>KIEŁB.CODZIENNA 500GMAP 7STKT LIDL</t>
  </si>
  <si>
    <t>4052917761037</t>
  </si>
  <si>
    <t>WT KIEŁB.ŚLĄSKA KAW.OK15KG NB MR</t>
  </si>
  <si>
    <t>WT KIEŁB.ŚLĄSKA KAW.OK15KG NB DMR</t>
  </si>
  <si>
    <t>KC206 - KIEŁB.ŚLĄSKA 80%</t>
  </si>
  <si>
    <t>KC207 - KIEŁB.ŚLĄSKA 80% PZ</t>
  </si>
  <si>
    <t>KC200AS - WI KIEŁB.ŚLĄSKA MP JWP30-32 M90</t>
  </si>
  <si>
    <t>KC200BS - WI KIEŁB.ŚLĄSKA MP JWP30-32 M90</t>
  </si>
  <si>
    <t>KC211 - KIEŁB.ŚLĄSKA 90% MP LIDL EX</t>
  </si>
  <si>
    <t>KC200 - WI KIEŁB.ŚLĄSKA MP JWP.30-32 M.90 108G</t>
  </si>
  <si>
    <t>KC201BS - WI KIEŁB.TORUŃ/PODWAW.JWP30-32 M80</t>
  </si>
  <si>
    <t>KC201 - WI KIEŁB.TORUŃ/PODWAW.JWP.30-32M.80 260G</t>
  </si>
  <si>
    <t>KC202 - WI KIEŁB.ŚLĄSKA 90% LIDL EX</t>
  </si>
  <si>
    <t>KC215 - KIEŁB.ŚLĄSKA 90% LIDL EX</t>
  </si>
  <si>
    <t>KC210 - WI FRANKI KOL.22 M.80 40G</t>
  </si>
  <si>
    <t>KC210 - WI FRANKI</t>
  </si>
  <si>
    <t>KC226 - FRANK LIDL</t>
  </si>
  <si>
    <t>KC212 - WI KIEŁB.BIAŁA JWP.30-32 M.90 83G</t>
  </si>
  <si>
    <t>KC212 - WI KIEŁB.BIAŁA LIDL</t>
  </si>
  <si>
    <t>KP137 - WI KIEŁB.PODSUSZ.</t>
  </si>
  <si>
    <t>KP138 - WI KIEŁB.PODSUSZ.PIEPRZ/MAJER.</t>
  </si>
  <si>
    <t>KP100 - MIX PRODUKTOWY</t>
  </si>
  <si>
    <t>KA115 - WI KABAN.MOR.WYB.</t>
  </si>
  <si>
    <t>KA115 - KABAN.MOR.WYB</t>
  </si>
  <si>
    <t>KA116 - WI KABAN.MOR.Z PIEPRZ.</t>
  </si>
  <si>
    <t>KA117 - KABAN.MOR.Z PIEPRZ</t>
  </si>
  <si>
    <t>KA114 - WI KABAN.MOR.CHILI</t>
  </si>
  <si>
    <t>KA114 - KABAN.MOR.CHILI</t>
  </si>
  <si>
    <t>KA116 - KABAN.PART.CLASSIC</t>
  </si>
  <si>
    <t>KA100 - MIX PRODUKTOWY</t>
  </si>
  <si>
    <t>KA121 - WI KABAN.MOR.Z SZYN.</t>
  </si>
  <si>
    <t>KA122 - KABAN.MOR.Z SZYN</t>
  </si>
  <si>
    <t>KA122 - WI KABAN.MINI Z SZYN.</t>
  </si>
  <si>
    <t>KC215 - WI KIEŁB.MORL.Z BOCZ.JWP.30-32M.75 90G</t>
  </si>
  <si>
    <t>KC215 - WI KIEŁB.MORLIŃSKA Z BOCZ.</t>
  </si>
  <si>
    <t>KC222 - WI FRANKI BIAŁE KOL.22 M.80 40G</t>
  </si>
  <si>
    <t>KC222 - WI FRANKI BIAŁE</t>
  </si>
  <si>
    <t>KC223 - KU FRANKI DROB.KOL.22 M.80 40G</t>
  </si>
  <si>
    <t>KC223 - KU FRANKI</t>
  </si>
  <si>
    <t>KA118 - WI KABAN.MOR.WYB.155G</t>
  </si>
  <si>
    <t>KA119 - WI KABAN.MOR.Z PIEPRZ.155G</t>
  </si>
  <si>
    <t>KA120 - WI KABAN.MOR.CHILI 155G</t>
  </si>
  <si>
    <t>KA126 - WI MEATERS M-SNY</t>
  </si>
  <si>
    <t>KA128 - WI/DR MEATERS DROB.WP.</t>
  </si>
  <si>
    <t>KA127 - WI MEATERS CHILLI</t>
  </si>
  <si>
    <t>KC156AS - WI FRANK.WĘDZ.KOL22 M116</t>
  </si>
  <si>
    <t>KC156BS - WI FRANK.WĘDZ.KOL22 M116</t>
  </si>
  <si>
    <t>KC156 - WI FRANK.WĘDZ.KOL.22 M.116 70G</t>
  </si>
  <si>
    <t>KC185AS - WI KIEŁB.PARZ.KOL22 M80</t>
  </si>
  <si>
    <t>KC185 - WI KIEŁB.PARZ.KOL.22 M.80 70G</t>
  </si>
  <si>
    <t>KC264BS - WI KIEŁB.ŚLĄS.GRILL.JWP30-32 M68</t>
  </si>
  <si>
    <t>KIEŁB.ŚLĄSKA 550GMAP 7STKT MOR EX</t>
  </si>
  <si>
    <t>5010801450114</t>
  </si>
  <si>
    <t>KIEŁB.ŚLĄSKA OK1KGMAP OK7KGKT MOR III</t>
  </si>
  <si>
    <t>KG130AS - WI MORT.POLI95</t>
  </si>
  <si>
    <t>KG130BS - WI MORT.POLI95</t>
  </si>
  <si>
    <t>KG130 - WI MORT.POLI95</t>
  </si>
  <si>
    <t>KG131 - MORTADELA</t>
  </si>
  <si>
    <t>PA179AS - DR/WI KIEŁB.PAR.JWP30-32 MDOM33</t>
  </si>
  <si>
    <t>PA179BS - DR/WI KIEŁB.PAR.JWP30-32 MDOM33</t>
  </si>
  <si>
    <t>PA179 - DR/WI KIEŁB.PAR.JWP30-32 MDOM33</t>
  </si>
  <si>
    <t>PA270 - WI/DR SERD.JWP34-36 M53</t>
  </si>
  <si>
    <t>KIEŁB.ŚLĄSKA 735GMAP 10STKT MOR LT/LV/EE</t>
  </si>
  <si>
    <t>KIEŁB.ŚLĄSKA 735GMAP 10STKT MOR GB/DE</t>
  </si>
  <si>
    <t>PO112 - WI SALCESON WŁOSKI</t>
  </si>
  <si>
    <t>PO116 - SALCESON WŁOSKI</t>
  </si>
  <si>
    <t>PO113AS - WI SALCESON CZARNY POLI95</t>
  </si>
  <si>
    <t>PO113BS - WI SALCESON CZARNY POLI95</t>
  </si>
  <si>
    <t>PO113 - WI SALCESON CZARNY POLI95</t>
  </si>
  <si>
    <t>PO113 - WI SALCESON CZARNY POLI.2KG</t>
  </si>
  <si>
    <t>PO118 - SALCESON</t>
  </si>
  <si>
    <t>PO114 - WI PASZTETOWA KANAP.MAŁA</t>
  </si>
  <si>
    <t>PO115AS - WI KASZANKA JWP30-32</t>
  </si>
  <si>
    <t>PO115BS - WI KASZANKA JWP30-32</t>
  </si>
  <si>
    <t>PO120 - KASZANKA JĘCZMIENNA</t>
  </si>
  <si>
    <t>PO115 - WI KASZANKA JWP30-32</t>
  </si>
  <si>
    <t>PO115 - WI KASZANKA JĘCZMIENNA</t>
  </si>
  <si>
    <t>WG134AS - WI ŻEB.SCH.B/K.8CM</t>
  </si>
  <si>
    <t>WG134 - WI ŻEB.SCH.B/K.8CM</t>
  </si>
  <si>
    <t>WG134BS - WI ŻEB.SCH.B/K.8CM</t>
  </si>
  <si>
    <t>WG127AS - WI ŻEB.PŁ.B/K.8CM</t>
  </si>
  <si>
    <t>WG127 - WI ŻEB.PŁ.B/K.8CM</t>
  </si>
  <si>
    <t>WG127BS - WI ŻEB.PŁ.B/K.8CM</t>
  </si>
  <si>
    <t>WE188AS - WI ŻEB.MOST.PARZ.WĘDZ.M106 2101</t>
  </si>
  <si>
    <t>WE188BS - WI ŻEB.MOST.PARZ.WĘDZ.M106 2101</t>
  </si>
  <si>
    <t>WE188 - WI ŻEB.MOST.PARZ.WĘDZ.M.106 2101</t>
  </si>
  <si>
    <t>WG148 - WI ŻEB.SCH.B/K.6CM</t>
  </si>
  <si>
    <t>WG148 - WI ŻEB.SCH.B/K.SUBWAY 2421</t>
  </si>
  <si>
    <t>WG149 - WI ŻEB.PŁ.B/K.6CM</t>
  </si>
  <si>
    <t>WG149 - WI ŻEB.BOCZ.B/K.SUBWAY 2227</t>
  </si>
  <si>
    <t>WE224AS - WI BOCZ.Z/S.ROL.PARZ.WĘDZ.SIA.M85 1823</t>
  </si>
  <si>
    <t>WE224BS - WI BOCZ.Z/S.ROL.PARZ.WĘDZ.SIA.M85 1823</t>
  </si>
  <si>
    <t>WE224 - WI BOCZ.Z/S.ROL.PARZ.WĘDZ.SIA.M.85 1823</t>
  </si>
  <si>
    <t>WE146 - WI ŻEB.MOST.WĘDZ.M.107 2103</t>
  </si>
  <si>
    <t>WE146 - WI ŻEB.MOST.WĘDZ.Z/CH.B/MP.2103</t>
  </si>
  <si>
    <t>WE228AS - WI SZYN.KLAS.PARZ.WĘDZ.SIA.M91 1007</t>
  </si>
  <si>
    <t>WE228BS - WI SZYN.KLAS.PARZ.WĘDZ.SIA.M91 1007</t>
  </si>
  <si>
    <t>WE228 - WI SZYN.KLAS.PARZ.WĘDZ.SIA.M.91 1007</t>
  </si>
  <si>
    <t>WE124AS - WI SZYN.POLSKA PARZ.WĘDZ.SIA.M70 1007</t>
  </si>
  <si>
    <t>WE124BS - WI SZYN.POLSKA PARZ.WĘDZ.SIA.M70 1007</t>
  </si>
  <si>
    <t>WE233 - WI SZYN.POLSKA 1007</t>
  </si>
  <si>
    <t>WE124 - WI SZYN.POLSKA PARZ.WĘDZ.SIA.M.70 1007</t>
  </si>
  <si>
    <t>WE248AS - WI ŻEB.PŁ.PS PARZ.WĘDZ.M107 2201</t>
  </si>
  <si>
    <t>WE248BS - WI ŻEB.PŁ.PS PARZ.WĘDZ.M107 2201</t>
  </si>
  <si>
    <t>WE248 - WI ŻEB.PŁ.PS PARZ.WĘDZ.M.107 2201</t>
  </si>
  <si>
    <t>PB142 - PRZYSMAK SZYN</t>
  </si>
  <si>
    <t>WE158AS - WI SCH.KROTOSZ.WĘDZ.M86 1603</t>
  </si>
  <si>
    <t>WE158BS - WI SCH.KROTOSZ.WĘDZ.M86 1603</t>
  </si>
  <si>
    <t>WE158 - WI SCH.KROTOSZ.WĘDZ.M.86 1603</t>
  </si>
  <si>
    <t>WE158 - WI WĘDZ.KROTOSZYŃSKA KRA 1603</t>
  </si>
  <si>
    <t>WE159AS - WI POL.ŁOSOSIOWA WĘDZ.M92 1607</t>
  </si>
  <si>
    <t>WE159BS - WI POL.ŁOSOSIOWA WĘDZ.M92 1607</t>
  </si>
  <si>
    <t>WE159 - WI POL.ŁOSOSIOWA WĘDZ.M.92 1607</t>
  </si>
  <si>
    <t>WE163 - POL.ŁOSOSIOWA KRA</t>
  </si>
  <si>
    <t>WE159 - WI POL.ŁOSOSIOWA KRA 1607</t>
  </si>
  <si>
    <t>KA117 - WI KABAN.JBAR.18-20 M.171 26G</t>
  </si>
  <si>
    <t>KA117BS - WI KABAN.JBAR18-20 M171</t>
  </si>
  <si>
    <t>KA117AS - WI KABAN.JBAR18-20 M171</t>
  </si>
  <si>
    <t>KA118 - KABAN KRA</t>
  </si>
  <si>
    <t>KA112 - KABAN.EXP KRA</t>
  </si>
  <si>
    <t>KIEŁB.KRAK.250GVAC 40STPJ KRA II</t>
  </si>
  <si>
    <t>KP122 - WI KIEŁB.ŻYWIECKA FIB.55 M.125 572G</t>
  </si>
  <si>
    <t>KP122BS - WI KIEŁB.ŻYWIECKA FIB55 M125</t>
  </si>
  <si>
    <t>KP122AS - WI KIEŁB.ŻYWIECKA FIB55 M125</t>
  </si>
  <si>
    <t>KP123 - KIEŁB.ŻYWIECKA KRA</t>
  </si>
  <si>
    <t>WE149AS - WI POL.WĘDZ.M111 1904</t>
  </si>
  <si>
    <t>WE149BS - WI POL.WĘDZ.M111 1904</t>
  </si>
  <si>
    <t>WE149 - WI POL.WĘDZ.M.111 1904</t>
  </si>
  <si>
    <t>WE151 - POLĘDWICZKA WĘDZ.</t>
  </si>
  <si>
    <t>WE165AS - WI POL.WĘDZ.M92 1904</t>
  </si>
  <si>
    <t>WE165BS - WI POL.WĘDZ.M92 1904</t>
  </si>
  <si>
    <t>WE165 - WI POL.WĘDZ.M.92 1904</t>
  </si>
  <si>
    <t>WE170 - POL.WĘDZ KRA</t>
  </si>
  <si>
    <t>WE263AS - WI POL.WĘDZ.O SMTRUFLI M105 1904</t>
  </si>
  <si>
    <t>WE263BS - WI POL.WĘDZ.O SMTRUFLI M105 1904</t>
  </si>
  <si>
    <t>WE263 - WI POL.WĘDZ.O SM.TRUFLI M.105 1904</t>
  </si>
  <si>
    <t>KA123 - KABAN.Z SZYN KRA</t>
  </si>
  <si>
    <t>KP129 - WI KIEŁB.ŻYWIECKA FIB.55 M.125 520G</t>
  </si>
  <si>
    <t>KP129 - WI KIEŁB.ŻYWIECKA NOWA KRA</t>
  </si>
  <si>
    <t>WE269AS - WI SZYN.MAGNACKA M105 1009</t>
  </si>
  <si>
    <t>WE269BS - WI SZYN.MAGNACKA M105 1009</t>
  </si>
  <si>
    <t>WE269 - WI SZYN.MAGNACKA M.105 1009</t>
  </si>
  <si>
    <t>KA123 - WI KABAN.MINI CLASS.PRO.8 M.175 5G</t>
  </si>
  <si>
    <t>KA123 - WI KABAN.MINI CLASSIC</t>
  </si>
  <si>
    <t>KA125 - KABAN.MINI CLASSIC</t>
  </si>
  <si>
    <t>KA124 - WI KABAN.MINI BEC.PRO.8 M.183 5G</t>
  </si>
  <si>
    <t>KA124 - WI KABAN.MINI BACON</t>
  </si>
  <si>
    <t>KA125 - WI KABAN.SPICY KRA</t>
  </si>
  <si>
    <t>KA127 - KABAN.SPICY KRA</t>
  </si>
  <si>
    <t>ZZ100 - MIX PRODUKTOWY</t>
  </si>
  <si>
    <t>KA129 - WI KABAN.EXP.KRA US</t>
  </si>
  <si>
    <t>KA131 - KABAN.EXP KRA US</t>
  </si>
  <si>
    <t>KA130 - DR/WI KABAN.MINI PRO.8 M.165 5G</t>
  </si>
  <si>
    <t>KA130 - WI/DR KABAN.MINI DROB.WP.</t>
  </si>
  <si>
    <t>KC225AS - WI KIEŁB.PIEPRZOWE KOL18 M105</t>
  </si>
  <si>
    <t>KC225BS - WI KIEŁB.PIEPRZOWE KOL18 M105</t>
  </si>
  <si>
    <t>KC225 - WI KIEŁB.PIEPRZOWE KOL.18 M.105 43G</t>
  </si>
  <si>
    <t>***WT KIEŁB.PIEPRZOWE KAW.</t>
  </si>
  <si>
    <t>KC227 - WI KIEŁB.SWOJSKA MAŁA</t>
  </si>
  <si>
    <t>KA133 - WI KABAN.Z SZYN.PRO.8 M.172 8G</t>
  </si>
  <si>
    <t>KA133 - WI KABAN.Z SZYN.KRA</t>
  </si>
  <si>
    <t>KA134 - WI KABAN.PRO.8 M.175 8G</t>
  </si>
  <si>
    <t>KA134BS - WI KABAN.PRO8 M175</t>
  </si>
  <si>
    <t>KA134AS - WI KABAN.PRO8 M175</t>
  </si>
  <si>
    <t>KABAN.WP.95GMAP BL EX</t>
  </si>
  <si>
    <t>KA135 - DR/WI KABAN.PRO.8 M.160 8G</t>
  </si>
  <si>
    <t>KA135BS - DR/WI KABAN.PRO8 M160</t>
  </si>
  <si>
    <t>KA135AS - DR/WI KABAN.PRO8 M160</t>
  </si>
  <si>
    <t>KABAN.DROB/WP.95GMAP BL EX</t>
  </si>
  <si>
    <t>KP123 - WI KIEŁB.ŻYWIECKA FIB.55 M.125 600G</t>
  </si>
  <si>
    <t>KP123BS - WI KIEŁB.ŻYWIECKA FIB55 M125</t>
  </si>
  <si>
    <t>KP123AS - WI KIEŁB.ŻYWIECKA FIB55 M125</t>
  </si>
  <si>
    <t>KP124 - KIEŁB.ŻYWIECKA BIED</t>
  </si>
  <si>
    <t>KA136 - DR/WI KABAN.JBAR.18-20 M.168 26G</t>
  </si>
  <si>
    <t>KA136BS - DR/WI KABAN.JBAR18-20 M168</t>
  </si>
  <si>
    <t>KA136AS - DR/WI KABAN.JBAR18-20 M168</t>
  </si>
  <si>
    <t>ZZ101 - MIX STAND</t>
  </si>
  <si>
    <t>ZESTAW PROD.185ST STAND KRA II</t>
  </si>
  <si>
    <t>5901784165587</t>
  </si>
  <si>
    <t>KC246AS - WI KIEŁB.BIAŁA PARZ.KOL18 M90</t>
  </si>
  <si>
    <t>KC246BS - WI KIEŁB.BIAŁA PARZ.KOL18 M90</t>
  </si>
  <si>
    <t>KC246 - WI KIEŁB.BIAŁA PARZ.KOL.18 M.90 43G</t>
  </si>
  <si>
    <t>***WT KIEŁB.BIAŁE KAW.</t>
  </si>
  <si>
    <t>KA114 - DR/WI KABAN.JALAPENO PRO.8 M.160 8G</t>
  </si>
  <si>
    <t>KA114BS - DR/WI KABAN.JALAPENO PRO8 M160</t>
  </si>
  <si>
    <t>KA114AS - DR/WI KABAN.JALAPENO PRO8 M160</t>
  </si>
  <si>
    <t>WE161AS - WI SZYN.B/KNST.PARZ.WĘDZ.SIA.M104 1005</t>
  </si>
  <si>
    <t>WE161BS - WI SZYN.B/KNST.PARZ.WĘDZ.SIA.M104 1005</t>
  </si>
  <si>
    <t>WE161 - WI SZYN.B/KNST.PARZ.WĘDZ.SIA.M.104 1005</t>
  </si>
  <si>
    <t>WE166 - SZYN.B/KNST KRA</t>
  </si>
  <si>
    <t>WE161 - WI SZYN.B/KNST.KRA 1005</t>
  </si>
  <si>
    <t>WE168AS - WI SZYN.ZRAZ.PARZ.WĘDZ.SIA.M104 1010</t>
  </si>
  <si>
    <t>WE168BS - WI SZYN.ZRAZ.PARZ.WĘDZ.SIA.M104 1010</t>
  </si>
  <si>
    <t>WE168 - WI SZYN.ZRAZ.PARZ.WĘDZ.SIA.M104 1010</t>
  </si>
  <si>
    <t>WE168 - WI SZYN.ZRAZOWA PARZ.WĘDZ.SIA.M.104 1010</t>
  </si>
  <si>
    <t>WE169 - WI SZYN.ZRAZOWA MAŁA 1010</t>
  </si>
  <si>
    <t>WE175 - SZYN.ZRAZOWA MAŁA</t>
  </si>
  <si>
    <t>KP134 - WI KIEŁB.SZWAGRA JWP.30-32 M.135 260G</t>
  </si>
  <si>
    <t>KP134BS - WI KIEŁB.SZWAGRA JWP30-32 M135</t>
  </si>
  <si>
    <t>KP134AS - WI KIEŁB.SZWAGRA JWP30-32 M135</t>
  </si>
  <si>
    <t>KP148BS - WI KIEŁB.ŻYWIECKA FIB50 M125</t>
  </si>
  <si>
    <t>KP148AS - WI KIEŁB.ŻYWIECKA FIB50 M125</t>
  </si>
  <si>
    <t>KIEŁB.ŻYWIECKA 230GVAC 20STKT KRA GB</t>
  </si>
  <si>
    <t>KABAN.DROB/WP.250GMAP 86STPJ KRA II</t>
  </si>
  <si>
    <t>KA116 - DR/WI KABAN.PAPR/SŁOD.PRO.8 M.160 8G</t>
  </si>
  <si>
    <t>KA116BS - DR/WI KABAN.PAPR/SŁOD.PRO8 M160</t>
  </si>
  <si>
    <t>KA116AS - DR/WI KABAN.PAPR/SŁOD.PRO8 M160</t>
  </si>
  <si>
    <t>KC164AS - WI KIEŁB.OD MASARZA JWP30-32 M80</t>
  </si>
  <si>
    <t>KC164BS - WI KIEŁB.OD MASARZA JWP30-32 M80</t>
  </si>
  <si>
    <t>KC164 - WI KIEŁB.OD MASARZA JWP.30-32 M.80 200G</t>
  </si>
  <si>
    <t>KA118 - DR/WI KABAN.ZIEL.CEB.PRO8 M160</t>
  </si>
  <si>
    <t>KA118BS - DR/WI KABAN.ZIEL.CEB.PRO8 M160</t>
  </si>
  <si>
    <t>KA118AS - DR/WI KABAN.ZIEL.CEB.PRO8 M160</t>
  </si>
  <si>
    <t>KA138 - DR/WI KABAN.Z SEREM PRO.8 M.160 8G</t>
  </si>
  <si>
    <t>KA138BS - DR/WI KABAN.Z SEREM PRO8 M160</t>
  </si>
  <si>
    <t>KA138AS - DR/WI KABAN.Z SEREM PRO8 M160</t>
  </si>
  <si>
    <t>KC268AS - WI KIEŁB.PODWAW.KRA.JWP30-32 M95</t>
  </si>
  <si>
    <t>KC268BS - WI KIEŁB.PODWAW.KRA.JWP30-32 M95</t>
  </si>
  <si>
    <t>KC268 - WI KIEŁB.PODWAW.KRA.JWP.30-32 M.95 250G</t>
  </si>
  <si>
    <t>KA139 - WI KABAN.Z BEKONEM PRO.8 M.152 8G</t>
  </si>
  <si>
    <t>KA139BS - WI KABAN.Z BEKONEM PRO8 M152</t>
  </si>
  <si>
    <t>KA139AS - WI KABAN.Z BEKONEM PRO8 M152</t>
  </si>
  <si>
    <t>KC206 - WI KIEŁB.SWOJSKA</t>
  </si>
  <si>
    <t>KC220 - KIEŁB.SWOJSKA</t>
  </si>
  <si>
    <t>KA111 - WI PRZEKĄSKA PRO.8 M.183 9G</t>
  </si>
  <si>
    <t>KA111BS - WI PRZEKĄSKA PRO8 M183</t>
  </si>
  <si>
    <t>KA111AS - WI PRZEKĄSKA PRO8 M183</t>
  </si>
  <si>
    <t>KA111 - WI PRZEKĄSKA WĘDZ.KRA</t>
  </si>
  <si>
    <t>KA140 - DR/WI KABAN.SALSA POMID.PRO.8 M.160 8G</t>
  </si>
  <si>
    <t>KA140BS - DR/WI KABAN.SALSA POMID.PRO8 M160</t>
  </si>
  <si>
    <t>KA140AS - DR/WI KABAN.SALSA POMID.PRO8 M160</t>
  </si>
  <si>
    <t>KC188AS - WI KIEŁB.OD SZWAGRA JWP32-34 M115</t>
  </si>
  <si>
    <t>KC188BS - WI KIEŁB.OD SZWAGRA JWP32-34 M115</t>
  </si>
  <si>
    <t>KC188 - WI KIEŁB.OD SZWAGRA JWP.32-34 M.115 200G</t>
  </si>
  <si>
    <t>WE163 - WI SZYN.ZAPIE.SIA.M.124 1005</t>
  </si>
  <si>
    <t>WE163BS - WI SZYN.ZAPIE.SIA.M124 1005</t>
  </si>
  <si>
    <t>WE204 - WI BOCZ.Z/S.ZAPIE.M124 1808</t>
  </si>
  <si>
    <t>WE204BS - WI BOCZ.Z/S.ZAPIE.M124 1808</t>
  </si>
  <si>
    <t>WE204 - WI BOCZ.Z/S.ZAPIE.M.124 1808DA</t>
  </si>
  <si>
    <t>WE171 - WI SCH.ZAPIE.SIA.M.124 1667</t>
  </si>
  <si>
    <t>WE171BS - WI SCH.ZAPIE.SIA.M124 1667</t>
  </si>
  <si>
    <t>WE259AS - WI SZYN.ŚWIĘTOKRZ.SIA.M100 1010</t>
  </si>
  <si>
    <t>WE259BS - WI SZYN.ŚWIĘTOKRZ.SIA.M100 1010</t>
  </si>
  <si>
    <t>WE259 - WI SZYN.ŚWIĘTOKRZ.SIA.M.100 1010</t>
  </si>
  <si>
    <t>WE258AS - WI SCH.ŚWIĘTOKRZ.SIA.M100 1664</t>
  </si>
  <si>
    <t>WE258BS - WI SCH.ŚWIĘTOKRZ.SIA.M100 1664</t>
  </si>
  <si>
    <t>WE258 - WI SCH.ŚWIĘTOKRZ.SIA.M.100 1664</t>
  </si>
  <si>
    <t>KA141 - WI/DR SNAKERSY CLASS.PRO15 M110</t>
  </si>
  <si>
    <t>KA142 - WI/DR SNAKERSY PAPR.PRO15 M100</t>
  </si>
  <si>
    <t>SNAKERSY MIX 85GMAP 14STKT KRA EX</t>
  </si>
  <si>
    <t>5901784165563</t>
  </si>
  <si>
    <t>SNAKERSY MIX 85GMAP 40STPJ KRA</t>
  </si>
  <si>
    <t>KC295 - WI KIEŁB.KRUCHA PIE.JWP30-32 M110</t>
  </si>
  <si>
    <t>KC298 - WI/KU KIEŁB.PODWAW.KRA.JWP.30-32 M95</t>
  </si>
  <si>
    <t>BOCZ.OD SZWAGRA AS KRA</t>
  </si>
  <si>
    <t>WE279 - WI BOCZ.SZWAGRA PARZ.WĘDZ.SIA.M96 1822</t>
  </si>
  <si>
    <t>BOCZ.OD SZWAGRA BS KRA</t>
  </si>
  <si>
    <t>BOCZ.OD SZWAGRA 1STVAC OK15KGKT KRA</t>
  </si>
  <si>
    <t>KABAN.MIX 95GMAP 14STKT KRA EX</t>
  </si>
  <si>
    <t>5901784165556</t>
  </si>
  <si>
    <t>KABAN.MIX 95GMAP 60STPJ KRA</t>
  </si>
  <si>
    <t>WE156 - WI BOCZ.WĘDZ.Z/S.1815DA-A</t>
  </si>
  <si>
    <t>WE159 - BOCZ.Z/S.WĘDZ</t>
  </si>
  <si>
    <t>WE164 - ŻEB.PARZ.WĘDZ</t>
  </si>
  <si>
    <t>WE138 - WI ŁOP.CHŁOPSKA MAZ.PARZ.WĘDZ.M.83 1307</t>
  </si>
  <si>
    <t>WE140 - WI SZYN.SZWAGRA PARZ.WĘDZ.M.100 1005</t>
  </si>
  <si>
    <t>***WT KIEŁB.WĘDZ.PARZ.OK15KG PB MR</t>
  </si>
  <si>
    <t>WY115MR - WYSORTY WE: WĘDZ.</t>
  </si>
  <si>
    <t>WY115DM - WYSORTY WE: WĘDZ.</t>
  </si>
  <si>
    <t>WT KIEŁB.MIX OK1KGVAC OK5-15KGKTPJ KOBEX</t>
  </si>
  <si>
    <t>WT WĘDZ.MIX I AS</t>
  </si>
  <si>
    <t>WT KIEŁB.ŻYWIECKA/KABAN.I AS</t>
  </si>
  <si>
    <t>WT WĘDZ.MIX I OK1KGVAC OK5-15KGKT</t>
  </si>
  <si>
    <t>WT K.ŻYWIECKA MIX I OK1KGVAC OK5-15KGKT</t>
  </si>
  <si>
    <t>WY105CH - WYSORTY KP: KIEŁB.SUCHE I PODSUSZ.</t>
  </si>
  <si>
    <t>WT KIEŁB.MIX II AS</t>
  </si>
  <si>
    <t>WT KIEŁB.MIX II OK15KG NB MR</t>
  </si>
  <si>
    <t>WT KIEŁB.MIX II OK15KGWOR PJ DMR</t>
  </si>
  <si>
    <t>WT KIEŁB.MIX II OK1KGVAC OK5-15KGKT</t>
  </si>
  <si>
    <t>WT KIEŁB.MIX III AS</t>
  </si>
  <si>
    <t>WT KIEŁB.MIX III OK1KGVAC OK5-15KGKT</t>
  </si>
  <si>
    <t>WT BOCZ.WĘDZ.PARZ.MIX II AS</t>
  </si>
  <si>
    <t>WT BOCZ.WĘDZ.PARZ.MIXII OK1KGVOK5-15KGKT</t>
  </si>
  <si>
    <t>WY115CH - WYSORTY WE: WĘDZ.</t>
  </si>
  <si>
    <t>WY101AD - WYSORTY KA: KABAN.</t>
  </si>
  <si>
    <t>WT KABAN.MIX ALG.OK15KG NB MR</t>
  </si>
  <si>
    <t>WY101MR - WYSORTY KA: KABAN.</t>
  </si>
  <si>
    <t>WT KABAN.Z/SER.OK15KG NB MR</t>
  </si>
  <si>
    <t>WT KABAN.MIX ALG.OK15KG NB DMR</t>
  </si>
  <si>
    <t>WY101DM - WYSORTY KA: KABAN.</t>
  </si>
  <si>
    <t>WT KABAN.Z/SER.OK15KG NB DMR</t>
  </si>
  <si>
    <t>WY101RO - WYSORTY KA: KABAN.</t>
  </si>
  <si>
    <t>WY101CH - WYSORTY KA: KABAN.</t>
  </si>
  <si>
    <t>WT BOCZ.WĘDZ.PARZ.IV AS</t>
  </si>
  <si>
    <t>WY115RO - WYSORTY WE: WĘDZ.</t>
  </si>
  <si>
    <t>WT PP BOCZ.WĘDZ.PARZ.IV AS</t>
  </si>
  <si>
    <t>WT PP BOCZ.WĘDZ.PARZ.IV OK15KG NB MR</t>
  </si>
  <si>
    <t>***WT BOCZ.IV WĘDZ.PARZ.MIX VAC</t>
  </si>
  <si>
    <t>WT PP BOCZ.WĘDZ.PARZ.IV OK15KG NB DMR</t>
  </si>
  <si>
    <t>WT PP BOCZ.WĘDZ.PARZ.IV RO</t>
  </si>
  <si>
    <t>WT WĘDZ.MIX IV AS</t>
  </si>
  <si>
    <t>WT WĘDZ.MIX IV OK1KGVAC OK5-15KGKT</t>
  </si>
  <si>
    <t>PT WĘDLINY BS</t>
  </si>
  <si>
    <t>MM115 - PT M.MIEL.FARSZ</t>
  </si>
  <si>
    <t>PT NADZIEWANIE</t>
  </si>
  <si>
    <t>PT WĘDLINY FARSZ</t>
  </si>
  <si>
    <t>PT PEKLOWANIE</t>
  </si>
  <si>
    <t>PT SL</t>
  </si>
  <si>
    <t>WT KIEŁB.MIX V AS</t>
  </si>
  <si>
    <t>WT KIEŁB.MIX V OK1KGVAC OK5-15KGKT</t>
  </si>
  <si>
    <t>PROTOSAL TP.</t>
  </si>
  <si>
    <t>2932 - ODPAD KAT.2 - METANOL POPROD.</t>
  </si>
  <si>
    <t>MIESZ.FUNK.ŚLĄSKA 4920</t>
  </si>
  <si>
    <t>MIESZ.FUNK.DO BOCZ.GRUBA INTENSIV FB</t>
  </si>
  <si>
    <t>TERMOX RC LIQUID</t>
  </si>
  <si>
    <t>MIESZ.FUNK.PODWAWELSKA 4921</t>
  </si>
  <si>
    <t>ST.TAC.562X360X260 5W CZER.KRA</t>
  </si>
  <si>
    <t>ST.COKÓŁ 582X384X117 3W CZER.KRA</t>
  </si>
  <si>
    <t>KAR.WA.288X175X245 3W CZER.KRA D</t>
  </si>
  <si>
    <t>KAR.WA.290X181X245 3W SZAR.W</t>
  </si>
  <si>
    <t>KAR.WA.285X153X244 3W SZAR.W</t>
  </si>
  <si>
    <t>JEL.CIEN.40+ 8+ LUZ.SOL.90M PĘCZ.ST</t>
  </si>
  <si>
    <t>JEL.CIEN.40+ 3-8 LUZ SOL.90M PĘCZ.ST</t>
  </si>
  <si>
    <t xml:space="preserve"> SZNUREK POLIPROP.BC 2000 800 TEX BIA.</t>
  </si>
  <si>
    <t>FOL.PET/PE 44X520 KIEŁB.ŚLĄSKA MOR</t>
  </si>
  <si>
    <t>SIATKA 16/32/3/E BIA.</t>
  </si>
  <si>
    <t>FOL.PET/PE 55X420 MOR</t>
  </si>
  <si>
    <t>FOL.PET/EVOH/PE 42X520 KIEŁB.ŚLĄSKA MOR</t>
  </si>
  <si>
    <t>FOL.STRETCH RĘCZ.17X475 PERF.</t>
  </si>
  <si>
    <t>FOL.PET/PE 55X415 MOR</t>
  </si>
  <si>
    <t>FOL.PET/EVOH/PE42X230KAB.DR/WP.95G KRA N</t>
  </si>
  <si>
    <t>FOL.PET/EVOH/PE 42X230KABAN.WP.95G KRA N</t>
  </si>
  <si>
    <t>ET.TRMP.100X50 BIA.U</t>
  </si>
  <si>
    <t>ET.ZAW.80X120 BIA.</t>
  </si>
  <si>
    <t>ET.TRMP.66X95 BIZ.BIA.U</t>
  </si>
  <si>
    <t>ET.TRMP.50X30 BIA.U</t>
  </si>
  <si>
    <t>ET.ZAW.80X120 KOL.U</t>
  </si>
  <si>
    <t>ET.TRMP.68X68 FI76 BIA.U</t>
  </si>
  <si>
    <t>ET.TRMP.80X120 FI76 BIA.U</t>
  </si>
  <si>
    <t>ET.TRMP.109X153 BIA.U</t>
  </si>
  <si>
    <t>ET.TRMP.100X50 CWP BIA.U</t>
  </si>
  <si>
    <t>ET.TRMP.70X98 BIZ.CZER.WP.MAKR U</t>
  </si>
  <si>
    <t>ET.TRMP.85X116 YAN EX P</t>
  </si>
  <si>
    <t>ET.TRMP.80X130 ŚM MOR</t>
  </si>
  <si>
    <t>ET.TRMP.80X65 BIA.U</t>
  </si>
  <si>
    <t>ET.TRMP.90X90 BIA.U</t>
  </si>
  <si>
    <t>ET.TRMP.70X110 BIZ.MSP U</t>
  </si>
  <si>
    <t>ET.TRMF.100X80 KARK.VAC BIED P</t>
  </si>
  <si>
    <t>ET.TRMP.70X90 PERF.BIA.U</t>
  </si>
  <si>
    <t>ET.TRMP.80X110 BIZ.MORE U</t>
  </si>
  <si>
    <t>ET.TRMP.80X110 BIZ.MOR U</t>
  </si>
  <si>
    <t>ET.OZDP.80X100 ŚLĄSKA 90% 1.3KGLIDL SK P</t>
  </si>
  <si>
    <t>ET.OZDP.63X85 PODWAW.500G PIK LT P</t>
  </si>
  <si>
    <t>ET.OZDP.70X100 KIEŁB.OD SZWAGRA KRA P</t>
  </si>
  <si>
    <t>ET.TRMP.110X58 BOCZ.WĘDZ.96% PIK LIDL T</t>
  </si>
  <si>
    <t>ET.TRMP.70X103 PODWAW.95% MOR T</t>
  </si>
  <si>
    <t>ET.TRMP.109X153 ŻÓŁ.U</t>
  </si>
  <si>
    <t>ET.OZDP.70X90 ŻYWIECKA 286G LIDL P</t>
  </si>
  <si>
    <t>ET.TRMP.60X90 PODWAW.Z SZYN.T</t>
  </si>
  <si>
    <t>ET.TRMP.70X90 ŚLĄSKA CODZ.MAP G&amp;F T</t>
  </si>
  <si>
    <t>ET.OZDP.80X100 ŚLĄSKA 90%1.3KGLIDL BG P</t>
  </si>
  <si>
    <t>ET.OZDP.80X100 ŚLĄSKA 90% 1.3KGLIDL HR P</t>
  </si>
  <si>
    <t>ET.OZDP.80X100 ŚLĄSKA 90%1.3KGLIDL RO P</t>
  </si>
  <si>
    <t>ET.TRMF.70X99 ŻEB.VAC LIDL P</t>
  </si>
  <si>
    <t>ET.TRMP.80X100.PODWAW.ARO T</t>
  </si>
  <si>
    <t>ET.TRMF.70X100 SZYN.VAC T</t>
  </si>
  <si>
    <t>ET.TRMF.100X70 BOCZ.VAC LIDL P</t>
  </si>
  <si>
    <t>ET.TRMF.100X70 ŁOP.VAC LIDL P</t>
  </si>
  <si>
    <t>ET.TRMF.100X70 KARK.VAC LIDL P</t>
  </si>
  <si>
    <t>ET.TRMF.100X70 SCH.VAC LIDL P</t>
  </si>
  <si>
    <t>ET.TRMF.100X70 SZYN.VAC LIDL P</t>
  </si>
  <si>
    <t>ET.TRMP.50X70 BIA.U</t>
  </si>
  <si>
    <t>ET.TRMP.65X80 ZIEL.PROSTOKĄT U</t>
  </si>
  <si>
    <t>ET.TRMP.109X153 CZER.U</t>
  </si>
  <si>
    <t>ET.TRMP.58X110 BOCZ.BIA.WĘDZ.PARZ.MOR P</t>
  </si>
  <si>
    <t>ET.TRMP.75X100 KAB.250G KRA T</t>
  </si>
  <si>
    <t>ET.OZDP.50X30 BIA.U</t>
  </si>
  <si>
    <t>ET.TRMP.80X120 ZIEL.PROSTOKĄT U</t>
  </si>
  <si>
    <t>ET.TRMP.80X120 BIZ.MAZ U</t>
  </si>
  <si>
    <t>ET.TRMP.109X153 RÓŻ.U</t>
  </si>
  <si>
    <t>ET.TRMP.109X153 NIEB.U</t>
  </si>
  <si>
    <t>ET.TRMP.78X110 BIZ.MORE U</t>
  </si>
  <si>
    <t>ET.TRMP.78X115 BIZ.KRA U</t>
  </si>
  <si>
    <t>ET.TRMP.30X30 BIA.U</t>
  </si>
  <si>
    <t>ET.OZDP.63X85 KIEŁB.Z/PIEP.MOR P</t>
  </si>
  <si>
    <t>ET.TRMP.90X90 CZER.U</t>
  </si>
  <si>
    <t>ET.TRMP.100X50 CZER.U</t>
  </si>
  <si>
    <t>ET.TRMP.100X50 ŻÓŁ.U</t>
  </si>
  <si>
    <t>ET.TRMF.80X110 FI40 BIZ.MOR U</t>
  </si>
  <si>
    <t>ET.OZDP.20X30 CZER.U</t>
  </si>
  <si>
    <t>ET.OZDP.20X30 RÓŻ.U</t>
  </si>
  <si>
    <t>ET.OZDP.20X30 NIEB.U</t>
  </si>
  <si>
    <t>ET.OZDP.20X30 ŻÓŁ.U</t>
  </si>
  <si>
    <t>ET.OZDP.60X70 SZYN.70G BAR BG P</t>
  </si>
  <si>
    <t>ET.TRMP.70X100 SZYN.70G BAR BG T</t>
  </si>
  <si>
    <t>ET.TRMP.73X102 ŚLĄSKA TŁ20G 550G KW T</t>
  </si>
  <si>
    <t>ET.TRMP.73X102 ŚLĄSKA TŁ18G MAP MP KW T</t>
  </si>
  <si>
    <t>ET.TRMP.73X102 ŚLĄSKA TŁ18G 550GMAP KW T</t>
  </si>
  <si>
    <t>ET.TRMF.65X80 BIA.U</t>
  </si>
  <si>
    <t>ET.TRMP.70X110 BIZ.RZEŹ.SZYM.U</t>
  </si>
  <si>
    <t>ET.TRMP.69X106 REGIONALNA T</t>
  </si>
  <si>
    <t>ET.TRMP.73X102 ŚLĄSKA TŁ18G 550G KW T</t>
  </si>
  <si>
    <t>ET.TRMP.73X102 ŚLĄSKA TŁ18G VAC MP KW T</t>
  </si>
  <si>
    <t>ET.TRMP.70X90 ŚLĄSKA CODZ.G&amp;F T</t>
  </si>
  <si>
    <t>ET.TRMP.100X150 BIA.U</t>
  </si>
  <si>
    <t>ET.TRMP.100X150 BIZ.RÓŻ.U</t>
  </si>
  <si>
    <t>ET.TRMP.100X150 BIZ.CZER.U</t>
  </si>
  <si>
    <t>ET.OZDP.50X60 BOCZ.MOC.WĘ.MOR PL/CZ/EE P</t>
  </si>
  <si>
    <t>ET.TRMP.58X91 BIZ.AUCH U</t>
  </si>
  <si>
    <t>ET.TRMP.60X70 ZIEL.U</t>
  </si>
  <si>
    <t>ET.TRMP.60X70 POM.U</t>
  </si>
  <si>
    <t>ET.TRMP.90X100 BIZ.METCH EX U</t>
  </si>
  <si>
    <t>ET.TRMP.80X110 KARK.B/K.KM BIED P</t>
  </si>
  <si>
    <t>ET.STICP.65X80 BIZ.POM.U</t>
  </si>
  <si>
    <t>ET.OZDP.95X80 ŚLĄSKA YAN CZ/SK/HU P</t>
  </si>
  <si>
    <t>ET.TRMP.85X116 ŚLĄSKA YAN CZ/SK/HU T</t>
  </si>
  <si>
    <t>ET.OZDP.80X100 BOCZ.OD SZWAGRA KRA P</t>
  </si>
  <si>
    <t>ET.TRMP.80X110 SZYN.B/K.VAC ALDI T</t>
  </si>
  <si>
    <t>ET.OZDP.55X75 ŻYWIECKA ROH P</t>
  </si>
  <si>
    <t>ET.TRMP.70X90 ŻYWIECKA ROH T</t>
  </si>
  <si>
    <t>ET.OZDP.80X100BOCZ.MOC.WĘ.MOR PL/CZ/EE P</t>
  </si>
  <si>
    <t>ET.TRMP.58X110 BOCZ.OD SZWAGRA KRA T</t>
  </si>
  <si>
    <t>ET.OZDP.80X100 K.CODZIENNA G&amp;F P</t>
  </si>
  <si>
    <t>ET.TRMP.70X90 K.CODZIENNA T</t>
  </si>
  <si>
    <t>ET.TRMP.90X110 ŚLĄSKA MOR PL/GB/DE T</t>
  </si>
  <si>
    <t>ET.TRMP.90X110 ŚLĄSKA MOR LT/LV/EE T</t>
  </si>
  <si>
    <t>ET.TRMP.90X110 BIWAKOWA MOR PL/EN T</t>
  </si>
  <si>
    <t>ET.OZDP.70X80 ŚLĄSKA 360G MOR P</t>
  </si>
  <si>
    <t xml:space="preserve"> </t>
  </si>
  <si>
    <t>26.06.08.2022</t>
  </si>
  <si>
    <t>Mięso kl. 4M</t>
  </si>
  <si>
    <t xml:space="preserve">  </t>
  </si>
  <si>
    <t>SUMA</t>
  </si>
  <si>
    <t>2209/1923/2222/2220/5209</t>
  </si>
  <si>
    <t>zł/kg</t>
  </si>
  <si>
    <t xml:space="preserve">Cena </t>
  </si>
  <si>
    <t>Kontrola MDR</t>
  </si>
  <si>
    <t>Kontrola wędzonki</t>
  </si>
  <si>
    <t>M-SO WP.DR.80/20 ODŚC.OK15KG NB MR ZAK</t>
  </si>
  <si>
    <t>Nr</t>
  </si>
  <si>
    <t>zł</t>
  </si>
  <si>
    <t>Lp</t>
  </si>
  <si>
    <t>Asortymenty</t>
  </si>
  <si>
    <t xml:space="preserve">I dr. 90/10  Żywiecka </t>
  </si>
  <si>
    <t xml:space="preserve">Tłuszcz </t>
  </si>
  <si>
    <t>Suma zysku</t>
  </si>
  <si>
    <t>3010/3014/3013/3019</t>
  </si>
  <si>
    <t>SCHAB NA BIAŁO JMP</t>
  </si>
  <si>
    <t>SCH.OD SZWAGRA PARZ.AS</t>
  </si>
  <si>
    <t>2223 - M-SO DROBNE KL4 M</t>
  </si>
  <si>
    <t>SCH.OD SZWAGRA PARZ.PEKL.</t>
  </si>
  <si>
    <t>2205/2197/2195/2196</t>
  </si>
  <si>
    <t>1202/1204/1316/1315</t>
  </si>
  <si>
    <t>KK PODUD.B/K/S.PBX SU</t>
  </si>
  <si>
    <t>BERLINKA CLASSIC</t>
  </si>
  <si>
    <t>Materiał podstawowy</t>
  </si>
  <si>
    <t>PL SCH.B/K/TŁ.1STVAC OK20KGKT MET HU</t>
  </si>
  <si>
    <t>PL SCH.B/K/TŁ.1STVAC 4STKT PREM.SEL</t>
  </si>
  <si>
    <t>EU SCH.B/K.Z/2WAR.OK1KG KAW.CH</t>
  </si>
  <si>
    <t>PL SCH.B/K.Z/WAR.OK1.5KGVACOK10KGKTKAUF</t>
  </si>
  <si>
    <t>PL SCH.B/K.Z/WAR.1STVACOK16KGKT PREM.SEL</t>
  </si>
  <si>
    <t>EU SCH.B/K.Z/WAR.OK1.5KGVACOK10KGKTKAUF</t>
  </si>
  <si>
    <t>***PLSCH.B/K.Z/2WA.OK1.4KGVOK8.4KGKTLIDL</t>
  </si>
  <si>
    <t>EL.SZYN.TRAD.MOC.WĘDZ.CH</t>
  </si>
  <si>
    <t>EL.SZYN.TRAD.MOC.WĘDZ.NB MR</t>
  </si>
  <si>
    <t>EL.SZYN.TRAD.MOC.WĘDZ.NB DMR</t>
  </si>
  <si>
    <t>EL.SZYN.TRAD.MOC.WĘDZ.NB RO1</t>
  </si>
  <si>
    <t>EL.SZYN.TRAD.MOC.WĘDZ.NB RO2</t>
  </si>
  <si>
    <t>PL SZYN.4D OK1.5KGVAC OK13KGKT KAUF</t>
  </si>
  <si>
    <t>PL SZYN.4D 1STVAC OK16KGKT PREM.SEL</t>
  </si>
  <si>
    <t>EU SZYN.4D OK1.5KGVAC OK13KGKT KAUF</t>
  </si>
  <si>
    <t>***MŚ.SZYN.SOG JAS.PB RO2</t>
  </si>
  <si>
    <t>***MŚ.WP.CIE.ZAK</t>
  </si>
  <si>
    <t>***MŚ.SZYN.ODBŁ.CIE.CH ZAK</t>
  </si>
  <si>
    <t>***MŚ.CZTER.N/OBR.ZAK</t>
  </si>
  <si>
    <t>***PL MŚ.SZYN.ODBŁ.JAS.CH2</t>
  </si>
  <si>
    <t>***EU MŚ.SZYN.ODBŁ.JAS.PBX CH1</t>
  </si>
  <si>
    <t>***EU MŚ.SZYN.ODBŁ.JAS.CH2</t>
  </si>
  <si>
    <t>***EU MŚ.SZYN.ODBŁ.JAS.PBX CH2</t>
  </si>
  <si>
    <t>***PL MŚ.SZYN.ODBŁ.JAS.BLOK CH1</t>
  </si>
  <si>
    <t>***PL MŚ.SZYN.ODBŁ.JAS.BLOK CH2</t>
  </si>
  <si>
    <t>***MŚ.SZYN.ODBŁ.JAS.ROZP1</t>
  </si>
  <si>
    <t>***MŚ.SZYN.ODBŁ.JAS.ROZP2</t>
  </si>
  <si>
    <t>EL.SZYN.TRAD.MOC.WĘDZ.KLE CH1</t>
  </si>
  <si>
    <t>EL.SZYN.TRAD.MOC.WĘDZ.KLE PBX ST1</t>
  </si>
  <si>
    <t>EL.SZYN.TRAD.MOC.WĘDZ.KLE CH2</t>
  </si>
  <si>
    <t>EL.SZYN.TRAD.MOC.WĘDZ.KLE PBX ST2</t>
  </si>
  <si>
    <t>PP SZYN.4D B/M.BRZ.OK1.5KGVACOK6KGKTALDI</t>
  </si>
  <si>
    <t>EU SZYN.4D KAW.CH</t>
  </si>
  <si>
    <t>ŁOP.1.5D RO</t>
  </si>
  <si>
    <t>EU ŁOP.1.5D PBX ST1</t>
  </si>
  <si>
    <t>EU ŁOP.1.5D PBX ST</t>
  </si>
  <si>
    <t>EU ŁOP.1.5D OK20KG NB MR K4</t>
  </si>
  <si>
    <t>EU ŁOP.WP.1.5D RO1</t>
  </si>
  <si>
    <t>EU ŁOP.WP.1.5D RO2</t>
  </si>
  <si>
    <t>PP ŁOP.1.5D OK20KG NB MR K4</t>
  </si>
  <si>
    <t>PL ŁOP.4D 1STVAC OK14KGKT PREM.SEL</t>
  </si>
  <si>
    <t>***PL ŁOP.4D OK1.4KGVAC OK8.4KGKT LIDL</t>
  </si>
  <si>
    <t>EU ŁOP.4D OK1.5KGVAC OK10KGKT KAUF</t>
  </si>
  <si>
    <t>EU ŁOP.4D 1STVAC OK20KGKT MR EX</t>
  </si>
  <si>
    <t>EU ŁOP.4D 1STVAC OK20KGKT DMR</t>
  </si>
  <si>
    <t>PL KARK.B/K.Z/KOR/CZ.W.1STV6STKTPREM.SEL</t>
  </si>
  <si>
    <t>EU KARK.B/K.Z/K.OK1.5KGVAC OK11KGKT KAUF</t>
  </si>
  <si>
    <t>PL KARK.B/K.EXT.1STVAC OK16KGKT PREM.SEL</t>
  </si>
  <si>
    <t>PL MŚ.SZYN.N/ODBŁ.JAS.OK20KG NB MR ST</t>
  </si>
  <si>
    <t>PL ŻEB.SCH.SZER.8CM CH</t>
  </si>
  <si>
    <t>PL ŻEB.SCH.SZER.8CM OK20KGWOR PJ ST</t>
  </si>
  <si>
    <t>ŚRODEK B/POL/POK.MAC.OK20KG NB MR</t>
  </si>
  <si>
    <t>ŚRODEK B/POL/POK.MAC.OK20KG NB DMR</t>
  </si>
  <si>
    <t>ŚRODEK B/POL/POK.MAC.RO</t>
  </si>
  <si>
    <t>GOL.PRZED.RO 0C</t>
  </si>
  <si>
    <t>PL NOGA PRZED.Z/GOL.</t>
  </si>
  <si>
    <t>2781 - NOGA PRZED.Z/GOL.</t>
  </si>
  <si>
    <t>PL NOGA PRZED.Z/GOL.OK10KGWOR KT MR EX</t>
  </si>
  <si>
    <t>PL NOGA PRZED.Z/GOL.OK10KGWOR KT DMR</t>
  </si>
  <si>
    <t>NOGA PRZED.Z/GOL.USR</t>
  </si>
  <si>
    <t>PL MŚ.CZTER.N/OBR.OK2KGVAC OK8KGKT SEL</t>
  </si>
  <si>
    <t>PL MŚ.CZTER.N/OBR.OK15KGWOR HILT EŁ</t>
  </si>
  <si>
    <t>SKÓRY Z/TŁ.OK20KG NB MR</t>
  </si>
  <si>
    <t>SKÓRY Z/TŁ.RO1</t>
  </si>
  <si>
    <t>SKÓRY Z/TŁ.RO2</t>
  </si>
  <si>
    <t>PP SKÓRY Z/TŁ.Z SZYN.CH</t>
  </si>
  <si>
    <t>PP SKÓRY Z/TŁ.Z/SZYN.PBX1</t>
  </si>
  <si>
    <t>PP SKÓRY Z/TŁ.Z/SZYN.PBX2</t>
  </si>
  <si>
    <t>PRZODEK MAC.OK20KG NB MR</t>
  </si>
  <si>
    <t>PRZODEK MAC.OK20KG NB DMR</t>
  </si>
  <si>
    <t>PRZODEK MAC.RO</t>
  </si>
  <si>
    <t>PL MŚ.CZTER.N/OBR.CH HILT</t>
  </si>
  <si>
    <t>EU MŚ.CZTER.N/OBR.CH HILT</t>
  </si>
  <si>
    <t>ĆW.SZYN.B/POL/OG/K.OG.MAC.OK20KG NB MR</t>
  </si>
  <si>
    <t>ĆW.SZYN.B/POL/OG/K.OG.MAC.OK20KG NB DMR</t>
  </si>
  <si>
    <t>ĆW.SZYN.B/POL/OG/K.OG.MAC.RO</t>
  </si>
  <si>
    <t>PL ŁOP.3D OK20KG NB DMR</t>
  </si>
  <si>
    <t>PP ŁOP.3D OK20KG NB MR ST</t>
  </si>
  <si>
    <t>PP ŁOP.3D OK20KG NB DMR</t>
  </si>
  <si>
    <t>PP ŁOP.3D NB RO1</t>
  </si>
  <si>
    <t>PP ŁOP.3D NB RO2</t>
  </si>
  <si>
    <t>PL POL.B/GŁ/WAR.OK2.5KGVAC OK20KGPJ</t>
  </si>
  <si>
    <t>POL.N/OBR.MAC.OK20KG NB MR</t>
  </si>
  <si>
    <t>POL.N/OBR.MAC.OK20KG NB DMR</t>
  </si>
  <si>
    <t>POL.N/OBR.MAC.RO</t>
  </si>
  <si>
    <t>PL GŁ.POL.ODBŁ.OK2.5KGVAC OK20KGPJ</t>
  </si>
  <si>
    <t>PL PODG.B/S.OK20KG NB MR K4</t>
  </si>
  <si>
    <t>PP TRYMING 80/20 FI3 RO1</t>
  </si>
  <si>
    <t>PP TRYMING 80/20 FI3 RO2</t>
  </si>
  <si>
    <t>M-SO WP.TRYMING 50/50 PBX1</t>
  </si>
  <si>
    <t>M-SO WP.TRYMING 50/50 PBX2</t>
  </si>
  <si>
    <t>PP M-SO WP.TRYMING 60/40 RO1</t>
  </si>
  <si>
    <t>PP M-SO WP.TRYMING 60/40 RO2</t>
  </si>
  <si>
    <t>EU M-SO WP.DR.KL2A OK15KGWOR KT</t>
  </si>
  <si>
    <t>EU M-SO WP.DR.KL2B OK15KGWOR KT</t>
  </si>
  <si>
    <t>M-SO WP.KL2B BIGBOX MORLINY SZ</t>
  </si>
  <si>
    <t>PP M-SO WP.DR.KL2B PBX EŁ1</t>
  </si>
  <si>
    <t>EU M-SO WP.DR.KL3A OK15KGWOR KT</t>
  </si>
  <si>
    <t>EU M-SO WP.DR.KL3A OK4KGVAC OK16KGKT</t>
  </si>
  <si>
    <t>EU M-SO WP.DR.KL4.MIZD.PBX1</t>
  </si>
  <si>
    <t>EU M-SO WP.DR.KL4.MIZD.PBX2</t>
  </si>
  <si>
    <t>M-SO WP.KL4 POUB.OK20KG NB MR 1OB K4</t>
  </si>
  <si>
    <t>M-SO WP.DR.KL1 JAS.ZAPARZ.USR1</t>
  </si>
  <si>
    <t>M-SO WP.DR.KL1 JAS.ZAPARZ.USR PBX1</t>
  </si>
  <si>
    <t>M-SO WP.DR.KL1 JAS.ZAPARZ.USR2</t>
  </si>
  <si>
    <t>M-SO WP.DR.KL1 JAS.ZAPARZ.USR PBX2</t>
  </si>
  <si>
    <t>PP M-SO WP.DR.KL1 JAS.ZAPARZ.PBX ST1</t>
  </si>
  <si>
    <t>PP M-SO WP.DR.KL1 JAS.ZAPARZ.PBX ST2</t>
  </si>
  <si>
    <t>MASKI TŁ.Z/GŁ.Z/RYJ/USZ/S.CH</t>
  </si>
  <si>
    <t>MASKI TŁ.Z/GŁ.Z/RYJ/USZ/S.10KGKT WOR DMR</t>
  </si>
  <si>
    <t>RYJEK Z/CZ.MASKI Z/GŁ.CH</t>
  </si>
  <si>
    <t>RYJEK Z/CZ.MASKI Z/GŁ.10KGWOR KT DMR EX</t>
  </si>
  <si>
    <t>MASKI TŁ.Z/GŁ/S.CH1</t>
  </si>
  <si>
    <t>MASKI TŁ.Z/GŁ/S.OK20KG NB MR ST</t>
  </si>
  <si>
    <t>MASKI TŁ.Z/GŁ/S.OK20KG NB DMR</t>
  </si>
  <si>
    <t>MASKI TŁ.Z/GŁ/S.OK20KGWOR KT DMR</t>
  </si>
  <si>
    <t>MASKI TŁ.Z/GŁ/S.10KGWOR KT DMR</t>
  </si>
  <si>
    <t>MASKI TŁ.Z/GŁ/S.RO1</t>
  </si>
  <si>
    <t>MASKI TŁ.Z/GŁ/S.II RO1</t>
  </si>
  <si>
    <t>MASKI TŁ.Z/GŁ/S.CH2</t>
  </si>
  <si>
    <t>MASKI TŁ.Z/GŁ/S.RO2</t>
  </si>
  <si>
    <t>MASKI TŁ.Z/GŁ/S.II RO2</t>
  </si>
  <si>
    <t>EU MASKI TŁ.Z/GŁ/S.CH</t>
  </si>
  <si>
    <t>PP MASKI TŁ.Z/GŁ/S.CH</t>
  </si>
  <si>
    <t>RYJEK Z/POZ.SK.Z MASKI Z/GŁ.OKT SZ</t>
  </si>
  <si>
    <t>RYJEK Z/CZ.MASKI Z/GŁ.NB MR SZ</t>
  </si>
  <si>
    <t>MASKI I M-SO Z/GŁ.Z/S.CH1</t>
  </si>
  <si>
    <t>MASKI Z GŁ.MR SZ</t>
  </si>
  <si>
    <t>MASKI I M-SO Z/GŁ.Z/S.W.NB MR SZ</t>
  </si>
  <si>
    <t>MASKI Z GŁ.PBX CON SZ</t>
  </si>
  <si>
    <t>MASKI Z GŁ.PB MR SZ</t>
  </si>
  <si>
    <t>MASKI I M-SO Z/GŁ.Z/S.CH2</t>
  </si>
  <si>
    <t>JEL.CIEN.28- CH</t>
  </si>
  <si>
    <t>JEL.CIEN.28/30 CH</t>
  </si>
  <si>
    <t>JEL.CIEN.32/34 CH</t>
  </si>
  <si>
    <t>JEL.CIEN.36/38 CH</t>
  </si>
  <si>
    <t>JEL.CIEN.38/40 CH</t>
  </si>
  <si>
    <t>JEL.CIEN.40+ CH</t>
  </si>
  <si>
    <t>JELITO CIEN.SOL.210G 20STSIA.BECZ.K4</t>
  </si>
  <si>
    <t>JELITO CIEN.SOL.210G 20STSIA.BECZ.EŁ</t>
  </si>
  <si>
    <t>JELITO CIEN.SOL.210G 20STSIA.BECZ.SZ</t>
  </si>
  <si>
    <t>JELITO PRO.SOL.1.7KGSIA.140STBECZ.BL</t>
  </si>
  <si>
    <t>JELITO PRO.SOL.9M 1.7KGSIA.140STBECZ.</t>
  </si>
  <si>
    <t>JEL.GRU.FI&lt;62 SOL.20M4.1KGSIA.40STBECZBL</t>
  </si>
  <si>
    <t>JEL.GRU.FI&lt;62 SOL.20M 4.1KGSIA.40STBECZ.</t>
  </si>
  <si>
    <t>UPPZ KAT.2-ODPAD ŻYWIEC PADŁY</t>
  </si>
  <si>
    <t>2914 - JĄDRO KAT.3</t>
  </si>
  <si>
    <t>UPPZ KAT.3-KOŚCI RURKI Z SZYN.PBX</t>
  </si>
  <si>
    <t>KOŚCI MIX OK600KGWOR OKT ST</t>
  </si>
  <si>
    <t>UPPZ KAT.3-HYDROLIZAT BIAŁKA ZWIERZĘCEGO</t>
  </si>
  <si>
    <t>2915 - HYDROLIZAT BIAŁKA ZWIERZĘCEGO KAT.3</t>
  </si>
  <si>
    <t>UPPZ KAT.3-ODPAD POZ.M-SO Z/K.PBX</t>
  </si>
  <si>
    <t>MIAZGA KOSTNA OK500KG OKT</t>
  </si>
  <si>
    <t>UPPZ KAT.2-ODPAD KONFISKATA</t>
  </si>
  <si>
    <t>MŚ.PÓŁBŁ.N/ODBŁ.USR</t>
  </si>
  <si>
    <t>PL MŚ.PÓŁBŁ.N/ODBŁ.CH HILT</t>
  </si>
  <si>
    <t>EU MŚ.PÓŁBŁ.N/ODBŁ.CH HILT</t>
  </si>
  <si>
    <t>PP MŚ.DWUG.N/OBR.CH HILT</t>
  </si>
  <si>
    <t>PL MŚ.BIODR.N/OBR.PBX ST1</t>
  </si>
  <si>
    <t>PL MŚ.BIODR.N/OBR.PBX ST2</t>
  </si>
  <si>
    <t>PL BOCZ.BL.A B/S.MC.PBX K4</t>
  </si>
  <si>
    <t>ELEM.SZYN.BANKIET.CH</t>
  </si>
  <si>
    <t>1006 - MŚ.DWUG.ODBŁ.TŁ.OKR.5MM</t>
  </si>
  <si>
    <t>PL ELEM.SZYN.BANKIET.PBX ST</t>
  </si>
  <si>
    <t>PL MŚ.PÓŁBŁ.N/ODBŁ.PBX1</t>
  </si>
  <si>
    <t>PL MŚ.PÓŁBŁ.N/ODBŁ.OK20KGWOR KT</t>
  </si>
  <si>
    <t>PL MŚ.PÓŁBŁ.N/ODBŁ.OK20KGWOR KT MR</t>
  </si>
  <si>
    <t>PL MŚ.PÓŁBŁ.N/ODBŁ.OK15KGWOR PJ ST</t>
  </si>
  <si>
    <t>PL MŚ.PÓŁBŁ.N/ODBŁ.OK20KG PB MR EŁ</t>
  </si>
  <si>
    <t>PL MŚ.PÓŁBŁ.N/ODBŁ.PBX SZ</t>
  </si>
  <si>
    <t>PL MŚ.PÓŁBŁ.N/ODBŁ.OK20KGWOR KT DMR</t>
  </si>
  <si>
    <t>PL MŚ.PÓŁBŁ.N/ODBŁ.RO</t>
  </si>
  <si>
    <t>PL MŚ.PÓŁBŁ.N/ODBŁ.PBX2</t>
  </si>
  <si>
    <t>EU MŚ.PÓŁBŁ.N/ODBŁ.CH1</t>
  </si>
  <si>
    <t>EU MŚ.PÓŁBŁ.N/ODBŁ.PBX1</t>
  </si>
  <si>
    <t>EU MŚ.PÓŁBŁ.N/ODBŁ.OK15KGWOR PJ ST</t>
  </si>
  <si>
    <t>EU MŚ.PÓŁBŁ.N/ODBŁ.OK20KG PB MR EŁ</t>
  </si>
  <si>
    <t>EU MŚ.PÓŁBŁ.N/ODBŁ.CH2</t>
  </si>
  <si>
    <t>EU MŚ.PÓŁBŁ.N/ODBŁ.PBX2</t>
  </si>
  <si>
    <t>PP MŚ.PÓŁBŁ.N/ODBŁ.OK15KGWOR PJ ST</t>
  </si>
  <si>
    <t>MŚ.PÓŁBŁ.N/ODBŁ.ROZP1</t>
  </si>
  <si>
    <t>MŚ.PÓŁBŁ.N/ODBŁ.ROZP2</t>
  </si>
  <si>
    <t>PL MŚ.PÓŁBŁ.N/ODBŁ.CIĘ.3CZ.CH</t>
  </si>
  <si>
    <t>MŚ.PÓŁBŁ.N/ODBŁ.CIĘ.3CZ.NB MR</t>
  </si>
  <si>
    <t>PL MŚ.PÓŁBŁ.N/ODBŁ.CIĘ.3CZ.PBX1</t>
  </si>
  <si>
    <t>MŚ.PÓŁBŁ.N/ODBŁ.CIĘ.3CZ.RO1</t>
  </si>
  <si>
    <t>MŚ.PÓŁBŁ.N/ODBŁ.CIĘ.3CZ.RO2</t>
  </si>
  <si>
    <t>PL MŚ.PÓŁBŁ.N/ODBŁ.CIĘ.3CZ.PBX2</t>
  </si>
  <si>
    <t>EU MŚ.PÓŁBŁ.N/ODBŁ.CIĘ.3CZ.CH</t>
  </si>
  <si>
    <t>PP MŚ.PÓŁBŁ.N/ODBŁ.CIĘ.3CZ.CH</t>
  </si>
  <si>
    <t>PP MŚ.PÓŁBŁ.N/ODBŁ.CIĘ.3CZ.PBX1</t>
  </si>
  <si>
    <t>PP MŚ.PÓŁBŁ.N/ODBŁ.CIĘ.3CZ.PBX2</t>
  </si>
  <si>
    <t>PL ŁOP.3D 1STVAC OK20KGKT MET CZ</t>
  </si>
  <si>
    <t>PL ŁOP.3D 1STVAC 4STKT PREM.SEL</t>
  </si>
  <si>
    <t>PL BOCZ.BL.B B/CZP.OK20KG NB MR K4</t>
  </si>
  <si>
    <t>1831AA - BOCZ.BLAT.B/CZ.PACH.</t>
  </si>
  <si>
    <t>PL MŚ.PÓŁŚC.N/OBR.CH HILT</t>
  </si>
  <si>
    <t>PL MŚ.PÓŁŚC.N/OBR.PBX ST1</t>
  </si>
  <si>
    <t>PL MŚ.PÓŁŚC.N/OBR.OK15KGWOR PJ ST</t>
  </si>
  <si>
    <t>PL MŚ.PÓŁŚC.N/OBR.PBX ST2</t>
  </si>
  <si>
    <t>EU MŚ.PÓŁŚC.N/OBR.CH HILT</t>
  </si>
  <si>
    <t>MŚ.PÓŁBŁ.N/ODBŁ.NB MR</t>
  </si>
  <si>
    <t>MŚ.PÓŁBŁ.N/ODBŁ.RO1</t>
  </si>
  <si>
    <t>MŚ.PÓŁBŁ.N/ODBŁ.RO2</t>
  </si>
  <si>
    <t>KK M-SO Z FIL.D3 PBX OP</t>
  </si>
  <si>
    <t>KK M-SO Z FIL.D6 PBX SU</t>
  </si>
  <si>
    <t>KK M-SO Z FIL.D6 PBX K3</t>
  </si>
  <si>
    <t>KK POL.15KG NB HAL MR OP</t>
  </si>
  <si>
    <t>KK UDO B/K/S.10KGWOR KT MR OP</t>
  </si>
  <si>
    <t>CZ KK UDO B/K/S.15KG PB MR OP</t>
  </si>
  <si>
    <t>KK M-SO Z NOGI D3 FOLPJ OK540KG HAL OP</t>
  </si>
  <si>
    <t>KK M-SO Z NOGI D3 PBX OP1</t>
  </si>
  <si>
    <t>KK NOGA B/K.PBX SU</t>
  </si>
  <si>
    <t>KK M-SO MIX CIE.D6 OK12KG PB MR ZAK</t>
  </si>
  <si>
    <t>KK PODUD.B/K.PBX SU</t>
  </si>
  <si>
    <t>CZ KK PODUD.B/K.PRZT.15KG PB HAL MR OP</t>
  </si>
  <si>
    <t>KK UDO B/K/S.PBX OP</t>
  </si>
  <si>
    <t>SK KK UDO B/K.15KG NB MR OP</t>
  </si>
  <si>
    <t>KK UDO B/K.OK15KGLUZ PJ HAL SU</t>
  </si>
  <si>
    <t>KK UDO B/K.PBX K3</t>
  </si>
  <si>
    <t>KK UDO B/K.PBX OP</t>
  </si>
  <si>
    <t>CZ KK UDO B/K.PBX OP</t>
  </si>
  <si>
    <t>SK KK UDO B/K.PBX OP</t>
  </si>
  <si>
    <t>KK UDO B/K.OK15KGLUZ PJ K3</t>
  </si>
  <si>
    <t>KK UDO B/K.PBX SU</t>
  </si>
  <si>
    <t>CZ KK UDO B/K.PRZT.15KG PB HAL MR OP</t>
  </si>
  <si>
    <t>KK NOGA B/K/S.OK15KGFOL PJ SU</t>
  </si>
  <si>
    <t>KK NOGA B/K/S.OK15KG PB TWH MR ZAK</t>
  </si>
  <si>
    <t>KK NOGA B/K.PBX K3</t>
  </si>
  <si>
    <t>LT KK NOGA B/K.15KG NB MR SU</t>
  </si>
  <si>
    <t>KK NOGA B/K.10KG PB MR OP</t>
  </si>
  <si>
    <t>KK UDO B/K/S.DCZ.PBX OP</t>
  </si>
  <si>
    <t>SUR.MIĘS.70/30 USR RO</t>
  </si>
  <si>
    <t>PP TRYMING 80/20 FI3 PEKL.1.5%</t>
  </si>
  <si>
    <t>***WT M-SO GOT.DO WYR.PODR.AS</t>
  </si>
  <si>
    <t>MASKI TŁ.Z/GŁ/S.PEKL.4%</t>
  </si>
  <si>
    <t>MASKI TŁ.Z/GŁ/S.PEKL.4% GOT.</t>
  </si>
  <si>
    <t>SUR.MIĘS.DROB.PEKL.1.5%</t>
  </si>
  <si>
    <t>***FARSZ NA KASZANKĘ JĘCZM.</t>
  </si>
  <si>
    <t>***KIEŁB.GRILL.BIAŁE BS BIED</t>
  </si>
  <si>
    <t>KABAN.DROB/WP.CHILLI FARSZ</t>
  </si>
  <si>
    <t>KABAN.DROB/WP.CLASS.FARSZ</t>
  </si>
  <si>
    <t>KABAN.DROB.FARSZ</t>
  </si>
  <si>
    <t>KABAN.DROB/WP.220G FARSZ</t>
  </si>
  <si>
    <t>SZYN.MOC.WĘDZ.AS</t>
  </si>
  <si>
    <t>SZYN.MOC.WĘDZ.BS</t>
  </si>
  <si>
    <t>SZYN.MOC.WĘDZ.1STVAC</t>
  </si>
  <si>
    <t>BOCZ.MOC.WĘDZ.AS</t>
  </si>
  <si>
    <t>BOCZ.MOC.WĘDZ.BS</t>
  </si>
  <si>
    <t>BOCZ.MOC.WĘDZ.OK400GVAC OK5KGKT R</t>
  </si>
  <si>
    <t>***BOCZ.MOC.WĘDZ.1/2SZTVAC OK5KGKT CON</t>
  </si>
  <si>
    <t>***BOCZ.MOC.WĘDZ.1/2STTRMOK15KGKT CON EX</t>
  </si>
  <si>
    <t>BOCZ.MOC.WĘDZ.1/2STVAC OK15KGKT MOR</t>
  </si>
  <si>
    <t>***BOCZ.CARSKI 1STVAC OK10KGKT MOR</t>
  </si>
  <si>
    <t>***BOCZ.WĘDZ.PARZ.EXT1/2STTRMOK10KGKTMOR</t>
  </si>
  <si>
    <t>***K.PODWAW.EXT.OK0.5KGVAC OK3KGKT MOR</t>
  </si>
  <si>
    <t>***K.PODWAWELSKA 520GVAC 5.2KGKT DE II</t>
  </si>
  <si>
    <t>KIEŁB.PODWAWEL.OK500GVAC 6KGKT LIDL</t>
  </si>
  <si>
    <t>***KIEŁB.ŚLĄSKA OK1.2KGMAP OK7.2KGKT EX</t>
  </si>
  <si>
    <t>***KIEŁB.ZWYCZAJNA OK1.2KGMAP 6KGKT ALDI</t>
  </si>
  <si>
    <t>***KIEŁB.CHILI/SER 300GMAP 20STKT LIDL</t>
  </si>
  <si>
    <t>***K.REGIONALNA OK1KGMAP 6KGKT BIED II</t>
  </si>
  <si>
    <t>KIEŁB.ŚLĄSKA 550GMAP 7STKT LIDL LV/EE</t>
  </si>
  <si>
    <t>***KIEŁB.CZOSNKOWA 400GVAC 4.8KGKT CON</t>
  </si>
  <si>
    <t>KIEŁB.SER/POMID.300GMAP BL</t>
  </si>
  <si>
    <t>4056489662402</t>
  </si>
  <si>
    <t>***ŚLĄZERKI 300GMAP BL</t>
  </si>
  <si>
    <t>4056489813835</t>
  </si>
  <si>
    <t>***KIEŁB.ŚLĄSKIE OK500GMAP OK5KGKT POLO</t>
  </si>
  <si>
    <t>ŚLĄZERKI 240GMAP 12STKT MOR EX</t>
  </si>
  <si>
    <t>KIEŁB.MIX 300GMAP 20STKT LIDL BG</t>
  </si>
  <si>
    <t>4052917743958</t>
  </si>
  <si>
    <t>KIEŁB.ZWYCZAJNA OK1.3KGMAP 7.8KGKT LIDL</t>
  </si>
  <si>
    <t>***KIEŁB.ZWYCZAJNA OK1KGMAP 6KGKT NETTO</t>
  </si>
  <si>
    <t>ŚLĄZERKI 300G AS</t>
  </si>
  <si>
    <t>ŚLĄZERKI 300G BS</t>
  </si>
  <si>
    <t>ŚLĄZERKI 300GMAP BL</t>
  </si>
  <si>
    <t>KIEŁB.CODZIENNA OK1.2KGMAP7.2KGKTLIDL LT</t>
  </si>
  <si>
    <t>***K.ŚLĄSKA MP 1.3KGMAP 6STKT LIDL RO</t>
  </si>
  <si>
    <t>KIEŁB.ŚLĄSKA MP 1.3KGMAP 6STKT LIDL SE</t>
  </si>
  <si>
    <t>KIEŁB.BIWAKOWA 700GMAP 7STKT</t>
  </si>
  <si>
    <t>***K.ŚLĄSKA WP/DR.OK1.2KGMAPOK7.2KGKTMOR</t>
  </si>
  <si>
    <t>KIEŁB.ŚLĄSKA OK1.3KGMAP OK7.8KGKT MOR</t>
  </si>
  <si>
    <t>KIEŁB.ŚLĄSKA 550GMAP 12STKT MOR EX</t>
  </si>
  <si>
    <t>WT KIEŁB.ŚLĄSKA WP/DR.KAW.AS FES MOR</t>
  </si>
  <si>
    <t>KIEŁB.PAR.WP.M.45% AS</t>
  </si>
  <si>
    <t>PA282 - WI KIEŁB.PAR.JWP32-34 M45</t>
  </si>
  <si>
    <t>KIEŁB.PAR.WP.M.45% BS</t>
  </si>
  <si>
    <t>KIEŁB.PAR.WP.M.45% OK900GMAPOK7.2KGKTMOR</t>
  </si>
  <si>
    <t>***SALCESON CZARNY LUZ OK8KGKT CON</t>
  </si>
  <si>
    <t>***KASZANKA JĘCZMIENNA AS</t>
  </si>
  <si>
    <t>***KASZANKA JECZMIENNA BS</t>
  </si>
  <si>
    <t>***KASZANKA TEŚCIOWEJ 600GMAP 6KGKT MOR</t>
  </si>
  <si>
    <t>***KASZANKA TEŚCIOWEJ 600GMAP 4.8KGKT</t>
  </si>
  <si>
    <t>***ŻEB.WĘDZ.PARZ.1/2STMAP OK4KGKT MOR</t>
  </si>
  <si>
    <t>ŻEB.PASKI WĘDZ.PARZ1/2STMAPOK5KGKTLIDLEE</t>
  </si>
  <si>
    <t>ŻEB.PASKI WĘDZ.PARZ1/2STMAPOK5KGKTLIDLLV</t>
  </si>
  <si>
    <t>WE282 - WI SCH.SZWAGRA PARZ.M85 1603</t>
  </si>
  <si>
    <t>SCH.OD SZWAGRA PARZ.BS</t>
  </si>
  <si>
    <t>SCH.OD SZWAG.PARZ.1/2STVAC OK6KGKT KRA</t>
  </si>
  <si>
    <t>***WĘDZ.KROTOSZYŃSKA OK500GVACOK4KGKTKRA</t>
  </si>
  <si>
    <t>KIEŁB.ŻYWIECKA 286GVAC 16STKT ROH</t>
  </si>
  <si>
    <t>5901529109616</t>
  </si>
  <si>
    <t>***POL.WĘDZ.O SM.TRUFLI 1STVACOK4KGKTKRA</t>
  </si>
  <si>
    <t>PS100 - MIX PRODUKTOWY</t>
  </si>
  <si>
    <t>KABAN.WP.95GMAP 16STKT KRA</t>
  </si>
  <si>
    <t>***KABAN.DROB/WP.95GMAP 8STKT KRA</t>
  </si>
  <si>
    <t>KABAN.DROB/WP.95GMAP 16STKT KRA</t>
  </si>
  <si>
    <t>***ZESTAW PROD.180ST STAND KRA</t>
  </si>
  <si>
    <t>***ZESTAW PROD.177ST STAND KRA</t>
  </si>
  <si>
    <t>ZESTAW PROD.198ST STAND KRA</t>
  </si>
  <si>
    <t>ZESTAW PROD.248ST STAND KRA II</t>
  </si>
  <si>
    <t>5901784165709</t>
  </si>
  <si>
    <t>ZESTAW PROD.182ST STAND KRA</t>
  </si>
  <si>
    <t>59901784165655</t>
  </si>
  <si>
    <t>ZESTAW PROD.176ST STAND KRA II</t>
  </si>
  <si>
    <t>5901784165723</t>
  </si>
  <si>
    <t>ZESTAW PROD.180ST STAND KRA III</t>
  </si>
  <si>
    <t>5901784165754</t>
  </si>
  <si>
    <t>ZESTAW PROD.160ST STAND KRA</t>
  </si>
  <si>
    <t>5901784165808</t>
  </si>
  <si>
    <t>ZESTAW PROD.180ST STAND KRA IV</t>
  </si>
  <si>
    <t>5901784165891</t>
  </si>
  <si>
    <t>ZESTAW PROD.223ST STAND KRA</t>
  </si>
  <si>
    <t>5901784165884</t>
  </si>
  <si>
    <t>***KABAN.WP.160GMAP 27STPJ KRA</t>
  </si>
  <si>
    <t>***KABAN.JALAPENO 95GMAP 8STKT KRA</t>
  </si>
  <si>
    <t>***KABAN.JALAPENO 95GMAP 25STPJ KRA</t>
  </si>
  <si>
    <t>***KABAN.JALAPENO 95GMAP 22STPJ KRA</t>
  </si>
  <si>
    <t>KABAN.JALAPENO NA KRAW.95GMAP 10STKT KRA</t>
  </si>
  <si>
    <t>KABAN.JALAPENO 95GMAP 16STKT KRA</t>
  </si>
  <si>
    <t>***KIEŁB.PODSUSZ.260GMAP 18STKT KRA</t>
  </si>
  <si>
    <t>***KIEŁB.PODSUSZ.260GMAP12STKT KRA EX II</t>
  </si>
  <si>
    <t>KIEŁB.ŻYWIECKA 230GVAC BL</t>
  </si>
  <si>
    <t>***KABAN.DROB/WP.250GMAP 39STPJ KRA</t>
  </si>
  <si>
    <t>***KABAN.SŁODKA PAPR.95GMAP 16STPJ KRA</t>
  </si>
  <si>
    <t>***KABAN.SŁODKA PAPR.95GMAP 8STKT KRA</t>
  </si>
  <si>
    <t>***KABAN.SŁODKA PAPR.95GMAP 20STPJ KRA</t>
  </si>
  <si>
    <t>KABAN.SŁODKA PAPR.95GMAP 16STKT KRA</t>
  </si>
  <si>
    <t>***KABAN.ZIEL.CEB.95GMAP 15STPJ KRA</t>
  </si>
  <si>
    <t>KABAN.ZIEL.CEB.95GMAP 16STKT KRA</t>
  </si>
  <si>
    <t>**KABAN.DROB/WP.Z/SER.95G MAP 15STPJ KRA</t>
  </si>
  <si>
    <t>***KABAN.DROB/WP.Z/SER.95GMAP 14STKT KRA</t>
  </si>
  <si>
    <t>***KABAN.DROB/WP.Z/SER.95GMAP 21STPJ KRA</t>
  </si>
  <si>
    <t>***KABAN.DROB/WP.+WP.95GMAP 37STPJ KRA</t>
  </si>
  <si>
    <t>***KABAN.DROB/WP.+WP.95GMAP 33STPJ KRA</t>
  </si>
  <si>
    <t>KABAN.Z/BEK.95GMAP 16STKT KRA</t>
  </si>
  <si>
    <t>***KABAN.DROB/WP.CHED.95GMAP 8STKT KRA</t>
  </si>
  <si>
    <t>KABAN.DROB/WP.CHED.95GMAP 16STKT KRA</t>
  </si>
  <si>
    <t>KABAN.DROB/WP.SALSA POMID95GMAP16STKTKRA</t>
  </si>
  <si>
    <t>***SZYN.ZAPIE.OK400GVAC OK5KGKT KRA</t>
  </si>
  <si>
    <t>***SZYN.ZAPIE.OK400GVAC 5KGKT KRA</t>
  </si>
  <si>
    <t>***BOCZ.ZAPIE.OK400GVAC OK5KGKT KRA</t>
  </si>
  <si>
    <t>***BOCZ.ZAPIE.OK400GVAC 5KGKT KRA</t>
  </si>
  <si>
    <t>***BOCZ.ZAPIE.GOLD OK400GVAC OK5KGKT KRA</t>
  </si>
  <si>
    <t>***SCH.ZAPIE.OK400GVAC OK5KGKT KRA</t>
  </si>
  <si>
    <t>***SCH.ZAPIE.OK400GVAC 5KGKT KRA</t>
  </si>
  <si>
    <t>KABAN.DROB/WP.220G AD</t>
  </si>
  <si>
    <t>KA143 - WI/KU KABAN.PRO13 M113</t>
  </si>
  <si>
    <t>KABAN.DROB/WP.220G BS</t>
  </si>
  <si>
    <t>KABAN.DROB/WP.220G AS</t>
  </si>
  <si>
    <t>KABAN.DROB/WP.220GMAP 10ST KT KRA</t>
  </si>
  <si>
    <t>KABAN.DROB/WP.220GMAP BL</t>
  </si>
  <si>
    <t>KABAN.DROB/WP.CLASS.AD</t>
  </si>
  <si>
    <t>KA144 - WI/KU KABAN.CLASS.PRO8 M116</t>
  </si>
  <si>
    <t>KABAN.DROB/WP.CLASS.BS</t>
  </si>
  <si>
    <t>KABAN.DROB/WP.CLASS.AS</t>
  </si>
  <si>
    <t>KABAN.DROB/WP.CLASS.85GMAP BL</t>
  </si>
  <si>
    <t>KABAN.DROB/WP.CHILLI AD</t>
  </si>
  <si>
    <t>KA145 - WI/KU KABAN.CHILLI PRO8 M116</t>
  </si>
  <si>
    <t>KABAN.DROB/WP.CHILLI BS</t>
  </si>
  <si>
    <t>KABAN.DROB/WP.CHILLI AS</t>
  </si>
  <si>
    <t>KABAN.DROB/WP.CHILLI 85GMAP BL</t>
  </si>
  <si>
    <t>KABAN.DROB.AD</t>
  </si>
  <si>
    <t>KA146 - KU KABAN.PRO8 M116</t>
  </si>
  <si>
    <t>KABAN.DROB.BS</t>
  </si>
  <si>
    <t>KABAN.DROB.AS</t>
  </si>
  <si>
    <t>KABAN.DROB.85GMAP BL</t>
  </si>
  <si>
    <t>KABAN.MIX 85GMAP 24STKT BER</t>
  </si>
  <si>
    <t>5901784165860</t>
  </si>
  <si>
    <t>***WT KIEŁB.WĘDZ.PARZ.OK15KG PB DMR</t>
  </si>
  <si>
    <t>PT101AS - PRÓBY TECH.MP</t>
  </si>
  <si>
    <t>PT101MR - PRÓBY TECH.MP</t>
  </si>
  <si>
    <t>PT101BS - PRÓBY TECH.MP</t>
  </si>
  <si>
    <t>PT100MR - PRÓBY TECH.MS</t>
  </si>
  <si>
    <t>PT100CH - PRÓBY TECH.MS</t>
  </si>
  <si>
    <t>PT101DM - PRÓBY TECH.MP</t>
  </si>
  <si>
    <t>PT100DM - PRÓBY TECH.MS</t>
  </si>
  <si>
    <t>PT101FA - PRÓBY TECH.MP</t>
  </si>
  <si>
    <t>PT101PM - PRÓBY TECH.MP</t>
  </si>
  <si>
    <t>PT101SL - PRÓBY TECH.MP</t>
  </si>
  <si>
    <t>PT101AD - PRÓBY TECH.MP</t>
  </si>
  <si>
    <t>PT101CH - PRÓBY TECH.MP</t>
  </si>
  <si>
    <t>PEKLOMEAT M450</t>
  </si>
  <si>
    <t>MIESZ.SMAK.KABANOS S2</t>
  </si>
  <si>
    <t>MIESZ.FUNK.AMCOSOL SUPER 50 NI NEW AN</t>
  </si>
  <si>
    <t>KARAGEN E407</t>
  </si>
  <si>
    <t>MIESZ.EURO EXTRA BERLINKI 127890</t>
  </si>
  <si>
    <t>MIESZ.SMAK.BERLINER EXTRA</t>
  </si>
  <si>
    <t>MIESZ.SMAK.KABAN.TEXAS 5 AE</t>
  </si>
  <si>
    <t>MIESZ.SMAK.POSYPKA GRABINA  E</t>
  </si>
  <si>
    <t>MIESZ.SMAK.SZYNKI AE</t>
  </si>
  <si>
    <t>SAL CRUP KR LIQUID</t>
  </si>
  <si>
    <t>MIESZ.SMAK.MIX DO KABANOSÓW B FB BC BDR</t>
  </si>
  <si>
    <t>MALTODEKSTRYNA N-150</t>
  </si>
  <si>
    <t>KAR.WS.315X252X222 5W DIS.GRAN.D</t>
  </si>
  <si>
    <t>KAR.WA.185X281X224 5W DIS.CZER.KRA D</t>
  </si>
  <si>
    <t>KAR.WA.316X249X222 5W DIS.GRAN.MOR D</t>
  </si>
  <si>
    <t>KAR.WS.292X254X150 3W BIA.D</t>
  </si>
  <si>
    <t>KAR.WS.580X380X155 5W TAC.DŁ.SZAR.</t>
  </si>
  <si>
    <t>KAR.WA.370X183X165 5W DIS.CZER.KRA D</t>
  </si>
  <si>
    <t>KAR.WA.374X178X164 3W SZAR.W</t>
  </si>
  <si>
    <t>ST.TAC.562X360X260 3W CZER.KRA</t>
  </si>
  <si>
    <t>ST.TAC.562X360X120 3W CZER.KRA</t>
  </si>
  <si>
    <t>KAR.WA.287X256X231 3W SZAR.W</t>
  </si>
  <si>
    <t>KAR.WA.286X250X231 3W GRAN.BER.D</t>
  </si>
  <si>
    <t>SEPARATOR 281X246X102 3W SZAR.</t>
  </si>
  <si>
    <t>ST.TOPER 392X292 3W CZER.KRA</t>
  </si>
  <si>
    <t>ST.COKÓŁ 386X386X397 3W CZER.KRA</t>
  </si>
  <si>
    <t>ST.TAC.360X360X270 5W CZER.KRA</t>
  </si>
  <si>
    <t>KAR.WA.282X250X188 5W DIS.CZER.KRA D</t>
  </si>
  <si>
    <t>ST.TOPER 580X356 3W GRAN.URODZINY NETTO</t>
  </si>
  <si>
    <t>KAR.WA.150X111X241 3W DIS.CZER.KRA C</t>
  </si>
  <si>
    <t>OS.KOL.FI17 NAT.</t>
  </si>
  <si>
    <t>OS.KOL.FI17 NATUR-LC</t>
  </si>
  <si>
    <t>CN.OS.NAT.JEL.WP.38/42 8/9-OD.PAS.88M</t>
  </si>
  <si>
    <t>CN.OS.NAT.JEL.WP.40/44 8/9-OD.PAS.88M</t>
  </si>
  <si>
    <t>***FOL.PA/EVOH/PE 180X444</t>
  </si>
  <si>
    <t>FOL.PET/PE/EVOH/PE 52X520 KABA.PARTY.KRA</t>
  </si>
  <si>
    <t>PAD.CEL.ZAMK.87X132 2500</t>
  </si>
  <si>
    <t>***FOL.PET/PE/EVOH/PE 59X520 MOR</t>
  </si>
  <si>
    <t>***FOL.PET/EVOH/PE57X62ŚLĄSKA91% MP KW</t>
  </si>
  <si>
    <t>***FOL.PETEVOHPEPEEL52X520KAB.Z SZYN180G</t>
  </si>
  <si>
    <t>FOL.PET/PE 57X420 MOR EX</t>
  </si>
  <si>
    <t>SIATKA 85/86/7 90CM BIA.</t>
  </si>
  <si>
    <t>ST.WKŁADKA 1018X48 3W BIA.</t>
  </si>
  <si>
    <t>FOL.PA/PE 250X424</t>
  </si>
  <si>
    <t>FOL.PA/PE 100X415</t>
  </si>
  <si>
    <t>FOL.PA/EVOH/PE 230X420</t>
  </si>
  <si>
    <t>FOL.PA/PE 120X626 JUMBO</t>
  </si>
  <si>
    <t>FOL.PET/PE 59X520 ŚLĄSKA Z/SZYN.550G KRA</t>
  </si>
  <si>
    <t>FOL.PET/PE/PEEL 54X420 FRANK.MOR</t>
  </si>
  <si>
    <t>FOL.PET/PE 59X520 ŚLĄZERKI 240G MOR</t>
  </si>
  <si>
    <t>FOL.PET/PE 59X520 ŚLĄSKA DP MOR</t>
  </si>
  <si>
    <t>FOL.PET/PE 59X620 ŚLĄSKA DP MOR</t>
  </si>
  <si>
    <t>FOL.PET/PE 55X520 ŚLĄSKA 550G DUL</t>
  </si>
  <si>
    <t>FOL.PET/EVOH/PE/PEEL59X520KAB.SZYN180GEX</t>
  </si>
  <si>
    <t>FOL.PET/PE 59X520 KABAN.250G KRA</t>
  </si>
  <si>
    <t>FOL.PET/EVOH/PE 42X300 KABAN.MISTRZ.220G</t>
  </si>
  <si>
    <t>FOL.PET/PE 55X520 KABAN.Z/BEK.220G DP</t>
  </si>
  <si>
    <t>FOL.PET/PE 55X520 ŚLĄSKA 68% KW</t>
  </si>
  <si>
    <t>FOL.PET/EVOH/PE 42X210 BER.CLASSIC</t>
  </si>
  <si>
    <t>FOL.PET/EVOH/PE 42X210 BER.KUR.</t>
  </si>
  <si>
    <t>FOL.PET/EVOH/PE 42X210 BER.CHILLI</t>
  </si>
  <si>
    <t>***ET.TRMP.60X80 BOCZ.KLAS.PRL KRA P</t>
  </si>
  <si>
    <t>ET.TRMP.80X80 FI76 S2045N BIA.U</t>
  </si>
  <si>
    <t>***ET.TRMP.70X90 BIZ.AUCH U</t>
  </si>
  <si>
    <t>***ET.TRMP.80X110 BIZ.WIK U</t>
  </si>
  <si>
    <t>***ET.TRMF.100X80 SZYN.VAC BIED PWE</t>
  </si>
  <si>
    <t>***ET.TRMP.80X110 BIZ.MOR U</t>
  </si>
  <si>
    <t>***ET.TRMP.80X120 K.ZWYKŁA ARO</t>
  </si>
  <si>
    <t>***ET.TRMP.60X80 FRANKI WP.BIAŁE 240G T</t>
  </si>
  <si>
    <t>***ET.TRMP.75X130 BIZ.SP U</t>
  </si>
  <si>
    <t>ET.TRMP.60X98 KABAN.CLASS.180G KRA T</t>
  </si>
  <si>
    <t>ET.TRMF.70X100 KARK.VAC LIDL PP T</t>
  </si>
  <si>
    <t>ET.TRMF.70X100 ŁOP.VAC LIDL PP T</t>
  </si>
  <si>
    <t>ET.OZDP.65X90 PODWAW.95% PIK P</t>
  </si>
  <si>
    <t>ET.TRMF.70X100 BOCZ.VAC LIDL PP T</t>
  </si>
  <si>
    <t>ET.TRMF.70X100 SCH.VAC LIDL PP T</t>
  </si>
  <si>
    <t>***ET.TRMP.70X100 SZYN.OD KRAK.KRA T</t>
  </si>
  <si>
    <t>***ET.TRMP.70X100 SCH.OD KRAK.KRA T</t>
  </si>
  <si>
    <t>***ET.TRMP.70X100 BOCZ.OD KRAK.KRA TWE</t>
  </si>
  <si>
    <t>***ET.OZDP.95X110 SWOJSKI STRAGAN P</t>
  </si>
  <si>
    <t>***ET.TRMP.75X110 BIZ.SWOJSKI STRAGAN T</t>
  </si>
  <si>
    <t>ET.TRMF.109X153 BIA.RH9X U</t>
  </si>
  <si>
    <t>ET.OZDP.80X95 ŚLĄSKA DP MOR PP P</t>
  </si>
  <si>
    <t>***ET.TRMP.72X102 ZWYCZAJNA MAP STS T</t>
  </si>
  <si>
    <t>***ET.TRMP.80X100 BIWAKOWA MAP ELIT GB T</t>
  </si>
  <si>
    <t>ET.TRMP.84X95 FI40 BIA.U</t>
  </si>
  <si>
    <t>ET.OZDF.60X72 K.CZOSN.MOR PL/GB P</t>
  </si>
  <si>
    <t>ET.TRMP.80X100 ŻEB.107% PIK LV T</t>
  </si>
  <si>
    <t>ET.OZDP.80X100 KIEŁB.CLASS.300G BG P</t>
  </si>
  <si>
    <t>ET.TRMP.75X90 KIEŁB.CLASS.300G BG T</t>
  </si>
  <si>
    <t>ET.OZDP.80X100 KIEŁB.SER/POMID.300G BG P</t>
  </si>
  <si>
    <t>ET.TRMP.75X90 KIEŁB.SER/POMID.300G BG T</t>
  </si>
  <si>
    <t>ET.TRMP.80X100 ŻEB.107% PIK EE T</t>
  </si>
  <si>
    <t>ET.OZDP.70X90 ZWYCZAJNA BAR P</t>
  </si>
  <si>
    <t>ET.TRMP.80X100 ZWYCZAJNA BAR T</t>
  </si>
  <si>
    <t>ET.OZDP.80X95 BIWAKOWA MOR.LOT.P</t>
  </si>
  <si>
    <t>ET.TRMP.80X80 FI76 BIA.U</t>
  </si>
  <si>
    <t>ET.OZDP.80X100 K.KRUCHA OD SZW.PIE.KRA P</t>
  </si>
  <si>
    <t>ET.TRMP.80X100 ŚLĄSKA 1.3KG DUL SE T</t>
  </si>
  <si>
    <t>ET.OZDP.70X80 ŚLĄSKA XXL MP MOR LOT.P</t>
  </si>
  <si>
    <t>ET.OZDP.80X110 ŚLĄSKA MP MOR LOT.P</t>
  </si>
  <si>
    <t>ET.TRMP.60X105 PODWAW.KRA T</t>
  </si>
  <si>
    <t>ET.TRMP.60X80 SCH.NA BIAŁO KRA  T</t>
  </si>
  <si>
    <t>ET.OZDP.70X80 SCH.NA BIAŁO KRA  P</t>
  </si>
  <si>
    <t>ET.OZDP.90X00 ŚLĄSKA 1.3KG DUL GB P</t>
  </si>
  <si>
    <t>ET.OZDP.70X80 ŚLĄSKA XXL MP P</t>
  </si>
  <si>
    <t>ET.TRMP.70X99 KABAN.EXT.CIEN.250G KRA T</t>
  </si>
  <si>
    <t>CHOINKA MET.(PRZEKAZ.NIEODPŁ.)-VAT POD.</t>
  </si>
  <si>
    <t>TAŚMA RĘCZ.48X60M</t>
  </si>
  <si>
    <t>TAŚMA RĘCZ.48X60M NIEB.</t>
  </si>
  <si>
    <t>TAŚMA RĘCZ.48X60M CZER.WE</t>
  </si>
  <si>
    <t>KALIBRACJA JELIT</t>
  </si>
  <si>
    <t>BERLINKA CHILLI</t>
  </si>
  <si>
    <t>BERLINKACHILLI</t>
  </si>
  <si>
    <t>BERLINKA KURCZAK</t>
  </si>
  <si>
    <t xml:space="preserve">KABANOSY MISTRZOWSKIE 220G </t>
  </si>
  <si>
    <t>Szynka 1.5D + Łop 1.5D</t>
  </si>
  <si>
    <t>Mieszanka wp. 5022</t>
  </si>
  <si>
    <t>Przyprawa</t>
  </si>
  <si>
    <t>Mieszanka drobiowa 5027</t>
  </si>
  <si>
    <t>SUMA [KG]</t>
  </si>
  <si>
    <t>Tryming 65/35 maski</t>
  </si>
  <si>
    <t>XXX</t>
  </si>
  <si>
    <t xml:space="preserve">Cena normatywna </t>
  </si>
  <si>
    <t>% tłuszczu</t>
  </si>
  <si>
    <t xml:space="preserve">Przyprawy </t>
  </si>
  <si>
    <t>Mięso 60/40 (5215) (2B)</t>
  </si>
  <si>
    <t>Mięso 80/20 (5214) (2A)</t>
  </si>
  <si>
    <t>Mięso wp kl. 4A 1,5% (5209)</t>
  </si>
  <si>
    <t>I dr. 90/10  czysta (5226)</t>
  </si>
  <si>
    <t>I dr. 90/10  50/50 (52264000)</t>
  </si>
  <si>
    <t>3A Peklowana 1,5%  (5202)</t>
  </si>
  <si>
    <t xml:space="preserve">Asortymenty drobiowe </t>
  </si>
  <si>
    <t>Żel Czerwony</t>
  </si>
  <si>
    <t>Żel Pomarańczowy</t>
  </si>
  <si>
    <t>Indyk</t>
  </si>
  <si>
    <t xml:space="preserve">Indyk </t>
  </si>
  <si>
    <t>21,0-24,0</t>
  </si>
  <si>
    <t xml:space="preserve">17,8 - 21,4 </t>
  </si>
  <si>
    <t>22,2-26,6</t>
  </si>
  <si>
    <t>26,0-29,0</t>
  </si>
  <si>
    <t>29,0-32,0</t>
  </si>
  <si>
    <t>12,3-14,76</t>
  </si>
  <si>
    <t>10,5-12,8</t>
  </si>
  <si>
    <t>13,0-15,7</t>
  </si>
  <si>
    <t>17,5-21,0</t>
  </si>
  <si>
    <t>28,0-30,0</t>
  </si>
  <si>
    <t>22,9-27,7</t>
  </si>
  <si>
    <t>25,4-30,4</t>
  </si>
  <si>
    <t>18,5-27,7</t>
  </si>
  <si>
    <t>19,8-23,7</t>
  </si>
  <si>
    <t>23,0-27,3</t>
  </si>
  <si>
    <t>15,7-18,9</t>
  </si>
  <si>
    <t>15,0-20,0</t>
  </si>
  <si>
    <t>20,5- 24,6</t>
  </si>
  <si>
    <t>24,0-28,8</t>
  </si>
  <si>
    <t>17,3-20,7</t>
  </si>
  <si>
    <t>17,6-21,1</t>
  </si>
  <si>
    <t>25,5-30,6</t>
  </si>
  <si>
    <t>19,7-23,6</t>
  </si>
  <si>
    <t>20,7-24,8</t>
  </si>
  <si>
    <t>13,6-18,7</t>
  </si>
  <si>
    <t>25,2-30,2</t>
  </si>
  <si>
    <t>12,6-17,6</t>
  </si>
  <si>
    <t>13,2-18,4</t>
  </si>
  <si>
    <t>20,16 – 24,2</t>
  </si>
  <si>
    <t>20,1-24,2</t>
  </si>
  <si>
    <t>22 – 26,5</t>
  </si>
  <si>
    <t>16,2-21,6</t>
  </si>
  <si>
    <t>18,4-22</t>
  </si>
  <si>
    <t>16,9-20,3</t>
  </si>
  <si>
    <t>18,8-22,5</t>
  </si>
  <si>
    <t>18,6-20,4</t>
  </si>
  <si>
    <t>19,5-23,4</t>
  </si>
  <si>
    <t>18,6-22,3</t>
  </si>
  <si>
    <t>22,9-27,5</t>
  </si>
  <si>
    <t>17,5 - 21</t>
  </si>
  <si>
    <t>17,6-20,2</t>
  </si>
  <si>
    <t>16,3-19,5</t>
  </si>
  <si>
    <t>15,1-18,2</t>
  </si>
  <si>
    <t>18,7-22,4</t>
  </si>
  <si>
    <t xml:space="preserve">16 - 19,1 </t>
  </si>
  <si>
    <t xml:space="preserve">16,8-20,1 </t>
  </si>
  <si>
    <t>7,4-8,8</t>
  </si>
  <si>
    <t>6,0-7,3</t>
  </si>
  <si>
    <t>4,7-6,2</t>
  </si>
  <si>
    <t>0,5-3,5</t>
  </si>
  <si>
    <t>Razem</t>
  </si>
  <si>
    <t>Peklowany MDOM</t>
  </si>
  <si>
    <t>Mrożony MDOM</t>
  </si>
  <si>
    <t>Mrożone m z (nogi bader)</t>
  </si>
  <si>
    <t>Świeże m z nogi bader</t>
  </si>
  <si>
    <t>Mięso z podudzia b/k św</t>
  </si>
  <si>
    <t>Mięso z podudzia z/s mr</t>
  </si>
  <si>
    <t>Udo b/k/s św</t>
  </si>
  <si>
    <t>Mięso z nogi b/k mr</t>
  </si>
  <si>
    <t>Mrożone skórki</t>
  </si>
  <si>
    <t>noga b/k/s mr</t>
  </si>
  <si>
    <t>Mięso z fileta świeże</t>
  </si>
  <si>
    <t>Mięso z fileta mrożone</t>
  </si>
  <si>
    <t>Mięso z podudzia b/k/s mr</t>
  </si>
  <si>
    <t>Mięso z podudzia b/k/s św</t>
  </si>
  <si>
    <t>Mięso z podudzia b/k mr</t>
  </si>
  <si>
    <t>Noga b/k św</t>
  </si>
  <si>
    <t>2206/2415</t>
  </si>
  <si>
    <t>`</t>
  </si>
  <si>
    <t xml:space="preserve">Przepona </t>
  </si>
  <si>
    <t>M-so kl. 4A</t>
  </si>
  <si>
    <t>2209/2222/2220</t>
  </si>
  <si>
    <t>Przepona</t>
  </si>
  <si>
    <t>M-so kl4 1.5%(5209)</t>
  </si>
  <si>
    <t>KIEŁB. KRUCHA KUR.250G</t>
  </si>
  <si>
    <t>Suma M-so</t>
  </si>
  <si>
    <t>Nor. % tłuszczu</t>
  </si>
  <si>
    <t>M-sp z IKA (Indyk)</t>
  </si>
  <si>
    <t>M-so z Fileta</t>
  </si>
  <si>
    <t>Noga z/s</t>
  </si>
  <si>
    <t>Podudzie z/s</t>
  </si>
  <si>
    <t>M-so z Nogi</t>
  </si>
  <si>
    <t>3015/5306</t>
  </si>
  <si>
    <t>Noga b/s</t>
  </si>
  <si>
    <t xml:space="preserve">Noga b/s </t>
  </si>
  <si>
    <t>Podudzie b/s</t>
  </si>
  <si>
    <t xml:space="preserve">Podudzie b/s </t>
  </si>
  <si>
    <t>Mięso wp kl. 4A 1,5% (52094000)PP</t>
  </si>
  <si>
    <t>6499/6599</t>
  </si>
  <si>
    <t>2203/2213/2225/2229/2211/2230/1268</t>
  </si>
  <si>
    <t>Sur. Mięs.70/30</t>
  </si>
  <si>
    <t>SZYNKA WYBORNA</t>
  </si>
  <si>
    <t>PL EL NA SZYNKE WYBORNA</t>
  </si>
  <si>
    <t>KK M-SO MIX  JASNE D6</t>
  </si>
  <si>
    <t xml:space="preserve">SPOZA GRUPY </t>
  </si>
  <si>
    <t>Udo b/k/s PRZET.</t>
  </si>
  <si>
    <t>INDYK</t>
  </si>
  <si>
    <t>KIEŁB.ŚLĄSKA Z PIER.KURCZAKA</t>
  </si>
  <si>
    <t>Noga b/k zakupowa mr (VINK)</t>
  </si>
  <si>
    <t>Udo</t>
  </si>
  <si>
    <t xml:space="preserve">MIX JASNY </t>
  </si>
  <si>
    <t>Biała strefa</t>
  </si>
  <si>
    <t xml:space="preserve">Biała Strefa </t>
  </si>
  <si>
    <t>Zap. Mięso</t>
  </si>
  <si>
    <t xml:space="preserve">Mięso Biała Strefa </t>
  </si>
  <si>
    <t xml:space="preserve">BIAŁA </t>
  </si>
  <si>
    <t xml:space="preserve">Czerwona </t>
  </si>
  <si>
    <t>PP 3A Peklowana 1,5%  (5202400)</t>
  </si>
  <si>
    <t>Zap.</t>
  </si>
  <si>
    <t>Drób peklowany1,5%</t>
  </si>
  <si>
    <t>3016/3011</t>
  </si>
  <si>
    <t>7930+7932</t>
  </si>
  <si>
    <t>7910+7911</t>
  </si>
  <si>
    <t>Kabanosy 1,5% (5306)</t>
  </si>
  <si>
    <t>Kiełbasy 1,5% (5306)</t>
  </si>
  <si>
    <t>Udo b/k  św</t>
  </si>
  <si>
    <t>Świeże  skórki</t>
  </si>
  <si>
    <t xml:space="preserve">   Udo b/k mr.</t>
  </si>
  <si>
    <t>Bader z fileta  mr</t>
  </si>
  <si>
    <t>Ind 3</t>
  </si>
  <si>
    <t>7031+7063+7040</t>
  </si>
  <si>
    <t>7032+7052+7041</t>
  </si>
  <si>
    <t>KABAN.Z INDYK 85g</t>
  </si>
  <si>
    <t>Ilość Ind 3</t>
  </si>
  <si>
    <t>Drób Kabanosy1,5%</t>
  </si>
  <si>
    <t>B</t>
  </si>
  <si>
    <t>P1</t>
  </si>
  <si>
    <t>P2</t>
  </si>
  <si>
    <t>Sterowanie</t>
  </si>
  <si>
    <t xml:space="preserve">SOPOCKA POLĘDWICA </t>
  </si>
  <si>
    <t>PP KIEŁB.PODWAW.AS 500G KRA</t>
  </si>
  <si>
    <t>PP KIEŁB.PODWAW.AS 450G KRA</t>
  </si>
  <si>
    <t>KIEŁBASA ŚLASKA MORLINY mięsność 67%</t>
  </si>
  <si>
    <t>KIEŁB.ŚLĄSKA WP/DR AS MOR</t>
  </si>
  <si>
    <t>KIEŁBASA GRILLOWA LIDL 104g</t>
  </si>
  <si>
    <t>KIEŁB.MIX 300GMAP 20STKT LIDL</t>
  </si>
  <si>
    <t>KIEŁBASA CZOSNKOWA LIDL</t>
  </si>
  <si>
    <t>ŚLĄZERKI MIX 240GMAP 16STKT MOR</t>
  </si>
  <si>
    <t>ŚLĄZERKI AS 240G</t>
  </si>
  <si>
    <t>KIEŁB.BIAŁE 300GMAP 20STKT LIDL</t>
  </si>
  <si>
    <t>KIEŁB.BIWAKOWA WP/DROB AS</t>
  </si>
  <si>
    <t>KIEŁB.BIWAKOWA WP/DROB. FES AS</t>
  </si>
  <si>
    <t>KIEŁB.ZWYCZAJNA/BIESIADNA FES AS</t>
  </si>
  <si>
    <t>ŚLĄZERKI AS 300G</t>
  </si>
  <si>
    <t>KIEŁB.TORUŃSKA BIEDRONKA</t>
  </si>
  <si>
    <t>MORTADELA MORLINY</t>
  </si>
  <si>
    <t>SERDELKI WP/DROB</t>
  </si>
  <si>
    <t>KIEŁB.PARÓWKOWA WP.</t>
  </si>
  <si>
    <t>KABANOSY KRAKUS JMP</t>
  </si>
  <si>
    <t>KABAN.EXP.KRA US</t>
  </si>
  <si>
    <t>STAND NETTO</t>
  </si>
  <si>
    <t>KABAN.DROB/WP 160G</t>
  </si>
  <si>
    <t>KABAN.DROB.-WP.250G AD KRA</t>
  </si>
  <si>
    <t>KABAN.Z/BEK.</t>
  </si>
  <si>
    <t>KIEŁB.SWOJSKA</t>
  </si>
  <si>
    <t>LUKSUSOWA PRZEKĄSKA  FI 8</t>
  </si>
  <si>
    <t>SNAKERSY PAPRYKA</t>
  </si>
  <si>
    <t>KIEŁB. KRUCHA PIECZONA</t>
  </si>
  <si>
    <t>BOCZEK KLASYCZNY WĘDZONY KRAKUS Kaufland</t>
  </si>
  <si>
    <t>Kaban.Berlinka Classic</t>
  </si>
  <si>
    <t>Kaban.Berlinka Classic 150G</t>
  </si>
  <si>
    <t>Kaban.Berlnka Chili</t>
  </si>
  <si>
    <t>Kaban.Berlinka Kurczak</t>
  </si>
  <si>
    <t>Kaban.Berlinka Mix</t>
  </si>
  <si>
    <t>Kaban.Berlinka Kurczak 150g</t>
  </si>
  <si>
    <t>Kaban. Z Indyk 85g</t>
  </si>
  <si>
    <t>Kaban.Mistrzowskie</t>
  </si>
  <si>
    <t>ŻEBERKA SCHABOWE</t>
  </si>
  <si>
    <t>ŻEB.PARZ.WĘDZ.BS</t>
  </si>
  <si>
    <t>IKA M-SO Z UDA D5 OK20KG NB MR IŁ</t>
  </si>
  <si>
    <t>Z boku</t>
  </si>
  <si>
    <t>Czerwona</t>
  </si>
  <si>
    <t>Różowa</t>
  </si>
  <si>
    <t xml:space="preserve"> Z KJ </t>
  </si>
  <si>
    <t>PONIEDZIAŁEK</t>
  </si>
  <si>
    <t xml:space="preserve">KK Filet </t>
  </si>
  <si>
    <t xml:space="preserve">KK Polędwiczka </t>
  </si>
  <si>
    <t>PP TRYM.WP.60/40 PBX ST1</t>
  </si>
  <si>
    <t>PEKLOSÓL 0.5-0.6%</t>
  </si>
  <si>
    <t>***JEL.CIEN.ODW.30/32 PAS.SOL.91.4MPĘCZ.</t>
  </si>
  <si>
    <t>JEL.CIEN.32/34 4-12 PAS.SOL.180M SIA.ST</t>
  </si>
  <si>
    <t>***JEL.CIEN.34/36 PAS.SOL.180M SIA.ST</t>
  </si>
  <si>
    <t>JEL.CIEN.36/38 4-12 PAS.SOL.180M SIA.ST</t>
  </si>
  <si>
    <t>JEL.CIEN.38/40 4-12 PAS.SOL.180M SIA.ST</t>
  </si>
  <si>
    <t>***JEL.CIEN.30/32 PAS.SOL.180M SIA.ST</t>
  </si>
  <si>
    <t>CN OS.NAT.JEL.WP.40/44 8/8-OD.PAS.</t>
  </si>
  <si>
    <t>OS.NAT.JEL.WP.36/38 12/+ 5/6-OD.PAS.</t>
  </si>
  <si>
    <t>OS.NAT.JEL.WP.35/38 7/+ 4/12-OD.PAS.</t>
  </si>
  <si>
    <t>OS.NAT.JEL.WP.35/38 12+ OD.PAS.</t>
  </si>
  <si>
    <t>OS.NAT.JEL.WP.37/41 4/+ 5/12-OD.PAS.</t>
  </si>
  <si>
    <t>OS.NAT.JEL.WP.34/37 12/+ 5/6-OD.PAS.</t>
  </si>
  <si>
    <t>JEL.CIEN.37/41 5-12 PAS.SOL.180M SIA.ST</t>
  </si>
  <si>
    <t>JEL.CIEN.32/34 12+ PAS.SOL.180M SIA.ST</t>
  </si>
  <si>
    <t>JEL.CIEN.36/38 12+ PAS.SOL.180M SIA.ST</t>
  </si>
  <si>
    <t>JEL.CIEN.38/40 12+ PAS.SOL.180M SIA.ST</t>
  </si>
  <si>
    <t>JEL.CIEN.34/37 +12 PAS.SOL.360M SIA.ST</t>
  </si>
  <si>
    <t>JEL.CIEN.37/41 +12 PAS.SOL.360M SIA.ST</t>
  </si>
  <si>
    <t>000003079747</t>
  </si>
  <si>
    <t>0003079747</t>
  </si>
  <si>
    <t>2024-03-19</t>
  </si>
  <si>
    <t>2024-04-02</t>
  </si>
  <si>
    <t>164084000100</t>
  </si>
  <si>
    <t>2022-04-21</t>
  </si>
  <si>
    <t>2023-10-13</t>
  </si>
  <si>
    <t>184084000100</t>
  </si>
  <si>
    <t>2022-05-05</t>
  </si>
  <si>
    <t>2023-10-27</t>
  </si>
  <si>
    <t>191084000100</t>
  </si>
  <si>
    <t>2022-05-09</t>
  </si>
  <si>
    <t>2023-10-31</t>
  </si>
  <si>
    <t>221084000100</t>
  </si>
  <si>
    <t>2022-05-30</t>
  </si>
  <si>
    <t>2023-11-21</t>
  </si>
  <si>
    <t>231084000100</t>
  </si>
  <si>
    <t>2022-06-06</t>
  </si>
  <si>
    <t>2023-11-28</t>
  </si>
  <si>
    <t>261084000100</t>
  </si>
  <si>
    <t>2022-06-27</t>
  </si>
  <si>
    <t>2023-12-19</t>
  </si>
  <si>
    <t>271084000100</t>
  </si>
  <si>
    <t>2022-07-04</t>
  </si>
  <si>
    <t>2023-12-26</t>
  </si>
  <si>
    <t>281084000100</t>
  </si>
  <si>
    <t>2022-07-11</t>
  </si>
  <si>
    <t>2024-01-02</t>
  </si>
  <si>
    <t>321084000100</t>
  </si>
  <si>
    <t>2022-08-08</t>
  </si>
  <si>
    <t>2024-01-30</t>
  </si>
  <si>
    <t>332084000100</t>
  </si>
  <si>
    <t>2022-08-16</t>
  </si>
  <si>
    <t>2024-02-07</t>
  </si>
  <si>
    <t>122084000200</t>
  </si>
  <si>
    <t>2023-03-21</t>
  </si>
  <si>
    <t>2024-09-11</t>
  </si>
  <si>
    <t>152084000200</t>
  </si>
  <si>
    <t>2022-04-12</t>
  </si>
  <si>
    <t>2023-10-04</t>
  </si>
  <si>
    <t>164084000200</t>
  </si>
  <si>
    <t>171084000200</t>
  </si>
  <si>
    <t>2022-04-25</t>
  </si>
  <si>
    <t>2023-10-17</t>
  </si>
  <si>
    <t>172084000200</t>
  </si>
  <si>
    <t>2022-04-26</t>
  </si>
  <si>
    <t>2023-10-18</t>
  </si>
  <si>
    <t>173084000200</t>
  </si>
  <si>
    <t>2022-04-27</t>
  </si>
  <si>
    <t>2023-10-19</t>
  </si>
  <si>
    <t>174084000200</t>
  </si>
  <si>
    <t>2022-04-28</t>
  </si>
  <si>
    <t>2023-10-20</t>
  </si>
  <si>
    <t>183084000200</t>
  </si>
  <si>
    <t>2022-05-04</t>
  </si>
  <si>
    <t>2023-10-26</t>
  </si>
  <si>
    <t>221084000200</t>
  </si>
  <si>
    <t>231084000200</t>
  </si>
  <si>
    <t>251084000200</t>
  </si>
  <si>
    <t>2022-06-20</t>
  </si>
  <si>
    <t>2023-12-12</t>
  </si>
  <si>
    <t>261084000200</t>
  </si>
  <si>
    <t>271084000200</t>
  </si>
  <si>
    <t>281084000200</t>
  </si>
  <si>
    <t>291084000200</t>
  </si>
  <si>
    <t>2022-07-18</t>
  </si>
  <si>
    <t>2024-01-09</t>
  </si>
  <si>
    <t>301084000200</t>
  </si>
  <si>
    <t>2022-07-25</t>
  </si>
  <si>
    <t>2024-01-16</t>
  </si>
  <si>
    <t>321084000200</t>
  </si>
  <si>
    <t>332084000200</t>
  </si>
  <si>
    <t>361084000200</t>
  </si>
  <si>
    <t>2022-09-05</t>
  </si>
  <si>
    <t>2024-02-27</t>
  </si>
  <si>
    <t>401084000200</t>
  </si>
  <si>
    <t>2022-10-03</t>
  </si>
  <si>
    <t>2024-03-26</t>
  </si>
  <si>
    <t>432084000200</t>
  </si>
  <si>
    <t>2022-10-25</t>
  </si>
  <si>
    <t>2024-04-17</t>
  </si>
  <si>
    <t>152084000300</t>
  </si>
  <si>
    <t>163084000300</t>
  </si>
  <si>
    <t>2022-04-20</t>
  </si>
  <si>
    <t>2023-10-12</t>
  </si>
  <si>
    <t>173084000300</t>
  </si>
  <si>
    <t>183084000300</t>
  </si>
  <si>
    <t>211084000300</t>
  </si>
  <si>
    <t>2022-05-23</t>
  </si>
  <si>
    <t>2023-11-14</t>
  </si>
  <si>
    <t>231084000300</t>
  </si>
  <si>
    <t>251084000300</t>
  </si>
  <si>
    <t>261084000300</t>
  </si>
  <si>
    <t>271084000300</t>
  </si>
  <si>
    <t>291084000300</t>
  </si>
  <si>
    <t>321084000300</t>
  </si>
  <si>
    <t>325072547200</t>
  </si>
  <si>
    <t>3250725472</t>
  </si>
  <si>
    <t>2023-08-11</t>
  </si>
  <si>
    <t>2025-02-01</t>
  </si>
  <si>
    <t>332084000300</t>
  </si>
  <si>
    <t>384484000300</t>
  </si>
  <si>
    <t>2022-09-22</t>
  </si>
  <si>
    <t>2024-03-15</t>
  </si>
  <si>
    <t>391084000300</t>
  </si>
  <si>
    <t>2022-09-26</t>
  </si>
  <si>
    <t>411084000300</t>
  </si>
  <si>
    <t>2022-10-10</t>
  </si>
  <si>
    <t>432084000300</t>
  </si>
  <si>
    <t>481084000300</t>
  </si>
  <si>
    <t>2022-11-28</t>
  </si>
  <si>
    <t>2024-05-21</t>
  </si>
  <si>
    <t>102060205514</t>
  </si>
  <si>
    <t>2023-03-07</t>
  </si>
  <si>
    <t>2024-08-28</t>
  </si>
  <si>
    <t>121060206283</t>
  </si>
  <si>
    <t>2023-03-20</t>
  </si>
  <si>
    <t>2024-09-10</t>
  </si>
  <si>
    <t>122060206589</t>
  </si>
  <si>
    <t>124060206719</t>
  </si>
  <si>
    <t>2023-03-23</t>
  </si>
  <si>
    <t>2024-09-13</t>
  </si>
  <si>
    <t>133060207043</t>
  </si>
  <si>
    <t>2023-03-29</t>
  </si>
  <si>
    <t>2024-09-19</t>
  </si>
  <si>
    <t>161060208313</t>
  </si>
  <si>
    <t>2023-04-17</t>
  </si>
  <si>
    <t>2024-10-08</t>
  </si>
  <si>
    <t>384460195834</t>
  </si>
  <si>
    <t>411060196974</t>
  </si>
  <si>
    <t>431060197686</t>
  </si>
  <si>
    <t>2022-10-24</t>
  </si>
  <si>
    <t>2024-04-16</t>
  </si>
  <si>
    <t>432060197750</t>
  </si>
  <si>
    <t>441060198232</t>
  </si>
  <si>
    <t>2022-10-31</t>
  </si>
  <si>
    <t>2024-04-23</t>
  </si>
  <si>
    <t>491060200189</t>
  </si>
  <si>
    <t>2022-12-05</t>
  </si>
  <si>
    <t>2024-05-28</t>
  </si>
  <si>
    <t>502060200506</t>
  </si>
  <si>
    <t>2022-12-13</t>
  </si>
  <si>
    <t>2024-06-05</t>
  </si>
  <si>
    <t>524060201426</t>
  </si>
  <si>
    <t>2022-12-29</t>
  </si>
  <si>
    <t>2024-06-21</t>
  </si>
  <si>
    <t>012060201904</t>
  </si>
  <si>
    <t>2023-01-03</t>
  </si>
  <si>
    <t>2024-06-26</t>
  </si>
  <si>
    <t>041060202790</t>
  </si>
  <si>
    <t>2023-01-23</t>
  </si>
  <si>
    <t>2024-07-16</t>
  </si>
  <si>
    <t>091060204920</t>
  </si>
  <si>
    <t>2023-02-27</t>
  </si>
  <si>
    <t>2024-08-20</t>
  </si>
  <si>
    <t>101060205431</t>
  </si>
  <si>
    <t>2023-03-06</t>
  </si>
  <si>
    <t>2024-08-27</t>
  </si>
  <si>
    <t>111060205696</t>
  </si>
  <si>
    <t>2023-03-13</t>
  </si>
  <si>
    <t>2024-09-03</t>
  </si>
  <si>
    <t>122060206590</t>
  </si>
  <si>
    <t>154060208200</t>
  </si>
  <si>
    <t>2023-04-13</t>
  </si>
  <si>
    <t>2024-10-04</t>
  </si>
  <si>
    <t>401060196397</t>
  </si>
  <si>
    <t>411060196975</t>
  </si>
  <si>
    <t>431060197687</t>
  </si>
  <si>
    <t>461060198871</t>
  </si>
  <si>
    <t>2022-11-14</t>
  </si>
  <si>
    <t>2024-05-07</t>
  </si>
  <si>
    <t>472060199375</t>
  </si>
  <si>
    <t>2022-11-22</t>
  </si>
  <si>
    <t>2024-05-15</t>
  </si>
  <si>
    <t>481060199618</t>
  </si>
  <si>
    <t>491060200190</t>
  </si>
  <si>
    <t>502060200507</t>
  </si>
  <si>
    <t>041060202791</t>
  </si>
  <si>
    <t>152060207873</t>
  </si>
  <si>
    <t>2023-04-11</t>
  </si>
  <si>
    <t>2024-10-02</t>
  </si>
  <si>
    <t>164060208542</t>
  </si>
  <si>
    <t>2023-04-20</t>
  </si>
  <si>
    <t>2024-10-11</t>
  </si>
  <si>
    <t>401060196398</t>
  </si>
  <si>
    <t>411060196976</t>
  </si>
  <si>
    <t>431060197688</t>
  </si>
  <si>
    <t>432060197752</t>
  </si>
  <si>
    <t>461060198872</t>
  </si>
  <si>
    <t>472060199376</t>
  </si>
  <si>
    <t>491060200191</t>
  </si>
  <si>
    <t>384460195833</t>
  </si>
  <si>
    <t>000001777522</t>
  </si>
  <si>
    <t>0001777522</t>
  </si>
  <si>
    <t>000001890911</t>
  </si>
  <si>
    <t>0001890911</t>
  </si>
  <si>
    <t>000001974616</t>
  </si>
  <si>
    <t>0001974616</t>
  </si>
  <si>
    <t>000001992002</t>
  </si>
  <si>
    <t>0001992002</t>
  </si>
  <si>
    <t>000001994487</t>
  </si>
  <si>
    <t>0001994487</t>
  </si>
  <si>
    <t>000002001478</t>
  </si>
  <si>
    <t>0002001478</t>
  </si>
  <si>
    <t>000002038178</t>
  </si>
  <si>
    <t>0002038178</t>
  </si>
  <si>
    <t>000002044173</t>
  </si>
  <si>
    <t>0002044173</t>
  </si>
  <si>
    <t>000002266181</t>
  </si>
  <si>
    <t>0002266181</t>
  </si>
  <si>
    <t>000002275511</t>
  </si>
  <si>
    <t>0002275511</t>
  </si>
  <si>
    <t>000002277872</t>
  </si>
  <si>
    <t>0002277872</t>
  </si>
  <si>
    <t>000002294528</t>
  </si>
  <si>
    <t>0002294528</t>
  </si>
  <si>
    <t>000002324709</t>
  </si>
  <si>
    <t>0002324709</t>
  </si>
  <si>
    <t>000002342775</t>
  </si>
  <si>
    <t>0002342775</t>
  </si>
  <si>
    <t>000002365127</t>
  </si>
  <si>
    <t>0002365127</t>
  </si>
  <si>
    <t>000002399171</t>
  </si>
  <si>
    <t>0002399171</t>
  </si>
  <si>
    <t>000002404067</t>
  </si>
  <si>
    <t>0002404067</t>
  </si>
  <si>
    <t>000002418289</t>
  </si>
  <si>
    <t>0002418289</t>
  </si>
  <si>
    <t>000002448164</t>
  </si>
  <si>
    <t>0002448164</t>
  </si>
  <si>
    <t>000002456528</t>
  </si>
  <si>
    <t>0002456528</t>
  </si>
  <si>
    <t>000002472509</t>
  </si>
  <si>
    <t>0002472509</t>
  </si>
  <si>
    <t>000002478417</t>
  </si>
  <si>
    <t>0002478417</t>
  </si>
  <si>
    <t>000002486139</t>
  </si>
  <si>
    <t>0002486139</t>
  </si>
  <si>
    <t>000002489285</t>
  </si>
  <si>
    <t>0002489285</t>
  </si>
  <si>
    <t>000002493387</t>
  </si>
  <si>
    <t>0002493387</t>
  </si>
  <si>
    <t>000002495463</t>
  </si>
  <si>
    <t>0002495463</t>
  </si>
  <si>
    <t>000002501109</t>
  </si>
  <si>
    <t>0002501109</t>
  </si>
  <si>
    <t>000002504435</t>
  </si>
  <si>
    <t>0002504435</t>
  </si>
  <si>
    <t>000002505046</t>
  </si>
  <si>
    <t>0002505046</t>
  </si>
  <si>
    <t>000002509934</t>
  </si>
  <si>
    <t>0002509934</t>
  </si>
  <si>
    <t>000002512705</t>
  </si>
  <si>
    <t>0002512705</t>
  </si>
  <si>
    <t>000002516758</t>
  </si>
  <si>
    <t>0002516758</t>
  </si>
  <si>
    <t>000002519954</t>
  </si>
  <si>
    <t>0002519954</t>
  </si>
  <si>
    <t>000002521707</t>
  </si>
  <si>
    <t>0002521707</t>
  </si>
  <si>
    <t>000002525154</t>
  </si>
  <si>
    <t>0002525154</t>
  </si>
  <si>
    <t>000002525942</t>
  </si>
  <si>
    <t>0002525942</t>
  </si>
  <si>
    <t>000002527671</t>
  </si>
  <si>
    <t>0002527671</t>
  </si>
  <si>
    <t>000002531760</t>
  </si>
  <si>
    <t>0002531760</t>
  </si>
  <si>
    <t>000002532434</t>
  </si>
  <si>
    <t>0002532434</t>
  </si>
  <si>
    <t>000002533370</t>
  </si>
  <si>
    <t>0002533370</t>
  </si>
  <si>
    <t>000002537246</t>
  </si>
  <si>
    <t>0002537246</t>
  </si>
  <si>
    <t>000002541919</t>
  </si>
  <si>
    <t>0002541919</t>
  </si>
  <si>
    <t>000002547360</t>
  </si>
  <si>
    <t>0002547360</t>
  </si>
  <si>
    <t>000002547597</t>
  </si>
  <si>
    <t>0002547597</t>
  </si>
  <si>
    <t>000002550224</t>
  </si>
  <si>
    <t>0002550224</t>
  </si>
  <si>
    <t>000002550948</t>
  </si>
  <si>
    <t>0002550948</t>
  </si>
  <si>
    <t>000002554031</t>
  </si>
  <si>
    <t>0002554031</t>
  </si>
  <si>
    <t>000002555049</t>
  </si>
  <si>
    <t>0002555049</t>
  </si>
  <si>
    <t>000002556399</t>
  </si>
  <si>
    <t>0002556399</t>
  </si>
  <si>
    <t>000002565110</t>
  </si>
  <si>
    <t>0002565110</t>
  </si>
  <si>
    <t>000002581110</t>
  </si>
  <si>
    <t>0002581110</t>
  </si>
  <si>
    <t>000002593648</t>
  </si>
  <si>
    <t>0002593648</t>
  </si>
  <si>
    <t>000002598230</t>
  </si>
  <si>
    <t>0002598230</t>
  </si>
  <si>
    <t>000002601381</t>
  </si>
  <si>
    <t>0002601381</t>
  </si>
  <si>
    <t>000002606020</t>
  </si>
  <si>
    <t>0002606020</t>
  </si>
  <si>
    <t>000002607974</t>
  </si>
  <si>
    <t>0002607974</t>
  </si>
  <si>
    <t>000002608420</t>
  </si>
  <si>
    <t>0002608420</t>
  </si>
  <si>
    <t>000002608421</t>
  </si>
  <si>
    <t>0002608421</t>
  </si>
  <si>
    <t>000002612755</t>
  </si>
  <si>
    <t>0002612755</t>
  </si>
  <si>
    <t>000002618804</t>
  </si>
  <si>
    <t>0002618804</t>
  </si>
  <si>
    <t>000002623245</t>
  </si>
  <si>
    <t>0002623245</t>
  </si>
  <si>
    <t>000002624342</t>
  </si>
  <si>
    <t>0002624342</t>
  </si>
  <si>
    <t>000002630435</t>
  </si>
  <si>
    <t>0002630435</t>
  </si>
  <si>
    <t>000002632892</t>
  </si>
  <si>
    <t>0002632892</t>
  </si>
  <si>
    <t>000002632895</t>
  </si>
  <si>
    <t>0002632895</t>
  </si>
  <si>
    <t>000002635203</t>
  </si>
  <si>
    <t>0002635203</t>
  </si>
  <si>
    <t>000002646190</t>
  </si>
  <si>
    <t>0002646190</t>
  </si>
  <si>
    <t>000002647152</t>
  </si>
  <si>
    <t>0002647152</t>
  </si>
  <si>
    <t>000002648734</t>
  </si>
  <si>
    <t>0002648734</t>
  </si>
  <si>
    <t>000002671417</t>
  </si>
  <si>
    <t>0002671417</t>
  </si>
  <si>
    <t>000002671421</t>
  </si>
  <si>
    <t>0002671421</t>
  </si>
  <si>
    <t>000002673134</t>
  </si>
  <si>
    <t>0002673134</t>
  </si>
  <si>
    <t>000002676373</t>
  </si>
  <si>
    <t>0002676373</t>
  </si>
  <si>
    <t>000002680369</t>
  </si>
  <si>
    <t>0002680369</t>
  </si>
  <si>
    <t>000002683570</t>
  </si>
  <si>
    <t>0002683570</t>
  </si>
  <si>
    <t>000002685622</t>
  </si>
  <si>
    <t>0002685622</t>
  </si>
  <si>
    <t>000002714653</t>
  </si>
  <si>
    <t>0002714653</t>
  </si>
  <si>
    <t>000002724514</t>
  </si>
  <si>
    <t>0002724514</t>
  </si>
  <si>
    <t>000002734898</t>
  </si>
  <si>
    <t>0002734898</t>
  </si>
  <si>
    <t>000002737999</t>
  </si>
  <si>
    <t>0002737999</t>
  </si>
  <si>
    <t>000002743755</t>
  </si>
  <si>
    <t>0002743755</t>
  </si>
  <si>
    <t>000002745858</t>
  </si>
  <si>
    <t>0002745858</t>
  </si>
  <si>
    <t>000002759950</t>
  </si>
  <si>
    <t>0002759950</t>
  </si>
  <si>
    <t>000002759954</t>
  </si>
  <si>
    <t>0002759954</t>
  </si>
  <si>
    <t>000002791996</t>
  </si>
  <si>
    <t>0002791996</t>
  </si>
  <si>
    <t>000002796259</t>
  </si>
  <si>
    <t>0002796259</t>
  </si>
  <si>
    <t>000002808908</t>
  </si>
  <si>
    <t>0002808908</t>
  </si>
  <si>
    <t>000002809377</t>
  </si>
  <si>
    <t>0002809377</t>
  </si>
  <si>
    <t>000002816185</t>
  </si>
  <si>
    <t>0002816185</t>
  </si>
  <si>
    <t>000002826379</t>
  </si>
  <si>
    <t>0002826379</t>
  </si>
  <si>
    <t>000002831243</t>
  </si>
  <si>
    <t>0002831243</t>
  </si>
  <si>
    <t>000002838998</t>
  </si>
  <si>
    <t>0002838998</t>
  </si>
  <si>
    <t>000002844440</t>
  </si>
  <si>
    <t>0002844440</t>
  </si>
  <si>
    <t>000002846457</t>
  </si>
  <si>
    <t>0002846457</t>
  </si>
  <si>
    <t>000002850709</t>
  </si>
  <si>
    <t>0002850709</t>
  </si>
  <si>
    <t>000002860427</t>
  </si>
  <si>
    <t>0002860427</t>
  </si>
  <si>
    <t>000002862134</t>
  </si>
  <si>
    <t>0002862134</t>
  </si>
  <si>
    <t>000002882056</t>
  </si>
  <si>
    <t>0002882056</t>
  </si>
  <si>
    <t>000002898365</t>
  </si>
  <si>
    <t>0002898365</t>
  </si>
  <si>
    <t>000002904325</t>
  </si>
  <si>
    <t>0002904325</t>
  </si>
  <si>
    <t>000002906289</t>
  </si>
  <si>
    <t>0002906289</t>
  </si>
  <si>
    <t>000002924851</t>
  </si>
  <si>
    <t>0002924851</t>
  </si>
  <si>
    <t>000002927603</t>
  </si>
  <si>
    <t>0002927603</t>
  </si>
  <si>
    <t>000003066228</t>
  </si>
  <si>
    <t>0003066228</t>
  </si>
  <si>
    <t>000003067953</t>
  </si>
  <si>
    <t>0003067953</t>
  </si>
  <si>
    <t>000002664966</t>
  </si>
  <si>
    <t>0002664966</t>
  </si>
  <si>
    <t>000002546633</t>
  </si>
  <si>
    <t>0002546633</t>
  </si>
  <si>
    <t>000002546637</t>
  </si>
  <si>
    <t>0002546637</t>
  </si>
  <si>
    <t>000002610354</t>
  </si>
  <si>
    <t>0002610354</t>
  </si>
  <si>
    <t>000002611237</t>
  </si>
  <si>
    <t>0002611237</t>
  </si>
  <si>
    <t>000002546648</t>
  </si>
  <si>
    <t>0002546648</t>
  </si>
  <si>
    <t>000002676236</t>
  </si>
  <si>
    <t>0002676236</t>
  </si>
  <si>
    <t>000002746975</t>
  </si>
  <si>
    <t>0002746975</t>
  </si>
  <si>
    <t>000002828313</t>
  </si>
  <si>
    <t>0002828313</t>
  </si>
  <si>
    <t>000002842454</t>
  </si>
  <si>
    <t>0002842454</t>
  </si>
  <si>
    <t>000002842455</t>
  </si>
  <si>
    <t>0002842455</t>
  </si>
  <si>
    <t>000002885380</t>
  </si>
  <si>
    <t>0002885380</t>
  </si>
  <si>
    <t>000002901323</t>
  </si>
  <si>
    <t>0002901323</t>
  </si>
  <si>
    <t>000002901327</t>
  </si>
  <si>
    <t>0002901327</t>
  </si>
  <si>
    <t>000002912692</t>
  </si>
  <si>
    <t>0002912692</t>
  </si>
  <si>
    <t>000002917185</t>
  </si>
  <si>
    <t>0002917185</t>
  </si>
  <si>
    <t>000002961659</t>
  </si>
  <si>
    <t>0002961659</t>
  </si>
  <si>
    <t>000002978372</t>
  </si>
  <si>
    <t>0002978372</t>
  </si>
  <si>
    <t>000002978374</t>
  </si>
  <si>
    <t>0002978374</t>
  </si>
  <si>
    <t>000003035856</t>
  </si>
  <si>
    <t>0003035856</t>
  </si>
  <si>
    <t>000002587290</t>
  </si>
  <si>
    <t>0002587290</t>
  </si>
  <si>
    <t>000002937069</t>
  </si>
  <si>
    <t>0002937069</t>
  </si>
  <si>
    <t>000002962477</t>
  </si>
  <si>
    <t>0002962477</t>
  </si>
  <si>
    <t>000003048742</t>
  </si>
  <si>
    <t>0003048742</t>
  </si>
  <si>
    <t>000002877987</t>
  </si>
  <si>
    <t>0002877987</t>
  </si>
  <si>
    <t>000002937071</t>
  </si>
  <si>
    <t>0002937071</t>
  </si>
  <si>
    <t>000002962479</t>
  </si>
  <si>
    <t>0002962479</t>
  </si>
  <si>
    <t>000003073328</t>
  </si>
  <si>
    <t>0003073328</t>
  </si>
  <si>
    <t>000003025105</t>
  </si>
  <si>
    <t>0003025105</t>
  </si>
  <si>
    <t>000003048743</t>
  </si>
  <si>
    <t>0003048743</t>
  </si>
  <si>
    <t>000003032660</t>
  </si>
  <si>
    <t>0003032660</t>
  </si>
  <si>
    <t>000003032661</t>
  </si>
  <si>
    <t>0003032661</t>
  </si>
  <si>
    <t>000003053399</t>
  </si>
  <si>
    <t>0003053399</t>
  </si>
  <si>
    <t>000003053398</t>
  </si>
  <si>
    <t>0003053398</t>
  </si>
  <si>
    <t>003250736662</t>
  </si>
  <si>
    <t>3250736662</t>
  </si>
  <si>
    <t>2022-12-28</t>
  </si>
  <si>
    <t>2024-06-20</t>
  </si>
  <si>
    <t>003250738391</t>
  </si>
  <si>
    <t>3250738391</t>
  </si>
  <si>
    <t>003250741108</t>
  </si>
  <si>
    <t>3250741108</t>
  </si>
  <si>
    <t>003250746676</t>
  </si>
  <si>
    <t>3250746676</t>
  </si>
  <si>
    <t>003250758157</t>
  </si>
  <si>
    <t>3250758157</t>
  </si>
  <si>
    <t>2023-12-27</t>
  </si>
  <si>
    <t>2025-06-19</t>
  </si>
  <si>
    <t>003250765701</t>
  </si>
  <si>
    <t>3250765701</t>
  </si>
  <si>
    <t>003250765707</t>
  </si>
  <si>
    <t>3250765707</t>
  </si>
  <si>
    <t>003250768190</t>
  </si>
  <si>
    <t>3250768190</t>
  </si>
  <si>
    <t>003250768465</t>
  </si>
  <si>
    <t>3250768465</t>
  </si>
  <si>
    <t>000003072343</t>
  </si>
  <si>
    <t>0003072343</t>
  </si>
  <si>
    <t>000002566443</t>
  </si>
  <si>
    <t>0002566443</t>
  </si>
  <si>
    <t>2023-12-30</t>
  </si>
  <si>
    <t>191084000200</t>
  </si>
  <si>
    <t>201084000200</t>
  </si>
  <si>
    <t>2022-05-16</t>
  </si>
  <si>
    <t>2023-11-07</t>
  </si>
  <si>
    <t>241084000200</t>
  </si>
  <si>
    <t>2022-06-13</t>
  </si>
  <si>
    <t>2023-12-05</t>
  </si>
  <si>
    <t>301084000300</t>
  </si>
  <si>
    <t>000002663913</t>
  </si>
  <si>
    <t>0002663913</t>
  </si>
  <si>
    <t>000002676229</t>
  </si>
  <si>
    <t>0002676229</t>
  </si>
  <si>
    <t>000002746978</t>
  </si>
  <si>
    <t>0002746978</t>
  </si>
  <si>
    <t>000002761853</t>
  </si>
  <si>
    <t>0002761853</t>
  </si>
  <si>
    <t>000002761855</t>
  </si>
  <si>
    <t>0002761855</t>
  </si>
  <si>
    <t>000002768311</t>
  </si>
  <si>
    <t>0002768311</t>
  </si>
  <si>
    <t>000002770276</t>
  </si>
  <si>
    <t>0002770276</t>
  </si>
  <si>
    <t>000002770995</t>
  </si>
  <si>
    <t>0002770995</t>
  </si>
  <si>
    <t>000002811338</t>
  </si>
  <si>
    <t>0002811338</t>
  </si>
  <si>
    <t>000002811341</t>
  </si>
  <si>
    <t>0002811341</t>
  </si>
  <si>
    <t>000002828315</t>
  </si>
  <si>
    <t>0002828315</t>
  </si>
  <si>
    <t>000002861567</t>
  </si>
  <si>
    <t>0002861567</t>
  </si>
  <si>
    <t>000002861568</t>
  </si>
  <si>
    <t>0002861568</t>
  </si>
  <si>
    <t>000002871937</t>
  </si>
  <si>
    <t>0002871937</t>
  </si>
  <si>
    <t>000002912694</t>
  </si>
  <si>
    <t>0002912694</t>
  </si>
  <si>
    <t>000002917187</t>
  </si>
  <si>
    <t>0002917187</t>
  </si>
  <si>
    <t>000002932979</t>
  </si>
  <si>
    <t>0002932979</t>
  </si>
  <si>
    <t>000002937127</t>
  </si>
  <si>
    <t>0002937127</t>
  </si>
  <si>
    <t>000002944728</t>
  </si>
  <si>
    <t>0002944728</t>
  </si>
  <si>
    <t>000002944729</t>
  </si>
  <si>
    <t>0002944729</t>
  </si>
  <si>
    <t>000002958079</t>
  </si>
  <si>
    <t>0002958079</t>
  </si>
  <si>
    <t>000002747132</t>
  </si>
  <si>
    <t>0002747132</t>
  </si>
  <si>
    <t>000002747134</t>
  </si>
  <si>
    <t>0002747134</t>
  </si>
  <si>
    <t>000002590926</t>
  </si>
  <si>
    <t>0002590926</t>
  </si>
  <si>
    <t>003250744491</t>
  </si>
  <si>
    <t>3250744491</t>
  </si>
  <si>
    <t>003250760143</t>
  </si>
  <si>
    <t>3250760143</t>
  </si>
  <si>
    <t>003250742663</t>
  </si>
  <si>
    <t>3250742663</t>
  </si>
  <si>
    <t>003250743473</t>
  </si>
  <si>
    <t>3250743473</t>
  </si>
  <si>
    <t>003250744492</t>
  </si>
  <si>
    <t>3250744492</t>
  </si>
  <si>
    <t>003250752514</t>
  </si>
  <si>
    <t>3250752514</t>
  </si>
  <si>
    <t>003250752799</t>
  </si>
  <si>
    <t>3250752799</t>
  </si>
  <si>
    <t>003250754878</t>
  </si>
  <si>
    <t>3250754878</t>
  </si>
  <si>
    <t>003250755917</t>
  </si>
  <si>
    <t>3250755917</t>
  </si>
  <si>
    <t>003250758177</t>
  </si>
  <si>
    <t>3250758177</t>
  </si>
  <si>
    <t>003250759489</t>
  </si>
  <si>
    <t>3250759489</t>
  </si>
  <si>
    <t>003250760475</t>
  </si>
  <si>
    <t>3250760475</t>
  </si>
  <si>
    <t>003250765703</t>
  </si>
  <si>
    <t>3250765703</t>
  </si>
  <si>
    <t>003250770401</t>
  </si>
  <si>
    <t>3250770401</t>
  </si>
  <si>
    <t>003250773787</t>
  </si>
  <si>
    <t>3250773787</t>
  </si>
  <si>
    <t>003250775641</t>
  </si>
  <si>
    <t>3250775641</t>
  </si>
  <si>
    <t>ZAKUPY Z K4 (1200145)</t>
  </si>
  <si>
    <t>tydz. 14</t>
  </si>
  <si>
    <t>Indeks K4</t>
  </si>
  <si>
    <t>pon.</t>
  </si>
  <si>
    <t>wt.</t>
  </si>
  <si>
    <t>śr.</t>
  </si>
  <si>
    <t>czw.</t>
  </si>
  <si>
    <t>pt.</t>
  </si>
  <si>
    <t>sb.</t>
  </si>
  <si>
    <t>pon. T15</t>
  </si>
  <si>
    <t xml:space="preserve">Dostawa </t>
  </si>
  <si>
    <t>ZAKUPY Z ZEWNATĄRZ</t>
  </si>
  <si>
    <t>Nazwa dostawcy</t>
  </si>
  <si>
    <t>Numer dostawcy</t>
  </si>
  <si>
    <t>TRYMING  8/0/20 ŚWIEŻY</t>
  </si>
  <si>
    <t>Westcrown</t>
  </si>
  <si>
    <t>ZM WIERZEJKI</t>
  </si>
  <si>
    <t>TRIMMING 80/20 5mr</t>
  </si>
  <si>
    <t>Mirkar</t>
  </si>
  <si>
    <t>TRIMMING 80/20 mr</t>
  </si>
  <si>
    <t>Carne Fleisch</t>
  </si>
  <si>
    <t>Trimming 80/20 mr</t>
  </si>
  <si>
    <t xml:space="preserve">Getmor </t>
  </si>
  <si>
    <t xml:space="preserve">trimming 80/20 z szynki mr </t>
  </si>
  <si>
    <t>Carnis</t>
  </si>
  <si>
    <t>DOSTAWA Z HUBERA NA 02.04.2024</t>
  </si>
  <si>
    <t>EL. SZYN.KLASYCZNA OK20KG NB DMR</t>
  </si>
  <si>
    <t>PL BOCZ.BL A B/S OK20KG NB DMR</t>
  </si>
  <si>
    <t>KK UDOB/K.15KG NB MR OP</t>
  </si>
  <si>
    <t>suma</t>
  </si>
  <si>
    <t>ROZMROŻONE NA 03.04.2024</t>
  </si>
  <si>
    <t>PP TRYM.WP.60/40 OK15KG NB DMR</t>
  </si>
  <si>
    <t>EU M-SO WP.DR.KL2A Z ŁOP.NB DMR</t>
  </si>
  <si>
    <t>KK UDO B/K 15KG NB MR OP</t>
  </si>
  <si>
    <t>KK PODUD. B/K OK15KG NB MR OP</t>
  </si>
  <si>
    <t>Indyk (Iława)</t>
  </si>
  <si>
    <t>Udo b/k/s mr</t>
  </si>
  <si>
    <t>PL MŚ.SZYN.JAS.PBX ST1</t>
  </si>
  <si>
    <t>2024-04-08</t>
  </si>
  <si>
    <t>2024-04-06</t>
  </si>
  <si>
    <t>2024-04-05</t>
  </si>
  <si>
    <t>2024-04-04</t>
  </si>
  <si>
    <t>Elementy na przetwórstwo</t>
  </si>
  <si>
    <t>I zm</t>
  </si>
  <si>
    <t>indeks rozbiorowy</t>
  </si>
  <si>
    <t>peklowniczy</t>
  </si>
  <si>
    <t>LINIA SZYNKOWA</t>
  </si>
  <si>
    <t>LINIA ŁOPATKOWA</t>
  </si>
  <si>
    <t>LINIA KARKOWA</t>
  </si>
  <si>
    <t>LINIA SCHABOWA</t>
  </si>
  <si>
    <t>LINIA BOCZKOWA</t>
  </si>
  <si>
    <t>PP BOCZ.A BLAT.SZ.Z/SK/PACH/MŚ.SCH.BIED</t>
  </si>
  <si>
    <t>tylko PP!</t>
  </si>
  <si>
    <t>PL BOCZ.BL.A B/S. - rolowany</t>
  </si>
  <si>
    <t>wynikowo</t>
  </si>
  <si>
    <t>MIĘSA DROBNE - fessmann</t>
  </si>
  <si>
    <t>MIĘSA DROBNE - peklownia</t>
  </si>
  <si>
    <t>różowa</t>
  </si>
  <si>
    <t>czerwona</t>
  </si>
  <si>
    <t>PP M-SO WP.DR.KL1 JAS.Z SZYN.</t>
  </si>
  <si>
    <t xml:space="preserve">PP M-SO WP.DR.KL1B CIE.Z ŁOP.PBX </t>
  </si>
  <si>
    <t xml:space="preserve">PP MŚ.BRZUCH.N/OBR.PBX </t>
  </si>
  <si>
    <t>PP M-SO WP.DR.KL2B Z SZYN.</t>
  </si>
  <si>
    <t xml:space="preserve">PP M-SO WP.DR.KL2A USR </t>
  </si>
  <si>
    <t>PP M-SO WP.DR.KL2A Z ŁOP.CH (70% 2A i 30% jedynki)</t>
  </si>
  <si>
    <t>z macior</t>
  </si>
  <si>
    <t>KABAN.DROB/WP.FARSZ KRA</t>
  </si>
  <si>
    <t>PP MŚ.CZTEROG.Z/NAP.PBX1</t>
  </si>
  <si>
    <t>2024-04-09</t>
  </si>
  <si>
    <t>IKA M-SO Z UDA D5 RO1</t>
  </si>
  <si>
    <t>2024-04-07</t>
  </si>
  <si>
    <t>000003013948</t>
  </si>
  <si>
    <t>0003013948</t>
  </si>
  <si>
    <t>000003079130</t>
  </si>
  <si>
    <t>0003079130</t>
  </si>
  <si>
    <t>000003013953</t>
  </si>
  <si>
    <t>0003013953</t>
  </si>
  <si>
    <t>003250777510</t>
  </si>
  <si>
    <t>3250777510</t>
  </si>
  <si>
    <t>003250777807</t>
  </si>
  <si>
    <t>3250777807</t>
  </si>
  <si>
    <t>003250778531</t>
  </si>
  <si>
    <t>3250778531</t>
  </si>
  <si>
    <t>003250778780</t>
  </si>
  <si>
    <t>3250778780</t>
  </si>
  <si>
    <t>SKÓRKI WP. Z masek</t>
  </si>
  <si>
    <t>PP SKÓRKI WP.B/TŁ. - Moczone</t>
  </si>
  <si>
    <t>PP M-SO WP.DR.KL1 CIE.Z SZYN.</t>
  </si>
  <si>
    <t>PL BOCZ.BL.A B/S.PBX1</t>
  </si>
  <si>
    <t>EL.SZYN.DELIKATNA PBX1</t>
  </si>
  <si>
    <t>PP PRZEP.KL2 CH1</t>
  </si>
  <si>
    <t>PP MŚ.BRZUCH.PBX ST1</t>
  </si>
  <si>
    <t>2024-04-10</t>
  </si>
  <si>
    <t>144527964007</t>
  </si>
  <si>
    <t>000003081502</t>
  </si>
  <si>
    <t>0003081502</t>
  </si>
  <si>
    <t>000003087577</t>
  </si>
  <si>
    <t>0003087577</t>
  </si>
  <si>
    <t>000003068930</t>
  </si>
  <si>
    <t>0003068930</t>
  </si>
  <si>
    <t>000003087586</t>
  </si>
  <si>
    <t>0003087586</t>
  </si>
  <si>
    <t>144523164007</t>
  </si>
  <si>
    <t>2024-04-11</t>
  </si>
  <si>
    <t>1787/5161/1788/2257</t>
  </si>
  <si>
    <t>3020/3022</t>
  </si>
  <si>
    <t>SUR.MIĘS.DROB.TŁ.15% PKL/S.1.5%</t>
  </si>
  <si>
    <t>PP M-SO WP.TRYMING 60/40 PBX ST</t>
  </si>
  <si>
    <t>145516240007</t>
  </si>
  <si>
    <t>145516360007</t>
  </si>
  <si>
    <t>145429104007</t>
  </si>
  <si>
    <t>144529154007</t>
  </si>
  <si>
    <t>144529194007</t>
  </si>
  <si>
    <t>145529240007</t>
  </si>
  <si>
    <t>000003087114</t>
  </si>
  <si>
    <t>0003087114</t>
  </si>
  <si>
    <t>000003003333</t>
  </si>
  <si>
    <t>0003003333</t>
  </si>
  <si>
    <t>000003083705</t>
  </si>
  <si>
    <t>0003083705</t>
  </si>
  <si>
    <t>003250772290</t>
  </si>
  <si>
    <t>3250772290</t>
  </si>
  <si>
    <t>003250773784</t>
  </si>
  <si>
    <t>3250773784</t>
  </si>
  <si>
    <t>003250776572</t>
  </si>
  <si>
    <t>3250776572</t>
  </si>
  <si>
    <t>003250777509</t>
  </si>
  <si>
    <t>3250777509</t>
  </si>
  <si>
    <t>000003088029</t>
  </si>
  <si>
    <t>0003088029</t>
  </si>
  <si>
    <t>000003086346</t>
  </si>
  <si>
    <t>0003086346</t>
  </si>
  <si>
    <t>PP MŚ.CZTER.N/OBR.Z/NAP.</t>
  </si>
  <si>
    <t xml:space="preserve">PP M-SO WP.DR.KL3A USR </t>
  </si>
  <si>
    <t>Kraj</t>
  </si>
  <si>
    <t>Polska</t>
  </si>
  <si>
    <t>Carski</t>
  </si>
  <si>
    <t>Klasyczna</t>
  </si>
  <si>
    <t>Litwa</t>
  </si>
  <si>
    <t>Lux</t>
  </si>
  <si>
    <t>IKA PODUD.B/K.Z/S.ROZ.100% OK20KG NBMRIŁ</t>
  </si>
  <si>
    <t>śr</t>
  </si>
  <si>
    <t>czw</t>
  </si>
  <si>
    <t>na pilnie</t>
  </si>
  <si>
    <t>BOCZ.A BLAT.Z/SK/PACH.10-12CM CH1 carski - paski/rolowany</t>
  </si>
  <si>
    <t xml:space="preserve">PP M-SO WP.DR.KL4 Z SZYN.CIE.PBX </t>
  </si>
  <si>
    <t>PP M-SO WP.KL4 POUB.</t>
  </si>
  <si>
    <t>P_3zn</t>
  </si>
  <si>
    <t>WT KIEŁB.REGIONALNA DROB/WP.KAW.AS</t>
  </si>
  <si>
    <t>EL.SZYN.KLASYCZNA PBX ST1</t>
  </si>
  <si>
    <t>SZYN.BIAŁA KRÓLEWSKA FARSZ</t>
  </si>
  <si>
    <t>KIEŁB.ŚLĄSKA WP/DROB.FARSZ MOR</t>
  </si>
  <si>
    <t>WT KIEŁB.ŚLĄSKA WP/DROB.KAW.AS FES MOR</t>
  </si>
  <si>
    <t>151415590007</t>
  </si>
  <si>
    <t>2024-04-14</t>
  </si>
  <si>
    <t>151515590007</t>
  </si>
  <si>
    <t>151020034619</t>
  </si>
  <si>
    <t>3224151004</t>
  </si>
  <si>
    <t>2024-04-12</t>
  </si>
  <si>
    <t>151420290007</t>
  </si>
  <si>
    <t>151420614007</t>
  </si>
  <si>
    <t>151022024602</t>
  </si>
  <si>
    <t>3224151005</t>
  </si>
  <si>
    <t>151422044007</t>
  </si>
  <si>
    <t>151422044207</t>
  </si>
  <si>
    <t>151422054207</t>
  </si>
  <si>
    <t>152022224618</t>
  </si>
  <si>
    <t>3224152001</t>
  </si>
  <si>
    <t>2024-04-13</t>
  </si>
  <si>
    <t>152022234602</t>
  </si>
  <si>
    <t>3224152000</t>
  </si>
  <si>
    <t>151428180007</t>
  </si>
  <si>
    <t>151528180007</t>
  </si>
  <si>
    <t>152528180007</t>
  </si>
  <si>
    <t>2024-04-15</t>
  </si>
  <si>
    <t>EL.SZYN.KLASYCZNA RO1</t>
  </si>
  <si>
    <t>152028180602</t>
  </si>
  <si>
    <t>3224152002</t>
  </si>
  <si>
    <t>151429104007</t>
  </si>
  <si>
    <t>151529104007</t>
  </si>
  <si>
    <t>152529104007</t>
  </si>
  <si>
    <t>145429410007</t>
  </si>
  <si>
    <t>151429410007</t>
  </si>
  <si>
    <t>152030080602</t>
  </si>
  <si>
    <t>3224152003</t>
  </si>
  <si>
    <t>151030120612</t>
  </si>
  <si>
    <t>3224151000</t>
  </si>
  <si>
    <t>IKA PODUD.B/K.Z/S.ROZ.100% RO1</t>
  </si>
  <si>
    <t>151030200602</t>
  </si>
  <si>
    <t>3224151009</t>
  </si>
  <si>
    <t>151050410000</t>
  </si>
  <si>
    <t>3224151001</t>
  </si>
  <si>
    <t>151150410000</t>
  </si>
  <si>
    <t>3224151006</t>
  </si>
  <si>
    <t>151050420000</t>
  </si>
  <si>
    <t>3224151007</t>
  </si>
  <si>
    <t>151051150000</t>
  </si>
  <si>
    <t>146052144000</t>
  </si>
  <si>
    <t>3224146000</t>
  </si>
  <si>
    <t>151053620000</t>
  </si>
  <si>
    <t>3224151003</t>
  </si>
  <si>
    <t>151065130000</t>
  </si>
  <si>
    <t>3224151013</t>
  </si>
  <si>
    <t>151065790000</t>
  </si>
  <si>
    <t>3224151014</t>
  </si>
  <si>
    <t>151070500000</t>
  </si>
  <si>
    <t>3224151018</t>
  </si>
  <si>
    <t>151064630000</t>
  </si>
  <si>
    <t>3224151010</t>
  </si>
  <si>
    <t>151064850000</t>
  </si>
  <si>
    <t>3224151011</t>
  </si>
  <si>
    <t>151066290000</t>
  </si>
  <si>
    <t>3224151015</t>
  </si>
  <si>
    <t>151066990000</t>
  </si>
  <si>
    <t>3224151016</t>
  </si>
  <si>
    <t>151070510000</t>
  </si>
  <si>
    <t>3224151019</t>
  </si>
  <si>
    <t>151070880000</t>
  </si>
  <si>
    <t>3224151020</t>
  </si>
  <si>
    <t>151051140000</t>
  </si>
  <si>
    <t>3224151008</t>
  </si>
  <si>
    <t>151051350000</t>
  </si>
  <si>
    <t>151052740000</t>
  </si>
  <si>
    <t>151054300000</t>
  </si>
  <si>
    <t>3224151017</t>
  </si>
  <si>
    <t>151054654000</t>
  </si>
  <si>
    <t>151054760000</t>
  </si>
  <si>
    <t>3224151021</t>
  </si>
  <si>
    <t>151155230000</t>
  </si>
  <si>
    <t>151055260000</t>
  </si>
  <si>
    <t>147055520000</t>
  </si>
  <si>
    <t>3224147007</t>
  </si>
  <si>
    <t>151055770000</t>
  </si>
  <si>
    <t>151055900000</t>
  </si>
  <si>
    <t>151055920000</t>
  </si>
  <si>
    <t>151055950000</t>
  </si>
  <si>
    <t>KIEŁB.ŚLĄSKA WP/DROB.FES FARSZ MOR</t>
  </si>
  <si>
    <t>151156000000</t>
  </si>
  <si>
    <t>3224151012</t>
  </si>
  <si>
    <t>151056010000</t>
  </si>
  <si>
    <t>151056920000</t>
  </si>
  <si>
    <t>3224151022</t>
  </si>
  <si>
    <t>151057810000</t>
  </si>
  <si>
    <t>3224151002</t>
  </si>
  <si>
    <t>151057814000</t>
  </si>
  <si>
    <t>000003087126</t>
  </si>
  <si>
    <t>0003087126</t>
  </si>
  <si>
    <t>000003003330</t>
  </si>
  <si>
    <t>0003003330</t>
  </si>
  <si>
    <t>151412394007</t>
  </si>
  <si>
    <t>145417874007</t>
  </si>
  <si>
    <t>151417874007</t>
  </si>
  <si>
    <t>151517874007</t>
  </si>
  <si>
    <t>151417884207</t>
  </si>
  <si>
    <t>151000000000</t>
  </si>
  <si>
    <t>151420034007</t>
  </si>
  <si>
    <t>151520034007</t>
  </si>
  <si>
    <t>152520034007</t>
  </si>
  <si>
    <t>152521974007</t>
  </si>
  <si>
    <t>151422024007</t>
  </si>
  <si>
    <t>151422030007</t>
  </si>
  <si>
    <t>151422034007</t>
  </si>
  <si>
    <t>152522034007</t>
  </si>
  <si>
    <t>151022040618</t>
  </si>
  <si>
    <t>151822044007</t>
  </si>
  <si>
    <t>152522044007</t>
  </si>
  <si>
    <t>152522054207</t>
  </si>
  <si>
    <t>151422064007</t>
  </si>
  <si>
    <t>151422084207</t>
  </si>
  <si>
    <t>145422088007</t>
  </si>
  <si>
    <t>151422088007</t>
  </si>
  <si>
    <t>151422094007</t>
  </si>
  <si>
    <t>151422094207</t>
  </si>
  <si>
    <t>151422124007</t>
  </si>
  <si>
    <t>151422134007</t>
  </si>
  <si>
    <t>151522144007</t>
  </si>
  <si>
    <t>151423164007</t>
  </si>
  <si>
    <t>151523164007</t>
  </si>
  <si>
    <t>152523164007</t>
  </si>
  <si>
    <t>151527964007</t>
  </si>
  <si>
    <t>152527964007</t>
  </si>
  <si>
    <t>146030080602</t>
  </si>
  <si>
    <t>3224146005</t>
  </si>
  <si>
    <t>146030220602</t>
  </si>
  <si>
    <t>3224146003</t>
  </si>
  <si>
    <t>146050220000</t>
  </si>
  <si>
    <t>3224146012</t>
  </si>
  <si>
    <t>151050220000</t>
  </si>
  <si>
    <t>146050270000</t>
  </si>
  <si>
    <t>3224146011</t>
  </si>
  <si>
    <t>151150270000</t>
  </si>
  <si>
    <t>151152020000</t>
  </si>
  <si>
    <t>151152094000</t>
  </si>
  <si>
    <t>151152144000</t>
  </si>
  <si>
    <t>152152154000</t>
  </si>
  <si>
    <t>151152264000</t>
  </si>
  <si>
    <t>006450580804</t>
  </si>
  <si>
    <t>6450580804</t>
  </si>
  <si>
    <t>2024-01-04</t>
  </si>
  <si>
    <t>146353060000</t>
  </si>
  <si>
    <t>3224146009</t>
  </si>
  <si>
    <t>145070880000</t>
  </si>
  <si>
    <t>3224145002</t>
  </si>
  <si>
    <t>000003086349</t>
  </si>
  <si>
    <t>0003086349</t>
  </si>
  <si>
    <t>000003086464</t>
  </si>
  <si>
    <t>0003086464</t>
  </si>
  <si>
    <t>000003088030</t>
  </si>
  <si>
    <t>0003088030</t>
  </si>
  <si>
    <t>Przyjedzie z hubera</t>
  </si>
  <si>
    <t>pt</t>
  </si>
  <si>
    <t>x</t>
  </si>
  <si>
    <t>strefa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</si>
</sst>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4" formatCode="_-* #,##0.00\ &quot;zł&quot;_-;\-* #,##0.00\ &quot;zł&quot;_-;_-* &quot;-&quot;??\ &quot;zł&quot;_-;_-@_-"/>
    <numFmt numFmtId="43" formatCode="_-* #,##0.00_-;\-* #,##0.00_-;_-* &quot;-&quot;??_-;_-@_-"/>
    <numFmt numFmtId="164" formatCode="0.0"/>
    <numFmt numFmtId="165" formatCode="_-* #,##0.00\ _z_ł_-;\-* #,##0.00\ _z_ł_-;_-* &quot;-&quot;??\ _z_ł_-;_-@_-"/>
    <numFmt numFmtId="166" formatCode="_-* #,##0_-;\-* #,##0_-;_-* &quot;-&quot;??_-;_-@_-"/>
    <numFmt numFmtId="167" formatCode="_-* #,##0\ _z_ł_-;\-* #,##0\ _z_ł_-;_-* &quot;-&quot;??\ _z_ł_-;_-@_-"/>
    <numFmt numFmtId="168" formatCode="0.0%"/>
    <numFmt numFmtId="169" formatCode="0.000"/>
    <numFmt numFmtId="170" formatCode="_-* #,##0.0_-;\-* #,##0.0_-;_-* &quot;-&quot;??_-;_-@_-"/>
    <numFmt numFmtId="171" formatCode="_-* #,##0.00\ [$zł-415]_-;\-* #,##0.00\ [$zł-415]_-;_-* &quot;-&quot;??\ [$zł-415]_-;_-@_-"/>
    <numFmt numFmtId="172" formatCode="_-* #,##0\ _z_ł_-;\-* #,##0\ _z_ł_-;_-* &quot;-&quot;?\ _z_ł_-;_-@_-"/>
    <numFmt numFmtId="173" formatCode="_-* #,##0.0\ [$zł-415]_-;\-* #,##0.0\ [$zł-415]_-;_-* &quot;-&quot;??\ [$zł-415]_-;_-@_-"/>
    <numFmt numFmtId="174" formatCode="d\-mm;@"/>
  </numFmts>
  <fonts count="112">
    <font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scheme val="minor"/>
    </font>
    <font>
      <sz val="10"/>
      <color indexed="8"/>
      <name val="Arial"/>
      <family val="2"/>
      <charset val="238"/>
    </font>
    <font>
      <b/>
      <sz val="12"/>
      <color indexed="8"/>
      <name val="Arial"/>
      <family val="2"/>
      <charset val="238"/>
    </font>
    <font>
      <b/>
      <sz val="12"/>
      <name val="Arial"/>
      <family val="2"/>
      <charset val="238"/>
    </font>
    <font>
      <b/>
      <sz val="12"/>
      <color theme="1"/>
      <name val="Arial"/>
      <family val="2"/>
      <charset val="238"/>
    </font>
    <font>
      <sz val="8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2"/>
      <color rgb="FFFF0000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scheme val="minor"/>
    </font>
    <font>
      <b/>
      <sz val="14"/>
      <name val="Arial"/>
      <family val="2"/>
      <charset val="238"/>
    </font>
    <font>
      <sz val="14"/>
      <color theme="1"/>
      <name val="Calibri"/>
      <family val="2"/>
      <scheme val="minor"/>
    </font>
    <font>
      <b/>
      <sz val="14"/>
      <color indexed="8"/>
      <name val="Arial"/>
      <family val="2"/>
      <charset val="238"/>
    </font>
    <font>
      <sz val="20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8"/>
      <color theme="1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u/>
      <sz val="16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8"/>
      <name val="Arial CE"/>
      <charset val="238"/>
    </font>
    <font>
      <b/>
      <sz val="10"/>
      <color indexed="8"/>
      <name val="Times New Roman CE"/>
      <family val="1"/>
      <charset val="238"/>
    </font>
    <font>
      <b/>
      <sz val="10"/>
      <name val="Times New Roman CE"/>
      <family val="1"/>
      <charset val="238"/>
    </font>
    <font>
      <b/>
      <sz val="10"/>
      <name val="Arial CE"/>
      <family val="2"/>
      <charset val="238"/>
    </font>
    <font>
      <sz val="11"/>
      <color theme="1"/>
      <name val="Czcionka tekstu podstawowego"/>
      <family val="2"/>
      <charset val="238"/>
    </font>
    <font>
      <sz val="11"/>
      <name val="Calibri"/>
      <family val="2"/>
      <charset val="238"/>
      <scheme val="minor"/>
    </font>
    <font>
      <sz val="9"/>
      <color indexed="8"/>
      <name val="Czcionka tekstu podstawowego"/>
      <family val="2"/>
      <charset val="238"/>
    </font>
    <font>
      <sz val="10"/>
      <color indexed="8"/>
      <name val="Czcionka tekstu podstawowego"/>
      <family val="2"/>
      <charset val="238"/>
    </font>
    <font>
      <sz val="10"/>
      <name val="Times New Roman CE"/>
      <family val="1"/>
      <charset val="238"/>
    </font>
    <font>
      <sz val="14"/>
      <color rgb="FFFF0000"/>
      <name val="Calibri"/>
      <family val="2"/>
      <charset val="238"/>
      <scheme val="minor"/>
    </font>
    <font>
      <b/>
      <sz val="12"/>
      <color rgb="FFFFFF00"/>
      <name val="Arial"/>
      <family val="2"/>
      <charset val="238"/>
    </font>
    <font>
      <b/>
      <sz val="14"/>
      <color rgb="FFFFFF00"/>
      <name val="Calibri"/>
      <family val="2"/>
      <charset val="238"/>
      <scheme val="minor"/>
    </font>
    <font>
      <b/>
      <sz val="18"/>
      <name val="Arial"/>
      <family val="2"/>
      <charset val="238"/>
    </font>
    <font>
      <sz val="10"/>
      <name val="Arial CE"/>
      <charset val="238"/>
    </font>
    <font>
      <sz val="12"/>
      <name val="Arial MT"/>
    </font>
    <font>
      <sz val="11"/>
      <color indexed="8"/>
      <name val="Czcionka tekstu podstawowego"/>
      <family val="2"/>
      <charset val="238"/>
    </font>
    <font>
      <sz val="11"/>
      <color theme="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38"/>
      <scheme val="minor"/>
    </font>
    <font>
      <sz val="14"/>
      <name val="Arial CE"/>
      <charset val="238"/>
    </font>
    <font>
      <sz val="11"/>
      <color rgb="FF000000"/>
      <name val="Calibri"/>
      <family val="2"/>
      <charset val="238"/>
    </font>
    <font>
      <sz val="12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sz val="10"/>
      <name val="Times New Roman CE"/>
      <charset val="238"/>
    </font>
    <font>
      <b/>
      <sz val="11"/>
      <color theme="1"/>
      <name val="Arial"/>
      <family val="2"/>
      <charset val="238"/>
    </font>
    <font>
      <b/>
      <sz val="18"/>
      <color rgb="FF000000"/>
      <name val="Calibri"/>
      <family val="2"/>
      <charset val="238"/>
    </font>
    <font>
      <b/>
      <sz val="14"/>
      <color rgb="FF00B0F0"/>
      <name val="Calibri"/>
      <family val="2"/>
      <charset val="238"/>
      <scheme val="minor"/>
    </font>
    <font>
      <b/>
      <sz val="16"/>
      <color rgb="FF92D050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0"/>
      <name val="Times New Roman"/>
      <family val="2"/>
      <charset val="238"/>
    </font>
    <font>
      <sz val="11"/>
      <color rgb="FF3F3F76"/>
      <name val="Czcionka tekstu podstawowego"/>
      <family val="2"/>
      <charset val="238"/>
    </font>
    <font>
      <b/>
      <sz val="11"/>
      <color rgb="FF3F3F3F"/>
      <name val="Czcionka tekstu podstawowego"/>
      <family val="2"/>
      <charset val="238"/>
    </font>
    <font>
      <sz val="11"/>
      <color rgb="FF006100"/>
      <name val="Czcionka tekstu podstawowego"/>
      <family val="2"/>
      <charset val="238"/>
    </font>
    <font>
      <sz val="11"/>
      <color rgb="FFFA7D00"/>
      <name val="Czcionka tekstu podstawowego"/>
      <family val="2"/>
      <charset val="238"/>
    </font>
    <font>
      <b/>
      <sz val="11"/>
      <color theme="0"/>
      <name val="Czcionka tekstu podstawowego"/>
      <family val="2"/>
      <charset val="238"/>
    </font>
    <font>
      <b/>
      <sz val="15"/>
      <color theme="3"/>
      <name val="Czcionka tekstu podstawowego"/>
      <family val="2"/>
      <charset val="238"/>
    </font>
    <font>
      <b/>
      <sz val="13"/>
      <color theme="3"/>
      <name val="Czcionka tekstu podstawowego"/>
      <family val="2"/>
      <charset val="238"/>
    </font>
    <font>
      <b/>
      <sz val="11"/>
      <color theme="3"/>
      <name val="Czcionka tekstu podstawowego"/>
      <family val="2"/>
      <charset val="238"/>
    </font>
    <font>
      <sz val="11"/>
      <color rgb="FF9C6500"/>
      <name val="Czcionka tekstu podstawowego"/>
      <family val="2"/>
      <charset val="238"/>
    </font>
    <font>
      <b/>
      <sz val="11"/>
      <color rgb="FFFA7D00"/>
      <name val="Czcionka tekstu podstawowego"/>
      <family val="2"/>
      <charset val="238"/>
    </font>
    <font>
      <b/>
      <sz val="11"/>
      <color theme="1"/>
      <name val="Czcionka tekstu podstawowego"/>
      <family val="2"/>
      <charset val="238"/>
    </font>
    <font>
      <i/>
      <sz val="11"/>
      <color rgb="FF7F7F7F"/>
      <name val="Czcionka tekstu podstawowego"/>
      <family val="2"/>
      <charset val="238"/>
    </font>
    <font>
      <sz val="11"/>
      <color rgb="FFFF0000"/>
      <name val="Czcionka tekstu podstawowego"/>
      <family val="2"/>
      <charset val="238"/>
    </font>
    <font>
      <b/>
      <sz val="18"/>
      <color theme="3"/>
      <name val="Calibri Light"/>
      <family val="2"/>
      <charset val="238"/>
      <scheme val="major"/>
    </font>
    <font>
      <sz val="11"/>
      <color rgb="FF9C0006"/>
      <name val="Czcionka tekstu podstawowego"/>
      <family val="2"/>
      <charset val="238"/>
    </font>
    <font>
      <sz val="14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  <font>
      <sz val="11"/>
      <name val="Calibri"/>
      <family val="2"/>
      <scheme val="minor"/>
    </font>
    <font>
      <sz val="10"/>
      <color theme="1"/>
      <name val="Arial"/>
      <family val="2"/>
      <charset val="238"/>
    </font>
    <font>
      <sz val="11"/>
      <color rgb="FF000000"/>
      <name val="Times New Roman"/>
      <family val="1"/>
      <charset val="238"/>
    </font>
    <font>
      <sz val="11"/>
      <color rgb="FF000000"/>
      <name val="Calibri"/>
      <family val="2"/>
      <charset val="238"/>
      <scheme val="minor"/>
    </font>
    <font>
      <sz val="11"/>
      <name val="Calibri"/>
      <family val="2"/>
      <charset val="238"/>
    </font>
    <font>
      <sz val="10"/>
      <color rgb="FF000000"/>
      <name val="Arial"/>
      <family val="2"/>
      <charset val="238"/>
    </font>
    <font>
      <b/>
      <sz val="10"/>
      <color rgb="FF000000"/>
      <name val="Arial"/>
      <family val="2"/>
      <charset val="238"/>
    </font>
    <font>
      <b/>
      <sz val="16"/>
      <color rgb="FFFF0000"/>
      <name val="Calibri"/>
      <family val="2"/>
      <charset val="238"/>
      <scheme val="minor"/>
    </font>
    <font>
      <sz val="10"/>
      <color theme="1"/>
      <name val="Times New Roman"/>
      <family val="1"/>
      <charset val="238"/>
    </font>
    <font>
      <b/>
      <sz val="10"/>
      <name val="Times New Roman CE"/>
      <charset val="238"/>
    </font>
    <font>
      <b/>
      <sz val="12"/>
      <color rgb="FF92D050"/>
      <name val="Calibri"/>
      <family val="2"/>
      <charset val="238"/>
      <scheme val="minor"/>
    </font>
    <font>
      <sz val="11"/>
      <color theme="1"/>
      <name val="Times New Roman"/>
      <family val="1"/>
      <charset val="238"/>
    </font>
    <font>
      <sz val="12"/>
      <color rgb="FF000000"/>
      <name val="Calibri"/>
      <family val="2"/>
      <charset val="238"/>
    </font>
    <font>
      <sz val="12"/>
      <color rgb="FF000000"/>
      <name val="Calibri"/>
      <family val="2"/>
      <charset val="238"/>
      <scheme val="minor"/>
    </font>
    <font>
      <b/>
      <sz val="10"/>
      <color rgb="FFFF0000"/>
      <name val="Arial CE"/>
      <family val="2"/>
      <charset val="238"/>
    </font>
    <font>
      <b/>
      <sz val="11"/>
      <color rgb="FFFF0000"/>
      <name val="Calibri"/>
      <family val="2"/>
      <charset val="238"/>
    </font>
    <font>
      <b/>
      <u/>
      <sz val="11"/>
      <color rgb="FF000000"/>
      <name val="Calibri"/>
      <family val="2"/>
      <charset val="238"/>
    </font>
    <font>
      <b/>
      <sz val="10"/>
      <color indexed="8"/>
      <name val="Times New Roman CE"/>
      <charset val="238"/>
    </font>
    <font>
      <sz val="10"/>
      <color rgb="FF000000"/>
      <name val="Calibri"/>
      <family val="2"/>
      <charset val="238"/>
    </font>
  </fonts>
  <fills count="7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indexed="8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theme="4" tint="0.59999389629810485"/>
        <bgColor indexed="8"/>
      </patternFill>
    </fill>
    <fill>
      <patternFill patternType="solid">
        <fgColor theme="2" tint="-9.9978637043366805E-2"/>
        <bgColor indexed="8"/>
      </patternFill>
    </fill>
    <fill>
      <patternFill patternType="solid">
        <fgColor theme="9" tint="0.59999389629810485"/>
        <bgColor indexed="8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66FF"/>
        <bgColor indexed="64"/>
      </patternFill>
    </fill>
  </fills>
  <borders count="1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theme="0" tint="-0.44999542222357858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/>
      <right style="medium">
        <color rgb="FF8C8C8C"/>
      </right>
      <top/>
      <bottom style="medium">
        <color rgb="FFD9D9D9"/>
      </bottom>
      <diagonal/>
    </border>
  </borders>
  <cellStyleXfs count="420">
    <xf numFmtId="0" fontId="0" fillId="0" borderId="0"/>
    <xf numFmtId="0" fontId="2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2" fillId="17" borderId="0" applyNumberFormat="0" applyBorder="0" applyAlignment="0" applyProtection="0"/>
    <xf numFmtId="0" fontId="14" fillId="18" borderId="42" applyNumberFormat="0" applyAlignment="0" applyProtection="0"/>
    <xf numFmtId="0" fontId="10" fillId="19" borderId="43" applyNumberFormat="0" applyFont="0" applyAlignment="0" applyProtection="0"/>
    <xf numFmtId="0" fontId="12" fillId="20" borderId="0" applyNumberFormat="0" applyBorder="0" applyAlignment="0" applyProtection="0"/>
    <xf numFmtId="0" fontId="17" fillId="22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39" fillId="0" borderId="0"/>
    <xf numFmtId="0" fontId="10" fillId="0" borderId="0"/>
    <xf numFmtId="0" fontId="48" fillId="0" borderId="0"/>
    <xf numFmtId="0" fontId="51" fillId="17" borderId="0" applyNumberFormat="0" applyBorder="0" applyAlignment="0" applyProtection="0"/>
    <xf numFmtId="165" fontId="50" fillId="0" borderId="0" applyFont="0" applyFill="0" applyBorder="0" applyAlignment="0" applyProtection="0"/>
    <xf numFmtId="165" fontId="48" fillId="0" borderId="0" applyFont="0" applyFill="0" applyBorder="0" applyAlignment="0" applyProtection="0"/>
    <xf numFmtId="165" fontId="48" fillId="0" borderId="0" applyFont="0" applyFill="0" applyBorder="0" applyAlignment="0" applyProtection="0"/>
    <xf numFmtId="0" fontId="49" fillId="0" borderId="0"/>
    <xf numFmtId="0" fontId="39" fillId="0" borderId="0"/>
    <xf numFmtId="0" fontId="39" fillId="0" borderId="0"/>
    <xf numFmtId="0" fontId="10" fillId="0" borderId="0"/>
    <xf numFmtId="0" fontId="48" fillId="0" borderId="0"/>
    <xf numFmtId="0" fontId="48" fillId="0" borderId="0"/>
    <xf numFmtId="0" fontId="52" fillId="0" borderId="0"/>
    <xf numFmtId="9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103" applyNumberFormat="0" applyFill="0" applyAlignment="0" applyProtection="0"/>
    <xf numFmtId="0" fontId="66" fillId="0" borderId="104" applyNumberFormat="0" applyFill="0" applyAlignment="0" applyProtection="0"/>
    <xf numFmtId="0" fontId="67" fillId="0" borderId="105" applyNumberFormat="0" applyFill="0" applyAlignment="0" applyProtection="0"/>
    <xf numFmtId="0" fontId="67" fillId="0" borderId="0" applyNumberFormat="0" applyFill="0" applyBorder="0" applyAlignment="0" applyProtection="0"/>
    <xf numFmtId="0" fontId="68" fillId="43" borderId="0" applyNumberFormat="0" applyBorder="0" applyAlignment="0" applyProtection="0"/>
    <xf numFmtId="0" fontId="69" fillId="44" borderId="0" applyNumberFormat="0" applyBorder="0" applyAlignment="0" applyProtection="0"/>
    <xf numFmtId="0" fontId="70" fillId="45" borderId="106" applyNumberFormat="0" applyAlignment="0" applyProtection="0"/>
    <xf numFmtId="0" fontId="71" fillId="45" borderId="42" applyNumberFormat="0" applyAlignment="0" applyProtection="0"/>
    <xf numFmtId="0" fontId="72" fillId="0" borderId="107" applyNumberFormat="0" applyFill="0" applyAlignment="0" applyProtection="0"/>
    <xf numFmtId="0" fontId="15" fillId="46" borderId="108" applyNumberFormat="0" applyAlignment="0" applyProtection="0"/>
    <xf numFmtId="0" fontId="30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8" fillId="0" borderId="109" applyNumberFormat="0" applyFill="0" applyAlignment="0" applyProtection="0"/>
    <xf numFmtId="0" fontId="10" fillId="47" borderId="0" applyNumberFormat="0" applyBorder="0" applyAlignment="0" applyProtection="0"/>
    <xf numFmtId="0" fontId="10" fillId="48" borderId="0" applyNumberFormat="0" applyBorder="0" applyAlignment="0" applyProtection="0"/>
    <xf numFmtId="0" fontId="10" fillId="49" borderId="0" applyNumberFormat="0" applyBorder="0" applyAlignment="0" applyProtection="0"/>
    <xf numFmtId="0" fontId="10" fillId="50" borderId="0" applyNumberFormat="0" applyBorder="0" applyAlignment="0" applyProtection="0"/>
    <xf numFmtId="0" fontId="10" fillId="51" borderId="0" applyNumberFormat="0" applyBorder="0" applyAlignment="0" applyProtection="0"/>
    <xf numFmtId="0" fontId="10" fillId="52" borderId="0" applyNumberFormat="0" applyBorder="0" applyAlignment="0" applyProtection="0"/>
    <xf numFmtId="0" fontId="12" fillId="53" borderId="0" applyNumberFormat="0" applyBorder="0" applyAlignment="0" applyProtection="0"/>
    <xf numFmtId="0" fontId="10" fillId="54" borderId="0" applyNumberFormat="0" applyBorder="0" applyAlignment="0" applyProtection="0"/>
    <xf numFmtId="0" fontId="10" fillId="55" borderId="0" applyNumberFormat="0" applyBorder="0" applyAlignment="0" applyProtection="0"/>
    <xf numFmtId="0" fontId="10" fillId="56" borderId="0" applyNumberFormat="0" applyBorder="0" applyAlignment="0" applyProtection="0"/>
    <xf numFmtId="0" fontId="12" fillId="57" borderId="0" applyNumberFormat="0" applyBorder="0" applyAlignment="0" applyProtection="0"/>
    <xf numFmtId="0" fontId="10" fillId="58" borderId="0" applyNumberFormat="0" applyBorder="0" applyAlignment="0" applyProtection="0"/>
    <xf numFmtId="0" fontId="10" fillId="59" borderId="0" applyNumberFormat="0" applyBorder="0" applyAlignment="0" applyProtection="0"/>
    <xf numFmtId="0" fontId="10" fillId="60" borderId="0" applyNumberFormat="0" applyBorder="0" applyAlignment="0" applyProtection="0"/>
    <xf numFmtId="0" fontId="10" fillId="61" borderId="0" applyNumberFormat="0" applyBorder="0" applyAlignment="0" applyProtection="0"/>
    <xf numFmtId="0" fontId="10" fillId="62" borderId="0" applyNumberFormat="0" applyBorder="0" applyAlignment="0" applyProtection="0"/>
    <xf numFmtId="0" fontId="10" fillId="63" borderId="0" applyNumberFormat="0" applyBorder="0" applyAlignment="0" applyProtection="0"/>
    <xf numFmtId="0" fontId="10" fillId="64" borderId="0" applyNumberFormat="0" applyBorder="0" applyAlignment="0" applyProtection="0"/>
    <xf numFmtId="0" fontId="10" fillId="65" borderId="0" applyNumberFormat="0" applyBorder="0" applyAlignment="0" applyProtection="0"/>
    <xf numFmtId="0" fontId="10" fillId="66" borderId="0" applyNumberFormat="0" applyBorder="0" applyAlignment="0" applyProtection="0"/>
    <xf numFmtId="0" fontId="74" fillId="0" borderId="0"/>
    <xf numFmtId="0" fontId="39" fillId="47" borderId="0" applyNumberFormat="0" applyBorder="0" applyAlignment="0" applyProtection="0"/>
    <xf numFmtId="0" fontId="39" fillId="47" borderId="0" applyNumberFormat="0" applyBorder="0" applyAlignment="0" applyProtection="0"/>
    <xf numFmtId="0" fontId="39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39" fillId="50" borderId="0" applyNumberFormat="0" applyBorder="0" applyAlignment="0" applyProtection="0"/>
    <xf numFmtId="0" fontId="39" fillId="50" borderId="0" applyNumberFormat="0" applyBorder="0" applyAlignment="0" applyProtection="0"/>
    <xf numFmtId="0" fontId="39" fillId="50" borderId="0" applyNumberFormat="0" applyBorder="0" applyAlignment="0" applyProtection="0"/>
    <xf numFmtId="0" fontId="10" fillId="50" borderId="0" applyNumberFormat="0" applyBorder="0" applyAlignment="0" applyProtection="0"/>
    <xf numFmtId="0" fontId="10" fillId="50" borderId="0" applyNumberFormat="0" applyBorder="0" applyAlignment="0" applyProtection="0"/>
    <xf numFmtId="0" fontId="10" fillId="50" borderId="0" applyNumberFormat="0" applyBorder="0" applyAlignment="0" applyProtection="0"/>
    <xf numFmtId="0" fontId="10" fillId="50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39" fillId="54" borderId="0" applyNumberFormat="0" applyBorder="0" applyAlignment="0" applyProtection="0"/>
    <xf numFmtId="0" fontId="10" fillId="54" borderId="0" applyNumberFormat="0" applyBorder="0" applyAlignment="0" applyProtection="0"/>
    <xf numFmtId="0" fontId="10" fillId="54" borderId="0" applyNumberFormat="0" applyBorder="0" applyAlignment="0" applyProtection="0"/>
    <xf numFmtId="0" fontId="10" fillId="54" borderId="0" applyNumberFormat="0" applyBorder="0" applyAlignment="0" applyProtection="0"/>
    <xf numFmtId="0" fontId="10" fillId="54" borderId="0" applyNumberFormat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39" fillId="58" borderId="0" applyNumberFormat="0" applyBorder="0" applyAlignment="0" applyProtection="0"/>
    <xf numFmtId="0" fontId="10" fillId="58" borderId="0" applyNumberFormat="0" applyBorder="0" applyAlignment="0" applyProtection="0"/>
    <xf numFmtId="0" fontId="10" fillId="58" borderId="0" applyNumberFormat="0" applyBorder="0" applyAlignment="0" applyProtection="0"/>
    <xf numFmtId="0" fontId="10" fillId="58" borderId="0" applyNumberFormat="0" applyBorder="0" applyAlignment="0" applyProtection="0"/>
    <xf numFmtId="0" fontId="10" fillId="58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39" fillId="61" borderId="0" applyNumberFormat="0" applyBorder="0" applyAlignment="0" applyProtection="0"/>
    <xf numFmtId="0" fontId="10" fillId="61" borderId="0" applyNumberFormat="0" applyBorder="0" applyAlignment="0" applyProtection="0"/>
    <xf numFmtId="0" fontId="10" fillId="61" borderId="0" applyNumberFormat="0" applyBorder="0" applyAlignment="0" applyProtection="0"/>
    <xf numFmtId="0" fontId="10" fillId="61" borderId="0" applyNumberFormat="0" applyBorder="0" applyAlignment="0" applyProtection="0"/>
    <xf numFmtId="0" fontId="10" fillId="61" borderId="0" applyNumberFormat="0" applyBorder="0" applyAlignment="0" applyProtection="0"/>
    <xf numFmtId="0" fontId="39" fillId="64" borderId="0" applyNumberFormat="0" applyBorder="0" applyAlignment="0" applyProtection="0"/>
    <xf numFmtId="0" fontId="39" fillId="64" borderId="0" applyNumberFormat="0" applyBorder="0" applyAlignment="0" applyProtection="0"/>
    <xf numFmtId="0" fontId="39" fillId="64" borderId="0" applyNumberFormat="0" applyBorder="0" applyAlignment="0" applyProtection="0"/>
    <xf numFmtId="0" fontId="10" fillId="64" borderId="0" applyNumberFormat="0" applyBorder="0" applyAlignment="0" applyProtection="0"/>
    <xf numFmtId="0" fontId="10" fillId="64" borderId="0" applyNumberFormat="0" applyBorder="0" applyAlignment="0" applyProtection="0"/>
    <xf numFmtId="0" fontId="10" fillId="64" borderId="0" applyNumberFormat="0" applyBorder="0" applyAlignment="0" applyProtection="0"/>
    <xf numFmtId="0" fontId="10" fillId="64" borderId="0" applyNumberFormat="0" applyBorder="0" applyAlignment="0" applyProtection="0"/>
    <xf numFmtId="0" fontId="39" fillId="48" borderId="0" applyNumberFormat="0" applyBorder="0" applyAlignment="0" applyProtection="0"/>
    <xf numFmtId="0" fontId="39" fillId="48" borderId="0" applyNumberFormat="0" applyBorder="0" applyAlignment="0" applyProtection="0"/>
    <xf numFmtId="0" fontId="39" fillId="48" borderId="0" applyNumberFormat="0" applyBorder="0" applyAlignment="0" applyProtection="0"/>
    <xf numFmtId="0" fontId="10" fillId="48" borderId="0" applyNumberFormat="0" applyBorder="0" applyAlignment="0" applyProtection="0"/>
    <xf numFmtId="0" fontId="10" fillId="48" borderId="0" applyNumberFormat="0" applyBorder="0" applyAlignment="0" applyProtection="0"/>
    <xf numFmtId="0" fontId="10" fillId="48" borderId="0" applyNumberFormat="0" applyBorder="0" applyAlignment="0" applyProtection="0"/>
    <xf numFmtId="0" fontId="10" fillId="48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39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39" fillId="55" borderId="0" applyNumberFormat="0" applyBorder="0" applyAlignment="0" applyProtection="0"/>
    <xf numFmtId="0" fontId="10" fillId="55" borderId="0" applyNumberFormat="0" applyBorder="0" applyAlignment="0" applyProtection="0"/>
    <xf numFmtId="0" fontId="10" fillId="55" borderId="0" applyNumberFormat="0" applyBorder="0" applyAlignment="0" applyProtection="0"/>
    <xf numFmtId="0" fontId="10" fillId="55" borderId="0" applyNumberFormat="0" applyBorder="0" applyAlignment="0" applyProtection="0"/>
    <xf numFmtId="0" fontId="10" fillId="55" borderId="0" applyNumberFormat="0" applyBorder="0" applyAlignment="0" applyProtection="0"/>
    <xf numFmtId="0" fontId="39" fillId="59" borderId="0" applyNumberFormat="0" applyBorder="0" applyAlignment="0" applyProtection="0"/>
    <xf numFmtId="0" fontId="39" fillId="59" borderId="0" applyNumberFormat="0" applyBorder="0" applyAlignment="0" applyProtection="0"/>
    <xf numFmtId="0" fontId="39" fillId="59" borderId="0" applyNumberFormat="0" applyBorder="0" applyAlignment="0" applyProtection="0"/>
    <xf numFmtId="0" fontId="10" fillId="59" borderId="0" applyNumberFormat="0" applyBorder="0" applyAlignment="0" applyProtection="0"/>
    <xf numFmtId="0" fontId="10" fillId="59" borderId="0" applyNumberFormat="0" applyBorder="0" applyAlignment="0" applyProtection="0"/>
    <xf numFmtId="0" fontId="10" fillId="59" borderId="0" applyNumberFormat="0" applyBorder="0" applyAlignment="0" applyProtection="0"/>
    <xf numFmtId="0" fontId="10" fillId="59" borderId="0" applyNumberFormat="0" applyBorder="0" applyAlignment="0" applyProtection="0"/>
    <xf numFmtId="0" fontId="39" fillId="62" borderId="0" applyNumberFormat="0" applyBorder="0" applyAlignment="0" applyProtection="0"/>
    <xf numFmtId="0" fontId="39" fillId="62" borderId="0" applyNumberFormat="0" applyBorder="0" applyAlignment="0" applyProtection="0"/>
    <xf numFmtId="0" fontId="39" fillId="62" borderId="0" applyNumberFormat="0" applyBorder="0" applyAlignment="0" applyProtection="0"/>
    <xf numFmtId="0" fontId="10" fillId="62" borderId="0" applyNumberFormat="0" applyBorder="0" applyAlignment="0" applyProtection="0"/>
    <xf numFmtId="0" fontId="10" fillId="62" borderId="0" applyNumberFormat="0" applyBorder="0" applyAlignment="0" applyProtection="0"/>
    <xf numFmtId="0" fontId="10" fillId="62" borderId="0" applyNumberFormat="0" applyBorder="0" applyAlignment="0" applyProtection="0"/>
    <xf numFmtId="0" fontId="10" fillId="62" borderId="0" applyNumberFormat="0" applyBorder="0" applyAlignment="0" applyProtection="0"/>
    <xf numFmtId="0" fontId="39" fillId="65" borderId="0" applyNumberFormat="0" applyBorder="0" applyAlignment="0" applyProtection="0"/>
    <xf numFmtId="0" fontId="39" fillId="65" borderId="0" applyNumberFormat="0" applyBorder="0" applyAlignment="0" applyProtection="0"/>
    <xf numFmtId="0" fontId="39" fillId="65" borderId="0" applyNumberFormat="0" applyBorder="0" applyAlignment="0" applyProtection="0"/>
    <xf numFmtId="0" fontId="10" fillId="65" borderId="0" applyNumberFormat="0" applyBorder="0" applyAlignment="0" applyProtection="0"/>
    <xf numFmtId="0" fontId="10" fillId="65" borderId="0" applyNumberFormat="0" applyBorder="0" applyAlignment="0" applyProtection="0"/>
    <xf numFmtId="0" fontId="10" fillId="65" borderId="0" applyNumberFormat="0" applyBorder="0" applyAlignment="0" applyProtection="0"/>
    <xf numFmtId="0" fontId="10" fillId="65" borderId="0" applyNumberFormat="0" applyBorder="0" applyAlignment="0" applyProtection="0"/>
    <xf numFmtId="0" fontId="51" fillId="49" borderId="0" applyNumberFormat="0" applyBorder="0" applyAlignment="0" applyProtection="0"/>
    <xf numFmtId="0" fontId="51" fillId="49" borderId="0" applyNumberFormat="0" applyBorder="0" applyAlignment="0" applyProtection="0"/>
    <xf numFmtId="0" fontId="51" fillId="49" borderId="0" applyNumberFormat="0" applyBorder="0" applyAlignment="0" applyProtection="0"/>
    <xf numFmtId="0" fontId="10" fillId="49" borderId="0" applyNumberFormat="0" applyBorder="0" applyAlignment="0" applyProtection="0"/>
    <xf numFmtId="0" fontId="10" fillId="49" borderId="0" applyNumberFormat="0" applyBorder="0" applyAlignment="0" applyProtection="0"/>
    <xf numFmtId="0" fontId="10" fillId="49" borderId="0" applyNumberFormat="0" applyBorder="0" applyAlignment="0" applyProtection="0"/>
    <xf numFmtId="0" fontId="10" fillId="49" borderId="0" applyNumberFormat="0" applyBorder="0" applyAlignment="0" applyProtection="0"/>
    <xf numFmtId="0" fontId="51" fillId="52" borderId="0" applyNumberFormat="0" applyBorder="0" applyAlignment="0" applyProtection="0"/>
    <xf numFmtId="0" fontId="51" fillId="52" borderId="0" applyNumberFormat="0" applyBorder="0" applyAlignment="0" applyProtection="0"/>
    <xf numFmtId="0" fontId="51" fillId="52" borderId="0" applyNumberFormat="0" applyBorder="0" applyAlignment="0" applyProtection="0"/>
    <xf numFmtId="0" fontId="10" fillId="52" borderId="0" applyNumberFormat="0" applyBorder="0" applyAlignment="0" applyProtection="0"/>
    <xf numFmtId="0" fontId="10" fillId="52" borderId="0" applyNumberFormat="0" applyBorder="0" applyAlignment="0" applyProtection="0"/>
    <xf numFmtId="0" fontId="10" fillId="52" borderId="0" applyNumberFormat="0" applyBorder="0" applyAlignment="0" applyProtection="0"/>
    <xf numFmtId="0" fontId="10" fillId="52" borderId="0" applyNumberFormat="0" applyBorder="0" applyAlignment="0" applyProtection="0"/>
    <xf numFmtId="0" fontId="51" fillId="56" borderId="0" applyNumberFormat="0" applyBorder="0" applyAlignment="0" applyProtection="0"/>
    <xf numFmtId="0" fontId="51" fillId="56" borderId="0" applyNumberFormat="0" applyBorder="0" applyAlignment="0" applyProtection="0"/>
    <xf numFmtId="0" fontId="51" fillId="56" borderId="0" applyNumberFormat="0" applyBorder="0" applyAlignment="0" applyProtection="0"/>
    <xf numFmtId="0" fontId="10" fillId="56" borderId="0" applyNumberFormat="0" applyBorder="0" applyAlignment="0" applyProtection="0"/>
    <xf numFmtId="0" fontId="10" fillId="56" borderId="0" applyNumberFormat="0" applyBorder="0" applyAlignment="0" applyProtection="0"/>
    <xf numFmtId="0" fontId="10" fillId="56" borderId="0" applyNumberFormat="0" applyBorder="0" applyAlignment="0" applyProtection="0"/>
    <xf numFmtId="0" fontId="10" fillId="56" borderId="0" applyNumberFormat="0" applyBorder="0" applyAlignment="0" applyProtection="0"/>
    <xf numFmtId="0" fontId="51" fillId="60" borderId="0" applyNumberFormat="0" applyBorder="0" applyAlignment="0" applyProtection="0"/>
    <xf numFmtId="0" fontId="51" fillId="60" borderId="0" applyNumberFormat="0" applyBorder="0" applyAlignment="0" applyProtection="0"/>
    <xf numFmtId="0" fontId="51" fillId="60" borderId="0" applyNumberFormat="0" applyBorder="0" applyAlignment="0" applyProtection="0"/>
    <xf numFmtId="0" fontId="10" fillId="60" borderId="0" applyNumberFormat="0" applyBorder="0" applyAlignment="0" applyProtection="0"/>
    <xf numFmtId="0" fontId="10" fillId="60" borderId="0" applyNumberFormat="0" applyBorder="0" applyAlignment="0" applyProtection="0"/>
    <xf numFmtId="0" fontId="10" fillId="60" borderId="0" applyNumberFormat="0" applyBorder="0" applyAlignment="0" applyProtection="0"/>
    <xf numFmtId="0" fontId="10" fillId="60" borderId="0" applyNumberFormat="0" applyBorder="0" applyAlignment="0" applyProtection="0"/>
    <xf numFmtId="0" fontId="51" fillId="63" borderId="0" applyNumberFormat="0" applyBorder="0" applyAlignment="0" applyProtection="0"/>
    <xf numFmtId="0" fontId="51" fillId="63" borderId="0" applyNumberFormat="0" applyBorder="0" applyAlignment="0" applyProtection="0"/>
    <xf numFmtId="0" fontId="51" fillId="63" borderId="0" applyNumberFormat="0" applyBorder="0" applyAlignment="0" applyProtection="0"/>
    <xf numFmtId="0" fontId="10" fillId="63" borderId="0" applyNumberFormat="0" applyBorder="0" applyAlignment="0" applyProtection="0"/>
    <xf numFmtId="0" fontId="10" fillId="63" borderId="0" applyNumberFormat="0" applyBorder="0" applyAlignment="0" applyProtection="0"/>
    <xf numFmtId="0" fontId="10" fillId="63" borderId="0" applyNumberFormat="0" applyBorder="0" applyAlignment="0" applyProtection="0"/>
    <xf numFmtId="0" fontId="10" fillId="63" borderId="0" applyNumberFormat="0" applyBorder="0" applyAlignment="0" applyProtection="0"/>
    <xf numFmtId="0" fontId="51" fillId="66" borderId="0" applyNumberFormat="0" applyBorder="0" applyAlignment="0" applyProtection="0"/>
    <xf numFmtId="0" fontId="51" fillId="66" borderId="0" applyNumberFormat="0" applyBorder="0" applyAlignment="0" applyProtection="0"/>
    <xf numFmtId="0" fontId="51" fillId="66" borderId="0" applyNumberFormat="0" applyBorder="0" applyAlignment="0" applyProtection="0"/>
    <xf numFmtId="0" fontId="10" fillId="66" borderId="0" applyNumberFormat="0" applyBorder="0" applyAlignment="0" applyProtection="0"/>
    <xf numFmtId="0" fontId="10" fillId="66" borderId="0" applyNumberFormat="0" applyBorder="0" applyAlignment="0" applyProtection="0"/>
    <xf numFmtId="0" fontId="10" fillId="66" borderId="0" applyNumberFormat="0" applyBorder="0" applyAlignment="0" applyProtection="0"/>
    <xf numFmtId="0" fontId="10" fillId="66" borderId="0" applyNumberFormat="0" applyBorder="0" applyAlignment="0" applyProtection="0"/>
    <xf numFmtId="0" fontId="75" fillId="17" borderId="0" applyNumberFormat="0" applyBorder="0" applyAlignment="0" applyProtection="0"/>
    <xf numFmtId="0" fontId="12" fillId="17" borderId="0" applyNumberFormat="0" applyBorder="0" applyAlignment="0" applyProtection="0"/>
    <xf numFmtId="0" fontId="75" fillId="31" borderId="0" applyNumberFormat="0" applyBorder="0" applyAlignment="0" applyProtection="0"/>
    <xf numFmtId="0" fontId="51" fillId="31" borderId="0" applyNumberFormat="0" applyBorder="0" applyAlignment="0" applyProtection="0"/>
    <xf numFmtId="0" fontId="12" fillId="31" borderId="0" applyNumberFormat="0" applyBorder="0" applyAlignment="0" applyProtection="0"/>
    <xf numFmtId="0" fontId="51" fillId="53" borderId="0" applyNumberFormat="0" applyBorder="0" applyAlignment="0" applyProtection="0"/>
    <xf numFmtId="0" fontId="12" fillId="53" borderId="0" applyNumberFormat="0" applyBorder="0" applyAlignment="0" applyProtection="0"/>
    <xf numFmtId="0" fontId="51" fillId="57" borderId="0" applyNumberFormat="0" applyBorder="0" applyAlignment="0" applyProtection="0"/>
    <xf numFmtId="0" fontId="12" fillId="57" borderId="0" applyNumberFormat="0" applyBorder="0" applyAlignment="0" applyProtection="0"/>
    <xf numFmtId="0" fontId="51" fillId="20" borderId="0" applyNumberFormat="0" applyBorder="0" applyAlignment="0" applyProtection="0"/>
    <xf numFmtId="0" fontId="12" fillId="20" borderId="0" applyNumberFormat="0" applyBorder="0" applyAlignment="0" applyProtection="0"/>
    <xf numFmtId="0" fontId="51" fillId="32" borderId="0" applyNumberFormat="0" applyBorder="0" applyAlignment="0" applyProtection="0"/>
    <xf numFmtId="0" fontId="12" fillId="32" borderId="0" applyNumberFormat="0" applyBorder="0" applyAlignment="0" applyProtection="0"/>
    <xf numFmtId="0" fontId="76" fillId="18" borderId="42" applyNumberFormat="0" applyAlignment="0" applyProtection="0"/>
    <xf numFmtId="0" fontId="14" fillId="18" borderId="42" applyNumberFormat="0" applyAlignment="0" applyProtection="0"/>
    <xf numFmtId="0" fontId="77" fillId="45" borderId="106" applyNumberFormat="0" applyAlignment="0" applyProtection="0"/>
    <xf numFmtId="0" fontId="70" fillId="45" borderId="106" applyNumberFormat="0" applyAlignment="0" applyProtection="0"/>
    <xf numFmtId="0" fontId="78" fillId="22" borderId="0" applyNumberFormat="0" applyBorder="0" applyAlignment="0" applyProtection="0"/>
    <xf numFmtId="0" fontId="78" fillId="22" borderId="0" applyNumberFormat="0" applyBorder="0" applyAlignment="0" applyProtection="0"/>
    <xf numFmtId="0" fontId="17" fillId="22" borderId="0" applyNumberFormat="0" applyBorder="0" applyAlignment="0" applyProtection="0"/>
    <xf numFmtId="165" fontId="74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39" fillId="0" borderId="0" applyFont="0" applyFill="0" applyBorder="0" applyAlignment="0" applyProtection="0"/>
    <xf numFmtId="165" fontId="74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79" fillId="0" borderId="107" applyNumberFormat="0" applyFill="0" applyAlignment="0" applyProtection="0"/>
    <xf numFmtId="0" fontId="72" fillId="0" borderId="107" applyNumberFormat="0" applyFill="0" applyAlignment="0" applyProtection="0"/>
    <xf numFmtId="0" fontId="80" fillId="46" borderId="108" applyNumberFormat="0" applyAlignment="0" applyProtection="0"/>
    <xf numFmtId="0" fontId="15" fillId="46" borderId="108" applyNumberFormat="0" applyAlignment="0" applyProtection="0"/>
    <xf numFmtId="0" fontId="81" fillId="0" borderId="103" applyNumberFormat="0" applyFill="0" applyAlignment="0" applyProtection="0"/>
    <xf numFmtId="0" fontId="65" fillId="0" borderId="103" applyNumberFormat="0" applyFill="0" applyAlignment="0" applyProtection="0"/>
    <xf numFmtId="0" fontId="82" fillId="0" borderId="104" applyNumberFormat="0" applyFill="0" applyAlignment="0" applyProtection="0"/>
    <xf numFmtId="0" fontId="66" fillId="0" borderId="104" applyNumberFormat="0" applyFill="0" applyAlignment="0" applyProtection="0"/>
    <xf numFmtId="0" fontId="83" fillId="0" borderId="105" applyNumberFormat="0" applyFill="0" applyAlignment="0" applyProtection="0"/>
    <xf numFmtId="0" fontId="67" fillId="0" borderId="105" applyNumberFormat="0" applyFill="0" applyAlignment="0" applyProtection="0"/>
    <xf numFmtId="0" fontId="83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84" fillId="44" borderId="0" applyNumberFormat="0" applyBorder="0" applyAlignment="0" applyProtection="0"/>
    <xf numFmtId="0" fontId="84" fillId="44" borderId="0" applyNumberFormat="0" applyBorder="0" applyAlignment="0" applyProtection="0"/>
    <xf numFmtId="0" fontId="69" fillId="44" borderId="0" applyNumberFormat="0" applyBorder="0" applyAlignment="0" applyProtection="0"/>
    <xf numFmtId="0" fontId="10" fillId="0" borderId="0"/>
    <xf numFmtId="0" fontId="74" fillId="0" borderId="0"/>
    <xf numFmtId="0" fontId="10" fillId="0" borderId="0"/>
    <xf numFmtId="0" fontId="10" fillId="0" borderId="0"/>
    <xf numFmtId="0" fontId="85" fillId="45" borderId="42" applyNumberFormat="0" applyAlignment="0" applyProtection="0"/>
    <xf numFmtId="0" fontId="71" fillId="45" borderId="42" applyNumberFormat="0" applyAlignment="0" applyProtection="0"/>
    <xf numFmtId="0" fontId="86" fillId="0" borderId="109" applyNumberFormat="0" applyFill="0" applyAlignment="0" applyProtection="0"/>
    <xf numFmtId="0" fontId="8" fillId="0" borderId="109" applyNumberFormat="0" applyFill="0" applyAlignment="0" applyProtection="0"/>
    <xf numFmtId="0" fontId="87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4" fillId="19" borderId="43" applyNumberFormat="0" applyFont="0" applyAlignment="0" applyProtection="0"/>
    <xf numFmtId="0" fontId="39" fillId="19" borderId="43" applyNumberFormat="0" applyFont="0" applyAlignment="0" applyProtection="0"/>
    <xf numFmtId="0" fontId="10" fillId="19" borderId="43" applyNumberFormat="0" applyFont="0" applyAlignment="0" applyProtection="0"/>
    <xf numFmtId="0" fontId="90" fillId="43" borderId="0" applyNumberFormat="0" applyBorder="0" applyAlignment="0" applyProtection="0"/>
    <xf numFmtId="0" fontId="90" fillId="43" borderId="0" applyNumberFormat="0" applyBorder="0" applyAlignment="0" applyProtection="0"/>
    <xf numFmtId="0" fontId="68" fillId="43" borderId="0" applyNumberFormat="0" applyBorder="0" applyAlignment="0" applyProtection="0"/>
    <xf numFmtId="165" fontId="52" fillId="0" borderId="0" applyFont="0" applyFill="0" applyBorder="0" applyAlignment="0" applyProtection="0"/>
    <xf numFmtId="0" fontId="52" fillId="0" borderId="0"/>
    <xf numFmtId="0" fontId="94" fillId="0" borderId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</cellStyleXfs>
  <cellXfs count="1164">
    <xf numFmtId="0" fontId="0" fillId="0" borderId="0" xfId="0"/>
    <xf numFmtId="0" fontId="4" fillId="3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4" fillId="4" borderId="1" xfId="1" applyFont="1" applyFill="1" applyBorder="1" applyAlignment="1">
      <alignment horizontal="left" vertical="center" wrapText="1"/>
    </xf>
    <xf numFmtId="0" fontId="7" fillId="4" borderId="6" xfId="0" applyFont="1" applyFill="1" applyBorder="1" applyAlignment="1">
      <alignment horizontal="left"/>
    </xf>
    <xf numFmtId="0" fontId="7" fillId="4" borderId="6" xfId="0" applyFont="1" applyFill="1" applyBorder="1" applyAlignment="1">
      <alignment horizontal="left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3" fillId="6" borderId="3" xfId="1" applyFont="1" applyFill="1" applyBorder="1" applyAlignment="1">
      <alignment horizontal="center" vertical="center" wrapText="1"/>
    </xf>
    <xf numFmtId="0" fontId="3" fillId="5" borderId="6" xfId="1" applyFont="1" applyFill="1" applyBorder="1" applyAlignment="1">
      <alignment horizontal="center" vertical="center" wrapText="1"/>
    </xf>
    <xf numFmtId="0" fontId="3" fillId="4" borderId="6" xfId="1" applyFont="1" applyFill="1" applyBorder="1" applyAlignment="1">
      <alignment horizontal="center" vertical="center" wrapText="1"/>
    </xf>
    <xf numFmtId="0" fontId="3" fillId="3" borderId="6" xfId="1" applyFon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/>
    <xf numFmtId="0" fontId="1" fillId="5" borderId="1" xfId="0" applyFont="1" applyFill="1" applyBorder="1" applyAlignment="1">
      <alignment vertical="center"/>
    </xf>
    <xf numFmtId="0" fontId="3" fillId="6" borderId="1" xfId="1" applyFont="1" applyFill="1" applyBorder="1" applyAlignment="1">
      <alignment horizontal="center" vertical="center" wrapText="1"/>
    </xf>
    <xf numFmtId="0" fontId="4" fillId="5" borderId="1" xfId="1" applyFont="1" applyFill="1" applyBorder="1" applyAlignment="1">
      <alignment horizontal="left" vertical="center" wrapText="1"/>
    </xf>
    <xf numFmtId="0" fontId="3" fillId="5" borderId="1" xfId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vertical="center"/>
    </xf>
    <xf numFmtId="0" fontId="3" fillId="4" borderId="1" xfId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3" fillId="3" borderId="1" xfId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vertical="center"/>
    </xf>
    <xf numFmtId="0" fontId="4" fillId="7" borderId="1" xfId="1" applyFont="1" applyFill="1" applyBorder="1" applyAlignment="1">
      <alignment horizontal="left" vertical="center" wrapText="1"/>
    </xf>
    <xf numFmtId="1" fontId="0" fillId="9" borderId="1" xfId="0" applyNumberFormat="1" applyFill="1" applyBorder="1" applyAlignment="1">
      <alignment horizontal="center" vertical="center"/>
    </xf>
    <xf numFmtId="164" fontId="0" fillId="8" borderId="4" xfId="0" applyNumberFormat="1" applyFill="1" applyBorder="1" applyAlignment="1" applyProtection="1">
      <alignment horizontal="center" vertical="center"/>
      <protection locked="0"/>
    </xf>
    <xf numFmtId="164" fontId="0" fillId="8" borderId="1" xfId="0" applyNumberFormat="1" applyFill="1" applyBorder="1" applyAlignment="1" applyProtection="1">
      <alignment horizontal="center" vertical="center"/>
      <protection locked="0"/>
    </xf>
    <xf numFmtId="1" fontId="7" fillId="8" borderId="1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right" vertical="center"/>
    </xf>
    <xf numFmtId="9" fontId="0" fillId="3" borderId="1" xfId="3" applyFont="1" applyFill="1" applyBorder="1" applyAlignment="1" applyProtection="1">
      <alignment horizontal="center" vertical="center"/>
      <protection locked="0"/>
    </xf>
    <xf numFmtId="9" fontId="0" fillId="11" borderId="1" xfId="3" applyFont="1" applyFill="1" applyBorder="1" applyAlignment="1" applyProtection="1">
      <alignment horizontal="center" vertical="center"/>
      <protection locked="0"/>
    </xf>
    <xf numFmtId="9" fontId="0" fillId="0" borderId="1" xfId="3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 applyProtection="1">
      <alignment horizontal="center" vertical="center" wrapText="1"/>
      <protection locked="0"/>
    </xf>
    <xf numFmtId="43" fontId="11" fillId="2" borderId="1" xfId="2" applyFont="1" applyFill="1" applyBorder="1" applyProtection="1">
      <protection locked="0"/>
    </xf>
    <xf numFmtId="43" fontId="11" fillId="2" borderId="1" xfId="2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49" fontId="0" fillId="0" borderId="30" xfId="0" applyNumberFormat="1" applyBorder="1" applyAlignment="1">
      <alignment horizontal="center" vertical="center"/>
    </xf>
    <xf numFmtId="0" fontId="0" fillId="0" borderId="31" xfId="0" applyBorder="1"/>
    <xf numFmtId="0" fontId="0" fillId="0" borderId="23" xfId="0" applyBorder="1"/>
    <xf numFmtId="0" fontId="0" fillId="0" borderId="32" xfId="0" applyBorder="1"/>
    <xf numFmtId="0" fontId="9" fillId="0" borderId="0" xfId="0" quotePrefix="1" applyFont="1"/>
    <xf numFmtId="0" fontId="9" fillId="8" borderId="1" xfId="0" applyFont="1" applyFill="1" applyBorder="1" applyAlignment="1">
      <alignment horizontal="left" vertical="center" wrapText="1"/>
    </xf>
    <xf numFmtId="0" fontId="9" fillId="13" borderId="14" xfId="0" applyFont="1" applyFill="1" applyBorder="1" applyAlignment="1">
      <alignment horizontal="center" vertical="center" wrapText="1"/>
    </xf>
    <xf numFmtId="43" fontId="9" fillId="8" borderId="14" xfId="2" applyFont="1" applyFill="1" applyBorder="1" applyProtection="1"/>
    <xf numFmtId="43" fontId="9" fillId="8" borderId="37" xfId="2" applyFont="1" applyFill="1" applyBorder="1" applyProtection="1"/>
    <xf numFmtId="0" fontId="9" fillId="0" borderId="0" xfId="0" applyFont="1"/>
    <xf numFmtId="0" fontId="9" fillId="7" borderId="14" xfId="0" applyFont="1" applyFill="1" applyBorder="1" applyAlignment="1">
      <alignment horizontal="center" vertical="center" wrapText="1"/>
    </xf>
    <xf numFmtId="43" fontId="9" fillId="8" borderId="14" xfId="2" applyFont="1" applyFill="1" applyBorder="1" applyAlignment="1" applyProtection="1">
      <alignment horizontal="center"/>
    </xf>
    <xf numFmtId="43" fontId="9" fillId="8" borderId="37" xfId="2" applyFont="1" applyFill="1" applyBorder="1" applyAlignment="1" applyProtection="1">
      <alignment horizontal="center"/>
    </xf>
    <xf numFmtId="0" fontId="7" fillId="14" borderId="0" xfId="0" applyFont="1" applyFill="1" applyAlignment="1">
      <alignment horizontal="center"/>
    </xf>
    <xf numFmtId="0" fontId="9" fillId="8" borderId="39" xfId="0" applyFont="1" applyFill="1" applyBorder="1"/>
    <xf numFmtId="0" fontId="9" fillId="8" borderId="19" xfId="0" applyFont="1" applyFill="1" applyBorder="1"/>
    <xf numFmtId="0" fontId="9" fillId="8" borderId="40" xfId="0" applyFont="1" applyFill="1" applyBorder="1"/>
    <xf numFmtId="43" fontId="7" fillId="15" borderId="41" xfId="2" applyFont="1" applyFill="1" applyBorder="1" applyProtection="1"/>
    <xf numFmtId="43" fontId="9" fillId="8" borderId="19" xfId="2" applyFont="1" applyFill="1" applyBorder="1" applyProtection="1"/>
    <xf numFmtId="43" fontId="11" fillId="8" borderId="41" xfId="2" applyFont="1" applyFill="1" applyBorder="1" applyProtection="1"/>
    <xf numFmtId="0" fontId="9" fillId="0" borderId="19" xfId="0" applyFont="1" applyBorder="1"/>
    <xf numFmtId="43" fontId="9" fillId="0" borderId="0" xfId="2" applyFont="1" applyProtection="1"/>
    <xf numFmtId="165" fontId="9" fillId="0" borderId="0" xfId="0" applyNumberFormat="1" applyFont="1"/>
    <xf numFmtId="0" fontId="9" fillId="2" borderId="1" xfId="0" applyFont="1" applyFill="1" applyBorder="1" applyAlignment="1" applyProtection="1">
      <alignment horizontal="center" vertical="center"/>
      <protection locked="0"/>
    </xf>
    <xf numFmtId="0" fontId="7" fillId="0" borderId="0" xfId="0" applyFont="1"/>
    <xf numFmtId="0" fontId="12" fillId="17" borderId="0" xfId="4"/>
    <xf numFmtId="0" fontId="15" fillId="21" borderId="0" xfId="0" applyFont="1" applyFill="1"/>
    <xf numFmtId="0" fontId="0" fillId="19" borderId="43" xfId="6" applyFont="1"/>
    <xf numFmtId="0" fontId="0" fillId="0" borderId="1" xfId="0" applyBorder="1" applyAlignment="1">
      <alignment horizontal="center" vertical="center"/>
    </xf>
    <xf numFmtId="0" fontId="7" fillId="19" borderId="43" xfId="6" applyFont="1" applyProtection="1"/>
    <xf numFmtId="0" fontId="7" fillId="19" borderId="43" xfId="6" applyFont="1" applyAlignment="1" applyProtection="1">
      <alignment horizontal="center" vertical="center"/>
    </xf>
    <xf numFmtId="0" fontId="12" fillId="17" borderId="43" xfId="4" applyBorder="1"/>
    <xf numFmtId="0" fontId="12" fillId="17" borderId="43" xfId="4" applyBorder="1" applyProtection="1"/>
    <xf numFmtId="0" fontId="12" fillId="20" borderId="43" xfId="7" applyBorder="1"/>
    <xf numFmtId="0" fontId="12" fillId="20" borderId="0" xfId="7"/>
    <xf numFmtId="0" fontId="14" fillId="18" borderId="42" xfId="5"/>
    <xf numFmtId="166" fontId="0" fillId="0" borderId="0" xfId="2" applyNumberFormat="1" applyFont="1"/>
    <xf numFmtId="166" fontId="0" fillId="0" borderId="0" xfId="0" applyNumberFormat="1"/>
    <xf numFmtId="0" fontId="8" fillId="0" borderId="0" xfId="0" applyFont="1"/>
    <xf numFmtId="0" fontId="16" fillId="0" borderId="0" xfId="0" applyFont="1"/>
    <xf numFmtId="0" fontId="0" fillId="2" borderId="0" xfId="0" applyFill="1"/>
    <xf numFmtId="0" fontId="7" fillId="2" borderId="1" xfId="0" applyFont="1" applyFill="1" applyBorder="1"/>
    <xf numFmtId="1" fontId="0" fillId="0" borderId="0" xfId="0" applyNumberFormat="1"/>
    <xf numFmtId="14" fontId="16" fillId="0" borderId="0" xfId="0" applyNumberFormat="1" applyFont="1" applyProtection="1">
      <protection locked="0"/>
    </xf>
    <xf numFmtId="0" fontId="12" fillId="20" borderId="0" xfId="7" applyBorder="1"/>
    <xf numFmtId="3" fontId="17" fillId="22" borderId="0" xfId="8" applyNumberFormat="1"/>
    <xf numFmtId="0" fontId="18" fillId="8" borderId="1" xfId="0" applyFont="1" applyFill="1" applyBorder="1" applyAlignment="1">
      <alignment horizontal="left" vertical="center" wrapText="1"/>
    </xf>
    <xf numFmtId="0" fontId="9" fillId="8" borderId="1" xfId="0" applyFont="1" applyFill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43" fontId="9" fillId="0" borderId="5" xfId="2" applyFont="1" applyBorder="1" applyAlignment="1">
      <alignment horizontal="center" vertical="center" wrapText="1"/>
    </xf>
    <xf numFmtId="0" fontId="9" fillId="8" borderId="6" xfId="0" applyFont="1" applyFill="1" applyBorder="1" applyAlignment="1">
      <alignment horizontal="left" vertical="center" wrapText="1"/>
    </xf>
    <xf numFmtId="43" fontId="11" fillId="8" borderId="7" xfId="2" applyFont="1" applyFill="1" applyBorder="1" applyAlignment="1">
      <alignment horizontal="left" vertical="center"/>
    </xf>
    <xf numFmtId="0" fontId="9" fillId="23" borderId="6" xfId="0" applyFont="1" applyFill="1" applyBorder="1" applyAlignment="1">
      <alignment horizontal="left" vertical="center" wrapText="1"/>
    </xf>
    <xf numFmtId="0" fontId="18" fillId="8" borderId="6" xfId="0" applyFont="1" applyFill="1" applyBorder="1" applyAlignment="1">
      <alignment horizontal="left" vertical="center" wrapText="1"/>
    </xf>
    <xf numFmtId="0" fontId="9" fillId="8" borderId="8" xfId="0" applyFont="1" applyFill="1" applyBorder="1" applyAlignment="1">
      <alignment horizontal="left" vertical="center" wrapText="1"/>
    </xf>
    <xf numFmtId="0" fontId="9" fillId="8" borderId="9" xfId="0" applyFont="1" applyFill="1" applyBorder="1" applyAlignment="1">
      <alignment horizontal="left" vertical="center" wrapText="1"/>
    </xf>
    <xf numFmtId="43" fontId="11" fillId="8" borderId="10" xfId="2" applyFont="1" applyFill="1" applyBorder="1" applyAlignment="1">
      <alignment horizontal="left" vertical="center"/>
    </xf>
    <xf numFmtId="166" fontId="0" fillId="4" borderId="1" xfId="2" applyNumberFormat="1" applyFont="1" applyFill="1" applyBorder="1" applyAlignment="1">
      <alignment horizontal="center" vertical="center"/>
    </xf>
    <xf numFmtId="0" fontId="3" fillId="7" borderId="6" xfId="1" applyFont="1" applyFill="1" applyBorder="1" applyAlignment="1">
      <alignment horizontal="center" vertical="center" wrapText="1"/>
    </xf>
    <xf numFmtId="16" fontId="0" fillId="0" borderId="0" xfId="0" applyNumberFormat="1"/>
    <xf numFmtId="0" fontId="19" fillId="3" borderId="3" xfId="0" applyFont="1" applyFill="1" applyBorder="1"/>
    <xf numFmtId="0" fontId="16" fillId="3" borderId="4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11" xfId="0" applyFont="1" applyFill="1" applyBorder="1" applyAlignment="1">
      <alignment horizontal="center" vertical="center"/>
    </xf>
    <xf numFmtId="0" fontId="16" fillId="3" borderId="12" xfId="0" applyFont="1" applyFill="1" applyBorder="1" applyAlignment="1">
      <alignment horizontal="center" vertical="center" wrapText="1"/>
    </xf>
    <xf numFmtId="0" fontId="16" fillId="10" borderId="12" xfId="0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center" vertical="center" wrapText="1"/>
    </xf>
    <xf numFmtId="0" fontId="16" fillId="10" borderId="51" xfId="0" applyFont="1" applyFill="1" applyBorder="1" applyAlignment="1">
      <alignment horizontal="center" vertical="center" wrapText="1"/>
    </xf>
    <xf numFmtId="164" fontId="19" fillId="8" borderId="4" xfId="0" applyNumberFormat="1" applyFont="1" applyFill="1" applyBorder="1" applyAlignment="1" applyProtection="1">
      <alignment horizontal="center" vertical="center"/>
      <protection locked="0"/>
    </xf>
    <xf numFmtId="1" fontId="19" fillId="3" borderId="4" xfId="0" applyNumberFormat="1" applyFont="1" applyFill="1" applyBorder="1" applyAlignment="1">
      <alignment horizontal="center" vertical="center"/>
    </xf>
    <xf numFmtId="1" fontId="19" fillId="10" borderId="4" xfId="0" applyNumberFormat="1" applyFont="1" applyFill="1" applyBorder="1" applyAlignment="1">
      <alignment horizontal="center" vertical="center"/>
    </xf>
    <xf numFmtId="1" fontId="19" fillId="3" borderId="1" xfId="0" applyNumberFormat="1" applyFont="1" applyFill="1" applyBorder="1" applyAlignment="1">
      <alignment horizontal="center" vertical="center"/>
    </xf>
    <xf numFmtId="1" fontId="19" fillId="10" borderId="1" xfId="0" applyNumberFormat="1" applyFont="1" applyFill="1" applyBorder="1" applyAlignment="1">
      <alignment horizontal="center" vertical="center"/>
    </xf>
    <xf numFmtId="0" fontId="19" fillId="3" borderId="13" xfId="0" applyFont="1" applyFill="1" applyBorder="1" applyAlignment="1">
      <alignment horizontal="center" vertical="center"/>
    </xf>
    <xf numFmtId="0" fontId="19" fillId="23" borderId="14" xfId="0" applyFont="1" applyFill="1" applyBorder="1" applyAlignment="1" applyProtection="1">
      <alignment horizontal="center" vertical="center"/>
      <protection locked="0"/>
    </xf>
    <xf numFmtId="1" fontId="19" fillId="3" borderId="9" xfId="0" applyNumberFormat="1" applyFont="1" applyFill="1" applyBorder="1" applyAlignment="1">
      <alignment horizontal="center" vertical="center"/>
    </xf>
    <xf numFmtId="1" fontId="19" fillId="10" borderId="9" xfId="0" applyNumberFormat="1" applyFont="1" applyFill="1" applyBorder="1" applyAlignment="1">
      <alignment horizontal="center" vertical="center"/>
    </xf>
    <xf numFmtId="0" fontId="19" fillId="3" borderId="47" xfId="0" applyFont="1" applyFill="1" applyBorder="1" applyAlignment="1">
      <alignment horizontal="center" vertical="center"/>
    </xf>
    <xf numFmtId="0" fontId="19" fillId="3" borderId="18" xfId="0" applyFont="1" applyFill="1" applyBorder="1" applyAlignment="1">
      <alignment horizontal="left" vertical="center"/>
    </xf>
    <xf numFmtId="0" fontId="19" fillId="23" borderId="18" xfId="0" applyFont="1" applyFill="1" applyBorder="1" applyAlignment="1" applyProtection="1">
      <alignment horizontal="center" vertical="center"/>
      <protection locked="0"/>
    </xf>
    <xf numFmtId="0" fontId="19" fillId="3" borderId="45" xfId="0" applyFont="1" applyFill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3" borderId="51" xfId="0" applyFont="1" applyFill="1" applyBorder="1" applyAlignment="1">
      <alignment horizontal="center" vertical="center"/>
    </xf>
    <xf numFmtId="1" fontId="7" fillId="3" borderId="2" xfId="0" applyNumberFormat="1" applyFont="1" applyFill="1" applyBorder="1" applyAlignment="1">
      <alignment horizontal="center" vertical="center"/>
    </xf>
    <xf numFmtId="1" fontId="7" fillId="10" borderId="51" xfId="0" applyNumberFormat="1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left" vertical="center"/>
    </xf>
    <xf numFmtId="0" fontId="0" fillId="29" borderId="0" xfId="0" applyFill="1"/>
    <xf numFmtId="0" fontId="7" fillId="29" borderId="17" xfId="0" applyFont="1" applyFill="1" applyBorder="1"/>
    <xf numFmtId="0" fontId="8" fillId="29" borderId="0" xfId="0" applyFont="1" applyFill="1" applyAlignment="1">
      <alignment horizontal="center" vertical="center"/>
    </xf>
    <xf numFmtId="164" fontId="8" fillId="29" borderId="0" xfId="0" applyNumberFormat="1" applyFont="1" applyFill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23" borderId="4" xfId="0" applyFont="1" applyFill="1" applyBorder="1" applyAlignment="1" applyProtection="1">
      <alignment horizontal="center" vertical="center"/>
      <protection locked="0"/>
    </xf>
    <xf numFmtId="0" fontId="19" fillId="23" borderId="1" xfId="0" applyFont="1" applyFill="1" applyBorder="1" applyAlignment="1" applyProtection="1">
      <alignment horizontal="center" vertical="center"/>
      <protection locked="0"/>
    </xf>
    <xf numFmtId="0" fontId="19" fillId="23" borderId="9" xfId="0" applyFont="1" applyFill="1" applyBorder="1" applyAlignment="1" applyProtection="1">
      <alignment horizontal="center" vertical="center"/>
      <protection locked="0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left" vertical="center"/>
    </xf>
    <xf numFmtId="0" fontId="19" fillId="3" borderId="1" xfId="0" applyFont="1" applyFill="1" applyBorder="1" applyAlignment="1">
      <alignment horizontal="left" vertical="center"/>
    </xf>
    <xf numFmtId="0" fontId="20" fillId="10" borderId="3" xfId="0" applyFont="1" applyFill="1" applyBorder="1" applyAlignment="1" applyProtection="1">
      <alignment vertical="center"/>
      <protection locked="0"/>
    </xf>
    <xf numFmtId="0" fontId="21" fillId="25" borderId="4" xfId="1" applyFont="1" applyFill="1" applyBorder="1" applyAlignment="1" applyProtection="1">
      <alignment horizontal="center" vertical="center" wrapText="1"/>
      <protection locked="0"/>
    </xf>
    <xf numFmtId="0" fontId="21" fillId="10" borderId="4" xfId="1" applyFont="1" applyFill="1" applyBorder="1" applyAlignment="1" applyProtection="1">
      <alignment vertical="center" wrapText="1"/>
      <protection locked="0"/>
    </xf>
    <xf numFmtId="0" fontId="22" fillId="0" borderId="6" xfId="0" applyFont="1" applyBorder="1" applyAlignment="1" applyProtection="1">
      <alignment vertical="center"/>
      <protection locked="0"/>
    </xf>
    <xf numFmtId="0" fontId="23" fillId="10" borderId="1" xfId="1" applyFont="1" applyFill="1" applyBorder="1" applyAlignment="1" applyProtection="1">
      <alignment horizontal="center" vertical="center" wrapText="1"/>
      <protection locked="0"/>
    </xf>
    <xf numFmtId="0" fontId="21" fillId="10" borderId="1" xfId="1" applyFont="1" applyFill="1" applyBorder="1" applyAlignment="1" applyProtection="1">
      <alignment vertical="center" wrapText="1"/>
      <protection locked="0"/>
    </xf>
    <xf numFmtId="0" fontId="23" fillId="25" borderId="1" xfId="1" applyFont="1" applyFill="1" applyBorder="1" applyAlignment="1" applyProtection="1">
      <alignment horizontal="center" vertical="center" wrapText="1"/>
      <protection locked="0"/>
    </xf>
    <xf numFmtId="0" fontId="20" fillId="0" borderId="8" xfId="0" applyFont="1" applyBorder="1" applyAlignment="1" applyProtection="1">
      <alignment vertical="center"/>
      <protection locked="0"/>
    </xf>
    <xf numFmtId="0" fontId="21" fillId="25" borderId="9" xfId="1" applyFont="1" applyFill="1" applyBorder="1" applyAlignment="1" applyProtection="1">
      <alignment horizontal="center" vertical="center" wrapText="1"/>
      <protection locked="0"/>
    </xf>
    <xf numFmtId="0" fontId="21" fillId="10" borderId="9" xfId="1" applyFont="1" applyFill="1" applyBorder="1" applyAlignment="1" applyProtection="1">
      <alignment vertical="center" wrapText="1"/>
      <protection locked="0"/>
    </xf>
    <xf numFmtId="0" fontId="22" fillId="12" borderId="3" xfId="0" applyFont="1" applyFill="1" applyBorder="1" applyAlignment="1" applyProtection="1">
      <alignment vertical="center"/>
      <protection locked="0"/>
    </xf>
    <xf numFmtId="0" fontId="23" fillId="12" borderId="4" xfId="1" applyFont="1" applyFill="1" applyBorder="1" applyAlignment="1" applyProtection="1">
      <alignment horizontal="center" vertical="center" wrapText="1"/>
      <protection locked="0"/>
    </xf>
    <xf numFmtId="0" fontId="21" fillId="12" borderId="4" xfId="1" applyFont="1" applyFill="1" applyBorder="1" applyAlignment="1" applyProtection="1">
      <alignment vertical="center" wrapText="1"/>
      <protection locked="0"/>
    </xf>
    <xf numFmtId="0" fontId="20" fillId="12" borderId="6" xfId="0" applyFont="1" applyFill="1" applyBorder="1" applyAlignment="1" applyProtection="1">
      <alignment vertical="center"/>
      <protection locked="0"/>
    </xf>
    <xf numFmtId="0" fontId="21" fillId="28" borderId="1" xfId="1" applyFont="1" applyFill="1" applyBorder="1" applyAlignment="1" applyProtection="1">
      <alignment horizontal="center" vertical="center" wrapText="1"/>
      <protection locked="0"/>
    </xf>
    <xf numFmtId="0" fontId="21" fillId="12" borderId="1" xfId="1" applyFont="1" applyFill="1" applyBorder="1" applyAlignment="1" applyProtection="1">
      <alignment vertical="center" wrapText="1"/>
      <protection locked="0"/>
    </xf>
    <xf numFmtId="0" fontId="20" fillId="12" borderId="8" xfId="0" applyFont="1" applyFill="1" applyBorder="1" applyAlignment="1" applyProtection="1">
      <alignment vertical="center"/>
      <protection locked="0"/>
    </xf>
    <xf numFmtId="0" fontId="21" fillId="28" borderId="9" xfId="1" applyFont="1" applyFill="1" applyBorder="1" applyAlignment="1" applyProtection="1">
      <alignment horizontal="center" vertical="center" wrapText="1"/>
      <protection locked="0"/>
    </xf>
    <xf numFmtId="0" fontId="21" fillId="12" borderId="9" xfId="1" applyFont="1" applyFill="1" applyBorder="1" applyAlignment="1" applyProtection="1">
      <alignment vertical="center" wrapText="1"/>
      <protection locked="0"/>
    </xf>
    <xf numFmtId="0" fontId="20" fillId="13" borderId="3" xfId="0" applyFont="1" applyFill="1" applyBorder="1" applyAlignment="1" applyProtection="1">
      <alignment vertical="center"/>
      <protection locked="0"/>
    </xf>
    <xf numFmtId="0" fontId="21" fillId="24" borderId="4" xfId="1" applyFont="1" applyFill="1" applyBorder="1" applyAlignment="1" applyProtection="1">
      <alignment horizontal="center" vertical="center" wrapText="1"/>
      <protection locked="0"/>
    </xf>
    <xf numFmtId="0" fontId="21" fillId="13" borderId="4" xfId="1" applyFont="1" applyFill="1" applyBorder="1" applyAlignment="1" applyProtection="1">
      <alignment horizontal="left" vertical="center" wrapText="1"/>
      <protection locked="0"/>
    </xf>
    <xf numFmtId="0" fontId="22" fillId="13" borderId="8" xfId="0" applyFont="1" applyFill="1" applyBorder="1" applyAlignment="1" applyProtection="1">
      <alignment vertical="center"/>
      <protection locked="0"/>
    </xf>
    <xf numFmtId="0" fontId="23" fillId="24" borderId="9" xfId="1" applyFont="1" applyFill="1" applyBorder="1" applyAlignment="1" applyProtection="1">
      <alignment horizontal="center" vertical="center" wrapText="1"/>
      <protection locked="0"/>
    </xf>
    <xf numFmtId="0" fontId="21" fillId="13" borderId="9" xfId="1" applyFont="1" applyFill="1" applyBorder="1" applyAlignment="1" applyProtection="1">
      <alignment horizontal="left" vertical="center" wrapText="1"/>
      <protection locked="0"/>
    </xf>
    <xf numFmtId="0" fontId="20" fillId="23" borderId="3" xfId="0" applyFont="1" applyFill="1" applyBorder="1" applyAlignment="1" applyProtection="1">
      <alignment vertical="center"/>
      <protection locked="0"/>
    </xf>
    <xf numFmtId="0" fontId="21" fillId="27" borderId="4" xfId="1" applyFont="1" applyFill="1" applyBorder="1" applyAlignment="1" applyProtection="1">
      <alignment horizontal="center" vertical="center" wrapText="1"/>
      <protection locked="0"/>
    </xf>
    <xf numFmtId="0" fontId="21" fillId="23" borderId="4" xfId="1" applyFont="1" applyFill="1" applyBorder="1" applyAlignment="1" applyProtection="1">
      <alignment vertical="center" wrapText="1"/>
      <protection locked="0"/>
    </xf>
    <xf numFmtId="0" fontId="20" fillId="23" borderId="6" xfId="0" applyFont="1" applyFill="1" applyBorder="1" applyAlignment="1" applyProtection="1">
      <alignment vertical="center"/>
      <protection locked="0"/>
    </xf>
    <xf numFmtId="0" fontId="21" fillId="27" borderId="1" xfId="1" applyFont="1" applyFill="1" applyBorder="1" applyAlignment="1" applyProtection="1">
      <alignment horizontal="center" vertical="center" wrapText="1"/>
      <protection locked="0"/>
    </xf>
    <xf numFmtId="0" fontId="21" fillId="23" borderId="1" xfId="1" applyFont="1" applyFill="1" applyBorder="1" applyAlignment="1" applyProtection="1">
      <alignment vertical="center" wrapText="1"/>
      <protection locked="0"/>
    </xf>
    <xf numFmtId="0" fontId="20" fillId="11" borderId="6" xfId="0" applyFont="1" applyFill="1" applyBorder="1" applyAlignment="1" applyProtection="1">
      <alignment vertical="center"/>
      <protection locked="0"/>
    </xf>
    <xf numFmtId="0" fontId="21" fillId="26" borderId="1" xfId="1" applyFont="1" applyFill="1" applyBorder="1" applyAlignment="1" applyProtection="1">
      <alignment horizontal="center" vertical="center" wrapText="1"/>
      <protection locked="0"/>
    </xf>
    <xf numFmtId="0" fontId="21" fillId="11" borderId="1" xfId="1" applyFont="1" applyFill="1" applyBorder="1" applyAlignment="1" applyProtection="1">
      <alignment vertical="center" wrapText="1"/>
      <protection locked="0"/>
    </xf>
    <xf numFmtId="0" fontId="20" fillId="11" borderId="8" xfId="0" applyFont="1" applyFill="1" applyBorder="1" applyAlignment="1" applyProtection="1">
      <alignment vertical="center"/>
      <protection locked="0"/>
    </xf>
    <xf numFmtId="0" fontId="21" fillId="26" borderId="9" xfId="1" applyFont="1" applyFill="1" applyBorder="1" applyAlignment="1" applyProtection="1">
      <alignment horizontal="center" vertical="center" wrapText="1"/>
      <protection locked="0"/>
    </xf>
    <xf numFmtId="0" fontId="21" fillId="11" borderId="9" xfId="1" applyFont="1" applyFill="1" applyBorder="1" applyAlignment="1" applyProtection="1">
      <alignment vertical="center" wrapText="1"/>
      <protection locked="0"/>
    </xf>
    <xf numFmtId="0" fontId="22" fillId="0" borderId="3" xfId="0" applyFont="1" applyBorder="1" applyAlignment="1" applyProtection="1">
      <alignment vertical="center"/>
      <protection locked="0"/>
    </xf>
    <xf numFmtId="0" fontId="21" fillId="10" borderId="4" xfId="1" applyFont="1" applyFill="1" applyBorder="1" applyAlignment="1" applyProtection="1">
      <alignment horizontal="center" vertical="center" wrapText="1"/>
      <protection locked="0"/>
    </xf>
    <xf numFmtId="0" fontId="21" fillId="10" borderId="1" xfId="1" applyFont="1" applyFill="1" applyBorder="1" applyAlignment="1" applyProtection="1">
      <alignment horizontal="center" vertical="center" wrapText="1"/>
      <protection locked="0"/>
    </xf>
    <xf numFmtId="0" fontId="20" fillId="0" borderId="6" xfId="0" applyFont="1" applyBorder="1" applyAlignment="1" applyProtection="1">
      <alignment vertical="center"/>
      <protection locked="0"/>
    </xf>
    <xf numFmtId="0" fontId="22" fillId="0" borderId="8" xfId="0" applyFont="1" applyBorder="1" applyAlignment="1" applyProtection="1">
      <alignment vertical="center"/>
      <protection locked="0"/>
    </xf>
    <xf numFmtId="0" fontId="23" fillId="25" borderId="9" xfId="1" applyFont="1" applyFill="1" applyBorder="1" applyAlignment="1" applyProtection="1">
      <alignment horizontal="center" vertical="center" wrapText="1"/>
      <protection locked="0"/>
    </xf>
    <xf numFmtId="0" fontId="22" fillId="2" borderId="3" xfId="0" applyFont="1" applyFill="1" applyBorder="1" applyAlignment="1" applyProtection="1">
      <alignment vertical="center"/>
      <protection locked="0"/>
    </xf>
    <xf numFmtId="0" fontId="23" fillId="2" borderId="4" xfId="1" applyFont="1" applyFill="1" applyBorder="1" applyAlignment="1" applyProtection="1">
      <alignment horizontal="center" vertical="center" wrapText="1"/>
      <protection locked="0"/>
    </xf>
    <xf numFmtId="0" fontId="21" fillId="2" borderId="4" xfId="1" applyFont="1" applyFill="1" applyBorder="1" applyAlignment="1" applyProtection="1">
      <alignment vertical="center" wrapText="1"/>
      <protection locked="0"/>
    </xf>
    <xf numFmtId="0" fontId="22" fillId="2" borderId="8" xfId="0" applyFont="1" applyFill="1" applyBorder="1" applyAlignment="1" applyProtection="1">
      <alignment vertical="center"/>
      <protection locked="0"/>
    </xf>
    <xf numFmtId="0" fontId="23" fillId="2" borderId="9" xfId="1" applyFont="1" applyFill="1" applyBorder="1" applyAlignment="1" applyProtection="1">
      <alignment horizontal="center" vertical="center" wrapText="1"/>
      <protection locked="0"/>
    </xf>
    <xf numFmtId="0" fontId="21" fillId="2" borderId="9" xfId="1" applyFont="1" applyFill="1" applyBorder="1" applyAlignment="1" applyProtection="1">
      <alignment vertical="center" wrapText="1"/>
      <protection locked="0"/>
    </xf>
    <xf numFmtId="0" fontId="23" fillId="10" borderId="4" xfId="1" applyFont="1" applyFill="1" applyBorder="1" applyAlignment="1" applyProtection="1">
      <alignment horizontal="center" vertical="center" wrapText="1"/>
      <protection locked="0"/>
    </xf>
    <xf numFmtId="0" fontId="23" fillId="10" borderId="9" xfId="1" applyFont="1" applyFill="1" applyBorder="1" applyAlignment="1" applyProtection="1">
      <alignment horizontal="center" vertical="center" wrapText="1"/>
      <protection locked="0"/>
    </xf>
    <xf numFmtId="164" fontId="19" fillId="8" borderId="4" xfId="0" applyNumberFormat="1" applyFont="1" applyFill="1" applyBorder="1" applyAlignment="1">
      <alignment horizontal="center" vertical="center"/>
    </xf>
    <xf numFmtId="164" fontId="19" fillId="8" borderId="1" xfId="0" applyNumberFormat="1" applyFont="1" applyFill="1" applyBorder="1" applyAlignment="1">
      <alignment horizontal="center" vertical="center"/>
    </xf>
    <xf numFmtId="164" fontId="19" fillId="8" borderId="9" xfId="0" applyNumberFormat="1" applyFont="1" applyFill="1" applyBorder="1" applyAlignment="1">
      <alignment horizontal="center" vertical="center"/>
    </xf>
    <xf numFmtId="166" fontId="19" fillId="4" borderId="6" xfId="2" applyNumberFormat="1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left"/>
    </xf>
    <xf numFmtId="1" fontId="16" fillId="8" borderId="1" xfId="0" applyNumberFormat="1" applyFont="1" applyFill="1" applyBorder="1" applyAlignment="1" applyProtection="1">
      <alignment horizontal="center" vertical="center"/>
      <protection locked="0"/>
    </xf>
    <xf numFmtId="166" fontId="19" fillId="4" borderId="1" xfId="2" applyNumberFormat="1" applyFont="1" applyFill="1" applyBorder="1" applyAlignment="1">
      <alignment horizontal="center" vertical="center"/>
    </xf>
    <xf numFmtId="166" fontId="19" fillId="9" borderId="1" xfId="2" applyNumberFormat="1" applyFont="1" applyFill="1" applyBorder="1" applyAlignment="1">
      <alignment horizontal="center" vertical="center"/>
    </xf>
    <xf numFmtId="166" fontId="19" fillId="9" borderId="20" xfId="2" applyNumberFormat="1" applyFont="1" applyFill="1" applyBorder="1" applyAlignment="1">
      <alignment horizontal="center" vertical="center"/>
    </xf>
    <xf numFmtId="166" fontId="19" fillId="7" borderId="21" xfId="2" applyNumberFormat="1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left" vertical="center"/>
    </xf>
    <xf numFmtId="0" fontId="16" fillId="10" borderId="2" xfId="0" applyFont="1" applyFill="1" applyBorder="1" applyAlignment="1">
      <alignment horizontal="center" vertical="center"/>
    </xf>
    <xf numFmtId="1" fontId="19" fillId="10" borderId="2" xfId="0" applyNumberFormat="1" applyFont="1" applyFill="1" applyBorder="1" applyAlignment="1">
      <alignment horizontal="center" vertical="center"/>
    </xf>
    <xf numFmtId="166" fontId="19" fillId="10" borderId="2" xfId="2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49" fontId="19" fillId="8" borderId="4" xfId="0" applyNumberFormat="1" applyFont="1" applyFill="1" applyBorder="1" applyAlignment="1" applyProtection="1">
      <alignment horizontal="center" vertical="center"/>
      <protection locked="0"/>
    </xf>
    <xf numFmtId="49" fontId="19" fillId="8" borderId="1" xfId="0" applyNumberFormat="1" applyFont="1" applyFill="1" applyBorder="1" applyAlignment="1" applyProtection="1">
      <alignment horizontal="center" vertical="center"/>
      <protection locked="0"/>
    </xf>
    <xf numFmtId="49" fontId="19" fillId="8" borderId="9" xfId="0" applyNumberFormat="1" applyFont="1" applyFill="1" applyBorder="1" applyAlignment="1" applyProtection="1">
      <alignment horizontal="center" vertical="center"/>
      <protection locked="0"/>
    </xf>
    <xf numFmtId="1" fontId="16" fillId="8" borderId="18" xfId="0" applyNumberFormat="1" applyFont="1" applyFill="1" applyBorder="1" applyAlignment="1" applyProtection="1">
      <alignment horizontal="center" vertical="center"/>
      <protection locked="0"/>
    </xf>
    <xf numFmtId="166" fontId="19" fillId="9" borderId="14" xfId="2" applyNumberFormat="1" applyFont="1" applyFill="1" applyBorder="1" applyAlignment="1">
      <alignment horizontal="center" vertical="center"/>
    </xf>
    <xf numFmtId="166" fontId="19" fillId="4" borderId="54" xfId="2" applyNumberFormat="1" applyFont="1" applyFill="1" applyBorder="1" applyAlignment="1">
      <alignment horizontal="center" vertical="center"/>
    </xf>
    <xf numFmtId="166" fontId="19" fillId="4" borderId="19" xfId="2" applyNumberFormat="1" applyFont="1" applyFill="1" applyBorder="1" applyAlignment="1">
      <alignment horizontal="center" vertical="center"/>
    </xf>
    <xf numFmtId="166" fontId="19" fillId="2" borderId="19" xfId="2" applyNumberFormat="1" applyFont="1" applyFill="1" applyBorder="1" applyAlignment="1">
      <alignment horizontal="center" vertical="center"/>
    </xf>
    <xf numFmtId="14" fontId="0" fillId="0" borderId="0" xfId="0" applyNumberFormat="1"/>
    <xf numFmtId="0" fontId="0" fillId="15" borderId="0" xfId="0" applyFill="1"/>
    <xf numFmtId="0" fontId="9" fillId="2" borderId="9" xfId="0" applyFont="1" applyFill="1" applyBorder="1" applyAlignment="1" applyProtection="1">
      <alignment horizontal="center" vertical="center" wrapText="1"/>
      <protection locked="0"/>
    </xf>
    <xf numFmtId="0" fontId="0" fillId="10" borderId="0" xfId="0" applyFill="1"/>
    <xf numFmtId="0" fontId="27" fillId="0" borderId="1" xfId="0" applyFont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 wrapText="1"/>
      <protection locked="0"/>
    </xf>
    <xf numFmtId="0" fontId="28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8" fillId="7" borderId="0" xfId="0" applyFont="1" applyFill="1" applyAlignment="1" applyProtection="1">
      <alignment horizontal="center" vertical="center"/>
      <protection locked="0"/>
    </xf>
    <xf numFmtId="22" fontId="0" fillId="0" borderId="0" xfId="0" applyNumberFormat="1"/>
    <xf numFmtId="2" fontId="12" fillId="17" borderId="0" xfId="4" applyNumberFormat="1"/>
    <xf numFmtId="0" fontId="12" fillId="31" borderId="0" xfId="9"/>
    <xf numFmtId="43" fontId="7" fillId="0" borderId="1" xfId="2" applyFont="1" applyBorder="1" applyAlignment="1" applyProtection="1">
      <alignment horizontal="center" vertical="center"/>
    </xf>
    <xf numFmtId="43" fontId="7" fillId="19" borderId="43" xfId="2" applyFont="1" applyFill="1" applyBorder="1" applyAlignment="1" applyProtection="1">
      <alignment horizontal="center" vertical="center"/>
    </xf>
    <xf numFmtId="43" fontId="7" fillId="2" borderId="43" xfId="2" applyFont="1" applyFill="1" applyBorder="1" applyAlignment="1" applyProtection="1">
      <alignment horizontal="center" vertical="center"/>
    </xf>
    <xf numFmtId="0" fontId="7" fillId="2" borderId="43" xfId="6" applyFont="1" applyFill="1" applyProtection="1"/>
    <xf numFmtId="43" fontId="7" fillId="2" borderId="1" xfId="2" applyFont="1" applyFill="1" applyBorder="1" applyAlignment="1" applyProtection="1">
      <alignment horizontal="center" vertical="center"/>
    </xf>
    <xf numFmtId="0" fontId="12" fillId="32" borderId="0" xfId="10"/>
    <xf numFmtId="166" fontId="0" fillId="0" borderId="61" xfId="2" applyNumberFormat="1" applyFont="1" applyBorder="1"/>
    <xf numFmtId="166" fontId="0" fillId="0" borderId="62" xfId="2" applyNumberFormat="1" applyFont="1" applyBorder="1"/>
    <xf numFmtId="166" fontId="0" fillId="0" borderId="63" xfId="2" applyNumberFormat="1" applyFont="1" applyBorder="1"/>
    <xf numFmtId="166" fontId="0" fillId="0" borderId="39" xfId="2" applyNumberFormat="1" applyFont="1" applyBorder="1"/>
    <xf numFmtId="166" fontId="0" fillId="0" borderId="19" xfId="2" applyNumberFormat="1" applyFont="1" applyBorder="1"/>
    <xf numFmtId="166" fontId="0" fillId="0" borderId="40" xfId="2" applyNumberFormat="1" applyFont="1" applyBorder="1"/>
    <xf numFmtId="0" fontId="0" fillId="0" borderId="1" xfId="0" applyBorder="1" applyProtection="1">
      <protection locked="0"/>
    </xf>
    <xf numFmtId="0" fontId="3" fillId="2" borderId="6" xfId="1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/>
    </xf>
    <xf numFmtId="0" fontId="19" fillId="3" borderId="15" xfId="0" applyFont="1" applyFill="1" applyBorder="1" applyAlignment="1">
      <alignment horizontal="center" vertical="center"/>
    </xf>
    <xf numFmtId="166" fontId="19" fillId="4" borderId="46" xfId="2" applyNumberFormat="1" applyFont="1" applyFill="1" applyBorder="1" applyAlignment="1">
      <alignment horizontal="center" vertical="center"/>
    </xf>
    <xf numFmtId="166" fontId="19" fillId="7" borderId="2" xfId="2" applyNumberFormat="1" applyFont="1" applyFill="1" applyBorder="1" applyAlignment="1">
      <alignment horizontal="center" vertical="center"/>
    </xf>
    <xf numFmtId="43" fontId="0" fillId="0" borderId="0" xfId="2" applyFont="1"/>
    <xf numFmtId="166" fontId="12" fillId="20" borderId="0" xfId="7" applyNumberFormat="1"/>
    <xf numFmtId="166" fontId="12" fillId="17" borderId="69" xfId="4" applyNumberFormat="1" applyBorder="1"/>
    <xf numFmtId="0" fontId="15" fillId="17" borderId="68" xfId="4" applyFont="1" applyBorder="1" applyAlignment="1">
      <alignment horizontal="center"/>
    </xf>
    <xf numFmtId="0" fontId="30" fillId="2" borderId="0" xfId="10" applyFont="1" applyFill="1"/>
    <xf numFmtId="0" fontId="32" fillId="0" borderId="0" xfId="0" applyFont="1"/>
    <xf numFmtId="0" fontId="32" fillId="0" borderId="0" xfId="0" applyFont="1" applyAlignment="1">
      <alignment horizontal="center"/>
    </xf>
    <xf numFmtId="1" fontId="32" fillId="0" borderId="0" xfId="0" applyNumberFormat="1" applyFont="1"/>
    <xf numFmtId="0" fontId="33" fillId="0" borderId="0" xfId="0" applyFont="1"/>
    <xf numFmtId="3" fontId="32" fillId="0" borderId="0" xfId="0" applyNumberFormat="1" applyFont="1" applyAlignment="1">
      <alignment horizontal="right"/>
    </xf>
    <xf numFmtId="3" fontId="0" fillId="0" borderId="0" xfId="0" applyNumberFormat="1"/>
    <xf numFmtId="3" fontId="32" fillId="0" borderId="0" xfId="0" applyNumberFormat="1" applyFont="1"/>
    <xf numFmtId="43" fontId="12" fillId="31" borderId="0" xfId="9" applyNumberFormat="1"/>
    <xf numFmtId="3" fontId="12" fillId="17" borderId="0" xfId="4" applyNumberFormat="1"/>
    <xf numFmtId="166" fontId="12" fillId="32" borderId="0" xfId="2" applyNumberFormat="1" applyFont="1" applyFill="1"/>
    <xf numFmtId="0" fontId="23" fillId="23" borderId="1" xfId="1" applyFont="1" applyFill="1" applyBorder="1" applyAlignment="1" applyProtection="1">
      <alignment horizontal="center" vertical="center" wrapText="1"/>
      <protection locked="0"/>
    </xf>
    <xf numFmtId="0" fontId="20" fillId="11" borderId="13" xfId="0" applyFont="1" applyFill="1" applyBorder="1" applyAlignment="1" applyProtection="1">
      <alignment vertical="center"/>
      <protection locked="0"/>
    </xf>
    <xf numFmtId="0" fontId="21" fillId="26" borderId="14" xfId="1" applyFont="1" applyFill="1" applyBorder="1" applyAlignment="1" applyProtection="1">
      <alignment horizontal="center" vertical="center" wrapText="1"/>
      <protection locked="0"/>
    </xf>
    <xf numFmtId="0" fontId="21" fillId="11" borderId="14" xfId="1" applyFont="1" applyFill="1" applyBorder="1" applyAlignment="1" applyProtection="1">
      <alignment vertical="center" wrapText="1"/>
      <protection locked="0"/>
    </xf>
    <xf numFmtId="49" fontId="19" fillId="8" borderId="14" xfId="0" applyNumberFormat="1" applyFont="1" applyFill="1" applyBorder="1" applyAlignment="1" applyProtection="1">
      <alignment horizontal="center" vertical="center"/>
      <protection locked="0"/>
    </xf>
    <xf numFmtId="0" fontId="22" fillId="23" borderId="6" xfId="0" applyFont="1" applyFill="1" applyBorder="1" applyAlignment="1" applyProtection="1">
      <alignment vertical="center"/>
      <protection locked="0"/>
    </xf>
    <xf numFmtId="0" fontId="12" fillId="17" borderId="0" xfId="4" applyBorder="1"/>
    <xf numFmtId="0" fontId="0" fillId="0" borderId="14" xfId="0" applyBorder="1"/>
    <xf numFmtId="0" fontId="0" fillId="0" borderId="17" xfId="0" applyBorder="1"/>
    <xf numFmtId="0" fontId="0" fillId="0" borderId="18" xfId="0" applyBorder="1"/>
    <xf numFmtId="0" fontId="12" fillId="17" borderId="0" xfId="4" applyAlignment="1"/>
    <xf numFmtId="167" fontId="0" fillId="0" borderId="0" xfId="0" applyNumberFormat="1"/>
    <xf numFmtId="16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1" xfId="0" applyFont="1" applyFill="1" applyBorder="1" applyAlignment="1">
      <alignment horizontal="center" vertical="center"/>
    </xf>
    <xf numFmtId="0" fontId="7" fillId="7" borderId="53" xfId="0" applyFont="1" applyFill="1" applyBorder="1"/>
    <xf numFmtId="0" fontId="19" fillId="0" borderId="1" xfId="0" applyFont="1" applyBorder="1" applyAlignment="1" applyProtection="1">
      <alignment horizontal="center" vertical="center"/>
      <protection locked="0"/>
    </xf>
    <xf numFmtId="0" fontId="19" fillId="0" borderId="9" xfId="0" applyFont="1" applyBorder="1" applyAlignment="1" applyProtection="1">
      <alignment horizontal="center" vertical="center"/>
      <protection locked="0"/>
    </xf>
    <xf numFmtId="0" fontId="19" fillId="3" borderId="74" xfId="0" applyFont="1" applyFill="1" applyBorder="1" applyAlignment="1">
      <alignment horizontal="center" vertical="center"/>
    </xf>
    <xf numFmtId="0" fontId="19" fillId="3" borderId="75" xfId="0" applyFont="1" applyFill="1" applyBorder="1" applyAlignment="1">
      <alignment horizontal="left" vertical="center"/>
    </xf>
    <xf numFmtId="0" fontId="19" fillId="23" borderId="75" xfId="0" applyFont="1" applyFill="1" applyBorder="1" applyAlignment="1" applyProtection="1">
      <alignment horizontal="center" vertical="center"/>
      <protection locked="0"/>
    </xf>
    <xf numFmtId="0" fontId="19" fillId="3" borderId="75" xfId="0" applyFont="1" applyFill="1" applyBorder="1" applyAlignment="1">
      <alignment horizontal="center" vertical="center"/>
    </xf>
    <xf numFmtId="0" fontId="22" fillId="0" borderId="74" xfId="0" applyFont="1" applyBorder="1" applyAlignment="1" applyProtection="1">
      <alignment vertical="center"/>
      <protection locked="0"/>
    </xf>
    <xf numFmtId="0" fontId="23" fillId="10" borderId="75" xfId="1" applyFont="1" applyFill="1" applyBorder="1" applyAlignment="1" applyProtection="1">
      <alignment horizontal="center" vertical="center" wrapText="1"/>
      <protection locked="0"/>
    </xf>
    <xf numFmtId="0" fontId="21" fillId="10" borderId="75" xfId="1" applyFont="1" applyFill="1" applyBorder="1" applyAlignment="1" applyProtection="1">
      <alignment vertical="center" wrapText="1"/>
      <protection locked="0"/>
    </xf>
    <xf numFmtId="49" fontId="19" fillId="8" borderId="75" xfId="0" applyNumberFormat="1" applyFont="1" applyFill="1" applyBorder="1" applyAlignment="1" applyProtection="1">
      <alignment horizontal="center" vertical="center"/>
      <protection locked="0"/>
    </xf>
    <xf numFmtId="1" fontId="19" fillId="3" borderId="75" xfId="0" applyNumberFormat="1" applyFont="1" applyFill="1" applyBorder="1" applyAlignment="1">
      <alignment horizontal="center" vertical="center"/>
    </xf>
    <xf numFmtId="1" fontId="19" fillId="10" borderId="75" xfId="0" applyNumberFormat="1" applyFont="1" applyFill="1" applyBorder="1" applyAlignment="1">
      <alignment horizontal="center" vertical="center"/>
    </xf>
    <xf numFmtId="0" fontId="30" fillId="0" borderId="0" xfId="0" applyFont="1"/>
    <xf numFmtId="0" fontId="19" fillId="23" borderId="1" xfId="0" applyFont="1" applyFill="1" applyBorder="1" applyAlignment="1">
      <alignment horizontal="center" vertical="center"/>
    </xf>
    <xf numFmtId="0" fontId="19" fillId="23" borderId="9" xfId="0" applyFont="1" applyFill="1" applyBorder="1" applyAlignment="1">
      <alignment horizontal="center" vertical="center"/>
    </xf>
    <xf numFmtId="0" fontId="19" fillId="23" borderId="18" xfId="0" applyFont="1" applyFill="1" applyBorder="1" applyAlignment="1">
      <alignment horizontal="center" vertical="center"/>
    </xf>
    <xf numFmtId="0" fontId="19" fillId="23" borderId="75" xfId="0" applyFont="1" applyFill="1" applyBorder="1" applyAlignment="1">
      <alignment horizontal="center" vertical="center"/>
    </xf>
    <xf numFmtId="0" fontId="22" fillId="11" borderId="47" xfId="0" applyFont="1" applyFill="1" applyBorder="1" applyAlignment="1" applyProtection="1">
      <alignment vertical="center"/>
      <protection locked="0"/>
    </xf>
    <xf numFmtId="0" fontId="23" fillId="26" borderId="18" xfId="1" applyFont="1" applyFill="1" applyBorder="1" applyAlignment="1" applyProtection="1">
      <alignment horizontal="center" vertical="center" wrapText="1"/>
      <protection locked="0"/>
    </xf>
    <xf numFmtId="0" fontId="21" fillId="11" borderId="18" xfId="1" applyFont="1" applyFill="1" applyBorder="1" applyAlignment="1" applyProtection="1">
      <alignment vertical="center" wrapText="1"/>
      <protection locked="0"/>
    </xf>
    <xf numFmtId="49" fontId="19" fillId="8" borderId="18" xfId="0" applyNumberFormat="1" applyFont="1" applyFill="1" applyBorder="1" applyAlignment="1" applyProtection="1">
      <alignment horizontal="center" vertical="center"/>
      <protection locked="0"/>
    </xf>
    <xf numFmtId="0" fontId="19" fillId="23" borderId="46" xfId="0" applyFont="1" applyFill="1" applyBorder="1" applyAlignment="1" applyProtection="1">
      <alignment horizontal="center" vertical="center"/>
      <protection locked="0"/>
    </xf>
    <xf numFmtId="0" fontId="22" fillId="23" borderId="13" xfId="0" applyFont="1" applyFill="1" applyBorder="1" applyAlignment="1" applyProtection="1">
      <alignment vertical="center"/>
      <protection locked="0"/>
    </xf>
    <xf numFmtId="0" fontId="23" fillId="23" borderId="14" xfId="1" applyFont="1" applyFill="1" applyBorder="1" applyAlignment="1" applyProtection="1">
      <alignment horizontal="center" vertical="center" wrapText="1"/>
      <protection locked="0"/>
    </xf>
    <xf numFmtId="0" fontId="21" fillId="23" borderId="14" xfId="1" applyFont="1" applyFill="1" applyBorder="1" applyAlignment="1" applyProtection="1">
      <alignment vertical="center" wrapText="1"/>
      <protection locked="0"/>
    </xf>
    <xf numFmtId="0" fontId="26" fillId="0" borderId="22" xfId="0" applyFont="1" applyBorder="1" applyAlignment="1">
      <alignment horizontal="center"/>
    </xf>
    <xf numFmtId="0" fontId="25" fillId="23" borderId="1" xfId="0" applyFont="1" applyFill="1" applyBorder="1" applyAlignment="1">
      <alignment horizontal="center" vertical="center"/>
    </xf>
    <xf numFmtId="0" fontId="25" fillId="23" borderId="7" xfId="0" applyFont="1" applyFill="1" applyBorder="1" applyAlignment="1">
      <alignment horizontal="center" vertical="center"/>
    </xf>
    <xf numFmtId="0" fontId="25" fillId="23" borderId="6" xfId="0" applyFont="1" applyFill="1" applyBorder="1" applyAlignment="1">
      <alignment horizontal="center" vertical="center"/>
    </xf>
    <xf numFmtId="0" fontId="27" fillId="0" borderId="55" xfId="0" applyFont="1" applyBorder="1" applyAlignment="1">
      <alignment horizontal="center"/>
    </xf>
    <xf numFmtId="164" fontId="27" fillId="10" borderId="7" xfId="0" applyNumberFormat="1" applyFont="1" applyFill="1" applyBorder="1" applyAlignment="1">
      <alignment horizontal="center" vertical="center"/>
    </xf>
    <xf numFmtId="164" fontId="27" fillId="10" borderId="7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44" xfId="0" applyBorder="1"/>
    <xf numFmtId="0" fontId="27" fillId="3" borderId="9" xfId="0" applyFont="1" applyFill="1" applyBorder="1" applyAlignment="1">
      <alignment horizontal="center" vertical="center"/>
    </xf>
    <xf numFmtId="164" fontId="27" fillId="3" borderId="9" xfId="0" applyNumberFormat="1" applyFont="1" applyFill="1" applyBorder="1" applyAlignment="1">
      <alignment horizontal="center" vertical="center"/>
    </xf>
    <xf numFmtId="164" fontId="27" fillId="3" borderId="10" xfId="0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vertical="center"/>
    </xf>
    <xf numFmtId="0" fontId="27" fillId="3" borderId="8" xfId="0" applyFont="1" applyFill="1" applyBorder="1" applyAlignment="1">
      <alignment horizontal="center" vertical="center"/>
    </xf>
    <xf numFmtId="164" fontId="0" fillId="0" borderId="0" xfId="0" applyNumberFormat="1"/>
    <xf numFmtId="0" fontId="29" fillId="0" borderId="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9" xfId="0" applyFill="1" applyBorder="1" applyAlignment="1">
      <alignment horizontal="left"/>
    </xf>
    <xf numFmtId="0" fontId="20" fillId="10" borderId="47" xfId="0" applyFont="1" applyFill="1" applyBorder="1" applyAlignment="1" applyProtection="1">
      <alignment vertical="center"/>
      <protection locked="0"/>
    </xf>
    <xf numFmtId="0" fontId="21" fillId="25" borderId="18" xfId="1" applyFont="1" applyFill="1" applyBorder="1" applyAlignment="1" applyProtection="1">
      <alignment horizontal="center" vertical="center" wrapText="1"/>
      <protection locked="0"/>
    </xf>
    <xf numFmtId="0" fontId="21" fillId="10" borderId="18" xfId="1" applyFont="1" applyFill="1" applyBorder="1" applyAlignment="1" applyProtection="1">
      <alignment vertical="center" wrapText="1"/>
      <protection locked="0"/>
    </xf>
    <xf numFmtId="1" fontId="0" fillId="10" borderId="1" xfId="0" applyNumberFormat="1" applyFill="1" applyBorder="1" applyAlignment="1">
      <alignment horizontal="right"/>
    </xf>
    <xf numFmtId="1" fontId="0" fillId="10" borderId="1" xfId="0" applyNumberFormat="1" applyFill="1" applyBorder="1" applyAlignment="1">
      <alignment horizontal="left"/>
    </xf>
    <xf numFmtId="0" fontId="12" fillId="17" borderId="76" xfId="4" applyBorder="1"/>
    <xf numFmtId="0" fontId="12" fillId="17" borderId="77" xfId="4" applyBorder="1"/>
    <xf numFmtId="0" fontId="12" fillId="33" borderId="77" xfId="4" applyFill="1" applyBorder="1"/>
    <xf numFmtId="0" fontId="12" fillId="29" borderId="77" xfId="4" applyFill="1" applyBorder="1"/>
    <xf numFmtId="167" fontId="0" fillId="4" borderId="0" xfId="2" applyNumberFormat="1" applyFont="1" applyFill="1"/>
    <xf numFmtId="0" fontId="3" fillId="3" borderId="3" xfId="1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7" fillId="0" borderId="0" xfId="0" applyFont="1" applyAlignment="1">
      <alignment horizontal="center" vertical="center"/>
    </xf>
    <xf numFmtId="0" fontId="9" fillId="7" borderId="0" xfId="0" applyFont="1" applyFill="1" applyAlignment="1">
      <alignment horizontal="right" vertical="center"/>
    </xf>
    <xf numFmtId="0" fontId="7" fillId="7" borderId="0" xfId="0" applyFont="1" applyFill="1" applyAlignment="1">
      <alignment horizontal="center" vertical="center"/>
    </xf>
    <xf numFmtId="0" fontId="7" fillId="7" borderId="0" xfId="0" applyFont="1" applyFill="1"/>
    <xf numFmtId="43" fontId="7" fillId="3" borderId="43" xfId="2" applyFont="1" applyFill="1" applyBorder="1" applyAlignment="1" applyProtection="1">
      <alignment horizontal="center" vertical="center"/>
    </xf>
    <xf numFmtId="0" fontId="7" fillId="3" borderId="43" xfId="6" applyFont="1" applyFill="1" applyProtection="1"/>
    <xf numFmtId="43" fontId="7" fillId="29" borderId="1" xfId="2" applyFont="1" applyFill="1" applyBorder="1" applyAlignment="1" applyProtection="1">
      <alignment horizontal="center" vertical="center"/>
    </xf>
    <xf numFmtId="0" fontId="7" fillId="29" borderId="1" xfId="0" applyFont="1" applyFill="1" applyBorder="1"/>
    <xf numFmtId="1" fontId="8" fillId="3" borderId="4" xfId="0" applyNumberFormat="1" applyFont="1" applyFill="1" applyBorder="1" applyAlignment="1">
      <alignment horizontal="center" vertical="center" wrapText="1"/>
    </xf>
    <xf numFmtId="1" fontId="0" fillId="2" borderId="5" xfId="0" applyNumberForma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 wrapText="1"/>
    </xf>
    <xf numFmtId="1" fontId="0" fillId="2" borderId="7" xfId="0" applyNumberForma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/>
    </xf>
    <xf numFmtId="1" fontId="8" fillId="3" borderId="9" xfId="0" applyNumberFormat="1" applyFont="1" applyFill="1" applyBorder="1" applyAlignment="1">
      <alignment horizontal="center"/>
    </xf>
    <xf numFmtId="1" fontId="0" fillId="2" borderId="10" xfId="0" applyNumberFormat="1" applyFill="1" applyBorder="1" applyAlignment="1">
      <alignment horizontal="center" vertical="center"/>
    </xf>
    <xf numFmtId="1" fontId="8" fillId="3" borderId="9" xfId="0" applyNumberFormat="1" applyFont="1" applyFill="1" applyBorder="1" applyAlignment="1">
      <alignment horizontal="center" vertical="center"/>
    </xf>
    <xf numFmtId="0" fontId="0" fillId="3" borderId="4" xfId="0" applyFill="1" applyBorder="1" applyAlignment="1">
      <alignment horizontal="left" vertical="center" wrapText="1"/>
    </xf>
    <xf numFmtId="0" fontId="0" fillId="3" borderId="4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27" fillId="10" borderId="6" xfId="0" applyFont="1" applyFill="1" applyBorder="1" applyAlignment="1" applyProtection="1">
      <alignment horizontal="left" vertical="center" wrapText="1"/>
      <protection locked="0"/>
    </xf>
    <xf numFmtId="0" fontId="27" fillId="0" borderId="6" xfId="0" applyFont="1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/>
      <protection locked="0"/>
    </xf>
    <xf numFmtId="0" fontId="27" fillId="3" borderId="73" xfId="0" applyFont="1" applyFill="1" applyBorder="1" applyAlignment="1">
      <alignment horizontal="center" vertical="center"/>
    </xf>
    <xf numFmtId="0" fontId="27" fillId="3" borderId="53" xfId="0" applyFont="1" applyFill="1" applyBorder="1" applyAlignment="1">
      <alignment horizontal="center" vertical="center"/>
    </xf>
    <xf numFmtId="164" fontId="27" fillId="3" borderId="53" xfId="0" applyNumberFormat="1" applyFont="1" applyFill="1" applyBorder="1" applyAlignment="1">
      <alignment horizontal="center" vertical="center"/>
    </xf>
    <xf numFmtId="164" fontId="27" fillId="3" borderId="80" xfId="0" applyNumberFormat="1" applyFont="1" applyFill="1" applyBorder="1" applyAlignment="1">
      <alignment horizontal="center" vertical="center"/>
    </xf>
    <xf numFmtId="0" fontId="27" fillId="0" borderId="6" xfId="0" applyFont="1" applyBorder="1" applyAlignment="1" applyProtection="1">
      <alignment horizontal="left" vertical="center" wrapText="1"/>
      <protection locked="0"/>
    </xf>
    <xf numFmtId="0" fontId="27" fillId="10" borderId="8" xfId="0" applyFont="1" applyFill="1" applyBorder="1" applyAlignment="1" applyProtection="1">
      <alignment horizontal="left" vertical="center" wrapText="1"/>
      <protection locked="0"/>
    </xf>
    <xf numFmtId="0" fontId="27" fillId="10" borderId="9" xfId="0" applyFont="1" applyFill="1" applyBorder="1" applyAlignment="1" applyProtection="1">
      <alignment horizontal="center" vertical="center"/>
      <protection locked="0"/>
    </xf>
    <xf numFmtId="0" fontId="28" fillId="10" borderId="9" xfId="0" applyFont="1" applyFill="1" applyBorder="1" applyAlignment="1" applyProtection="1">
      <alignment horizontal="center" vertical="center"/>
      <protection locked="0"/>
    </xf>
    <xf numFmtId="164" fontId="27" fillId="10" borderId="10" xfId="0" applyNumberFormat="1" applyFont="1" applyFill="1" applyBorder="1" applyAlignment="1">
      <alignment horizontal="center" vertical="center" wrapText="1"/>
    </xf>
    <xf numFmtId="0" fontId="16" fillId="34" borderId="0" xfId="0" applyFont="1" applyFill="1"/>
    <xf numFmtId="0" fontId="0" fillId="3" borderId="0" xfId="0" applyFill="1"/>
    <xf numFmtId="1" fontId="19" fillId="10" borderId="56" xfId="0" applyNumberFormat="1" applyFont="1" applyFill="1" applyBorder="1" applyAlignment="1">
      <alignment horizontal="center" vertical="center"/>
    </xf>
    <xf numFmtId="1" fontId="19" fillId="10" borderId="54" xfId="0" applyNumberFormat="1" applyFont="1" applyFill="1" applyBorder="1" applyAlignment="1">
      <alignment horizontal="center" vertical="center"/>
    </xf>
    <xf numFmtId="1" fontId="19" fillId="10" borderId="58" xfId="0" applyNumberFormat="1" applyFont="1" applyFill="1" applyBorder="1" applyAlignment="1">
      <alignment horizontal="center" vertical="center"/>
    </xf>
    <xf numFmtId="0" fontId="29" fillId="36" borderId="25" xfId="0" applyFont="1" applyFill="1" applyBorder="1" applyAlignment="1">
      <alignment wrapText="1"/>
    </xf>
    <xf numFmtId="0" fontId="8" fillId="0" borderId="65" xfId="0" applyFont="1" applyBorder="1" applyAlignment="1">
      <alignment wrapText="1"/>
    </xf>
    <xf numFmtId="0" fontId="40" fillId="8" borderId="6" xfId="2" applyNumberFormat="1" applyFont="1" applyFill="1" applyBorder="1"/>
    <xf numFmtId="0" fontId="0" fillId="2" borderId="1" xfId="0" applyFill="1" applyBorder="1"/>
    <xf numFmtId="0" fontId="12" fillId="17" borderId="0" xfId="4" quotePrefix="1"/>
    <xf numFmtId="0" fontId="8" fillId="8" borderId="65" xfId="0" applyFont="1" applyFill="1" applyBorder="1" applyAlignment="1">
      <alignment wrapText="1"/>
    </xf>
    <xf numFmtId="0" fontId="19" fillId="36" borderId="68" xfId="0" applyFont="1" applyFill="1" applyBorder="1"/>
    <xf numFmtId="0" fontId="19" fillId="36" borderId="69" xfId="0" applyFont="1" applyFill="1" applyBorder="1"/>
    <xf numFmtId="0" fontId="19" fillId="36" borderId="87" xfId="0" applyFont="1" applyFill="1" applyBorder="1"/>
    <xf numFmtId="1" fontId="27" fillId="8" borderId="33" xfId="0" applyNumberFormat="1" applyFont="1" applyFill="1" applyBorder="1"/>
    <xf numFmtId="1" fontId="27" fillId="8" borderId="34" xfId="0" applyNumberFormat="1" applyFont="1" applyFill="1" applyBorder="1"/>
    <xf numFmtId="1" fontId="27" fillId="8" borderId="35" xfId="0" applyNumberFormat="1" applyFont="1" applyFill="1" applyBorder="1"/>
    <xf numFmtId="0" fontId="27" fillId="23" borderId="33" xfId="0" applyFont="1" applyFill="1" applyBorder="1"/>
    <xf numFmtId="0" fontId="27" fillId="23" borderId="34" xfId="0" applyFont="1" applyFill="1" applyBorder="1"/>
    <xf numFmtId="0" fontId="27" fillId="23" borderId="35" xfId="0" applyFont="1" applyFill="1" applyBorder="1"/>
    <xf numFmtId="1" fontId="27" fillId="8" borderId="57" xfId="0" applyNumberFormat="1" applyFont="1" applyFill="1" applyBorder="1"/>
    <xf numFmtId="1" fontId="27" fillId="8" borderId="1" xfId="0" applyNumberFormat="1" applyFont="1" applyFill="1" applyBorder="1"/>
    <xf numFmtId="1" fontId="27" fillId="8" borderId="71" xfId="0" applyNumberFormat="1" applyFont="1" applyFill="1" applyBorder="1"/>
    <xf numFmtId="1" fontId="27" fillId="8" borderId="82" xfId="0" applyNumberFormat="1" applyFont="1" applyFill="1" applyBorder="1"/>
    <xf numFmtId="1" fontId="27" fillId="8" borderId="83" xfId="0" applyNumberFormat="1" applyFont="1" applyFill="1" applyBorder="1"/>
    <xf numFmtId="1" fontId="27" fillId="8" borderId="84" xfId="0" applyNumberFormat="1" applyFont="1" applyFill="1" applyBorder="1"/>
    <xf numFmtId="0" fontId="27" fillId="0" borderId="18" xfId="0" applyFont="1" applyBorder="1"/>
    <xf numFmtId="0" fontId="27" fillId="0" borderId="0" xfId="0" applyFont="1"/>
    <xf numFmtId="1" fontId="27" fillId="0" borderId="18" xfId="0" applyNumberFormat="1" applyFont="1" applyBorder="1"/>
    <xf numFmtId="0" fontId="44" fillId="36" borderId="69" xfId="0" applyFont="1" applyFill="1" applyBorder="1"/>
    <xf numFmtId="43" fontId="7" fillId="10" borderId="1" xfId="2" applyFont="1" applyFill="1" applyBorder="1" applyAlignment="1" applyProtection="1">
      <alignment horizontal="center" vertical="center"/>
    </xf>
    <xf numFmtId="0" fontId="19" fillId="23" borderId="4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7" xfId="0" applyFont="1" applyFill="1" applyBorder="1" applyAlignment="1">
      <alignment horizontal="left" vertical="center"/>
    </xf>
    <xf numFmtId="0" fontId="22" fillId="0" borderId="13" xfId="0" applyFont="1" applyBorder="1" applyAlignment="1" applyProtection="1">
      <alignment vertical="center"/>
      <protection locked="0"/>
    </xf>
    <xf numFmtId="0" fontId="23" fillId="25" borderId="14" xfId="1" applyFont="1" applyFill="1" applyBorder="1" applyAlignment="1" applyProtection="1">
      <alignment horizontal="center" vertical="center" wrapText="1"/>
      <protection locked="0"/>
    </xf>
    <xf numFmtId="0" fontId="21" fillId="10" borderId="14" xfId="1" applyFont="1" applyFill="1" applyBorder="1" applyAlignment="1" applyProtection="1">
      <alignment vertical="center" wrapText="1"/>
      <protection locked="0"/>
    </xf>
    <xf numFmtId="0" fontId="19" fillId="23" borderId="14" xfId="0" applyFont="1" applyFill="1" applyBorder="1" applyAlignment="1">
      <alignment horizontal="center" vertical="center"/>
    </xf>
    <xf numFmtId="1" fontId="19" fillId="3" borderId="14" xfId="0" applyNumberFormat="1" applyFont="1" applyFill="1" applyBorder="1" applyAlignment="1">
      <alignment horizontal="center" vertical="center"/>
    </xf>
    <xf numFmtId="1" fontId="19" fillId="10" borderId="14" xfId="0" applyNumberFormat="1" applyFont="1" applyFill="1" applyBorder="1" applyAlignment="1">
      <alignment horizontal="center" vertical="center"/>
    </xf>
    <xf numFmtId="0" fontId="0" fillId="0" borderId="0" xfId="0" quotePrefix="1"/>
    <xf numFmtId="0" fontId="25" fillId="23" borderId="3" xfId="0" applyFont="1" applyFill="1" applyBorder="1" applyAlignment="1">
      <alignment horizontal="center" vertical="center"/>
    </xf>
    <xf numFmtId="0" fontId="25" fillId="23" borderId="4" xfId="0" applyFont="1" applyFill="1" applyBorder="1" applyAlignment="1">
      <alignment horizontal="center" vertical="center"/>
    </xf>
    <xf numFmtId="0" fontId="25" fillId="23" borderId="5" xfId="0" applyFont="1" applyFill="1" applyBorder="1" applyAlignment="1">
      <alignment horizontal="center" vertical="center"/>
    </xf>
    <xf numFmtId="0" fontId="53" fillId="0" borderId="33" xfId="0" applyFont="1" applyBorder="1" applyAlignment="1">
      <alignment horizontal="center" vertical="center" wrapText="1"/>
    </xf>
    <xf numFmtId="0" fontId="53" fillId="0" borderId="34" xfId="0" applyFont="1" applyBorder="1" applyAlignment="1">
      <alignment horizontal="center" vertical="center" wrapText="1"/>
    </xf>
    <xf numFmtId="43" fontId="53" fillId="0" borderId="34" xfId="2" applyFont="1" applyBorder="1" applyAlignment="1" applyProtection="1">
      <alignment horizontal="center" vertical="center" wrapText="1"/>
    </xf>
    <xf numFmtId="43" fontId="53" fillId="0" borderId="35" xfId="2" applyFont="1" applyBorder="1" applyAlignment="1" applyProtection="1">
      <alignment horizontal="center" vertical="center" wrapText="1"/>
    </xf>
    <xf numFmtId="0" fontId="9" fillId="37" borderId="14" xfId="0" applyFont="1" applyFill="1" applyBorder="1" applyAlignment="1">
      <alignment horizontal="center" vertical="center" wrapText="1"/>
    </xf>
    <xf numFmtId="164" fontId="9" fillId="0" borderId="19" xfId="0" applyNumberFormat="1" applyFont="1" applyBorder="1"/>
    <xf numFmtId="165" fontId="9" fillId="2" borderId="0" xfId="0" applyNumberFormat="1" applyFont="1" applyFill="1"/>
    <xf numFmtId="0" fontId="9" fillId="10" borderId="0" xfId="0" applyFont="1" applyFill="1"/>
    <xf numFmtId="43" fontId="9" fillId="10" borderId="0" xfId="2" applyFont="1" applyFill="1" applyBorder="1" applyProtection="1"/>
    <xf numFmtId="165" fontId="9" fillId="10" borderId="0" xfId="0" applyNumberFormat="1" applyFont="1" applyFill="1"/>
    <xf numFmtId="0" fontId="9" fillId="10" borderId="0" xfId="0" applyFont="1" applyFill="1" applyAlignment="1">
      <alignment horizontal="left" vertical="center" wrapText="1"/>
    </xf>
    <xf numFmtId="0" fontId="9" fillId="10" borderId="0" xfId="0" applyFont="1" applyFill="1" applyAlignment="1" applyProtection="1">
      <alignment horizontal="center" vertical="center" wrapText="1"/>
      <protection locked="0"/>
    </xf>
    <xf numFmtId="0" fontId="9" fillId="10" borderId="0" xfId="0" applyFont="1" applyFill="1" applyAlignment="1">
      <alignment horizontal="center" vertical="center" wrapText="1"/>
    </xf>
    <xf numFmtId="43" fontId="11" fillId="10" borderId="0" xfId="2" applyFont="1" applyFill="1" applyBorder="1" applyProtection="1">
      <protection locked="0"/>
    </xf>
    <xf numFmtId="0" fontId="9" fillId="10" borderId="0" xfId="0" applyFont="1" applyFill="1" applyAlignment="1" applyProtection="1">
      <alignment horizontal="center" vertical="center"/>
      <protection locked="0"/>
    </xf>
    <xf numFmtId="0" fontId="7" fillId="10" borderId="0" xfId="0" applyFont="1" applyFill="1" applyAlignment="1">
      <alignment horizontal="center"/>
    </xf>
    <xf numFmtId="43" fontId="7" fillId="10" borderId="0" xfId="2" applyFont="1" applyFill="1" applyBorder="1" applyProtection="1"/>
    <xf numFmtId="43" fontId="11" fillId="10" borderId="0" xfId="2" applyFont="1" applyFill="1" applyBorder="1" applyProtection="1"/>
    <xf numFmtId="43" fontId="9" fillId="10" borderId="0" xfId="2" applyFont="1" applyFill="1" applyBorder="1" applyAlignment="1" applyProtection="1">
      <alignment horizontal="center" vertical="center"/>
    </xf>
    <xf numFmtId="43" fontId="9" fillId="10" borderId="0" xfId="2" applyFont="1" applyFill="1" applyBorder="1" applyAlignment="1" applyProtection="1">
      <alignment horizontal="center" vertical="center"/>
      <protection locked="0"/>
    </xf>
    <xf numFmtId="164" fontId="9" fillId="0" borderId="0" xfId="0" applyNumberFormat="1" applyFont="1"/>
    <xf numFmtId="43" fontId="7" fillId="38" borderId="1" xfId="2" applyFont="1" applyFill="1" applyBorder="1" applyAlignment="1" applyProtection="1">
      <alignment horizontal="center" vertical="center"/>
    </xf>
    <xf numFmtId="0" fontId="38" fillId="10" borderId="1" xfId="0" applyFont="1" applyFill="1" applyBorder="1"/>
    <xf numFmtId="0" fontId="16" fillId="10" borderId="0" xfId="0" applyFont="1" applyFill="1" applyAlignment="1">
      <alignment horizontal="center" vertical="center"/>
    </xf>
    <xf numFmtId="1" fontId="19" fillId="10" borderId="0" xfId="0" applyNumberFormat="1" applyFont="1" applyFill="1" applyAlignment="1">
      <alignment horizontal="center" vertical="center"/>
    </xf>
    <xf numFmtId="166" fontId="19" fillId="10" borderId="0" xfId="2" applyNumberFormat="1" applyFont="1" applyFill="1" applyBorder="1" applyAlignment="1">
      <alignment horizontal="center" vertical="center"/>
    </xf>
    <xf numFmtId="0" fontId="0" fillId="10" borderId="1" xfId="0" applyFill="1" applyBorder="1"/>
    <xf numFmtId="3" fontId="0" fillId="39" borderId="1" xfId="0" applyNumberFormat="1" applyFill="1" applyBorder="1"/>
    <xf numFmtId="3" fontId="0" fillId="10" borderId="1" xfId="0" applyNumberFormat="1" applyFill="1" applyBorder="1"/>
    <xf numFmtId="3" fontId="34" fillId="39" borderId="1" xfId="0" applyNumberFormat="1" applyFont="1" applyFill="1" applyBorder="1"/>
    <xf numFmtId="0" fontId="41" fillId="10" borderId="1" xfId="11" applyFont="1" applyFill="1" applyBorder="1" applyAlignment="1">
      <alignment horizontal="right"/>
    </xf>
    <xf numFmtId="0" fontId="41" fillId="10" borderId="1" xfId="11" applyFont="1" applyFill="1" applyBorder="1"/>
    <xf numFmtId="0" fontId="42" fillId="10" borderId="1" xfId="11" applyFont="1" applyFill="1" applyBorder="1" applyAlignment="1">
      <alignment horizontal="right"/>
    </xf>
    <xf numFmtId="0" fontId="7" fillId="0" borderId="17" xfId="0" applyFont="1" applyBorder="1"/>
    <xf numFmtId="169" fontId="0" fillId="0" borderId="0" xfId="0" applyNumberFormat="1"/>
    <xf numFmtId="3" fontId="37" fillId="39" borderId="1" xfId="0" applyNumberFormat="1" applyFont="1" applyFill="1" applyBorder="1" applyAlignment="1">
      <alignment horizontal="center" vertical="center" wrapText="1"/>
    </xf>
    <xf numFmtId="0" fontId="12" fillId="7" borderId="0" xfId="4" applyFill="1"/>
    <xf numFmtId="0" fontId="4" fillId="5" borderId="29" xfId="1" applyFont="1" applyFill="1" applyBorder="1" applyAlignment="1">
      <alignment horizontal="left" vertical="center" wrapText="1"/>
    </xf>
    <xf numFmtId="0" fontId="19" fillId="23" borderId="17" xfId="0" applyFont="1" applyFill="1" applyBorder="1" applyAlignment="1" applyProtection="1">
      <alignment horizontal="center" vertical="center"/>
      <protection locked="0"/>
    </xf>
    <xf numFmtId="1" fontId="19" fillId="3" borderId="18" xfId="0" applyNumberFormat="1" applyFont="1" applyFill="1" applyBorder="1" applyAlignment="1">
      <alignment horizontal="center" vertical="center"/>
    </xf>
    <xf numFmtId="1" fontId="19" fillId="10" borderId="18" xfId="0" applyNumberFormat="1" applyFont="1" applyFill="1" applyBorder="1" applyAlignment="1">
      <alignment horizontal="center" vertical="center"/>
    </xf>
    <xf numFmtId="1" fontId="19" fillId="10" borderId="60" xfId="0" applyNumberFormat="1" applyFont="1" applyFill="1" applyBorder="1" applyAlignment="1">
      <alignment horizontal="center" vertical="center"/>
    </xf>
    <xf numFmtId="43" fontId="9" fillId="8" borderId="1" xfId="2" applyFont="1" applyFill="1" applyBorder="1" applyAlignment="1" applyProtection="1">
      <alignment horizontal="center" vertical="center"/>
    </xf>
    <xf numFmtId="43" fontId="9" fillId="8" borderId="4" xfId="2" applyFont="1" applyFill="1" applyBorder="1" applyAlignment="1" applyProtection="1">
      <alignment horizontal="center" vertical="center"/>
    </xf>
    <xf numFmtId="168" fontId="9" fillId="8" borderId="5" xfId="3" applyNumberFormat="1" applyFont="1" applyFill="1" applyBorder="1" applyAlignment="1" applyProtection="1">
      <alignment horizontal="center" vertical="center"/>
    </xf>
    <xf numFmtId="168" fontId="9" fillId="8" borderId="7" xfId="3" applyNumberFormat="1" applyFont="1" applyFill="1" applyBorder="1" applyAlignment="1" applyProtection="1">
      <alignment horizontal="center" vertical="center"/>
    </xf>
    <xf numFmtId="168" fontId="9" fillId="8" borderId="10" xfId="3" applyNumberFormat="1" applyFont="1" applyFill="1" applyBorder="1" applyAlignment="1" applyProtection="1">
      <alignment horizontal="center" vertical="center"/>
    </xf>
    <xf numFmtId="3" fontId="0" fillId="40" borderId="0" xfId="0" applyNumberFormat="1" applyFill="1"/>
    <xf numFmtId="0" fontId="1" fillId="10" borderId="1" xfId="0" applyFont="1" applyFill="1" applyBorder="1" applyAlignment="1">
      <alignment vertical="center"/>
    </xf>
    <xf numFmtId="0" fontId="3" fillId="10" borderId="1" xfId="1" applyFont="1" applyFill="1" applyBorder="1" applyAlignment="1">
      <alignment horizontal="center" vertical="center" wrapText="1"/>
    </xf>
    <xf numFmtId="0" fontId="4" fillId="10" borderId="29" xfId="1" applyFont="1" applyFill="1" applyBorder="1" applyAlignment="1">
      <alignment horizontal="left" vertical="center" wrapText="1"/>
    </xf>
    <xf numFmtId="0" fontId="7" fillId="10" borderId="1" xfId="0" applyFont="1" applyFill="1" applyBorder="1" applyAlignment="1">
      <alignment horizontal="center" vertical="center"/>
    </xf>
    <xf numFmtId="43" fontId="7" fillId="10" borderId="43" xfId="2" applyFont="1" applyFill="1" applyBorder="1" applyAlignment="1" applyProtection="1">
      <alignment horizontal="center" vertical="center"/>
    </xf>
    <xf numFmtId="0" fontId="15" fillId="15" borderId="49" xfId="0" applyFont="1" applyFill="1" applyBorder="1" applyAlignment="1">
      <alignment horizontal="center" vertical="center"/>
    </xf>
    <xf numFmtId="0" fontId="15" fillId="15" borderId="17" xfId="0" applyFont="1" applyFill="1" applyBorder="1" applyAlignment="1">
      <alignment horizontal="center" vertical="center"/>
    </xf>
    <xf numFmtId="164" fontId="19" fillId="8" borderId="5" xfId="0" applyNumberFormat="1" applyFont="1" applyFill="1" applyBorder="1" applyAlignment="1">
      <alignment horizontal="center" vertical="center"/>
    </xf>
    <xf numFmtId="164" fontId="19" fillId="8" borderId="7" xfId="0" applyNumberFormat="1" applyFont="1" applyFill="1" applyBorder="1" applyAlignment="1">
      <alignment horizontal="center" vertical="center"/>
    </xf>
    <xf numFmtId="164" fontId="19" fillId="8" borderId="10" xfId="0" applyNumberFormat="1" applyFont="1" applyFill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7" fillId="16" borderId="49" xfId="0" applyFont="1" applyFill="1" applyBorder="1" applyAlignment="1">
      <alignment horizontal="center" vertical="center"/>
    </xf>
    <xf numFmtId="0" fontId="3" fillId="4" borderId="13" xfId="1" applyFont="1" applyFill="1" applyBorder="1" applyAlignment="1">
      <alignment horizontal="center" vertical="center" wrapText="1"/>
    </xf>
    <xf numFmtId="0" fontId="4" fillId="4" borderId="14" xfId="1" applyFont="1" applyFill="1" applyBorder="1" applyAlignment="1">
      <alignment horizontal="left" vertical="center" wrapText="1"/>
    </xf>
    <xf numFmtId="0" fontId="3" fillId="4" borderId="47" xfId="1" applyFont="1" applyFill="1" applyBorder="1" applyAlignment="1">
      <alignment horizontal="center" vertical="center" wrapText="1"/>
    </xf>
    <xf numFmtId="0" fontId="4" fillId="4" borderId="18" xfId="1" applyFont="1" applyFill="1" applyBorder="1" applyAlignment="1">
      <alignment horizontal="left" vertical="center" wrapText="1"/>
    </xf>
    <xf numFmtId="0" fontId="45" fillId="34" borderId="6" xfId="1" applyFont="1" applyFill="1" applyBorder="1" applyAlignment="1">
      <alignment horizontal="center" vertical="center" wrapText="1"/>
    </xf>
    <xf numFmtId="0" fontId="3" fillId="5" borderId="8" xfId="1" applyFont="1" applyFill="1" applyBorder="1" applyAlignment="1">
      <alignment horizontal="center" vertical="center" wrapText="1"/>
    </xf>
    <xf numFmtId="0" fontId="3" fillId="2" borderId="3" xfId="1" applyFont="1" applyFill="1" applyBorder="1" applyAlignment="1">
      <alignment horizontal="center" vertical="center" wrapText="1"/>
    </xf>
    <xf numFmtId="0" fontId="3" fillId="7" borderId="8" xfId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166" fontId="19" fillId="9" borderId="17" xfId="2" applyNumberFormat="1" applyFont="1" applyFill="1" applyBorder="1" applyAlignment="1">
      <alignment horizontal="center" vertical="center"/>
    </xf>
    <xf numFmtId="0" fontId="0" fillId="40" borderId="0" xfId="0" applyFill="1"/>
    <xf numFmtId="171" fontId="0" fillId="0" borderId="0" xfId="0" applyNumberFormat="1"/>
    <xf numFmtId="43" fontId="16" fillId="0" borderId="49" xfId="2" applyFont="1" applyBorder="1" applyAlignment="1" applyProtection="1">
      <alignment horizontal="center" vertical="center" wrapText="1"/>
    </xf>
    <xf numFmtId="43" fontId="16" fillId="0" borderId="78" xfId="2" applyFont="1" applyBorder="1" applyAlignment="1" applyProtection="1">
      <alignment horizontal="center" vertical="center" wrapText="1"/>
    </xf>
    <xf numFmtId="43" fontId="9" fillId="8" borderId="12" xfId="2" applyFont="1" applyFill="1" applyBorder="1" applyAlignment="1" applyProtection="1">
      <alignment horizontal="center" vertical="center"/>
    </xf>
    <xf numFmtId="171" fontId="7" fillId="15" borderId="12" xfId="50" applyNumberFormat="1" applyFont="1" applyFill="1" applyBorder="1" applyAlignment="1" applyProtection="1">
      <alignment horizontal="center" vertical="center"/>
    </xf>
    <xf numFmtId="168" fontId="11" fillId="8" borderId="92" xfId="3" applyNumberFormat="1" applyFont="1" applyFill="1" applyBorder="1" applyAlignment="1" applyProtection="1">
      <alignment horizontal="center" vertical="center"/>
    </xf>
    <xf numFmtId="171" fontId="9" fillId="0" borderId="0" xfId="50" applyNumberFormat="1" applyFont="1" applyProtection="1"/>
    <xf numFmtId="43" fontId="9" fillId="7" borderId="9" xfId="2" applyFont="1" applyFill="1" applyBorder="1" applyAlignment="1" applyProtection="1">
      <alignment horizontal="center" vertical="center"/>
    </xf>
    <xf numFmtId="0" fontId="29" fillId="7" borderId="2" xfId="0" applyFont="1" applyFill="1" applyBorder="1" applyAlignment="1">
      <alignment horizontal="center" vertical="center"/>
    </xf>
    <xf numFmtId="166" fontId="9" fillId="2" borderId="3" xfId="2" applyNumberFormat="1" applyFont="1" applyFill="1" applyBorder="1" applyAlignment="1" applyProtection="1">
      <alignment horizontal="center" vertical="center"/>
    </xf>
    <xf numFmtId="9" fontId="9" fillId="2" borderId="72" xfId="3" applyFont="1" applyFill="1" applyBorder="1" applyAlignment="1" applyProtection="1">
      <alignment horizontal="center" vertical="center" wrapText="1"/>
    </xf>
    <xf numFmtId="9" fontId="18" fillId="2" borderId="4" xfId="3" applyFont="1" applyFill="1" applyBorder="1" applyAlignment="1" applyProtection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166" fontId="9" fillId="2" borderId="6" xfId="2" applyNumberFormat="1" applyFont="1" applyFill="1" applyBorder="1" applyAlignment="1" applyProtection="1">
      <alignment horizontal="center" vertical="center"/>
    </xf>
    <xf numFmtId="9" fontId="9" fillId="2" borderId="46" xfId="3" applyFont="1" applyFill="1" applyBorder="1" applyAlignment="1" applyProtection="1">
      <alignment horizontal="center" vertical="center" wrapText="1"/>
    </xf>
    <xf numFmtId="9" fontId="18" fillId="2" borderId="1" xfId="3" applyFont="1" applyFill="1" applyBorder="1" applyAlignment="1" applyProtection="1">
      <alignment horizontal="center" vertical="center" wrapText="1"/>
    </xf>
    <xf numFmtId="166" fontId="9" fillId="7" borderId="8" xfId="2" applyNumberFormat="1" applyFont="1" applyFill="1" applyBorder="1" applyAlignment="1" applyProtection="1">
      <alignment horizontal="center" vertical="center"/>
    </xf>
    <xf numFmtId="9" fontId="9" fillId="7" borderId="91" xfId="3" applyFont="1" applyFill="1" applyBorder="1" applyAlignment="1" applyProtection="1">
      <alignment horizontal="center" vertical="center" wrapText="1"/>
    </xf>
    <xf numFmtId="43" fontId="11" fillId="7" borderId="9" xfId="2" applyFont="1" applyFill="1" applyBorder="1" applyAlignment="1" applyProtection="1">
      <alignment horizontal="center" vertical="center"/>
    </xf>
    <xf numFmtId="9" fontId="9" fillId="2" borderId="4" xfId="3" applyFont="1" applyFill="1" applyBorder="1" applyAlignment="1" applyProtection="1">
      <alignment horizontal="center" vertical="center" wrapText="1"/>
    </xf>
    <xf numFmtId="9" fontId="9" fillId="2" borderId="1" xfId="3" applyFont="1" applyFill="1" applyBorder="1" applyAlignment="1" applyProtection="1">
      <alignment horizontal="center" vertical="center" wrapText="1"/>
    </xf>
    <xf numFmtId="44" fontId="8" fillId="2" borderId="7" xfId="0" applyNumberFormat="1" applyFont="1" applyFill="1" applyBorder="1"/>
    <xf numFmtId="9" fontId="16" fillId="2" borderId="93" xfId="3" applyFont="1" applyFill="1" applyBorder="1" applyAlignment="1" applyProtection="1">
      <alignment horizontal="center" vertical="center"/>
    </xf>
    <xf numFmtId="44" fontId="8" fillId="2" borderId="10" xfId="0" applyNumberFormat="1" applyFont="1" applyFill="1" applyBorder="1"/>
    <xf numFmtId="9" fontId="16" fillId="2" borderId="21" xfId="3" applyFont="1" applyFill="1" applyBorder="1" applyAlignment="1" applyProtection="1">
      <alignment horizontal="center" vertical="center"/>
    </xf>
    <xf numFmtId="171" fontId="9" fillId="0" borderId="85" xfId="50" applyNumberFormat="1" applyFont="1" applyBorder="1" applyProtection="1"/>
    <xf numFmtId="0" fontId="0" fillId="10" borderId="64" xfId="0" applyFill="1" applyBorder="1"/>
    <xf numFmtId="0" fontId="12" fillId="41" borderId="0" xfId="0" applyFont="1" applyFill="1" applyAlignment="1">
      <alignment horizontal="left" vertical="center"/>
    </xf>
    <xf numFmtId="0" fontId="0" fillId="10" borderId="6" xfId="0" applyFill="1" applyBorder="1" applyAlignment="1">
      <alignment horizontal="center" vertical="center"/>
    </xf>
    <xf numFmtId="49" fontId="16" fillId="2" borderId="1" xfId="0" applyNumberFormat="1" applyFont="1" applyFill="1" applyBorder="1"/>
    <xf numFmtId="0" fontId="0" fillId="10" borderId="8" xfId="0" applyFill="1" applyBorder="1" applyAlignment="1">
      <alignment horizontal="center" vertical="center"/>
    </xf>
    <xf numFmtId="49" fontId="16" fillId="2" borderId="9" xfId="0" applyNumberFormat="1" applyFont="1" applyFill="1" applyBorder="1"/>
    <xf numFmtId="0" fontId="0" fillId="11" borderId="0" xfId="0" applyFill="1"/>
    <xf numFmtId="0" fontId="1" fillId="11" borderId="1" xfId="0" applyFont="1" applyFill="1" applyBorder="1" applyAlignment="1">
      <alignment vertical="center"/>
    </xf>
    <xf numFmtId="0" fontId="3" fillId="11" borderId="1" xfId="1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left" vertical="center"/>
    </xf>
    <xf numFmtId="43" fontId="7" fillId="11" borderId="1" xfId="2" applyFont="1" applyFill="1" applyBorder="1" applyAlignment="1" applyProtection="1">
      <alignment horizontal="center" vertical="center"/>
    </xf>
    <xf numFmtId="0" fontId="7" fillId="11" borderId="1" xfId="0" applyFont="1" applyFill="1" applyBorder="1"/>
    <xf numFmtId="0" fontId="7" fillId="11" borderId="1" xfId="0" applyFont="1" applyFill="1" applyBorder="1" applyAlignment="1">
      <alignment horizontal="center" vertical="center"/>
    </xf>
    <xf numFmtId="43" fontId="7" fillId="11" borderId="43" xfId="2" applyFont="1" applyFill="1" applyBorder="1" applyAlignment="1" applyProtection="1">
      <alignment horizontal="center" vertical="center"/>
    </xf>
    <xf numFmtId="0" fontId="7" fillId="11" borderId="43" xfId="6" applyFont="1" applyFill="1" applyProtection="1"/>
    <xf numFmtId="0" fontId="59" fillId="11" borderId="1" xfId="0" applyFont="1" applyFill="1" applyBorder="1" applyAlignment="1">
      <alignment horizontal="left" vertical="center"/>
    </xf>
    <xf numFmtId="166" fontId="19" fillId="9" borderId="7" xfId="2" applyNumberFormat="1" applyFont="1" applyFill="1" applyBorder="1" applyAlignment="1">
      <alignment horizontal="center" vertical="center"/>
    </xf>
    <xf numFmtId="0" fontId="16" fillId="4" borderId="8" xfId="0" applyFont="1" applyFill="1" applyBorder="1" applyAlignment="1">
      <alignment horizontal="left"/>
    </xf>
    <xf numFmtId="1" fontId="16" fillId="8" borderId="9" xfId="0" applyNumberFormat="1" applyFont="1" applyFill="1" applyBorder="1" applyAlignment="1" applyProtection="1">
      <alignment horizontal="center" vertical="center"/>
      <protection locked="0"/>
    </xf>
    <xf numFmtId="166" fontId="19" fillId="4" borderId="9" xfId="2" applyNumberFormat="1" applyFont="1" applyFill="1" applyBorder="1" applyAlignment="1">
      <alignment horizontal="center" vertical="center"/>
    </xf>
    <xf numFmtId="166" fontId="19" fillId="9" borderId="9" xfId="2" applyNumberFormat="1" applyFont="1" applyFill="1" applyBorder="1" applyAlignment="1">
      <alignment horizontal="center" vertical="center"/>
    </xf>
    <xf numFmtId="166" fontId="19" fillId="9" borderId="10" xfId="2" applyNumberFormat="1" applyFont="1" applyFill="1" applyBorder="1" applyAlignment="1">
      <alignment horizontal="center" vertical="center"/>
    </xf>
    <xf numFmtId="166" fontId="19" fillId="9" borderId="15" xfId="2" applyNumberFormat="1" applyFont="1" applyFill="1" applyBorder="1" applyAlignment="1">
      <alignment horizontal="center" vertical="center"/>
    </xf>
    <xf numFmtId="166" fontId="19" fillId="9" borderId="79" xfId="2" applyNumberFormat="1" applyFont="1" applyFill="1" applyBorder="1" applyAlignment="1">
      <alignment horizontal="center" vertical="center"/>
    </xf>
    <xf numFmtId="166" fontId="19" fillId="9" borderId="18" xfId="2" applyNumberFormat="1" applyFont="1" applyFill="1" applyBorder="1" applyAlignment="1">
      <alignment horizontal="center" vertical="center"/>
    </xf>
    <xf numFmtId="166" fontId="19" fillId="9" borderId="45" xfId="2" applyNumberFormat="1" applyFont="1" applyFill="1" applyBorder="1" applyAlignment="1">
      <alignment horizontal="center" vertical="center"/>
    </xf>
    <xf numFmtId="166" fontId="19" fillId="7" borderId="93" xfId="2" applyNumberFormat="1" applyFont="1" applyFill="1" applyBorder="1" applyAlignment="1">
      <alignment horizontal="center" vertical="center"/>
    </xf>
    <xf numFmtId="166" fontId="19" fillId="9" borderId="21" xfId="2" applyNumberFormat="1" applyFont="1" applyFill="1" applyBorder="1" applyAlignment="1">
      <alignment horizontal="center" vertical="center"/>
    </xf>
    <xf numFmtId="16" fontId="0" fillId="0" borderId="14" xfId="0" applyNumberFormat="1" applyBorder="1"/>
    <xf numFmtId="0" fontId="16" fillId="4" borderId="47" xfId="0" applyFont="1" applyFill="1" applyBorder="1" applyAlignment="1">
      <alignment horizontal="left"/>
    </xf>
    <xf numFmtId="166" fontId="19" fillId="4" borderId="94" xfId="2" applyNumberFormat="1" applyFont="1" applyFill="1" applyBorder="1" applyAlignment="1">
      <alignment horizontal="center" vertical="center"/>
    </xf>
    <xf numFmtId="16" fontId="8" fillId="4" borderId="12" xfId="0" applyNumberFormat="1" applyFont="1" applyFill="1" applyBorder="1" applyAlignment="1">
      <alignment horizontal="center" vertical="center"/>
    </xf>
    <xf numFmtId="16" fontId="8" fillId="4" borderId="92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left"/>
    </xf>
    <xf numFmtId="0" fontId="16" fillId="7" borderId="6" xfId="0" applyFont="1" applyFill="1" applyBorder="1" applyAlignment="1">
      <alignment horizontal="left"/>
    </xf>
    <xf numFmtId="0" fontId="16" fillId="29" borderId="6" xfId="0" applyFont="1" applyFill="1" applyBorder="1" applyAlignment="1">
      <alignment horizontal="left"/>
    </xf>
    <xf numFmtId="0" fontId="16" fillId="0" borderId="50" xfId="0" applyFont="1" applyBorder="1" applyAlignment="1">
      <alignment horizontal="center" vertical="center"/>
    </xf>
    <xf numFmtId="168" fontId="9" fillId="2" borderId="72" xfId="3" applyNumberFormat="1" applyFont="1" applyFill="1" applyBorder="1" applyAlignment="1" applyProtection="1">
      <alignment horizontal="center" vertical="center" wrapText="1"/>
    </xf>
    <xf numFmtId="168" fontId="9" fillId="2" borderId="1" xfId="3" applyNumberFormat="1" applyFont="1" applyFill="1" applyBorder="1" applyAlignment="1" applyProtection="1">
      <alignment horizontal="center" vertical="center" wrapText="1"/>
    </xf>
    <xf numFmtId="168" fontId="9" fillId="2" borderId="46" xfId="3" applyNumberFormat="1" applyFont="1" applyFill="1" applyBorder="1" applyAlignment="1" applyProtection="1">
      <alignment horizontal="center" vertical="center" wrapText="1"/>
    </xf>
    <xf numFmtId="168" fontId="9" fillId="7" borderId="91" xfId="3" applyNumberFormat="1" applyFont="1" applyFill="1" applyBorder="1" applyAlignment="1" applyProtection="1">
      <alignment horizontal="center" vertical="center" wrapText="1"/>
    </xf>
    <xf numFmtId="0" fontId="9" fillId="8" borderId="7" xfId="3" applyNumberFormat="1" applyFont="1" applyFill="1" applyBorder="1" applyAlignment="1" applyProtection="1">
      <alignment horizontal="center" vertical="center"/>
    </xf>
    <xf numFmtId="172" fontId="61" fillId="0" borderId="52" xfId="0" applyNumberFormat="1" applyFont="1" applyBorder="1" applyAlignment="1">
      <alignment horizontal="center" vertical="center"/>
    </xf>
    <xf numFmtId="171" fontId="62" fillId="0" borderId="52" xfId="0" applyNumberFormat="1" applyFont="1" applyBorder="1"/>
    <xf numFmtId="0" fontId="0" fillId="10" borderId="1" xfId="0" applyFill="1" applyBorder="1" applyAlignment="1">
      <alignment horizontal="center" vertical="center"/>
    </xf>
    <xf numFmtId="0" fontId="19" fillId="35" borderId="0" xfId="0" applyFont="1" applyFill="1"/>
    <xf numFmtId="1" fontId="19" fillId="10" borderId="59" xfId="0" applyNumberFormat="1" applyFont="1" applyFill="1" applyBorder="1" applyAlignment="1">
      <alignment horizontal="center" vertical="center"/>
    </xf>
    <xf numFmtId="0" fontId="29" fillId="0" borderId="26" xfId="0" applyFont="1" applyBorder="1"/>
    <xf numFmtId="0" fontId="19" fillId="35" borderId="62" xfId="0" applyFont="1" applyFill="1" applyBorder="1"/>
    <xf numFmtId="0" fontId="19" fillId="35" borderId="19" xfId="0" applyFont="1" applyFill="1" applyBorder="1"/>
    <xf numFmtId="0" fontId="19" fillId="35" borderId="81" xfId="0" applyFont="1" applyFill="1" applyBorder="1"/>
    <xf numFmtId="0" fontId="19" fillId="35" borderId="86" xfId="0" applyFont="1" applyFill="1" applyBorder="1"/>
    <xf numFmtId="0" fontId="19" fillId="35" borderId="30" xfId="0" applyFont="1" applyFill="1" applyBorder="1"/>
    <xf numFmtId="0" fontId="19" fillId="35" borderId="67" xfId="0" applyFont="1" applyFill="1" applyBorder="1"/>
    <xf numFmtId="0" fontId="0" fillId="0" borderId="94" xfId="0" applyBorder="1"/>
    <xf numFmtId="0" fontId="16" fillId="30" borderId="22" xfId="0" applyFont="1" applyFill="1" applyBorder="1" applyAlignment="1">
      <alignment horizontal="center" vertical="center" wrapText="1"/>
    </xf>
    <xf numFmtId="164" fontId="19" fillId="30" borderId="97" xfId="0" applyNumberFormat="1" applyFont="1" applyFill="1" applyBorder="1" applyAlignment="1">
      <alignment horizontal="center" vertical="center"/>
    </xf>
    <xf numFmtId="164" fontId="19" fillId="30" borderId="93" xfId="0" applyNumberFormat="1" applyFont="1" applyFill="1" applyBorder="1" applyAlignment="1">
      <alignment horizontal="center" vertical="center"/>
    </xf>
    <xf numFmtId="164" fontId="19" fillId="30" borderId="98" xfId="0" applyNumberFormat="1" applyFont="1" applyFill="1" applyBorder="1" applyAlignment="1">
      <alignment horizontal="center" vertical="center"/>
    </xf>
    <xf numFmtId="164" fontId="19" fillId="30" borderId="99" xfId="0" applyNumberFormat="1" applyFont="1" applyFill="1" applyBorder="1" applyAlignment="1">
      <alignment horizontal="center" vertical="center"/>
    </xf>
    <xf numFmtId="164" fontId="19" fillId="30" borderId="100" xfId="0" applyNumberFormat="1" applyFont="1" applyFill="1" applyBorder="1" applyAlignment="1">
      <alignment horizontal="center" vertical="center"/>
    </xf>
    <xf numFmtId="164" fontId="19" fillId="30" borderId="101" xfId="0" applyNumberFormat="1" applyFont="1" applyFill="1" applyBorder="1" applyAlignment="1">
      <alignment horizontal="center" vertical="center"/>
    </xf>
    <xf numFmtId="1" fontId="16" fillId="30" borderId="44" xfId="0" applyNumberFormat="1" applyFont="1" applyFill="1" applyBorder="1" applyAlignment="1">
      <alignment horizontal="center" vertical="center"/>
    </xf>
    <xf numFmtId="9" fontId="0" fillId="0" borderId="0" xfId="0" applyNumberFormat="1"/>
    <xf numFmtId="0" fontId="16" fillId="0" borderId="3" xfId="0" applyFont="1" applyBorder="1" applyAlignment="1">
      <alignment horizontal="left"/>
    </xf>
    <xf numFmtId="0" fontId="16" fillId="0" borderId="6" xfId="0" applyFont="1" applyBorder="1" applyAlignment="1">
      <alignment horizontal="left"/>
    </xf>
    <xf numFmtId="0" fontId="16" fillId="10" borderId="6" xfId="0" applyFont="1" applyFill="1" applyBorder="1" applyAlignment="1">
      <alignment horizontal="left"/>
    </xf>
    <xf numFmtId="44" fontId="8" fillId="2" borderId="4" xfId="0" applyNumberFormat="1" applyFont="1" applyFill="1" applyBorder="1"/>
    <xf numFmtId="44" fontId="8" fillId="2" borderId="1" xfId="0" applyNumberFormat="1" applyFont="1" applyFill="1" applyBorder="1"/>
    <xf numFmtId="44" fontId="8" fillId="2" borderId="9" xfId="0" applyNumberFormat="1" applyFont="1" applyFill="1" applyBorder="1"/>
    <xf numFmtId="0" fontId="16" fillId="0" borderId="8" xfId="0" applyFont="1" applyBorder="1" applyAlignment="1">
      <alignment horizontal="left"/>
    </xf>
    <xf numFmtId="0" fontId="16" fillId="2" borderId="6" xfId="0" applyFont="1" applyFill="1" applyBorder="1" applyAlignment="1">
      <alignment horizontal="left"/>
    </xf>
    <xf numFmtId="166" fontId="19" fillId="9" borderId="102" xfId="2" applyNumberFormat="1" applyFont="1" applyFill="1" applyBorder="1" applyAlignment="1">
      <alignment horizontal="center" vertical="center"/>
    </xf>
    <xf numFmtId="166" fontId="19" fillId="9" borderId="4" xfId="2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vertical="center"/>
    </xf>
    <xf numFmtId="0" fontId="55" fillId="42" borderId="41" xfId="0" applyFont="1" applyFill="1" applyBorder="1" applyAlignment="1">
      <alignment horizontal="center" vertical="center"/>
    </xf>
    <xf numFmtId="0" fontId="55" fillId="42" borderId="90" xfId="0" applyFont="1" applyFill="1" applyBorder="1" applyAlignment="1">
      <alignment vertical="center"/>
    </xf>
    <xf numFmtId="0" fontId="55" fillId="10" borderId="32" xfId="0" applyFont="1" applyFill="1" applyBorder="1" applyAlignment="1">
      <alignment vertical="center"/>
    </xf>
    <xf numFmtId="0" fontId="55" fillId="10" borderId="32" xfId="0" applyFont="1" applyFill="1" applyBorder="1" applyAlignment="1">
      <alignment horizontal="right" vertical="center"/>
    </xf>
    <xf numFmtId="0" fontId="0" fillId="10" borderId="41" xfId="0" applyFill="1" applyBorder="1"/>
    <xf numFmtId="0" fontId="3" fillId="7" borderId="3" xfId="1" applyFont="1" applyFill="1" applyBorder="1" applyAlignment="1">
      <alignment horizontal="center" vertical="center" wrapText="1"/>
    </xf>
    <xf numFmtId="1" fontId="0" fillId="0" borderId="50" xfId="0" applyNumberFormat="1" applyBorder="1" applyAlignment="1">
      <alignment horizontal="center" vertical="center"/>
    </xf>
    <xf numFmtId="49" fontId="16" fillId="2" borderId="12" xfId="0" applyNumberFormat="1" applyFont="1" applyFill="1" applyBorder="1"/>
    <xf numFmtId="44" fontId="8" fillId="2" borderId="92" xfId="0" applyNumberFormat="1" applyFont="1" applyFill="1" applyBorder="1"/>
    <xf numFmtId="9" fontId="16" fillId="2" borderId="2" xfId="3" applyFont="1" applyFill="1" applyBorder="1" applyAlignment="1" applyProtection="1">
      <alignment horizontal="center" vertical="center"/>
    </xf>
    <xf numFmtId="166" fontId="9" fillId="2" borderId="8" xfId="2" applyNumberFormat="1" applyFont="1" applyFill="1" applyBorder="1" applyAlignment="1" applyProtection="1">
      <alignment horizontal="center" vertical="center"/>
    </xf>
    <xf numFmtId="9" fontId="9" fillId="2" borderId="9" xfId="3" applyFont="1" applyFill="1" applyBorder="1" applyAlignment="1" applyProtection="1">
      <alignment horizontal="center" vertical="center" wrapText="1"/>
    </xf>
    <xf numFmtId="43" fontId="9" fillId="8" borderId="9" xfId="2" applyFont="1" applyFill="1" applyBorder="1" applyAlignment="1" applyProtection="1">
      <alignment horizontal="center" vertical="center"/>
    </xf>
    <xf numFmtId="9" fontId="18" fillId="2" borderId="9" xfId="3" applyFont="1" applyFill="1" applyBorder="1" applyAlignment="1" applyProtection="1">
      <alignment horizontal="center" vertical="center" wrapText="1"/>
    </xf>
    <xf numFmtId="166" fontId="8" fillId="0" borderId="3" xfId="2" applyNumberFormat="1" applyFont="1" applyBorder="1"/>
    <xf numFmtId="166" fontId="8" fillId="0" borderId="4" xfId="2" applyNumberFormat="1" applyFont="1" applyBorder="1"/>
    <xf numFmtId="166" fontId="8" fillId="0" borderId="5" xfId="2" applyNumberFormat="1" applyFont="1" applyBorder="1"/>
    <xf numFmtId="166" fontId="8" fillId="0" borderId="6" xfId="2" applyNumberFormat="1" applyFont="1" applyBorder="1"/>
    <xf numFmtId="166" fontId="8" fillId="0" borderId="1" xfId="2" applyNumberFormat="1" applyFont="1" applyBorder="1"/>
    <xf numFmtId="166" fontId="8" fillId="0" borderId="7" xfId="2" applyNumberFormat="1" applyFont="1" applyBorder="1"/>
    <xf numFmtId="166" fontId="8" fillId="0" borderId="8" xfId="2" applyNumberFormat="1" applyFont="1" applyBorder="1"/>
    <xf numFmtId="166" fontId="8" fillId="0" borderId="9" xfId="2" applyNumberFormat="1" applyFont="1" applyBorder="1"/>
    <xf numFmtId="166" fontId="8" fillId="0" borderId="10" xfId="2" applyNumberFormat="1" applyFont="1" applyBorder="1"/>
    <xf numFmtId="166" fontId="19" fillId="4" borderId="4" xfId="2" applyNumberFormat="1" applyFont="1" applyFill="1" applyBorder="1" applyAlignment="1">
      <alignment horizontal="center" vertical="center"/>
    </xf>
    <xf numFmtId="166" fontId="19" fillId="9" borderId="5" xfId="2" applyNumberFormat="1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horizontal="center" vertical="center"/>
    </xf>
    <xf numFmtId="0" fontId="93" fillId="3" borderId="1" xfId="0" applyFont="1" applyFill="1" applyBorder="1" applyAlignment="1">
      <alignment horizontal="center" vertical="center"/>
    </xf>
    <xf numFmtId="167" fontId="93" fillId="3" borderId="1" xfId="2" applyNumberFormat="1" applyFont="1" applyFill="1" applyBorder="1" applyAlignment="1">
      <alignment horizontal="center" vertical="center"/>
    </xf>
    <xf numFmtId="2" fontId="93" fillId="3" borderId="1" xfId="2" applyNumberFormat="1" applyFont="1" applyFill="1" applyBorder="1" applyAlignment="1">
      <alignment horizontal="center" vertical="center"/>
    </xf>
    <xf numFmtId="0" fontId="52" fillId="3" borderId="1" xfId="312" applyFont="1" applyFill="1" applyBorder="1" applyAlignment="1">
      <alignment horizontal="center" vertical="center"/>
    </xf>
    <xf numFmtId="0" fontId="93" fillId="3" borderId="1" xfId="312" applyFont="1" applyFill="1" applyBorder="1" applyAlignment="1">
      <alignment horizontal="center" vertical="center"/>
    </xf>
    <xf numFmtId="167" fontId="52" fillId="3" borderId="1" xfId="2" applyNumberFormat="1" applyFont="1" applyFill="1" applyBorder="1" applyAlignment="1">
      <alignment horizontal="center" vertical="center"/>
    </xf>
    <xf numFmtId="167" fontId="93" fillId="3" borderId="54" xfId="2" applyNumberFormat="1" applyFont="1" applyFill="1" applyBorder="1" applyAlignment="1">
      <alignment horizontal="center" vertical="center"/>
    </xf>
    <xf numFmtId="0" fontId="96" fillId="10" borderId="0" xfId="0" applyFont="1" applyFill="1"/>
    <xf numFmtId="0" fontId="0" fillId="7" borderId="0" xfId="0" applyFill="1"/>
    <xf numFmtId="1" fontId="0" fillId="7" borderId="0" xfId="0" applyNumberFormat="1" applyFill="1"/>
    <xf numFmtId="0" fontId="0" fillId="2" borderId="14" xfId="0" applyFill="1" applyBorder="1"/>
    <xf numFmtId="0" fontId="8" fillId="4" borderId="96" xfId="0" applyFont="1" applyFill="1" applyBorder="1" applyAlignment="1">
      <alignment horizontal="center" vertical="center"/>
    </xf>
    <xf numFmtId="0" fontId="8" fillId="4" borderId="95" xfId="0" applyFont="1" applyFill="1" applyBorder="1" applyAlignment="1">
      <alignment horizontal="center" vertical="center"/>
    </xf>
    <xf numFmtId="166" fontId="19" fillId="4" borderId="18" xfId="2" applyNumberFormat="1" applyFont="1" applyFill="1" applyBorder="1" applyAlignment="1">
      <alignment horizontal="center" vertical="center"/>
    </xf>
    <xf numFmtId="16" fontId="8" fillId="4" borderId="41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 vertical="center"/>
    </xf>
    <xf numFmtId="49" fontId="16" fillId="2" borderId="18" xfId="0" applyNumberFormat="1" applyFont="1" applyFill="1" applyBorder="1"/>
    <xf numFmtId="44" fontId="8" fillId="2" borderId="45" xfId="0" applyNumberFormat="1" applyFont="1" applyFill="1" applyBorder="1"/>
    <xf numFmtId="9" fontId="16" fillId="2" borderId="99" xfId="3" applyFont="1" applyFill="1" applyBorder="1" applyAlignment="1" applyProtection="1">
      <alignment horizontal="center" vertical="center"/>
    </xf>
    <xf numFmtId="0" fontId="7" fillId="7" borderId="99" xfId="0" applyFont="1" applyFill="1" applyBorder="1" applyAlignment="1">
      <alignment horizontal="center" vertical="center"/>
    </xf>
    <xf numFmtId="0" fontId="7" fillId="7" borderId="93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4" fillId="0" borderId="60" xfId="1" applyFont="1" applyBorder="1" applyAlignment="1">
      <alignment horizontal="left" vertical="center" wrapText="1"/>
    </xf>
    <xf numFmtId="0" fontId="12" fillId="17" borderId="110" xfId="4" applyBorder="1"/>
    <xf numFmtId="0" fontId="97" fillId="0" borderId="60" xfId="1" applyFont="1" applyBorder="1" applyAlignment="1">
      <alignment horizontal="left" vertical="center" wrapText="1"/>
    </xf>
    <xf numFmtId="44" fontId="0" fillId="0" borderId="0" xfId="50" applyFont="1" applyAlignment="1">
      <alignment horizontal="center" vertical="center"/>
    </xf>
    <xf numFmtId="44" fontId="0" fillId="16" borderId="0" xfId="50" applyFont="1" applyFill="1" applyAlignment="1">
      <alignment horizontal="center" vertical="center"/>
    </xf>
    <xf numFmtId="168" fontId="0" fillId="0" borderId="0" xfId="3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43" fontId="0" fillId="0" borderId="0" xfId="0" applyNumberFormat="1" applyAlignment="1">
      <alignment horizontal="center" vertical="center"/>
    </xf>
    <xf numFmtId="165" fontId="7" fillId="11" borderId="0" xfId="0" applyNumberFormat="1" applyFont="1" applyFill="1" applyAlignment="1">
      <alignment horizontal="center" vertical="center"/>
    </xf>
    <xf numFmtId="0" fontId="55" fillId="10" borderId="89" xfId="0" applyFont="1" applyFill="1" applyBorder="1" applyAlignment="1">
      <alignment horizontal="right" vertical="center"/>
    </xf>
    <xf numFmtId="3" fontId="38" fillId="39" borderId="1" xfId="0" applyNumberFormat="1" applyFont="1" applyFill="1" applyBorder="1" applyAlignment="1">
      <alignment horizontal="center"/>
    </xf>
    <xf numFmtId="0" fontId="41" fillId="10" borderId="1" xfId="12" applyFont="1" applyFill="1" applyBorder="1"/>
    <xf numFmtId="168" fontId="16" fillId="0" borderId="5" xfId="0" applyNumberFormat="1" applyFont="1" applyBorder="1" applyAlignment="1">
      <alignment horizontal="center"/>
    </xf>
    <xf numFmtId="168" fontId="16" fillId="0" borderId="7" xfId="0" applyNumberFormat="1" applyFont="1" applyBorder="1" applyAlignment="1">
      <alignment horizontal="center"/>
    </xf>
    <xf numFmtId="168" fontId="16" fillId="0" borderId="10" xfId="0" applyNumberFormat="1" applyFont="1" applyBorder="1" applyAlignment="1">
      <alignment horizontal="center"/>
    </xf>
    <xf numFmtId="0" fontId="16" fillId="37" borderId="6" xfId="4" applyFont="1" applyFill="1" applyBorder="1"/>
    <xf numFmtId="0" fontId="16" fillId="3" borderId="6" xfId="0" applyFont="1" applyFill="1" applyBorder="1" applyAlignment="1">
      <alignment horizontal="left"/>
    </xf>
    <xf numFmtId="0" fontId="16" fillId="37" borderId="6" xfId="0" applyFont="1" applyFill="1" applyBorder="1" applyAlignment="1">
      <alignment horizontal="left" vertical="center"/>
    </xf>
    <xf numFmtId="14" fontId="55" fillId="2" borderId="0" xfId="0" applyNumberFormat="1" applyFont="1" applyFill="1" applyAlignment="1">
      <alignment horizontal="right" vertical="center"/>
    </xf>
    <xf numFmtId="0" fontId="101" fillId="0" borderId="0" xfId="0" applyFont="1"/>
    <xf numFmtId="0" fontId="92" fillId="2" borderId="32" xfId="0" applyFont="1" applyFill="1" applyBorder="1" applyAlignment="1">
      <alignment horizontal="center" vertical="center"/>
    </xf>
    <xf numFmtId="0" fontId="55" fillId="67" borderId="89" xfId="0" applyFont="1" applyFill="1" applyBorder="1" applyAlignment="1">
      <alignment horizontal="right" vertical="center"/>
    </xf>
    <xf numFmtId="0" fontId="55" fillId="67" borderId="32" xfId="0" applyFont="1" applyFill="1" applyBorder="1" applyAlignment="1">
      <alignment horizontal="right" vertical="center"/>
    </xf>
    <xf numFmtId="0" fontId="55" fillId="67" borderId="32" xfId="0" applyFont="1" applyFill="1" applyBorder="1" applyAlignment="1">
      <alignment vertical="center"/>
    </xf>
    <xf numFmtId="0" fontId="92" fillId="2" borderId="32" xfId="0" applyFont="1" applyFill="1" applyBorder="1" applyAlignment="1">
      <alignment vertical="center"/>
    </xf>
    <xf numFmtId="0" fontId="55" fillId="67" borderId="28" xfId="0" applyFont="1" applyFill="1" applyBorder="1" applyAlignment="1">
      <alignment horizontal="right" vertical="center"/>
    </xf>
    <xf numFmtId="0" fontId="55" fillId="67" borderId="115" xfId="0" applyFont="1" applyFill="1" applyBorder="1" applyAlignment="1">
      <alignment horizontal="right" vertical="center"/>
    </xf>
    <xf numFmtId="0" fontId="55" fillId="67" borderId="90" xfId="0" applyFont="1" applyFill="1" applyBorder="1" applyAlignment="1">
      <alignment horizontal="right" vertical="center"/>
    </xf>
    <xf numFmtId="168" fontId="0" fillId="0" borderId="0" xfId="0" applyNumberFormat="1"/>
    <xf numFmtId="0" fontId="0" fillId="10" borderId="66" xfId="0" applyFill="1" applyBorder="1"/>
    <xf numFmtId="0" fontId="16" fillId="23" borderId="6" xfId="0" applyFont="1" applyFill="1" applyBorder="1" applyAlignment="1">
      <alignment horizontal="left"/>
    </xf>
    <xf numFmtId="0" fontId="16" fillId="37" borderId="6" xfId="0" applyFont="1" applyFill="1" applyBorder="1" applyAlignment="1">
      <alignment horizontal="left"/>
    </xf>
    <xf numFmtId="0" fontId="16" fillId="0" borderId="51" xfId="0" applyFont="1" applyBorder="1" applyAlignment="1">
      <alignment vertical="center"/>
    </xf>
    <xf numFmtId="0" fontId="16" fillId="0" borderId="52" xfId="0" applyFont="1" applyBorder="1" applyAlignment="1">
      <alignment vertical="center"/>
    </xf>
    <xf numFmtId="0" fontId="16" fillId="0" borderId="48" xfId="0" applyFont="1" applyBorder="1" applyAlignment="1">
      <alignment horizontal="center" vertical="center" wrapText="1"/>
    </xf>
    <xf numFmtId="0" fontId="16" fillId="0" borderId="49" xfId="0" applyFont="1" applyBorder="1" applyAlignment="1">
      <alignment horizontal="center" vertical="center" wrapText="1"/>
    </xf>
    <xf numFmtId="0" fontId="56" fillId="8" borderId="5" xfId="0" applyFont="1" applyFill="1" applyBorder="1" applyAlignment="1">
      <alignment horizontal="left" vertical="center" wrapText="1"/>
    </xf>
    <xf numFmtId="0" fontId="9" fillId="4" borderId="4" xfId="0" applyFont="1" applyFill="1" applyBorder="1" applyAlignment="1">
      <alignment horizontal="center" vertical="center" wrapText="1"/>
    </xf>
    <xf numFmtId="171" fontId="56" fillId="2" borderId="4" xfId="0" applyNumberFormat="1" applyFont="1" applyFill="1" applyBorder="1" applyAlignment="1">
      <alignment horizontal="center" vertical="center" wrapText="1"/>
    </xf>
    <xf numFmtId="0" fontId="56" fillId="8" borderId="7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 wrapText="1"/>
    </xf>
    <xf numFmtId="171" fontId="56" fillId="2" borderId="1" xfId="0" applyNumberFormat="1" applyFont="1" applyFill="1" applyBorder="1" applyAlignment="1">
      <alignment horizontal="center" vertical="center" wrapText="1"/>
    </xf>
    <xf numFmtId="0" fontId="56" fillId="7" borderId="10" xfId="0" applyFont="1" applyFill="1" applyBorder="1" applyAlignment="1">
      <alignment horizontal="left" vertical="center" wrapText="1"/>
    </xf>
    <xf numFmtId="0" fontId="9" fillId="7" borderId="9" xfId="0" applyFont="1" applyFill="1" applyBorder="1" applyAlignment="1">
      <alignment horizontal="center" vertical="center" wrapText="1"/>
    </xf>
    <xf numFmtId="171" fontId="56" fillId="7" borderId="9" xfId="0" applyNumberFormat="1" applyFont="1" applyFill="1" applyBorder="1" applyAlignment="1">
      <alignment horizontal="center" vertical="center" wrapText="1"/>
    </xf>
    <xf numFmtId="0" fontId="9" fillId="8" borderId="11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168" fontId="9" fillId="8" borderId="12" xfId="0" applyNumberFormat="1" applyFont="1" applyFill="1" applyBorder="1" applyAlignment="1">
      <alignment horizontal="center" vertical="center"/>
    </xf>
    <xf numFmtId="0" fontId="56" fillId="8" borderId="4" xfId="0" applyFont="1" applyFill="1" applyBorder="1" applyAlignment="1">
      <alignment horizontal="left" vertical="center" wrapText="1"/>
    </xf>
    <xf numFmtId="0" fontId="56" fillId="8" borderId="1" xfId="0" applyFont="1" applyFill="1" applyBorder="1" applyAlignment="1">
      <alignment horizontal="left" vertical="center" wrapText="1"/>
    </xf>
    <xf numFmtId="0" fontId="56" fillId="8" borderId="9" xfId="0" applyFont="1" applyFill="1" applyBorder="1" applyAlignment="1">
      <alignment horizontal="left" vertical="center" wrapText="1"/>
    </xf>
    <xf numFmtId="0" fontId="9" fillId="4" borderId="9" xfId="0" applyFont="1" applyFill="1" applyBorder="1" applyAlignment="1">
      <alignment horizontal="center" vertical="center" wrapText="1"/>
    </xf>
    <xf numFmtId="171" fontId="56" fillId="2" borderId="9" xfId="0" applyNumberFormat="1" applyFont="1" applyFill="1" applyBorder="1" applyAlignment="1">
      <alignment horizontal="center" vertical="center" wrapText="1"/>
    </xf>
    <xf numFmtId="0" fontId="19" fillId="23" borderId="49" xfId="0" applyFont="1" applyFill="1" applyBorder="1" applyAlignment="1" applyProtection="1">
      <alignment horizontal="center" vertical="center"/>
      <protection locked="0"/>
    </xf>
    <xf numFmtId="0" fontId="19" fillId="23" borderId="49" xfId="0" applyFont="1" applyFill="1" applyBorder="1" applyAlignment="1">
      <alignment horizontal="center" vertical="center"/>
    </xf>
    <xf numFmtId="0" fontId="19" fillId="3" borderId="78" xfId="0" applyFont="1" applyFill="1" applyBorder="1" applyAlignment="1">
      <alignment horizontal="center" vertical="center"/>
    </xf>
    <xf numFmtId="0" fontId="19" fillId="3" borderId="48" xfId="0" applyFont="1" applyFill="1" applyBorder="1" applyAlignment="1">
      <alignment horizontal="center" vertical="center"/>
    </xf>
    <xf numFmtId="0" fontId="19" fillId="3" borderId="49" xfId="0" applyFont="1" applyFill="1" applyBorder="1" applyAlignment="1">
      <alignment horizontal="left" vertical="center"/>
    </xf>
    <xf numFmtId="0" fontId="22" fillId="41" borderId="48" xfId="0" applyFont="1" applyFill="1" applyBorder="1" applyAlignment="1" applyProtection="1">
      <alignment vertical="center"/>
      <protection locked="0"/>
    </xf>
    <xf numFmtId="0" fontId="23" fillId="41" borderId="49" xfId="1" applyFont="1" applyFill="1" applyBorder="1" applyAlignment="1" applyProtection="1">
      <alignment horizontal="center" vertical="center" wrapText="1"/>
      <protection locked="0"/>
    </xf>
    <xf numFmtId="0" fontId="21" fillId="41" borderId="116" xfId="1" applyFont="1" applyFill="1" applyBorder="1" applyAlignment="1">
      <alignment vertical="center" wrapText="1"/>
    </xf>
    <xf numFmtId="49" fontId="19" fillId="8" borderId="49" xfId="0" applyNumberFormat="1" applyFont="1" applyFill="1" applyBorder="1" applyAlignment="1" applyProtection="1">
      <alignment horizontal="center" vertical="center"/>
      <protection locked="0"/>
    </xf>
    <xf numFmtId="1" fontId="19" fillId="3" borderId="49" xfId="0" applyNumberFormat="1" applyFont="1" applyFill="1" applyBorder="1" applyAlignment="1">
      <alignment horizontal="center" vertical="center"/>
    </xf>
    <xf numFmtId="1" fontId="19" fillId="10" borderId="49" xfId="0" applyNumberFormat="1" applyFont="1" applyFill="1" applyBorder="1" applyAlignment="1">
      <alignment horizontal="center" vertical="center"/>
    </xf>
    <xf numFmtId="1" fontId="19" fillId="10" borderId="116" xfId="0" applyNumberFormat="1" applyFont="1" applyFill="1" applyBorder="1" applyAlignment="1">
      <alignment horizontal="center" vertical="center"/>
    </xf>
    <xf numFmtId="164" fontId="19" fillId="30" borderId="22" xfId="0" applyNumberFormat="1" applyFont="1" applyFill="1" applyBorder="1" applyAlignment="1">
      <alignment horizontal="center" vertical="center"/>
    </xf>
    <xf numFmtId="0" fontId="19" fillId="3" borderId="83" xfId="0" applyFont="1" applyFill="1" applyBorder="1" applyAlignment="1">
      <alignment horizontal="center" vertical="center"/>
    </xf>
    <xf numFmtId="0" fontId="19" fillId="3" borderId="83" xfId="0" applyFont="1" applyFill="1" applyBorder="1" applyAlignment="1">
      <alignment horizontal="left" vertical="center"/>
    </xf>
    <xf numFmtId="0" fontId="19" fillId="23" borderId="83" xfId="0" applyFont="1" applyFill="1" applyBorder="1" applyAlignment="1">
      <alignment horizontal="center" vertical="center"/>
    </xf>
    <xf numFmtId="0" fontId="19" fillId="23" borderId="83" xfId="0" applyFont="1" applyFill="1" applyBorder="1" applyAlignment="1" applyProtection="1">
      <alignment horizontal="center" vertical="center"/>
      <protection locked="0"/>
    </xf>
    <xf numFmtId="0" fontId="22" fillId="41" borderId="83" xfId="0" applyFont="1" applyFill="1" applyBorder="1" applyAlignment="1" applyProtection="1">
      <alignment vertical="center"/>
      <protection locked="0"/>
    </xf>
    <xf numFmtId="0" fontId="23" fillId="41" borderId="83" xfId="1" applyFont="1" applyFill="1" applyBorder="1" applyAlignment="1" applyProtection="1">
      <alignment horizontal="center" vertical="center" wrapText="1"/>
      <protection locked="0"/>
    </xf>
    <xf numFmtId="0" fontId="21" fillId="41" borderId="83" xfId="1" applyFont="1" applyFill="1" applyBorder="1" applyAlignment="1">
      <alignment vertical="center" wrapText="1"/>
    </xf>
    <xf numFmtId="49" fontId="19" fillId="8" borderId="83" xfId="0" applyNumberFormat="1" applyFont="1" applyFill="1" applyBorder="1" applyAlignment="1" applyProtection="1">
      <alignment horizontal="center" vertical="center"/>
      <protection locked="0"/>
    </xf>
    <xf numFmtId="1" fontId="19" fillId="3" borderId="83" xfId="0" applyNumberFormat="1" applyFont="1" applyFill="1" applyBorder="1" applyAlignment="1">
      <alignment horizontal="center" vertical="center"/>
    </xf>
    <xf numFmtId="1" fontId="19" fillId="10" borderId="83" xfId="0" applyNumberFormat="1" applyFont="1" applyFill="1" applyBorder="1" applyAlignment="1">
      <alignment horizontal="center" vertical="center"/>
    </xf>
    <xf numFmtId="164" fontId="19" fillId="30" borderId="83" xfId="0" applyNumberFormat="1" applyFont="1" applyFill="1" applyBorder="1" applyAlignment="1">
      <alignment horizontal="center" vertical="center"/>
    </xf>
    <xf numFmtId="0" fontId="19" fillId="23" borderId="117" xfId="0" applyFont="1" applyFill="1" applyBorder="1" applyAlignment="1" applyProtection="1">
      <alignment horizontal="center" vertical="center"/>
      <protection locked="0"/>
    </xf>
    <xf numFmtId="0" fontId="0" fillId="2" borderId="32" xfId="0" applyFill="1" applyBorder="1"/>
    <xf numFmtId="0" fontId="21" fillId="10" borderId="1" xfId="1" applyFont="1" applyFill="1" applyBorder="1" applyAlignment="1" applyProtection="1">
      <alignment horizontal="left" vertical="center" wrapText="1"/>
      <protection locked="0"/>
    </xf>
    <xf numFmtId="0" fontId="55" fillId="42" borderId="26" xfId="0" applyFont="1" applyFill="1" applyBorder="1" applyAlignment="1">
      <alignment vertical="center"/>
    </xf>
    <xf numFmtId="0" fontId="55" fillId="42" borderId="65" xfId="0" applyFont="1" applyFill="1" applyBorder="1" applyAlignment="1">
      <alignment horizontal="center" vertical="center"/>
    </xf>
    <xf numFmtId="0" fontId="0" fillId="10" borderId="31" xfId="0" applyFill="1" applyBorder="1"/>
    <xf numFmtId="0" fontId="0" fillId="2" borderId="90" xfId="0" applyFill="1" applyBorder="1"/>
    <xf numFmtId="1" fontId="16" fillId="8" borderId="18" xfId="0" applyNumberFormat="1" applyFont="1" applyFill="1" applyBorder="1" applyAlignment="1" applyProtection="1">
      <alignment horizontal="center"/>
      <protection locked="0"/>
    </xf>
    <xf numFmtId="1" fontId="16" fillId="8" borderId="1" xfId="0" applyNumberFormat="1" applyFont="1" applyFill="1" applyBorder="1" applyAlignment="1" applyProtection="1">
      <alignment horizontal="center"/>
      <protection locked="0"/>
    </xf>
    <xf numFmtId="166" fontId="16" fillId="8" borderId="1" xfId="0" applyNumberFormat="1" applyFont="1" applyFill="1" applyBorder="1" applyAlignment="1" applyProtection="1">
      <alignment horizontal="center"/>
      <protection locked="0"/>
    </xf>
    <xf numFmtId="1" fontId="16" fillId="8" borderId="9" xfId="0" applyNumberFormat="1" applyFont="1" applyFill="1" applyBorder="1" applyAlignment="1" applyProtection="1">
      <alignment horizontal="center"/>
      <protection locked="0"/>
    </xf>
    <xf numFmtId="0" fontId="16" fillId="69" borderId="51" xfId="0" applyFont="1" applyFill="1" applyBorder="1" applyAlignment="1">
      <alignment horizontal="center" vertical="center"/>
    </xf>
    <xf numFmtId="0" fontId="16" fillId="69" borderId="51" xfId="0" applyFont="1" applyFill="1" applyBorder="1" applyAlignment="1">
      <alignment vertical="center"/>
    </xf>
    <xf numFmtId="0" fontId="16" fillId="69" borderId="52" xfId="0" applyFont="1" applyFill="1" applyBorder="1" applyAlignment="1">
      <alignment vertical="center"/>
    </xf>
    <xf numFmtId="0" fontId="9" fillId="10" borderId="0" xfId="0" applyFont="1" applyFill="1" applyAlignment="1">
      <alignment horizontal="center" vertical="center"/>
    </xf>
    <xf numFmtId="168" fontId="9" fillId="10" borderId="0" xfId="0" applyNumberFormat="1" applyFont="1" applyFill="1" applyAlignment="1">
      <alignment horizontal="center" vertical="center"/>
    </xf>
    <xf numFmtId="171" fontId="7" fillId="10" borderId="0" xfId="50" applyNumberFormat="1" applyFont="1" applyFill="1" applyBorder="1" applyAlignment="1" applyProtection="1">
      <alignment horizontal="center" vertical="center"/>
    </xf>
    <xf numFmtId="168" fontId="11" fillId="10" borderId="0" xfId="3" applyNumberFormat="1" applyFont="1" applyFill="1" applyBorder="1" applyAlignment="1" applyProtection="1">
      <alignment horizontal="center" vertical="center"/>
    </xf>
    <xf numFmtId="0" fontId="7" fillId="69" borderId="20" xfId="0" applyFont="1" applyFill="1" applyBorder="1" applyAlignment="1">
      <alignment horizontal="center" vertical="center"/>
    </xf>
    <xf numFmtId="0" fontId="7" fillId="69" borderId="93" xfId="0" applyFont="1" applyFill="1" applyBorder="1" applyAlignment="1">
      <alignment horizontal="center" vertical="center"/>
    </xf>
    <xf numFmtId="0" fontId="7" fillId="69" borderId="21" xfId="0" applyFont="1" applyFill="1" applyBorder="1" applyAlignment="1">
      <alignment horizontal="center" vertical="center"/>
    </xf>
    <xf numFmtId="0" fontId="16" fillId="10" borderId="0" xfId="0" applyFont="1" applyFill="1" applyAlignment="1">
      <alignment vertical="center" textRotation="90"/>
    </xf>
    <xf numFmtId="0" fontId="29" fillId="7" borderId="2" xfId="0" applyFont="1" applyFill="1" applyBorder="1" applyAlignment="1">
      <alignment horizontal="center" vertical="center" wrapText="1"/>
    </xf>
    <xf numFmtId="0" fontId="16" fillId="7" borderId="2" xfId="0" applyFont="1" applyFill="1" applyBorder="1" applyAlignment="1">
      <alignment horizontal="center" vertical="center" wrapText="1"/>
    </xf>
    <xf numFmtId="0" fontId="16" fillId="69" borderId="2" xfId="0" applyFont="1" applyFill="1" applyBorder="1" applyAlignment="1">
      <alignment horizontal="center" vertical="center" wrapText="1"/>
    </xf>
    <xf numFmtId="0" fontId="16" fillId="8" borderId="0" xfId="0" applyFont="1" applyFill="1" applyAlignment="1">
      <alignment horizontal="center" vertical="center"/>
    </xf>
    <xf numFmtId="17" fontId="8" fillId="2" borderId="7" xfId="0" applyNumberFormat="1" applyFont="1" applyFill="1" applyBorder="1"/>
    <xf numFmtId="0" fontId="29" fillId="7" borderId="3" xfId="0" applyFont="1" applyFill="1" applyBorder="1" applyAlignment="1">
      <alignment horizontal="center" vertical="center"/>
    </xf>
    <xf numFmtId="0" fontId="29" fillId="7" borderId="4" xfId="0" applyFont="1" applyFill="1" applyBorder="1" applyAlignment="1">
      <alignment horizontal="center" vertical="center"/>
    </xf>
    <xf numFmtId="0" fontId="16" fillId="7" borderId="5" xfId="0" applyFont="1" applyFill="1" applyBorder="1" applyAlignment="1">
      <alignment horizontal="center" vertical="center"/>
    </xf>
    <xf numFmtId="173" fontId="103" fillId="0" borderId="52" xfId="0" applyNumberFormat="1" applyFont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16" fillId="10" borderId="51" xfId="0" applyFont="1" applyFill="1" applyBorder="1" applyAlignment="1">
      <alignment vertical="center"/>
    </xf>
    <xf numFmtId="0" fontId="16" fillId="10" borderId="52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16" fontId="8" fillId="0" borderId="14" xfId="0" applyNumberFormat="1" applyFont="1" applyBorder="1"/>
    <xf numFmtId="0" fontId="8" fillId="0" borderId="14" xfId="0" applyFont="1" applyBorder="1" applyAlignment="1">
      <alignment horizontal="right"/>
    </xf>
    <xf numFmtId="0" fontId="8" fillId="0" borderId="1" xfId="0" applyFont="1" applyBorder="1" applyAlignment="1">
      <alignment horizontal="center" vertical="center"/>
    </xf>
    <xf numFmtId="167" fontId="0" fillId="10" borderId="1" xfId="2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167" fontId="8" fillId="0" borderId="1" xfId="2" applyNumberFormat="1" applyFont="1" applyBorder="1" applyAlignment="1">
      <alignment horizontal="center" vertical="center"/>
    </xf>
    <xf numFmtId="174" fontId="0" fillId="0" borderId="1" xfId="2" applyNumberFormat="1" applyFont="1" applyFill="1" applyBorder="1" applyAlignment="1">
      <alignment horizontal="center" vertical="center"/>
    </xf>
    <xf numFmtId="174" fontId="0" fillId="10" borderId="1" xfId="2" applyNumberFormat="1" applyFont="1" applyFill="1" applyBorder="1" applyAlignment="1">
      <alignment horizontal="center" vertical="center"/>
    </xf>
    <xf numFmtId="167" fontId="0" fillId="0" borderId="1" xfId="2" applyNumberFormat="1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46" xfId="0" applyFont="1" applyFill="1" applyBorder="1" applyAlignment="1">
      <alignment horizontal="center" vertical="center"/>
    </xf>
    <xf numFmtId="167" fontId="0" fillId="0" borderId="1" xfId="2" applyNumberFormat="1" applyFont="1" applyBorder="1" applyAlignment="1">
      <alignment horizontal="center" vertical="center"/>
    </xf>
    <xf numFmtId="0" fontId="8" fillId="0" borderId="54" xfId="0" applyFont="1" applyBorder="1" applyAlignment="1">
      <alignment horizontal="center" vertical="center"/>
    </xf>
    <xf numFmtId="167" fontId="40" fillId="10" borderId="1" xfId="2" applyNumberFormat="1" applyFont="1" applyFill="1" applyBorder="1" applyAlignment="1">
      <alignment horizontal="center" vertical="center"/>
    </xf>
    <xf numFmtId="0" fontId="95" fillId="10" borderId="0" xfId="0" applyFont="1" applyFill="1"/>
    <xf numFmtId="0" fontId="96" fillId="10" borderId="0" xfId="0" applyFont="1" applyFill="1" applyAlignment="1">
      <alignment horizontal="center" vertical="center"/>
    </xf>
    <xf numFmtId="174" fontId="0" fillId="0" borderId="1" xfId="2" applyNumberFormat="1" applyFont="1" applyBorder="1" applyAlignment="1">
      <alignment horizontal="center" vertical="center"/>
    </xf>
    <xf numFmtId="167" fontId="0" fillId="0" borderId="1" xfId="2" applyNumberFormat="1" applyFont="1" applyFill="1" applyBorder="1" applyAlignment="1">
      <alignment vertical="center"/>
    </xf>
    <xf numFmtId="167" fontId="0" fillId="10" borderId="1" xfId="2" applyNumberFormat="1" applyFont="1" applyFill="1" applyBorder="1" applyAlignment="1">
      <alignment vertical="center"/>
    </xf>
    <xf numFmtId="0" fontId="104" fillId="10" borderId="0" xfId="0" applyFont="1" applyFill="1" applyAlignment="1">
      <alignment horizontal="center" vertical="center"/>
    </xf>
    <xf numFmtId="0" fontId="95" fillId="10" borderId="1" xfId="0" applyFont="1" applyFill="1" applyBorder="1" applyAlignment="1">
      <alignment horizontal="center" vertical="center"/>
    </xf>
    <xf numFmtId="167" fontId="0" fillId="10" borderId="46" xfId="2" applyNumberFormat="1" applyFont="1" applyFill="1" applyBorder="1" applyAlignment="1">
      <alignment horizontal="center" vertical="center"/>
    </xf>
    <xf numFmtId="167" fontId="0" fillId="0" borderId="18" xfId="2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0" fillId="14" borderId="0" xfId="0" applyFill="1" applyAlignment="1">
      <alignment horizontal="center" vertical="center"/>
    </xf>
    <xf numFmtId="167" fontId="8" fillId="2" borderId="1" xfId="2" applyNumberFormat="1" applyFont="1" applyFill="1" applyBorder="1" applyAlignment="1">
      <alignment horizontal="center" vertical="center"/>
    </xf>
    <xf numFmtId="0" fontId="0" fillId="0" borderId="41" xfId="0" applyBorder="1"/>
    <xf numFmtId="43" fontId="9" fillId="8" borderId="17" xfId="2" applyFont="1" applyFill="1" applyBorder="1" applyAlignment="1" applyProtection="1">
      <alignment horizontal="center" vertical="center"/>
    </xf>
    <xf numFmtId="0" fontId="9" fillId="29" borderId="16" xfId="0" applyFont="1" applyFill="1" applyBorder="1" applyAlignment="1">
      <alignment horizontal="left" vertical="center" wrapText="1"/>
    </xf>
    <xf numFmtId="171" fontId="9" fillId="8" borderId="17" xfId="2" applyNumberFormat="1" applyFont="1" applyFill="1" applyBorder="1" applyAlignment="1" applyProtection="1">
      <alignment horizontal="center" vertical="center"/>
    </xf>
    <xf numFmtId="170" fontId="9" fillId="2" borderId="29" xfId="2" applyNumberFormat="1" applyFont="1" applyFill="1" applyBorder="1" applyAlignment="1" applyProtection="1">
      <alignment horizontal="center" vertical="center"/>
      <protection locked="0"/>
    </xf>
    <xf numFmtId="166" fontId="9" fillId="2" borderId="119" xfId="2" applyNumberFormat="1" applyFont="1" applyFill="1" applyBorder="1" applyAlignment="1" applyProtection="1">
      <alignment horizontal="center" vertical="center"/>
    </xf>
    <xf numFmtId="0" fontId="56" fillId="8" borderId="53" xfId="0" applyFont="1" applyFill="1" applyBorder="1" applyAlignment="1">
      <alignment horizontal="left" vertical="center" wrapText="1"/>
    </xf>
    <xf numFmtId="168" fontId="9" fillId="2" borderId="119" xfId="3" applyNumberFormat="1" applyFont="1" applyFill="1" applyBorder="1" applyAlignment="1" applyProtection="1">
      <alignment horizontal="center" vertical="center" wrapText="1"/>
    </xf>
    <xf numFmtId="0" fontId="9" fillId="4" borderId="17" xfId="0" applyFont="1" applyFill="1" applyBorder="1" applyAlignment="1">
      <alignment horizontal="center" vertical="center" wrapText="1"/>
    </xf>
    <xf numFmtId="171" fontId="56" fillId="2" borderId="17" xfId="0" applyNumberFormat="1" applyFont="1" applyFill="1" applyBorder="1" applyAlignment="1">
      <alignment horizontal="center" vertical="center" wrapText="1"/>
    </xf>
    <xf numFmtId="9" fontId="18" fillId="2" borderId="17" xfId="3" applyFont="1" applyFill="1" applyBorder="1" applyAlignment="1" applyProtection="1">
      <alignment horizontal="center" vertical="center" wrapText="1"/>
    </xf>
    <xf numFmtId="168" fontId="9" fillId="8" borderId="79" xfId="3" applyNumberFormat="1" applyFont="1" applyFill="1" applyBorder="1" applyAlignment="1" applyProtection="1">
      <alignment horizontal="center" vertical="center"/>
    </xf>
    <xf numFmtId="0" fontId="9" fillId="8" borderId="0" xfId="0" applyFont="1" applyFill="1" applyAlignment="1">
      <alignment horizontal="center" vertical="center"/>
    </xf>
    <xf numFmtId="43" fontId="9" fillId="8" borderId="0" xfId="2" applyFont="1" applyFill="1" applyBorder="1" applyAlignment="1" applyProtection="1">
      <alignment horizontal="center" vertical="center"/>
    </xf>
    <xf numFmtId="168" fontId="9" fillId="8" borderId="0" xfId="0" applyNumberFormat="1" applyFont="1" applyFill="1" applyAlignment="1">
      <alignment horizontal="center" vertical="center"/>
    </xf>
    <xf numFmtId="171" fontId="7" fillId="15" borderId="0" xfId="50" applyNumberFormat="1" applyFont="1" applyFill="1" applyBorder="1" applyAlignment="1" applyProtection="1">
      <alignment horizontal="center" vertical="center"/>
    </xf>
    <xf numFmtId="168" fontId="11" fillId="8" borderId="0" xfId="3" applyNumberFormat="1" applyFont="1" applyFill="1" applyBorder="1" applyAlignment="1" applyProtection="1">
      <alignment horizontal="center" vertical="center"/>
    </xf>
    <xf numFmtId="0" fontId="92" fillId="69" borderId="32" xfId="0" applyFont="1" applyFill="1" applyBorder="1" applyAlignment="1">
      <alignment horizontal="center" vertical="center"/>
    </xf>
    <xf numFmtId="0" fontId="0" fillId="10" borderId="46" xfId="0" applyFill="1" applyBorder="1"/>
    <xf numFmtId="0" fontId="3" fillId="7" borderId="13" xfId="1" applyFont="1" applyFill="1" applyBorder="1" applyAlignment="1">
      <alignment horizontal="center" vertical="center" wrapText="1"/>
    </xf>
    <xf numFmtId="164" fontId="19" fillId="8" borderId="14" xfId="0" applyNumberFormat="1" applyFont="1" applyFill="1" applyBorder="1" applyAlignment="1">
      <alignment horizontal="center" vertical="center"/>
    </xf>
    <xf numFmtId="164" fontId="19" fillId="8" borderId="15" xfId="0" applyNumberFormat="1" applyFont="1" applyFill="1" applyBorder="1" applyAlignment="1">
      <alignment horizontal="center" vertical="center"/>
    </xf>
    <xf numFmtId="0" fontId="99" fillId="10" borderId="41" xfId="0" applyFont="1" applyFill="1" applyBorder="1" applyAlignment="1">
      <alignment horizontal="right" vertical="center"/>
    </xf>
    <xf numFmtId="0" fontId="99" fillId="10" borderId="89" xfId="0" applyFont="1" applyFill="1" applyBorder="1" applyAlignment="1">
      <alignment horizontal="right" vertical="center"/>
    </xf>
    <xf numFmtId="0" fontId="98" fillId="10" borderId="41" xfId="0" applyFont="1" applyFill="1" applyBorder="1" applyAlignment="1">
      <alignment vertical="center"/>
    </xf>
    <xf numFmtId="0" fontId="63" fillId="36" borderId="32" xfId="0" applyFont="1" applyFill="1" applyBorder="1" applyAlignment="1">
      <alignment horizontal="center" vertical="center"/>
    </xf>
    <xf numFmtId="166" fontId="19" fillId="7" borderId="20" xfId="2" applyNumberFormat="1" applyFont="1" applyFill="1" applyBorder="1" applyAlignment="1">
      <alignment horizontal="center" vertical="center"/>
    </xf>
    <xf numFmtId="174" fontId="0" fillId="10" borderId="1" xfId="2" quotePrefix="1" applyNumberFormat="1" applyFont="1" applyFill="1" applyBorder="1" applyAlignment="1">
      <alignment horizontal="center" vertical="center"/>
    </xf>
    <xf numFmtId="3" fontId="55" fillId="0" borderId="32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5" fillId="0" borderId="32" xfId="0" applyFont="1" applyBorder="1" applyAlignment="1">
      <alignment vertical="center"/>
    </xf>
    <xf numFmtId="0" fontId="0" fillId="10" borderId="90" xfId="0" applyFill="1" applyBorder="1"/>
    <xf numFmtId="0" fontId="0" fillId="2" borderId="41" xfId="0" applyFill="1" applyBorder="1"/>
    <xf numFmtId="0" fontId="0" fillId="36" borderId="41" xfId="0" applyFill="1" applyBorder="1"/>
    <xf numFmtId="0" fontId="55" fillId="0" borderId="41" xfId="0" applyFont="1" applyBorder="1" applyAlignment="1">
      <alignment horizontal="right" vertical="center"/>
    </xf>
    <xf numFmtId="0" fontId="0" fillId="7" borderId="0" xfId="0" applyFill="1" applyAlignment="1">
      <alignment horizontal="center"/>
    </xf>
    <xf numFmtId="0" fontId="92" fillId="3" borderId="32" xfId="0" applyFont="1" applyFill="1" applyBorder="1" applyAlignment="1">
      <alignment horizontal="center" vertical="center"/>
    </xf>
    <xf numFmtId="3" fontId="94" fillId="0" borderId="121" xfId="0" applyNumberFormat="1" applyFont="1" applyBorder="1"/>
    <xf numFmtId="0" fontId="98" fillId="10" borderId="89" xfId="0" applyFont="1" applyFill="1" applyBorder="1" applyAlignment="1">
      <alignment horizontal="right" vertical="center"/>
    </xf>
    <xf numFmtId="0" fontId="99" fillId="10" borderId="32" xfId="0" applyFont="1" applyFill="1" applyBorder="1" applyAlignment="1">
      <alignment horizontal="right" vertical="center"/>
    </xf>
    <xf numFmtId="0" fontId="98" fillId="10" borderId="32" xfId="0" applyFont="1" applyFill="1" applyBorder="1" applyAlignment="1">
      <alignment vertical="center"/>
    </xf>
    <xf numFmtId="0" fontId="98" fillId="10" borderId="32" xfId="0" applyFont="1" applyFill="1" applyBorder="1" applyAlignment="1">
      <alignment horizontal="right" vertical="center"/>
    </xf>
    <xf numFmtId="0" fontId="55" fillId="10" borderId="41" xfId="0" applyFont="1" applyFill="1" applyBorder="1" applyAlignment="1">
      <alignment vertical="center"/>
    </xf>
    <xf numFmtId="0" fontId="55" fillId="10" borderId="90" xfId="0" applyFont="1" applyFill="1" applyBorder="1" applyAlignment="1">
      <alignment vertical="center"/>
    </xf>
    <xf numFmtId="0" fontId="92" fillId="15" borderId="32" xfId="0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/>
    </xf>
    <xf numFmtId="0" fontId="105" fillId="0" borderId="89" xfId="0" applyFont="1" applyBorder="1" applyAlignment="1">
      <alignment vertical="center"/>
    </xf>
    <xf numFmtId="0" fontId="105" fillId="0" borderId="32" xfId="0" applyFont="1" applyBorder="1" applyAlignment="1">
      <alignment vertical="center"/>
    </xf>
    <xf numFmtId="0" fontId="106" fillId="0" borderId="41" xfId="0" applyFont="1" applyBorder="1"/>
    <xf numFmtId="0" fontId="0" fillId="13" borderId="66" xfId="0" applyFill="1" applyBorder="1"/>
    <xf numFmtId="0" fontId="0" fillId="13" borderId="41" xfId="0" applyFill="1" applyBorder="1"/>
    <xf numFmtId="0" fontId="0" fillId="13" borderId="90" xfId="0" applyFill="1" applyBorder="1"/>
    <xf numFmtId="0" fontId="55" fillId="7" borderId="0" xfId="0" applyFont="1" applyFill="1" applyAlignment="1">
      <alignment horizontal="center" vertical="center"/>
    </xf>
    <xf numFmtId="0" fontId="16" fillId="3" borderId="6" xfId="4" applyFont="1" applyFill="1" applyBorder="1"/>
    <xf numFmtId="0" fontId="16" fillId="0" borderId="0" xfId="0" applyFont="1" applyAlignment="1">
      <alignment horizontal="center" vertical="center" textRotation="90"/>
    </xf>
    <xf numFmtId="0" fontId="4" fillId="3" borderId="54" xfId="1" applyFont="1" applyFill="1" applyBorder="1" applyAlignment="1">
      <alignment horizontal="left" vertical="center" wrapText="1"/>
    </xf>
    <xf numFmtId="164" fontId="19" fillId="8" borderId="46" xfId="0" applyNumberFormat="1" applyFont="1" applyFill="1" applyBorder="1" applyAlignment="1">
      <alignment horizontal="center" vertical="center"/>
    </xf>
    <xf numFmtId="0" fontId="4" fillId="5" borderId="56" xfId="1" applyFont="1" applyFill="1" applyBorder="1" applyAlignment="1">
      <alignment horizontal="left" vertical="center" wrapText="1"/>
    </xf>
    <xf numFmtId="0" fontId="4" fillId="5" borderId="54" xfId="1" applyFont="1" applyFill="1" applyBorder="1" applyAlignment="1">
      <alignment horizontal="left" vertical="center" wrapText="1"/>
    </xf>
    <xf numFmtId="0" fontId="46" fillId="34" borderId="54" xfId="0" applyFont="1" applyFill="1" applyBorder="1"/>
    <xf numFmtId="0" fontId="4" fillId="2" borderId="54" xfId="1" applyFont="1" applyFill="1" applyBorder="1" applyAlignment="1">
      <alignment horizontal="left" vertical="center" wrapText="1"/>
    </xf>
    <xf numFmtId="0" fontId="5" fillId="5" borderId="54" xfId="0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 wrapText="1"/>
    </xf>
    <xf numFmtId="164" fontId="19" fillId="8" borderId="72" xfId="0" applyNumberFormat="1" applyFont="1" applyFill="1" applyBorder="1" applyAlignment="1">
      <alignment horizontal="center" vertical="center"/>
    </xf>
    <xf numFmtId="164" fontId="19" fillId="8" borderId="91" xfId="0" applyNumberFormat="1" applyFont="1" applyFill="1" applyBorder="1" applyAlignment="1">
      <alignment horizontal="center" vertical="center"/>
    </xf>
    <xf numFmtId="164" fontId="47" fillId="16" borderId="20" xfId="1" applyNumberFormat="1" applyFont="1" applyFill="1" applyBorder="1" applyAlignment="1" applyProtection="1">
      <alignment horizontal="center" wrapText="1"/>
      <protection locked="0"/>
    </xf>
    <xf numFmtId="164" fontId="47" fillId="16" borderId="93" xfId="1" applyNumberFormat="1" applyFont="1" applyFill="1" applyBorder="1" applyAlignment="1" applyProtection="1">
      <alignment horizontal="center" wrapText="1"/>
      <protection locked="0"/>
    </xf>
    <xf numFmtId="164" fontId="47" fillId="16" borderId="21" xfId="1" applyNumberFormat="1" applyFont="1" applyFill="1" applyBorder="1" applyAlignment="1" applyProtection="1">
      <alignment horizontal="center" wrapText="1"/>
      <protection locked="0"/>
    </xf>
    <xf numFmtId="0" fontId="4" fillId="2" borderId="56" xfId="1" applyFont="1" applyFill="1" applyBorder="1" applyAlignment="1">
      <alignment horizontal="left" vertical="center" wrapText="1"/>
    </xf>
    <xf numFmtId="0" fontId="5" fillId="2" borderId="54" xfId="0" applyFont="1" applyFill="1" applyBorder="1" applyAlignment="1">
      <alignment horizontal="left" vertical="center"/>
    </xf>
    <xf numFmtId="0" fontId="4" fillId="2" borderId="59" xfId="1" applyFont="1" applyFill="1" applyBorder="1" applyAlignment="1">
      <alignment horizontal="left" vertical="center" wrapText="1"/>
    </xf>
    <xf numFmtId="0" fontId="5" fillId="2" borderId="56" xfId="0" applyFont="1" applyFill="1" applyBorder="1" applyAlignment="1">
      <alignment horizontal="left" vertical="center"/>
    </xf>
    <xf numFmtId="0" fontId="5" fillId="2" borderId="58" xfId="0" applyFont="1" applyFill="1" applyBorder="1" applyAlignment="1">
      <alignment horizontal="left" vertical="center"/>
    </xf>
    <xf numFmtId="164" fontId="19" fillId="8" borderId="123" xfId="0" applyNumberFormat="1" applyFont="1" applyFill="1" applyBorder="1" applyAlignment="1">
      <alignment horizontal="center" vertical="center"/>
    </xf>
    <xf numFmtId="164" fontId="91" fillId="8" borderId="46" xfId="0" applyNumberFormat="1" applyFont="1" applyFill="1" applyBorder="1" applyAlignment="1">
      <alignment horizontal="center" vertical="center"/>
    </xf>
    <xf numFmtId="0" fontId="4" fillId="3" borderId="56" xfId="1" applyFont="1" applyFill="1" applyBorder="1" applyAlignment="1">
      <alignment horizontal="left" vertical="center" wrapText="1"/>
    </xf>
    <xf numFmtId="0" fontId="3" fillId="3" borderId="54" xfId="1" applyFont="1" applyFill="1" applyBorder="1" applyAlignment="1">
      <alignment horizontal="left" vertical="center" wrapText="1"/>
    </xf>
    <xf numFmtId="0" fontId="4" fillId="3" borderId="58" xfId="1" applyFont="1" applyFill="1" applyBorder="1" applyAlignment="1">
      <alignment horizontal="left" vertical="center" wrapText="1"/>
    </xf>
    <xf numFmtId="164" fontId="47" fillId="16" borderId="100" xfId="1" applyNumberFormat="1" applyFont="1" applyFill="1" applyBorder="1" applyAlignment="1" applyProtection="1">
      <alignment horizontal="center" wrapText="1"/>
      <protection locked="0"/>
    </xf>
    <xf numFmtId="0" fontId="55" fillId="0" borderId="32" xfId="0" applyFont="1" applyBorder="1" applyAlignment="1">
      <alignment horizontal="right" vertical="center"/>
    </xf>
    <xf numFmtId="1" fontId="37" fillId="10" borderId="57" xfId="0" applyNumberFormat="1" applyFont="1" applyFill="1" applyBorder="1" applyAlignment="1">
      <alignment horizontal="left"/>
    </xf>
    <xf numFmtId="1" fontId="37" fillId="10" borderId="1" xfId="0" applyNumberFormat="1" applyFont="1" applyFill="1" applyBorder="1" applyAlignment="1">
      <alignment horizontal="left"/>
    </xf>
    <xf numFmtId="3" fontId="37" fillId="39" borderId="1" xfId="0" applyNumberFormat="1" applyFont="1" applyFill="1" applyBorder="1" applyAlignment="1">
      <alignment horizontal="left" vertical="center"/>
    </xf>
    <xf numFmtId="1" fontId="37" fillId="10" borderId="113" xfId="0" applyNumberFormat="1" applyFont="1" applyFill="1" applyBorder="1" applyAlignment="1">
      <alignment horizontal="left"/>
    </xf>
    <xf numFmtId="1" fontId="37" fillId="10" borderId="24" xfId="0" applyNumberFormat="1" applyFont="1" applyFill="1" applyBorder="1" applyAlignment="1">
      <alignment horizontal="left"/>
    </xf>
    <xf numFmtId="1" fontId="37" fillId="10" borderId="65" xfId="0" applyNumberFormat="1" applyFont="1" applyFill="1" applyBorder="1" applyAlignment="1">
      <alignment horizontal="left"/>
    </xf>
    <xf numFmtId="1" fontId="43" fillId="10" borderId="65" xfId="0" applyNumberFormat="1" applyFont="1" applyFill="1" applyBorder="1" applyAlignment="1">
      <alignment horizontal="left" vertical="center"/>
    </xf>
    <xf numFmtId="1" fontId="37" fillId="10" borderId="65" xfId="0" applyNumberFormat="1" applyFont="1" applyFill="1" applyBorder="1" applyAlignment="1">
      <alignment horizontal="left" vertical="center"/>
    </xf>
    <xf numFmtId="1" fontId="43" fillId="10" borderId="65" xfId="0" applyNumberFormat="1" applyFont="1" applyFill="1" applyBorder="1" applyAlignment="1">
      <alignment horizontal="left"/>
    </xf>
    <xf numFmtId="1" fontId="37" fillId="10" borderId="24" xfId="0" applyNumberFormat="1" applyFont="1" applyFill="1" applyBorder="1" applyAlignment="1">
      <alignment horizontal="left" vertical="center"/>
    </xf>
    <xf numFmtId="1" fontId="37" fillId="10" borderId="1" xfId="0" applyNumberFormat="1" applyFont="1" applyFill="1" applyBorder="1" applyAlignment="1">
      <alignment horizontal="center"/>
    </xf>
    <xf numFmtId="0" fontId="107" fillId="10" borderId="1" xfId="0" applyFont="1" applyFill="1" applyBorder="1" applyAlignment="1">
      <alignment vertical="center"/>
    </xf>
    <xf numFmtId="1" fontId="37" fillId="10" borderId="122" xfId="0" applyNumberFormat="1" applyFont="1" applyFill="1" applyBorder="1" applyAlignment="1">
      <alignment horizontal="center"/>
    </xf>
    <xf numFmtId="0" fontId="55" fillId="0" borderId="90" xfId="0" applyFont="1" applyBorder="1" applyAlignment="1">
      <alignment vertical="center"/>
    </xf>
    <xf numFmtId="16" fontId="92" fillId="69" borderId="32" xfId="0" applyNumberFormat="1" applyFont="1" applyFill="1" applyBorder="1" applyAlignment="1">
      <alignment horizontal="center" vertical="center"/>
    </xf>
    <xf numFmtId="0" fontId="92" fillId="70" borderId="32" xfId="0" applyFont="1" applyFill="1" applyBorder="1" applyAlignment="1">
      <alignment horizontal="center" vertical="center"/>
    </xf>
    <xf numFmtId="16" fontId="92" fillId="70" borderId="32" xfId="0" applyNumberFormat="1" applyFont="1" applyFill="1" applyBorder="1" applyAlignment="1">
      <alignment horizontal="center" vertical="center"/>
    </xf>
    <xf numFmtId="0" fontId="92" fillId="29" borderId="31" xfId="0" applyFont="1" applyFill="1" applyBorder="1" applyAlignment="1">
      <alignment vertical="center"/>
    </xf>
    <xf numFmtId="0" fontId="92" fillId="29" borderId="32" xfId="0" applyFont="1" applyFill="1" applyBorder="1" applyAlignment="1">
      <alignment vertical="center"/>
    </xf>
    <xf numFmtId="0" fontId="55" fillId="29" borderId="32" xfId="0" applyFont="1" applyFill="1" applyBorder="1" applyAlignment="1">
      <alignment vertical="center"/>
    </xf>
    <xf numFmtId="0" fontId="55" fillId="29" borderId="32" xfId="0" applyFont="1" applyFill="1" applyBorder="1" applyAlignment="1">
      <alignment horizontal="right" vertical="center"/>
    </xf>
    <xf numFmtId="0" fontId="63" fillId="0" borderId="32" xfId="0" applyFont="1" applyBorder="1" applyAlignment="1">
      <alignment horizontal="center" vertical="center"/>
    </xf>
    <xf numFmtId="0" fontId="92" fillId="67" borderId="32" xfId="0" applyFont="1" applyFill="1" applyBorder="1" applyAlignment="1">
      <alignment horizontal="center" vertical="center"/>
    </xf>
    <xf numFmtId="0" fontId="108" fillId="71" borderId="89" xfId="0" applyFont="1" applyFill="1" applyBorder="1" applyAlignment="1">
      <alignment horizontal="center" vertical="center"/>
    </xf>
    <xf numFmtId="0" fontId="92" fillId="71" borderId="32" xfId="0" applyFont="1" applyFill="1" applyBorder="1" applyAlignment="1">
      <alignment horizontal="center" vertical="center" wrapText="1"/>
    </xf>
    <xf numFmtId="0" fontId="92" fillId="71" borderId="32" xfId="0" applyFont="1" applyFill="1" applyBorder="1" applyAlignment="1">
      <alignment horizontal="center" vertical="center"/>
    </xf>
    <xf numFmtId="14" fontId="92" fillId="71" borderId="32" xfId="0" applyNumberFormat="1" applyFont="1" applyFill="1" applyBorder="1" applyAlignment="1">
      <alignment horizontal="center" vertical="center" wrapText="1"/>
    </xf>
    <xf numFmtId="0" fontId="92" fillId="29" borderId="89" xfId="0" applyFont="1" applyFill="1" applyBorder="1" applyAlignment="1">
      <alignment vertical="center"/>
    </xf>
    <xf numFmtId="0" fontId="92" fillId="0" borderId="23" xfId="0" applyFont="1" applyBorder="1" applyAlignment="1">
      <alignment vertical="center"/>
    </xf>
    <xf numFmtId="0" fontId="92" fillId="0" borderId="32" xfId="0" applyFont="1" applyBorder="1" applyAlignment="1">
      <alignment horizontal="center" vertical="center"/>
    </xf>
    <xf numFmtId="0" fontId="92" fillId="0" borderId="23" xfId="0" applyFont="1" applyBorder="1" applyAlignment="1">
      <alignment horizontal="center" vertical="center"/>
    </xf>
    <xf numFmtId="0" fontId="92" fillId="67" borderId="32" xfId="0" applyFont="1" applyFill="1" applyBorder="1" applyAlignment="1">
      <alignment vertical="center"/>
    </xf>
    <xf numFmtId="0" fontId="92" fillId="2" borderId="32" xfId="0" applyFont="1" applyFill="1" applyBorder="1" applyAlignment="1">
      <alignment horizontal="right" vertical="center"/>
    </xf>
    <xf numFmtId="0" fontId="92" fillId="67" borderId="23" xfId="0" applyFont="1" applyFill="1" applyBorder="1" applyAlignment="1">
      <alignment vertical="center"/>
    </xf>
    <xf numFmtId="0" fontId="92" fillId="7" borderId="89" xfId="0" applyFont="1" applyFill="1" applyBorder="1" applyAlignment="1">
      <alignment vertical="center"/>
    </xf>
    <xf numFmtId="0" fontId="55" fillId="7" borderId="32" xfId="0" applyFont="1" applyFill="1" applyBorder="1" applyAlignment="1">
      <alignment vertical="center"/>
    </xf>
    <xf numFmtId="0" fontId="55" fillId="7" borderId="32" xfId="0" applyFont="1" applyFill="1" applyBorder="1" applyAlignment="1">
      <alignment horizontal="right" vertical="center"/>
    </xf>
    <xf numFmtId="0" fontId="92" fillId="67" borderId="32" xfId="0" applyFont="1" applyFill="1" applyBorder="1" applyAlignment="1">
      <alignment horizontal="right" vertical="center"/>
    </xf>
    <xf numFmtId="0" fontId="92" fillId="0" borderId="32" xfId="0" applyFont="1" applyBorder="1" applyAlignment="1">
      <alignment horizontal="right" vertical="center"/>
    </xf>
    <xf numFmtId="0" fontId="92" fillId="0" borderId="32" xfId="0" applyFont="1" applyBorder="1" applyAlignment="1">
      <alignment vertical="center"/>
    </xf>
    <xf numFmtId="0" fontId="55" fillId="7" borderId="0" xfId="0" applyFont="1" applyFill="1" applyAlignment="1">
      <alignment vertical="center"/>
    </xf>
    <xf numFmtId="0" fontId="55" fillId="7" borderId="89" xfId="0" applyFont="1" applyFill="1" applyBorder="1" applyAlignment="1">
      <alignment vertical="center"/>
    </xf>
    <xf numFmtId="0" fontId="55" fillId="7" borderId="0" xfId="0" applyFont="1" applyFill="1" applyAlignment="1">
      <alignment horizontal="right" vertical="center"/>
    </xf>
    <xf numFmtId="0" fontId="55" fillId="7" borderId="89" xfId="0" applyFont="1" applyFill="1" applyBorder="1" applyAlignment="1">
      <alignment horizontal="right" vertical="center"/>
    </xf>
    <xf numFmtId="0" fontId="92" fillId="7" borderId="41" xfId="0" applyFont="1" applyFill="1" applyBorder="1" applyAlignment="1">
      <alignment vertical="center"/>
    </xf>
    <xf numFmtId="0" fontId="55" fillId="7" borderId="90" xfId="0" applyFont="1" applyFill="1" applyBorder="1" applyAlignment="1">
      <alignment horizontal="right" vertical="center"/>
    </xf>
    <xf numFmtId="0" fontId="109" fillId="0" borderId="0" xfId="0" applyFont="1" applyAlignment="1">
      <alignment vertical="center"/>
    </xf>
    <xf numFmtId="0" fontId="55" fillId="0" borderId="41" xfId="0" applyFont="1" applyBorder="1" applyAlignment="1">
      <alignment vertical="center"/>
    </xf>
    <xf numFmtId="3" fontId="55" fillId="0" borderId="90" xfId="0" applyNumberFormat="1" applyFont="1" applyBorder="1" applyAlignment="1">
      <alignment horizontal="right" vertical="center"/>
    </xf>
    <xf numFmtId="0" fontId="55" fillId="2" borderId="89" xfId="0" applyFont="1" applyFill="1" applyBorder="1" applyAlignment="1">
      <alignment vertical="center"/>
    </xf>
    <xf numFmtId="0" fontId="55" fillId="2" borderId="32" xfId="0" applyFont="1" applyFill="1" applyBorder="1" applyAlignment="1">
      <alignment horizontal="right" vertical="center"/>
    </xf>
    <xf numFmtId="3" fontId="55" fillId="2" borderId="32" xfId="0" applyNumberFormat="1" applyFont="1" applyFill="1" applyBorder="1" applyAlignment="1">
      <alignment horizontal="right" vertical="center"/>
    </xf>
    <xf numFmtId="0" fontId="55" fillId="0" borderId="89" xfId="0" applyFont="1" applyBorder="1" applyAlignment="1">
      <alignment vertical="center"/>
    </xf>
    <xf numFmtId="3" fontId="8" fillId="0" borderId="90" xfId="0" applyNumberFormat="1" applyFont="1" applyBorder="1"/>
    <xf numFmtId="0" fontId="0" fillId="10" borderId="40" xfId="0" applyFill="1" applyBorder="1"/>
    <xf numFmtId="0" fontId="38" fillId="10" borderId="57" xfId="0" applyFont="1" applyFill="1" applyBorder="1"/>
    <xf numFmtId="3" fontId="38" fillId="39" borderId="71" xfId="0" applyNumberFormat="1" applyFont="1" applyFill="1" applyBorder="1" applyAlignment="1">
      <alignment horizontal="center"/>
    </xf>
    <xf numFmtId="0" fontId="38" fillId="10" borderId="1" xfId="0" applyFont="1" applyFill="1" applyBorder="1" applyAlignment="1">
      <alignment wrapText="1"/>
    </xf>
    <xf numFmtId="3" fontId="37" fillId="39" borderId="54" xfId="0" applyNumberFormat="1" applyFont="1" applyFill="1" applyBorder="1" applyAlignment="1">
      <alignment horizontal="center" vertical="center" wrapText="1"/>
    </xf>
    <xf numFmtId="0" fontId="34" fillId="10" borderId="1" xfId="0" applyFont="1" applyFill="1" applyBorder="1"/>
    <xf numFmtId="0" fontId="54" fillId="7" borderId="67" xfId="0" applyFont="1" applyFill="1" applyBorder="1"/>
    <xf numFmtId="1" fontId="34" fillId="0" borderId="70" xfId="0" applyNumberFormat="1" applyFont="1" applyBorder="1" applyAlignment="1">
      <alignment horizontal="center"/>
    </xf>
    <xf numFmtId="1" fontId="34" fillId="0" borderId="111" xfId="0" applyNumberFormat="1" applyFont="1" applyBorder="1" applyAlignment="1">
      <alignment horizontal="center"/>
    </xf>
    <xf numFmtId="1" fontId="34" fillId="72" borderId="111" xfId="0" applyNumberFormat="1" applyFont="1" applyFill="1" applyBorder="1" applyAlignment="1">
      <alignment horizontal="center"/>
    </xf>
    <xf numFmtId="1" fontId="35" fillId="0" borderId="112" xfId="0" applyNumberFormat="1" applyFont="1" applyBorder="1" applyAlignment="1">
      <alignment horizontal="center"/>
    </xf>
    <xf numFmtId="1" fontId="58" fillId="0" borderId="113" xfId="0" applyNumberFormat="1" applyFont="1" applyBorder="1" applyAlignment="1">
      <alignment horizontal="left" vertical="center" wrapText="1"/>
    </xf>
    <xf numFmtId="1" fontId="58" fillId="0" borderId="70" xfId="0" applyNumberFormat="1" applyFont="1" applyBorder="1" applyAlignment="1">
      <alignment horizontal="left" vertical="center" wrapText="1"/>
    </xf>
    <xf numFmtId="3" fontId="36" fillId="73" borderId="25" xfId="0" applyNumberFormat="1" applyFont="1" applyFill="1" applyBorder="1" applyAlignment="1">
      <alignment horizontal="center" vertical="center"/>
    </xf>
    <xf numFmtId="1" fontId="34" fillId="72" borderId="70" xfId="0" applyNumberFormat="1" applyFont="1" applyFill="1" applyBorder="1" applyAlignment="1">
      <alignment horizontal="center"/>
    </xf>
    <xf numFmtId="3" fontId="37" fillId="72" borderId="1" xfId="0" applyNumberFormat="1" applyFont="1" applyFill="1" applyBorder="1" applyAlignment="1">
      <alignment horizontal="left" vertical="center"/>
    </xf>
    <xf numFmtId="3" fontId="37" fillId="72" borderId="71" xfId="0" applyNumberFormat="1" applyFont="1" applyFill="1" applyBorder="1" applyAlignment="1">
      <alignment horizontal="left" vertical="center"/>
    </xf>
    <xf numFmtId="0" fontId="0" fillId="12" borderId="40" xfId="0" applyFill="1" applyBorder="1"/>
    <xf numFmtId="3" fontId="36" fillId="73" borderId="24" xfId="0" applyNumberFormat="1" applyFont="1" applyFill="1" applyBorder="1" applyAlignment="1">
      <alignment horizontal="center" vertical="center"/>
    </xf>
    <xf numFmtId="3" fontId="37" fillId="72" borderId="1" xfId="0" applyNumberFormat="1" applyFont="1" applyFill="1" applyBorder="1" applyAlignment="1">
      <alignment horizontal="left" vertical="center" wrapText="1"/>
    </xf>
    <xf numFmtId="3" fontId="37" fillId="72" borderId="71" xfId="0" applyNumberFormat="1" applyFont="1" applyFill="1" applyBorder="1" applyAlignment="1">
      <alignment horizontal="left" vertical="center" wrapText="1"/>
    </xf>
    <xf numFmtId="0" fontId="0" fillId="12" borderId="40" xfId="0" applyFill="1" applyBorder="1" applyAlignment="1">
      <alignment wrapText="1"/>
    </xf>
    <xf numFmtId="3" fontId="37" fillId="74" borderId="1" xfId="0" applyNumberFormat="1" applyFont="1" applyFill="1" applyBorder="1" applyAlignment="1">
      <alignment horizontal="left" vertical="center" wrapText="1"/>
    </xf>
    <xf numFmtId="1" fontId="43" fillId="0" borderId="41" xfId="0" applyNumberFormat="1" applyFont="1" applyBorder="1" applyAlignment="1">
      <alignment horizontal="left"/>
    </xf>
    <xf numFmtId="0" fontId="0" fillId="0" borderId="66" xfId="0" applyBorder="1"/>
    <xf numFmtId="3" fontId="36" fillId="29" borderId="66" xfId="0" applyNumberFormat="1" applyFont="1" applyFill="1" applyBorder="1" applyAlignment="1">
      <alignment horizontal="center" vertical="center"/>
    </xf>
    <xf numFmtId="1" fontId="43" fillId="0" borderId="82" xfId="0" applyNumberFormat="1" applyFont="1" applyBorder="1" applyAlignment="1">
      <alignment horizontal="left"/>
    </xf>
    <xf numFmtId="0" fontId="0" fillId="0" borderId="83" xfId="0" applyBorder="1"/>
    <xf numFmtId="3" fontId="36" fillId="7" borderId="83" xfId="0" applyNumberFormat="1" applyFont="1" applyFill="1" applyBorder="1" applyAlignment="1">
      <alignment horizontal="center" vertical="center"/>
    </xf>
    <xf numFmtId="1" fontId="34" fillId="75" borderId="83" xfId="0" applyNumberFormat="1" applyFont="1" applyFill="1" applyBorder="1" applyAlignment="1">
      <alignment horizontal="center"/>
    </xf>
    <xf numFmtId="1" fontId="34" fillId="2" borderId="83" xfId="0" applyNumberFormat="1" applyFont="1" applyFill="1" applyBorder="1" applyAlignment="1">
      <alignment horizontal="center"/>
    </xf>
    <xf numFmtId="3" fontId="38" fillId="72" borderId="84" xfId="0" applyNumberFormat="1" applyFont="1" applyFill="1" applyBorder="1" applyAlignment="1">
      <alignment horizontal="center"/>
    </xf>
    <xf numFmtId="0" fontId="0" fillId="12" borderId="114" xfId="0" applyFill="1" applyBorder="1"/>
    <xf numFmtId="0" fontId="38" fillId="0" borderId="57" xfId="0" applyFont="1" applyBorder="1"/>
    <xf numFmtId="0" fontId="38" fillId="0" borderId="1" xfId="0" applyFont="1" applyBorder="1"/>
    <xf numFmtId="3" fontId="37" fillId="72" borderId="1" xfId="0" applyNumberFormat="1" applyFont="1" applyFill="1" applyBorder="1" applyAlignment="1">
      <alignment horizontal="center" vertical="center" wrapText="1"/>
    </xf>
    <xf numFmtId="3" fontId="38" fillId="72" borderId="71" xfId="0" applyNumberFormat="1" applyFont="1" applyFill="1" applyBorder="1" applyAlignment="1">
      <alignment horizontal="center"/>
    </xf>
    <xf numFmtId="3" fontId="38" fillId="72" borderId="40" xfId="0" applyNumberFormat="1" applyFont="1" applyFill="1" applyBorder="1" applyAlignment="1">
      <alignment horizontal="center"/>
    </xf>
    <xf numFmtId="0" fontId="38" fillId="0" borderId="88" xfId="0" applyFont="1" applyBorder="1"/>
    <xf numFmtId="0" fontId="38" fillId="0" borderId="18" xfId="0" applyFont="1" applyBorder="1"/>
    <xf numFmtId="0" fontId="38" fillId="13" borderId="18" xfId="0" applyFont="1" applyFill="1" applyBorder="1"/>
    <xf numFmtId="3" fontId="38" fillId="72" borderId="37" xfId="0" applyNumberFormat="1" applyFont="1" applyFill="1" applyBorder="1" applyAlignment="1">
      <alignment horizontal="center"/>
    </xf>
    <xf numFmtId="3" fontId="38" fillId="72" borderId="71" xfId="0" applyNumberFormat="1" applyFont="1" applyFill="1" applyBorder="1" applyAlignment="1">
      <alignment horizontal="left"/>
    </xf>
    <xf numFmtId="0" fontId="38" fillId="2" borderId="57" xfId="0" applyFont="1" applyFill="1" applyBorder="1"/>
    <xf numFmtId="0" fontId="38" fillId="2" borderId="1" xfId="0" applyFont="1" applyFill="1" applyBorder="1"/>
    <xf numFmtId="3" fontId="37" fillId="72" borderId="54" xfId="0" applyNumberFormat="1" applyFont="1" applyFill="1" applyBorder="1" applyAlignment="1">
      <alignment horizontal="center" vertical="center" wrapText="1"/>
    </xf>
    <xf numFmtId="0" fontId="34" fillId="0" borderId="1" xfId="0" applyFont="1" applyBorder="1"/>
    <xf numFmtId="3" fontId="110" fillId="10" borderId="1" xfId="0" applyNumberFormat="1" applyFont="1" applyFill="1" applyBorder="1" applyAlignment="1">
      <alignment horizontal="left" vertical="center"/>
    </xf>
    <xf numFmtId="1" fontId="37" fillId="10" borderId="39" xfId="0" applyNumberFormat="1" applyFont="1" applyFill="1" applyBorder="1" applyAlignment="1">
      <alignment horizontal="center"/>
    </xf>
    <xf numFmtId="0" fontId="0" fillId="36" borderId="66" xfId="0" applyFill="1" applyBorder="1"/>
    <xf numFmtId="3" fontId="94" fillId="36" borderId="120" xfId="0" applyNumberFormat="1" applyFont="1" applyFill="1" applyBorder="1" applyAlignment="1">
      <alignment horizontal="center"/>
    </xf>
    <xf numFmtId="3" fontId="55" fillId="67" borderId="32" xfId="0" applyNumberFormat="1" applyFont="1" applyFill="1" applyBorder="1" applyAlignment="1">
      <alignment horizontal="right" vertical="center"/>
    </xf>
    <xf numFmtId="0" fontId="111" fillId="67" borderId="32" xfId="0" applyFont="1" applyFill="1" applyBorder="1" applyAlignment="1">
      <alignment vertical="center"/>
    </xf>
    <xf numFmtId="0" fontId="55" fillId="67" borderId="0" xfId="0" applyFont="1" applyFill="1" applyAlignment="1">
      <alignment horizontal="right" vertical="center"/>
    </xf>
    <xf numFmtId="0" fontId="55" fillId="67" borderId="89" xfId="0" applyFont="1" applyFill="1" applyBorder="1" applyAlignment="1">
      <alignment vertical="center"/>
    </xf>
    <xf numFmtId="0" fontId="55" fillId="67" borderId="32" xfId="0" applyFont="1" applyFill="1" applyBorder="1" applyAlignment="1">
      <alignment horizontal="center" vertical="center"/>
    </xf>
    <xf numFmtId="0" fontId="98" fillId="67" borderId="89" xfId="0" applyFont="1" applyFill="1" applyBorder="1" applyAlignment="1">
      <alignment horizontal="right" vertical="center"/>
    </xf>
    <xf numFmtId="0" fontId="99" fillId="67" borderId="32" xfId="0" applyFont="1" applyFill="1" applyBorder="1" applyAlignment="1">
      <alignment horizontal="right" vertical="center"/>
    </xf>
    <xf numFmtId="0" fontId="98" fillId="67" borderId="32" xfId="0" applyFont="1" applyFill="1" applyBorder="1" applyAlignment="1">
      <alignment vertical="center"/>
    </xf>
    <xf numFmtId="3" fontId="98" fillId="67" borderId="133" xfId="0" applyNumberFormat="1" applyFont="1" applyFill="1" applyBorder="1" applyAlignment="1">
      <alignment horizontal="right" vertical="center"/>
    </xf>
    <xf numFmtId="0" fontId="98" fillId="15" borderId="133" xfId="0" applyFont="1" applyFill="1" applyBorder="1" applyAlignment="1">
      <alignment horizontal="center" vertical="center"/>
    </xf>
    <xf numFmtId="3" fontId="102" fillId="10" borderId="1" xfId="0" applyNumberFormat="1" applyFont="1" applyFill="1" applyBorder="1" applyAlignment="1">
      <alignment horizontal="left" vertical="center"/>
    </xf>
    <xf numFmtId="0" fontId="38" fillId="0" borderId="1" xfId="0" applyFont="1" applyBorder="1" applyAlignment="1">
      <alignment wrapText="1"/>
    </xf>
    <xf numFmtId="0" fontId="0" fillId="0" borderId="0" xfId="0" applyAlignment="1">
      <alignment horizontal="center"/>
    </xf>
    <xf numFmtId="0" fontId="29" fillId="7" borderId="50" xfId="0" applyFont="1" applyFill="1" applyBorder="1" applyAlignment="1">
      <alignment horizontal="center" vertical="center"/>
    </xf>
    <xf numFmtId="0" fontId="29" fillId="7" borderId="52" xfId="0" applyFont="1" applyFill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9" fillId="8" borderId="36" xfId="0" applyFont="1" applyFill="1" applyBorder="1" applyAlignment="1">
      <alignment vertical="center" wrapText="1"/>
    </xf>
    <xf numFmtId="0" fontId="9" fillId="8" borderId="38" xfId="0" applyFont="1" applyFill="1" applyBorder="1" applyAlignment="1">
      <alignment vertical="center" wrapText="1"/>
    </xf>
    <xf numFmtId="0" fontId="9" fillId="12" borderId="14" xfId="0" applyFont="1" applyFill="1" applyBorder="1" applyAlignment="1">
      <alignment horizontal="center" vertical="center" wrapText="1"/>
    </xf>
    <xf numFmtId="0" fontId="9" fillId="12" borderId="17" xfId="0" applyFont="1" applyFill="1" applyBorder="1" applyAlignment="1">
      <alignment horizontal="center" vertical="center" wrapText="1"/>
    </xf>
    <xf numFmtId="0" fontId="9" fillId="2" borderId="14" xfId="0" applyFont="1" applyFill="1" applyBorder="1" applyAlignment="1" applyProtection="1">
      <alignment horizontal="center" vertical="center" wrapText="1"/>
      <protection locked="0"/>
    </xf>
    <xf numFmtId="0" fontId="9" fillId="2" borderId="17" xfId="0" applyFont="1" applyFill="1" applyBorder="1" applyAlignment="1" applyProtection="1">
      <alignment horizontal="center" vertical="center" wrapText="1"/>
      <protection locked="0"/>
    </xf>
    <xf numFmtId="43" fontId="9" fillId="8" borderId="14" xfId="2" applyFont="1" applyFill="1" applyBorder="1" applyAlignment="1" applyProtection="1">
      <alignment horizontal="center" vertical="center"/>
    </xf>
    <xf numFmtId="43" fontId="9" fillId="8" borderId="17" xfId="2" applyFont="1" applyFill="1" applyBorder="1" applyAlignment="1" applyProtection="1">
      <alignment horizontal="center" vertical="center"/>
    </xf>
    <xf numFmtId="43" fontId="9" fillId="2" borderId="14" xfId="2" applyFont="1" applyFill="1" applyBorder="1" applyAlignment="1" applyProtection="1">
      <alignment horizontal="center" vertical="center"/>
      <protection locked="0"/>
    </xf>
    <xf numFmtId="43" fontId="9" fillId="2" borderId="17" xfId="2" applyFont="1" applyFill="1" applyBorder="1" applyAlignment="1" applyProtection="1">
      <alignment horizontal="center" vertical="center"/>
      <protection locked="0"/>
    </xf>
    <xf numFmtId="0" fontId="9" fillId="8" borderId="36" xfId="0" applyFont="1" applyFill="1" applyBorder="1" applyAlignment="1">
      <alignment horizontal="center" vertical="center" wrapText="1"/>
    </xf>
    <xf numFmtId="0" fontId="9" fillId="8" borderId="88" xfId="0" applyFont="1" applyFill="1" applyBorder="1" applyAlignment="1">
      <alignment horizontal="center" vertical="center" wrapText="1"/>
    </xf>
    <xf numFmtId="0" fontId="9" fillId="12" borderId="18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 applyProtection="1">
      <alignment horizontal="center" vertical="center" wrapText="1"/>
      <protection locked="0"/>
    </xf>
    <xf numFmtId="43" fontId="9" fillId="8" borderId="18" xfId="2" applyFont="1" applyFill="1" applyBorder="1" applyAlignment="1" applyProtection="1">
      <alignment horizontal="center" vertical="center"/>
    </xf>
    <xf numFmtId="43" fontId="9" fillId="2" borderId="18" xfId="2" applyFont="1" applyFill="1" applyBorder="1" applyAlignment="1" applyProtection="1">
      <alignment horizontal="center" vertical="center"/>
      <protection locked="0"/>
    </xf>
    <xf numFmtId="0" fontId="9" fillId="8" borderId="38" xfId="0" applyFont="1" applyFill="1" applyBorder="1" applyAlignment="1">
      <alignment horizontal="center" vertical="center" wrapText="1"/>
    </xf>
    <xf numFmtId="43" fontId="9" fillId="2" borderId="59" xfId="2" applyFont="1" applyFill="1" applyBorder="1" applyAlignment="1" applyProtection="1">
      <alignment horizontal="center" vertical="center"/>
      <protection locked="0"/>
    </xf>
    <xf numFmtId="43" fontId="9" fillId="2" borderId="29" xfId="2" applyFont="1" applyFill="1" applyBorder="1" applyAlignment="1" applyProtection="1">
      <alignment horizontal="center" vertical="center"/>
      <protection locked="0"/>
    </xf>
    <xf numFmtId="43" fontId="9" fillId="2" borderId="60" xfId="2" applyFont="1" applyFill="1" applyBorder="1" applyAlignment="1" applyProtection="1">
      <alignment horizontal="center" vertical="center"/>
      <protection locked="0"/>
    </xf>
    <xf numFmtId="0" fontId="9" fillId="8" borderId="48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 wrapText="1"/>
    </xf>
    <xf numFmtId="0" fontId="9" fillId="8" borderId="73" xfId="0" applyFont="1" applyFill="1" applyBorder="1" applyAlignment="1">
      <alignment horizontal="center" vertical="center" wrapText="1"/>
    </xf>
    <xf numFmtId="171" fontId="9" fillId="8" borderId="4" xfId="2" applyNumberFormat="1" applyFont="1" applyFill="1" applyBorder="1" applyAlignment="1" applyProtection="1">
      <alignment horizontal="center" vertical="center"/>
    </xf>
    <xf numFmtId="171" fontId="9" fillId="8" borderId="1" xfId="2" applyNumberFormat="1" applyFont="1" applyFill="1" applyBorder="1" applyAlignment="1" applyProtection="1">
      <alignment horizontal="center" vertical="center"/>
    </xf>
    <xf numFmtId="171" fontId="9" fillId="8" borderId="9" xfId="2" applyNumberFormat="1" applyFont="1" applyFill="1" applyBorder="1" applyAlignment="1" applyProtection="1">
      <alignment horizontal="center" vertical="center"/>
    </xf>
    <xf numFmtId="170" fontId="9" fillId="2" borderId="56" xfId="2" applyNumberFormat="1" applyFont="1" applyFill="1" applyBorder="1" applyAlignment="1" applyProtection="1">
      <alignment horizontal="center" vertical="center"/>
      <protection locked="0"/>
    </xf>
    <xf numFmtId="170" fontId="9" fillId="2" borderId="54" xfId="2" applyNumberFormat="1" applyFont="1" applyFill="1" applyBorder="1" applyAlignment="1" applyProtection="1">
      <alignment horizontal="center" vertical="center"/>
      <protection locked="0"/>
    </xf>
    <xf numFmtId="170" fontId="9" fillId="2" borderId="58" xfId="2" applyNumberFormat="1" applyFont="1" applyFill="1" applyBorder="1" applyAlignment="1" applyProtection="1">
      <alignment horizontal="center" vertical="center"/>
      <protection locked="0"/>
    </xf>
    <xf numFmtId="0" fontId="9" fillId="8" borderId="3" xfId="0" applyFont="1" applyFill="1" applyBorder="1" applyAlignment="1">
      <alignment horizontal="left" vertical="center" wrapText="1"/>
    </xf>
    <xf numFmtId="0" fontId="9" fillId="8" borderId="6" xfId="0" applyFont="1" applyFill="1" applyBorder="1" applyAlignment="1">
      <alignment horizontal="left" vertical="center" wrapText="1"/>
    </xf>
    <xf numFmtId="171" fontId="9" fillId="8" borderId="49" xfId="2" applyNumberFormat="1" applyFont="1" applyFill="1" applyBorder="1" applyAlignment="1" applyProtection="1">
      <alignment horizontal="center" vertical="center"/>
    </xf>
    <xf numFmtId="171" fontId="9" fillId="8" borderId="17" xfId="2" applyNumberFormat="1" applyFont="1" applyFill="1" applyBorder="1" applyAlignment="1" applyProtection="1">
      <alignment horizontal="center" vertical="center"/>
    </xf>
    <xf numFmtId="171" fontId="9" fillId="8" borderId="53" xfId="2" applyNumberFormat="1" applyFont="1" applyFill="1" applyBorder="1" applyAlignment="1" applyProtection="1">
      <alignment horizontal="center" vertical="center"/>
    </xf>
    <xf numFmtId="170" fontId="9" fillId="2" borderId="78" xfId="2" applyNumberFormat="1" applyFont="1" applyFill="1" applyBorder="1" applyAlignment="1" applyProtection="1">
      <alignment horizontal="center" vertical="center"/>
      <protection locked="0"/>
    </xf>
    <xf numFmtId="170" fontId="9" fillId="2" borderId="79" xfId="2" applyNumberFormat="1" applyFont="1" applyFill="1" applyBorder="1" applyAlignment="1" applyProtection="1">
      <alignment horizontal="center" vertical="center"/>
      <protection locked="0"/>
    </xf>
    <xf numFmtId="170" fontId="9" fillId="2" borderId="80" xfId="2" applyNumberFormat="1" applyFont="1" applyFill="1" applyBorder="1" applyAlignment="1" applyProtection="1">
      <alignment horizontal="center" vertical="center"/>
      <protection locked="0"/>
    </xf>
    <xf numFmtId="0" fontId="16" fillId="0" borderId="50" xfId="0" applyFont="1" applyBorder="1" applyAlignment="1">
      <alignment horizontal="center" vertical="center"/>
    </xf>
    <xf numFmtId="0" fontId="16" fillId="0" borderId="51" xfId="0" applyFont="1" applyBorder="1" applyAlignment="1">
      <alignment horizontal="center" vertical="center"/>
    </xf>
    <xf numFmtId="170" fontId="9" fillId="2" borderId="78" xfId="2" applyNumberFormat="1" applyFont="1" applyFill="1" applyBorder="1" applyAlignment="1" applyProtection="1">
      <alignment horizontal="center" vertical="center"/>
    </xf>
    <xf numFmtId="170" fontId="9" fillId="2" borderId="79" xfId="2" applyNumberFormat="1" applyFont="1" applyFill="1" applyBorder="1" applyAlignment="1" applyProtection="1">
      <alignment horizontal="center" vertical="center"/>
    </xf>
    <xf numFmtId="170" fontId="9" fillId="2" borderId="80" xfId="2" applyNumberFormat="1" applyFont="1" applyFill="1" applyBorder="1" applyAlignment="1" applyProtection="1">
      <alignment horizontal="center" vertical="center"/>
    </xf>
    <xf numFmtId="0" fontId="16" fillId="69" borderId="50" xfId="0" applyFont="1" applyFill="1" applyBorder="1" applyAlignment="1">
      <alignment horizontal="center" vertical="center"/>
    </xf>
    <xf numFmtId="0" fontId="16" fillId="69" borderId="51" xfId="0" applyFont="1" applyFill="1" applyBorder="1" applyAlignment="1">
      <alignment horizontal="center" vertical="center"/>
    </xf>
    <xf numFmtId="0" fontId="9" fillId="8" borderId="48" xfId="0" applyFont="1" applyFill="1" applyBorder="1" applyAlignment="1">
      <alignment horizontal="left" vertical="center" wrapText="1"/>
    </xf>
    <xf numFmtId="0" fontId="9" fillId="8" borderId="16" xfId="0" applyFont="1" applyFill="1" applyBorder="1" applyAlignment="1">
      <alignment horizontal="left" vertical="center" wrapText="1"/>
    </xf>
    <xf numFmtId="0" fontId="9" fillId="8" borderId="73" xfId="0" applyFont="1" applyFill="1" applyBorder="1" applyAlignment="1">
      <alignment horizontal="left" vertical="center" wrapText="1"/>
    </xf>
    <xf numFmtId="0" fontId="9" fillId="0" borderId="75" xfId="0" quotePrefix="1" applyFont="1" applyBorder="1" applyAlignment="1">
      <alignment horizontal="center" vertical="center"/>
    </xf>
    <xf numFmtId="171" fontId="9" fillId="8" borderId="18" xfId="2" applyNumberFormat="1" applyFont="1" applyFill="1" applyBorder="1" applyAlignment="1" applyProtection="1">
      <alignment horizontal="center" vertical="center"/>
    </xf>
    <xf numFmtId="170" fontId="9" fillId="2" borderId="60" xfId="2" applyNumberFormat="1" applyFont="1" applyFill="1" applyBorder="1" applyAlignment="1" applyProtection="1">
      <alignment horizontal="center" vertical="center"/>
      <protection locked="0"/>
    </xf>
    <xf numFmtId="0" fontId="9" fillId="0" borderId="74" xfId="0" quotePrefix="1" applyFont="1" applyBorder="1" applyAlignment="1">
      <alignment horizontal="center" vertical="center"/>
    </xf>
    <xf numFmtId="0" fontId="9" fillId="8" borderId="8" xfId="0" applyFont="1" applyFill="1" applyBorder="1" applyAlignment="1">
      <alignment horizontal="left" vertical="center" wrapText="1"/>
    </xf>
    <xf numFmtId="0" fontId="29" fillId="7" borderId="50" xfId="0" applyFont="1" applyFill="1" applyBorder="1" applyAlignment="1">
      <alignment horizontal="center" vertical="center" wrapText="1"/>
    </xf>
    <xf numFmtId="0" fontId="29" fillId="7" borderId="52" xfId="0" applyFont="1" applyFill="1" applyBorder="1" applyAlignment="1">
      <alignment horizontal="center" vertical="center" wrapText="1"/>
    </xf>
    <xf numFmtId="0" fontId="57" fillId="0" borderId="50" xfId="0" applyFont="1" applyBorder="1" applyAlignment="1">
      <alignment horizontal="center"/>
    </xf>
    <xf numFmtId="0" fontId="57" fillId="0" borderId="51" xfId="0" applyFont="1" applyBorder="1" applyAlignment="1">
      <alignment horizontal="center"/>
    </xf>
    <xf numFmtId="0" fontId="16" fillId="0" borderId="118" xfId="0" applyFont="1" applyBorder="1" applyAlignment="1">
      <alignment horizontal="center" vertical="center" textRotation="90"/>
    </xf>
    <xf numFmtId="0" fontId="16" fillId="10" borderId="118" xfId="0" applyFont="1" applyFill="1" applyBorder="1" applyAlignment="1">
      <alignment horizontal="center" vertical="center" textRotation="90"/>
    </xf>
    <xf numFmtId="0" fontId="0" fillId="10" borderId="118" xfId="0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00" fillId="68" borderId="0" xfId="0" applyFont="1" applyFill="1" applyAlignment="1">
      <alignment horizontal="center" wrapText="1"/>
    </xf>
    <xf numFmtId="0" fontId="8" fillId="0" borderId="0" xfId="0" applyFont="1" applyAlignment="1">
      <alignment horizontal="center"/>
    </xf>
    <xf numFmtId="0" fontId="0" fillId="0" borderId="27" xfId="0" applyBorder="1" applyAlignment="1">
      <alignment horizontal="center"/>
    </xf>
    <xf numFmtId="164" fontId="47" fillId="16" borderId="18" xfId="1" applyNumberFormat="1" applyFont="1" applyFill="1" applyBorder="1" applyAlignment="1" applyProtection="1">
      <alignment horizontal="center" vertical="center" wrapText="1"/>
      <protection locked="0"/>
    </xf>
    <xf numFmtId="164" fontId="47" fillId="16" borderId="1" xfId="1" applyNumberFormat="1" applyFont="1" applyFill="1" applyBorder="1" applyAlignment="1" applyProtection="1">
      <alignment horizontal="center" vertical="center" wrapText="1"/>
      <protection locked="0"/>
    </xf>
    <xf numFmtId="164" fontId="47" fillId="16" borderId="14" xfId="1" applyNumberFormat="1" applyFont="1" applyFill="1" applyBorder="1" applyAlignment="1" applyProtection="1">
      <alignment horizontal="center" vertical="center" wrapText="1"/>
      <protection locked="0"/>
    </xf>
    <xf numFmtId="164" fontId="19" fillId="8" borderId="49" xfId="0" applyNumberFormat="1" applyFont="1" applyFill="1" applyBorder="1" applyAlignment="1">
      <alignment horizontal="center" vertical="center"/>
    </xf>
    <xf numFmtId="164" fontId="19" fillId="8" borderId="17" xfId="0" applyNumberFormat="1" applyFont="1" applyFill="1" applyBorder="1" applyAlignment="1">
      <alignment horizontal="center" vertical="center"/>
    </xf>
    <xf numFmtId="164" fontId="19" fillId="8" borderId="53" xfId="0" applyNumberFormat="1" applyFont="1" applyFill="1" applyBorder="1" applyAlignment="1">
      <alignment horizontal="center" vertical="center"/>
    </xf>
    <xf numFmtId="0" fontId="16" fillId="10" borderId="50" xfId="0" applyFont="1" applyFill="1" applyBorder="1" applyAlignment="1">
      <alignment horizontal="center" vertical="center"/>
    </xf>
    <xf numFmtId="0" fontId="16" fillId="10" borderId="51" xfId="0" applyFont="1" applyFill="1" applyBorder="1" applyAlignment="1">
      <alignment horizontal="center" vertical="center"/>
    </xf>
    <xf numFmtId="0" fontId="9" fillId="29" borderId="3" xfId="0" applyFont="1" applyFill="1" applyBorder="1" applyAlignment="1">
      <alignment horizontal="left" vertical="center" wrapText="1"/>
    </xf>
    <xf numFmtId="0" fontId="9" fillId="29" borderId="6" xfId="0" applyFont="1" applyFill="1" applyBorder="1" applyAlignment="1">
      <alignment horizontal="left" vertical="center" wrapText="1"/>
    </xf>
    <xf numFmtId="0" fontId="29" fillId="7" borderId="4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49" fontId="0" fillId="0" borderId="29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0" fontId="7" fillId="2" borderId="50" xfId="0" applyFont="1" applyFill="1" applyBorder="1" applyAlignment="1">
      <alignment horizontal="center"/>
    </xf>
    <xf numFmtId="0" fontId="7" fillId="2" borderId="51" xfId="0" applyFont="1" applyFill="1" applyBorder="1" applyAlignment="1">
      <alignment horizontal="center"/>
    </xf>
    <xf numFmtId="0" fontId="7" fillId="2" borderId="52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left" vertical="center"/>
    </xf>
    <xf numFmtId="0" fontId="19" fillId="3" borderId="1" xfId="0" applyFont="1" applyFill="1" applyBorder="1" applyAlignment="1">
      <alignment horizontal="left" vertical="center"/>
    </xf>
    <xf numFmtId="0" fontId="19" fillId="23" borderId="4" xfId="0" applyFont="1" applyFill="1" applyBorder="1" applyAlignment="1">
      <alignment horizontal="center" vertical="center" wrapText="1"/>
    </xf>
    <xf numFmtId="0" fontId="19" fillId="23" borderId="1" xfId="0" applyFont="1" applyFill="1" applyBorder="1" applyAlignment="1">
      <alignment horizontal="center" vertical="center" wrapText="1"/>
    </xf>
    <xf numFmtId="0" fontId="19" fillId="23" borderId="4" xfId="0" applyFont="1" applyFill="1" applyBorder="1" applyAlignment="1" applyProtection="1">
      <alignment horizontal="center" vertical="center"/>
      <protection locked="0"/>
    </xf>
    <xf numFmtId="0" fontId="19" fillId="23" borderId="1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left" vertical="center"/>
    </xf>
    <xf numFmtId="0" fontId="19" fillId="23" borderId="4" xfId="0" applyFont="1" applyFill="1" applyBorder="1" applyAlignment="1">
      <alignment horizontal="center" vertical="center"/>
    </xf>
    <xf numFmtId="0" fontId="19" fillId="23" borderId="9" xfId="0" applyFont="1" applyFill="1" applyBorder="1" applyAlignment="1">
      <alignment horizontal="center" vertical="center"/>
    </xf>
    <xf numFmtId="0" fontId="19" fillId="23" borderId="9" xfId="0" applyFont="1" applyFill="1" applyBorder="1" applyAlignment="1" applyProtection="1">
      <alignment horizontal="center" vertical="center"/>
      <protection locked="0"/>
    </xf>
    <xf numFmtId="0" fontId="19" fillId="3" borderId="10" xfId="0" applyFont="1" applyFill="1" applyBorder="1" applyAlignment="1">
      <alignment horizontal="center" vertical="center"/>
    </xf>
    <xf numFmtId="0" fontId="19" fillId="23" borderId="1" xfId="0" applyFont="1" applyFill="1" applyBorder="1" applyAlignment="1">
      <alignment horizontal="center" vertical="center"/>
    </xf>
    <xf numFmtId="0" fontId="19" fillId="3" borderId="45" xfId="0" applyFont="1" applyFill="1" applyBorder="1" applyAlignment="1">
      <alignment horizontal="center" vertical="center"/>
    </xf>
    <xf numFmtId="0" fontId="19" fillId="3" borderId="15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23" borderId="49" xfId="0" applyFont="1" applyFill="1" applyBorder="1" applyAlignment="1" applyProtection="1">
      <alignment horizontal="center" vertical="center"/>
      <protection locked="0"/>
    </xf>
    <xf numFmtId="0" fontId="19" fillId="23" borderId="53" xfId="0" applyFont="1" applyFill="1" applyBorder="1" applyAlignment="1" applyProtection="1">
      <alignment horizontal="center" vertical="center"/>
      <protection locked="0"/>
    </xf>
    <xf numFmtId="0" fontId="19" fillId="23" borderId="49" xfId="0" applyFont="1" applyFill="1" applyBorder="1" applyAlignment="1">
      <alignment horizontal="center" vertical="center"/>
    </xf>
    <xf numFmtId="0" fontId="19" fillId="23" borderId="17" xfId="0" applyFont="1" applyFill="1" applyBorder="1" applyAlignment="1">
      <alignment horizontal="center" vertical="center"/>
    </xf>
    <xf numFmtId="0" fontId="19" fillId="23" borderId="18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47" xfId="0" applyFont="1" applyFill="1" applyBorder="1" applyAlignment="1">
      <alignment horizontal="center" vertical="center"/>
    </xf>
    <xf numFmtId="0" fontId="19" fillId="3" borderId="78" xfId="0" applyFont="1" applyFill="1" applyBorder="1" applyAlignment="1">
      <alignment horizontal="center" vertical="center"/>
    </xf>
    <xf numFmtId="0" fontId="19" fillId="3" borderId="79" xfId="0" applyFont="1" applyFill="1" applyBorder="1" applyAlignment="1">
      <alignment horizontal="center" vertical="center"/>
    </xf>
    <xf numFmtId="0" fontId="19" fillId="23" borderId="72" xfId="0" applyFont="1" applyFill="1" applyBorder="1" applyAlignment="1" applyProtection="1">
      <alignment horizontal="center" vertical="center"/>
      <protection locked="0"/>
    </xf>
    <xf numFmtId="0" fontId="19" fillId="23" borderId="46" xfId="0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0" fontId="0" fillId="2" borderId="50" xfId="0" applyFill="1" applyBorder="1" applyAlignment="1">
      <alignment horizontal="center" vertical="center"/>
    </xf>
    <xf numFmtId="0" fontId="0" fillId="2" borderId="51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25" fillId="23" borderId="3" xfId="0" applyFont="1" applyFill="1" applyBorder="1" applyAlignment="1">
      <alignment horizontal="center" vertical="center"/>
    </xf>
    <xf numFmtId="0" fontId="25" fillId="23" borderId="4" xfId="0" applyFont="1" applyFill="1" applyBorder="1" applyAlignment="1">
      <alignment horizontal="center" vertical="center"/>
    </xf>
    <xf numFmtId="0" fontId="25" fillId="23" borderId="5" xfId="0" applyFont="1" applyFill="1" applyBorder="1" applyAlignment="1">
      <alignment horizontal="center" vertical="center"/>
    </xf>
    <xf numFmtId="0" fontId="8" fillId="2" borderId="64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8" fillId="0" borderId="66" xfId="0" applyFont="1" applyBorder="1" applyAlignment="1">
      <alignment vertical="center"/>
    </xf>
    <xf numFmtId="0" fontId="108" fillId="0" borderId="67" xfId="0" applyFont="1" applyBorder="1" applyAlignment="1">
      <alignment vertical="center"/>
    </xf>
    <xf numFmtId="0" fontId="108" fillId="0" borderId="125" xfId="0" applyFont="1" applyBorder="1" applyAlignment="1">
      <alignment vertical="center"/>
    </xf>
    <xf numFmtId="14" fontId="92" fillId="71" borderId="66" xfId="0" applyNumberFormat="1" applyFont="1" applyFill="1" applyBorder="1" applyAlignment="1">
      <alignment horizontal="center" vertical="center" wrapText="1"/>
    </xf>
    <xf numFmtId="14" fontId="92" fillId="71" borderId="125" xfId="0" applyNumberFormat="1" applyFont="1" applyFill="1" applyBorder="1" applyAlignment="1">
      <alignment horizontal="center" vertical="center" wrapText="1"/>
    </xf>
    <xf numFmtId="14" fontId="92" fillId="71" borderId="130" xfId="0" applyNumberFormat="1" applyFont="1" applyFill="1" applyBorder="1" applyAlignment="1">
      <alignment horizontal="center" vertical="center" wrapText="1"/>
    </xf>
    <xf numFmtId="0" fontId="55" fillId="70" borderId="66" xfId="0" applyFont="1" applyFill="1" applyBorder="1" applyAlignment="1">
      <alignment vertical="center"/>
    </xf>
    <xf numFmtId="0" fontId="55" fillId="70" borderId="125" xfId="0" applyFont="1" applyFill="1" applyBorder="1" applyAlignment="1">
      <alignment vertical="center"/>
    </xf>
    <xf numFmtId="0" fontId="92" fillId="70" borderId="131" xfId="0" applyFont="1" applyFill="1" applyBorder="1" applyAlignment="1">
      <alignment horizontal="center" vertical="center"/>
    </xf>
    <xf numFmtId="0" fontId="92" fillId="70" borderId="128" xfId="0" applyFont="1" applyFill="1" applyBorder="1" applyAlignment="1">
      <alignment horizontal="center" vertical="center"/>
    </xf>
    <xf numFmtId="0" fontId="55" fillId="70" borderId="132" xfId="0" applyFont="1" applyFill="1" applyBorder="1" applyAlignment="1">
      <alignment horizontal="center" vertical="center"/>
    </xf>
    <xf numFmtId="0" fontId="55" fillId="70" borderId="129" xfId="0" applyFont="1" applyFill="1" applyBorder="1" applyAlignment="1">
      <alignment horizontal="center" vertical="center"/>
    </xf>
    <xf numFmtId="0" fontId="92" fillId="70" borderId="66" xfId="0" applyFont="1" applyFill="1" applyBorder="1" applyAlignment="1">
      <alignment vertical="center"/>
    </xf>
    <xf numFmtId="0" fontId="92" fillId="70" borderId="125" xfId="0" applyFont="1" applyFill="1" applyBorder="1" applyAlignment="1">
      <alignment vertical="center"/>
    </xf>
    <xf numFmtId="0" fontId="108" fillId="0" borderId="90" xfId="0" applyFont="1" applyBorder="1" applyAlignment="1">
      <alignment vertical="center"/>
    </xf>
    <xf numFmtId="0" fontId="55" fillId="0" borderId="66" xfId="0" applyFont="1" applyBorder="1" applyAlignment="1">
      <alignment horizontal="center" vertical="center"/>
    </xf>
    <xf numFmtId="0" fontId="55" fillId="0" borderId="67" xfId="0" applyFont="1" applyBorder="1" applyAlignment="1">
      <alignment horizontal="center" vertical="center"/>
    </xf>
    <xf numFmtId="0" fontId="55" fillId="0" borderId="90" xfId="0" applyFont="1" applyBorder="1" applyAlignment="1">
      <alignment horizontal="center" vertical="center"/>
    </xf>
    <xf numFmtId="0" fontId="92" fillId="0" borderId="24" xfId="0" applyFont="1" applyBorder="1" applyAlignment="1">
      <alignment vertical="center"/>
    </xf>
    <xf numFmtId="0" fontId="92" fillId="0" borderId="126" xfId="0" applyFont="1" applyBorder="1" applyAlignment="1">
      <alignment vertical="center"/>
    </xf>
    <xf numFmtId="0" fontId="92" fillId="0" borderId="31" xfId="0" applyFont="1" applyBorder="1" applyAlignment="1">
      <alignment vertical="center"/>
    </xf>
    <xf numFmtId="0" fontId="92" fillId="0" borderId="124" xfId="0" applyFont="1" applyBorder="1" applyAlignment="1">
      <alignment vertical="center"/>
    </xf>
    <xf numFmtId="0" fontId="92" fillId="0" borderId="127" xfId="0" applyFont="1" applyBorder="1" applyAlignment="1">
      <alignment horizontal="center" vertical="center"/>
    </xf>
    <xf numFmtId="0" fontId="92" fillId="0" borderId="128" xfId="0" applyFont="1" applyBorder="1" applyAlignment="1">
      <alignment horizontal="center" vertical="center"/>
    </xf>
    <xf numFmtId="0" fontId="55" fillId="0" borderId="65" xfId="0" applyFont="1" applyBorder="1" applyAlignment="1">
      <alignment horizontal="center" vertical="center"/>
    </xf>
    <xf numFmtId="0" fontId="55" fillId="0" borderId="129" xfId="0" applyFont="1" applyBorder="1" applyAlignment="1">
      <alignment horizontal="center" vertical="center"/>
    </xf>
    <xf numFmtId="0" fontId="92" fillId="69" borderId="66" xfId="0" applyFont="1" applyFill="1" applyBorder="1" applyAlignment="1">
      <alignment horizontal="center" vertical="center"/>
    </xf>
    <xf numFmtId="0" fontId="92" fillId="69" borderId="125" xfId="0" applyFont="1" applyFill="1" applyBorder="1" applyAlignment="1">
      <alignment horizontal="center" vertical="center"/>
    </xf>
    <xf numFmtId="0" fontId="92" fillId="7" borderId="130" xfId="0" applyFont="1" applyFill="1" applyBorder="1" applyAlignment="1">
      <alignment horizontal="center" vertical="center"/>
    </xf>
    <xf numFmtId="0" fontId="92" fillId="7" borderId="125" xfId="0" applyFont="1" applyFill="1" applyBorder="1" applyAlignment="1">
      <alignment horizontal="center" vertical="center"/>
    </xf>
    <xf numFmtId="0" fontId="92" fillId="7" borderId="90" xfId="0" applyFont="1" applyFill="1" applyBorder="1" applyAlignment="1">
      <alignment horizontal="center" vertical="center"/>
    </xf>
    <xf numFmtId="0" fontId="92" fillId="69" borderId="90" xfId="0" applyFont="1" applyFill="1" applyBorder="1" applyAlignment="1">
      <alignment horizontal="center" vertical="center"/>
    </xf>
    <xf numFmtId="16" fontId="92" fillId="69" borderId="66" xfId="0" applyNumberFormat="1" applyFont="1" applyFill="1" applyBorder="1" applyAlignment="1">
      <alignment horizontal="center" vertical="center"/>
    </xf>
    <xf numFmtId="16" fontId="92" fillId="69" borderId="125" xfId="0" applyNumberFormat="1" applyFont="1" applyFill="1" applyBorder="1" applyAlignment="1">
      <alignment horizontal="center" vertical="center"/>
    </xf>
    <xf numFmtId="16" fontId="92" fillId="7" borderId="130" xfId="0" applyNumberFormat="1" applyFont="1" applyFill="1" applyBorder="1" applyAlignment="1">
      <alignment horizontal="center" vertical="center"/>
    </xf>
    <xf numFmtId="16" fontId="92" fillId="7" borderId="125" xfId="0" applyNumberFormat="1" applyFont="1" applyFill="1" applyBorder="1" applyAlignment="1">
      <alignment horizontal="center" vertical="center"/>
    </xf>
    <xf numFmtId="16" fontId="92" fillId="7" borderId="90" xfId="0" applyNumberFormat="1" applyFont="1" applyFill="1" applyBorder="1" applyAlignment="1">
      <alignment horizontal="center" vertical="center"/>
    </xf>
    <xf numFmtId="16" fontId="92" fillId="69" borderId="90" xfId="0" applyNumberFormat="1" applyFont="1" applyFill="1" applyBorder="1" applyAlignment="1">
      <alignment horizontal="center" vertical="center"/>
    </xf>
  </cellXfs>
  <cellStyles count="420">
    <cellStyle name="20% — akcent 1" xfId="103" builtinId="30" customBuiltin="1"/>
    <cellStyle name="20% - akcent 1 2" xfId="124" xr:uid="{EAF52875-6E20-41D7-8B21-111E869A9557}"/>
    <cellStyle name="20% — akcent 1 2" xfId="125" xr:uid="{8CF3FCB1-11F3-4C3C-8CCD-6BFFC4F41EDD}"/>
    <cellStyle name="20% — akcent 1 3" xfId="126" xr:uid="{7723A8A3-9E0D-45F2-A455-A347D466C4B3}"/>
    <cellStyle name="20% — akcent 1 4" xfId="127" xr:uid="{A5166BA5-AE8F-4049-B852-B7BF959A27B6}"/>
    <cellStyle name="20% — akcent 1 5" xfId="128" xr:uid="{7C39FE1A-9398-4048-8385-1F3FFB01189E}"/>
    <cellStyle name="20% — akcent 1 6" xfId="129" xr:uid="{5079B37E-7FAD-4ABA-A750-2370580B0152}"/>
    <cellStyle name="20% — akcent 1 7" xfId="130" xr:uid="{F7B684C7-13A3-4992-8472-15315A4C0B94}"/>
    <cellStyle name="20% — akcent 2" xfId="106" builtinId="34" customBuiltin="1"/>
    <cellStyle name="20% - akcent 2 2" xfId="131" xr:uid="{0732DCF8-3134-4E57-B391-1A88A1E776DB}"/>
    <cellStyle name="20% — akcent 2 2" xfId="132" xr:uid="{DFEE3763-E515-4215-BD01-CC8FC5843A0B}"/>
    <cellStyle name="20% — akcent 2 3" xfId="133" xr:uid="{1ED912F7-A993-40E7-85B1-356A9F49CB10}"/>
    <cellStyle name="20% — akcent 2 4" xfId="134" xr:uid="{7FBAD262-911F-4843-A0AC-E3AF89698B99}"/>
    <cellStyle name="20% — akcent 2 5" xfId="135" xr:uid="{DAB06364-A4AE-431F-82C7-8306335BE570}"/>
    <cellStyle name="20% — akcent 2 6" xfId="136" xr:uid="{4B3DAD72-D084-481A-AE33-8A4F46D1CD7C}"/>
    <cellStyle name="20% — akcent 2 7" xfId="137" xr:uid="{D9760AB2-10FE-48E6-AB25-E1EC446876C9}"/>
    <cellStyle name="20% — akcent 3" xfId="110" builtinId="38" customBuiltin="1"/>
    <cellStyle name="20% - akcent 3 2" xfId="138" xr:uid="{BAC41B13-6EED-400A-B607-53443E48DF96}"/>
    <cellStyle name="20% — akcent 3 2" xfId="139" xr:uid="{384CBA83-B131-4A0F-8EF5-34AE66ADC454}"/>
    <cellStyle name="20% — akcent 3 3" xfId="140" xr:uid="{EB89A7E3-1973-41F6-969B-81158240E298}"/>
    <cellStyle name="20% — akcent 3 4" xfId="141" xr:uid="{564AE2CE-9038-416C-AB93-829BB21737D8}"/>
    <cellStyle name="20% — akcent 3 5" xfId="142" xr:uid="{42D93EC9-3F4D-45C4-8BAB-AD92C8787109}"/>
    <cellStyle name="20% — akcent 3 6" xfId="143" xr:uid="{68CF3726-A3C3-45A4-AB59-F2C017F5025E}"/>
    <cellStyle name="20% — akcent 3 7" xfId="144" xr:uid="{0F2D9B63-19AF-4B66-9178-6D8FC8C7F316}"/>
    <cellStyle name="20% — akcent 4" xfId="114" builtinId="42" customBuiltin="1"/>
    <cellStyle name="20% - akcent 4 2" xfId="145" xr:uid="{7489D02D-E856-4BED-831E-B3D884332922}"/>
    <cellStyle name="20% — akcent 4 2" xfId="146" xr:uid="{78472CEA-BF57-4ADB-85CE-9211A8FDD3D4}"/>
    <cellStyle name="20% — akcent 4 3" xfId="147" xr:uid="{19996881-D657-4D6C-A6AB-8EA861708027}"/>
    <cellStyle name="20% — akcent 4 4" xfId="148" xr:uid="{64CFA38B-41E6-401D-9120-86CB0B41C3C4}"/>
    <cellStyle name="20% — akcent 4 5" xfId="149" xr:uid="{C766C54D-2400-412C-98DB-7F8C1F13D319}"/>
    <cellStyle name="20% — akcent 4 6" xfId="150" xr:uid="{BDE3C762-355D-443E-BD5C-9AC7CF09CCC3}"/>
    <cellStyle name="20% — akcent 4 7" xfId="151" xr:uid="{24AD7509-E4DA-4417-82FF-80DCB6073866}"/>
    <cellStyle name="20% — akcent 5" xfId="117" builtinId="46" customBuiltin="1"/>
    <cellStyle name="20% - akcent 5 2" xfId="152" xr:uid="{BD5ED93C-1B9E-405A-9C24-A0497E1A81D5}"/>
    <cellStyle name="20% — akcent 5 2" xfId="153" xr:uid="{AB9E7B3C-7480-4645-987B-12F86FD439BF}"/>
    <cellStyle name="20% — akcent 5 3" xfId="154" xr:uid="{2D0A0071-2CF4-4BFC-8C16-DAFA001A4A9E}"/>
    <cellStyle name="20% — akcent 5 4" xfId="155" xr:uid="{24B99A8C-0347-42EF-A09D-8D74739CAF95}"/>
    <cellStyle name="20% — akcent 5 5" xfId="156" xr:uid="{9CBD5224-4659-4561-A0E8-5E7B553A8474}"/>
    <cellStyle name="20% — akcent 5 6" xfId="157" xr:uid="{F884CD98-AF5B-444B-816F-7644B3740D99}"/>
    <cellStyle name="20% — akcent 5 7" xfId="158" xr:uid="{E206FC59-DB66-49DD-9E1C-0D1C631C1FA7}"/>
    <cellStyle name="20% — akcent 6" xfId="120" builtinId="50" customBuiltin="1"/>
    <cellStyle name="20% - akcent 6 2" xfId="159" xr:uid="{A8BF9D7B-8909-4AE3-9DF1-8E534CC43435}"/>
    <cellStyle name="20% — akcent 6 2" xfId="160" xr:uid="{DFB130D4-FA74-4163-8CD4-E5E69EA7796E}"/>
    <cellStyle name="20% — akcent 6 3" xfId="161" xr:uid="{F26C8958-964F-41D6-9033-D18F7698B6EC}"/>
    <cellStyle name="20% — akcent 6 4" xfId="162" xr:uid="{C768F6FD-F577-4427-8FF6-683FCD45407F}"/>
    <cellStyle name="20% — akcent 6 5" xfId="163" xr:uid="{B633E5E7-26F1-4200-BEA6-DCD5773B8A9F}"/>
    <cellStyle name="20% — akcent 6 6" xfId="164" xr:uid="{EC63B559-1D04-44FC-89AC-4BC014074DA0}"/>
    <cellStyle name="20% — akcent 6 7" xfId="165" xr:uid="{CF5B5DD5-AF55-474A-B036-B5D4B551E450}"/>
    <cellStyle name="40% — akcent 1" xfId="104" builtinId="31" customBuiltin="1"/>
    <cellStyle name="40% - akcent 1 2" xfId="166" xr:uid="{6EA69192-0954-4917-9620-E29267FBC24D}"/>
    <cellStyle name="40% — akcent 1 2" xfId="167" xr:uid="{7DD5E800-F450-4F4F-8EB5-9A4630AB73E5}"/>
    <cellStyle name="40% — akcent 1 3" xfId="168" xr:uid="{5437F7A6-5E29-44E6-B3BB-36D01DA7F0B9}"/>
    <cellStyle name="40% — akcent 1 4" xfId="169" xr:uid="{6D16AA23-8131-48A5-9EAE-AEC984A77FC1}"/>
    <cellStyle name="40% — akcent 1 5" xfId="170" xr:uid="{E871B9A6-EE2A-4135-9740-183649A72EF4}"/>
    <cellStyle name="40% — akcent 1 6" xfId="171" xr:uid="{1A4E31F6-F355-439F-8EA5-7056AC58E65B}"/>
    <cellStyle name="40% — akcent 1 7" xfId="172" xr:uid="{4F0242ED-C5B1-4D6C-9EA2-88DC6C643B50}"/>
    <cellStyle name="40% — akcent 2" xfId="107" builtinId="35" customBuiltin="1"/>
    <cellStyle name="40% - akcent 2 2" xfId="173" xr:uid="{3094D88E-F6D1-4DF2-8B1D-23B4FB5AAABE}"/>
    <cellStyle name="40% — akcent 2 2" xfId="174" xr:uid="{BA60B7CB-64D5-4C54-A9D2-FC540DD7C767}"/>
    <cellStyle name="40% — akcent 2 3" xfId="175" xr:uid="{8EDFD033-065B-4F52-BA22-558F9A1C67A7}"/>
    <cellStyle name="40% — akcent 2 4" xfId="176" xr:uid="{685A107B-CA0E-42ED-A44F-CC5FA78A28A1}"/>
    <cellStyle name="40% — akcent 2 5" xfId="177" xr:uid="{A7DE44BC-7638-45EE-A4D1-C1362A646227}"/>
    <cellStyle name="40% — akcent 2 6" xfId="178" xr:uid="{79B592C9-A40F-45FE-BD83-C11F3013D809}"/>
    <cellStyle name="40% — akcent 2 7" xfId="179" xr:uid="{112FF16D-A611-4ACA-9A08-D1645BB5BC25}"/>
    <cellStyle name="40% — akcent 3" xfId="111" builtinId="39" customBuiltin="1"/>
    <cellStyle name="40% - akcent 3 2" xfId="180" xr:uid="{ACCEF259-7F0B-4065-8E2A-64C8274391C9}"/>
    <cellStyle name="40% — akcent 3 2" xfId="181" xr:uid="{1A7D2898-74CC-40EB-B344-1C29878B4138}"/>
    <cellStyle name="40% — akcent 3 3" xfId="182" xr:uid="{F9DFDB1B-2FB9-4EAB-B706-8109436016C0}"/>
    <cellStyle name="40% — akcent 3 4" xfId="183" xr:uid="{6E8E3811-3B68-4A88-B07F-138847F45645}"/>
    <cellStyle name="40% — akcent 3 5" xfId="184" xr:uid="{18E99A1F-D7F4-4FDE-B6A4-1F4A9215DCAD}"/>
    <cellStyle name="40% — akcent 3 6" xfId="185" xr:uid="{028AA87D-B678-453D-8013-293865F9318C}"/>
    <cellStyle name="40% — akcent 3 7" xfId="186" xr:uid="{3C7E5A22-3699-4213-85EF-C990647278B8}"/>
    <cellStyle name="40% — akcent 4" xfId="115" builtinId="43" customBuiltin="1"/>
    <cellStyle name="40% - akcent 4 2" xfId="187" xr:uid="{3D37626C-8D39-4D80-9096-8D8C7662FE64}"/>
    <cellStyle name="40% — akcent 4 2" xfId="188" xr:uid="{564798BE-83F6-49F6-A653-782458A7E065}"/>
    <cellStyle name="40% — akcent 4 3" xfId="189" xr:uid="{5FE57FD4-930E-4D57-B88F-8DDFB6B4949F}"/>
    <cellStyle name="40% — akcent 4 4" xfId="190" xr:uid="{2C50A266-4B8C-4A28-BFC5-67D2B82B6BA8}"/>
    <cellStyle name="40% — akcent 4 5" xfId="191" xr:uid="{5ABDC68D-AA99-4B1E-A3DE-5D15D14D4C36}"/>
    <cellStyle name="40% — akcent 4 6" xfId="192" xr:uid="{7FC2DB72-66AE-475D-A00B-26B679D36C40}"/>
    <cellStyle name="40% — akcent 4 7" xfId="193" xr:uid="{1F329700-FE50-4C5A-8F49-1BD7F16DDBF7}"/>
    <cellStyle name="40% — akcent 5" xfId="118" builtinId="47" customBuiltin="1"/>
    <cellStyle name="40% - akcent 5 2" xfId="194" xr:uid="{A4E84B9C-79D5-49F7-BE21-C5FB241A4577}"/>
    <cellStyle name="40% — akcent 5 2" xfId="195" xr:uid="{9FCCE4FC-826F-472C-8263-9163D5AC6738}"/>
    <cellStyle name="40% — akcent 5 3" xfId="196" xr:uid="{B2F66632-B2C8-4643-80A0-31CA23C4C061}"/>
    <cellStyle name="40% — akcent 5 4" xfId="197" xr:uid="{F9BCE21A-AB1E-4D94-8C56-0BD5FB12592D}"/>
    <cellStyle name="40% — akcent 5 5" xfId="198" xr:uid="{9497AD6C-0E85-4A56-96CB-D0C57817C616}"/>
    <cellStyle name="40% — akcent 5 6" xfId="199" xr:uid="{CE7385A9-071F-4787-B25E-5DA3619378B9}"/>
    <cellStyle name="40% — akcent 5 7" xfId="200" xr:uid="{AEB3002F-6389-40E0-B1FC-AB089EB5786C}"/>
    <cellStyle name="40% — akcent 6" xfId="121" builtinId="51" customBuiltin="1"/>
    <cellStyle name="40% - akcent 6 2" xfId="201" xr:uid="{3B0126EF-CD58-4EC6-9168-9FCB08E1BD7D}"/>
    <cellStyle name="40% — akcent 6 2" xfId="202" xr:uid="{4644AF06-4F54-4F4E-91CB-9F29B3954018}"/>
    <cellStyle name="40% — akcent 6 3" xfId="203" xr:uid="{91725465-4509-4673-9CC6-3C7D264627EA}"/>
    <cellStyle name="40% — akcent 6 4" xfId="204" xr:uid="{25ABE697-58C0-410C-8A65-E7B507523BE2}"/>
    <cellStyle name="40% — akcent 6 5" xfId="205" xr:uid="{0B506439-22F6-4E47-A119-21639BC5AA81}"/>
    <cellStyle name="40% — akcent 6 6" xfId="206" xr:uid="{CE144A28-726D-4D92-BA24-4C747AA166EA}"/>
    <cellStyle name="40% — akcent 6 7" xfId="207" xr:uid="{EDD9AFB6-A53B-462C-A949-260C3A3426DF}"/>
    <cellStyle name="60% — akcent 1" xfId="105" builtinId="32" customBuiltin="1"/>
    <cellStyle name="60% - akcent 1 2" xfId="208" xr:uid="{3E4A7E65-5D43-4B64-A028-9BA1DA38A0D2}"/>
    <cellStyle name="60% — akcent 1 2" xfId="209" xr:uid="{D9D88BA8-1D9A-4685-9833-CEF5D31259D5}"/>
    <cellStyle name="60% — akcent 1 3" xfId="210" xr:uid="{0F171C57-2CC1-485F-9470-1B66255C4612}"/>
    <cellStyle name="60% — akcent 1 4" xfId="211" xr:uid="{6203188E-FEA0-4D68-AC6D-10523CB793C0}"/>
    <cellStyle name="60% — akcent 1 5" xfId="212" xr:uid="{1CC14840-B85C-4B5C-956E-7341131F5517}"/>
    <cellStyle name="60% — akcent 1 6" xfId="213" xr:uid="{B1DB9CAD-1D58-4C85-9B95-2C8BD500D67B}"/>
    <cellStyle name="60% — akcent 1 7" xfId="214" xr:uid="{E05104E0-62B0-43C0-B6C7-963C17DCEA80}"/>
    <cellStyle name="60% — akcent 2" xfId="108" builtinId="36" customBuiltin="1"/>
    <cellStyle name="60% - akcent 2 2" xfId="215" xr:uid="{380E20C0-A0B2-4346-B711-E667F28D3ADB}"/>
    <cellStyle name="60% — akcent 2 2" xfId="216" xr:uid="{730E77FD-5EF9-4B1D-82EC-D6949DB321D6}"/>
    <cellStyle name="60% — akcent 2 3" xfId="217" xr:uid="{967326F6-57A5-4CCA-A7F6-63C92C144A67}"/>
    <cellStyle name="60% — akcent 2 4" xfId="218" xr:uid="{E9E9AAD9-09D8-4B8C-98EE-A7D5EDD24B4C}"/>
    <cellStyle name="60% — akcent 2 5" xfId="219" xr:uid="{F86016F5-DCFA-430E-9781-248FB5D2B46D}"/>
    <cellStyle name="60% — akcent 2 6" xfId="220" xr:uid="{41F127F1-D154-4DCF-B339-D7D997620700}"/>
    <cellStyle name="60% — akcent 2 7" xfId="221" xr:uid="{4277F38C-ADC3-4C26-B2C9-62780396C699}"/>
    <cellStyle name="60% — akcent 3" xfId="112" builtinId="40" customBuiltin="1"/>
    <cellStyle name="60% - akcent 3 2" xfId="222" xr:uid="{63A88A26-688E-4A81-A728-3062C0A2482D}"/>
    <cellStyle name="60% — akcent 3 2" xfId="223" xr:uid="{2AD8D027-2F40-4190-ABE2-6125F757FA5F}"/>
    <cellStyle name="60% — akcent 3 3" xfId="224" xr:uid="{5AD15593-458F-4E01-9FE4-B117236B20BD}"/>
    <cellStyle name="60% — akcent 3 4" xfId="225" xr:uid="{78D2FA3A-0F3A-4B55-AF64-64AC54BF35A4}"/>
    <cellStyle name="60% — akcent 3 5" xfId="226" xr:uid="{01424787-E67B-47B0-BF01-41D12880CE91}"/>
    <cellStyle name="60% — akcent 3 6" xfId="227" xr:uid="{0F772337-67D3-4BBA-B4C1-FFCA7FE0A588}"/>
    <cellStyle name="60% — akcent 3 7" xfId="228" xr:uid="{7AE5B57F-D062-4FE7-8EDE-EEC1D3120EB8}"/>
    <cellStyle name="60% — akcent 4" xfId="116" builtinId="44" customBuiltin="1"/>
    <cellStyle name="60% - akcent 4 2" xfId="229" xr:uid="{EDEA365B-DB87-4867-BBF2-2BFAD96F8958}"/>
    <cellStyle name="60% — akcent 4 2" xfId="230" xr:uid="{A5C065D8-10EA-4E9E-A8EF-48ED499DAC3B}"/>
    <cellStyle name="60% — akcent 4 3" xfId="231" xr:uid="{92843E27-9D0F-4172-9AB2-3306CA742604}"/>
    <cellStyle name="60% — akcent 4 4" xfId="232" xr:uid="{B4C836BF-3C29-43B5-9582-2807AAD416C1}"/>
    <cellStyle name="60% — akcent 4 5" xfId="233" xr:uid="{A8F9A2D4-275B-4937-91F5-DB87E409C4E1}"/>
    <cellStyle name="60% — akcent 4 6" xfId="234" xr:uid="{8A17BA6F-F546-4FA1-B1CE-28D794892200}"/>
    <cellStyle name="60% — akcent 4 7" xfId="235" xr:uid="{059ADC6D-6D05-49BC-A8D1-E5D4BBFA8AB4}"/>
    <cellStyle name="60% — akcent 5" xfId="119" builtinId="48" customBuiltin="1"/>
    <cellStyle name="60% - akcent 5 2" xfId="236" xr:uid="{2925FDFD-F5AB-4896-93FF-AFC42193E39D}"/>
    <cellStyle name="60% — akcent 5 2" xfId="237" xr:uid="{F3273634-6D26-4D68-A6AF-445D2E414371}"/>
    <cellStyle name="60% — akcent 5 3" xfId="238" xr:uid="{340DF61B-F642-4C48-9369-2E0A711E63E2}"/>
    <cellStyle name="60% — akcent 5 4" xfId="239" xr:uid="{2BDFA288-26B3-4929-9E0B-1B3D4A3DB28E}"/>
    <cellStyle name="60% — akcent 5 5" xfId="240" xr:uid="{912378BE-0EE2-4CE3-8210-7AACCA549FA8}"/>
    <cellStyle name="60% — akcent 5 6" xfId="241" xr:uid="{92F89146-D7B0-4E9C-B266-09AC48D0F4B0}"/>
    <cellStyle name="60% — akcent 5 7" xfId="242" xr:uid="{EB1AF276-EE0F-40D6-8E88-01B2559FCA2A}"/>
    <cellStyle name="60% — akcent 6" xfId="122" builtinId="52" customBuiltin="1"/>
    <cellStyle name="60% - akcent 6 2" xfId="243" xr:uid="{C44354EA-1527-4242-A354-C25FB0C1CEB3}"/>
    <cellStyle name="60% — akcent 6 2" xfId="244" xr:uid="{464253FA-8D80-4765-99B2-8B25D9A07EE4}"/>
    <cellStyle name="60% — akcent 6 3" xfId="245" xr:uid="{BA87C2E9-B0AF-4FF8-9846-FD6E55591B41}"/>
    <cellStyle name="60% — akcent 6 4" xfId="246" xr:uid="{59E52122-2E9E-4AC2-B901-03DC867E99B9}"/>
    <cellStyle name="60% — akcent 6 5" xfId="247" xr:uid="{6444368C-9425-4F24-A639-EC19811EF98A}"/>
    <cellStyle name="60% — akcent 6 6" xfId="248" xr:uid="{054DE73F-2B27-4C5B-9D69-770C1989D656}"/>
    <cellStyle name="60% — akcent 6 7" xfId="249" xr:uid="{0CC9FFC4-6DEB-4DBC-802D-71C778C12D01}"/>
    <cellStyle name="Akcent 1" xfId="4" builtinId="29" customBuiltin="1"/>
    <cellStyle name="Akcent 1 2" xfId="14" xr:uid="{98C5EE5A-7541-4713-BDF8-1BD614703577}"/>
    <cellStyle name="Akcent 1 3" xfId="251" xr:uid="{AD7F60A6-A67A-44B8-A59B-F72E86C2794C}"/>
    <cellStyle name="Akcent 1 4" xfId="250" xr:uid="{1C21D10B-335D-4AA9-8329-A046884F6294}"/>
    <cellStyle name="Akcent 2" xfId="9" builtinId="33" customBuiltin="1"/>
    <cellStyle name="Akcent 2 2" xfId="253" xr:uid="{07B56AE8-C132-449A-8591-7D4142C906E5}"/>
    <cellStyle name="Akcent 2 3" xfId="254" xr:uid="{9E7EA6C9-05EA-4955-94B5-11CDE575A935}"/>
    <cellStyle name="Akcent 2 4" xfId="252" xr:uid="{277DD56A-FAB0-4B31-A788-462C613AEF7F}"/>
    <cellStyle name="Akcent 3" xfId="109" builtinId="37" customBuiltin="1"/>
    <cellStyle name="Akcent 3 2" xfId="255" xr:uid="{9AF90454-54A9-49CC-A169-D6355F721AA5}"/>
    <cellStyle name="Akcent 3 3" xfId="256" xr:uid="{B0621427-6790-470A-B624-1C47BC7F2146}"/>
    <cellStyle name="Akcent 4" xfId="113" builtinId="41" customBuiltin="1"/>
    <cellStyle name="Akcent 4 2" xfId="257" xr:uid="{FC038588-FC15-45FE-90EC-3A3786CFEE3E}"/>
    <cellStyle name="Akcent 4 3" xfId="258" xr:uid="{2FAAC689-686C-4AC0-9410-1AFC66F17797}"/>
    <cellStyle name="Akcent 5" xfId="7" builtinId="45" customBuiltin="1"/>
    <cellStyle name="Akcent 5 2" xfId="259" xr:uid="{33085A80-6946-487E-A6B3-B3E1EDD0CCD3}"/>
    <cellStyle name="Akcent 5 3" xfId="260" xr:uid="{11B3029C-85CB-47C3-9C44-3E14B1417E55}"/>
    <cellStyle name="Akcent 6" xfId="10" builtinId="49" customBuiltin="1"/>
    <cellStyle name="Akcent 6 2" xfId="261" xr:uid="{41A7727F-5DE9-4258-8C11-2E8720B249C8}"/>
    <cellStyle name="Akcent 6 3" xfId="262" xr:uid="{18E80D6A-A260-4964-BA8D-AAF05C86B8E1}"/>
    <cellStyle name="Dane wejściowe" xfId="5" builtinId="20" customBuiltin="1"/>
    <cellStyle name="Dane wejściowe 2" xfId="263" xr:uid="{7012D133-E7FF-4EE3-A288-BE94BD4CFC16}"/>
    <cellStyle name="Dane wejściowe 3" xfId="264" xr:uid="{6350234F-E3C4-4EED-9B06-817DF8E77256}"/>
    <cellStyle name="Dane wyjściowe" xfId="96" builtinId="21" customBuiltin="1"/>
    <cellStyle name="Dane wyjściowe 2" xfId="265" xr:uid="{CCF85E3C-35C6-4965-8752-C2A5AC6F8467}"/>
    <cellStyle name="Dane wyjściowe 3" xfId="266" xr:uid="{A07A6407-B165-405F-9B67-A5EB4EEDABEE}"/>
    <cellStyle name="Dobre 2" xfId="267" xr:uid="{FC3D3DF3-E12E-40B2-8240-E6255AD5346D}"/>
    <cellStyle name="Dobry" xfId="8" builtinId="26" customBuiltin="1"/>
    <cellStyle name="Dobry 2" xfId="268" xr:uid="{4ECDFFB8-EE65-40B8-B953-3390C6736B29}"/>
    <cellStyle name="Dobry 3" xfId="269" xr:uid="{92BE0415-A477-4870-82C9-C434EF571361}"/>
    <cellStyle name="Dziesiętny" xfId="2" builtinId="3"/>
    <cellStyle name="Dziesiętny 10" xfId="310" xr:uid="{D2D7F2AD-B8EC-402E-82AC-DBFB31D27C5D}"/>
    <cellStyle name="Dziesiętny 2" xfId="15" xr:uid="{A5A703BF-01D3-4ADF-BEDD-2AB7E6FD6BEC}"/>
    <cellStyle name="Dziesiętny 2 2" xfId="272" xr:uid="{0E36DB7A-FDD4-4E67-BE03-5BF881127990}"/>
    <cellStyle name="Dziesiętny 2 3" xfId="271" xr:uid="{8BBE8E21-5B2C-4409-A77A-4761C3C0A865}"/>
    <cellStyle name="Dziesiętny 3" xfId="16" xr:uid="{FC98147C-52DC-459E-8604-6DA8D3EA231E}"/>
    <cellStyle name="Dziesiętny 3 2" xfId="273" xr:uid="{A0592D23-74FC-4361-A253-A2FA7B2E46A6}"/>
    <cellStyle name="Dziesiętny 4" xfId="17" xr:uid="{CC8F4B25-789D-4EC2-AA34-7F08EC144CE1}"/>
    <cellStyle name="Dziesiętny 4 2" xfId="274" xr:uid="{6C3D3C63-35CC-45D4-9408-E3EBC5B71A98}"/>
    <cellStyle name="Dziesiętny 4 2 2" xfId="383" xr:uid="{DD0D2D96-28B5-4B64-BDB4-521EE0214732}"/>
    <cellStyle name="Dziesiętny 5" xfId="51" xr:uid="{56A5312C-66BE-4553-BB7B-67DBB0B762F3}"/>
    <cellStyle name="Dziesiętny 5 2" xfId="345" xr:uid="{71D26A07-E851-4C14-B7AF-6A285386C338}"/>
    <cellStyle name="Dziesiętny 6" xfId="270" xr:uid="{08A707B2-89A2-4819-90DE-D382736A0F8A}"/>
    <cellStyle name="Dziesiętny 7" xfId="319" xr:uid="{EA37824A-29ED-4E44-A72F-2125B9FC2F65}"/>
    <cellStyle name="Komórka połączona" xfId="98" builtinId="24" customBuiltin="1"/>
    <cellStyle name="Komórka połączona 2" xfId="275" xr:uid="{E7A41A5D-A717-415C-894B-92E9AED1306D}"/>
    <cellStyle name="Komórka połączona 3" xfId="276" xr:uid="{BBB9B317-B9D3-445E-A3E8-B7F7073CB4E2}"/>
    <cellStyle name="Komórka zaznaczona" xfId="99" builtinId="23" customBuiltin="1"/>
    <cellStyle name="Komórka zaznaczona 2" xfId="277" xr:uid="{ECC2F111-8123-432A-BBB3-3F250EC04A0A}"/>
    <cellStyle name="Komórka zaznaczona 3" xfId="278" xr:uid="{6BCD8FC9-2498-4B5B-A098-D60BBEA28A07}"/>
    <cellStyle name="Nagłówek 1" xfId="90" builtinId="16" customBuiltin="1"/>
    <cellStyle name="Nagłówek 1 2" xfId="279" xr:uid="{AD972319-3A7A-4BBD-A822-BED88179F05E}"/>
    <cellStyle name="Nagłówek 1 3" xfId="280" xr:uid="{EB5A7A14-C083-416C-ADBE-45EEE2C9E574}"/>
    <cellStyle name="Nagłówek 2" xfId="91" builtinId="17" customBuiltin="1"/>
    <cellStyle name="Nagłówek 2 2" xfId="281" xr:uid="{78E49ED7-F0D1-4289-8A18-F831C6AA772B}"/>
    <cellStyle name="Nagłówek 2 3" xfId="282" xr:uid="{0ADEB8DA-864F-42FC-AE66-C51C7EFB1932}"/>
    <cellStyle name="Nagłówek 3" xfId="92" builtinId="18" customBuiltin="1"/>
    <cellStyle name="Nagłówek 3 2" xfId="283" xr:uid="{EF1C146C-15CD-40C1-A1EA-118EB377D3F5}"/>
    <cellStyle name="Nagłówek 3 3" xfId="284" xr:uid="{F05CF9C5-97A4-4256-AB51-DB2FE2A24A29}"/>
    <cellStyle name="Nagłówek 4" xfId="93" builtinId="19" customBuiltin="1"/>
    <cellStyle name="Nagłówek 4 2" xfId="285" xr:uid="{D2C5D073-4710-48D6-83CD-FB79D2211FEA}"/>
    <cellStyle name="Nagłówek 4 3" xfId="286" xr:uid="{0B233996-472B-4245-BE4C-BF621C094419}"/>
    <cellStyle name="Neutralne 2" xfId="287" xr:uid="{76BD05E5-EDDE-4F3A-B45F-996BC6EEC024}"/>
    <cellStyle name="Neutralny" xfId="95" builtinId="28" customBuiltin="1"/>
    <cellStyle name="Neutralny 2" xfId="288" xr:uid="{F1C653A0-3167-4633-9A13-E070A917747F}"/>
    <cellStyle name="Neutralny 3" xfId="289" xr:uid="{55A442B6-58B0-4D75-94EA-951DF4C30E62}"/>
    <cellStyle name="Normal_aide" xfId="18" xr:uid="{E745564F-31DD-49BB-AF88-CEC2E7009E9D}"/>
    <cellStyle name="Normalny" xfId="0" builtinId="0"/>
    <cellStyle name="Normalny 15" xfId="290" xr:uid="{30838543-D2DB-4386-BE20-FAED6CA9E24F}"/>
    <cellStyle name="Normalny 2" xfId="19" xr:uid="{69360FE6-6FF4-41B9-91F1-C3B3DCDBD643}"/>
    <cellStyle name="Normalny 2 2" xfId="20" xr:uid="{C6A87C7F-9E25-465D-AA60-10C584977095}"/>
    <cellStyle name="Normalny 2 3" xfId="21" xr:uid="{C1E21309-61B1-4C3A-8DF8-CDE5474EA127}"/>
    <cellStyle name="Normalny 2 4" xfId="311" xr:uid="{6BE9C18B-189E-4398-AA24-5968CFB56BA1}"/>
    <cellStyle name="Normalny 20" xfId="22" xr:uid="{DBEE2DB6-7182-416E-9FC7-F770DBD3D9C9}"/>
    <cellStyle name="Normalny 3" xfId="23" xr:uid="{3B6CB363-B9CD-4C17-9A76-1F3F93F900DC}"/>
    <cellStyle name="Normalny 3 2" xfId="12" xr:uid="{EDF2D4D7-AF68-4408-82AE-AC7CC88E979B}"/>
    <cellStyle name="Normalny 3 3" xfId="291" xr:uid="{88BD2445-465C-4CE2-8CE7-375F2EDD782E}"/>
    <cellStyle name="Normalny 3 4" xfId="312" xr:uid="{D0A00301-603B-4640-9FAA-BC4D66385974}"/>
    <cellStyle name="Normalny 36" xfId="292" xr:uid="{179B3AE8-373E-4E3B-B7EB-2AE292FAD437}"/>
    <cellStyle name="Normalny 4" xfId="11" xr:uid="{AC2063A3-B119-42CB-8788-3C6E5570C6AE}"/>
    <cellStyle name="Normalny 4 2" xfId="293" xr:uid="{FE0C7D8A-D5CC-4AA8-8235-0E6BB8D712BD}"/>
    <cellStyle name="Normalny 5" xfId="24" xr:uid="{7BF569D2-0A65-4C64-864B-A7FCFE13CE89}"/>
    <cellStyle name="Normalny 6" xfId="13" xr:uid="{10BF24BB-CAB6-4034-85CC-840B4F4713F8}"/>
    <cellStyle name="Normalny 7" xfId="123" xr:uid="{669C8082-176C-46F0-AE89-8ADF14E07ADA}"/>
    <cellStyle name="Normalny_Arkusz1" xfId="1" xr:uid="{874149A8-888B-472F-942E-F54CB24DF3A0}"/>
    <cellStyle name="Obliczenia" xfId="97" builtinId="22" customBuiltin="1"/>
    <cellStyle name="Obliczenia 2" xfId="294" xr:uid="{BF62FBAA-9DAC-4301-AB68-C1DE1FC7A2A8}"/>
    <cellStyle name="Obliczenia 3" xfId="295" xr:uid="{C87C955F-9B7E-4DA6-8825-AB2A216D5E0D}"/>
    <cellStyle name="Procentowy" xfId="3" builtinId="5"/>
    <cellStyle name="Procentowy 2" xfId="25" xr:uid="{46A9E5AB-58FD-4C65-8421-DC11EF81CC1E}"/>
    <cellStyle name="Suma" xfId="102" builtinId="25" customBuiltin="1"/>
    <cellStyle name="Suma 2" xfId="296" xr:uid="{04714D86-9042-4E2B-9572-6A7AB9C3B15C}"/>
    <cellStyle name="Suma 3" xfId="297" xr:uid="{7A352FA2-AD90-4E3A-BB5F-1FDD76D5453A}"/>
    <cellStyle name="Tekst objaśnienia" xfId="101" builtinId="53" customBuiltin="1"/>
    <cellStyle name="Tekst objaśnienia 2" xfId="298" xr:uid="{F707458A-56E9-4E08-8280-F96D4F4E366F}"/>
    <cellStyle name="Tekst objaśnienia 3" xfId="299" xr:uid="{ED86A183-5C6B-499E-BA87-BA90A88D8F37}"/>
    <cellStyle name="Tekst ostrzeżenia" xfId="100" builtinId="11" customBuiltin="1"/>
    <cellStyle name="Tekst ostrzeżenia 2" xfId="300" xr:uid="{0F676C0E-55E3-4D2C-8E2B-5EAAC20087EB}"/>
    <cellStyle name="Tekst ostrzeżenia 3" xfId="301" xr:uid="{F2D230AA-704B-4843-B28D-13E373F81202}"/>
    <cellStyle name="Tytuł" xfId="89" builtinId="15" customBuiltin="1"/>
    <cellStyle name="Tytuł 2" xfId="303" xr:uid="{3EDFD38D-DD7C-430C-8896-5B3D381CA73C}"/>
    <cellStyle name="Tytuł 3" xfId="302" xr:uid="{E5559449-CD97-41A3-B923-24BE2840BAAB}"/>
    <cellStyle name="Uwaga" xfId="6" builtinId="10" customBuiltin="1"/>
    <cellStyle name="Uwaga 2" xfId="305" xr:uid="{DC874197-30FE-423C-B408-6739680E28D6}"/>
    <cellStyle name="Uwaga 3" xfId="306" xr:uid="{494E0256-753D-4E79-91EF-6552F2B24F63}"/>
    <cellStyle name="Uwaga 4" xfId="304" xr:uid="{AD304A47-B77C-4BA7-9817-8002DF011EAD}"/>
    <cellStyle name="Walutowy" xfId="50" builtinId="4"/>
    <cellStyle name="Walutowy 2" xfId="26" xr:uid="{BD94DD40-8904-48E1-BBE7-D8FC2D949FED}"/>
    <cellStyle name="Walutowy 2 10" xfId="320" xr:uid="{9D0F057A-158F-48FD-9F02-BDF3F2BFBF13}"/>
    <cellStyle name="Walutowy 2 11" xfId="390" xr:uid="{72827CBA-DEDC-4F79-B977-00479035A5A5}"/>
    <cellStyle name="Walutowy 2 12" xfId="396" xr:uid="{D3093777-DF3D-4CA6-9348-79FB932C711A}"/>
    <cellStyle name="Walutowy 2 13" xfId="402" xr:uid="{38165002-9573-4256-B924-DFCA70AEC16B}"/>
    <cellStyle name="Walutowy 2 14" xfId="408" xr:uid="{B2F145D7-16E3-4D57-B3E8-8553450933DE}"/>
    <cellStyle name="Walutowy 2 15" xfId="414" xr:uid="{85429426-8F61-4E36-AC60-BAAB9169D00C}"/>
    <cellStyle name="Walutowy 2 2" xfId="27" xr:uid="{E9D58809-8F7A-48B1-B0DA-FA06CC3EC204}"/>
    <cellStyle name="Walutowy 2 2 10" xfId="391" xr:uid="{DA8BC777-764E-4D80-A1AB-426352D3AC83}"/>
    <cellStyle name="Walutowy 2 2 11" xfId="397" xr:uid="{F85A3F95-33E9-434E-AADA-AE56DC96BD16}"/>
    <cellStyle name="Walutowy 2 2 12" xfId="403" xr:uid="{4E95B5CA-97CB-41ED-9FBB-8D9D9AFEDF65}"/>
    <cellStyle name="Walutowy 2 2 13" xfId="409" xr:uid="{9B25B027-024F-4559-8593-8B6B4DE979F9}"/>
    <cellStyle name="Walutowy 2 2 14" xfId="415" xr:uid="{052CEF72-7F7C-40BF-95CD-E035EE3E90EB}"/>
    <cellStyle name="Walutowy 2 2 2" xfId="33" xr:uid="{70D75DCF-B64C-4593-A252-DD04BC63EEDD}"/>
    <cellStyle name="Walutowy 2 2 2 2" xfId="59" xr:uid="{91A30540-B827-4FFD-A890-918850FAC768}"/>
    <cellStyle name="Walutowy 2 2 2 2 2" xfId="353" xr:uid="{0A95FD1F-8014-42B5-BFB4-E807025C0119}"/>
    <cellStyle name="Walutowy 2 2 2 3" xfId="327" xr:uid="{31F69717-67E7-4B3A-975A-D7AB3D4F81AD}"/>
    <cellStyle name="Walutowy 2 2 3" xfId="39" xr:uid="{5E28F1EC-AA39-47F5-B2AB-303619A685A9}"/>
    <cellStyle name="Walutowy 2 2 3 2" xfId="65" xr:uid="{AC94D5EE-5861-40BD-B98E-930DC91AB50A}"/>
    <cellStyle name="Walutowy 2 2 3 2 2" xfId="359" xr:uid="{D7AD4DBB-AF4A-4D2D-AA4A-EBF7E7397079}"/>
    <cellStyle name="Walutowy 2 2 3 3" xfId="333" xr:uid="{65B8B58E-EB4F-41AE-9D5C-516ECFC0BC1A}"/>
    <cellStyle name="Walutowy 2 2 4" xfId="45" xr:uid="{CB81238F-EC6A-490B-ABF1-F3694308ED6B}"/>
    <cellStyle name="Walutowy 2 2 4 2" xfId="71" xr:uid="{D9502271-31C1-4B1D-ADEB-D85B97061BC6}"/>
    <cellStyle name="Walutowy 2 2 4 2 2" xfId="365" xr:uid="{345AE83A-74D2-4A18-9044-53B35838F2ED}"/>
    <cellStyle name="Walutowy 2 2 4 3" xfId="339" xr:uid="{B8906A91-59D4-4560-BF2E-EA63108F45D0}"/>
    <cellStyle name="Walutowy 2 2 5" xfId="53" xr:uid="{4571BEBC-4AC2-44B4-9839-6DBAAA4FFD4C}"/>
    <cellStyle name="Walutowy 2 2 5 2" xfId="347" xr:uid="{FDB46F02-CF1A-49DF-9959-C8674E6060BC}"/>
    <cellStyle name="Walutowy 2 2 6" xfId="78" xr:uid="{92826587-5D28-4F66-AC26-4163E5A8521E}"/>
    <cellStyle name="Walutowy 2 2 6 2" xfId="372" xr:uid="{42C2369A-48E0-43B7-9BA5-0080BD07BF00}"/>
    <cellStyle name="Walutowy 2 2 7" xfId="84" xr:uid="{7833591D-8248-480A-9D75-69AB8C41B5A9}"/>
    <cellStyle name="Walutowy 2 2 7 2" xfId="378" xr:uid="{DBFA0665-EB61-47E4-A6CC-18375124CC81}"/>
    <cellStyle name="Walutowy 2 2 8" xfId="314" xr:uid="{02E814E7-73E2-46AD-A826-3D2923984D85}"/>
    <cellStyle name="Walutowy 2 2 8 2" xfId="385" xr:uid="{7506C794-58F7-4546-BBC8-DEB2B413BF2D}"/>
    <cellStyle name="Walutowy 2 2 9" xfId="321" xr:uid="{C10876A7-F1BC-46D9-81DC-38F574FB7456}"/>
    <cellStyle name="Walutowy 2 3" xfId="32" xr:uid="{2C5FCD47-D033-4362-8559-64BAEFB63E6D}"/>
    <cellStyle name="Walutowy 2 3 2" xfId="58" xr:uid="{FB4AC693-4DDF-4F45-8025-3E43C7DE8083}"/>
    <cellStyle name="Walutowy 2 3 2 2" xfId="352" xr:uid="{92953CBA-5C4C-4C64-9B80-3033543F2FB7}"/>
    <cellStyle name="Walutowy 2 3 3" xfId="326" xr:uid="{702DCFC9-A930-483B-9E6E-D8EAD5AFEA37}"/>
    <cellStyle name="Walutowy 2 4" xfId="38" xr:uid="{4403A3C2-F0A1-4A57-B8D3-E06A9F06A143}"/>
    <cellStyle name="Walutowy 2 4 2" xfId="64" xr:uid="{9A525271-BBCA-403E-843C-98722F2BFF5D}"/>
    <cellStyle name="Walutowy 2 4 2 2" xfId="358" xr:uid="{C5E9204D-F1F9-4A6A-9197-92F02AF1B6D6}"/>
    <cellStyle name="Walutowy 2 4 3" xfId="332" xr:uid="{1C748E35-5BB3-45E7-A6DA-8F727817A2D5}"/>
    <cellStyle name="Walutowy 2 5" xfId="44" xr:uid="{90092474-6EAB-4096-B981-8F88CFAEDBAF}"/>
    <cellStyle name="Walutowy 2 5 2" xfId="70" xr:uid="{265C908B-20B9-44E5-B5B8-D203103410F0}"/>
    <cellStyle name="Walutowy 2 5 2 2" xfId="364" xr:uid="{BE3BF825-C536-4C32-A4F1-18506ABF7B01}"/>
    <cellStyle name="Walutowy 2 5 3" xfId="338" xr:uid="{D8F10433-2E40-4DB6-8D0C-C4FDE36880DC}"/>
    <cellStyle name="Walutowy 2 6" xfId="52" xr:uid="{D2F3A7D9-FEA9-40AC-BCB7-BD0C4DC08C90}"/>
    <cellStyle name="Walutowy 2 6 2" xfId="346" xr:uid="{26DFAB0B-93DD-4A59-AB1E-0AABDB298A6B}"/>
    <cellStyle name="Walutowy 2 7" xfId="77" xr:uid="{F1676D45-76F6-49DD-B07A-CA6609E53AF3}"/>
    <cellStyle name="Walutowy 2 7 2" xfId="371" xr:uid="{19A03613-FE4C-4FB8-B3FC-118686267248}"/>
    <cellStyle name="Walutowy 2 8" xfId="83" xr:uid="{9A091444-7826-47CE-8937-C435C1814FEC}"/>
    <cellStyle name="Walutowy 2 8 2" xfId="377" xr:uid="{248A10CA-E45E-42C6-AE16-97CC636C6F68}"/>
    <cellStyle name="Walutowy 2 9" xfId="313" xr:uid="{D2D7EDC7-8B56-4125-8A52-59D494AF1EDE}"/>
    <cellStyle name="Walutowy 2 9 2" xfId="384" xr:uid="{B090CEA9-F684-49DD-A2BD-C2540067C470}"/>
    <cellStyle name="Walutowy 3" xfId="28" xr:uid="{BDC68E9B-E858-463E-9C9D-E1CFD912D9B5}"/>
    <cellStyle name="Walutowy 3 10" xfId="322" xr:uid="{2C1BC4B8-EAF1-4F76-858E-0079180EDDB5}"/>
    <cellStyle name="Walutowy 3 11" xfId="392" xr:uid="{9D615E11-E3FE-4E29-84FA-D2FF69795907}"/>
    <cellStyle name="Walutowy 3 12" xfId="398" xr:uid="{90406EC5-9645-432B-A9D0-D0B08537A6C6}"/>
    <cellStyle name="Walutowy 3 13" xfId="404" xr:uid="{E2AB4A60-99D5-434D-A820-4A11D68B8ECB}"/>
    <cellStyle name="Walutowy 3 14" xfId="410" xr:uid="{20119261-6B18-45CE-B98D-C32213D3136B}"/>
    <cellStyle name="Walutowy 3 15" xfId="416" xr:uid="{F543E21C-C6F4-4FFF-9E05-8B2D3AA430A3}"/>
    <cellStyle name="Walutowy 3 2" xfId="29" xr:uid="{86B9AEED-29E4-445B-AA04-EE828EF3CC5C}"/>
    <cellStyle name="Walutowy 3 2 10" xfId="393" xr:uid="{A3E5B8D3-A32D-4CEE-8928-E90C9F5E8631}"/>
    <cellStyle name="Walutowy 3 2 11" xfId="399" xr:uid="{AA331E33-2548-4139-910E-409AF3545148}"/>
    <cellStyle name="Walutowy 3 2 12" xfId="405" xr:uid="{B224466F-E4D6-47AE-BA70-1C9AE94B772A}"/>
    <cellStyle name="Walutowy 3 2 13" xfId="411" xr:uid="{11296D3C-3E8E-44FD-AC9F-7A98CBB8A19F}"/>
    <cellStyle name="Walutowy 3 2 14" xfId="417" xr:uid="{73AF5A97-328E-4DFB-AE9B-E251C49EB8CD}"/>
    <cellStyle name="Walutowy 3 2 2" xfId="35" xr:uid="{094B8E43-C6DC-4320-8F5E-50CE18B1CF27}"/>
    <cellStyle name="Walutowy 3 2 2 2" xfId="61" xr:uid="{BD83B0A3-6A51-482C-8812-0A412560B219}"/>
    <cellStyle name="Walutowy 3 2 2 2 2" xfId="355" xr:uid="{920C93D6-E43A-4FD3-A19E-EE7C06DA80E8}"/>
    <cellStyle name="Walutowy 3 2 2 3" xfId="329" xr:uid="{21A560C0-479F-4BED-A8F5-5F9812A5A4B8}"/>
    <cellStyle name="Walutowy 3 2 3" xfId="41" xr:uid="{E07926EF-CF87-4180-8374-4FB0EE58AD35}"/>
    <cellStyle name="Walutowy 3 2 3 2" xfId="67" xr:uid="{BFA92E85-83F8-475D-AAD9-F67DCAF5F7A5}"/>
    <cellStyle name="Walutowy 3 2 3 2 2" xfId="361" xr:uid="{1FFBFB20-BD1A-40F6-8B9D-A2220D17AE20}"/>
    <cellStyle name="Walutowy 3 2 3 3" xfId="335" xr:uid="{77802B4D-FCDC-4F91-91E3-F6146B0C7C19}"/>
    <cellStyle name="Walutowy 3 2 4" xfId="47" xr:uid="{4DAB95ED-E7C2-4F27-9A87-C457813B6778}"/>
    <cellStyle name="Walutowy 3 2 4 2" xfId="73" xr:uid="{05DFA856-E21C-4CBC-952C-FBAF9BC8D97D}"/>
    <cellStyle name="Walutowy 3 2 4 2 2" xfId="367" xr:uid="{F42B923D-DCFA-4688-914F-3B257B5BA373}"/>
    <cellStyle name="Walutowy 3 2 4 3" xfId="341" xr:uid="{6D1CF095-CC92-471B-8E5B-0FB0A4C84C14}"/>
    <cellStyle name="Walutowy 3 2 5" xfId="55" xr:uid="{B9BCAD62-C6C0-473D-8F28-67A98F4AA4C5}"/>
    <cellStyle name="Walutowy 3 2 5 2" xfId="349" xr:uid="{20123D77-922C-4EA8-B46C-8392FF08CB21}"/>
    <cellStyle name="Walutowy 3 2 6" xfId="80" xr:uid="{6D3BBEE2-768B-4D40-AAB0-FB155D60B155}"/>
    <cellStyle name="Walutowy 3 2 6 2" xfId="374" xr:uid="{CFAC5844-01A5-4EAC-B0C9-B6FF34C70E11}"/>
    <cellStyle name="Walutowy 3 2 7" xfId="86" xr:uid="{9E6F2761-4150-4CFA-BD0F-7E6D1F229879}"/>
    <cellStyle name="Walutowy 3 2 7 2" xfId="380" xr:uid="{D6EBC721-03C0-4556-A483-EFFDEB547B4E}"/>
    <cellStyle name="Walutowy 3 2 8" xfId="316" xr:uid="{8F417E9C-C43C-4B2E-B767-B29369A2256A}"/>
    <cellStyle name="Walutowy 3 2 8 2" xfId="387" xr:uid="{DD61A3E5-EB75-45A3-8F04-EA1B9A08771B}"/>
    <cellStyle name="Walutowy 3 2 9" xfId="323" xr:uid="{5895671C-02E0-4B14-9BF5-47DD45A3837E}"/>
    <cellStyle name="Walutowy 3 3" xfId="34" xr:uid="{462D07DB-4DB3-48DB-89E5-E670E910FC80}"/>
    <cellStyle name="Walutowy 3 3 2" xfId="60" xr:uid="{66008D48-DFF3-4115-8703-75FF479AEEB9}"/>
    <cellStyle name="Walutowy 3 3 2 2" xfId="354" xr:uid="{6D21E1C7-6425-4FDD-AB46-FB66F833CA31}"/>
    <cellStyle name="Walutowy 3 3 3" xfId="328" xr:uid="{AFDCE202-20C9-4622-9158-016876A208A6}"/>
    <cellStyle name="Walutowy 3 4" xfId="40" xr:uid="{AA9050CB-053E-4F2B-A528-07ED6119B4A7}"/>
    <cellStyle name="Walutowy 3 4 2" xfId="66" xr:uid="{B569A47A-E0D5-4649-9B72-378CE653FC1E}"/>
    <cellStyle name="Walutowy 3 4 2 2" xfId="360" xr:uid="{D1D6409F-7F63-496E-B34E-54A3F5DCCD9B}"/>
    <cellStyle name="Walutowy 3 4 3" xfId="334" xr:uid="{42A45030-18AD-40E6-9DB8-6D905411757F}"/>
    <cellStyle name="Walutowy 3 5" xfId="46" xr:uid="{2F137973-97DB-434F-AEC1-4A6E29BAF9FA}"/>
    <cellStyle name="Walutowy 3 5 2" xfId="72" xr:uid="{29D6C14B-0FA0-4199-A296-0A3273B192E5}"/>
    <cellStyle name="Walutowy 3 5 2 2" xfId="366" xr:uid="{22867C96-FDEB-4451-9101-F2C118E54F6C}"/>
    <cellStyle name="Walutowy 3 5 3" xfId="340" xr:uid="{3686D94C-D42F-49BD-91B6-52BD7ACE7864}"/>
    <cellStyle name="Walutowy 3 6" xfId="54" xr:uid="{1D4A30A7-1E4B-4667-9BE8-FB2E678C792D}"/>
    <cellStyle name="Walutowy 3 6 2" xfId="348" xr:uid="{2533BD29-E7FF-4AC3-8B43-1E6B9B0587E4}"/>
    <cellStyle name="Walutowy 3 7" xfId="79" xr:uid="{6722E312-09BE-4B71-A009-0F301F5DD10E}"/>
    <cellStyle name="Walutowy 3 7 2" xfId="373" xr:uid="{7E2E9EBE-3A01-4B3E-8255-9E6DC522FF1B}"/>
    <cellStyle name="Walutowy 3 8" xfId="85" xr:uid="{DA112245-390E-4E48-A6A2-A62CF651825E}"/>
    <cellStyle name="Walutowy 3 8 2" xfId="379" xr:uid="{B042E70F-E03C-4CAA-9046-2CD4540DF791}"/>
    <cellStyle name="Walutowy 3 9" xfId="315" xr:uid="{817F748A-4018-45B8-A520-821A20155560}"/>
    <cellStyle name="Walutowy 3 9 2" xfId="386" xr:uid="{256C2E3B-26B2-4A61-B211-07BA5EC3447C}"/>
    <cellStyle name="Walutowy 4" xfId="30" xr:uid="{294719A7-F20D-4F9D-8B3D-E430A22FD46B}"/>
    <cellStyle name="Walutowy 4 10" xfId="324" xr:uid="{FED01C0E-A2A8-4795-B585-C73F21AA198E}"/>
    <cellStyle name="Walutowy 4 11" xfId="394" xr:uid="{7046CE53-382F-41F2-B377-EBA44ADA1B5B}"/>
    <cellStyle name="Walutowy 4 12" xfId="400" xr:uid="{BCEDD0BD-BAB0-4851-921F-CF0EAA95EAD4}"/>
    <cellStyle name="Walutowy 4 13" xfId="406" xr:uid="{8499E668-B77D-48F4-A222-AC9A9457DB18}"/>
    <cellStyle name="Walutowy 4 14" xfId="412" xr:uid="{A2C912BA-6011-41F1-9687-F6E32D564D9C}"/>
    <cellStyle name="Walutowy 4 15" xfId="418" xr:uid="{E181B9DC-65DE-4367-9D3C-81E1DE5B8E48}"/>
    <cellStyle name="Walutowy 4 2" xfId="31" xr:uid="{A60FF68A-5AE4-43AD-9E64-99D804BCC195}"/>
    <cellStyle name="Walutowy 4 2 10" xfId="395" xr:uid="{19476727-552F-4F45-AF28-7F14B0F81AC6}"/>
    <cellStyle name="Walutowy 4 2 11" xfId="401" xr:uid="{557995FD-AAB1-4BC1-8839-17BBF2C1305A}"/>
    <cellStyle name="Walutowy 4 2 12" xfId="407" xr:uid="{302BB0CB-1006-41FC-9FDF-93B2B76215A3}"/>
    <cellStyle name="Walutowy 4 2 13" xfId="413" xr:uid="{8926C543-040C-4962-B3C0-A1C231C9C01A}"/>
    <cellStyle name="Walutowy 4 2 14" xfId="419" xr:uid="{5F6A7865-86EB-4662-A919-E22FEF36C4E8}"/>
    <cellStyle name="Walutowy 4 2 2" xfId="37" xr:uid="{630B1966-C2CF-43A2-8456-1AC103CAC876}"/>
    <cellStyle name="Walutowy 4 2 2 2" xfId="63" xr:uid="{EA4DEC57-F204-4B61-A5FA-0461A973BCAE}"/>
    <cellStyle name="Walutowy 4 2 2 2 2" xfId="357" xr:uid="{0D5C337F-B31C-49C8-A8C5-6A8A8486983F}"/>
    <cellStyle name="Walutowy 4 2 2 3" xfId="331" xr:uid="{C0C5D292-FFE8-4F79-B701-2E1F29DB23EC}"/>
    <cellStyle name="Walutowy 4 2 3" xfId="43" xr:uid="{BB99E5A8-B084-4DB6-AF32-FE93238119C4}"/>
    <cellStyle name="Walutowy 4 2 3 2" xfId="69" xr:uid="{664D1C53-8BB5-4176-B5E9-9B7E527C9093}"/>
    <cellStyle name="Walutowy 4 2 3 2 2" xfId="363" xr:uid="{8511AE02-C80B-47E2-850D-FA34FBBD681C}"/>
    <cellStyle name="Walutowy 4 2 3 3" xfId="337" xr:uid="{A4F4E47C-8364-47C2-B1A7-2A37197F6B91}"/>
    <cellStyle name="Walutowy 4 2 4" xfId="49" xr:uid="{36D0D729-CF34-433C-94D5-8896715DA8EF}"/>
    <cellStyle name="Walutowy 4 2 4 2" xfId="75" xr:uid="{62329DDE-A78D-4158-8D8B-0017D3607DB2}"/>
    <cellStyle name="Walutowy 4 2 4 2 2" xfId="369" xr:uid="{6FD06BE1-A259-4FE1-8764-5E162C1CBC01}"/>
    <cellStyle name="Walutowy 4 2 4 3" xfId="343" xr:uid="{3C72D544-C246-4CAD-970B-49BBABBF39F6}"/>
    <cellStyle name="Walutowy 4 2 5" xfId="57" xr:uid="{2259EF65-E8A2-434B-BC0E-493D11635FA3}"/>
    <cellStyle name="Walutowy 4 2 5 2" xfId="351" xr:uid="{C67758BC-EB1D-41F5-A160-F511CD46816F}"/>
    <cellStyle name="Walutowy 4 2 6" xfId="82" xr:uid="{0ABD1C15-F139-4F01-BAB0-0B464E0E604B}"/>
    <cellStyle name="Walutowy 4 2 6 2" xfId="376" xr:uid="{15EF0790-F892-479D-830D-33F261B3AAE5}"/>
    <cellStyle name="Walutowy 4 2 7" xfId="88" xr:uid="{C5A894F2-763D-4B15-9074-7B94344C7D37}"/>
    <cellStyle name="Walutowy 4 2 7 2" xfId="382" xr:uid="{E1678412-FE5D-46C4-A85A-957B9C622AF1}"/>
    <cellStyle name="Walutowy 4 2 8" xfId="318" xr:uid="{710F7A70-3B63-47DF-A0AC-F334CF2A4D4B}"/>
    <cellStyle name="Walutowy 4 2 8 2" xfId="389" xr:uid="{FC5AD549-3DD3-47B4-A278-899804DC45DD}"/>
    <cellStyle name="Walutowy 4 2 9" xfId="325" xr:uid="{82C402EA-B2F2-4F14-A367-E8E693C661DC}"/>
    <cellStyle name="Walutowy 4 3" xfId="36" xr:uid="{FED9344D-A316-40FF-BF34-067EEB409B04}"/>
    <cellStyle name="Walutowy 4 3 2" xfId="62" xr:uid="{13EDDEC9-5558-45ED-8EE9-D10C188035BB}"/>
    <cellStyle name="Walutowy 4 3 2 2" xfId="356" xr:uid="{1DE5D5DD-0211-4FAC-901F-D25A65CFEAD3}"/>
    <cellStyle name="Walutowy 4 3 3" xfId="330" xr:uid="{C4D1F166-9303-4B28-937F-89BA42F7524A}"/>
    <cellStyle name="Walutowy 4 4" xfId="42" xr:uid="{137E50F9-9BCB-4087-A83F-6283D645F172}"/>
    <cellStyle name="Walutowy 4 4 2" xfId="68" xr:uid="{F96F2FDA-DC94-4EF7-A350-BF8913B05CBA}"/>
    <cellStyle name="Walutowy 4 4 2 2" xfId="362" xr:uid="{0434D0F5-D657-4547-B8DA-CCD8FCF2C4CF}"/>
    <cellStyle name="Walutowy 4 4 3" xfId="336" xr:uid="{1AB61936-C631-4D07-AAB7-11330686078E}"/>
    <cellStyle name="Walutowy 4 5" xfId="48" xr:uid="{3DAD8C44-1C06-4032-8048-EEB14D38B50A}"/>
    <cellStyle name="Walutowy 4 5 2" xfId="74" xr:uid="{65D300A7-5752-4D42-9BD9-1DD30DD23F15}"/>
    <cellStyle name="Walutowy 4 5 2 2" xfId="368" xr:uid="{478ADB1D-EF6A-48FE-9C9B-C48A44701BE0}"/>
    <cellStyle name="Walutowy 4 5 3" xfId="342" xr:uid="{49676575-AF75-4515-9517-D3371ADE2A11}"/>
    <cellStyle name="Walutowy 4 6" xfId="56" xr:uid="{A4CA934A-8318-4B08-A4EF-A53E54435B9D}"/>
    <cellStyle name="Walutowy 4 6 2" xfId="350" xr:uid="{3F362D4E-B137-4CD6-BA7D-EF0D3DE44826}"/>
    <cellStyle name="Walutowy 4 7" xfId="81" xr:uid="{F5338712-63A2-42AE-9C99-F72342CB3EFA}"/>
    <cellStyle name="Walutowy 4 7 2" xfId="375" xr:uid="{A7B7C44E-EA31-4C89-B94C-31AFEBCE022D}"/>
    <cellStyle name="Walutowy 4 8" xfId="87" xr:uid="{9754A058-6A61-4556-916C-397147F8EF3E}"/>
    <cellStyle name="Walutowy 4 8 2" xfId="381" xr:uid="{CCB481AA-F582-4B2B-B8B6-107EA3D19CB1}"/>
    <cellStyle name="Walutowy 4 9" xfId="317" xr:uid="{1F19858C-E006-47E3-8E90-169423C42D03}"/>
    <cellStyle name="Walutowy 4 9 2" xfId="388" xr:uid="{DD308E88-11C8-4F60-BCDF-1B1EA6282550}"/>
    <cellStyle name="Walutowy 5" xfId="76" xr:uid="{86BC9321-CBAA-4614-A10D-01898EB774C6}"/>
    <cellStyle name="Walutowy 5 2" xfId="370" xr:uid="{5B01EF62-8834-4EE0-9A99-4DFDA991EA36}"/>
    <cellStyle name="Walutowy 6" xfId="344" xr:uid="{8ED0E5D2-8289-4520-973D-263A6062AEDD}"/>
    <cellStyle name="Złe 2" xfId="307" xr:uid="{B7814C96-0C70-4266-A4C9-C25601F05816}"/>
    <cellStyle name="Zły" xfId="94" builtinId="27" customBuiltin="1"/>
    <cellStyle name="Zły 2" xfId="308" xr:uid="{3DC2B36F-9C4C-450D-BD37-0669BE08C041}"/>
    <cellStyle name="Zły 3" xfId="309" xr:uid="{96AA3D4D-50ED-48EF-8FA5-465C1ED9CB7B}"/>
  </cellStyles>
  <dxfs count="33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9" tint="0.79998168889431442"/>
      </font>
    </dxf>
    <dxf>
      <font>
        <color theme="9" tint="0.79998168889431442"/>
      </font>
    </dxf>
    <dxf>
      <font>
        <color rgb="FF9C0006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1" tint="4.9989318521683403E-2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9" tint="0.79998168889431442"/>
      </font>
    </dxf>
    <dxf>
      <font>
        <color theme="9" tint="0.79998168889431442"/>
      </font>
    </dxf>
    <dxf>
      <font>
        <color theme="9" tint="0.79998168889431442"/>
      </font>
    </dxf>
    <dxf>
      <font>
        <color theme="9" tint="0.79998168889431442"/>
      </font>
    </dxf>
    <dxf>
      <font>
        <color auto="1"/>
      </font>
      <fill>
        <patternFill>
          <bgColor rgb="FF33CC33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1"/>
      </font>
      <fill>
        <patternFill>
          <bgColor rgb="FF33CC3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33CC3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</dxfs>
  <tableStyles count="1" defaultTableStyle="TableStyleMedium2" defaultPivotStyle="PivotStyleLight16">
    <tableStyle name="Invisible" pivot="0" table="0" count="0" xr9:uid="{2278697B-C1D9-4D56-BC1B-F2436E5730B1}"/>
  </tableStyles>
  <colors>
    <mruColors>
      <color rgb="FFFF99FF"/>
      <color rgb="FFFDFFEF"/>
      <color rgb="FFFFFFFF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externalLink" Target="externalLinks/externalLink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0</xdr:row>
          <xdr:rowOff>142875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1328057</xdr:colOff>
      <xdr:row>25</xdr:row>
      <xdr:rowOff>205922</xdr:rowOff>
    </xdr:from>
    <xdr:to>
      <xdr:col>11</xdr:col>
      <xdr:colOff>650035</xdr:colOff>
      <xdr:row>48</xdr:row>
      <xdr:rowOff>14488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3057" y="6936922"/>
          <a:ext cx="4746692" cy="4217280"/>
        </a:xfrm>
        <a:prstGeom prst="rect">
          <a:avLst/>
        </a:prstGeom>
      </xdr:spPr>
    </xdr:pic>
    <xdr:clientData/>
  </xdr:twoCellAnchor>
  <xdr:twoCellAnchor editAs="oneCell">
    <xdr:from>
      <xdr:col>6</xdr:col>
      <xdr:colOff>847725</xdr:colOff>
      <xdr:row>49</xdr:row>
      <xdr:rowOff>10432</xdr:rowOff>
    </xdr:from>
    <xdr:to>
      <xdr:col>14</xdr:col>
      <xdr:colOff>225168</xdr:colOff>
      <xdr:row>72</xdr:row>
      <xdr:rowOff>92974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32725" y="11331575"/>
          <a:ext cx="7360300" cy="430982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108087</xdr:colOff>
      <xdr:row>1</xdr:row>
      <xdr:rowOff>9077</xdr:rowOff>
    </xdr:from>
    <xdr:to>
      <xdr:col>24</xdr:col>
      <xdr:colOff>328739</xdr:colOff>
      <xdr:row>16</xdr:row>
      <xdr:rowOff>55892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81100" y="192343"/>
          <a:ext cx="2651335" cy="2786725"/>
        </a:xfrm>
        <a:prstGeom prst="rect">
          <a:avLst/>
        </a:prstGeom>
      </xdr:spPr>
    </xdr:pic>
    <xdr:clientData/>
  </xdr:twoCellAnchor>
  <xdr:twoCellAnchor editAs="oneCell">
    <xdr:from>
      <xdr:col>22</xdr:col>
      <xdr:colOff>501570</xdr:colOff>
      <xdr:row>328</xdr:row>
      <xdr:rowOff>9645</xdr:rowOff>
    </xdr:from>
    <xdr:to>
      <xdr:col>26</xdr:col>
      <xdr:colOff>523003</xdr:colOff>
      <xdr:row>343</xdr:row>
      <xdr:rowOff>106897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89924" y="192911"/>
          <a:ext cx="2452117" cy="28462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</xdr:colOff>
      <xdr:row>6</xdr:row>
      <xdr:rowOff>137160</xdr:rowOff>
    </xdr:from>
    <xdr:to>
      <xdr:col>15</xdr:col>
      <xdr:colOff>341807</xdr:colOff>
      <xdr:row>18</xdr:row>
      <xdr:rowOff>76498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65220" y="1234440"/>
          <a:ext cx="5820587" cy="21338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104-fs01\Shares\_Special\Przetw\PROD.%20PRZETW&#211;RCZA\Plan%20Peklowni\Plan%20Mi&#281;sa%20Peklownia_V10_1301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ponikowski/Documents/2022/Przetw&#243;rnia/Surowiec/Plan%20Mi&#281;sa%20Peklownia_V5_240622%20produkcj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Przetw\PROD.%20PRZETW&#211;RCZA\Plan%20Peklowni\Plany%20dzienne%20peklownia\Plan%20Mi&#281;sa%20Peklownia_V10_250124.xlsm" TargetMode="External"/><Relationship Id="rId1" Type="http://schemas.openxmlformats.org/officeDocument/2006/relationships/externalLinkPath" Target="file:///\\w104-fs01\Shares\Przetw\PROD.%20PRZETW&#211;RCZA\Plan%20Peklowni\Plany%20dzienne%20peklownia\Plan%20Mi&#281;sa%20Peklownia_V10_25012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104-fs01\Shares\_Special\Przetw\PROD.%20PRZETW&#211;RCZA\Plan%20Peklowni\Plan%20Mi&#281;sa%20Peklownia_V10_021222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104-fs01\shares\_Special\Analizy_FK\Raporty%20wewn&#281;trzne\Dane_SPM_szybka_kalk\lsmw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104-fs01\shares\_Special\TECHNOL\baza%20kalkulacja.xls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Y:\_Special\Przetw\PROD.%20PRZETW&#211;RCZA\Plan%20Peklowni\Plany%20dzienne%20peklownia\Plan%20Mi&#281;sa%20Peklownia_V10_020823I(Poprawiaone).xlsm" TargetMode="External"/><Relationship Id="rId1" Type="http://schemas.openxmlformats.org/officeDocument/2006/relationships/externalLinkPath" Target="file:///\\w104-fs01\Shares\_Special\Przetw\PROD.%20PRZETW&#211;RCZA\Plan%20Peklowni\Plany%20dzienne%20peklownia\Plan%20Mi&#281;sa%20Peklownia_V10_020823I(Poprawiaone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onfiguracja"/>
      <sheetName val="Receptury "/>
      <sheetName val="Receptury_z"/>
      <sheetName val="Kalkulator mięs "/>
      <sheetName val="Klony 1"/>
      <sheetName val="Kalkulator Wędzonki "/>
      <sheetName val="Plan Nastrzyk "/>
      <sheetName val="Plan Farsze"/>
      <sheetName val="Kalkulator klony"/>
      <sheetName val="TPS_mięsa"/>
      <sheetName val="Dane stany"/>
      <sheetName val="Rozbiór"/>
      <sheetName val="TPS wędzonki "/>
      <sheetName val="Kalkulator uśrednianie. "/>
      <sheetName val="PLAN_P"/>
      <sheetName val="ZAKUPY wieprz."/>
      <sheetName val="Drobie"/>
      <sheetName val="Baza Asort"/>
      <sheetName val="Klony Tydzień 3"/>
    </sheetNames>
    <sheetDataSet>
      <sheetData sheetId="0">
        <row r="2">
          <cell r="J2" t="str">
            <v>DROBIE</v>
          </cell>
        </row>
        <row r="3">
          <cell r="J3">
            <v>6354</v>
          </cell>
          <cell r="O3">
            <v>2202</v>
          </cell>
          <cell r="P3">
            <v>2212</v>
          </cell>
          <cell r="Q3">
            <v>9999</v>
          </cell>
          <cell r="AD3">
            <v>9999</v>
          </cell>
          <cell r="AE3">
            <v>9999</v>
          </cell>
        </row>
        <row r="4">
          <cell r="J4">
            <v>6434</v>
          </cell>
          <cell r="O4">
            <v>1265</v>
          </cell>
          <cell r="P4">
            <v>9999</v>
          </cell>
          <cell r="Q4">
            <v>9999</v>
          </cell>
          <cell r="AD4">
            <v>9999</v>
          </cell>
          <cell r="AE4">
            <v>9999</v>
          </cell>
        </row>
        <row r="5">
          <cell r="J5">
            <v>6490</v>
          </cell>
          <cell r="O5">
            <v>2203</v>
          </cell>
          <cell r="P5">
            <v>2213</v>
          </cell>
          <cell r="Q5">
            <v>2225</v>
          </cell>
          <cell r="AD5">
            <v>2229</v>
          </cell>
          <cell r="AE5">
            <v>9999</v>
          </cell>
        </row>
        <row r="6">
          <cell r="J6">
            <v>6628</v>
          </cell>
          <cell r="O6">
            <v>2210</v>
          </cell>
          <cell r="P6">
            <v>9999</v>
          </cell>
          <cell r="Q6">
            <v>9999</v>
          </cell>
          <cell r="AD6">
            <v>9999</v>
          </cell>
          <cell r="AE6">
            <v>9999</v>
          </cell>
        </row>
        <row r="7">
          <cell r="J7">
            <v>7035</v>
          </cell>
          <cell r="O7">
            <v>1239</v>
          </cell>
          <cell r="P7">
            <v>9999</v>
          </cell>
          <cell r="Q7">
            <v>9999</v>
          </cell>
          <cell r="AD7">
            <v>9999</v>
          </cell>
          <cell r="AE7">
            <v>9999</v>
          </cell>
        </row>
        <row r="8">
          <cell r="J8">
            <v>7032</v>
          </cell>
          <cell r="O8">
            <v>1365</v>
          </cell>
          <cell r="P8">
            <v>1342</v>
          </cell>
          <cell r="Q8">
            <v>9999</v>
          </cell>
          <cell r="AD8">
            <v>9999</v>
          </cell>
          <cell r="AE8">
            <v>9999</v>
          </cell>
        </row>
        <row r="9">
          <cell r="J9">
            <v>7043</v>
          </cell>
          <cell r="O9">
            <v>1624</v>
          </cell>
          <cell r="P9">
            <v>9999</v>
          </cell>
          <cell r="Q9">
            <v>9999</v>
          </cell>
          <cell r="AD9">
            <v>9999</v>
          </cell>
          <cell r="AE9">
            <v>9999</v>
          </cell>
        </row>
        <row r="10">
          <cell r="J10">
            <v>7053</v>
          </cell>
          <cell r="O10">
            <v>2204</v>
          </cell>
          <cell r="P10">
            <v>2214</v>
          </cell>
          <cell r="Q10">
            <v>9999</v>
          </cell>
          <cell r="AD10">
            <v>9999</v>
          </cell>
          <cell r="AE10">
            <v>9999</v>
          </cell>
        </row>
        <row r="11">
          <cell r="J11">
            <v>7055</v>
          </cell>
          <cell r="O11">
            <v>5214</v>
          </cell>
          <cell r="P11">
            <v>9999</v>
          </cell>
          <cell r="Q11">
            <v>9999</v>
          </cell>
          <cell r="AD11">
            <v>9999</v>
          </cell>
          <cell r="AE11">
            <v>9999</v>
          </cell>
        </row>
        <row r="12">
          <cell r="J12">
            <v>7056</v>
          </cell>
          <cell r="O12">
            <v>2209</v>
          </cell>
          <cell r="P12">
            <v>1923</v>
          </cell>
          <cell r="Q12">
            <v>2222</v>
          </cell>
          <cell r="AD12">
            <v>2220</v>
          </cell>
          <cell r="AE12">
            <v>9999</v>
          </cell>
        </row>
        <row r="13">
          <cell r="J13">
            <v>6448</v>
          </cell>
          <cell r="O13">
            <v>2205</v>
          </cell>
          <cell r="P13">
            <v>2197</v>
          </cell>
          <cell r="Q13">
            <v>2195</v>
          </cell>
          <cell r="AD13">
            <v>1315</v>
          </cell>
          <cell r="AE13">
            <v>2194</v>
          </cell>
        </row>
        <row r="14">
          <cell r="J14">
            <v>6499</v>
          </cell>
          <cell r="O14">
            <v>5215</v>
          </cell>
          <cell r="P14">
            <v>9999</v>
          </cell>
          <cell r="Q14">
            <v>9999</v>
          </cell>
          <cell r="AD14">
            <v>9999</v>
          </cell>
          <cell r="AE14">
            <v>9999</v>
          </cell>
        </row>
        <row r="15">
          <cell r="J15">
            <v>7061</v>
          </cell>
          <cell r="O15">
            <v>2206</v>
          </cell>
          <cell r="P15">
            <v>9999</v>
          </cell>
          <cell r="Q15">
            <v>9999</v>
          </cell>
          <cell r="AD15">
            <v>9999</v>
          </cell>
          <cell r="AE15">
            <v>9999</v>
          </cell>
        </row>
        <row r="16">
          <cell r="J16">
            <v>7064</v>
          </cell>
          <cell r="O16">
            <v>5202</v>
          </cell>
          <cell r="P16">
            <v>5010</v>
          </cell>
          <cell r="Q16">
            <v>9999</v>
          </cell>
          <cell r="AD16">
            <v>9999</v>
          </cell>
          <cell r="AE16">
            <v>9999</v>
          </cell>
        </row>
        <row r="17">
          <cell r="J17">
            <v>6419</v>
          </cell>
          <cell r="O17">
            <v>2912</v>
          </cell>
          <cell r="P17">
            <v>9999</v>
          </cell>
          <cell r="Q17">
            <v>9999</v>
          </cell>
          <cell r="AD17">
            <v>9999</v>
          </cell>
          <cell r="AE17">
            <v>9999</v>
          </cell>
        </row>
        <row r="18">
          <cell r="O18">
            <v>2314</v>
          </cell>
          <cell r="P18">
            <v>2316</v>
          </cell>
          <cell r="Q18">
            <v>9999</v>
          </cell>
          <cell r="AD18">
            <v>9999</v>
          </cell>
          <cell r="AE18">
            <v>9999</v>
          </cell>
        </row>
        <row r="19">
          <cell r="O19">
            <v>2003</v>
          </cell>
          <cell r="P19">
            <v>9999</v>
          </cell>
          <cell r="Q19">
            <v>9999</v>
          </cell>
          <cell r="AD19">
            <v>9999</v>
          </cell>
          <cell r="AE19">
            <v>9999</v>
          </cell>
        </row>
        <row r="20">
          <cell r="O20">
            <v>1222</v>
          </cell>
          <cell r="P20">
            <v>9999</v>
          </cell>
          <cell r="Q20">
            <v>9999</v>
          </cell>
          <cell r="AD20">
            <v>9999</v>
          </cell>
          <cell r="AE20">
            <v>9999</v>
          </cell>
        </row>
        <row r="21">
          <cell r="O21">
            <v>5226</v>
          </cell>
          <cell r="P21">
            <v>9999</v>
          </cell>
          <cell r="Q21">
            <v>9999</v>
          </cell>
          <cell r="AD21">
            <v>9999</v>
          </cell>
          <cell r="AE21">
            <v>9999</v>
          </cell>
        </row>
        <row r="22">
          <cell r="O22">
            <v>52264000</v>
          </cell>
          <cell r="P22">
            <v>9999</v>
          </cell>
          <cell r="Q22">
            <v>9999</v>
          </cell>
          <cell r="AD22">
            <v>9999</v>
          </cell>
          <cell r="AE22">
            <v>9999</v>
          </cell>
        </row>
        <row r="23">
          <cell r="O23">
            <v>2223</v>
          </cell>
          <cell r="P23">
            <v>9999</v>
          </cell>
          <cell r="Q23">
            <v>9999</v>
          </cell>
          <cell r="AD23">
            <v>9999</v>
          </cell>
          <cell r="AE23">
            <v>9999</v>
          </cell>
        </row>
        <row r="24">
          <cell r="O24">
            <v>1296</v>
          </cell>
          <cell r="P24">
            <v>9999</v>
          </cell>
          <cell r="Q24">
            <v>9999</v>
          </cell>
          <cell r="AD24">
            <v>9999</v>
          </cell>
          <cell r="AE24">
            <v>9999</v>
          </cell>
        </row>
        <row r="25">
          <cell r="O25">
            <v>5025</v>
          </cell>
          <cell r="P25">
            <v>9999</v>
          </cell>
          <cell r="Q25">
            <v>9999</v>
          </cell>
          <cell r="AD25">
            <v>9999</v>
          </cell>
          <cell r="AE25">
            <v>9999</v>
          </cell>
        </row>
        <row r="26">
          <cell r="O26">
            <v>5022</v>
          </cell>
          <cell r="P26">
            <v>9999</v>
          </cell>
          <cell r="Q26">
            <v>9999</v>
          </cell>
          <cell r="AD26">
            <v>9999</v>
          </cell>
          <cell r="AE26">
            <v>9999</v>
          </cell>
        </row>
        <row r="27">
          <cell r="O27">
            <v>5523</v>
          </cell>
          <cell r="P27">
            <v>9999</v>
          </cell>
          <cell r="Q27">
            <v>9999</v>
          </cell>
          <cell r="AD27">
            <v>9999</v>
          </cell>
          <cell r="AE27">
            <v>9999</v>
          </cell>
        </row>
        <row r="28">
          <cell r="O28">
            <v>1787</v>
          </cell>
          <cell r="P28">
            <v>9999</v>
          </cell>
          <cell r="Q28">
            <v>9999</v>
          </cell>
          <cell r="AD28">
            <v>9999</v>
          </cell>
          <cell r="AE28">
            <v>9999</v>
          </cell>
        </row>
        <row r="29">
          <cell r="O29">
            <v>5781</v>
          </cell>
          <cell r="P29">
            <v>9999</v>
          </cell>
          <cell r="Q29">
            <v>9999</v>
          </cell>
          <cell r="AD29">
            <v>9999</v>
          </cell>
          <cell r="AE29">
            <v>9999</v>
          </cell>
        </row>
        <row r="30">
          <cell r="O30">
            <v>3010</v>
          </cell>
          <cell r="P30">
            <v>3014</v>
          </cell>
          <cell r="Q30">
            <v>9999</v>
          </cell>
          <cell r="AD30">
            <v>9999</v>
          </cell>
          <cell r="AE30">
            <v>9999</v>
          </cell>
        </row>
        <row r="31">
          <cell r="O31">
            <v>3009</v>
          </cell>
          <cell r="P31">
            <v>3012</v>
          </cell>
          <cell r="Q31">
            <v>3011</v>
          </cell>
          <cell r="AD31">
            <v>3016</v>
          </cell>
          <cell r="AE31">
            <v>9999</v>
          </cell>
        </row>
        <row r="32">
          <cell r="O32">
            <v>5304</v>
          </cell>
          <cell r="P32">
            <v>3004</v>
          </cell>
          <cell r="Q32">
            <v>9999</v>
          </cell>
          <cell r="AD32">
            <v>9999</v>
          </cell>
          <cell r="AE32">
            <v>9999</v>
          </cell>
        </row>
        <row r="33">
          <cell r="O33">
            <v>3006</v>
          </cell>
          <cell r="P33">
            <v>9999</v>
          </cell>
          <cell r="Q33">
            <v>9999</v>
          </cell>
          <cell r="AD33">
            <v>9999</v>
          </cell>
          <cell r="AE33">
            <v>9999</v>
          </cell>
        </row>
        <row r="34">
          <cell r="O34">
            <v>3008</v>
          </cell>
          <cell r="P34">
            <v>9999</v>
          </cell>
          <cell r="Q34">
            <v>9999</v>
          </cell>
          <cell r="AD34">
            <v>9999</v>
          </cell>
          <cell r="AE34">
            <v>9999</v>
          </cell>
        </row>
        <row r="35">
          <cell r="O35">
            <v>6499</v>
          </cell>
          <cell r="P35">
            <v>5788</v>
          </cell>
          <cell r="Q35">
            <v>9999</v>
          </cell>
          <cell r="AD35">
            <v>9999</v>
          </cell>
          <cell r="AE35">
            <v>9999</v>
          </cell>
        </row>
        <row r="36">
          <cell r="O36">
            <v>6448</v>
          </cell>
          <cell r="P36">
            <v>9999</v>
          </cell>
          <cell r="Q36">
            <v>9999</v>
          </cell>
          <cell r="AD36">
            <v>9999</v>
          </cell>
          <cell r="AE36">
            <v>9999</v>
          </cell>
        </row>
        <row r="37">
          <cell r="O37">
            <v>9999</v>
          </cell>
          <cell r="P37">
            <v>9999</v>
          </cell>
          <cell r="Q37">
            <v>9999</v>
          </cell>
          <cell r="AD37">
            <v>9999</v>
          </cell>
          <cell r="AE37">
            <v>9999</v>
          </cell>
        </row>
        <row r="38">
          <cell r="O38">
            <v>1202</v>
          </cell>
          <cell r="P38">
            <v>1204</v>
          </cell>
          <cell r="Q38">
            <v>9999</v>
          </cell>
          <cell r="AD38">
            <v>9999</v>
          </cell>
          <cell r="AE38">
            <v>9999</v>
          </cell>
        </row>
        <row r="39">
          <cell r="O39">
            <v>5027</v>
          </cell>
          <cell r="P39">
            <v>9999</v>
          </cell>
          <cell r="Q39">
            <v>9999</v>
          </cell>
          <cell r="AD39">
            <v>9999</v>
          </cell>
          <cell r="AE39">
            <v>9999</v>
          </cell>
        </row>
        <row r="40">
          <cell r="O40">
            <v>2796</v>
          </cell>
          <cell r="P40">
            <v>2768</v>
          </cell>
          <cell r="Q40">
            <v>1827</v>
          </cell>
          <cell r="AD40">
            <v>9999</v>
          </cell>
          <cell r="AE40">
            <v>9999</v>
          </cell>
        </row>
        <row r="41">
          <cell r="O41">
            <v>5587</v>
          </cell>
          <cell r="P41">
            <v>9999</v>
          </cell>
          <cell r="Q41">
            <v>9999</v>
          </cell>
          <cell r="AD41">
            <v>9999</v>
          </cell>
          <cell r="AE41">
            <v>9999</v>
          </cell>
        </row>
        <row r="42">
          <cell r="O42">
            <v>2211</v>
          </cell>
          <cell r="P42">
            <v>9999</v>
          </cell>
          <cell r="Q42">
            <v>9999</v>
          </cell>
          <cell r="AD42">
            <v>9999</v>
          </cell>
          <cell r="AE42">
            <v>9999</v>
          </cell>
        </row>
        <row r="43">
          <cell r="O43">
            <v>9999</v>
          </cell>
          <cell r="P43">
            <v>9999</v>
          </cell>
          <cell r="Q43">
            <v>9999</v>
          </cell>
          <cell r="AD43">
            <v>9999</v>
          </cell>
          <cell r="AE43">
            <v>9999</v>
          </cell>
        </row>
        <row r="44">
          <cell r="O44">
            <v>9999</v>
          </cell>
          <cell r="P44">
            <v>9999</v>
          </cell>
          <cell r="Q44">
            <v>9999</v>
          </cell>
          <cell r="AD44">
            <v>9999</v>
          </cell>
          <cell r="AE44">
            <v>9999</v>
          </cell>
        </row>
        <row r="45">
          <cell r="O45">
            <v>2395</v>
          </cell>
          <cell r="P45">
            <v>9999</v>
          </cell>
          <cell r="Q45">
            <v>9999</v>
          </cell>
          <cell r="AD45">
            <v>9999</v>
          </cell>
          <cell r="AE45">
            <v>9999</v>
          </cell>
        </row>
        <row r="46">
          <cell r="O46">
            <v>9999</v>
          </cell>
          <cell r="P46">
            <v>9999</v>
          </cell>
          <cell r="Q46">
            <v>9999</v>
          </cell>
          <cell r="AD46">
            <v>9999</v>
          </cell>
          <cell r="AE46">
            <v>9999</v>
          </cell>
        </row>
        <row r="47">
          <cell r="O47">
            <v>1930</v>
          </cell>
          <cell r="P47">
            <v>9999</v>
          </cell>
          <cell r="Q47">
            <v>9999</v>
          </cell>
          <cell r="AD47">
            <v>9999</v>
          </cell>
          <cell r="AE47">
            <v>9999</v>
          </cell>
        </row>
        <row r="48">
          <cell r="O48">
            <v>2208</v>
          </cell>
          <cell r="P48">
            <v>5202</v>
          </cell>
          <cell r="Q48">
            <v>9999</v>
          </cell>
          <cell r="AD48">
            <v>9999</v>
          </cell>
          <cell r="AE48">
            <v>9999</v>
          </cell>
        </row>
        <row r="49">
          <cell r="O49">
            <v>1245</v>
          </cell>
          <cell r="P49">
            <v>9999</v>
          </cell>
          <cell r="Q49">
            <v>9999</v>
          </cell>
          <cell r="AD49">
            <v>9999</v>
          </cell>
          <cell r="AE49">
            <v>9999</v>
          </cell>
        </row>
        <row r="50">
          <cell r="O50">
            <v>9999</v>
          </cell>
          <cell r="P50">
            <v>9999</v>
          </cell>
          <cell r="Q50">
            <v>9999</v>
          </cell>
          <cell r="AD50">
            <v>9999</v>
          </cell>
          <cell r="AE50">
            <v>9999</v>
          </cell>
        </row>
        <row r="51">
          <cell r="O51">
            <v>9999</v>
          </cell>
          <cell r="P51">
            <v>9999</v>
          </cell>
          <cell r="Q51">
            <v>9999</v>
          </cell>
          <cell r="AD51">
            <v>9999</v>
          </cell>
          <cell r="AE51">
            <v>9999</v>
          </cell>
        </row>
        <row r="55">
          <cell r="N55">
            <v>5135</v>
          </cell>
        </row>
        <row r="56">
          <cell r="N56">
            <v>5114</v>
          </cell>
        </row>
        <row r="57">
          <cell r="N57">
            <v>5448</v>
          </cell>
        </row>
        <row r="58">
          <cell r="N58">
            <v>5103</v>
          </cell>
        </row>
        <row r="59">
          <cell r="N59">
            <v>5410</v>
          </cell>
        </row>
        <row r="60">
          <cell r="N60">
            <v>5142</v>
          </cell>
        </row>
        <row r="61">
          <cell r="N61">
            <v>5274</v>
          </cell>
        </row>
        <row r="62">
          <cell r="N62">
            <v>5560</v>
          </cell>
        </row>
        <row r="63">
          <cell r="N63">
            <v>5424</v>
          </cell>
        </row>
        <row r="64">
          <cell r="N64">
            <v>5421</v>
          </cell>
        </row>
        <row r="65">
          <cell r="N65">
            <v>5430</v>
          </cell>
        </row>
        <row r="66">
          <cell r="N66">
            <v>5431</v>
          </cell>
        </row>
        <row r="67">
          <cell r="N67">
            <v>5433</v>
          </cell>
        </row>
        <row r="68">
          <cell r="N68">
            <v>5438</v>
          </cell>
        </row>
        <row r="69">
          <cell r="N69">
            <v>5529</v>
          </cell>
        </row>
        <row r="70">
          <cell r="N70">
            <v>5559</v>
          </cell>
        </row>
        <row r="71">
          <cell r="N71">
            <v>5476</v>
          </cell>
        </row>
        <row r="72">
          <cell r="N72">
            <v>5553</v>
          </cell>
        </row>
        <row r="73">
          <cell r="N73">
            <v>5572</v>
          </cell>
        </row>
        <row r="74">
          <cell r="N74">
            <v>5574</v>
          </cell>
        </row>
        <row r="75">
          <cell r="N75">
            <v>5555</v>
          </cell>
        </row>
        <row r="76">
          <cell r="N76">
            <v>5527</v>
          </cell>
        </row>
        <row r="77">
          <cell r="N77">
            <v>5542</v>
          </cell>
        </row>
        <row r="78">
          <cell r="N78">
            <v>5543</v>
          </cell>
        </row>
        <row r="79">
          <cell r="N79">
            <v>5555</v>
          </cell>
        </row>
        <row r="80">
          <cell r="N80">
            <v>5555</v>
          </cell>
        </row>
        <row r="81">
          <cell r="N81">
            <v>5576</v>
          </cell>
        </row>
        <row r="82">
          <cell r="N82">
            <v>5577</v>
          </cell>
        </row>
        <row r="83">
          <cell r="N83">
            <v>5575</v>
          </cell>
        </row>
        <row r="84">
          <cell r="N84">
            <v>5681</v>
          </cell>
        </row>
        <row r="85">
          <cell r="N85">
            <v>5532</v>
          </cell>
        </row>
        <row r="86">
          <cell r="N86">
            <v>5526</v>
          </cell>
        </row>
        <row r="87">
          <cell r="N87">
            <v>5680</v>
          </cell>
        </row>
        <row r="88">
          <cell r="N88">
            <v>5445</v>
          </cell>
        </row>
        <row r="89">
          <cell r="N89">
            <v>5450</v>
          </cell>
        </row>
        <row r="90">
          <cell r="N90">
            <v>5531</v>
          </cell>
        </row>
        <row r="91">
          <cell r="N91">
            <v>5483</v>
          </cell>
        </row>
        <row r="92">
          <cell r="N92">
            <v>5447</v>
          </cell>
        </row>
        <row r="93">
          <cell r="N93">
            <v>5676</v>
          </cell>
        </row>
        <row r="94">
          <cell r="N94">
            <v>5681</v>
          </cell>
        </row>
        <row r="95">
          <cell r="N95">
            <v>5573</v>
          </cell>
        </row>
        <row r="96">
          <cell r="N96">
            <v>5676</v>
          </cell>
        </row>
        <row r="97">
          <cell r="N97">
            <v>5527</v>
          </cell>
        </row>
        <row r="98">
          <cell r="N98">
            <v>5457</v>
          </cell>
        </row>
        <row r="99">
          <cell r="N99">
            <v>5430</v>
          </cell>
        </row>
        <row r="100">
          <cell r="N100">
            <v>5533</v>
          </cell>
        </row>
        <row r="101">
          <cell r="N101">
            <v>5465</v>
          </cell>
        </row>
        <row r="102">
          <cell r="N102">
            <v>5465</v>
          </cell>
        </row>
        <row r="103">
          <cell r="N103">
            <v>5465</v>
          </cell>
        </row>
        <row r="104">
          <cell r="N104">
            <v>5492</v>
          </cell>
        </row>
        <row r="105">
          <cell r="N105">
            <v>5524</v>
          </cell>
        </row>
        <row r="106">
          <cell r="N106">
            <v>5522</v>
          </cell>
        </row>
        <row r="107">
          <cell r="N107">
            <v>5523</v>
          </cell>
        </row>
        <row r="108">
          <cell r="N108">
            <v>5522</v>
          </cell>
        </row>
        <row r="109">
          <cell r="N109">
            <v>5551</v>
          </cell>
        </row>
        <row r="110">
          <cell r="N110">
            <v>5552</v>
          </cell>
        </row>
        <row r="111">
          <cell r="N111">
            <v>5554</v>
          </cell>
        </row>
        <row r="112">
          <cell r="N112">
            <v>5558</v>
          </cell>
        </row>
        <row r="113">
          <cell r="N113">
            <v>5562</v>
          </cell>
        </row>
        <row r="114">
          <cell r="N114">
            <v>5534</v>
          </cell>
        </row>
        <row r="115">
          <cell r="N115">
            <v>5535</v>
          </cell>
        </row>
        <row r="116">
          <cell r="N116">
            <v>5562</v>
          </cell>
        </row>
        <row r="117">
          <cell r="N117">
            <v>5528</v>
          </cell>
        </row>
        <row r="118">
          <cell r="N118">
            <v>5544</v>
          </cell>
        </row>
        <row r="119">
          <cell r="N119">
            <v>5549</v>
          </cell>
        </row>
        <row r="120">
          <cell r="N120">
            <v>5550</v>
          </cell>
        </row>
        <row r="121">
          <cell r="N121">
            <v>5556</v>
          </cell>
        </row>
        <row r="122">
          <cell r="N122">
            <v>5545</v>
          </cell>
        </row>
        <row r="123">
          <cell r="N123">
            <v>5547</v>
          </cell>
        </row>
        <row r="124">
          <cell r="N124">
            <v>5561</v>
          </cell>
        </row>
        <row r="125">
          <cell r="N125">
            <v>5548</v>
          </cell>
        </row>
        <row r="126">
          <cell r="N126">
            <v>5546</v>
          </cell>
        </row>
        <row r="127">
          <cell r="N127">
            <v>5022</v>
          </cell>
        </row>
        <row r="128">
          <cell r="N128">
            <v>5781</v>
          </cell>
        </row>
        <row r="129">
          <cell r="N129">
            <v>5214</v>
          </cell>
        </row>
        <row r="130">
          <cell r="N130">
            <v>5215</v>
          </cell>
        </row>
        <row r="131">
          <cell r="N131">
            <v>5010</v>
          </cell>
        </row>
        <row r="132">
          <cell r="N132">
            <v>5226</v>
          </cell>
        </row>
        <row r="133">
          <cell r="N133">
            <v>5025</v>
          </cell>
        </row>
        <row r="134">
          <cell r="N134">
            <v>52264</v>
          </cell>
        </row>
        <row r="135">
          <cell r="N135">
            <v>5523</v>
          </cell>
        </row>
        <row r="136">
          <cell r="N136">
            <v>5523</v>
          </cell>
        </row>
      </sheetData>
      <sheetData sheetId="1"/>
      <sheetData sheetId="2"/>
      <sheetData sheetId="3"/>
      <sheetData sheetId="4"/>
      <sheetData sheetId="5">
        <row r="5">
          <cell r="A5">
            <v>1166</v>
          </cell>
          <cell r="H5">
            <v>5031</v>
          </cell>
        </row>
        <row r="6">
          <cell r="A6">
            <v>1140</v>
          </cell>
          <cell r="H6"/>
        </row>
        <row r="7">
          <cell r="A7">
            <v>1158</v>
          </cell>
          <cell r="H7">
            <v>5368</v>
          </cell>
        </row>
        <row r="8">
          <cell r="A8">
            <v>1280</v>
          </cell>
          <cell r="H8">
            <v>5126</v>
          </cell>
        </row>
        <row r="9">
          <cell r="A9">
            <v>1480</v>
          </cell>
          <cell r="H9">
            <v>5378</v>
          </cell>
        </row>
        <row r="10">
          <cell r="A10">
            <v>2029</v>
          </cell>
          <cell r="H10">
            <v>5041</v>
          </cell>
        </row>
        <row r="11">
          <cell r="A11"/>
          <cell r="H11">
            <v>5041</v>
          </cell>
        </row>
        <row r="12">
          <cell r="A12"/>
          <cell r="H12">
            <v>5041</v>
          </cell>
        </row>
        <row r="13">
          <cell r="A13">
            <v>2916</v>
          </cell>
          <cell r="H13">
            <v>5067</v>
          </cell>
        </row>
        <row r="14">
          <cell r="A14">
            <v>2904</v>
          </cell>
          <cell r="H14"/>
        </row>
        <row r="15">
          <cell r="A15">
            <v>2924</v>
          </cell>
          <cell r="H15">
            <v>5053</v>
          </cell>
        </row>
        <row r="16">
          <cell r="A16"/>
          <cell r="H16">
            <v>5392</v>
          </cell>
        </row>
        <row r="17">
          <cell r="A17">
            <v>1559</v>
          </cell>
          <cell r="H17">
            <v>5042</v>
          </cell>
        </row>
        <row r="18">
          <cell r="A18"/>
          <cell r="H18">
            <v>5362</v>
          </cell>
        </row>
        <row r="19">
          <cell r="A19"/>
          <cell r="H19">
            <v>5352</v>
          </cell>
        </row>
        <row r="20">
          <cell r="A20">
            <v>1533</v>
          </cell>
          <cell r="H20"/>
        </row>
        <row r="21">
          <cell r="A21">
            <v>1518</v>
          </cell>
          <cell r="H21"/>
        </row>
        <row r="22">
          <cell r="A22">
            <v>2915</v>
          </cell>
          <cell r="H22"/>
        </row>
        <row r="23">
          <cell r="A23">
            <v>2910</v>
          </cell>
          <cell r="H23">
            <v>5363</v>
          </cell>
        </row>
        <row r="24">
          <cell r="A24"/>
          <cell r="H24"/>
        </row>
        <row r="25">
          <cell r="A25"/>
          <cell r="H25">
            <v>5365</v>
          </cell>
        </row>
        <row r="26">
          <cell r="A26">
            <v>2934</v>
          </cell>
          <cell r="H26"/>
        </row>
        <row r="27">
          <cell r="A27">
            <v>2919</v>
          </cell>
          <cell r="H27"/>
        </row>
        <row r="28">
          <cell r="A28">
            <v>2914</v>
          </cell>
          <cell r="H28">
            <v>5353</v>
          </cell>
        </row>
        <row r="29">
          <cell r="A29"/>
          <cell r="H29">
            <v>5360</v>
          </cell>
        </row>
        <row r="30">
          <cell r="A30"/>
          <cell r="H30"/>
        </row>
        <row r="31">
          <cell r="A31"/>
          <cell r="H31">
            <v>5351</v>
          </cell>
        </row>
        <row r="32">
          <cell r="A32">
            <v>2818</v>
          </cell>
          <cell r="H32">
            <v>5389</v>
          </cell>
        </row>
        <row r="33">
          <cell r="A33">
            <v>1636</v>
          </cell>
          <cell r="H33">
            <v>5383</v>
          </cell>
        </row>
        <row r="34">
          <cell r="A34">
            <v>1209</v>
          </cell>
          <cell r="H34">
            <v>5088</v>
          </cell>
        </row>
        <row r="35">
          <cell r="A35">
            <v>1730</v>
          </cell>
          <cell r="H35">
            <v>5115</v>
          </cell>
        </row>
        <row r="36">
          <cell r="A36">
            <v>1176</v>
          </cell>
          <cell r="H36">
            <v>5034</v>
          </cell>
        </row>
        <row r="37">
          <cell r="A37">
            <v>1646</v>
          </cell>
          <cell r="H37">
            <v>5047</v>
          </cell>
        </row>
        <row r="38">
          <cell r="A38">
            <v>1972</v>
          </cell>
          <cell r="H38">
            <v>5036</v>
          </cell>
        </row>
        <row r="39">
          <cell r="A39">
            <v>1646</v>
          </cell>
          <cell r="H39">
            <v>5083</v>
          </cell>
        </row>
        <row r="40">
          <cell r="A40">
            <v>2831</v>
          </cell>
          <cell r="H40">
            <v>5106</v>
          </cell>
        </row>
        <row r="41">
          <cell r="A41">
            <v>2806</v>
          </cell>
          <cell r="H41"/>
        </row>
        <row r="42">
          <cell r="A42">
            <v>2808</v>
          </cell>
          <cell r="H42">
            <v>5105</v>
          </cell>
        </row>
        <row r="43">
          <cell r="A43"/>
          <cell r="H43">
            <v>5156</v>
          </cell>
        </row>
        <row r="44">
          <cell r="A44">
            <v>2021</v>
          </cell>
          <cell r="H44">
            <v>5157</v>
          </cell>
        </row>
        <row r="45">
          <cell r="A45">
            <v>1111</v>
          </cell>
          <cell r="H45">
            <v>5158</v>
          </cell>
        </row>
        <row r="46">
          <cell r="A46"/>
          <cell r="H46"/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onfiguracja"/>
      <sheetName val="Receptury "/>
      <sheetName val="Receptury_z"/>
      <sheetName val="Kalkulator mięs "/>
      <sheetName val="TPS_mięsa"/>
      <sheetName val="Kalkulator Wędzonki "/>
      <sheetName val="Plan Nadziewarki "/>
      <sheetName val="Plan Nastrzyk "/>
      <sheetName val="TPS wędzonki "/>
      <sheetName val="Klony 1"/>
      <sheetName val="Klon 2 "/>
      <sheetName val="Kalkulator uśrednianie. "/>
      <sheetName val="PLAN_P"/>
    </sheetNames>
    <sheetDataSet>
      <sheetData sheetId="0">
        <row r="2">
          <cell r="J2" t="str">
            <v>DROBIE</v>
          </cell>
        </row>
        <row r="3">
          <cell r="J3">
            <v>6354</v>
          </cell>
        </row>
        <row r="4">
          <cell r="J4">
            <v>6434</v>
          </cell>
        </row>
        <row r="5">
          <cell r="J5">
            <v>6490</v>
          </cell>
        </row>
        <row r="6">
          <cell r="J6">
            <v>6628</v>
          </cell>
        </row>
        <row r="7">
          <cell r="J7">
            <v>7035</v>
          </cell>
        </row>
        <row r="8">
          <cell r="J8">
            <v>7032</v>
          </cell>
        </row>
        <row r="9">
          <cell r="J9">
            <v>7043</v>
          </cell>
        </row>
        <row r="10">
          <cell r="J10">
            <v>7053</v>
          </cell>
        </row>
        <row r="11">
          <cell r="J11">
            <v>7055</v>
          </cell>
        </row>
        <row r="12">
          <cell r="J12">
            <v>7056</v>
          </cell>
        </row>
        <row r="13">
          <cell r="J13">
            <v>6448</v>
          </cell>
        </row>
        <row r="14">
          <cell r="J14"/>
        </row>
        <row r="15">
          <cell r="J15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onfiguracja"/>
      <sheetName val="Receptury "/>
      <sheetName val="Klony 1"/>
      <sheetName val="Receptury_z"/>
      <sheetName val="Kalkulator mięs "/>
      <sheetName val="Kalkulator Wędzonki "/>
      <sheetName val="Klon tydzień 01"/>
      <sheetName val="Kalkulator uśrednianie. "/>
      <sheetName val="Rozbiór"/>
      <sheetName val="Dane stany"/>
      <sheetName val="Plan Nastrzyk "/>
      <sheetName val="ZAKUPY wieprz."/>
      <sheetName val="Drobie"/>
      <sheetName val="PLAN_P"/>
      <sheetName val="TPS_mięsa"/>
      <sheetName val="TPS wędzonki "/>
      <sheetName val="Baza Asort"/>
      <sheetName val="Rozmrazalnia"/>
      <sheetName val="Filet i noga"/>
      <sheetName val="Arkusz1"/>
    </sheetNames>
    <sheetDataSet>
      <sheetData sheetId="0">
        <row r="2">
          <cell r="J2" t="str">
            <v>DROBIE</v>
          </cell>
        </row>
        <row r="3">
          <cell r="J3">
            <v>6354</v>
          </cell>
          <cell r="O3">
            <v>2202</v>
          </cell>
          <cell r="P3">
            <v>2212</v>
          </cell>
          <cell r="Q3">
            <v>9999</v>
          </cell>
          <cell r="AD3">
            <v>9999</v>
          </cell>
          <cell r="AE3">
            <v>9999</v>
          </cell>
        </row>
        <row r="4">
          <cell r="J4">
            <v>6434</v>
          </cell>
          <cell r="O4">
            <v>2224</v>
          </cell>
          <cell r="P4">
            <v>9999</v>
          </cell>
          <cell r="Q4">
            <v>9999</v>
          </cell>
          <cell r="AD4">
            <v>9999</v>
          </cell>
          <cell r="AE4">
            <v>9999</v>
          </cell>
        </row>
        <row r="5">
          <cell r="J5">
            <v>6490</v>
          </cell>
          <cell r="O5">
            <v>2203</v>
          </cell>
          <cell r="P5">
            <v>2213</v>
          </cell>
          <cell r="Q5">
            <v>2225</v>
          </cell>
          <cell r="AD5">
            <v>2229</v>
          </cell>
          <cell r="AE5">
            <v>2211</v>
          </cell>
        </row>
        <row r="6">
          <cell r="J6">
            <v>6628</v>
          </cell>
          <cell r="O6">
            <v>5859</v>
          </cell>
          <cell r="P6">
            <v>9999</v>
          </cell>
          <cell r="Q6">
            <v>9999</v>
          </cell>
          <cell r="AD6">
            <v>9999</v>
          </cell>
          <cell r="AE6">
            <v>9999</v>
          </cell>
        </row>
        <row r="7">
          <cell r="J7">
            <v>7035</v>
          </cell>
          <cell r="O7">
            <v>1239</v>
          </cell>
          <cell r="P7">
            <v>9999</v>
          </cell>
          <cell r="Q7">
            <v>9999</v>
          </cell>
          <cell r="AD7">
            <v>9999</v>
          </cell>
          <cell r="AE7">
            <v>9999</v>
          </cell>
        </row>
        <row r="8">
          <cell r="J8">
            <v>7032</v>
          </cell>
          <cell r="O8">
            <v>1923</v>
          </cell>
          <cell r="P8">
            <v>9999</v>
          </cell>
          <cell r="Q8">
            <v>9999</v>
          </cell>
          <cell r="AD8">
            <v>9999</v>
          </cell>
          <cell r="AE8">
            <v>9999</v>
          </cell>
        </row>
        <row r="9">
          <cell r="J9">
            <v>7043</v>
          </cell>
          <cell r="O9">
            <v>1624</v>
          </cell>
          <cell r="P9">
            <v>9999</v>
          </cell>
          <cell r="Q9">
            <v>9999</v>
          </cell>
          <cell r="AD9">
            <v>9999</v>
          </cell>
          <cell r="AE9">
            <v>9999</v>
          </cell>
        </row>
        <row r="10">
          <cell r="J10">
            <v>7053</v>
          </cell>
          <cell r="O10">
            <v>2204</v>
          </cell>
          <cell r="P10">
            <v>2214</v>
          </cell>
          <cell r="Q10">
            <v>9999</v>
          </cell>
          <cell r="AD10">
            <v>9999</v>
          </cell>
          <cell r="AE10">
            <v>9999</v>
          </cell>
        </row>
        <row r="11">
          <cell r="J11">
            <v>7055</v>
          </cell>
          <cell r="O11">
            <v>5214</v>
          </cell>
          <cell r="P11">
            <v>9999</v>
          </cell>
          <cell r="Q11">
            <v>9999</v>
          </cell>
          <cell r="AD11">
            <v>9999</v>
          </cell>
          <cell r="AE11">
            <v>9999</v>
          </cell>
        </row>
        <row r="12">
          <cell r="J12">
            <v>7056</v>
          </cell>
          <cell r="O12">
            <v>2209</v>
          </cell>
          <cell r="P12">
            <v>2222</v>
          </cell>
          <cell r="Q12">
            <v>2220</v>
          </cell>
          <cell r="AD12">
            <v>9999</v>
          </cell>
          <cell r="AE12">
            <v>9999</v>
          </cell>
        </row>
        <row r="13">
          <cell r="J13">
            <v>6448</v>
          </cell>
          <cell r="O13">
            <v>2205</v>
          </cell>
          <cell r="P13">
            <v>2197</v>
          </cell>
          <cell r="Q13">
            <v>2195</v>
          </cell>
          <cell r="AD13">
            <v>2196</v>
          </cell>
          <cell r="AE13">
            <v>9999</v>
          </cell>
        </row>
        <row r="14">
          <cell r="J14">
            <v>0</v>
          </cell>
          <cell r="O14">
            <v>5215</v>
          </cell>
          <cell r="P14">
            <v>9999</v>
          </cell>
          <cell r="Q14">
            <v>9999</v>
          </cell>
          <cell r="AD14">
            <v>9999</v>
          </cell>
          <cell r="AE14">
            <v>9999</v>
          </cell>
        </row>
        <row r="15">
          <cell r="J15">
            <v>7061</v>
          </cell>
          <cell r="O15">
            <v>2206</v>
          </cell>
          <cell r="P15">
            <v>2415</v>
          </cell>
          <cell r="Q15">
            <v>9999</v>
          </cell>
          <cell r="AD15">
            <v>9999</v>
          </cell>
          <cell r="AE15">
            <v>9999</v>
          </cell>
        </row>
        <row r="16">
          <cell r="J16">
            <v>7064</v>
          </cell>
          <cell r="O16">
            <v>5010</v>
          </cell>
          <cell r="P16">
            <v>5202</v>
          </cell>
          <cell r="Q16">
            <v>9999</v>
          </cell>
          <cell r="AD16">
            <v>9999</v>
          </cell>
          <cell r="AE16">
            <v>9999</v>
          </cell>
        </row>
        <row r="17">
          <cell r="J17">
            <v>0</v>
          </cell>
          <cell r="O17">
            <v>5856</v>
          </cell>
          <cell r="P17">
            <v>9999</v>
          </cell>
          <cell r="Q17">
            <v>9999</v>
          </cell>
          <cell r="AD17">
            <v>9999</v>
          </cell>
          <cell r="AE17">
            <v>9999</v>
          </cell>
        </row>
        <row r="18">
          <cell r="J18">
            <v>7077</v>
          </cell>
          <cell r="O18">
            <v>2314</v>
          </cell>
          <cell r="P18">
            <v>2316</v>
          </cell>
          <cell r="Q18">
            <v>2395</v>
          </cell>
          <cell r="AD18">
            <v>2303</v>
          </cell>
          <cell r="AE18">
            <v>9999</v>
          </cell>
        </row>
        <row r="19">
          <cell r="J19">
            <v>7078</v>
          </cell>
          <cell r="O19">
            <v>2003</v>
          </cell>
          <cell r="P19">
            <v>9999</v>
          </cell>
          <cell r="Q19">
            <v>9999</v>
          </cell>
          <cell r="AD19">
            <v>9999</v>
          </cell>
          <cell r="AE19">
            <v>9999</v>
          </cell>
        </row>
        <row r="20">
          <cell r="J20">
            <v>6629</v>
          </cell>
          <cell r="O20">
            <v>3020</v>
          </cell>
          <cell r="P20">
            <v>9999</v>
          </cell>
          <cell r="Q20">
            <v>9999</v>
          </cell>
          <cell r="AD20">
            <v>9999</v>
          </cell>
          <cell r="AE20">
            <v>9999</v>
          </cell>
        </row>
        <row r="21">
          <cell r="J21">
            <v>6486</v>
          </cell>
          <cell r="O21">
            <v>5226</v>
          </cell>
          <cell r="P21">
            <v>9999</v>
          </cell>
          <cell r="Q21">
            <v>9999</v>
          </cell>
          <cell r="AD21">
            <v>9999</v>
          </cell>
          <cell r="AE21">
            <v>9999</v>
          </cell>
        </row>
        <row r="22">
          <cell r="J22">
            <v>6479</v>
          </cell>
          <cell r="O22">
            <v>52264000</v>
          </cell>
          <cell r="P22">
            <v>9999</v>
          </cell>
          <cell r="Q22">
            <v>9999</v>
          </cell>
          <cell r="AD22">
            <v>9999</v>
          </cell>
          <cell r="AE22">
            <v>9999</v>
          </cell>
        </row>
        <row r="23">
          <cell r="J23">
            <v>6599</v>
          </cell>
          <cell r="O23">
            <v>2190</v>
          </cell>
          <cell r="P23">
            <v>9999</v>
          </cell>
          <cell r="Q23">
            <v>9999</v>
          </cell>
          <cell r="AD23">
            <v>9999</v>
          </cell>
          <cell r="AE23">
            <v>9999</v>
          </cell>
        </row>
        <row r="24">
          <cell r="J24">
            <v>6579</v>
          </cell>
          <cell r="O24">
            <v>2223</v>
          </cell>
          <cell r="P24">
            <v>9999</v>
          </cell>
          <cell r="Q24">
            <v>9999</v>
          </cell>
          <cell r="AD24">
            <v>9999</v>
          </cell>
          <cell r="AE24">
            <v>9999</v>
          </cell>
        </row>
        <row r="25">
          <cell r="J25">
            <v>6699</v>
          </cell>
          <cell r="O25">
            <v>5025</v>
          </cell>
          <cell r="P25">
            <v>9999</v>
          </cell>
          <cell r="Q25">
            <v>9999</v>
          </cell>
          <cell r="AD25">
            <v>9999</v>
          </cell>
          <cell r="AE25">
            <v>9999</v>
          </cell>
        </row>
        <row r="26">
          <cell r="J26">
            <v>7910</v>
          </cell>
          <cell r="O26">
            <v>5022</v>
          </cell>
          <cell r="P26">
            <v>9999</v>
          </cell>
          <cell r="Q26">
            <v>9999</v>
          </cell>
          <cell r="AD26">
            <v>9999</v>
          </cell>
          <cell r="AE26">
            <v>9999</v>
          </cell>
        </row>
        <row r="27">
          <cell r="J27">
            <v>7920</v>
          </cell>
          <cell r="O27">
            <v>5209</v>
          </cell>
          <cell r="P27">
            <v>9999</v>
          </cell>
          <cell r="Q27">
            <v>9999</v>
          </cell>
          <cell r="AD27">
            <v>9999</v>
          </cell>
          <cell r="AE27">
            <v>9999</v>
          </cell>
        </row>
        <row r="28">
          <cell r="J28">
            <v>7930</v>
          </cell>
          <cell r="O28">
            <v>1787</v>
          </cell>
          <cell r="P28">
            <v>5161</v>
          </cell>
          <cell r="Q28">
            <v>1788</v>
          </cell>
          <cell r="AD28">
            <v>9999</v>
          </cell>
          <cell r="AE28">
            <v>9999</v>
          </cell>
        </row>
        <row r="29">
          <cell r="J29">
            <v>7081</v>
          </cell>
          <cell r="O29">
            <v>5781</v>
          </cell>
          <cell r="P29">
            <v>9999</v>
          </cell>
          <cell r="Q29">
            <v>9999</v>
          </cell>
          <cell r="AD29">
            <v>9999</v>
          </cell>
          <cell r="AE29">
            <v>9999</v>
          </cell>
        </row>
        <row r="30">
          <cell r="J30">
            <v>5696</v>
          </cell>
          <cell r="O30">
            <v>3010</v>
          </cell>
          <cell r="P30">
            <v>3014</v>
          </cell>
          <cell r="Q30">
            <v>3013</v>
          </cell>
          <cell r="AD30">
            <v>3019</v>
          </cell>
          <cell r="AE30">
            <v>9999</v>
          </cell>
        </row>
        <row r="31">
          <cell r="O31">
            <v>3009</v>
          </cell>
          <cell r="P31">
            <v>9999</v>
          </cell>
          <cell r="Q31">
            <v>9999</v>
          </cell>
          <cell r="AD31">
            <v>9999</v>
          </cell>
          <cell r="AE31">
            <v>9999</v>
          </cell>
        </row>
        <row r="32">
          <cell r="O32">
            <v>5304</v>
          </cell>
          <cell r="P32">
            <v>3004</v>
          </cell>
          <cell r="Q32">
            <v>9999</v>
          </cell>
          <cell r="AD32">
            <v>9999</v>
          </cell>
          <cell r="AE32">
            <v>9999</v>
          </cell>
        </row>
        <row r="33">
          <cell r="O33">
            <v>3015</v>
          </cell>
          <cell r="P33">
            <v>5306</v>
          </cell>
          <cell r="Q33">
            <v>9999</v>
          </cell>
          <cell r="AD33">
            <v>9999</v>
          </cell>
          <cell r="AE33">
            <v>9999</v>
          </cell>
        </row>
        <row r="34">
          <cell r="O34">
            <v>3008</v>
          </cell>
          <cell r="P34">
            <v>9999</v>
          </cell>
          <cell r="Q34">
            <v>9999</v>
          </cell>
          <cell r="AD34">
            <v>9999</v>
          </cell>
          <cell r="AE34">
            <v>9999</v>
          </cell>
        </row>
        <row r="35">
          <cell r="O35">
            <v>6499</v>
          </cell>
          <cell r="P35">
            <v>6599</v>
          </cell>
          <cell r="Q35">
            <v>9999</v>
          </cell>
          <cell r="AD35">
            <v>9999</v>
          </cell>
          <cell r="AE35">
            <v>9999</v>
          </cell>
        </row>
        <row r="36">
          <cell r="O36">
            <v>6448</v>
          </cell>
          <cell r="P36">
            <v>9999</v>
          </cell>
          <cell r="Q36">
            <v>9999</v>
          </cell>
          <cell r="AD36">
            <v>9999</v>
          </cell>
          <cell r="AE36">
            <v>9999</v>
          </cell>
        </row>
        <row r="37">
          <cell r="O37">
            <v>5788</v>
          </cell>
          <cell r="P37">
            <v>9999</v>
          </cell>
          <cell r="Q37">
            <v>9999</v>
          </cell>
          <cell r="AD37">
            <v>9999</v>
          </cell>
          <cell r="AE37">
            <v>9999</v>
          </cell>
        </row>
        <row r="38">
          <cell r="O38">
            <v>1202</v>
          </cell>
          <cell r="P38">
            <v>1204</v>
          </cell>
          <cell r="Q38">
            <v>1316</v>
          </cell>
          <cell r="AD38">
            <v>1315</v>
          </cell>
          <cell r="AE38">
            <v>9999</v>
          </cell>
        </row>
        <row r="39">
          <cell r="O39">
            <v>5027</v>
          </cell>
          <cell r="P39">
            <v>9999</v>
          </cell>
          <cell r="Q39">
            <v>9999</v>
          </cell>
          <cell r="AD39">
            <v>9999</v>
          </cell>
          <cell r="AE39">
            <v>9999</v>
          </cell>
        </row>
        <row r="40">
          <cell r="O40">
            <v>2796</v>
          </cell>
          <cell r="P40">
            <v>2768</v>
          </cell>
          <cell r="Q40">
            <v>1827</v>
          </cell>
          <cell r="AD40">
            <v>9999</v>
          </cell>
          <cell r="AE40">
            <v>9999</v>
          </cell>
        </row>
        <row r="41">
          <cell r="O41">
            <v>2231</v>
          </cell>
          <cell r="P41">
            <v>9999</v>
          </cell>
          <cell r="Q41">
            <v>9999</v>
          </cell>
          <cell r="AD41">
            <v>9999</v>
          </cell>
          <cell r="AE41">
            <v>9999</v>
          </cell>
        </row>
        <row r="42">
          <cell r="O42">
            <v>2194</v>
          </cell>
          <cell r="P42">
            <v>9999</v>
          </cell>
          <cell r="Q42">
            <v>9999</v>
          </cell>
          <cell r="AD42">
            <v>9999</v>
          </cell>
          <cell r="AE42">
            <v>9999</v>
          </cell>
        </row>
        <row r="43">
          <cell r="O43">
            <v>9999</v>
          </cell>
          <cell r="P43">
            <v>9999</v>
          </cell>
          <cell r="Q43">
            <v>9999</v>
          </cell>
          <cell r="AD43">
            <v>9999</v>
          </cell>
          <cell r="AE43">
            <v>9999</v>
          </cell>
        </row>
        <row r="44">
          <cell r="O44">
            <v>9999</v>
          </cell>
          <cell r="P44">
            <v>9999</v>
          </cell>
          <cell r="Q44">
            <v>9999</v>
          </cell>
          <cell r="AD44">
            <v>9999</v>
          </cell>
          <cell r="AE44">
            <v>9999</v>
          </cell>
        </row>
        <row r="45">
          <cell r="O45">
            <v>2395</v>
          </cell>
          <cell r="P45">
            <v>9999</v>
          </cell>
          <cell r="Q45">
            <v>9999</v>
          </cell>
          <cell r="AD45">
            <v>9999</v>
          </cell>
          <cell r="AE45">
            <v>9999</v>
          </cell>
        </row>
        <row r="46">
          <cell r="O46">
            <v>2209</v>
          </cell>
          <cell r="P46">
            <v>1923</v>
          </cell>
          <cell r="Q46">
            <v>2222</v>
          </cell>
          <cell r="AD46">
            <v>2220</v>
          </cell>
          <cell r="AE46">
            <v>5209</v>
          </cell>
        </row>
        <row r="47">
          <cell r="O47">
            <v>3043</v>
          </cell>
          <cell r="P47">
            <v>9999</v>
          </cell>
          <cell r="Q47">
            <v>9999</v>
          </cell>
          <cell r="AD47">
            <v>9999</v>
          </cell>
          <cell r="AE47">
            <v>9999</v>
          </cell>
        </row>
        <row r="48">
          <cell r="O48">
            <v>2208</v>
          </cell>
          <cell r="P48">
            <v>9999</v>
          </cell>
          <cell r="Q48">
            <v>9999</v>
          </cell>
          <cell r="AD48">
            <v>9999</v>
          </cell>
          <cell r="AE48">
            <v>9999</v>
          </cell>
        </row>
        <row r="49">
          <cell r="O49">
            <v>1245</v>
          </cell>
          <cell r="P49">
            <v>9999</v>
          </cell>
          <cell r="Q49">
            <v>9999</v>
          </cell>
          <cell r="AD49">
            <v>9999</v>
          </cell>
          <cell r="AE49">
            <v>9999</v>
          </cell>
        </row>
        <row r="50">
          <cell r="O50">
            <v>3016</v>
          </cell>
          <cell r="P50">
            <v>5306</v>
          </cell>
          <cell r="Q50">
            <v>3011</v>
          </cell>
          <cell r="AD50">
            <v>9999</v>
          </cell>
          <cell r="AE50">
            <v>9999</v>
          </cell>
        </row>
        <row r="51">
          <cell r="O51">
            <v>3012</v>
          </cell>
          <cell r="P51">
            <v>9999</v>
          </cell>
          <cell r="Q51">
            <v>9999</v>
          </cell>
          <cell r="AD51">
            <v>9999</v>
          </cell>
          <cell r="AE51">
            <v>9999</v>
          </cell>
        </row>
        <row r="52">
          <cell r="O52">
            <v>30110612</v>
          </cell>
          <cell r="P52">
            <v>9999</v>
          </cell>
          <cell r="Q52">
            <v>9999</v>
          </cell>
          <cell r="AD52">
            <v>9999</v>
          </cell>
          <cell r="AE52">
            <v>9999</v>
          </cell>
        </row>
        <row r="53">
          <cell r="O53">
            <v>3006</v>
          </cell>
          <cell r="P53">
            <v>9999</v>
          </cell>
          <cell r="Q53">
            <v>9999</v>
          </cell>
          <cell r="AD53">
            <v>9999</v>
          </cell>
          <cell r="AE53">
            <v>9999</v>
          </cell>
        </row>
        <row r="54">
          <cell r="O54">
            <v>9999</v>
          </cell>
          <cell r="P54">
            <v>9999</v>
          </cell>
          <cell r="Q54">
            <v>9999</v>
          </cell>
          <cell r="AD54">
            <v>9999</v>
          </cell>
          <cell r="AE54">
            <v>9999</v>
          </cell>
        </row>
        <row r="58">
          <cell r="N58">
            <v>5135</v>
          </cell>
        </row>
        <row r="59">
          <cell r="N59">
            <v>5135</v>
          </cell>
        </row>
        <row r="60">
          <cell r="N60">
            <v>5114</v>
          </cell>
        </row>
        <row r="61">
          <cell r="N61">
            <v>5448</v>
          </cell>
        </row>
        <row r="62">
          <cell r="N62">
            <v>5103</v>
          </cell>
        </row>
        <row r="63">
          <cell r="N63">
            <v>5410</v>
          </cell>
        </row>
        <row r="64">
          <cell r="N64">
            <v>5142</v>
          </cell>
        </row>
        <row r="65">
          <cell r="N65">
            <v>5274</v>
          </cell>
        </row>
        <row r="66">
          <cell r="N66">
            <v>5560</v>
          </cell>
        </row>
        <row r="67">
          <cell r="N67">
            <v>5424</v>
          </cell>
        </row>
        <row r="68">
          <cell r="N68">
            <v>5421</v>
          </cell>
        </row>
        <row r="69">
          <cell r="N69">
            <v>5430</v>
          </cell>
        </row>
        <row r="70">
          <cell r="N70">
            <v>5431</v>
          </cell>
        </row>
        <row r="71">
          <cell r="N71">
            <v>5433</v>
          </cell>
        </row>
        <row r="72">
          <cell r="N72">
            <v>5438</v>
          </cell>
        </row>
        <row r="73">
          <cell r="N73">
            <v>5529</v>
          </cell>
        </row>
        <row r="74">
          <cell r="N74">
            <v>5559</v>
          </cell>
        </row>
        <row r="75">
          <cell r="N75">
            <v>5476</v>
          </cell>
        </row>
        <row r="76">
          <cell r="N76">
            <v>5553</v>
          </cell>
        </row>
        <row r="77">
          <cell r="N77">
            <v>5572</v>
          </cell>
        </row>
        <row r="78">
          <cell r="N78">
            <v>5574</v>
          </cell>
        </row>
        <row r="79">
          <cell r="N79">
            <v>5555</v>
          </cell>
        </row>
        <row r="80">
          <cell r="N80">
            <v>5527</v>
          </cell>
        </row>
        <row r="81">
          <cell r="N81">
            <v>5542</v>
          </cell>
        </row>
        <row r="82">
          <cell r="N82">
            <v>5543</v>
          </cell>
        </row>
        <row r="83">
          <cell r="N83">
            <v>5555</v>
          </cell>
        </row>
        <row r="84">
          <cell r="N84">
            <v>5555</v>
          </cell>
        </row>
        <row r="85">
          <cell r="N85">
            <v>5576</v>
          </cell>
        </row>
        <row r="86">
          <cell r="N86">
            <v>5577</v>
          </cell>
        </row>
        <row r="87">
          <cell r="N87">
            <v>5575</v>
          </cell>
        </row>
        <row r="88">
          <cell r="N88">
            <v>5681</v>
          </cell>
        </row>
        <row r="89">
          <cell r="N89">
            <v>5532</v>
          </cell>
        </row>
        <row r="90">
          <cell r="N90">
            <v>5526</v>
          </cell>
        </row>
        <row r="91">
          <cell r="N91">
            <v>5680</v>
          </cell>
        </row>
        <row r="92">
          <cell r="N92">
            <v>5445</v>
          </cell>
        </row>
        <row r="93">
          <cell r="N93">
            <v>5450</v>
          </cell>
        </row>
        <row r="94">
          <cell r="N94">
            <v>5531</v>
          </cell>
        </row>
        <row r="95">
          <cell r="N95">
            <v>5483</v>
          </cell>
        </row>
        <row r="96">
          <cell r="N96">
            <v>5447</v>
          </cell>
        </row>
        <row r="97">
          <cell r="N97">
            <v>5592</v>
          </cell>
        </row>
        <row r="98">
          <cell r="N98">
            <v>5694</v>
          </cell>
        </row>
        <row r="99">
          <cell r="N99">
            <v>5601</v>
          </cell>
        </row>
        <row r="100">
          <cell r="N100">
            <v>5305</v>
          </cell>
        </row>
        <row r="101">
          <cell r="N101">
            <v>5676</v>
          </cell>
        </row>
        <row r="102">
          <cell r="N102">
            <v>5681</v>
          </cell>
        </row>
        <row r="103">
          <cell r="N103">
            <v>5573</v>
          </cell>
        </row>
        <row r="104">
          <cell r="N104">
            <v>5676</v>
          </cell>
        </row>
        <row r="105">
          <cell r="N105">
            <v>5527</v>
          </cell>
        </row>
        <row r="106">
          <cell r="N106">
            <v>5457</v>
          </cell>
        </row>
        <row r="107">
          <cell r="N107">
            <v>5696</v>
          </cell>
        </row>
        <row r="108">
          <cell r="N108">
            <v>5430</v>
          </cell>
        </row>
        <row r="109">
          <cell r="N109">
            <v>5595</v>
          </cell>
        </row>
        <row r="110">
          <cell r="N110">
            <v>5533</v>
          </cell>
        </row>
        <row r="111">
          <cell r="N111">
            <v>5465</v>
          </cell>
        </row>
        <row r="112">
          <cell r="N112">
            <v>5465</v>
          </cell>
        </row>
        <row r="113">
          <cell r="N113">
            <v>5465</v>
          </cell>
        </row>
        <row r="114">
          <cell r="N114">
            <v>5492</v>
          </cell>
        </row>
        <row r="115">
          <cell r="N115">
            <v>5524</v>
          </cell>
        </row>
        <row r="116">
          <cell r="N116">
            <v>5522</v>
          </cell>
        </row>
        <row r="117">
          <cell r="N117">
            <v>5523</v>
          </cell>
        </row>
        <row r="118">
          <cell r="N118">
            <v>5522</v>
          </cell>
        </row>
        <row r="119">
          <cell r="N119">
            <v>5551</v>
          </cell>
        </row>
        <row r="120">
          <cell r="N120">
            <v>5552</v>
          </cell>
        </row>
        <row r="121">
          <cell r="N121">
            <v>5554</v>
          </cell>
        </row>
        <row r="122">
          <cell r="N122">
            <v>5558</v>
          </cell>
        </row>
        <row r="123">
          <cell r="N123">
            <v>5562</v>
          </cell>
        </row>
        <row r="124">
          <cell r="N124">
            <v>5534</v>
          </cell>
        </row>
        <row r="125">
          <cell r="N125">
            <v>5535</v>
          </cell>
        </row>
        <row r="126">
          <cell r="N126">
            <v>5562</v>
          </cell>
        </row>
        <row r="127">
          <cell r="N127">
            <v>5523</v>
          </cell>
        </row>
        <row r="128">
          <cell r="N128">
            <v>5552</v>
          </cell>
        </row>
        <row r="129">
          <cell r="N129">
            <v>5692</v>
          </cell>
        </row>
        <row r="130">
          <cell r="N130">
            <v>5691</v>
          </cell>
        </row>
        <row r="131">
          <cell r="N131">
            <v>5693</v>
          </cell>
        </row>
        <row r="132">
          <cell r="N132">
            <v>5695</v>
          </cell>
        </row>
        <row r="133">
          <cell r="N133">
            <v>5528</v>
          </cell>
        </row>
        <row r="134">
          <cell r="N134">
            <v>5544</v>
          </cell>
        </row>
        <row r="135">
          <cell r="N135">
            <v>5594</v>
          </cell>
        </row>
        <row r="136">
          <cell r="N136">
            <v>5593</v>
          </cell>
        </row>
        <row r="137">
          <cell r="N137">
            <v>5600</v>
          </cell>
        </row>
        <row r="138">
          <cell r="N138">
            <v>5600</v>
          </cell>
        </row>
        <row r="139">
          <cell r="N139">
            <v>5549</v>
          </cell>
        </row>
        <row r="140">
          <cell r="N140">
            <v>5550</v>
          </cell>
        </row>
        <row r="141">
          <cell r="N141">
            <v>5556</v>
          </cell>
        </row>
        <row r="142">
          <cell r="N142">
            <v>5545</v>
          </cell>
        </row>
        <row r="143">
          <cell r="N143">
            <v>5547</v>
          </cell>
        </row>
        <row r="144">
          <cell r="N144">
            <v>5561</v>
          </cell>
        </row>
        <row r="145">
          <cell r="N145">
            <v>5548</v>
          </cell>
        </row>
      </sheetData>
      <sheetData sheetId="1" refreshError="1"/>
      <sheetData sheetId="2" refreshError="1"/>
      <sheetData sheetId="3" refreshError="1"/>
      <sheetData sheetId="4">
        <row r="6">
          <cell r="K6">
            <v>0</v>
          </cell>
          <cell r="L6">
            <v>0</v>
          </cell>
        </row>
        <row r="7">
          <cell r="K7">
            <v>1632.5</v>
          </cell>
          <cell r="L7">
            <v>0</v>
          </cell>
        </row>
        <row r="8">
          <cell r="K8">
            <v>4056</v>
          </cell>
          <cell r="L8">
            <v>4000</v>
          </cell>
        </row>
        <row r="9">
          <cell r="K9">
            <v>522.5</v>
          </cell>
          <cell r="L9">
            <v>0</v>
          </cell>
        </row>
        <row r="10">
          <cell r="K10">
            <v>471</v>
          </cell>
          <cell r="L10">
            <v>2000</v>
          </cell>
        </row>
        <row r="11">
          <cell r="K11">
            <v>2312</v>
          </cell>
          <cell r="L11">
            <v>0</v>
          </cell>
        </row>
        <row r="12">
          <cell r="K12">
            <v>2565.5</v>
          </cell>
          <cell r="L12">
            <v>0</v>
          </cell>
        </row>
        <row r="13">
          <cell r="K13">
            <v>0</v>
          </cell>
          <cell r="L13">
            <v>0</v>
          </cell>
        </row>
        <row r="14">
          <cell r="K14">
            <v>15865.5</v>
          </cell>
          <cell r="L14">
            <v>0</v>
          </cell>
        </row>
        <row r="15">
          <cell r="K15">
            <v>4644.5</v>
          </cell>
          <cell r="L15">
            <v>0</v>
          </cell>
        </row>
        <row r="16">
          <cell r="K16">
            <v>4039</v>
          </cell>
          <cell r="L16">
            <v>0</v>
          </cell>
        </row>
        <row r="17">
          <cell r="K17">
            <v>3544.5</v>
          </cell>
          <cell r="L17">
            <v>6000</v>
          </cell>
        </row>
        <row r="18">
          <cell r="K18">
            <v>25271.5</v>
          </cell>
          <cell r="L18">
            <v>0</v>
          </cell>
        </row>
        <row r="19">
          <cell r="K19">
            <v>2030</v>
          </cell>
          <cell r="L19">
            <v>1000</v>
          </cell>
        </row>
        <row r="20">
          <cell r="K20">
            <v>590.5</v>
          </cell>
          <cell r="L20">
            <v>1700</v>
          </cell>
        </row>
        <row r="21">
          <cell r="K21">
            <v>1508</v>
          </cell>
          <cell r="L21">
            <v>0</v>
          </cell>
        </row>
        <row r="22">
          <cell r="K22">
            <v>5300</v>
          </cell>
          <cell r="L22">
            <v>2000</v>
          </cell>
        </row>
        <row r="23">
          <cell r="K23">
            <v>2063.5</v>
          </cell>
          <cell r="L23">
            <v>3000</v>
          </cell>
        </row>
        <row r="24">
          <cell r="K24">
            <v>1950.5</v>
          </cell>
          <cell r="L24">
            <v>0</v>
          </cell>
        </row>
        <row r="25">
          <cell r="K25">
            <v>17185.5</v>
          </cell>
          <cell r="L25">
            <v>0</v>
          </cell>
        </row>
        <row r="26">
          <cell r="K26">
            <v>550.5</v>
          </cell>
          <cell r="L26">
            <v>2000</v>
          </cell>
        </row>
        <row r="27">
          <cell r="K27">
            <v>1523</v>
          </cell>
          <cell r="L27">
            <v>0</v>
          </cell>
        </row>
        <row r="28">
          <cell r="K28">
            <v>0</v>
          </cell>
          <cell r="L28">
            <v>0</v>
          </cell>
        </row>
        <row r="29">
          <cell r="K29">
            <v>3136.5</v>
          </cell>
          <cell r="L29">
            <v>2500</v>
          </cell>
        </row>
        <row r="30">
          <cell r="K30">
            <v>3333.5</v>
          </cell>
          <cell r="L30">
            <v>0</v>
          </cell>
        </row>
        <row r="31">
          <cell r="K31">
            <v>1623</v>
          </cell>
          <cell r="L31">
            <v>4000</v>
          </cell>
        </row>
        <row r="32">
          <cell r="K32">
            <v>7857.5</v>
          </cell>
          <cell r="L32">
            <v>0</v>
          </cell>
        </row>
        <row r="33">
          <cell r="K33">
            <v>6411</v>
          </cell>
          <cell r="L33">
            <v>0</v>
          </cell>
        </row>
        <row r="34">
          <cell r="K34">
            <v>0</v>
          </cell>
          <cell r="L34">
            <v>0</v>
          </cell>
        </row>
        <row r="35">
          <cell r="K35">
            <v>0</v>
          </cell>
          <cell r="L35">
            <v>0</v>
          </cell>
        </row>
        <row r="36">
          <cell r="K36">
            <v>0</v>
          </cell>
          <cell r="L36">
            <v>0</v>
          </cell>
        </row>
        <row r="37">
          <cell r="K37">
            <v>0</v>
          </cell>
          <cell r="L37">
            <v>0</v>
          </cell>
        </row>
        <row r="38">
          <cell r="K38">
            <v>0</v>
          </cell>
          <cell r="L38">
            <v>0</v>
          </cell>
        </row>
        <row r="39">
          <cell r="K39">
            <v>16928</v>
          </cell>
          <cell r="L39">
            <v>0</v>
          </cell>
        </row>
        <row r="40">
          <cell r="K40">
            <v>0</v>
          </cell>
          <cell r="L40">
            <v>0</v>
          </cell>
        </row>
        <row r="41">
          <cell r="K41">
            <v>0</v>
          </cell>
          <cell r="L41">
            <v>0</v>
          </cell>
        </row>
        <row r="42">
          <cell r="K42">
            <v>710</v>
          </cell>
          <cell r="L42">
            <v>0</v>
          </cell>
        </row>
        <row r="43">
          <cell r="K43">
            <v>0</v>
          </cell>
          <cell r="L43">
            <v>0</v>
          </cell>
        </row>
        <row r="44">
          <cell r="K44">
            <v>0</v>
          </cell>
          <cell r="L44">
            <v>0</v>
          </cell>
        </row>
        <row r="45">
          <cell r="K45">
            <v>787.5</v>
          </cell>
          <cell r="L45">
            <v>0</v>
          </cell>
        </row>
        <row r="46">
          <cell r="K46">
            <v>165</v>
          </cell>
          <cell r="L46">
            <v>0</v>
          </cell>
        </row>
        <row r="47">
          <cell r="K47">
            <v>0</v>
          </cell>
          <cell r="L47">
            <v>0</v>
          </cell>
        </row>
        <row r="48">
          <cell r="K48">
            <v>721</v>
          </cell>
          <cell r="L48">
            <v>0</v>
          </cell>
        </row>
        <row r="49">
          <cell r="K49">
            <v>882</v>
          </cell>
          <cell r="L49">
            <v>0</v>
          </cell>
        </row>
        <row r="50">
          <cell r="K50">
            <v>3631</v>
          </cell>
          <cell r="L50">
            <v>0</v>
          </cell>
        </row>
        <row r="51">
          <cell r="K51">
            <v>0</v>
          </cell>
          <cell r="L51">
            <v>0</v>
          </cell>
        </row>
      </sheetData>
      <sheetData sheetId="5">
        <row r="5">
          <cell r="A5">
            <v>1166</v>
          </cell>
          <cell r="H5">
            <v>5031</v>
          </cell>
        </row>
        <row r="6">
          <cell r="A6">
            <v>1140</v>
          </cell>
        </row>
        <row r="7">
          <cell r="A7">
            <v>1158</v>
          </cell>
          <cell r="H7">
            <v>5368</v>
          </cell>
        </row>
        <row r="8">
          <cell r="A8">
            <v>1280</v>
          </cell>
          <cell r="H8">
            <v>5126</v>
          </cell>
        </row>
        <row r="9">
          <cell r="A9">
            <v>1480</v>
          </cell>
          <cell r="H9">
            <v>5378</v>
          </cell>
        </row>
        <row r="10">
          <cell r="A10">
            <v>2029</v>
          </cell>
          <cell r="H10">
            <v>5041</v>
          </cell>
        </row>
        <row r="11">
          <cell r="H11">
            <v>5041</v>
          </cell>
        </row>
        <row r="12">
          <cell r="H12">
            <v>5041</v>
          </cell>
        </row>
        <row r="13">
          <cell r="A13">
            <v>2916</v>
          </cell>
          <cell r="H13">
            <v>5067</v>
          </cell>
        </row>
        <row r="14">
          <cell r="A14">
            <v>2904</v>
          </cell>
        </row>
        <row r="15">
          <cell r="A15">
            <v>2924</v>
          </cell>
          <cell r="H15">
            <v>5053</v>
          </cell>
        </row>
        <row r="16">
          <cell r="H16">
            <v>5392</v>
          </cell>
        </row>
        <row r="17">
          <cell r="A17">
            <v>1559</v>
          </cell>
          <cell r="H17">
            <v>5042</v>
          </cell>
        </row>
        <row r="18">
          <cell r="H18">
            <v>5362</v>
          </cell>
        </row>
        <row r="19">
          <cell r="H19">
            <v>5352</v>
          </cell>
        </row>
        <row r="20">
          <cell r="A20">
            <v>1533</v>
          </cell>
        </row>
        <row r="21">
          <cell r="A21">
            <v>1518</v>
          </cell>
        </row>
        <row r="22">
          <cell r="A22">
            <v>2915</v>
          </cell>
        </row>
        <row r="23">
          <cell r="A23">
            <v>2813</v>
          </cell>
          <cell r="H23">
            <v>5152</v>
          </cell>
        </row>
        <row r="24">
          <cell r="A24">
            <v>2941</v>
          </cell>
        </row>
        <row r="25">
          <cell r="A25">
            <v>2910</v>
          </cell>
          <cell r="H25">
            <v>5363</v>
          </cell>
        </row>
        <row r="27">
          <cell r="H27">
            <v>5365</v>
          </cell>
        </row>
        <row r="28">
          <cell r="A28">
            <v>2934</v>
          </cell>
        </row>
        <row r="29">
          <cell r="A29">
            <v>2919</v>
          </cell>
        </row>
        <row r="30">
          <cell r="A30">
            <v>2914</v>
          </cell>
          <cell r="H30">
            <v>5353</v>
          </cell>
        </row>
        <row r="31">
          <cell r="H31">
            <v>5360</v>
          </cell>
        </row>
        <row r="33">
          <cell r="A33">
            <v>2061</v>
          </cell>
          <cell r="H33">
            <v>5351</v>
          </cell>
        </row>
        <row r="34">
          <cell r="A34">
            <v>2818</v>
          </cell>
          <cell r="H34">
            <v>5389</v>
          </cell>
        </row>
        <row r="35">
          <cell r="A35">
            <v>1636</v>
          </cell>
          <cell r="H35">
            <v>5383</v>
          </cell>
        </row>
        <row r="36">
          <cell r="A36">
            <v>2801</v>
          </cell>
          <cell r="H36">
            <v>5151</v>
          </cell>
        </row>
        <row r="37">
          <cell r="A37">
            <v>1209</v>
          </cell>
          <cell r="H37">
            <v>5088</v>
          </cell>
        </row>
        <row r="38">
          <cell r="A38">
            <v>1730</v>
          </cell>
          <cell r="H38">
            <v>5115</v>
          </cell>
        </row>
        <row r="39">
          <cell r="H39">
            <v>5089</v>
          </cell>
        </row>
        <row r="40">
          <cell r="A40">
            <v>1176</v>
          </cell>
          <cell r="H40">
            <v>5034</v>
          </cell>
        </row>
        <row r="41">
          <cell r="A41">
            <v>1646</v>
          </cell>
          <cell r="H41">
            <v>5047</v>
          </cell>
        </row>
        <row r="42">
          <cell r="A42">
            <v>1972</v>
          </cell>
          <cell r="H42">
            <v>5036</v>
          </cell>
        </row>
        <row r="43">
          <cell r="A43">
            <v>1646</v>
          </cell>
          <cell r="H43">
            <v>5083</v>
          </cell>
        </row>
        <row r="44">
          <cell r="A44">
            <v>2831</v>
          </cell>
          <cell r="H44">
            <v>5106</v>
          </cell>
        </row>
        <row r="45">
          <cell r="A45">
            <v>2806</v>
          </cell>
        </row>
        <row r="46">
          <cell r="A46">
            <v>2808</v>
          </cell>
          <cell r="H46">
            <v>5105</v>
          </cell>
        </row>
        <row r="47">
          <cell r="H47">
            <v>5156</v>
          </cell>
        </row>
        <row r="48">
          <cell r="A48">
            <v>2021</v>
          </cell>
          <cell r="H48">
            <v>5157</v>
          </cell>
        </row>
        <row r="49">
          <cell r="A49">
            <v>1111</v>
          </cell>
          <cell r="H49">
            <v>5158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5">
          <cell r="B5">
            <v>6001</v>
          </cell>
          <cell r="H5">
            <v>0</v>
          </cell>
          <cell r="I5">
            <v>0</v>
          </cell>
          <cell r="J5">
            <v>0</v>
          </cell>
        </row>
        <row r="6">
          <cell r="B6">
            <v>6003</v>
          </cell>
          <cell r="H6">
            <v>0</v>
          </cell>
          <cell r="I6">
            <v>0</v>
          </cell>
          <cell r="J6">
            <v>2.6</v>
          </cell>
        </row>
        <row r="7">
          <cell r="B7">
            <v>6005</v>
          </cell>
          <cell r="H7">
            <v>0</v>
          </cell>
          <cell r="I7">
            <v>0</v>
          </cell>
          <cell r="J7">
            <v>0</v>
          </cell>
        </row>
        <row r="8">
          <cell r="B8">
            <v>6006</v>
          </cell>
          <cell r="H8">
            <v>0</v>
          </cell>
          <cell r="I8">
            <v>0</v>
          </cell>
          <cell r="J8">
            <v>0</v>
          </cell>
        </row>
        <row r="9">
          <cell r="B9">
            <v>6007</v>
          </cell>
          <cell r="H9">
            <v>0</v>
          </cell>
          <cell r="I9">
            <v>0</v>
          </cell>
          <cell r="J9">
            <v>0</v>
          </cell>
        </row>
        <row r="10">
          <cell r="B10">
            <v>6008</v>
          </cell>
          <cell r="H10">
            <v>0</v>
          </cell>
          <cell r="I10">
            <v>0</v>
          </cell>
          <cell r="J10">
            <v>0</v>
          </cell>
        </row>
        <row r="11">
          <cell r="B11">
            <v>6066</v>
          </cell>
          <cell r="H11">
            <v>0</v>
          </cell>
          <cell r="I11">
            <v>0</v>
          </cell>
          <cell r="J11">
            <v>0</v>
          </cell>
        </row>
        <row r="12">
          <cell r="B12">
            <v>6067</v>
          </cell>
          <cell r="H12">
            <v>0</v>
          </cell>
          <cell r="I12">
            <v>0</v>
          </cell>
          <cell r="J12">
            <v>0</v>
          </cell>
        </row>
        <row r="13">
          <cell r="B13">
            <v>6069</v>
          </cell>
          <cell r="H13">
            <v>0</v>
          </cell>
          <cell r="I13">
            <v>0</v>
          </cell>
          <cell r="J13">
            <v>0</v>
          </cell>
        </row>
        <row r="14">
          <cell r="B14">
            <v>6068</v>
          </cell>
          <cell r="H14">
            <v>0</v>
          </cell>
          <cell r="I14">
            <v>0</v>
          </cell>
          <cell r="J14">
            <v>0</v>
          </cell>
        </row>
        <row r="15">
          <cell r="B15">
            <v>6080</v>
          </cell>
          <cell r="H15">
            <v>0</v>
          </cell>
          <cell r="I15">
            <v>0</v>
          </cell>
          <cell r="J15">
            <v>0</v>
          </cell>
        </row>
        <row r="16">
          <cell r="B16">
            <v>6090</v>
          </cell>
          <cell r="H16">
            <v>0</v>
          </cell>
          <cell r="I16">
            <v>0</v>
          </cell>
          <cell r="J16">
            <v>0</v>
          </cell>
        </row>
        <row r="17">
          <cell r="B17">
            <v>6091</v>
          </cell>
          <cell r="H17">
            <v>0</v>
          </cell>
          <cell r="I17">
            <v>0</v>
          </cell>
          <cell r="J17">
            <v>0</v>
          </cell>
        </row>
        <row r="18">
          <cell r="B18">
            <v>6200</v>
          </cell>
          <cell r="H18">
            <v>0</v>
          </cell>
          <cell r="I18">
            <v>0</v>
          </cell>
          <cell r="J18">
            <v>0</v>
          </cell>
        </row>
        <row r="19">
          <cell r="B19">
            <v>6203</v>
          </cell>
          <cell r="H19">
            <v>0</v>
          </cell>
          <cell r="I19">
            <v>0</v>
          </cell>
          <cell r="J19">
            <v>0</v>
          </cell>
        </row>
        <row r="20">
          <cell r="B20">
            <v>6231</v>
          </cell>
          <cell r="H20">
            <v>1.3</v>
          </cell>
          <cell r="I20">
            <v>0</v>
          </cell>
          <cell r="J20">
            <v>1.3</v>
          </cell>
        </row>
        <row r="21">
          <cell r="B21">
            <v>6233</v>
          </cell>
          <cell r="H21">
            <v>0</v>
          </cell>
          <cell r="I21">
            <v>0</v>
          </cell>
          <cell r="J21">
            <v>0</v>
          </cell>
        </row>
        <row r="22">
          <cell r="B22">
            <v>6236</v>
          </cell>
          <cell r="H22">
            <v>1.3</v>
          </cell>
          <cell r="I22">
            <v>0</v>
          </cell>
          <cell r="J22">
            <v>0</v>
          </cell>
        </row>
        <row r="23">
          <cell r="B23">
            <v>6830</v>
          </cell>
          <cell r="H23">
            <v>0</v>
          </cell>
          <cell r="I23">
            <v>0</v>
          </cell>
          <cell r="J23">
            <v>0</v>
          </cell>
        </row>
        <row r="24">
          <cell r="B24">
            <v>6237</v>
          </cell>
          <cell r="H24">
            <v>4</v>
          </cell>
          <cell r="I24">
            <v>0</v>
          </cell>
          <cell r="J24">
            <v>2.6</v>
          </cell>
        </row>
        <row r="25">
          <cell r="B25">
            <v>6239</v>
          </cell>
          <cell r="H25">
            <v>2.6</v>
          </cell>
          <cell r="I25">
            <v>0</v>
          </cell>
          <cell r="J25">
            <v>2.6</v>
          </cell>
        </row>
        <row r="26">
          <cell r="B26">
            <v>6240</v>
          </cell>
          <cell r="H26">
            <v>0</v>
          </cell>
          <cell r="I26">
            <v>0</v>
          </cell>
          <cell r="J26">
            <v>0</v>
          </cell>
        </row>
        <row r="27">
          <cell r="B27">
            <v>6241</v>
          </cell>
          <cell r="H27">
            <v>0</v>
          </cell>
          <cell r="I27">
            <v>0</v>
          </cell>
          <cell r="J27">
            <v>0</v>
          </cell>
        </row>
        <row r="28">
          <cell r="B28">
            <v>6243</v>
          </cell>
          <cell r="H28">
            <v>0</v>
          </cell>
          <cell r="I28">
            <v>0</v>
          </cell>
          <cell r="J28">
            <v>0</v>
          </cell>
        </row>
        <row r="29">
          <cell r="B29">
            <v>6246</v>
          </cell>
          <cell r="H29">
            <v>2.6</v>
          </cell>
          <cell r="I29">
            <v>0</v>
          </cell>
          <cell r="J29">
            <v>2.6</v>
          </cell>
        </row>
        <row r="30">
          <cell r="B30">
            <v>6247</v>
          </cell>
          <cell r="H30">
            <v>2.6</v>
          </cell>
          <cell r="I30">
            <v>0</v>
          </cell>
          <cell r="J30">
            <v>2.6</v>
          </cell>
        </row>
        <row r="31">
          <cell r="B31">
            <v>6248</v>
          </cell>
          <cell r="H31">
            <v>0</v>
          </cell>
          <cell r="I31">
            <v>0</v>
          </cell>
          <cell r="J31">
            <v>0</v>
          </cell>
        </row>
        <row r="32">
          <cell r="B32">
            <v>6250</v>
          </cell>
          <cell r="H32">
            <v>0</v>
          </cell>
          <cell r="I32">
            <v>0</v>
          </cell>
          <cell r="J32">
            <v>0</v>
          </cell>
        </row>
        <row r="33">
          <cell r="B33">
            <v>6254</v>
          </cell>
          <cell r="H33">
            <v>0</v>
          </cell>
          <cell r="I33">
            <v>0</v>
          </cell>
          <cell r="J33">
            <v>0</v>
          </cell>
        </row>
        <row r="34">
          <cell r="B34">
            <v>6255</v>
          </cell>
          <cell r="H34">
            <v>0</v>
          </cell>
          <cell r="I34">
            <v>0</v>
          </cell>
          <cell r="J34">
            <v>0</v>
          </cell>
        </row>
        <row r="35">
          <cell r="B35">
            <v>6256</v>
          </cell>
          <cell r="H35">
            <v>27.4</v>
          </cell>
          <cell r="I35">
            <v>0</v>
          </cell>
          <cell r="J35">
            <v>13</v>
          </cell>
        </row>
        <row r="36">
          <cell r="B36">
            <v>6273</v>
          </cell>
          <cell r="H36">
            <v>0</v>
          </cell>
          <cell r="I36">
            <v>0</v>
          </cell>
          <cell r="J36">
            <v>0</v>
          </cell>
        </row>
        <row r="37">
          <cell r="B37">
            <v>6310</v>
          </cell>
          <cell r="H37">
            <v>0</v>
          </cell>
          <cell r="I37">
            <v>0</v>
          </cell>
          <cell r="J37">
            <v>0</v>
          </cell>
        </row>
        <row r="38">
          <cell r="B38">
            <v>6350</v>
          </cell>
          <cell r="H38">
            <v>0</v>
          </cell>
          <cell r="I38">
            <v>0</v>
          </cell>
          <cell r="J38">
            <v>0</v>
          </cell>
        </row>
        <row r="39">
          <cell r="B39">
            <v>6351</v>
          </cell>
          <cell r="H39">
            <v>0</v>
          </cell>
          <cell r="I39">
            <v>0</v>
          </cell>
          <cell r="J39">
            <v>0</v>
          </cell>
        </row>
        <row r="40">
          <cell r="B40">
            <v>6352</v>
          </cell>
          <cell r="H40">
            <v>0</v>
          </cell>
          <cell r="I40">
            <v>0</v>
          </cell>
          <cell r="J40">
            <v>0</v>
          </cell>
        </row>
        <row r="41">
          <cell r="B41">
            <v>6353</v>
          </cell>
          <cell r="H41">
            <v>0</v>
          </cell>
          <cell r="I41">
            <v>0</v>
          </cell>
          <cell r="J41">
            <v>0</v>
          </cell>
        </row>
        <row r="42">
          <cell r="B42">
            <v>6354</v>
          </cell>
          <cell r="H42">
            <v>2.5</v>
          </cell>
          <cell r="I42">
            <v>0</v>
          </cell>
          <cell r="J42">
            <v>0</v>
          </cell>
        </row>
        <row r="43">
          <cell r="B43">
            <v>6355</v>
          </cell>
          <cell r="H43">
            <v>0</v>
          </cell>
          <cell r="I43">
            <v>0</v>
          </cell>
          <cell r="J43">
            <v>0</v>
          </cell>
        </row>
        <row r="44">
          <cell r="B44">
            <v>6357</v>
          </cell>
          <cell r="H44">
            <v>0</v>
          </cell>
          <cell r="I44">
            <v>0</v>
          </cell>
          <cell r="J44">
            <v>0</v>
          </cell>
        </row>
        <row r="45">
          <cell r="B45">
            <v>6358</v>
          </cell>
          <cell r="H45">
            <v>2.95</v>
          </cell>
          <cell r="I45">
            <v>0</v>
          </cell>
          <cell r="J45">
            <v>0</v>
          </cell>
        </row>
        <row r="46">
          <cell r="B46">
            <v>6403</v>
          </cell>
          <cell r="H46">
            <v>0</v>
          </cell>
          <cell r="I46">
            <v>0</v>
          </cell>
          <cell r="J46">
            <v>0</v>
          </cell>
        </row>
        <row r="47">
          <cell r="B47">
            <v>6404</v>
          </cell>
          <cell r="H47">
            <v>0</v>
          </cell>
          <cell r="I47">
            <v>0</v>
          </cell>
          <cell r="J47">
            <v>0</v>
          </cell>
        </row>
        <row r="48">
          <cell r="B48">
            <v>6405</v>
          </cell>
          <cell r="H48">
            <v>3.8</v>
          </cell>
          <cell r="I48">
            <v>0</v>
          </cell>
          <cell r="J48">
            <v>6</v>
          </cell>
        </row>
        <row r="49">
          <cell r="B49">
            <v>6443</v>
          </cell>
          <cell r="H49">
            <v>0</v>
          </cell>
          <cell r="I49">
            <v>0</v>
          </cell>
          <cell r="J49">
            <v>0</v>
          </cell>
        </row>
        <row r="50">
          <cell r="B50">
            <v>6406</v>
          </cell>
          <cell r="H50">
            <v>0</v>
          </cell>
          <cell r="I50">
            <v>0</v>
          </cell>
          <cell r="J50">
            <v>0</v>
          </cell>
        </row>
        <row r="51">
          <cell r="B51">
            <v>7058</v>
          </cell>
          <cell r="H51">
            <v>0</v>
          </cell>
          <cell r="I51">
            <v>0</v>
          </cell>
          <cell r="J51">
            <v>0</v>
          </cell>
        </row>
        <row r="52">
          <cell r="B52">
            <v>7088</v>
          </cell>
          <cell r="H52">
            <v>9</v>
          </cell>
          <cell r="I52">
            <v>0</v>
          </cell>
          <cell r="J52">
            <v>6</v>
          </cell>
        </row>
        <row r="53">
          <cell r="B53">
            <v>6444</v>
          </cell>
          <cell r="H53">
            <v>0</v>
          </cell>
          <cell r="I53">
            <v>0</v>
          </cell>
          <cell r="J53">
            <v>0</v>
          </cell>
        </row>
        <row r="54">
          <cell r="B54">
            <v>6407</v>
          </cell>
          <cell r="H54">
            <v>0</v>
          </cell>
          <cell r="I54">
            <v>0</v>
          </cell>
          <cell r="J54">
            <v>0</v>
          </cell>
        </row>
        <row r="55">
          <cell r="B55">
            <v>6412</v>
          </cell>
          <cell r="H55">
            <v>0</v>
          </cell>
          <cell r="I55">
            <v>0</v>
          </cell>
          <cell r="J55">
            <v>0</v>
          </cell>
        </row>
        <row r="56">
          <cell r="B56">
            <v>6413</v>
          </cell>
          <cell r="H56">
            <v>0</v>
          </cell>
          <cell r="I56">
            <v>0</v>
          </cell>
          <cell r="J56">
            <v>3</v>
          </cell>
        </row>
        <row r="57">
          <cell r="B57">
            <v>6418</v>
          </cell>
          <cell r="H57">
            <v>0</v>
          </cell>
          <cell r="I57">
            <v>0</v>
          </cell>
          <cell r="J57">
            <v>1.5</v>
          </cell>
        </row>
        <row r="58">
          <cell r="B58">
            <v>6419</v>
          </cell>
          <cell r="H58">
            <v>0</v>
          </cell>
          <cell r="I58">
            <v>0</v>
          </cell>
          <cell r="J58">
            <v>0</v>
          </cell>
        </row>
        <row r="59">
          <cell r="B59">
            <v>6499</v>
          </cell>
          <cell r="H59">
            <v>0</v>
          </cell>
          <cell r="I59">
            <v>0</v>
          </cell>
          <cell r="J59">
            <v>0</v>
          </cell>
        </row>
        <row r="60">
          <cell r="B60">
            <v>6599</v>
          </cell>
          <cell r="H60">
            <v>56</v>
          </cell>
          <cell r="I60">
            <v>0</v>
          </cell>
          <cell r="J60">
            <v>70</v>
          </cell>
        </row>
        <row r="61">
          <cell r="B61">
            <v>6699</v>
          </cell>
          <cell r="H61">
            <v>6</v>
          </cell>
          <cell r="I61">
            <v>0</v>
          </cell>
          <cell r="J61">
            <v>6</v>
          </cell>
        </row>
        <row r="62">
          <cell r="B62">
            <v>6421</v>
          </cell>
          <cell r="H62">
            <v>0</v>
          </cell>
          <cell r="I62">
            <v>0</v>
          </cell>
          <cell r="J62">
            <v>0</v>
          </cell>
        </row>
        <row r="63">
          <cell r="B63">
            <v>6422</v>
          </cell>
          <cell r="H63">
            <v>0</v>
          </cell>
          <cell r="I63">
            <v>0</v>
          </cell>
          <cell r="J63">
            <v>0</v>
          </cell>
        </row>
        <row r="64">
          <cell r="B64">
            <v>6424</v>
          </cell>
          <cell r="H64">
            <v>0</v>
          </cell>
          <cell r="I64">
            <v>0</v>
          </cell>
          <cell r="J64">
            <v>0</v>
          </cell>
        </row>
        <row r="65">
          <cell r="B65">
            <v>6426</v>
          </cell>
          <cell r="H65">
            <v>0</v>
          </cell>
          <cell r="I65">
            <v>0</v>
          </cell>
          <cell r="J65">
            <v>0</v>
          </cell>
        </row>
        <row r="66">
          <cell r="B66">
            <v>6433</v>
          </cell>
          <cell r="H66">
            <v>0</v>
          </cell>
          <cell r="I66">
            <v>0</v>
          </cell>
          <cell r="J66">
            <v>0</v>
          </cell>
        </row>
        <row r="67">
          <cell r="B67">
            <v>6434</v>
          </cell>
          <cell r="H67">
            <v>0</v>
          </cell>
          <cell r="I67">
            <v>0</v>
          </cell>
          <cell r="J67">
            <v>0</v>
          </cell>
        </row>
        <row r="68">
          <cell r="B68">
            <v>6448</v>
          </cell>
          <cell r="H68">
            <v>20</v>
          </cell>
          <cell r="I68">
            <v>0</v>
          </cell>
          <cell r="J68">
            <v>0</v>
          </cell>
        </row>
        <row r="69">
          <cell r="B69">
            <v>6436</v>
          </cell>
          <cell r="H69">
            <v>0</v>
          </cell>
          <cell r="I69">
            <v>0</v>
          </cell>
          <cell r="J69">
            <v>0</v>
          </cell>
        </row>
        <row r="70">
          <cell r="B70">
            <v>6437</v>
          </cell>
          <cell r="H70">
            <v>0</v>
          </cell>
          <cell r="I70">
            <v>0</v>
          </cell>
          <cell r="J70">
            <v>0</v>
          </cell>
        </row>
        <row r="71">
          <cell r="B71">
            <v>6438</v>
          </cell>
          <cell r="H71">
            <v>0</v>
          </cell>
          <cell r="I71">
            <v>0</v>
          </cell>
          <cell r="J71">
            <v>0</v>
          </cell>
        </row>
        <row r="72">
          <cell r="B72">
            <v>6439</v>
          </cell>
          <cell r="H72">
            <v>0</v>
          </cell>
          <cell r="I72">
            <v>0</v>
          </cell>
          <cell r="J72">
            <v>0</v>
          </cell>
        </row>
        <row r="73">
          <cell r="B73">
            <v>6441</v>
          </cell>
          <cell r="H73">
            <v>0</v>
          </cell>
          <cell r="I73">
            <v>0</v>
          </cell>
          <cell r="J73">
            <v>0</v>
          </cell>
        </row>
        <row r="74">
          <cell r="B74">
            <v>6442</v>
          </cell>
          <cell r="H74">
            <v>0</v>
          </cell>
          <cell r="I74">
            <v>0</v>
          </cell>
          <cell r="J74">
            <v>0</v>
          </cell>
        </row>
        <row r="75">
          <cell r="B75">
            <v>6471</v>
          </cell>
          <cell r="H75">
            <v>0</v>
          </cell>
          <cell r="I75">
            <v>0</v>
          </cell>
          <cell r="J75">
            <v>0</v>
          </cell>
        </row>
        <row r="76">
          <cell r="B76">
            <v>6551</v>
          </cell>
          <cell r="H76">
            <v>0</v>
          </cell>
          <cell r="I76">
            <v>0</v>
          </cell>
          <cell r="J76">
            <v>0</v>
          </cell>
        </row>
        <row r="77">
          <cell r="B77">
            <v>6451</v>
          </cell>
          <cell r="H77">
            <v>0</v>
          </cell>
          <cell r="I77">
            <v>0</v>
          </cell>
          <cell r="J77">
            <v>0</v>
          </cell>
        </row>
        <row r="78">
          <cell r="B78">
            <v>6454</v>
          </cell>
          <cell r="H78">
            <v>0</v>
          </cell>
          <cell r="I78">
            <v>0</v>
          </cell>
          <cell r="J78">
            <v>0</v>
          </cell>
        </row>
        <row r="79">
          <cell r="B79">
            <v>6458</v>
          </cell>
          <cell r="H79">
            <v>6</v>
          </cell>
          <cell r="I79">
            <v>0</v>
          </cell>
          <cell r="J79">
            <v>0</v>
          </cell>
        </row>
        <row r="80">
          <cell r="B80">
            <v>6457</v>
          </cell>
          <cell r="H80">
            <v>1.3</v>
          </cell>
          <cell r="I80">
            <v>0</v>
          </cell>
          <cell r="J80">
            <v>0</v>
          </cell>
        </row>
        <row r="81">
          <cell r="B81">
            <v>6460</v>
          </cell>
          <cell r="H81">
            <v>0</v>
          </cell>
          <cell r="I81">
            <v>0</v>
          </cell>
          <cell r="J81">
            <v>0</v>
          </cell>
        </row>
        <row r="82">
          <cell r="B82">
            <v>6461</v>
          </cell>
          <cell r="H82">
            <v>0</v>
          </cell>
          <cell r="I82">
            <v>0</v>
          </cell>
          <cell r="J82">
            <v>0</v>
          </cell>
        </row>
        <row r="83">
          <cell r="B83">
            <v>6462</v>
          </cell>
          <cell r="H83">
            <v>0</v>
          </cell>
          <cell r="I83">
            <v>0</v>
          </cell>
          <cell r="J83">
            <v>0</v>
          </cell>
        </row>
        <row r="84">
          <cell r="B84">
            <v>6463</v>
          </cell>
          <cell r="H84">
            <v>0</v>
          </cell>
          <cell r="I84">
            <v>0</v>
          </cell>
          <cell r="J84">
            <v>0</v>
          </cell>
        </row>
        <row r="85">
          <cell r="B85">
            <v>6440</v>
          </cell>
          <cell r="H85">
            <v>0</v>
          </cell>
          <cell r="I85">
            <v>0</v>
          </cell>
          <cell r="J85">
            <v>0</v>
          </cell>
        </row>
        <row r="86">
          <cell r="B86">
            <v>6470</v>
          </cell>
          <cell r="H86">
            <v>0</v>
          </cell>
          <cell r="I86">
            <v>0</v>
          </cell>
          <cell r="J86">
            <v>0</v>
          </cell>
        </row>
        <row r="87">
          <cell r="B87">
            <v>6464</v>
          </cell>
          <cell r="H87">
            <v>0</v>
          </cell>
          <cell r="I87">
            <v>0</v>
          </cell>
          <cell r="J87">
            <v>0</v>
          </cell>
        </row>
        <row r="88">
          <cell r="B88">
            <v>6465</v>
          </cell>
          <cell r="H88">
            <v>0</v>
          </cell>
          <cell r="I88">
            <v>0</v>
          </cell>
          <cell r="J88">
            <v>0</v>
          </cell>
        </row>
        <row r="89">
          <cell r="B89">
            <v>6466</v>
          </cell>
          <cell r="H89">
            <v>0</v>
          </cell>
          <cell r="I89">
            <v>0</v>
          </cell>
          <cell r="J89">
            <v>0</v>
          </cell>
        </row>
        <row r="90">
          <cell r="B90">
            <v>6473</v>
          </cell>
          <cell r="H90">
            <v>0</v>
          </cell>
          <cell r="I90">
            <v>0</v>
          </cell>
          <cell r="J90">
            <v>0</v>
          </cell>
        </row>
        <row r="91">
          <cell r="B91">
            <v>6480</v>
          </cell>
          <cell r="H91">
            <v>0</v>
          </cell>
          <cell r="I91">
            <v>0</v>
          </cell>
          <cell r="J91">
            <v>0</v>
          </cell>
        </row>
        <row r="92">
          <cell r="B92">
            <v>6449</v>
          </cell>
          <cell r="H92">
            <v>0</v>
          </cell>
          <cell r="I92">
            <v>0</v>
          </cell>
          <cell r="J92">
            <v>0</v>
          </cell>
        </row>
        <row r="93">
          <cell r="B93">
            <v>6579</v>
          </cell>
          <cell r="H93">
            <v>0</v>
          </cell>
          <cell r="I93">
            <v>0</v>
          </cell>
          <cell r="J93">
            <v>0</v>
          </cell>
        </row>
        <row r="94">
          <cell r="B94">
            <v>6479</v>
          </cell>
          <cell r="H94">
            <v>0</v>
          </cell>
          <cell r="I94">
            <v>0</v>
          </cell>
          <cell r="J94">
            <v>0</v>
          </cell>
        </row>
        <row r="95">
          <cell r="B95">
            <v>6481</v>
          </cell>
          <cell r="H95">
            <v>0</v>
          </cell>
          <cell r="I95">
            <v>0</v>
          </cell>
          <cell r="J95">
            <v>0</v>
          </cell>
        </row>
        <row r="96">
          <cell r="B96">
            <v>6482</v>
          </cell>
          <cell r="H96">
            <v>0</v>
          </cell>
          <cell r="I96">
            <v>0</v>
          </cell>
          <cell r="J96">
            <v>0</v>
          </cell>
        </row>
        <row r="97">
          <cell r="B97">
            <v>6483</v>
          </cell>
          <cell r="H97">
            <v>0</v>
          </cell>
          <cell r="I97">
            <v>0</v>
          </cell>
          <cell r="J97">
            <v>0</v>
          </cell>
        </row>
        <row r="98">
          <cell r="B98">
            <v>6485</v>
          </cell>
          <cell r="H98">
            <v>6</v>
          </cell>
          <cell r="I98">
            <v>0</v>
          </cell>
          <cell r="J98">
            <v>6</v>
          </cell>
        </row>
        <row r="99">
          <cell r="B99">
            <v>6445</v>
          </cell>
          <cell r="H99">
            <v>0</v>
          </cell>
          <cell r="I99">
            <v>0</v>
          </cell>
          <cell r="J99">
            <v>0</v>
          </cell>
        </row>
        <row r="100">
          <cell r="B100">
            <v>6446</v>
          </cell>
          <cell r="H100">
            <v>0</v>
          </cell>
          <cell r="I100">
            <v>0</v>
          </cell>
          <cell r="J100">
            <v>0</v>
          </cell>
        </row>
        <row r="101">
          <cell r="B101">
            <v>6486</v>
          </cell>
          <cell r="H101">
            <v>0</v>
          </cell>
          <cell r="I101">
            <v>0</v>
          </cell>
          <cell r="J101">
            <v>0</v>
          </cell>
        </row>
        <row r="102">
          <cell r="B102">
            <v>6487</v>
          </cell>
          <cell r="H102">
            <v>0</v>
          </cell>
          <cell r="I102">
            <v>0</v>
          </cell>
          <cell r="J102">
            <v>0</v>
          </cell>
        </row>
        <row r="103">
          <cell r="B103">
            <v>6447</v>
          </cell>
          <cell r="H103">
            <v>0</v>
          </cell>
          <cell r="I103">
            <v>0</v>
          </cell>
          <cell r="J103">
            <v>0</v>
          </cell>
        </row>
        <row r="104">
          <cell r="B104">
            <v>6488</v>
          </cell>
          <cell r="H104">
            <v>0</v>
          </cell>
          <cell r="I104">
            <v>0</v>
          </cell>
          <cell r="J104">
            <v>0</v>
          </cell>
        </row>
        <row r="105">
          <cell r="B105">
            <v>6489</v>
          </cell>
          <cell r="H105">
            <v>0</v>
          </cell>
          <cell r="I105">
            <v>0</v>
          </cell>
          <cell r="J105">
            <v>0</v>
          </cell>
        </row>
        <row r="106">
          <cell r="B106">
            <v>6490</v>
          </cell>
          <cell r="H106">
            <v>0</v>
          </cell>
          <cell r="I106">
            <v>0</v>
          </cell>
          <cell r="J106">
            <v>0</v>
          </cell>
        </row>
        <row r="107">
          <cell r="B107">
            <v>6494</v>
          </cell>
          <cell r="H107">
            <v>0</v>
          </cell>
          <cell r="I107">
            <v>0</v>
          </cell>
          <cell r="J107">
            <v>0</v>
          </cell>
        </row>
        <row r="108">
          <cell r="B108">
            <v>6495</v>
          </cell>
          <cell r="H108">
            <v>0</v>
          </cell>
          <cell r="I108">
            <v>0</v>
          </cell>
          <cell r="J108">
            <v>0</v>
          </cell>
        </row>
        <row r="109">
          <cell r="B109">
            <v>6496</v>
          </cell>
          <cell r="H109">
            <v>4.5</v>
          </cell>
          <cell r="I109">
            <v>0</v>
          </cell>
          <cell r="J109">
            <v>3</v>
          </cell>
        </row>
        <row r="110">
          <cell r="B110">
            <v>6497</v>
          </cell>
          <cell r="H110">
            <v>0</v>
          </cell>
          <cell r="I110">
            <v>0</v>
          </cell>
          <cell r="J110">
            <v>0</v>
          </cell>
        </row>
        <row r="111">
          <cell r="B111">
            <v>6498</v>
          </cell>
          <cell r="H111">
            <v>0</v>
          </cell>
          <cell r="I111">
            <v>0</v>
          </cell>
          <cell r="J111">
            <v>0</v>
          </cell>
        </row>
        <row r="112">
          <cell r="B112">
            <v>6500</v>
          </cell>
          <cell r="H112">
            <v>0</v>
          </cell>
          <cell r="I112">
            <v>0</v>
          </cell>
          <cell r="J112">
            <v>0</v>
          </cell>
        </row>
        <row r="113">
          <cell r="B113">
            <v>6511</v>
          </cell>
          <cell r="H113">
            <v>0</v>
          </cell>
          <cell r="I113">
            <v>0</v>
          </cell>
          <cell r="J113">
            <v>0</v>
          </cell>
        </row>
        <row r="114">
          <cell r="B114">
            <v>6512</v>
          </cell>
          <cell r="H114">
            <v>0</v>
          </cell>
          <cell r="I114">
            <v>0</v>
          </cell>
          <cell r="J114">
            <v>0</v>
          </cell>
        </row>
        <row r="115">
          <cell r="B115">
            <v>6513</v>
          </cell>
          <cell r="H115">
            <v>0</v>
          </cell>
          <cell r="I115">
            <v>0</v>
          </cell>
          <cell r="J115">
            <v>0</v>
          </cell>
        </row>
        <row r="116">
          <cell r="B116">
            <v>6450</v>
          </cell>
          <cell r="H116">
            <v>0</v>
          </cell>
          <cell r="I116">
            <v>0</v>
          </cell>
          <cell r="J116">
            <v>0</v>
          </cell>
        </row>
        <row r="117">
          <cell r="B117">
            <v>6514</v>
          </cell>
          <cell r="H117">
            <v>0</v>
          </cell>
          <cell r="I117">
            <v>0</v>
          </cell>
          <cell r="J117">
            <v>0</v>
          </cell>
        </row>
        <row r="118">
          <cell r="B118">
            <v>6515</v>
          </cell>
          <cell r="H118">
            <v>0</v>
          </cell>
          <cell r="I118">
            <v>0</v>
          </cell>
          <cell r="J118">
            <v>0</v>
          </cell>
        </row>
        <row r="119">
          <cell r="B119">
            <v>6517</v>
          </cell>
          <cell r="H119">
            <v>0</v>
          </cell>
          <cell r="I119">
            <v>0</v>
          </cell>
          <cell r="J119">
            <v>0</v>
          </cell>
        </row>
        <row r="120">
          <cell r="B120">
            <v>6518</v>
          </cell>
          <cell r="H120">
            <v>0</v>
          </cell>
          <cell r="I120">
            <v>0</v>
          </cell>
          <cell r="J120">
            <v>0</v>
          </cell>
        </row>
        <row r="121">
          <cell r="B121">
            <v>6519</v>
          </cell>
          <cell r="H121">
            <v>0</v>
          </cell>
          <cell r="I121">
            <v>0</v>
          </cell>
          <cell r="J121">
            <v>0</v>
          </cell>
        </row>
        <row r="122">
          <cell r="B122">
            <v>6520</v>
          </cell>
          <cell r="H122">
            <v>0</v>
          </cell>
          <cell r="I122">
            <v>0</v>
          </cell>
          <cell r="J122">
            <v>0</v>
          </cell>
        </row>
        <row r="123">
          <cell r="B123">
            <v>6523</v>
          </cell>
          <cell r="H123">
            <v>0</v>
          </cell>
          <cell r="I123">
            <v>0</v>
          </cell>
          <cell r="J123">
            <v>0</v>
          </cell>
        </row>
        <row r="124">
          <cell r="B124">
            <v>6524</v>
          </cell>
          <cell r="H124">
            <v>0</v>
          </cell>
          <cell r="I124">
            <v>0</v>
          </cell>
          <cell r="J124">
            <v>0</v>
          </cell>
        </row>
        <row r="125">
          <cell r="B125">
            <v>6525</v>
          </cell>
          <cell r="H125">
            <v>0</v>
          </cell>
          <cell r="I125">
            <v>0</v>
          </cell>
          <cell r="J125">
            <v>0</v>
          </cell>
        </row>
        <row r="126">
          <cell r="B126">
            <v>6526</v>
          </cell>
          <cell r="H126">
            <v>0</v>
          </cell>
          <cell r="I126">
            <v>0</v>
          </cell>
          <cell r="J126">
            <v>0</v>
          </cell>
        </row>
        <row r="127">
          <cell r="B127">
            <v>6527</v>
          </cell>
          <cell r="H127">
            <v>0</v>
          </cell>
          <cell r="I127">
            <v>0</v>
          </cell>
          <cell r="J127">
            <v>0</v>
          </cell>
        </row>
        <row r="128">
          <cell r="B128">
            <v>6528</v>
          </cell>
          <cell r="H128">
            <v>0</v>
          </cell>
          <cell r="I128">
            <v>0</v>
          </cell>
          <cell r="J128">
            <v>0</v>
          </cell>
        </row>
        <row r="129">
          <cell r="B129">
            <v>6534</v>
          </cell>
          <cell r="H129">
            <v>0</v>
          </cell>
          <cell r="I129">
            <v>0</v>
          </cell>
          <cell r="J129">
            <v>0</v>
          </cell>
        </row>
        <row r="130">
          <cell r="B130">
            <v>6536</v>
          </cell>
          <cell r="H130">
            <v>0</v>
          </cell>
          <cell r="I130">
            <v>0</v>
          </cell>
          <cell r="J130">
            <v>0</v>
          </cell>
        </row>
        <row r="131">
          <cell r="B131">
            <v>6537</v>
          </cell>
          <cell r="H131">
            <v>0</v>
          </cell>
          <cell r="I131">
            <v>0</v>
          </cell>
          <cell r="J131">
            <v>0</v>
          </cell>
        </row>
        <row r="132">
          <cell r="B132">
            <v>6538</v>
          </cell>
          <cell r="H132">
            <v>0</v>
          </cell>
          <cell r="I132">
            <v>0</v>
          </cell>
          <cell r="J132">
            <v>0</v>
          </cell>
        </row>
        <row r="133">
          <cell r="B133">
            <v>6544</v>
          </cell>
          <cell r="H133">
            <v>0</v>
          </cell>
          <cell r="I133">
            <v>0</v>
          </cell>
          <cell r="J133">
            <v>0</v>
          </cell>
        </row>
        <row r="134">
          <cell r="B134">
            <v>6545</v>
          </cell>
          <cell r="H134">
            <v>0</v>
          </cell>
          <cell r="I134">
            <v>0</v>
          </cell>
          <cell r="J134">
            <v>0</v>
          </cell>
        </row>
        <row r="135">
          <cell r="B135">
            <v>6546</v>
          </cell>
          <cell r="H135">
            <v>0</v>
          </cell>
          <cell r="I135">
            <v>0</v>
          </cell>
          <cell r="J135">
            <v>0</v>
          </cell>
        </row>
        <row r="136">
          <cell r="B136">
            <v>6548</v>
          </cell>
          <cell r="H136">
            <v>0</v>
          </cell>
          <cell r="I136">
            <v>0</v>
          </cell>
          <cell r="J136">
            <v>0</v>
          </cell>
        </row>
        <row r="137">
          <cell r="B137">
            <v>6549</v>
          </cell>
          <cell r="H137">
            <v>0</v>
          </cell>
          <cell r="I137">
            <v>0</v>
          </cell>
          <cell r="J137">
            <v>0</v>
          </cell>
        </row>
        <row r="138">
          <cell r="B138">
            <v>6626</v>
          </cell>
          <cell r="H138">
            <v>0</v>
          </cell>
          <cell r="I138">
            <v>0</v>
          </cell>
          <cell r="J138">
            <v>0</v>
          </cell>
        </row>
        <row r="139">
          <cell r="B139">
            <v>6627</v>
          </cell>
          <cell r="H139">
            <v>0</v>
          </cell>
          <cell r="I139">
            <v>0</v>
          </cell>
          <cell r="J139">
            <v>0</v>
          </cell>
        </row>
        <row r="140">
          <cell r="B140">
            <v>6628</v>
          </cell>
          <cell r="H140">
            <v>0</v>
          </cell>
          <cell r="I140">
            <v>0</v>
          </cell>
          <cell r="J140">
            <v>1.2</v>
          </cell>
        </row>
        <row r="141">
          <cell r="B141">
            <v>6629</v>
          </cell>
          <cell r="H141">
            <v>6</v>
          </cell>
          <cell r="I141">
            <v>0</v>
          </cell>
          <cell r="J141">
            <v>0</v>
          </cell>
        </row>
        <row r="142">
          <cell r="B142">
            <v>6630</v>
          </cell>
          <cell r="H142">
            <v>0</v>
          </cell>
          <cell r="I142">
            <v>0</v>
          </cell>
          <cell r="J142">
            <v>0</v>
          </cell>
        </row>
        <row r="143">
          <cell r="B143">
            <v>6701</v>
          </cell>
          <cell r="H143">
            <v>0</v>
          </cell>
          <cell r="I143">
            <v>0</v>
          </cell>
          <cell r="J143">
            <v>0</v>
          </cell>
        </row>
        <row r="144">
          <cell r="B144">
            <v>6707</v>
          </cell>
          <cell r="H144">
            <v>0</v>
          </cell>
          <cell r="I144">
            <v>0</v>
          </cell>
          <cell r="J144">
            <v>0</v>
          </cell>
        </row>
        <row r="145">
          <cell r="B145">
            <v>6716</v>
          </cell>
          <cell r="H145">
            <v>0</v>
          </cell>
          <cell r="I145">
            <v>0</v>
          </cell>
          <cell r="J145">
            <v>0</v>
          </cell>
        </row>
        <row r="146">
          <cell r="B146">
            <v>6730</v>
          </cell>
          <cell r="H146">
            <v>0</v>
          </cell>
          <cell r="I146">
            <v>0</v>
          </cell>
          <cell r="J146">
            <v>0</v>
          </cell>
        </row>
        <row r="147">
          <cell r="B147">
            <v>6767</v>
          </cell>
          <cell r="H147">
            <v>0</v>
          </cell>
          <cell r="I147">
            <v>0</v>
          </cell>
          <cell r="J147">
            <v>0</v>
          </cell>
        </row>
        <row r="148">
          <cell r="B148">
            <v>6768</v>
          </cell>
          <cell r="H148">
            <v>0</v>
          </cell>
          <cell r="I148">
            <v>0</v>
          </cell>
          <cell r="J148">
            <v>0</v>
          </cell>
        </row>
        <row r="149">
          <cell r="B149">
            <v>6825</v>
          </cell>
          <cell r="H149">
            <v>0</v>
          </cell>
          <cell r="I149">
            <v>0</v>
          </cell>
          <cell r="J149">
            <v>0</v>
          </cell>
        </row>
        <row r="150">
          <cell r="B150">
            <v>6826</v>
          </cell>
          <cell r="H150">
            <v>0</v>
          </cell>
          <cell r="I150">
            <v>0</v>
          </cell>
          <cell r="J150">
            <v>0</v>
          </cell>
        </row>
        <row r="151">
          <cell r="B151">
            <v>6827</v>
          </cell>
          <cell r="H151">
            <v>0</v>
          </cell>
          <cell r="I151">
            <v>0</v>
          </cell>
          <cell r="J151">
            <v>0</v>
          </cell>
        </row>
        <row r="152">
          <cell r="B152">
            <v>6831</v>
          </cell>
          <cell r="H152">
            <v>0</v>
          </cell>
          <cell r="I152">
            <v>0</v>
          </cell>
          <cell r="J152">
            <v>0</v>
          </cell>
        </row>
        <row r="153">
          <cell r="B153">
            <v>6832</v>
          </cell>
          <cell r="H153">
            <v>2</v>
          </cell>
          <cell r="I153">
            <v>0</v>
          </cell>
          <cell r="J153">
            <v>0</v>
          </cell>
        </row>
        <row r="154">
          <cell r="B154">
            <v>6833</v>
          </cell>
          <cell r="H154">
            <v>1.3</v>
          </cell>
          <cell r="I154">
            <v>0</v>
          </cell>
          <cell r="J154">
            <v>0</v>
          </cell>
        </row>
        <row r="155">
          <cell r="B155">
            <v>6835</v>
          </cell>
          <cell r="H155">
            <v>0</v>
          </cell>
          <cell r="I155">
            <v>0</v>
          </cell>
          <cell r="J155">
            <v>0</v>
          </cell>
        </row>
        <row r="156">
          <cell r="B156">
            <v>7019</v>
          </cell>
          <cell r="H156">
            <v>0</v>
          </cell>
          <cell r="I156">
            <v>0</v>
          </cell>
          <cell r="J156">
            <v>0</v>
          </cell>
        </row>
        <row r="157">
          <cell r="B157">
            <v>7089</v>
          </cell>
          <cell r="H157">
            <v>2.6</v>
          </cell>
          <cell r="I157">
            <v>0</v>
          </cell>
          <cell r="J157">
            <v>1.3</v>
          </cell>
        </row>
        <row r="158">
          <cell r="B158">
            <v>6834</v>
          </cell>
          <cell r="H158">
            <v>1.3</v>
          </cell>
          <cell r="I158">
            <v>0</v>
          </cell>
          <cell r="J158">
            <v>1.2</v>
          </cell>
        </row>
        <row r="159">
          <cell r="B159">
            <v>6869</v>
          </cell>
          <cell r="H159">
            <v>0</v>
          </cell>
          <cell r="I159">
            <v>0</v>
          </cell>
          <cell r="J159">
            <v>0</v>
          </cell>
        </row>
        <row r="160">
          <cell r="B160">
            <v>7001</v>
          </cell>
          <cell r="H160">
            <v>0</v>
          </cell>
          <cell r="I160">
            <v>0</v>
          </cell>
          <cell r="J160">
            <v>0</v>
          </cell>
        </row>
        <row r="161">
          <cell r="B161">
            <v>7002</v>
          </cell>
          <cell r="H161">
            <v>0.8</v>
          </cell>
          <cell r="I161">
            <v>0</v>
          </cell>
          <cell r="J161">
            <v>0</v>
          </cell>
        </row>
        <row r="162">
          <cell r="B162">
            <v>7003</v>
          </cell>
          <cell r="H162">
            <v>0</v>
          </cell>
          <cell r="I162">
            <v>0</v>
          </cell>
          <cell r="J162">
            <v>0</v>
          </cell>
        </row>
        <row r="163">
          <cell r="B163">
            <v>7004</v>
          </cell>
          <cell r="H163">
            <v>0</v>
          </cell>
          <cell r="I163">
            <v>9.5</v>
          </cell>
          <cell r="J163">
            <v>9.5</v>
          </cell>
        </row>
        <row r="164">
          <cell r="B164">
            <v>7006</v>
          </cell>
          <cell r="H164">
            <v>0</v>
          </cell>
          <cell r="I164">
            <v>0</v>
          </cell>
          <cell r="J164">
            <v>0</v>
          </cell>
        </row>
        <row r="165">
          <cell r="B165">
            <v>7026</v>
          </cell>
          <cell r="H165">
            <v>0</v>
          </cell>
          <cell r="I165">
            <v>0</v>
          </cell>
          <cell r="J165">
            <v>0</v>
          </cell>
        </row>
        <row r="166">
          <cell r="B166">
            <v>7008</v>
          </cell>
          <cell r="H166">
            <v>0</v>
          </cell>
          <cell r="I166">
            <v>0</v>
          </cell>
          <cell r="J166">
            <v>7</v>
          </cell>
        </row>
        <row r="167">
          <cell r="B167">
            <v>7011</v>
          </cell>
          <cell r="H167">
            <v>0</v>
          </cell>
          <cell r="I167">
            <v>0</v>
          </cell>
          <cell r="J167">
            <v>0</v>
          </cell>
        </row>
        <row r="168">
          <cell r="B168">
            <v>7012</v>
          </cell>
          <cell r="H168">
            <v>0</v>
          </cell>
          <cell r="I168">
            <v>0</v>
          </cell>
          <cell r="J168">
            <v>0</v>
          </cell>
        </row>
        <row r="169">
          <cell r="B169">
            <v>7013</v>
          </cell>
          <cell r="H169">
            <v>0</v>
          </cell>
          <cell r="I169">
            <v>0</v>
          </cell>
          <cell r="J169">
            <v>0</v>
          </cell>
        </row>
        <row r="170">
          <cell r="B170">
            <v>7014</v>
          </cell>
          <cell r="H170">
            <v>0</v>
          </cell>
          <cell r="I170">
            <v>0</v>
          </cell>
          <cell r="J170">
            <v>0</v>
          </cell>
        </row>
        <row r="171">
          <cell r="B171">
            <v>7015</v>
          </cell>
          <cell r="H171">
            <v>0</v>
          </cell>
          <cell r="I171">
            <v>0</v>
          </cell>
          <cell r="J171">
            <v>0</v>
          </cell>
        </row>
        <row r="172">
          <cell r="B172">
            <v>7030</v>
          </cell>
          <cell r="H172">
            <v>0</v>
          </cell>
          <cell r="I172">
            <v>0</v>
          </cell>
          <cell r="J172">
            <v>0</v>
          </cell>
        </row>
        <row r="173">
          <cell r="B173">
            <v>7031</v>
          </cell>
          <cell r="H173">
            <v>0</v>
          </cell>
          <cell r="I173">
            <v>0</v>
          </cell>
          <cell r="J173">
            <v>5</v>
          </cell>
        </row>
        <row r="174">
          <cell r="B174">
            <v>7032</v>
          </cell>
          <cell r="H174">
            <v>0</v>
          </cell>
          <cell r="I174">
            <v>8</v>
          </cell>
          <cell r="J174">
            <v>5</v>
          </cell>
        </row>
        <row r="175">
          <cell r="B175">
            <v>7034</v>
          </cell>
          <cell r="H175">
            <v>0</v>
          </cell>
          <cell r="I175">
            <v>0</v>
          </cell>
          <cell r="J175">
            <v>0</v>
          </cell>
        </row>
        <row r="176">
          <cell r="B176">
            <v>7035</v>
          </cell>
          <cell r="H176">
            <v>0</v>
          </cell>
          <cell r="I176">
            <v>0</v>
          </cell>
          <cell r="J176">
            <v>0</v>
          </cell>
        </row>
        <row r="177">
          <cell r="B177">
            <v>7020</v>
          </cell>
          <cell r="H177">
            <v>0</v>
          </cell>
          <cell r="I177">
            <v>0</v>
          </cell>
          <cell r="J177">
            <v>0</v>
          </cell>
        </row>
        <row r="178">
          <cell r="B178">
            <v>7021</v>
          </cell>
          <cell r="H178">
            <v>0</v>
          </cell>
          <cell r="I178">
            <v>0</v>
          </cell>
          <cell r="J178">
            <v>0</v>
          </cell>
        </row>
        <row r="179">
          <cell r="B179">
            <v>7023</v>
          </cell>
          <cell r="H179">
            <v>0</v>
          </cell>
          <cell r="I179">
            <v>0</v>
          </cell>
          <cell r="J179">
            <v>0</v>
          </cell>
        </row>
        <row r="180">
          <cell r="B180">
            <v>7024</v>
          </cell>
          <cell r="H180">
            <v>0</v>
          </cell>
          <cell r="I180">
            <v>0</v>
          </cell>
          <cell r="J180">
            <v>0</v>
          </cell>
        </row>
        <row r="181">
          <cell r="B181">
            <v>7027</v>
          </cell>
          <cell r="H181">
            <v>0</v>
          </cell>
          <cell r="I181">
            <v>0</v>
          </cell>
          <cell r="J181">
            <v>0</v>
          </cell>
        </row>
        <row r="182">
          <cell r="B182">
            <v>6453</v>
          </cell>
          <cell r="H182">
            <v>0</v>
          </cell>
          <cell r="I182">
            <v>0</v>
          </cell>
          <cell r="J182">
            <v>0</v>
          </cell>
        </row>
        <row r="183">
          <cell r="B183">
            <v>7028</v>
          </cell>
          <cell r="H183">
            <v>0</v>
          </cell>
          <cell r="I183">
            <v>0</v>
          </cell>
          <cell r="J183">
            <v>0</v>
          </cell>
        </row>
        <row r="184">
          <cell r="B184">
            <v>7038</v>
          </cell>
          <cell r="H184">
            <v>0</v>
          </cell>
          <cell r="I184">
            <v>0</v>
          </cell>
          <cell r="J184">
            <v>0</v>
          </cell>
        </row>
        <row r="185">
          <cell r="B185">
            <v>7039</v>
          </cell>
          <cell r="H185">
            <v>0</v>
          </cell>
          <cell r="I185">
            <v>0</v>
          </cell>
          <cell r="J185">
            <v>0</v>
          </cell>
        </row>
        <row r="186">
          <cell r="B186">
            <v>7029</v>
          </cell>
          <cell r="H186">
            <v>0</v>
          </cell>
          <cell r="I186">
            <v>0</v>
          </cell>
          <cell r="J186">
            <v>0</v>
          </cell>
        </row>
        <row r="187">
          <cell r="B187">
            <v>7037</v>
          </cell>
          <cell r="H187">
            <v>0</v>
          </cell>
          <cell r="I187">
            <v>0</v>
          </cell>
          <cell r="J187">
            <v>0</v>
          </cell>
        </row>
        <row r="188">
          <cell r="B188">
            <v>7040</v>
          </cell>
          <cell r="H188">
            <v>0</v>
          </cell>
          <cell r="I188">
            <v>0</v>
          </cell>
          <cell r="J188">
            <v>0</v>
          </cell>
        </row>
        <row r="189">
          <cell r="B189">
            <v>7043</v>
          </cell>
          <cell r="H189">
            <v>6</v>
          </cell>
          <cell r="I189">
            <v>0</v>
          </cell>
          <cell r="J189">
            <v>0</v>
          </cell>
        </row>
        <row r="190">
          <cell r="B190">
            <v>7053</v>
          </cell>
          <cell r="H190">
            <v>0</v>
          </cell>
          <cell r="I190">
            <v>0</v>
          </cell>
          <cell r="J190">
            <v>0</v>
          </cell>
        </row>
        <row r="191">
          <cell r="B191">
            <v>7045</v>
          </cell>
          <cell r="H191">
            <v>0</v>
          </cell>
          <cell r="I191">
            <v>0</v>
          </cell>
          <cell r="J191">
            <v>0</v>
          </cell>
        </row>
        <row r="192">
          <cell r="B192">
            <v>7046</v>
          </cell>
          <cell r="H192">
            <v>0</v>
          </cell>
          <cell r="I192">
            <v>0</v>
          </cell>
          <cell r="J192">
            <v>0</v>
          </cell>
        </row>
        <row r="193">
          <cell r="B193">
            <v>7047</v>
          </cell>
          <cell r="H193">
            <v>0</v>
          </cell>
          <cell r="I193">
            <v>0</v>
          </cell>
          <cell r="J193">
            <v>0</v>
          </cell>
        </row>
        <row r="194">
          <cell r="B194">
            <v>7048</v>
          </cell>
          <cell r="H194">
            <v>0</v>
          </cell>
          <cell r="I194">
            <v>0</v>
          </cell>
          <cell r="J194">
            <v>0</v>
          </cell>
        </row>
        <row r="195">
          <cell r="B195">
            <v>7050</v>
          </cell>
          <cell r="H195">
            <v>1.5</v>
          </cell>
          <cell r="I195">
            <v>0</v>
          </cell>
          <cell r="J195">
            <v>0</v>
          </cell>
        </row>
        <row r="196">
          <cell r="B196">
            <v>7051</v>
          </cell>
          <cell r="H196">
            <v>0</v>
          </cell>
          <cell r="I196">
            <v>0</v>
          </cell>
          <cell r="J196">
            <v>0</v>
          </cell>
        </row>
        <row r="197">
          <cell r="B197">
            <v>7052</v>
          </cell>
          <cell r="H197">
            <v>0</v>
          </cell>
          <cell r="I197">
            <v>16.5</v>
          </cell>
          <cell r="J197">
            <v>8</v>
          </cell>
        </row>
        <row r="198">
          <cell r="B198">
            <v>7054</v>
          </cell>
          <cell r="H198">
            <v>0</v>
          </cell>
          <cell r="I198">
            <v>0</v>
          </cell>
          <cell r="J198">
            <v>0</v>
          </cell>
        </row>
        <row r="199">
          <cell r="B199">
            <v>7055</v>
          </cell>
          <cell r="H199">
            <v>0</v>
          </cell>
          <cell r="I199">
            <v>0</v>
          </cell>
          <cell r="J199">
            <v>0</v>
          </cell>
        </row>
        <row r="200">
          <cell r="B200">
            <v>7056</v>
          </cell>
          <cell r="H200">
            <v>0</v>
          </cell>
          <cell r="I200">
            <v>0</v>
          </cell>
          <cell r="J200">
            <v>0</v>
          </cell>
        </row>
        <row r="201">
          <cell r="B201">
            <v>7059</v>
          </cell>
          <cell r="H201">
            <v>0</v>
          </cell>
          <cell r="I201">
            <v>0</v>
          </cell>
          <cell r="J201">
            <v>0</v>
          </cell>
        </row>
        <row r="202">
          <cell r="B202">
            <v>7060</v>
          </cell>
          <cell r="H202">
            <v>0</v>
          </cell>
          <cell r="I202">
            <v>0</v>
          </cell>
          <cell r="J202">
            <v>0</v>
          </cell>
        </row>
        <row r="203">
          <cell r="B203">
            <v>7061</v>
          </cell>
          <cell r="H203">
            <v>0</v>
          </cell>
          <cell r="I203">
            <v>0</v>
          </cell>
          <cell r="J203">
            <v>0</v>
          </cell>
        </row>
        <row r="204">
          <cell r="B204">
            <v>7063</v>
          </cell>
          <cell r="H204">
            <v>0</v>
          </cell>
          <cell r="I204">
            <v>0</v>
          </cell>
          <cell r="J204">
            <v>6</v>
          </cell>
        </row>
        <row r="205">
          <cell r="B205">
            <v>7064</v>
          </cell>
          <cell r="H205">
            <v>0</v>
          </cell>
          <cell r="I205">
            <v>0</v>
          </cell>
          <cell r="J205">
            <v>0</v>
          </cell>
        </row>
        <row r="206">
          <cell r="B206">
            <v>7065</v>
          </cell>
          <cell r="H206">
            <v>0</v>
          </cell>
          <cell r="I206">
            <v>0</v>
          </cell>
          <cell r="J206">
            <v>0</v>
          </cell>
        </row>
        <row r="207">
          <cell r="B207">
            <v>7069</v>
          </cell>
          <cell r="H207">
            <v>0</v>
          </cell>
          <cell r="I207">
            <v>0</v>
          </cell>
          <cell r="J207">
            <v>0</v>
          </cell>
        </row>
        <row r="208">
          <cell r="B208">
            <v>7070</v>
          </cell>
          <cell r="H208">
            <v>0</v>
          </cell>
          <cell r="I208">
            <v>0</v>
          </cell>
          <cell r="J208">
            <v>0</v>
          </cell>
        </row>
        <row r="209">
          <cell r="B209">
            <v>7071</v>
          </cell>
          <cell r="H209">
            <v>0</v>
          </cell>
          <cell r="I209">
            <v>0</v>
          </cell>
          <cell r="J209">
            <v>0</v>
          </cell>
        </row>
        <row r="210">
          <cell r="B210">
            <v>7072</v>
          </cell>
          <cell r="H210">
            <v>0</v>
          </cell>
          <cell r="I210">
            <v>0</v>
          </cell>
          <cell r="J210">
            <v>0</v>
          </cell>
        </row>
        <row r="211">
          <cell r="B211">
            <v>7073</v>
          </cell>
          <cell r="H211">
            <v>0</v>
          </cell>
          <cell r="I211">
            <v>0</v>
          </cell>
          <cell r="J211">
            <v>0</v>
          </cell>
        </row>
        <row r="212">
          <cell r="B212">
            <v>7074</v>
          </cell>
          <cell r="H212">
            <v>0</v>
          </cell>
          <cell r="I212">
            <v>0</v>
          </cell>
          <cell r="J212">
            <v>0</v>
          </cell>
        </row>
        <row r="213">
          <cell r="B213">
            <v>7075</v>
          </cell>
          <cell r="H213">
            <v>0</v>
          </cell>
          <cell r="I213">
            <v>0</v>
          </cell>
          <cell r="J213">
            <v>0</v>
          </cell>
        </row>
        <row r="214">
          <cell r="B214">
            <v>7076</v>
          </cell>
          <cell r="H214">
            <v>0</v>
          </cell>
          <cell r="I214">
            <v>0</v>
          </cell>
          <cell r="J214">
            <v>0</v>
          </cell>
        </row>
        <row r="215">
          <cell r="B215">
            <v>7077</v>
          </cell>
          <cell r="H215">
            <v>1.6</v>
          </cell>
          <cell r="I215">
            <v>0.9</v>
          </cell>
          <cell r="J215">
            <v>2.4</v>
          </cell>
        </row>
        <row r="216">
          <cell r="B216">
            <v>7078</v>
          </cell>
          <cell r="H216">
            <v>0</v>
          </cell>
          <cell r="I216">
            <v>1.8</v>
          </cell>
          <cell r="J216">
            <v>0</v>
          </cell>
        </row>
        <row r="217">
          <cell r="B217">
            <v>7080</v>
          </cell>
          <cell r="H217">
            <v>3</v>
          </cell>
          <cell r="I217">
            <v>0</v>
          </cell>
          <cell r="J217">
            <v>1.5</v>
          </cell>
        </row>
        <row r="218">
          <cell r="B218">
            <v>7436</v>
          </cell>
          <cell r="H218">
            <v>0</v>
          </cell>
          <cell r="I218">
            <v>0</v>
          </cell>
          <cell r="J218">
            <v>0</v>
          </cell>
        </row>
        <row r="219">
          <cell r="B219">
            <v>7910</v>
          </cell>
          <cell r="H219">
            <v>5.0999999999999996</v>
          </cell>
          <cell r="I219">
            <v>0</v>
          </cell>
          <cell r="J219">
            <v>0</v>
          </cell>
        </row>
        <row r="220">
          <cell r="B220">
            <v>7920</v>
          </cell>
          <cell r="H220">
            <v>1.7</v>
          </cell>
          <cell r="I220">
            <v>0</v>
          </cell>
          <cell r="J220">
            <v>0</v>
          </cell>
        </row>
        <row r="221">
          <cell r="B221">
            <v>7930</v>
          </cell>
          <cell r="H221">
            <v>1.7</v>
          </cell>
          <cell r="I221">
            <v>0</v>
          </cell>
          <cell r="J221">
            <v>0</v>
          </cell>
        </row>
        <row r="222">
          <cell r="B222">
            <v>7931</v>
          </cell>
          <cell r="H222">
            <v>0</v>
          </cell>
          <cell r="I222">
            <v>0</v>
          </cell>
          <cell r="J222">
            <v>0</v>
          </cell>
        </row>
        <row r="223">
          <cell r="H223">
            <v>0</v>
          </cell>
          <cell r="I223">
            <v>0</v>
          </cell>
          <cell r="J223">
            <v>0</v>
          </cell>
        </row>
        <row r="224">
          <cell r="H224">
            <v>0</v>
          </cell>
          <cell r="I224">
            <v>0</v>
          </cell>
          <cell r="J224">
            <v>0</v>
          </cell>
        </row>
        <row r="225">
          <cell r="H225">
            <v>0</v>
          </cell>
          <cell r="I225">
            <v>0</v>
          </cell>
          <cell r="J225">
            <v>0</v>
          </cell>
        </row>
        <row r="226">
          <cell r="H226">
            <v>0</v>
          </cell>
          <cell r="I226">
            <v>0</v>
          </cell>
          <cell r="J226">
            <v>0</v>
          </cell>
        </row>
        <row r="227">
          <cell r="H227">
            <v>0</v>
          </cell>
          <cell r="I227">
            <v>0</v>
          </cell>
          <cell r="J227">
            <v>0</v>
          </cell>
        </row>
        <row r="228">
          <cell r="H228">
            <v>0</v>
          </cell>
          <cell r="I228">
            <v>0</v>
          </cell>
          <cell r="J228">
            <v>0</v>
          </cell>
        </row>
        <row r="229">
          <cell r="H229">
            <v>0</v>
          </cell>
          <cell r="I229">
            <v>0</v>
          </cell>
          <cell r="J229">
            <v>0</v>
          </cell>
        </row>
        <row r="230">
          <cell r="H230">
            <v>0</v>
          </cell>
          <cell r="I230">
            <v>0</v>
          </cell>
          <cell r="J230">
            <v>0</v>
          </cell>
        </row>
        <row r="231">
          <cell r="H231">
            <v>0</v>
          </cell>
          <cell r="I231">
            <v>0</v>
          </cell>
          <cell r="J231">
            <v>0</v>
          </cell>
        </row>
        <row r="232">
          <cell r="H232">
            <v>0</v>
          </cell>
          <cell r="I232">
            <v>0</v>
          </cell>
          <cell r="J232">
            <v>0</v>
          </cell>
        </row>
        <row r="233">
          <cell r="H233">
            <v>0</v>
          </cell>
          <cell r="I233">
            <v>0</v>
          </cell>
          <cell r="J233">
            <v>0</v>
          </cell>
        </row>
        <row r="234">
          <cell r="H234">
            <v>0</v>
          </cell>
          <cell r="I234">
            <v>0</v>
          </cell>
          <cell r="J234">
            <v>0</v>
          </cell>
        </row>
        <row r="235">
          <cell r="H235">
            <v>0</v>
          </cell>
          <cell r="I235">
            <v>0</v>
          </cell>
          <cell r="J235">
            <v>0</v>
          </cell>
        </row>
        <row r="236">
          <cell r="H236">
            <v>0</v>
          </cell>
          <cell r="I236">
            <v>0</v>
          </cell>
          <cell r="J236">
            <v>0</v>
          </cell>
        </row>
        <row r="237">
          <cell r="H237">
            <v>0</v>
          </cell>
          <cell r="I237">
            <v>0</v>
          </cell>
          <cell r="J237">
            <v>0</v>
          </cell>
        </row>
        <row r="238">
          <cell r="H238">
            <v>0</v>
          </cell>
          <cell r="I238">
            <v>0</v>
          </cell>
          <cell r="J238">
            <v>0</v>
          </cell>
        </row>
        <row r="239">
          <cell r="H239">
            <v>0</v>
          </cell>
          <cell r="I239">
            <v>0</v>
          </cell>
          <cell r="J239">
            <v>0</v>
          </cell>
        </row>
        <row r="240">
          <cell r="H240">
            <v>0</v>
          </cell>
          <cell r="I240">
            <v>0</v>
          </cell>
          <cell r="J240">
            <v>0</v>
          </cell>
        </row>
        <row r="241">
          <cell r="H241">
            <v>0</v>
          </cell>
          <cell r="I241">
            <v>0</v>
          </cell>
          <cell r="J241">
            <v>0</v>
          </cell>
        </row>
        <row r="242">
          <cell r="H242">
            <v>0</v>
          </cell>
          <cell r="I242">
            <v>0</v>
          </cell>
          <cell r="J242">
            <v>0</v>
          </cell>
        </row>
        <row r="243">
          <cell r="H243">
            <v>0</v>
          </cell>
          <cell r="I243">
            <v>0</v>
          </cell>
          <cell r="J243">
            <v>0</v>
          </cell>
        </row>
        <row r="244">
          <cell r="H244">
            <v>0</v>
          </cell>
          <cell r="I244">
            <v>0</v>
          </cell>
          <cell r="J244">
            <v>0</v>
          </cell>
        </row>
        <row r="245">
          <cell r="H245">
            <v>0</v>
          </cell>
          <cell r="I245">
            <v>0</v>
          </cell>
          <cell r="J245">
            <v>0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onfiguracja"/>
      <sheetName val="Receptury "/>
      <sheetName val="Receptury_z"/>
      <sheetName val="Kalkulator mięs "/>
      <sheetName val="plan na nadziewarki"/>
      <sheetName val="Kalkulator klony"/>
      <sheetName val="TPS_mięsa"/>
      <sheetName val="Rozbiór"/>
      <sheetName val="Dane stany"/>
      <sheetName val="Kalkulator Wędzonki "/>
      <sheetName val="Plan Nastrzyk "/>
      <sheetName val="TPS wędzonki "/>
      <sheetName val="Klony 1"/>
      <sheetName val="Klon 2 "/>
      <sheetName val="Kalkulator uśrednianie. "/>
      <sheetName val="PLAN_P"/>
      <sheetName val="ZAKUPY wieprz."/>
      <sheetName val="Drobie"/>
      <sheetName val="Baza Asort"/>
    </sheetNames>
    <sheetDataSet>
      <sheetData sheetId="0">
        <row r="3">
          <cell r="O3">
            <v>2202</v>
          </cell>
          <cell r="P3">
            <v>2212</v>
          </cell>
          <cell r="Q3">
            <v>9999</v>
          </cell>
          <cell r="AD3">
            <v>9999</v>
          </cell>
          <cell r="AE3">
            <v>9999</v>
          </cell>
        </row>
        <row r="4">
          <cell r="O4">
            <v>1265</v>
          </cell>
          <cell r="P4">
            <v>9999</v>
          </cell>
          <cell r="Q4">
            <v>9999</v>
          </cell>
          <cell r="AD4">
            <v>9999</v>
          </cell>
          <cell r="AE4">
            <v>9999</v>
          </cell>
        </row>
        <row r="5">
          <cell r="O5">
            <v>2203</v>
          </cell>
          <cell r="P5">
            <v>2213</v>
          </cell>
          <cell r="Q5">
            <v>2225</v>
          </cell>
          <cell r="AD5">
            <v>2229</v>
          </cell>
          <cell r="AE5">
            <v>9999</v>
          </cell>
        </row>
        <row r="6">
          <cell r="O6">
            <v>2210</v>
          </cell>
          <cell r="P6">
            <v>9999</v>
          </cell>
          <cell r="Q6">
            <v>9999</v>
          </cell>
          <cell r="AD6">
            <v>9999</v>
          </cell>
          <cell r="AE6">
            <v>9999</v>
          </cell>
        </row>
        <row r="7">
          <cell r="O7">
            <v>1239</v>
          </cell>
          <cell r="P7">
            <v>9999</v>
          </cell>
          <cell r="Q7">
            <v>9999</v>
          </cell>
          <cell r="AD7">
            <v>9999</v>
          </cell>
          <cell r="AE7">
            <v>9999</v>
          </cell>
        </row>
        <row r="8">
          <cell r="O8">
            <v>1365</v>
          </cell>
          <cell r="P8">
            <v>1342</v>
          </cell>
          <cell r="Q8">
            <v>9999</v>
          </cell>
          <cell r="AD8">
            <v>9999</v>
          </cell>
          <cell r="AE8">
            <v>9999</v>
          </cell>
        </row>
        <row r="9">
          <cell r="O9">
            <v>1624</v>
          </cell>
          <cell r="P9">
            <v>9999</v>
          </cell>
          <cell r="Q9">
            <v>9999</v>
          </cell>
          <cell r="AD9">
            <v>9999</v>
          </cell>
          <cell r="AE9">
            <v>9999</v>
          </cell>
        </row>
        <row r="10">
          <cell r="O10">
            <v>2204</v>
          </cell>
          <cell r="P10">
            <v>2214</v>
          </cell>
          <cell r="Q10">
            <v>9999</v>
          </cell>
          <cell r="AD10">
            <v>9999</v>
          </cell>
          <cell r="AE10">
            <v>9999</v>
          </cell>
        </row>
        <row r="11">
          <cell r="O11">
            <v>5214</v>
          </cell>
          <cell r="P11">
            <v>9999</v>
          </cell>
          <cell r="Q11">
            <v>9999</v>
          </cell>
          <cell r="AD11">
            <v>9999</v>
          </cell>
          <cell r="AE11">
            <v>9999</v>
          </cell>
        </row>
        <row r="12">
          <cell r="O12">
            <v>2209</v>
          </cell>
          <cell r="P12">
            <v>1923</v>
          </cell>
          <cell r="Q12">
            <v>2222</v>
          </cell>
          <cell r="AD12">
            <v>2220</v>
          </cell>
          <cell r="AE12">
            <v>9999</v>
          </cell>
        </row>
        <row r="13">
          <cell r="O13">
            <v>2205</v>
          </cell>
          <cell r="P13">
            <v>2197</v>
          </cell>
          <cell r="Q13">
            <v>2195</v>
          </cell>
          <cell r="AD13">
            <v>1315</v>
          </cell>
          <cell r="AE13">
            <v>2194</v>
          </cell>
        </row>
        <row r="14">
          <cell r="O14">
            <v>5215</v>
          </cell>
          <cell r="P14">
            <v>9999</v>
          </cell>
          <cell r="Q14">
            <v>9999</v>
          </cell>
          <cell r="AD14">
            <v>9999</v>
          </cell>
          <cell r="AE14">
            <v>9999</v>
          </cell>
        </row>
        <row r="15">
          <cell r="O15">
            <v>2206</v>
          </cell>
          <cell r="P15">
            <v>9999</v>
          </cell>
          <cell r="Q15">
            <v>9999</v>
          </cell>
          <cell r="AD15">
            <v>9999</v>
          </cell>
          <cell r="AE15">
            <v>9999</v>
          </cell>
        </row>
        <row r="16">
          <cell r="O16">
            <v>5202</v>
          </cell>
          <cell r="P16">
            <v>5010</v>
          </cell>
          <cell r="Q16">
            <v>9999</v>
          </cell>
          <cell r="AD16">
            <v>9999</v>
          </cell>
          <cell r="AE16">
            <v>9999</v>
          </cell>
        </row>
        <row r="17">
          <cell r="O17">
            <v>2912</v>
          </cell>
          <cell r="P17">
            <v>9999</v>
          </cell>
          <cell r="Q17">
            <v>9999</v>
          </cell>
          <cell r="AD17">
            <v>9999</v>
          </cell>
          <cell r="AE17">
            <v>9999</v>
          </cell>
        </row>
        <row r="18">
          <cell r="O18">
            <v>2314</v>
          </cell>
          <cell r="P18">
            <v>2316</v>
          </cell>
          <cell r="Q18">
            <v>9999</v>
          </cell>
          <cell r="AD18">
            <v>9999</v>
          </cell>
          <cell r="AE18">
            <v>9999</v>
          </cell>
        </row>
        <row r="19">
          <cell r="O19">
            <v>2003</v>
          </cell>
          <cell r="P19">
            <v>9999</v>
          </cell>
          <cell r="Q19">
            <v>9999</v>
          </cell>
          <cell r="AD19">
            <v>9999</v>
          </cell>
          <cell r="AE19">
            <v>9999</v>
          </cell>
        </row>
        <row r="20">
          <cell r="O20">
            <v>1222</v>
          </cell>
          <cell r="P20">
            <v>9999</v>
          </cell>
          <cell r="Q20">
            <v>9999</v>
          </cell>
          <cell r="AD20">
            <v>9999</v>
          </cell>
          <cell r="AE20">
            <v>9999</v>
          </cell>
        </row>
        <row r="21">
          <cell r="O21">
            <v>5226</v>
          </cell>
          <cell r="P21">
            <v>9999</v>
          </cell>
          <cell r="Q21">
            <v>9999</v>
          </cell>
          <cell r="AD21">
            <v>9999</v>
          </cell>
          <cell r="AE21">
            <v>9999</v>
          </cell>
        </row>
        <row r="22">
          <cell r="O22">
            <v>52264000</v>
          </cell>
          <cell r="P22">
            <v>9999</v>
          </cell>
          <cell r="Q22">
            <v>9999</v>
          </cell>
          <cell r="AD22">
            <v>9999</v>
          </cell>
          <cell r="AE22">
            <v>9999</v>
          </cell>
        </row>
        <row r="23">
          <cell r="O23">
            <v>2223</v>
          </cell>
          <cell r="P23">
            <v>9999</v>
          </cell>
          <cell r="Q23">
            <v>9999</v>
          </cell>
          <cell r="AD23">
            <v>9999</v>
          </cell>
          <cell r="AE23">
            <v>9999</v>
          </cell>
        </row>
        <row r="24">
          <cell r="O24">
            <v>1296</v>
          </cell>
          <cell r="P24">
            <v>9999</v>
          </cell>
          <cell r="Q24">
            <v>9999</v>
          </cell>
          <cell r="AD24">
            <v>9999</v>
          </cell>
          <cell r="AE24">
            <v>9999</v>
          </cell>
        </row>
        <row r="25">
          <cell r="O25">
            <v>5025</v>
          </cell>
          <cell r="P25">
            <v>9999</v>
          </cell>
          <cell r="Q25">
            <v>9999</v>
          </cell>
          <cell r="AD25">
            <v>9999</v>
          </cell>
          <cell r="AE25">
            <v>9999</v>
          </cell>
        </row>
        <row r="26">
          <cell r="O26">
            <v>5022</v>
          </cell>
          <cell r="P26">
            <v>9999</v>
          </cell>
          <cell r="Q26">
            <v>9999</v>
          </cell>
          <cell r="AD26">
            <v>9999</v>
          </cell>
          <cell r="AE26">
            <v>9999</v>
          </cell>
        </row>
        <row r="27">
          <cell r="O27">
            <v>5523</v>
          </cell>
          <cell r="P27">
            <v>9999</v>
          </cell>
          <cell r="Q27">
            <v>9999</v>
          </cell>
          <cell r="AD27">
            <v>9999</v>
          </cell>
          <cell r="AE27">
            <v>9999</v>
          </cell>
        </row>
        <row r="28">
          <cell r="O28">
            <v>1787</v>
          </cell>
          <cell r="P28">
            <v>9999</v>
          </cell>
          <cell r="Q28">
            <v>9999</v>
          </cell>
          <cell r="AD28">
            <v>9999</v>
          </cell>
          <cell r="AE28">
            <v>9999</v>
          </cell>
        </row>
        <row r="29">
          <cell r="O29">
            <v>5781</v>
          </cell>
          <cell r="P29">
            <v>9999</v>
          </cell>
          <cell r="Q29">
            <v>9999</v>
          </cell>
          <cell r="AD29">
            <v>9999</v>
          </cell>
          <cell r="AE29">
            <v>9999</v>
          </cell>
        </row>
        <row r="30">
          <cell r="O30">
            <v>3010</v>
          </cell>
          <cell r="P30">
            <v>3014</v>
          </cell>
          <cell r="Q30">
            <v>9999</v>
          </cell>
          <cell r="AD30">
            <v>9999</v>
          </cell>
          <cell r="AE30">
            <v>9999</v>
          </cell>
        </row>
        <row r="31">
          <cell r="O31">
            <v>3009</v>
          </cell>
          <cell r="P31">
            <v>3012</v>
          </cell>
          <cell r="Q31">
            <v>3011</v>
          </cell>
          <cell r="AD31">
            <v>3016</v>
          </cell>
          <cell r="AE31">
            <v>9999</v>
          </cell>
        </row>
        <row r="32">
          <cell r="O32">
            <v>5304</v>
          </cell>
          <cell r="P32">
            <v>3004</v>
          </cell>
          <cell r="Q32">
            <v>9999</v>
          </cell>
          <cell r="AD32">
            <v>9999</v>
          </cell>
          <cell r="AE32">
            <v>9999</v>
          </cell>
        </row>
        <row r="33">
          <cell r="O33">
            <v>3006</v>
          </cell>
          <cell r="P33">
            <v>9999</v>
          </cell>
          <cell r="Q33">
            <v>9999</v>
          </cell>
          <cell r="AD33">
            <v>9999</v>
          </cell>
          <cell r="AE33">
            <v>9999</v>
          </cell>
        </row>
        <row r="34">
          <cell r="O34">
            <v>3008</v>
          </cell>
          <cell r="P34">
            <v>9999</v>
          </cell>
          <cell r="Q34">
            <v>9999</v>
          </cell>
          <cell r="AD34">
            <v>9999</v>
          </cell>
          <cell r="AE34">
            <v>9999</v>
          </cell>
        </row>
        <row r="35">
          <cell r="O35">
            <v>6499</v>
          </cell>
          <cell r="P35">
            <v>5788</v>
          </cell>
          <cell r="Q35">
            <v>9999</v>
          </cell>
          <cell r="AD35">
            <v>9999</v>
          </cell>
          <cell r="AE35">
            <v>9999</v>
          </cell>
        </row>
        <row r="36">
          <cell r="O36">
            <v>6448</v>
          </cell>
          <cell r="P36">
            <v>9999</v>
          </cell>
          <cell r="Q36">
            <v>9999</v>
          </cell>
          <cell r="AD36">
            <v>9999</v>
          </cell>
          <cell r="AE36">
            <v>9999</v>
          </cell>
        </row>
        <row r="37">
          <cell r="O37">
            <v>9999</v>
          </cell>
          <cell r="P37">
            <v>9999</v>
          </cell>
          <cell r="Q37">
            <v>9999</v>
          </cell>
          <cell r="AD37">
            <v>9999</v>
          </cell>
          <cell r="AE37">
            <v>9999</v>
          </cell>
        </row>
        <row r="38">
          <cell r="O38">
            <v>1202</v>
          </cell>
          <cell r="P38">
            <v>1204</v>
          </cell>
          <cell r="Q38">
            <v>9999</v>
          </cell>
          <cell r="AD38">
            <v>9999</v>
          </cell>
          <cell r="AE38">
            <v>9999</v>
          </cell>
        </row>
        <row r="39">
          <cell r="O39">
            <v>5027</v>
          </cell>
          <cell r="P39">
            <v>9999</v>
          </cell>
          <cell r="Q39">
            <v>9999</v>
          </cell>
          <cell r="AD39">
            <v>9999</v>
          </cell>
          <cell r="AE39">
            <v>9999</v>
          </cell>
        </row>
        <row r="40">
          <cell r="O40">
            <v>2796</v>
          </cell>
          <cell r="P40">
            <v>2768</v>
          </cell>
          <cell r="Q40">
            <v>9999</v>
          </cell>
          <cell r="AD40">
            <v>9999</v>
          </cell>
          <cell r="AE40">
            <v>9999</v>
          </cell>
        </row>
        <row r="41">
          <cell r="O41">
            <v>5587</v>
          </cell>
          <cell r="P41">
            <v>9999</v>
          </cell>
          <cell r="Q41">
            <v>9999</v>
          </cell>
          <cell r="AD41">
            <v>9999</v>
          </cell>
          <cell r="AE41">
            <v>9999</v>
          </cell>
        </row>
        <row r="42">
          <cell r="O42">
            <v>2211</v>
          </cell>
          <cell r="P42">
            <v>9999</v>
          </cell>
          <cell r="Q42">
            <v>9999</v>
          </cell>
          <cell r="AD42">
            <v>9999</v>
          </cell>
          <cell r="AE42">
            <v>9999</v>
          </cell>
        </row>
        <row r="43">
          <cell r="O43">
            <v>9999</v>
          </cell>
          <cell r="P43">
            <v>9999</v>
          </cell>
          <cell r="Q43">
            <v>9999</v>
          </cell>
          <cell r="AD43">
            <v>9999</v>
          </cell>
          <cell r="AE43">
            <v>9999</v>
          </cell>
        </row>
        <row r="44">
          <cell r="O44">
            <v>9999</v>
          </cell>
          <cell r="P44">
            <v>9999</v>
          </cell>
          <cell r="Q44">
            <v>9999</v>
          </cell>
          <cell r="AD44">
            <v>9999</v>
          </cell>
          <cell r="AE44">
            <v>9999</v>
          </cell>
        </row>
        <row r="45">
          <cell r="O45">
            <v>2395</v>
          </cell>
          <cell r="P45">
            <v>9999</v>
          </cell>
          <cell r="Q45">
            <v>9999</v>
          </cell>
          <cell r="AD45">
            <v>9999</v>
          </cell>
          <cell r="AE45">
            <v>9999</v>
          </cell>
        </row>
        <row r="46">
          <cell r="O46">
            <v>9999</v>
          </cell>
          <cell r="P46">
            <v>9999</v>
          </cell>
          <cell r="Q46">
            <v>9999</v>
          </cell>
          <cell r="AD46">
            <v>9999</v>
          </cell>
          <cell r="AE46">
            <v>9999</v>
          </cell>
        </row>
        <row r="55">
          <cell r="N55">
            <v>5135</v>
          </cell>
        </row>
        <row r="56">
          <cell r="N56">
            <v>5114</v>
          </cell>
        </row>
        <row r="57">
          <cell r="N57">
            <v>5448</v>
          </cell>
        </row>
        <row r="58">
          <cell r="N58">
            <v>5103</v>
          </cell>
        </row>
        <row r="59">
          <cell r="N59">
            <v>5410</v>
          </cell>
        </row>
        <row r="60">
          <cell r="N60">
            <v>5142</v>
          </cell>
        </row>
        <row r="61">
          <cell r="N61">
            <v>5274</v>
          </cell>
        </row>
        <row r="62">
          <cell r="N62">
            <v>5560</v>
          </cell>
        </row>
        <row r="63">
          <cell r="N63">
            <v>5424</v>
          </cell>
        </row>
        <row r="64">
          <cell r="N64">
            <v>5421</v>
          </cell>
        </row>
        <row r="65">
          <cell r="N65">
            <v>5430</v>
          </cell>
        </row>
        <row r="66">
          <cell r="N66">
            <v>5431</v>
          </cell>
        </row>
        <row r="67">
          <cell r="N67">
            <v>5433</v>
          </cell>
        </row>
        <row r="68">
          <cell r="N68">
            <v>5438</v>
          </cell>
        </row>
        <row r="69">
          <cell r="N69">
            <v>5529</v>
          </cell>
        </row>
        <row r="70">
          <cell r="N70">
            <v>5559</v>
          </cell>
        </row>
        <row r="71">
          <cell r="N71">
            <v>5476</v>
          </cell>
        </row>
        <row r="72">
          <cell r="N72">
            <v>5553</v>
          </cell>
        </row>
        <row r="73">
          <cell r="N73">
            <v>5572</v>
          </cell>
        </row>
        <row r="74">
          <cell r="N74">
            <v>5574</v>
          </cell>
        </row>
        <row r="75">
          <cell r="N75">
            <v>5555</v>
          </cell>
        </row>
        <row r="76">
          <cell r="N76">
            <v>5527</v>
          </cell>
        </row>
        <row r="77">
          <cell r="N77">
            <v>5542</v>
          </cell>
        </row>
        <row r="78">
          <cell r="N78">
            <v>5543</v>
          </cell>
        </row>
        <row r="79">
          <cell r="N79">
            <v>5555</v>
          </cell>
        </row>
        <row r="80">
          <cell r="N80">
            <v>5555</v>
          </cell>
        </row>
        <row r="81">
          <cell r="N81">
            <v>5576</v>
          </cell>
        </row>
        <row r="82">
          <cell r="N82">
            <v>5577</v>
          </cell>
        </row>
        <row r="83">
          <cell r="N83">
            <v>5575</v>
          </cell>
        </row>
        <row r="84">
          <cell r="N84">
            <v>5681</v>
          </cell>
        </row>
        <row r="85">
          <cell r="N85">
            <v>5532</v>
          </cell>
        </row>
        <row r="86">
          <cell r="N86">
            <v>5526</v>
          </cell>
        </row>
        <row r="87">
          <cell r="N87">
            <v>5680</v>
          </cell>
        </row>
        <row r="88">
          <cell r="N88">
            <v>5445</v>
          </cell>
        </row>
        <row r="89">
          <cell r="N89">
            <v>5450</v>
          </cell>
        </row>
        <row r="90">
          <cell r="N90">
            <v>5531</v>
          </cell>
        </row>
        <row r="91">
          <cell r="N91">
            <v>5483</v>
          </cell>
        </row>
        <row r="92">
          <cell r="N92">
            <v>5447</v>
          </cell>
        </row>
        <row r="93">
          <cell r="N93">
            <v>5676</v>
          </cell>
        </row>
        <row r="94">
          <cell r="N94">
            <v>5681</v>
          </cell>
        </row>
        <row r="95">
          <cell r="N95">
            <v>5573</v>
          </cell>
        </row>
        <row r="96">
          <cell r="N96">
            <v>5676</v>
          </cell>
        </row>
        <row r="97">
          <cell r="N97">
            <v>5527</v>
          </cell>
        </row>
        <row r="98">
          <cell r="N98">
            <v>5457</v>
          </cell>
        </row>
        <row r="99">
          <cell r="N99">
            <v>5430</v>
          </cell>
        </row>
        <row r="100">
          <cell r="N100">
            <v>5533</v>
          </cell>
        </row>
        <row r="101">
          <cell r="N101">
            <v>5465</v>
          </cell>
        </row>
        <row r="102">
          <cell r="N102">
            <v>5465</v>
          </cell>
        </row>
        <row r="103">
          <cell r="N103">
            <v>5465</v>
          </cell>
        </row>
        <row r="104">
          <cell r="N104">
            <v>5492</v>
          </cell>
        </row>
        <row r="105">
          <cell r="N105">
            <v>5524</v>
          </cell>
        </row>
        <row r="106">
          <cell r="N106">
            <v>5522</v>
          </cell>
        </row>
        <row r="107">
          <cell r="N107">
            <v>5523</v>
          </cell>
        </row>
        <row r="108">
          <cell r="N108">
            <v>5522</v>
          </cell>
        </row>
        <row r="109">
          <cell r="N109">
            <v>5551</v>
          </cell>
        </row>
        <row r="110">
          <cell r="N110">
            <v>5552</v>
          </cell>
        </row>
        <row r="111">
          <cell r="N111">
            <v>5554</v>
          </cell>
        </row>
        <row r="112">
          <cell r="N112">
            <v>5558</v>
          </cell>
        </row>
        <row r="113">
          <cell r="N113">
            <v>5562</v>
          </cell>
        </row>
        <row r="114">
          <cell r="N114">
            <v>5534</v>
          </cell>
        </row>
        <row r="115">
          <cell r="N115">
            <v>5535</v>
          </cell>
        </row>
        <row r="116">
          <cell r="N116">
            <v>5562</v>
          </cell>
        </row>
        <row r="117">
          <cell r="N117">
            <v>5528</v>
          </cell>
        </row>
        <row r="118">
          <cell r="N118">
            <v>5544</v>
          </cell>
        </row>
        <row r="119">
          <cell r="N119">
            <v>5549</v>
          </cell>
        </row>
        <row r="120">
          <cell r="N120">
            <v>5550</v>
          </cell>
        </row>
        <row r="121">
          <cell r="N121">
            <v>5556</v>
          </cell>
        </row>
        <row r="122">
          <cell r="N122">
            <v>5545</v>
          </cell>
        </row>
        <row r="123">
          <cell r="N123">
            <v>5547</v>
          </cell>
        </row>
        <row r="124">
          <cell r="N124">
            <v>5561</v>
          </cell>
        </row>
        <row r="125">
          <cell r="N125">
            <v>5548</v>
          </cell>
        </row>
        <row r="126">
          <cell r="N126">
            <v>5546</v>
          </cell>
        </row>
        <row r="127">
          <cell r="N127">
            <v>5022</v>
          </cell>
        </row>
        <row r="128">
          <cell r="N128">
            <v>5781</v>
          </cell>
        </row>
        <row r="129">
          <cell r="N129">
            <v>5214</v>
          </cell>
        </row>
        <row r="130">
          <cell r="N130">
            <v>5215</v>
          </cell>
        </row>
        <row r="131">
          <cell r="N131">
            <v>5010</v>
          </cell>
        </row>
        <row r="132">
          <cell r="N132">
            <v>5226</v>
          </cell>
        </row>
        <row r="133">
          <cell r="N133">
            <v>5025</v>
          </cell>
        </row>
        <row r="134">
          <cell r="N134">
            <v>52264</v>
          </cell>
        </row>
        <row r="135">
          <cell r="N135">
            <v>5523</v>
          </cell>
        </row>
        <row r="136">
          <cell r="N136">
            <v>5523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5">
          <cell r="A5">
            <v>1166</v>
          </cell>
          <cell r="H5">
            <v>5031</v>
          </cell>
        </row>
        <row r="6">
          <cell r="A6">
            <v>1140</v>
          </cell>
          <cell r="H6"/>
        </row>
        <row r="7">
          <cell r="A7">
            <v>1158</v>
          </cell>
          <cell r="H7">
            <v>5368</v>
          </cell>
        </row>
        <row r="8">
          <cell r="A8">
            <v>1280</v>
          </cell>
          <cell r="H8">
            <v>5126</v>
          </cell>
        </row>
        <row r="9">
          <cell r="A9">
            <v>1480</v>
          </cell>
          <cell r="H9">
            <v>5378</v>
          </cell>
        </row>
        <row r="10">
          <cell r="A10">
            <v>2029</v>
          </cell>
          <cell r="H10">
            <v>5041</v>
          </cell>
        </row>
        <row r="11">
          <cell r="A11"/>
          <cell r="H11">
            <v>5041</v>
          </cell>
        </row>
        <row r="12">
          <cell r="A12"/>
          <cell r="H12">
            <v>5041</v>
          </cell>
        </row>
        <row r="13">
          <cell r="A13">
            <v>2916</v>
          </cell>
          <cell r="H13">
            <v>5067</v>
          </cell>
        </row>
        <row r="14">
          <cell r="A14">
            <v>2904</v>
          </cell>
          <cell r="H14"/>
        </row>
        <row r="15">
          <cell r="A15">
            <v>2924</v>
          </cell>
          <cell r="H15">
            <v>5053</v>
          </cell>
        </row>
        <row r="16">
          <cell r="A16"/>
          <cell r="H16">
            <v>5392</v>
          </cell>
        </row>
        <row r="17">
          <cell r="A17">
            <v>1559</v>
          </cell>
          <cell r="H17">
            <v>5042</v>
          </cell>
        </row>
        <row r="18">
          <cell r="A18"/>
          <cell r="H18">
            <v>5362</v>
          </cell>
        </row>
        <row r="19">
          <cell r="A19"/>
          <cell r="H19">
            <v>5352</v>
          </cell>
        </row>
        <row r="20">
          <cell r="A20">
            <v>1533</v>
          </cell>
          <cell r="H20"/>
        </row>
        <row r="21">
          <cell r="A21">
            <v>1518</v>
          </cell>
          <cell r="H21"/>
        </row>
        <row r="22">
          <cell r="A22">
            <v>2915</v>
          </cell>
          <cell r="H22"/>
        </row>
        <row r="23">
          <cell r="A23">
            <v>2910</v>
          </cell>
          <cell r="H23">
            <v>5363</v>
          </cell>
        </row>
        <row r="24">
          <cell r="A24"/>
          <cell r="H24"/>
        </row>
        <row r="25">
          <cell r="A25"/>
          <cell r="H25">
            <v>5365</v>
          </cell>
        </row>
        <row r="26">
          <cell r="A26">
            <v>2934</v>
          </cell>
          <cell r="H26"/>
        </row>
        <row r="27">
          <cell r="A27">
            <v>2919</v>
          </cell>
          <cell r="H27"/>
        </row>
        <row r="28">
          <cell r="A28">
            <v>2914</v>
          </cell>
          <cell r="H28">
            <v>5353</v>
          </cell>
        </row>
        <row r="29">
          <cell r="A29"/>
          <cell r="H29">
            <v>5360</v>
          </cell>
        </row>
        <row r="30">
          <cell r="A30"/>
          <cell r="H30"/>
        </row>
        <row r="31">
          <cell r="A31"/>
          <cell r="H31">
            <v>5351</v>
          </cell>
        </row>
        <row r="32">
          <cell r="A32">
            <v>2818</v>
          </cell>
          <cell r="H32">
            <v>5389</v>
          </cell>
        </row>
        <row r="33">
          <cell r="A33">
            <v>1636</v>
          </cell>
          <cell r="H33">
            <v>5383</v>
          </cell>
        </row>
        <row r="34">
          <cell r="A34">
            <v>1209</v>
          </cell>
          <cell r="H34">
            <v>5088</v>
          </cell>
        </row>
        <row r="35">
          <cell r="A35">
            <v>1730</v>
          </cell>
          <cell r="H35">
            <v>5115</v>
          </cell>
        </row>
        <row r="36">
          <cell r="A36">
            <v>1176</v>
          </cell>
          <cell r="H36">
            <v>5034</v>
          </cell>
        </row>
        <row r="37">
          <cell r="A37">
            <v>1646</v>
          </cell>
          <cell r="H37">
            <v>5047</v>
          </cell>
        </row>
        <row r="38">
          <cell r="A38">
            <v>1972</v>
          </cell>
          <cell r="H38">
            <v>5036</v>
          </cell>
        </row>
        <row r="39">
          <cell r="A39">
            <v>1646</v>
          </cell>
          <cell r="H39">
            <v>5083</v>
          </cell>
        </row>
        <row r="40">
          <cell r="A40">
            <v>2831</v>
          </cell>
          <cell r="H40">
            <v>5106</v>
          </cell>
        </row>
        <row r="41">
          <cell r="A41">
            <v>2806</v>
          </cell>
          <cell r="H41"/>
        </row>
        <row r="42">
          <cell r="A42">
            <v>2808</v>
          </cell>
          <cell r="H42">
            <v>5105</v>
          </cell>
        </row>
        <row r="43">
          <cell r="A43"/>
          <cell r="H43">
            <v>5156</v>
          </cell>
        </row>
        <row r="44">
          <cell r="A44">
            <v>2021</v>
          </cell>
          <cell r="H44">
            <v>5157</v>
          </cell>
        </row>
        <row r="45">
          <cell r="A45">
            <v>1111</v>
          </cell>
          <cell r="H45">
            <v>5158</v>
          </cell>
        </row>
        <row r="46">
          <cell r="A46"/>
          <cell r="H46"/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smw"/>
    </sheetNames>
    <sheetDataSet>
      <sheetData sheetId="0">
        <row r="2">
          <cell r="A2">
            <v>1000636</v>
          </cell>
          <cell r="B2">
            <v>1000636</v>
          </cell>
          <cell r="C2">
            <v>9.89</v>
          </cell>
          <cell r="F2">
            <v>3002639</v>
          </cell>
          <cell r="G2">
            <v>30120112</v>
          </cell>
          <cell r="H2">
            <v>10.33</v>
          </cell>
        </row>
        <row r="3">
          <cell r="A3">
            <v>1000637</v>
          </cell>
          <cell r="B3">
            <v>1000637</v>
          </cell>
          <cell r="C3">
            <v>9.8800000000000008</v>
          </cell>
          <cell r="F3">
            <v>3002897</v>
          </cell>
          <cell r="G3">
            <v>22130152</v>
          </cell>
          <cell r="H3">
            <v>14.6</v>
          </cell>
        </row>
        <row r="4">
          <cell r="A4">
            <v>1000638</v>
          </cell>
          <cell r="B4">
            <v>1000638</v>
          </cell>
          <cell r="C4">
            <v>9.6199999999999992</v>
          </cell>
          <cell r="F4">
            <v>3005540</v>
          </cell>
          <cell r="G4">
            <v>11400130</v>
          </cell>
          <cell r="H4">
            <v>18</v>
          </cell>
        </row>
        <row r="5">
          <cell r="A5">
            <v>1000639</v>
          </cell>
          <cell r="B5">
            <v>1000639</v>
          </cell>
          <cell r="C5">
            <v>9.2899999999999991</v>
          </cell>
          <cell r="F5">
            <v>3005554</v>
          </cell>
          <cell r="G5">
            <v>22590140</v>
          </cell>
          <cell r="H5">
            <v>6.77</v>
          </cell>
        </row>
        <row r="6">
          <cell r="A6">
            <v>1000640</v>
          </cell>
          <cell r="B6">
            <v>1000640</v>
          </cell>
          <cell r="C6">
            <v>8.74</v>
          </cell>
          <cell r="F6">
            <v>3005603</v>
          </cell>
          <cell r="G6">
            <v>30140122</v>
          </cell>
          <cell r="H6">
            <v>11.2</v>
          </cell>
        </row>
        <row r="7">
          <cell r="A7">
            <v>1000641</v>
          </cell>
          <cell r="B7">
            <v>1000641</v>
          </cell>
          <cell r="C7">
            <v>8.74</v>
          </cell>
          <cell r="F7">
            <v>3005763</v>
          </cell>
          <cell r="G7">
            <v>11400152</v>
          </cell>
          <cell r="H7">
            <v>18</v>
          </cell>
        </row>
        <row r="8">
          <cell r="A8">
            <v>1000631</v>
          </cell>
          <cell r="B8">
            <v>1000631</v>
          </cell>
          <cell r="C8">
            <v>6.49</v>
          </cell>
          <cell r="F8">
            <v>3006304</v>
          </cell>
          <cell r="G8">
            <v>22130132</v>
          </cell>
          <cell r="H8">
            <v>14.6</v>
          </cell>
        </row>
        <row r="9">
          <cell r="A9">
            <v>1000632</v>
          </cell>
          <cell r="B9">
            <v>1000632</v>
          </cell>
          <cell r="C9">
            <v>8.9600000000000009</v>
          </cell>
          <cell r="F9">
            <v>3006401</v>
          </cell>
          <cell r="G9">
            <v>22590102</v>
          </cell>
          <cell r="H9">
            <v>6.77</v>
          </cell>
        </row>
        <row r="10">
          <cell r="A10">
            <v>1000633</v>
          </cell>
          <cell r="B10">
            <v>1000633</v>
          </cell>
          <cell r="C10">
            <v>8.39</v>
          </cell>
          <cell r="F10">
            <v>3006991</v>
          </cell>
          <cell r="G10">
            <v>22590130</v>
          </cell>
          <cell r="H10">
            <v>6.77</v>
          </cell>
        </row>
        <row r="11">
          <cell r="A11">
            <v>3015958</v>
          </cell>
          <cell r="B11">
            <v>16480000</v>
          </cell>
          <cell r="C11">
            <v>14.4</v>
          </cell>
          <cell r="F11">
            <v>3008505</v>
          </cell>
          <cell r="G11">
            <v>79870000</v>
          </cell>
          <cell r="H11">
            <v>4.5999999999999996</v>
          </cell>
        </row>
        <row r="12">
          <cell r="A12">
            <v>3017791</v>
          </cell>
          <cell r="B12">
            <v>16481000</v>
          </cell>
          <cell r="C12">
            <v>14.4</v>
          </cell>
          <cell r="F12">
            <v>3008506</v>
          </cell>
          <cell r="G12">
            <v>79880000</v>
          </cell>
          <cell r="H12">
            <v>3.54</v>
          </cell>
        </row>
        <row r="13">
          <cell r="A13">
            <v>3006284</v>
          </cell>
          <cell r="B13">
            <v>29120000</v>
          </cell>
          <cell r="C13">
            <v>14.4</v>
          </cell>
          <cell r="F13">
            <v>3008507</v>
          </cell>
          <cell r="G13">
            <v>79890000</v>
          </cell>
          <cell r="H13">
            <v>1.67</v>
          </cell>
        </row>
        <row r="14">
          <cell r="A14">
            <v>3007774</v>
          </cell>
          <cell r="B14">
            <v>17740000</v>
          </cell>
          <cell r="C14">
            <v>2.2999999999999998</v>
          </cell>
          <cell r="F14">
            <v>3008508</v>
          </cell>
          <cell r="G14">
            <v>79950000</v>
          </cell>
          <cell r="H14">
            <v>3.41</v>
          </cell>
        </row>
        <row r="15">
          <cell r="A15">
            <v>3007891</v>
          </cell>
          <cell r="B15">
            <v>22030000</v>
          </cell>
          <cell r="C15">
            <v>14.4</v>
          </cell>
          <cell r="F15">
            <v>3008647</v>
          </cell>
          <cell r="G15">
            <v>79960110</v>
          </cell>
          <cell r="H15">
            <v>7.6</v>
          </cell>
        </row>
        <row r="16">
          <cell r="A16">
            <v>3007921</v>
          </cell>
          <cell r="B16">
            <v>22140000</v>
          </cell>
          <cell r="C16">
            <v>12.7</v>
          </cell>
          <cell r="F16">
            <v>3009169</v>
          </cell>
          <cell r="G16">
            <v>16460120</v>
          </cell>
          <cell r="H16">
            <v>27</v>
          </cell>
        </row>
        <row r="17">
          <cell r="A17">
            <v>3008013</v>
          </cell>
          <cell r="B17">
            <v>25620000</v>
          </cell>
          <cell r="C17">
            <v>4.5</v>
          </cell>
          <cell r="F17">
            <v>3009274</v>
          </cell>
          <cell r="G17">
            <v>79920000</v>
          </cell>
          <cell r="H17">
            <v>5.96</v>
          </cell>
        </row>
        <row r="18">
          <cell r="A18">
            <v>3008019</v>
          </cell>
          <cell r="B18">
            <v>25660000</v>
          </cell>
          <cell r="C18">
            <v>1.8</v>
          </cell>
          <cell r="F18">
            <v>3010142</v>
          </cell>
          <cell r="G18">
            <v>30150152</v>
          </cell>
          <cell r="H18">
            <v>12.29</v>
          </cell>
        </row>
        <row r="19">
          <cell r="A19">
            <v>3008023</v>
          </cell>
          <cell r="B19">
            <v>25690000</v>
          </cell>
          <cell r="C19">
            <v>0.1</v>
          </cell>
          <cell r="F19">
            <v>3010198</v>
          </cell>
          <cell r="G19">
            <v>79960130</v>
          </cell>
          <cell r="H19">
            <v>1</v>
          </cell>
        </row>
        <row r="20">
          <cell r="A20">
            <v>3008041</v>
          </cell>
          <cell r="B20">
            <v>25880000</v>
          </cell>
          <cell r="C20">
            <v>3.8</v>
          </cell>
          <cell r="F20">
            <v>3010218</v>
          </cell>
          <cell r="G20">
            <v>30090132</v>
          </cell>
          <cell r="H20">
            <v>11.25</v>
          </cell>
        </row>
        <row r="21">
          <cell r="A21">
            <v>3008056</v>
          </cell>
          <cell r="B21">
            <v>25970000</v>
          </cell>
          <cell r="C21">
            <v>4.5</v>
          </cell>
          <cell r="F21">
            <v>3010234</v>
          </cell>
          <cell r="G21">
            <v>30100152</v>
          </cell>
          <cell r="H21">
            <v>13.69</v>
          </cell>
        </row>
        <row r="22">
          <cell r="A22">
            <v>3008133</v>
          </cell>
          <cell r="B22">
            <v>29850000</v>
          </cell>
          <cell r="C22">
            <v>6.3</v>
          </cell>
          <cell r="F22">
            <v>3010696</v>
          </cell>
          <cell r="G22">
            <v>28540120</v>
          </cell>
          <cell r="H22">
            <v>18</v>
          </cell>
        </row>
        <row r="23">
          <cell r="A23">
            <v>3008135</v>
          </cell>
          <cell r="B23">
            <v>29860000</v>
          </cell>
          <cell r="C23">
            <v>2.6</v>
          </cell>
          <cell r="F23">
            <v>3010788</v>
          </cell>
          <cell r="G23">
            <v>28540150</v>
          </cell>
          <cell r="H23">
            <v>18</v>
          </cell>
        </row>
        <row r="24">
          <cell r="A24">
            <v>3011279</v>
          </cell>
          <cell r="B24">
            <v>13490000</v>
          </cell>
          <cell r="C24">
            <v>13.17</v>
          </cell>
          <cell r="F24">
            <v>3010894</v>
          </cell>
          <cell r="G24">
            <v>30080114</v>
          </cell>
          <cell r="H24">
            <v>1.5</v>
          </cell>
        </row>
        <row r="25">
          <cell r="A25">
            <v>3015305</v>
          </cell>
          <cell r="B25">
            <v>25770000</v>
          </cell>
          <cell r="C25">
            <v>1.6</v>
          </cell>
          <cell r="F25">
            <v>3011997</v>
          </cell>
          <cell r="G25">
            <v>28540152</v>
          </cell>
          <cell r="H25">
            <v>18</v>
          </cell>
        </row>
        <row r="26">
          <cell r="A26">
            <v>3015905</v>
          </cell>
          <cell r="B26">
            <v>12450000</v>
          </cell>
          <cell r="C26">
            <v>13.83</v>
          </cell>
          <cell r="F26">
            <v>3012027</v>
          </cell>
          <cell r="G26">
            <v>14270152</v>
          </cell>
          <cell r="H26">
            <v>18.18</v>
          </cell>
        </row>
        <row r="27">
          <cell r="A27">
            <v>3015906</v>
          </cell>
          <cell r="B27">
            <v>12390000</v>
          </cell>
          <cell r="C27">
            <v>13.83</v>
          </cell>
          <cell r="F27">
            <v>3012115</v>
          </cell>
          <cell r="G27">
            <v>30100112</v>
          </cell>
          <cell r="H27">
            <v>13.69</v>
          </cell>
        </row>
        <row r="28">
          <cell r="A28">
            <v>3015953</v>
          </cell>
          <cell r="B28">
            <v>16020000</v>
          </cell>
          <cell r="C28">
            <v>13.6</v>
          </cell>
          <cell r="F28">
            <v>3012145</v>
          </cell>
          <cell r="G28">
            <v>30090112</v>
          </cell>
          <cell r="H28">
            <v>11.25</v>
          </cell>
        </row>
        <row r="29">
          <cell r="A29">
            <v>3015955</v>
          </cell>
          <cell r="B29">
            <v>16000000</v>
          </cell>
          <cell r="C29">
            <v>11.6</v>
          </cell>
          <cell r="F29">
            <v>3012383</v>
          </cell>
          <cell r="G29">
            <v>30070112</v>
          </cell>
          <cell r="H29">
            <v>14</v>
          </cell>
        </row>
        <row r="30">
          <cell r="A30">
            <v>3015978</v>
          </cell>
          <cell r="B30">
            <v>20030000</v>
          </cell>
          <cell r="C30">
            <v>6.8</v>
          </cell>
          <cell r="F30">
            <v>3012471</v>
          </cell>
          <cell r="G30">
            <v>79960100</v>
          </cell>
          <cell r="H30">
            <v>9.4</v>
          </cell>
        </row>
        <row r="31">
          <cell r="A31">
            <v>3015984</v>
          </cell>
          <cell r="B31">
            <v>20420000</v>
          </cell>
          <cell r="C31">
            <v>10.8</v>
          </cell>
          <cell r="F31">
            <v>3012624</v>
          </cell>
          <cell r="G31">
            <v>13240089</v>
          </cell>
          <cell r="H31">
            <v>12.91</v>
          </cell>
        </row>
        <row r="32">
          <cell r="A32">
            <v>3015991</v>
          </cell>
          <cell r="B32">
            <v>22120000</v>
          </cell>
          <cell r="C32">
            <v>14.4</v>
          </cell>
          <cell r="F32">
            <v>3012625</v>
          </cell>
          <cell r="G32">
            <v>22050102</v>
          </cell>
          <cell r="H32">
            <v>9.4</v>
          </cell>
        </row>
        <row r="33">
          <cell r="A33">
            <v>3015992</v>
          </cell>
          <cell r="B33">
            <v>22130000</v>
          </cell>
          <cell r="C33">
            <v>14.4</v>
          </cell>
          <cell r="F33">
            <v>3012632</v>
          </cell>
          <cell r="G33">
            <v>22020110</v>
          </cell>
          <cell r="H33">
            <v>14.6</v>
          </cell>
        </row>
        <row r="34">
          <cell r="A34">
            <v>3015994</v>
          </cell>
          <cell r="B34">
            <v>22390000</v>
          </cell>
          <cell r="C34">
            <v>14.4</v>
          </cell>
          <cell r="F34">
            <v>3012633</v>
          </cell>
          <cell r="G34">
            <v>22040130</v>
          </cell>
          <cell r="H34">
            <v>12.9</v>
          </cell>
        </row>
        <row r="35">
          <cell r="A35">
            <v>3015996</v>
          </cell>
          <cell r="B35">
            <v>22050000</v>
          </cell>
          <cell r="C35">
            <v>9.1999999999999993</v>
          </cell>
          <cell r="F35">
            <v>3012634</v>
          </cell>
          <cell r="G35">
            <v>22140102</v>
          </cell>
          <cell r="H35">
            <v>12.9</v>
          </cell>
        </row>
        <row r="36">
          <cell r="A36">
            <v>3015997</v>
          </cell>
          <cell r="B36">
            <v>22060000</v>
          </cell>
          <cell r="C36">
            <v>12.5</v>
          </cell>
          <cell r="F36">
            <v>3012635</v>
          </cell>
          <cell r="G36">
            <v>23165100</v>
          </cell>
          <cell r="H36">
            <v>3.5</v>
          </cell>
        </row>
        <row r="37">
          <cell r="A37">
            <v>3015998</v>
          </cell>
          <cell r="B37">
            <v>22080000</v>
          </cell>
          <cell r="C37">
            <v>12</v>
          </cell>
          <cell r="F37">
            <v>3012636</v>
          </cell>
          <cell r="G37">
            <v>22080102</v>
          </cell>
          <cell r="H37">
            <v>12.2</v>
          </cell>
        </row>
        <row r="38">
          <cell r="A38">
            <v>3015999</v>
          </cell>
          <cell r="B38">
            <v>22090000</v>
          </cell>
          <cell r="C38">
            <v>6.8</v>
          </cell>
          <cell r="F38">
            <v>3012637</v>
          </cell>
          <cell r="G38">
            <v>20030110</v>
          </cell>
          <cell r="H38">
            <v>7</v>
          </cell>
        </row>
        <row r="39">
          <cell r="A39">
            <v>3016005</v>
          </cell>
          <cell r="B39">
            <v>22040000</v>
          </cell>
          <cell r="C39">
            <v>12.7</v>
          </cell>
          <cell r="F39">
            <v>3012638</v>
          </cell>
          <cell r="G39">
            <v>22040120</v>
          </cell>
          <cell r="H39">
            <v>12.9</v>
          </cell>
        </row>
        <row r="40">
          <cell r="A40">
            <v>3016006</v>
          </cell>
          <cell r="B40">
            <v>23030000</v>
          </cell>
          <cell r="C40">
            <v>6</v>
          </cell>
          <cell r="F40">
            <v>3012639</v>
          </cell>
          <cell r="G40">
            <v>22050170</v>
          </cell>
          <cell r="H40">
            <v>9.4</v>
          </cell>
        </row>
        <row r="41">
          <cell r="A41">
            <v>3016007</v>
          </cell>
          <cell r="B41">
            <v>23950000</v>
          </cell>
          <cell r="C41">
            <v>4.8</v>
          </cell>
          <cell r="F41">
            <v>3012640</v>
          </cell>
          <cell r="G41">
            <v>22060120</v>
          </cell>
          <cell r="H41">
            <v>12.7</v>
          </cell>
        </row>
        <row r="42">
          <cell r="A42">
            <v>3016008</v>
          </cell>
          <cell r="B42">
            <v>23160000</v>
          </cell>
          <cell r="C42">
            <v>3.3</v>
          </cell>
          <cell r="F42">
            <v>3012642</v>
          </cell>
          <cell r="G42">
            <v>23160100</v>
          </cell>
          <cell r="H42">
            <v>3.5</v>
          </cell>
        </row>
        <row r="43">
          <cell r="A43">
            <v>3016011</v>
          </cell>
          <cell r="B43">
            <v>23110000</v>
          </cell>
          <cell r="C43">
            <v>1.9</v>
          </cell>
          <cell r="F43">
            <v>3012644</v>
          </cell>
          <cell r="G43">
            <v>22060112</v>
          </cell>
          <cell r="H43">
            <v>12.7</v>
          </cell>
        </row>
        <row r="44">
          <cell r="A44">
            <v>3016014</v>
          </cell>
          <cell r="B44">
            <v>17800000</v>
          </cell>
          <cell r="C44">
            <v>2.8</v>
          </cell>
          <cell r="F44">
            <v>3012648</v>
          </cell>
          <cell r="G44">
            <v>22042100</v>
          </cell>
          <cell r="H44">
            <v>12.9</v>
          </cell>
        </row>
        <row r="45">
          <cell r="A45">
            <v>3016015</v>
          </cell>
          <cell r="B45">
            <v>17750000</v>
          </cell>
          <cell r="C45">
            <v>2.6</v>
          </cell>
          <cell r="F45">
            <v>3012657</v>
          </cell>
          <cell r="G45">
            <v>13240100</v>
          </cell>
          <cell r="H45">
            <v>12.91</v>
          </cell>
        </row>
        <row r="46">
          <cell r="A46">
            <v>3016016</v>
          </cell>
          <cell r="B46">
            <v>17780000</v>
          </cell>
          <cell r="C46">
            <v>6.3</v>
          </cell>
          <cell r="F46">
            <v>3012659</v>
          </cell>
          <cell r="G46">
            <v>20020021</v>
          </cell>
          <cell r="H46">
            <v>7</v>
          </cell>
        </row>
        <row r="47">
          <cell r="A47">
            <v>3016017</v>
          </cell>
          <cell r="B47">
            <v>17710000</v>
          </cell>
          <cell r="C47">
            <v>3.1</v>
          </cell>
          <cell r="F47">
            <v>3012663</v>
          </cell>
          <cell r="G47">
            <v>22130100</v>
          </cell>
          <cell r="H47">
            <v>14.6</v>
          </cell>
        </row>
        <row r="48">
          <cell r="A48">
            <v>3016019</v>
          </cell>
          <cell r="B48">
            <v>17720000</v>
          </cell>
          <cell r="C48">
            <v>2.2999999999999998</v>
          </cell>
          <cell r="F48">
            <v>3012665</v>
          </cell>
          <cell r="G48">
            <v>22040110</v>
          </cell>
          <cell r="H48">
            <v>12.9</v>
          </cell>
        </row>
        <row r="49">
          <cell r="A49">
            <v>3016021</v>
          </cell>
          <cell r="B49">
            <v>17870000</v>
          </cell>
          <cell r="C49">
            <v>1.1000000000000001</v>
          </cell>
          <cell r="F49">
            <v>3012667</v>
          </cell>
          <cell r="G49">
            <v>22050110</v>
          </cell>
          <cell r="H49">
            <v>9.4</v>
          </cell>
        </row>
        <row r="50">
          <cell r="A50">
            <v>3016022</v>
          </cell>
          <cell r="B50">
            <v>17880000</v>
          </cell>
          <cell r="C50">
            <v>1.1000000000000001</v>
          </cell>
          <cell r="F50">
            <v>3012669</v>
          </cell>
          <cell r="G50">
            <v>22060100</v>
          </cell>
          <cell r="H50">
            <v>12.7</v>
          </cell>
        </row>
        <row r="51">
          <cell r="A51">
            <v>3016024</v>
          </cell>
          <cell r="B51">
            <v>25650000</v>
          </cell>
          <cell r="C51">
            <v>2.4</v>
          </cell>
          <cell r="F51">
            <v>3012673</v>
          </cell>
          <cell r="G51">
            <v>23160150</v>
          </cell>
          <cell r="H51">
            <v>3.5</v>
          </cell>
        </row>
        <row r="52">
          <cell r="A52">
            <v>3016026</v>
          </cell>
          <cell r="B52">
            <v>25700000</v>
          </cell>
          <cell r="C52">
            <v>0.1</v>
          </cell>
          <cell r="F52">
            <v>3012675</v>
          </cell>
          <cell r="G52">
            <v>23160140</v>
          </cell>
          <cell r="H52">
            <v>3.5</v>
          </cell>
        </row>
        <row r="53">
          <cell r="A53">
            <v>3016029</v>
          </cell>
          <cell r="B53">
            <v>25790000</v>
          </cell>
          <cell r="C53">
            <v>3.8</v>
          </cell>
          <cell r="F53">
            <v>3012678</v>
          </cell>
          <cell r="G53">
            <v>24060100</v>
          </cell>
          <cell r="H53">
            <v>0.7</v>
          </cell>
        </row>
        <row r="54">
          <cell r="A54">
            <v>3016033</v>
          </cell>
          <cell r="B54">
            <v>25630000</v>
          </cell>
          <cell r="C54">
            <v>0.1</v>
          </cell>
          <cell r="F54">
            <v>3012680</v>
          </cell>
          <cell r="G54">
            <v>12550100</v>
          </cell>
          <cell r="H54">
            <v>16.3</v>
          </cell>
        </row>
        <row r="55">
          <cell r="A55">
            <v>3016036</v>
          </cell>
          <cell r="B55">
            <v>25590000</v>
          </cell>
          <cell r="C55">
            <v>0.8</v>
          </cell>
          <cell r="F55">
            <v>3012681</v>
          </cell>
          <cell r="G55">
            <v>13650120</v>
          </cell>
          <cell r="H55">
            <v>13.73</v>
          </cell>
        </row>
        <row r="56">
          <cell r="A56">
            <v>3017738</v>
          </cell>
          <cell r="B56">
            <v>12391000</v>
          </cell>
          <cell r="C56">
            <v>13.83</v>
          </cell>
          <cell r="F56">
            <v>3012687</v>
          </cell>
          <cell r="G56">
            <v>13650100</v>
          </cell>
          <cell r="H56">
            <v>13.73</v>
          </cell>
        </row>
        <row r="57">
          <cell r="A57">
            <v>3017785</v>
          </cell>
          <cell r="B57">
            <v>16021000</v>
          </cell>
          <cell r="C57">
            <v>13.6</v>
          </cell>
          <cell r="F57">
            <v>3012693</v>
          </cell>
          <cell r="G57">
            <v>28310100</v>
          </cell>
          <cell r="H57">
            <v>17.2</v>
          </cell>
        </row>
        <row r="58">
          <cell r="A58">
            <v>3017787</v>
          </cell>
          <cell r="B58">
            <v>16001000</v>
          </cell>
          <cell r="C58">
            <v>11.6</v>
          </cell>
          <cell r="F58">
            <v>3012699</v>
          </cell>
          <cell r="G58">
            <v>22130112</v>
          </cell>
          <cell r="H58">
            <v>14.6</v>
          </cell>
        </row>
        <row r="59">
          <cell r="A59">
            <v>3017800</v>
          </cell>
          <cell r="B59">
            <v>20031000</v>
          </cell>
          <cell r="C59">
            <v>6.8</v>
          </cell>
          <cell r="F59">
            <v>3013515</v>
          </cell>
          <cell r="G59">
            <v>30080115</v>
          </cell>
          <cell r="H59">
            <v>1.5</v>
          </cell>
        </row>
        <row r="60">
          <cell r="A60">
            <v>3017802</v>
          </cell>
          <cell r="B60">
            <v>20421000</v>
          </cell>
          <cell r="C60">
            <v>10.8</v>
          </cell>
          <cell r="F60">
            <v>3014138</v>
          </cell>
          <cell r="G60">
            <v>23160112</v>
          </cell>
          <cell r="H60">
            <v>3.5</v>
          </cell>
        </row>
        <row r="61">
          <cell r="A61">
            <v>3017896</v>
          </cell>
          <cell r="B61">
            <v>25771000</v>
          </cell>
          <cell r="C61">
            <v>1.6</v>
          </cell>
          <cell r="F61">
            <v>3014203</v>
          </cell>
          <cell r="G61">
            <v>22130102</v>
          </cell>
          <cell r="H61">
            <v>14.6</v>
          </cell>
        </row>
        <row r="62">
          <cell r="A62">
            <v>3016904</v>
          </cell>
          <cell r="B62">
            <v>22580000</v>
          </cell>
          <cell r="C62">
            <v>1.1000000000000001</v>
          </cell>
          <cell r="F62">
            <v>3014276</v>
          </cell>
          <cell r="G62">
            <v>30070110</v>
          </cell>
          <cell r="H62">
            <v>14</v>
          </cell>
        </row>
        <row r="63">
          <cell r="A63">
            <v>3017736</v>
          </cell>
          <cell r="B63">
            <v>12451000</v>
          </cell>
          <cell r="C63">
            <v>13.83</v>
          </cell>
          <cell r="F63">
            <v>3014278</v>
          </cell>
          <cell r="G63">
            <v>30050112</v>
          </cell>
          <cell r="H63">
            <v>15</v>
          </cell>
        </row>
        <row r="64">
          <cell r="A64">
            <v>3006282</v>
          </cell>
          <cell r="B64">
            <v>22020000</v>
          </cell>
          <cell r="C64">
            <v>14.4</v>
          </cell>
          <cell r="F64">
            <v>3014279</v>
          </cell>
          <cell r="G64">
            <v>30040122</v>
          </cell>
          <cell r="H64">
            <v>1.5</v>
          </cell>
        </row>
        <row r="65">
          <cell r="A65">
            <v>3015993</v>
          </cell>
          <cell r="B65">
            <v>22032000</v>
          </cell>
          <cell r="C65">
            <v>14.4</v>
          </cell>
          <cell r="F65">
            <v>3014319</v>
          </cell>
          <cell r="G65">
            <v>22080100</v>
          </cell>
          <cell r="H65">
            <v>12.2</v>
          </cell>
        </row>
        <row r="66">
          <cell r="A66">
            <v>3016004</v>
          </cell>
          <cell r="B66">
            <v>22042000</v>
          </cell>
          <cell r="C66">
            <v>12.7</v>
          </cell>
          <cell r="F66">
            <v>3014320</v>
          </cell>
          <cell r="G66">
            <v>22030120</v>
          </cell>
          <cell r="H66">
            <v>14.6</v>
          </cell>
        </row>
        <row r="67">
          <cell r="A67">
            <v>3009578</v>
          </cell>
          <cell r="B67">
            <v>22052000</v>
          </cell>
          <cell r="C67">
            <v>9.1999999999999993</v>
          </cell>
          <cell r="F67">
            <v>3014355</v>
          </cell>
          <cell r="G67">
            <v>30080119</v>
          </cell>
          <cell r="H67">
            <v>1.5</v>
          </cell>
        </row>
        <row r="68">
          <cell r="A68">
            <v>3015874</v>
          </cell>
          <cell r="B68">
            <v>18640000</v>
          </cell>
          <cell r="C68">
            <v>10.54</v>
          </cell>
          <cell r="F68">
            <v>3014367</v>
          </cell>
          <cell r="G68">
            <v>13650140</v>
          </cell>
          <cell r="H68">
            <v>13.73</v>
          </cell>
        </row>
        <row r="69">
          <cell r="A69">
            <v>3015872</v>
          </cell>
          <cell r="B69">
            <v>17950000</v>
          </cell>
          <cell r="C69">
            <v>11.11</v>
          </cell>
          <cell r="F69">
            <v>3014381</v>
          </cell>
          <cell r="G69">
            <v>22042110</v>
          </cell>
          <cell r="H69">
            <v>12.9</v>
          </cell>
        </row>
        <row r="70">
          <cell r="A70">
            <v>3015877</v>
          </cell>
          <cell r="B70">
            <v>17920000</v>
          </cell>
          <cell r="C70">
            <v>9.49</v>
          </cell>
          <cell r="F70">
            <v>3014382</v>
          </cell>
          <cell r="G70">
            <v>17870110</v>
          </cell>
          <cell r="H70">
            <v>1.3</v>
          </cell>
        </row>
        <row r="71">
          <cell r="A71">
            <v>3021250</v>
          </cell>
          <cell r="B71">
            <v>20110000</v>
          </cell>
          <cell r="C71">
            <v>10.17</v>
          </cell>
          <cell r="F71">
            <v>3014784</v>
          </cell>
          <cell r="G71">
            <v>11400103</v>
          </cell>
          <cell r="H71">
            <v>18</v>
          </cell>
        </row>
        <row r="72">
          <cell r="A72">
            <v>3015879</v>
          </cell>
          <cell r="B72">
            <v>20080000</v>
          </cell>
          <cell r="C72">
            <v>10.17</v>
          </cell>
          <cell r="F72">
            <v>3014808</v>
          </cell>
          <cell r="G72">
            <v>14270140</v>
          </cell>
          <cell r="H72">
            <v>18.18</v>
          </cell>
        </row>
        <row r="73">
          <cell r="A73">
            <v>3015880</v>
          </cell>
          <cell r="B73">
            <v>15110000</v>
          </cell>
          <cell r="C73">
            <v>9.41</v>
          </cell>
          <cell r="F73">
            <v>3014814</v>
          </cell>
          <cell r="G73">
            <v>28540110</v>
          </cell>
          <cell r="H73">
            <v>18.18</v>
          </cell>
        </row>
        <row r="74">
          <cell r="A74">
            <v>3015957</v>
          </cell>
          <cell r="B74">
            <v>19600000</v>
          </cell>
          <cell r="C74">
            <v>20.239999999999998</v>
          </cell>
          <cell r="F74">
            <v>3014820</v>
          </cell>
          <cell r="G74">
            <v>29350100</v>
          </cell>
          <cell r="H74">
            <v>13.98</v>
          </cell>
        </row>
        <row r="75">
          <cell r="A75">
            <v>3015918</v>
          </cell>
          <cell r="B75">
            <v>18210000</v>
          </cell>
          <cell r="C75">
            <v>8.83</v>
          </cell>
          <cell r="F75">
            <v>3014907</v>
          </cell>
          <cell r="G75">
            <v>29860100</v>
          </cell>
          <cell r="H75">
            <v>2.8</v>
          </cell>
        </row>
        <row r="76">
          <cell r="A76">
            <v>3017751</v>
          </cell>
          <cell r="B76">
            <v>18211000</v>
          </cell>
          <cell r="C76">
            <v>8.83</v>
          </cell>
          <cell r="F76">
            <v>3014996</v>
          </cell>
          <cell r="G76">
            <v>11400100</v>
          </cell>
          <cell r="H76">
            <v>18.2</v>
          </cell>
        </row>
        <row r="77">
          <cell r="A77">
            <v>3015923</v>
          </cell>
          <cell r="B77">
            <v>14840000</v>
          </cell>
          <cell r="C77">
            <v>12.84</v>
          </cell>
          <cell r="F77">
            <v>3015000</v>
          </cell>
          <cell r="G77">
            <v>11700100</v>
          </cell>
          <cell r="H77">
            <v>18</v>
          </cell>
        </row>
        <row r="78">
          <cell r="A78">
            <v>3017758</v>
          </cell>
          <cell r="B78">
            <v>14841000</v>
          </cell>
          <cell r="C78">
            <v>12.84</v>
          </cell>
          <cell r="F78">
            <v>3015085</v>
          </cell>
          <cell r="G78">
            <v>28540160</v>
          </cell>
          <cell r="H78">
            <v>18</v>
          </cell>
        </row>
        <row r="79">
          <cell r="A79">
            <v>3006285</v>
          </cell>
          <cell r="B79">
            <v>28020000</v>
          </cell>
          <cell r="C79">
            <v>14.4</v>
          </cell>
          <cell r="F79">
            <v>3015097</v>
          </cell>
          <cell r="G79">
            <v>14810100</v>
          </cell>
          <cell r="H79">
            <v>18.18</v>
          </cell>
        </row>
        <row r="80">
          <cell r="A80">
            <v>3006303</v>
          </cell>
          <cell r="B80">
            <v>27990000</v>
          </cell>
          <cell r="C80">
            <v>14.4</v>
          </cell>
          <cell r="F80">
            <v>3015125</v>
          </cell>
          <cell r="G80">
            <v>15330120</v>
          </cell>
          <cell r="H80">
            <v>10.96</v>
          </cell>
        </row>
        <row r="81">
          <cell r="A81">
            <v>3007773</v>
          </cell>
          <cell r="B81">
            <v>17730000</v>
          </cell>
          <cell r="C81">
            <v>0.81</v>
          </cell>
          <cell r="F81">
            <v>3015127</v>
          </cell>
          <cell r="G81">
            <v>29350110</v>
          </cell>
          <cell r="H81">
            <v>15.38</v>
          </cell>
        </row>
        <row r="82">
          <cell r="A82">
            <v>3007955</v>
          </cell>
          <cell r="B82">
            <v>22370000</v>
          </cell>
          <cell r="C82">
            <v>2.4</v>
          </cell>
          <cell r="F82">
            <v>3015157</v>
          </cell>
          <cell r="G82">
            <v>16440100</v>
          </cell>
          <cell r="H82">
            <v>27</v>
          </cell>
        </row>
        <row r="83">
          <cell r="A83">
            <v>3007982</v>
          </cell>
          <cell r="B83">
            <v>23200000</v>
          </cell>
          <cell r="C83">
            <v>0.8</v>
          </cell>
          <cell r="F83">
            <v>3015185</v>
          </cell>
          <cell r="G83">
            <v>28520100</v>
          </cell>
          <cell r="H83">
            <v>13.5</v>
          </cell>
        </row>
        <row r="84">
          <cell r="A84">
            <v>3008022</v>
          </cell>
          <cell r="B84">
            <v>25680000</v>
          </cell>
          <cell r="C84">
            <v>0.1</v>
          </cell>
          <cell r="F84">
            <v>3015230</v>
          </cell>
          <cell r="G84">
            <v>22030140</v>
          </cell>
          <cell r="H84">
            <v>14.6</v>
          </cell>
        </row>
        <row r="85">
          <cell r="A85">
            <v>3008029</v>
          </cell>
          <cell r="B85">
            <v>25750000</v>
          </cell>
          <cell r="C85">
            <v>0.1</v>
          </cell>
          <cell r="F85">
            <v>3015279</v>
          </cell>
          <cell r="G85">
            <v>23220007</v>
          </cell>
          <cell r="H85">
            <v>3.5</v>
          </cell>
        </row>
        <row r="86">
          <cell r="A86">
            <v>3008032</v>
          </cell>
          <cell r="B86">
            <v>25760000</v>
          </cell>
          <cell r="C86">
            <v>0.1</v>
          </cell>
          <cell r="F86">
            <v>3015348</v>
          </cell>
          <cell r="G86">
            <v>11340110</v>
          </cell>
          <cell r="H86">
            <v>15.76</v>
          </cell>
        </row>
        <row r="87">
          <cell r="A87">
            <v>3008820</v>
          </cell>
          <cell r="B87">
            <v>20410000</v>
          </cell>
          <cell r="C87">
            <v>8.18</v>
          </cell>
          <cell r="F87">
            <v>3015430</v>
          </cell>
          <cell r="G87">
            <v>79960120</v>
          </cell>
          <cell r="H87">
            <v>9.4</v>
          </cell>
        </row>
        <row r="88">
          <cell r="A88">
            <v>3008837</v>
          </cell>
          <cell r="B88">
            <v>25210000</v>
          </cell>
          <cell r="C88">
            <v>4.5</v>
          </cell>
          <cell r="F88">
            <v>3017020</v>
          </cell>
          <cell r="G88">
            <v>11340100</v>
          </cell>
          <cell r="H88">
            <v>15.76</v>
          </cell>
        </row>
        <row r="89">
          <cell r="A89">
            <v>3014934</v>
          </cell>
          <cell r="B89">
            <v>25410000</v>
          </cell>
          <cell r="C89">
            <v>0.01</v>
          </cell>
          <cell r="F89">
            <v>3017213</v>
          </cell>
          <cell r="G89">
            <v>30080112</v>
          </cell>
          <cell r="H89">
            <v>1.5</v>
          </cell>
        </row>
        <row r="90">
          <cell r="A90">
            <v>3015274</v>
          </cell>
          <cell r="B90">
            <v>24030000</v>
          </cell>
          <cell r="C90">
            <v>2.7</v>
          </cell>
          <cell r="F90">
            <v>3017247</v>
          </cell>
          <cell r="G90">
            <v>79871000</v>
          </cell>
          <cell r="H90">
            <v>5.36</v>
          </cell>
        </row>
        <row r="91">
          <cell r="A91">
            <v>3015286</v>
          </cell>
          <cell r="B91">
            <v>24060000</v>
          </cell>
          <cell r="C91">
            <v>0.5</v>
          </cell>
          <cell r="F91">
            <v>3017248</v>
          </cell>
          <cell r="G91">
            <v>30060172</v>
          </cell>
          <cell r="H91">
            <v>8.5</v>
          </cell>
        </row>
        <row r="92">
          <cell r="A92">
            <v>3015290</v>
          </cell>
          <cell r="B92">
            <v>24090000</v>
          </cell>
          <cell r="C92">
            <v>3.8</v>
          </cell>
          <cell r="F92">
            <v>3017249</v>
          </cell>
          <cell r="G92">
            <v>30060122</v>
          </cell>
          <cell r="H92">
            <v>8.5</v>
          </cell>
        </row>
        <row r="93">
          <cell r="A93">
            <v>3015297</v>
          </cell>
          <cell r="B93">
            <v>24220000</v>
          </cell>
          <cell r="C93">
            <v>1.4</v>
          </cell>
          <cell r="F93">
            <v>3017262</v>
          </cell>
          <cell r="G93">
            <v>30060112</v>
          </cell>
          <cell r="H93">
            <v>8.5</v>
          </cell>
        </row>
        <row r="94">
          <cell r="A94">
            <v>3015300</v>
          </cell>
          <cell r="B94">
            <v>24150000</v>
          </cell>
          <cell r="C94">
            <v>7.8</v>
          </cell>
          <cell r="F94">
            <v>3017271</v>
          </cell>
          <cell r="G94">
            <v>30110182</v>
          </cell>
          <cell r="H94">
            <v>6.5</v>
          </cell>
        </row>
        <row r="95">
          <cell r="A95">
            <v>3016001</v>
          </cell>
          <cell r="B95">
            <v>19220000</v>
          </cell>
          <cell r="C95">
            <v>8.3000000000000007</v>
          </cell>
          <cell r="F95">
            <v>3017272</v>
          </cell>
          <cell r="G95">
            <v>30110102</v>
          </cell>
          <cell r="H95">
            <v>6.5</v>
          </cell>
        </row>
        <row r="96">
          <cell r="A96">
            <v>3016010</v>
          </cell>
          <cell r="B96">
            <v>22180000</v>
          </cell>
          <cell r="C96">
            <v>6.8</v>
          </cell>
          <cell r="F96">
            <v>3017585</v>
          </cell>
          <cell r="G96">
            <v>13650130</v>
          </cell>
          <cell r="H96">
            <v>13.73</v>
          </cell>
        </row>
        <row r="97">
          <cell r="A97">
            <v>3016040</v>
          </cell>
          <cell r="B97">
            <v>25610000</v>
          </cell>
          <cell r="C97">
            <v>1.8</v>
          </cell>
          <cell r="F97">
            <v>3017643</v>
          </cell>
          <cell r="G97">
            <v>11401100</v>
          </cell>
          <cell r="H97">
            <v>18</v>
          </cell>
        </row>
        <row r="98">
          <cell r="A98">
            <v>3017425</v>
          </cell>
          <cell r="B98">
            <v>20411000</v>
          </cell>
          <cell r="C98">
            <v>8.18</v>
          </cell>
          <cell r="F98">
            <v>3017707</v>
          </cell>
          <cell r="G98">
            <v>19721100</v>
          </cell>
          <cell r="H98">
            <v>27</v>
          </cell>
        </row>
        <row r="99">
          <cell r="A99">
            <v>3017471</v>
          </cell>
          <cell r="B99">
            <v>13491000</v>
          </cell>
          <cell r="C99">
            <v>13.17</v>
          </cell>
          <cell r="F99">
            <v>3017917</v>
          </cell>
          <cell r="G99">
            <v>15300214</v>
          </cell>
          <cell r="H99">
            <v>1.5</v>
          </cell>
        </row>
        <row r="100">
          <cell r="A100">
            <v>3021452</v>
          </cell>
          <cell r="B100">
            <v>50150000</v>
          </cell>
          <cell r="C100">
            <v>9.1999999999999993</v>
          </cell>
          <cell r="F100">
            <v>3018096</v>
          </cell>
          <cell r="G100">
            <v>25651110</v>
          </cell>
          <cell r="H100">
            <v>2.6</v>
          </cell>
        </row>
        <row r="101">
          <cell r="A101">
            <v>3016906</v>
          </cell>
          <cell r="B101">
            <v>18980000</v>
          </cell>
          <cell r="C101">
            <v>19.62</v>
          </cell>
          <cell r="F101">
            <v>3018442</v>
          </cell>
          <cell r="G101">
            <v>30080111</v>
          </cell>
          <cell r="H101">
            <v>1.5</v>
          </cell>
        </row>
        <row r="102">
          <cell r="A102">
            <v>1200071</v>
          </cell>
          <cell r="B102">
            <v>25200000</v>
          </cell>
          <cell r="C102">
            <v>0.01</v>
          </cell>
          <cell r="F102">
            <v>3018459</v>
          </cell>
          <cell r="G102">
            <v>30110230</v>
          </cell>
          <cell r="H102">
            <v>6.5</v>
          </cell>
        </row>
        <row r="103">
          <cell r="A103">
            <v>1200074</v>
          </cell>
          <cell r="B103">
            <v>25950000</v>
          </cell>
          <cell r="C103">
            <v>0.05</v>
          </cell>
          <cell r="F103">
            <v>3018609</v>
          </cell>
          <cell r="G103">
            <v>22040182</v>
          </cell>
          <cell r="H103">
            <v>12.9</v>
          </cell>
        </row>
        <row r="104">
          <cell r="A104">
            <v>1200075</v>
          </cell>
          <cell r="B104">
            <v>26920000</v>
          </cell>
          <cell r="C104">
            <v>0.01</v>
          </cell>
          <cell r="F104">
            <v>3018627</v>
          </cell>
          <cell r="G104">
            <v>22580102</v>
          </cell>
          <cell r="H104">
            <v>1.3</v>
          </cell>
        </row>
        <row r="105">
          <cell r="A105">
            <v>1200079</v>
          </cell>
          <cell r="B105">
            <v>26920088</v>
          </cell>
          <cell r="C105">
            <v>0.01</v>
          </cell>
          <cell r="F105">
            <v>3018773</v>
          </cell>
          <cell r="G105">
            <v>30120122</v>
          </cell>
          <cell r="H105">
            <v>10.33</v>
          </cell>
        </row>
        <row r="106">
          <cell r="A106">
            <v>1100040</v>
          </cell>
          <cell r="B106">
            <v>25670088</v>
          </cell>
          <cell r="C106">
            <v>0.05</v>
          </cell>
          <cell r="F106">
            <v>3018814</v>
          </cell>
          <cell r="G106">
            <v>30140112</v>
          </cell>
          <cell r="H106">
            <v>11.2</v>
          </cell>
        </row>
        <row r="107">
          <cell r="A107">
            <v>1100044</v>
          </cell>
          <cell r="B107">
            <v>26940000</v>
          </cell>
          <cell r="C107">
            <v>0.01</v>
          </cell>
          <cell r="F107">
            <v>3018829</v>
          </cell>
          <cell r="G107">
            <v>30100110</v>
          </cell>
          <cell r="H107">
            <v>13.69</v>
          </cell>
        </row>
        <row r="108">
          <cell r="A108">
            <v>1100060</v>
          </cell>
          <cell r="B108">
            <v>26850088</v>
          </cell>
          <cell r="C108">
            <v>0.01</v>
          </cell>
          <cell r="F108">
            <v>3018830</v>
          </cell>
          <cell r="G108">
            <v>22580100</v>
          </cell>
          <cell r="H108">
            <v>1.3</v>
          </cell>
        </row>
        <row r="109">
          <cell r="A109">
            <v>1100062</v>
          </cell>
          <cell r="B109">
            <v>29990089</v>
          </cell>
          <cell r="C109">
            <v>0.01</v>
          </cell>
          <cell r="F109">
            <v>3019889</v>
          </cell>
          <cell r="G109">
            <v>28080100</v>
          </cell>
          <cell r="H109">
            <v>16.18</v>
          </cell>
        </row>
        <row r="110">
          <cell r="A110">
            <v>1100081</v>
          </cell>
          <cell r="B110">
            <v>29980000</v>
          </cell>
          <cell r="C110">
            <v>0.01</v>
          </cell>
          <cell r="F110">
            <v>3019910</v>
          </cell>
          <cell r="G110">
            <v>18980110</v>
          </cell>
          <cell r="H110">
            <v>26</v>
          </cell>
        </row>
        <row r="111">
          <cell r="A111">
            <v>1100087</v>
          </cell>
          <cell r="B111">
            <v>25430088</v>
          </cell>
          <cell r="C111">
            <v>0.5</v>
          </cell>
          <cell r="F111">
            <v>3019974</v>
          </cell>
          <cell r="G111">
            <v>30130110</v>
          </cell>
          <cell r="H111">
            <v>13.69</v>
          </cell>
        </row>
        <row r="112">
          <cell r="A112">
            <v>1100089</v>
          </cell>
          <cell r="B112">
            <v>26930000</v>
          </cell>
          <cell r="C112">
            <v>0.01</v>
          </cell>
          <cell r="F112">
            <v>3020211</v>
          </cell>
          <cell r="G112">
            <v>11400902</v>
          </cell>
          <cell r="H112">
            <v>18</v>
          </cell>
        </row>
        <row r="113">
          <cell r="A113">
            <v>1100131</v>
          </cell>
          <cell r="B113">
            <v>25420088</v>
          </cell>
          <cell r="C113">
            <v>0.8</v>
          </cell>
          <cell r="F113">
            <v>3020214</v>
          </cell>
          <cell r="G113">
            <v>11660900</v>
          </cell>
          <cell r="H113">
            <v>18</v>
          </cell>
        </row>
        <row r="114">
          <cell r="A114">
            <v>1100150</v>
          </cell>
          <cell r="B114">
            <v>22190088</v>
          </cell>
          <cell r="C114">
            <v>0.01</v>
          </cell>
          <cell r="F114">
            <v>3020215</v>
          </cell>
          <cell r="G114">
            <v>11661900</v>
          </cell>
          <cell r="H114">
            <v>18</v>
          </cell>
        </row>
        <row r="115">
          <cell r="A115">
            <v>1100156</v>
          </cell>
          <cell r="B115">
            <v>24070088</v>
          </cell>
          <cell r="C115">
            <v>0.5</v>
          </cell>
          <cell r="F115">
            <v>3020218</v>
          </cell>
          <cell r="G115">
            <v>11709900</v>
          </cell>
          <cell r="H115">
            <v>18</v>
          </cell>
        </row>
        <row r="116">
          <cell r="A116">
            <v>1100158</v>
          </cell>
          <cell r="B116">
            <v>26930088</v>
          </cell>
          <cell r="C116">
            <v>0.01</v>
          </cell>
          <cell r="F116">
            <v>3020219</v>
          </cell>
          <cell r="G116">
            <v>11760900</v>
          </cell>
          <cell r="H116">
            <v>21.49</v>
          </cell>
        </row>
        <row r="117">
          <cell r="A117">
            <v>1100161</v>
          </cell>
          <cell r="B117">
            <v>23200088</v>
          </cell>
          <cell r="C117">
            <v>0.8</v>
          </cell>
          <cell r="F117">
            <v>3020220</v>
          </cell>
          <cell r="G117">
            <v>12330902</v>
          </cell>
          <cell r="H117">
            <v>16.13</v>
          </cell>
        </row>
        <row r="118">
          <cell r="A118">
            <v>1100162</v>
          </cell>
          <cell r="B118">
            <v>24130088</v>
          </cell>
          <cell r="C118">
            <v>1</v>
          </cell>
          <cell r="F118">
            <v>3020221</v>
          </cell>
          <cell r="G118">
            <v>12390900</v>
          </cell>
          <cell r="H118">
            <v>14.03</v>
          </cell>
        </row>
        <row r="119">
          <cell r="A119">
            <v>1100164</v>
          </cell>
          <cell r="B119">
            <v>25390088</v>
          </cell>
          <cell r="C119">
            <v>1</v>
          </cell>
          <cell r="F119">
            <v>3020222</v>
          </cell>
          <cell r="G119">
            <v>12390919</v>
          </cell>
          <cell r="H119">
            <v>14.03</v>
          </cell>
        </row>
        <row r="120">
          <cell r="A120">
            <v>1100165</v>
          </cell>
          <cell r="B120">
            <v>26820088</v>
          </cell>
          <cell r="C120">
            <v>3.8</v>
          </cell>
          <cell r="F120">
            <v>3020223</v>
          </cell>
          <cell r="G120">
            <v>12391900</v>
          </cell>
          <cell r="H120">
            <v>14.03</v>
          </cell>
        </row>
        <row r="121">
          <cell r="A121">
            <v>1100167</v>
          </cell>
          <cell r="B121">
            <v>29990088</v>
          </cell>
          <cell r="C121">
            <v>0.01</v>
          </cell>
          <cell r="F121">
            <v>3020226</v>
          </cell>
          <cell r="G121">
            <v>12450900</v>
          </cell>
          <cell r="H121">
            <v>14.03</v>
          </cell>
        </row>
        <row r="122">
          <cell r="A122">
            <v>1100168</v>
          </cell>
          <cell r="B122">
            <v>10530088</v>
          </cell>
          <cell r="C122">
            <v>0.01</v>
          </cell>
          <cell r="F122">
            <v>3020228</v>
          </cell>
          <cell r="G122">
            <v>12460919</v>
          </cell>
          <cell r="H122">
            <v>17.8</v>
          </cell>
        </row>
        <row r="123">
          <cell r="A123">
            <v>1200043</v>
          </cell>
          <cell r="B123">
            <v>26920086</v>
          </cell>
          <cell r="C123">
            <v>0.01</v>
          </cell>
          <cell r="F123">
            <v>3020230</v>
          </cell>
          <cell r="G123">
            <v>12550900</v>
          </cell>
          <cell r="H123">
            <v>16.3</v>
          </cell>
        </row>
        <row r="124">
          <cell r="A124">
            <v>1200240</v>
          </cell>
          <cell r="B124">
            <v>26870086</v>
          </cell>
          <cell r="C124">
            <v>0.01</v>
          </cell>
          <cell r="F124">
            <v>3020231</v>
          </cell>
          <cell r="G124">
            <v>12559900</v>
          </cell>
          <cell r="H124">
            <v>16.3</v>
          </cell>
        </row>
        <row r="125">
          <cell r="A125">
            <v>1200040</v>
          </cell>
          <cell r="B125">
            <v>26860086</v>
          </cell>
          <cell r="C125">
            <v>0.01</v>
          </cell>
          <cell r="F125">
            <v>3020236</v>
          </cell>
          <cell r="G125">
            <v>12650900</v>
          </cell>
          <cell r="H125">
            <v>17.8</v>
          </cell>
        </row>
        <row r="126">
          <cell r="A126">
            <v>1100175</v>
          </cell>
          <cell r="B126">
            <v>25440088</v>
          </cell>
          <cell r="C126">
            <v>1</v>
          </cell>
          <cell r="F126">
            <v>3020237</v>
          </cell>
          <cell r="G126">
            <v>12651900</v>
          </cell>
          <cell r="H126">
            <v>17.8</v>
          </cell>
        </row>
        <row r="127">
          <cell r="A127">
            <v>1100183</v>
          </cell>
          <cell r="B127">
            <v>24230088</v>
          </cell>
          <cell r="C127">
            <v>1.4</v>
          </cell>
          <cell r="F127">
            <v>3020238</v>
          </cell>
          <cell r="G127">
            <v>12800900</v>
          </cell>
          <cell r="H127">
            <v>16.13</v>
          </cell>
        </row>
        <row r="128">
          <cell r="A128">
            <v>1100320</v>
          </cell>
          <cell r="B128">
            <v>26910000</v>
          </cell>
          <cell r="C128">
            <v>0.01</v>
          </cell>
          <cell r="F128">
            <v>3020240</v>
          </cell>
          <cell r="G128">
            <v>13420902</v>
          </cell>
          <cell r="H128">
            <v>13.73</v>
          </cell>
        </row>
        <row r="129">
          <cell r="A129">
            <v>1100321</v>
          </cell>
          <cell r="B129">
            <v>26910088</v>
          </cell>
          <cell r="C129">
            <v>0.01</v>
          </cell>
          <cell r="F129">
            <v>3020243</v>
          </cell>
          <cell r="G129">
            <v>13600900</v>
          </cell>
          <cell r="H129">
            <v>15.81</v>
          </cell>
        </row>
        <row r="130">
          <cell r="A130">
            <v>1100330</v>
          </cell>
          <cell r="B130">
            <v>26990088</v>
          </cell>
          <cell r="C130">
            <v>7.8</v>
          </cell>
          <cell r="F130">
            <v>3020244</v>
          </cell>
          <cell r="G130">
            <v>13601900</v>
          </cell>
          <cell r="H130">
            <v>15.81</v>
          </cell>
        </row>
        <row r="131">
          <cell r="A131">
            <v>3006330</v>
          </cell>
          <cell r="B131">
            <v>22065000</v>
          </cell>
          <cell r="C131">
            <v>12.5</v>
          </cell>
          <cell r="F131">
            <v>3020245</v>
          </cell>
          <cell r="G131">
            <v>13650900</v>
          </cell>
          <cell r="H131">
            <v>13.73</v>
          </cell>
        </row>
        <row r="132">
          <cell r="A132">
            <v>3029754</v>
          </cell>
          <cell r="B132">
            <v>22200000</v>
          </cell>
          <cell r="C132">
            <v>6.8</v>
          </cell>
          <cell r="F132">
            <v>3020246</v>
          </cell>
          <cell r="G132">
            <v>13651900</v>
          </cell>
          <cell r="H132">
            <v>13.73</v>
          </cell>
        </row>
        <row r="133">
          <cell r="A133">
            <v>3015881</v>
          </cell>
          <cell r="B133">
            <v>18070000</v>
          </cell>
          <cell r="C133">
            <v>15.57</v>
          </cell>
          <cell r="F133">
            <v>3020247</v>
          </cell>
          <cell r="G133">
            <v>13659900</v>
          </cell>
          <cell r="H133">
            <v>13.73</v>
          </cell>
        </row>
        <row r="134">
          <cell r="A134">
            <v>3016188</v>
          </cell>
          <cell r="B134">
            <v>15960000</v>
          </cell>
          <cell r="C134">
            <v>9.6</v>
          </cell>
          <cell r="F134">
            <v>3020251</v>
          </cell>
          <cell r="G134">
            <v>14550900</v>
          </cell>
          <cell r="H134">
            <v>18.989999999999998</v>
          </cell>
        </row>
        <row r="135">
          <cell r="A135">
            <v>3018267</v>
          </cell>
          <cell r="B135">
            <v>15580000</v>
          </cell>
          <cell r="C135">
            <v>10.64</v>
          </cell>
          <cell r="F135">
            <v>3020252</v>
          </cell>
          <cell r="G135">
            <v>14810900</v>
          </cell>
          <cell r="H135">
            <v>18.18</v>
          </cell>
        </row>
        <row r="136">
          <cell r="A136">
            <v>3021277</v>
          </cell>
          <cell r="B136">
            <v>15581000</v>
          </cell>
          <cell r="C136">
            <v>10.64</v>
          </cell>
          <cell r="F136">
            <v>3020253</v>
          </cell>
          <cell r="G136">
            <v>14811900</v>
          </cell>
          <cell r="H136">
            <v>18.18</v>
          </cell>
        </row>
        <row r="137">
          <cell r="A137">
            <v>3021275</v>
          </cell>
          <cell r="B137">
            <v>15620000</v>
          </cell>
          <cell r="C137">
            <v>9.6</v>
          </cell>
          <cell r="F137">
            <v>3020257</v>
          </cell>
          <cell r="G137">
            <v>15330902</v>
          </cell>
          <cell r="H137">
            <v>10.96</v>
          </cell>
        </row>
        <row r="138">
          <cell r="A138">
            <v>3021276</v>
          </cell>
          <cell r="B138">
            <v>15621000</v>
          </cell>
          <cell r="C138">
            <v>9.6</v>
          </cell>
          <cell r="F138">
            <v>3020260</v>
          </cell>
          <cell r="G138">
            <v>16020900</v>
          </cell>
          <cell r="H138">
            <v>13.8</v>
          </cell>
        </row>
        <row r="139">
          <cell r="A139">
            <v>3014717</v>
          </cell>
          <cell r="B139">
            <v>15730000</v>
          </cell>
          <cell r="C139">
            <v>10.64</v>
          </cell>
          <cell r="F139">
            <v>3020263</v>
          </cell>
          <cell r="G139">
            <v>16240900</v>
          </cell>
          <cell r="H139">
            <v>16.89</v>
          </cell>
        </row>
        <row r="140">
          <cell r="A140">
            <v>3017602</v>
          </cell>
          <cell r="B140">
            <v>15731000</v>
          </cell>
          <cell r="C140">
            <v>10.64</v>
          </cell>
          <cell r="F140">
            <v>3020264</v>
          </cell>
          <cell r="G140">
            <v>16241900</v>
          </cell>
          <cell r="H140">
            <v>16.89</v>
          </cell>
        </row>
        <row r="141">
          <cell r="A141">
            <v>3007673</v>
          </cell>
          <cell r="B141">
            <v>15700000</v>
          </cell>
          <cell r="C141">
            <v>10.64</v>
          </cell>
          <cell r="F141">
            <v>3020266</v>
          </cell>
          <cell r="G141">
            <v>16360900</v>
          </cell>
          <cell r="H141">
            <v>15.98</v>
          </cell>
        </row>
        <row r="142">
          <cell r="A142">
            <v>3014498</v>
          </cell>
          <cell r="B142">
            <v>20380000</v>
          </cell>
          <cell r="C142">
            <v>10.64</v>
          </cell>
          <cell r="F142">
            <v>3020267</v>
          </cell>
          <cell r="G142">
            <v>16390902</v>
          </cell>
          <cell r="H142">
            <v>15.98</v>
          </cell>
        </row>
        <row r="143">
          <cell r="A143">
            <v>3017593</v>
          </cell>
          <cell r="B143">
            <v>20381000</v>
          </cell>
          <cell r="C143">
            <v>10.64</v>
          </cell>
          <cell r="F143">
            <v>3020268</v>
          </cell>
          <cell r="G143">
            <v>16780900</v>
          </cell>
          <cell r="H143">
            <v>15.76</v>
          </cell>
        </row>
        <row r="144">
          <cell r="A144">
            <v>3021273</v>
          </cell>
          <cell r="B144">
            <v>20400000</v>
          </cell>
          <cell r="C144">
            <v>9.6</v>
          </cell>
          <cell r="F144">
            <v>3020269</v>
          </cell>
          <cell r="G144">
            <v>17300900</v>
          </cell>
          <cell r="H144">
            <v>16.82</v>
          </cell>
        </row>
        <row r="145">
          <cell r="A145">
            <v>3021274</v>
          </cell>
          <cell r="B145">
            <v>20401000</v>
          </cell>
          <cell r="C145">
            <v>9.6</v>
          </cell>
          <cell r="F145">
            <v>3020270</v>
          </cell>
          <cell r="G145">
            <v>17753900</v>
          </cell>
          <cell r="H145">
            <v>2.8</v>
          </cell>
        </row>
        <row r="146">
          <cell r="A146">
            <v>3021279</v>
          </cell>
          <cell r="B146">
            <v>15790000</v>
          </cell>
          <cell r="C146">
            <v>10.64</v>
          </cell>
          <cell r="F146">
            <v>3020271</v>
          </cell>
          <cell r="G146">
            <v>17759900</v>
          </cell>
          <cell r="H146">
            <v>2.8</v>
          </cell>
        </row>
        <row r="147">
          <cell r="A147">
            <v>3021416</v>
          </cell>
          <cell r="B147">
            <v>15150000</v>
          </cell>
          <cell r="C147">
            <v>10.64</v>
          </cell>
          <cell r="F147">
            <v>3020272</v>
          </cell>
          <cell r="G147">
            <v>17870925</v>
          </cell>
          <cell r="H147">
            <v>1.3</v>
          </cell>
        </row>
        <row r="148">
          <cell r="A148">
            <v>3021417</v>
          </cell>
          <cell r="B148">
            <v>15151000</v>
          </cell>
          <cell r="C148">
            <v>10.64</v>
          </cell>
          <cell r="F148">
            <v>3020273</v>
          </cell>
          <cell r="G148">
            <v>17873900</v>
          </cell>
          <cell r="H148">
            <v>1.3</v>
          </cell>
        </row>
        <row r="149">
          <cell r="A149">
            <v>3017387</v>
          </cell>
          <cell r="B149">
            <v>15701000</v>
          </cell>
          <cell r="C149">
            <v>10.64</v>
          </cell>
          <cell r="F149">
            <v>3020274</v>
          </cell>
          <cell r="G149">
            <v>17879900</v>
          </cell>
          <cell r="H149">
            <v>1.3</v>
          </cell>
        </row>
        <row r="150">
          <cell r="A150">
            <v>3018787</v>
          </cell>
          <cell r="B150">
            <v>15500000</v>
          </cell>
          <cell r="C150">
            <v>10.64</v>
          </cell>
          <cell r="F150">
            <v>3020275</v>
          </cell>
          <cell r="G150">
            <v>17880919</v>
          </cell>
          <cell r="H150">
            <v>1.3</v>
          </cell>
        </row>
        <row r="151">
          <cell r="A151">
            <v>3018788</v>
          </cell>
          <cell r="B151">
            <v>15501000</v>
          </cell>
          <cell r="C151">
            <v>10.64</v>
          </cell>
          <cell r="F151">
            <v>3020276</v>
          </cell>
          <cell r="G151">
            <v>17883900</v>
          </cell>
          <cell r="H151">
            <v>1.3</v>
          </cell>
        </row>
        <row r="152">
          <cell r="A152">
            <v>3021271</v>
          </cell>
          <cell r="B152">
            <v>15791000</v>
          </cell>
          <cell r="C152">
            <v>10.64</v>
          </cell>
          <cell r="F152">
            <v>3020277</v>
          </cell>
          <cell r="G152">
            <v>18980900</v>
          </cell>
          <cell r="H152">
            <v>26</v>
          </cell>
        </row>
        <row r="153">
          <cell r="A153">
            <v>3022272</v>
          </cell>
          <cell r="B153">
            <v>20330000</v>
          </cell>
          <cell r="C153">
            <v>10.64</v>
          </cell>
          <cell r="F153">
            <v>3020278</v>
          </cell>
          <cell r="G153">
            <v>19230900</v>
          </cell>
          <cell r="H153">
            <v>8.5</v>
          </cell>
        </row>
        <row r="154">
          <cell r="A154">
            <v>3022273</v>
          </cell>
          <cell r="B154">
            <v>20331000</v>
          </cell>
          <cell r="C154">
            <v>10.64</v>
          </cell>
          <cell r="F154">
            <v>3020279</v>
          </cell>
          <cell r="G154">
            <v>19230919</v>
          </cell>
          <cell r="H154">
            <v>8.5</v>
          </cell>
        </row>
        <row r="155">
          <cell r="A155">
            <v>3017361</v>
          </cell>
          <cell r="B155">
            <v>16470000</v>
          </cell>
          <cell r="C155">
            <v>17.55</v>
          </cell>
          <cell r="F155">
            <v>3020280</v>
          </cell>
          <cell r="G155">
            <v>19300900</v>
          </cell>
          <cell r="H155">
            <v>13.5</v>
          </cell>
        </row>
        <row r="156">
          <cell r="A156">
            <v>3022109</v>
          </cell>
          <cell r="B156">
            <v>25580000</v>
          </cell>
          <cell r="C156">
            <v>1.8</v>
          </cell>
          <cell r="F156">
            <v>3020281</v>
          </cell>
          <cell r="G156">
            <v>19450900</v>
          </cell>
          <cell r="H156">
            <v>12.91</v>
          </cell>
        </row>
        <row r="157">
          <cell r="A157">
            <v>3016903</v>
          </cell>
          <cell r="B157">
            <v>22570000</v>
          </cell>
          <cell r="C157">
            <v>2.92</v>
          </cell>
          <cell r="F157">
            <v>3020282</v>
          </cell>
          <cell r="G157">
            <v>19451900</v>
          </cell>
          <cell r="H157">
            <v>12.91</v>
          </cell>
        </row>
        <row r="158">
          <cell r="A158">
            <v>3016030</v>
          </cell>
          <cell r="B158">
            <v>25980000</v>
          </cell>
          <cell r="C158">
            <v>0.1</v>
          </cell>
          <cell r="F158">
            <v>3020283</v>
          </cell>
          <cell r="G158">
            <v>19500900</v>
          </cell>
          <cell r="H158">
            <v>14.47</v>
          </cell>
        </row>
        <row r="159">
          <cell r="A159">
            <v>1200014</v>
          </cell>
          <cell r="B159">
            <v>26890000</v>
          </cell>
          <cell r="C159">
            <v>0.01</v>
          </cell>
          <cell r="F159">
            <v>3020284</v>
          </cell>
          <cell r="G159">
            <v>19720900</v>
          </cell>
          <cell r="H159">
            <v>27</v>
          </cell>
        </row>
        <row r="160">
          <cell r="A160">
            <v>1100170</v>
          </cell>
          <cell r="B160">
            <v>26880087</v>
          </cell>
          <cell r="C160">
            <v>0.01</v>
          </cell>
          <cell r="F160">
            <v>3020285</v>
          </cell>
          <cell r="G160">
            <v>20030900</v>
          </cell>
          <cell r="H160">
            <v>7</v>
          </cell>
        </row>
        <row r="161">
          <cell r="A161">
            <v>1100171</v>
          </cell>
          <cell r="B161">
            <v>22200088</v>
          </cell>
          <cell r="C161">
            <v>0.01</v>
          </cell>
          <cell r="F161">
            <v>3020286</v>
          </cell>
          <cell r="G161">
            <v>20030926</v>
          </cell>
          <cell r="H161">
            <v>7</v>
          </cell>
        </row>
        <row r="162">
          <cell r="A162">
            <v>1100172</v>
          </cell>
          <cell r="B162">
            <v>22210088</v>
          </cell>
          <cell r="C162">
            <v>0.01</v>
          </cell>
          <cell r="F162">
            <v>3020287</v>
          </cell>
          <cell r="G162">
            <v>20031900</v>
          </cell>
          <cell r="H162">
            <v>7</v>
          </cell>
        </row>
        <row r="163">
          <cell r="A163">
            <v>1100481</v>
          </cell>
          <cell r="B163">
            <v>25830000</v>
          </cell>
          <cell r="C163">
            <v>0.05</v>
          </cell>
          <cell r="F163">
            <v>3020288</v>
          </cell>
          <cell r="G163">
            <v>20039900</v>
          </cell>
          <cell r="H163">
            <v>7</v>
          </cell>
        </row>
        <row r="164">
          <cell r="A164">
            <v>3024401</v>
          </cell>
          <cell r="B164">
            <v>17760000</v>
          </cell>
          <cell r="C164">
            <v>3.1</v>
          </cell>
          <cell r="F164">
            <v>3020289</v>
          </cell>
          <cell r="G164">
            <v>21939900</v>
          </cell>
          <cell r="H164">
            <v>9.4</v>
          </cell>
        </row>
        <row r="165">
          <cell r="A165">
            <v>3024402</v>
          </cell>
          <cell r="B165">
            <v>17770000</v>
          </cell>
          <cell r="C165">
            <v>2.2999999999999998</v>
          </cell>
          <cell r="F165">
            <v>3020290</v>
          </cell>
          <cell r="G165">
            <v>21970900</v>
          </cell>
          <cell r="H165">
            <v>9.4</v>
          </cell>
        </row>
        <row r="166">
          <cell r="A166">
            <v>3017819</v>
          </cell>
          <cell r="B166">
            <v>15961000</v>
          </cell>
          <cell r="C166">
            <v>9.6</v>
          </cell>
          <cell r="F166">
            <v>3020291</v>
          </cell>
          <cell r="G166">
            <v>21970918</v>
          </cell>
          <cell r="H166">
            <v>9.4</v>
          </cell>
        </row>
        <row r="167">
          <cell r="A167">
            <v>3009081</v>
          </cell>
          <cell r="B167">
            <v>25971000</v>
          </cell>
          <cell r="C167">
            <v>4.5</v>
          </cell>
          <cell r="F167">
            <v>3020292</v>
          </cell>
          <cell r="G167">
            <v>22020900</v>
          </cell>
          <cell r="H167">
            <v>14.6</v>
          </cell>
        </row>
        <row r="168">
          <cell r="A168">
            <v>3016032</v>
          </cell>
          <cell r="B168">
            <v>25990000</v>
          </cell>
          <cell r="C168">
            <v>0.1</v>
          </cell>
          <cell r="F168">
            <v>3020293</v>
          </cell>
          <cell r="G168">
            <v>22020918</v>
          </cell>
          <cell r="H168">
            <v>14.6</v>
          </cell>
        </row>
        <row r="169">
          <cell r="A169">
            <v>3024715</v>
          </cell>
          <cell r="B169">
            <v>29241000</v>
          </cell>
          <cell r="C169">
            <v>10.64</v>
          </cell>
          <cell r="F169">
            <v>3020294</v>
          </cell>
          <cell r="G169">
            <v>22030900</v>
          </cell>
          <cell r="H169">
            <v>14.6</v>
          </cell>
        </row>
        <row r="170">
          <cell r="A170">
            <v>3025321</v>
          </cell>
          <cell r="B170">
            <v>20385000</v>
          </cell>
          <cell r="C170">
            <v>10.64</v>
          </cell>
          <cell r="F170">
            <v>3020295</v>
          </cell>
          <cell r="G170">
            <v>22030919</v>
          </cell>
          <cell r="H170">
            <v>14.6</v>
          </cell>
        </row>
        <row r="171">
          <cell r="A171">
            <v>3018700</v>
          </cell>
          <cell r="B171">
            <v>16070000</v>
          </cell>
          <cell r="C171">
            <v>6.8</v>
          </cell>
          <cell r="F171">
            <v>3020296</v>
          </cell>
          <cell r="G171">
            <v>22039900</v>
          </cell>
          <cell r="H171">
            <v>14.6</v>
          </cell>
        </row>
        <row r="172">
          <cell r="A172">
            <v>3018701</v>
          </cell>
          <cell r="B172">
            <v>16071000</v>
          </cell>
          <cell r="C172">
            <v>6.8</v>
          </cell>
          <cell r="F172">
            <v>3020297</v>
          </cell>
          <cell r="G172">
            <v>22040918</v>
          </cell>
          <cell r="H172">
            <v>12.9</v>
          </cell>
        </row>
        <row r="173">
          <cell r="A173">
            <v>3025751</v>
          </cell>
          <cell r="B173">
            <v>25860000</v>
          </cell>
          <cell r="C173">
            <v>6.8</v>
          </cell>
          <cell r="F173">
            <v>3020298</v>
          </cell>
          <cell r="G173">
            <v>22042900</v>
          </cell>
          <cell r="H173">
            <v>12.9</v>
          </cell>
        </row>
        <row r="174">
          <cell r="A174">
            <v>3025752</v>
          </cell>
          <cell r="B174">
            <v>25861000</v>
          </cell>
          <cell r="C174">
            <v>6.8</v>
          </cell>
          <cell r="F174">
            <v>3020299</v>
          </cell>
          <cell r="G174">
            <v>22043900</v>
          </cell>
          <cell r="H174">
            <v>12.9</v>
          </cell>
        </row>
        <row r="175">
          <cell r="A175">
            <v>3017768</v>
          </cell>
          <cell r="B175">
            <v>15171000</v>
          </cell>
          <cell r="C175">
            <v>9.6</v>
          </cell>
          <cell r="F175">
            <v>3020300</v>
          </cell>
          <cell r="G175">
            <v>22049900</v>
          </cell>
          <cell r="H175">
            <v>12.9</v>
          </cell>
        </row>
        <row r="176">
          <cell r="A176">
            <v>3026194</v>
          </cell>
          <cell r="B176">
            <v>28120000</v>
          </cell>
          <cell r="C176">
            <v>10.64</v>
          </cell>
          <cell r="F176">
            <v>3020302</v>
          </cell>
          <cell r="G176">
            <v>22053900</v>
          </cell>
          <cell r="H176">
            <v>9.4</v>
          </cell>
        </row>
        <row r="177">
          <cell r="A177">
            <v>3026190</v>
          </cell>
          <cell r="B177">
            <v>28121000</v>
          </cell>
          <cell r="C177">
            <v>10.64</v>
          </cell>
          <cell r="F177">
            <v>3020304</v>
          </cell>
          <cell r="G177">
            <v>22060918</v>
          </cell>
          <cell r="H177">
            <v>12.7</v>
          </cell>
        </row>
        <row r="178">
          <cell r="A178">
            <v>3026403</v>
          </cell>
          <cell r="B178">
            <v>25870000</v>
          </cell>
          <cell r="C178">
            <v>0.1</v>
          </cell>
          <cell r="F178">
            <v>3020305</v>
          </cell>
          <cell r="G178">
            <v>22062900</v>
          </cell>
          <cell r="H178">
            <v>12.7</v>
          </cell>
        </row>
        <row r="179">
          <cell r="A179">
            <v>3025963</v>
          </cell>
          <cell r="B179">
            <v>29110000</v>
          </cell>
          <cell r="C179">
            <v>10.64</v>
          </cell>
          <cell r="F179">
            <v>3020306</v>
          </cell>
          <cell r="G179">
            <v>22063900</v>
          </cell>
          <cell r="H179">
            <v>12.7</v>
          </cell>
        </row>
        <row r="180">
          <cell r="A180">
            <v>3025964</v>
          </cell>
          <cell r="B180">
            <v>29111000</v>
          </cell>
          <cell r="C180">
            <v>10.64</v>
          </cell>
          <cell r="F180">
            <v>3020307</v>
          </cell>
          <cell r="G180">
            <v>22065900</v>
          </cell>
          <cell r="H180">
            <v>12.7</v>
          </cell>
        </row>
        <row r="181">
          <cell r="A181">
            <v>3026219</v>
          </cell>
          <cell r="B181">
            <v>29260000</v>
          </cell>
          <cell r="C181">
            <v>10.64</v>
          </cell>
          <cell r="F181">
            <v>3020308</v>
          </cell>
          <cell r="G181">
            <v>22065902</v>
          </cell>
          <cell r="H181">
            <v>12.7</v>
          </cell>
        </row>
        <row r="182">
          <cell r="A182">
            <v>3026230</v>
          </cell>
          <cell r="B182">
            <v>29261000</v>
          </cell>
          <cell r="C182">
            <v>10.64</v>
          </cell>
          <cell r="F182">
            <v>3020309</v>
          </cell>
          <cell r="G182">
            <v>22069900</v>
          </cell>
          <cell r="H182">
            <v>12.7</v>
          </cell>
        </row>
        <row r="183">
          <cell r="A183">
            <v>3024748</v>
          </cell>
          <cell r="B183">
            <v>28390000</v>
          </cell>
          <cell r="C183">
            <v>10.64</v>
          </cell>
          <cell r="F183">
            <v>3020310</v>
          </cell>
          <cell r="G183">
            <v>22080902</v>
          </cell>
          <cell r="H183">
            <v>12.2</v>
          </cell>
        </row>
        <row r="184">
          <cell r="A184">
            <v>3028822</v>
          </cell>
          <cell r="B184">
            <v>25400000</v>
          </cell>
          <cell r="C184">
            <v>0.01</v>
          </cell>
          <cell r="F184">
            <v>3020311</v>
          </cell>
          <cell r="G184">
            <v>22081900</v>
          </cell>
          <cell r="H184">
            <v>7</v>
          </cell>
        </row>
        <row r="185">
          <cell r="A185">
            <v>3009758</v>
          </cell>
          <cell r="B185">
            <v>19230000</v>
          </cell>
          <cell r="C185">
            <v>8.3000000000000007</v>
          </cell>
          <cell r="F185">
            <v>3020313</v>
          </cell>
          <cell r="G185">
            <v>22082900</v>
          </cell>
          <cell r="H185">
            <v>12.2</v>
          </cell>
        </row>
        <row r="186">
          <cell r="A186">
            <v>3024516</v>
          </cell>
          <cell r="B186">
            <v>22220000</v>
          </cell>
          <cell r="C186">
            <v>6.8</v>
          </cell>
          <cell r="F186">
            <v>3020314</v>
          </cell>
          <cell r="G186">
            <v>22083900</v>
          </cell>
          <cell r="H186">
            <v>12.2</v>
          </cell>
        </row>
        <row r="187">
          <cell r="A187">
            <v>3009094</v>
          </cell>
          <cell r="B187">
            <v>17781000</v>
          </cell>
          <cell r="C187">
            <v>6.3</v>
          </cell>
          <cell r="F187">
            <v>3020315</v>
          </cell>
          <cell r="G187">
            <v>22088900</v>
          </cell>
          <cell r="H187">
            <v>10.4</v>
          </cell>
        </row>
        <row r="188">
          <cell r="A188">
            <v>3017426</v>
          </cell>
          <cell r="B188">
            <v>22011000</v>
          </cell>
          <cell r="C188">
            <v>6.8</v>
          </cell>
          <cell r="F188">
            <v>3020316</v>
          </cell>
          <cell r="G188">
            <v>22090919</v>
          </cell>
          <cell r="H188">
            <v>7</v>
          </cell>
        </row>
        <row r="189">
          <cell r="A189">
            <v>3027497</v>
          </cell>
          <cell r="B189">
            <v>25930000</v>
          </cell>
          <cell r="C189">
            <v>1.8</v>
          </cell>
          <cell r="F189">
            <v>3020317</v>
          </cell>
          <cell r="G189">
            <v>22093900</v>
          </cell>
          <cell r="H189">
            <v>7</v>
          </cell>
        </row>
        <row r="190">
          <cell r="A190">
            <v>3023816</v>
          </cell>
          <cell r="B190">
            <v>18990000</v>
          </cell>
          <cell r="C190">
            <v>12.5</v>
          </cell>
          <cell r="F190">
            <v>3020318</v>
          </cell>
          <cell r="G190">
            <v>22123900</v>
          </cell>
          <cell r="H190">
            <v>14.6</v>
          </cell>
        </row>
        <row r="191">
          <cell r="A191">
            <v>3029441</v>
          </cell>
          <cell r="B191">
            <v>22070000</v>
          </cell>
          <cell r="C191">
            <v>12.5</v>
          </cell>
          <cell r="F191">
            <v>3020319</v>
          </cell>
          <cell r="G191">
            <v>22129900</v>
          </cell>
          <cell r="H191">
            <v>14.6</v>
          </cell>
        </row>
        <row r="192">
          <cell r="A192">
            <v>1100601</v>
          </cell>
          <cell r="B192">
            <v>26900088</v>
          </cell>
          <cell r="C192">
            <v>0.05</v>
          </cell>
          <cell r="F192">
            <v>3020320</v>
          </cell>
          <cell r="G192">
            <v>22133900</v>
          </cell>
          <cell r="H192">
            <v>14.6</v>
          </cell>
        </row>
        <row r="193">
          <cell r="A193">
            <v>3029626</v>
          </cell>
          <cell r="B193">
            <v>28830000</v>
          </cell>
          <cell r="C193">
            <v>10.64</v>
          </cell>
          <cell r="F193">
            <v>3020321</v>
          </cell>
          <cell r="G193">
            <v>22140900</v>
          </cell>
          <cell r="H193">
            <v>12.9</v>
          </cell>
        </row>
        <row r="194">
          <cell r="A194">
            <v>3030613</v>
          </cell>
          <cell r="B194">
            <v>22047000</v>
          </cell>
          <cell r="C194">
            <v>12.7</v>
          </cell>
          <cell r="F194">
            <v>3020323</v>
          </cell>
          <cell r="G194">
            <v>22200902</v>
          </cell>
          <cell r="H194">
            <v>7</v>
          </cell>
        </row>
        <row r="195">
          <cell r="A195">
            <v>3030622</v>
          </cell>
          <cell r="B195">
            <v>23957000</v>
          </cell>
          <cell r="C195">
            <v>4.8</v>
          </cell>
          <cell r="F195">
            <v>3020324</v>
          </cell>
          <cell r="G195">
            <v>22200919</v>
          </cell>
          <cell r="H195">
            <v>7</v>
          </cell>
        </row>
        <row r="196">
          <cell r="A196">
            <v>3030968</v>
          </cell>
          <cell r="B196">
            <v>24095000</v>
          </cell>
          <cell r="C196">
            <v>3.8</v>
          </cell>
          <cell r="F196">
            <v>3020325</v>
          </cell>
          <cell r="G196">
            <v>22210900</v>
          </cell>
          <cell r="H196">
            <v>8.5</v>
          </cell>
        </row>
        <row r="197">
          <cell r="A197">
            <v>1100084</v>
          </cell>
          <cell r="B197">
            <v>26800000</v>
          </cell>
          <cell r="C197">
            <v>0.01</v>
          </cell>
          <cell r="F197">
            <v>3020327</v>
          </cell>
          <cell r="G197">
            <v>22393900</v>
          </cell>
          <cell r="H197">
            <v>14.6</v>
          </cell>
        </row>
        <row r="198">
          <cell r="A198">
            <v>3030307</v>
          </cell>
          <cell r="B198">
            <v>24040000</v>
          </cell>
          <cell r="C198">
            <v>2.7</v>
          </cell>
          <cell r="F198">
            <v>3020328</v>
          </cell>
          <cell r="G198">
            <v>22570900</v>
          </cell>
          <cell r="H198">
            <v>3.87</v>
          </cell>
        </row>
        <row r="199">
          <cell r="A199">
            <v>3032411</v>
          </cell>
          <cell r="B199">
            <v>22147000</v>
          </cell>
          <cell r="C199">
            <v>12.7</v>
          </cell>
          <cell r="F199">
            <v>3020330</v>
          </cell>
          <cell r="G199">
            <v>22580900</v>
          </cell>
          <cell r="H199">
            <v>1.3</v>
          </cell>
        </row>
        <row r="200">
          <cell r="A200">
            <v>3032640</v>
          </cell>
          <cell r="B200">
            <v>22058000</v>
          </cell>
          <cell r="C200">
            <v>9.1999999999999993</v>
          </cell>
          <cell r="F200">
            <v>3020332</v>
          </cell>
          <cell r="G200">
            <v>22590900</v>
          </cell>
          <cell r="H200">
            <v>6.77</v>
          </cell>
        </row>
        <row r="201">
          <cell r="A201">
            <v>3032643</v>
          </cell>
          <cell r="B201">
            <v>22137000</v>
          </cell>
          <cell r="C201">
            <v>14.4</v>
          </cell>
          <cell r="F201">
            <v>3020334</v>
          </cell>
          <cell r="G201">
            <v>23033900</v>
          </cell>
          <cell r="H201">
            <v>6.2</v>
          </cell>
        </row>
        <row r="202">
          <cell r="A202">
            <v>3015934</v>
          </cell>
          <cell r="B202">
            <v>28770000</v>
          </cell>
          <cell r="C202">
            <v>9.6</v>
          </cell>
          <cell r="F202">
            <v>3020336</v>
          </cell>
          <cell r="G202">
            <v>23143900</v>
          </cell>
          <cell r="H202">
            <v>1.3</v>
          </cell>
        </row>
        <row r="203">
          <cell r="A203">
            <v>3033310</v>
          </cell>
          <cell r="B203">
            <v>25404000</v>
          </cell>
          <cell r="C203">
            <v>0.01</v>
          </cell>
          <cell r="F203">
            <v>3020337</v>
          </cell>
          <cell r="G203">
            <v>23149900</v>
          </cell>
          <cell r="H203">
            <v>1.3</v>
          </cell>
        </row>
        <row r="204">
          <cell r="A204">
            <v>3035207</v>
          </cell>
          <cell r="B204">
            <v>20425000</v>
          </cell>
          <cell r="C204">
            <v>10.8</v>
          </cell>
          <cell r="F204">
            <v>3020339</v>
          </cell>
          <cell r="G204">
            <v>23160918</v>
          </cell>
          <cell r="H204">
            <v>3.5</v>
          </cell>
        </row>
        <row r="205">
          <cell r="A205">
            <v>3035231</v>
          </cell>
          <cell r="B205">
            <v>16025000</v>
          </cell>
          <cell r="C205">
            <v>13.6</v>
          </cell>
          <cell r="F205">
            <v>3020340</v>
          </cell>
          <cell r="G205">
            <v>23162900</v>
          </cell>
          <cell r="H205">
            <v>3.5</v>
          </cell>
        </row>
        <row r="206">
          <cell r="A206">
            <v>3035230</v>
          </cell>
          <cell r="B206">
            <v>16005000</v>
          </cell>
          <cell r="C206">
            <v>11.6</v>
          </cell>
          <cell r="F206">
            <v>3020341</v>
          </cell>
          <cell r="G206">
            <v>23163900</v>
          </cell>
          <cell r="H206">
            <v>3.5</v>
          </cell>
        </row>
        <row r="207">
          <cell r="A207">
            <v>3035252</v>
          </cell>
          <cell r="B207">
            <v>24155000</v>
          </cell>
          <cell r="C207">
            <v>7.8</v>
          </cell>
          <cell r="F207">
            <v>3020342</v>
          </cell>
          <cell r="G207">
            <v>23169900</v>
          </cell>
          <cell r="H207">
            <v>3.5</v>
          </cell>
        </row>
        <row r="208">
          <cell r="A208">
            <v>3035253</v>
          </cell>
          <cell r="B208">
            <v>25655000</v>
          </cell>
          <cell r="C208">
            <v>2.4</v>
          </cell>
          <cell r="F208">
            <v>3020343</v>
          </cell>
          <cell r="G208">
            <v>23953900</v>
          </cell>
          <cell r="H208">
            <v>5</v>
          </cell>
        </row>
        <row r="209">
          <cell r="A209">
            <v>3035217</v>
          </cell>
          <cell r="B209">
            <v>16775000</v>
          </cell>
          <cell r="C209">
            <v>2.2999999999999998</v>
          </cell>
          <cell r="F209">
            <v>3020344</v>
          </cell>
          <cell r="G209">
            <v>24060900</v>
          </cell>
          <cell r="H209">
            <v>0.7</v>
          </cell>
        </row>
        <row r="210">
          <cell r="A210">
            <v>3035219</v>
          </cell>
          <cell r="B210">
            <v>17715000</v>
          </cell>
          <cell r="C210">
            <v>3.1</v>
          </cell>
          <cell r="F210">
            <v>3020346</v>
          </cell>
          <cell r="G210">
            <v>24200900</v>
          </cell>
          <cell r="H210">
            <v>8</v>
          </cell>
        </row>
        <row r="211">
          <cell r="A211">
            <v>3035185</v>
          </cell>
          <cell r="B211">
            <v>17805000</v>
          </cell>
          <cell r="C211">
            <v>2.8</v>
          </cell>
          <cell r="F211">
            <v>3020347</v>
          </cell>
          <cell r="G211">
            <v>24200902</v>
          </cell>
          <cell r="H211">
            <v>8</v>
          </cell>
        </row>
        <row r="212">
          <cell r="A212">
            <v>3035263</v>
          </cell>
          <cell r="B212">
            <v>25755000</v>
          </cell>
          <cell r="C212">
            <v>0.1</v>
          </cell>
          <cell r="F212">
            <v>3020348</v>
          </cell>
          <cell r="G212">
            <v>24220900</v>
          </cell>
          <cell r="H212">
            <v>1.6</v>
          </cell>
        </row>
        <row r="213">
          <cell r="A213">
            <v>3035254</v>
          </cell>
          <cell r="B213">
            <v>25775000</v>
          </cell>
          <cell r="C213">
            <v>1.6</v>
          </cell>
          <cell r="F213">
            <v>3020349</v>
          </cell>
          <cell r="G213">
            <v>25410900</v>
          </cell>
          <cell r="H213">
            <v>0.21</v>
          </cell>
        </row>
        <row r="214">
          <cell r="A214">
            <v>3035256</v>
          </cell>
          <cell r="B214">
            <v>25975000</v>
          </cell>
          <cell r="C214">
            <v>4.5</v>
          </cell>
          <cell r="F214">
            <v>3020351</v>
          </cell>
          <cell r="G214">
            <v>25810900</v>
          </cell>
          <cell r="H214">
            <v>16.38</v>
          </cell>
        </row>
        <row r="215">
          <cell r="A215">
            <v>3035246</v>
          </cell>
          <cell r="B215">
            <v>29855000</v>
          </cell>
          <cell r="C215">
            <v>6.3</v>
          </cell>
          <cell r="F215">
            <v>3020352</v>
          </cell>
          <cell r="G215">
            <v>25811900</v>
          </cell>
          <cell r="H215">
            <v>16.38</v>
          </cell>
        </row>
        <row r="216">
          <cell r="A216">
            <v>3035245</v>
          </cell>
          <cell r="B216">
            <v>17785000</v>
          </cell>
          <cell r="C216">
            <v>6.3</v>
          </cell>
          <cell r="F216">
            <v>3020353</v>
          </cell>
          <cell r="G216">
            <v>27870900</v>
          </cell>
          <cell r="H216">
            <v>16.66</v>
          </cell>
        </row>
        <row r="217">
          <cell r="A217">
            <v>3035456</v>
          </cell>
          <cell r="B217">
            <v>14844000</v>
          </cell>
          <cell r="C217">
            <v>12.84</v>
          </cell>
          <cell r="F217">
            <v>3020354</v>
          </cell>
          <cell r="G217">
            <v>27930900</v>
          </cell>
          <cell r="H217">
            <v>16.600000000000001</v>
          </cell>
        </row>
        <row r="218">
          <cell r="A218">
            <v>3035459</v>
          </cell>
          <cell r="B218">
            <v>18214000</v>
          </cell>
          <cell r="C218">
            <v>8.83</v>
          </cell>
          <cell r="F218">
            <v>3020355</v>
          </cell>
          <cell r="G218">
            <v>27931900</v>
          </cell>
          <cell r="H218">
            <v>16.600000000000001</v>
          </cell>
        </row>
        <row r="219">
          <cell r="A219">
            <v>3035693</v>
          </cell>
          <cell r="B219">
            <v>24065000</v>
          </cell>
          <cell r="C219">
            <v>0.5</v>
          </cell>
          <cell r="F219">
            <v>3020357</v>
          </cell>
          <cell r="G219">
            <v>28080900</v>
          </cell>
          <cell r="H219">
            <v>16.18</v>
          </cell>
        </row>
        <row r="220">
          <cell r="A220">
            <v>3035830</v>
          </cell>
          <cell r="B220">
            <v>20424000</v>
          </cell>
          <cell r="C220">
            <v>10.8</v>
          </cell>
          <cell r="F220">
            <v>3020358</v>
          </cell>
          <cell r="G220">
            <v>28089900</v>
          </cell>
          <cell r="H220">
            <v>16.18</v>
          </cell>
        </row>
        <row r="221">
          <cell r="A221">
            <v>3035826</v>
          </cell>
          <cell r="B221">
            <v>12454000</v>
          </cell>
          <cell r="C221">
            <v>13.83</v>
          </cell>
          <cell r="F221">
            <v>3020360</v>
          </cell>
          <cell r="G221">
            <v>28310900</v>
          </cell>
          <cell r="H221">
            <v>17.2</v>
          </cell>
        </row>
        <row r="222">
          <cell r="A222">
            <v>3035906</v>
          </cell>
          <cell r="B222">
            <v>12394000</v>
          </cell>
          <cell r="C222">
            <v>13.83</v>
          </cell>
          <cell r="F222">
            <v>3020361</v>
          </cell>
          <cell r="G222">
            <v>28311900</v>
          </cell>
          <cell r="H222">
            <v>17.2</v>
          </cell>
        </row>
        <row r="223">
          <cell r="A223">
            <v>3035908</v>
          </cell>
          <cell r="B223">
            <v>23954000</v>
          </cell>
          <cell r="C223">
            <v>4.8</v>
          </cell>
          <cell r="F223">
            <v>3020365</v>
          </cell>
          <cell r="G223">
            <v>28560900</v>
          </cell>
          <cell r="H223">
            <v>18</v>
          </cell>
        </row>
        <row r="224">
          <cell r="A224">
            <v>3035909</v>
          </cell>
          <cell r="B224">
            <v>16004000</v>
          </cell>
          <cell r="C224">
            <v>11.6</v>
          </cell>
          <cell r="F224">
            <v>3020366</v>
          </cell>
          <cell r="G224">
            <v>28561900</v>
          </cell>
          <cell r="H224">
            <v>18</v>
          </cell>
        </row>
        <row r="225">
          <cell r="A225">
            <v>3031651</v>
          </cell>
          <cell r="B225">
            <v>17830000</v>
          </cell>
          <cell r="C225">
            <v>2.2999999999999998</v>
          </cell>
          <cell r="F225">
            <v>3020367</v>
          </cell>
          <cell r="G225">
            <v>29040900</v>
          </cell>
          <cell r="H225">
            <v>13.11</v>
          </cell>
        </row>
        <row r="226">
          <cell r="A226">
            <v>3036051</v>
          </cell>
          <cell r="B226">
            <v>25654000</v>
          </cell>
          <cell r="C226">
            <v>2.4</v>
          </cell>
          <cell r="F226">
            <v>3020368</v>
          </cell>
          <cell r="G226">
            <v>29120900</v>
          </cell>
          <cell r="H226">
            <v>14.6</v>
          </cell>
        </row>
        <row r="227">
          <cell r="A227">
            <v>3015302</v>
          </cell>
          <cell r="B227">
            <v>24010000</v>
          </cell>
          <cell r="C227">
            <v>0.01</v>
          </cell>
          <cell r="F227">
            <v>3020369</v>
          </cell>
          <cell r="G227">
            <v>29120902</v>
          </cell>
          <cell r="H227">
            <v>14.6</v>
          </cell>
        </row>
        <row r="228">
          <cell r="A228">
            <v>3037036</v>
          </cell>
          <cell r="B228">
            <v>22110000</v>
          </cell>
          <cell r="C228">
            <v>14.4</v>
          </cell>
          <cell r="F228">
            <v>3020371</v>
          </cell>
          <cell r="G228">
            <v>29350900</v>
          </cell>
          <cell r="H228">
            <v>15.38</v>
          </cell>
        </row>
        <row r="229">
          <cell r="A229">
            <v>3037430</v>
          </cell>
          <cell r="B229">
            <v>20034000</v>
          </cell>
          <cell r="C229">
            <v>6.8</v>
          </cell>
          <cell r="F229">
            <v>3020372</v>
          </cell>
          <cell r="G229">
            <v>29351900</v>
          </cell>
          <cell r="H229">
            <v>15.38</v>
          </cell>
        </row>
        <row r="230">
          <cell r="A230">
            <v>3037418</v>
          </cell>
          <cell r="B230">
            <v>22064000</v>
          </cell>
          <cell r="C230">
            <v>12.5</v>
          </cell>
          <cell r="F230">
            <v>3020373</v>
          </cell>
          <cell r="G230">
            <v>29359900</v>
          </cell>
          <cell r="H230">
            <v>15.38</v>
          </cell>
        </row>
        <row r="231">
          <cell r="A231">
            <v>3037424</v>
          </cell>
          <cell r="B231">
            <v>22044000</v>
          </cell>
          <cell r="C231">
            <v>12.7</v>
          </cell>
          <cell r="F231">
            <v>3020374</v>
          </cell>
          <cell r="G231">
            <v>29560902</v>
          </cell>
          <cell r="H231">
            <v>17.2</v>
          </cell>
        </row>
        <row r="232">
          <cell r="A232">
            <v>3035907</v>
          </cell>
          <cell r="B232">
            <v>17714000</v>
          </cell>
          <cell r="C232">
            <v>3.1</v>
          </cell>
          <cell r="F232">
            <v>3020375</v>
          </cell>
          <cell r="G232">
            <v>29860900</v>
          </cell>
          <cell r="H232">
            <v>2.8</v>
          </cell>
        </row>
        <row r="233">
          <cell r="A233">
            <v>1100770</v>
          </cell>
          <cell r="B233">
            <v>25240088</v>
          </cell>
          <cell r="C233">
            <v>0.01</v>
          </cell>
          <cell r="F233">
            <v>3020376</v>
          </cell>
          <cell r="G233">
            <v>29863900</v>
          </cell>
          <cell r="H233">
            <v>2.8</v>
          </cell>
        </row>
        <row r="234">
          <cell r="A234">
            <v>3038705</v>
          </cell>
          <cell r="B234">
            <v>24300000</v>
          </cell>
          <cell r="C234">
            <v>0.14000000000000001</v>
          </cell>
          <cell r="F234">
            <v>3020379</v>
          </cell>
          <cell r="G234">
            <v>29919900</v>
          </cell>
          <cell r="H234">
            <v>7.47</v>
          </cell>
        </row>
        <row r="235">
          <cell r="A235">
            <v>3038707</v>
          </cell>
          <cell r="B235">
            <v>24320000</v>
          </cell>
          <cell r="C235">
            <v>4.1100000000000003</v>
          </cell>
          <cell r="F235">
            <v>3020474</v>
          </cell>
          <cell r="G235">
            <v>11660907</v>
          </cell>
          <cell r="H235">
            <v>18</v>
          </cell>
        </row>
        <row r="236">
          <cell r="A236">
            <v>3038706</v>
          </cell>
          <cell r="B236">
            <v>24310000</v>
          </cell>
          <cell r="C236">
            <v>0.8</v>
          </cell>
          <cell r="F236">
            <v>3020481</v>
          </cell>
          <cell r="G236">
            <v>11661907</v>
          </cell>
          <cell r="H236">
            <v>18</v>
          </cell>
        </row>
        <row r="237">
          <cell r="A237">
            <v>3038709</v>
          </cell>
          <cell r="B237">
            <v>24360000</v>
          </cell>
          <cell r="C237">
            <v>0.8</v>
          </cell>
          <cell r="F237">
            <v>3020505</v>
          </cell>
          <cell r="G237">
            <v>12600907</v>
          </cell>
          <cell r="H237">
            <v>17.8</v>
          </cell>
        </row>
        <row r="238">
          <cell r="A238">
            <v>3038712</v>
          </cell>
          <cell r="B238">
            <v>24340000</v>
          </cell>
          <cell r="C238">
            <v>0.8</v>
          </cell>
          <cell r="F238">
            <v>3020519</v>
          </cell>
          <cell r="G238">
            <v>28560907</v>
          </cell>
          <cell r="H238">
            <v>18</v>
          </cell>
        </row>
        <row r="239">
          <cell r="A239">
            <v>3038703</v>
          </cell>
          <cell r="B239">
            <v>24390000</v>
          </cell>
          <cell r="C239">
            <v>5</v>
          </cell>
          <cell r="F239">
            <v>3020525</v>
          </cell>
          <cell r="G239">
            <v>14810907</v>
          </cell>
          <cell r="H239">
            <v>18.18</v>
          </cell>
        </row>
        <row r="240">
          <cell r="A240">
            <v>3038702</v>
          </cell>
          <cell r="B240">
            <v>24370000</v>
          </cell>
          <cell r="C240">
            <v>0.8</v>
          </cell>
          <cell r="F240">
            <v>3020562</v>
          </cell>
          <cell r="G240">
            <v>28060902</v>
          </cell>
          <cell r="H240">
            <v>16.18</v>
          </cell>
        </row>
        <row r="241">
          <cell r="A241">
            <v>3038708</v>
          </cell>
          <cell r="B241">
            <v>24330000</v>
          </cell>
          <cell r="C241">
            <v>0.8</v>
          </cell>
          <cell r="F241">
            <v>3020576</v>
          </cell>
          <cell r="G241">
            <v>16340907</v>
          </cell>
          <cell r="H241">
            <v>9.7799999999999994</v>
          </cell>
        </row>
        <row r="242">
          <cell r="A242">
            <v>3038701</v>
          </cell>
          <cell r="B242">
            <v>24350000</v>
          </cell>
          <cell r="C242">
            <v>0.8</v>
          </cell>
          <cell r="F242">
            <v>3020586</v>
          </cell>
          <cell r="G242">
            <v>22100902</v>
          </cell>
          <cell r="H242">
            <v>15.25</v>
          </cell>
        </row>
        <row r="243">
          <cell r="A243">
            <v>3038704</v>
          </cell>
          <cell r="B243">
            <v>24400000</v>
          </cell>
          <cell r="C243">
            <v>0.8</v>
          </cell>
          <cell r="F243">
            <v>3020591</v>
          </cell>
          <cell r="G243">
            <v>22082907</v>
          </cell>
          <cell r="H243">
            <v>12.2</v>
          </cell>
        </row>
        <row r="244">
          <cell r="A244">
            <v>3046557</v>
          </cell>
          <cell r="B244">
            <v>24380000</v>
          </cell>
          <cell r="C244">
            <v>0.01</v>
          </cell>
          <cell r="F244">
            <v>3020679</v>
          </cell>
          <cell r="G244">
            <v>30200902</v>
          </cell>
          <cell r="H244">
            <v>7.57</v>
          </cell>
        </row>
        <row r="245">
          <cell r="A245">
            <v>3036055</v>
          </cell>
          <cell r="B245">
            <v>25701000</v>
          </cell>
          <cell r="C245">
            <v>0.1</v>
          </cell>
          <cell r="F245">
            <v>3020803</v>
          </cell>
          <cell r="G245">
            <v>30160902</v>
          </cell>
          <cell r="H245">
            <v>10.82</v>
          </cell>
        </row>
        <row r="246">
          <cell r="A246">
            <v>1200042</v>
          </cell>
          <cell r="B246">
            <v>25230000</v>
          </cell>
          <cell r="C246">
            <v>0.01</v>
          </cell>
          <cell r="F246">
            <v>3020810</v>
          </cell>
          <cell r="G246">
            <v>30180902</v>
          </cell>
          <cell r="H246">
            <v>6.89</v>
          </cell>
        </row>
        <row r="247">
          <cell r="A247">
            <v>3038711</v>
          </cell>
          <cell r="B247">
            <v>17890000</v>
          </cell>
          <cell r="C247">
            <v>1.1000000000000001</v>
          </cell>
          <cell r="F247">
            <v>3020857</v>
          </cell>
          <cell r="G247">
            <v>30100902</v>
          </cell>
          <cell r="H247">
            <v>13.69</v>
          </cell>
        </row>
        <row r="248">
          <cell r="A248">
            <v>3039040</v>
          </cell>
          <cell r="B248">
            <v>29124000</v>
          </cell>
          <cell r="C248">
            <v>14.4</v>
          </cell>
          <cell r="F248">
            <v>3020895</v>
          </cell>
          <cell r="G248">
            <v>20020900</v>
          </cell>
          <cell r="H248">
            <v>6.28</v>
          </cell>
        </row>
        <row r="249">
          <cell r="A249">
            <v>3038280</v>
          </cell>
          <cell r="B249">
            <v>22024000</v>
          </cell>
          <cell r="C249">
            <v>14.4</v>
          </cell>
          <cell r="F249">
            <v>3020896</v>
          </cell>
          <cell r="G249">
            <v>15590900</v>
          </cell>
          <cell r="H249">
            <v>10.96</v>
          </cell>
        </row>
        <row r="250">
          <cell r="A250">
            <v>3038277</v>
          </cell>
          <cell r="B250">
            <v>22064200</v>
          </cell>
          <cell r="C250">
            <v>12.5</v>
          </cell>
          <cell r="F250">
            <v>3020897</v>
          </cell>
          <cell r="G250">
            <v>19727900</v>
          </cell>
          <cell r="H250">
            <v>27</v>
          </cell>
        </row>
        <row r="251">
          <cell r="A251">
            <v>3038281</v>
          </cell>
          <cell r="B251">
            <v>22044200</v>
          </cell>
          <cell r="C251">
            <v>12.7</v>
          </cell>
          <cell r="F251">
            <v>3020907</v>
          </cell>
          <cell r="G251">
            <v>22042902</v>
          </cell>
          <cell r="H251">
            <v>12.9</v>
          </cell>
        </row>
        <row r="252">
          <cell r="A252">
            <v>3038282</v>
          </cell>
          <cell r="B252">
            <v>22054200</v>
          </cell>
          <cell r="C252">
            <v>9.1999999999999993</v>
          </cell>
          <cell r="F252">
            <v>3020909</v>
          </cell>
          <cell r="G252">
            <v>14330900</v>
          </cell>
          <cell r="H252">
            <v>18.21</v>
          </cell>
        </row>
        <row r="253">
          <cell r="A253">
            <v>1100780</v>
          </cell>
          <cell r="B253">
            <v>26900087</v>
          </cell>
          <cell r="C253">
            <v>0.01</v>
          </cell>
          <cell r="F253">
            <v>3020912</v>
          </cell>
          <cell r="G253">
            <v>17610900</v>
          </cell>
          <cell r="H253">
            <v>13.24</v>
          </cell>
        </row>
        <row r="254">
          <cell r="A254">
            <v>3039065</v>
          </cell>
          <cell r="B254">
            <v>25560000</v>
          </cell>
          <cell r="C254">
            <v>0.1</v>
          </cell>
          <cell r="F254">
            <v>3020918</v>
          </cell>
          <cell r="G254">
            <v>22052902</v>
          </cell>
          <cell r="H254">
            <v>9.4</v>
          </cell>
        </row>
        <row r="255">
          <cell r="A255">
            <v>3037552</v>
          </cell>
          <cell r="B255">
            <v>21954000</v>
          </cell>
          <cell r="C255">
            <v>9.1999999999999993</v>
          </cell>
          <cell r="F255">
            <v>3020919</v>
          </cell>
          <cell r="G255">
            <v>12550902</v>
          </cell>
          <cell r="H255">
            <v>16.3</v>
          </cell>
        </row>
        <row r="256">
          <cell r="A256">
            <v>3037546</v>
          </cell>
          <cell r="B256">
            <v>23164000</v>
          </cell>
          <cell r="C256">
            <v>3.3</v>
          </cell>
          <cell r="F256">
            <v>3020924</v>
          </cell>
          <cell r="G256">
            <v>12652900</v>
          </cell>
          <cell r="H256">
            <v>17.8</v>
          </cell>
        </row>
        <row r="257">
          <cell r="A257">
            <v>3038189</v>
          </cell>
          <cell r="B257">
            <v>22124000</v>
          </cell>
          <cell r="C257">
            <v>14.4</v>
          </cell>
          <cell r="F257">
            <v>3020927</v>
          </cell>
          <cell r="G257">
            <v>22082918</v>
          </cell>
          <cell r="H257">
            <v>12.2</v>
          </cell>
        </row>
        <row r="258">
          <cell r="A258">
            <v>3038318</v>
          </cell>
          <cell r="B258">
            <v>23164200</v>
          </cell>
          <cell r="C258">
            <v>3.3</v>
          </cell>
          <cell r="F258">
            <v>3020959</v>
          </cell>
          <cell r="G258">
            <v>16080900</v>
          </cell>
          <cell r="H258">
            <v>17.78</v>
          </cell>
        </row>
        <row r="259">
          <cell r="A259">
            <v>1100772</v>
          </cell>
          <cell r="B259">
            <v>26790088</v>
          </cell>
          <cell r="C259">
            <v>0.01</v>
          </cell>
          <cell r="F259">
            <v>3020970</v>
          </cell>
          <cell r="G259">
            <v>16081900</v>
          </cell>
          <cell r="H259">
            <v>17.78</v>
          </cell>
        </row>
        <row r="260">
          <cell r="A260">
            <v>3039043</v>
          </cell>
          <cell r="B260">
            <v>22034000</v>
          </cell>
          <cell r="C260">
            <v>14.4</v>
          </cell>
          <cell r="F260">
            <v>3021011</v>
          </cell>
          <cell r="G260">
            <v>12220900</v>
          </cell>
          <cell r="H260">
            <v>15.78</v>
          </cell>
        </row>
        <row r="261">
          <cell r="A261">
            <v>3039625</v>
          </cell>
          <cell r="B261">
            <v>22394000</v>
          </cell>
          <cell r="C261">
            <v>14.4</v>
          </cell>
          <cell r="F261">
            <v>3021012</v>
          </cell>
          <cell r="G261">
            <v>12221900</v>
          </cell>
          <cell r="H261">
            <v>15.78</v>
          </cell>
        </row>
        <row r="262">
          <cell r="A262">
            <v>1100781</v>
          </cell>
          <cell r="B262">
            <v>26780088</v>
          </cell>
          <cell r="C262">
            <v>0.7</v>
          </cell>
          <cell r="F262">
            <v>3021024</v>
          </cell>
          <cell r="G262">
            <v>14810120</v>
          </cell>
          <cell r="H262">
            <v>18.18</v>
          </cell>
        </row>
        <row r="263">
          <cell r="A263">
            <v>1100790</v>
          </cell>
          <cell r="B263">
            <v>26770088</v>
          </cell>
          <cell r="C263">
            <v>0.01</v>
          </cell>
          <cell r="F263">
            <v>3021027</v>
          </cell>
          <cell r="G263">
            <v>22120902</v>
          </cell>
          <cell r="H263">
            <v>14.6</v>
          </cell>
        </row>
        <row r="264">
          <cell r="A264">
            <v>1100791</v>
          </cell>
          <cell r="B264">
            <v>26760088</v>
          </cell>
          <cell r="C264">
            <v>0.01</v>
          </cell>
          <cell r="F264">
            <v>3021192</v>
          </cell>
          <cell r="G264">
            <v>30120110</v>
          </cell>
          <cell r="H264">
            <v>10.33</v>
          </cell>
        </row>
        <row r="265">
          <cell r="A265">
            <v>1100792</v>
          </cell>
          <cell r="B265">
            <v>26750088</v>
          </cell>
          <cell r="C265">
            <v>0.01</v>
          </cell>
          <cell r="F265">
            <v>3021202</v>
          </cell>
          <cell r="G265">
            <v>12550120</v>
          </cell>
          <cell r="H265">
            <v>16.3</v>
          </cell>
        </row>
        <row r="266">
          <cell r="A266">
            <v>1100771</v>
          </cell>
          <cell r="B266">
            <v>25250088</v>
          </cell>
          <cell r="C266">
            <v>0.8</v>
          </cell>
          <cell r="F266">
            <v>3021251</v>
          </cell>
          <cell r="G266">
            <v>11580907</v>
          </cell>
          <cell r="H266">
            <v>19.32</v>
          </cell>
        </row>
        <row r="267">
          <cell r="A267">
            <v>1100793</v>
          </cell>
          <cell r="B267">
            <v>26740088</v>
          </cell>
          <cell r="C267">
            <v>0.01</v>
          </cell>
          <cell r="F267">
            <v>3021278</v>
          </cell>
          <cell r="G267">
            <v>19220900</v>
          </cell>
          <cell r="H267">
            <v>8.5</v>
          </cell>
        </row>
        <row r="268">
          <cell r="A268">
            <v>3037547</v>
          </cell>
          <cell r="B268">
            <v>22094000</v>
          </cell>
          <cell r="C268">
            <v>6.8</v>
          </cell>
          <cell r="F268">
            <v>3021361</v>
          </cell>
          <cell r="G268">
            <v>14279900</v>
          </cell>
          <cell r="H268">
            <v>18.18</v>
          </cell>
        </row>
        <row r="269">
          <cell r="A269">
            <v>3037822</v>
          </cell>
          <cell r="B269">
            <v>17874000</v>
          </cell>
          <cell r="C269">
            <v>1.1000000000000001</v>
          </cell>
          <cell r="F269">
            <v>3021367</v>
          </cell>
          <cell r="G269">
            <v>15690100</v>
          </cell>
          <cell r="H269">
            <v>15.38</v>
          </cell>
        </row>
        <row r="270">
          <cell r="A270">
            <v>3037554</v>
          </cell>
          <cell r="B270">
            <v>22134000</v>
          </cell>
          <cell r="C270">
            <v>14.4</v>
          </cell>
          <cell r="F270">
            <v>3021384</v>
          </cell>
          <cell r="G270">
            <v>15690900</v>
          </cell>
          <cell r="H270">
            <v>15.38</v>
          </cell>
        </row>
        <row r="271">
          <cell r="A271">
            <v>1100822</v>
          </cell>
          <cell r="B271">
            <v>26720087</v>
          </cell>
          <cell r="C271">
            <v>0.05</v>
          </cell>
          <cell r="F271">
            <v>3021385</v>
          </cell>
          <cell r="G271">
            <v>15691900</v>
          </cell>
          <cell r="H271">
            <v>15.38</v>
          </cell>
        </row>
        <row r="272">
          <cell r="A272">
            <v>1100823</v>
          </cell>
          <cell r="B272">
            <v>26730087</v>
          </cell>
          <cell r="C272">
            <v>0.05</v>
          </cell>
          <cell r="F272">
            <v>3021450</v>
          </cell>
          <cell r="G272">
            <v>22042120</v>
          </cell>
          <cell r="H272">
            <v>12.9</v>
          </cell>
        </row>
        <row r="273">
          <cell r="A273">
            <v>3002073</v>
          </cell>
          <cell r="B273">
            <v>24154000</v>
          </cell>
          <cell r="C273">
            <v>7.8</v>
          </cell>
          <cell r="F273">
            <v>3021487</v>
          </cell>
          <cell r="G273">
            <v>20290112</v>
          </cell>
          <cell r="H273">
            <v>13.61</v>
          </cell>
        </row>
        <row r="274">
          <cell r="A274">
            <v>3037823</v>
          </cell>
          <cell r="B274">
            <v>23974000</v>
          </cell>
          <cell r="C274">
            <v>4.8</v>
          </cell>
          <cell r="F274">
            <v>3021491</v>
          </cell>
          <cell r="G274">
            <v>15150100</v>
          </cell>
          <cell r="H274">
            <v>13.61</v>
          </cell>
        </row>
        <row r="275">
          <cell r="A275">
            <v>3037810</v>
          </cell>
          <cell r="B275">
            <v>22224000</v>
          </cell>
          <cell r="C275">
            <v>6.8</v>
          </cell>
          <cell r="F275">
            <v>3021516</v>
          </cell>
          <cell r="G275">
            <v>22130902</v>
          </cell>
          <cell r="H275">
            <v>14.6</v>
          </cell>
        </row>
        <row r="276">
          <cell r="A276">
            <v>3037830</v>
          </cell>
          <cell r="B276">
            <v>22234000</v>
          </cell>
          <cell r="C276">
            <v>6.8</v>
          </cell>
          <cell r="F276">
            <v>3021910</v>
          </cell>
          <cell r="G276">
            <v>11070900</v>
          </cell>
          <cell r="H276">
            <v>17.489999999999998</v>
          </cell>
        </row>
        <row r="277">
          <cell r="A277">
            <v>3039416</v>
          </cell>
          <cell r="B277">
            <v>22114000</v>
          </cell>
          <cell r="C277">
            <v>14.4</v>
          </cell>
          <cell r="F277">
            <v>3021911</v>
          </cell>
          <cell r="G277">
            <v>11071900</v>
          </cell>
          <cell r="H277">
            <v>17.489999999999998</v>
          </cell>
        </row>
        <row r="278">
          <cell r="A278">
            <v>3041226</v>
          </cell>
          <cell r="B278">
            <v>17884000</v>
          </cell>
          <cell r="C278">
            <v>1.1000000000000001</v>
          </cell>
          <cell r="F278">
            <v>3021926</v>
          </cell>
          <cell r="G278">
            <v>11429900</v>
          </cell>
          <cell r="H278">
            <v>21.49</v>
          </cell>
        </row>
        <row r="279">
          <cell r="A279">
            <v>3035851</v>
          </cell>
          <cell r="B279">
            <v>13494000</v>
          </cell>
          <cell r="C279">
            <v>13.17</v>
          </cell>
          <cell r="F279">
            <v>3021960</v>
          </cell>
          <cell r="G279">
            <v>25900100</v>
          </cell>
          <cell r="H279">
            <v>1</v>
          </cell>
        </row>
        <row r="280">
          <cell r="A280">
            <v>3037419</v>
          </cell>
          <cell r="B280">
            <v>22084000</v>
          </cell>
          <cell r="C280">
            <v>12</v>
          </cell>
          <cell r="F280">
            <v>3021995</v>
          </cell>
          <cell r="G280">
            <v>16080902</v>
          </cell>
          <cell r="H280">
            <v>17.78</v>
          </cell>
        </row>
        <row r="281">
          <cell r="A281">
            <v>3039107</v>
          </cell>
          <cell r="B281">
            <v>19234000</v>
          </cell>
          <cell r="C281">
            <v>8.3000000000000007</v>
          </cell>
          <cell r="F281">
            <v>3022010</v>
          </cell>
          <cell r="G281">
            <v>11060900</v>
          </cell>
          <cell r="H281">
            <v>18</v>
          </cell>
        </row>
        <row r="282">
          <cell r="A282">
            <v>3042468</v>
          </cell>
          <cell r="B282">
            <v>22164000</v>
          </cell>
          <cell r="C282">
            <v>14.4</v>
          </cell>
          <cell r="F282">
            <v>3022012</v>
          </cell>
          <cell r="G282">
            <v>11061900</v>
          </cell>
          <cell r="H282">
            <v>18</v>
          </cell>
        </row>
        <row r="283">
          <cell r="A283">
            <v>3042493</v>
          </cell>
          <cell r="B283">
            <v>20660000</v>
          </cell>
          <cell r="C283">
            <v>8.06</v>
          </cell>
          <cell r="F283">
            <v>3022018</v>
          </cell>
          <cell r="G283">
            <v>22030152</v>
          </cell>
          <cell r="H283">
            <v>14.6</v>
          </cell>
        </row>
        <row r="284">
          <cell r="A284">
            <v>3042506</v>
          </cell>
          <cell r="B284">
            <v>17876000</v>
          </cell>
          <cell r="C284">
            <v>1.1000000000000001</v>
          </cell>
          <cell r="F284">
            <v>3022077</v>
          </cell>
          <cell r="G284">
            <v>11730900</v>
          </cell>
          <cell r="H284">
            <v>14.6</v>
          </cell>
        </row>
        <row r="285">
          <cell r="A285">
            <v>3042649</v>
          </cell>
          <cell r="B285">
            <v>18650000</v>
          </cell>
          <cell r="C285">
            <v>9.35</v>
          </cell>
          <cell r="F285">
            <v>3022082</v>
          </cell>
          <cell r="G285">
            <v>29040902</v>
          </cell>
          <cell r="H285">
            <v>13.11</v>
          </cell>
        </row>
        <row r="286">
          <cell r="A286">
            <v>3042644</v>
          </cell>
          <cell r="B286">
            <v>17020000</v>
          </cell>
          <cell r="C286">
            <v>8.8699999999999992</v>
          </cell>
          <cell r="F286">
            <v>3022138</v>
          </cell>
          <cell r="G286">
            <v>14331900</v>
          </cell>
          <cell r="H286">
            <v>18.21</v>
          </cell>
        </row>
        <row r="287">
          <cell r="A287">
            <v>3042645</v>
          </cell>
          <cell r="B287">
            <v>17900000</v>
          </cell>
          <cell r="C287">
            <v>8.5</v>
          </cell>
          <cell r="F287">
            <v>3022262</v>
          </cell>
          <cell r="G287">
            <v>22030122</v>
          </cell>
          <cell r="H287">
            <v>14.6</v>
          </cell>
        </row>
        <row r="288">
          <cell r="A288">
            <v>3042647</v>
          </cell>
          <cell r="B288">
            <v>19610000</v>
          </cell>
          <cell r="C288">
            <v>12.47</v>
          </cell>
          <cell r="F288">
            <v>3022307</v>
          </cell>
          <cell r="G288">
            <v>22020112</v>
          </cell>
          <cell r="H288">
            <v>14.6</v>
          </cell>
        </row>
        <row r="289">
          <cell r="A289">
            <v>3042709</v>
          </cell>
          <cell r="B289">
            <v>13160000</v>
          </cell>
          <cell r="C289">
            <v>11.03</v>
          </cell>
          <cell r="F289">
            <v>3022331</v>
          </cell>
          <cell r="G289">
            <v>30090102</v>
          </cell>
          <cell r="H289">
            <v>11.25</v>
          </cell>
        </row>
        <row r="290">
          <cell r="A290">
            <v>3042733</v>
          </cell>
          <cell r="B290">
            <v>12040000</v>
          </cell>
          <cell r="C290">
            <v>11.03</v>
          </cell>
          <cell r="F290">
            <v>3022607</v>
          </cell>
          <cell r="G290">
            <v>22030130</v>
          </cell>
          <cell r="H290">
            <v>14.6</v>
          </cell>
        </row>
        <row r="291">
          <cell r="A291">
            <v>3042731</v>
          </cell>
          <cell r="B291">
            <v>12680000</v>
          </cell>
          <cell r="C291">
            <v>13.69</v>
          </cell>
          <cell r="F291">
            <v>3022618</v>
          </cell>
          <cell r="G291">
            <v>16130100</v>
          </cell>
          <cell r="H291">
            <v>15.4</v>
          </cell>
        </row>
        <row r="292">
          <cell r="A292">
            <v>3042732</v>
          </cell>
          <cell r="B292">
            <v>14820000</v>
          </cell>
          <cell r="C292">
            <v>13.99</v>
          </cell>
          <cell r="F292">
            <v>3022728</v>
          </cell>
          <cell r="G292">
            <v>25640100</v>
          </cell>
          <cell r="H292">
            <v>2.6</v>
          </cell>
        </row>
        <row r="293">
          <cell r="A293">
            <v>3042772</v>
          </cell>
          <cell r="B293">
            <v>11610000</v>
          </cell>
          <cell r="C293">
            <v>12.13</v>
          </cell>
          <cell r="F293">
            <v>3022814</v>
          </cell>
          <cell r="G293">
            <v>24159900</v>
          </cell>
          <cell r="H293">
            <v>8</v>
          </cell>
        </row>
        <row r="294">
          <cell r="A294">
            <v>3042765</v>
          </cell>
          <cell r="B294">
            <v>29150000</v>
          </cell>
          <cell r="C294">
            <v>8.43</v>
          </cell>
          <cell r="F294">
            <v>3022867</v>
          </cell>
          <cell r="G294">
            <v>12469900</v>
          </cell>
          <cell r="H294">
            <v>17.8</v>
          </cell>
        </row>
        <row r="295">
          <cell r="A295">
            <v>3042767</v>
          </cell>
          <cell r="B295">
            <v>29160000</v>
          </cell>
          <cell r="C295">
            <v>10.47</v>
          </cell>
          <cell r="F295">
            <v>3022868</v>
          </cell>
          <cell r="G295">
            <v>22209900</v>
          </cell>
          <cell r="H295">
            <v>7</v>
          </cell>
        </row>
        <row r="296">
          <cell r="A296">
            <v>3042769</v>
          </cell>
          <cell r="B296">
            <v>29190000</v>
          </cell>
          <cell r="C296">
            <v>8.34</v>
          </cell>
          <cell r="F296">
            <v>3022949</v>
          </cell>
          <cell r="G296">
            <v>22040140</v>
          </cell>
          <cell r="H296">
            <v>12.9</v>
          </cell>
        </row>
        <row r="297">
          <cell r="A297">
            <v>3042801</v>
          </cell>
          <cell r="B297">
            <v>20664000</v>
          </cell>
          <cell r="C297">
            <v>8.06</v>
          </cell>
          <cell r="F297">
            <v>3022961</v>
          </cell>
          <cell r="G297">
            <v>22050100</v>
          </cell>
          <cell r="H297">
            <v>9.4</v>
          </cell>
        </row>
        <row r="298">
          <cell r="A298">
            <v>3042744</v>
          </cell>
          <cell r="B298">
            <v>13164000</v>
          </cell>
          <cell r="C298">
            <v>11.03</v>
          </cell>
          <cell r="F298">
            <v>3022973</v>
          </cell>
          <cell r="G298">
            <v>24060927</v>
          </cell>
          <cell r="H298">
            <v>0.7</v>
          </cell>
        </row>
        <row r="299">
          <cell r="A299">
            <v>3042743</v>
          </cell>
          <cell r="B299">
            <v>12684000</v>
          </cell>
          <cell r="C299">
            <v>13.69</v>
          </cell>
          <cell r="F299">
            <v>3023022</v>
          </cell>
          <cell r="G299">
            <v>22089900</v>
          </cell>
          <cell r="H299">
            <v>12.2</v>
          </cell>
        </row>
        <row r="300">
          <cell r="A300">
            <v>3042745</v>
          </cell>
          <cell r="B300">
            <v>14824000</v>
          </cell>
          <cell r="C300">
            <v>13.99</v>
          </cell>
          <cell r="F300">
            <v>3023098</v>
          </cell>
          <cell r="G300">
            <v>29840902</v>
          </cell>
          <cell r="H300">
            <v>3.02</v>
          </cell>
        </row>
        <row r="301">
          <cell r="A301">
            <v>3042771</v>
          </cell>
          <cell r="B301">
            <v>11614000</v>
          </cell>
          <cell r="C301">
            <v>12.13</v>
          </cell>
          <cell r="F301">
            <v>3023120</v>
          </cell>
          <cell r="G301">
            <v>30080116</v>
          </cell>
          <cell r="H301">
            <v>1.5</v>
          </cell>
        </row>
        <row r="302">
          <cell r="A302">
            <v>3042766</v>
          </cell>
          <cell r="B302">
            <v>29154000</v>
          </cell>
          <cell r="C302">
            <v>8.43</v>
          </cell>
          <cell r="F302">
            <v>3023150</v>
          </cell>
          <cell r="G302">
            <v>22054900</v>
          </cell>
          <cell r="H302">
            <v>9.4</v>
          </cell>
        </row>
        <row r="303">
          <cell r="A303">
            <v>3042768</v>
          </cell>
          <cell r="B303">
            <v>29164000</v>
          </cell>
          <cell r="C303">
            <v>10.47</v>
          </cell>
          <cell r="F303">
            <v>3023158</v>
          </cell>
          <cell r="G303">
            <v>22086900</v>
          </cell>
          <cell r="H303">
            <v>10.4</v>
          </cell>
        </row>
        <row r="304">
          <cell r="A304">
            <v>3042770</v>
          </cell>
          <cell r="B304">
            <v>29194000</v>
          </cell>
          <cell r="C304">
            <v>8.34</v>
          </cell>
          <cell r="F304">
            <v>3023562</v>
          </cell>
          <cell r="G304">
            <v>21970102</v>
          </cell>
          <cell r="H304">
            <v>9.4</v>
          </cell>
        </row>
        <row r="305">
          <cell r="A305">
            <v>3042648</v>
          </cell>
          <cell r="B305">
            <v>22250000</v>
          </cell>
          <cell r="C305">
            <v>12.48</v>
          </cell>
          <cell r="F305">
            <v>3023565</v>
          </cell>
          <cell r="G305">
            <v>22040142</v>
          </cell>
          <cell r="H305">
            <v>12.9</v>
          </cell>
        </row>
        <row r="306">
          <cell r="A306">
            <v>3042711</v>
          </cell>
          <cell r="B306">
            <v>22270000</v>
          </cell>
          <cell r="C306">
            <v>12.48</v>
          </cell>
          <cell r="F306">
            <v>3023580</v>
          </cell>
          <cell r="G306">
            <v>24069900</v>
          </cell>
          <cell r="H306">
            <v>0.7</v>
          </cell>
        </row>
        <row r="307">
          <cell r="A307">
            <v>3042712</v>
          </cell>
          <cell r="B307">
            <v>22280000</v>
          </cell>
          <cell r="C307">
            <v>11.03</v>
          </cell>
          <cell r="F307">
            <v>3023588</v>
          </cell>
          <cell r="G307">
            <v>28050907</v>
          </cell>
          <cell r="H307">
            <v>16.18</v>
          </cell>
        </row>
        <row r="308">
          <cell r="A308">
            <v>3042738</v>
          </cell>
          <cell r="B308">
            <v>22254000</v>
          </cell>
          <cell r="C308">
            <v>12.48</v>
          </cell>
          <cell r="F308">
            <v>3023589</v>
          </cell>
          <cell r="G308">
            <v>13260900</v>
          </cell>
          <cell r="H308">
            <v>12.91</v>
          </cell>
        </row>
        <row r="309">
          <cell r="A309">
            <v>3042740</v>
          </cell>
          <cell r="B309">
            <v>22274000</v>
          </cell>
          <cell r="C309">
            <v>12.48</v>
          </cell>
          <cell r="F309">
            <v>3023661</v>
          </cell>
          <cell r="G309">
            <v>19300100</v>
          </cell>
          <cell r="H309">
            <v>13.5</v>
          </cell>
        </row>
        <row r="310">
          <cell r="A310">
            <v>3042741</v>
          </cell>
          <cell r="B310">
            <v>22284000</v>
          </cell>
          <cell r="C310">
            <v>11.03</v>
          </cell>
          <cell r="F310">
            <v>3023984</v>
          </cell>
          <cell r="G310">
            <v>30090130</v>
          </cell>
          <cell r="H310">
            <v>11.25</v>
          </cell>
        </row>
        <row r="311">
          <cell r="A311">
            <v>3042742</v>
          </cell>
          <cell r="B311">
            <v>12044000</v>
          </cell>
          <cell r="C311">
            <v>11.03</v>
          </cell>
          <cell r="F311">
            <v>3024014</v>
          </cell>
          <cell r="G311">
            <v>12551900</v>
          </cell>
          <cell r="H311">
            <v>16.3</v>
          </cell>
        </row>
        <row r="312">
          <cell r="A312">
            <v>3043105</v>
          </cell>
          <cell r="B312">
            <v>22290000</v>
          </cell>
          <cell r="C312">
            <v>14.4</v>
          </cell>
          <cell r="F312">
            <v>3024033</v>
          </cell>
          <cell r="G312">
            <v>17301900</v>
          </cell>
          <cell r="H312">
            <v>16.82</v>
          </cell>
        </row>
        <row r="313">
          <cell r="A313">
            <v>3043106</v>
          </cell>
          <cell r="B313">
            <v>22294000</v>
          </cell>
          <cell r="C313">
            <v>14.4</v>
          </cell>
          <cell r="F313">
            <v>3024119</v>
          </cell>
          <cell r="G313">
            <v>24150100</v>
          </cell>
          <cell r="H313">
            <v>8</v>
          </cell>
        </row>
        <row r="314">
          <cell r="A314">
            <v>3043530</v>
          </cell>
          <cell r="B314">
            <v>22046000</v>
          </cell>
          <cell r="C314">
            <v>12.7</v>
          </cell>
          <cell r="F314">
            <v>3024139</v>
          </cell>
          <cell r="G314">
            <v>25590100</v>
          </cell>
          <cell r="H314">
            <v>1</v>
          </cell>
        </row>
        <row r="315">
          <cell r="A315">
            <v>3043531</v>
          </cell>
          <cell r="B315">
            <v>22056000</v>
          </cell>
          <cell r="C315">
            <v>9.1999999999999993</v>
          </cell>
          <cell r="F315">
            <v>3024204</v>
          </cell>
          <cell r="G315">
            <v>11580900</v>
          </cell>
          <cell r="H315">
            <v>19.32</v>
          </cell>
        </row>
        <row r="316">
          <cell r="A316">
            <v>3043919</v>
          </cell>
          <cell r="B316">
            <v>25864000</v>
          </cell>
          <cell r="C316">
            <v>6.8</v>
          </cell>
          <cell r="F316">
            <v>3024205</v>
          </cell>
          <cell r="G316">
            <v>11581900</v>
          </cell>
          <cell r="H316">
            <v>19.32</v>
          </cell>
        </row>
        <row r="317">
          <cell r="A317">
            <v>1100890</v>
          </cell>
          <cell r="B317">
            <v>26850087</v>
          </cell>
          <cell r="C317">
            <v>0.01</v>
          </cell>
          <cell r="F317">
            <v>3024208</v>
          </cell>
          <cell r="G317">
            <v>11340900</v>
          </cell>
          <cell r="H317">
            <v>15.76</v>
          </cell>
        </row>
        <row r="318">
          <cell r="A318">
            <v>3044601</v>
          </cell>
          <cell r="B318">
            <v>24224000</v>
          </cell>
          <cell r="C318">
            <v>1.4</v>
          </cell>
          <cell r="F318">
            <v>3024214</v>
          </cell>
          <cell r="G318">
            <v>20290102</v>
          </cell>
          <cell r="H318">
            <v>13.61</v>
          </cell>
        </row>
        <row r="319">
          <cell r="A319">
            <v>3044559</v>
          </cell>
          <cell r="B319">
            <v>24470000</v>
          </cell>
          <cell r="C319">
            <v>0.01</v>
          </cell>
          <cell r="F319">
            <v>3024270</v>
          </cell>
          <cell r="G319">
            <v>14810112</v>
          </cell>
          <cell r="H319">
            <v>18.18</v>
          </cell>
        </row>
        <row r="320">
          <cell r="A320">
            <v>3044632</v>
          </cell>
          <cell r="B320">
            <v>25694000</v>
          </cell>
          <cell r="C320">
            <v>0.1</v>
          </cell>
          <cell r="F320">
            <v>3024287</v>
          </cell>
          <cell r="G320">
            <v>24150900</v>
          </cell>
          <cell r="H320">
            <v>8</v>
          </cell>
        </row>
        <row r="321">
          <cell r="A321">
            <v>3044625</v>
          </cell>
          <cell r="B321">
            <v>22300000</v>
          </cell>
          <cell r="C321">
            <v>14.4</v>
          </cell>
          <cell r="F321">
            <v>3024346</v>
          </cell>
          <cell r="G321">
            <v>20290907</v>
          </cell>
          <cell r="H321">
            <v>13.61</v>
          </cell>
        </row>
        <row r="322">
          <cell r="A322">
            <v>3044668</v>
          </cell>
          <cell r="B322">
            <v>22304000</v>
          </cell>
          <cell r="C322">
            <v>14.4</v>
          </cell>
          <cell r="F322">
            <v>3024347</v>
          </cell>
          <cell r="G322">
            <v>20290902</v>
          </cell>
          <cell r="H322">
            <v>13.61</v>
          </cell>
        </row>
        <row r="323">
          <cell r="A323">
            <v>3044659</v>
          </cell>
          <cell r="B323">
            <v>21880000</v>
          </cell>
          <cell r="C323">
            <v>12.5</v>
          </cell>
          <cell r="F323">
            <v>3024384</v>
          </cell>
          <cell r="G323">
            <v>19721900</v>
          </cell>
          <cell r="H323">
            <v>27</v>
          </cell>
        </row>
        <row r="324">
          <cell r="A324">
            <v>3044682</v>
          </cell>
          <cell r="B324">
            <v>17871000</v>
          </cell>
          <cell r="C324">
            <v>1.1000000000000001</v>
          </cell>
          <cell r="F324">
            <v>3024527</v>
          </cell>
          <cell r="G324">
            <v>20420907</v>
          </cell>
          <cell r="H324">
            <v>11</v>
          </cell>
        </row>
        <row r="325">
          <cell r="A325">
            <v>3044716</v>
          </cell>
          <cell r="B325">
            <v>17875000</v>
          </cell>
          <cell r="C325">
            <v>1.1000000000000001</v>
          </cell>
          <cell r="F325">
            <v>3024583</v>
          </cell>
          <cell r="G325">
            <v>13150130</v>
          </cell>
          <cell r="H325">
            <v>12.9</v>
          </cell>
        </row>
        <row r="326">
          <cell r="A326">
            <v>3035831</v>
          </cell>
          <cell r="B326">
            <v>25595000</v>
          </cell>
          <cell r="C326">
            <v>0.8</v>
          </cell>
          <cell r="F326">
            <v>3024637</v>
          </cell>
          <cell r="G326">
            <v>13150900</v>
          </cell>
          <cell r="H326">
            <v>12.9</v>
          </cell>
        </row>
        <row r="327">
          <cell r="A327">
            <v>1101030</v>
          </cell>
          <cell r="B327">
            <v>26940087</v>
          </cell>
          <cell r="C327">
            <v>0.01</v>
          </cell>
          <cell r="F327">
            <v>3024638</v>
          </cell>
          <cell r="G327">
            <v>13151900</v>
          </cell>
          <cell r="H327">
            <v>12.9</v>
          </cell>
        </row>
        <row r="328">
          <cell r="A328">
            <v>3045106</v>
          </cell>
          <cell r="B328">
            <v>22200000</v>
          </cell>
          <cell r="C328">
            <v>6.8</v>
          </cell>
          <cell r="F328">
            <v>3024645</v>
          </cell>
          <cell r="G328">
            <v>13150142</v>
          </cell>
          <cell r="H328">
            <v>12.9</v>
          </cell>
        </row>
        <row r="329">
          <cell r="A329">
            <v>3045783</v>
          </cell>
          <cell r="B329">
            <v>17884200</v>
          </cell>
          <cell r="C329">
            <v>1.1000000000000001</v>
          </cell>
          <cell r="F329">
            <v>3024649</v>
          </cell>
          <cell r="G329">
            <v>13150120</v>
          </cell>
          <cell r="H329">
            <v>12.9</v>
          </cell>
        </row>
        <row r="330">
          <cell r="A330">
            <v>1101071</v>
          </cell>
          <cell r="B330">
            <v>25670086</v>
          </cell>
          <cell r="C330">
            <v>0.05</v>
          </cell>
          <cell r="F330">
            <v>3024666</v>
          </cell>
          <cell r="G330">
            <v>22180900</v>
          </cell>
          <cell r="H330">
            <v>7</v>
          </cell>
        </row>
        <row r="331">
          <cell r="A331">
            <v>1100891</v>
          </cell>
          <cell r="B331">
            <v>26710087</v>
          </cell>
          <cell r="C331">
            <v>0.05</v>
          </cell>
          <cell r="F331">
            <v>3024697</v>
          </cell>
          <cell r="G331">
            <v>18990900</v>
          </cell>
          <cell r="H331">
            <v>12.7</v>
          </cell>
        </row>
        <row r="332">
          <cell r="A332">
            <v>3008983</v>
          </cell>
          <cell r="B332">
            <v>16770000</v>
          </cell>
          <cell r="C332">
            <v>2.2999999999999998</v>
          </cell>
          <cell r="F332">
            <v>3024745</v>
          </cell>
          <cell r="G332">
            <v>13150918</v>
          </cell>
          <cell r="H332">
            <v>12.9</v>
          </cell>
        </row>
        <row r="333">
          <cell r="A333">
            <v>1101061</v>
          </cell>
          <cell r="B333">
            <v>26680087</v>
          </cell>
          <cell r="C333">
            <v>0.01</v>
          </cell>
          <cell r="F333">
            <v>3024775</v>
          </cell>
          <cell r="G333">
            <v>22030110</v>
          </cell>
          <cell r="H333">
            <v>14.6</v>
          </cell>
        </row>
        <row r="334">
          <cell r="A334">
            <v>3046003</v>
          </cell>
          <cell r="B334">
            <v>24320012</v>
          </cell>
          <cell r="C334">
            <v>3.16</v>
          </cell>
          <cell r="F334">
            <v>3024787</v>
          </cell>
          <cell r="G334">
            <v>28080110</v>
          </cell>
          <cell r="H334">
            <v>16.18</v>
          </cell>
        </row>
        <row r="335">
          <cell r="A335">
            <v>3046004</v>
          </cell>
          <cell r="B335">
            <v>24320013</v>
          </cell>
          <cell r="C335">
            <v>3.16</v>
          </cell>
          <cell r="F335">
            <v>3024814</v>
          </cell>
          <cell r="G335">
            <v>29200900</v>
          </cell>
          <cell r="H335">
            <v>10.37</v>
          </cell>
        </row>
        <row r="336">
          <cell r="A336">
            <v>3046005</v>
          </cell>
          <cell r="B336">
            <v>24320014</v>
          </cell>
          <cell r="C336">
            <v>3.16</v>
          </cell>
          <cell r="F336">
            <v>3024815</v>
          </cell>
          <cell r="G336">
            <v>29201900</v>
          </cell>
          <cell r="H336">
            <v>10.37</v>
          </cell>
        </row>
        <row r="337">
          <cell r="A337">
            <v>3046001</v>
          </cell>
          <cell r="B337">
            <v>24320010</v>
          </cell>
          <cell r="C337">
            <v>10.31</v>
          </cell>
          <cell r="F337">
            <v>3024822</v>
          </cell>
          <cell r="G337">
            <v>11660110</v>
          </cell>
          <cell r="H337">
            <v>18</v>
          </cell>
        </row>
        <row r="338">
          <cell r="A338">
            <v>3046002</v>
          </cell>
          <cell r="B338">
            <v>24320011</v>
          </cell>
          <cell r="C338">
            <v>10.31</v>
          </cell>
          <cell r="F338">
            <v>3025052</v>
          </cell>
          <cell r="G338">
            <v>17872900</v>
          </cell>
          <cell r="H338">
            <v>1.3</v>
          </cell>
        </row>
        <row r="339">
          <cell r="A339">
            <v>3046006</v>
          </cell>
          <cell r="B339">
            <v>24320015</v>
          </cell>
          <cell r="C339">
            <v>10.31</v>
          </cell>
          <cell r="F339">
            <v>3025058</v>
          </cell>
          <cell r="G339">
            <v>30090110</v>
          </cell>
          <cell r="H339">
            <v>11.25</v>
          </cell>
        </row>
        <row r="340">
          <cell r="A340">
            <v>3046594</v>
          </cell>
          <cell r="B340">
            <v>24320016</v>
          </cell>
          <cell r="C340">
            <v>3.44</v>
          </cell>
          <cell r="F340">
            <v>3025096</v>
          </cell>
          <cell r="G340">
            <v>27960907</v>
          </cell>
          <cell r="H340">
            <v>15.72</v>
          </cell>
        </row>
        <row r="341">
          <cell r="A341">
            <v>3046595</v>
          </cell>
          <cell r="B341">
            <v>24320017</v>
          </cell>
          <cell r="C341">
            <v>3.44</v>
          </cell>
          <cell r="F341">
            <v>3025111</v>
          </cell>
          <cell r="G341">
            <v>28080907</v>
          </cell>
          <cell r="H341">
            <v>16.18</v>
          </cell>
        </row>
        <row r="342">
          <cell r="A342">
            <v>3046596</v>
          </cell>
          <cell r="B342">
            <v>24320018</v>
          </cell>
          <cell r="C342">
            <v>3.44</v>
          </cell>
          <cell r="F342">
            <v>3025112</v>
          </cell>
          <cell r="G342">
            <v>11060907</v>
          </cell>
          <cell r="H342">
            <v>18</v>
          </cell>
        </row>
        <row r="343">
          <cell r="A343">
            <v>3046970</v>
          </cell>
          <cell r="B343">
            <v>18960000</v>
          </cell>
          <cell r="C343">
            <v>24.5</v>
          </cell>
          <cell r="F343">
            <v>3025114</v>
          </cell>
          <cell r="G343">
            <v>11690907</v>
          </cell>
          <cell r="H343">
            <v>16.940000000000001</v>
          </cell>
        </row>
        <row r="344">
          <cell r="A344">
            <v>3047228</v>
          </cell>
          <cell r="B344">
            <v>23034000</v>
          </cell>
          <cell r="C344">
            <v>6</v>
          </cell>
          <cell r="F344">
            <v>3025117</v>
          </cell>
          <cell r="G344">
            <v>11760907</v>
          </cell>
          <cell r="H344">
            <v>21.49</v>
          </cell>
        </row>
        <row r="345">
          <cell r="A345">
            <v>3047500</v>
          </cell>
          <cell r="B345">
            <v>24490000</v>
          </cell>
          <cell r="C345">
            <v>0.48</v>
          </cell>
          <cell r="F345">
            <v>3025119</v>
          </cell>
          <cell r="G345">
            <v>17872907</v>
          </cell>
          <cell r="H345">
            <v>1.3</v>
          </cell>
        </row>
        <row r="346">
          <cell r="A346">
            <v>3047559</v>
          </cell>
          <cell r="B346">
            <v>21891000</v>
          </cell>
          <cell r="C346">
            <v>10</v>
          </cell>
          <cell r="F346">
            <v>3025121</v>
          </cell>
          <cell r="G346">
            <v>12220907</v>
          </cell>
          <cell r="H346">
            <v>15.78</v>
          </cell>
        </row>
        <row r="347">
          <cell r="F347">
            <v>3025122</v>
          </cell>
          <cell r="G347">
            <v>12221907</v>
          </cell>
          <cell r="H347">
            <v>15.78</v>
          </cell>
        </row>
        <row r="348">
          <cell r="F348">
            <v>3025125</v>
          </cell>
          <cell r="G348">
            <v>12380907</v>
          </cell>
          <cell r="H348">
            <v>15.88</v>
          </cell>
        </row>
        <row r="349">
          <cell r="F349">
            <v>3025127</v>
          </cell>
          <cell r="G349">
            <v>12390907</v>
          </cell>
          <cell r="H349">
            <v>14.03</v>
          </cell>
        </row>
        <row r="350">
          <cell r="F350">
            <v>3025128</v>
          </cell>
          <cell r="G350">
            <v>12391907</v>
          </cell>
          <cell r="H350">
            <v>14.03</v>
          </cell>
        </row>
        <row r="351">
          <cell r="F351">
            <v>3025129</v>
          </cell>
          <cell r="G351">
            <v>12450907</v>
          </cell>
          <cell r="H351">
            <v>14.03</v>
          </cell>
        </row>
        <row r="352">
          <cell r="F352">
            <v>3025130</v>
          </cell>
          <cell r="G352">
            <v>12451907</v>
          </cell>
          <cell r="H352">
            <v>14.03</v>
          </cell>
        </row>
        <row r="353">
          <cell r="F353">
            <v>3025131</v>
          </cell>
          <cell r="G353">
            <v>12550907</v>
          </cell>
          <cell r="H353">
            <v>16.3</v>
          </cell>
        </row>
        <row r="354">
          <cell r="F354">
            <v>3025135</v>
          </cell>
          <cell r="G354">
            <v>12650907</v>
          </cell>
          <cell r="H354">
            <v>17.8</v>
          </cell>
        </row>
        <row r="355">
          <cell r="F355">
            <v>3025136</v>
          </cell>
          <cell r="G355">
            <v>12651907</v>
          </cell>
          <cell r="H355">
            <v>17.8</v>
          </cell>
        </row>
        <row r="356">
          <cell r="F356">
            <v>3025139</v>
          </cell>
          <cell r="G356">
            <v>12800907</v>
          </cell>
          <cell r="H356">
            <v>16.13</v>
          </cell>
        </row>
        <row r="357">
          <cell r="F357">
            <v>3025148</v>
          </cell>
          <cell r="G357">
            <v>12930907</v>
          </cell>
          <cell r="H357">
            <v>16.28</v>
          </cell>
        </row>
        <row r="358">
          <cell r="F358">
            <v>3025153</v>
          </cell>
          <cell r="G358">
            <v>13650907</v>
          </cell>
          <cell r="H358">
            <v>13.73</v>
          </cell>
        </row>
        <row r="359">
          <cell r="F359">
            <v>3025154</v>
          </cell>
          <cell r="G359">
            <v>13651907</v>
          </cell>
          <cell r="H359">
            <v>13.73</v>
          </cell>
        </row>
        <row r="360">
          <cell r="F360">
            <v>3025155</v>
          </cell>
          <cell r="G360">
            <v>13940907</v>
          </cell>
          <cell r="H360">
            <v>15.36</v>
          </cell>
        </row>
        <row r="361">
          <cell r="F361">
            <v>3025157</v>
          </cell>
          <cell r="G361">
            <v>14330907</v>
          </cell>
          <cell r="H361">
            <v>18.21</v>
          </cell>
        </row>
        <row r="362">
          <cell r="F362">
            <v>3025166</v>
          </cell>
          <cell r="G362">
            <v>15590907</v>
          </cell>
          <cell r="H362">
            <v>10.96</v>
          </cell>
        </row>
        <row r="363">
          <cell r="F363">
            <v>3025167</v>
          </cell>
          <cell r="G363">
            <v>15690907</v>
          </cell>
          <cell r="H363">
            <v>15.38</v>
          </cell>
        </row>
        <row r="364">
          <cell r="F364">
            <v>3025173</v>
          </cell>
          <cell r="G364">
            <v>15790907</v>
          </cell>
          <cell r="H364">
            <v>12.22</v>
          </cell>
        </row>
        <row r="365">
          <cell r="F365">
            <v>3025181</v>
          </cell>
          <cell r="G365">
            <v>16080907</v>
          </cell>
          <cell r="H365">
            <v>17.78</v>
          </cell>
        </row>
        <row r="366">
          <cell r="F366">
            <v>3025188</v>
          </cell>
          <cell r="G366">
            <v>16180907</v>
          </cell>
          <cell r="H366">
            <v>16.3</v>
          </cell>
        </row>
        <row r="367">
          <cell r="F367">
            <v>3025193</v>
          </cell>
          <cell r="G367">
            <v>16240907</v>
          </cell>
          <cell r="H367">
            <v>16.89</v>
          </cell>
        </row>
        <row r="368">
          <cell r="F368">
            <v>3025195</v>
          </cell>
          <cell r="G368">
            <v>16360907</v>
          </cell>
          <cell r="H368">
            <v>15.98</v>
          </cell>
        </row>
        <row r="369">
          <cell r="F369">
            <v>3025196</v>
          </cell>
          <cell r="G369">
            <v>16780907</v>
          </cell>
          <cell r="H369">
            <v>15.76</v>
          </cell>
        </row>
        <row r="370">
          <cell r="F370">
            <v>3025198</v>
          </cell>
          <cell r="G370">
            <v>17300907</v>
          </cell>
          <cell r="H370">
            <v>16.82</v>
          </cell>
        </row>
        <row r="371">
          <cell r="F371">
            <v>3025210</v>
          </cell>
          <cell r="G371">
            <v>17753907</v>
          </cell>
          <cell r="H371">
            <v>2.8</v>
          </cell>
        </row>
        <row r="372">
          <cell r="F372">
            <v>3025214</v>
          </cell>
          <cell r="G372">
            <v>17873907</v>
          </cell>
          <cell r="H372">
            <v>1.3</v>
          </cell>
        </row>
        <row r="373">
          <cell r="F373">
            <v>3025215</v>
          </cell>
          <cell r="G373">
            <v>17883907</v>
          </cell>
          <cell r="H373">
            <v>1.3</v>
          </cell>
        </row>
        <row r="374">
          <cell r="F374">
            <v>3025216</v>
          </cell>
          <cell r="G374">
            <v>19300907</v>
          </cell>
          <cell r="H374">
            <v>13.5</v>
          </cell>
        </row>
        <row r="375">
          <cell r="F375">
            <v>3025220</v>
          </cell>
          <cell r="G375">
            <v>19450907</v>
          </cell>
          <cell r="H375">
            <v>12.91</v>
          </cell>
        </row>
        <row r="376">
          <cell r="F376">
            <v>3025223</v>
          </cell>
          <cell r="G376">
            <v>19720907</v>
          </cell>
          <cell r="H376">
            <v>27</v>
          </cell>
        </row>
        <row r="377">
          <cell r="F377">
            <v>3025225</v>
          </cell>
          <cell r="G377">
            <v>19727907</v>
          </cell>
          <cell r="H377">
            <v>27</v>
          </cell>
        </row>
        <row r="378">
          <cell r="F378">
            <v>3025228</v>
          </cell>
          <cell r="G378">
            <v>20021907</v>
          </cell>
          <cell r="H378">
            <v>6.28</v>
          </cell>
        </row>
        <row r="379">
          <cell r="F379">
            <v>3025229</v>
          </cell>
          <cell r="G379">
            <v>20030907</v>
          </cell>
          <cell r="H379">
            <v>7</v>
          </cell>
        </row>
        <row r="380">
          <cell r="F380">
            <v>3025230</v>
          </cell>
          <cell r="G380">
            <v>20031907</v>
          </cell>
          <cell r="H380">
            <v>7</v>
          </cell>
        </row>
        <row r="381">
          <cell r="F381">
            <v>3025248</v>
          </cell>
          <cell r="G381">
            <v>21970907</v>
          </cell>
          <cell r="H381">
            <v>9.4</v>
          </cell>
        </row>
        <row r="382">
          <cell r="F382">
            <v>3025249</v>
          </cell>
          <cell r="G382">
            <v>22020907</v>
          </cell>
          <cell r="H382">
            <v>14.6</v>
          </cell>
        </row>
        <row r="383">
          <cell r="F383">
            <v>3025250</v>
          </cell>
          <cell r="G383">
            <v>22030907</v>
          </cell>
          <cell r="H383">
            <v>14.6</v>
          </cell>
        </row>
        <row r="384">
          <cell r="F384">
            <v>3025251</v>
          </cell>
          <cell r="G384">
            <v>22042907</v>
          </cell>
          <cell r="H384">
            <v>12.9</v>
          </cell>
        </row>
        <row r="385">
          <cell r="F385">
            <v>3025252</v>
          </cell>
          <cell r="G385">
            <v>22043907</v>
          </cell>
          <cell r="H385">
            <v>12.9</v>
          </cell>
        </row>
        <row r="386">
          <cell r="F386">
            <v>3025253</v>
          </cell>
          <cell r="G386">
            <v>22052907</v>
          </cell>
          <cell r="H386">
            <v>9.4</v>
          </cell>
        </row>
        <row r="387">
          <cell r="F387">
            <v>3025254</v>
          </cell>
          <cell r="G387">
            <v>22053907</v>
          </cell>
          <cell r="H387">
            <v>9.4</v>
          </cell>
        </row>
        <row r="388">
          <cell r="F388">
            <v>3025256</v>
          </cell>
          <cell r="G388">
            <v>22062907</v>
          </cell>
          <cell r="H388">
            <v>12.7</v>
          </cell>
        </row>
        <row r="389">
          <cell r="F389">
            <v>3025257</v>
          </cell>
          <cell r="G389">
            <v>22063907</v>
          </cell>
          <cell r="H389">
            <v>12.7</v>
          </cell>
        </row>
        <row r="390">
          <cell r="F390">
            <v>3025258</v>
          </cell>
          <cell r="G390">
            <v>22081907</v>
          </cell>
          <cell r="H390">
            <v>7</v>
          </cell>
        </row>
        <row r="391">
          <cell r="F391">
            <v>3025259</v>
          </cell>
          <cell r="G391">
            <v>22086907</v>
          </cell>
          <cell r="H391">
            <v>10.4</v>
          </cell>
        </row>
        <row r="392">
          <cell r="F392">
            <v>3025260</v>
          </cell>
          <cell r="G392">
            <v>22093907</v>
          </cell>
          <cell r="H392">
            <v>7</v>
          </cell>
        </row>
        <row r="393">
          <cell r="F393">
            <v>3025261</v>
          </cell>
          <cell r="G393">
            <v>22123907</v>
          </cell>
          <cell r="H393">
            <v>14.6</v>
          </cell>
        </row>
        <row r="394">
          <cell r="F394">
            <v>3025262</v>
          </cell>
          <cell r="G394">
            <v>22133907</v>
          </cell>
          <cell r="H394">
            <v>14.6</v>
          </cell>
        </row>
        <row r="395">
          <cell r="F395">
            <v>3025263</v>
          </cell>
          <cell r="G395">
            <v>22140907</v>
          </cell>
          <cell r="H395">
            <v>12.9</v>
          </cell>
        </row>
        <row r="396">
          <cell r="F396">
            <v>3025264</v>
          </cell>
          <cell r="G396">
            <v>22200907</v>
          </cell>
          <cell r="H396">
            <v>7</v>
          </cell>
        </row>
        <row r="397">
          <cell r="F397">
            <v>3025265</v>
          </cell>
          <cell r="G397">
            <v>22393907</v>
          </cell>
          <cell r="H397">
            <v>14.6</v>
          </cell>
        </row>
        <row r="398">
          <cell r="F398">
            <v>3025267</v>
          </cell>
          <cell r="G398">
            <v>23113907</v>
          </cell>
          <cell r="H398">
            <v>2.1</v>
          </cell>
        </row>
        <row r="399">
          <cell r="F399">
            <v>3025268</v>
          </cell>
          <cell r="G399">
            <v>23143907</v>
          </cell>
          <cell r="H399">
            <v>1.3</v>
          </cell>
        </row>
        <row r="400">
          <cell r="F400">
            <v>3025269</v>
          </cell>
          <cell r="G400">
            <v>23162907</v>
          </cell>
          <cell r="H400">
            <v>3.5</v>
          </cell>
        </row>
        <row r="401">
          <cell r="F401">
            <v>3025270</v>
          </cell>
          <cell r="G401">
            <v>23163907</v>
          </cell>
          <cell r="H401">
            <v>3.5</v>
          </cell>
        </row>
        <row r="402">
          <cell r="F402">
            <v>3025271</v>
          </cell>
          <cell r="G402">
            <v>23953907</v>
          </cell>
          <cell r="H402">
            <v>5</v>
          </cell>
        </row>
        <row r="403">
          <cell r="F403">
            <v>3025297</v>
          </cell>
          <cell r="G403">
            <v>27930907</v>
          </cell>
          <cell r="H403">
            <v>16.600000000000001</v>
          </cell>
        </row>
        <row r="404">
          <cell r="F404">
            <v>3025300</v>
          </cell>
          <cell r="G404">
            <v>28310907</v>
          </cell>
          <cell r="H404">
            <v>17.2</v>
          </cell>
        </row>
        <row r="405">
          <cell r="F405">
            <v>3025301</v>
          </cell>
          <cell r="G405">
            <v>28311907</v>
          </cell>
          <cell r="H405">
            <v>17.2</v>
          </cell>
        </row>
        <row r="406">
          <cell r="F406">
            <v>3025302</v>
          </cell>
          <cell r="G406">
            <v>28480907</v>
          </cell>
          <cell r="H406">
            <v>13.11</v>
          </cell>
        </row>
        <row r="407">
          <cell r="F407">
            <v>3025304</v>
          </cell>
          <cell r="G407">
            <v>29040907</v>
          </cell>
          <cell r="H407">
            <v>13.11</v>
          </cell>
        </row>
        <row r="408">
          <cell r="F408">
            <v>3025305</v>
          </cell>
          <cell r="G408">
            <v>29041907</v>
          </cell>
          <cell r="H408">
            <v>13.11</v>
          </cell>
        </row>
        <row r="409">
          <cell r="F409">
            <v>3025306</v>
          </cell>
          <cell r="G409">
            <v>29090907</v>
          </cell>
          <cell r="H409">
            <v>13.6</v>
          </cell>
        </row>
        <row r="410">
          <cell r="F410">
            <v>3025307</v>
          </cell>
          <cell r="G410">
            <v>29120907</v>
          </cell>
          <cell r="H410">
            <v>14.6</v>
          </cell>
        </row>
        <row r="411">
          <cell r="F411">
            <v>3025311</v>
          </cell>
          <cell r="G411">
            <v>29863907</v>
          </cell>
          <cell r="H411">
            <v>2.8</v>
          </cell>
        </row>
        <row r="412">
          <cell r="F412">
            <v>3025326</v>
          </cell>
          <cell r="G412">
            <v>29240900</v>
          </cell>
          <cell r="H412">
            <v>10.37</v>
          </cell>
        </row>
        <row r="413">
          <cell r="F413">
            <v>3025328</v>
          </cell>
          <cell r="G413">
            <v>29100100</v>
          </cell>
          <cell r="H413">
            <v>10.85</v>
          </cell>
        </row>
        <row r="414">
          <cell r="F414">
            <v>3025389</v>
          </cell>
          <cell r="G414">
            <v>11070907</v>
          </cell>
          <cell r="H414">
            <v>17.489999999999998</v>
          </cell>
        </row>
        <row r="415">
          <cell r="F415">
            <v>3025460</v>
          </cell>
          <cell r="G415">
            <v>15150902</v>
          </cell>
          <cell r="H415">
            <v>13.61</v>
          </cell>
        </row>
        <row r="416">
          <cell r="F416">
            <v>3025498</v>
          </cell>
          <cell r="G416">
            <v>29240907</v>
          </cell>
          <cell r="H416">
            <v>10.37</v>
          </cell>
        </row>
        <row r="417">
          <cell r="F417">
            <v>3025500</v>
          </cell>
          <cell r="G417">
            <v>29100142</v>
          </cell>
          <cell r="H417">
            <v>10.85</v>
          </cell>
        </row>
        <row r="418">
          <cell r="F418">
            <v>3025511</v>
          </cell>
          <cell r="G418">
            <v>13150907</v>
          </cell>
          <cell r="H418">
            <v>12.9</v>
          </cell>
        </row>
        <row r="419">
          <cell r="F419">
            <v>3025550</v>
          </cell>
          <cell r="G419">
            <v>22350010</v>
          </cell>
          <cell r="H419">
            <v>12.2</v>
          </cell>
        </row>
        <row r="420">
          <cell r="F420">
            <v>3025715</v>
          </cell>
          <cell r="G420">
            <v>20610094</v>
          </cell>
          <cell r="H420">
            <v>6.09</v>
          </cell>
        </row>
        <row r="421">
          <cell r="F421">
            <v>3025735</v>
          </cell>
          <cell r="G421">
            <v>29100902</v>
          </cell>
          <cell r="H421">
            <v>10.85</v>
          </cell>
        </row>
        <row r="422">
          <cell r="F422">
            <v>3025789</v>
          </cell>
          <cell r="G422">
            <v>12020907</v>
          </cell>
          <cell r="H422">
            <v>12.9</v>
          </cell>
        </row>
        <row r="423">
          <cell r="F423">
            <v>3025796</v>
          </cell>
          <cell r="G423">
            <v>12021907</v>
          </cell>
          <cell r="H423">
            <v>12.9</v>
          </cell>
        </row>
        <row r="424">
          <cell r="F424">
            <v>3025923</v>
          </cell>
          <cell r="G424">
            <v>30080902</v>
          </cell>
          <cell r="H424">
            <v>1.5</v>
          </cell>
        </row>
        <row r="425">
          <cell r="F425">
            <v>3025937</v>
          </cell>
          <cell r="G425">
            <v>12020110</v>
          </cell>
          <cell r="H425">
            <v>12.9</v>
          </cell>
        </row>
        <row r="426">
          <cell r="F426">
            <v>3025955</v>
          </cell>
          <cell r="G426">
            <v>12020100</v>
          </cell>
          <cell r="H426">
            <v>12.9</v>
          </cell>
        </row>
        <row r="427">
          <cell r="F427">
            <v>3025972</v>
          </cell>
          <cell r="G427">
            <v>30150902</v>
          </cell>
          <cell r="H427">
            <v>12.29</v>
          </cell>
        </row>
        <row r="428">
          <cell r="F428">
            <v>3026117</v>
          </cell>
          <cell r="G428">
            <v>13150132</v>
          </cell>
          <cell r="H428">
            <v>12.9</v>
          </cell>
        </row>
        <row r="429">
          <cell r="F429">
            <v>3026237</v>
          </cell>
          <cell r="G429">
            <v>16200100</v>
          </cell>
          <cell r="H429">
            <v>12.14</v>
          </cell>
        </row>
        <row r="430">
          <cell r="F430">
            <v>3026244</v>
          </cell>
          <cell r="G430">
            <v>22590103</v>
          </cell>
          <cell r="H430">
            <v>6.77</v>
          </cell>
        </row>
        <row r="431">
          <cell r="F431">
            <v>3026429</v>
          </cell>
          <cell r="G431">
            <v>12240907</v>
          </cell>
          <cell r="H431">
            <v>17.8</v>
          </cell>
        </row>
        <row r="432">
          <cell r="F432">
            <v>3026473</v>
          </cell>
          <cell r="G432">
            <v>16180100</v>
          </cell>
          <cell r="H432">
            <v>16.3</v>
          </cell>
        </row>
        <row r="433">
          <cell r="F433">
            <v>3026521</v>
          </cell>
          <cell r="G433">
            <v>29100907</v>
          </cell>
          <cell r="H433">
            <v>10.85</v>
          </cell>
        </row>
        <row r="434">
          <cell r="F434">
            <v>3026556</v>
          </cell>
          <cell r="G434">
            <v>29100122</v>
          </cell>
          <cell r="H434">
            <v>10.85</v>
          </cell>
        </row>
        <row r="435">
          <cell r="F435">
            <v>3026655</v>
          </cell>
          <cell r="G435">
            <v>29840907</v>
          </cell>
          <cell r="H435">
            <v>3.02</v>
          </cell>
        </row>
        <row r="436">
          <cell r="F436">
            <v>3026665</v>
          </cell>
          <cell r="G436">
            <v>17783907</v>
          </cell>
          <cell r="H436">
            <v>6.5</v>
          </cell>
        </row>
        <row r="437">
          <cell r="F437">
            <v>3027038</v>
          </cell>
          <cell r="G437">
            <v>11080907</v>
          </cell>
          <cell r="H437">
            <v>17.489999999999998</v>
          </cell>
        </row>
        <row r="438">
          <cell r="F438">
            <v>3027056</v>
          </cell>
          <cell r="G438">
            <v>18270907</v>
          </cell>
          <cell r="H438">
            <v>16.3</v>
          </cell>
        </row>
        <row r="439">
          <cell r="F439">
            <v>3027068</v>
          </cell>
          <cell r="G439">
            <v>28340907</v>
          </cell>
          <cell r="H439">
            <v>17.2</v>
          </cell>
        </row>
        <row r="440">
          <cell r="F440">
            <v>3027172</v>
          </cell>
          <cell r="G440">
            <v>14800907</v>
          </cell>
          <cell r="H440">
            <v>18.18</v>
          </cell>
        </row>
        <row r="441">
          <cell r="F441">
            <v>3027198</v>
          </cell>
          <cell r="G441">
            <v>15330112</v>
          </cell>
          <cell r="H441">
            <v>9.9600000000000009</v>
          </cell>
        </row>
        <row r="442">
          <cell r="F442">
            <v>3027380</v>
          </cell>
          <cell r="G442">
            <v>12459900</v>
          </cell>
          <cell r="H442">
            <v>14.03</v>
          </cell>
        </row>
        <row r="443">
          <cell r="F443">
            <v>3027427</v>
          </cell>
          <cell r="G443">
            <v>20030902</v>
          </cell>
          <cell r="H443">
            <v>7</v>
          </cell>
        </row>
        <row r="444">
          <cell r="F444">
            <v>3027428</v>
          </cell>
          <cell r="G444">
            <v>16320907</v>
          </cell>
          <cell r="H444">
            <v>14.18</v>
          </cell>
        </row>
        <row r="445">
          <cell r="F445">
            <v>3027519</v>
          </cell>
          <cell r="G445">
            <v>30160100</v>
          </cell>
          <cell r="H445">
            <v>10.82</v>
          </cell>
        </row>
        <row r="446">
          <cell r="F446">
            <v>3027520</v>
          </cell>
          <cell r="G446">
            <v>12419900</v>
          </cell>
          <cell r="H446">
            <v>17.8</v>
          </cell>
        </row>
        <row r="447">
          <cell r="F447">
            <v>3027644</v>
          </cell>
          <cell r="G447">
            <v>28569900</v>
          </cell>
          <cell r="H447">
            <v>18</v>
          </cell>
        </row>
        <row r="448">
          <cell r="F448">
            <v>3027665</v>
          </cell>
          <cell r="G448">
            <v>22089901</v>
          </cell>
          <cell r="H448">
            <v>12.2</v>
          </cell>
        </row>
        <row r="449">
          <cell r="F449">
            <v>3027782</v>
          </cell>
          <cell r="G449">
            <v>16330907</v>
          </cell>
          <cell r="H449">
            <v>17.78</v>
          </cell>
        </row>
        <row r="450">
          <cell r="F450">
            <v>3027826</v>
          </cell>
          <cell r="G450">
            <v>30090120</v>
          </cell>
          <cell r="H450">
            <v>11.25</v>
          </cell>
        </row>
        <row r="451">
          <cell r="F451">
            <v>3027962</v>
          </cell>
          <cell r="G451">
            <v>22049901</v>
          </cell>
          <cell r="H451">
            <v>12.9</v>
          </cell>
        </row>
        <row r="452">
          <cell r="F452">
            <v>3028086</v>
          </cell>
          <cell r="G452">
            <v>22060900</v>
          </cell>
          <cell r="H452">
            <v>12.7</v>
          </cell>
        </row>
        <row r="453">
          <cell r="F453">
            <v>3028125</v>
          </cell>
          <cell r="G453">
            <v>53040110</v>
          </cell>
          <cell r="H453">
            <v>1.5</v>
          </cell>
        </row>
        <row r="454">
          <cell r="F454">
            <v>3028133</v>
          </cell>
          <cell r="G454">
            <v>19239900</v>
          </cell>
          <cell r="H454">
            <v>8.5</v>
          </cell>
        </row>
        <row r="455">
          <cell r="F455">
            <v>3028134</v>
          </cell>
          <cell r="G455">
            <v>22089906</v>
          </cell>
          <cell r="H455">
            <v>10.4</v>
          </cell>
        </row>
        <row r="456">
          <cell r="F456">
            <v>3028402</v>
          </cell>
          <cell r="G456">
            <v>29240902</v>
          </cell>
          <cell r="H456">
            <v>10.37</v>
          </cell>
        </row>
        <row r="457">
          <cell r="F457">
            <v>3028632</v>
          </cell>
          <cell r="G457">
            <v>30080140</v>
          </cell>
          <cell r="H457">
            <v>1.5</v>
          </cell>
        </row>
        <row r="458">
          <cell r="F458">
            <v>3028634</v>
          </cell>
          <cell r="G458">
            <v>30080117</v>
          </cell>
          <cell r="H458">
            <v>1.5</v>
          </cell>
        </row>
        <row r="459">
          <cell r="F459">
            <v>3028700</v>
          </cell>
          <cell r="G459">
            <v>30150122</v>
          </cell>
          <cell r="H459">
            <v>12.29</v>
          </cell>
        </row>
        <row r="460">
          <cell r="F460">
            <v>3028897</v>
          </cell>
          <cell r="G460">
            <v>16189900</v>
          </cell>
          <cell r="H460">
            <v>16.3</v>
          </cell>
        </row>
        <row r="461">
          <cell r="F461">
            <v>3029101</v>
          </cell>
          <cell r="G461">
            <v>22083907</v>
          </cell>
          <cell r="H461">
            <v>12.2</v>
          </cell>
        </row>
        <row r="462">
          <cell r="F462">
            <v>3029305</v>
          </cell>
          <cell r="G462">
            <v>30090150</v>
          </cell>
          <cell r="H462">
            <v>11.99</v>
          </cell>
        </row>
        <row r="463">
          <cell r="F463">
            <v>3029572</v>
          </cell>
          <cell r="G463">
            <v>20420102</v>
          </cell>
          <cell r="H463">
            <v>11</v>
          </cell>
        </row>
        <row r="464">
          <cell r="F464">
            <v>3029583</v>
          </cell>
          <cell r="G464">
            <v>29100120</v>
          </cell>
          <cell r="H464">
            <v>10.85</v>
          </cell>
        </row>
        <row r="465">
          <cell r="F465">
            <v>3029639</v>
          </cell>
          <cell r="G465">
            <v>12399900</v>
          </cell>
          <cell r="H465">
            <v>14.03</v>
          </cell>
        </row>
        <row r="466">
          <cell r="F466">
            <v>3029670</v>
          </cell>
          <cell r="G466">
            <v>15599900</v>
          </cell>
          <cell r="H466">
            <v>10.96</v>
          </cell>
        </row>
        <row r="467">
          <cell r="F467">
            <v>3029688</v>
          </cell>
          <cell r="G467">
            <v>20429900</v>
          </cell>
          <cell r="H467">
            <v>11</v>
          </cell>
        </row>
        <row r="468">
          <cell r="F468">
            <v>3029716</v>
          </cell>
          <cell r="G468">
            <v>20420926</v>
          </cell>
          <cell r="H468">
            <v>11</v>
          </cell>
        </row>
        <row r="469">
          <cell r="F469">
            <v>3029749</v>
          </cell>
          <cell r="G469">
            <v>20421907</v>
          </cell>
          <cell r="H469">
            <v>11</v>
          </cell>
        </row>
        <row r="470">
          <cell r="F470">
            <v>3029775</v>
          </cell>
          <cell r="G470">
            <v>22140902</v>
          </cell>
          <cell r="H470">
            <v>12.9</v>
          </cell>
        </row>
        <row r="471">
          <cell r="F471">
            <v>3029778</v>
          </cell>
          <cell r="G471">
            <v>22050120</v>
          </cell>
          <cell r="H471">
            <v>9.4</v>
          </cell>
        </row>
        <row r="472">
          <cell r="F472">
            <v>3029828</v>
          </cell>
          <cell r="G472">
            <v>30100122</v>
          </cell>
          <cell r="H472">
            <v>13.69</v>
          </cell>
        </row>
        <row r="473">
          <cell r="F473">
            <v>3029880</v>
          </cell>
          <cell r="G473">
            <v>22060132</v>
          </cell>
          <cell r="H473">
            <v>12.7</v>
          </cell>
        </row>
        <row r="474">
          <cell r="F474">
            <v>3029884</v>
          </cell>
          <cell r="G474">
            <v>23160102</v>
          </cell>
          <cell r="H474">
            <v>3.5</v>
          </cell>
        </row>
        <row r="475">
          <cell r="F475">
            <v>3030013</v>
          </cell>
          <cell r="G475">
            <v>16200907</v>
          </cell>
          <cell r="H475">
            <v>12.14</v>
          </cell>
        </row>
        <row r="476">
          <cell r="F476">
            <v>3030106</v>
          </cell>
          <cell r="G476">
            <v>79900000</v>
          </cell>
          <cell r="H476">
            <v>3.29</v>
          </cell>
        </row>
        <row r="477">
          <cell r="F477">
            <v>3030107</v>
          </cell>
          <cell r="G477">
            <v>79930000</v>
          </cell>
          <cell r="H477">
            <v>3.68</v>
          </cell>
        </row>
        <row r="478">
          <cell r="F478">
            <v>3030115</v>
          </cell>
          <cell r="G478">
            <v>28340902</v>
          </cell>
          <cell r="H478">
            <v>17.2</v>
          </cell>
        </row>
        <row r="479">
          <cell r="F479">
            <v>3030183</v>
          </cell>
          <cell r="G479">
            <v>16380907</v>
          </cell>
          <cell r="H479">
            <v>15.31</v>
          </cell>
        </row>
        <row r="480">
          <cell r="F480">
            <v>3030184</v>
          </cell>
          <cell r="G480">
            <v>16400907</v>
          </cell>
          <cell r="H480">
            <v>21.12</v>
          </cell>
        </row>
        <row r="481">
          <cell r="F481">
            <v>3030213</v>
          </cell>
          <cell r="G481">
            <v>11410130</v>
          </cell>
          <cell r="H481">
            <v>16.34</v>
          </cell>
        </row>
        <row r="482">
          <cell r="F482">
            <v>3030266</v>
          </cell>
          <cell r="G482">
            <v>30110150</v>
          </cell>
          <cell r="H482">
            <v>6.5</v>
          </cell>
        </row>
        <row r="483">
          <cell r="F483">
            <v>3030400</v>
          </cell>
          <cell r="G483">
            <v>30110162</v>
          </cell>
          <cell r="H483">
            <v>6.5</v>
          </cell>
        </row>
        <row r="484">
          <cell r="F484">
            <v>3030401</v>
          </cell>
          <cell r="G484">
            <v>30060152</v>
          </cell>
          <cell r="H484">
            <v>8.5</v>
          </cell>
        </row>
        <row r="485">
          <cell r="F485">
            <v>3030461</v>
          </cell>
          <cell r="G485">
            <v>30110160</v>
          </cell>
          <cell r="H485">
            <v>6.5</v>
          </cell>
        </row>
        <row r="486">
          <cell r="F486">
            <v>3030463</v>
          </cell>
          <cell r="G486">
            <v>30140150</v>
          </cell>
          <cell r="H486">
            <v>11.2</v>
          </cell>
        </row>
        <row r="487">
          <cell r="F487">
            <v>3030482</v>
          </cell>
          <cell r="G487">
            <v>30060110</v>
          </cell>
          <cell r="H487">
            <v>8.5</v>
          </cell>
        </row>
        <row r="488">
          <cell r="F488">
            <v>3030500</v>
          </cell>
          <cell r="G488">
            <v>20270110</v>
          </cell>
          <cell r="H488">
            <v>12.22</v>
          </cell>
        </row>
        <row r="489">
          <cell r="F489">
            <v>3030504</v>
          </cell>
          <cell r="G489">
            <v>29540907</v>
          </cell>
          <cell r="H489">
            <v>15.25</v>
          </cell>
        </row>
        <row r="490">
          <cell r="F490">
            <v>3030534</v>
          </cell>
          <cell r="G490">
            <v>19729900</v>
          </cell>
          <cell r="H490">
            <v>27</v>
          </cell>
        </row>
        <row r="491">
          <cell r="F491">
            <v>3030637</v>
          </cell>
          <cell r="G491">
            <v>29240100</v>
          </cell>
          <cell r="H491">
            <v>10.37</v>
          </cell>
        </row>
        <row r="492">
          <cell r="F492">
            <v>3030655</v>
          </cell>
          <cell r="G492">
            <v>30110110</v>
          </cell>
          <cell r="H492">
            <v>10.82</v>
          </cell>
        </row>
        <row r="493">
          <cell r="F493">
            <v>3030661</v>
          </cell>
          <cell r="G493">
            <v>30120111</v>
          </cell>
          <cell r="H493">
            <v>10.33</v>
          </cell>
        </row>
        <row r="494">
          <cell r="F494">
            <v>3030665</v>
          </cell>
          <cell r="G494">
            <v>30070120</v>
          </cell>
          <cell r="H494">
            <v>14</v>
          </cell>
        </row>
        <row r="495">
          <cell r="F495">
            <v>3030786</v>
          </cell>
          <cell r="G495">
            <v>30150142</v>
          </cell>
          <cell r="H495">
            <v>12.29</v>
          </cell>
        </row>
        <row r="496">
          <cell r="F496">
            <v>3030841</v>
          </cell>
          <cell r="G496">
            <v>16340919</v>
          </cell>
          <cell r="H496">
            <v>9.7799999999999994</v>
          </cell>
        </row>
        <row r="497">
          <cell r="F497">
            <v>3030953</v>
          </cell>
          <cell r="G497">
            <v>12029900</v>
          </cell>
          <cell r="H497">
            <v>12.9</v>
          </cell>
        </row>
        <row r="498">
          <cell r="F498">
            <v>3030963</v>
          </cell>
          <cell r="G498">
            <v>30060162</v>
          </cell>
          <cell r="H498">
            <v>8.5</v>
          </cell>
        </row>
        <row r="499">
          <cell r="F499">
            <v>3030964</v>
          </cell>
          <cell r="G499">
            <v>30080124</v>
          </cell>
          <cell r="H499">
            <v>1.5</v>
          </cell>
        </row>
        <row r="500">
          <cell r="F500">
            <v>3030965</v>
          </cell>
          <cell r="G500">
            <v>30110152</v>
          </cell>
          <cell r="H500">
            <v>6.5</v>
          </cell>
        </row>
        <row r="501">
          <cell r="F501">
            <v>3031075</v>
          </cell>
          <cell r="G501">
            <v>29109900</v>
          </cell>
          <cell r="H501">
            <v>10.85</v>
          </cell>
        </row>
        <row r="502">
          <cell r="F502">
            <v>3031128</v>
          </cell>
          <cell r="G502">
            <v>30180102</v>
          </cell>
          <cell r="H502">
            <v>6.89</v>
          </cell>
        </row>
        <row r="503">
          <cell r="F503">
            <v>3031165</v>
          </cell>
          <cell r="G503">
            <v>20650100</v>
          </cell>
          <cell r="H503">
            <v>13.53</v>
          </cell>
        </row>
        <row r="504">
          <cell r="F504">
            <v>3031185</v>
          </cell>
          <cell r="G504">
            <v>21970120</v>
          </cell>
          <cell r="H504">
            <v>9.4</v>
          </cell>
        </row>
        <row r="505">
          <cell r="F505">
            <v>3031190</v>
          </cell>
          <cell r="G505">
            <v>20030120</v>
          </cell>
          <cell r="H505">
            <v>7</v>
          </cell>
        </row>
        <row r="506">
          <cell r="F506">
            <v>3031194</v>
          </cell>
          <cell r="G506">
            <v>23160170</v>
          </cell>
          <cell r="H506">
            <v>3.5</v>
          </cell>
        </row>
        <row r="507">
          <cell r="F507">
            <v>3031200</v>
          </cell>
          <cell r="G507">
            <v>22140110</v>
          </cell>
          <cell r="H507">
            <v>12.9</v>
          </cell>
        </row>
        <row r="508">
          <cell r="F508">
            <v>3031326</v>
          </cell>
          <cell r="G508">
            <v>30080118</v>
          </cell>
          <cell r="H508">
            <v>1.5</v>
          </cell>
        </row>
        <row r="509">
          <cell r="F509">
            <v>3031328</v>
          </cell>
          <cell r="G509">
            <v>30080152</v>
          </cell>
          <cell r="H509">
            <v>1.5</v>
          </cell>
        </row>
        <row r="510">
          <cell r="F510">
            <v>3031330</v>
          </cell>
          <cell r="G510">
            <v>30080110</v>
          </cell>
          <cell r="H510">
            <v>1.5</v>
          </cell>
        </row>
        <row r="511">
          <cell r="F511">
            <v>3031331</v>
          </cell>
          <cell r="G511">
            <v>30080170</v>
          </cell>
          <cell r="H511">
            <v>1.5</v>
          </cell>
        </row>
        <row r="512">
          <cell r="F512">
            <v>3031332</v>
          </cell>
          <cell r="G512">
            <v>30110122</v>
          </cell>
          <cell r="H512">
            <v>6.5</v>
          </cell>
        </row>
        <row r="513">
          <cell r="F513">
            <v>3031333</v>
          </cell>
          <cell r="G513">
            <v>30110120</v>
          </cell>
          <cell r="H513">
            <v>6.5</v>
          </cell>
        </row>
        <row r="514">
          <cell r="F514">
            <v>3031334</v>
          </cell>
          <cell r="G514">
            <v>30110140</v>
          </cell>
          <cell r="H514">
            <v>6.5</v>
          </cell>
        </row>
        <row r="515">
          <cell r="F515">
            <v>3031335</v>
          </cell>
          <cell r="G515">
            <v>30060180</v>
          </cell>
          <cell r="H515">
            <v>8.5</v>
          </cell>
        </row>
        <row r="516">
          <cell r="F516">
            <v>3031336</v>
          </cell>
          <cell r="G516">
            <v>30060130</v>
          </cell>
          <cell r="H516">
            <v>8.5</v>
          </cell>
        </row>
        <row r="517">
          <cell r="F517">
            <v>3031337</v>
          </cell>
          <cell r="G517">
            <v>30150112</v>
          </cell>
          <cell r="H517">
            <v>12.29</v>
          </cell>
        </row>
        <row r="518">
          <cell r="F518">
            <v>3031338</v>
          </cell>
          <cell r="G518">
            <v>30150110</v>
          </cell>
          <cell r="H518">
            <v>12.29</v>
          </cell>
        </row>
        <row r="519">
          <cell r="F519">
            <v>3031339</v>
          </cell>
          <cell r="G519">
            <v>30140180</v>
          </cell>
          <cell r="H519">
            <v>11.2</v>
          </cell>
        </row>
        <row r="520">
          <cell r="F520">
            <v>3031340</v>
          </cell>
          <cell r="G520">
            <v>30140132</v>
          </cell>
          <cell r="H520">
            <v>11.2</v>
          </cell>
        </row>
        <row r="521">
          <cell r="F521">
            <v>3031341</v>
          </cell>
          <cell r="G521">
            <v>30140140</v>
          </cell>
          <cell r="H521">
            <v>11.2</v>
          </cell>
        </row>
        <row r="522">
          <cell r="F522">
            <v>3031342</v>
          </cell>
          <cell r="G522">
            <v>30100120</v>
          </cell>
          <cell r="H522">
            <v>13.69</v>
          </cell>
        </row>
        <row r="523">
          <cell r="F523">
            <v>3031347</v>
          </cell>
          <cell r="G523">
            <v>30120113</v>
          </cell>
          <cell r="H523">
            <v>10.33</v>
          </cell>
        </row>
        <row r="524">
          <cell r="F524">
            <v>3031352</v>
          </cell>
          <cell r="G524">
            <v>30090152</v>
          </cell>
          <cell r="H524">
            <v>11.25</v>
          </cell>
        </row>
        <row r="525">
          <cell r="F525">
            <v>3031353</v>
          </cell>
          <cell r="G525">
            <v>30040132</v>
          </cell>
          <cell r="H525">
            <v>1.5</v>
          </cell>
        </row>
        <row r="526">
          <cell r="F526">
            <v>3031356</v>
          </cell>
          <cell r="G526">
            <v>30060192</v>
          </cell>
          <cell r="H526">
            <v>8.5</v>
          </cell>
        </row>
        <row r="527">
          <cell r="F527">
            <v>3031454</v>
          </cell>
          <cell r="G527">
            <v>30210100</v>
          </cell>
          <cell r="H527">
            <v>15.61</v>
          </cell>
        </row>
        <row r="528">
          <cell r="F528">
            <v>3031461</v>
          </cell>
          <cell r="G528">
            <v>30050110</v>
          </cell>
          <cell r="H528">
            <v>15</v>
          </cell>
        </row>
        <row r="529">
          <cell r="F529">
            <v>3031490</v>
          </cell>
          <cell r="G529">
            <v>22130962</v>
          </cell>
          <cell r="H529">
            <v>14.6</v>
          </cell>
        </row>
        <row r="530">
          <cell r="F530">
            <v>3031544</v>
          </cell>
          <cell r="G530">
            <v>30060113</v>
          </cell>
          <cell r="H530">
            <v>8.5</v>
          </cell>
        </row>
        <row r="531">
          <cell r="F531">
            <v>3031561</v>
          </cell>
          <cell r="G531">
            <v>30110132</v>
          </cell>
          <cell r="H531">
            <v>6.5</v>
          </cell>
        </row>
        <row r="532">
          <cell r="F532">
            <v>3031617</v>
          </cell>
          <cell r="G532">
            <v>30120100</v>
          </cell>
          <cell r="H532">
            <v>10.33</v>
          </cell>
        </row>
        <row r="533">
          <cell r="F533">
            <v>3031653</v>
          </cell>
          <cell r="G533">
            <v>30140160</v>
          </cell>
          <cell r="H533">
            <v>11.2</v>
          </cell>
        </row>
        <row r="534">
          <cell r="F534">
            <v>3031682</v>
          </cell>
          <cell r="G534">
            <v>13650150</v>
          </cell>
          <cell r="H534">
            <v>13.73</v>
          </cell>
        </row>
        <row r="535">
          <cell r="F535">
            <v>3031694</v>
          </cell>
          <cell r="G535">
            <v>22040190</v>
          </cell>
          <cell r="H535">
            <v>12.9</v>
          </cell>
        </row>
        <row r="536">
          <cell r="F536">
            <v>3031738</v>
          </cell>
          <cell r="G536">
            <v>28180907</v>
          </cell>
          <cell r="H536">
            <v>16.940000000000001</v>
          </cell>
        </row>
        <row r="537">
          <cell r="F537">
            <v>3031829</v>
          </cell>
          <cell r="G537">
            <v>30130120</v>
          </cell>
          <cell r="H537">
            <v>13.69</v>
          </cell>
        </row>
        <row r="538">
          <cell r="F538">
            <v>3032165</v>
          </cell>
          <cell r="G538">
            <v>79960170</v>
          </cell>
          <cell r="H538">
            <v>1</v>
          </cell>
        </row>
        <row r="539">
          <cell r="F539">
            <v>3032222</v>
          </cell>
          <cell r="G539">
            <v>22092907</v>
          </cell>
          <cell r="H539">
            <v>7</v>
          </cell>
        </row>
        <row r="540">
          <cell r="F540">
            <v>3032382</v>
          </cell>
          <cell r="G540">
            <v>30110142</v>
          </cell>
          <cell r="H540">
            <v>6.5</v>
          </cell>
        </row>
        <row r="541">
          <cell r="F541">
            <v>3032393</v>
          </cell>
          <cell r="G541">
            <v>28180902</v>
          </cell>
          <cell r="H541">
            <v>16.940000000000001</v>
          </cell>
        </row>
        <row r="542">
          <cell r="F542">
            <v>3032395</v>
          </cell>
          <cell r="G542">
            <v>23140902</v>
          </cell>
          <cell r="H542">
            <v>1.3</v>
          </cell>
        </row>
        <row r="543">
          <cell r="F543">
            <v>3032493</v>
          </cell>
          <cell r="G543">
            <v>30160142</v>
          </cell>
          <cell r="H543">
            <v>10.82</v>
          </cell>
        </row>
        <row r="544">
          <cell r="F544">
            <v>3032510</v>
          </cell>
          <cell r="G544">
            <v>30110172</v>
          </cell>
          <cell r="H544">
            <v>10.82</v>
          </cell>
        </row>
        <row r="545">
          <cell r="F545">
            <v>3032745</v>
          </cell>
          <cell r="G545">
            <v>27680907</v>
          </cell>
          <cell r="H545">
            <v>16.77</v>
          </cell>
        </row>
        <row r="546">
          <cell r="F546">
            <v>3032763</v>
          </cell>
          <cell r="G546">
            <v>22050112</v>
          </cell>
          <cell r="H546">
            <v>9.4</v>
          </cell>
        </row>
        <row r="547">
          <cell r="F547">
            <v>3032767</v>
          </cell>
          <cell r="G547">
            <v>22130122</v>
          </cell>
          <cell r="H547">
            <v>14.6</v>
          </cell>
        </row>
        <row r="548">
          <cell r="F548">
            <v>3032783</v>
          </cell>
          <cell r="G548">
            <v>21979900</v>
          </cell>
          <cell r="H548">
            <v>9.4</v>
          </cell>
        </row>
        <row r="549">
          <cell r="F549">
            <v>3032815</v>
          </cell>
          <cell r="G549">
            <v>29099900</v>
          </cell>
          <cell r="H549">
            <v>13.6</v>
          </cell>
        </row>
        <row r="550">
          <cell r="F550">
            <v>3032825</v>
          </cell>
          <cell r="G550">
            <v>22040102</v>
          </cell>
          <cell r="H550">
            <v>12.9</v>
          </cell>
        </row>
        <row r="551">
          <cell r="F551">
            <v>3032971</v>
          </cell>
          <cell r="G551">
            <v>79800000</v>
          </cell>
          <cell r="H551">
            <v>2.52</v>
          </cell>
        </row>
        <row r="552">
          <cell r="F552">
            <v>3032985</v>
          </cell>
          <cell r="G552">
            <v>27680902</v>
          </cell>
          <cell r="H552">
            <v>16.77</v>
          </cell>
        </row>
        <row r="553">
          <cell r="F553">
            <v>3033121</v>
          </cell>
          <cell r="G553">
            <v>22220900</v>
          </cell>
          <cell r="H553">
            <v>7</v>
          </cell>
        </row>
        <row r="554">
          <cell r="F554">
            <v>3033125</v>
          </cell>
          <cell r="G554">
            <v>22220918</v>
          </cell>
          <cell r="H554">
            <v>7</v>
          </cell>
        </row>
        <row r="555">
          <cell r="F555">
            <v>3033323</v>
          </cell>
          <cell r="G555">
            <v>79921000</v>
          </cell>
          <cell r="H555">
            <v>4.16</v>
          </cell>
        </row>
        <row r="556">
          <cell r="F556">
            <v>3033381</v>
          </cell>
          <cell r="G556">
            <v>23950918</v>
          </cell>
          <cell r="H556">
            <v>5</v>
          </cell>
        </row>
        <row r="557">
          <cell r="F557">
            <v>3033458</v>
          </cell>
          <cell r="G557">
            <v>22060142</v>
          </cell>
          <cell r="H557">
            <v>12.7</v>
          </cell>
        </row>
        <row r="558">
          <cell r="F558">
            <v>3033467</v>
          </cell>
          <cell r="G558">
            <v>12020130</v>
          </cell>
          <cell r="H558">
            <v>12.9</v>
          </cell>
        </row>
        <row r="559">
          <cell r="F559">
            <v>3033486</v>
          </cell>
          <cell r="G559">
            <v>17920160</v>
          </cell>
          <cell r="H559">
            <v>9.89</v>
          </cell>
        </row>
        <row r="560">
          <cell r="F560">
            <v>3033492</v>
          </cell>
          <cell r="G560">
            <v>13650110</v>
          </cell>
          <cell r="H560">
            <v>13.73</v>
          </cell>
        </row>
        <row r="561">
          <cell r="F561">
            <v>3033494</v>
          </cell>
          <cell r="G561">
            <v>18210100</v>
          </cell>
          <cell r="H561">
            <v>10.02</v>
          </cell>
        </row>
        <row r="562">
          <cell r="F562">
            <v>3033499</v>
          </cell>
          <cell r="G562">
            <v>13150110</v>
          </cell>
          <cell r="H562">
            <v>12.9</v>
          </cell>
        </row>
        <row r="563">
          <cell r="F563">
            <v>3033516</v>
          </cell>
          <cell r="G563">
            <v>14810140</v>
          </cell>
          <cell r="H563">
            <v>18.18</v>
          </cell>
        </row>
        <row r="564">
          <cell r="F564">
            <v>3033528</v>
          </cell>
          <cell r="G564">
            <v>11410120</v>
          </cell>
          <cell r="H564">
            <v>16.34</v>
          </cell>
        </row>
        <row r="565">
          <cell r="F565">
            <v>3033530</v>
          </cell>
          <cell r="G565">
            <v>11410110</v>
          </cell>
          <cell r="H565">
            <v>16.34</v>
          </cell>
        </row>
        <row r="566">
          <cell r="F566">
            <v>3033561</v>
          </cell>
          <cell r="G566">
            <v>29240110</v>
          </cell>
          <cell r="H566">
            <v>10.37</v>
          </cell>
        </row>
        <row r="567">
          <cell r="F567">
            <v>3033563</v>
          </cell>
          <cell r="G567">
            <v>29100112</v>
          </cell>
          <cell r="H567">
            <v>10.85</v>
          </cell>
        </row>
        <row r="568">
          <cell r="F568">
            <v>3033565</v>
          </cell>
          <cell r="G568">
            <v>29100130</v>
          </cell>
          <cell r="H568">
            <v>10.85</v>
          </cell>
        </row>
        <row r="569">
          <cell r="F569">
            <v>3033597</v>
          </cell>
          <cell r="G569">
            <v>22130142</v>
          </cell>
          <cell r="H569">
            <v>14.6</v>
          </cell>
        </row>
        <row r="570">
          <cell r="F570">
            <v>3033599</v>
          </cell>
          <cell r="G570">
            <v>22130140</v>
          </cell>
          <cell r="H570">
            <v>14.6</v>
          </cell>
        </row>
        <row r="571">
          <cell r="F571">
            <v>3033601</v>
          </cell>
          <cell r="G571">
            <v>22130160</v>
          </cell>
          <cell r="H571">
            <v>14.6</v>
          </cell>
        </row>
        <row r="572">
          <cell r="F572">
            <v>3033603</v>
          </cell>
          <cell r="G572">
            <v>22040132</v>
          </cell>
          <cell r="H572">
            <v>12.9</v>
          </cell>
        </row>
        <row r="573">
          <cell r="F573">
            <v>3033609</v>
          </cell>
          <cell r="G573">
            <v>22050142</v>
          </cell>
          <cell r="H573">
            <v>9.4</v>
          </cell>
        </row>
        <row r="574">
          <cell r="F574">
            <v>3033614</v>
          </cell>
          <cell r="G574">
            <v>22050130</v>
          </cell>
          <cell r="H574">
            <v>9.4</v>
          </cell>
        </row>
        <row r="575">
          <cell r="F575">
            <v>3033616</v>
          </cell>
          <cell r="G575">
            <v>22050140</v>
          </cell>
          <cell r="H575">
            <v>9.4</v>
          </cell>
        </row>
        <row r="576">
          <cell r="F576">
            <v>3033618</v>
          </cell>
          <cell r="G576">
            <v>22060160</v>
          </cell>
          <cell r="H576">
            <v>12.7</v>
          </cell>
        </row>
        <row r="577">
          <cell r="F577">
            <v>3033624</v>
          </cell>
          <cell r="G577">
            <v>22082110</v>
          </cell>
          <cell r="H577">
            <v>12.2</v>
          </cell>
        </row>
        <row r="578">
          <cell r="F578">
            <v>3033631</v>
          </cell>
          <cell r="G578">
            <v>22090120</v>
          </cell>
          <cell r="H578">
            <v>7</v>
          </cell>
        </row>
        <row r="579">
          <cell r="F579">
            <v>3033637</v>
          </cell>
          <cell r="G579">
            <v>22220128</v>
          </cell>
          <cell r="H579">
            <v>7</v>
          </cell>
        </row>
        <row r="580">
          <cell r="F580">
            <v>3033643</v>
          </cell>
          <cell r="G580">
            <v>29840100</v>
          </cell>
          <cell r="H580">
            <v>3.02</v>
          </cell>
        </row>
        <row r="581">
          <cell r="F581">
            <v>3033650</v>
          </cell>
          <cell r="G581">
            <v>25770100</v>
          </cell>
          <cell r="H581">
            <v>1.8</v>
          </cell>
        </row>
        <row r="582">
          <cell r="F582">
            <v>3033673</v>
          </cell>
          <cell r="G582">
            <v>20030130</v>
          </cell>
          <cell r="H582">
            <v>7</v>
          </cell>
        </row>
        <row r="583">
          <cell r="F583">
            <v>3033702</v>
          </cell>
          <cell r="G583">
            <v>23160132</v>
          </cell>
          <cell r="H583">
            <v>3.5</v>
          </cell>
        </row>
        <row r="584">
          <cell r="F584">
            <v>3033708</v>
          </cell>
          <cell r="G584">
            <v>23160120</v>
          </cell>
          <cell r="H584">
            <v>3.5</v>
          </cell>
        </row>
        <row r="585">
          <cell r="F585">
            <v>3033749</v>
          </cell>
          <cell r="G585">
            <v>22080112</v>
          </cell>
          <cell r="H585">
            <v>12.2</v>
          </cell>
        </row>
        <row r="586">
          <cell r="F586">
            <v>3033762</v>
          </cell>
          <cell r="G586">
            <v>22082112</v>
          </cell>
          <cell r="H586">
            <v>12.2</v>
          </cell>
        </row>
        <row r="587">
          <cell r="F587">
            <v>3033814</v>
          </cell>
          <cell r="G587">
            <v>79960102</v>
          </cell>
          <cell r="H587">
            <v>1.7</v>
          </cell>
        </row>
        <row r="588">
          <cell r="F588">
            <v>3033893</v>
          </cell>
          <cell r="G588">
            <v>15590902</v>
          </cell>
          <cell r="H588">
            <v>10.96</v>
          </cell>
        </row>
        <row r="589">
          <cell r="F589">
            <v>3033933</v>
          </cell>
          <cell r="G589">
            <v>18640110</v>
          </cell>
          <cell r="H589">
            <v>11</v>
          </cell>
        </row>
        <row r="590">
          <cell r="F590">
            <v>3033935</v>
          </cell>
          <cell r="G590">
            <v>18640120</v>
          </cell>
          <cell r="H590">
            <v>11</v>
          </cell>
        </row>
        <row r="591">
          <cell r="F591">
            <v>3033977</v>
          </cell>
          <cell r="G591">
            <v>22040122</v>
          </cell>
          <cell r="H591">
            <v>12.9</v>
          </cell>
        </row>
        <row r="592">
          <cell r="F592">
            <v>3033978</v>
          </cell>
          <cell r="G592">
            <v>22050132</v>
          </cell>
          <cell r="H592">
            <v>9.4</v>
          </cell>
        </row>
        <row r="593">
          <cell r="F593">
            <v>3033992</v>
          </cell>
          <cell r="G593">
            <v>22110100</v>
          </cell>
          <cell r="H593">
            <v>14.6</v>
          </cell>
        </row>
        <row r="594">
          <cell r="F594">
            <v>3034036</v>
          </cell>
          <cell r="G594">
            <v>30140130</v>
          </cell>
          <cell r="H594">
            <v>11.2</v>
          </cell>
        </row>
        <row r="595">
          <cell r="F595">
            <v>3034053</v>
          </cell>
          <cell r="G595">
            <v>18640100</v>
          </cell>
          <cell r="H595">
            <v>11</v>
          </cell>
        </row>
        <row r="596">
          <cell r="F596">
            <v>3034089</v>
          </cell>
          <cell r="G596">
            <v>30080122</v>
          </cell>
          <cell r="H596">
            <v>1.5</v>
          </cell>
        </row>
        <row r="597">
          <cell r="F597">
            <v>3034091</v>
          </cell>
          <cell r="G597">
            <v>30080121</v>
          </cell>
          <cell r="H597">
            <v>1.5</v>
          </cell>
        </row>
        <row r="598">
          <cell r="F598">
            <v>3034105</v>
          </cell>
          <cell r="G598">
            <v>12020902</v>
          </cell>
          <cell r="H598">
            <v>12.9</v>
          </cell>
        </row>
        <row r="599">
          <cell r="F599">
            <v>3034376</v>
          </cell>
          <cell r="G599">
            <v>79960160</v>
          </cell>
          <cell r="H599">
            <v>9.4</v>
          </cell>
        </row>
        <row r="600">
          <cell r="F600">
            <v>3034377</v>
          </cell>
          <cell r="G600">
            <v>79960150</v>
          </cell>
          <cell r="H600">
            <v>9.4</v>
          </cell>
        </row>
        <row r="601">
          <cell r="F601">
            <v>3034386</v>
          </cell>
          <cell r="G601">
            <v>30040142</v>
          </cell>
          <cell r="H601">
            <v>15</v>
          </cell>
        </row>
        <row r="602">
          <cell r="F602">
            <v>3034415</v>
          </cell>
          <cell r="G602">
            <v>30040152</v>
          </cell>
          <cell r="H602">
            <v>1.5</v>
          </cell>
        </row>
        <row r="603">
          <cell r="F603">
            <v>3034474</v>
          </cell>
          <cell r="G603">
            <v>21960122</v>
          </cell>
          <cell r="H603">
            <v>7.6</v>
          </cell>
        </row>
        <row r="604">
          <cell r="F604">
            <v>3034518</v>
          </cell>
          <cell r="G604">
            <v>50150112</v>
          </cell>
          <cell r="H604">
            <v>6.35</v>
          </cell>
        </row>
        <row r="605">
          <cell r="F605">
            <v>3034520</v>
          </cell>
          <cell r="G605">
            <v>50150152</v>
          </cell>
          <cell r="H605">
            <v>5.08</v>
          </cell>
        </row>
        <row r="606">
          <cell r="F606">
            <v>3034578</v>
          </cell>
          <cell r="G606">
            <v>30100192</v>
          </cell>
          <cell r="H606">
            <v>13.69</v>
          </cell>
        </row>
        <row r="607">
          <cell r="F607">
            <v>3034580</v>
          </cell>
          <cell r="G607">
            <v>22120110</v>
          </cell>
          <cell r="H607">
            <v>14.6</v>
          </cell>
        </row>
        <row r="608">
          <cell r="F608">
            <v>3034582</v>
          </cell>
          <cell r="G608">
            <v>22120112</v>
          </cell>
          <cell r="H608">
            <v>14.6</v>
          </cell>
        </row>
        <row r="609">
          <cell r="F609">
            <v>3034661</v>
          </cell>
          <cell r="G609">
            <v>64439000</v>
          </cell>
          <cell r="H609">
            <v>1.43</v>
          </cell>
        </row>
        <row r="610">
          <cell r="F610">
            <v>3034662</v>
          </cell>
          <cell r="G610">
            <v>64999000</v>
          </cell>
          <cell r="H610">
            <v>2.78</v>
          </cell>
        </row>
        <row r="611">
          <cell r="F611">
            <v>3034663</v>
          </cell>
          <cell r="G611">
            <v>64449000</v>
          </cell>
          <cell r="H611">
            <v>1.43</v>
          </cell>
        </row>
        <row r="612">
          <cell r="F612">
            <v>3034668</v>
          </cell>
          <cell r="G612">
            <v>11660120</v>
          </cell>
          <cell r="H612">
            <v>18</v>
          </cell>
        </row>
        <row r="613">
          <cell r="F613">
            <v>3034677</v>
          </cell>
          <cell r="G613">
            <v>50150142</v>
          </cell>
          <cell r="H613">
            <v>6.35</v>
          </cell>
        </row>
        <row r="614">
          <cell r="F614">
            <v>3034698</v>
          </cell>
          <cell r="G614">
            <v>64489000</v>
          </cell>
          <cell r="H614">
            <v>2.25</v>
          </cell>
        </row>
        <row r="615">
          <cell r="F615">
            <v>3034724</v>
          </cell>
          <cell r="G615">
            <v>16010907</v>
          </cell>
          <cell r="H615">
            <v>11.8</v>
          </cell>
        </row>
        <row r="616">
          <cell r="F616">
            <v>3034743</v>
          </cell>
          <cell r="G616">
            <v>28180100</v>
          </cell>
          <cell r="H616">
            <v>16.940000000000001</v>
          </cell>
        </row>
        <row r="617">
          <cell r="F617">
            <v>3034783</v>
          </cell>
          <cell r="G617">
            <v>12800100</v>
          </cell>
          <cell r="H617">
            <v>16.13</v>
          </cell>
        </row>
        <row r="618">
          <cell r="F618">
            <v>3034802</v>
          </cell>
          <cell r="G618">
            <v>28310120</v>
          </cell>
          <cell r="H618">
            <v>17.2</v>
          </cell>
        </row>
        <row r="619">
          <cell r="F619">
            <v>3034845</v>
          </cell>
          <cell r="G619">
            <v>22088112</v>
          </cell>
          <cell r="H619">
            <v>10.4</v>
          </cell>
        </row>
        <row r="620">
          <cell r="F620">
            <v>3034854</v>
          </cell>
          <cell r="G620">
            <v>16010902</v>
          </cell>
          <cell r="H620">
            <v>11.8</v>
          </cell>
        </row>
        <row r="621">
          <cell r="F621">
            <v>3034860</v>
          </cell>
          <cell r="G621">
            <v>30150130</v>
          </cell>
          <cell r="H621">
            <v>12.29</v>
          </cell>
        </row>
        <row r="622">
          <cell r="F622">
            <v>3034878</v>
          </cell>
          <cell r="G622">
            <v>30200102</v>
          </cell>
          <cell r="H622">
            <v>7.57</v>
          </cell>
        </row>
        <row r="623">
          <cell r="F623">
            <v>3034955</v>
          </cell>
          <cell r="G623">
            <v>30060182</v>
          </cell>
          <cell r="H623">
            <v>8.5</v>
          </cell>
        </row>
        <row r="624">
          <cell r="F624">
            <v>3034956</v>
          </cell>
          <cell r="G624">
            <v>30110100</v>
          </cell>
          <cell r="H624">
            <v>6.5</v>
          </cell>
        </row>
        <row r="625">
          <cell r="F625">
            <v>3034979</v>
          </cell>
          <cell r="G625">
            <v>30220102</v>
          </cell>
          <cell r="H625">
            <v>4.01</v>
          </cell>
        </row>
        <row r="626">
          <cell r="F626">
            <v>3035066</v>
          </cell>
          <cell r="G626">
            <v>30100130</v>
          </cell>
          <cell r="H626">
            <v>13.69</v>
          </cell>
        </row>
        <row r="627">
          <cell r="F627">
            <v>3035068</v>
          </cell>
          <cell r="G627">
            <v>30140120</v>
          </cell>
          <cell r="H627">
            <v>11.2</v>
          </cell>
        </row>
        <row r="628">
          <cell r="F628">
            <v>3035110</v>
          </cell>
          <cell r="G628">
            <v>30150120</v>
          </cell>
          <cell r="H628">
            <v>12.29</v>
          </cell>
        </row>
        <row r="629">
          <cell r="F629">
            <v>3035197</v>
          </cell>
          <cell r="G629">
            <v>64189000</v>
          </cell>
          <cell r="H629">
            <v>1.43</v>
          </cell>
        </row>
        <row r="630">
          <cell r="F630">
            <v>3035376</v>
          </cell>
          <cell r="G630">
            <v>22088987</v>
          </cell>
          <cell r="H630">
            <v>10.4</v>
          </cell>
        </row>
        <row r="631">
          <cell r="F631">
            <v>3035388</v>
          </cell>
          <cell r="G631">
            <v>11100907</v>
          </cell>
          <cell r="H631">
            <v>16.95</v>
          </cell>
        </row>
        <row r="632">
          <cell r="F632">
            <v>3035430</v>
          </cell>
          <cell r="G632">
            <v>22088907</v>
          </cell>
          <cell r="H632">
            <v>10.4</v>
          </cell>
        </row>
        <row r="633">
          <cell r="F633">
            <v>3035461</v>
          </cell>
          <cell r="G633">
            <v>30060902</v>
          </cell>
          <cell r="H633">
            <v>8.5</v>
          </cell>
        </row>
        <row r="634">
          <cell r="F634">
            <v>3035534</v>
          </cell>
          <cell r="G634">
            <v>13154110</v>
          </cell>
          <cell r="H634">
            <v>12.9</v>
          </cell>
        </row>
        <row r="635">
          <cell r="F635">
            <v>3035538</v>
          </cell>
          <cell r="G635">
            <v>22040220</v>
          </cell>
          <cell r="H635">
            <v>12.9</v>
          </cell>
        </row>
        <row r="636">
          <cell r="F636">
            <v>3035551</v>
          </cell>
          <cell r="G636">
            <v>29104130</v>
          </cell>
          <cell r="H636">
            <v>10.85</v>
          </cell>
        </row>
        <row r="637">
          <cell r="F637">
            <v>3035553</v>
          </cell>
          <cell r="G637">
            <v>22044110</v>
          </cell>
          <cell r="H637">
            <v>12.9</v>
          </cell>
        </row>
        <row r="638">
          <cell r="F638">
            <v>3035554</v>
          </cell>
          <cell r="G638">
            <v>25591110</v>
          </cell>
          <cell r="H638">
            <v>1</v>
          </cell>
        </row>
        <row r="639">
          <cell r="F639">
            <v>3035560</v>
          </cell>
          <cell r="G639">
            <v>22050150</v>
          </cell>
          <cell r="H639">
            <v>9.4</v>
          </cell>
        </row>
        <row r="640">
          <cell r="F640">
            <v>3035570</v>
          </cell>
          <cell r="G640">
            <v>21950100</v>
          </cell>
          <cell r="H640">
            <v>9.4</v>
          </cell>
        </row>
        <row r="641">
          <cell r="F641">
            <v>3035579</v>
          </cell>
          <cell r="G641">
            <v>30090160</v>
          </cell>
          <cell r="H641">
            <v>11.25</v>
          </cell>
        </row>
        <row r="642">
          <cell r="F642">
            <v>3035589</v>
          </cell>
          <cell r="G642">
            <v>23164180</v>
          </cell>
          <cell r="H642">
            <v>3.5</v>
          </cell>
        </row>
        <row r="643">
          <cell r="F643">
            <v>3035602</v>
          </cell>
          <cell r="G643">
            <v>18640150</v>
          </cell>
          <cell r="H643">
            <v>11</v>
          </cell>
        </row>
        <row r="644">
          <cell r="F644">
            <v>3035605</v>
          </cell>
          <cell r="G644">
            <v>43035605</v>
          </cell>
          <cell r="H644">
            <v>4.0999999999999996</v>
          </cell>
        </row>
        <row r="645">
          <cell r="F645">
            <v>3035606</v>
          </cell>
          <cell r="G645">
            <v>43035606</v>
          </cell>
          <cell r="H645">
            <v>5</v>
          </cell>
        </row>
        <row r="646">
          <cell r="F646">
            <v>3035607</v>
          </cell>
          <cell r="G646">
            <v>43035607</v>
          </cell>
          <cell r="H646">
            <v>4.6399999999999997</v>
          </cell>
        </row>
        <row r="647">
          <cell r="F647">
            <v>3035623</v>
          </cell>
          <cell r="G647">
            <v>17920130</v>
          </cell>
          <cell r="H647">
            <v>9.89</v>
          </cell>
        </row>
        <row r="648">
          <cell r="F648">
            <v>3035637</v>
          </cell>
          <cell r="G648">
            <v>43035637</v>
          </cell>
          <cell r="H648">
            <v>5.01</v>
          </cell>
        </row>
        <row r="649">
          <cell r="F649">
            <v>3035655</v>
          </cell>
          <cell r="G649">
            <v>43035655</v>
          </cell>
          <cell r="H649">
            <v>11.59</v>
          </cell>
        </row>
        <row r="650">
          <cell r="F650">
            <v>3035802</v>
          </cell>
          <cell r="G650">
            <v>18640140</v>
          </cell>
          <cell r="H650">
            <v>11</v>
          </cell>
        </row>
        <row r="651">
          <cell r="F651">
            <v>3035825</v>
          </cell>
          <cell r="G651">
            <v>25594110</v>
          </cell>
          <cell r="H651">
            <v>1</v>
          </cell>
        </row>
        <row r="652">
          <cell r="F652">
            <v>3035901</v>
          </cell>
          <cell r="G652">
            <v>29100140</v>
          </cell>
          <cell r="H652">
            <v>10.85</v>
          </cell>
        </row>
        <row r="653">
          <cell r="F653">
            <v>3035902</v>
          </cell>
          <cell r="G653">
            <v>22050160</v>
          </cell>
          <cell r="H653">
            <v>9.4</v>
          </cell>
        </row>
        <row r="654">
          <cell r="F654">
            <v>3035954</v>
          </cell>
          <cell r="G654">
            <v>16464130</v>
          </cell>
          <cell r="H654">
            <v>27</v>
          </cell>
        </row>
        <row r="655">
          <cell r="F655">
            <v>3036056</v>
          </cell>
          <cell r="G655">
            <v>22040160</v>
          </cell>
          <cell r="H655">
            <v>12.9</v>
          </cell>
        </row>
        <row r="656">
          <cell r="F656">
            <v>3036068</v>
          </cell>
          <cell r="G656">
            <v>22040162</v>
          </cell>
          <cell r="H656">
            <v>12.9</v>
          </cell>
        </row>
        <row r="657">
          <cell r="F657">
            <v>3036069</v>
          </cell>
          <cell r="G657">
            <v>22220138</v>
          </cell>
          <cell r="H657">
            <v>7</v>
          </cell>
        </row>
        <row r="658">
          <cell r="F658">
            <v>3036133</v>
          </cell>
          <cell r="G658">
            <v>14810150</v>
          </cell>
          <cell r="H658">
            <v>18.18</v>
          </cell>
        </row>
        <row r="659">
          <cell r="F659">
            <v>3036283</v>
          </cell>
          <cell r="G659">
            <v>20210907</v>
          </cell>
          <cell r="H659">
            <v>16.100000000000001</v>
          </cell>
        </row>
        <row r="660">
          <cell r="F660">
            <v>3036295</v>
          </cell>
          <cell r="G660">
            <v>30100140</v>
          </cell>
          <cell r="H660">
            <v>14.28</v>
          </cell>
        </row>
        <row r="661">
          <cell r="F661">
            <v>3036317</v>
          </cell>
          <cell r="G661">
            <v>14810902</v>
          </cell>
          <cell r="H661">
            <v>18.18</v>
          </cell>
        </row>
        <row r="662">
          <cell r="F662">
            <v>3036334</v>
          </cell>
          <cell r="G662">
            <v>43036334</v>
          </cell>
          <cell r="H662">
            <v>7.67</v>
          </cell>
        </row>
        <row r="663">
          <cell r="F663">
            <v>3036338</v>
          </cell>
          <cell r="G663">
            <v>11100902</v>
          </cell>
          <cell r="H663">
            <v>16.95</v>
          </cell>
        </row>
        <row r="664">
          <cell r="F664">
            <v>3036363</v>
          </cell>
          <cell r="G664">
            <v>11110907</v>
          </cell>
          <cell r="H664">
            <v>17.18</v>
          </cell>
        </row>
        <row r="665">
          <cell r="F665">
            <v>3036377</v>
          </cell>
          <cell r="G665">
            <v>28050902</v>
          </cell>
          <cell r="H665">
            <v>16.18</v>
          </cell>
        </row>
        <row r="666">
          <cell r="F666">
            <v>3036407</v>
          </cell>
          <cell r="G666">
            <v>20030150</v>
          </cell>
          <cell r="H666">
            <v>7</v>
          </cell>
        </row>
        <row r="667">
          <cell r="F667">
            <v>3036408</v>
          </cell>
          <cell r="G667">
            <v>13150140</v>
          </cell>
          <cell r="H667">
            <v>12.9</v>
          </cell>
        </row>
        <row r="668">
          <cell r="F668">
            <v>3036419</v>
          </cell>
          <cell r="G668">
            <v>22130150</v>
          </cell>
          <cell r="H668">
            <v>14.6</v>
          </cell>
        </row>
        <row r="669">
          <cell r="F669">
            <v>3036420</v>
          </cell>
          <cell r="G669">
            <v>12020120</v>
          </cell>
          <cell r="H669">
            <v>12.9</v>
          </cell>
        </row>
        <row r="670">
          <cell r="F670">
            <v>3036430</v>
          </cell>
          <cell r="G670">
            <v>43036430</v>
          </cell>
          <cell r="H670">
            <v>8.7100000000000009</v>
          </cell>
        </row>
        <row r="671">
          <cell r="F671">
            <v>3036431</v>
          </cell>
          <cell r="G671">
            <v>43036431</v>
          </cell>
          <cell r="H671">
            <v>8.48</v>
          </cell>
        </row>
        <row r="672">
          <cell r="F672">
            <v>3036442</v>
          </cell>
          <cell r="G672">
            <v>22062902</v>
          </cell>
          <cell r="H672">
            <v>12.7</v>
          </cell>
        </row>
        <row r="673">
          <cell r="F673">
            <v>3036469</v>
          </cell>
          <cell r="G673">
            <v>57889000</v>
          </cell>
          <cell r="H673">
            <v>3.53</v>
          </cell>
        </row>
        <row r="674">
          <cell r="F674">
            <v>3036557</v>
          </cell>
          <cell r="G674">
            <v>11110902</v>
          </cell>
          <cell r="H674">
            <v>17.18</v>
          </cell>
        </row>
        <row r="675">
          <cell r="F675">
            <v>3036558</v>
          </cell>
          <cell r="G675">
            <v>43036558</v>
          </cell>
          <cell r="H675">
            <v>8.48</v>
          </cell>
        </row>
        <row r="676">
          <cell r="F676">
            <v>3036589</v>
          </cell>
          <cell r="G676">
            <v>11020902</v>
          </cell>
          <cell r="H676">
            <v>19.32</v>
          </cell>
        </row>
        <row r="677">
          <cell r="F677">
            <v>3036663</v>
          </cell>
          <cell r="G677">
            <v>43036663</v>
          </cell>
          <cell r="H677">
            <v>7.42</v>
          </cell>
        </row>
        <row r="678">
          <cell r="F678">
            <v>3036665</v>
          </cell>
          <cell r="G678">
            <v>43036665</v>
          </cell>
          <cell r="H678">
            <v>11.59</v>
          </cell>
        </row>
        <row r="679">
          <cell r="F679">
            <v>3036679</v>
          </cell>
          <cell r="G679">
            <v>30120132</v>
          </cell>
          <cell r="H679">
            <v>10.33</v>
          </cell>
        </row>
        <row r="680">
          <cell r="F680">
            <v>3036768</v>
          </cell>
          <cell r="G680">
            <v>28660902</v>
          </cell>
          <cell r="H680">
            <v>16.690000000000001</v>
          </cell>
        </row>
        <row r="681">
          <cell r="F681">
            <v>3036771</v>
          </cell>
          <cell r="G681">
            <v>28319900</v>
          </cell>
          <cell r="H681">
            <v>17.2</v>
          </cell>
        </row>
        <row r="682">
          <cell r="F682">
            <v>3036781</v>
          </cell>
          <cell r="G682">
            <v>22040210</v>
          </cell>
          <cell r="H682">
            <v>12.9</v>
          </cell>
        </row>
        <row r="683">
          <cell r="F683">
            <v>3036784</v>
          </cell>
          <cell r="G683">
            <v>22050190</v>
          </cell>
          <cell r="H683">
            <v>9.4</v>
          </cell>
        </row>
        <row r="684">
          <cell r="F684">
            <v>3036796</v>
          </cell>
          <cell r="G684">
            <v>13640100</v>
          </cell>
          <cell r="H684">
            <v>13.73</v>
          </cell>
        </row>
        <row r="685">
          <cell r="F685">
            <v>3036797</v>
          </cell>
          <cell r="G685">
            <v>14800100</v>
          </cell>
          <cell r="H685">
            <v>18.18</v>
          </cell>
        </row>
        <row r="686">
          <cell r="F686">
            <v>3036798</v>
          </cell>
          <cell r="G686">
            <v>11380100</v>
          </cell>
          <cell r="H686">
            <v>16.34</v>
          </cell>
        </row>
        <row r="687">
          <cell r="F687">
            <v>3036822</v>
          </cell>
          <cell r="G687">
            <v>20270100</v>
          </cell>
          <cell r="H687">
            <v>12.22</v>
          </cell>
        </row>
        <row r="688">
          <cell r="F688">
            <v>3036826</v>
          </cell>
          <cell r="G688">
            <v>20274100</v>
          </cell>
          <cell r="H688">
            <v>12.22</v>
          </cell>
        </row>
        <row r="689">
          <cell r="F689">
            <v>3036828</v>
          </cell>
          <cell r="G689">
            <v>14804100</v>
          </cell>
          <cell r="H689">
            <v>18.18</v>
          </cell>
        </row>
        <row r="690">
          <cell r="F690">
            <v>3036829</v>
          </cell>
          <cell r="G690">
            <v>13644100</v>
          </cell>
          <cell r="H690">
            <v>13.73</v>
          </cell>
        </row>
        <row r="691">
          <cell r="F691">
            <v>3036846</v>
          </cell>
          <cell r="G691">
            <v>12220902</v>
          </cell>
          <cell r="H691">
            <v>15.78</v>
          </cell>
        </row>
        <row r="692">
          <cell r="F692">
            <v>3036851</v>
          </cell>
          <cell r="G692">
            <v>11384100</v>
          </cell>
          <cell r="H692">
            <v>16.34</v>
          </cell>
        </row>
        <row r="693">
          <cell r="F693">
            <v>3036865</v>
          </cell>
          <cell r="G693">
            <v>28660100</v>
          </cell>
          <cell r="H693">
            <v>16.690000000000001</v>
          </cell>
        </row>
        <row r="694">
          <cell r="F694">
            <v>3036867</v>
          </cell>
          <cell r="G694">
            <v>28660907</v>
          </cell>
          <cell r="H694">
            <v>16.690000000000001</v>
          </cell>
        </row>
        <row r="695">
          <cell r="F695">
            <v>3036963</v>
          </cell>
          <cell r="G695">
            <v>43036963</v>
          </cell>
          <cell r="H695">
            <v>11.59</v>
          </cell>
        </row>
        <row r="696">
          <cell r="F696">
            <v>3036973</v>
          </cell>
          <cell r="G696">
            <v>20030132</v>
          </cell>
          <cell r="H696">
            <v>7</v>
          </cell>
        </row>
        <row r="697">
          <cell r="F697">
            <v>3036983</v>
          </cell>
          <cell r="G697">
            <v>30040162</v>
          </cell>
          <cell r="H697">
            <v>15</v>
          </cell>
        </row>
        <row r="698">
          <cell r="F698">
            <v>3036990</v>
          </cell>
          <cell r="G698">
            <v>30100142</v>
          </cell>
          <cell r="H698">
            <v>123.84</v>
          </cell>
        </row>
        <row r="699">
          <cell r="F699">
            <v>3036997</v>
          </cell>
          <cell r="G699">
            <v>30080132</v>
          </cell>
          <cell r="H699">
            <v>15</v>
          </cell>
        </row>
        <row r="700">
          <cell r="F700">
            <v>3037002</v>
          </cell>
          <cell r="G700">
            <v>30100100</v>
          </cell>
          <cell r="H700">
            <v>14.28</v>
          </cell>
        </row>
        <row r="701">
          <cell r="F701">
            <v>3037041</v>
          </cell>
          <cell r="G701">
            <v>30160120</v>
          </cell>
          <cell r="H701">
            <v>10.82</v>
          </cell>
        </row>
        <row r="702">
          <cell r="F702">
            <v>3037074</v>
          </cell>
          <cell r="G702">
            <v>12550130</v>
          </cell>
          <cell r="H702">
            <v>16.3</v>
          </cell>
        </row>
        <row r="703">
          <cell r="F703">
            <v>3037087</v>
          </cell>
          <cell r="G703">
            <v>17870120</v>
          </cell>
          <cell r="H703">
            <v>1.3</v>
          </cell>
        </row>
        <row r="704">
          <cell r="F704">
            <v>3037097</v>
          </cell>
          <cell r="G704">
            <v>19720110</v>
          </cell>
          <cell r="H704">
            <v>27</v>
          </cell>
        </row>
        <row r="705">
          <cell r="F705">
            <v>3037104</v>
          </cell>
          <cell r="G705">
            <v>22060130</v>
          </cell>
          <cell r="H705">
            <v>12.7</v>
          </cell>
        </row>
        <row r="706">
          <cell r="F706">
            <v>3037106</v>
          </cell>
          <cell r="G706">
            <v>22082100</v>
          </cell>
          <cell r="H706">
            <v>12.2</v>
          </cell>
        </row>
        <row r="707">
          <cell r="F707">
            <v>3037115</v>
          </cell>
          <cell r="G707">
            <v>22110907</v>
          </cell>
          <cell r="H707">
            <v>14.6</v>
          </cell>
        </row>
        <row r="708">
          <cell r="F708">
            <v>3037135</v>
          </cell>
          <cell r="G708">
            <v>22065907</v>
          </cell>
          <cell r="H708">
            <v>12.7</v>
          </cell>
        </row>
        <row r="709">
          <cell r="F709">
            <v>3037136</v>
          </cell>
          <cell r="G709">
            <v>43037136</v>
          </cell>
          <cell r="H709">
            <v>8.48</v>
          </cell>
        </row>
        <row r="710">
          <cell r="F710">
            <v>3037143</v>
          </cell>
          <cell r="G710">
            <v>22110902</v>
          </cell>
          <cell r="H710">
            <v>14.6</v>
          </cell>
        </row>
        <row r="711">
          <cell r="F711">
            <v>3037164</v>
          </cell>
          <cell r="G711">
            <v>19724100</v>
          </cell>
          <cell r="H711">
            <v>27</v>
          </cell>
        </row>
        <row r="712">
          <cell r="F712">
            <v>3037178</v>
          </cell>
          <cell r="G712">
            <v>79930102</v>
          </cell>
          <cell r="H712">
            <v>6</v>
          </cell>
        </row>
        <row r="713">
          <cell r="F713">
            <v>3037260</v>
          </cell>
          <cell r="G713">
            <v>43037260</v>
          </cell>
          <cell r="H713">
            <v>8.07</v>
          </cell>
        </row>
        <row r="714">
          <cell r="F714">
            <v>3037263</v>
          </cell>
          <cell r="G714">
            <v>19230112</v>
          </cell>
          <cell r="H714">
            <v>8.5</v>
          </cell>
        </row>
        <row r="715">
          <cell r="F715">
            <v>3037265</v>
          </cell>
          <cell r="G715">
            <v>15180100</v>
          </cell>
          <cell r="H715">
            <v>10.89</v>
          </cell>
        </row>
        <row r="716">
          <cell r="F716">
            <v>3037360</v>
          </cell>
          <cell r="G716">
            <v>29860110</v>
          </cell>
          <cell r="H716">
            <v>2.8</v>
          </cell>
        </row>
        <row r="717">
          <cell r="F717">
            <v>3037406</v>
          </cell>
          <cell r="G717">
            <v>29860120</v>
          </cell>
          <cell r="H717">
            <v>2.8</v>
          </cell>
        </row>
        <row r="718">
          <cell r="F718">
            <v>3037541</v>
          </cell>
          <cell r="G718">
            <v>19234919</v>
          </cell>
          <cell r="H718">
            <v>8.5</v>
          </cell>
        </row>
        <row r="719">
          <cell r="F719">
            <v>3037579</v>
          </cell>
          <cell r="G719">
            <v>29840110</v>
          </cell>
          <cell r="H719">
            <v>3.02</v>
          </cell>
        </row>
        <row r="720">
          <cell r="F720">
            <v>3037592</v>
          </cell>
          <cell r="G720">
            <v>29840120</v>
          </cell>
          <cell r="H720">
            <v>3.02</v>
          </cell>
        </row>
        <row r="721">
          <cell r="F721">
            <v>3037655</v>
          </cell>
          <cell r="G721">
            <v>22094110</v>
          </cell>
          <cell r="H721">
            <v>7</v>
          </cell>
        </row>
        <row r="722">
          <cell r="F722">
            <v>3037663</v>
          </cell>
          <cell r="G722">
            <v>20034170</v>
          </cell>
          <cell r="H722">
            <v>7</v>
          </cell>
        </row>
        <row r="723">
          <cell r="F723">
            <v>3037686</v>
          </cell>
          <cell r="G723">
            <v>30120142</v>
          </cell>
          <cell r="H723">
            <v>154.94999999999999</v>
          </cell>
        </row>
        <row r="724">
          <cell r="F724">
            <v>3037688</v>
          </cell>
          <cell r="G724">
            <v>30090162</v>
          </cell>
          <cell r="H724">
            <v>168.75</v>
          </cell>
        </row>
        <row r="725">
          <cell r="F725">
            <v>3037728</v>
          </cell>
          <cell r="G725">
            <v>23164907</v>
          </cell>
          <cell r="H725">
            <v>3.5</v>
          </cell>
        </row>
        <row r="726">
          <cell r="F726">
            <v>3037729</v>
          </cell>
          <cell r="G726">
            <v>22044907</v>
          </cell>
          <cell r="H726">
            <v>12.9</v>
          </cell>
        </row>
        <row r="727">
          <cell r="F727">
            <v>3037741</v>
          </cell>
          <cell r="G727">
            <v>23160160</v>
          </cell>
          <cell r="H727">
            <v>3.5</v>
          </cell>
        </row>
        <row r="728">
          <cell r="F728">
            <v>3037744</v>
          </cell>
          <cell r="G728">
            <v>19234100</v>
          </cell>
          <cell r="H728">
            <v>8.5</v>
          </cell>
        </row>
        <row r="729">
          <cell r="F729">
            <v>3037765</v>
          </cell>
          <cell r="G729">
            <v>12654907</v>
          </cell>
          <cell r="H729">
            <v>17.8</v>
          </cell>
        </row>
        <row r="730">
          <cell r="F730">
            <v>3037766</v>
          </cell>
          <cell r="G730">
            <v>19724907</v>
          </cell>
          <cell r="H730">
            <v>27</v>
          </cell>
        </row>
        <row r="731">
          <cell r="F731">
            <v>3037767</v>
          </cell>
          <cell r="G731">
            <v>29104907</v>
          </cell>
          <cell r="H731">
            <v>10.85</v>
          </cell>
        </row>
        <row r="732">
          <cell r="F732">
            <v>3037768</v>
          </cell>
          <cell r="G732">
            <v>22134907</v>
          </cell>
          <cell r="H732">
            <v>14.6</v>
          </cell>
        </row>
        <row r="733">
          <cell r="F733">
            <v>3037780</v>
          </cell>
          <cell r="G733">
            <v>17874927</v>
          </cell>
          <cell r="H733">
            <v>1.3</v>
          </cell>
        </row>
        <row r="734">
          <cell r="F734">
            <v>3037781</v>
          </cell>
          <cell r="G734">
            <v>13654907</v>
          </cell>
          <cell r="H734">
            <v>13.73</v>
          </cell>
        </row>
        <row r="735">
          <cell r="F735">
            <v>3037782</v>
          </cell>
          <cell r="G735">
            <v>20034907</v>
          </cell>
          <cell r="H735">
            <v>7</v>
          </cell>
        </row>
        <row r="736">
          <cell r="F736">
            <v>3037783</v>
          </cell>
          <cell r="G736">
            <v>22064907</v>
          </cell>
          <cell r="H736">
            <v>12.7</v>
          </cell>
        </row>
        <row r="737">
          <cell r="F737">
            <v>3037784</v>
          </cell>
          <cell r="G737">
            <v>12394907</v>
          </cell>
          <cell r="H737">
            <v>14.03</v>
          </cell>
        </row>
        <row r="738">
          <cell r="F738">
            <v>3037786</v>
          </cell>
          <cell r="G738">
            <v>12224907</v>
          </cell>
          <cell r="H738">
            <v>15.78</v>
          </cell>
        </row>
        <row r="739">
          <cell r="F739">
            <v>3037801</v>
          </cell>
          <cell r="G739">
            <v>30140200</v>
          </cell>
          <cell r="H739">
            <v>11.2</v>
          </cell>
        </row>
        <row r="740">
          <cell r="F740">
            <v>3037833</v>
          </cell>
          <cell r="G740">
            <v>22234900</v>
          </cell>
          <cell r="H740">
            <v>7</v>
          </cell>
        </row>
        <row r="741">
          <cell r="F741">
            <v>3037921</v>
          </cell>
          <cell r="G741">
            <v>43037921</v>
          </cell>
          <cell r="H741">
            <v>8.48</v>
          </cell>
        </row>
        <row r="742">
          <cell r="F742">
            <v>3037925</v>
          </cell>
          <cell r="G742">
            <v>43037925</v>
          </cell>
          <cell r="H742">
            <v>10.69</v>
          </cell>
        </row>
        <row r="743">
          <cell r="F743">
            <v>3037941</v>
          </cell>
          <cell r="G743">
            <v>16249900</v>
          </cell>
          <cell r="H743">
            <v>16.89</v>
          </cell>
        </row>
        <row r="744">
          <cell r="F744">
            <v>3037979</v>
          </cell>
          <cell r="G744">
            <v>30110192</v>
          </cell>
          <cell r="H744">
            <v>10.32</v>
          </cell>
        </row>
        <row r="745">
          <cell r="F745">
            <v>3037988</v>
          </cell>
          <cell r="G745">
            <v>30160160</v>
          </cell>
          <cell r="H745">
            <v>10.32</v>
          </cell>
        </row>
        <row r="746">
          <cell r="F746">
            <v>3038006</v>
          </cell>
          <cell r="G746">
            <v>30140192</v>
          </cell>
          <cell r="H746">
            <v>10.7</v>
          </cell>
        </row>
        <row r="747">
          <cell r="F747">
            <v>3038030</v>
          </cell>
          <cell r="G747">
            <v>30160102</v>
          </cell>
          <cell r="H747">
            <v>154.80000000000001</v>
          </cell>
        </row>
        <row r="748">
          <cell r="F748">
            <v>3038069</v>
          </cell>
          <cell r="G748">
            <v>30140210</v>
          </cell>
          <cell r="H748">
            <v>10.7</v>
          </cell>
        </row>
        <row r="749">
          <cell r="F749">
            <v>3038084</v>
          </cell>
          <cell r="G749">
            <v>30120190</v>
          </cell>
          <cell r="H749">
            <v>9.83</v>
          </cell>
        </row>
        <row r="750">
          <cell r="F750">
            <v>3038085</v>
          </cell>
          <cell r="G750">
            <v>30120152</v>
          </cell>
          <cell r="H750">
            <v>9.83</v>
          </cell>
        </row>
        <row r="751">
          <cell r="F751">
            <v>3038113</v>
          </cell>
          <cell r="G751">
            <v>30050120</v>
          </cell>
          <cell r="H751">
            <v>14.5</v>
          </cell>
        </row>
        <row r="752">
          <cell r="F752">
            <v>3038153</v>
          </cell>
          <cell r="G752">
            <v>20030140</v>
          </cell>
          <cell r="H752">
            <v>7</v>
          </cell>
        </row>
        <row r="753">
          <cell r="F753">
            <v>3038193</v>
          </cell>
          <cell r="G753">
            <v>64909000</v>
          </cell>
          <cell r="H753">
            <v>1.43</v>
          </cell>
        </row>
        <row r="754">
          <cell r="F754">
            <v>3038228</v>
          </cell>
          <cell r="G754">
            <v>22068902</v>
          </cell>
          <cell r="H754">
            <v>12.7</v>
          </cell>
        </row>
        <row r="755">
          <cell r="F755">
            <v>3038302</v>
          </cell>
          <cell r="G755">
            <v>22054170</v>
          </cell>
          <cell r="H755">
            <v>9.4</v>
          </cell>
        </row>
        <row r="756">
          <cell r="F756">
            <v>3038340</v>
          </cell>
          <cell r="G756">
            <v>23164160</v>
          </cell>
          <cell r="H756">
            <v>3.5</v>
          </cell>
        </row>
        <row r="757">
          <cell r="F757">
            <v>3038377</v>
          </cell>
          <cell r="G757">
            <v>53040120</v>
          </cell>
          <cell r="H757">
            <v>1.5</v>
          </cell>
        </row>
        <row r="758">
          <cell r="F758">
            <v>3038442</v>
          </cell>
          <cell r="G758">
            <v>30140190</v>
          </cell>
          <cell r="H758">
            <v>11.2</v>
          </cell>
        </row>
        <row r="759">
          <cell r="F759">
            <v>3038453</v>
          </cell>
          <cell r="G759">
            <v>43038453</v>
          </cell>
          <cell r="H759">
            <v>8.48</v>
          </cell>
        </row>
        <row r="760">
          <cell r="F760">
            <v>3038458</v>
          </cell>
          <cell r="G760">
            <v>30120172</v>
          </cell>
          <cell r="H760">
            <v>154.94999999999999</v>
          </cell>
        </row>
        <row r="761">
          <cell r="F761">
            <v>3038463</v>
          </cell>
          <cell r="G761">
            <v>16464120</v>
          </cell>
          <cell r="H761">
            <v>27</v>
          </cell>
        </row>
        <row r="762">
          <cell r="F762">
            <v>3038476</v>
          </cell>
          <cell r="G762">
            <v>30080142</v>
          </cell>
          <cell r="H762">
            <v>22.5</v>
          </cell>
        </row>
        <row r="763">
          <cell r="F763">
            <v>3038490</v>
          </cell>
          <cell r="G763">
            <v>22088902</v>
          </cell>
          <cell r="H763">
            <v>10.4</v>
          </cell>
        </row>
        <row r="764">
          <cell r="F764">
            <v>3038500</v>
          </cell>
          <cell r="G764">
            <v>30040172</v>
          </cell>
          <cell r="H764">
            <v>15</v>
          </cell>
        </row>
        <row r="765">
          <cell r="F765">
            <v>3038502</v>
          </cell>
          <cell r="G765">
            <v>30110103</v>
          </cell>
          <cell r="H765">
            <v>97.5</v>
          </cell>
        </row>
        <row r="766">
          <cell r="F766">
            <v>3038504</v>
          </cell>
          <cell r="G766">
            <v>30060103</v>
          </cell>
          <cell r="H766">
            <v>127.5</v>
          </cell>
        </row>
        <row r="767">
          <cell r="F767">
            <v>3038510</v>
          </cell>
          <cell r="G767">
            <v>30090173</v>
          </cell>
          <cell r="H767">
            <v>168.75</v>
          </cell>
        </row>
        <row r="768">
          <cell r="F768">
            <v>3038512</v>
          </cell>
          <cell r="G768">
            <v>30160132</v>
          </cell>
          <cell r="H768">
            <v>162.30000000000001</v>
          </cell>
        </row>
        <row r="769">
          <cell r="F769">
            <v>3038515</v>
          </cell>
          <cell r="G769">
            <v>30100103</v>
          </cell>
          <cell r="H769">
            <v>123.84</v>
          </cell>
        </row>
        <row r="770">
          <cell r="F770">
            <v>3038517</v>
          </cell>
          <cell r="G770">
            <v>30140182</v>
          </cell>
          <cell r="H770">
            <v>168</v>
          </cell>
        </row>
        <row r="771">
          <cell r="F771">
            <v>3038519</v>
          </cell>
          <cell r="G771">
            <v>30140142</v>
          </cell>
          <cell r="H771">
            <v>168</v>
          </cell>
        </row>
        <row r="772">
          <cell r="F772">
            <v>3038521</v>
          </cell>
          <cell r="G772">
            <v>30100172</v>
          </cell>
          <cell r="H772">
            <v>205.35</v>
          </cell>
        </row>
        <row r="773">
          <cell r="F773">
            <v>3038593</v>
          </cell>
          <cell r="G773">
            <v>30100162</v>
          </cell>
          <cell r="H773">
            <v>13.69</v>
          </cell>
        </row>
        <row r="774">
          <cell r="F774">
            <v>3038621</v>
          </cell>
          <cell r="G774">
            <v>28064902</v>
          </cell>
          <cell r="H774">
            <v>16.18</v>
          </cell>
        </row>
        <row r="775">
          <cell r="F775">
            <v>3038639</v>
          </cell>
          <cell r="G775">
            <v>20290120</v>
          </cell>
          <cell r="H775">
            <v>13.61</v>
          </cell>
        </row>
        <row r="776">
          <cell r="F776">
            <v>3038646</v>
          </cell>
          <cell r="G776">
            <v>20299900</v>
          </cell>
          <cell r="H776">
            <v>13.61</v>
          </cell>
        </row>
        <row r="777">
          <cell r="F777">
            <v>3038824</v>
          </cell>
          <cell r="G777">
            <v>22570902</v>
          </cell>
          <cell r="H777">
            <v>3.87</v>
          </cell>
        </row>
        <row r="778">
          <cell r="F778">
            <v>3038913</v>
          </cell>
          <cell r="G778">
            <v>22050180</v>
          </cell>
          <cell r="H778">
            <v>9.4</v>
          </cell>
        </row>
        <row r="779">
          <cell r="F779">
            <v>3038942</v>
          </cell>
          <cell r="G779">
            <v>22224900</v>
          </cell>
          <cell r="H779">
            <v>7</v>
          </cell>
        </row>
        <row r="780">
          <cell r="F780">
            <v>3039032</v>
          </cell>
          <cell r="G780">
            <v>29840140</v>
          </cell>
          <cell r="H780">
            <v>3.02</v>
          </cell>
        </row>
        <row r="781">
          <cell r="F781">
            <v>3039061</v>
          </cell>
          <cell r="G781">
            <v>22068907</v>
          </cell>
          <cell r="H781">
            <v>12.7</v>
          </cell>
        </row>
        <row r="782">
          <cell r="F782">
            <v>3039062</v>
          </cell>
          <cell r="G782">
            <v>22084907</v>
          </cell>
          <cell r="H782">
            <v>12.2</v>
          </cell>
        </row>
        <row r="783">
          <cell r="F783">
            <v>3039066</v>
          </cell>
          <cell r="G783">
            <v>17304907</v>
          </cell>
          <cell r="H783">
            <v>16.82</v>
          </cell>
        </row>
        <row r="784">
          <cell r="F784">
            <v>3039068</v>
          </cell>
          <cell r="G784">
            <v>22394907</v>
          </cell>
          <cell r="H784">
            <v>14.6</v>
          </cell>
        </row>
        <row r="785">
          <cell r="F785">
            <v>3039069</v>
          </cell>
          <cell r="G785">
            <v>11114907</v>
          </cell>
          <cell r="H785">
            <v>17.18</v>
          </cell>
        </row>
        <row r="786">
          <cell r="F786">
            <v>3039070</v>
          </cell>
          <cell r="G786">
            <v>28314907</v>
          </cell>
          <cell r="H786">
            <v>17.2</v>
          </cell>
        </row>
        <row r="787">
          <cell r="F787">
            <v>3039072</v>
          </cell>
          <cell r="G787">
            <v>11584907</v>
          </cell>
          <cell r="H787">
            <v>19.32</v>
          </cell>
        </row>
        <row r="788">
          <cell r="F788">
            <v>3039073</v>
          </cell>
          <cell r="G788">
            <v>28084907</v>
          </cell>
          <cell r="H788">
            <v>16.18</v>
          </cell>
        </row>
        <row r="789">
          <cell r="F789">
            <v>3039074</v>
          </cell>
          <cell r="G789">
            <v>20214907</v>
          </cell>
          <cell r="H789">
            <v>16.100000000000001</v>
          </cell>
        </row>
        <row r="790">
          <cell r="F790">
            <v>3039075</v>
          </cell>
          <cell r="G790">
            <v>21974907</v>
          </cell>
          <cell r="H790">
            <v>9.4</v>
          </cell>
        </row>
        <row r="791">
          <cell r="F791">
            <v>3039080</v>
          </cell>
          <cell r="G791">
            <v>11764907</v>
          </cell>
          <cell r="H791">
            <v>21.49</v>
          </cell>
        </row>
        <row r="792">
          <cell r="F792">
            <v>3039100</v>
          </cell>
          <cell r="G792">
            <v>30100903</v>
          </cell>
          <cell r="H792">
            <v>13.69</v>
          </cell>
        </row>
        <row r="793">
          <cell r="F793">
            <v>3039149</v>
          </cell>
          <cell r="G793">
            <v>64049000</v>
          </cell>
          <cell r="H793">
            <v>1.43</v>
          </cell>
        </row>
        <row r="794">
          <cell r="F794">
            <v>3039167</v>
          </cell>
          <cell r="G794">
            <v>43039167</v>
          </cell>
          <cell r="H794">
            <v>8.48</v>
          </cell>
        </row>
        <row r="795">
          <cell r="F795">
            <v>3039233</v>
          </cell>
          <cell r="G795">
            <v>22024907</v>
          </cell>
          <cell r="H795">
            <v>14.6</v>
          </cell>
        </row>
        <row r="796">
          <cell r="F796">
            <v>3039245</v>
          </cell>
          <cell r="G796">
            <v>22044927</v>
          </cell>
          <cell r="H796">
            <v>12.9</v>
          </cell>
        </row>
        <row r="797">
          <cell r="F797">
            <v>3039246</v>
          </cell>
          <cell r="G797">
            <v>22054927</v>
          </cell>
          <cell r="H797">
            <v>9.4</v>
          </cell>
        </row>
        <row r="798">
          <cell r="F798">
            <v>3039247</v>
          </cell>
          <cell r="G798">
            <v>22064927</v>
          </cell>
          <cell r="H798">
            <v>12.7</v>
          </cell>
        </row>
        <row r="799">
          <cell r="F799">
            <v>3039255</v>
          </cell>
          <cell r="G799">
            <v>22034902</v>
          </cell>
          <cell r="H799">
            <v>14.6</v>
          </cell>
        </row>
        <row r="800">
          <cell r="F800">
            <v>3039257</v>
          </cell>
          <cell r="G800">
            <v>22054922</v>
          </cell>
          <cell r="H800">
            <v>9.4</v>
          </cell>
        </row>
        <row r="801">
          <cell r="F801">
            <v>3039259</v>
          </cell>
          <cell r="G801">
            <v>20044112</v>
          </cell>
          <cell r="H801">
            <v>7</v>
          </cell>
        </row>
        <row r="802">
          <cell r="F802">
            <v>3039318</v>
          </cell>
          <cell r="G802">
            <v>21974112</v>
          </cell>
          <cell r="H802">
            <v>9.4</v>
          </cell>
        </row>
        <row r="803">
          <cell r="F803">
            <v>3039336</v>
          </cell>
          <cell r="G803">
            <v>22144110</v>
          </cell>
          <cell r="H803">
            <v>12.9</v>
          </cell>
        </row>
        <row r="804">
          <cell r="F804">
            <v>3039361</v>
          </cell>
          <cell r="G804">
            <v>12414907</v>
          </cell>
          <cell r="H804">
            <v>17.8</v>
          </cell>
        </row>
        <row r="805">
          <cell r="F805">
            <v>3039384</v>
          </cell>
          <cell r="G805">
            <v>12224902</v>
          </cell>
          <cell r="H805">
            <v>15.78</v>
          </cell>
        </row>
        <row r="806">
          <cell r="F806">
            <v>3039385</v>
          </cell>
          <cell r="G806">
            <v>12394919</v>
          </cell>
          <cell r="H806">
            <v>14.03</v>
          </cell>
        </row>
        <row r="807">
          <cell r="F807">
            <v>3039408</v>
          </cell>
          <cell r="G807">
            <v>22084927</v>
          </cell>
          <cell r="H807">
            <v>12.2</v>
          </cell>
        </row>
        <row r="808">
          <cell r="F808">
            <v>3039409</v>
          </cell>
          <cell r="G808">
            <v>22094927</v>
          </cell>
          <cell r="H808">
            <v>7</v>
          </cell>
        </row>
        <row r="809">
          <cell r="F809">
            <v>3039413</v>
          </cell>
          <cell r="G809">
            <v>30060903</v>
          </cell>
          <cell r="H809">
            <v>8.5</v>
          </cell>
        </row>
        <row r="810">
          <cell r="F810">
            <v>3039423</v>
          </cell>
          <cell r="G810">
            <v>28130100</v>
          </cell>
          <cell r="H810">
            <v>11.4</v>
          </cell>
        </row>
        <row r="811">
          <cell r="F811">
            <v>3039425</v>
          </cell>
          <cell r="G811">
            <v>13154102</v>
          </cell>
          <cell r="H811">
            <v>12.9</v>
          </cell>
        </row>
        <row r="812">
          <cell r="F812">
            <v>3039471</v>
          </cell>
          <cell r="G812">
            <v>28544102</v>
          </cell>
          <cell r="H812">
            <v>18</v>
          </cell>
        </row>
        <row r="813">
          <cell r="F813">
            <v>3039480</v>
          </cell>
          <cell r="G813">
            <v>20651021</v>
          </cell>
          <cell r="H813">
            <v>13.53</v>
          </cell>
        </row>
        <row r="814">
          <cell r="F814">
            <v>3039510</v>
          </cell>
          <cell r="G814">
            <v>22044102</v>
          </cell>
          <cell r="H814">
            <v>12.9</v>
          </cell>
        </row>
        <row r="815">
          <cell r="F815">
            <v>3039511</v>
          </cell>
          <cell r="G815">
            <v>21954102</v>
          </cell>
          <cell r="H815">
            <v>9.4</v>
          </cell>
        </row>
        <row r="816">
          <cell r="F816">
            <v>3039520</v>
          </cell>
          <cell r="G816">
            <v>20034102</v>
          </cell>
          <cell r="H816">
            <v>7</v>
          </cell>
        </row>
        <row r="817">
          <cell r="F817">
            <v>3039554</v>
          </cell>
          <cell r="G817">
            <v>15590100</v>
          </cell>
          <cell r="H817">
            <v>10.96</v>
          </cell>
        </row>
        <row r="818">
          <cell r="F818">
            <v>3039557</v>
          </cell>
          <cell r="G818">
            <v>22134902</v>
          </cell>
          <cell r="H818">
            <v>14.6</v>
          </cell>
        </row>
        <row r="819">
          <cell r="F819">
            <v>3039569</v>
          </cell>
          <cell r="G819">
            <v>23164118</v>
          </cell>
          <cell r="H819">
            <v>3.5</v>
          </cell>
        </row>
        <row r="820">
          <cell r="F820">
            <v>3039595</v>
          </cell>
          <cell r="G820">
            <v>23164150</v>
          </cell>
          <cell r="H820">
            <v>3.5</v>
          </cell>
        </row>
        <row r="821">
          <cell r="F821">
            <v>3039598</v>
          </cell>
          <cell r="G821">
            <v>12464919</v>
          </cell>
          <cell r="H821">
            <v>17.8</v>
          </cell>
        </row>
        <row r="822">
          <cell r="F822">
            <v>3039599</v>
          </cell>
          <cell r="G822">
            <v>23164140</v>
          </cell>
          <cell r="H822">
            <v>3.5</v>
          </cell>
        </row>
        <row r="823">
          <cell r="F823">
            <v>3039632</v>
          </cell>
          <cell r="G823">
            <v>22044902</v>
          </cell>
          <cell r="H823">
            <v>12.9</v>
          </cell>
        </row>
        <row r="824">
          <cell r="F824">
            <v>3039714</v>
          </cell>
          <cell r="G824">
            <v>22044922</v>
          </cell>
          <cell r="H824">
            <v>12.9</v>
          </cell>
        </row>
        <row r="825">
          <cell r="F825">
            <v>3039748</v>
          </cell>
          <cell r="G825">
            <v>22144907</v>
          </cell>
          <cell r="H825">
            <v>12.9</v>
          </cell>
        </row>
        <row r="826">
          <cell r="F826">
            <v>3039875</v>
          </cell>
          <cell r="G826">
            <v>43039875</v>
          </cell>
          <cell r="H826">
            <v>11.11</v>
          </cell>
        </row>
        <row r="827">
          <cell r="F827">
            <v>3039912</v>
          </cell>
          <cell r="G827">
            <v>30090903</v>
          </cell>
          <cell r="H827">
            <v>11.25</v>
          </cell>
        </row>
        <row r="828">
          <cell r="F828">
            <v>3039975</v>
          </cell>
          <cell r="G828">
            <v>11621918</v>
          </cell>
          <cell r="H828">
            <v>15.65</v>
          </cell>
        </row>
        <row r="829">
          <cell r="F829">
            <v>3040025</v>
          </cell>
          <cell r="G829">
            <v>30100182</v>
          </cell>
          <cell r="H829">
            <v>13.69</v>
          </cell>
        </row>
        <row r="830">
          <cell r="F830">
            <v>3040071</v>
          </cell>
          <cell r="G830">
            <v>18641017</v>
          </cell>
          <cell r="H830">
            <v>11</v>
          </cell>
        </row>
        <row r="831">
          <cell r="F831">
            <v>3040117</v>
          </cell>
          <cell r="G831">
            <v>20290110</v>
          </cell>
          <cell r="H831">
            <v>13.61</v>
          </cell>
        </row>
        <row r="832">
          <cell r="F832">
            <v>3040119</v>
          </cell>
          <cell r="G832">
            <v>20290122</v>
          </cell>
          <cell r="H832">
            <v>13.61</v>
          </cell>
        </row>
        <row r="833">
          <cell r="F833">
            <v>3040141</v>
          </cell>
          <cell r="G833">
            <v>30080162</v>
          </cell>
          <cell r="H833">
            <v>1.5</v>
          </cell>
        </row>
        <row r="834">
          <cell r="F834">
            <v>3040157</v>
          </cell>
          <cell r="G834">
            <v>11024902</v>
          </cell>
          <cell r="H834">
            <v>19.32</v>
          </cell>
        </row>
        <row r="835">
          <cell r="F835">
            <v>3040180</v>
          </cell>
          <cell r="G835">
            <v>22034907</v>
          </cell>
          <cell r="H835">
            <v>14.6</v>
          </cell>
        </row>
        <row r="836">
          <cell r="F836">
            <v>3040199</v>
          </cell>
          <cell r="G836">
            <v>43040199</v>
          </cell>
          <cell r="H836">
            <v>7.63</v>
          </cell>
        </row>
        <row r="837">
          <cell r="F837">
            <v>3040213</v>
          </cell>
          <cell r="G837">
            <v>12960907</v>
          </cell>
          <cell r="H837">
            <v>16.11</v>
          </cell>
        </row>
        <row r="838">
          <cell r="F838">
            <v>3040230</v>
          </cell>
          <cell r="G838">
            <v>43040230</v>
          </cell>
          <cell r="H838">
            <v>10.98</v>
          </cell>
        </row>
        <row r="839">
          <cell r="F839">
            <v>3040239</v>
          </cell>
          <cell r="G839">
            <v>22094907</v>
          </cell>
          <cell r="H839">
            <v>7</v>
          </cell>
        </row>
        <row r="840">
          <cell r="F840">
            <v>3040244</v>
          </cell>
          <cell r="G840">
            <v>12964907</v>
          </cell>
          <cell r="H840">
            <v>16.11</v>
          </cell>
        </row>
        <row r="841">
          <cell r="F841">
            <v>3040260</v>
          </cell>
          <cell r="G841">
            <v>29124907</v>
          </cell>
          <cell r="H841">
            <v>14.6</v>
          </cell>
        </row>
        <row r="842">
          <cell r="F842">
            <v>3040273</v>
          </cell>
          <cell r="G842">
            <v>20614907</v>
          </cell>
          <cell r="H842">
            <v>11.02</v>
          </cell>
        </row>
        <row r="843">
          <cell r="F843">
            <v>3040274</v>
          </cell>
          <cell r="G843">
            <v>20610907</v>
          </cell>
          <cell r="H843">
            <v>11.02</v>
          </cell>
        </row>
        <row r="844">
          <cell r="F844">
            <v>3040288</v>
          </cell>
          <cell r="G844">
            <v>29100150</v>
          </cell>
          <cell r="H844">
            <v>10.85</v>
          </cell>
        </row>
        <row r="845">
          <cell r="F845">
            <v>3040310</v>
          </cell>
          <cell r="G845">
            <v>21954907</v>
          </cell>
          <cell r="H845">
            <v>9.4</v>
          </cell>
        </row>
        <row r="846">
          <cell r="F846">
            <v>3040316</v>
          </cell>
          <cell r="G846">
            <v>20610902</v>
          </cell>
          <cell r="H846">
            <v>11.02</v>
          </cell>
        </row>
        <row r="847">
          <cell r="F847">
            <v>3040317</v>
          </cell>
          <cell r="G847">
            <v>20614902</v>
          </cell>
          <cell r="H847">
            <v>11.02</v>
          </cell>
        </row>
        <row r="848">
          <cell r="F848">
            <v>3040366</v>
          </cell>
          <cell r="G848">
            <v>79810000</v>
          </cell>
          <cell r="H848">
            <v>0.5</v>
          </cell>
        </row>
        <row r="849">
          <cell r="F849">
            <v>3040383</v>
          </cell>
          <cell r="G849">
            <v>19234900</v>
          </cell>
          <cell r="H849">
            <v>8.5</v>
          </cell>
        </row>
        <row r="850">
          <cell r="F850">
            <v>3040445</v>
          </cell>
          <cell r="G850">
            <v>29140100</v>
          </cell>
          <cell r="H850">
            <v>10.85</v>
          </cell>
        </row>
        <row r="851">
          <cell r="F851">
            <v>3040449</v>
          </cell>
          <cell r="G851">
            <v>29140102</v>
          </cell>
          <cell r="H851">
            <v>10.85</v>
          </cell>
        </row>
        <row r="852">
          <cell r="F852">
            <v>3040456</v>
          </cell>
          <cell r="G852">
            <v>22124907</v>
          </cell>
          <cell r="H852">
            <v>14.6</v>
          </cell>
        </row>
        <row r="853">
          <cell r="F853">
            <v>3040502</v>
          </cell>
          <cell r="G853">
            <v>23164927</v>
          </cell>
          <cell r="H853">
            <v>3.5</v>
          </cell>
        </row>
        <row r="854">
          <cell r="F854">
            <v>3040548</v>
          </cell>
          <cell r="G854">
            <v>11114902</v>
          </cell>
          <cell r="H854">
            <v>17.18</v>
          </cell>
        </row>
        <row r="855">
          <cell r="F855">
            <v>3040581</v>
          </cell>
          <cell r="G855">
            <v>21974110</v>
          </cell>
          <cell r="H855">
            <v>9.4</v>
          </cell>
        </row>
        <row r="856">
          <cell r="F856">
            <v>3040709</v>
          </cell>
          <cell r="G856">
            <v>11564907</v>
          </cell>
          <cell r="H856">
            <v>19.32</v>
          </cell>
        </row>
        <row r="857">
          <cell r="F857">
            <v>3040727</v>
          </cell>
          <cell r="G857">
            <v>11084907</v>
          </cell>
          <cell r="H857">
            <v>17.489999999999998</v>
          </cell>
        </row>
        <row r="858">
          <cell r="F858">
            <v>3040752</v>
          </cell>
          <cell r="G858">
            <v>12960902</v>
          </cell>
          <cell r="H858">
            <v>16.11</v>
          </cell>
        </row>
        <row r="859">
          <cell r="F859">
            <v>3040763</v>
          </cell>
          <cell r="G859">
            <v>12964902</v>
          </cell>
          <cell r="H859">
            <v>16.11</v>
          </cell>
        </row>
        <row r="860">
          <cell r="F860">
            <v>3040790</v>
          </cell>
          <cell r="G860">
            <v>22030160</v>
          </cell>
          <cell r="H860">
            <v>14.6</v>
          </cell>
        </row>
        <row r="861">
          <cell r="F861">
            <v>3040870</v>
          </cell>
          <cell r="G861">
            <v>20580907</v>
          </cell>
          <cell r="H861">
            <v>14.44</v>
          </cell>
        </row>
        <row r="862">
          <cell r="F862">
            <v>3040909</v>
          </cell>
          <cell r="G862">
            <v>13154918</v>
          </cell>
          <cell r="H862">
            <v>12.9</v>
          </cell>
        </row>
        <row r="863">
          <cell r="F863">
            <v>3040910</v>
          </cell>
          <cell r="G863">
            <v>12469940</v>
          </cell>
          <cell r="H863">
            <v>17.8</v>
          </cell>
        </row>
        <row r="864">
          <cell r="F864">
            <v>3040916</v>
          </cell>
          <cell r="G864">
            <v>23164918</v>
          </cell>
          <cell r="H864">
            <v>3.5</v>
          </cell>
        </row>
        <row r="865">
          <cell r="F865">
            <v>3040932</v>
          </cell>
          <cell r="G865">
            <v>12024902</v>
          </cell>
          <cell r="H865">
            <v>12.9</v>
          </cell>
        </row>
        <row r="866">
          <cell r="F866">
            <v>3040933</v>
          </cell>
          <cell r="G866">
            <v>12024907</v>
          </cell>
          <cell r="H866">
            <v>12.9</v>
          </cell>
        </row>
        <row r="867">
          <cell r="F867">
            <v>3040980</v>
          </cell>
          <cell r="G867">
            <v>12404926</v>
          </cell>
          <cell r="H867">
            <v>17.8</v>
          </cell>
        </row>
        <row r="868">
          <cell r="F868">
            <v>3040996</v>
          </cell>
          <cell r="G868">
            <v>28344907</v>
          </cell>
          <cell r="H868">
            <v>17.2</v>
          </cell>
        </row>
        <row r="869">
          <cell r="F869">
            <v>3041014</v>
          </cell>
          <cell r="G869">
            <v>12454918</v>
          </cell>
          <cell r="H869">
            <v>14.03</v>
          </cell>
        </row>
        <row r="870">
          <cell r="F870">
            <v>3041022</v>
          </cell>
          <cell r="G870">
            <v>22064982</v>
          </cell>
          <cell r="H870">
            <v>12.7</v>
          </cell>
        </row>
        <row r="871">
          <cell r="F871">
            <v>3041024</v>
          </cell>
          <cell r="G871">
            <v>22100100</v>
          </cell>
          <cell r="H871">
            <v>15.25</v>
          </cell>
        </row>
        <row r="872">
          <cell r="F872">
            <v>3041038</v>
          </cell>
          <cell r="G872">
            <v>22224918</v>
          </cell>
          <cell r="H872">
            <v>7</v>
          </cell>
        </row>
        <row r="873">
          <cell r="F873">
            <v>3041053</v>
          </cell>
          <cell r="G873">
            <v>17874926</v>
          </cell>
          <cell r="H873">
            <v>1.3</v>
          </cell>
        </row>
        <row r="874">
          <cell r="F874">
            <v>3041080</v>
          </cell>
          <cell r="G874">
            <v>22062110</v>
          </cell>
          <cell r="H874">
            <v>12.7</v>
          </cell>
        </row>
        <row r="875">
          <cell r="F875">
            <v>3041101</v>
          </cell>
          <cell r="G875">
            <v>16244907</v>
          </cell>
          <cell r="H875">
            <v>16.89</v>
          </cell>
        </row>
        <row r="876">
          <cell r="F876">
            <v>3041127</v>
          </cell>
          <cell r="G876">
            <v>22100907</v>
          </cell>
          <cell r="H876">
            <v>15.25</v>
          </cell>
        </row>
        <row r="877">
          <cell r="F877">
            <v>3041137</v>
          </cell>
          <cell r="G877">
            <v>27684907</v>
          </cell>
          <cell r="H877">
            <v>16.77</v>
          </cell>
        </row>
        <row r="878">
          <cell r="F878">
            <v>3041141</v>
          </cell>
          <cell r="G878">
            <v>12094907</v>
          </cell>
          <cell r="H878">
            <v>16.64</v>
          </cell>
        </row>
        <row r="879">
          <cell r="F879">
            <v>3041153</v>
          </cell>
          <cell r="G879">
            <v>22064922</v>
          </cell>
          <cell r="H879">
            <v>12.7</v>
          </cell>
        </row>
        <row r="880">
          <cell r="F880">
            <v>3041192</v>
          </cell>
          <cell r="G880">
            <v>22052100</v>
          </cell>
          <cell r="H880">
            <v>9.4</v>
          </cell>
        </row>
        <row r="881">
          <cell r="F881">
            <v>3041287</v>
          </cell>
          <cell r="G881">
            <v>14804907</v>
          </cell>
          <cell r="H881">
            <v>18.18</v>
          </cell>
        </row>
        <row r="882">
          <cell r="F882">
            <v>3041293</v>
          </cell>
          <cell r="G882">
            <v>30070122</v>
          </cell>
          <cell r="H882">
            <v>14</v>
          </cell>
        </row>
        <row r="883">
          <cell r="F883">
            <v>3041329</v>
          </cell>
          <cell r="G883">
            <v>30080123</v>
          </cell>
          <cell r="H883">
            <v>1.5</v>
          </cell>
        </row>
        <row r="884">
          <cell r="F884">
            <v>3041353</v>
          </cell>
          <cell r="G884">
            <v>30110212</v>
          </cell>
          <cell r="H884">
            <v>6.5</v>
          </cell>
        </row>
        <row r="885">
          <cell r="F885">
            <v>3041431</v>
          </cell>
          <cell r="G885">
            <v>14800902</v>
          </cell>
          <cell r="H885">
            <v>18.18</v>
          </cell>
        </row>
        <row r="886">
          <cell r="F886">
            <v>3041439</v>
          </cell>
          <cell r="G886">
            <v>14804902</v>
          </cell>
          <cell r="H886">
            <v>18.18</v>
          </cell>
        </row>
        <row r="887">
          <cell r="F887">
            <v>3041515</v>
          </cell>
          <cell r="G887">
            <v>30040182</v>
          </cell>
          <cell r="H887">
            <v>1.5</v>
          </cell>
        </row>
        <row r="888">
          <cell r="F888">
            <v>3041524</v>
          </cell>
          <cell r="G888">
            <v>29410100</v>
          </cell>
          <cell r="H888">
            <v>12.3</v>
          </cell>
        </row>
        <row r="889">
          <cell r="F889">
            <v>3041542</v>
          </cell>
          <cell r="G889">
            <v>21954902</v>
          </cell>
          <cell r="H889">
            <v>9.4</v>
          </cell>
        </row>
        <row r="890">
          <cell r="F890">
            <v>3041565</v>
          </cell>
          <cell r="G890">
            <v>30170112</v>
          </cell>
          <cell r="H890">
            <v>10.5</v>
          </cell>
        </row>
        <row r="891">
          <cell r="F891">
            <v>3041597</v>
          </cell>
          <cell r="G891">
            <v>30170122</v>
          </cell>
          <cell r="H891">
            <v>157.5</v>
          </cell>
        </row>
        <row r="892">
          <cell r="F892">
            <v>3041598</v>
          </cell>
          <cell r="G892">
            <v>28700102</v>
          </cell>
          <cell r="H892">
            <v>11.56</v>
          </cell>
        </row>
        <row r="893">
          <cell r="F893">
            <v>3041725</v>
          </cell>
          <cell r="G893">
            <v>29144907</v>
          </cell>
          <cell r="H893">
            <v>10.85</v>
          </cell>
        </row>
        <row r="894">
          <cell r="F894">
            <v>3041726</v>
          </cell>
          <cell r="G894">
            <v>29140907</v>
          </cell>
          <cell r="H894">
            <v>10.85</v>
          </cell>
        </row>
        <row r="895">
          <cell r="F895">
            <v>3041758</v>
          </cell>
          <cell r="G895">
            <v>22064902</v>
          </cell>
          <cell r="H895">
            <v>12.7</v>
          </cell>
        </row>
        <row r="896">
          <cell r="F896">
            <v>3041760</v>
          </cell>
          <cell r="G896">
            <v>22084922</v>
          </cell>
          <cell r="H896">
            <v>12.2</v>
          </cell>
        </row>
        <row r="897">
          <cell r="F897">
            <v>3041763</v>
          </cell>
          <cell r="G897">
            <v>30150132</v>
          </cell>
          <cell r="H897">
            <v>12.29</v>
          </cell>
        </row>
        <row r="898">
          <cell r="F898">
            <v>3041771</v>
          </cell>
          <cell r="G898">
            <v>17874907</v>
          </cell>
          <cell r="H898">
            <v>1.3</v>
          </cell>
        </row>
        <row r="899">
          <cell r="F899">
            <v>3041781</v>
          </cell>
          <cell r="G899">
            <v>22240907</v>
          </cell>
          <cell r="H899">
            <v>2.21</v>
          </cell>
        </row>
        <row r="900">
          <cell r="F900">
            <v>3041798</v>
          </cell>
          <cell r="G900">
            <v>30140170</v>
          </cell>
          <cell r="H900">
            <v>11.2</v>
          </cell>
        </row>
        <row r="901">
          <cell r="F901">
            <v>3041799</v>
          </cell>
          <cell r="G901">
            <v>21940902</v>
          </cell>
          <cell r="H901">
            <v>10.5</v>
          </cell>
        </row>
        <row r="902">
          <cell r="F902">
            <v>3041834</v>
          </cell>
          <cell r="G902">
            <v>29144902</v>
          </cell>
          <cell r="H902">
            <v>10.85</v>
          </cell>
        </row>
        <row r="903">
          <cell r="F903">
            <v>3041861</v>
          </cell>
          <cell r="G903">
            <v>22024902</v>
          </cell>
          <cell r="H903">
            <v>14.6</v>
          </cell>
        </row>
        <row r="904">
          <cell r="F904">
            <v>3041875</v>
          </cell>
          <cell r="G904">
            <v>22114907</v>
          </cell>
          <cell r="H904">
            <v>14.6</v>
          </cell>
        </row>
        <row r="905">
          <cell r="F905">
            <v>3041902</v>
          </cell>
          <cell r="G905">
            <v>22240902</v>
          </cell>
          <cell r="H905">
            <v>2.21</v>
          </cell>
        </row>
        <row r="906">
          <cell r="F906">
            <v>3041905</v>
          </cell>
          <cell r="G906">
            <v>30140110</v>
          </cell>
          <cell r="H906">
            <v>11.2</v>
          </cell>
        </row>
        <row r="907">
          <cell r="F907">
            <v>3041915</v>
          </cell>
          <cell r="G907">
            <v>30160130</v>
          </cell>
          <cell r="H907">
            <v>10.82</v>
          </cell>
        </row>
        <row r="908">
          <cell r="F908">
            <v>3041951</v>
          </cell>
          <cell r="G908">
            <v>30140162</v>
          </cell>
          <cell r="H908">
            <v>11.2</v>
          </cell>
        </row>
        <row r="909">
          <cell r="F909">
            <v>3041975</v>
          </cell>
          <cell r="G909">
            <v>22144902</v>
          </cell>
          <cell r="H909">
            <v>12.9</v>
          </cell>
        </row>
        <row r="910">
          <cell r="F910">
            <v>3042011</v>
          </cell>
          <cell r="G910">
            <v>29104902</v>
          </cell>
          <cell r="H910">
            <v>10.85</v>
          </cell>
        </row>
        <row r="911">
          <cell r="F911">
            <v>3042072</v>
          </cell>
          <cell r="G911">
            <v>30110130</v>
          </cell>
          <cell r="H911">
            <v>10.82</v>
          </cell>
        </row>
        <row r="912">
          <cell r="F912">
            <v>3042074</v>
          </cell>
          <cell r="G912">
            <v>30140152</v>
          </cell>
          <cell r="H912">
            <v>11.2</v>
          </cell>
        </row>
        <row r="913">
          <cell r="F913">
            <v>3042084</v>
          </cell>
          <cell r="G913">
            <v>30090122</v>
          </cell>
          <cell r="H913">
            <v>11.25</v>
          </cell>
        </row>
        <row r="914">
          <cell r="F914">
            <v>3042085</v>
          </cell>
          <cell r="G914">
            <v>30120162</v>
          </cell>
          <cell r="H914">
            <v>10.33</v>
          </cell>
        </row>
        <row r="915">
          <cell r="F915">
            <v>3042086</v>
          </cell>
          <cell r="G915">
            <v>22220907</v>
          </cell>
          <cell r="H915">
            <v>7</v>
          </cell>
        </row>
        <row r="916">
          <cell r="F916">
            <v>3042106</v>
          </cell>
          <cell r="G916">
            <v>13154907</v>
          </cell>
          <cell r="H916">
            <v>12.9</v>
          </cell>
        </row>
        <row r="917">
          <cell r="F917">
            <v>3042113</v>
          </cell>
          <cell r="G917">
            <v>21960902</v>
          </cell>
          <cell r="H917">
            <v>7.6</v>
          </cell>
        </row>
        <row r="918">
          <cell r="F918">
            <v>3042161</v>
          </cell>
          <cell r="G918">
            <v>22484919</v>
          </cell>
          <cell r="H918">
            <v>10.4</v>
          </cell>
        </row>
        <row r="919">
          <cell r="F919">
            <v>3042181</v>
          </cell>
          <cell r="G919">
            <v>79934000</v>
          </cell>
          <cell r="H919">
            <v>3.33</v>
          </cell>
        </row>
        <row r="920">
          <cell r="F920">
            <v>3042196</v>
          </cell>
          <cell r="G920">
            <v>23160122</v>
          </cell>
          <cell r="H920">
            <v>3.5</v>
          </cell>
        </row>
        <row r="921">
          <cell r="F921">
            <v>3042197</v>
          </cell>
          <cell r="G921">
            <v>23164128</v>
          </cell>
          <cell r="H921">
            <v>3.5</v>
          </cell>
        </row>
        <row r="922">
          <cell r="F922">
            <v>3042246</v>
          </cell>
          <cell r="G922">
            <v>12094902</v>
          </cell>
          <cell r="H922">
            <v>16.64</v>
          </cell>
        </row>
        <row r="923">
          <cell r="F923">
            <v>3042255</v>
          </cell>
          <cell r="G923">
            <v>20034919</v>
          </cell>
          <cell r="H923">
            <v>7</v>
          </cell>
        </row>
        <row r="924">
          <cell r="F924">
            <v>3042264</v>
          </cell>
          <cell r="G924">
            <v>28180110</v>
          </cell>
          <cell r="H924">
            <v>16.940000000000001</v>
          </cell>
        </row>
        <row r="925">
          <cell r="F925">
            <v>3042272</v>
          </cell>
          <cell r="G925">
            <v>29860130</v>
          </cell>
          <cell r="H925">
            <v>2.8</v>
          </cell>
        </row>
        <row r="926">
          <cell r="F926">
            <v>3042313</v>
          </cell>
          <cell r="G926">
            <v>30145102</v>
          </cell>
          <cell r="H926">
            <v>11.2</v>
          </cell>
        </row>
        <row r="927">
          <cell r="F927">
            <v>3042458</v>
          </cell>
          <cell r="G927">
            <v>30170922</v>
          </cell>
          <cell r="H927">
            <v>10.5</v>
          </cell>
        </row>
        <row r="928">
          <cell r="F928">
            <v>3042494</v>
          </cell>
          <cell r="G928">
            <v>23160130</v>
          </cell>
          <cell r="H928">
            <v>3.5</v>
          </cell>
        </row>
        <row r="929">
          <cell r="F929">
            <v>3042518</v>
          </cell>
          <cell r="G929">
            <v>22224907</v>
          </cell>
          <cell r="H929">
            <v>7</v>
          </cell>
        </row>
        <row r="930">
          <cell r="F930">
            <v>3042537</v>
          </cell>
          <cell r="G930">
            <v>29340110</v>
          </cell>
          <cell r="H930">
            <v>10.89</v>
          </cell>
        </row>
        <row r="931">
          <cell r="F931">
            <v>3042580</v>
          </cell>
          <cell r="G931">
            <v>25590120</v>
          </cell>
          <cell r="H931">
            <v>1</v>
          </cell>
        </row>
        <row r="932">
          <cell r="F932">
            <v>3042581</v>
          </cell>
          <cell r="G932">
            <v>25590130</v>
          </cell>
          <cell r="H932">
            <v>1</v>
          </cell>
        </row>
        <row r="933">
          <cell r="F933">
            <v>3042631</v>
          </cell>
          <cell r="G933">
            <v>25650110</v>
          </cell>
          <cell r="H933">
            <v>2.6</v>
          </cell>
        </row>
        <row r="934">
          <cell r="F934">
            <v>3042632</v>
          </cell>
          <cell r="G934">
            <v>25590110</v>
          </cell>
          <cell r="H934">
            <v>1</v>
          </cell>
        </row>
        <row r="935">
          <cell r="F935">
            <v>3042653</v>
          </cell>
          <cell r="G935">
            <v>18274907</v>
          </cell>
          <cell r="H935">
            <v>16.3</v>
          </cell>
        </row>
        <row r="936">
          <cell r="F936">
            <v>3042737</v>
          </cell>
          <cell r="G936">
            <v>22104907</v>
          </cell>
          <cell r="H936">
            <v>15.25</v>
          </cell>
        </row>
        <row r="937">
          <cell r="F937">
            <v>3042786</v>
          </cell>
          <cell r="G937">
            <v>30125182</v>
          </cell>
          <cell r="H937">
            <v>10.33</v>
          </cell>
        </row>
        <row r="938">
          <cell r="F938">
            <v>3042790</v>
          </cell>
          <cell r="G938">
            <v>30145202</v>
          </cell>
          <cell r="H938">
            <v>11.2</v>
          </cell>
        </row>
        <row r="939">
          <cell r="F939">
            <v>3042808</v>
          </cell>
          <cell r="G939">
            <v>22250907</v>
          </cell>
          <cell r="H939">
            <v>14.6</v>
          </cell>
        </row>
        <row r="940">
          <cell r="F940">
            <v>3042809</v>
          </cell>
          <cell r="G940">
            <v>22270907</v>
          </cell>
          <cell r="H940">
            <v>14.6</v>
          </cell>
        </row>
        <row r="941">
          <cell r="F941">
            <v>3042876</v>
          </cell>
          <cell r="G941">
            <v>16240902</v>
          </cell>
          <cell r="H941">
            <v>16.89</v>
          </cell>
        </row>
        <row r="942">
          <cell r="F942">
            <v>3042877</v>
          </cell>
          <cell r="G942">
            <v>22280907</v>
          </cell>
          <cell r="H942">
            <v>12.9</v>
          </cell>
        </row>
        <row r="943">
          <cell r="F943">
            <v>3042878</v>
          </cell>
          <cell r="G943">
            <v>13160907</v>
          </cell>
          <cell r="H943">
            <v>12.9</v>
          </cell>
        </row>
        <row r="944">
          <cell r="F944">
            <v>3042879</v>
          </cell>
          <cell r="G944">
            <v>11610907</v>
          </cell>
          <cell r="H944">
            <v>14.19</v>
          </cell>
        </row>
        <row r="945">
          <cell r="F945">
            <v>3042880</v>
          </cell>
          <cell r="G945">
            <v>12040907</v>
          </cell>
          <cell r="H945">
            <v>12.9</v>
          </cell>
        </row>
        <row r="946">
          <cell r="F946">
            <v>3042881</v>
          </cell>
          <cell r="G946">
            <v>12680907</v>
          </cell>
          <cell r="H946">
            <v>16.02</v>
          </cell>
        </row>
        <row r="947">
          <cell r="F947">
            <v>3042882</v>
          </cell>
          <cell r="G947">
            <v>14820907</v>
          </cell>
          <cell r="H947">
            <v>16.36</v>
          </cell>
        </row>
        <row r="948">
          <cell r="F948">
            <v>3042883</v>
          </cell>
          <cell r="G948">
            <v>29160907</v>
          </cell>
          <cell r="H948">
            <v>12.25</v>
          </cell>
        </row>
        <row r="949">
          <cell r="F949">
            <v>3042884</v>
          </cell>
          <cell r="G949">
            <v>12044907</v>
          </cell>
          <cell r="H949">
            <v>12.9</v>
          </cell>
        </row>
        <row r="950">
          <cell r="F950">
            <v>3042890</v>
          </cell>
          <cell r="G950">
            <v>29150907</v>
          </cell>
          <cell r="H950">
            <v>9.8699999999999992</v>
          </cell>
        </row>
        <row r="951">
          <cell r="F951">
            <v>3042891</v>
          </cell>
          <cell r="G951">
            <v>29190907</v>
          </cell>
          <cell r="H951">
            <v>9.76</v>
          </cell>
        </row>
        <row r="952">
          <cell r="F952">
            <v>3042892</v>
          </cell>
          <cell r="G952">
            <v>13164907</v>
          </cell>
          <cell r="H952">
            <v>12.9</v>
          </cell>
        </row>
        <row r="953">
          <cell r="F953">
            <v>3042896</v>
          </cell>
          <cell r="G953">
            <v>22274907</v>
          </cell>
          <cell r="H953">
            <v>14.6</v>
          </cell>
        </row>
        <row r="954">
          <cell r="F954">
            <v>3042897</v>
          </cell>
          <cell r="G954">
            <v>22254907</v>
          </cell>
          <cell r="H954">
            <v>14.6</v>
          </cell>
        </row>
        <row r="955">
          <cell r="F955">
            <v>3042898</v>
          </cell>
          <cell r="G955">
            <v>22284907</v>
          </cell>
          <cell r="H955">
            <v>12.9</v>
          </cell>
        </row>
        <row r="956">
          <cell r="F956">
            <v>3042916</v>
          </cell>
          <cell r="G956">
            <v>12684907</v>
          </cell>
          <cell r="H956">
            <v>16.02</v>
          </cell>
        </row>
        <row r="957">
          <cell r="F957">
            <v>3042917</v>
          </cell>
          <cell r="G957">
            <v>14824907</v>
          </cell>
          <cell r="H957">
            <v>16.36</v>
          </cell>
        </row>
        <row r="958">
          <cell r="F958">
            <v>3042918</v>
          </cell>
          <cell r="G958">
            <v>11614907</v>
          </cell>
          <cell r="H958">
            <v>14.19</v>
          </cell>
        </row>
        <row r="959">
          <cell r="F959">
            <v>3042919</v>
          </cell>
          <cell r="G959">
            <v>29154907</v>
          </cell>
          <cell r="H959">
            <v>9.8699999999999992</v>
          </cell>
        </row>
        <row r="960">
          <cell r="F960">
            <v>3042920</v>
          </cell>
          <cell r="G960">
            <v>29164907</v>
          </cell>
          <cell r="H960">
            <v>12.25</v>
          </cell>
        </row>
        <row r="961">
          <cell r="F961">
            <v>3042930</v>
          </cell>
          <cell r="G961">
            <v>29194907</v>
          </cell>
          <cell r="H961">
            <v>9.76</v>
          </cell>
        </row>
        <row r="962">
          <cell r="F962">
            <v>3042963</v>
          </cell>
          <cell r="G962">
            <v>22114902</v>
          </cell>
          <cell r="H962">
            <v>14.6</v>
          </cell>
        </row>
        <row r="963">
          <cell r="F963">
            <v>3043047</v>
          </cell>
          <cell r="G963">
            <v>64669000</v>
          </cell>
          <cell r="H963">
            <v>4.24</v>
          </cell>
        </row>
        <row r="964">
          <cell r="F964">
            <v>3043152</v>
          </cell>
          <cell r="G964">
            <v>29104100</v>
          </cell>
          <cell r="H964">
            <v>10.85</v>
          </cell>
        </row>
        <row r="965">
          <cell r="F965">
            <v>3043176</v>
          </cell>
          <cell r="G965">
            <v>22294907</v>
          </cell>
          <cell r="H965">
            <v>14.6</v>
          </cell>
        </row>
        <row r="966">
          <cell r="F966">
            <v>3043177</v>
          </cell>
          <cell r="G966">
            <v>22290907</v>
          </cell>
          <cell r="H966">
            <v>14.6</v>
          </cell>
        </row>
        <row r="967">
          <cell r="F967">
            <v>3043199</v>
          </cell>
          <cell r="G967">
            <v>20294902</v>
          </cell>
          <cell r="H967">
            <v>13.61</v>
          </cell>
        </row>
        <row r="968">
          <cell r="F968">
            <v>3043206</v>
          </cell>
          <cell r="G968">
            <v>22234907</v>
          </cell>
          <cell r="H968">
            <v>7</v>
          </cell>
        </row>
        <row r="969">
          <cell r="F969">
            <v>3043207</v>
          </cell>
          <cell r="G969">
            <v>22234902</v>
          </cell>
          <cell r="H969">
            <v>7</v>
          </cell>
        </row>
        <row r="970">
          <cell r="F970">
            <v>3043208</v>
          </cell>
          <cell r="G970">
            <v>20294907</v>
          </cell>
          <cell r="H970">
            <v>13.61</v>
          </cell>
        </row>
        <row r="971">
          <cell r="F971">
            <v>3043242</v>
          </cell>
          <cell r="G971">
            <v>22060150</v>
          </cell>
          <cell r="H971">
            <v>12.7</v>
          </cell>
        </row>
        <row r="972">
          <cell r="F972">
            <v>3043289</v>
          </cell>
          <cell r="G972">
            <v>29101907</v>
          </cell>
          <cell r="H972">
            <v>10.85</v>
          </cell>
        </row>
        <row r="973">
          <cell r="F973">
            <v>3043291</v>
          </cell>
          <cell r="G973">
            <v>30125102</v>
          </cell>
          <cell r="H973">
            <v>10.33</v>
          </cell>
        </row>
        <row r="974">
          <cell r="F974">
            <v>3043335</v>
          </cell>
          <cell r="G974">
            <v>30140172</v>
          </cell>
          <cell r="H974">
            <v>11.2</v>
          </cell>
        </row>
        <row r="975">
          <cell r="F975">
            <v>3043336</v>
          </cell>
          <cell r="G975">
            <v>30145112</v>
          </cell>
          <cell r="H975">
            <v>11.2</v>
          </cell>
        </row>
        <row r="976">
          <cell r="F976">
            <v>3043337</v>
          </cell>
          <cell r="G976">
            <v>30140102</v>
          </cell>
          <cell r="H976">
            <v>11.2</v>
          </cell>
        </row>
        <row r="977">
          <cell r="F977">
            <v>3043436</v>
          </cell>
          <cell r="G977">
            <v>11090902</v>
          </cell>
          <cell r="H977">
            <v>18</v>
          </cell>
        </row>
        <row r="978">
          <cell r="F978">
            <v>3043489</v>
          </cell>
          <cell r="G978">
            <v>15180907</v>
          </cell>
          <cell r="H978">
            <v>10.89</v>
          </cell>
        </row>
        <row r="979">
          <cell r="F979">
            <v>3043499</v>
          </cell>
          <cell r="G979">
            <v>30200122</v>
          </cell>
          <cell r="H979">
            <v>7.57</v>
          </cell>
        </row>
        <row r="980">
          <cell r="F980">
            <v>3043545</v>
          </cell>
          <cell r="G980">
            <v>23160142</v>
          </cell>
          <cell r="H980">
            <v>3.5</v>
          </cell>
        </row>
        <row r="981">
          <cell r="F981">
            <v>3043593</v>
          </cell>
          <cell r="G981">
            <v>25640110</v>
          </cell>
          <cell r="H981">
            <v>2.6</v>
          </cell>
        </row>
        <row r="982">
          <cell r="F982">
            <v>3043810</v>
          </cell>
          <cell r="G982">
            <v>19304907</v>
          </cell>
          <cell r="H982">
            <v>13.5</v>
          </cell>
        </row>
        <row r="983">
          <cell r="F983">
            <v>3043895</v>
          </cell>
          <cell r="G983">
            <v>29840102</v>
          </cell>
          <cell r="H983">
            <v>3.02</v>
          </cell>
        </row>
        <row r="984">
          <cell r="F984">
            <v>3043974</v>
          </cell>
          <cell r="G984">
            <v>20130902</v>
          </cell>
          <cell r="H984">
            <v>12.41</v>
          </cell>
        </row>
        <row r="985">
          <cell r="F985">
            <v>3044000</v>
          </cell>
          <cell r="G985">
            <v>79960180</v>
          </cell>
          <cell r="H985">
            <v>4</v>
          </cell>
        </row>
        <row r="986">
          <cell r="F986">
            <v>3044028</v>
          </cell>
          <cell r="G986">
            <v>27969900</v>
          </cell>
          <cell r="H986">
            <v>15.72</v>
          </cell>
        </row>
        <row r="987">
          <cell r="F987">
            <v>3044068</v>
          </cell>
          <cell r="G987">
            <v>27964907</v>
          </cell>
          <cell r="H987">
            <v>15.72</v>
          </cell>
        </row>
        <row r="988">
          <cell r="F988">
            <v>3044208</v>
          </cell>
          <cell r="G988">
            <v>24380140</v>
          </cell>
          <cell r="H988">
            <v>0.91999999999999993</v>
          </cell>
        </row>
        <row r="989">
          <cell r="F989">
            <v>3044209</v>
          </cell>
          <cell r="G989">
            <v>24380150</v>
          </cell>
          <cell r="H989">
            <v>0.91999999999999993</v>
          </cell>
        </row>
        <row r="990">
          <cell r="F990">
            <v>3044216</v>
          </cell>
          <cell r="G990">
            <v>24380130</v>
          </cell>
          <cell r="H990">
            <v>0.91999999999999993</v>
          </cell>
        </row>
        <row r="991">
          <cell r="F991">
            <v>3044220</v>
          </cell>
          <cell r="G991">
            <v>30125902</v>
          </cell>
          <cell r="H991">
            <v>10.33</v>
          </cell>
        </row>
        <row r="992">
          <cell r="F992">
            <v>3044224</v>
          </cell>
          <cell r="G992">
            <v>28970102</v>
          </cell>
          <cell r="H992">
            <v>11.56</v>
          </cell>
        </row>
        <row r="993">
          <cell r="F993">
            <v>3044233</v>
          </cell>
          <cell r="G993">
            <v>24320100</v>
          </cell>
          <cell r="H993">
            <v>4.33</v>
          </cell>
        </row>
        <row r="994">
          <cell r="F994">
            <v>3044254</v>
          </cell>
          <cell r="G994">
            <v>79980000</v>
          </cell>
          <cell r="H994">
            <v>3.65</v>
          </cell>
        </row>
        <row r="995">
          <cell r="F995">
            <v>3044306</v>
          </cell>
          <cell r="G995">
            <v>43044306</v>
          </cell>
          <cell r="H995">
            <v>4.4000000000000004</v>
          </cell>
        </row>
        <row r="996">
          <cell r="F996">
            <v>3044313</v>
          </cell>
          <cell r="G996">
            <v>15590102</v>
          </cell>
          <cell r="H996">
            <v>10.96</v>
          </cell>
        </row>
        <row r="997">
          <cell r="F997">
            <v>3044338</v>
          </cell>
          <cell r="G997">
            <v>29100132</v>
          </cell>
          <cell r="H997">
            <v>10.85</v>
          </cell>
        </row>
        <row r="998">
          <cell r="F998">
            <v>3044432</v>
          </cell>
          <cell r="G998">
            <v>30160110</v>
          </cell>
          <cell r="H998">
            <v>10.82</v>
          </cell>
        </row>
        <row r="999">
          <cell r="F999">
            <v>3044438</v>
          </cell>
          <cell r="G999">
            <v>30110210</v>
          </cell>
          <cell r="H999">
            <v>10.82</v>
          </cell>
        </row>
        <row r="1000">
          <cell r="F1000">
            <v>3044443</v>
          </cell>
          <cell r="G1000">
            <v>30080130</v>
          </cell>
          <cell r="H1000">
            <v>1.5</v>
          </cell>
        </row>
        <row r="1001">
          <cell r="F1001">
            <v>3044444</v>
          </cell>
          <cell r="G1001">
            <v>30090170</v>
          </cell>
          <cell r="H1001">
            <v>11.25</v>
          </cell>
        </row>
        <row r="1002">
          <cell r="F1002">
            <v>3044445</v>
          </cell>
          <cell r="G1002">
            <v>30060120</v>
          </cell>
          <cell r="H1002">
            <v>8.5</v>
          </cell>
        </row>
        <row r="1003">
          <cell r="F1003">
            <v>3044604</v>
          </cell>
          <cell r="G1003">
            <v>30190902</v>
          </cell>
          <cell r="H1003">
            <v>14.28</v>
          </cell>
        </row>
        <row r="1004">
          <cell r="F1004">
            <v>3044640</v>
          </cell>
          <cell r="G1004">
            <v>30120180</v>
          </cell>
          <cell r="H1004">
            <v>10.33</v>
          </cell>
        </row>
        <row r="1005">
          <cell r="F1005">
            <v>3044686</v>
          </cell>
          <cell r="G1005">
            <v>21880907</v>
          </cell>
          <cell r="H1005">
            <v>12.7</v>
          </cell>
        </row>
        <row r="1006">
          <cell r="F1006">
            <v>3044687</v>
          </cell>
          <cell r="G1006">
            <v>17871907</v>
          </cell>
          <cell r="H1006">
            <v>1.3</v>
          </cell>
        </row>
        <row r="1007">
          <cell r="F1007">
            <v>3044698</v>
          </cell>
          <cell r="G1007">
            <v>12021902</v>
          </cell>
          <cell r="H1007">
            <v>12.9</v>
          </cell>
        </row>
        <row r="1008">
          <cell r="F1008">
            <v>3044711</v>
          </cell>
          <cell r="G1008">
            <v>17871926</v>
          </cell>
          <cell r="H1008">
            <v>1.3</v>
          </cell>
        </row>
        <row r="1009">
          <cell r="F1009">
            <v>3044715</v>
          </cell>
          <cell r="G1009">
            <v>28061902</v>
          </cell>
          <cell r="H1009">
            <v>16.18</v>
          </cell>
        </row>
        <row r="1010">
          <cell r="F1010">
            <v>3044728</v>
          </cell>
          <cell r="G1010">
            <v>27961907</v>
          </cell>
          <cell r="H1010">
            <v>15.72</v>
          </cell>
        </row>
        <row r="1011">
          <cell r="F1011">
            <v>3044730</v>
          </cell>
          <cell r="G1011">
            <v>12391919</v>
          </cell>
          <cell r="H1011">
            <v>14.03</v>
          </cell>
        </row>
        <row r="1012">
          <cell r="F1012">
            <v>3044743</v>
          </cell>
          <cell r="G1012">
            <v>20031919</v>
          </cell>
          <cell r="H1012">
            <v>7</v>
          </cell>
        </row>
        <row r="1013">
          <cell r="F1013">
            <v>3044801</v>
          </cell>
          <cell r="G1013">
            <v>21880902</v>
          </cell>
          <cell r="H1013">
            <v>12.7</v>
          </cell>
        </row>
        <row r="1014">
          <cell r="F1014">
            <v>3044940</v>
          </cell>
          <cell r="G1014">
            <v>20619940</v>
          </cell>
          <cell r="H1014">
            <v>13.77</v>
          </cell>
        </row>
        <row r="1015">
          <cell r="F1015">
            <v>3044975</v>
          </cell>
          <cell r="G1015">
            <v>30449750</v>
          </cell>
          <cell r="H1015">
            <v>15.59</v>
          </cell>
        </row>
        <row r="1016">
          <cell r="F1016">
            <v>3045002</v>
          </cell>
          <cell r="G1016">
            <v>63549000</v>
          </cell>
          <cell r="H1016">
            <v>3.42</v>
          </cell>
        </row>
        <row r="1017">
          <cell r="F1017">
            <v>3045016</v>
          </cell>
          <cell r="G1017">
            <v>25590140</v>
          </cell>
          <cell r="H1017">
            <v>1</v>
          </cell>
        </row>
        <row r="1018">
          <cell r="F1018">
            <v>3045018</v>
          </cell>
          <cell r="G1018">
            <v>25594120</v>
          </cell>
          <cell r="H1018">
            <v>1</v>
          </cell>
        </row>
        <row r="1019">
          <cell r="F1019">
            <v>3045019</v>
          </cell>
          <cell r="G1019">
            <v>25650120</v>
          </cell>
          <cell r="H1019">
            <v>2.6</v>
          </cell>
        </row>
        <row r="1020">
          <cell r="F1020">
            <v>3045094</v>
          </cell>
          <cell r="G1020">
            <v>25590150</v>
          </cell>
          <cell r="H1020">
            <v>1</v>
          </cell>
        </row>
        <row r="1021">
          <cell r="F1021">
            <v>3045095</v>
          </cell>
          <cell r="G1021">
            <v>25640120</v>
          </cell>
          <cell r="H1021">
            <v>2.6</v>
          </cell>
        </row>
        <row r="1022">
          <cell r="F1022">
            <v>3045111</v>
          </cell>
          <cell r="G1022">
            <v>25654120</v>
          </cell>
          <cell r="H1022">
            <v>2.6</v>
          </cell>
        </row>
        <row r="1023">
          <cell r="F1023">
            <v>3045164</v>
          </cell>
          <cell r="G1023">
            <v>22200900</v>
          </cell>
          <cell r="H1023">
            <v>7</v>
          </cell>
        </row>
        <row r="1024">
          <cell r="F1024">
            <v>3045168</v>
          </cell>
          <cell r="G1024">
            <v>25594150</v>
          </cell>
          <cell r="H1024">
            <v>1</v>
          </cell>
        </row>
        <row r="1025">
          <cell r="F1025">
            <v>3045224</v>
          </cell>
          <cell r="G1025">
            <v>28970902</v>
          </cell>
          <cell r="H1025">
            <v>11.56</v>
          </cell>
        </row>
        <row r="1026">
          <cell r="F1026">
            <v>3045324</v>
          </cell>
          <cell r="G1026">
            <v>30100170</v>
          </cell>
          <cell r="H1026">
            <v>10.32</v>
          </cell>
        </row>
        <row r="1027">
          <cell r="F1027">
            <v>3045325</v>
          </cell>
          <cell r="G1027">
            <v>30100180</v>
          </cell>
          <cell r="H1027">
            <v>10.32</v>
          </cell>
        </row>
        <row r="1028">
          <cell r="F1028">
            <v>3045326</v>
          </cell>
          <cell r="G1028">
            <v>30100150</v>
          </cell>
          <cell r="H1028">
            <v>10.32</v>
          </cell>
        </row>
        <row r="1029">
          <cell r="F1029">
            <v>3045327</v>
          </cell>
          <cell r="G1029">
            <v>30100160</v>
          </cell>
          <cell r="H1029">
            <v>10.32</v>
          </cell>
        </row>
        <row r="1030">
          <cell r="F1030">
            <v>3045429</v>
          </cell>
          <cell r="G1030">
            <v>30160112</v>
          </cell>
          <cell r="H1030">
            <v>162.30000000000001</v>
          </cell>
        </row>
        <row r="1031">
          <cell r="F1031">
            <v>3045433</v>
          </cell>
          <cell r="G1031">
            <v>28130907</v>
          </cell>
          <cell r="H1031">
            <v>11.4</v>
          </cell>
        </row>
        <row r="1032">
          <cell r="F1032">
            <v>3045434</v>
          </cell>
          <cell r="G1032">
            <v>28130902</v>
          </cell>
          <cell r="H1032">
            <v>11.4</v>
          </cell>
        </row>
        <row r="1033">
          <cell r="F1033">
            <v>3045453</v>
          </cell>
          <cell r="G1033">
            <v>65999000</v>
          </cell>
          <cell r="H1033">
            <v>2.13</v>
          </cell>
        </row>
        <row r="1034">
          <cell r="F1034">
            <v>3045484</v>
          </cell>
          <cell r="G1034">
            <v>13151102</v>
          </cell>
          <cell r="H1034">
            <v>12.9</v>
          </cell>
        </row>
        <row r="1035">
          <cell r="F1035">
            <v>3045567</v>
          </cell>
          <cell r="G1035">
            <v>21904907</v>
          </cell>
          <cell r="H1035">
            <v>10.4</v>
          </cell>
        </row>
        <row r="1036">
          <cell r="F1036">
            <v>3045568</v>
          </cell>
          <cell r="G1036">
            <v>21884907</v>
          </cell>
          <cell r="H1036">
            <v>12.7</v>
          </cell>
        </row>
        <row r="1037">
          <cell r="F1037">
            <v>3045584</v>
          </cell>
          <cell r="G1037">
            <v>29864100</v>
          </cell>
          <cell r="H1037">
            <v>2.8</v>
          </cell>
        </row>
        <row r="1038">
          <cell r="F1038">
            <v>3045745</v>
          </cell>
          <cell r="G1038">
            <v>30100102</v>
          </cell>
          <cell r="H1038">
            <v>136.9</v>
          </cell>
        </row>
        <row r="1039">
          <cell r="F1039">
            <v>3045785</v>
          </cell>
          <cell r="G1039">
            <v>19304902</v>
          </cell>
          <cell r="H1039">
            <v>13.5</v>
          </cell>
        </row>
        <row r="1040">
          <cell r="F1040">
            <v>3045786</v>
          </cell>
          <cell r="G1040">
            <v>17884907</v>
          </cell>
          <cell r="H1040">
            <v>1.3</v>
          </cell>
        </row>
        <row r="1041">
          <cell r="F1041">
            <v>3045811</v>
          </cell>
          <cell r="G1041">
            <v>28700902</v>
          </cell>
          <cell r="H1041">
            <v>11.56</v>
          </cell>
        </row>
        <row r="1042">
          <cell r="F1042">
            <v>3045824</v>
          </cell>
          <cell r="G1042">
            <v>21904902</v>
          </cell>
          <cell r="H1042">
            <v>10.4</v>
          </cell>
        </row>
        <row r="1043">
          <cell r="F1043">
            <v>3045828</v>
          </cell>
          <cell r="G1043">
            <v>21974902</v>
          </cell>
          <cell r="H1043">
            <v>9.4</v>
          </cell>
        </row>
        <row r="1044">
          <cell r="F1044">
            <v>3045857</v>
          </cell>
          <cell r="G1044">
            <v>24320120</v>
          </cell>
          <cell r="H1044">
            <v>4.33</v>
          </cell>
        </row>
        <row r="1045">
          <cell r="F1045">
            <v>3045877</v>
          </cell>
          <cell r="G1045">
            <v>24320110</v>
          </cell>
          <cell r="H1045">
            <v>4.33</v>
          </cell>
        </row>
        <row r="1046">
          <cell r="F1046">
            <v>3045913</v>
          </cell>
          <cell r="G1046">
            <v>21960907</v>
          </cell>
          <cell r="H1046">
            <v>7.6</v>
          </cell>
        </row>
        <row r="1047">
          <cell r="F1047">
            <v>3045995</v>
          </cell>
          <cell r="G1047">
            <v>22570912</v>
          </cell>
          <cell r="H1047">
            <v>3.87</v>
          </cell>
        </row>
        <row r="1048">
          <cell r="F1048">
            <v>3046064</v>
          </cell>
          <cell r="G1048">
            <v>24320130</v>
          </cell>
          <cell r="H1048">
            <v>4.33</v>
          </cell>
        </row>
        <row r="1049">
          <cell r="F1049">
            <v>3046095</v>
          </cell>
          <cell r="G1049">
            <v>30190100</v>
          </cell>
          <cell r="H1049">
            <v>14.28</v>
          </cell>
        </row>
        <row r="1050">
          <cell r="F1050">
            <v>3046203</v>
          </cell>
          <cell r="G1050">
            <v>30100202</v>
          </cell>
          <cell r="H1050">
            <v>13.69</v>
          </cell>
        </row>
        <row r="1051">
          <cell r="F1051">
            <v>3046313</v>
          </cell>
          <cell r="G1051">
            <v>13151918</v>
          </cell>
          <cell r="H1051">
            <v>12.9</v>
          </cell>
        </row>
        <row r="1052">
          <cell r="F1052">
            <v>3046433</v>
          </cell>
          <cell r="G1052">
            <v>22310907</v>
          </cell>
          <cell r="H1052">
            <v>7</v>
          </cell>
        </row>
        <row r="1053">
          <cell r="F1053">
            <v>3046505</v>
          </cell>
          <cell r="G1053">
            <v>22580122</v>
          </cell>
          <cell r="H1053">
            <v>1.3</v>
          </cell>
        </row>
        <row r="1054">
          <cell r="F1054">
            <v>3046546</v>
          </cell>
          <cell r="G1054">
            <v>22580132</v>
          </cell>
          <cell r="H1054">
            <v>1.3</v>
          </cell>
        </row>
        <row r="1055">
          <cell r="F1055">
            <v>3046709</v>
          </cell>
          <cell r="G1055">
            <v>28010907</v>
          </cell>
          <cell r="H1055">
            <v>16.440000000000001</v>
          </cell>
        </row>
        <row r="1056">
          <cell r="F1056">
            <v>3046796</v>
          </cell>
          <cell r="G1056">
            <v>29410907</v>
          </cell>
          <cell r="H1056">
            <v>12.3</v>
          </cell>
        </row>
        <row r="1057">
          <cell r="F1057">
            <v>3047171</v>
          </cell>
          <cell r="G1057">
            <v>22310902</v>
          </cell>
          <cell r="H1057">
            <v>7</v>
          </cell>
        </row>
        <row r="1058">
          <cell r="F1058">
            <v>3047217</v>
          </cell>
          <cell r="G1058">
            <v>12450918</v>
          </cell>
          <cell r="H1058">
            <v>14.03</v>
          </cell>
        </row>
        <row r="1059">
          <cell r="F1059">
            <v>3047241</v>
          </cell>
          <cell r="G1059">
            <v>22042130</v>
          </cell>
          <cell r="H1059">
            <v>12.9</v>
          </cell>
        </row>
        <row r="1060">
          <cell r="F1060">
            <v>3047312</v>
          </cell>
          <cell r="G1060">
            <v>30110240</v>
          </cell>
          <cell r="H1060">
            <v>6.5</v>
          </cell>
        </row>
        <row r="1061">
          <cell r="F1061">
            <v>3047352</v>
          </cell>
          <cell r="G1061">
            <v>22052110</v>
          </cell>
          <cell r="H1061">
            <v>9.4</v>
          </cell>
        </row>
        <row r="1062">
          <cell r="F1062">
            <v>3047495</v>
          </cell>
          <cell r="G1062">
            <v>20580902</v>
          </cell>
          <cell r="H1062">
            <v>14.44</v>
          </cell>
        </row>
        <row r="1063">
          <cell r="F1063">
            <v>3047499</v>
          </cell>
          <cell r="G1063">
            <v>20650907</v>
          </cell>
          <cell r="H1063">
            <v>13.53</v>
          </cell>
        </row>
        <row r="1064">
          <cell r="F1064">
            <v>3047525</v>
          </cell>
          <cell r="G1064">
            <v>53040130</v>
          </cell>
          <cell r="H1064">
            <v>1.5</v>
          </cell>
        </row>
        <row r="1065">
          <cell r="F1065">
            <v>3047526</v>
          </cell>
          <cell r="G1065">
            <v>53040140</v>
          </cell>
          <cell r="H1065">
            <v>1.5</v>
          </cell>
        </row>
        <row r="1066">
          <cell r="F1066">
            <v>3047558</v>
          </cell>
          <cell r="G1066">
            <v>21870100</v>
          </cell>
          <cell r="H1066">
            <v>8.6</v>
          </cell>
        </row>
        <row r="1067">
          <cell r="F1067">
            <v>3047760</v>
          </cell>
          <cell r="G1067">
            <v>27630902</v>
          </cell>
          <cell r="H1067">
            <v>15.72</v>
          </cell>
        </row>
        <row r="1068">
          <cell r="F1068">
            <v>3047823</v>
          </cell>
          <cell r="G1068">
            <v>21870907</v>
          </cell>
          <cell r="H1068">
            <v>8.6</v>
          </cell>
        </row>
        <row r="1069">
          <cell r="F1069">
            <v>3047838</v>
          </cell>
          <cell r="G1069">
            <v>22054100</v>
          </cell>
          <cell r="H1069">
            <v>9.4</v>
          </cell>
        </row>
        <row r="1070">
          <cell r="F1070">
            <v>3047856</v>
          </cell>
          <cell r="G1070">
            <v>29410902</v>
          </cell>
          <cell r="H1070">
            <v>12.3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za2"/>
      <sheetName val="urynkowione"/>
      <sheetName val="materiały"/>
    </sheetNames>
    <sheetDataSet>
      <sheetData sheetId="0">
        <row r="1">
          <cell r="C1" t="str">
            <v>SAP</v>
          </cell>
          <cell r="D1" t="str">
            <v>Nazwa I</v>
          </cell>
        </row>
        <row r="2">
          <cell r="D2" t="str">
            <v>ŻYWIEC</v>
          </cell>
        </row>
        <row r="3">
          <cell r="D3" t="str">
            <v>ODPADY</v>
          </cell>
        </row>
        <row r="4">
          <cell r="D4" t="str">
            <v>OPAŁ</v>
          </cell>
        </row>
        <row r="5">
          <cell r="D5" t="str">
            <v>POZOSTALE</v>
          </cell>
        </row>
        <row r="6">
          <cell r="C6">
            <v>3008844</v>
          </cell>
          <cell r="D6" t="str">
            <v>***KOŚCI SCHABOWE I KARKOWE</v>
          </cell>
        </row>
        <row r="7">
          <cell r="D7" t="str">
            <v>ZYWIEC WP.: KL.1</v>
          </cell>
        </row>
        <row r="8">
          <cell r="D8" t="str">
            <v>ZYWIEC WP.: KL.2</v>
          </cell>
        </row>
        <row r="9">
          <cell r="D9" t="str">
            <v>ZYWIEC WP.: KL.3</v>
          </cell>
        </row>
        <row r="10">
          <cell r="D10" t="str">
            <v>ZYWIEC WP. MACIORY KL.M1</v>
          </cell>
        </row>
        <row r="11">
          <cell r="D11" t="str">
            <v>ZYWIEC WP. MACIORY KL.M2</v>
          </cell>
        </row>
        <row r="12">
          <cell r="D12" t="str">
            <v>ZYWIEC WP.: WARCHLAKI</v>
          </cell>
        </row>
        <row r="13">
          <cell r="D13" t="str">
            <v>ZYWIEC WP.: KASTRATY</v>
          </cell>
        </row>
        <row r="14">
          <cell r="D14" t="str">
            <v>ZYWIEC WP.: KNURY</v>
          </cell>
        </row>
        <row r="15">
          <cell r="D15" t="str">
            <v>TRZODA PADLA W TRANSPORCIE CONST</v>
          </cell>
        </row>
        <row r="16">
          <cell r="D16" t="str">
            <v>TRZODA PADLA NA MAGAZYNIE ZYWCA</v>
          </cell>
        </row>
        <row r="17">
          <cell r="D17" t="str">
            <v>TRZODA NA SANITARKE</v>
          </cell>
        </row>
        <row r="18">
          <cell r="C18">
            <v>1000631</v>
          </cell>
          <cell r="D18" t="str">
            <v>TRZODA KLA</v>
          </cell>
        </row>
        <row r="19">
          <cell r="C19">
            <v>1000632</v>
          </cell>
          <cell r="D19" t="str">
            <v>TRZODA KLC</v>
          </cell>
        </row>
        <row r="20">
          <cell r="C20">
            <v>1000633</v>
          </cell>
          <cell r="D20" t="str">
            <v>TRZODA KLD</v>
          </cell>
        </row>
        <row r="21">
          <cell r="C21">
            <v>1000634</v>
          </cell>
          <cell r="D21" t="str">
            <v>TRZODA KL.K</v>
          </cell>
        </row>
        <row r="22">
          <cell r="C22">
            <v>1000636</v>
          </cell>
          <cell r="D22" t="str">
            <v>TRZODA KLS</v>
          </cell>
        </row>
        <row r="23">
          <cell r="C23">
            <v>1000637</v>
          </cell>
          <cell r="D23" t="str">
            <v>TRZODA KLE</v>
          </cell>
        </row>
        <row r="24">
          <cell r="C24">
            <v>1000638</v>
          </cell>
          <cell r="D24" t="str">
            <v>TRZODA KLU</v>
          </cell>
        </row>
        <row r="25">
          <cell r="C25">
            <v>1000639</v>
          </cell>
          <cell r="D25" t="str">
            <v>TRZODA KLR</v>
          </cell>
        </row>
        <row r="26">
          <cell r="C26">
            <v>1000640</v>
          </cell>
          <cell r="D26" t="str">
            <v>TRZODA KLO</v>
          </cell>
        </row>
        <row r="27">
          <cell r="C27">
            <v>1000641</v>
          </cell>
          <cell r="D27" t="str">
            <v>TRZODA KLP</v>
          </cell>
        </row>
        <row r="28">
          <cell r="C28">
            <v>1000700</v>
          </cell>
          <cell r="D28" t="str">
            <v>TRZODA-KONFISKATA CAŁKOWITA</v>
          </cell>
        </row>
        <row r="29">
          <cell r="C29">
            <v>1000701</v>
          </cell>
          <cell r="D29" t="str">
            <v>TRZODA-KONFISKATA CZĘŚCIOWA</v>
          </cell>
        </row>
        <row r="30">
          <cell r="C30">
            <v>2000971</v>
          </cell>
          <cell r="D30" t="str">
            <v>OS.CEL.FI 19 BERLINETKI</v>
          </cell>
        </row>
        <row r="31">
          <cell r="C31">
            <v>2000985</v>
          </cell>
          <cell r="D31" t="str">
            <v>***KLOCKI WĘDZ.</v>
          </cell>
        </row>
        <row r="32">
          <cell r="C32">
            <v>2001506</v>
          </cell>
          <cell r="D32" t="str">
            <v>FOL.PA/PE 120X423</v>
          </cell>
        </row>
        <row r="33">
          <cell r="C33">
            <v>2001795</v>
          </cell>
          <cell r="D33" t="str">
            <v>ZRĘBKI WĘDZ.BUK-OLCHA</v>
          </cell>
        </row>
        <row r="34">
          <cell r="C34">
            <v>2002808</v>
          </cell>
          <cell r="D34" t="str">
            <v>DYM WĘDZ.SMOKE LFB SUPREME C</v>
          </cell>
        </row>
        <row r="35">
          <cell r="C35">
            <v>2005020</v>
          </cell>
          <cell r="D35" t="str">
            <v>***PRZEKŁADKI CHŁODNICZE</v>
          </cell>
        </row>
        <row r="36">
          <cell r="C36">
            <v>2006999</v>
          </cell>
          <cell r="D36" t="str">
            <v>ZRĘBKI WĘDZ.BUK</v>
          </cell>
        </row>
        <row r="37">
          <cell r="C37">
            <v>2007523</v>
          </cell>
          <cell r="D37" t="str">
            <v>ET.90X90 STICKER Z KOSZULKA</v>
          </cell>
        </row>
        <row r="38">
          <cell r="C38">
            <v>2007877</v>
          </cell>
          <cell r="D38" t="str">
            <v>ET.132X47 OWIJKA DELIKATESY CENTRUM</v>
          </cell>
        </row>
        <row r="39">
          <cell r="C39">
            <v>2008522</v>
          </cell>
          <cell r="D39" t="str">
            <v>ET.TRM.78X115 BIZERBA MOR KN1</v>
          </cell>
        </row>
        <row r="40">
          <cell r="C40">
            <v>2010666</v>
          </cell>
          <cell r="D40" t="str">
            <v>KLOCKI WĘDZ.10X10X90</v>
          </cell>
        </row>
        <row r="41">
          <cell r="C41">
            <v>2013424</v>
          </cell>
          <cell r="D41" t="str">
            <v>ET.FOL.PP 70X100 KARK.VAC LIDL P</v>
          </cell>
        </row>
        <row r="42">
          <cell r="C42">
            <v>2100296</v>
          </cell>
          <cell r="D42" t="str">
            <v>MIESZ.AMCOSOL G3 20T</v>
          </cell>
        </row>
        <row r="43">
          <cell r="C43">
            <v>2100334</v>
          </cell>
          <cell r="D43" t="str">
            <v>PRZYP.GDAŃSK</v>
          </cell>
        </row>
        <row r="44">
          <cell r="C44">
            <v>2101545</v>
          </cell>
          <cell r="D44" t="str">
            <v>ŻYWICA AMBERLITE FPA 98CI</v>
          </cell>
        </row>
        <row r="45">
          <cell r="C45">
            <v>3028752</v>
          </cell>
          <cell r="D45" t="str">
            <v>M-SO WP.DR.KL2B BMS</v>
          </cell>
        </row>
        <row r="46">
          <cell r="C46">
            <v>3029168</v>
          </cell>
          <cell r="D46" t="str">
            <v>***BOCZ.A BLAT.Z/S.DO PRZETW.RO</v>
          </cell>
        </row>
        <row r="47">
          <cell r="C47">
            <v>4006209</v>
          </cell>
          <cell r="D47" t="str">
            <v>SZYN. SOG 11LBS YANO- CZ/SK K</v>
          </cell>
        </row>
        <row r="48">
          <cell r="C48">
            <v>4006870</v>
          </cell>
          <cell r="D48" t="str">
            <v>KIEŁB.ŚLĄSKA OK700GMAP KT MOR</v>
          </cell>
        </row>
        <row r="49">
          <cell r="C49">
            <v>4007637</v>
          </cell>
          <cell r="D49" t="str">
            <v>FIL.WĘDZ.Z IND.TRM OK10KGKT MOR EX</v>
          </cell>
        </row>
        <row r="50">
          <cell r="C50">
            <v>4017200</v>
          </cell>
          <cell r="D50" t="str">
            <v>PL BOCZ.A BLAT.Z/SK.1/2STVAC KT MR NZ</v>
          </cell>
        </row>
        <row r="51">
          <cell r="C51">
            <v>4018528</v>
          </cell>
          <cell r="D51" t="str">
            <v>SCH.WG.OK1KGVAC OK4KGKT KRA</v>
          </cell>
        </row>
        <row r="52">
          <cell r="C52">
            <v>4018529</v>
          </cell>
          <cell r="D52" t="str">
            <v>SZYN.WG OK1KGVAC OK4KGKT KRA</v>
          </cell>
        </row>
        <row r="53">
          <cell r="C53">
            <v>4018769</v>
          </cell>
          <cell r="D53" t="str">
            <v>***PLBOCZ.B B/Ż/S/CH.MŚ.PRZEP.PRZ.W1KTMR</v>
          </cell>
        </row>
        <row r="54">
          <cell r="C54">
            <v>4021566</v>
          </cell>
          <cell r="D54" t="str">
            <v>KIEŁB.KRAKOWSKA 320GVAC  38STPJ</v>
          </cell>
        </row>
        <row r="55">
          <cell r="C55">
            <v>8200002</v>
          </cell>
          <cell r="D55" t="str">
            <v>PALBOX USZK.</v>
          </cell>
        </row>
        <row r="56">
          <cell r="C56">
            <v>8200003</v>
          </cell>
          <cell r="D56" t="str">
            <v>PALBOX 1200X1000X790-VAT ZW.</v>
          </cell>
        </row>
        <row r="57">
          <cell r="C57">
            <v>8200004</v>
          </cell>
          <cell r="D57" t="str">
            <v>PALETA 1200X1000 FUMIG.</v>
          </cell>
        </row>
        <row r="58">
          <cell r="C58">
            <v>8200008</v>
          </cell>
          <cell r="D58" t="str">
            <v>PALETA 1200X800 PLAST.AŻUR PROD.</v>
          </cell>
        </row>
        <row r="59">
          <cell r="C59">
            <v>8200009</v>
          </cell>
          <cell r="D59" t="str">
            <v>PALETA 1200X800 PLAST.A1 AŻUR.CZARNY PRO</v>
          </cell>
        </row>
        <row r="60">
          <cell r="C60">
            <v>8200010</v>
          </cell>
          <cell r="D60" t="str">
            <v>PALETA 1200X800 PLAST.AŻUR TRANSP.JEDNOR</v>
          </cell>
        </row>
        <row r="61">
          <cell r="C61">
            <v>8200011</v>
          </cell>
          <cell r="D61" t="str">
            <v>PALETA 1200X800 PLAST.BIAŁY PROD.</v>
          </cell>
        </row>
        <row r="62">
          <cell r="C62">
            <v>8200014</v>
          </cell>
          <cell r="D62" t="str">
            <v>PALETA 600X800 PÓŁPPAL.</v>
          </cell>
        </row>
        <row r="63">
          <cell r="C63">
            <v>8200015</v>
          </cell>
          <cell r="D63" t="str">
            <v>POJEMNIK 600X400X145 NIEB.PROD.</v>
          </cell>
        </row>
        <row r="64">
          <cell r="C64">
            <v>8200016</v>
          </cell>
          <cell r="D64" t="str">
            <v>POJEMNIK CBL 17</v>
          </cell>
        </row>
        <row r="65">
          <cell r="C65">
            <v>8200017</v>
          </cell>
          <cell r="D65" t="str">
            <v>POJEMNIK 600X400X179 NIEB.PROD.</v>
          </cell>
        </row>
        <row r="66">
          <cell r="C66">
            <v>8200018</v>
          </cell>
          <cell r="D66" t="str">
            <v>POJEMNIK 600X400X225 BIAŁY PROD.</v>
          </cell>
        </row>
        <row r="67">
          <cell r="C67">
            <v>8200019</v>
          </cell>
          <cell r="D67" t="str">
            <v>POJEMNIK 600X400X225 NIEB.PROD.</v>
          </cell>
        </row>
        <row r="68">
          <cell r="C68">
            <v>8200020</v>
          </cell>
          <cell r="D68" t="str">
            <v>POJEMNIK 600X400X300 NIEB.PROD.</v>
          </cell>
        </row>
        <row r="69">
          <cell r="C69">
            <v>8200021</v>
          </cell>
          <cell r="D69" t="str">
            <v>POJEMNIK BIAŁY ALMI PROD.</v>
          </cell>
        </row>
        <row r="70">
          <cell r="C70">
            <v>8200022</v>
          </cell>
          <cell r="D70" t="str">
            <v>POJEMNIK E-2 BIAŁY</v>
          </cell>
        </row>
        <row r="71">
          <cell r="C71">
            <v>8200023</v>
          </cell>
          <cell r="D71" t="str">
            <v>POJEMNIK E-2 CZERW.</v>
          </cell>
        </row>
        <row r="72">
          <cell r="C72">
            <v>8200024</v>
          </cell>
          <cell r="D72" t="str">
            <v>POJEMNIK E-2 NIEB.PROD.</v>
          </cell>
        </row>
        <row r="73">
          <cell r="C73">
            <v>8200025</v>
          </cell>
          <cell r="D73" t="str">
            <v>POJEMNIK E-2 ZIELONY PROD.</v>
          </cell>
        </row>
        <row r="74">
          <cell r="C74">
            <v>8200026</v>
          </cell>
          <cell r="D74" t="str">
            <v>POJEMNIK E-2 ŻÓŁTY PROD.</v>
          </cell>
        </row>
        <row r="75">
          <cell r="C75">
            <v>8200027</v>
          </cell>
          <cell r="D75" t="str">
            <v>POJEMNIK A10 PROD.</v>
          </cell>
        </row>
        <row r="76">
          <cell r="C76">
            <v>8200028</v>
          </cell>
          <cell r="D76" t="str">
            <v>POJEMNIK A20 PROD.</v>
          </cell>
        </row>
        <row r="77">
          <cell r="C77">
            <v>8200029</v>
          </cell>
          <cell r="D77" t="str">
            <v>POJEMNIK CBL 23</v>
          </cell>
        </row>
        <row r="78">
          <cell r="C78">
            <v>8200030</v>
          </cell>
          <cell r="D78" t="str">
            <v>POJEMNIK PROD.</v>
          </cell>
        </row>
        <row r="79">
          <cell r="C79">
            <v>8200031</v>
          </cell>
          <cell r="D79" t="str">
            <v>POJEMNIK TESCO CZERW.</v>
          </cell>
        </row>
        <row r="80">
          <cell r="C80">
            <v>8200032</v>
          </cell>
          <cell r="D80" t="str">
            <v>POJEMNIK TESCO NIEB.</v>
          </cell>
        </row>
        <row r="81">
          <cell r="C81">
            <v>8200033</v>
          </cell>
          <cell r="D81" t="str">
            <v>POJEMNIK TESCO ZÓŁTY</v>
          </cell>
        </row>
        <row r="82">
          <cell r="C82">
            <v>8200061</v>
          </cell>
          <cell r="D82" t="str">
            <v>PALETA DREWN.TRANSP.-USZK.JEDNORAZ.</v>
          </cell>
        </row>
        <row r="83">
          <cell r="C83">
            <v>8200070</v>
          </cell>
          <cell r="D83" t="str">
            <v>KOSZ OCYNK.</v>
          </cell>
        </row>
        <row r="84">
          <cell r="C84">
            <v>8200090</v>
          </cell>
          <cell r="D84" t="str">
            <v>PALBOX 1200X1000X790 LOGIST.</v>
          </cell>
        </row>
        <row r="85">
          <cell r="C85">
            <v>8200092</v>
          </cell>
          <cell r="D85" t="str">
            <v>POJEMNIK 600X400X179 CZERW.PROD.</v>
          </cell>
        </row>
        <row r="86">
          <cell r="C86">
            <v>8200101</v>
          </cell>
          <cell r="D86" t="str">
            <v>POJEMNIK E-1 CZERW.</v>
          </cell>
        </row>
        <row r="87">
          <cell r="C87">
            <v>8200120</v>
          </cell>
          <cell r="D87" t="str">
            <v>PALETA 1200X800 PLAST.NIEB.PROD.</v>
          </cell>
        </row>
        <row r="88">
          <cell r="C88">
            <v>8200141</v>
          </cell>
          <cell r="D88" t="str">
            <v>POJEMNIK TESCO ZIELONY</v>
          </cell>
        </row>
        <row r="89">
          <cell r="C89">
            <v>8200142</v>
          </cell>
          <cell r="D89" t="str">
            <v>PALETA 1200X1000 CP DREWN.</v>
          </cell>
        </row>
        <row r="90">
          <cell r="C90">
            <v>8200143</v>
          </cell>
          <cell r="D90" t="str">
            <v>PALETA 1250X1150 CP DREWN.</v>
          </cell>
        </row>
        <row r="91">
          <cell r="C91">
            <v>8200144</v>
          </cell>
          <cell r="D91" t="str">
            <v>RAMKA 1200X1000 CP DREWN</v>
          </cell>
        </row>
        <row r="92">
          <cell r="C92">
            <v>8200145</v>
          </cell>
          <cell r="D92" t="str">
            <v>RAMKA 1250X1150 CP DREWN.</v>
          </cell>
        </row>
        <row r="93">
          <cell r="C93">
            <v>8200200</v>
          </cell>
          <cell r="D93" t="str">
            <v>PALETA 400X600 DREWN.</v>
          </cell>
        </row>
        <row r="94">
          <cell r="C94">
            <v>8200470</v>
          </cell>
          <cell r="D94" t="str">
            <v>PALBOX 1200X1000X745 POMARAŃCZ.PROD.</v>
          </cell>
        </row>
        <row r="95">
          <cell r="C95">
            <v>8200480</v>
          </cell>
          <cell r="D95" t="str">
            <v>PALBOX 1200X1000X740 WBG CZERW.</v>
          </cell>
        </row>
        <row r="96">
          <cell r="C96">
            <v>8200550</v>
          </cell>
          <cell r="D96" t="str">
            <v>PALETA 1200X1000 PLAST.CHEP LOGIST.</v>
          </cell>
        </row>
        <row r="97">
          <cell r="C97">
            <v>8500042</v>
          </cell>
          <cell r="D97" t="str">
            <v>KALKULACJA PRÓB TECHN. PRZETWÓRSTWO 1</v>
          </cell>
        </row>
        <row r="98">
          <cell r="C98">
            <v>8500043</v>
          </cell>
          <cell r="D98" t="str">
            <v>KALKULACJA PRÓB TECHN. PRZETWÓRSTWO 2</v>
          </cell>
        </row>
        <row r="99">
          <cell r="C99">
            <v>8500044</v>
          </cell>
          <cell r="D99" t="str">
            <v>KALKULACJA PRÓB TECHN. PRZETWÓRSTWO 23</v>
          </cell>
        </row>
        <row r="100">
          <cell r="C100">
            <v>8500045</v>
          </cell>
          <cell r="D100" t="str">
            <v>KALKULACJA PRÓB TECHN. PRZETWÓRSTWO 24</v>
          </cell>
        </row>
        <row r="101">
          <cell r="C101">
            <v>8500046</v>
          </cell>
          <cell r="D101" t="str">
            <v>KALKULACJA PRÓB TECHN. PRZETWÓRSTWO 25</v>
          </cell>
        </row>
        <row r="102">
          <cell r="C102">
            <v>8500047</v>
          </cell>
          <cell r="D102" t="str">
            <v>KALKULACJA PRÓB TECHN. PRZETWÓRSTWO 26</v>
          </cell>
        </row>
        <row r="103">
          <cell r="C103">
            <v>8500048</v>
          </cell>
          <cell r="D103" t="str">
            <v>KALKULACJA PRÓB TECHN. PRZETWÓRSTWO 27</v>
          </cell>
        </row>
        <row r="104">
          <cell r="C104">
            <v>8500049</v>
          </cell>
          <cell r="D104" t="str">
            <v>KALKULACJA PRÓB TECHN. PRZETWÓRSTWO 28</v>
          </cell>
        </row>
        <row r="105">
          <cell r="C105">
            <v>8500057</v>
          </cell>
          <cell r="D105" t="str">
            <v>KALKULACJA PRÓB TECHNOLOG. MIĘSO 10</v>
          </cell>
        </row>
        <row r="106">
          <cell r="C106">
            <v>8500068</v>
          </cell>
          <cell r="D106" t="str">
            <v>KALKULACJA PRÓB TECHN. PRZETWÓRSTWO 3</v>
          </cell>
        </row>
        <row r="107">
          <cell r="C107">
            <v>8500069</v>
          </cell>
          <cell r="D107" t="str">
            <v>KALKULACJA PRÓB TECHN. PRZETWÓRSTWO 4</v>
          </cell>
        </row>
        <row r="108">
          <cell r="C108">
            <v>8500070</v>
          </cell>
          <cell r="D108" t="str">
            <v>KALKULACJA PRÓB TECHN. PRZETWÓRSTWO 5</v>
          </cell>
        </row>
        <row r="109">
          <cell r="C109">
            <v>8500071</v>
          </cell>
          <cell r="D109" t="str">
            <v>KALKULACJA PRÓB TECHN. PRZETWÓRSTWO 6</v>
          </cell>
        </row>
        <row r="110">
          <cell r="C110">
            <v>8500072</v>
          </cell>
          <cell r="D110" t="str">
            <v>KALKULACJA PRÓB TECHN. PRZETWÓRSTWO 7</v>
          </cell>
        </row>
        <row r="111">
          <cell r="C111">
            <v>8500073</v>
          </cell>
          <cell r="D111" t="str">
            <v>KALKULACJA PRÓB TECHN. PRZETWÓRSTWO 8</v>
          </cell>
        </row>
        <row r="112">
          <cell r="C112">
            <v>8500074</v>
          </cell>
          <cell r="D112" t="str">
            <v>KALKULACJA PRÓB TECHN. PRZETWÓRSTWO 9</v>
          </cell>
        </row>
        <row r="113">
          <cell r="C113">
            <v>8500075</v>
          </cell>
          <cell r="D113" t="str">
            <v>KALKULACJA PRÓB TECHN. PRZETWÓRSTWO 10</v>
          </cell>
        </row>
        <row r="114">
          <cell r="C114">
            <v>8500076</v>
          </cell>
          <cell r="D114" t="str">
            <v>KALKULACJA PRÓB TECHN. PRZETWÓRSTWO 11</v>
          </cell>
        </row>
        <row r="115">
          <cell r="C115">
            <v>8500077</v>
          </cell>
          <cell r="D115" t="str">
            <v>KALKULACJA PRÓB TECHN. PRZETWÓRSTWO 12</v>
          </cell>
        </row>
        <row r="116">
          <cell r="C116">
            <v>8500078</v>
          </cell>
          <cell r="D116" t="str">
            <v>KALKULACJA PRÓB TECHN. PRZETWÓRSTWO 13</v>
          </cell>
        </row>
        <row r="117">
          <cell r="C117">
            <v>8500079</v>
          </cell>
          <cell r="D117" t="str">
            <v>KALKULACJA PRÓB TECHN. PRZETWÓRSTWO 14</v>
          </cell>
        </row>
        <row r="118">
          <cell r="C118">
            <v>8500080</v>
          </cell>
          <cell r="D118" t="str">
            <v>KALKULACJA PRÓB TECHN. PRZETWÓRSTWO 15</v>
          </cell>
        </row>
        <row r="119">
          <cell r="C119">
            <v>8500081</v>
          </cell>
          <cell r="D119" t="str">
            <v>KALKULACJA PRÓB TECHN. PRZETWÓRSTWO 16</v>
          </cell>
        </row>
        <row r="120">
          <cell r="C120">
            <v>8500082</v>
          </cell>
          <cell r="D120" t="str">
            <v>KALKULACJA PRÓB TECHN. PRZETWÓRSTWO 17</v>
          </cell>
        </row>
        <row r="121">
          <cell r="C121">
            <v>8500083</v>
          </cell>
          <cell r="D121" t="str">
            <v>KALKULACJA PRÓB TECHN. PRZETWÓRSTWO 18</v>
          </cell>
        </row>
        <row r="122">
          <cell r="C122">
            <v>8500084</v>
          </cell>
          <cell r="D122" t="str">
            <v>KALKULACJA PRÓB TECHN. PRZETWÓRSTWO 19</v>
          </cell>
        </row>
        <row r="123">
          <cell r="C123">
            <v>8500085</v>
          </cell>
          <cell r="D123" t="str">
            <v>KALKULACJA PRÓB TECHN. PRZETWÓRSTWO 20</v>
          </cell>
        </row>
        <row r="124">
          <cell r="C124">
            <v>8500086</v>
          </cell>
          <cell r="D124" t="str">
            <v>KALKULACJA PRÓB TECHN. PRZETWÓRSTWO 21</v>
          </cell>
        </row>
        <row r="125">
          <cell r="C125">
            <v>8500087</v>
          </cell>
          <cell r="D125" t="str">
            <v>KALKULACJA PRÓB TECHN. PRZETWÓRSTWO 22</v>
          </cell>
        </row>
        <row r="126">
          <cell r="C126">
            <v>8500088</v>
          </cell>
          <cell r="D126" t="str">
            <v>KALKULACJA PRÓB TECHN. PRZETWÓRSTWO 41</v>
          </cell>
        </row>
        <row r="127">
          <cell r="C127">
            <v>8500089</v>
          </cell>
          <cell r="D127" t="str">
            <v>KALKULACJA PRÓB TECHN. PRZETWÓRSTWO 42</v>
          </cell>
        </row>
        <row r="128">
          <cell r="C128">
            <v>8500090</v>
          </cell>
          <cell r="D128" t="str">
            <v>KALKULACJA PRÓB TECHN. PRZETWÓRSTWO 29</v>
          </cell>
        </row>
        <row r="129">
          <cell r="C129">
            <v>8500091</v>
          </cell>
          <cell r="D129" t="str">
            <v>KALKULACJA PRÓB TECHN. PRZETWÓRSTWO 30</v>
          </cell>
        </row>
        <row r="130">
          <cell r="C130">
            <v>8500092</v>
          </cell>
          <cell r="D130" t="str">
            <v>KALKULACJA PRÓB TECHN. PRZETWÓRSTWO 31</v>
          </cell>
        </row>
        <row r="131">
          <cell r="C131">
            <v>8500093</v>
          </cell>
          <cell r="D131" t="str">
            <v>KALKULACJA PRÓB TECHN. PRZETWÓRSTWO 32</v>
          </cell>
        </row>
        <row r="132">
          <cell r="C132">
            <v>8500094</v>
          </cell>
          <cell r="D132" t="str">
            <v>KALKULACJA PRÓB TECHN. PRZETWÓRSTWO 33</v>
          </cell>
        </row>
        <row r="133">
          <cell r="C133">
            <v>8500095</v>
          </cell>
          <cell r="D133" t="str">
            <v>KALKULACJA PRÓB TECHN. PRZETWÓRSTWO 34</v>
          </cell>
        </row>
        <row r="134">
          <cell r="C134">
            <v>8500096</v>
          </cell>
          <cell r="D134" t="str">
            <v>KALKULACJA PRÓB TECHN. PRZETWÓRSTWO 35</v>
          </cell>
        </row>
        <row r="135">
          <cell r="C135">
            <v>8500097</v>
          </cell>
          <cell r="D135" t="str">
            <v>KALKULACJA PRÓB TECHN. PRZETWÓRSTWO 36</v>
          </cell>
        </row>
        <row r="136">
          <cell r="C136">
            <v>8500098</v>
          </cell>
          <cell r="D136" t="str">
            <v>KALKULACJA PRÓB TECHN. PRZETWÓRSTWO 37</v>
          </cell>
        </row>
        <row r="137">
          <cell r="C137">
            <v>8500099</v>
          </cell>
          <cell r="D137" t="str">
            <v>KALKULACJA PRÓB TECHN. PRZETWÓRSTWO 38</v>
          </cell>
        </row>
        <row r="138">
          <cell r="C138">
            <v>8500100</v>
          </cell>
          <cell r="D138" t="str">
            <v>KALKULACJA PRÓB TECHN. PRZETWÓRSTWO 39</v>
          </cell>
        </row>
        <row r="139">
          <cell r="C139">
            <v>8500101</v>
          </cell>
          <cell r="D139" t="str">
            <v>KALKULACJA PRÓB TECHN. PRZETWÓRSTWO 40</v>
          </cell>
        </row>
        <row r="140">
          <cell r="C140">
            <v>8500103</v>
          </cell>
          <cell r="D140" t="str">
            <v>KALKULACJA PRÓB TECHN. PRZETWÓRSTWO 47</v>
          </cell>
        </row>
        <row r="141">
          <cell r="C141">
            <v>8500110</v>
          </cell>
          <cell r="D141" t="str">
            <v>KALKULACJA PRÓB TECHN. PRZETWÓRSTWO 43</v>
          </cell>
        </row>
        <row r="142">
          <cell r="C142">
            <v>8500111</v>
          </cell>
          <cell r="D142" t="str">
            <v>KALKULACJA PRÓB TECHN. PRZETWÓRSTWO 44</v>
          </cell>
        </row>
        <row r="143">
          <cell r="C143">
            <v>8500112</v>
          </cell>
          <cell r="D143" t="str">
            <v>KALKULACJA PRÓB TECHN. PRZETWÓRSTWO 45</v>
          </cell>
        </row>
        <row r="144">
          <cell r="C144">
            <v>8500113</v>
          </cell>
          <cell r="D144" t="str">
            <v>KALKULACJA PRÓB TECHN. PRZETWÓRSTWO 46</v>
          </cell>
        </row>
        <row r="145">
          <cell r="C145">
            <v>8500114</v>
          </cell>
          <cell r="D145" t="str">
            <v>KALKULACJA PRÓB TECHN. PRZETWÓRSTWO 48</v>
          </cell>
        </row>
        <row r="146">
          <cell r="C146">
            <v>8500115</v>
          </cell>
          <cell r="D146" t="str">
            <v>KALKULACJA PRÓB TECHN. PRZETWÓRSTWO 49</v>
          </cell>
        </row>
        <row r="147">
          <cell r="C147">
            <v>8500116</v>
          </cell>
          <cell r="D147" t="str">
            <v>KALKULACJA PRÓB TECHN. PRZETWÓRSTWO 50</v>
          </cell>
        </row>
        <row r="148">
          <cell r="C148">
            <v>8500117</v>
          </cell>
          <cell r="D148" t="str">
            <v>KALKULACJA PRÓB TECHN. PRZETWÓRSTWO 51</v>
          </cell>
        </row>
        <row r="149">
          <cell r="C149">
            <v>8500118</v>
          </cell>
          <cell r="D149" t="str">
            <v>KALKULACJA PRÓB TECHN. PRZETWÓRSTWO 52</v>
          </cell>
        </row>
        <row r="150">
          <cell r="C150">
            <v>8500119</v>
          </cell>
          <cell r="D150" t="str">
            <v>KALKULACJA PRÓB TECHN. PRZETWÓRSTWO 53</v>
          </cell>
        </row>
        <row r="151">
          <cell r="C151">
            <v>8500120</v>
          </cell>
          <cell r="D151" t="str">
            <v>KALKULACJA PRÓB TECHN. PRZETWÓRSTWO 54.</v>
          </cell>
        </row>
        <row r="152">
          <cell r="C152">
            <v>8500121</v>
          </cell>
          <cell r="D152" t="str">
            <v>KALKULACJA PRÓB TECHN. PRZETWÓRSTWO 55</v>
          </cell>
        </row>
        <row r="153">
          <cell r="C153">
            <v>8500122</v>
          </cell>
          <cell r="D153" t="str">
            <v>KALKULACJA PRÓB TECHN. PRZETWÓRSTWO 56</v>
          </cell>
        </row>
        <row r="154">
          <cell r="C154">
            <v>8500123</v>
          </cell>
          <cell r="D154" t="str">
            <v>KALKULACJA PRÓB TECHN. PRZETWÓRSTWO 57</v>
          </cell>
        </row>
        <row r="155">
          <cell r="C155">
            <v>8500125</v>
          </cell>
          <cell r="D155" t="str">
            <v>KALKULACJA PRÓB TECHN. PRZETWÓRSTWO 58</v>
          </cell>
        </row>
        <row r="156">
          <cell r="C156">
            <v>8500126</v>
          </cell>
          <cell r="D156" t="str">
            <v>KALKULACJA PRÓB TECHN. PRZETWÓRSTWO 59</v>
          </cell>
        </row>
        <row r="157">
          <cell r="C157">
            <v>8500127</v>
          </cell>
          <cell r="D157" t="str">
            <v>KALKULACJA PRÓB TECHN. PRZETWÓRSTWO 60</v>
          </cell>
        </row>
        <row r="158">
          <cell r="C158">
            <v>8500135</v>
          </cell>
          <cell r="D158" t="str">
            <v>PRÓBY TECHNOLOGICZNE-OPAKOWANIA 6</v>
          </cell>
        </row>
        <row r="159">
          <cell r="C159">
            <v>8500140</v>
          </cell>
          <cell r="D159" t="str">
            <v>PRÓBY TECHNOLOGICZNE - PRZYPRAWY 1</v>
          </cell>
        </row>
        <row r="160">
          <cell r="C160">
            <v>8500150</v>
          </cell>
          <cell r="D160" t="str">
            <v>KALKULACJA PRÓB TECHN. PRZETWÓRSTWO 61</v>
          </cell>
        </row>
        <row r="161">
          <cell r="C161">
            <v>8500151</v>
          </cell>
          <cell r="D161" t="str">
            <v>KALKULACJA PRÓB TECHN. PRZETWÓRSTWO 62</v>
          </cell>
        </row>
        <row r="162">
          <cell r="C162">
            <v>8500152</v>
          </cell>
          <cell r="D162" t="str">
            <v>KALKULACJA PRÓB TECHN. PRZETWÓRSTWO 63</v>
          </cell>
        </row>
        <row r="163">
          <cell r="C163">
            <v>8500153</v>
          </cell>
          <cell r="D163" t="str">
            <v>KALKULACJA PRÓB TECHN. PRZETWÓRSTWO 64</v>
          </cell>
        </row>
        <row r="164">
          <cell r="C164">
            <v>8500154</v>
          </cell>
          <cell r="D164" t="str">
            <v>KALKULACJA PRÓB TECHN. PRZETWÓRSTWO 65</v>
          </cell>
        </row>
        <row r="165">
          <cell r="C165">
            <v>8500155</v>
          </cell>
          <cell r="D165" t="str">
            <v>KALKULACJA PRÓB TECHN. PRZETWÓRSTWO 66</v>
          </cell>
        </row>
        <row r="166">
          <cell r="C166">
            <v>8500156</v>
          </cell>
          <cell r="D166" t="str">
            <v>KALKULACJA PRÓB TECHN. PRZETWÓRSTWO 67</v>
          </cell>
        </row>
        <row r="167">
          <cell r="C167">
            <v>8500157</v>
          </cell>
          <cell r="D167" t="str">
            <v>KALKULACJA PRÓB TECHN. PRZETWÓRSTWO 68</v>
          </cell>
        </row>
        <row r="168">
          <cell r="C168">
            <v>8500158</v>
          </cell>
          <cell r="D168" t="str">
            <v>KALKULACJA PRÓB TECHN. PRZETWÓRSTWO 69</v>
          </cell>
        </row>
        <row r="169">
          <cell r="C169">
            <v>8500159</v>
          </cell>
          <cell r="D169" t="str">
            <v>KALKULACJA PRÓB TECHN. PRZETWÓRSTWO 70</v>
          </cell>
        </row>
        <row r="170">
          <cell r="C170">
            <v>8500160</v>
          </cell>
          <cell r="D170" t="str">
            <v>KALKULACJA PRÓB TECHN. PRZETWÓRSTWO 71</v>
          </cell>
        </row>
        <row r="171">
          <cell r="C171">
            <v>8500161</v>
          </cell>
          <cell r="D171" t="str">
            <v>KALKULACJA PRÓB TECHN. PRZETWÓRSTWO 72</v>
          </cell>
        </row>
        <row r="172">
          <cell r="C172">
            <v>8500162</v>
          </cell>
          <cell r="D172" t="str">
            <v>KALKULACJA PRÓB TECHN. PRZETWÓRSTWO 73</v>
          </cell>
        </row>
        <row r="173">
          <cell r="C173">
            <v>8500163</v>
          </cell>
          <cell r="D173" t="str">
            <v>KALKULACJA PRÓB TECHN. PRZETWÓRSTWO 74</v>
          </cell>
        </row>
        <row r="174">
          <cell r="C174">
            <v>8500164</v>
          </cell>
          <cell r="D174" t="str">
            <v>KALKULACJA PRÓB TECHN. PRZETWÓRSTWO 75</v>
          </cell>
        </row>
        <row r="175">
          <cell r="C175">
            <v>8500165</v>
          </cell>
          <cell r="D175" t="str">
            <v>KALKULACJA PRÓB TECHN. PRZETWÓRSTWO 76</v>
          </cell>
        </row>
        <row r="176">
          <cell r="C176">
            <v>8500166</v>
          </cell>
          <cell r="D176" t="str">
            <v>KALKULACJA PRÓB TECHN. PRZETWÓRSTWO 77</v>
          </cell>
        </row>
        <row r="177">
          <cell r="C177">
            <v>8500167</v>
          </cell>
          <cell r="D177" t="str">
            <v>KALKULACJA PRÓB TECHN. PRZETWÓRSTWO 78</v>
          </cell>
        </row>
        <row r="178">
          <cell r="C178">
            <v>8500169</v>
          </cell>
          <cell r="D178" t="str">
            <v>KALKULACJA PRÓB TECHN. PRZETWÓRSTWO 79</v>
          </cell>
        </row>
        <row r="179">
          <cell r="C179">
            <v>8500170</v>
          </cell>
          <cell r="D179" t="str">
            <v>KALKULACJA PRÓB TECHN. PRZETWÓRSTWO 80</v>
          </cell>
        </row>
        <row r="180">
          <cell r="C180">
            <v>8500171</v>
          </cell>
          <cell r="D180" t="str">
            <v>KALKULACJA PRÓB TECHN. PRZETWÓRSTWO 81</v>
          </cell>
        </row>
        <row r="181">
          <cell r="C181">
            <v>8500172</v>
          </cell>
          <cell r="D181" t="str">
            <v>KALKULACJA PRÓB TECHN. PRZETWÓRSTWO 82</v>
          </cell>
        </row>
        <row r="182">
          <cell r="C182">
            <v>8500173</v>
          </cell>
          <cell r="D182" t="str">
            <v>KALKULACJA PRÓB TECHN. PRZETWÓRSTWO 83</v>
          </cell>
        </row>
        <row r="183">
          <cell r="C183">
            <v>8500174</v>
          </cell>
          <cell r="D183" t="str">
            <v>KALKULACJA PRÓB TECHN. PRZETWÓRSTWO 84</v>
          </cell>
        </row>
        <row r="184">
          <cell r="C184">
            <v>8500175</v>
          </cell>
          <cell r="D184" t="str">
            <v>KALKULACJA PRÓB TECHN. PRZETWÓRSTWO 85</v>
          </cell>
        </row>
        <row r="185">
          <cell r="C185">
            <v>8500176</v>
          </cell>
          <cell r="D185" t="str">
            <v>KALKULACJA PRÓB TECHN. PRZETWÓRSTWO 86</v>
          </cell>
        </row>
        <row r="186">
          <cell r="C186">
            <v>8500178</v>
          </cell>
          <cell r="D186" t="str">
            <v>KALKULACJA PRÓB TECHN. PRZETWÓRSTWO 88</v>
          </cell>
        </row>
        <row r="187">
          <cell r="C187">
            <v>8500179</v>
          </cell>
          <cell r="D187" t="str">
            <v>KALKULACJA PRÓB TECHN. PRZETWÓRSTWO 89</v>
          </cell>
        </row>
        <row r="188">
          <cell r="C188">
            <v>8500180</v>
          </cell>
          <cell r="D188" t="str">
            <v>KALKULACJA PRÓB TECHN. PRZETWÓRSTWO 90</v>
          </cell>
        </row>
        <row r="189">
          <cell r="C189">
            <v>8500181</v>
          </cell>
          <cell r="D189" t="str">
            <v>KALKULACJA PRÓB TECHN. PRZETWÓRSTWO 91</v>
          </cell>
        </row>
        <row r="190">
          <cell r="C190">
            <v>8500182</v>
          </cell>
          <cell r="D190" t="str">
            <v>KALKULACJA PRÓB TECHN. PRZETWÓRSTWO 92</v>
          </cell>
        </row>
        <row r="191">
          <cell r="C191">
            <v>8500183</v>
          </cell>
          <cell r="D191" t="str">
            <v>KALKULACJA PRÓB TECHN. PRZETWÓRSTWO 93</v>
          </cell>
        </row>
        <row r="192">
          <cell r="C192">
            <v>8500184</v>
          </cell>
          <cell r="D192" t="str">
            <v>KALKULACJA PRÓB TECHN. PRZETWÓRSTWO 94</v>
          </cell>
        </row>
        <row r="193">
          <cell r="C193">
            <v>8500185</v>
          </cell>
          <cell r="D193" t="str">
            <v>KALKULACJA PRÓB TECHN. PRZETWÓRSTWO 95</v>
          </cell>
        </row>
        <row r="194">
          <cell r="C194">
            <v>8500186</v>
          </cell>
          <cell r="D194" t="str">
            <v>KALKULACJA PRÓB TECHN. PRZETWÓRSTWO 96</v>
          </cell>
        </row>
        <row r="195">
          <cell r="C195">
            <v>8500187</v>
          </cell>
          <cell r="D195" t="str">
            <v>KALKULACJA PRÓB TECHN. PRZETWÓRSTWO 97</v>
          </cell>
        </row>
        <row r="196">
          <cell r="C196">
            <v>8500188</v>
          </cell>
          <cell r="D196" t="str">
            <v>KALKULACJA PRÓB TECHN. PRZETWÓRSTWO 98</v>
          </cell>
        </row>
        <row r="197">
          <cell r="C197">
            <v>8500189</v>
          </cell>
          <cell r="D197" t="str">
            <v>KALKULACJA PRÓB TECHN. PRZETWÓRSTWO 99</v>
          </cell>
        </row>
        <row r="198">
          <cell r="C198">
            <v>8500191</v>
          </cell>
          <cell r="D198" t="str">
            <v>KALKULACJA PRÓB TECHN. PRZETWÓRSTWO 100</v>
          </cell>
        </row>
        <row r="199">
          <cell r="C199">
            <v>8500199</v>
          </cell>
          <cell r="D199" t="str">
            <v>PRÓBY TECHNOLOGICZNE - PRZYPRAWY 26</v>
          </cell>
        </row>
        <row r="200">
          <cell r="C200">
            <v>8500204</v>
          </cell>
          <cell r="D200" t="str">
            <v>KALKULACJA PRÓB TECHN. PRZETWÓRSTWO 173</v>
          </cell>
        </row>
        <row r="201">
          <cell r="C201">
            <v>8500205</v>
          </cell>
          <cell r="D201" t="str">
            <v>KALKULACJA PRÓB TECHN. PRZETWÓRSTWO 174</v>
          </cell>
        </row>
        <row r="202">
          <cell r="C202">
            <v>8500206</v>
          </cell>
          <cell r="D202" t="str">
            <v>KALKULACJA PRÓB TECHN. PRZETWÓRSTWO 175</v>
          </cell>
        </row>
        <row r="203">
          <cell r="C203">
            <v>8500207</v>
          </cell>
          <cell r="D203" t="str">
            <v>KALKULACJA PRÓB TECHN. PRZETWÓRSTWO 176</v>
          </cell>
        </row>
        <row r="204">
          <cell r="C204">
            <v>8500208</v>
          </cell>
          <cell r="D204" t="str">
            <v>KALKULACJA PRÓB TECHN. PRZETWÓRSTWO 177</v>
          </cell>
        </row>
        <row r="205">
          <cell r="C205">
            <v>8500209</v>
          </cell>
          <cell r="D205" t="str">
            <v>KALKULACJA PRÓB TECHN. PRZETWÓRSTWO 178</v>
          </cell>
        </row>
        <row r="206">
          <cell r="C206">
            <v>8500227</v>
          </cell>
          <cell r="D206" t="str">
            <v>KALKULACJA PRÓB TECHN. PRZETWÓRSTWO 161</v>
          </cell>
        </row>
        <row r="207">
          <cell r="C207">
            <v>8500228</v>
          </cell>
          <cell r="D207" t="str">
            <v>KALKULACJA PRÓB TECHN. PRZETWÓRSTWO 172</v>
          </cell>
        </row>
        <row r="208">
          <cell r="C208">
            <v>8500230</v>
          </cell>
          <cell r="D208" t="str">
            <v>KALKULACJA PRÓB TECHN. PRZETWÓRSTWO 151</v>
          </cell>
        </row>
        <row r="209">
          <cell r="C209">
            <v>8500231</v>
          </cell>
          <cell r="D209" t="str">
            <v>KALKULACJA PRÓB TECHN. PRZETWÓRSTWO 152</v>
          </cell>
        </row>
        <row r="210">
          <cell r="C210">
            <v>8500232</v>
          </cell>
          <cell r="D210" t="str">
            <v>KALKULACJA PRÓB TECHN. PRZETWÓRSTWO 153</v>
          </cell>
        </row>
        <row r="211">
          <cell r="C211">
            <v>8500233</v>
          </cell>
          <cell r="D211" t="str">
            <v>KALKULACJA PRÓB TECHN. PRZETWÓRSTWO 154</v>
          </cell>
        </row>
        <row r="212">
          <cell r="C212">
            <v>8500234</v>
          </cell>
          <cell r="D212" t="str">
            <v>KALKULACJA PRÓB TECHN. PRZETWÓRSTWO 155</v>
          </cell>
        </row>
        <row r="213">
          <cell r="C213">
            <v>8500235</v>
          </cell>
          <cell r="D213" t="str">
            <v>KALKULACJA PRÓB TECHN. PRZETWÓRSTWO 156</v>
          </cell>
        </row>
        <row r="214">
          <cell r="C214">
            <v>8500236</v>
          </cell>
          <cell r="D214" t="str">
            <v>KALKULACJA PRÓB TECHN. PRZETWÓRSTWO 157</v>
          </cell>
        </row>
        <row r="215">
          <cell r="C215">
            <v>8500237</v>
          </cell>
          <cell r="D215" t="str">
            <v>KALKULACJA PRÓB TECHN. PRZETWÓRSTWO 158</v>
          </cell>
        </row>
        <row r="216">
          <cell r="C216">
            <v>8500238</v>
          </cell>
          <cell r="D216" t="str">
            <v>KALKULACJA PRÓB TECHN. PRZETWÓRSTWO 159</v>
          </cell>
        </row>
        <row r="217">
          <cell r="C217">
            <v>8500240</v>
          </cell>
          <cell r="D217" t="str">
            <v>KALKULACJA PRÓB TECHN. PRZETWÓRSTWO 162</v>
          </cell>
        </row>
        <row r="218">
          <cell r="C218">
            <v>8500241</v>
          </cell>
          <cell r="D218" t="str">
            <v>KALKULACJA PRÓB TECHN. PRZETWÓRSTWO 163</v>
          </cell>
        </row>
        <row r="219">
          <cell r="C219">
            <v>8500242</v>
          </cell>
          <cell r="D219" t="str">
            <v>KALKULACJA PRÓB TECHN. PRZETWÓRSTWO 164</v>
          </cell>
        </row>
        <row r="220">
          <cell r="C220">
            <v>8500243</v>
          </cell>
          <cell r="D220" t="str">
            <v>KALKULACJA PRÓB TECHN. PRZETWÓRSTWO 165</v>
          </cell>
        </row>
        <row r="221">
          <cell r="C221">
            <v>8500244</v>
          </cell>
          <cell r="D221" t="str">
            <v>KALKULACJA PRÓB TECHN. PRZETWÓRSTWO 166</v>
          </cell>
        </row>
        <row r="222">
          <cell r="C222">
            <v>8500245</v>
          </cell>
          <cell r="D222" t="str">
            <v>KALKULACJA PRÓB TECHN. PRZETWÓRSTWO 167</v>
          </cell>
        </row>
        <row r="223">
          <cell r="C223">
            <v>8500246</v>
          </cell>
          <cell r="D223" t="str">
            <v>KALKULACJA PRÓB TECHN. PRZETWÓRSTWO 168</v>
          </cell>
        </row>
        <row r="224">
          <cell r="C224">
            <v>8500247</v>
          </cell>
          <cell r="D224" t="str">
            <v>KALKULACJA PRÓB TECHN. PRZETWÓRSTWO 169</v>
          </cell>
        </row>
        <row r="225">
          <cell r="C225">
            <v>8500248</v>
          </cell>
          <cell r="D225" t="str">
            <v>KALKULACJA PRÓB TECHN. PRZETWÓRSTWO 170</v>
          </cell>
        </row>
        <row r="226">
          <cell r="C226">
            <v>8500249</v>
          </cell>
          <cell r="D226" t="str">
            <v>KALKULACJA PRÓB TECHN. PRZETWÓRSTWO 171</v>
          </cell>
        </row>
        <row r="227">
          <cell r="C227">
            <v>8500250</v>
          </cell>
          <cell r="D227" t="str">
            <v>KALKULACJA PRÓB TECHN. PRZETWÓRSTWO 179</v>
          </cell>
        </row>
        <row r="228">
          <cell r="C228">
            <v>8500251</v>
          </cell>
          <cell r="D228" t="str">
            <v>KALKULACJA PRÓB TECHN. PRZETWÓRSTWO 180</v>
          </cell>
        </row>
        <row r="229">
          <cell r="C229">
            <v>8500260</v>
          </cell>
          <cell r="D229" t="str">
            <v>KALKULACJA PRÓB TECHN. PRZETWÓRSTWO 101</v>
          </cell>
        </row>
        <row r="230">
          <cell r="C230">
            <v>8500262</v>
          </cell>
          <cell r="D230" t="str">
            <v>KALKULACJA PRÓB TECHN. PRZETWÓRSTWO 102</v>
          </cell>
        </row>
        <row r="231">
          <cell r="C231">
            <v>8500263</v>
          </cell>
          <cell r="D231" t="str">
            <v>KALKULACJA PRÓB TECHN. PRZETWÓRSTWO 103</v>
          </cell>
        </row>
        <row r="232">
          <cell r="C232">
            <v>8500264</v>
          </cell>
          <cell r="D232" t="str">
            <v>KALKULACJA PRÓB TECHN. PRZETWÓRSTWO 104</v>
          </cell>
        </row>
        <row r="233">
          <cell r="C233">
            <v>8500265</v>
          </cell>
          <cell r="D233" t="str">
            <v>KALKULACJA PRÓB TECHN. PRZETWÓRSTWO 105</v>
          </cell>
        </row>
        <row r="234">
          <cell r="C234">
            <v>8500266</v>
          </cell>
          <cell r="D234" t="str">
            <v>KALKULACJA PRÓB TECHN. PRZETWÓRSTWO 106</v>
          </cell>
        </row>
        <row r="235">
          <cell r="C235">
            <v>8500267</v>
          </cell>
          <cell r="D235" t="str">
            <v>KALKULACJA PRÓB TECHN. PRZETWÓRSTWO 107</v>
          </cell>
        </row>
        <row r="236">
          <cell r="C236">
            <v>8500268</v>
          </cell>
          <cell r="D236" t="str">
            <v>KALKULACJA PRÓB TECHN. PRZETWÓRSTWO 108</v>
          </cell>
        </row>
        <row r="237">
          <cell r="C237">
            <v>8500269</v>
          </cell>
          <cell r="D237" t="str">
            <v>KALKULACJA PRÓB TECHN. PRZETWÓRSTWO 109</v>
          </cell>
        </row>
        <row r="238">
          <cell r="C238">
            <v>8500270</v>
          </cell>
          <cell r="D238" t="str">
            <v>KALKULACJA PRÓB TECHN. PRZETWÓRSTWO 110</v>
          </cell>
        </row>
        <row r="239">
          <cell r="C239">
            <v>8500271</v>
          </cell>
          <cell r="D239" t="str">
            <v>KALKULACJA PRÓB TECHN. PRZETWÓRSTWO 111</v>
          </cell>
        </row>
        <row r="240">
          <cell r="C240">
            <v>8500272</v>
          </cell>
          <cell r="D240" t="str">
            <v>KALKULACJA PRÓB TECHN. PRZETWÓRSTWO 112</v>
          </cell>
        </row>
        <row r="241">
          <cell r="C241">
            <v>8500273</v>
          </cell>
          <cell r="D241" t="str">
            <v>KALKULACJA PRÓB TECHN. PRZETWÓRSTWO 113</v>
          </cell>
        </row>
        <row r="242">
          <cell r="C242">
            <v>8500274</v>
          </cell>
          <cell r="D242" t="str">
            <v>KALKULACJA PRÓB TECHN. PRZETWÓRSTWO 114</v>
          </cell>
        </row>
        <row r="243">
          <cell r="C243">
            <v>8500275</v>
          </cell>
          <cell r="D243" t="str">
            <v>KALKULACJA PRÓB TECHN. PRZETWÓRSTWO 115</v>
          </cell>
        </row>
        <row r="244">
          <cell r="C244">
            <v>8500276</v>
          </cell>
          <cell r="D244" t="str">
            <v>KALKULACJA PRÓB TECHN. PRZETWÓRSTWO 116</v>
          </cell>
        </row>
        <row r="245">
          <cell r="C245">
            <v>8500277</v>
          </cell>
          <cell r="D245" t="str">
            <v>KALKULACJA PRÓB TECHN. PRZETWÓRSTWO 117</v>
          </cell>
        </row>
        <row r="246">
          <cell r="C246">
            <v>8500278</v>
          </cell>
          <cell r="D246" t="str">
            <v>KALKULACJA PRÓB TECHN. PRZETWÓRSTWO 118</v>
          </cell>
        </row>
        <row r="247">
          <cell r="C247">
            <v>8500279</v>
          </cell>
          <cell r="D247" t="str">
            <v>KALKULACJA PRÓB TECHN. PRZETWÓRSTWO 119</v>
          </cell>
        </row>
        <row r="248">
          <cell r="C248">
            <v>8500280</v>
          </cell>
          <cell r="D248" t="str">
            <v>KALKULACJA PRÓB TECHN. PRZETWÓRSTWO 120</v>
          </cell>
        </row>
        <row r="249">
          <cell r="C249">
            <v>8500281</v>
          </cell>
          <cell r="D249" t="str">
            <v>KALKULACJA PRÓB TECHN. PRZETWÓRSTWO 121</v>
          </cell>
        </row>
        <row r="250">
          <cell r="C250">
            <v>8500282</v>
          </cell>
          <cell r="D250" t="str">
            <v>KALKULACJA PRÓB TECHN. PRZETWÓRSTWO 122</v>
          </cell>
        </row>
        <row r="251">
          <cell r="C251">
            <v>8500283</v>
          </cell>
          <cell r="D251" t="str">
            <v>KALKULACJA PRÓB TECHN. PRZETWÓRSTWO 123</v>
          </cell>
        </row>
        <row r="252">
          <cell r="C252">
            <v>8500284</v>
          </cell>
          <cell r="D252" t="str">
            <v>KALKULACJA PRÓB TECHN. PRZETWÓRSTWO 124</v>
          </cell>
        </row>
        <row r="253">
          <cell r="C253">
            <v>8500285</v>
          </cell>
          <cell r="D253" t="str">
            <v>KALKULACJA PRÓB TECHN. PRZETWÓRSTWO 125</v>
          </cell>
        </row>
        <row r="254">
          <cell r="C254">
            <v>8500286</v>
          </cell>
          <cell r="D254" t="str">
            <v>KALKULACJA PRÓB TECHN. PRZETWÓRSTWO 126</v>
          </cell>
        </row>
        <row r="255">
          <cell r="C255">
            <v>8500287</v>
          </cell>
          <cell r="D255" t="str">
            <v>KALKULACJA PRÓB TECHN. PRZETWÓRSTWO 127</v>
          </cell>
        </row>
        <row r="256">
          <cell r="C256">
            <v>8500288</v>
          </cell>
          <cell r="D256" t="str">
            <v>KALKULACJA PRÓB TECHN. PRZETWÓRSTWO 128</v>
          </cell>
        </row>
        <row r="257">
          <cell r="C257">
            <v>8500289</v>
          </cell>
          <cell r="D257" t="str">
            <v>KALKULACJA PRÓB TECHN. PRZETWÓRSTWO 129</v>
          </cell>
        </row>
        <row r="258">
          <cell r="C258">
            <v>8500290</v>
          </cell>
          <cell r="D258" t="str">
            <v>KALKULACJA PRÓB TECHN. PRZETWÓRSTWO 130</v>
          </cell>
        </row>
        <row r="259">
          <cell r="C259">
            <v>8500291</v>
          </cell>
          <cell r="D259" t="str">
            <v>KALKULACJA PRÓB TECHN. PRZETWÓRSTWO 131</v>
          </cell>
        </row>
        <row r="260">
          <cell r="C260">
            <v>8500292</v>
          </cell>
          <cell r="D260" t="str">
            <v>KALKULACJA PRÓB TECHN. PRZETWÓRSTWO 132</v>
          </cell>
        </row>
        <row r="261">
          <cell r="C261">
            <v>8500293</v>
          </cell>
          <cell r="D261" t="str">
            <v>KALKULACJA PRÓB TECHN. PRZETWÓRSTWO 133</v>
          </cell>
        </row>
        <row r="262">
          <cell r="C262">
            <v>8500294</v>
          </cell>
          <cell r="D262" t="str">
            <v>KALKULACJA PRÓB TECHN. PRZETWÓRSTWO 134</v>
          </cell>
        </row>
        <row r="263">
          <cell r="C263">
            <v>8500295</v>
          </cell>
          <cell r="D263" t="str">
            <v>KALKULACJA PRÓB TECHN. PRZETWÓRSTWO 135</v>
          </cell>
        </row>
        <row r="264">
          <cell r="C264">
            <v>8500296</v>
          </cell>
          <cell r="D264" t="str">
            <v>KALKULACJA PRÓB TECHN. PRZETWÓRSTWO 136</v>
          </cell>
        </row>
        <row r="265">
          <cell r="C265">
            <v>8500297</v>
          </cell>
          <cell r="D265" t="str">
            <v>KALKULACJA PRÓB TECHN. PRZETWÓRSTWO 137</v>
          </cell>
        </row>
        <row r="266">
          <cell r="C266">
            <v>8500298</v>
          </cell>
          <cell r="D266" t="str">
            <v>KALKULACJA PRÓB TECHN. PRZETWÓRSTWO 138</v>
          </cell>
        </row>
        <row r="267">
          <cell r="C267">
            <v>8500299</v>
          </cell>
          <cell r="D267" t="str">
            <v>KALKULACJA PRÓB TECHN. PRZETWÓRSTWO 139</v>
          </cell>
        </row>
        <row r="268">
          <cell r="C268">
            <v>8500300</v>
          </cell>
          <cell r="D268" t="str">
            <v>KALKULACJA PRÓB TECHN. PRZETWÓRSTWO 140</v>
          </cell>
        </row>
        <row r="269">
          <cell r="C269">
            <v>8500301</v>
          </cell>
          <cell r="D269" t="str">
            <v>KALKULACJA PRÓB TECHN. PRZETWÓRSTWO 141</v>
          </cell>
        </row>
        <row r="270">
          <cell r="C270">
            <v>8500302</v>
          </cell>
          <cell r="D270" t="str">
            <v>KALKULACJA PRÓB TECHN. PRZETWÓRSTWO 142</v>
          </cell>
        </row>
        <row r="271">
          <cell r="C271">
            <v>8500303</v>
          </cell>
          <cell r="D271" t="str">
            <v>KALKULACJA PRÓB TECHN. PRZETWÓRSTWO 143</v>
          </cell>
        </row>
        <row r="272">
          <cell r="C272">
            <v>8500304</v>
          </cell>
          <cell r="D272" t="str">
            <v>KALKULACJA PRÓB TECHN. PRZETWÓRSTWO 144</v>
          </cell>
        </row>
        <row r="273">
          <cell r="C273">
            <v>8500305</v>
          </cell>
          <cell r="D273" t="str">
            <v>KALKULACJA PRÓB TECHN. PRZETWÓRSTWO 145</v>
          </cell>
        </row>
        <row r="274">
          <cell r="C274">
            <v>8500306</v>
          </cell>
          <cell r="D274" t="str">
            <v>KALKULACJA PRÓB TECHN. PRZETWÓRSTWO 146</v>
          </cell>
        </row>
        <row r="275">
          <cell r="C275">
            <v>8500307</v>
          </cell>
          <cell r="D275" t="str">
            <v>KALKULACJA PRÓB TECHN. PRZETWÓRSTWO 147</v>
          </cell>
        </row>
        <row r="276">
          <cell r="C276">
            <v>8500308</v>
          </cell>
          <cell r="D276" t="str">
            <v>KALKULACJA PRÓB TECHN. PRZETWÓRSTWO 148</v>
          </cell>
        </row>
        <row r="277">
          <cell r="C277">
            <v>8500309</v>
          </cell>
          <cell r="D277" t="str">
            <v>KALKULACJA PRÓB TECHN. PRZETWÓRSTWO 149</v>
          </cell>
        </row>
        <row r="278">
          <cell r="C278">
            <v>8500310</v>
          </cell>
          <cell r="D278" t="str">
            <v>KALKULACJA PRÓB TECHN. PRZETWÓRSTWO 150</v>
          </cell>
        </row>
        <row r="279">
          <cell r="C279">
            <v>8500370</v>
          </cell>
          <cell r="D279" t="str">
            <v>PRÓBY TECHNOLOGICZNE-PRZYPRAWY 61</v>
          </cell>
        </row>
        <row r="280">
          <cell r="C280">
            <v>8500410</v>
          </cell>
          <cell r="D280" t="str">
            <v>KALKULACJA PRÓB TECHN. PRZETWÓRSTWO 201</v>
          </cell>
        </row>
        <row r="281">
          <cell r="C281">
            <v>8500411</v>
          </cell>
          <cell r="D281" t="str">
            <v>KALKULACJA PRÓB TECHN. PRZETWÓRSTWO 202</v>
          </cell>
        </row>
        <row r="282">
          <cell r="C282">
            <v>8500412</v>
          </cell>
          <cell r="D282" t="str">
            <v>KALKULACJA PRÓB TECHN. PRZETWÓRSTWO 203</v>
          </cell>
        </row>
        <row r="283">
          <cell r="C283">
            <v>8500413</v>
          </cell>
          <cell r="D283" t="str">
            <v>KALKULACJA PRÓB TECHN. PRZETWÓRSTWO 204</v>
          </cell>
        </row>
        <row r="284">
          <cell r="C284">
            <v>8500414</v>
          </cell>
          <cell r="D284" t="str">
            <v>KALKULACJA PRÓB TECHN. PRZETWÓRSTWO 205</v>
          </cell>
        </row>
        <row r="285">
          <cell r="C285">
            <v>8500415</v>
          </cell>
          <cell r="D285" t="str">
            <v>KALKULACJA PRÓB TECHN. PRZETWÓRSTWO 206</v>
          </cell>
        </row>
        <row r="286">
          <cell r="C286">
            <v>8500416</v>
          </cell>
          <cell r="D286" t="str">
            <v>KALKULACJA PRÓB TECHN. PRZETWÓRSTWO 207</v>
          </cell>
        </row>
        <row r="287">
          <cell r="C287">
            <v>8500417</v>
          </cell>
          <cell r="D287" t="str">
            <v>KALKULACJA PRÓB TECHN. PRZETWÓRSTWO 208</v>
          </cell>
        </row>
        <row r="288">
          <cell r="C288">
            <v>8500418</v>
          </cell>
          <cell r="D288" t="str">
            <v>KALKULACJA PRÓB TECHN. PRZETWÓRSTWO 209</v>
          </cell>
        </row>
        <row r="289">
          <cell r="C289">
            <v>8500419</v>
          </cell>
          <cell r="D289" t="str">
            <v>KALKULACJA PRÓB TECHN. PRZETWÓRSTWO 210</v>
          </cell>
        </row>
        <row r="290">
          <cell r="C290">
            <v>8500420</v>
          </cell>
          <cell r="D290" t="str">
            <v>KALKULACJA PRÓB TECHN. PRZETWÓRSTWO 211</v>
          </cell>
        </row>
        <row r="291">
          <cell r="C291">
            <v>8500421</v>
          </cell>
          <cell r="D291" t="str">
            <v>KALKULACJA PRÓB TECHN. PRZETWÓRSTWO 212</v>
          </cell>
        </row>
        <row r="292">
          <cell r="C292">
            <v>8500422</v>
          </cell>
          <cell r="D292" t="str">
            <v>KALKULACJA PRÓB TECHN. PRZETWÓRSTWO 213</v>
          </cell>
        </row>
        <row r="293">
          <cell r="C293">
            <v>8500423</v>
          </cell>
          <cell r="D293" t="str">
            <v>KALKULACJA PRÓB TECHN. PRZETWÓRSTWO 214</v>
          </cell>
        </row>
        <row r="294">
          <cell r="C294">
            <v>8500424</v>
          </cell>
          <cell r="D294" t="str">
            <v>KALKULACJA PRÓB TECHN. PRZETWÓRSTWO 215</v>
          </cell>
        </row>
        <row r="295">
          <cell r="C295">
            <v>8500425</v>
          </cell>
          <cell r="D295" t="str">
            <v>KALKULACJA PRÓB TECHN. PRZETWÓRSTWO 216</v>
          </cell>
        </row>
        <row r="296">
          <cell r="C296">
            <v>8500426</v>
          </cell>
          <cell r="D296" t="str">
            <v>KALKULACJA PRÓB TECHN. PRZETWÓRSTWO 217</v>
          </cell>
        </row>
        <row r="297">
          <cell r="C297">
            <v>8500427</v>
          </cell>
          <cell r="D297" t="str">
            <v>KALKULACJA PRÓB TECHN. PRZETWÓRSTWO 218</v>
          </cell>
        </row>
        <row r="298">
          <cell r="C298">
            <v>8500428</v>
          </cell>
          <cell r="D298" t="str">
            <v>KALKULACJA PRÓB TECHN. PRZETWÓRSTWO 219</v>
          </cell>
        </row>
        <row r="299">
          <cell r="C299">
            <v>8500429</v>
          </cell>
          <cell r="D299" t="str">
            <v>KALKULACJA PRÓB TECHN. PRZETWÓRSTWO 220</v>
          </cell>
        </row>
        <row r="300">
          <cell r="C300">
            <v>8500430</v>
          </cell>
          <cell r="D300" t="str">
            <v>KALKULACJA PRÓB TECHN. PRZETWÓRSTWO 221</v>
          </cell>
        </row>
        <row r="301">
          <cell r="C301">
            <v>8500431</v>
          </cell>
          <cell r="D301" t="str">
            <v>KALKULACJA PRÓB TECHN. PRZETWÓRSTWO 222</v>
          </cell>
        </row>
        <row r="302">
          <cell r="C302">
            <v>8500432</v>
          </cell>
          <cell r="D302" t="str">
            <v>KALKULACJA PRÓB TECHN. PRZETWÓRSTWO 223</v>
          </cell>
        </row>
        <row r="303">
          <cell r="C303">
            <v>8500433</v>
          </cell>
          <cell r="D303" t="str">
            <v>KALKULACJA PRÓB TECHN. PRZETWÓRSTWO 224</v>
          </cell>
        </row>
        <row r="304">
          <cell r="C304">
            <v>8500434</v>
          </cell>
          <cell r="D304" t="str">
            <v>KALKULACJA PRÓB TECHN. PRZETWÓRSTWO 225</v>
          </cell>
        </row>
        <row r="305">
          <cell r="C305">
            <v>8500435</v>
          </cell>
          <cell r="D305" t="str">
            <v>KALKULACJA PRÓB TECHN. PRZETWÓRSTWO 226</v>
          </cell>
        </row>
        <row r="306">
          <cell r="C306">
            <v>8500436</v>
          </cell>
          <cell r="D306" t="str">
            <v>KALKULACJA PRÓB TECHN. PRZETWÓRSTWO 227</v>
          </cell>
        </row>
        <row r="307">
          <cell r="C307">
            <v>8500437</v>
          </cell>
          <cell r="D307" t="str">
            <v>KALKULACJA PRÓB TECHN. PRZETWÓRSTWO 228</v>
          </cell>
        </row>
        <row r="308">
          <cell r="C308">
            <v>8500438</v>
          </cell>
          <cell r="D308" t="str">
            <v>KALKULACJA PRÓB TECHN. PRZETWÓRSTWO 229</v>
          </cell>
        </row>
        <row r="309">
          <cell r="C309">
            <v>8500439</v>
          </cell>
          <cell r="D309" t="str">
            <v>KALKULACJA PRÓB TECHN. PRZETWÓRSTWO 230</v>
          </cell>
        </row>
        <row r="310">
          <cell r="C310">
            <v>8500442</v>
          </cell>
          <cell r="D310" t="str">
            <v>KALKULACJA PRÓB TECHN. PRZETWÓRSTWO 181</v>
          </cell>
        </row>
        <row r="311">
          <cell r="C311">
            <v>8500443</v>
          </cell>
          <cell r="D311" t="str">
            <v>KALKULACJA PRÓB TECHN. PRZETWÓRSTWO 182</v>
          </cell>
        </row>
        <row r="312">
          <cell r="C312">
            <v>8500444</v>
          </cell>
          <cell r="D312" t="str">
            <v>KALKULACJA PRÓB TECHN. PRZETWÓRSTWO 183</v>
          </cell>
        </row>
        <row r="313">
          <cell r="C313">
            <v>8500445</v>
          </cell>
          <cell r="D313" t="str">
            <v>KALKULACJA PRÓB TECHN. PRZETWÓRSTWO 184</v>
          </cell>
        </row>
        <row r="314">
          <cell r="C314">
            <v>8500446</v>
          </cell>
          <cell r="D314" t="str">
            <v>KALKULACJA PRÓB TECHN. PRZETWÓRSTWO 185</v>
          </cell>
        </row>
        <row r="315">
          <cell r="C315">
            <v>8500447</v>
          </cell>
          <cell r="D315" t="str">
            <v>KALKULACJA PRÓB TECHN. PRZETWÓRSTWO 186</v>
          </cell>
        </row>
        <row r="316">
          <cell r="C316">
            <v>8500448</v>
          </cell>
          <cell r="D316" t="str">
            <v>KALKULACJA PRÓB TECHN. PRZETWÓRSTWO 187</v>
          </cell>
        </row>
        <row r="317">
          <cell r="C317">
            <v>8500449</v>
          </cell>
          <cell r="D317" t="str">
            <v>KALKULACJA PRÓB TECHN. PRZETWÓRSTWO 188</v>
          </cell>
        </row>
        <row r="318">
          <cell r="C318">
            <v>8500450</v>
          </cell>
          <cell r="D318" t="str">
            <v>KALKULACJA PRÓB TECHN. PRZETWÓRSTWO 189</v>
          </cell>
        </row>
        <row r="319">
          <cell r="C319">
            <v>8500451</v>
          </cell>
          <cell r="D319" t="str">
            <v>KALKULACJA PRÓB TECHN. PRZETWÓRSTWO 190</v>
          </cell>
        </row>
        <row r="320">
          <cell r="C320">
            <v>8500452</v>
          </cell>
          <cell r="D320" t="str">
            <v>KALKULACJA PRÓB TECHN. PRZETWÓRSTWO 191</v>
          </cell>
        </row>
        <row r="321">
          <cell r="C321">
            <v>8500453</v>
          </cell>
          <cell r="D321" t="str">
            <v>KALKULACJA PRÓB TECHN. PRZETWÓRSTWO 192</v>
          </cell>
        </row>
        <row r="322">
          <cell r="C322">
            <v>8500454</v>
          </cell>
          <cell r="D322" t="str">
            <v>KALKULACJA PRÓB TECHN. PRZETWÓRSTWO 193</v>
          </cell>
        </row>
        <row r="323">
          <cell r="C323">
            <v>8500455</v>
          </cell>
          <cell r="D323" t="str">
            <v>KALKULACJA PRÓB TECHN. PRZETWÓRSTWO 194</v>
          </cell>
        </row>
        <row r="324">
          <cell r="C324">
            <v>8500456</v>
          </cell>
          <cell r="D324" t="str">
            <v>KALKULACJA PRÓB TECHN. PRZETWÓRSTWO 195</v>
          </cell>
        </row>
        <row r="325">
          <cell r="C325">
            <v>8500457</v>
          </cell>
          <cell r="D325" t="str">
            <v>KALKULACJA PRÓB TECHN. PRZETWÓRSTWO 196</v>
          </cell>
        </row>
        <row r="326">
          <cell r="C326">
            <v>8500458</v>
          </cell>
          <cell r="D326" t="str">
            <v>KALKULACJA PRÓB TECHN. PRZETWÓRSTWO 197</v>
          </cell>
        </row>
        <row r="327">
          <cell r="C327">
            <v>8500459</v>
          </cell>
          <cell r="D327" t="str">
            <v>KALKULACJA PRÓB TECHN. PRZETWÓRSTWO 198</v>
          </cell>
        </row>
        <row r="328">
          <cell r="C328">
            <v>8500460</v>
          </cell>
          <cell r="D328" t="str">
            <v>KALKULACJA PRÓB TECHN. PRZETWÓRSTWO 199</v>
          </cell>
        </row>
        <row r="329">
          <cell r="C329">
            <v>8500461</v>
          </cell>
          <cell r="D329" t="str">
            <v>KALKULACJA PRÓB TECHN. PRZETWÓRSTWO 200</v>
          </cell>
        </row>
        <row r="330">
          <cell r="C330">
            <v>8500462</v>
          </cell>
          <cell r="D330" t="str">
            <v>KALKULACJA PRÓB TECHN. PRZETWÓRSTWO 201</v>
          </cell>
        </row>
        <row r="331">
          <cell r="C331">
            <v>8500463</v>
          </cell>
          <cell r="D331" t="str">
            <v>KALKULACJA PRÓB TECHN. PRZETWÓRSTWO 202</v>
          </cell>
        </row>
        <row r="332">
          <cell r="C332">
            <v>8500464</v>
          </cell>
          <cell r="D332" t="str">
            <v>KALKULACJA PRÓB TECHN. PRZETWÓRSTWO 203</v>
          </cell>
        </row>
        <row r="333">
          <cell r="C333">
            <v>8500465</v>
          </cell>
          <cell r="D333" t="str">
            <v>KALKULACJA PRÓB TECHN. PRZETWÓRSTWO 204</v>
          </cell>
        </row>
        <row r="334">
          <cell r="C334">
            <v>8500466</v>
          </cell>
          <cell r="D334" t="str">
            <v>KALKULACJA PRÓB TECHN. PRZETWÓRSTWO 205</v>
          </cell>
        </row>
        <row r="335">
          <cell r="C335">
            <v>8500467</v>
          </cell>
          <cell r="D335" t="str">
            <v>KALKULACJA PRÓB TECHN. PRZETWÓRSTWO 206</v>
          </cell>
        </row>
        <row r="336">
          <cell r="C336">
            <v>8500468</v>
          </cell>
          <cell r="D336" t="str">
            <v>KALKULACJA PRÓB TECHN. PRZETWÓRSTWO 207</v>
          </cell>
        </row>
        <row r="337">
          <cell r="C337">
            <v>8500469</v>
          </cell>
          <cell r="D337" t="str">
            <v>KALKULACJA PRÓB TECHN. PRZETWÓRSTWO 208</v>
          </cell>
        </row>
        <row r="338">
          <cell r="C338">
            <v>8500470</v>
          </cell>
          <cell r="D338" t="str">
            <v>KALKULACJA PRÓB TECHN. PRZETWÓRSTWO 209</v>
          </cell>
        </row>
        <row r="339">
          <cell r="C339">
            <v>8500471</v>
          </cell>
          <cell r="D339" t="str">
            <v>KALKULACJA PRÓB TECHN. PRZETWÓRSTWO 210</v>
          </cell>
        </row>
        <row r="340">
          <cell r="C340">
            <v>8500472</v>
          </cell>
          <cell r="D340" t="str">
            <v>KALKULACJA PRÓB TECHN. PRZETWÓRSTWO 211</v>
          </cell>
        </row>
        <row r="341">
          <cell r="C341">
            <v>8500473</v>
          </cell>
          <cell r="D341" t="str">
            <v>KALKULACJA PRÓB TECHN. PRZETWÓRSTWO 212</v>
          </cell>
        </row>
        <row r="342">
          <cell r="C342">
            <v>8500474</v>
          </cell>
          <cell r="D342" t="str">
            <v>KALKULACJA PRÓB TECHN. PRZETWÓRSTWO 213</v>
          </cell>
        </row>
        <row r="343">
          <cell r="C343">
            <v>8500475</v>
          </cell>
          <cell r="D343" t="str">
            <v>KALKULACJA PRÓB TECHN. PRZETWÓRSTWO 214</v>
          </cell>
        </row>
        <row r="344">
          <cell r="C344">
            <v>8500476</v>
          </cell>
          <cell r="D344" t="str">
            <v>KALKULACJA PRÓB TECHN. PRZETWÓRSTWO 215</v>
          </cell>
        </row>
        <row r="345">
          <cell r="C345">
            <v>8500477</v>
          </cell>
          <cell r="D345" t="str">
            <v>KALKULACJA PRÓB TECHN. PRZETWÓRSTWO 216</v>
          </cell>
        </row>
        <row r="346">
          <cell r="C346">
            <v>8500478</v>
          </cell>
          <cell r="D346" t="str">
            <v>KALKULACJA PRÓB TECHN. PRZETWÓRSTWO 217</v>
          </cell>
        </row>
        <row r="347">
          <cell r="C347">
            <v>8500479</v>
          </cell>
          <cell r="D347" t="str">
            <v>KALKULACJA PRÓB TECHN. PRZETWÓRSTWO 218</v>
          </cell>
        </row>
        <row r="348">
          <cell r="C348">
            <v>8500480</v>
          </cell>
          <cell r="D348" t="str">
            <v>KALKULACJA PRÓB TECHN. PRZETWÓRSTWO 219</v>
          </cell>
        </row>
        <row r="349">
          <cell r="C349">
            <v>8500481</v>
          </cell>
          <cell r="D349" t="str">
            <v>KALKULACJA PRÓB TECHN. PRZETWÓRSTWO 220</v>
          </cell>
        </row>
        <row r="350">
          <cell r="C350">
            <v>8500482</v>
          </cell>
          <cell r="D350" t="str">
            <v>KALKULACJA PRÓB TECHN. PRZETWÓRSTWO 221</v>
          </cell>
        </row>
        <row r="351">
          <cell r="C351">
            <v>8500483</v>
          </cell>
          <cell r="D351" t="str">
            <v>KALKULACJA PRÓB TECHN. PRZETWÓRSTWO 222</v>
          </cell>
        </row>
        <row r="352">
          <cell r="C352">
            <v>8500484</v>
          </cell>
          <cell r="D352" t="str">
            <v>KALKULACJA PRÓB TECHN. PRZETWÓRSTWO 223</v>
          </cell>
        </row>
        <row r="353">
          <cell r="C353">
            <v>8500485</v>
          </cell>
          <cell r="D353" t="str">
            <v>KALKULACJA PRÓB TECHN. PRZETWÓRSTWO 224</v>
          </cell>
        </row>
        <row r="354">
          <cell r="C354">
            <v>8500486</v>
          </cell>
          <cell r="D354" t="str">
            <v>KALKULACJA PRÓB TECHN. PRZETWÓRSTWO 225</v>
          </cell>
        </row>
        <row r="355">
          <cell r="C355">
            <v>8500487</v>
          </cell>
          <cell r="D355" t="str">
            <v>KALKULACJA PRÓB TECHN. PRZETWÓRSTWO 226</v>
          </cell>
        </row>
        <row r="356">
          <cell r="C356">
            <v>8500488</v>
          </cell>
          <cell r="D356" t="str">
            <v>KALKULACJA PRÓB TECHN. PRZETWÓRSTWO 227</v>
          </cell>
        </row>
        <row r="357">
          <cell r="C357">
            <v>8500489</v>
          </cell>
          <cell r="D357" t="str">
            <v>KALKULACJA PRÓB TECHN. PRZETWÓRSTWO 228</v>
          </cell>
        </row>
        <row r="358">
          <cell r="C358">
            <v>8500490</v>
          </cell>
          <cell r="D358" t="str">
            <v>KALKULACJA PRÓB TECHN. PRZETWÓRSTWO 229</v>
          </cell>
        </row>
        <row r="359">
          <cell r="C359">
            <v>8500491</v>
          </cell>
          <cell r="D359" t="str">
            <v>KALKULACJA PRÓB TECHN. PRZETWÓRSTWO 230</v>
          </cell>
        </row>
        <row r="360">
          <cell r="C360">
            <v>8500492</v>
          </cell>
          <cell r="D360" t="str">
            <v>KALKULACJA PRÓB TECHN. PRZETWÓRSTWO 231</v>
          </cell>
        </row>
        <row r="361">
          <cell r="C361">
            <v>8500493</v>
          </cell>
          <cell r="D361" t="str">
            <v>KALKULACJA PRÓB TECHN. PRZETWÓRSTWO 232</v>
          </cell>
        </row>
        <row r="362">
          <cell r="C362">
            <v>8500494</v>
          </cell>
          <cell r="D362" t="str">
            <v>KALKULACJA PRÓB TECHN. PRZETWÓRSTWO 233</v>
          </cell>
        </row>
        <row r="363">
          <cell r="C363">
            <v>8500495</v>
          </cell>
          <cell r="D363" t="str">
            <v>KALKULACJA PRÓB TECHN. PRZETWÓRSTWO 234</v>
          </cell>
        </row>
        <row r="364">
          <cell r="C364">
            <v>8500496</v>
          </cell>
          <cell r="D364" t="str">
            <v>KALKULACJA PRÓB TECHN. PRZETWÓRSTWO 235</v>
          </cell>
        </row>
        <row r="365">
          <cell r="C365">
            <v>8500497</v>
          </cell>
          <cell r="D365" t="str">
            <v>KALKULACJA PRÓB TECHN. PRZETWÓRSTWO 236</v>
          </cell>
        </row>
        <row r="366">
          <cell r="C366">
            <v>8500498</v>
          </cell>
          <cell r="D366" t="str">
            <v>KALKULACJA PRÓB TECHN. PRZETWÓRSTWO 237</v>
          </cell>
        </row>
        <row r="367">
          <cell r="C367">
            <v>8500499</v>
          </cell>
          <cell r="D367" t="str">
            <v>KALKULACJA PRÓB TECHN. PRZETWÓRSTWO 238</v>
          </cell>
        </row>
        <row r="368">
          <cell r="C368">
            <v>8500500</v>
          </cell>
          <cell r="D368" t="str">
            <v>KALKULACJA PRÓB TECHN. PRZETWÓRSTWO 239</v>
          </cell>
        </row>
        <row r="369">
          <cell r="C369">
            <v>8500501</v>
          </cell>
          <cell r="D369" t="str">
            <v>KALKULACJA PRÓB TECHN.PRZETWÓRSTWO 240G</v>
          </cell>
        </row>
        <row r="370">
          <cell r="C370">
            <v>8500502</v>
          </cell>
          <cell r="D370" t="str">
            <v>KALKULACJA PRÓB TECHN. PRZETWÓRSTWO 241</v>
          </cell>
        </row>
        <row r="371">
          <cell r="C371">
            <v>8500503</v>
          </cell>
          <cell r="D371" t="str">
            <v>KALKULACJA PRÓB TECHN. PRZETWÓRSTWO 242</v>
          </cell>
        </row>
        <row r="372">
          <cell r="C372">
            <v>8500504</v>
          </cell>
          <cell r="D372" t="str">
            <v>KALKULACJA PRÓB TECHN. PRZETWÓRSTWO 243</v>
          </cell>
        </row>
        <row r="373">
          <cell r="C373">
            <v>8500505</v>
          </cell>
          <cell r="D373" t="str">
            <v>KALKULACJA PRÓB TECHN. PRZETWÓRSTWO 244</v>
          </cell>
        </row>
        <row r="374">
          <cell r="C374">
            <v>8500506</v>
          </cell>
          <cell r="D374" t="str">
            <v>KALKULACJA PRÓB TECHN. PRZETWÓRSTWO 245</v>
          </cell>
        </row>
        <row r="375">
          <cell r="C375">
            <v>8500507</v>
          </cell>
          <cell r="D375" t="str">
            <v>KALKULACJA PRÓB TECHN. PRZETWÓRSTWO 246</v>
          </cell>
        </row>
        <row r="376">
          <cell r="C376">
            <v>8500508</v>
          </cell>
          <cell r="D376" t="str">
            <v>KALKULACJA PRÓB TECHN. PRZETWÓRSTWO 247</v>
          </cell>
        </row>
        <row r="377">
          <cell r="C377">
            <v>8500509</v>
          </cell>
          <cell r="D377" t="str">
            <v>KALKULACJA PRÓB TECHN. PRZETWÓRSTWO 248</v>
          </cell>
        </row>
        <row r="378">
          <cell r="C378">
            <v>8500510</v>
          </cell>
          <cell r="D378" t="str">
            <v>KALKULACJA PRÓB TECHN. PRZETWÓRSTWO 249</v>
          </cell>
        </row>
        <row r="379">
          <cell r="C379">
            <v>8500511</v>
          </cell>
          <cell r="D379" t="str">
            <v>KALKULACJA PRÓB TECHN. PRZETWÓRSTWO 250</v>
          </cell>
        </row>
        <row r="380">
          <cell r="C380">
            <v>8500512</v>
          </cell>
          <cell r="D380" t="str">
            <v>KALKULACJA PRÓB TECHN. PRZETWÓRSTWO 251</v>
          </cell>
        </row>
        <row r="381">
          <cell r="C381">
            <v>8500513</v>
          </cell>
          <cell r="D381" t="str">
            <v>KALKULACJA PRÓB TECHN. PRZETWÓRSTWO 252</v>
          </cell>
        </row>
        <row r="382">
          <cell r="C382">
            <v>8500514</v>
          </cell>
          <cell r="D382" t="str">
            <v>KALKULACJA PRÓB TECHN. PRZETWÓRSTWO 253</v>
          </cell>
        </row>
        <row r="383">
          <cell r="C383">
            <v>8500515</v>
          </cell>
          <cell r="D383" t="str">
            <v>KALKULACJA PRÓB TECHN. PRZETWÓRSTWO 254</v>
          </cell>
        </row>
        <row r="384">
          <cell r="C384">
            <v>8500516</v>
          </cell>
          <cell r="D384" t="str">
            <v>KALKULACJA PRÓB TECHN. PRZETWÓRSTWO 255</v>
          </cell>
        </row>
        <row r="385">
          <cell r="C385">
            <v>8500518</v>
          </cell>
          <cell r="D385" t="str">
            <v>KALKULACJA PRÓB TECHN. PRZETWÓRSTWO 257</v>
          </cell>
        </row>
        <row r="386">
          <cell r="C386">
            <v>8500519</v>
          </cell>
          <cell r="D386" t="str">
            <v>KALKULACJA PRÓB TECHN. PRZETWÓRSTWO 258</v>
          </cell>
        </row>
        <row r="387">
          <cell r="C387">
            <v>8500520</v>
          </cell>
          <cell r="D387" t="str">
            <v>KALKULACJA PRÓB TECHN. PRZETWÓRSTWO 259</v>
          </cell>
        </row>
        <row r="388">
          <cell r="C388">
            <v>8500521</v>
          </cell>
          <cell r="D388" t="str">
            <v>KALKULACJA PRÓB TECHN. PRZETWÓRSTWO 260</v>
          </cell>
        </row>
        <row r="389">
          <cell r="C389">
            <v>8500522</v>
          </cell>
          <cell r="D389" t="str">
            <v>KALKULACJA PRÓB TECHN. PRZETWÓRSTWO 261</v>
          </cell>
        </row>
        <row r="390">
          <cell r="C390">
            <v>8500523</v>
          </cell>
          <cell r="D390" t="str">
            <v>KALKULACJA PRÓB TECHN. PRZETWÓRSTWO 262</v>
          </cell>
        </row>
        <row r="391">
          <cell r="C391">
            <v>8500524</v>
          </cell>
          <cell r="D391" t="str">
            <v>KALKULACJA PRÓB TECHN. PRZETWÓRSTWO 263</v>
          </cell>
        </row>
        <row r="392">
          <cell r="C392">
            <v>8500526</v>
          </cell>
          <cell r="D392" t="str">
            <v>KALKULACJA PRÓB TECHN. PRZETWÓRSTWO 265</v>
          </cell>
        </row>
        <row r="393">
          <cell r="C393">
            <v>8500527</v>
          </cell>
          <cell r="D393" t="str">
            <v>KALKULACJA PRÓB TECHN. PRZETWÓRSTWO 266</v>
          </cell>
        </row>
        <row r="394">
          <cell r="C394">
            <v>8500528</v>
          </cell>
          <cell r="D394" t="str">
            <v>KALKULACJA PRÓB TECHN. PRZETWÓRSTWO 267</v>
          </cell>
        </row>
        <row r="395">
          <cell r="C395">
            <v>8500529</v>
          </cell>
          <cell r="D395" t="str">
            <v>KALKULACJA PRÓB TECHN. PRZETWÓRSTWO 268</v>
          </cell>
        </row>
        <row r="396">
          <cell r="C396">
            <v>8500530</v>
          </cell>
          <cell r="D396" t="str">
            <v>KALKULACJA PRÓB TECHN. PRZETWÓRSTWO 269</v>
          </cell>
        </row>
        <row r="397">
          <cell r="C397">
            <v>8500531</v>
          </cell>
          <cell r="D397" t="str">
            <v>KALKULACJA PRÓB TECHN. PRZETWÓRSTWO 270</v>
          </cell>
        </row>
        <row r="398">
          <cell r="C398">
            <v>8500532</v>
          </cell>
          <cell r="D398" t="str">
            <v>KALKULACJA PRÓB TECHN. PRZETWÓRSTWO 271</v>
          </cell>
        </row>
        <row r="399">
          <cell r="C399">
            <v>8500533</v>
          </cell>
          <cell r="D399" t="str">
            <v>KALKULACJA PRÓB TECHN. PRZETWÓRSTWO 272</v>
          </cell>
        </row>
        <row r="400">
          <cell r="C400">
            <v>8500534</v>
          </cell>
          <cell r="D400" t="str">
            <v>KALKULACJA PRÓB TECHN. PRZETWÓRSTWO 273</v>
          </cell>
        </row>
        <row r="401">
          <cell r="C401">
            <v>8500535</v>
          </cell>
          <cell r="D401" t="str">
            <v>KALKULACJA PRÓB TECHN. PRZETWÓRSTWO 274</v>
          </cell>
        </row>
        <row r="402">
          <cell r="C402">
            <v>8500536</v>
          </cell>
          <cell r="D402" t="str">
            <v>KALKULACJA PRÓB TECHN. PRZETWÓRSTWO 275</v>
          </cell>
        </row>
        <row r="403">
          <cell r="C403">
            <v>8500537</v>
          </cell>
          <cell r="D403" t="str">
            <v>KALKULACJA PRÓB TECHN. PRZETWÓRSTWO 276</v>
          </cell>
        </row>
        <row r="404">
          <cell r="C404">
            <v>8500538</v>
          </cell>
          <cell r="D404" t="str">
            <v>KALKULACJA PRÓB TECHN. PRZETWÓRSTWO 277</v>
          </cell>
        </row>
        <row r="405">
          <cell r="C405">
            <v>8500539</v>
          </cell>
          <cell r="D405" t="str">
            <v>KALKULACJA PRÓB TECHN. PRZETWÓRSTWO 278</v>
          </cell>
        </row>
        <row r="406">
          <cell r="C406">
            <v>8500540</v>
          </cell>
          <cell r="D406" t="str">
            <v>KALKULACJA PRÓB TECHN. PRZETWÓRSTWO 279</v>
          </cell>
        </row>
        <row r="407">
          <cell r="C407">
            <v>8500541</v>
          </cell>
          <cell r="D407" t="str">
            <v>KALKULACJA PRÓB TECHN. PRZETWÓRSTWO 280</v>
          </cell>
        </row>
        <row r="408">
          <cell r="C408">
            <v>8501180</v>
          </cell>
          <cell r="D408" t="str">
            <v>KALKULACJA PRÓB TECHN.PRZETW.240G_1</v>
          </cell>
        </row>
        <row r="409">
          <cell r="C409">
            <v>8501460</v>
          </cell>
          <cell r="D409" t="str">
            <v>KALKULACJA PRÓB TECHN.PRZETWÓRSTWO34.2G</v>
          </cell>
        </row>
        <row r="410">
          <cell r="C410">
            <v>3014957</v>
          </cell>
          <cell r="D410" t="str">
            <v>PŁT.WP.PEŁNE TUCZNIK KLS CP</v>
          </cell>
        </row>
        <row r="411">
          <cell r="C411">
            <v>3014958</v>
          </cell>
          <cell r="D411" t="str">
            <v>PŁT.WP.PEŁNE TUCZNIK KLS CH</v>
          </cell>
        </row>
        <row r="412">
          <cell r="C412">
            <v>3011238</v>
          </cell>
          <cell r="D412" t="str">
            <v>***PŁT.WP.PEŁNE TUCZNIKI KL.S MR</v>
          </cell>
        </row>
        <row r="413">
          <cell r="C413">
            <v>3016158</v>
          </cell>
          <cell r="D413" t="str">
            <v>PÓŁTUSZ WP.B/GŁ.KL.S CH</v>
          </cell>
        </row>
        <row r="414">
          <cell r="C414">
            <v>3012206</v>
          </cell>
          <cell r="D414" t="str">
            <v>PŁT.WP.PEŁNE TUCZNIK KL.S ZAK</v>
          </cell>
        </row>
        <row r="415">
          <cell r="C415">
            <v>3011239</v>
          </cell>
          <cell r="D415" t="str">
            <v>***PŁT. WP.PEŁNE TUCZNIKI KL.S DMR</v>
          </cell>
        </row>
        <row r="416">
          <cell r="C416">
            <v>3011250</v>
          </cell>
          <cell r="D416" t="str">
            <v>***PŁT.WP.PEŁNE TUCZNIKI KL.S RO</v>
          </cell>
        </row>
        <row r="417">
          <cell r="C417">
            <v>3014959</v>
          </cell>
          <cell r="D417" t="str">
            <v>PŁT.WP.PEŁNE TUCZNIK KLE CP</v>
          </cell>
        </row>
        <row r="418">
          <cell r="C418">
            <v>3014980</v>
          </cell>
          <cell r="D418" t="str">
            <v>PŁT.WP.PEŁNE TUCZNIK KLE CH</v>
          </cell>
        </row>
        <row r="419">
          <cell r="C419">
            <v>3011255</v>
          </cell>
          <cell r="D419" t="str">
            <v>***PŁT.WP.PEŁNE TUCZNIKI KL.E MR</v>
          </cell>
        </row>
        <row r="420">
          <cell r="C420">
            <v>3016159</v>
          </cell>
          <cell r="D420" t="str">
            <v>PÓŁTUSZ WP.B/GŁ.KL.E CH</v>
          </cell>
        </row>
        <row r="421">
          <cell r="C421">
            <v>3012207</v>
          </cell>
          <cell r="D421" t="str">
            <v>PŁT.WP.PEŁNE TUCZNIK KL.E ZAK</v>
          </cell>
        </row>
        <row r="422">
          <cell r="C422">
            <v>3011256</v>
          </cell>
          <cell r="D422" t="str">
            <v>***PŁT.WP.PEŁNE TUCZNIKI KL.E DMR</v>
          </cell>
        </row>
        <row r="423">
          <cell r="C423">
            <v>3011251</v>
          </cell>
          <cell r="D423" t="str">
            <v>***PŁT.WP.PEŁNE TUCZNIKI KL.E RO</v>
          </cell>
        </row>
        <row r="424">
          <cell r="C424">
            <v>3014981</v>
          </cell>
          <cell r="D424" t="str">
            <v>PŁT.WP.PEŁNE TUCZNIK KLU CP</v>
          </cell>
        </row>
        <row r="425">
          <cell r="C425">
            <v>3014982</v>
          </cell>
          <cell r="D425" t="str">
            <v>PŁT.WP.PEŁNE TUCZNIK KL.U CH</v>
          </cell>
        </row>
        <row r="426">
          <cell r="C426">
            <v>3011252</v>
          </cell>
          <cell r="D426" t="str">
            <v>***PŁT.WP.PEŁNE TUCZNIKI KL.U MR</v>
          </cell>
        </row>
        <row r="427">
          <cell r="C427">
            <v>3016170</v>
          </cell>
          <cell r="D427" t="str">
            <v>PÓŁTUSZ WP. B/GŁ. KL. U CH</v>
          </cell>
        </row>
        <row r="428">
          <cell r="C428">
            <v>3012205</v>
          </cell>
          <cell r="D428" t="str">
            <v>PŁT.WP.PEŁNE TUCZNIK KL.U ZAK</v>
          </cell>
        </row>
        <row r="429">
          <cell r="C429">
            <v>3011254</v>
          </cell>
          <cell r="D429" t="str">
            <v>***PŁT. WP.PEŁNE TUCZNIKI KL.U DMR</v>
          </cell>
        </row>
        <row r="430">
          <cell r="C430">
            <v>3011253</v>
          </cell>
          <cell r="D430" t="str">
            <v>***PŁT.WP.PEŁNE TUCZNIKI KL.U RO</v>
          </cell>
        </row>
        <row r="431">
          <cell r="C431">
            <v>3014983</v>
          </cell>
          <cell r="D431" t="str">
            <v>PŁT.WP.PEŁNE TUCZNIK KLR CP</v>
          </cell>
        </row>
        <row r="432">
          <cell r="C432">
            <v>3014984</v>
          </cell>
          <cell r="D432" t="str">
            <v>PŁT.WP.PEŁNE TUCZNIK KLR CH</v>
          </cell>
        </row>
        <row r="433">
          <cell r="C433">
            <v>4003721</v>
          </cell>
          <cell r="D433" t="str">
            <v>***PŁT.WP. B/GŁ KL.R</v>
          </cell>
        </row>
        <row r="434">
          <cell r="C434">
            <v>3016171</v>
          </cell>
          <cell r="D434" t="str">
            <v>PÓŁTUSZ WP.B/GŁ.KL.R CH</v>
          </cell>
        </row>
        <row r="435">
          <cell r="C435">
            <v>3014985</v>
          </cell>
          <cell r="D435" t="str">
            <v>PŁT.WP.PEŁNE TUCZNIK KLO CP</v>
          </cell>
        </row>
        <row r="436">
          <cell r="C436">
            <v>3014986</v>
          </cell>
          <cell r="D436" t="str">
            <v>PŁT.WP.PEŁNE TUCZNIK KLO CH</v>
          </cell>
        </row>
        <row r="437">
          <cell r="C437">
            <v>3016172</v>
          </cell>
          <cell r="D437" t="str">
            <v>PÓŁTUSZ WP.B/GŁ.KL.O CH</v>
          </cell>
        </row>
        <row r="438">
          <cell r="C438">
            <v>3007428</v>
          </cell>
          <cell r="D438" t="str">
            <v>PŁT.WP.PEŁNE TUCZNIK KLP CP</v>
          </cell>
        </row>
        <row r="439">
          <cell r="C439">
            <v>3007429</v>
          </cell>
          <cell r="D439" t="str">
            <v>PŁT.WP.PEŁNE TUCZNIK KLP CH</v>
          </cell>
        </row>
        <row r="440">
          <cell r="C440">
            <v>3016173</v>
          </cell>
          <cell r="D440" t="str">
            <v>PÓŁTUSZ WP.B/GŁ.KL.P CH</v>
          </cell>
        </row>
        <row r="441">
          <cell r="C441">
            <v>3014987</v>
          </cell>
          <cell r="D441" t="str">
            <v>PŁT.WP.PEŁNE WARCHLAK KLA CP</v>
          </cell>
        </row>
        <row r="442">
          <cell r="C442">
            <v>3014988</v>
          </cell>
          <cell r="D442" t="str">
            <v>PŁT.WP.PEŁNE WARCHLAK KLA CH</v>
          </cell>
        </row>
        <row r="443">
          <cell r="C443">
            <v>3016815</v>
          </cell>
          <cell r="D443" t="str">
            <v>PŁT.WP.B/GŁ.WARCHLAK KLA CH</v>
          </cell>
        </row>
        <row r="444">
          <cell r="C444">
            <v>3014989</v>
          </cell>
          <cell r="D444" t="str">
            <v>PŁT.WP.PEŁNE TUCZNIK CIĘŻKI KLC CP</v>
          </cell>
        </row>
        <row r="445">
          <cell r="C445">
            <v>3014990</v>
          </cell>
          <cell r="D445" t="str">
            <v>PŁT.WP.PEŁNE TUCZNIK CIĘŻKI KLC CH</v>
          </cell>
        </row>
        <row r="446">
          <cell r="C446">
            <v>3016469</v>
          </cell>
          <cell r="D446" t="str">
            <v>PŁT.WP.B/GŁ.TUCZNIK CIĘŻKI KL.C CH</v>
          </cell>
        </row>
        <row r="447">
          <cell r="C447">
            <v>3014991</v>
          </cell>
          <cell r="D447" t="str">
            <v>PŁT.WP.PEŁNE MACIORA KLD CP</v>
          </cell>
        </row>
        <row r="448">
          <cell r="C448">
            <v>3014992</v>
          </cell>
          <cell r="D448" t="str">
            <v>PŁT.WP.PEŁNE MACIORA KLD CH</v>
          </cell>
        </row>
        <row r="449">
          <cell r="C449">
            <v>3016814</v>
          </cell>
          <cell r="D449" t="str">
            <v>PŁT.WP.B/GŁ.MACIORA KL.D CH</v>
          </cell>
        </row>
        <row r="450">
          <cell r="C450">
            <v>3035099</v>
          </cell>
          <cell r="D450" t="str">
            <v>PŁT.WP.B/GŁ.MACIORA CH ZAK</v>
          </cell>
        </row>
        <row r="451">
          <cell r="C451">
            <v>4026035</v>
          </cell>
          <cell r="D451" t="str">
            <v>PŁT.WP.B/GŁ.MACIORA OK500KG OKT</v>
          </cell>
        </row>
        <row r="452">
          <cell r="C452">
            <v>3014994</v>
          </cell>
          <cell r="D452" t="str">
            <v>PŁT.WP.PEŁNE TUCZNIK KL.MDP CP</v>
          </cell>
        </row>
        <row r="453">
          <cell r="C453">
            <v>3014995</v>
          </cell>
          <cell r="D453" t="str">
            <v>PŁT.WP.PEŁNE TUCZNIK KL.MDP CH</v>
          </cell>
        </row>
        <row r="454">
          <cell r="C454">
            <v>3016243</v>
          </cell>
          <cell r="D454" t="str">
            <v>PÓŁTUSZA WP.B/GŁ KL.MDP CH</v>
          </cell>
        </row>
        <row r="455">
          <cell r="C455">
            <v>1200070</v>
          </cell>
          <cell r="D455" t="str">
            <v>***PŁT.WP.SKONFISK. CP</v>
          </cell>
        </row>
        <row r="456">
          <cell r="C456">
            <v>1100168</v>
          </cell>
          <cell r="D456" t="str">
            <v>PÓŁTUSZA WP. LUZ PJ CH -MAT.KAT.3</v>
          </cell>
        </row>
        <row r="457">
          <cell r="C457">
            <v>3034721</v>
          </cell>
          <cell r="D457" t="str">
            <v>PŁT.WP.PEŁNE TUCZNIK CH</v>
          </cell>
        </row>
        <row r="458">
          <cell r="C458">
            <v>3036166</v>
          </cell>
          <cell r="D458" t="str">
            <v>PŁT.WP.B/GŁ.TUCZNIK CH</v>
          </cell>
        </row>
        <row r="459">
          <cell r="C459">
            <v>3012371</v>
          </cell>
          <cell r="D459" t="str">
            <v>***SCH.WP.B/K/TŁ/M.CZWOROBOCZNEGO CH USR</v>
          </cell>
        </row>
        <row r="460">
          <cell r="C460">
            <v>3022687</v>
          </cell>
          <cell r="D460" t="str">
            <v>SCH.WP.B/K/TŁ/M.CZWOROBOCZNEGO NB MR ST</v>
          </cell>
        </row>
        <row r="461">
          <cell r="C461">
            <v>3029089</v>
          </cell>
          <cell r="D461" t="str">
            <v>***SCH.WP.B/K/TŁ/M.CZWOR.OK500PBX CH ST</v>
          </cell>
        </row>
        <row r="462">
          <cell r="C462">
            <v>4010004</v>
          </cell>
          <cell r="D462" t="str">
            <v>PL SCH.B/K.1STVAC OK8KGKT MOR EX</v>
          </cell>
        </row>
        <row r="463">
          <cell r="C463">
            <v>4010536</v>
          </cell>
          <cell r="D463" t="str">
            <v>***PL SCH.B/K.1/2ST TRM OK8KG KT MOR EX</v>
          </cell>
        </row>
        <row r="464">
          <cell r="C464">
            <v>3012458</v>
          </cell>
          <cell r="D464" t="str">
            <v>PL SCH.B/K/M.BIOD/CZWOR.OK15KGWOR PJ ST</v>
          </cell>
        </row>
        <row r="465">
          <cell r="C465">
            <v>3040939</v>
          </cell>
          <cell r="D465" t="str">
            <v>PL SCH.B/K/BIOD/CZWOR.PBX ST</v>
          </cell>
        </row>
        <row r="466">
          <cell r="C466">
            <v>3022662</v>
          </cell>
          <cell r="D466" t="str">
            <v>PL SCH.B/K/BIOD/CZWOR.OK15KG NB DMR</v>
          </cell>
        </row>
        <row r="467">
          <cell r="C467">
            <v>3036588</v>
          </cell>
          <cell r="D467" t="str">
            <v>SCH.B/K/MŚ.BIOD/CZWOR.RO1</v>
          </cell>
        </row>
        <row r="468">
          <cell r="C468">
            <v>3036589</v>
          </cell>
          <cell r="D468" t="str">
            <v>SCH.B/K/MŚ.BIOD/CZWOR.RO2</v>
          </cell>
        </row>
        <row r="469">
          <cell r="C469">
            <v>4012016</v>
          </cell>
          <cell r="D469" t="str">
            <v>***EU SCH.B/K.1ST TRM OK8 KG KT MOR EX</v>
          </cell>
        </row>
        <row r="470">
          <cell r="C470">
            <v>4012045</v>
          </cell>
          <cell r="D470" t="str">
            <v>***EU SCH.B/K.1/2ST TRM OK8KG KT MOR EX</v>
          </cell>
        </row>
        <row r="471">
          <cell r="C471">
            <v>3038683</v>
          </cell>
          <cell r="D471" t="str">
            <v>EU SCH.B/K/BIOD/CZWOR.OK15KGWOR PJ ST</v>
          </cell>
        </row>
        <row r="472">
          <cell r="C472">
            <v>3040158</v>
          </cell>
          <cell r="D472" t="str">
            <v>PP SCH.B/K/MŚ.BIOD/CZWOR.OK15KG NB MR ST</v>
          </cell>
        </row>
        <row r="473">
          <cell r="C473">
            <v>3039216</v>
          </cell>
          <cell r="D473" t="str">
            <v>PP SCH.B/K/BIOD/CZWOR.OK15KGWOR PJ ST</v>
          </cell>
        </row>
        <row r="474">
          <cell r="C474">
            <v>3040960</v>
          </cell>
          <cell r="D474" t="str">
            <v>PP SCH.B/K/M.BIOD/CZWOR.PBX ST</v>
          </cell>
        </row>
        <row r="475">
          <cell r="C475">
            <v>3040155</v>
          </cell>
          <cell r="D475" t="str">
            <v>PP SCH.B/K/MŚ.BIOD/CZWOR.OK15KG NB DMR</v>
          </cell>
        </row>
        <row r="476">
          <cell r="C476">
            <v>3040156</v>
          </cell>
          <cell r="D476" t="str">
            <v>PP SCH.B/K/MŚ.BIOD/CZWOR.RO1</v>
          </cell>
        </row>
        <row r="477">
          <cell r="C477">
            <v>3040157</v>
          </cell>
          <cell r="D477" t="str">
            <v>PP SCH.B/K/MŚ.BIOD/CZWOR.RO2</v>
          </cell>
        </row>
        <row r="478">
          <cell r="C478">
            <v>3011228</v>
          </cell>
          <cell r="D478" t="str">
            <v>***SCHAB B/K KRÓTKI CH</v>
          </cell>
        </row>
        <row r="479">
          <cell r="C479">
            <v>3011258</v>
          </cell>
          <cell r="D479" t="str">
            <v>***SCHAB B/K KRÓTKI NB MR ST</v>
          </cell>
        </row>
        <row r="480">
          <cell r="C480">
            <v>3011259</v>
          </cell>
          <cell r="D480" t="str">
            <v>***SCHAB B/K KRÓTKI NB DMR</v>
          </cell>
        </row>
        <row r="481">
          <cell r="C481">
            <v>3011257</v>
          </cell>
          <cell r="D481" t="str">
            <v>***SCHAB B/K KRÓTKI NB RO</v>
          </cell>
        </row>
        <row r="482">
          <cell r="C482">
            <v>3011229</v>
          </cell>
          <cell r="D482" t="str">
            <v>***SCHAB B/K KRÓTKI USR</v>
          </cell>
        </row>
        <row r="483">
          <cell r="C483">
            <v>3013595</v>
          </cell>
          <cell r="D483" t="str">
            <v>***SCH.WP.B/K/SK Z/TŁ 18CM BACKS USR</v>
          </cell>
        </row>
        <row r="484">
          <cell r="C484">
            <v>4010131</v>
          </cell>
          <cell r="D484" t="str">
            <v>***SCH.WP.B/K/SK Z/TŁ 18CM1ST TRM KT SFL</v>
          </cell>
        </row>
        <row r="485">
          <cell r="C485">
            <v>3018403</v>
          </cell>
          <cell r="D485" t="str">
            <v>PL SCH.WP.B/K.16CM UK</v>
          </cell>
        </row>
        <row r="486">
          <cell r="C486">
            <v>4012675</v>
          </cell>
          <cell r="D486" t="str">
            <v>***PL SCH.WP.B/K.16CM 1STTRM 4STKT SFL</v>
          </cell>
        </row>
        <row r="487">
          <cell r="C487">
            <v>4015069</v>
          </cell>
          <cell r="D487" t="str">
            <v>***PL SCH.WP.B/K.16CM 1STTRM JBX UK</v>
          </cell>
        </row>
        <row r="488">
          <cell r="C488">
            <v>3018404</v>
          </cell>
          <cell r="D488" t="str">
            <v>EU SCH.WP.B/K.16CM UK</v>
          </cell>
        </row>
        <row r="489">
          <cell r="C489">
            <v>4012676</v>
          </cell>
          <cell r="D489" t="str">
            <v>***EU SCH.WP.B/K.16CM 1STTRM 4STKT SFL</v>
          </cell>
        </row>
        <row r="490">
          <cell r="C490">
            <v>4015110</v>
          </cell>
          <cell r="D490" t="str">
            <v>***EU SCH.WP.B/K.16CM 1STTRM JBX UK</v>
          </cell>
        </row>
        <row r="491">
          <cell r="C491">
            <v>3011104</v>
          </cell>
          <cell r="D491" t="str">
            <v>PL SCH.B/K.CIĘ.CH KAUF1</v>
          </cell>
        </row>
        <row r="492">
          <cell r="C492">
            <v>3024753</v>
          </cell>
          <cell r="D492" t="str">
            <v>PL SCH.B/K.CIĘ.PBX CH KAUF1</v>
          </cell>
        </row>
        <row r="493">
          <cell r="C493">
            <v>4015667</v>
          </cell>
          <cell r="D493" t="str">
            <v>***PL SCH.WP.B/K.CIĘ.LUZ KT KAUF</v>
          </cell>
        </row>
        <row r="494">
          <cell r="C494">
            <v>4013174</v>
          </cell>
          <cell r="D494" t="str">
            <v>***PL SCH.B/K.CIĘ.3STMAP 2STKT KAUF</v>
          </cell>
        </row>
        <row r="495">
          <cell r="C495">
            <v>4022175</v>
          </cell>
          <cell r="D495" t="str">
            <v>***PL SCH.B/K.CIĘ.3STVAC 2STKT KAUF</v>
          </cell>
        </row>
        <row r="496">
          <cell r="C496">
            <v>3022010</v>
          </cell>
          <cell r="D496" t="str">
            <v>PL SCH.B/K.CIĘ.CH KAUF2</v>
          </cell>
        </row>
        <row r="497">
          <cell r="C497">
            <v>3025112</v>
          </cell>
          <cell r="D497" t="str">
            <v>PL SCH.B/K.CIĘ.PBX CH KAUF2</v>
          </cell>
        </row>
        <row r="498">
          <cell r="C498">
            <v>3017470</v>
          </cell>
          <cell r="D498" t="str">
            <v>EU SCH.B/K.CIĘ.CH KAUF1</v>
          </cell>
        </row>
        <row r="499">
          <cell r="C499">
            <v>3024754</v>
          </cell>
          <cell r="D499" t="str">
            <v>EU SCH.B/K.CIĘ.PBX CH KAUF1</v>
          </cell>
        </row>
        <row r="500">
          <cell r="C500">
            <v>4013176</v>
          </cell>
          <cell r="D500" t="str">
            <v>***EU SCH.WP.B/K.CIĘ.3STMAP 2STKT KAUF</v>
          </cell>
        </row>
        <row r="501">
          <cell r="C501">
            <v>3022012</v>
          </cell>
          <cell r="D501" t="str">
            <v>EU SCH.B/K.CIĘ.CH KAUF2</v>
          </cell>
        </row>
        <row r="502">
          <cell r="C502">
            <v>3025113</v>
          </cell>
          <cell r="D502" t="str">
            <v>***EU SCH.B/K.CIĘ.PBX CH KAUF2</v>
          </cell>
        </row>
        <row r="503">
          <cell r="C503">
            <v>3021523</v>
          </cell>
          <cell r="D503" t="str">
            <v>PL SCH.B/K.Z/TŁ2 CH1</v>
          </cell>
        </row>
        <row r="504">
          <cell r="C504">
            <v>3025363</v>
          </cell>
          <cell r="D504" t="str">
            <v>PL SCH.B/K.Z/TŁ.2MM PBX CH1</v>
          </cell>
        </row>
        <row r="505">
          <cell r="C505">
            <v>3021910</v>
          </cell>
          <cell r="D505" t="str">
            <v>PL SCH.B/K.Z/TŁ2 CH2</v>
          </cell>
        </row>
        <row r="506">
          <cell r="C506">
            <v>3025389</v>
          </cell>
          <cell r="D506" t="str">
            <v>PL SCH.B/K.Z/TŁ.2MM PBX CH2</v>
          </cell>
        </row>
        <row r="507">
          <cell r="C507">
            <v>3021524</v>
          </cell>
          <cell r="D507" t="str">
            <v>EU SCH.B/K.Z/TŁ.2MM1</v>
          </cell>
        </row>
        <row r="508">
          <cell r="C508">
            <v>3025369</v>
          </cell>
          <cell r="D508" t="str">
            <v>EU SCH.B/K.Z/TŁ.2MM PBX CH1</v>
          </cell>
        </row>
        <row r="509">
          <cell r="C509">
            <v>3021911</v>
          </cell>
          <cell r="D509" t="str">
            <v>EU SCH.B/K.Z/TŁ.2MM2</v>
          </cell>
        </row>
        <row r="510">
          <cell r="C510">
            <v>3025390</v>
          </cell>
          <cell r="D510" t="str">
            <v>***EU SCH.B/K.Z/TŁ.2MM PBX CH2</v>
          </cell>
        </row>
        <row r="511">
          <cell r="C511">
            <v>3035452</v>
          </cell>
          <cell r="D511" t="str">
            <v>PP SCH.B/K.Z/TŁ.2MM</v>
          </cell>
        </row>
        <row r="512">
          <cell r="C512">
            <v>3027092</v>
          </cell>
          <cell r="D512" t="str">
            <v>PL SCH.B/K.Z/TŁ.2MM.KAW.</v>
          </cell>
        </row>
        <row r="513">
          <cell r="C513">
            <v>3027130</v>
          </cell>
          <cell r="D513" t="str">
            <v>***PL SCH.B/K.Z/TŁ.2MM.KAW.OK15KG PB MR</v>
          </cell>
        </row>
        <row r="514">
          <cell r="C514">
            <v>3027091</v>
          </cell>
          <cell r="D514" t="str">
            <v>PL SCH.B/K.Z/TŁ.2MM.KAW.PBX CH ST1</v>
          </cell>
        </row>
        <row r="515">
          <cell r="C515">
            <v>3036370</v>
          </cell>
          <cell r="D515" t="str">
            <v>SCH.B/K/TŁ.2MM KAW.OK20KG NB MR ST</v>
          </cell>
        </row>
        <row r="516">
          <cell r="C516">
            <v>4023293</v>
          </cell>
          <cell r="D516" t="str">
            <v>PP SCH.B/K.Z/TŁ.2MM 1STVAC OK4KGKT BIED</v>
          </cell>
        </row>
        <row r="517">
          <cell r="C517">
            <v>3029593</v>
          </cell>
          <cell r="D517" t="str">
            <v>PL SCH.B/K.Z/TŁ.2MM.KAW.OK15KGPJ CH ST</v>
          </cell>
        </row>
        <row r="518">
          <cell r="C518">
            <v>3027134</v>
          </cell>
          <cell r="D518" t="str">
            <v>***PL SCH.B/K.Z/TŁ.2MM.KAW.OK15KG PB DMR</v>
          </cell>
        </row>
        <row r="519">
          <cell r="C519">
            <v>3036299</v>
          </cell>
          <cell r="D519" t="str">
            <v>SCH.B/K/TŁ.2MM KAW.OK20KG NB DMR</v>
          </cell>
        </row>
        <row r="520">
          <cell r="C520">
            <v>3027139</v>
          </cell>
          <cell r="D520" t="str">
            <v>***PL SCH.B/K.Z/TŁ.2MM.KAW.OK15KG PB RO1</v>
          </cell>
        </row>
        <row r="521">
          <cell r="C521">
            <v>3027124</v>
          </cell>
          <cell r="D521" t="str">
            <v>***PL SCH.B/K.Z/TŁ.2MM.KAW.OK15KG PB RO2</v>
          </cell>
        </row>
        <row r="522">
          <cell r="C522">
            <v>3027038</v>
          </cell>
          <cell r="D522" t="str">
            <v>PL SCH.B/K.Z/TŁ.2MM.KAW.PBX CH ST2</v>
          </cell>
        </row>
        <row r="523">
          <cell r="C523">
            <v>3035680</v>
          </cell>
          <cell r="D523" t="str">
            <v>PP SCH.B/K.Z/TŁ.2MM.KAW.</v>
          </cell>
        </row>
        <row r="524">
          <cell r="C524">
            <v>3036707</v>
          </cell>
          <cell r="D524" t="str">
            <v>PP SCH.B/K/TŁ.2MM KAW.OK20KG NB MR ST</v>
          </cell>
        </row>
        <row r="525">
          <cell r="C525">
            <v>3040732</v>
          </cell>
          <cell r="D525" t="str">
            <v>PP SCH.B/K.Z/TŁ.2MM.KAW.PBX CH1</v>
          </cell>
        </row>
        <row r="526">
          <cell r="C526">
            <v>3036700</v>
          </cell>
          <cell r="D526" t="str">
            <v>PP SCH.B/K/TŁ.2MM KAW.OK20KG NB DMR</v>
          </cell>
        </row>
        <row r="527">
          <cell r="C527">
            <v>3040727</v>
          </cell>
          <cell r="D527" t="str">
            <v>PP SCH.B/K.Z/TŁ.2MM.KAW.PBX CH2</v>
          </cell>
        </row>
        <row r="528">
          <cell r="C528">
            <v>3027652</v>
          </cell>
          <cell r="D528" t="str">
            <v>PL SCH.B/K/TŁ.KAW.</v>
          </cell>
        </row>
        <row r="529">
          <cell r="C529">
            <v>3043433</v>
          </cell>
          <cell r="D529" t="str">
            <v>PL SCH.B/K/TŁ.KAW.OK20KG NB MR ST</v>
          </cell>
        </row>
        <row r="530">
          <cell r="C530">
            <v>3028047</v>
          </cell>
          <cell r="D530" t="str">
            <v>PL SCH.B/K/TŁ.KAW.500KG PBX CH</v>
          </cell>
        </row>
        <row r="531">
          <cell r="C531">
            <v>4018362</v>
          </cell>
          <cell r="D531" t="str">
            <v>PL SCH.B/K/TŁ.KAW.OK1.5KGVACOK15KGKT SEL</v>
          </cell>
        </row>
        <row r="532">
          <cell r="C532">
            <v>4020652</v>
          </cell>
          <cell r="D532" t="str">
            <v>***PL SCH.B/K/TŁ.KAW.3STVACOK20KGKTKAUF</v>
          </cell>
        </row>
        <row r="533">
          <cell r="C533">
            <v>4029672</v>
          </cell>
          <cell r="D533" t="str">
            <v>PL SCH.B/K/TŁ.KAW.OK1.5KGVACOK12KGKT SAN</v>
          </cell>
        </row>
        <row r="534">
          <cell r="C534">
            <v>4029725</v>
          </cell>
          <cell r="D534" t="str">
            <v>PL SCH.B/K/TŁ.KAW.OK1.5KGVAC OK5GKT AUCH</v>
          </cell>
        </row>
        <row r="535">
          <cell r="C535">
            <v>4019687</v>
          </cell>
          <cell r="D535" t="str">
            <v>PL SCH.B/K/TŁ.KAW.OK1.2KGVAC OK21KGKT EX</v>
          </cell>
        </row>
        <row r="536">
          <cell r="C536">
            <v>3043432</v>
          </cell>
          <cell r="D536" t="str">
            <v>PL SCH.B/K/TŁ.KAW.OK20KG NB DMR</v>
          </cell>
        </row>
        <row r="537">
          <cell r="C537">
            <v>3043434</v>
          </cell>
          <cell r="D537" t="str">
            <v>PL SCH.B/K/TŁ.KAW.RO1</v>
          </cell>
        </row>
        <row r="538">
          <cell r="C538">
            <v>3043436</v>
          </cell>
          <cell r="D538" t="str">
            <v>PL SCH.B/K/TŁ.KAW.RO2</v>
          </cell>
        </row>
        <row r="539">
          <cell r="C539">
            <v>3035380</v>
          </cell>
          <cell r="D539" t="str">
            <v>SCH.B/K/MŚ.CIE.TŁ.5MM CH</v>
          </cell>
        </row>
        <row r="540">
          <cell r="C540">
            <v>3036372</v>
          </cell>
          <cell r="D540" t="str">
            <v>SCH.B/K/MŚ.CIE.TŁ.5MM OK20KG NB MR ST</v>
          </cell>
        </row>
        <row r="541">
          <cell r="C541">
            <v>3035384</v>
          </cell>
          <cell r="D541" t="str">
            <v>SCH.B/K/MŚ.CIE.TŁ.5MM PBX1</v>
          </cell>
        </row>
        <row r="542">
          <cell r="C542">
            <v>3036376</v>
          </cell>
          <cell r="D542" t="str">
            <v>SCH.B/K/MŚ.CIE.TŁ.5MM OK20KG NB DMR</v>
          </cell>
        </row>
        <row r="543">
          <cell r="C543">
            <v>3036406</v>
          </cell>
          <cell r="D543" t="str">
            <v>SCH.B/K/MŚ.CIE.TŁ.5MM RO1</v>
          </cell>
        </row>
        <row r="544">
          <cell r="C544">
            <v>3036338</v>
          </cell>
          <cell r="D544" t="str">
            <v>SCH.B/K/MŚ.CIE.TŁ.5MM RO2</v>
          </cell>
        </row>
        <row r="545">
          <cell r="C545">
            <v>3035388</v>
          </cell>
          <cell r="D545" t="str">
            <v>SCH.B/K/MŚ.CIE.TŁ.5MM PBX2</v>
          </cell>
        </row>
        <row r="546">
          <cell r="C546">
            <v>3036439</v>
          </cell>
          <cell r="D546" t="str">
            <v>SCH.B/K/MŚ.CIE/MŚ.CZWOR.TŁ.5MM CH</v>
          </cell>
        </row>
        <row r="547">
          <cell r="C547">
            <v>3036554</v>
          </cell>
          <cell r="D547" t="str">
            <v>SCH.B/K/MŚ.CIE/MŚ.CZ.TŁ.5MMOK20KGNBMR ST</v>
          </cell>
        </row>
        <row r="548">
          <cell r="C548">
            <v>3036428</v>
          </cell>
          <cell r="D548" t="str">
            <v>SCH.B/K/MŚ.CIE/MŚ.CZWOR.TŁ.5MM PBX1</v>
          </cell>
        </row>
        <row r="549">
          <cell r="C549">
            <v>3036553</v>
          </cell>
          <cell r="D549" t="str">
            <v>SCH.B/K/MŚ.CIE/MŚ.CZ.TŁ.5MM OK20KGNB DMR</v>
          </cell>
        </row>
        <row r="550">
          <cell r="C550">
            <v>3036555</v>
          </cell>
          <cell r="D550" t="str">
            <v>SCH.B/K/MŚ.CIE/MŚ.CZWOR.TŁ.5MM NB RO1</v>
          </cell>
        </row>
        <row r="551">
          <cell r="C551">
            <v>3036557</v>
          </cell>
          <cell r="D551" t="str">
            <v>SCH.B/K/MŚ.CIE/MŚ.CZWOR.TŁ.5MM NB RO2</v>
          </cell>
        </row>
        <row r="552">
          <cell r="C552">
            <v>3036363</v>
          </cell>
          <cell r="D552" t="str">
            <v>SCH.B/K/MŚ.CIE/MŚ.CZWOR.TŁ.5MM PBX2</v>
          </cell>
        </row>
        <row r="553">
          <cell r="C553">
            <v>3038899</v>
          </cell>
          <cell r="D553" t="str">
            <v>PP SCH.B/K/MŚ.CIE/MŚ.CZWOR.TŁ.5MM CH</v>
          </cell>
        </row>
        <row r="554">
          <cell r="C554">
            <v>3040541</v>
          </cell>
          <cell r="D554" t="str">
            <v>PPSCH.B/K/MŚ.CIE/MŚ.CZ.TŁ.5OK20KGNBMR ST</v>
          </cell>
        </row>
        <row r="555">
          <cell r="C555">
            <v>3039054</v>
          </cell>
          <cell r="D555" t="str">
            <v>PP SCH.B/K/MŚ.CIE/M.CZWOR.TŁ.5MM PBX ST1</v>
          </cell>
        </row>
        <row r="556">
          <cell r="C556">
            <v>3040540</v>
          </cell>
          <cell r="D556" t="str">
            <v>PPSCH.B/K/MŚ.CIE/MŚ.CZ.TŁ.5MMOK20KGNBDMR</v>
          </cell>
        </row>
        <row r="557">
          <cell r="C557">
            <v>3040544</v>
          </cell>
          <cell r="D557" t="str">
            <v>PP SCH.B/K/MŚ.CIE/MŚ.CZWOR.TŁ.5MM RO1</v>
          </cell>
        </row>
        <row r="558">
          <cell r="C558">
            <v>3040548</v>
          </cell>
          <cell r="D558" t="str">
            <v>PP SCH.B/K/MŚ.CIE/MŚ.CZWOR.TŁ.5MM RO2</v>
          </cell>
        </row>
        <row r="559">
          <cell r="C559">
            <v>3039069</v>
          </cell>
          <cell r="D559" t="str">
            <v>PP SCH.B/K/MŚ.CIE/M.CZWOR.TŁ.5MM PBX ST2</v>
          </cell>
        </row>
        <row r="560">
          <cell r="C560">
            <v>3047601</v>
          </cell>
          <cell r="D560" t="str">
            <v>PL SCH.B/K.Z/WAR/TŁ.15MM CH</v>
          </cell>
        </row>
        <row r="561">
          <cell r="C561">
            <v>4031667</v>
          </cell>
          <cell r="D561" t="str">
            <v>PLSCH.B/K.Z/WAR/TŁ.15MMOK1KGVOK5KGKTAUCH</v>
          </cell>
        </row>
        <row r="562">
          <cell r="C562">
            <v>3012491</v>
          </cell>
          <cell r="D562" t="str">
            <v>***SCH.WP.B/K/TŁ/ZCIĘT.M.CZWOROBOCZ. USR</v>
          </cell>
        </row>
        <row r="563">
          <cell r="C563">
            <v>3012511</v>
          </cell>
          <cell r="D563" t="str">
            <v>***SCH.WP.B/K/TŁ/ZCIĘT.CZWOROBOCZCHPJST</v>
          </cell>
        </row>
        <row r="564">
          <cell r="C564">
            <v>4005581</v>
          </cell>
          <cell r="D564" t="str">
            <v>***BR KARE B/KOSTI PLATKY RB SV MAP720GT</v>
          </cell>
        </row>
        <row r="565">
          <cell r="C565">
            <v>4005584</v>
          </cell>
          <cell r="D565" t="str">
            <v>***BR KARE B/KOSTI PLATKY SV MAP 360G T</v>
          </cell>
        </row>
        <row r="566">
          <cell r="C566">
            <v>4005585</v>
          </cell>
          <cell r="D566" t="str">
            <v>***BRAVCOVE KARE BEZ KOSTI MAP OK.1KG T</v>
          </cell>
        </row>
        <row r="567">
          <cell r="C567">
            <v>3008790</v>
          </cell>
          <cell r="D567" t="str">
            <v>***SCH.Z/K/POL</v>
          </cell>
        </row>
        <row r="568">
          <cell r="C568">
            <v>4001775</v>
          </cell>
          <cell r="D568" t="str">
            <v>***SCHAB Z/K.Z POLĘDWICZ.KL1 LUZ KA</v>
          </cell>
        </row>
        <row r="569">
          <cell r="C569">
            <v>3007440</v>
          </cell>
          <cell r="D569" t="str">
            <v>SCH.CZ.ODK.B/TŁ</v>
          </cell>
        </row>
        <row r="570">
          <cell r="C570">
            <v>3027053</v>
          </cell>
          <cell r="D570" t="str">
            <v>***SCH.CZ.ODK.B/TŁ.OK500KG PBX CH</v>
          </cell>
        </row>
        <row r="571">
          <cell r="C571">
            <v>4003726</v>
          </cell>
          <cell r="D571" t="str">
            <v>***PL SCH.WP.Z/K.KTL 750G MAP 3KG KT ME</v>
          </cell>
        </row>
        <row r="572">
          <cell r="C572">
            <v>4012617</v>
          </cell>
          <cell r="D572" t="str">
            <v>***PL SCH.Z/K.KTL 625G MAP 2.5KG KT ME</v>
          </cell>
        </row>
        <row r="573">
          <cell r="C573">
            <v>4015754</v>
          </cell>
          <cell r="D573" t="str">
            <v>***PLSCH.CZ.ODK.KOT.OK750GMAPOK6KGKTLIDL</v>
          </cell>
        </row>
        <row r="574">
          <cell r="C574">
            <v>4003727</v>
          </cell>
          <cell r="D574" t="str">
            <v>***PL SCH.Z/K.KTL.OK1.2KGMAPOK4.8KGKT ME</v>
          </cell>
        </row>
        <row r="575">
          <cell r="C575">
            <v>4003728</v>
          </cell>
          <cell r="D575" t="str">
            <v>***PL SCH.CZ.ODK.KTL.750G MAP 6KGKT LIDL</v>
          </cell>
        </row>
        <row r="576">
          <cell r="C576">
            <v>4015281</v>
          </cell>
          <cell r="D576" t="str">
            <v>***PL SCH.CZ.ODK.KOTL.750GMAP 3KGKT AUCH</v>
          </cell>
        </row>
        <row r="577">
          <cell r="C577">
            <v>4006573</v>
          </cell>
          <cell r="D577" t="str">
            <v>***PL SCH.CZ.ODK.KTL750GMAP1.5KGKT NETTO</v>
          </cell>
        </row>
        <row r="578">
          <cell r="C578">
            <v>4006606</v>
          </cell>
          <cell r="D578" t="str">
            <v>***PL SCH.CZ.ODK.PL OK500G PACZ.TESC</v>
          </cell>
        </row>
        <row r="579">
          <cell r="C579">
            <v>4006607</v>
          </cell>
          <cell r="D579" t="str">
            <v>***PL SCH.CZ.ODK.PACZ.OK1KG TESC</v>
          </cell>
        </row>
        <row r="580">
          <cell r="C580">
            <v>4007139</v>
          </cell>
          <cell r="D580" t="str">
            <v>***PL SCH.CZ.ODK.1.10KG MAP NETTO</v>
          </cell>
        </row>
        <row r="581">
          <cell r="C581">
            <v>3026996</v>
          </cell>
          <cell r="D581" t="str">
            <v>***SCH.CZ.ODK.B/TŁ.OK15KG WOR PJ ST</v>
          </cell>
        </row>
        <row r="582">
          <cell r="C582">
            <v>4011583</v>
          </cell>
          <cell r="D582" t="str">
            <v>***EU SCH.Z/K.KOTL.OK1.2KGMAPOK4.8KGKTME</v>
          </cell>
        </row>
        <row r="583">
          <cell r="C583">
            <v>4011584</v>
          </cell>
          <cell r="D583" t="str">
            <v>***EU SCH.CZ.ODK.KTL 750G MAP LIDL</v>
          </cell>
        </row>
        <row r="584">
          <cell r="C584">
            <v>4011661</v>
          </cell>
          <cell r="D584" t="str">
            <v>***EU SCH.CZ.ODK.KTL 750GMAP1.5KGKTNETTO</v>
          </cell>
        </row>
        <row r="585">
          <cell r="C585">
            <v>4011667</v>
          </cell>
          <cell r="D585" t="str">
            <v>***EU SCH.CZ.ODK.PL OK500G PACZ.TESCO</v>
          </cell>
        </row>
        <row r="586">
          <cell r="C586">
            <v>4011668</v>
          </cell>
          <cell r="D586" t="str">
            <v>***EU SCH.CZ.ODK.PACZ.OK1KG TESCO</v>
          </cell>
        </row>
        <row r="587">
          <cell r="C587">
            <v>4011716</v>
          </cell>
          <cell r="D587" t="str">
            <v>***EU SCH.CZ.ODK.1.10KG MAP NETTO</v>
          </cell>
        </row>
        <row r="588">
          <cell r="C588">
            <v>3017002</v>
          </cell>
          <cell r="D588" t="str">
            <v>***PL SCH.CZ.ODK.B/TŁ.KOTL.</v>
          </cell>
        </row>
        <row r="589">
          <cell r="C589">
            <v>3017840</v>
          </cell>
          <cell r="D589" t="str">
            <v>***EU SCH.CZ.ODK.B/TŁ.KOTL.</v>
          </cell>
        </row>
        <row r="590">
          <cell r="C590">
            <v>3012365</v>
          </cell>
          <cell r="D590" t="str">
            <v>***SCHAB WP.B/K/TŁ/M.CZWOROBOCZ.KOTLETY</v>
          </cell>
        </row>
        <row r="591">
          <cell r="C591">
            <v>4009940</v>
          </cell>
          <cell r="D591" t="str">
            <v>***SCHAB WP.B/K KOTLETY LUZ OK.8KG PJ</v>
          </cell>
        </row>
        <row r="592">
          <cell r="C592">
            <v>3022001</v>
          </cell>
          <cell r="D592" t="str">
            <v>M-SO WP.DR.KL2A Z SZYN.NB MR ZAK</v>
          </cell>
        </row>
        <row r="593">
          <cell r="C593">
            <v>3008791</v>
          </cell>
          <cell r="D593" t="str">
            <v>***SCH.Z/K/POL/TŁ3 KL.E CH</v>
          </cell>
        </row>
        <row r="594">
          <cell r="C594">
            <v>3007441</v>
          </cell>
          <cell r="D594" t="str">
            <v>PL SCH.B/K/WAR/TŁ.KOTLETY</v>
          </cell>
        </row>
        <row r="595">
          <cell r="C595">
            <v>4006961</v>
          </cell>
          <cell r="D595" t="str">
            <v>***PL SCH.B/K.KTL MAP OK1.6KG MAKR</v>
          </cell>
        </row>
        <row r="596">
          <cell r="C596">
            <v>4003731</v>
          </cell>
          <cell r="D596" t="str">
            <v>***PL SCH.B/K.KTL 360GMAP 2.16KG KT AUCH</v>
          </cell>
        </row>
        <row r="597">
          <cell r="C597">
            <v>4003733</v>
          </cell>
          <cell r="D597" t="str">
            <v>***PL SCH.B/K.KTL JM 360G MAP</v>
          </cell>
        </row>
        <row r="598">
          <cell r="C598">
            <v>4015474</v>
          </cell>
          <cell r="D598" t="str">
            <v>***PL SCH.B/K.KTL 700G MAP 5.6KG KT LIDL</v>
          </cell>
        </row>
        <row r="599">
          <cell r="C599">
            <v>4003735</v>
          </cell>
          <cell r="D599" t="str">
            <v>***PL SCH.B/K.KTL MAP360G</v>
          </cell>
        </row>
        <row r="600">
          <cell r="C600">
            <v>4010971</v>
          </cell>
          <cell r="D600" t="str">
            <v>***PL SCH.B/K.KTL 360G MAP 2.16KGKTME</v>
          </cell>
        </row>
        <row r="601">
          <cell r="C601">
            <v>4006699</v>
          </cell>
          <cell r="D601" t="str">
            <v>***PL SCH.B/K.KTL 360G MAP TESC</v>
          </cell>
        </row>
        <row r="602">
          <cell r="C602">
            <v>4008678</v>
          </cell>
          <cell r="D602" t="str">
            <v>***PL SCH.B/K.KOTLETY OK3KG VAC OK15KGKT</v>
          </cell>
        </row>
        <row r="603">
          <cell r="C603">
            <v>4009970</v>
          </cell>
          <cell r="D603" t="str">
            <v>***PL SCH.B/K.KTLOK2KG TRM OK15KG KT STO</v>
          </cell>
        </row>
        <row r="604">
          <cell r="C604">
            <v>4008004</v>
          </cell>
          <cell r="D604" t="str">
            <v>***PL SCH.B/K.KTL 8X360G MAP MAKR</v>
          </cell>
        </row>
        <row r="605">
          <cell r="C605">
            <v>4008012</v>
          </cell>
          <cell r="D605" t="str">
            <v>***PL SCH.B/K.KTL 420G MAP TESC</v>
          </cell>
        </row>
        <row r="606">
          <cell r="C606">
            <v>4015741</v>
          </cell>
          <cell r="D606" t="str">
            <v>***PL SCH.B/K.KTL 1KG MAP 6KG KT POLM</v>
          </cell>
        </row>
        <row r="607">
          <cell r="C607">
            <v>4011107</v>
          </cell>
          <cell r="D607" t="str">
            <v>***PL SCH.B/K.KTL 360G MAP 8ST KT ECS</v>
          </cell>
        </row>
        <row r="608">
          <cell r="C608">
            <v>4016963</v>
          </cell>
          <cell r="D608" t="str">
            <v>***PL SCH.B/K.KTL360GMAP4.32KGKT LIDL LT</v>
          </cell>
        </row>
        <row r="609">
          <cell r="C609">
            <v>4016960</v>
          </cell>
          <cell r="D609" t="str">
            <v>***PL SCH.B/K.KTL700GMAP 5.6KGKT LIDL LT</v>
          </cell>
        </row>
        <row r="610">
          <cell r="C610">
            <v>4006155</v>
          </cell>
          <cell r="D610" t="str">
            <v>***PL SCH.B/K.PL 360G MAP</v>
          </cell>
        </row>
        <row r="611">
          <cell r="C611">
            <v>4016898</v>
          </cell>
          <cell r="D611" t="str">
            <v>***PL SCH.B/K.KTL 360G MAP 4.32KG KT</v>
          </cell>
        </row>
        <row r="612">
          <cell r="C612">
            <v>4003739</v>
          </cell>
          <cell r="D612" t="str">
            <v>***PL SCH.B/K.KTL 360G MAP KAUF</v>
          </cell>
        </row>
        <row r="613">
          <cell r="C613">
            <v>3026331</v>
          </cell>
          <cell r="D613" t="str">
            <v>***PL SCH.B/K.KTL 360G MAP KAUF BL</v>
          </cell>
        </row>
        <row r="614">
          <cell r="C614">
            <v>3017369</v>
          </cell>
          <cell r="D614" t="str">
            <v>***EU SCH.B/K/WAR/TŁ.KOTLETY</v>
          </cell>
        </row>
        <row r="615">
          <cell r="C615">
            <v>4011677</v>
          </cell>
          <cell r="D615" t="str">
            <v>***EU SCH.B/K.KTL MAP OK1.6KG MAKR</v>
          </cell>
        </row>
        <row r="616">
          <cell r="C616">
            <v>4011585</v>
          </cell>
          <cell r="D616" t="str">
            <v>***EU SCH.B/K.KTL 360GMAP 2.16KG KT AUCH</v>
          </cell>
        </row>
        <row r="617">
          <cell r="C617">
            <v>4011586</v>
          </cell>
          <cell r="D617" t="str">
            <v>***EU SCH.B/K.KTL MAP360G</v>
          </cell>
        </row>
        <row r="618">
          <cell r="C618">
            <v>4011670</v>
          </cell>
          <cell r="D618" t="str">
            <v>***EU SCH.B/K.KTL 360G MAP TESCO</v>
          </cell>
        </row>
        <row r="619">
          <cell r="C619">
            <v>4011801</v>
          </cell>
          <cell r="D619" t="str">
            <v>***EU SCH.B/K.KOTLETY OK3KG VAC OK15KGKT</v>
          </cell>
        </row>
        <row r="620">
          <cell r="C620">
            <v>4012009</v>
          </cell>
          <cell r="D620" t="str">
            <v>***EU SCH.B/K.KTLOK2KG TRM OK15KG KT STO</v>
          </cell>
        </row>
        <row r="621">
          <cell r="C621">
            <v>4011760</v>
          </cell>
          <cell r="D621" t="str">
            <v>***EU SCH.B/K.KTL 8X360G MAP MAKR</v>
          </cell>
        </row>
        <row r="622">
          <cell r="C622">
            <v>4011763</v>
          </cell>
          <cell r="D622" t="str">
            <v>***EU SCH.B/K.KTL 420G MAP TESCO</v>
          </cell>
        </row>
        <row r="623">
          <cell r="C623">
            <v>4012157</v>
          </cell>
          <cell r="D623" t="str">
            <v>***EU SCH.B/K.KTL 360G MAP 8ST KT ECS</v>
          </cell>
        </row>
        <row r="624">
          <cell r="C624">
            <v>4011644</v>
          </cell>
          <cell r="D624" t="str">
            <v>***EU SCH.B/K.PL 360G MAP</v>
          </cell>
        </row>
        <row r="625">
          <cell r="C625">
            <v>4011587</v>
          </cell>
          <cell r="D625" t="str">
            <v>***EU SCH.B/K.KTL 360G MAP KAUF</v>
          </cell>
        </row>
        <row r="626">
          <cell r="C626">
            <v>4006605</v>
          </cell>
          <cell r="D626" t="str">
            <v>***PL SCH.B/K.KOTLETYOK700GRODZ.PACZTESC</v>
          </cell>
        </row>
        <row r="627">
          <cell r="C627">
            <v>4007516</v>
          </cell>
          <cell r="D627" t="str">
            <v>***PL SCH.B/K.KOTLETY 360G+GRATIS JMD</v>
          </cell>
        </row>
        <row r="628">
          <cell r="C628">
            <v>4011666</v>
          </cell>
          <cell r="D628" t="str">
            <v>***EU SCH.B/K.KOTLETY OK700G RODZ.PACZ.T</v>
          </cell>
        </row>
        <row r="629">
          <cell r="C629">
            <v>3007442</v>
          </cell>
          <cell r="D629" t="str">
            <v>***SCH.B/K/WAR/TŁ KOTLETY FANTOM</v>
          </cell>
        </row>
        <row r="630">
          <cell r="C630">
            <v>3008760</v>
          </cell>
          <cell r="D630" t="str">
            <v>***SCHAB B/K/WAR.TŁ CH</v>
          </cell>
        </row>
        <row r="631">
          <cell r="C631">
            <v>3033378</v>
          </cell>
          <cell r="D631" t="str">
            <v>PL SCH.B/K/TŁ.OK20KG PB MR EX ST</v>
          </cell>
        </row>
        <row r="632">
          <cell r="C632">
            <v>3000026</v>
          </cell>
          <cell r="D632" t="str">
            <v>***SCHABB/K/POL.B/WA-Ż.KLEU2.2-2.8PBMRST</v>
          </cell>
        </row>
        <row r="633">
          <cell r="C633">
            <v>4007978</v>
          </cell>
          <cell r="D633" t="str">
            <v>PL SCH.B/K/TŁ.OK15KGWOR KT</v>
          </cell>
        </row>
        <row r="634">
          <cell r="C634">
            <v>4012212</v>
          </cell>
          <cell r="D634" t="str">
            <v>***PL SCH. B/K/TŁ WOR OK 15KG PJ EC</v>
          </cell>
        </row>
        <row r="635">
          <cell r="C635">
            <v>4006175</v>
          </cell>
          <cell r="D635" t="str">
            <v>***PL SCH.B/K.PC 560G MAP STO</v>
          </cell>
        </row>
        <row r="636">
          <cell r="C636">
            <v>4003743</v>
          </cell>
          <cell r="D636" t="str">
            <v>***PL SCH.B/K.PC 560G MAP</v>
          </cell>
        </row>
        <row r="637">
          <cell r="C637">
            <v>4016292</v>
          </cell>
          <cell r="D637" t="str">
            <v>***PL SCH.B/K/WAR/TŁ.OK1KGMAP OK6KGKT ME</v>
          </cell>
        </row>
        <row r="638">
          <cell r="C638">
            <v>4012616</v>
          </cell>
          <cell r="D638" t="str">
            <v>***PL SCH.WP.B/K 1KG MAP 6KG KT ME</v>
          </cell>
        </row>
        <row r="639">
          <cell r="C639">
            <v>4013392</v>
          </cell>
          <cell r="D639" t="str">
            <v>***PL SCH.B/K/WAR/TŁ.OK1KGMAPOK6KGKTAUCH</v>
          </cell>
        </row>
        <row r="640">
          <cell r="C640">
            <v>4014875</v>
          </cell>
          <cell r="D640" t="str">
            <v>***PL SCH.WP.B/K.OK1.15KGVACOK13.8KGKTKA</v>
          </cell>
        </row>
        <row r="641">
          <cell r="C641">
            <v>4017645</v>
          </cell>
          <cell r="D641" t="str">
            <v>***PL SCH.B/K/TŁ.OK3KGVAC OK15KGKT MAKR</v>
          </cell>
        </row>
        <row r="642">
          <cell r="C642">
            <v>4020848</v>
          </cell>
          <cell r="D642" t="str">
            <v>PL SCH.B/K/TŁ.1STVAC OK20KGKT MR HR</v>
          </cell>
        </row>
        <row r="643">
          <cell r="C643">
            <v>4025033</v>
          </cell>
          <cell r="D643" t="str">
            <v>PL SCH.B/K/TŁ.1STVAC OK12KGKT MORE EX</v>
          </cell>
        </row>
        <row r="644">
          <cell r="C644">
            <v>4029630</v>
          </cell>
          <cell r="D644" t="str">
            <v>PL SCH.B/K/TŁ.1STVAC OK20KGKT MET</v>
          </cell>
        </row>
        <row r="645">
          <cell r="C645">
            <v>4030111</v>
          </cell>
          <cell r="D645" t="str">
            <v>PL SCH.B/K/TŁ.1STVAC OK12KGKT AUCH</v>
          </cell>
        </row>
        <row r="646">
          <cell r="C646">
            <v>4030288</v>
          </cell>
          <cell r="D646" t="str">
            <v>PL SCH.B/K/TŁ.1STVAC OK20KGKT MET CZ</v>
          </cell>
        </row>
        <row r="647">
          <cell r="C647">
            <v>4030475</v>
          </cell>
          <cell r="D647" t="str">
            <v>PL SCH.B/K/TŁ.1STVAC OK20KGKT MET HU</v>
          </cell>
        </row>
        <row r="648">
          <cell r="C648">
            <v>4030476</v>
          </cell>
          <cell r="D648" t="str">
            <v>PL SCH.B/K/TŁ.1STVAC 4STKT PREM.SEL</v>
          </cell>
        </row>
        <row r="649">
          <cell r="C649">
            <v>4030754</v>
          </cell>
          <cell r="D649" t="str">
            <v>PL SCH.B/K/TŁ.1STVAC OK20KGKT MET</v>
          </cell>
        </row>
        <row r="650">
          <cell r="C650">
            <v>4012806</v>
          </cell>
          <cell r="D650" t="str">
            <v>PL SCH.B/K/TŁ.1STVAC OK9KGKT PIP</v>
          </cell>
        </row>
        <row r="651">
          <cell r="C651">
            <v>4009557</v>
          </cell>
          <cell r="D651" t="str">
            <v>PL SCH.B/K/WAR/TŁ.1STVAC OK18KGPJ</v>
          </cell>
        </row>
        <row r="652">
          <cell r="C652">
            <v>4010773</v>
          </cell>
          <cell r="D652" t="str">
            <v>PL SCH.B/K/TŁ.1STVAC OK15KGPJ ECS</v>
          </cell>
        </row>
        <row r="653">
          <cell r="C653">
            <v>4030976</v>
          </cell>
          <cell r="D653" t="str">
            <v>PL SCH.B/K/TŁ.1STVAC OK16.75KGKT KAUF</v>
          </cell>
        </row>
        <row r="654">
          <cell r="C654">
            <v>4018238</v>
          </cell>
          <cell r="D654" t="str">
            <v>***PL SCH.B/K.1660 1STVAC OK20KGKT MR EX</v>
          </cell>
        </row>
        <row r="655">
          <cell r="C655">
            <v>4017166</v>
          </cell>
          <cell r="D655" t="str">
            <v>PL SCH.B/K.1STVAC OK18KGKT EX</v>
          </cell>
        </row>
        <row r="656">
          <cell r="C656">
            <v>4012645</v>
          </cell>
          <cell r="D656" t="str">
            <v>***PL SCH.B/K.1STVAC OK15KGKT</v>
          </cell>
        </row>
        <row r="657">
          <cell r="C657">
            <v>4015386</v>
          </cell>
          <cell r="D657" t="str">
            <v>***PL SCH.B/K.1STVAC OK12KGKT SEL</v>
          </cell>
        </row>
        <row r="658">
          <cell r="C658">
            <v>4019530</v>
          </cell>
          <cell r="D658" t="str">
            <v>PL SCH.B/K.1STVAC OK14KGKT SEL</v>
          </cell>
        </row>
        <row r="659">
          <cell r="C659">
            <v>4026585</v>
          </cell>
          <cell r="D659" t="str">
            <v>PL SCH.B/K/WAR/TŁ.1STVAC OK15KGKT MAKR</v>
          </cell>
        </row>
        <row r="660">
          <cell r="C660">
            <v>4015785</v>
          </cell>
          <cell r="D660" t="str">
            <v>***PL SCH.B/K/WAR/TŁ.OK1KGMAP 6KGKT POLM</v>
          </cell>
        </row>
        <row r="661">
          <cell r="C661">
            <v>4008006</v>
          </cell>
          <cell r="D661" t="str">
            <v>***PL SCH.B/K.PC 8X560G MAP MAKR</v>
          </cell>
        </row>
        <row r="662">
          <cell r="C662">
            <v>4006604</v>
          </cell>
          <cell r="D662" t="str">
            <v>***PL SCH.B/K.OK1KG MAP OK5KG KT BIED</v>
          </cell>
        </row>
        <row r="663">
          <cell r="C663">
            <v>4025607</v>
          </cell>
          <cell r="D663" t="str">
            <v>PL SCH.B/K/TŁ.OK20KGLUZ PJ AGRO</v>
          </cell>
        </row>
        <row r="664">
          <cell r="C664">
            <v>3007443</v>
          </cell>
          <cell r="D664" t="str">
            <v>PL SCH.B/K/TŁ.OK15KGLUZ PJ ST</v>
          </cell>
        </row>
        <row r="665">
          <cell r="C665">
            <v>3007444</v>
          </cell>
          <cell r="D665" t="str">
            <v>***SCHAB B/K SEUR GR.2.2-2.8 WOR PJCH ST</v>
          </cell>
        </row>
        <row r="666">
          <cell r="C666">
            <v>3007445</v>
          </cell>
          <cell r="D666" t="str">
            <v>***SCHAB B/K SEUR GR1.8-2.2 WOR PJ CH ST</v>
          </cell>
        </row>
        <row r="667">
          <cell r="C667">
            <v>3027051</v>
          </cell>
          <cell r="D667" t="str">
            <v>PL SCH.B/K/WAR/TŁ.OK15KG WOR PJ AF CH ST</v>
          </cell>
        </row>
        <row r="668">
          <cell r="C668">
            <v>4024608</v>
          </cell>
          <cell r="D668" t="str">
            <v>PL SCH.B/K/TŁ.OK20KGWOR PJ</v>
          </cell>
        </row>
        <row r="669">
          <cell r="C669">
            <v>3014783</v>
          </cell>
          <cell r="D669" t="str">
            <v>PL SCH.B/K/TŁ.OK20KG PB DMR</v>
          </cell>
        </row>
        <row r="670">
          <cell r="C670">
            <v>3007446</v>
          </cell>
          <cell r="D670" t="str">
            <v>***SCH.B/K/WAR/TŁ 2.2-2.8 PB DMR</v>
          </cell>
        </row>
        <row r="671">
          <cell r="C671">
            <v>3031255</v>
          </cell>
          <cell r="D671" t="str">
            <v>PL SCH.B/K/TŁ.1STVAC OK20KGKT DMR HR</v>
          </cell>
        </row>
        <row r="672">
          <cell r="C672">
            <v>3027508</v>
          </cell>
          <cell r="D672" t="str">
            <v>***PL SCH.B/K.TŁ.1STVAC OK20KG KT DMR EX</v>
          </cell>
        </row>
        <row r="673">
          <cell r="C673">
            <v>3007447</v>
          </cell>
          <cell r="D673" t="str">
            <v>***SCH.B/K/WAR/TŁ 2.2-2.8 PB RO</v>
          </cell>
        </row>
        <row r="674">
          <cell r="C674">
            <v>3039581</v>
          </cell>
          <cell r="D674" t="str">
            <v>EU SCH.B/K/TŁ.OK20KG PB MR EX ST</v>
          </cell>
        </row>
        <row r="675">
          <cell r="C675">
            <v>4011759</v>
          </cell>
          <cell r="D675" t="str">
            <v>EU SCH.B/K/TŁ.OK15KGWOR KT</v>
          </cell>
        </row>
        <row r="676">
          <cell r="C676">
            <v>4012213</v>
          </cell>
          <cell r="D676" t="str">
            <v>***EU SCH. B/K/TŁ WOR OK15KG PJ EC</v>
          </cell>
        </row>
        <row r="677">
          <cell r="C677">
            <v>4011645</v>
          </cell>
          <cell r="D677" t="str">
            <v>***EU SCH.B/K.PC 560G MAP STO</v>
          </cell>
        </row>
        <row r="678">
          <cell r="C678">
            <v>4011588</v>
          </cell>
          <cell r="D678" t="str">
            <v>***EU SCH.B/K.PC 560G MAP</v>
          </cell>
        </row>
        <row r="679">
          <cell r="C679">
            <v>4012179</v>
          </cell>
          <cell r="D679" t="str">
            <v>***EU SCH.B/K.PC 560GMAP 4.48KGKT ECS</v>
          </cell>
        </row>
        <row r="680">
          <cell r="C680">
            <v>4013389</v>
          </cell>
          <cell r="D680" t="str">
            <v>***EU SCH.B/K/WAR/TŁ.OK1KGMAPOK6KGKTAUCH</v>
          </cell>
        </row>
        <row r="681">
          <cell r="C681">
            <v>4014880</v>
          </cell>
          <cell r="D681" t="str">
            <v>***EU SCH.WP.B/K.OK1.15KGVACOK13.8KGKTKA</v>
          </cell>
        </row>
        <row r="682">
          <cell r="C682">
            <v>4017644</v>
          </cell>
          <cell r="D682" t="str">
            <v>***EU SCH.B/K/TŁ.OK3KGVAC OK15KGKT MAKR</v>
          </cell>
        </row>
        <row r="683">
          <cell r="C683">
            <v>4012807</v>
          </cell>
          <cell r="D683" t="str">
            <v>EU SCH.B/K/TŁ.1STVAC OK9KGKT PIP</v>
          </cell>
        </row>
        <row r="684">
          <cell r="C684">
            <v>4011948</v>
          </cell>
          <cell r="D684" t="str">
            <v>EU SCH.B/K/WAR/TŁ.1STVAC OK18KGPJ</v>
          </cell>
        </row>
        <row r="685">
          <cell r="C685">
            <v>4012102</v>
          </cell>
          <cell r="D685" t="str">
            <v>EU SCH.B/K/TŁ.1STVAC OK15KGPJ ECS</v>
          </cell>
        </row>
        <row r="686">
          <cell r="C686">
            <v>4012646</v>
          </cell>
          <cell r="D686" t="str">
            <v>***EU SCH.B/K.1STVAC OK15KGKT</v>
          </cell>
        </row>
        <row r="687">
          <cell r="C687">
            <v>4011761</v>
          </cell>
          <cell r="D687" t="str">
            <v>***EU SCH.B/K.PC 8X560G MAP MAKR</v>
          </cell>
        </row>
        <row r="688">
          <cell r="C688">
            <v>4011665</v>
          </cell>
          <cell r="D688" t="str">
            <v>***EU SCH.B/K.PC OK800G PACZ.TESCO</v>
          </cell>
        </row>
        <row r="689">
          <cell r="C689">
            <v>3017370</v>
          </cell>
          <cell r="D689" t="str">
            <v>***EU SCH.B/K/WAR/TŁ.OK15KG PJ ST</v>
          </cell>
        </row>
        <row r="690">
          <cell r="C690">
            <v>4024609</v>
          </cell>
          <cell r="D690" t="str">
            <v>EU SCH.B/K/TŁ.OK20KGWOR PJ</v>
          </cell>
        </row>
        <row r="691">
          <cell r="C691">
            <v>3039399</v>
          </cell>
          <cell r="D691" t="str">
            <v>EU SCH.B/K/TŁ.OK20KG PB DMR</v>
          </cell>
        </row>
        <row r="692">
          <cell r="C692">
            <v>3035561</v>
          </cell>
          <cell r="D692" t="str">
            <v>PP SCH.B/K/WAR/TŁ.OK15KGWOR PJ ST</v>
          </cell>
        </row>
        <row r="693">
          <cell r="C693">
            <v>4023851</v>
          </cell>
          <cell r="D693" t="str">
            <v>CZ SCH.B/K/WAR/TŁ.1STVAC OK15KGKT</v>
          </cell>
        </row>
        <row r="694">
          <cell r="C694">
            <v>3008792</v>
          </cell>
          <cell r="D694" t="str">
            <v>***SCH.Z/K/POL/TŁ3 KL.U CH</v>
          </cell>
        </row>
        <row r="695">
          <cell r="C695">
            <v>3004302</v>
          </cell>
          <cell r="D695" t="str">
            <v>***SCH.Z/K.B/TŁ.WĄS USR CH</v>
          </cell>
        </row>
        <row r="696">
          <cell r="C696">
            <v>4003751</v>
          </cell>
          <cell r="D696" t="str">
            <v>***PL SCH.Z/K.CH WOR OK15KG KT CH</v>
          </cell>
        </row>
        <row r="697">
          <cell r="C697">
            <v>4008790</v>
          </cell>
          <cell r="D697" t="str">
            <v>***PL SCH.Z/K.CH WOR OK15KG KT.OTW.</v>
          </cell>
        </row>
        <row r="698">
          <cell r="C698">
            <v>4005865</v>
          </cell>
          <cell r="D698" t="str">
            <v>***PL SCH.Z/K.CH WOR OK15KG KT CH</v>
          </cell>
        </row>
        <row r="699">
          <cell r="C699">
            <v>4010006</v>
          </cell>
          <cell r="D699" t="str">
            <v>***PL SCH.Z/K.OK16KG WOR SK T CH</v>
          </cell>
        </row>
        <row r="700">
          <cell r="C700">
            <v>4009732</v>
          </cell>
          <cell r="D700" t="str">
            <v>***PL SCH.Z/K 3ST KT MR CN</v>
          </cell>
        </row>
        <row r="701">
          <cell r="C701">
            <v>4011102</v>
          </cell>
          <cell r="D701" t="str">
            <v>***PL SCH.Z/K.1STTRM OK15KGPJ ECS</v>
          </cell>
        </row>
        <row r="702">
          <cell r="C702">
            <v>4012651</v>
          </cell>
          <cell r="D702" t="str">
            <v>***PL SCH.WP.Z/K.1STTRM OK15KGKT</v>
          </cell>
        </row>
        <row r="703">
          <cell r="C703">
            <v>4012810</v>
          </cell>
          <cell r="D703" t="str">
            <v>***PL SCH.WP.Z/K.1ST TRM OK10KG KT</v>
          </cell>
        </row>
        <row r="704">
          <cell r="C704">
            <v>4007391</v>
          </cell>
          <cell r="D704" t="str">
            <v>***PL SCH.Z/K.LUZ</v>
          </cell>
        </row>
        <row r="705">
          <cell r="C705">
            <v>3012056</v>
          </cell>
          <cell r="D705" t="str">
            <v>***PL SCH.Z/K.3ST KT DMR CN</v>
          </cell>
        </row>
        <row r="706">
          <cell r="C706">
            <v>4011589</v>
          </cell>
          <cell r="D706" t="str">
            <v>***EU SCH.Z/K.CH WOR OK15KG KT CH</v>
          </cell>
        </row>
        <row r="707">
          <cell r="C707">
            <v>4011838</v>
          </cell>
          <cell r="D707" t="str">
            <v>***EU SCH.Z/K.CH WOR OK15KG KT.OTW.</v>
          </cell>
        </row>
        <row r="708">
          <cell r="C708">
            <v>4011636</v>
          </cell>
          <cell r="D708" t="str">
            <v>***EU SCH.Z/K.CH WOR OK15KG KT CH</v>
          </cell>
        </row>
        <row r="709">
          <cell r="C709">
            <v>4012017</v>
          </cell>
          <cell r="D709" t="str">
            <v>***EU SCH.Z/K.OK16KG WOR SK T CH</v>
          </cell>
        </row>
        <row r="710">
          <cell r="C710">
            <v>4011963</v>
          </cell>
          <cell r="D710" t="str">
            <v>***SCH.Z/K 3ST KT MR CN</v>
          </cell>
        </row>
        <row r="711">
          <cell r="C711">
            <v>4012153</v>
          </cell>
          <cell r="D711" t="str">
            <v>***EU SCH.Z/K.1STTRM OK15KGPJ ECS</v>
          </cell>
        </row>
        <row r="712">
          <cell r="C712">
            <v>4012650</v>
          </cell>
          <cell r="D712" t="str">
            <v>***EU SCH.WP.Z/K.1STTRM OK15KGKT</v>
          </cell>
        </row>
        <row r="713">
          <cell r="C713">
            <v>4012811</v>
          </cell>
          <cell r="D713" t="str">
            <v>***EU SCH.WP.Z/K.1ST TRM OK10KG KT</v>
          </cell>
        </row>
        <row r="714">
          <cell r="C714">
            <v>4011726</v>
          </cell>
          <cell r="D714" t="str">
            <v>***EU SCH.Z/K.LUZ</v>
          </cell>
        </row>
        <row r="715">
          <cell r="C715">
            <v>3017495</v>
          </cell>
          <cell r="D715" t="str">
            <v>***EU SCH.Z/K 3ST KT DMR CN</v>
          </cell>
        </row>
        <row r="716">
          <cell r="C716">
            <v>3012054</v>
          </cell>
          <cell r="D716" t="str">
            <v>***SCH.Z/K.B/TŁ.WĄS.CH PL USR</v>
          </cell>
        </row>
        <row r="717">
          <cell r="C717">
            <v>3007449</v>
          </cell>
          <cell r="D717" t="str">
            <v>***SCH.Z/K.B/TŁ.WĄS KOTLETY FANTOM CH</v>
          </cell>
        </row>
        <row r="718">
          <cell r="C718">
            <v>3007450</v>
          </cell>
          <cell r="D718" t="str">
            <v>***SCH.B/K/ZAPARZONY CH</v>
          </cell>
        </row>
        <row r="719">
          <cell r="C719">
            <v>3009119</v>
          </cell>
          <cell r="D719" t="str">
            <v>***SCH.B/K/ZAPARZONY USR</v>
          </cell>
        </row>
        <row r="720">
          <cell r="C720">
            <v>3027273</v>
          </cell>
          <cell r="D720" t="str">
            <v>SCH.B/K.Z/2WAR.KAW.OK1KG</v>
          </cell>
        </row>
        <row r="721">
          <cell r="C721">
            <v>3028045</v>
          </cell>
          <cell r="D721" t="str">
            <v>SCH.B/K.Z/2WAR.KAW.OK1KG 500KGPBX CH</v>
          </cell>
        </row>
        <row r="722">
          <cell r="C722">
            <v>4026766</v>
          </cell>
          <cell r="D722" t="str">
            <v>PLSCH.B/K.Z/2WAR.OK1.5KGVACOK10KGKTNETTO</v>
          </cell>
        </row>
        <row r="723">
          <cell r="C723">
            <v>4019688</v>
          </cell>
          <cell r="D723" t="str">
            <v>PL SCH.B/K.Z/2WAR.KAW.OK1KGVACOK5KGKT EX</v>
          </cell>
        </row>
        <row r="724">
          <cell r="C724">
            <v>3045943</v>
          </cell>
          <cell r="D724" t="str">
            <v>EU SCH.B/K.Z/2WAR.OK1KG KAW.CH</v>
          </cell>
        </row>
        <row r="725">
          <cell r="C725">
            <v>3007451</v>
          </cell>
          <cell r="D725" t="str">
            <v>SCH.B/K/.Z/2WAR CH1</v>
          </cell>
        </row>
        <row r="726">
          <cell r="C726">
            <v>3011357</v>
          </cell>
          <cell r="D726" t="str">
            <v>***SCH.B/K.Z/2WAR.NB MR ST</v>
          </cell>
        </row>
        <row r="727">
          <cell r="C727">
            <v>4003752</v>
          </cell>
          <cell r="D727" t="str">
            <v>PL SCH.B/K.Z/WAR.OK20KGWOR LUZ KT</v>
          </cell>
        </row>
        <row r="728">
          <cell r="C728">
            <v>4008749</v>
          </cell>
          <cell r="D728" t="str">
            <v>***PL SCH.B/K.LUZ OK15KG KT TIP</v>
          </cell>
        </row>
        <row r="729">
          <cell r="C729">
            <v>4017005</v>
          </cell>
          <cell r="D729" t="str">
            <v>***PL SCH.B/K.KOTL.500GMAP 6KGKT LIDL LT</v>
          </cell>
        </row>
        <row r="730">
          <cell r="C730">
            <v>4017006</v>
          </cell>
          <cell r="D730" t="str">
            <v>***PL SCH.B/K.Z/WAR.OK1KGMAPOK6KGKT</v>
          </cell>
        </row>
        <row r="731">
          <cell r="C731">
            <v>4008819</v>
          </cell>
          <cell r="D731" t="str">
            <v>***PL SCH.B/K.VAC OK20KG KT TIP</v>
          </cell>
        </row>
        <row r="732">
          <cell r="C732">
            <v>4009690</v>
          </cell>
          <cell r="D732" t="str">
            <v>***PLSC.B/K.Z/2WAR.OK1KGVACOK5KGKTSKTESC</v>
          </cell>
        </row>
        <row r="733">
          <cell r="C733">
            <v>4010949</v>
          </cell>
          <cell r="D733" t="str">
            <v>***SCH.WP.B/K.1.2-2.2KGVAC OK6KT BIED</v>
          </cell>
        </row>
        <row r="734">
          <cell r="C734">
            <v>4003753</v>
          </cell>
          <cell r="D734" t="str">
            <v>***PL SCH.Z/2WAR.OK1KG VAC OK20KG CARR</v>
          </cell>
        </row>
        <row r="735">
          <cell r="C735">
            <v>4009869</v>
          </cell>
          <cell r="D735" t="str">
            <v>***PL SCH.B/K.OK1KG VAC OK5KGKT SK TESC</v>
          </cell>
        </row>
        <row r="736">
          <cell r="C736">
            <v>4012388</v>
          </cell>
          <cell r="D736" t="str">
            <v>***PL SCH.WP.B/K.Z/2WAROK1KGVAC OK4KG KT</v>
          </cell>
        </row>
        <row r="737">
          <cell r="C737">
            <v>4003755</v>
          </cell>
          <cell r="D737" t="str">
            <v>***PL SCH.B/K.Z/WAR.VAC OK1KG REAL</v>
          </cell>
        </row>
        <row r="738">
          <cell r="C738">
            <v>4006840</v>
          </cell>
          <cell r="D738" t="str">
            <v>***PL SCH.B/K.Z/WAR.OK1KGVAC OK10KGKT</v>
          </cell>
        </row>
        <row r="739">
          <cell r="C739">
            <v>4008277</v>
          </cell>
          <cell r="D739" t="str">
            <v>***PL SCH.B/K.Z/WAR.OK18KGVAC KT CH TESC</v>
          </cell>
        </row>
        <row r="740">
          <cell r="C740">
            <v>4010133</v>
          </cell>
          <cell r="D740" t="str">
            <v>***PL SCH.B/K.Z/2WAR.1STTRMOK20KGKT CARR</v>
          </cell>
        </row>
        <row r="741">
          <cell r="C741">
            <v>4001776</v>
          </cell>
          <cell r="D741" t="str">
            <v>PL SCH.B/K.Z/WAR.1STVAC OK15KGKT</v>
          </cell>
        </row>
        <row r="742">
          <cell r="C742">
            <v>4003756</v>
          </cell>
          <cell r="D742" t="str">
            <v>***PL SCH.Z/2WAR.1ST TRM OK15KG KT KV</v>
          </cell>
        </row>
        <row r="743">
          <cell r="C743">
            <v>4012641</v>
          </cell>
          <cell r="D743" t="str">
            <v>***PL SCH.B/K.Z/WAR.1STVAC OK15KGKT</v>
          </cell>
        </row>
        <row r="744">
          <cell r="C744">
            <v>4015387</v>
          </cell>
          <cell r="D744" t="str">
            <v>***PL SCH.B/K.Z/WAR.1STVAC OK12KGKT SEL</v>
          </cell>
        </row>
        <row r="745">
          <cell r="C745">
            <v>4015763</v>
          </cell>
          <cell r="D745" t="str">
            <v>***PL SCH.B/K.Z/WAR.1KG VAC 6 KG KT POLM</v>
          </cell>
        </row>
        <row r="746">
          <cell r="C746">
            <v>4016681</v>
          </cell>
          <cell r="D746" t="str">
            <v>PL SCH.B/K.Z/WAR.OK1.5KGVACOK10KGKTKAUF</v>
          </cell>
        </row>
        <row r="747">
          <cell r="C747">
            <v>4017715</v>
          </cell>
          <cell r="D747" t="str">
            <v>***PL SCH.B/K.Z/WAR.OK1KGVACOK15KGKTAUCH</v>
          </cell>
        </row>
        <row r="748">
          <cell r="C748">
            <v>4019534</v>
          </cell>
          <cell r="D748" t="str">
            <v>PL SCH.B/K.Z/WAR.1STVACOK16KGKT PREM.SEL</v>
          </cell>
        </row>
        <row r="749">
          <cell r="C749">
            <v>4019619</v>
          </cell>
          <cell r="D749" t="str">
            <v>***PL SCH.B/K.Z/WAR.1/2STVAC OK5KGKT</v>
          </cell>
        </row>
        <row r="750">
          <cell r="C750">
            <v>3011380</v>
          </cell>
          <cell r="D750" t="str">
            <v>***SCH.B/K.Z/2WAR.VAC MR ST</v>
          </cell>
        </row>
        <row r="751">
          <cell r="C751">
            <v>4013692</v>
          </cell>
          <cell r="D751" t="str">
            <v>***PL SCH.WP.B/K.OK1KGVAC OK4.2KGKT MOR</v>
          </cell>
        </row>
        <row r="752">
          <cell r="C752">
            <v>4014239</v>
          </cell>
          <cell r="D752" t="str">
            <v>***PLSCH.WP.B/K.1.2-1.8KGVACOK4.15KTBIED</v>
          </cell>
        </row>
        <row r="753">
          <cell r="C753">
            <v>4015488</v>
          </cell>
          <cell r="D753" t="str">
            <v>***PL SCH.B/K.Z/WAR.OK1KGVACOK6KGKT LIDL</v>
          </cell>
        </row>
        <row r="754">
          <cell r="C754">
            <v>4016954</v>
          </cell>
          <cell r="D754" t="str">
            <v>***PLSCH.B/K.Z/WAR.OK1KGVACOK6KGKTLIDLLT</v>
          </cell>
        </row>
        <row r="755">
          <cell r="C755">
            <v>4017757</v>
          </cell>
          <cell r="D755" t="str">
            <v>***PLSCH.B/K.Z/WAR.OK1KGVACOK6KGKTLIDLSK</v>
          </cell>
        </row>
        <row r="756">
          <cell r="C756">
            <v>4019975</v>
          </cell>
          <cell r="D756" t="str">
            <v>***PLSC.B/K.Z/WAR.TŁ.1STVACOK20KGKTMETCZ</v>
          </cell>
        </row>
        <row r="757">
          <cell r="C757">
            <v>4024026</v>
          </cell>
          <cell r="D757" t="str">
            <v>PL SCH.B/K.Z/WAR.1STVAC OK20KGKT EX</v>
          </cell>
        </row>
        <row r="758">
          <cell r="C758">
            <v>4030110</v>
          </cell>
          <cell r="D758" t="str">
            <v>PL SCH.B/K.Z/WAR.1STVAC OK15KGKT AUCH</v>
          </cell>
        </row>
        <row r="759">
          <cell r="C759">
            <v>3007452</v>
          </cell>
          <cell r="D759" t="str">
            <v>***PL SCH.B/K.Z/2WAR.OK15KG PJ CH ST</v>
          </cell>
        </row>
        <row r="760">
          <cell r="C760">
            <v>3026047</v>
          </cell>
          <cell r="D760" t="str">
            <v>PL SCH.B/K.Z/2WAR.WOR OK15KG PJ CH ST</v>
          </cell>
        </row>
        <row r="761">
          <cell r="C761">
            <v>3017020</v>
          </cell>
          <cell r="D761" t="str">
            <v>PL SCH.B/K.1606 OK15KGLUZ PJ SZ</v>
          </cell>
        </row>
        <row r="762">
          <cell r="C762">
            <v>3015348</v>
          </cell>
          <cell r="D762" t="str">
            <v>PL SCH.B/K.Z/BOCZ/TŁ3 OK15KGWOR PJ EŁ</v>
          </cell>
        </row>
        <row r="763">
          <cell r="C763">
            <v>3012006</v>
          </cell>
          <cell r="D763" t="str">
            <v>***SCH.B/K 1606 WOR PJ SZ</v>
          </cell>
        </row>
        <row r="764">
          <cell r="C764">
            <v>3011359</v>
          </cell>
          <cell r="D764" t="str">
            <v>***SCH. B/K Z/2WAR NB DMR</v>
          </cell>
        </row>
        <row r="765">
          <cell r="C765">
            <v>3011391</v>
          </cell>
          <cell r="D765" t="str">
            <v>***PL SCH.B/K.Z/2WAR.VAC DMR</v>
          </cell>
        </row>
        <row r="766">
          <cell r="C766">
            <v>3011358</v>
          </cell>
          <cell r="D766" t="str">
            <v>***SCH.B/K.Z/2WAR.NB RO</v>
          </cell>
        </row>
        <row r="767">
          <cell r="C767">
            <v>3011390</v>
          </cell>
          <cell r="D767" t="str">
            <v>***SCH.B/K.Z/2WAR.VAC RO</v>
          </cell>
        </row>
        <row r="768">
          <cell r="C768">
            <v>3024208</v>
          </cell>
          <cell r="D768" t="str">
            <v>SCH.B/K/.Z/2WAR CH2</v>
          </cell>
        </row>
        <row r="769">
          <cell r="C769">
            <v>4011590</v>
          </cell>
          <cell r="D769" t="str">
            <v>EU SCH.B/K.Z/WAR.OK20KGWOR LUZ KT</v>
          </cell>
        </row>
        <row r="770">
          <cell r="C770">
            <v>4011820</v>
          </cell>
          <cell r="D770" t="str">
            <v>***EU SCH.B/K.LUZ OK15KG KT TIP</v>
          </cell>
        </row>
        <row r="771">
          <cell r="C771">
            <v>4011848</v>
          </cell>
          <cell r="D771" t="str">
            <v>***EU SCH.B/K.VAC OK20KG KT TIP</v>
          </cell>
        </row>
        <row r="772">
          <cell r="C772">
            <v>4011957</v>
          </cell>
          <cell r="D772" t="str">
            <v>***EU SCH.B/K.Z/2WAR.OK1KGVAC OK5KG TESC</v>
          </cell>
        </row>
        <row r="773">
          <cell r="C773">
            <v>4011591</v>
          </cell>
          <cell r="D773" t="str">
            <v>***EU SCH.Z/2WAR.OK1KG VAC OK20KG C</v>
          </cell>
        </row>
        <row r="774">
          <cell r="C774">
            <v>4011981</v>
          </cell>
          <cell r="D774" t="str">
            <v>***EU SCH.B/K.OK1KG VAC OK5KGKT SK TESC</v>
          </cell>
        </row>
        <row r="775">
          <cell r="C775">
            <v>4012420</v>
          </cell>
          <cell r="D775" t="str">
            <v>***EU SCH.WP.B/K.Z/2WAR OK1KGVACOK4KG KT</v>
          </cell>
        </row>
        <row r="776">
          <cell r="C776">
            <v>4011592</v>
          </cell>
          <cell r="D776" t="str">
            <v>***EU SCH.B/K.Z/WAR.VAC OK1KG REAL</v>
          </cell>
        </row>
        <row r="777">
          <cell r="C777">
            <v>4011671</v>
          </cell>
          <cell r="D777" t="str">
            <v>***EU SCH.B/K.Z/WAR.OK1KGVAC OK10KGKT</v>
          </cell>
        </row>
        <row r="778">
          <cell r="C778">
            <v>4011778</v>
          </cell>
          <cell r="D778" t="str">
            <v>***EU SCH.B/K.Z/WAR.VAC KT CH TESCO</v>
          </cell>
        </row>
        <row r="779">
          <cell r="C779">
            <v>4012031</v>
          </cell>
          <cell r="D779" t="str">
            <v>***EU SCH.B/K.Z/2WAR.1ST TRM OK20KG KT C</v>
          </cell>
        </row>
        <row r="780">
          <cell r="C780">
            <v>4011455</v>
          </cell>
          <cell r="D780" t="str">
            <v>***EU SCH.B/K.Z/WAR.VAC</v>
          </cell>
        </row>
        <row r="781">
          <cell r="C781">
            <v>4011593</v>
          </cell>
          <cell r="D781" t="str">
            <v>***EU SCH.Z/2WAR.1ST TRM OK15KG KT KV</v>
          </cell>
        </row>
        <row r="782">
          <cell r="C782">
            <v>4012644</v>
          </cell>
          <cell r="D782" t="str">
            <v>***EU SCH.B/K.Z/WAR.1STVAC OK15KGKT</v>
          </cell>
        </row>
        <row r="783">
          <cell r="C783">
            <v>4016684</v>
          </cell>
          <cell r="D783" t="str">
            <v>EU SCH.B/K.Z/WAR.OK1.5KGVACOK10KGKTKAUF</v>
          </cell>
        </row>
        <row r="784">
          <cell r="C784">
            <v>4017716</v>
          </cell>
          <cell r="D784" t="str">
            <v>***EU SCH.B/K.Z/WAR.OK1KGVACOK15KGKTAUCH</v>
          </cell>
        </row>
        <row r="785">
          <cell r="C785">
            <v>4013693</v>
          </cell>
          <cell r="D785" t="str">
            <v>***EU SCH.WP.B/K.OK1KGVAC OK4.2KGKT MOR</v>
          </cell>
        </row>
        <row r="786">
          <cell r="C786">
            <v>4019974</v>
          </cell>
          <cell r="D786" t="str">
            <v>***EUSC.B/K.Z/WAR.TŁ.1STVACOK20KGKTMETCZ</v>
          </cell>
        </row>
        <row r="787">
          <cell r="C787">
            <v>3017371</v>
          </cell>
          <cell r="D787" t="str">
            <v>***EU SCH.B/K.Z/2WAR.OK15KG PJ CH</v>
          </cell>
        </row>
        <row r="788">
          <cell r="C788">
            <v>3017474</v>
          </cell>
          <cell r="D788" t="str">
            <v>***EU SCH.B/K.Z/2WAR.VAC DMR</v>
          </cell>
        </row>
        <row r="789">
          <cell r="C789">
            <v>3035457</v>
          </cell>
          <cell r="D789" t="str">
            <v>PP SCH.B/K.Z/WAR.OK15KGWOR PJ ST</v>
          </cell>
        </row>
        <row r="790">
          <cell r="C790">
            <v>3042467</v>
          </cell>
          <cell r="D790" t="str">
            <v>PP SCH.B/K.Z/WAR.TŁ.3MM PBX ST</v>
          </cell>
        </row>
        <row r="791">
          <cell r="C791">
            <v>3027332</v>
          </cell>
          <cell r="D791" t="str">
            <v>SCH.B/K/.Z/2WAR.KAW.</v>
          </cell>
        </row>
        <row r="792">
          <cell r="C792">
            <v>3028046</v>
          </cell>
          <cell r="D792" t="str">
            <v>***SCH.B/K/.Z/2WAR.KAW.OK500KG PBX CH</v>
          </cell>
        </row>
        <row r="793">
          <cell r="C793">
            <v>4029471</v>
          </cell>
          <cell r="D793" t="str">
            <v>PLSCH.B/K.Z/2WAR.OK1.4KGVACOK5KGKT AUCH</v>
          </cell>
        </row>
        <row r="794">
          <cell r="C794">
            <v>3008882</v>
          </cell>
          <cell r="D794" t="str">
            <v>***SCH.WP.Z/K EXTRA USR CH</v>
          </cell>
        </row>
        <row r="795">
          <cell r="C795">
            <v>3004287</v>
          </cell>
          <cell r="D795" t="str">
            <v>***SCH.B/K/TŁ.USR CH</v>
          </cell>
        </row>
        <row r="796">
          <cell r="C796">
            <v>3012165</v>
          </cell>
          <cell r="D796" t="str">
            <v>***SCH.B/K/TŁ.PB MR ST</v>
          </cell>
        </row>
        <row r="797">
          <cell r="C797">
            <v>4009670</v>
          </cell>
          <cell r="D797" t="str">
            <v>***PL SCH.B/K.PB MR RU</v>
          </cell>
        </row>
        <row r="798">
          <cell r="C798">
            <v>4003763</v>
          </cell>
          <cell r="D798" t="str">
            <v>***PL SCH.ODK.CH LUZ KT</v>
          </cell>
        </row>
        <row r="799">
          <cell r="C799">
            <v>4010516</v>
          </cell>
          <cell r="D799" t="str">
            <v>***PL SCH.B/K.LUZ OK15KG KT CH EX</v>
          </cell>
        </row>
        <row r="800">
          <cell r="C800">
            <v>4008153</v>
          </cell>
          <cell r="D800" t="str">
            <v>***PL SCH.B/K/TŁ.1ST FOL.OK20KG KT MR EX</v>
          </cell>
        </row>
        <row r="801">
          <cell r="C801">
            <v>4008805</v>
          </cell>
          <cell r="D801" t="str">
            <v>***PL SCH.B/K.OK1KG VAC OK5KG SK TESC</v>
          </cell>
        </row>
        <row r="802">
          <cell r="C802">
            <v>4001777</v>
          </cell>
          <cell r="D802" t="str">
            <v>***PL SCH.ODK.CH VAC</v>
          </cell>
        </row>
        <row r="803">
          <cell r="C803">
            <v>4009454</v>
          </cell>
          <cell r="D803" t="str">
            <v>***PL SCH.B/K.OK1KG VAC OK6KG KT RU</v>
          </cell>
        </row>
        <row r="804">
          <cell r="C804">
            <v>4011110</v>
          </cell>
          <cell r="D804" t="str">
            <v>***PL SCH.B/K.OK1KGVAC OK20KG KT CARR</v>
          </cell>
        </row>
        <row r="805">
          <cell r="C805">
            <v>4010150</v>
          </cell>
          <cell r="D805" t="str">
            <v>***PL SCH.B/K.1ST TRM OK15KG PJ STO</v>
          </cell>
        </row>
        <row r="806">
          <cell r="C806">
            <v>4008887</v>
          </cell>
          <cell r="D806" t="str">
            <v>***PL SCH.B/K.1ST TRM OK20KG RU</v>
          </cell>
        </row>
        <row r="807">
          <cell r="C807">
            <v>4009134</v>
          </cell>
          <cell r="D807" t="str">
            <v>***PL SCH.B/K.1ST TRM OK20KG KJM RU</v>
          </cell>
        </row>
        <row r="808">
          <cell r="C808">
            <v>4009895</v>
          </cell>
          <cell r="D808" t="str">
            <v>***PL SCH.B/K.1STVAC OK15KGKT EX</v>
          </cell>
        </row>
        <row r="809">
          <cell r="C809">
            <v>4011111</v>
          </cell>
          <cell r="D809" t="str">
            <v>***PL SCH.B/K.1STTRM OK20KGKT</v>
          </cell>
        </row>
        <row r="810">
          <cell r="C810">
            <v>4011120</v>
          </cell>
          <cell r="D810" t="str">
            <v>***PL SCH.B/K.1STTRM OK6KGKT CARR</v>
          </cell>
        </row>
        <row r="811">
          <cell r="C811">
            <v>4007394</v>
          </cell>
          <cell r="D811" t="str">
            <v>***PL SCH.B/K.VAC HILT</v>
          </cell>
        </row>
        <row r="812">
          <cell r="C812">
            <v>4009863</v>
          </cell>
          <cell r="D812" t="str">
            <v>***PL SCH.B/K/TŁ.VAC OK15KG KT MR EX</v>
          </cell>
        </row>
        <row r="813">
          <cell r="C813">
            <v>3007453</v>
          </cell>
          <cell r="D813" t="str">
            <v>PL SCH.B/K/TŁ.OK15KGLUZ PJ ST</v>
          </cell>
        </row>
        <row r="814">
          <cell r="C814">
            <v>3033329</v>
          </cell>
          <cell r="D814" t="str">
            <v>PL SCH.B/K/TŁ.OK20KGWOR PJ AF ST</v>
          </cell>
        </row>
        <row r="815">
          <cell r="C815">
            <v>4007393</v>
          </cell>
          <cell r="D815" t="str">
            <v>***PL SCH.B/K.LUZ HILT</v>
          </cell>
        </row>
        <row r="816">
          <cell r="C816">
            <v>3009172</v>
          </cell>
          <cell r="D816" t="str">
            <v>***SCH.B/K 1660 WOR PJ SZ</v>
          </cell>
        </row>
        <row r="817">
          <cell r="C817">
            <v>3007455</v>
          </cell>
          <cell r="D817" t="str">
            <v>***SCH.B/K/TŁ MR ZAK</v>
          </cell>
        </row>
        <row r="818">
          <cell r="C818">
            <v>3003271</v>
          </cell>
          <cell r="D818" t="str">
            <v>***SCH.B/K/TŁ.OK.15.00 KG WOR PJ CH EŁ</v>
          </cell>
        </row>
        <row r="819">
          <cell r="C819">
            <v>3011130</v>
          </cell>
          <cell r="D819" t="str">
            <v>***SCHAB B/K/TŁ. OK.15KG WOR PJ CH EŁ PL</v>
          </cell>
        </row>
        <row r="820">
          <cell r="C820">
            <v>3012161</v>
          </cell>
          <cell r="D820" t="str">
            <v>***PL SCH.B/K/TŁ.PB DMR</v>
          </cell>
        </row>
        <row r="821">
          <cell r="C821">
            <v>3011991</v>
          </cell>
          <cell r="D821" t="str">
            <v>***PL SCH.B/K.PB DMR RU</v>
          </cell>
        </row>
        <row r="822">
          <cell r="C822">
            <v>3009123</v>
          </cell>
          <cell r="D822" t="str">
            <v>***PL SCH.B/K.Z/WAR.DMR</v>
          </cell>
        </row>
        <row r="823">
          <cell r="C823">
            <v>3012287</v>
          </cell>
          <cell r="D823" t="str">
            <v>***PL SCH.B/K/TŁ.VAC DMR CZ</v>
          </cell>
        </row>
        <row r="824">
          <cell r="C824">
            <v>3012166</v>
          </cell>
          <cell r="D824" t="str">
            <v>***SCH.B/K/TŁ.PB RO1</v>
          </cell>
        </row>
        <row r="825">
          <cell r="C825">
            <v>3020210</v>
          </cell>
          <cell r="D825" t="str">
            <v>***SCH.B/K/TŁ.PB RO2</v>
          </cell>
        </row>
        <row r="826">
          <cell r="C826">
            <v>4011954</v>
          </cell>
          <cell r="D826" t="str">
            <v>***SCH.B/K.PB MR RU</v>
          </cell>
        </row>
        <row r="827">
          <cell r="C827">
            <v>4011594</v>
          </cell>
          <cell r="D827" t="str">
            <v>***EU SCH.ODK.CH LUZ KT</v>
          </cell>
        </row>
        <row r="828">
          <cell r="C828">
            <v>4012041</v>
          </cell>
          <cell r="D828" t="str">
            <v>***EU SCH.B/K.LUZ OK15KG KT CH EX</v>
          </cell>
        </row>
        <row r="829">
          <cell r="C829">
            <v>4011771</v>
          </cell>
          <cell r="D829" t="str">
            <v>***EU SCH.B/K/TŁ.1ST FOL.OK20KG KT MR EX</v>
          </cell>
        </row>
        <row r="830">
          <cell r="C830">
            <v>4011842</v>
          </cell>
          <cell r="D830" t="str">
            <v>***EU SCH.B/K.OK1KG VAC OK5KG SK TESCO</v>
          </cell>
        </row>
        <row r="831">
          <cell r="C831">
            <v>4011456</v>
          </cell>
          <cell r="D831" t="str">
            <v>***EU SCH.ODK.CH VAC</v>
          </cell>
        </row>
        <row r="832">
          <cell r="C832">
            <v>4011922</v>
          </cell>
          <cell r="D832" t="str">
            <v>***EU SCH.B/K.OK1KG VAC OK6KG KT RU</v>
          </cell>
        </row>
        <row r="833">
          <cell r="C833">
            <v>4012158</v>
          </cell>
          <cell r="D833" t="str">
            <v>***EU SCH.B/K.OK1KGVAC OK20KG KT CARR</v>
          </cell>
        </row>
        <row r="834">
          <cell r="C834">
            <v>4012035</v>
          </cell>
          <cell r="D834" t="str">
            <v>***EU SCH.B/K.1ST TRM OK15KG PJ STO</v>
          </cell>
        </row>
        <row r="835">
          <cell r="C835">
            <v>4011868</v>
          </cell>
          <cell r="D835" t="str">
            <v>***EU SCH.B/K.1ST TRM OK20KG RU</v>
          </cell>
        </row>
        <row r="836">
          <cell r="C836">
            <v>4011887</v>
          </cell>
          <cell r="D836" t="str">
            <v>***EU SCH.B/K.1ST TRM OK20KG KJM RU</v>
          </cell>
        </row>
        <row r="837">
          <cell r="C837">
            <v>4011987</v>
          </cell>
          <cell r="D837" t="str">
            <v>***EU SCH.B/K.1STVAC OK15KGKT EX</v>
          </cell>
        </row>
        <row r="838">
          <cell r="C838">
            <v>4012159</v>
          </cell>
          <cell r="D838" t="str">
            <v>***EU SCH.B/K.1STTRM OK20KGKT</v>
          </cell>
        </row>
        <row r="839">
          <cell r="C839">
            <v>4012160</v>
          </cell>
          <cell r="D839" t="str">
            <v>***EU SCH.B/K.1STTRM OK6KGKT CARR</v>
          </cell>
        </row>
        <row r="840">
          <cell r="C840">
            <v>4011728</v>
          </cell>
          <cell r="D840" t="str">
            <v>***EU SCH.B/K.VAC HILT</v>
          </cell>
        </row>
        <row r="841">
          <cell r="C841">
            <v>4011977</v>
          </cell>
          <cell r="D841" t="str">
            <v>***EU SCH.B/K/TŁ.VAC OK15KG KT MR EX</v>
          </cell>
        </row>
        <row r="842">
          <cell r="C842">
            <v>4011727</v>
          </cell>
          <cell r="D842" t="str">
            <v>***EU SCH.B/K.LUZ HILT</v>
          </cell>
        </row>
        <row r="843">
          <cell r="C843">
            <v>3017508</v>
          </cell>
          <cell r="D843" t="str">
            <v>***EU SCH.B/K/TŁ.PB DMR</v>
          </cell>
        </row>
        <row r="844">
          <cell r="C844">
            <v>3017493</v>
          </cell>
          <cell r="D844" t="str">
            <v>***EU SCH.B/K.PB DMR RU</v>
          </cell>
        </row>
        <row r="845">
          <cell r="C845">
            <v>3017441</v>
          </cell>
          <cell r="D845" t="str">
            <v>***EU SCH.B/K.Z/WAR.DMR</v>
          </cell>
        </row>
        <row r="846">
          <cell r="C846">
            <v>3017514</v>
          </cell>
          <cell r="D846" t="str">
            <v>***EU SCH.B/K/TŁ.VAC DMR CZ</v>
          </cell>
        </row>
        <row r="847">
          <cell r="C847">
            <v>3035590</v>
          </cell>
          <cell r="D847" t="str">
            <v>PP SCH.B/K/TŁ.OK15KGLUZ PJ ST</v>
          </cell>
        </row>
        <row r="848">
          <cell r="C848">
            <v>3009234</v>
          </cell>
          <cell r="D848" t="str">
            <v>***SCHAB.ODKST.UŚR PL</v>
          </cell>
        </row>
        <row r="849">
          <cell r="C849">
            <v>3029913</v>
          </cell>
          <cell r="D849" t="str">
            <v>PL SCH.B/K.Z/W.KAW.CH</v>
          </cell>
        </row>
        <row r="850">
          <cell r="C850">
            <v>3029914</v>
          </cell>
          <cell r="D850" t="str">
            <v>PL SCH.B/K.Z/WAR.KAW.OK500KG PBX CH</v>
          </cell>
        </row>
        <row r="851">
          <cell r="C851">
            <v>4019895</v>
          </cell>
          <cell r="D851" t="str">
            <v>PLSCH.B/K.Z/2WAR.1.2-1.8KGVACOK6KGKTBIED</v>
          </cell>
        </row>
        <row r="852">
          <cell r="C852">
            <v>4020083</v>
          </cell>
          <cell r="D852" t="str">
            <v>PPSCH.B/K.Z/2WAR.OK1.4KGVACOK8.4KGKTLIDL</v>
          </cell>
        </row>
        <row r="853">
          <cell r="C853">
            <v>4020132</v>
          </cell>
          <cell r="D853" t="str">
            <v>PL SCH.B/K.Z/WAR.OK1.4KGVACOK8.4KGLIDLSK</v>
          </cell>
        </row>
        <row r="854">
          <cell r="C854">
            <v>4020133</v>
          </cell>
          <cell r="D854" t="str">
            <v>PL SCH.B/K.Z/WAR.OK1.4KGVACOK8.4KGLIDLLT</v>
          </cell>
        </row>
        <row r="855">
          <cell r="C855">
            <v>4020270</v>
          </cell>
          <cell r="D855" t="str">
            <v>PL SCH.B/K.Z/WAR OK1.4KGVACOK8.4KGLIDLCZ</v>
          </cell>
        </row>
        <row r="856">
          <cell r="C856">
            <v>4023136</v>
          </cell>
          <cell r="D856" t="str">
            <v>PL SCH.B/K.PC OK1KGVAC OK10KGKT MAKR</v>
          </cell>
        </row>
        <row r="857">
          <cell r="C857">
            <v>4024458</v>
          </cell>
          <cell r="D857" t="str">
            <v>***PLSCH.B/K.Z/2WA.OK1.4KGVOK8.4KGKTLIDL</v>
          </cell>
        </row>
        <row r="858">
          <cell r="C858">
            <v>4030132</v>
          </cell>
          <cell r="D858" t="str">
            <v>PL SCH.B/K.Z/2WAR.OK1.5KGVACOK6KGKT ALDI</v>
          </cell>
        </row>
        <row r="859">
          <cell r="C859">
            <v>4026703</v>
          </cell>
          <cell r="D859" t="str">
            <v>PL SCH.B/K.Z/2W.OK1.5KGVACOK6KGKT3OBBIED</v>
          </cell>
        </row>
        <row r="860">
          <cell r="C860">
            <v>3036798</v>
          </cell>
          <cell r="D860" t="str">
            <v>PL SCH.B/K.KAW.PBX K4</v>
          </cell>
        </row>
        <row r="861">
          <cell r="C861">
            <v>3035442</v>
          </cell>
          <cell r="D861" t="str">
            <v>PP SCH.B/K.Z/W.KAW.CH</v>
          </cell>
        </row>
        <row r="862">
          <cell r="C862">
            <v>3035443</v>
          </cell>
          <cell r="D862" t="str">
            <v>PP SCH.B/K.Z/WAR/TŁ.3MM KAW.PBX</v>
          </cell>
        </row>
        <row r="863">
          <cell r="C863">
            <v>3036851</v>
          </cell>
          <cell r="D863" t="str">
            <v>PP SCH.B/K.Z/WAR/TŁ.3MM KAW.PBX K4</v>
          </cell>
        </row>
        <row r="864">
          <cell r="C864">
            <v>3007457</v>
          </cell>
          <cell r="D864" t="str">
            <v>***SCH.B/K.Z/TŁ CH</v>
          </cell>
        </row>
        <row r="865">
          <cell r="C865">
            <v>3007458</v>
          </cell>
          <cell r="D865" t="str">
            <v>***SCH.B/K.Z/TŁ NB MR</v>
          </cell>
        </row>
        <row r="866">
          <cell r="C866">
            <v>3007459</v>
          </cell>
          <cell r="D866" t="str">
            <v>***SCH.B/K.Z/TŁ KRÓTKI NB MR</v>
          </cell>
        </row>
        <row r="867">
          <cell r="C867">
            <v>4007614</v>
          </cell>
          <cell r="D867" t="str">
            <v>***SCHAB GARMAŻ.B/K KRÓTKI LUZ KT</v>
          </cell>
        </row>
        <row r="868">
          <cell r="C868">
            <v>3007460</v>
          </cell>
          <cell r="D868" t="str">
            <v>***SCH.B/K.Z/TŁ NB DMR</v>
          </cell>
        </row>
        <row r="869">
          <cell r="C869">
            <v>3007461</v>
          </cell>
          <cell r="D869" t="str">
            <v>***SCH.B/K.Z/TŁ KRÓTKI NB DMR</v>
          </cell>
        </row>
        <row r="870">
          <cell r="C870">
            <v>3007462</v>
          </cell>
          <cell r="D870" t="str">
            <v>***SCH.B/K.Z/TŁ NB RO</v>
          </cell>
        </row>
        <row r="871">
          <cell r="C871">
            <v>3007463</v>
          </cell>
          <cell r="D871" t="str">
            <v>***SCH.B/K.Z/TŁ KRÓTKI NB RO</v>
          </cell>
        </row>
        <row r="872">
          <cell r="C872">
            <v>3007464</v>
          </cell>
          <cell r="D872" t="str">
            <v>SCH.B/K/WAR/TŁ CH</v>
          </cell>
        </row>
        <row r="873">
          <cell r="C873">
            <v>3007465</v>
          </cell>
          <cell r="D873" t="str">
            <v>SCH.B/K/WAR/TŁ NB MR</v>
          </cell>
        </row>
        <row r="874">
          <cell r="C874">
            <v>4013802</v>
          </cell>
          <cell r="D874" t="str">
            <v>***PL SCH.WP.B/K/TŁ.1ST ZAW OK25KGKT MR</v>
          </cell>
        </row>
        <row r="875">
          <cell r="C875">
            <v>4013848</v>
          </cell>
          <cell r="D875" t="str">
            <v>PL SCH.B/K/WAR/TŁ.1STVAC OK15KGPJ STO</v>
          </cell>
        </row>
        <row r="876">
          <cell r="C876">
            <v>3012106</v>
          </cell>
          <cell r="D876" t="str">
            <v>***PL SCH.B/K/WAR/TŁ.1ST TRM PJ</v>
          </cell>
        </row>
        <row r="877">
          <cell r="C877">
            <v>3014996</v>
          </cell>
          <cell r="D877" t="str">
            <v>PL SCH.B/K/TŁ/M.BIODR.OK15KGWOR PJ EŁ</v>
          </cell>
        </row>
        <row r="878">
          <cell r="C878">
            <v>3007466</v>
          </cell>
          <cell r="D878" t="str">
            <v>***SCH.B/K/WAR/TŁ MR ZAK</v>
          </cell>
        </row>
        <row r="879">
          <cell r="C879">
            <v>3014784</v>
          </cell>
          <cell r="D879" t="str">
            <v>PL SCH.B/K/TŁ.OK20KG PB MR EŁ</v>
          </cell>
        </row>
        <row r="880">
          <cell r="C880">
            <v>3031684</v>
          </cell>
          <cell r="D880" t="str">
            <v>***SCH.B/K/TŁ.PBX K4 ZAK</v>
          </cell>
        </row>
        <row r="881">
          <cell r="C881">
            <v>3003267</v>
          </cell>
          <cell r="D881" t="str">
            <v>***SCH.B/K/TŁ/M.BIODROK15KG WR PJ CHEŁPL</v>
          </cell>
        </row>
        <row r="882">
          <cell r="C882">
            <v>3005540</v>
          </cell>
          <cell r="D882" t="str">
            <v>PL SCH.B/K/TŁ.1660 OK15KGLUZ PJ SZ</v>
          </cell>
        </row>
        <row r="883">
          <cell r="C883">
            <v>3005763</v>
          </cell>
          <cell r="D883" t="str">
            <v>SCH.B/K.DO POL.SOPOCKIEJ NB MR SZ</v>
          </cell>
        </row>
        <row r="884">
          <cell r="C884">
            <v>3007468</v>
          </cell>
          <cell r="D884" t="str">
            <v>PL SCH.B/K/TŁ.OK15KG NB DMR</v>
          </cell>
        </row>
        <row r="885">
          <cell r="C885">
            <v>3021122</v>
          </cell>
          <cell r="D885" t="str">
            <v>***PL SCH.WP.B/K/TŁ.1ST ZAW OK25KGKT DMR</v>
          </cell>
        </row>
        <row r="886">
          <cell r="C886">
            <v>3007469</v>
          </cell>
          <cell r="D886" t="str">
            <v>SCH.B/K/WAR/TŁ NB RO1</v>
          </cell>
        </row>
        <row r="887">
          <cell r="C887">
            <v>3012036</v>
          </cell>
          <cell r="D887" t="str">
            <v>***SCH.B/K/WAR/TŁ NB  ZAKUP RO</v>
          </cell>
        </row>
        <row r="888">
          <cell r="C888">
            <v>3020211</v>
          </cell>
          <cell r="D888" t="str">
            <v>SCH.B/K/WAR/TŁ NB RO2</v>
          </cell>
        </row>
        <row r="889">
          <cell r="C889">
            <v>4013803</v>
          </cell>
          <cell r="D889" t="str">
            <v>***EU SCH.WP.B/K/TŁ.1ST ZAW OK25KG KT MR</v>
          </cell>
        </row>
        <row r="890">
          <cell r="C890">
            <v>4013849</v>
          </cell>
          <cell r="D890" t="str">
            <v>***EU SCH.B/K/WAR/TŁ.1STTRM OK15KGPJ MOR</v>
          </cell>
        </row>
        <row r="891">
          <cell r="C891">
            <v>3017503</v>
          </cell>
          <cell r="D891" t="str">
            <v>***EU SCH.B/K/WAR/TŁ.1ST TRM PJ</v>
          </cell>
        </row>
        <row r="892">
          <cell r="C892">
            <v>3017643</v>
          </cell>
          <cell r="D892" t="str">
            <v>EU SCH.B/K/TŁ.OK15KGWOR PJ EŁ1</v>
          </cell>
        </row>
        <row r="893">
          <cell r="C893">
            <v>3021123</v>
          </cell>
          <cell r="D893" t="str">
            <v>***EU SCH.WP.B/K/TŁ.1STZAWOK25KGKT DMR</v>
          </cell>
        </row>
        <row r="894">
          <cell r="C894">
            <v>3030512</v>
          </cell>
          <cell r="D894" t="str">
            <v>PL SCH.B/K.Z/WAR/TŁ.3MM CH</v>
          </cell>
        </row>
        <row r="895">
          <cell r="C895">
            <v>4022277</v>
          </cell>
          <cell r="D895" t="str">
            <v>***PL SCH.B/K.Z/2WAR.1STVAC OK5KGKT BIED</v>
          </cell>
        </row>
        <row r="896">
          <cell r="C896">
            <v>3030533</v>
          </cell>
          <cell r="D896" t="str">
            <v>PL SCH.B/K.Z/WAR/TŁ.3MM OK20KGWOR PJ ST</v>
          </cell>
        </row>
        <row r="897">
          <cell r="C897">
            <v>3031685</v>
          </cell>
          <cell r="D897" t="str">
            <v>***PL SCH.B/K.Z/WAR/TŁ.3MM PBX K4 ZAK</v>
          </cell>
        </row>
        <row r="898">
          <cell r="C898">
            <v>3033530</v>
          </cell>
          <cell r="D898" t="str">
            <v>PL SCH.B/K.PBX K4</v>
          </cell>
        </row>
        <row r="899">
          <cell r="C899">
            <v>3033528</v>
          </cell>
          <cell r="D899" t="str">
            <v>PL SCH.B/K.OK20KGWOR PJ K4</v>
          </cell>
        </row>
        <row r="900">
          <cell r="C900">
            <v>3030213</v>
          </cell>
          <cell r="D900" t="str">
            <v>PL SCH.B/K.Z/W.PBX SZ</v>
          </cell>
        </row>
        <row r="901">
          <cell r="C901">
            <v>3035453</v>
          </cell>
          <cell r="D901" t="str">
            <v>PP SCH.B/K.Z/WAR/TŁ.3MM</v>
          </cell>
        </row>
        <row r="902">
          <cell r="C902">
            <v>3035694</v>
          </cell>
          <cell r="D902" t="str">
            <v>PP SCH.B/K.Z/WAR/TŁ.3MM OK20KGWOR PJ ST</v>
          </cell>
        </row>
        <row r="903">
          <cell r="C903">
            <v>3007470</v>
          </cell>
          <cell r="D903" t="str">
            <v>***SCH.B/K/WAR/TŁ/MIZDR CH</v>
          </cell>
        </row>
        <row r="904">
          <cell r="C904">
            <v>3011999</v>
          </cell>
          <cell r="D904" t="str">
            <v>PL SCH. B/P/MIZ.OK15KGLUZ PJ ST</v>
          </cell>
        </row>
        <row r="905">
          <cell r="C905">
            <v>3007471</v>
          </cell>
          <cell r="D905" t="str">
            <v>***SCH.B/K/WAR/TŁ/MIZDR NIEM MR ZAK</v>
          </cell>
        </row>
        <row r="906">
          <cell r="C906">
            <v>3021206</v>
          </cell>
          <cell r="D906" t="str">
            <v>SCH.B/K/WAR/TŁ/MIZDR.ROZP1</v>
          </cell>
        </row>
        <row r="907">
          <cell r="C907">
            <v>3021926</v>
          </cell>
          <cell r="D907" t="str">
            <v>SCH.B/K/WAR/TŁ/MIZDR.ROZP2</v>
          </cell>
        </row>
        <row r="908">
          <cell r="C908">
            <v>3004268</v>
          </cell>
          <cell r="D908" t="str">
            <v>***SCH.Z/K/POL.B/SK.WĄS KL.E CH</v>
          </cell>
        </row>
        <row r="909">
          <cell r="C909">
            <v>3012372</v>
          </cell>
          <cell r="D909" t="str">
            <v>***PL SCH.KARKOWY CH1</v>
          </cell>
        </row>
        <row r="910">
          <cell r="C910">
            <v>3014258</v>
          </cell>
          <cell r="D910" t="str">
            <v>***SCH.WP.KARKOWY NB MR ST</v>
          </cell>
        </row>
        <row r="911">
          <cell r="C911">
            <v>4012384</v>
          </cell>
          <cell r="D911" t="str">
            <v>***PL SCH.KARKOWY WOR OK20KG KT CH</v>
          </cell>
        </row>
        <row r="912">
          <cell r="C912">
            <v>4010005</v>
          </cell>
          <cell r="D912" t="str">
            <v>***PLSCHWPKARKOWY 1ST TRM OK8KGKT MOR EX</v>
          </cell>
        </row>
        <row r="913">
          <cell r="C913">
            <v>3014260</v>
          </cell>
          <cell r="D913" t="str">
            <v>***SCH.WP.KARKOWY NB DMR</v>
          </cell>
        </row>
        <row r="914">
          <cell r="C914">
            <v>3014259</v>
          </cell>
          <cell r="D914" t="str">
            <v>***SCH.WP.KARKOWY NB RO1</v>
          </cell>
        </row>
        <row r="915">
          <cell r="C915">
            <v>3020212</v>
          </cell>
          <cell r="D915" t="str">
            <v>***PL SCH.KARKOWY CH2</v>
          </cell>
        </row>
        <row r="916">
          <cell r="C916">
            <v>3020213</v>
          </cell>
          <cell r="D916" t="str">
            <v>***SCH.WP.KARKOWY NB RO2</v>
          </cell>
        </row>
        <row r="917">
          <cell r="C917">
            <v>3017525</v>
          </cell>
          <cell r="D917" t="str">
            <v>***EU SCH.KARKOWY CH</v>
          </cell>
        </row>
        <row r="918">
          <cell r="C918">
            <v>4012391</v>
          </cell>
          <cell r="D918" t="str">
            <v>***EU SCH.KARKOWY WOR OK20KG KT CH</v>
          </cell>
        </row>
        <row r="919">
          <cell r="C919">
            <v>3012370</v>
          </cell>
          <cell r="D919" t="str">
            <v>***SCH.WP.KARKOWY CH USR</v>
          </cell>
        </row>
        <row r="920">
          <cell r="C920">
            <v>3040857</v>
          </cell>
          <cell r="D920" t="str">
            <v>PP SCH.B/K/TŁ/M.CZWOR.KAW.CH</v>
          </cell>
        </row>
        <row r="921">
          <cell r="C921">
            <v>3040865</v>
          </cell>
          <cell r="D921" t="str">
            <v>PP SCH.B/K/M.BIOD/CZWOR.ODC/TŁ.KAW.PBX1</v>
          </cell>
        </row>
        <row r="922">
          <cell r="C922">
            <v>3040709</v>
          </cell>
          <cell r="D922" t="str">
            <v>PP SCH.B/K/M.BIOD/CZWOR.ODC/TŁ.KAW.PBX2</v>
          </cell>
        </row>
        <row r="923">
          <cell r="C923">
            <v>3012373</v>
          </cell>
          <cell r="D923" t="str">
            <v>***SCH.WP.B/K/TŁ/M.CZWOROBOCZ. KL.S CH</v>
          </cell>
        </row>
        <row r="924">
          <cell r="C924">
            <v>3012374</v>
          </cell>
          <cell r="D924" t="str">
            <v>PL SCH.B/K/TŁ/M.CZWOR.CH1</v>
          </cell>
        </row>
        <row r="925">
          <cell r="C925">
            <v>3021249</v>
          </cell>
          <cell r="D925" t="str">
            <v>PL SCH.B/K/M.BIOD/CZWOR.ODC/TŁ.PBX1</v>
          </cell>
        </row>
        <row r="926">
          <cell r="C926">
            <v>3024204</v>
          </cell>
          <cell r="D926" t="str">
            <v>PL SCH.B/K/TŁ/M.CZWOR.CH2</v>
          </cell>
        </row>
        <row r="927">
          <cell r="C927">
            <v>3021251</v>
          </cell>
          <cell r="D927" t="str">
            <v>PL SCH.B/K/M.BIOD/CZWOR.ODC/TŁ.PBX2</v>
          </cell>
        </row>
        <row r="928">
          <cell r="C928">
            <v>3017526</v>
          </cell>
          <cell r="D928" t="str">
            <v>EU SCH.B/K/TŁ/M.CZWOROBOCZNEGO CH1</v>
          </cell>
        </row>
        <row r="929">
          <cell r="C929">
            <v>3024205</v>
          </cell>
          <cell r="D929" t="str">
            <v>EU SCH.B/K/TŁ/M.CZWOROBOCZNEGO CH2</v>
          </cell>
        </row>
        <row r="930">
          <cell r="C930">
            <v>3038908</v>
          </cell>
          <cell r="D930" t="str">
            <v>PP SCH.B/K/TŁ/M.CZWOR.CH</v>
          </cell>
        </row>
        <row r="931">
          <cell r="C931">
            <v>3039056</v>
          </cell>
          <cell r="D931" t="str">
            <v>PP SCH.B/K/M.BIOD/CZWOR.ODC/TŁ.PBX ST1</v>
          </cell>
        </row>
        <row r="932">
          <cell r="C932">
            <v>3039072</v>
          </cell>
          <cell r="D932" t="str">
            <v>PP SCH.B/K/M.BIOD/CZWOR.ODC/TŁ.PBX ST2</v>
          </cell>
        </row>
        <row r="933">
          <cell r="C933">
            <v>3007472</v>
          </cell>
          <cell r="D933" t="str">
            <v>***SCH.B/K/TŁ/CZ.WAR KL.E CH MORL</v>
          </cell>
        </row>
        <row r="934">
          <cell r="C934">
            <v>3015893</v>
          </cell>
          <cell r="D934" t="str">
            <v>***PL SCH.Z/K.B/TŁ.CH</v>
          </cell>
        </row>
        <row r="935">
          <cell r="C935">
            <v>3017731</v>
          </cell>
          <cell r="D935" t="str">
            <v>***EU SCH.Z/K.B/TŁ.CH</v>
          </cell>
        </row>
        <row r="936">
          <cell r="C936">
            <v>3042772</v>
          </cell>
          <cell r="D936" t="str">
            <v>PL SCH.B/K.Z/WAR/TŁ.3MM MAC.CH</v>
          </cell>
        </row>
        <row r="937">
          <cell r="C937">
            <v>3042794</v>
          </cell>
          <cell r="D937" t="str">
            <v>PL SCH.B/K.Z/WAR/TŁ.3MM MAC.PBX1</v>
          </cell>
        </row>
        <row r="938">
          <cell r="C938">
            <v>3042811</v>
          </cell>
          <cell r="D938" t="str">
            <v>PL SCH.B/K.Z/WAR/TŁ.3MM MAC.PBX ST</v>
          </cell>
        </row>
        <row r="939">
          <cell r="C939">
            <v>3042879</v>
          </cell>
          <cell r="D939" t="str">
            <v>PL SCH.B/K.Z/WAR/TŁ.3MM MAC.PBX2</v>
          </cell>
        </row>
        <row r="940">
          <cell r="C940">
            <v>3012055</v>
          </cell>
          <cell r="D940" t="str">
            <v>***SCH.Z/K.B/TŁ.WĄS KL.U CH PL</v>
          </cell>
        </row>
        <row r="941">
          <cell r="C941">
            <v>3042771</v>
          </cell>
          <cell r="D941" t="str">
            <v>PP SCH.B/K.Z/WAR/TŁ.3MM MAC.CH</v>
          </cell>
        </row>
        <row r="942">
          <cell r="C942">
            <v>3042795</v>
          </cell>
          <cell r="D942" t="str">
            <v>PP SCH.B/K.Z/WAR/TŁ.3MM MAC.PBX1</v>
          </cell>
        </row>
        <row r="943">
          <cell r="C943">
            <v>3042812</v>
          </cell>
          <cell r="D943" t="str">
            <v>PP SCH.B/K.Z/WAR/TŁ.3MM MAC.PBX ST</v>
          </cell>
        </row>
        <row r="944">
          <cell r="C944">
            <v>3042918</v>
          </cell>
          <cell r="D944" t="str">
            <v>PP SCH.B/K.Z/WAR/TŁ.3MM MAC.PBX2</v>
          </cell>
        </row>
        <row r="945">
          <cell r="C945">
            <v>3013547</v>
          </cell>
          <cell r="D945" t="str">
            <v>PL SCH.B/K.Z/TŁ.18CM CH</v>
          </cell>
        </row>
        <row r="946">
          <cell r="C946">
            <v>4028426</v>
          </cell>
          <cell r="D946" t="str">
            <v>PL SCH.B/K.Z/TŁ.18CM 1STVAC OK20KGKT EX</v>
          </cell>
        </row>
        <row r="947">
          <cell r="C947">
            <v>4022712</v>
          </cell>
          <cell r="D947" t="str">
            <v>PL SCH.B/K.Z/TŁ.20CM OK500KG OKT EX</v>
          </cell>
        </row>
        <row r="948">
          <cell r="C948">
            <v>4024220</v>
          </cell>
          <cell r="D948" t="str">
            <v>PL SCH.B/K.Z/TŁ.20CM PBX EX</v>
          </cell>
        </row>
        <row r="949">
          <cell r="C949">
            <v>3036284</v>
          </cell>
          <cell r="D949" t="str">
            <v>EU SCH.B/K.Z/TŁ.18CM CH</v>
          </cell>
        </row>
        <row r="950">
          <cell r="C950">
            <v>3039604</v>
          </cell>
          <cell r="D950" t="str">
            <v>EU SCH.B/K.Z/TŁ.20CM OK20KG NB MR ST</v>
          </cell>
        </row>
        <row r="951">
          <cell r="C951">
            <v>4024368</v>
          </cell>
          <cell r="D951" t="str">
            <v>EU SCH.B/K.Z/TŁ.20CM PBX EX</v>
          </cell>
        </row>
        <row r="952">
          <cell r="C952">
            <v>3039603</v>
          </cell>
          <cell r="D952" t="str">
            <v>EU SCH.B/K.Z/TŁ.20CM OK20KG NB DMR</v>
          </cell>
        </row>
        <row r="953">
          <cell r="C953">
            <v>3039971</v>
          </cell>
          <cell r="D953" t="str">
            <v>EU SCH.B/K.Z/TŁ.20CM RO1</v>
          </cell>
        </row>
        <row r="954">
          <cell r="C954">
            <v>3039975</v>
          </cell>
          <cell r="D954" t="str">
            <v>EU SCH.B/K.Z/TŁ.20CM RO2</v>
          </cell>
        </row>
        <row r="955">
          <cell r="C955">
            <v>3021100</v>
          </cell>
          <cell r="D955" t="str">
            <v>***PL SCH.B/K/TŁ/MŚ.BIODR/MŚ.CZWOROBOCZ.</v>
          </cell>
        </row>
        <row r="956">
          <cell r="C956">
            <v>3021102</v>
          </cell>
          <cell r="D956" t="str">
            <v>***SCH.B/K/TŁ/MŚBIO/MŚ.CZWOROB.LUZPJCHST</v>
          </cell>
        </row>
        <row r="957">
          <cell r="C957">
            <v>3021101</v>
          </cell>
          <cell r="D957" t="str">
            <v>***EU SCH.B/K/TŁ/MŚ.BIODR/MŚ.CZWOROBOCZ.</v>
          </cell>
        </row>
        <row r="958">
          <cell r="C958">
            <v>3007473</v>
          </cell>
          <cell r="D958" t="str">
            <v>***SCH.B/K/TŁ/CZ.WAR KL.U CH MORL</v>
          </cell>
        </row>
        <row r="959">
          <cell r="C959">
            <v>3015889</v>
          </cell>
          <cell r="D959" t="str">
            <v>PL SCH.B/K/TŁ.CH1</v>
          </cell>
        </row>
        <row r="960">
          <cell r="C960">
            <v>3014999</v>
          </cell>
          <cell r="D960" t="str">
            <v>PL SCH.B/K/TŁ.PBX1</v>
          </cell>
        </row>
        <row r="961">
          <cell r="C961">
            <v>3014788</v>
          </cell>
          <cell r="D961" t="str">
            <v>PL SCH.B/K/TŁ.2STVAC MR EŁ</v>
          </cell>
        </row>
        <row r="962">
          <cell r="C962">
            <v>3024822</v>
          </cell>
          <cell r="D962" t="str">
            <v>PL SCH.B/K/TŁ.1/2STVAC OK20KGKT MR SZ</v>
          </cell>
        </row>
        <row r="963">
          <cell r="C963">
            <v>3034668</v>
          </cell>
          <cell r="D963" t="str">
            <v>PL SCH.B/K/TŁ.KAW.1/2ST PBX K4</v>
          </cell>
        </row>
        <row r="964">
          <cell r="C964">
            <v>3030547</v>
          </cell>
          <cell r="D964" t="str">
            <v>PL SCH.B/K/TŁ.RO</v>
          </cell>
        </row>
        <row r="965">
          <cell r="C965">
            <v>3020214</v>
          </cell>
          <cell r="D965" t="str">
            <v>PL SCH.B/K/TŁ.CH2</v>
          </cell>
        </row>
        <row r="966">
          <cell r="C966">
            <v>3020474</v>
          </cell>
          <cell r="D966" t="str">
            <v>PL SCH.B/K/TŁ.PBX2</v>
          </cell>
        </row>
        <row r="967">
          <cell r="C967">
            <v>3017729</v>
          </cell>
          <cell r="D967" t="str">
            <v>EU SCH.B/K/TŁ.CH1</v>
          </cell>
        </row>
        <row r="968">
          <cell r="C968">
            <v>3017642</v>
          </cell>
          <cell r="D968" t="str">
            <v>EU SCH.B/K/TŁ.PBX1</v>
          </cell>
        </row>
        <row r="969">
          <cell r="C969">
            <v>3020215</v>
          </cell>
          <cell r="D969" t="str">
            <v>EU SCH.B/K/TŁ.CH2</v>
          </cell>
        </row>
        <row r="970">
          <cell r="C970">
            <v>3020481</v>
          </cell>
          <cell r="D970" t="str">
            <v>EU SCH.B/K/TŁ.PBX2</v>
          </cell>
        </row>
        <row r="971">
          <cell r="C971">
            <v>3035460</v>
          </cell>
          <cell r="D971" t="str">
            <v>PP SCH.B/K/TŁ.</v>
          </cell>
        </row>
        <row r="972">
          <cell r="C972">
            <v>3035215</v>
          </cell>
          <cell r="D972" t="str">
            <v>CZ SCH.B/K/TŁ.CH</v>
          </cell>
        </row>
        <row r="973">
          <cell r="C973">
            <v>3042763</v>
          </cell>
          <cell r="D973" t="str">
            <v>***PL SCH.B/K/TŁ.MAC.CH</v>
          </cell>
        </row>
        <row r="974">
          <cell r="C974">
            <v>3042791</v>
          </cell>
          <cell r="D974" t="str">
            <v>***PL SCH.B/K/TŁ.MAC.PBX</v>
          </cell>
        </row>
        <row r="975">
          <cell r="C975">
            <v>3042822</v>
          </cell>
          <cell r="D975" t="str">
            <v>***PL SCH.B/K/TŁ.MAC.PBX ST</v>
          </cell>
        </row>
        <row r="976">
          <cell r="C976">
            <v>3009232</v>
          </cell>
          <cell r="D976" t="str">
            <v>***SCHAB.ODKST KL.U PL</v>
          </cell>
        </row>
        <row r="977">
          <cell r="C977">
            <v>3042764</v>
          </cell>
          <cell r="D977" t="str">
            <v>***PP SCH.B/K/TŁ.MAC.CH</v>
          </cell>
        </row>
        <row r="978">
          <cell r="C978">
            <v>3042793</v>
          </cell>
          <cell r="D978" t="str">
            <v>***PP SCH.B/K/TŁ.MAC.PBX</v>
          </cell>
        </row>
        <row r="979">
          <cell r="C979">
            <v>3042823</v>
          </cell>
          <cell r="D979" t="str">
            <v>***PP SCH.B/K/TŁ.MAC.PBX ST</v>
          </cell>
        </row>
        <row r="980">
          <cell r="C980">
            <v>3004276</v>
          </cell>
          <cell r="D980" t="str">
            <v>***SCH.B/K/TŁ.KL.R CH</v>
          </cell>
        </row>
        <row r="981">
          <cell r="C981">
            <v>3017210</v>
          </cell>
          <cell r="D981" t="str">
            <v>PL SCH.B/K.Z/WAR.CH</v>
          </cell>
        </row>
        <row r="982">
          <cell r="C982">
            <v>3024755</v>
          </cell>
          <cell r="D982" t="str">
            <v>PL SCH.B/K.Z/WAR.1669 PBX CH1</v>
          </cell>
        </row>
        <row r="983">
          <cell r="C983">
            <v>4019021</v>
          </cell>
          <cell r="D983" t="str">
            <v>PL SCH.B/K.Z/WAR.1STVAC OK20KGKT MET CZ</v>
          </cell>
        </row>
        <row r="984">
          <cell r="C984">
            <v>4021954</v>
          </cell>
          <cell r="D984" t="str">
            <v>PL SCH.B/K.Z/WAR.1STVACOK20KGKT MR ME RU</v>
          </cell>
        </row>
        <row r="985">
          <cell r="C985">
            <v>4024495</v>
          </cell>
          <cell r="D985" t="str">
            <v>PL SCH.B/K.Z/WAR.1STVAC OK20KGKT MET RU</v>
          </cell>
        </row>
        <row r="986">
          <cell r="C986">
            <v>4025300</v>
          </cell>
          <cell r="D986" t="str">
            <v>PL SCH.B/K.Z/WAR.1STVAC MAX15KGPJ POLM</v>
          </cell>
        </row>
        <row r="987">
          <cell r="C987">
            <v>4030289</v>
          </cell>
          <cell r="D987" t="str">
            <v>PL SCH.B/K.Z/WAR.1STVACOK20KGKTMET CZ II</v>
          </cell>
        </row>
        <row r="988">
          <cell r="C988">
            <v>4030317</v>
          </cell>
          <cell r="D988" t="str">
            <v>PL SCH.B/K.Z/WAR.1STVAC OK20KGKT MET HU</v>
          </cell>
        </row>
        <row r="989">
          <cell r="C989">
            <v>4015788</v>
          </cell>
          <cell r="D989" t="str">
            <v>***PL SCH.B/K.Z/WAR.1669 1STVACOK15KG EX</v>
          </cell>
        </row>
        <row r="990">
          <cell r="C990">
            <v>4017284</v>
          </cell>
          <cell r="D990" t="str">
            <v>***PL SCH.B/K.Z/WAR.16691STVACOK20KGKTEX</v>
          </cell>
        </row>
        <row r="991">
          <cell r="C991">
            <v>4018004</v>
          </cell>
          <cell r="D991" t="str">
            <v>PL SCH.B/K.Z/WAR.1STVAC OK16KGKT MET</v>
          </cell>
        </row>
        <row r="992">
          <cell r="C992">
            <v>4021817</v>
          </cell>
          <cell r="D992" t="str">
            <v>PL SCH.B/K.Z/WAR.1STVAC OK10KGKT PIP</v>
          </cell>
        </row>
        <row r="993">
          <cell r="C993">
            <v>3029925</v>
          </cell>
          <cell r="D993" t="str">
            <v>PL SCH.B/K.Z/WAR.OK20KGWOR PJ ST</v>
          </cell>
        </row>
        <row r="994">
          <cell r="C994">
            <v>4025279</v>
          </cell>
          <cell r="D994" t="str">
            <v>PL SCH.B/K.Z/WAR.MAX15KGWOR PJ POLM</v>
          </cell>
        </row>
        <row r="995">
          <cell r="C995">
            <v>3025678</v>
          </cell>
          <cell r="D995" t="str">
            <v>PL SCH.B/K.Z/WAR.1STVACOK20KGKTDMR ME RU</v>
          </cell>
        </row>
        <row r="996">
          <cell r="C996">
            <v>3025114</v>
          </cell>
          <cell r="D996" t="str">
            <v>PL SCH.B/K.Z/WAR.1669 PBX CH2</v>
          </cell>
        </row>
        <row r="997">
          <cell r="C997">
            <v>3017850</v>
          </cell>
          <cell r="D997" t="str">
            <v>EU SCH.B/K.Z/WAR.1669</v>
          </cell>
        </row>
        <row r="998">
          <cell r="C998">
            <v>3024756</v>
          </cell>
          <cell r="D998" t="str">
            <v>***EU SCH.B/K.Z/WAR.1669 PBX CH1</v>
          </cell>
        </row>
        <row r="999">
          <cell r="C999">
            <v>4029632</v>
          </cell>
          <cell r="D999" t="str">
            <v>EU SCH.B/K.Z/WAR.1STVAC OK16KGKT MET</v>
          </cell>
        </row>
        <row r="1000">
          <cell r="C1000">
            <v>3025115</v>
          </cell>
          <cell r="D1000" t="str">
            <v>***EU SCH.B/K.Z/WAR.1669 PBX CH2</v>
          </cell>
        </row>
        <row r="1001">
          <cell r="C1001">
            <v>3007474</v>
          </cell>
          <cell r="D1001" t="str">
            <v>***PL SCH.B/K/WAR/TŁ.CH1</v>
          </cell>
        </row>
        <row r="1002">
          <cell r="C1002">
            <v>3007475</v>
          </cell>
          <cell r="D1002" t="str">
            <v>SCH.B/K/WAR/TŁ KL.E NB MR</v>
          </cell>
        </row>
        <row r="1003">
          <cell r="C1003">
            <v>3015000</v>
          </cell>
          <cell r="D1003" t="str">
            <v>PL SCH.B/K/TŁ.OK15KGWOR PJ EŁ1</v>
          </cell>
        </row>
        <row r="1004">
          <cell r="C1004">
            <v>3007476</v>
          </cell>
          <cell r="D1004" t="str">
            <v>***SCH.B/K/WAR/TŁ KL.E NB DMR</v>
          </cell>
        </row>
        <row r="1005">
          <cell r="C1005">
            <v>3020216</v>
          </cell>
          <cell r="D1005" t="str">
            <v>***PL SCH.B/K/WAR/TŁ.CH2</v>
          </cell>
        </row>
        <row r="1006">
          <cell r="C1006">
            <v>3017372</v>
          </cell>
          <cell r="D1006" t="str">
            <v>***EU SCH.B/K/WAR/TŁ.CH1</v>
          </cell>
        </row>
        <row r="1007">
          <cell r="C1007">
            <v>3020217</v>
          </cell>
          <cell r="D1007" t="str">
            <v>***EU SCH.B/K/WAR/TŁ.CH2</v>
          </cell>
        </row>
        <row r="1008">
          <cell r="C1008">
            <v>3019042</v>
          </cell>
          <cell r="D1008" t="str">
            <v>SCH.B/K/WAR/TŁ.ROZP1</v>
          </cell>
        </row>
        <row r="1009">
          <cell r="C1009">
            <v>3020218</v>
          </cell>
          <cell r="D1009" t="str">
            <v>SCH.B/K/WAR/TŁ.ROZP2</v>
          </cell>
        </row>
        <row r="1010">
          <cell r="C1010">
            <v>3007477</v>
          </cell>
          <cell r="D1010" t="str">
            <v>***SCH.B/K/WAR/TŁ KL.U CH</v>
          </cell>
        </row>
        <row r="1011">
          <cell r="C1011">
            <v>3007478</v>
          </cell>
          <cell r="D1011" t="str">
            <v>***SCH.B/K/WAR/TŁ KL.R CH</v>
          </cell>
        </row>
        <row r="1012">
          <cell r="C1012">
            <v>3015892</v>
          </cell>
          <cell r="D1012" t="str">
            <v>M-SO WP.DR.KL1 SCH.PRZ.CH1</v>
          </cell>
        </row>
        <row r="1013">
          <cell r="C1013">
            <v>3024757</v>
          </cell>
          <cell r="D1013" t="str">
            <v>***SCH.B/K.PRZ.PBX1</v>
          </cell>
        </row>
        <row r="1014">
          <cell r="C1014">
            <v>3022079</v>
          </cell>
          <cell r="D1014" t="str">
            <v>***SCH.B/K.POD PRZETWÓRSTWO PB MR ST</v>
          </cell>
        </row>
        <row r="1015">
          <cell r="C1015">
            <v>3022114</v>
          </cell>
          <cell r="D1015" t="str">
            <v>***SCH.B/K.POD PRZETWÓRSTWO LUZ PJ ST</v>
          </cell>
        </row>
        <row r="1016">
          <cell r="C1016">
            <v>3014789</v>
          </cell>
          <cell r="D1016" t="str">
            <v>SCH.B/K.POD PRZETWÓRSTWO OK20KG WOR DMR</v>
          </cell>
        </row>
        <row r="1017">
          <cell r="C1017">
            <v>3022055</v>
          </cell>
          <cell r="D1017" t="str">
            <v>***SCH.B/K POD PRZETWÓRSTWO NB RO</v>
          </cell>
        </row>
        <row r="1018">
          <cell r="C1018">
            <v>3015010</v>
          </cell>
          <cell r="D1018" t="str">
            <v>SCH.B/K.POD PRZETWÓRSTWO PB RO1</v>
          </cell>
        </row>
        <row r="1019">
          <cell r="C1019">
            <v>3022077</v>
          </cell>
          <cell r="D1019" t="str">
            <v>M-SO WP.DR.KL1 SCH.PRZ.CH2</v>
          </cell>
        </row>
        <row r="1020">
          <cell r="C1020">
            <v>3025116</v>
          </cell>
          <cell r="D1020" t="str">
            <v>***SCH.B/K.PRZ.PBX2</v>
          </cell>
        </row>
        <row r="1021">
          <cell r="C1021">
            <v>3020486</v>
          </cell>
          <cell r="D1021" t="str">
            <v>SCH.B/K.POD PRZETWÓRSTWO PB RO2</v>
          </cell>
        </row>
        <row r="1022">
          <cell r="C1022">
            <v>3007479</v>
          </cell>
          <cell r="D1022" t="str">
            <v>***SCH.B/K/WAR/TŁ KL.S CH</v>
          </cell>
        </row>
        <row r="1023">
          <cell r="C1023">
            <v>3035059</v>
          </cell>
          <cell r="D1023" t="str">
            <v>PL SCH.B/K.Z/WAR.KAW.CH</v>
          </cell>
        </row>
        <row r="1024">
          <cell r="C1024">
            <v>3035120</v>
          </cell>
          <cell r="D1024" t="str">
            <v>PL SCH.B/K.Z/WAR.KAW.PBX CH</v>
          </cell>
        </row>
        <row r="1025">
          <cell r="C1025">
            <v>4023751</v>
          </cell>
          <cell r="D1025" t="str">
            <v>***PLSCH.B/K.Z/WAR.OK1.3KGVACOK5KGKTTESC</v>
          </cell>
        </row>
        <row r="1026">
          <cell r="C1026">
            <v>3007480</v>
          </cell>
          <cell r="D1026" t="str">
            <v>PL SCH.B/K/WAR/TŁ/MIZDR.CH1</v>
          </cell>
        </row>
        <row r="1027">
          <cell r="C1027">
            <v>3024758</v>
          </cell>
          <cell r="D1027" t="str">
            <v>PL SCH.B/K/WAR/TŁ/MIZDR.PBX CH1</v>
          </cell>
        </row>
        <row r="1028">
          <cell r="C1028">
            <v>3020219</v>
          </cell>
          <cell r="D1028" t="str">
            <v>PL SCH.B/K/WAR/TŁ/MIZDR.CH2</v>
          </cell>
        </row>
        <row r="1029">
          <cell r="C1029">
            <v>3025117</v>
          </cell>
          <cell r="D1029" t="str">
            <v>PL SCH.B/K/WAR/TŁ/MIZDR.PBX CH2</v>
          </cell>
        </row>
        <row r="1030">
          <cell r="C1030">
            <v>3039063</v>
          </cell>
          <cell r="D1030" t="str">
            <v>PP SCH.B/K/WAR/TŁ/MIZDR.CH</v>
          </cell>
        </row>
        <row r="1031">
          <cell r="C1031">
            <v>3039071</v>
          </cell>
          <cell r="D1031" t="str">
            <v>PP SCH.B/K/WAR/TŁ/MIZDR.PBX ST1</v>
          </cell>
        </row>
        <row r="1032">
          <cell r="C1032">
            <v>3042576</v>
          </cell>
          <cell r="D1032" t="str">
            <v>PP SCH.B/K/WAR/TŁ/MIZ.OK20KGLUZ PJ ST</v>
          </cell>
        </row>
        <row r="1033">
          <cell r="C1033">
            <v>3039080</v>
          </cell>
          <cell r="D1033" t="str">
            <v>PP SCH.B/K/WAR/TŁ/MIZDR.PBX ST2</v>
          </cell>
        </row>
        <row r="1034">
          <cell r="C1034">
            <v>3007481</v>
          </cell>
          <cell r="D1034" t="str">
            <v>***SCH.B/K/WAR/TŁ/MIZDR KL.U CH</v>
          </cell>
        </row>
        <row r="1035">
          <cell r="C1035">
            <v>3014124</v>
          </cell>
          <cell r="D1035" t="str">
            <v>***SCH.WP. Z/K-BACKS KL.E CH</v>
          </cell>
        </row>
        <row r="1036">
          <cell r="C1036">
            <v>3007482</v>
          </cell>
          <cell r="D1036" t="str">
            <v>***SCH.B/K.Z/TŁ KL.E CH</v>
          </cell>
        </row>
        <row r="1037">
          <cell r="C1037">
            <v>3007483</v>
          </cell>
          <cell r="D1037" t="str">
            <v>SCH.B/K.Z/TŁ KRÓTKI KL.E NB MR</v>
          </cell>
        </row>
        <row r="1038">
          <cell r="C1038">
            <v>3007484</v>
          </cell>
          <cell r="D1038" t="str">
            <v>***SCH.B/K.Z/TŁ KRÓTKI KL.E NB DMR</v>
          </cell>
        </row>
        <row r="1039">
          <cell r="C1039">
            <v>3007485</v>
          </cell>
          <cell r="D1039" t="str">
            <v>***SCH.B/K.Z/TŁ KL.U CH</v>
          </cell>
        </row>
        <row r="1040">
          <cell r="C1040">
            <v>3007486</v>
          </cell>
          <cell r="D1040" t="str">
            <v>SCH.B/K.Z/TŁ KRÓTKI KL.U NB MR</v>
          </cell>
        </row>
        <row r="1041">
          <cell r="C1041">
            <v>3007487</v>
          </cell>
          <cell r="D1041" t="str">
            <v>***SCH.B/K.Z/TŁ KRÓTKI KL.U NB DMR</v>
          </cell>
        </row>
        <row r="1042">
          <cell r="C1042">
            <v>3007488</v>
          </cell>
          <cell r="D1042" t="str">
            <v>***SCH.B/K.Z/TŁ KL.R CH</v>
          </cell>
        </row>
        <row r="1043">
          <cell r="C1043">
            <v>3007489</v>
          </cell>
          <cell r="D1043" t="str">
            <v>SCH.B/K.Z/TŁ KRÓTKI KL.R NB MR</v>
          </cell>
        </row>
        <row r="1044">
          <cell r="C1044">
            <v>3007490</v>
          </cell>
          <cell r="D1044" t="str">
            <v>***SCH.B/K.Z/TŁ KRÓTKI KL.R NB DMR</v>
          </cell>
        </row>
        <row r="1045">
          <cell r="C1045">
            <v>3007491</v>
          </cell>
          <cell r="D1045" t="str">
            <v>***SCH.B/K.Z/TŁ KL.O CH</v>
          </cell>
        </row>
        <row r="1046">
          <cell r="C1046">
            <v>3007492</v>
          </cell>
          <cell r="D1046" t="str">
            <v>***SCH.B/K.Z/TŁ KL.S CH</v>
          </cell>
        </row>
        <row r="1047">
          <cell r="C1047">
            <v>3007493</v>
          </cell>
          <cell r="D1047" t="str">
            <v>SCH.B/K.Z/TŁ KRÓTKI KL.S NB MR</v>
          </cell>
        </row>
        <row r="1048">
          <cell r="C1048">
            <v>3007494</v>
          </cell>
          <cell r="D1048" t="str">
            <v>***SCH.B/K.Z/TŁ KRÓTKI KL.S NB DMR</v>
          </cell>
        </row>
        <row r="1049">
          <cell r="C1049">
            <v>3007495</v>
          </cell>
          <cell r="D1049" t="str">
            <v>***SCH.B/K.Z/TŁ KL.A CH</v>
          </cell>
        </row>
        <row r="1050">
          <cell r="C1050">
            <v>3008869</v>
          </cell>
          <cell r="D1050" t="str">
            <v>***SCH.WP.Z/K EXTRA KL.S CH</v>
          </cell>
        </row>
        <row r="1051">
          <cell r="C1051">
            <v>3008880</v>
          </cell>
          <cell r="D1051" t="str">
            <v>***SCH.WP.Z/K EXTRA KL.E CH</v>
          </cell>
        </row>
        <row r="1052">
          <cell r="C1052">
            <v>3008881</v>
          </cell>
          <cell r="D1052" t="str">
            <v>***SCH.WP.Z/K EXTRA KL.U CH</v>
          </cell>
        </row>
        <row r="1053">
          <cell r="C1053">
            <v>3012493</v>
          </cell>
          <cell r="D1053" t="str">
            <v>***SCH.WP.B/KTŁ/ZCIĘT.M.CZWOROBOCZ.KLECH</v>
          </cell>
        </row>
        <row r="1054">
          <cell r="C1054">
            <v>3012494</v>
          </cell>
          <cell r="D1054" t="str">
            <v>***SCH.WP.B/KTŁ/ZCIĘT.M.CZWOROBOCZ.KLUCH</v>
          </cell>
        </row>
        <row r="1055">
          <cell r="C1055">
            <v>3008793</v>
          </cell>
          <cell r="D1055" t="str">
            <v>***SCH.B/K/TŁ/CZ.WAR MORL</v>
          </cell>
        </row>
        <row r="1056">
          <cell r="C1056">
            <v>3012474</v>
          </cell>
          <cell r="D1056" t="str">
            <v>***SCH.B/K/TŁ/CZ.WAR MORL PJ CH ST</v>
          </cell>
        </row>
        <row r="1057">
          <cell r="C1057">
            <v>3004273</v>
          </cell>
          <cell r="D1057" t="str">
            <v>***SCH.B/K/TŁ.KL.S CH</v>
          </cell>
        </row>
        <row r="1058">
          <cell r="C1058">
            <v>3009227</v>
          </cell>
          <cell r="D1058" t="str">
            <v>***SCHAB.ODKST KL.S PL</v>
          </cell>
        </row>
        <row r="1059">
          <cell r="C1059">
            <v>3007496</v>
          </cell>
          <cell r="D1059" t="str">
            <v>***SCH.Z/K/POL/TŁ3 CH</v>
          </cell>
        </row>
        <row r="1060">
          <cell r="C1060">
            <v>4007979</v>
          </cell>
          <cell r="D1060" t="str">
            <v>***SCHAB. Z/K/POL/TŁ3 OK.15KG CH LUZ KT</v>
          </cell>
        </row>
        <row r="1061">
          <cell r="C1061">
            <v>3007497</v>
          </cell>
          <cell r="D1061" t="str">
            <v>***SZYN.Z/K/SK.B/GOL KL.E CH</v>
          </cell>
        </row>
        <row r="1062">
          <cell r="C1062">
            <v>3007498</v>
          </cell>
          <cell r="D1062" t="str">
            <v>***SZYN.Z/K/SK.B/GOL KL.U CH</v>
          </cell>
        </row>
        <row r="1063">
          <cell r="C1063">
            <v>3026563</v>
          </cell>
          <cell r="D1063" t="str">
            <v>PL MŚ.SZYN.ODBŁ.JAS.PBX SZ</v>
          </cell>
        </row>
        <row r="1064">
          <cell r="C1064">
            <v>3025670</v>
          </cell>
          <cell r="D1064" t="str">
            <v>PL SZYN.1.5D CH</v>
          </cell>
        </row>
        <row r="1065">
          <cell r="C1065">
            <v>3026351</v>
          </cell>
          <cell r="D1065" t="str">
            <v>PL SZYN.1.5D OK20KG NB MR ST</v>
          </cell>
        </row>
        <row r="1066">
          <cell r="C1066">
            <v>3025676</v>
          </cell>
          <cell r="D1066" t="str">
            <v>PL SZYN.1.5D PBX ST1</v>
          </cell>
        </row>
        <row r="1067">
          <cell r="C1067">
            <v>3032485</v>
          </cell>
          <cell r="D1067" t="str">
            <v>PL SZYN.1.5D OK15KGWOR GAP MR ST</v>
          </cell>
        </row>
        <row r="1068">
          <cell r="C1068">
            <v>3027549</v>
          </cell>
          <cell r="D1068" t="str">
            <v>PL SZYN.1.5D OK700KG OKT ST</v>
          </cell>
        </row>
        <row r="1069">
          <cell r="C1069">
            <v>3025955</v>
          </cell>
          <cell r="D1069" t="str">
            <v>PL SZYN.1.5D PBX EŁ1</v>
          </cell>
        </row>
        <row r="1070">
          <cell r="C1070">
            <v>3025937</v>
          </cell>
          <cell r="D1070" t="str">
            <v>PL SZYN.1.5D PBX SZ</v>
          </cell>
        </row>
        <row r="1071">
          <cell r="C1071">
            <v>3033409</v>
          </cell>
          <cell r="D1071" t="str">
            <v>***SZYN.1.5D OK20KG NB MR K4 ZAK</v>
          </cell>
        </row>
        <row r="1072">
          <cell r="C1072">
            <v>3036420</v>
          </cell>
          <cell r="D1072" t="str">
            <v>PL SZYN.1.5D PBX 1OB K4</v>
          </cell>
        </row>
        <row r="1073">
          <cell r="C1073">
            <v>3033467</v>
          </cell>
          <cell r="D1073" t="str">
            <v>PL SZYN.1.5D PBX K4</v>
          </cell>
        </row>
        <row r="1074">
          <cell r="C1074">
            <v>3026350</v>
          </cell>
          <cell r="D1074" t="str">
            <v>PL SZYN.1.5D OK20KG NB DMR</v>
          </cell>
        </row>
        <row r="1075">
          <cell r="C1075">
            <v>3032483</v>
          </cell>
          <cell r="D1075" t="str">
            <v>PL SZYN.1.5D OK15KGWOR GAP DMR</v>
          </cell>
        </row>
        <row r="1076">
          <cell r="C1076">
            <v>3034104</v>
          </cell>
          <cell r="D1076" t="str">
            <v>PL SZYN.1.5D RO1</v>
          </cell>
        </row>
        <row r="1077">
          <cell r="C1077">
            <v>3034131</v>
          </cell>
          <cell r="D1077" t="str">
            <v>***PL SZYN.1.5D B/MŚ.DWUG/PÓŁBŁ.ZAK RO</v>
          </cell>
        </row>
        <row r="1078">
          <cell r="C1078">
            <v>3034105</v>
          </cell>
          <cell r="D1078" t="str">
            <v>PL SZYN.1.5D RO2</v>
          </cell>
        </row>
        <row r="1079">
          <cell r="C1079">
            <v>3025789</v>
          </cell>
          <cell r="D1079" t="str">
            <v>PL SZYN.1.5D PBX ST2</v>
          </cell>
        </row>
        <row r="1080">
          <cell r="C1080">
            <v>3025671</v>
          </cell>
          <cell r="D1080" t="str">
            <v>EU SZYN.1.5D CH</v>
          </cell>
        </row>
        <row r="1081">
          <cell r="C1081">
            <v>3044694</v>
          </cell>
          <cell r="D1081" t="str">
            <v>EU SZYN.1.5D OK20KG NB MR ST</v>
          </cell>
        </row>
        <row r="1082">
          <cell r="C1082">
            <v>3025637</v>
          </cell>
          <cell r="D1082" t="str">
            <v>EU SZYN.1.5D PBX ST1</v>
          </cell>
        </row>
        <row r="1083">
          <cell r="C1083">
            <v>3026550</v>
          </cell>
          <cell r="D1083" t="str">
            <v>EU SZYN.1.5D OK20KG NB DMR</v>
          </cell>
        </row>
        <row r="1084">
          <cell r="C1084">
            <v>3044695</v>
          </cell>
          <cell r="D1084" t="str">
            <v>EU SZYN.1.5D RO1</v>
          </cell>
        </row>
        <row r="1085">
          <cell r="C1085">
            <v>3044698</v>
          </cell>
          <cell r="D1085" t="str">
            <v>EU SZYN.1.5D RO2</v>
          </cell>
        </row>
        <row r="1086">
          <cell r="C1086">
            <v>3025796</v>
          </cell>
          <cell r="D1086" t="str">
            <v>EU SZYN.1.5D PBX ST2</v>
          </cell>
        </row>
        <row r="1087">
          <cell r="C1087">
            <v>3035841</v>
          </cell>
          <cell r="D1087" t="str">
            <v>PP SZYN.1.5D CH</v>
          </cell>
        </row>
        <row r="1088">
          <cell r="C1088">
            <v>3040920</v>
          </cell>
          <cell r="D1088" t="str">
            <v>PP SZYN.1.5D OK20KG NB MR ST</v>
          </cell>
        </row>
        <row r="1089">
          <cell r="C1089">
            <v>3040524</v>
          </cell>
          <cell r="D1089" t="str">
            <v>PP SZYN.1.5D PBX ST1</v>
          </cell>
        </row>
        <row r="1090">
          <cell r="C1090">
            <v>3039532</v>
          </cell>
          <cell r="D1090" t="str">
            <v>PP SZYN.1.5D OK700KG OKT ST</v>
          </cell>
        </row>
        <row r="1091">
          <cell r="C1091">
            <v>3036417</v>
          </cell>
          <cell r="D1091" t="str">
            <v>***PP SZYN.1.5D PBX ST</v>
          </cell>
        </row>
        <row r="1092">
          <cell r="C1092">
            <v>3035842</v>
          </cell>
          <cell r="D1092" t="str">
            <v>PP SZYN.1.5D OK20KG NB DMR</v>
          </cell>
        </row>
        <row r="1093">
          <cell r="C1093">
            <v>3040921</v>
          </cell>
          <cell r="D1093" t="str">
            <v>PP SZYN.1.5D RO1</v>
          </cell>
        </row>
        <row r="1094">
          <cell r="C1094">
            <v>3040932</v>
          </cell>
          <cell r="D1094" t="str">
            <v>PP SZYN.1.5D RO2</v>
          </cell>
        </row>
        <row r="1095">
          <cell r="C1095">
            <v>3040933</v>
          </cell>
          <cell r="D1095" t="str">
            <v>PP SZYN.1.5D PBX ST2</v>
          </cell>
        </row>
        <row r="1096">
          <cell r="C1096">
            <v>3032533</v>
          </cell>
          <cell r="D1096" t="str">
            <v>PL SZYN.1.5D GAP CH</v>
          </cell>
        </row>
        <row r="1097">
          <cell r="C1097">
            <v>3032535</v>
          </cell>
          <cell r="D1097" t="str">
            <v>PL SZYN.1.5D PBX GAP ST</v>
          </cell>
        </row>
        <row r="1098">
          <cell r="C1098">
            <v>3031005</v>
          </cell>
          <cell r="D1098" t="str">
            <v>PL SZYN.1.5D ROZP1</v>
          </cell>
        </row>
        <row r="1099">
          <cell r="C1099">
            <v>3030953</v>
          </cell>
          <cell r="D1099" t="str">
            <v>PL SZYN.1.5D ROZP2</v>
          </cell>
        </row>
        <row r="1100">
          <cell r="C1100">
            <v>3014490</v>
          </cell>
          <cell r="D1100" t="str">
            <v>***SZYN.WP.B/K 2D B/M.DWUGŁOW. USR</v>
          </cell>
        </row>
        <row r="1101">
          <cell r="C1101">
            <v>3016961</v>
          </cell>
          <cell r="D1101" t="str">
            <v>SZYN.2D B/M.DWUGŁOW.CH PBX ST</v>
          </cell>
        </row>
        <row r="1102">
          <cell r="C1102">
            <v>3042733</v>
          </cell>
          <cell r="D1102" t="str">
            <v>PL SZYN.1.5D MAC.CH</v>
          </cell>
        </row>
        <row r="1103">
          <cell r="C1103">
            <v>3042754</v>
          </cell>
          <cell r="D1103" t="str">
            <v>PL SZYN.1.5D MAC.PBX ST1</v>
          </cell>
        </row>
        <row r="1104">
          <cell r="C1104">
            <v>3042880</v>
          </cell>
          <cell r="D1104" t="str">
            <v>PL SZYN.1.5D MAC.PBX ST2</v>
          </cell>
        </row>
        <row r="1105">
          <cell r="C1105">
            <v>3042742</v>
          </cell>
          <cell r="D1105" t="str">
            <v>PP SZYN.1.5D MAC.CH</v>
          </cell>
        </row>
        <row r="1106">
          <cell r="C1106">
            <v>3042755</v>
          </cell>
          <cell r="D1106" t="str">
            <v>PP SZYN.1.5D MAC.PBX ST1</v>
          </cell>
        </row>
        <row r="1107">
          <cell r="C1107">
            <v>3042884</v>
          </cell>
          <cell r="D1107" t="str">
            <v>PP SZYN.1.5D MAC.PBX ST2</v>
          </cell>
        </row>
        <row r="1108">
          <cell r="C1108">
            <v>3021513</v>
          </cell>
          <cell r="D1108" t="str">
            <v>PL SZYN.Z/K.B/GOL.11911 HILT CH</v>
          </cell>
        </row>
        <row r="1109">
          <cell r="C1109">
            <v>4024185</v>
          </cell>
          <cell r="D1109" t="str">
            <v>PL SZYN.Z/K.B/GOL.OK20KGWOR PJ</v>
          </cell>
        </row>
        <row r="1110">
          <cell r="C1110">
            <v>4024361</v>
          </cell>
          <cell r="D1110" t="str">
            <v>PL SZYN.Z/K.B/GOL.OK500KG OKT</v>
          </cell>
        </row>
        <row r="1111">
          <cell r="C1111">
            <v>4015370</v>
          </cell>
          <cell r="D1111" t="str">
            <v>***PL SZYN.Z/K.B/GOL.11911 LUZ PBX HILT</v>
          </cell>
        </row>
        <row r="1112">
          <cell r="C1112">
            <v>3021517</v>
          </cell>
          <cell r="D1112" t="str">
            <v>EU SZYN.Z/K.B/GOL.11911 HILT CH</v>
          </cell>
        </row>
        <row r="1113">
          <cell r="C1113">
            <v>4015371</v>
          </cell>
          <cell r="D1113" t="str">
            <v>***EU SZYN.Z/K.B/GOL.11911 LUZ PBX HILT</v>
          </cell>
        </row>
        <row r="1114">
          <cell r="C1114">
            <v>3009396</v>
          </cell>
          <cell r="D1114" t="str">
            <v>***SZYN.WP.Z/K/SK/GOL UŚR</v>
          </cell>
        </row>
        <row r="1115">
          <cell r="C1115">
            <v>3046618</v>
          </cell>
          <cell r="D1115" t="str">
            <v>SZYN.2D OK600KG OKT ZAK</v>
          </cell>
        </row>
        <row r="1116">
          <cell r="C1116">
            <v>3007500</v>
          </cell>
          <cell r="D1116" t="str">
            <v>***SZYN.Z/K/SK/GOL CH HOL. ZAK</v>
          </cell>
        </row>
        <row r="1117">
          <cell r="C1117">
            <v>3013589</v>
          </cell>
          <cell r="D1117" t="str">
            <v>***SZYN.WP.Z/K/SK/NOGĄ CH USR</v>
          </cell>
        </row>
        <row r="1118">
          <cell r="C1118">
            <v>4010132</v>
          </cell>
          <cell r="D1118" t="str">
            <v>***SZYN.WP.Z/K/SK/NOGĄ LUZ CH CHOINKA EX</v>
          </cell>
        </row>
        <row r="1119">
          <cell r="C1119">
            <v>4010136</v>
          </cell>
          <cell r="D1119" t="str">
            <v>***SZYN.WP.Z/K/SK/NOGĄ LUZ CH OKTOB.EX</v>
          </cell>
        </row>
        <row r="1120">
          <cell r="C1120">
            <v>3014132</v>
          </cell>
          <cell r="D1120" t="str">
            <v>ELEM.SZYNKA CIECHANOWSKA USR CH</v>
          </cell>
        </row>
        <row r="1121">
          <cell r="C1121">
            <v>3016178</v>
          </cell>
          <cell r="D1121" t="str">
            <v>***SZYN.CIECHANOWSKA NB MR ST</v>
          </cell>
        </row>
        <row r="1122">
          <cell r="C1122">
            <v>3014142</v>
          </cell>
          <cell r="D1122" t="str">
            <v>***SZYN.CIECHANOWSKA LUZ OK15KG PJ ST</v>
          </cell>
        </row>
        <row r="1123">
          <cell r="C1123">
            <v>3016179</v>
          </cell>
          <cell r="D1123" t="str">
            <v>***SZYN.CIECHANOWSKA NB DMR</v>
          </cell>
        </row>
        <row r="1124">
          <cell r="C1124">
            <v>3014131</v>
          </cell>
          <cell r="D1124" t="str">
            <v>***ELEM.SZYN.CIECHANOWSKA KLE CH</v>
          </cell>
        </row>
        <row r="1125">
          <cell r="C1125">
            <v>3041089</v>
          </cell>
          <cell r="D1125" t="str">
            <v>PP EL.SZYN.CIECH/MAGN.CH</v>
          </cell>
        </row>
        <row r="1126">
          <cell r="C1126">
            <v>3042347</v>
          </cell>
          <cell r="D1126" t="str">
            <v>PP EL.SZYN.CIECH/MAGN.OK20KG NB MR</v>
          </cell>
        </row>
        <row r="1127">
          <cell r="C1127">
            <v>3041130</v>
          </cell>
          <cell r="D1127" t="str">
            <v>PP EL.SZYN.CIECH/MAGN.PBX1</v>
          </cell>
        </row>
        <row r="1128">
          <cell r="C1128">
            <v>3042348</v>
          </cell>
          <cell r="D1128" t="str">
            <v>PP EL.SZYN.CIECH/MAGN.OK20KG NB DMR</v>
          </cell>
        </row>
        <row r="1129">
          <cell r="C1129">
            <v>3042351</v>
          </cell>
          <cell r="D1129" t="str">
            <v>PP EL.SZYN.CIECH/MAGN.RO1</v>
          </cell>
        </row>
        <row r="1130">
          <cell r="C1130">
            <v>3042246</v>
          </cell>
          <cell r="D1130" t="str">
            <v>PP EL.SZYN.CIECH/MAGN.RO2</v>
          </cell>
        </row>
        <row r="1131">
          <cell r="C1131">
            <v>3041141</v>
          </cell>
          <cell r="D1131" t="str">
            <v>PP EL.SZYN.CIECH/MAGN.PBX2</v>
          </cell>
        </row>
        <row r="1132">
          <cell r="C1132">
            <v>3014148</v>
          </cell>
          <cell r="D1132" t="str">
            <v>***SZYN.WP.B/K - COLARINO USR</v>
          </cell>
        </row>
        <row r="1133">
          <cell r="C1133">
            <v>4010134</v>
          </cell>
          <cell r="D1133" t="str">
            <v>***PL SZYN.B/K.COLARINO OK20KG KT CH EX</v>
          </cell>
        </row>
        <row r="1134">
          <cell r="C1134">
            <v>4010881</v>
          </cell>
          <cell r="D1134" t="str">
            <v>***PL SZYN.B/K.COLARINO1ST TRM OK20KT EX</v>
          </cell>
        </row>
        <row r="1135">
          <cell r="C1135">
            <v>4012032</v>
          </cell>
          <cell r="D1135" t="str">
            <v>***EU SZYN.B/K.COLARINO CH OK20KG KT EX</v>
          </cell>
        </row>
        <row r="1136">
          <cell r="C1136">
            <v>4012121</v>
          </cell>
          <cell r="D1136" t="str">
            <v>***EU SZYN.B/K.COLARINO 1STTRMOK20KGKTEX</v>
          </cell>
        </row>
        <row r="1137">
          <cell r="C1137">
            <v>3014143</v>
          </cell>
          <cell r="D1137" t="str">
            <v>***SZYN.WP.B/K - VELUTATO CH USR</v>
          </cell>
        </row>
        <row r="1138">
          <cell r="C1138">
            <v>4010152</v>
          </cell>
          <cell r="D1138" t="str">
            <v>***PL SZYN.B/K.VELUTATO OK20KG KT EX</v>
          </cell>
        </row>
        <row r="1139">
          <cell r="C1139">
            <v>4010880</v>
          </cell>
          <cell r="D1139" t="str">
            <v>***PL SZYN.B/K.VELUTATO 1STTRM OK20KT EX</v>
          </cell>
        </row>
        <row r="1140">
          <cell r="C1140">
            <v>4012037</v>
          </cell>
          <cell r="D1140" t="str">
            <v>***EU SZYN.B/K.VELUTATO CH OK20KG KT EX</v>
          </cell>
        </row>
        <row r="1141">
          <cell r="C1141">
            <v>4012120</v>
          </cell>
          <cell r="D1141" t="str">
            <v>***EU SZYN.B/K.VELUTATO 1STTRMOK20KGKTEX</v>
          </cell>
        </row>
        <row r="1142">
          <cell r="C1142">
            <v>3014147</v>
          </cell>
          <cell r="D1142" t="str">
            <v>***SZYN.WP.B/K - COLARONE USR</v>
          </cell>
        </row>
        <row r="1143">
          <cell r="C1143">
            <v>4010151</v>
          </cell>
          <cell r="D1143" t="str">
            <v>***PL SZYN.B/K.COLARONE OK20KG KT EX</v>
          </cell>
        </row>
        <row r="1144">
          <cell r="C1144">
            <v>4010859</v>
          </cell>
          <cell r="D1144" t="str">
            <v>***PL SZYN.B/K.COLARONE 1STTRM OK20KT EX</v>
          </cell>
        </row>
        <row r="1145">
          <cell r="C1145">
            <v>4012036</v>
          </cell>
          <cell r="D1145" t="str">
            <v>***EU SZYN.B/K.COLARONE OK20KG KT CH EX</v>
          </cell>
        </row>
        <row r="1146">
          <cell r="C1146">
            <v>4012114</v>
          </cell>
          <cell r="D1146" t="str">
            <v>***EU SZYN.B/K.COLARONE 1STTRMOK20KGKTEX</v>
          </cell>
        </row>
        <row r="1147">
          <cell r="C1147">
            <v>3014281</v>
          </cell>
          <cell r="D1147" t="str">
            <v>***M-Ń WP.SZYNKI UK USR</v>
          </cell>
        </row>
        <row r="1148">
          <cell r="C1148">
            <v>4010518</v>
          </cell>
          <cell r="D1148" t="str">
            <v>***PL MŚ.SZYN.6-8KGTRM OK700KG OKT SF GB</v>
          </cell>
        </row>
        <row r="1149">
          <cell r="C1149">
            <v>4012939</v>
          </cell>
          <cell r="D1149" t="str">
            <v>***PL MŚ.SZYN.6-8KGTRM OK21KGKT MR SF GB</v>
          </cell>
        </row>
        <row r="1150">
          <cell r="C1150">
            <v>3018634</v>
          </cell>
          <cell r="D1150" t="str">
            <v>***PL MŚ.SZYN.GR 6-8KGTRMOK21KGKTDMR SFL</v>
          </cell>
        </row>
        <row r="1151">
          <cell r="C1151">
            <v>4012042</v>
          </cell>
          <cell r="D1151" t="str">
            <v>***EU MŚ.SZYNKI GB 6-8KG TRM JBX SFL</v>
          </cell>
        </row>
        <row r="1152">
          <cell r="C1152">
            <v>4012940</v>
          </cell>
          <cell r="D1152" t="str">
            <v>***EU MŚ.SZYN.GR 6-8KGTRM OK21KGKTMR SFL</v>
          </cell>
        </row>
        <row r="1153">
          <cell r="C1153">
            <v>3018635</v>
          </cell>
          <cell r="D1153" t="str">
            <v>***EU MŚ.SZYN.GR 6-8KGTRMOK21KGKTDMR SFL</v>
          </cell>
        </row>
        <row r="1154">
          <cell r="C1154">
            <v>3014336</v>
          </cell>
          <cell r="D1154" t="str">
            <v>SZYN.WP. Z/K/SK/NOGĄ REDONDO USR CH</v>
          </cell>
        </row>
        <row r="1155">
          <cell r="C1155">
            <v>4010599</v>
          </cell>
          <cell r="D1155" t="str">
            <v>***SZYN.WP.Z/K/S/NOGĄREDONDOCHCHOINEX</v>
          </cell>
        </row>
        <row r="1156">
          <cell r="C1156">
            <v>4010553</v>
          </cell>
          <cell r="D1156" t="str">
            <v>***PL SZYN.Z/K/SK/NG.REDONDO CHOIN.CH EX</v>
          </cell>
        </row>
        <row r="1157">
          <cell r="C1157">
            <v>4012052</v>
          </cell>
          <cell r="D1157" t="str">
            <v>***EU SZYN.Z/K/SK/NG.REDONDO CHOIN.CH EX</v>
          </cell>
        </row>
        <row r="1158">
          <cell r="C1158">
            <v>3014334</v>
          </cell>
          <cell r="D1158" t="str">
            <v>***SZYN.WP.B/K/SK SPECK USR</v>
          </cell>
        </row>
        <row r="1159">
          <cell r="C1159">
            <v>4010869</v>
          </cell>
          <cell r="D1159" t="str">
            <v>***PL SZYN.B/K/S.SPECK 1STTRMOK20KGKTEXI</v>
          </cell>
        </row>
        <row r="1160">
          <cell r="C1160">
            <v>4018789</v>
          </cell>
          <cell r="D1160" t="str">
            <v>***PL SZYN.B/K/S.SPECK 1STTRMOK15KGKT EX</v>
          </cell>
        </row>
        <row r="1161">
          <cell r="C1161">
            <v>4019848</v>
          </cell>
          <cell r="D1161" t="str">
            <v>PL SZYN.B/K/S.SPECK 1STVACOK20KGKT EX II</v>
          </cell>
        </row>
        <row r="1162">
          <cell r="C1162">
            <v>4010550</v>
          </cell>
          <cell r="D1162" t="str">
            <v>***PL SZYN.B/K/S.SPECK KT CH EX</v>
          </cell>
        </row>
        <row r="1163">
          <cell r="C1163">
            <v>4012119</v>
          </cell>
          <cell r="D1163" t="str">
            <v>***EU SZYN.B/K/S.SPECK 1STTRMOK20KGKTEXI</v>
          </cell>
        </row>
        <row r="1164">
          <cell r="C1164">
            <v>4018788</v>
          </cell>
          <cell r="D1164" t="str">
            <v>***EU SZYN.B/K/S.SPECK 1STTRMOK15KGKT EX</v>
          </cell>
        </row>
        <row r="1165">
          <cell r="C1165">
            <v>4019849</v>
          </cell>
          <cell r="D1165" t="str">
            <v>***EUSZYN.B/K/S.SPECK 1STTRMOK20KGKTEXII</v>
          </cell>
        </row>
        <row r="1166">
          <cell r="C1166">
            <v>4012051</v>
          </cell>
          <cell r="D1166" t="str">
            <v>***EU SZYN.B/K/S.SPECK KT CH EX</v>
          </cell>
        </row>
        <row r="1167">
          <cell r="C1167">
            <v>3014343</v>
          </cell>
          <cell r="D1167" t="str">
            <v>***SZYN.WP.SILVERSIDE USR</v>
          </cell>
        </row>
        <row r="1168">
          <cell r="C1168">
            <v>4011319</v>
          </cell>
          <cell r="D1168" t="str">
            <v>***PL SZYN.SILVERSIDE WORLUZOK20KG KT EX</v>
          </cell>
        </row>
        <row r="1169">
          <cell r="C1169">
            <v>4010554</v>
          </cell>
          <cell r="D1169" t="str">
            <v>***PL SZYN.SILVERS.OK10KGTRMOK20KG KT EX</v>
          </cell>
        </row>
        <row r="1170">
          <cell r="C1170">
            <v>4012183</v>
          </cell>
          <cell r="D1170" t="str">
            <v>***EU SZYN.SILVERSIDE WOR.LUZOK20KGKT EX</v>
          </cell>
        </row>
        <row r="1171">
          <cell r="C1171">
            <v>4012053</v>
          </cell>
          <cell r="D1171" t="str">
            <v>***SZYN.SILVERSIDE OK10KG TRM EX</v>
          </cell>
        </row>
        <row r="1172">
          <cell r="C1172">
            <v>3012533</v>
          </cell>
          <cell r="D1172" t="str">
            <v>***SZYN.B/K.S.TŁGOL.M.PÓŁBŁONIAST.CH USR</v>
          </cell>
        </row>
        <row r="1173">
          <cell r="C1173">
            <v>4010037</v>
          </cell>
          <cell r="D1173" t="str">
            <v>***SZYN.WP.B/K 1/2ST TRM OK.20KG SK CH T</v>
          </cell>
        </row>
        <row r="1174">
          <cell r="C1174">
            <v>3007501</v>
          </cell>
          <cell r="D1174" t="str">
            <v>***SZYN.Z/K/SK.B/GOL CH</v>
          </cell>
        </row>
        <row r="1175">
          <cell r="C1175">
            <v>4003768</v>
          </cell>
          <cell r="D1175" t="str">
            <v>***SZYNKA Z/K B/GOLONKI LUZ</v>
          </cell>
        </row>
        <row r="1176">
          <cell r="C1176">
            <v>4008804</v>
          </cell>
          <cell r="D1176" t="str">
            <v>***SZYN.WP.Z/K LUZ OK 20KG KT TIP</v>
          </cell>
        </row>
        <row r="1177">
          <cell r="C1177">
            <v>3018785</v>
          </cell>
          <cell r="D1177" t="str">
            <v>PL SZYN.Z/K/SK/NG.REDONDO V-CUT CH</v>
          </cell>
        </row>
        <row r="1178">
          <cell r="C1178">
            <v>3024759</v>
          </cell>
          <cell r="D1178" t="str">
            <v>***PL SZYN.Z/K/S/NG.REDONDO V-CUT PBX CH</v>
          </cell>
        </row>
        <row r="1179">
          <cell r="C1179">
            <v>4013066</v>
          </cell>
          <cell r="D1179" t="str">
            <v>***PL SZYN.Z/K/S/NG.REDONDO V 9-12 CHOIN</v>
          </cell>
        </row>
        <row r="1180">
          <cell r="C1180">
            <v>4013114</v>
          </cell>
          <cell r="D1180" t="str">
            <v>***PL SZYN.Z/K/S/NG.REDONDOV12-12.5CHOIN</v>
          </cell>
        </row>
        <row r="1181">
          <cell r="C1181">
            <v>3018786</v>
          </cell>
          <cell r="D1181" t="str">
            <v>EU SZYN.Z/K/SK/NG.REDONDO V-CUT CH</v>
          </cell>
        </row>
        <row r="1182">
          <cell r="C1182">
            <v>3024860</v>
          </cell>
          <cell r="D1182" t="str">
            <v>***EU SZYN.Z/K/SK/NG.REDONDO V-CUT PBXCH</v>
          </cell>
        </row>
        <row r="1183">
          <cell r="C1183">
            <v>4013067</v>
          </cell>
          <cell r="D1183" t="str">
            <v>***EUSZYN.Z/K/S/NG.REDONDO V 9-11.5CHOIN</v>
          </cell>
        </row>
        <row r="1184">
          <cell r="C1184">
            <v>4013113</v>
          </cell>
          <cell r="D1184" t="str">
            <v>***EUSZYN.Z/K/S/NG.REDONDO V11.5-12.5CHO</v>
          </cell>
        </row>
        <row r="1185">
          <cell r="C1185">
            <v>3020992</v>
          </cell>
          <cell r="D1185" t="str">
            <v>PL SZYN.B/K/MŚ.DWUG/MŚ.BRZUCH.</v>
          </cell>
        </row>
        <row r="1186">
          <cell r="C1186">
            <v>3020993</v>
          </cell>
          <cell r="D1186" t="str">
            <v>EU SZYN.B/K/MŚ.DWUG/MŚ.BRZUCH.</v>
          </cell>
        </row>
        <row r="1187">
          <cell r="C1187">
            <v>3007502</v>
          </cell>
          <cell r="D1187" t="str">
            <v>***SZYN.Z/K/SK/GOL CH DAN. ZAK</v>
          </cell>
        </row>
        <row r="1188">
          <cell r="C1188">
            <v>3020994</v>
          </cell>
          <cell r="D1188" t="str">
            <v>***PL SZYN.B/K/MŚ.DWUG.Z/MŚ.BRZUCH.1</v>
          </cell>
        </row>
        <row r="1189">
          <cell r="C1189">
            <v>3020979</v>
          </cell>
          <cell r="D1189" t="str">
            <v>***PL SZYN.B/K/MŚ.DWUG.Z/MŚ.BRZUCH.2</v>
          </cell>
        </row>
        <row r="1190">
          <cell r="C1190">
            <v>3020995</v>
          </cell>
          <cell r="D1190" t="str">
            <v>***EU SZYN.B/K/MŚ.DWUG.Z/MŚ.BRZUCH.1</v>
          </cell>
        </row>
        <row r="1191">
          <cell r="C1191">
            <v>3021010</v>
          </cell>
          <cell r="D1191" t="str">
            <v>***EU SZYN.B/K/MŚ.DWUG.Z/MŚ.BRZUCH.2</v>
          </cell>
        </row>
        <row r="1192">
          <cell r="C1192">
            <v>3020996</v>
          </cell>
          <cell r="D1192" t="str">
            <v>PL SZYN.B/K/DWUG/PÓŁBŁ.1205 CH1</v>
          </cell>
        </row>
        <row r="1193">
          <cell r="C1193">
            <v>3036895</v>
          </cell>
          <cell r="D1193" t="str">
            <v>PL SZYN.B/K/DWUG/PÓŁBŁ.OK20KG NB MR ST</v>
          </cell>
        </row>
        <row r="1194">
          <cell r="C1194">
            <v>3024861</v>
          </cell>
          <cell r="D1194" t="str">
            <v>PL SZYN.B/K/MŚ.DWUG/MŚ.PÓŁ.1205 PBX ST1</v>
          </cell>
        </row>
        <row r="1195">
          <cell r="C1195">
            <v>3025803</v>
          </cell>
          <cell r="D1195" t="str">
            <v>PL SZYN.B/K/MŚ.DWUG/MŚ.PÓŁBŁ.WOR.PJ ST</v>
          </cell>
        </row>
        <row r="1196">
          <cell r="C1196">
            <v>3033417</v>
          </cell>
          <cell r="D1196" t="str">
            <v>PL SZYN.B/K/MŚ.DWUG/PÓŁBŁ.OK20KG PJAF ST</v>
          </cell>
        </row>
        <row r="1197">
          <cell r="C1197">
            <v>3036845</v>
          </cell>
          <cell r="D1197" t="str">
            <v>PL SZYN.B/K/DWUG/PÓŁBŁ.OK20KG NB DMR</v>
          </cell>
        </row>
        <row r="1198">
          <cell r="C1198">
            <v>3034228</v>
          </cell>
          <cell r="D1198" t="str">
            <v>PL SZYN.B/K/MŚ.DWUG/PÓŁBŁ.RO1</v>
          </cell>
        </row>
        <row r="1199">
          <cell r="C1199">
            <v>3021011</v>
          </cell>
          <cell r="D1199" t="str">
            <v>PL SZYN.B/K/DWUG/PÓŁBŁ.1205 CH2</v>
          </cell>
        </row>
        <row r="1200">
          <cell r="C1200">
            <v>3036846</v>
          </cell>
          <cell r="D1200" t="str">
            <v>PL SZYN.B/K/MŚ.DWUG/PÓŁBŁ.RO2</v>
          </cell>
        </row>
        <row r="1201">
          <cell r="C1201">
            <v>3025121</v>
          </cell>
          <cell r="D1201" t="str">
            <v>PL SZYN.B/K/MŚ.DWUG/MŚ.PÓŁ.1205 PBX ST2</v>
          </cell>
        </row>
        <row r="1202">
          <cell r="C1202">
            <v>3020997</v>
          </cell>
          <cell r="D1202" t="str">
            <v>EU SZYN.B/K/DWUG/PÓŁBŁ.1205 CH1</v>
          </cell>
        </row>
        <row r="1203">
          <cell r="C1203">
            <v>3024862</v>
          </cell>
          <cell r="D1203" t="str">
            <v>EU SZYN.B/K/MŚ.DWUG/MŚ.PÓŁBŁ.PBX ST1</v>
          </cell>
        </row>
        <row r="1204">
          <cell r="C1204">
            <v>3021012</v>
          </cell>
          <cell r="D1204" t="str">
            <v>EU SZYN.B/K/DWUG/PÓŁBŁ.1205 CH2</v>
          </cell>
        </row>
        <row r="1205">
          <cell r="C1205">
            <v>3025122</v>
          </cell>
          <cell r="D1205" t="str">
            <v>EU SZYN.B/K/MŚ.DWUG/MŚ.PÓŁBŁ.PBX ST2</v>
          </cell>
        </row>
        <row r="1206">
          <cell r="C1206">
            <v>3035834</v>
          </cell>
          <cell r="D1206" t="str">
            <v>PP SZYN.B/K/DWUG/PÓŁBŁ.1205 CH</v>
          </cell>
        </row>
        <row r="1207">
          <cell r="C1207">
            <v>3039354</v>
          </cell>
          <cell r="D1207" t="str">
            <v>PP SZYN.B/K/DWUG/PÓŁBŁ.OK20KG NB MR ST</v>
          </cell>
        </row>
        <row r="1208">
          <cell r="C1208">
            <v>3037645</v>
          </cell>
          <cell r="D1208" t="str">
            <v>PP SZYN.B/K/MŚ.DWUG/MŚ.PÓŁB.1205 PBX ST1</v>
          </cell>
        </row>
        <row r="1209">
          <cell r="C1209">
            <v>3039386</v>
          </cell>
          <cell r="D1209" t="str">
            <v>PPSZYN.B/K/MŚ.DWUG/PÓŁBŁ.OK15KGWORPJ ST</v>
          </cell>
        </row>
        <row r="1210">
          <cell r="C1210">
            <v>3039353</v>
          </cell>
          <cell r="D1210" t="str">
            <v>PP SZYN.B/K/DWUG/PÓŁBŁ.OK20KG NB DMR</v>
          </cell>
        </row>
        <row r="1211">
          <cell r="C1211">
            <v>3039355</v>
          </cell>
          <cell r="D1211" t="str">
            <v>PP SZYN.B/K/MŚ.DWUG/MŚ.PÓŁBŁ.RO1</v>
          </cell>
        </row>
        <row r="1212">
          <cell r="C1212">
            <v>3039384</v>
          </cell>
          <cell r="D1212" t="str">
            <v>PP SZYN.B/K/MŚ.DWUG/MŚ.PÓŁBŁ.RO2</v>
          </cell>
        </row>
        <row r="1213">
          <cell r="C1213">
            <v>3037786</v>
          </cell>
          <cell r="D1213" t="str">
            <v>PP SZYN.B/K/MŚ.DWUG/MŚ.PÓŁB.1205 PBX ST2</v>
          </cell>
        </row>
        <row r="1214">
          <cell r="C1214">
            <v>3022305</v>
          </cell>
          <cell r="D1214" t="str">
            <v>PL SZYN.Z/K/S/NG.V-CUT TŁ.POW.1.5CM CH</v>
          </cell>
        </row>
        <row r="1215">
          <cell r="C1215">
            <v>4015390</v>
          </cell>
          <cell r="D1215" t="str">
            <v>***PLSZYN.Z/K/S/NG.REDONDO V 12-14KG CHO</v>
          </cell>
        </row>
        <row r="1216">
          <cell r="C1216">
            <v>3022330</v>
          </cell>
          <cell r="D1216" t="str">
            <v>EU SZYN.Z/K/S/NG.V-CUT TŁ.POW.1.5CM CH</v>
          </cell>
        </row>
        <row r="1217">
          <cell r="C1217">
            <v>4015391</v>
          </cell>
          <cell r="D1217" t="str">
            <v>***EU SZYN.Z/K/S/NG.REDONDO V 12-14KGCHO</v>
          </cell>
        </row>
        <row r="1218">
          <cell r="C1218">
            <v>3026494</v>
          </cell>
          <cell r="D1218" t="str">
            <v>PL MŚ.SZYN.ODBŁ.JAS.CH BST</v>
          </cell>
        </row>
        <row r="1219">
          <cell r="C1219">
            <v>3026426</v>
          </cell>
          <cell r="D1219" t="str">
            <v>PL MŚ.SZYN.ODBŁ.JAS.PBX BST1</v>
          </cell>
        </row>
        <row r="1220">
          <cell r="C1220">
            <v>3026485</v>
          </cell>
          <cell r="D1220" t="str">
            <v>PL MŚ.SZYN.ODBŁ.JAS.OK15KG PB MR US ST</v>
          </cell>
        </row>
        <row r="1221">
          <cell r="C1221">
            <v>3026480</v>
          </cell>
          <cell r="D1221" t="str">
            <v>PL MŚ.SZYN.ODBŁ.JAS.OK15KGWOR PJ US ST</v>
          </cell>
        </row>
        <row r="1222">
          <cell r="C1222">
            <v>3026483</v>
          </cell>
          <cell r="D1222" t="str">
            <v>PL MŚ.SZYN.ODBŁ.JAS.OK15KG PB MR US</v>
          </cell>
        </row>
        <row r="1223">
          <cell r="C1223">
            <v>3028137</v>
          </cell>
          <cell r="D1223" t="str">
            <v>***PL MŚ.SZYN.ODBŁ.JAS.RO1</v>
          </cell>
        </row>
        <row r="1224">
          <cell r="C1224">
            <v>3026429</v>
          </cell>
          <cell r="D1224" t="str">
            <v>PL MŚ.SZYN.ODBŁ.JAS.PBX BST2</v>
          </cell>
        </row>
        <row r="1225">
          <cell r="C1225">
            <v>3028138</v>
          </cell>
          <cell r="D1225" t="str">
            <v>***PL MŚ.SZYN.ODBŁ.JAS.RO2</v>
          </cell>
        </row>
        <row r="1226">
          <cell r="C1226">
            <v>3026481</v>
          </cell>
          <cell r="D1226" t="str">
            <v>EU MŚ.SZYN.ODBŁ.JAS.CH US</v>
          </cell>
        </row>
        <row r="1227">
          <cell r="C1227">
            <v>3026427</v>
          </cell>
          <cell r="D1227" t="str">
            <v>***EU MŚ.SZYN.ODBŁ.JAS.PBX CH US1</v>
          </cell>
        </row>
        <row r="1228">
          <cell r="C1228">
            <v>3026484</v>
          </cell>
          <cell r="D1228" t="str">
            <v>***EU MŚ.SZYN.ODBŁ.JAS.OK15KGPB MR US ST</v>
          </cell>
        </row>
        <row r="1229">
          <cell r="C1229">
            <v>3026459</v>
          </cell>
          <cell r="D1229" t="str">
            <v>EU MŚ.SZYN.ODBŁ.JAS.OK15KGWOR PJ US ST</v>
          </cell>
        </row>
        <row r="1230">
          <cell r="C1230">
            <v>3026486</v>
          </cell>
          <cell r="D1230" t="str">
            <v>***EU MŚ.SZYN.ODBŁ.JAS.OK15KG WOR DMR US</v>
          </cell>
        </row>
        <row r="1231">
          <cell r="C1231">
            <v>3026510</v>
          </cell>
          <cell r="D1231" t="str">
            <v>***EU MŚ.SZYN.ODBŁ.JAS.PBX CH US2</v>
          </cell>
        </row>
        <row r="1232">
          <cell r="C1232">
            <v>3039583</v>
          </cell>
          <cell r="D1232" t="str">
            <v>PP MŚ.SZYN.ODBŁ.JAS.US CH</v>
          </cell>
        </row>
        <row r="1233">
          <cell r="C1233">
            <v>3039584</v>
          </cell>
          <cell r="D1233" t="str">
            <v>PP MŚ.SZYN.ODBŁ.JAS.PBX US ST</v>
          </cell>
        </row>
        <row r="1234">
          <cell r="C1234">
            <v>3039426</v>
          </cell>
          <cell r="D1234" t="str">
            <v>PP MŚ.SZYN.ODBŁ.JAS.OK15KGWOR PJ US ST</v>
          </cell>
        </row>
        <row r="1235">
          <cell r="C1235">
            <v>3026401</v>
          </cell>
          <cell r="D1235" t="str">
            <v>PL MŚ.SZYN.ODBŁ.CIE.CH US</v>
          </cell>
        </row>
        <row r="1236">
          <cell r="C1236">
            <v>3029090</v>
          </cell>
          <cell r="D1236" t="str">
            <v>***PL MŚ.SZYN.ODBŁ.CIE.OK500PBX CH US ST</v>
          </cell>
        </row>
        <row r="1237">
          <cell r="C1237">
            <v>3026487</v>
          </cell>
          <cell r="D1237" t="str">
            <v>PL MŚ.SZYN.ODBŁ.CIE.OK15KG PB MR BST ST</v>
          </cell>
        </row>
        <row r="1238">
          <cell r="C1238">
            <v>3026489</v>
          </cell>
          <cell r="D1238" t="str">
            <v>PL MŚ.SZYN.ODBŁ.CIE.OK15KGWOR PJ US ST</v>
          </cell>
        </row>
        <row r="1239">
          <cell r="C1239">
            <v>3026400</v>
          </cell>
          <cell r="D1239" t="str">
            <v>PL MŚ.SZYN.ODBŁ.CIE.OK15KG PB DMR BST</v>
          </cell>
        </row>
        <row r="1240">
          <cell r="C1240">
            <v>3026402</v>
          </cell>
          <cell r="D1240" t="str">
            <v>EU MŚ.SZYN.ODBŁ.CIE.CH US</v>
          </cell>
        </row>
        <row r="1241">
          <cell r="C1241">
            <v>3026488</v>
          </cell>
          <cell r="D1241" t="str">
            <v>***EU MŚ.SZYN.ODBŁ.CIEM.OK15KGPBMR US ST</v>
          </cell>
        </row>
        <row r="1242">
          <cell r="C1242">
            <v>3026490</v>
          </cell>
          <cell r="D1242" t="str">
            <v>***EU MŚ.SZYN.ODBŁ.CIE.OK15KGWORPJUSST</v>
          </cell>
        </row>
        <row r="1243">
          <cell r="C1243">
            <v>3026408</v>
          </cell>
          <cell r="D1243" t="str">
            <v>EU MŚ.SZYN.ODBŁ.CIE.OK15KGWOR DMR BST</v>
          </cell>
        </row>
        <row r="1244">
          <cell r="C1244">
            <v>3039571</v>
          </cell>
          <cell r="D1244" t="str">
            <v>PP MŚ.SZYN.ODBŁ.CIE.CH US</v>
          </cell>
        </row>
        <row r="1245">
          <cell r="C1245">
            <v>3039582</v>
          </cell>
          <cell r="D1245" t="str">
            <v>PP MŚ.SZYN.ODBŁ.CIE.PBX US ST</v>
          </cell>
        </row>
        <row r="1246">
          <cell r="C1246">
            <v>3039428</v>
          </cell>
          <cell r="D1246" t="str">
            <v>PP MŚ.SZYN.ODBŁ.CIE.OK15KGWOR PJ US ST</v>
          </cell>
        </row>
        <row r="1247">
          <cell r="C1247">
            <v>3027498</v>
          </cell>
          <cell r="D1247" t="str">
            <v>***PL MŚ.PÓŁBŁ.B/M.SMUK.N/OBR.US CH</v>
          </cell>
        </row>
        <row r="1248">
          <cell r="C1248">
            <v>3027495</v>
          </cell>
          <cell r="D1248" t="str">
            <v>***PL MŚ.PÓŁB. B/M.SMUK.N/OBR.PBX US CH</v>
          </cell>
        </row>
        <row r="1249">
          <cell r="C1249">
            <v>3027493</v>
          </cell>
          <cell r="D1249" t="str">
            <v>***PLMŚ.PÓŁBŁ.B/M.SM.N/OBR.OK15KGWPJUSST</v>
          </cell>
        </row>
        <row r="1250">
          <cell r="C1250">
            <v>3027514</v>
          </cell>
          <cell r="D1250" t="str">
            <v>PL MŚ.SZYN.ODBŁ.PÓŁBŁ.JAS.CH US</v>
          </cell>
        </row>
        <row r="1251">
          <cell r="C1251">
            <v>3027515</v>
          </cell>
          <cell r="D1251" t="str">
            <v>PL MŚ.SZYN.ODBŁ.PÓŁBŁ.JAS.PBX US ST</v>
          </cell>
        </row>
        <row r="1252">
          <cell r="C1252">
            <v>3039364</v>
          </cell>
          <cell r="D1252" t="str">
            <v>PP MŚ.SZYN.ODBŁ.PÓŁBŁ.JAS.CH US</v>
          </cell>
        </row>
        <row r="1253">
          <cell r="C1253">
            <v>3039370</v>
          </cell>
          <cell r="D1253" t="str">
            <v>PP MŚ.SZYN.ODBŁ.PÓŁBŁ.JAS.PBX US ST</v>
          </cell>
        </row>
        <row r="1254">
          <cell r="C1254">
            <v>3027485</v>
          </cell>
          <cell r="D1254" t="str">
            <v>PL SZYN.4D B/M.BRZUCH.KAW.OK1KG</v>
          </cell>
        </row>
        <row r="1255">
          <cell r="C1255">
            <v>3028078</v>
          </cell>
          <cell r="D1255" t="str">
            <v>PL SZYN.4D B/M.BRZ.KAW.OK1KGOK500KGPBXCH</v>
          </cell>
        </row>
        <row r="1256">
          <cell r="C1256">
            <v>4019657</v>
          </cell>
          <cell r="D1256" t="str">
            <v>PL SZYN.4D B/M.BR.KAW.OK1KGVACOK7KGKT EX</v>
          </cell>
        </row>
        <row r="1257">
          <cell r="C1257">
            <v>3027484</v>
          </cell>
          <cell r="D1257" t="str">
            <v>PL SZYN.4D B/M.BRZ.KAW.</v>
          </cell>
        </row>
        <row r="1258">
          <cell r="C1258">
            <v>3028081</v>
          </cell>
          <cell r="D1258" t="str">
            <v>PL SZYN.4D B/M.BRZ.KAW.OK500KG PBX CH</v>
          </cell>
        </row>
        <row r="1259">
          <cell r="C1259">
            <v>4020257</v>
          </cell>
          <cell r="D1259" t="str">
            <v>***PLSZYN.WP.B/K.OK1.4KGVACOK8.4KTLIDLCZ</v>
          </cell>
        </row>
        <row r="1260">
          <cell r="C1260">
            <v>4021951</v>
          </cell>
          <cell r="D1260" t="str">
            <v>***PL SZYN.B/K/S.OK1KGVAC OK5KGKT</v>
          </cell>
        </row>
        <row r="1261">
          <cell r="C1261">
            <v>3044663</v>
          </cell>
          <cell r="D1261" t="str">
            <v>EU SZYN.4D B/M.BRZ.KAW.</v>
          </cell>
        </row>
        <row r="1262">
          <cell r="C1262">
            <v>3035440</v>
          </cell>
          <cell r="D1262" t="str">
            <v>PP SZYN.4D B/MŚ.BRZUCH.KAW.</v>
          </cell>
        </row>
        <row r="1263">
          <cell r="C1263">
            <v>3035441</v>
          </cell>
          <cell r="D1263" t="str">
            <v>PP SZYN.4D B/MŚ.BRZ.KAW.PBX</v>
          </cell>
        </row>
        <row r="1264">
          <cell r="C1264">
            <v>3012508</v>
          </cell>
          <cell r="D1264" t="str">
            <v>***SZYN.4D B/M.DWUGŁOWEGO CH USR</v>
          </cell>
        </row>
        <row r="1265">
          <cell r="C1265">
            <v>3007503</v>
          </cell>
          <cell r="D1265" t="str">
            <v>***SZYN.Z/K.B/GOL.OBR CH</v>
          </cell>
        </row>
        <row r="1266">
          <cell r="C1266">
            <v>4003769</v>
          </cell>
          <cell r="D1266" t="str">
            <v>***SZYNKA WP.Z/K B/GOL.OBROB. LUZ</v>
          </cell>
        </row>
        <row r="1267">
          <cell r="C1267">
            <v>3016055</v>
          </cell>
          <cell r="D1267" t="str">
            <v>***SZYN.WP.B/K 4D Z/SK USR</v>
          </cell>
        </row>
        <row r="1268">
          <cell r="C1268">
            <v>4010951</v>
          </cell>
          <cell r="D1268" t="str">
            <v>***SZYN.WP.Z/K4D Z/SK1ST TRM OK.20KT SFL</v>
          </cell>
        </row>
        <row r="1269">
          <cell r="C1269">
            <v>3007504</v>
          </cell>
          <cell r="D1269" t="str">
            <v>***MŚ.PÓŁBŁ.PÓŁŚC.TŁ.OKR.7MM CH</v>
          </cell>
        </row>
        <row r="1270">
          <cell r="C1270">
            <v>3007505</v>
          </cell>
          <cell r="D1270" t="str">
            <v>MŚ.PÓŁBŁ.PÓŁŚC.TŁ.OKR.7MM OK20KG NB MR</v>
          </cell>
        </row>
        <row r="1271">
          <cell r="C1271">
            <v>3009165</v>
          </cell>
          <cell r="D1271" t="str">
            <v>***EL.NA SZYNKE BONDA OK15KG WOR PJ CHEŁ</v>
          </cell>
        </row>
        <row r="1272">
          <cell r="C1272">
            <v>3007506</v>
          </cell>
          <cell r="D1272" t="str">
            <v>MŚ.PÓŁBŁ.PÓŁŚC.TŁ.OKR.7MM OK20KG NB DMR</v>
          </cell>
        </row>
        <row r="1273">
          <cell r="C1273">
            <v>3007507</v>
          </cell>
          <cell r="D1273" t="str">
            <v>MŚ.PÓŁBŁ.PÓŁŚC.TŁ.OKR.7MM RO1</v>
          </cell>
        </row>
        <row r="1274">
          <cell r="C1274">
            <v>3020220</v>
          </cell>
          <cell r="D1274" t="str">
            <v>MŚ.PÓŁBŁ.PÓŁŚC.TŁ.OKR.7MM RO2</v>
          </cell>
        </row>
        <row r="1275">
          <cell r="C1275">
            <v>3008794</v>
          </cell>
          <cell r="D1275" t="str">
            <v>***ELEM.SZYN.WIEJSKA CH</v>
          </cell>
        </row>
        <row r="1276">
          <cell r="C1276">
            <v>3008866</v>
          </cell>
          <cell r="D1276" t="str">
            <v>***ELEM.SZYN.WIEJSKANB MR ST</v>
          </cell>
        </row>
        <row r="1277">
          <cell r="C1277">
            <v>4007951</v>
          </cell>
          <cell r="D1277" t="str">
            <v>***ELEM.SZYN.WIEJSKA LUZ PJ</v>
          </cell>
        </row>
        <row r="1278">
          <cell r="C1278">
            <v>3010646</v>
          </cell>
          <cell r="D1278" t="str">
            <v>***ELEM.SZYN.WIEJSKA LUZ PJ ST</v>
          </cell>
        </row>
        <row r="1279">
          <cell r="C1279">
            <v>3012612</v>
          </cell>
          <cell r="D1279" t="str">
            <v>***ELEM.SZYN.WIEJSKA LUZ PJ ST</v>
          </cell>
        </row>
        <row r="1280">
          <cell r="C1280">
            <v>3011429</v>
          </cell>
          <cell r="D1280" t="str">
            <v>ELEM.SZYN. SZWAGRA CH PJ SZ</v>
          </cell>
        </row>
        <row r="1281">
          <cell r="C1281">
            <v>3008710</v>
          </cell>
          <cell r="D1281" t="str">
            <v>***ELEM.SZYN.WIEJSKA NB. DMR</v>
          </cell>
        </row>
        <row r="1282">
          <cell r="C1282">
            <v>3008711</v>
          </cell>
          <cell r="D1282" t="str">
            <v>***ELEM.SZYN.WIEJSKA PB. DMR</v>
          </cell>
        </row>
        <row r="1283">
          <cell r="C1283">
            <v>3008712</v>
          </cell>
          <cell r="D1283" t="str">
            <v>***ELEM.SZYN.WIEJSKA NB. RO</v>
          </cell>
        </row>
        <row r="1284">
          <cell r="C1284">
            <v>3014151</v>
          </cell>
          <cell r="D1284" t="str">
            <v>***SZYN.WP.B/K - VELUTATO KL.S CH</v>
          </cell>
        </row>
        <row r="1285">
          <cell r="C1285">
            <v>3014146</v>
          </cell>
          <cell r="D1285" t="str">
            <v>PL SZYN.B/K.VELUTATO CH</v>
          </cell>
        </row>
        <row r="1286">
          <cell r="C1286">
            <v>3024863</v>
          </cell>
          <cell r="D1286" t="str">
            <v>***PL SZYN.B/K.VELUTATO PBX CH</v>
          </cell>
        </row>
        <row r="1287">
          <cell r="C1287">
            <v>3017566</v>
          </cell>
          <cell r="D1287" t="str">
            <v>EU SZYN.B/K.VELUTATO CH</v>
          </cell>
        </row>
        <row r="1288">
          <cell r="C1288">
            <v>3024864</v>
          </cell>
          <cell r="D1288" t="str">
            <v>***EU SZYN.B/K.VELUTATO PBX CH</v>
          </cell>
        </row>
        <row r="1289">
          <cell r="C1289">
            <v>3004373</v>
          </cell>
          <cell r="D1289" t="str">
            <v>***SZYN.4 D USR CH</v>
          </cell>
        </row>
        <row r="1290">
          <cell r="C1290">
            <v>3007508</v>
          </cell>
          <cell r="D1290" t="str">
            <v>PL SZYN.4D OK15KGWOR KT ST</v>
          </cell>
        </row>
        <row r="1291">
          <cell r="C1291">
            <v>4008807</v>
          </cell>
          <cell r="D1291" t="str">
            <v>***PL SZYN.B/K.LUZ OK15KG KT TIP</v>
          </cell>
        </row>
        <row r="1292">
          <cell r="C1292">
            <v>4010107</v>
          </cell>
          <cell r="D1292" t="str">
            <v>PL SZYN.4D OK20KGWOR KT EX</v>
          </cell>
        </row>
        <row r="1293">
          <cell r="C1293">
            <v>4012215</v>
          </cell>
          <cell r="D1293" t="str">
            <v>***PL SZYN.WP.4D WOR OK15KG PJ EC</v>
          </cell>
        </row>
        <row r="1294">
          <cell r="C1294">
            <v>3021929</v>
          </cell>
          <cell r="D1294" t="str">
            <v>PL SZYN.4D OK15KGLUZ PJ ST</v>
          </cell>
        </row>
        <row r="1295">
          <cell r="C1295">
            <v>4008152</v>
          </cell>
          <cell r="D1295" t="str">
            <v>PL SZYN.4D OK20KGWOR KT MR EX</v>
          </cell>
        </row>
        <row r="1296">
          <cell r="C1296">
            <v>4010918</v>
          </cell>
          <cell r="D1296" t="str">
            <v>***PL SZYN.4D 1ST FOL OK20KG KT MR</v>
          </cell>
        </row>
        <row r="1297">
          <cell r="C1297">
            <v>4009083</v>
          </cell>
          <cell r="D1297" t="str">
            <v>***PL SZYN.B/K.OK1KG MAP</v>
          </cell>
        </row>
        <row r="1298">
          <cell r="C1298">
            <v>4013395</v>
          </cell>
          <cell r="D1298" t="str">
            <v>***PL SZYN.B/K.OK1KGMAPOK6KGKT AUCH</v>
          </cell>
        </row>
        <row r="1299">
          <cell r="C1299">
            <v>4031310</v>
          </cell>
          <cell r="D1299" t="str">
            <v>PL SZYN.4D 1STVAC 2STKT SEL</v>
          </cell>
        </row>
        <row r="1300">
          <cell r="C1300">
            <v>4015924</v>
          </cell>
          <cell r="D1300" t="str">
            <v>***PL SZYN.B/K.4D OK1.3KGVAC OK15KGKT</v>
          </cell>
        </row>
        <row r="1301">
          <cell r="C1301">
            <v>4016193</v>
          </cell>
          <cell r="D1301" t="str">
            <v>***PL SZYN.B/K.4D.OK1KGVAC 6KGKT ME</v>
          </cell>
        </row>
        <row r="1302">
          <cell r="C1302">
            <v>4008818</v>
          </cell>
          <cell r="D1302" t="str">
            <v>***PL SZYN.B/K.VAC OK15KG KT</v>
          </cell>
        </row>
        <row r="1303">
          <cell r="C1303">
            <v>4009448</v>
          </cell>
          <cell r="D1303" t="str">
            <v>***PL SZYN.4D OK1KG VAC 6KG KT CH RU</v>
          </cell>
        </row>
        <row r="1304">
          <cell r="C1304">
            <v>4009880</v>
          </cell>
          <cell r="D1304" t="str">
            <v>***PL SZYN.B/K.OK1KGVAC OK5KGKT SK TESC</v>
          </cell>
        </row>
        <row r="1305">
          <cell r="C1305">
            <v>4011133</v>
          </cell>
          <cell r="D1305" t="str">
            <v>***PL SZYN.4D OK1KGVAC OK20KGKT CH CARR</v>
          </cell>
        </row>
        <row r="1306">
          <cell r="C1306">
            <v>4013696</v>
          </cell>
          <cell r="D1306" t="str">
            <v>***PL SZYN.WP.B/K.OK1KGVAC OK4.2KGKT MOR</v>
          </cell>
        </row>
        <row r="1307">
          <cell r="C1307">
            <v>4013882</v>
          </cell>
          <cell r="D1307" t="str">
            <v>PL SZYN.WP.4D 1STVAC OK15KGPJ STO</v>
          </cell>
        </row>
        <row r="1308">
          <cell r="C1308">
            <v>4015416</v>
          </cell>
          <cell r="D1308" t="str">
            <v>***PL SZYN.B/K.4D 1STVAC OK15KGKT SEL</v>
          </cell>
        </row>
        <row r="1309">
          <cell r="C1309">
            <v>4009893</v>
          </cell>
          <cell r="D1309" t="str">
            <v>***PL SZYN.4D 1STVAC OK15KGKT SK</v>
          </cell>
        </row>
        <row r="1310">
          <cell r="C1310">
            <v>4010776</v>
          </cell>
          <cell r="D1310" t="str">
            <v>PL SZYN.4D 1STVAC OK15KGPJ ECS</v>
          </cell>
        </row>
        <row r="1311">
          <cell r="C1311">
            <v>4016680</v>
          </cell>
          <cell r="D1311" t="str">
            <v>PL SZYN.4D OK1.5KGVAC OK13KGKT KAUF</v>
          </cell>
        </row>
        <row r="1312">
          <cell r="C1312">
            <v>4010883</v>
          </cell>
          <cell r="D1312" t="str">
            <v>***PL SZYN.4D 1ST TRM OK20KT SFL</v>
          </cell>
        </row>
        <row r="1313">
          <cell r="C1313">
            <v>4011128</v>
          </cell>
          <cell r="D1313" t="str">
            <v>***PL SZYN.4D 1ST TRM OK20KG KT CARR</v>
          </cell>
        </row>
        <row r="1314">
          <cell r="C1314">
            <v>4009138</v>
          </cell>
          <cell r="D1314" t="str">
            <v>***PL SZYN.4D 1ST TRM OK20KG KJM RU</v>
          </cell>
        </row>
        <row r="1315">
          <cell r="C1315">
            <v>4008884</v>
          </cell>
          <cell r="D1315" t="str">
            <v>***PL SZYN.4D 1ST TRM OK20KG RU</v>
          </cell>
        </row>
        <row r="1316">
          <cell r="C1316">
            <v>4001778</v>
          </cell>
          <cell r="D1316" t="str">
            <v>PL SZYN.4D 1STVAC OK15KGKT</v>
          </cell>
        </row>
        <row r="1317">
          <cell r="C1317">
            <v>4011132</v>
          </cell>
          <cell r="D1317" t="str">
            <v>***PL SZYN.4D 1STTRM OK6KGKT CARR</v>
          </cell>
        </row>
        <row r="1318">
          <cell r="C1318">
            <v>4015773</v>
          </cell>
          <cell r="D1318" t="str">
            <v>***PL SZYN.B/K 4D.OK1KG VAC 6 KG KT POLM</v>
          </cell>
        </row>
        <row r="1319">
          <cell r="C1319">
            <v>4017169</v>
          </cell>
          <cell r="D1319" t="str">
            <v>PL SZYN.4D.1STVAC OK20KGKT EX</v>
          </cell>
        </row>
        <row r="1320">
          <cell r="C1320">
            <v>4018016</v>
          </cell>
          <cell r="D1320" t="str">
            <v>PL SZYN.4D 1STVAC OK15KGKT MET</v>
          </cell>
        </row>
        <row r="1321">
          <cell r="C1321">
            <v>4022278</v>
          </cell>
          <cell r="D1321" t="str">
            <v>PP SZYN.4D 1/2STVAC OK8KGKT BIED</v>
          </cell>
        </row>
        <row r="1322">
          <cell r="C1322">
            <v>4025031</v>
          </cell>
          <cell r="D1322" t="str">
            <v>PL SZYN.4D 1STVAC OK15KGKT MORE EX</v>
          </cell>
        </row>
        <row r="1323">
          <cell r="C1323">
            <v>4028829</v>
          </cell>
          <cell r="D1323" t="str">
            <v>PL SZYN.4D 1STVAC OK15KGKT PIP</v>
          </cell>
        </row>
        <row r="1324">
          <cell r="C1324">
            <v>4030114</v>
          </cell>
          <cell r="D1324" t="str">
            <v>PL SZYN.WP.4D 1STVAC OK15KGKT AUCH</v>
          </cell>
        </row>
        <row r="1325">
          <cell r="C1325">
            <v>4030287</v>
          </cell>
          <cell r="D1325" t="str">
            <v>PL SZYN.4D.1STVAC OK20KGKT MET CZ</v>
          </cell>
        </row>
        <row r="1326">
          <cell r="C1326">
            <v>4019551</v>
          </cell>
          <cell r="D1326" t="str">
            <v>PL SZYN.4D 1STVAC OK16KGKT PREM.SEL</v>
          </cell>
        </row>
        <row r="1327">
          <cell r="C1327">
            <v>4008620</v>
          </cell>
          <cell r="D1327" t="str">
            <v>***PL SZYN.OK1KG MAP 6KG KT LIDL</v>
          </cell>
        </row>
        <row r="1328">
          <cell r="C1328">
            <v>4030314</v>
          </cell>
          <cell r="D1328" t="str">
            <v>PL SZYN.4D.1STVAC OK20KGKT MET HU</v>
          </cell>
        </row>
        <row r="1329">
          <cell r="C1329">
            <v>4015807</v>
          </cell>
          <cell r="D1329" t="str">
            <v>***PL SZYN.B/K.4D.1STVAC OK15KGKT</v>
          </cell>
        </row>
        <row r="1330">
          <cell r="C1330">
            <v>4031396</v>
          </cell>
          <cell r="D1330" t="str">
            <v>PL SZYN.4D.1STVAC OK20KGKT MET RU</v>
          </cell>
        </row>
        <row r="1331">
          <cell r="C1331">
            <v>4031629</v>
          </cell>
          <cell r="D1331" t="str">
            <v>PL SZYN.4D 1/2STVAC OK10KGKT AUCH</v>
          </cell>
        </row>
        <row r="1332">
          <cell r="C1332">
            <v>3008843</v>
          </cell>
          <cell r="D1332" t="str">
            <v>***SZYN.4D OK.15KG PJ CH ST</v>
          </cell>
        </row>
        <row r="1333">
          <cell r="C1333">
            <v>4008255</v>
          </cell>
          <cell r="D1333" t="str">
            <v>***PL SZYN.4D KT MR KAUF</v>
          </cell>
        </row>
        <row r="1334">
          <cell r="C1334">
            <v>4012890</v>
          </cell>
          <cell r="D1334" t="str">
            <v>***PL SZYN.WP.4D LUZ OK15KG PJ CH EX</v>
          </cell>
        </row>
        <row r="1335">
          <cell r="C1335">
            <v>4015345</v>
          </cell>
          <cell r="D1335" t="str">
            <v>PL SZYN.4D MAX.21KGLUZ PJ POLM</v>
          </cell>
        </row>
        <row r="1336">
          <cell r="C1336">
            <v>3003288</v>
          </cell>
          <cell r="D1336" t="str">
            <v>***SZYN.4 D OK.15,00KG WOR PJ CH EŁ</v>
          </cell>
        </row>
        <row r="1337">
          <cell r="C1337">
            <v>3031571</v>
          </cell>
          <cell r="D1337" t="str">
            <v>SZYN.WP.4D ZAK</v>
          </cell>
        </row>
        <row r="1338">
          <cell r="C1338">
            <v>3031486</v>
          </cell>
          <cell r="D1338" t="str">
            <v>SZYN.WP.4D MR ZAK</v>
          </cell>
        </row>
        <row r="1339">
          <cell r="C1339">
            <v>3009124</v>
          </cell>
          <cell r="D1339" t="str">
            <v>PL SZYN.4D OK20KGWOR KT DMR</v>
          </cell>
        </row>
        <row r="1340">
          <cell r="C1340">
            <v>3014978</v>
          </cell>
          <cell r="D1340" t="str">
            <v>***PL SZYN.4D 1ST FOL OK20KG KT DMR</v>
          </cell>
        </row>
        <row r="1341">
          <cell r="C1341">
            <v>3009125</v>
          </cell>
          <cell r="D1341" t="str">
            <v>***PL SZYN.4D DMR KAUF</v>
          </cell>
        </row>
        <row r="1342">
          <cell r="C1342">
            <v>3011990</v>
          </cell>
          <cell r="D1342" t="str">
            <v>SZYN.4D OK15KGKT RO1</v>
          </cell>
        </row>
        <row r="1343">
          <cell r="C1343">
            <v>3020906</v>
          </cell>
          <cell r="D1343" t="str">
            <v>***SZYN.4D OK15KGKT RO2</v>
          </cell>
        </row>
        <row r="1344">
          <cell r="C1344">
            <v>3017375</v>
          </cell>
          <cell r="D1344" t="str">
            <v>***EU SZYN.4D OK15KG KT CH ST</v>
          </cell>
        </row>
        <row r="1345">
          <cell r="C1345">
            <v>4011844</v>
          </cell>
          <cell r="D1345" t="str">
            <v>***EU SZYN.B/K.LUZ OK15KG KT TIP</v>
          </cell>
        </row>
        <row r="1346">
          <cell r="C1346">
            <v>4012027</v>
          </cell>
          <cell r="D1346" t="str">
            <v>***EU SZYN.4D CH LUZ OK15KG KT EX</v>
          </cell>
        </row>
        <row r="1347">
          <cell r="C1347">
            <v>4012211</v>
          </cell>
          <cell r="D1347" t="str">
            <v>***EU SZYN.WP.4D WOR OK15KG PJ EC</v>
          </cell>
        </row>
        <row r="1348">
          <cell r="C1348">
            <v>4011770</v>
          </cell>
          <cell r="D1348" t="str">
            <v>***EU SZYN.4D OK15KG KT MR EX RU</v>
          </cell>
        </row>
        <row r="1349">
          <cell r="C1349">
            <v>4012127</v>
          </cell>
          <cell r="D1349" t="str">
            <v>***EU SZYN.4D 1ST FOL OK20KG KT MR</v>
          </cell>
        </row>
        <row r="1350">
          <cell r="C1350">
            <v>4013394</v>
          </cell>
          <cell r="D1350" t="str">
            <v>***EU SZYN.B/K.OK1KGMAPOK6KGKT AUCH</v>
          </cell>
        </row>
        <row r="1351">
          <cell r="C1351">
            <v>4011845</v>
          </cell>
          <cell r="D1351" t="str">
            <v>***EU SZYN.B/K.OK1KGVAC OK5KGKT TESC</v>
          </cell>
        </row>
        <row r="1352">
          <cell r="C1352">
            <v>4011777</v>
          </cell>
          <cell r="D1352" t="str">
            <v>***EU SZYN.4D VAC KT CH TESCO</v>
          </cell>
        </row>
        <row r="1353">
          <cell r="C1353">
            <v>4011847</v>
          </cell>
          <cell r="D1353" t="str">
            <v>***EU SZYN.B/K.VAC OK15KG KT</v>
          </cell>
        </row>
        <row r="1354">
          <cell r="C1354">
            <v>4011921</v>
          </cell>
          <cell r="D1354" t="str">
            <v>***EU SZYN.4D OK1KG VAC 6KG KT CH RU</v>
          </cell>
        </row>
        <row r="1355">
          <cell r="C1355">
            <v>4011982</v>
          </cell>
          <cell r="D1355" t="str">
            <v>***EU SZYN.B/K.OK1KGVAC OK5KGKT SK TESC</v>
          </cell>
        </row>
        <row r="1356">
          <cell r="C1356">
            <v>4012170</v>
          </cell>
          <cell r="D1356" t="str">
            <v>***EUSZYN.4D OK1KGVAC OK20KGKT CH CARR</v>
          </cell>
        </row>
        <row r="1357">
          <cell r="C1357">
            <v>4013697</v>
          </cell>
          <cell r="D1357" t="str">
            <v>***EU SZYN.WP.B/K.OK1KGVAC OK4.2KGKT MOR</v>
          </cell>
        </row>
        <row r="1358">
          <cell r="C1358">
            <v>4013883</v>
          </cell>
          <cell r="D1358" t="str">
            <v>***EU SZYN.WP.4D 1STVAC OK15KGPJ MOR</v>
          </cell>
        </row>
        <row r="1359">
          <cell r="C1359">
            <v>4011985</v>
          </cell>
          <cell r="D1359" t="str">
            <v>***EU SZYN.4D 1STVAC OK15KGKT SK</v>
          </cell>
        </row>
        <row r="1360">
          <cell r="C1360">
            <v>4012105</v>
          </cell>
          <cell r="D1360" t="str">
            <v>EU SZYN.4D 1STVAC OK15KGPJ ECS</v>
          </cell>
        </row>
        <row r="1361">
          <cell r="C1361">
            <v>4016685</v>
          </cell>
          <cell r="D1361" t="str">
            <v>EU SZYN.4D OK1.5KGVAC OK13KGKT KAUF</v>
          </cell>
        </row>
        <row r="1362">
          <cell r="C1362">
            <v>4012124</v>
          </cell>
          <cell r="D1362" t="str">
            <v>***EU SZYN.4D 1ST TRM OK20KT SFL</v>
          </cell>
        </row>
        <row r="1363">
          <cell r="C1363">
            <v>4012165</v>
          </cell>
          <cell r="D1363" t="str">
            <v>***EU SZYN.4D 1ST TRM OK20KG KT CARR</v>
          </cell>
        </row>
        <row r="1364">
          <cell r="C1364">
            <v>4011889</v>
          </cell>
          <cell r="D1364" t="str">
            <v>***EU SZYN.4D 1ST TRM OK20KG KJM RU</v>
          </cell>
        </row>
        <row r="1365">
          <cell r="C1365">
            <v>4011866</v>
          </cell>
          <cell r="D1365" t="str">
            <v>***EU SZYN.4D 1ST TRM OK20KG RU</v>
          </cell>
        </row>
        <row r="1366">
          <cell r="C1366">
            <v>4011457</v>
          </cell>
          <cell r="D1366" t="str">
            <v>***EU SZYN.4D 1STVAC OK15KGKT</v>
          </cell>
        </row>
        <row r="1367">
          <cell r="C1367">
            <v>4012169</v>
          </cell>
          <cell r="D1367" t="str">
            <v>***EU SZYN.4D 1STTRM OK6KGKT CARR</v>
          </cell>
        </row>
        <row r="1368">
          <cell r="C1368">
            <v>4029617</v>
          </cell>
          <cell r="D1368" t="str">
            <v>EU SZYN.4D 1STVAC OK15KGKT MET</v>
          </cell>
        </row>
        <row r="1369">
          <cell r="C1369">
            <v>4011800</v>
          </cell>
          <cell r="D1369" t="str">
            <v>***EU SZYN.OK1KG MAP 6KG KT LIDL</v>
          </cell>
        </row>
        <row r="1370">
          <cell r="C1370">
            <v>4011776</v>
          </cell>
          <cell r="D1370" t="str">
            <v>***EU SZYN.4D KT MR KAUF</v>
          </cell>
        </row>
        <row r="1371">
          <cell r="C1371">
            <v>4012891</v>
          </cell>
          <cell r="D1371" t="str">
            <v>***EU SZYN.WP.4D LUZ OK15KG PJ CH EX</v>
          </cell>
        </row>
        <row r="1372">
          <cell r="C1372">
            <v>4015346</v>
          </cell>
          <cell r="D1372" t="str">
            <v>***EU SZYN.4D PROMOCJA MAX.21KG PJ</v>
          </cell>
        </row>
        <row r="1373">
          <cell r="C1373">
            <v>3017442</v>
          </cell>
          <cell r="D1373" t="str">
            <v>***EU SZYN.4D DMR</v>
          </cell>
        </row>
        <row r="1374">
          <cell r="C1374">
            <v>3017640</v>
          </cell>
          <cell r="D1374" t="str">
            <v>***EU SZYN.4D 1ST FOL OK20KG KT DMR</v>
          </cell>
        </row>
        <row r="1375">
          <cell r="C1375">
            <v>3017443</v>
          </cell>
          <cell r="D1375" t="str">
            <v>***EU SZYN.4D DMR KAUF</v>
          </cell>
        </row>
        <row r="1376">
          <cell r="C1376">
            <v>3009238</v>
          </cell>
          <cell r="D1376" t="str">
            <v>***SZYN.4D UŚR PL</v>
          </cell>
        </row>
        <row r="1377">
          <cell r="C1377">
            <v>3047473</v>
          </cell>
          <cell r="D1377" t="str">
            <v>PL SZYN.4D OK20KGWOR PJ GAP ST</v>
          </cell>
        </row>
        <row r="1378">
          <cell r="C1378">
            <v>3018914</v>
          </cell>
          <cell r="D1378" t="str">
            <v>PL SZYNKA WP.B/K.CH KAUF</v>
          </cell>
        </row>
        <row r="1379">
          <cell r="C1379">
            <v>3024865</v>
          </cell>
          <cell r="D1379" t="str">
            <v>PL SZYN.WP.B/K.PBX CH KAUF1</v>
          </cell>
        </row>
        <row r="1380">
          <cell r="C1380">
            <v>4015666</v>
          </cell>
          <cell r="D1380" t="str">
            <v>***PL SZYN.WP.B/K.CIĘ.LUZ KT KAUF</v>
          </cell>
        </row>
        <row r="1381">
          <cell r="C1381">
            <v>4013177</v>
          </cell>
          <cell r="D1381" t="str">
            <v>PL SZYN.B/K.CIĘ.2STMAP 2STKT KAUF</v>
          </cell>
        </row>
        <row r="1382">
          <cell r="C1382">
            <v>4014873</v>
          </cell>
          <cell r="D1382" t="str">
            <v>***PLSZYN.WP.B/K.OK1.3KGVACOK15.6KGKTKAU</v>
          </cell>
        </row>
        <row r="1383">
          <cell r="C1383">
            <v>4020348</v>
          </cell>
          <cell r="D1383" t="str">
            <v>PL SZYN.WP.B/K.CIĘ.OK6KGVACOK20KGKT KAUF</v>
          </cell>
        </row>
        <row r="1384">
          <cell r="C1384">
            <v>4022176</v>
          </cell>
          <cell r="D1384" t="str">
            <v>PL SZYN.B/K.CIĘ.2STVAC 2STKT KAUF</v>
          </cell>
        </row>
        <row r="1385">
          <cell r="C1385">
            <v>4024615</v>
          </cell>
          <cell r="D1385" t="str">
            <v>PL SZYN.B/K/S/GOL/PÓŁBŁ.1STVAC 2STKT</v>
          </cell>
        </row>
        <row r="1386">
          <cell r="C1386">
            <v>4025012</v>
          </cell>
          <cell r="D1386" t="str">
            <v>PL SZYN.B/K/S/G/PÓŁBŁ.1STVAC MAX20KGPJ</v>
          </cell>
        </row>
        <row r="1387">
          <cell r="C1387">
            <v>4027467</v>
          </cell>
          <cell r="D1387" t="str">
            <v>PL SZYN.B/K/S/G/PÓŁBŁ.1STVACOK12KGKT SEL</v>
          </cell>
        </row>
        <row r="1388">
          <cell r="C1388">
            <v>4025608</v>
          </cell>
          <cell r="D1388" t="str">
            <v>PL SZYN.B/K/S/G/PÓŁBŁ.OK15KGLUZ PJ AGRO</v>
          </cell>
        </row>
        <row r="1389">
          <cell r="C1389">
            <v>3032391</v>
          </cell>
          <cell r="D1389" t="str">
            <v>***PL SZYN.WP.B/K.CIĘ.2STMAP BL KAUF</v>
          </cell>
        </row>
        <row r="1390">
          <cell r="C1390">
            <v>3025125</v>
          </cell>
          <cell r="D1390" t="str">
            <v>PL SZYN.WP.B/K.PBX CH KAUF2</v>
          </cell>
        </row>
        <row r="1391">
          <cell r="C1391">
            <v>3018915</v>
          </cell>
          <cell r="D1391" t="str">
            <v>EU SZYNKA WP.B/K.KAUF</v>
          </cell>
        </row>
        <row r="1392">
          <cell r="C1392">
            <v>3024866</v>
          </cell>
          <cell r="D1392" t="str">
            <v>***EU SZYN.WP.B/K.PBX CH KAUF1</v>
          </cell>
        </row>
        <row r="1393">
          <cell r="C1393">
            <v>4013178</v>
          </cell>
          <cell r="D1393" t="str">
            <v>***EU SZYN.WP.B/K.CIĘ.2STMAP 2STKT KAUF</v>
          </cell>
        </row>
        <row r="1394">
          <cell r="C1394">
            <v>4014874</v>
          </cell>
          <cell r="D1394" t="str">
            <v>***EUSZYN.WP.B/K.OK1.3KGVACOK15.6KGKTKAU</v>
          </cell>
        </row>
        <row r="1395">
          <cell r="C1395">
            <v>4020349</v>
          </cell>
          <cell r="D1395" t="str">
            <v>***EUSZYNWP.B/K.CIĘ.OK6KGVACOK20KGKTKAUF</v>
          </cell>
        </row>
        <row r="1396">
          <cell r="C1396">
            <v>3025126</v>
          </cell>
          <cell r="D1396" t="str">
            <v>***EU SZYN.WP.B/K.PBX CH KAUF2</v>
          </cell>
        </row>
        <row r="1397">
          <cell r="C1397">
            <v>3015906</v>
          </cell>
          <cell r="D1397" t="str">
            <v>PL MŚ.BRZUCH.CH1</v>
          </cell>
        </row>
        <row r="1398">
          <cell r="C1398">
            <v>3024867</v>
          </cell>
          <cell r="D1398" t="str">
            <v>PL MŚ.BRZUCH.PBX1</v>
          </cell>
        </row>
        <row r="1399">
          <cell r="C1399">
            <v>3011314</v>
          </cell>
          <cell r="D1399" t="str">
            <v>PL MŚ.BRZUCH.OK20KG NB MR ST</v>
          </cell>
        </row>
        <row r="1400">
          <cell r="C1400">
            <v>4009071</v>
          </cell>
          <cell r="D1400" t="str">
            <v>***PL M-SO OD SZYNKI LUZ OK15KG KT HURT</v>
          </cell>
        </row>
        <row r="1401">
          <cell r="C1401">
            <v>4009094</v>
          </cell>
          <cell r="D1401" t="str">
            <v>***PL M-SOODSZYNKI OK2.5KG VAC OK15KG KT</v>
          </cell>
        </row>
        <row r="1402">
          <cell r="C1402">
            <v>3010616</v>
          </cell>
          <cell r="D1402" t="str">
            <v>PL MŚ.BRZUCH.OK15KGLUZ PJ ST</v>
          </cell>
        </row>
        <row r="1403">
          <cell r="C1403">
            <v>4009610</v>
          </cell>
          <cell r="D1403" t="str">
            <v>***PL MŚ.BRZUCH.LUZ PJ HILT</v>
          </cell>
        </row>
        <row r="1404">
          <cell r="C1404">
            <v>3010617</v>
          </cell>
          <cell r="D1404" t="str">
            <v>***MŚ.BRZUCH.N/OBR.OKT LUZ ST</v>
          </cell>
        </row>
        <row r="1405">
          <cell r="C1405">
            <v>3012328</v>
          </cell>
          <cell r="D1405" t="str">
            <v>PL MŚ.BRZUCH.PBX ST</v>
          </cell>
        </row>
        <row r="1406">
          <cell r="C1406">
            <v>3011317</v>
          </cell>
          <cell r="D1406" t="str">
            <v>PL MŚ.BRZUCH.OK20KG NB DMR</v>
          </cell>
        </row>
        <row r="1407">
          <cell r="C1407">
            <v>3018250</v>
          </cell>
          <cell r="D1407" t="str">
            <v>MŚ.BRZUCH.RO1</v>
          </cell>
        </row>
        <row r="1408">
          <cell r="C1408">
            <v>3020221</v>
          </cell>
          <cell r="D1408" t="str">
            <v>PL MŚ.BRZUCH.CH2</v>
          </cell>
        </row>
        <row r="1409">
          <cell r="C1409">
            <v>3025127</v>
          </cell>
          <cell r="D1409" t="str">
            <v>PL MŚ.BRZUCH.PBX2</v>
          </cell>
        </row>
        <row r="1410">
          <cell r="C1410">
            <v>3020222</v>
          </cell>
          <cell r="D1410" t="str">
            <v>MŚ.BRZUCH.RO2</v>
          </cell>
        </row>
        <row r="1411">
          <cell r="C1411">
            <v>3017738</v>
          </cell>
          <cell r="D1411" t="str">
            <v>EU MŚ.BRZUCH.CH1</v>
          </cell>
        </row>
        <row r="1412">
          <cell r="C1412">
            <v>3024868</v>
          </cell>
          <cell r="D1412" t="str">
            <v>EU MŚ.BRZUCH.PBX1</v>
          </cell>
        </row>
        <row r="1413">
          <cell r="C1413">
            <v>3044720</v>
          </cell>
          <cell r="D1413" t="str">
            <v>EU MŚ.BRZUCH.OK20KG NB MR ST</v>
          </cell>
        </row>
        <row r="1414">
          <cell r="C1414">
            <v>4011881</v>
          </cell>
          <cell r="D1414" t="str">
            <v>***EU M-SO OD SZYNKI LUZ OK15KG KT HURT</v>
          </cell>
        </row>
        <row r="1415">
          <cell r="C1415">
            <v>4011883</v>
          </cell>
          <cell r="D1415" t="str">
            <v>***EU M-SOODSZYNKIOK2.5KG VAC OK15KG KT</v>
          </cell>
        </row>
        <row r="1416">
          <cell r="C1416">
            <v>4011952</v>
          </cell>
          <cell r="D1416" t="str">
            <v>***EU MŚ.BRZUCH.LUZ PJ HILT</v>
          </cell>
        </row>
        <row r="1417">
          <cell r="C1417">
            <v>3017473</v>
          </cell>
          <cell r="D1417" t="str">
            <v>EU MŚ.BRZUCH.OK20KG NB DMR</v>
          </cell>
        </row>
        <row r="1418">
          <cell r="C1418">
            <v>3044721</v>
          </cell>
          <cell r="D1418" t="str">
            <v>EU MŚ.BRZUCH.RO1</v>
          </cell>
        </row>
        <row r="1419">
          <cell r="C1419">
            <v>3020223</v>
          </cell>
          <cell r="D1419" t="str">
            <v>EU MŚ.BRZUCH.CH2</v>
          </cell>
        </row>
        <row r="1420">
          <cell r="C1420">
            <v>3025128</v>
          </cell>
          <cell r="D1420" t="str">
            <v>EU MŚ.BRZUCH.PBX2</v>
          </cell>
        </row>
        <row r="1421">
          <cell r="C1421">
            <v>3044730</v>
          </cell>
          <cell r="D1421" t="str">
            <v>EU MŚ.BRZUCH.RO2</v>
          </cell>
        </row>
        <row r="1422">
          <cell r="C1422">
            <v>3010035</v>
          </cell>
          <cell r="D1422" t="str">
            <v>M-Ń BRZUCHATY NIEOB. USR</v>
          </cell>
        </row>
        <row r="1423">
          <cell r="C1423">
            <v>3035906</v>
          </cell>
          <cell r="D1423" t="str">
            <v>PP MŚ.BRZUCH.CH</v>
          </cell>
        </row>
        <row r="1424">
          <cell r="C1424">
            <v>3037640</v>
          </cell>
          <cell r="D1424" t="str">
            <v>PP MŚ.BRZUCH.PBX ST1</v>
          </cell>
        </row>
        <row r="1425">
          <cell r="C1425">
            <v>3039357</v>
          </cell>
          <cell r="D1425" t="str">
            <v>PP MŚ.BRZUCH.OK20KG NB MR ST</v>
          </cell>
        </row>
        <row r="1426">
          <cell r="C1426">
            <v>3035872</v>
          </cell>
          <cell r="D1426" t="str">
            <v>PP MŚ.BRZUCH.OK15KGLUZ PJ ST</v>
          </cell>
        </row>
        <row r="1427">
          <cell r="C1427">
            <v>3039356</v>
          </cell>
          <cell r="D1427" t="str">
            <v>PP MŚ.BRZUCH.OK20KG NB DMR</v>
          </cell>
        </row>
        <row r="1428">
          <cell r="C1428">
            <v>3039358</v>
          </cell>
          <cell r="D1428" t="str">
            <v>PP MŚ.BRZUCH.RO1</v>
          </cell>
        </row>
        <row r="1429">
          <cell r="C1429">
            <v>3037784</v>
          </cell>
          <cell r="D1429" t="str">
            <v>PP MŚ.BRZUCH.PBX ST2</v>
          </cell>
        </row>
        <row r="1430">
          <cell r="C1430">
            <v>3039385</v>
          </cell>
          <cell r="D1430" t="str">
            <v>PP MŚ.BRZUCH.RO2</v>
          </cell>
        </row>
        <row r="1431">
          <cell r="C1431">
            <v>3029649</v>
          </cell>
          <cell r="D1431" t="str">
            <v>PL MŚ.BRZUCH.ROZP1</v>
          </cell>
        </row>
        <row r="1432">
          <cell r="C1432">
            <v>3029639</v>
          </cell>
          <cell r="D1432" t="str">
            <v>PL MŚ.BRZUCH.ROZP2</v>
          </cell>
        </row>
        <row r="1433">
          <cell r="C1433">
            <v>3007509</v>
          </cell>
          <cell r="D1433" t="str">
            <v>***M-Ń SZYN.ODBŁ.JASNE UŚR</v>
          </cell>
        </row>
        <row r="1434">
          <cell r="C1434">
            <v>3007510</v>
          </cell>
          <cell r="D1434" t="str">
            <v>***MŚ.SZYN.ODBŁ.JAS.NB MR ST</v>
          </cell>
        </row>
        <row r="1435">
          <cell r="C1435">
            <v>3000082</v>
          </cell>
          <cell r="D1435" t="str">
            <v>***MŚ.WP.SZYNK.SOG M.JASNEKL.SEURPB MRST</v>
          </cell>
        </row>
        <row r="1436">
          <cell r="C1436">
            <v>3012574</v>
          </cell>
          <cell r="D1436" t="str">
            <v>PL MŚ.SZYN.ODBŁ.JAS.OK20KG NB MR ST</v>
          </cell>
        </row>
        <row r="1437">
          <cell r="C1437">
            <v>3018205</v>
          </cell>
          <cell r="D1437" t="str">
            <v>***MŚ.SZYN.ODBŁ.JAS.OK20KGLUZ PJ ST</v>
          </cell>
        </row>
        <row r="1438">
          <cell r="C1438">
            <v>3037011</v>
          </cell>
          <cell r="D1438" t="str">
            <v>MŚ.SZYN.ODBŁ.JAS.OK20KGWOR PJ ST</v>
          </cell>
        </row>
        <row r="1439">
          <cell r="C1439">
            <v>3012573</v>
          </cell>
          <cell r="D1439" t="str">
            <v>MŚ.SZYN.ODBŁ.JAS.OK20KGLUZ PJ ST</v>
          </cell>
        </row>
        <row r="1440">
          <cell r="C1440">
            <v>3000076</v>
          </cell>
          <cell r="D1440" t="str">
            <v>***MŚ.SZYN.ODBŁ.JASNE15KG WR PJ CHMORLEŁ</v>
          </cell>
        </row>
        <row r="1441">
          <cell r="C1441">
            <v>3000078</v>
          </cell>
          <cell r="D1441" t="str">
            <v>***MŃ SZYN.ODBŁ.JASNEOK15KG WR MR MORLEŁ</v>
          </cell>
        </row>
        <row r="1442">
          <cell r="C1442">
            <v>3033304</v>
          </cell>
          <cell r="D1442" t="str">
            <v>***MŚ.SZYN.ODBŁ.JAS.OK500KGPBX MR K4 ZAK</v>
          </cell>
        </row>
        <row r="1443">
          <cell r="C1443">
            <v>3014720</v>
          </cell>
          <cell r="D1443" t="str">
            <v>PL MŚ.SZYN.ODBŁ.OK20KGVAC MR EŁ</v>
          </cell>
        </row>
        <row r="1444">
          <cell r="C1444">
            <v>3012653</v>
          </cell>
          <cell r="D1444" t="str">
            <v>PL MŚ.SZYN.ODBŁ.JAS.15KGWOR PJ MOR EŁ1</v>
          </cell>
        </row>
        <row r="1445">
          <cell r="C1445">
            <v>3012655</v>
          </cell>
          <cell r="D1445" t="str">
            <v>PL MŚ.SZYN.ODBŁ.JAS.OK15KG PB MR MOR EŁ</v>
          </cell>
        </row>
        <row r="1446">
          <cell r="C1446">
            <v>3007512</v>
          </cell>
          <cell r="D1446" t="str">
            <v>***MŚ.SZYN.ODBŁ.JAS.NB DMR</v>
          </cell>
        </row>
        <row r="1447">
          <cell r="C1447">
            <v>3007513</v>
          </cell>
          <cell r="D1447" t="str">
            <v>***PL MŚ.SZYN.ODBŁ.JAS.PB DMR</v>
          </cell>
        </row>
        <row r="1448">
          <cell r="C1448">
            <v>3013559</v>
          </cell>
          <cell r="D1448" t="str">
            <v>PL MŚ.SZYN.ODBŁ.JAS.OK20KG NB DMR</v>
          </cell>
        </row>
        <row r="1449">
          <cell r="C1449">
            <v>3007514</v>
          </cell>
          <cell r="D1449" t="str">
            <v>***MŚ.SZYN.ODBŁ.JAS.NB RO1</v>
          </cell>
        </row>
        <row r="1450">
          <cell r="C1450">
            <v>3012003</v>
          </cell>
          <cell r="D1450" t="str">
            <v>***M-Ń WP.SZYN.SOG JASNE KL.SEUR PB RO</v>
          </cell>
        </row>
        <row r="1451">
          <cell r="C1451">
            <v>3013556</v>
          </cell>
          <cell r="D1451" t="str">
            <v>***MŚ.SZYN.ODBŁ.JAS.RO1</v>
          </cell>
        </row>
        <row r="1452">
          <cell r="C1452">
            <v>3023525</v>
          </cell>
          <cell r="D1452" t="str">
            <v>***MŚ.SZYN.ODBŁ.JAS.NB RO2</v>
          </cell>
        </row>
        <row r="1453">
          <cell r="C1453">
            <v>3020224</v>
          </cell>
          <cell r="D1453" t="str">
            <v>***MŚ.SZYN.SOG JAS.PB RO2</v>
          </cell>
        </row>
        <row r="1454">
          <cell r="C1454">
            <v>3044612</v>
          </cell>
          <cell r="D1454" t="str">
            <v>EU MŚ.SZYN.ODBŁ.JAS.OK20KG NB MR ST</v>
          </cell>
        </row>
        <row r="1455">
          <cell r="C1455">
            <v>3041885</v>
          </cell>
          <cell r="D1455" t="str">
            <v>EU MŚ.SZYN.ODBŁ.JAS.OK20KGLUZ PJ ST</v>
          </cell>
        </row>
        <row r="1456">
          <cell r="C1456">
            <v>3017376</v>
          </cell>
          <cell r="D1456" t="str">
            <v>***EU MŚ.SZYN.ODBŁ.JAS.PB DMR</v>
          </cell>
        </row>
        <row r="1457">
          <cell r="C1457">
            <v>3035730</v>
          </cell>
          <cell r="D1457" t="str">
            <v>EU MŚ.SZYN.ODBŁ.JAS.OK20KG NB DMR</v>
          </cell>
        </row>
        <row r="1458">
          <cell r="C1458">
            <v>3040937</v>
          </cell>
          <cell r="D1458" t="str">
            <v>PP MŚ.SZYN.ODBŁ.JAS.OK20KG NB MR ST</v>
          </cell>
        </row>
        <row r="1459">
          <cell r="C1459">
            <v>3039533</v>
          </cell>
          <cell r="D1459" t="str">
            <v>PP MŚ.SZYN.ODBŁ.JAS.OK15KGWOR PJ ST</v>
          </cell>
        </row>
        <row r="1460">
          <cell r="C1460">
            <v>3039212</v>
          </cell>
          <cell r="D1460" t="str">
            <v>PP MŚ.SZYN.ODBŁ.JAS.OK15KG NB DMR</v>
          </cell>
        </row>
        <row r="1461">
          <cell r="C1461">
            <v>3040938</v>
          </cell>
          <cell r="D1461" t="str">
            <v>PP MŚ.SZYN.ODBŁ.JAS.RO1</v>
          </cell>
        </row>
        <row r="1462">
          <cell r="C1462">
            <v>3040980</v>
          </cell>
          <cell r="D1462" t="str">
            <v>PP MŚ.SZYN.ODBŁ.JAS.RO2</v>
          </cell>
        </row>
        <row r="1463">
          <cell r="C1463">
            <v>3009636</v>
          </cell>
          <cell r="D1463" t="str">
            <v>***M-Ń SZYN.ODBŁ.JASNE BLOK USR</v>
          </cell>
        </row>
        <row r="1464">
          <cell r="C1464">
            <v>3009649</v>
          </cell>
          <cell r="D1464" t="str">
            <v>***MŚ.SZYN.ODBŁ.JAS.BLOK NB MR</v>
          </cell>
        </row>
        <row r="1465">
          <cell r="C1465">
            <v>3009646</v>
          </cell>
          <cell r="D1465" t="str">
            <v>***MŚ.SZYN.ODBŁ.JAS.BLOK NB DMR</v>
          </cell>
        </row>
        <row r="1466">
          <cell r="C1466">
            <v>3009645</v>
          </cell>
          <cell r="D1466" t="str">
            <v>***MŚ.SZYN.ODBŁ.JAS.BLOK NB RO1</v>
          </cell>
        </row>
        <row r="1467">
          <cell r="C1467">
            <v>3020225</v>
          </cell>
          <cell r="D1467" t="str">
            <v>***MŚ.SZYN.ODBŁ.JAS.BLOK NB RO2</v>
          </cell>
        </row>
        <row r="1468">
          <cell r="C1468">
            <v>3024471</v>
          </cell>
          <cell r="D1468" t="str">
            <v>PL MŚ.SZYN.ODBŁ.PÓŁBŁ.JAS.CH</v>
          </cell>
        </row>
        <row r="1469">
          <cell r="C1469">
            <v>3025991</v>
          </cell>
          <cell r="D1469" t="str">
            <v>PL MŚ.SZYN.ODBŁ.JAS.PBX ST</v>
          </cell>
        </row>
        <row r="1470">
          <cell r="C1470">
            <v>3041477</v>
          </cell>
          <cell r="D1470" t="str">
            <v>PL MŚ.SZYN.ODBŁ.JAS.OK20KGLUZ PJ ST</v>
          </cell>
        </row>
        <row r="1471">
          <cell r="C1471">
            <v>4029576</v>
          </cell>
          <cell r="D1471" t="str">
            <v>PL MŚ.SZYN.ODBŁ.PÓŁBŁ.JAS.OK20KGLPJ AGRO</v>
          </cell>
        </row>
        <row r="1472">
          <cell r="C1472">
            <v>3036996</v>
          </cell>
          <cell r="D1472" t="str">
            <v>***PL MŚ.SZYN.ODBŁ.JAS.PBX ST</v>
          </cell>
        </row>
        <row r="1473">
          <cell r="C1473">
            <v>3024470</v>
          </cell>
          <cell r="D1473" t="str">
            <v>EU MŚ.SZYN.ODBŁ.JAS.CH</v>
          </cell>
        </row>
        <row r="1474">
          <cell r="C1474">
            <v>3044741</v>
          </cell>
          <cell r="D1474" t="str">
            <v>EU MŚ.SZYN.ODBŁ.JAS.PBX ST</v>
          </cell>
        </row>
        <row r="1475">
          <cell r="C1475">
            <v>3039297</v>
          </cell>
          <cell r="D1475" t="str">
            <v>PP MŚ.SZYN.ODBŁ.PÓŁBŁ.JAS.CH</v>
          </cell>
        </row>
        <row r="1476">
          <cell r="C1476">
            <v>3039298</v>
          </cell>
          <cell r="D1476" t="str">
            <v>PP MŚ.SZYN.ODBŁ.PÓŁBŁ.JAS.PBX ST1</v>
          </cell>
        </row>
        <row r="1477">
          <cell r="C1477">
            <v>3041478</v>
          </cell>
          <cell r="D1477" t="str">
            <v>PP MŚ.SZYN.ODBŁ.OK20KGLUZ PJ ST</v>
          </cell>
        </row>
        <row r="1478">
          <cell r="C1478">
            <v>3039361</v>
          </cell>
          <cell r="D1478" t="str">
            <v>PP MŚ.SZYN.ODBŁ.PÓŁBŁ.JAS.PBX ST2</v>
          </cell>
        </row>
        <row r="1479">
          <cell r="C1479">
            <v>3027518</v>
          </cell>
          <cell r="D1479" t="str">
            <v>PL MŚ.SZYN.ODBŁ.PÓŁBŁ.JAS.ROZP1</v>
          </cell>
        </row>
        <row r="1480">
          <cell r="C1480">
            <v>3027520</v>
          </cell>
          <cell r="D1480" t="str">
            <v>PL MŚ.SZYN.ODBŁ.PÓŁBŁ.JAS.ROZP2</v>
          </cell>
        </row>
        <row r="1481">
          <cell r="C1481">
            <v>3008796</v>
          </cell>
          <cell r="D1481" t="str">
            <v>***ELEM.SZYN.FRANCJA CH</v>
          </cell>
        </row>
        <row r="1482">
          <cell r="C1482">
            <v>3013609</v>
          </cell>
          <cell r="D1482" t="str">
            <v>PL SZYN.Z/K/SK/NG/CZ.POL.CH</v>
          </cell>
        </row>
        <row r="1483">
          <cell r="C1483">
            <v>3022900</v>
          </cell>
          <cell r="D1483" t="str">
            <v>SZYN.Z/K/SK/NG/CZ.POL.LUZ OKT MR</v>
          </cell>
        </row>
        <row r="1484">
          <cell r="C1484">
            <v>3022901</v>
          </cell>
          <cell r="D1484" t="str">
            <v>PL SZYN.Z/NG/P/S.OK500KG OKT DMR</v>
          </cell>
        </row>
        <row r="1485">
          <cell r="C1485">
            <v>3022859</v>
          </cell>
          <cell r="D1485" t="str">
            <v>SZYN.Z/K/SK/NG/CZ.POL.LUZ OKT RO</v>
          </cell>
        </row>
        <row r="1486">
          <cell r="C1486">
            <v>3017562</v>
          </cell>
          <cell r="D1486" t="str">
            <v>EU SZYN.Z/K/SK/NG/CZ.POL.CH</v>
          </cell>
        </row>
        <row r="1487">
          <cell r="C1487">
            <v>3031754</v>
          </cell>
          <cell r="D1487" t="str">
            <v>PL SZYN.Z/K/G.B/NG.HAMBURGO</v>
          </cell>
        </row>
        <row r="1488">
          <cell r="C1488">
            <v>4024059</v>
          </cell>
          <cell r="D1488" t="str">
            <v>PL SZYN.Z/K/G.B/NG.HAMBURGO CHOIN.EX</v>
          </cell>
        </row>
        <row r="1489">
          <cell r="C1489">
            <v>3015905</v>
          </cell>
          <cell r="D1489" t="str">
            <v>PL MŚ.GOL.SZYN.CH1</v>
          </cell>
        </row>
        <row r="1490">
          <cell r="C1490">
            <v>3007515</v>
          </cell>
          <cell r="D1490" t="str">
            <v>***MŚ.Z GOLONKI NB MR ST</v>
          </cell>
        </row>
        <row r="1491">
          <cell r="C1491">
            <v>3024869</v>
          </cell>
          <cell r="D1491" t="str">
            <v>MŚ.GOL.SZYN.PBX ST1</v>
          </cell>
        </row>
        <row r="1492">
          <cell r="C1492">
            <v>3012605</v>
          </cell>
          <cell r="D1492" t="str">
            <v>MŚ.GOL.SZYN.OK20KG NB MR ST</v>
          </cell>
        </row>
        <row r="1493">
          <cell r="C1493">
            <v>3008632</v>
          </cell>
          <cell r="D1493" t="str">
            <v>***MŚ.GOLONKOWY PB MR ST</v>
          </cell>
        </row>
        <row r="1494">
          <cell r="C1494">
            <v>3007516</v>
          </cell>
          <cell r="D1494" t="str">
            <v>MŚ.GOL.SZYN.OK20KGWOR PJ ST</v>
          </cell>
        </row>
        <row r="1495">
          <cell r="C1495">
            <v>3012595</v>
          </cell>
          <cell r="D1495" t="str">
            <v>***MŚ.GOLONKOWY OK15KG WOR PJ CH ST</v>
          </cell>
        </row>
        <row r="1496">
          <cell r="C1496">
            <v>3009723</v>
          </cell>
          <cell r="D1496" t="str">
            <v>PL MŚ.GOL.SZYN.OK500KG OKT ST</v>
          </cell>
        </row>
        <row r="1497">
          <cell r="C1497">
            <v>3012327</v>
          </cell>
          <cell r="D1497" t="str">
            <v>***MŚ.GOL.Z SZYN.PBX ST</v>
          </cell>
        </row>
        <row r="1498">
          <cell r="C1498">
            <v>3002576</v>
          </cell>
          <cell r="D1498" t="str">
            <v>MŚ.GOL.SZYN.PBX ST</v>
          </cell>
        </row>
        <row r="1499">
          <cell r="C1499">
            <v>3009126</v>
          </cell>
          <cell r="D1499" t="str">
            <v>PL MŚ.GOLON.DMR</v>
          </cell>
        </row>
        <row r="1500">
          <cell r="C1500">
            <v>3013590</v>
          </cell>
          <cell r="D1500" t="str">
            <v>PL MŚ.GOL.SZYN.OK20KG NB DMR</v>
          </cell>
        </row>
        <row r="1501">
          <cell r="C1501">
            <v>3007517</v>
          </cell>
          <cell r="D1501" t="str">
            <v>***M-Ń Z GOL PB DMR</v>
          </cell>
        </row>
        <row r="1502">
          <cell r="C1502">
            <v>3012155</v>
          </cell>
          <cell r="D1502" t="str">
            <v>***MŚ.WP. Z/GOLONKI NB RO</v>
          </cell>
        </row>
        <row r="1503">
          <cell r="C1503">
            <v>3013420</v>
          </cell>
          <cell r="D1503" t="str">
            <v>MŚ.GOL.SZYN.RO1</v>
          </cell>
        </row>
        <row r="1504">
          <cell r="C1504">
            <v>3007518</v>
          </cell>
          <cell r="D1504" t="str">
            <v>***M-Ń Z GOL PB RO</v>
          </cell>
        </row>
        <row r="1505">
          <cell r="C1505">
            <v>3020226</v>
          </cell>
          <cell r="D1505" t="str">
            <v>PL MŚ.GOL.SZYN.CH2</v>
          </cell>
        </row>
        <row r="1506">
          <cell r="C1506">
            <v>3025129</v>
          </cell>
          <cell r="D1506" t="str">
            <v>MŚ.GOL.SZYN.PBX ST2</v>
          </cell>
        </row>
        <row r="1507">
          <cell r="C1507">
            <v>3047217</v>
          </cell>
          <cell r="D1507" t="str">
            <v>MŚ.GOL.SZYN.RO2</v>
          </cell>
        </row>
        <row r="1508">
          <cell r="C1508">
            <v>3017736</v>
          </cell>
          <cell r="D1508" t="str">
            <v>EU MŚ.GOL.SZYN.CH</v>
          </cell>
        </row>
        <row r="1509">
          <cell r="C1509">
            <v>3024870</v>
          </cell>
          <cell r="D1509" t="str">
            <v>EU MŚ.GOL.SZYN.PBX1</v>
          </cell>
        </row>
        <row r="1510">
          <cell r="C1510">
            <v>3044719</v>
          </cell>
          <cell r="D1510" t="str">
            <v>EU MŚ.GOL.SZYN.OK20KG NB MR ST</v>
          </cell>
        </row>
        <row r="1511">
          <cell r="C1511">
            <v>3017454</v>
          </cell>
          <cell r="D1511" t="str">
            <v>***EU MŚ.GOLON.OKT CH ST</v>
          </cell>
        </row>
        <row r="1512">
          <cell r="C1512">
            <v>3017444</v>
          </cell>
          <cell r="D1512" t="str">
            <v>***EU MŚ.GOLON.DMR</v>
          </cell>
        </row>
        <row r="1513">
          <cell r="C1513">
            <v>3017561</v>
          </cell>
          <cell r="D1513" t="str">
            <v>EU MŚ.GOL.SZYN.OK20KG NB DMR</v>
          </cell>
        </row>
        <row r="1514">
          <cell r="C1514">
            <v>3025130</v>
          </cell>
          <cell r="D1514" t="str">
            <v>EU MŚ.GOL.SZYN.PBX2</v>
          </cell>
        </row>
        <row r="1515">
          <cell r="C1515">
            <v>3015036</v>
          </cell>
          <cell r="D1515" t="str">
            <v>MIĘSIEŃ GOLONKOWY USR CH</v>
          </cell>
        </row>
        <row r="1516">
          <cell r="C1516">
            <v>3035826</v>
          </cell>
          <cell r="D1516" t="str">
            <v>PP MŚ.GOL.SZYN.CH</v>
          </cell>
        </row>
        <row r="1517">
          <cell r="C1517">
            <v>3040904</v>
          </cell>
          <cell r="D1517" t="str">
            <v>PP MŚ.GOL.SZYN.OK20KG PB MR ST</v>
          </cell>
        </row>
        <row r="1518">
          <cell r="C1518">
            <v>3036052</v>
          </cell>
          <cell r="D1518" t="str">
            <v>PP MŚ.GOL.SZYN.OK20KGLUZ PJ ST</v>
          </cell>
        </row>
        <row r="1519">
          <cell r="C1519">
            <v>3039429</v>
          </cell>
          <cell r="D1519" t="str">
            <v>PP MŚ.GOL.SZYN.OK500KG OKT ST</v>
          </cell>
        </row>
        <row r="1520">
          <cell r="C1520">
            <v>3038790</v>
          </cell>
          <cell r="D1520" t="str">
            <v>PP MŚ.GOL.SZYN.PBX ST</v>
          </cell>
        </row>
        <row r="1521">
          <cell r="C1521">
            <v>3036209</v>
          </cell>
          <cell r="D1521" t="str">
            <v>PP MŚ.GOL.SZYN.OK20KG PB DMR</v>
          </cell>
        </row>
        <row r="1522">
          <cell r="C1522">
            <v>3040998</v>
          </cell>
          <cell r="D1522" t="str">
            <v>PP MŚ.GOL.SZYN.RO1</v>
          </cell>
        </row>
        <row r="1523">
          <cell r="C1523">
            <v>3041014</v>
          </cell>
          <cell r="D1523" t="str">
            <v>PP MŚ.GOL.SZYN.RO2</v>
          </cell>
        </row>
        <row r="1524">
          <cell r="C1524">
            <v>3027010</v>
          </cell>
          <cell r="D1524" t="str">
            <v>MŚ.GOL.SZYN.ROZP1</v>
          </cell>
        </row>
        <row r="1525">
          <cell r="C1525">
            <v>3027380</v>
          </cell>
          <cell r="D1525" t="str">
            <v>MŚ.GOL.SZYN.ROZP2</v>
          </cell>
        </row>
        <row r="1526">
          <cell r="C1526">
            <v>3007519</v>
          </cell>
          <cell r="D1526" t="str">
            <v>MŚ.SZYN.ODBŁ.CIE.CH</v>
          </cell>
        </row>
        <row r="1527">
          <cell r="C1527">
            <v>3007520</v>
          </cell>
          <cell r="D1527" t="str">
            <v>***M-Ń SZYN.ODBŁ.CIEMNE NB MR ST</v>
          </cell>
        </row>
        <row r="1528">
          <cell r="C1528">
            <v>3012596</v>
          </cell>
          <cell r="D1528" t="str">
            <v>PL MŚ.SZYN.ODBŁ.CIE.OK20KG NB MR ST</v>
          </cell>
        </row>
        <row r="1529">
          <cell r="C1529">
            <v>3002623</v>
          </cell>
          <cell r="D1529" t="str">
            <v>***MŚ.WP.CIEMNE LUZ MR ST</v>
          </cell>
        </row>
        <row r="1530">
          <cell r="C1530">
            <v>4009093</v>
          </cell>
          <cell r="D1530" t="str">
            <v>***PL M-SOWP.GULASZ EXOK2.5KGVACOK15KGKT</v>
          </cell>
        </row>
        <row r="1531">
          <cell r="C1531">
            <v>3007521</v>
          </cell>
          <cell r="D1531" t="str">
            <v>***MŚ.WP.SZYNK.SOG M.CIEMNE SEUR PJ CHST</v>
          </cell>
        </row>
        <row r="1532">
          <cell r="C1532">
            <v>3012597</v>
          </cell>
          <cell r="D1532" t="str">
            <v>***PL MŚ.SZYN.ODBŁ.CIE.OK15KGWOR PJ ST</v>
          </cell>
        </row>
        <row r="1533">
          <cell r="C1533">
            <v>3016181</v>
          </cell>
          <cell r="D1533" t="str">
            <v>PL MŚ.SZYN.ODBŁ.CIE.OK20KGWOR PJ ST</v>
          </cell>
        </row>
        <row r="1534">
          <cell r="C1534">
            <v>3016180</v>
          </cell>
          <cell r="D1534" t="str">
            <v>PL MŚ.SZYN.ODBŁ.CIE.OK15KGWOR PJ ST</v>
          </cell>
        </row>
        <row r="1535">
          <cell r="C1535">
            <v>3005815</v>
          </cell>
          <cell r="D1535" t="str">
            <v>***MŚ.WP.CIE.ZAK</v>
          </cell>
        </row>
        <row r="1536">
          <cell r="C1536">
            <v>3007522</v>
          </cell>
          <cell r="D1536" t="str">
            <v>***MŚ.SZYN.ODBŁ.CIE.CH ZAK</v>
          </cell>
        </row>
        <row r="1537">
          <cell r="C1537">
            <v>3007523</v>
          </cell>
          <cell r="D1537" t="str">
            <v>***M-Ń SZYN.ODBŁ.CIEMNE NB DMR</v>
          </cell>
        </row>
        <row r="1538">
          <cell r="C1538">
            <v>3013593</v>
          </cell>
          <cell r="D1538" t="str">
            <v>***PL MŚ.SZYN.ODBŁ.CIE.OK20KG NB DMR</v>
          </cell>
        </row>
        <row r="1539">
          <cell r="C1539">
            <v>3009121</v>
          </cell>
          <cell r="D1539" t="str">
            <v>***PL MŚ.CIE.LUZ DMR</v>
          </cell>
        </row>
        <row r="1540">
          <cell r="C1540">
            <v>3007524</v>
          </cell>
          <cell r="D1540" t="str">
            <v>***M-Ń SZYN.ODBŁ.CIEMNE NB RO</v>
          </cell>
        </row>
        <row r="1541">
          <cell r="C1541">
            <v>3013588</v>
          </cell>
          <cell r="D1541" t="str">
            <v>MŚ.SZYN.ODBŁ.CIE.RO1</v>
          </cell>
        </row>
        <row r="1542">
          <cell r="C1542">
            <v>3020228</v>
          </cell>
          <cell r="D1542" t="str">
            <v>MŚ.SZYN.ODBŁ.CIE.RO2</v>
          </cell>
        </row>
        <row r="1543">
          <cell r="C1543">
            <v>3044611</v>
          </cell>
          <cell r="D1543" t="str">
            <v>EU MŚ.SZYN.ODBŁ.CIE.OK20KG NB MR ST</v>
          </cell>
        </row>
        <row r="1544">
          <cell r="C1544">
            <v>4011882</v>
          </cell>
          <cell r="D1544" t="str">
            <v>***EU M-SO WP.GULASZEXOK2.5KGVACOK15KGKT</v>
          </cell>
        </row>
        <row r="1545">
          <cell r="C1545">
            <v>3041884</v>
          </cell>
          <cell r="D1545" t="str">
            <v>EU MŚ.SZYN.ODBŁ.CIE.OK15KGWOR PJ ST</v>
          </cell>
        </row>
        <row r="1546">
          <cell r="C1546">
            <v>3018752</v>
          </cell>
          <cell r="D1546" t="str">
            <v>EU MŚ.SZYN.ODBŁ.CIE.OK20KG NB DMR</v>
          </cell>
        </row>
        <row r="1547">
          <cell r="C1547">
            <v>3017439</v>
          </cell>
          <cell r="D1547" t="str">
            <v>***EU MŚ.CIE.LUZ DMR</v>
          </cell>
        </row>
        <row r="1548">
          <cell r="C1548">
            <v>3040970</v>
          </cell>
          <cell r="D1548" t="str">
            <v>PP MŚ.SZYN.ODBŁ.CIE.OK20KG NB MR ST</v>
          </cell>
        </row>
        <row r="1549">
          <cell r="C1549">
            <v>3039427</v>
          </cell>
          <cell r="D1549" t="str">
            <v>PP MŚ.SZYN.ODBŁ.CIE.OK15KGWOR PJ ST</v>
          </cell>
        </row>
        <row r="1550">
          <cell r="C1550">
            <v>3039277</v>
          </cell>
          <cell r="D1550" t="str">
            <v>PP MŚ.SZYN.ODBŁ.CIE.OK15KG NB DMR</v>
          </cell>
        </row>
        <row r="1551">
          <cell r="C1551">
            <v>3039550</v>
          </cell>
          <cell r="D1551" t="str">
            <v>PP MŚ.SZYN.ODBŁ.CIE.RO1</v>
          </cell>
        </row>
        <row r="1552">
          <cell r="C1552">
            <v>3039598</v>
          </cell>
          <cell r="D1552" t="str">
            <v>PP MŚ.SZYN.ODBŁ.CIE.RO2</v>
          </cell>
        </row>
        <row r="1553">
          <cell r="C1553">
            <v>3022865</v>
          </cell>
          <cell r="D1553" t="str">
            <v>MŚ.SZYN.ODBŁ.CIE.ROZP1</v>
          </cell>
        </row>
        <row r="1554">
          <cell r="C1554">
            <v>3040903</v>
          </cell>
          <cell r="D1554" t="str">
            <v>PP MŚ.SZYN.ODBŁ.CIE.ROZP1</v>
          </cell>
        </row>
        <row r="1555">
          <cell r="C1555">
            <v>3022867</v>
          </cell>
          <cell r="D1555" t="str">
            <v>MŚ.SZYN.ODBŁ.CIE.ROZP2</v>
          </cell>
        </row>
        <row r="1556">
          <cell r="C1556">
            <v>3040910</v>
          </cell>
          <cell r="D1556" t="str">
            <v>PP MŚ.SZYN.ODBŁ.CIE.ROZP2</v>
          </cell>
        </row>
        <row r="1557">
          <cell r="C1557">
            <v>3009680</v>
          </cell>
          <cell r="D1557" t="str">
            <v>***SZYN. 6D UŚR</v>
          </cell>
        </row>
        <row r="1558">
          <cell r="C1558">
            <v>3018530</v>
          </cell>
          <cell r="D1558" t="str">
            <v>***SZYN.6D NB MR</v>
          </cell>
        </row>
        <row r="1559">
          <cell r="C1559">
            <v>3018519</v>
          </cell>
          <cell r="D1559" t="str">
            <v>***SZYN.6D NB DMR</v>
          </cell>
        </row>
        <row r="1560">
          <cell r="C1560">
            <v>3018531</v>
          </cell>
          <cell r="D1560" t="str">
            <v>***SZYN.6D NB RO1</v>
          </cell>
        </row>
        <row r="1561">
          <cell r="C1561">
            <v>3026919</v>
          </cell>
          <cell r="D1561" t="str">
            <v>***SZYN.6D NB RO2</v>
          </cell>
        </row>
        <row r="1562">
          <cell r="C1562">
            <v>3013608</v>
          </cell>
          <cell r="D1562" t="str">
            <v>***SZYN.WP.Z/K/SK/NOGĄ /CZ.POL.KL.U CH</v>
          </cell>
        </row>
        <row r="1563">
          <cell r="C1563">
            <v>3005025</v>
          </cell>
          <cell r="D1563" t="str">
            <v>***M-Ń CZTEROGŁOWY N/OBR.11000HILTON USR</v>
          </cell>
        </row>
        <row r="1564">
          <cell r="C1564">
            <v>3007525</v>
          </cell>
          <cell r="D1564" t="str">
            <v>***MŚ.CZTEROGŁ.N/OBR.NB MR</v>
          </cell>
        </row>
        <row r="1565">
          <cell r="C1565">
            <v>3008797</v>
          </cell>
          <cell r="D1565" t="str">
            <v>***MŚ.CZTER.N/OBR.ZAK</v>
          </cell>
        </row>
        <row r="1566">
          <cell r="C1566">
            <v>3007526</v>
          </cell>
          <cell r="D1566" t="str">
            <v>***MŚ.CZTEROGŁ.N/OBR.NB DMR</v>
          </cell>
        </row>
        <row r="1567">
          <cell r="C1567">
            <v>3007527</v>
          </cell>
          <cell r="D1567" t="str">
            <v>***MŚ.CZTEROGŁ.N/OBR.NB RO1</v>
          </cell>
        </row>
        <row r="1568">
          <cell r="C1568">
            <v>3020229</v>
          </cell>
          <cell r="D1568" t="str">
            <v>***MŚ.CZTEROGŁ.N/OBR.NB RO2</v>
          </cell>
        </row>
        <row r="1569">
          <cell r="C1569">
            <v>3007528</v>
          </cell>
          <cell r="D1569" t="str">
            <v>***MŚ.CZTEROG.N/OBR.NIEM MR ZAK</v>
          </cell>
        </row>
        <row r="1570">
          <cell r="C1570">
            <v>3007529</v>
          </cell>
          <cell r="D1570" t="str">
            <v>***SZYN.Z/K.B/GOL.OBR KL.E CH</v>
          </cell>
        </row>
        <row r="1571">
          <cell r="C1571">
            <v>3007530</v>
          </cell>
          <cell r="D1571" t="str">
            <v>***SZYN.Z/K.B/GOL.OBR KL.U CH</v>
          </cell>
        </row>
        <row r="1572">
          <cell r="C1572">
            <v>3009762</v>
          </cell>
          <cell r="D1572" t="str">
            <v>***SZYN.B/K.S.TŁ.GOL.M.PÓŁBŁONIAST.KLSCH</v>
          </cell>
        </row>
        <row r="1573">
          <cell r="C1573">
            <v>3009764</v>
          </cell>
          <cell r="D1573" t="str">
            <v>***SZYN.B/K.S.TŁ.GOL.M.PÓŁBŁONIAST.KLUCH</v>
          </cell>
        </row>
        <row r="1574">
          <cell r="C1574">
            <v>3009761</v>
          </cell>
          <cell r="D1574" t="str">
            <v>***SZYN. B/K.STŁ.GOL.M.PÓŁBŁONIAST.KLECH</v>
          </cell>
        </row>
        <row r="1575">
          <cell r="C1575">
            <v>3015914</v>
          </cell>
          <cell r="D1575" t="str">
            <v>PL SZYN.4D CH1</v>
          </cell>
        </row>
        <row r="1576">
          <cell r="C1576">
            <v>3020156</v>
          </cell>
          <cell r="D1576" t="str">
            <v>SZYN.4D NB MR ST</v>
          </cell>
        </row>
        <row r="1577">
          <cell r="C1577">
            <v>3024871</v>
          </cell>
          <cell r="D1577" t="str">
            <v>PL SZYN.4D PBX CH1</v>
          </cell>
        </row>
        <row r="1578">
          <cell r="C1578">
            <v>3012680</v>
          </cell>
          <cell r="D1578" t="str">
            <v>PL SZYN.4D OK15KGWOR PJ EŁ</v>
          </cell>
        </row>
        <row r="1579">
          <cell r="C1579">
            <v>3021202</v>
          </cell>
          <cell r="D1579" t="str">
            <v>PL SZYN.4D OK15KGLUZ PJ SZ</v>
          </cell>
        </row>
        <row r="1580">
          <cell r="C1580">
            <v>3037074</v>
          </cell>
          <cell r="D1580" t="str">
            <v>PL SZYN.4D OK20KGLUZ PJ K4</v>
          </cell>
        </row>
        <row r="1581">
          <cell r="C1581">
            <v>3020155</v>
          </cell>
          <cell r="D1581" t="str">
            <v>PL SZYN.4D NB DMR</v>
          </cell>
        </row>
        <row r="1582">
          <cell r="C1582">
            <v>3020157</v>
          </cell>
          <cell r="D1582" t="str">
            <v>SZYN.4D NB RO1</v>
          </cell>
        </row>
        <row r="1583">
          <cell r="C1583">
            <v>3020230</v>
          </cell>
          <cell r="D1583" t="str">
            <v>PL SZYN.4D CH2</v>
          </cell>
        </row>
        <row r="1584">
          <cell r="C1584">
            <v>3020919</v>
          </cell>
          <cell r="D1584" t="str">
            <v>SZYN.4D NB RO2</v>
          </cell>
        </row>
        <row r="1585">
          <cell r="C1585">
            <v>3025131</v>
          </cell>
          <cell r="D1585" t="str">
            <v>PL SZYN.4D PBX CH2</v>
          </cell>
        </row>
        <row r="1586">
          <cell r="C1586">
            <v>3017748</v>
          </cell>
          <cell r="D1586" t="str">
            <v>EU SZYN.4D CH1</v>
          </cell>
        </row>
        <row r="1587">
          <cell r="C1587">
            <v>3024872</v>
          </cell>
          <cell r="D1587" t="str">
            <v>***EU SZYN.4D PBX CH1</v>
          </cell>
        </row>
        <row r="1588">
          <cell r="C1588">
            <v>3024014</v>
          </cell>
          <cell r="D1588" t="str">
            <v>EU SZYN.4D CH2</v>
          </cell>
        </row>
        <row r="1589">
          <cell r="C1589">
            <v>3025132</v>
          </cell>
          <cell r="D1589" t="str">
            <v>***EU SZYN.4D PBX CH2</v>
          </cell>
        </row>
        <row r="1590">
          <cell r="C1590">
            <v>3035682</v>
          </cell>
          <cell r="D1590" t="str">
            <v>PP SZYN.4D CH</v>
          </cell>
        </row>
        <row r="1591">
          <cell r="C1591">
            <v>3047472</v>
          </cell>
          <cell r="D1591" t="str">
            <v>PL SZYN.4D GAP CH</v>
          </cell>
        </row>
        <row r="1592">
          <cell r="C1592">
            <v>3019012</v>
          </cell>
          <cell r="D1592" t="str">
            <v>SZYN.4D ROZP1</v>
          </cell>
        </row>
        <row r="1593">
          <cell r="C1593">
            <v>3020231</v>
          </cell>
          <cell r="D1593" t="str">
            <v>SZYN.4D ROZP2</v>
          </cell>
        </row>
        <row r="1594">
          <cell r="C1594">
            <v>3004372</v>
          </cell>
          <cell r="D1594" t="str">
            <v>***SZYN.4 D KL.U CH</v>
          </cell>
        </row>
        <row r="1595">
          <cell r="C1595">
            <v>3009230</v>
          </cell>
          <cell r="D1595" t="str">
            <v>***SZYN.KL.U 4D PL</v>
          </cell>
        </row>
        <row r="1596">
          <cell r="C1596">
            <v>3013600</v>
          </cell>
          <cell r="D1596" t="str">
            <v>***SZYN.WP.Z/K/SK/NOGĄ KL.E CH</v>
          </cell>
        </row>
        <row r="1597">
          <cell r="C1597">
            <v>3014130</v>
          </cell>
          <cell r="D1597" t="str">
            <v>***SZYN.WP.Z/K/SK/NOGĄ KL.U CH</v>
          </cell>
        </row>
        <row r="1598">
          <cell r="C1598">
            <v>3005896</v>
          </cell>
          <cell r="D1598" t="str">
            <v>***SZYN.B/K 4D KL.S</v>
          </cell>
        </row>
        <row r="1599">
          <cell r="C1599">
            <v>3009252</v>
          </cell>
          <cell r="D1599" t="str">
            <v>***SZYN.KL.S 4D PL</v>
          </cell>
        </row>
        <row r="1600">
          <cell r="C1600">
            <v>3015909</v>
          </cell>
          <cell r="D1600" t="str">
            <v>PL MŚ.SZYN.ODBŁ.JAS.CH1</v>
          </cell>
        </row>
        <row r="1601">
          <cell r="C1601">
            <v>3015048</v>
          </cell>
          <cell r="D1601" t="str">
            <v>PL MŚ.SZYN.ODBŁ.JAS.PBX1</v>
          </cell>
        </row>
        <row r="1602">
          <cell r="C1602">
            <v>3026165</v>
          </cell>
          <cell r="D1602" t="str">
            <v>PL MŚ.SZYN.ODBŁ.JAS.PBX ST</v>
          </cell>
        </row>
        <row r="1603">
          <cell r="C1603">
            <v>3031713</v>
          </cell>
          <cell r="D1603" t="str">
            <v>PL MŚ.SZYN.ODBŁ.JAS.PBX K4</v>
          </cell>
        </row>
        <row r="1604">
          <cell r="C1604">
            <v>3020232</v>
          </cell>
          <cell r="D1604" t="str">
            <v>***PL MŚ.SZYN.ODBŁ.JAS.CH2</v>
          </cell>
        </row>
        <row r="1605">
          <cell r="C1605">
            <v>3020505</v>
          </cell>
          <cell r="D1605" t="str">
            <v>PL MŚ.SZYN.ODBŁ.JAS.PBX2</v>
          </cell>
        </row>
        <row r="1606">
          <cell r="C1606">
            <v>3017744</v>
          </cell>
          <cell r="D1606" t="str">
            <v>EU MŚ.SZYN.ODBŁ.JAS.CH1</v>
          </cell>
        </row>
        <row r="1607">
          <cell r="C1607">
            <v>3024873</v>
          </cell>
          <cell r="D1607" t="str">
            <v>***EU MŚ.SZYN.ODBŁ.JAS.PBX CH1</v>
          </cell>
        </row>
        <row r="1608">
          <cell r="C1608">
            <v>3020233</v>
          </cell>
          <cell r="D1608" t="str">
            <v>***EU MŚ.SZYN.ODBŁ.JAS.CH2</v>
          </cell>
        </row>
        <row r="1609">
          <cell r="C1609">
            <v>3025133</v>
          </cell>
          <cell r="D1609" t="str">
            <v>***EU MŚ.SZYN.ODBŁ.JAS.PBX CH2</v>
          </cell>
        </row>
        <row r="1610">
          <cell r="C1610">
            <v>3009640</v>
          </cell>
          <cell r="D1610" t="str">
            <v>***PL MŚ.SZYN.ODBŁ.JAS.BLOK CH1</v>
          </cell>
        </row>
        <row r="1611">
          <cell r="C1611">
            <v>3024874</v>
          </cell>
          <cell r="D1611" t="str">
            <v>***PL MŚ.SZYN.ODBŁ.JAS.BLOK PBX CH1</v>
          </cell>
        </row>
        <row r="1612">
          <cell r="C1612">
            <v>3019953</v>
          </cell>
          <cell r="D1612" t="str">
            <v>***PL MŚ.SZYN.ODBŁ.JAS.BLOK CH PJ ST</v>
          </cell>
        </row>
        <row r="1613">
          <cell r="C1613">
            <v>3020234</v>
          </cell>
          <cell r="D1613" t="str">
            <v>***PL MŚ.SZYN.ODBŁ.JAS.BLOK CH2</v>
          </cell>
        </row>
        <row r="1614">
          <cell r="C1614">
            <v>3025134</v>
          </cell>
          <cell r="D1614" t="str">
            <v>***PL MŚ.SZYN.ODBŁ.JAS.BLOK PBX CH2</v>
          </cell>
        </row>
        <row r="1615">
          <cell r="C1615">
            <v>3017452</v>
          </cell>
          <cell r="D1615" t="str">
            <v>***EU MŚ.SZYN.JAS.ODBŁ.BLOK CH</v>
          </cell>
        </row>
        <row r="1616">
          <cell r="C1616">
            <v>3039078</v>
          </cell>
          <cell r="D1616" t="str">
            <v>PP MŚ.SZYN.ODBŁ.JAS.CH</v>
          </cell>
        </row>
        <row r="1617">
          <cell r="C1617">
            <v>3039580</v>
          </cell>
          <cell r="D1617" t="str">
            <v>PP MŚ.SZYN.ODBŁ.JAS.PBX ST</v>
          </cell>
        </row>
        <row r="1618">
          <cell r="C1618">
            <v>3019013</v>
          </cell>
          <cell r="D1618" t="str">
            <v>***MŚ.SZYN.ODBŁ.JAS.ROZP1</v>
          </cell>
        </row>
        <row r="1619">
          <cell r="C1619">
            <v>3020235</v>
          </cell>
          <cell r="D1619" t="str">
            <v>***MŚ.SZYN.ODBŁ.JAS.ROZP2</v>
          </cell>
        </row>
        <row r="1620">
          <cell r="C1620">
            <v>3043039</v>
          </cell>
          <cell r="D1620" t="str">
            <v>PL MŚ.SZYN.ODBŁ.PÓŁŚC.CIE.CH</v>
          </cell>
        </row>
        <row r="1621">
          <cell r="C1621">
            <v>3007533</v>
          </cell>
          <cell r="D1621" t="str">
            <v>***M-Ń SZYN.ODBŁ.JASNE KL.U NB MR</v>
          </cell>
        </row>
        <row r="1622">
          <cell r="C1622">
            <v>4030689</v>
          </cell>
          <cell r="D1622" t="str">
            <v>PL MŚ.SZYN.ODBŁ.PÓŁŚC.CIE.OK15KGLPJ AGRO</v>
          </cell>
        </row>
        <row r="1623">
          <cell r="C1623">
            <v>3007534</v>
          </cell>
          <cell r="D1623" t="str">
            <v>***M-Ń SZYN.ODBŁ.JASNE KL.U NB DMR</v>
          </cell>
        </row>
        <row r="1624">
          <cell r="C1624">
            <v>3009639</v>
          </cell>
          <cell r="D1624" t="str">
            <v>***M-Ń SZYN.ODBŁ.JASNE KL.U BLOK CH</v>
          </cell>
        </row>
        <row r="1625">
          <cell r="C1625">
            <v>3007535</v>
          </cell>
          <cell r="D1625" t="str">
            <v>***M-Ń SZYN.ODBŁ.JASNE KL.R CH</v>
          </cell>
        </row>
        <row r="1626">
          <cell r="C1626">
            <v>3009638</v>
          </cell>
          <cell r="D1626" t="str">
            <v>***M-Ń SZYN.ODBŁ.JASNE KL.R BLOK CH</v>
          </cell>
        </row>
        <row r="1627">
          <cell r="C1627">
            <v>3037641</v>
          </cell>
          <cell r="D1627" t="str">
            <v>PL MŚ.CZTEROG.ODBŁ.CH</v>
          </cell>
        </row>
        <row r="1628">
          <cell r="C1628">
            <v>4025851</v>
          </cell>
          <cell r="D1628" t="str">
            <v>PL MŚ.CZTEROG.ODBŁ.OK5KGVAC OK20KGKT EX</v>
          </cell>
        </row>
        <row r="1629">
          <cell r="C1629">
            <v>4025403</v>
          </cell>
          <cell r="D1629" t="str">
            <v>PL MŚ.CZTEROG.ODBŁ.OK15KGWOR PJ AGRO</v>
          </cell>
        </row>
        <row r="1630">
          <cell r="C1630">
            <v>3037642</v>
          </cell>
          <cell r="D1630" t="str">
            <v>EU MŚ.CZTEROG.ODBŁ.CH</v>
          </cell>
        </row>
        <row r="1631">
          <cell r="C1631">
            <v>3007537</v>
          </cell>
          <cell r="D1631" t="str">
            <v>***M-Ń SZYN.ODBŁ.JASNE KL.S CH</v>
          </cell>
        </row>
        <row r="1632">
          <cell r="C1632">
            <v>3007538</v>
          </cell>
          <cell r="D1632" t="str">
            <v>***M-Ń SZYN.ODBŁ.JASNE KL.S NB MR</v>
          </cell>
        </row>
        <row r="1633">
          <cell r="C1633">
            <v>3007539</v>
          </cell>
          <cell r="D1633" t="str">
            <v>***M-Ń SZYN.ODBŁ.JASNE KL.S NB DMR</v>
          </cell>
        </row>
        <row r="1634">
          <cell r="C1634">
            <v>3009637</v>
          </cell>
          <cell r="D1634" t="str">
            <v>***M-Ń SZYN.ODBŁ.JASNE KL.S BLOK CH</v>
          </cell>
        </row>
        <row r="1635">
          <cell r="C1635">
            <v>3015907</v>
          </cell>
          <cell r="D1635" t="str">
            <v>PL MŚ.SZYN.ODBŁ.CIE.CH1</v>
          </cell>
        </row>
        <row r="1636">
          <cell r="C1636">
            <v>3007541</v>
          </cell>
          <cell r="D1636" t="str">
            <v>MŚ.SZYN.ODBŁ.CIE.KLE NB MR</v>
          </cell>
        </row>
        <row r="1637">
          <cell r="C1637">
            <v>3024875</v>
          </cell>
          <cell r="D1637" t="str">
            <v>PL MŚ.SZYN.ODBŁ.CIE.PBX ST1</v>
          </cell>
        </row>
        <row r="1638">
          <cell r="C1638">
            <v>3039995</v>
          </cell>
          <cell r="D1638" t="str">
            <v>***PL MŚ.SZYN.ODBŁ.CIE.OK20KG NB MR ST</v>
          </cell>
        </row>
        <row r="1639">
          <cell r="C1639">
            <v>3007542</v>
          </cell>
          <cell r="D1639" t="str">
            <v>M-Ń SZYN.ODBŁ.CIEMNE KL.E OK 15KG PJ CH</v>
          </cell>
        </row>
        <row r="1640">
          <cell r="C1640">
            <v>3007543</v>
          </cell>
          <cell r="D1640" t="str">
            <v>M-Ń SZYN.ODBŁ.CIEMNE KL.E ZAK</v>
          </cell>
        </row>
        <row r="1641">
          <cell r="C1641">
            <v>3007544</v>
          </cell>
          <cell r="D1641" t="str">
            <v>M-Ń SZYN.ODBŁ.CIEMNE KL.E CH ZAK</v>
          </cell>
        </row>
        <row r="1642">
          <cell r="C1642">
            <v>3007545</v>
          </cell>
          <cell r="D1642" t="str">
            <v>***MŚ.SZYN.ODBŁ.CIE.KLE NB DMR</v>
          </cell>
        </row>
        <row r="1643">
          <cell r="C1643">
            <v>3039864</v>
          </cell>
          <cell r="D1643" t="str">
            <v>PL MŚ.SZYN.ODBŁ.CIE.OK20KG NB DMR</v>
          </cell>
        </row>
        <row r="1644">
          <cell r="C1644">
            <v>3020236</v>
          </cell>
          <cell r="D1644" t="str">
            <v>PL MŚ.SZYN.ODBŁ.CIE.CH2</v>
          </cell>
        </row>
        <row r="1645">
          <cell r="C1645">
            <v>3025135</v>
          </cell>
          <cell r="D1645" t="str">
            <v>PL MŚ.SZYN.ODBŁ.CIE.PBX ST2</v>
          </cell>
        </row>
        <row r="1646">
          <cell r="C1646">
            <v>3017740</v>
          </cell>
          <cell r="D1646" t="str">
            <v>EU MŚ.SZYN.ODBŁ.CIE.CH1</v>
          </cell>
        </row>
        <row r="1647">
          <cell r="C1647">
            <v>3024876</v>
          </cell>
          <cell r="D1647" t="str">
            <v>EU MŚ.SZYN.ODBŁ.CIE.PBX CH1</v>
          </cell>
        </row>
        <row r="1648">
          <cell r="C1648">
            <v>3039993</v>
          </cell>
          <cell r="D1648" t="str">
            <v>***EU MŚ.SZYN.ODBŁ.CIE.OK20KG NB MR ST</v>
          </cell>
        </row>
        <row r="1649">
          <cell r="C1649">
            <v>3039865</v>
          </cell>
          <cell r="D1649" t="str">
            <v>***EU MŚ.SZYN.ODBŁ.CIE.OK20KG NB DMR</v>
          </cell>
        </row>
        <row r="1650">
          <cell r="C1650">
            <v>3020237</v>
          </cell>
          <cell r="D1650" t="str">
            <v>EU MŚ.SZYN.ODBŁ.CIE.CH2</v>
          </cell>
        </row>
        <row r="1651">
          <cell r="C1651">
            <v>3025136</v>
          </cell>
          <cell r="D1651" t="str">
            <v>EU MŚ.SZYN.ODBŁ.CIE.PBX CH2</v>
          </cell>
        </row>
        <row r="1652">
          <cell r="C1652">
            <v>3020171</v>
          </cell>
          <cell r="D1652" t="str">
            <v>MŚ.SZYN.ODBŁ.DR.CIE.CH1</v>
          </cell>
        </row>
        <row r="1653">
          <cell r="C1653">
            <v>3020173</v>
          </cell>
          <cell r="D1653" t="str">
            <v>***MŚ.SZYN.ODBŁ.CIE.DROB.MR ST</v>
          </cell>
        </row>
        <row r="1654">
          <cell r="C1654">
            <v>4021855</v>
          </cell>
          <cell r="D1654" t="str">
            <v>PL MŚ.SZYN.ODBŁ.CIE.OK15KGWOR PJ</v>
          </cell>
        </row>
        <row r="1655">
          <cell r="C1655">
            <v>4022653</v>
          </cell>
          <cell r="D1655" t="str">
            <v>PL MŚ.SZYN.ODBŁ.DR.CIE.OK15KGWOR PJ JBB</v>
          </cell>
        </row>
        <row r="1656">
          <cell r="C1656">
            <v>3020172</v>
          </cell>
          <cell r="D1656" t="str">
            <v>***MŚ.SZYN.ODBŁ.CIE.DROBN.DMR</v>
          </cell>
        </row>
        <row r="1657">
          <cell r="C1657">
            <v>3020174</v>
          </cell>
          <cell r="D1657" t="str">
            <v>***MŚ.SZYN.ODBŁ.CIE.DROB.RO1</v>
          </cell>
        </row>
        <row r="1658">
          <cell r="C1658">
            <v>3020924</v>
          </cell>
          <cell r="D1658" t="str">
            <v>MŚ.SZYN.ODBŁ.DR.CIE.CH2</v>
          </cell>
        </row>
        <row r="1659">
          <cell r="C1659">
            <v>3020922</v>
          </cell>
          <cell r="D1659" t="str">
            <v>***MŚ.SZYN.ODBŁ.CIE.DROB.RO2</v>
          </cell>
        </row>
        <row r="1660">
          <cell r="C1660">
            <v>3037545</v>
          </cell>
          <cell r="D1660" t="str">
            <v>PP MŚ.SZYN.ODBŁ.CIE.CH</v>
          </cell>
        </row>
        <row r="1661">
          <cell r="C1661">
            <v>3037785</v>
          </cell>
          <cell r="D1661" t="str">
            <v>PP MŚ.SZYN.ODBŁ.CIE.PBX ST1</v>
          </cell>
        </row>
        <row r="1662">
          <cell r="C1662">
            <v>3039994</v>
          </cell>
          <cell r="D1662" t="str">
            <v>***PP MŚ.SZYN.ODBŁ.CIE.OK20KG NB MR ST</v>
          </cell>
        </row>
        <row r="1663">
          <cell r="C1663">
            <v>3039836</v>
          </cell>
          <cell r="D1663" t="str">
            <v>PP MŚ.SZYN.ODBŁ.CIE.OK20KG NB DMR</v>
          </cell>
        </row>
        <row r="1664">
          <cell r="C1664">
            <v>3037765</v>
          </cell>
          <cell r="D1664" t="str">
            <v>PP MŚ.SZYN.ODBŁ.CIE.PBX ST2</v>
          </cell>
        </row>
        <row r="1665">
          <cell r="C1665">
            <v>3007546</v>
          </cell>
          <cell r="D1665" t="str">
            <v>***M-Ń SZYN.ODBŁ.CIEMNE KL.U CH</v>
          </cell>
        </row>
        <row r="1666">
          <cell r="C1666">
            <v>3007547</v>
          </cell>
          <cell r="D1666" t="str">
            <v>***M-Ń SZYN.ODBŁ.CIEMNE KL.R CH</v>
          </cell>
        </row>
        <row r="1667">
          <cell r="C1667">
            <v>3042731</v>
          </cell>
          <cell r="D1667" t="str">
            <v>PL MŚ.SZYN.ODBŁ.MAC.CH</v>
          </cell>
        </row>
        <row r="1668">
          <cell r="C1668">
            <v>3042757</v>
          </cell>
          <cell r="D1668" t="str">
            <v>PL MŚ.SZYN.ODBŁ.MAC.PBX1</v>
          </cell>
        </row>
        <row r="1669">
          <cell r="C1669">
            <v>3042777</v>
          </cell>
          <cell r="D1669" t="str">
            <v>PL MŚ.SZYN.ODBŁ.MAC.PBX ST</v>
          </cell>
        </row>
        <row r="1670">
          <cell r="C1670">
            <v>3042881</v>
          </cell>
          <cell r="D1670" t="str">
            <v>PL MŚ.SZYN.ODBŁ.MAC.PBX2</v>
          </cell>
        </row>
        <row r="1671">
          <cell r="C1671">
            <v>3042743</v>
          </cell>
          <cell r="D1671" t="str">
            <v>PP MŚ.SZYN.ODBŁ.MAC.CH</v>
          </cell>
        </row>
        <row r="1672">
          <cell r="C1672">
            <v>3042756</v>
          </cell>
          <cell r="D1672" t="str">
            <v>PP MŚ.SZYN.ODBŁ.MAC.PBX1</v>
          </cell>
        </row>
        <row r="1673">
          <cell r="C1673">
            <v>3042778</v>
          </cell>
          <cell r="D1673" t="str">
            <v>PP MŚ.SZYN.ODBŁ.MAC.PBX ST</v>
          </cell>
        </row>
        <row r="1674">
          <cell r="C1674">
            <v>3042916</v>
          </cell>
          <cell r="D1674" t="str">
            <v>PP MŚ.SZYN.ODBŁ.MAC.PBX2</v>
          </cell>
        </row>
        <row r="1675">
          <cell r="C1675">
            <v>3007549</v>
          </cell>
          <cell r="D1675" t="str">
            <v>***M-Ń SZYN.ODBŁ.CIEMNE KL.S CH</v>
          </cell>
        </row>
        <row r="1676">
          <cell r="C1676">
            <v>3012509</v>
          </cell>
          <cell r="D1676" t="str">
            <v>***SZYN.WP.4D B/M.DWUGŁOWEGO KL.S CH</v>
          </cell>
        </row>
        <row r="1677">
          <cell r="C1677">
            <v>3012510</v>
          </cell>
          <cell r="D1677" t="str">
            <v>***PL SZYN.4D B/M.DWUG.CH</v>
          </cell>
        </row>
        <row r="1678">
          <cell r="C1678">
            <v>3017529</v>
          </cell>
          <cell r="D1678" t="str">
            <v>***EU SZYN.4D B/M.DWUG.CH</v>
          </cell>
        </row>
        <row r="1679">
          <cell r="C1679">
            <v>3012507</v>
          </cell>
          <cell r="D1679" t="str">
            <v>***SZYN.WP.4D B/M.DWUGŁOWEGO KL.U CH</v>
          </cell>
        </row>
        <row r="1680">
          <cell r="C1680">
            <v>3014149</v>
          </cell>
          <cell r="D1680" t="str">
            <v>***SZYN.WP.B/K - COLARONE KL.S CH</v>
          </cell>
        </row>
        <row r="1681">
          <cell r="C1681">
            <v>3014145</v>
          </cell>
          <cell r="D1681" t="str">
            <v>PL SZYN.B/K.COLARONE CH</v>
          </cell>
        </row>
        <row r="1682">
          <cell r="C1682">
            <v>3024877</v>
          </cell>
          <cell r="D1682" t="str">
            <v>***PL SZYN.B/K.COLARONE PBX CH</v>
          </cell>
        </row>
        <row r="1683">
          <cell r="C1683">
            <v>3017564</v>
          </cell>
          <cell r="D1683" t="str">
            <v>EU SZYN.B/K.COLARONE CH</v>
          </cell>
        </row>
        <row r="1684">
          <cell r="C1684">
            <v>3024878</v>
          </cell>
          <cell r="D1684" t="str">
            <v>***EU SZYN.B/K.COLARONE PBX CH</v>
          </cell>
        </row>
        <row r="1685">
          <cell r="C1685">
            <v>3007550</v>
          </cell>
          <cell r="D1685" t="str">
            <v>***ELEM.SZYN.WIEJSKA KL.E CH</v>
          </cell>
        </row>
        <row r="1686">
          <cell r="C1686">
            <v>3007551</v>
          </cell>
          <cell r="D1686" t="str">
            <v>***ELEM.SZYN.WIEJSKA KL.E NB MR</v>
          </cell>
        </row>
        <row r="1687">
          <cell r="C1687">
            <v>3007552</v>
          </cell>
          <cell r="D1687" t="str">
            <v>***ELEM.SZYN.WIEJSKA KL.E NB DMR</v>
          </cell>
        </row>
        <row r="1688">
          <cell r="C1688">
            <v>3007553</v>
          </cell>
          <cell r="D1688" t="str">
            <v>***ELEM.SZYN.WIEJSKA KL.U CH</v>
          </cell>
        </row>
        <row r="1689">
          <cell r="C1689">
            <v>3007554</v>
          </cell>
          <cell r="D1689" t="str">
            <v>***ELEM.SZYN.WIEJSKA KL.U NB MR</v>
          </cell>
        </row>
        <row r="1690">
          <cell r="C1690">
            <v>3007555</v>
          </cell>
          <cell r="D1690" t="str">
            <v>***ELEM.SZYN.WIEJSKA KL.U DMR</v>
          </cell>
        </row>
        <row r="1691">
          <cell r="C1691">
            <v>3014144</v>
          </cell>
          <cell r="D1691" t="str">
            <v>***SZYN.WP.B/K - COLARINO KL.S CH</v>
          </cell>
        </row>
        <row r="1692">
          <cell r="C1692">
            <v>3014150</v>
          </cell>
          <cell r="D1692" t="str">
            <v>PL SZYN.B/K.COLARINO CH</v>
          </cell>
        </row>
        <row r="1693">
          <cell r="C1693">
            <v>3017568</v>
          </cell>
          <cell r="D1693" t="str">
            <v>EU SZYN.B/K.COLARINO CH</v>
          </cell>
        </row>
        <row r="1694">
          <cell r="C1694">
            <v>3007556</v>
          </cell>
          <cell r="D1694" t="str">
            <v>***ELEM.SZYN.WIEJSKA KL.S CH</v>
          </cell>
        </row>
        <row r="1695">
          <cell r="C1695">
            <v>3016304</v>
          </cell>
          <cell r="D1695" t="str">
            <v>MŚ.PÓŁBŁ.PÓŁŚC.TŁ.OKR.7MM CH1</v>
          </cell>
        </row>
        <row r="1696">
          <cell r="C1696">
            <v>3007558</v>
          </cell>
          <cell r="D1696" t="str">
            <v>ELEM.SZYN.TRADYCYJ/MOCNO WĘDZ KL.E NB MR</v>
          </cell>
        </row>
        <row r="1697">
          <cell r="C1697">
            <v>3024879</v>
          </cell>
          <cell r="D1697" t="str">
            <v>MŚ.PÓŁBŁ.PÓŁŚC.TŁ.OKR.7MM PBX ST1</v>
          </cell>
        </row>
        <row r="1698">
          <cell r="C1698">
            <v>3034783</v>
          </cell>
          <cell r="D1698" t="str">
            <v>MŚ.PÓŁBŁ.PÓŁŚC.TŁ.OKR.7MM PBX SZ</v>
          </cell>
        </row>
        <row r="1699">
          <cell r="C1699">
            <v>3007559</v>
          </cell>
          <cell r="D1699" t="str">
            <v>***ELEM.SZYN.TRADYCYJ/MOC.WĘDZ.KLENBDMR</v>
          </cell>
        </row>
        <row r="1700">
          <cell r="C1700">
            <v>3020238</v>
          </cell>
          <cell r="D1700" t="str">
            <v>MŚ.PÓŁBŁ.PÓŁŚC.TŁ.OKR.7MM CH2</v>
          </cell>
        </row>
        <row r="1701">
          <cell r="C1701">
            <v>3025139</v>
          </cell>
          <cell r="D1701" t="str">
            <v>MŚ.PÓŁBŁ.PÓŁŚC.TŁ.OKR.7MM PBX ST2</v>
          </cell>
        </row>
        <row r="1702">
          <cell r="C1702">
            <v>3007560</v>
          </cell>
          <cell r="D1702" t="str">
            <v>***ELEM.SZYN.TRADYCYJ/MOCNO WĘDZ KL.U CH</v>
          </cell>
        </row>
        <row r="1703">
          <cell r="C1703">
            <v>3007561</v>
          </cell>
          <cell r="D1703" t="str">
            <v>***ELEM.SZYN.TRADYCYJ/MOCNO WĘDZ KL.R CH</v>
          </cell>
        </row>
        <row r="1704">
          <cell r="C1704">
            <v>3014335</v>
          </cell>
          <cell r="D1704" t="str">
            <v>PL SZYN.Z/K/SK/NG.REDONDO CH</v>
          </cell>
        </row>
        <row r="1705">
          <cell r="C1705">
            <v>3024880</v>
          </cell>
          <cell r="D1705" t="str">
            <v>***PL SZYN.Z/K/SK/NG.REDONDO PBX CH</v>
          </cell>
        </row>
        <row r="1706">
          <cell r="C1706">
            <v>4028055</v>
          </cell>
          <cell r="D1706" t="str">
            <v>PL SZYN.Z/K/SK/NG.REDONDO CHOIN.EX</v>
          </cell>
        </row>
        <row r="1707">
          <cell r="C1707">
            <v>3017575</v>
          </cell>
          <cell r="D1707" t="str">
            <v>EU SZYN.Z/K/SK/NG.REDONDO CH</v>
          </cell>
        </row>
        <row r="1708">
          <cell r="C1708">
            <v>3024881</v>
          </cell>
          <cell r="D1708" t="str">
            <v>***EU SZYN.Z/K/SK/NG.REDONDO PBX CH</v>
          </cell>
        </row>
        <row r="1709">
          <cell r="C1709">
            <v>3007562</v>
          </cell>
          <cell r="D1709" t="str">
            <v>***ELEM.SZYN.TRADYCYJ/MOCNO WĘDZ KL.S CH</v>
          </cell>
        </row>
        <row r="1710">
          <cell r="C1710">
            <v>3012345</v>
          </cell>
          <cell r="D1710" t="str">
            <v>***M-Ń SZYNKI UK KL.S</v>
          </cell>
        </row>
        <row r="1711">
          <cell r="C1711">
            <v>3012349</v>
          </cell>
          <cell r="D1711" t="str">
            <v>PL MŚ.SZYN.ODBŁ.GB CH</v>
          </cell>
        </row>
        <row r="1712">
          <cell r="C1712">
            <v>3024882</v>
          </cell>
          <cell r="D1712" t="str">
            <v>PL MŚ.SZYN.ODBŁ.GB PBX</v>
          </cell>
        </row>
        <row r="1713">
          <cell r="C1713">
            <v>4021072</v>
          </cell>
          <cell r="D1713" t="str">
            <v>PL MŚ.SZYN.ODBŁ.GB PBX</v>
          </cell>
        </row>
        <row r="1714">
          <cell r="C1714">
            <v>3017522</v>
          </cell>
          <cell r="D1714" t="str">
            <v>EU MŚ.SZYN.ODBŁ.GB CH</v>
          </cell>
        </row>
        <row r="1715">
          <cell r="C1715">
            <v>3024883</v>
          </cell>
          <cell r="D1715" t="str">
            <v>***EU MŚ.SZYN.PBX CH GB</v>
          </cell>
        </row>
        <row r="1716">
          <cell r="C1716">
            <v>3014337</v>
          </cell>
          <cell r="D1716" t="str">
            <v>PL SZYN.B/K/SK.SPECK CH</v>
          </cell>
        </row>
        <row r="1717">
          <cell r="C1717">
            <v>3024884</v>
          </cell>
          <cell r="D1717" t="str">
            <v>PL SZYN.B/K/SK.SPECK PBX CH</v>
          </cell>
        </row>
        <row r="1718">
          <cell r="C1718">
            <v>3017577</v>
          </cell>
          <cell r="D1718" t="str">
            <v>EU SZYN.B/K/SK.SPECK CH</v>
          </cell>
        </row>
        <row r="1719">
          <cell r="C1719">
            <v>3024885</v>
          </cell>
          <cell r="D1719" t="str">
            <v>***EU SZYN.B/K/SK.SPECK PBX CH</v>
          </cell>
        </row>
        <row r="1720">
          <cell r="C1720">
            <v>3014344</v>
          </cell>
          <cell r="D1720" t="str">
            <v>***PL SZYN.SILVERSIDE</v>
          </cell>
        </row>
        <row r="1721">
          <cell r="C1721">
            <v>3024886</v>
          </cell>
          <cell r="D1721" t="str">
            <v>***PL SZYN.SILVERSIDE PBX CH</v>
          </cell>
        </row>
        <row r="1722">
          <cell r="C1722">
            <v>3017582</v>
          </cell>
          <cell r="D1722" t="str">
            <v>***EU SZYN.SILVERSIDE</v>
          </cell>
        </row>
        <row r="1723">
          <cell r="C1723">
            <v>3024887</v>
          </cell>
          <cell r="D1723" t="str">
            <v>***EU SZYN.SILVERSIDE PBX CH</v>
          </cell>
        </row>
        <row r="1724">
          <cell r="C1724">
            <v>3027274</v>
          </cell>
          <cell r="D1724" t="str">
            <v>PL SZYN.4D KAW.OK1KG</v>
          </cell>
        </row>
        <row r="1725">
          <cell r="C1725">
            <v>3028079</v>
          </cell>
          <cell r="D1725" t="str">
            <v>***PL SZYN.4D KAW.OK1KG OK500KG PBX CH</v>
          </cell>
        </row>
        <row r="1726">
          <cell r="C1726">
            <v>3007563</v>
          </cell>
          <cell r="D1726" t="str">
            <v>***M-Ń SZYN.ODBŁ.JASNE KL.A CH</v>
          </cell>
        </row>
        <row r="1727">
          <cell r="C1727">
            <v>3021339</v>
          </cell>
          <cell r="D1727" t="str">
            <v>PL MŚ.DWUG.CH</v>
          </cell>
        </row>
        <row r="1728">
          <cell r="C1728">
            <v>4013983</v>
          </cell>
          <cell r="D1728" t="str">
            <v>***PL ZR.DOLNA B/LIG.LUZ PJ CH HILT</v>
          </cell>
        </row>
        <row r="1729">
          <cell r="C1729">
            <v>3021410</v>
          </cell>
          <cell r="D1729" t="str">
            <v>***EU MŚ.DWUG.CH</v>
          </cell>
        </row>
        <row r="1730">
          <cell r="C1730">
            <v>4013984</v>
          </cell>
          <cell r="D1730" t="str">
            <v>***EU ZR.DOLNA B/LIG.LUZ PJ CH HILT</v>
          </cell>
        </row>
        <row r="1731">
          <cell r="C1731">
            <v>3009391</v>
          </cell>
          <cell r="D1731" t="str">
            <v>***SZYN4D.B/M.BRZUCH11005 HILTON KL.S CH</v>
          </cell>
        </row>
        <row r="1732">
          <cell r="C1732">
            <v>3015915</v>
          </cell>
          <cell r="D1732" t="str">
            <v>PL SZYN.4D B/M.BRZUCH.11005 CH HILT</v>
          </cell>
        </row>
        <row r="1733">
          <cell r="C1733">
            <v>3024888</v>
          </cell>
          <cell r="D1733" t="str">
            <v>PL SZYN.4D B/M.BRZ.PBX1</v>
          </cell>
        </row>
        <row r="1734">
          <cell r="C1734">
            <v>4013384</v>
          </cell>
          <cell r="D1734" t="str">
            <v>PL SZYN.4D B/M.BRZ.OK1.3KGVACOK6KGKTBIED</v>
          </cell>
        </row>
        <row r="1735">
          <cell r="C1735">
            <v>4015550</v>
          </cell>
          <cell r="D1735" t="str">
            <v>PP SZYN.WP.B/K.OK1.4KGVAC OK8.4KGKT LIDL</v>
          </cell>
        </row>
        <row r="1736">
          <cell r="C1736">
            <v>4016259</v>
          </cell>
          <cell r="D1736" t="str">
            <v>***PLSZYN4D.1209.1.5-2.2KGVACOK5.5KGKTJM</v>
          </cell>
        </row>
        <row r="1737">
          <cell r="C1737">
            <v>4016955</v>
          </cell>
          <cell r="D1737" t="str">
            <v>PL SZYN.WP.B/K.OK1.4KGVACOK8.4KGKTLIDLLT</v>
          </cell>
        </row>
        <row r="1738">
          <cell r="C1738">
            <v>4017760</v>
          </cell>
          <cell r="D1738" t="str">
            <v>PL SZYN.WP.B/K.OK1.4KGVACOK8.4KGKTLIDLSK</v>
          </cell>
        </row>
        <row r="1739">
          <cell r="C1739">
            <v>4019618</v>
          </cell>
          <cell r="D1739" t="str">
            <v>***PLSZYN.B/K/MŚ.BRZUCH.1/2STVACOK7KGKT</v>
          </cell>
        </row>
        <row r="1740">
          <cell r="C1740">
            <v>4023146</v>
          </cell>
          <cell r="D1740" t="str">
            <v>PL SZYN.4D B/M.BRZ.OK1KGVACOK10KGKT MAKR</v>
          </cell>
        </row>
        <row r="1741">
          <cell r="C1741">
            <v>4024457</v>
          </cell>
          <cell r="D1741" t="str">
            <v>PL SZYN.B/K.OK1.4KGVAC OK8.4KGKT LIDL</v>
          </cell>
        </row>
        <row r="1742">
          <cell r="C1742">
            <v>4030142</v>
          </cell>
          <cell r="D1742" t="str">
            <v>PL SZYN.4D B/M.BRZ.OK1.5KGVACOK6KGKTALDI</v>
          </cell>
        </row>
        <row r="1743">
          <cell r="C1743">
            <v>4026704</v>
          </cell>
          <cell r="D1743" t="str">
            <v>PLSZYN.4D B/BRZ.OK1.3KGVACOK6KGKT3OBBIED</v>
          </cell>
        </row>
        <row r="1744">
          <cell r="C1744">
            <v>3029935</v>
          </cell>
          <cell r="D1744" t="str">
            <v>PL SZYN.4D B/M.BRZ.OK15KGWOR PJ CH ST</v>
          </cell>
        </row>
        <row r="1745">
          <cell r="C1745">
            <v>3040973</v>
          </cell>
          <cell r="D1745" t="str">
            <v>PL SZYN.4D B/M.BRZ.PBX ST</v>
          </cell>
        </row>
        <row r="1746">
          <cell r="C1746">
            <v>3025148</v>
          </cell>
          <cell r="D1746" t="str">
            <v>PL SZYN.4D B/M.BRZ.PBX2</v>
          </cell>
        </row>
        <row r="1747">
          <cell r="C1747">
            <v>4029553</v>
          </cell>
          <cell r="D1747" t="str">
            <v>EU SZYN.4D B/M.BRZ.OK1.3KGVACOK6KGKTBIED</v>
          </cell>
        </row>
        <row r="1748">
          <cell r="C1748">
            <v>4030365</v>
          </cell>
          <cell r="D1748" t="str">
            <v>PP SZYN.4D B/M.BRZ.OK1.5KGVACOK6KGKTALDI</v>
          </cell>
        </row>
        <row r="1749">
          <cell r="C1749">
            <v>3009375</v>
          </cell>
          <cell r="D1749" t="str">
            <v>***SZYN4D.B/M.BRZUCH11005 HILTON KL.U CH</v>
          </cell>
        </row>
        <row r="1750">
          <cell r="C1750">
            <v>3009374</v>
          </cell>
          <cell r="D1750" t="str">
            <v>***SZYN.4D.B/M.BRZUCH. 11005 HILTON USR</v>
          </cell>
        </row>
        <row r="1751">
          <cell r="C1751">
            <v>4009587</v>
          </cell>
          <cell r="D1751" t="str">
            <v>***SZYN.4D B/M-Ń BRZUCH.1ST TRM PJ HILT.</v>
          </cell>
        </row>
        <row r="1752">
          <cell r="C1752">
            <v>4009595</v>
          </cell>
          <cell r="D1752" t="str">
            <v>***SZYN.4D B/M-Ń BRZUCHT.WOR LUZ PJ HILT</v>
          </cell>
        </row>
        <row r="1753">
          <cell r="C1753">
            <v>3040129</v>
          </cell>
          <cell r="D1753" t="str">
            <v>PL SZYN.B/K/MŚ.DWUG/PÓŁBŁ/BRZUCH.CH</v>
          </cell>
        </row>
        <row r="1754">
          <cell r="C1754">
            <v>3040733</v>
          </cell>
          <cell r="D1754" t="str">
            <v>PL SZYN.B/K/MŚ.DWUG/PÓŁ/BRZ.OK20KGNBMRST</v>
          </cell>
        </row>
        <row r="1755">
          <cell r="C1755">
            <v>3040212</v>
          </cell>
          <cell r="D1755" t="str">
            <v>PL SZYN.B/K/MŚ.DWUG/PÓŁBŁ/BRZUCH.PBX1</v>
          </cell>
        </row>
        <row r="1756">
          <cell r="C1756">
            <v>3040984</v>
          </cell>
          <cell r="D1756" t="str">
            <v>PL SZYN.B/K/MŚ.DWUG/PÓŁBŁ/BRZUCH.PBX ST</v>
          </cell>
        </row>
        <row r="1757">
          <cell r="C1757">
            <v>3040734</v>
          </cell>
          <cell r="D1757" t="str">
            <v>PL SZYN.B/K/MŚ.DWUG/PÓŁ/BRZU.OK20KGNBDMR</v>
          </cell>
        </row>
        <row r="1758">
          <cell r="C1758">
            <v>3040728</v>
          </cell>
          <cell r="D1758" t="str">
            <v>PL SZYN.B/K/MŚ.DWUG/PÓŁ/BRZUCH.RO1</v>
          </cell>
        </row>
        <row r="1759">
          <cell r="C1759">
            <v>3040752</v>
          </cell>
          <cell r="D1759" t="str">
            <v>PL SZYN.B/K/MŚ.DWUG/PÓŁ/BRZUCH.RO2</v>
          </cell>
        </row>
        <row r="1760">
          <cell r="C1760">
            <v>3040213</v>
          </cell>
          <cell r="D1760" t="str">
            <v>PL SZYN.B/K/MŚ.DWUG/PÓŁBŁ/BRZUCH.PBX2</v>
          </cell>
        </row>
        <row r="1761">
          <cell r="C1761">
            <v>3040242</v>
          </cell>
          <cell r="D1761" t="str">
            <v>PP SZYN.B/K/MŚ.DWUG/PÓŁBŁ/BRZUCH.CH</v>
          </cell>
        </row>
        <row r="1762">
          <cell r="C1762">
            <v>3040750</v>
          </cell>
          <cell r="D1762" t="str">
            <v>PP SZYN.B/K/MŚ.DWUG/PÓŁ/BRZ.OK20KGNBMRST</v>
          </cell>
        </row>
        <row r="1763">
          <cell r="C1763">
            <v>3040243</v>
          </cell>
          <cell r="D1763" t="str">
            <v>PP SZYN.B/K/MŚ.DWUG/PÓŁBŁ/BRZUCH.PBXST1</v>
          </cell>
        </row>
        <row r="1764">
          <cell r="C1764">
            <v>3040729</v>
          </cell>
          <cell r="D1764" t="str">
            <v>PP SZYN.B/K/MŚ.DWUG/PÓŁ/BRZU.OK20KGNBDMR</v>
          </cell>
        </row>
        <row r="1765">
          <cell r="C1765">
            <v>3040751</v>
          </cell>
          <cell r="D1765" t="str">
            <v>PP SZYN.B/K/MŚ.DWUG/PÓŁ/BRZU.RO1</v>
          </cell>
        </row>
        <row r="1766">
          <cell r="C1766">
            <v>3040763</v>
          </cell>
          <cell r="D1766" t="str">
            <v>PP SZYN.B/K/MŚ.DWUG/PÓŁ/BRZU.RO2</v>
          </cell>
        </row>
        <row r="1767">
          <cell r="C1767">
            <v>3040244</v>
          </cell>
          <cell r="D1767" t="str">
            <v>PP SZYN.B/K/MŚ.DWUG/PÓŁBŁ/BRZUCH.PBXST2</v>
          </cell>
        </row>
        <row r="1768">
          <cell r="C1768">
            <v>3014491</v>
          </cell>
          <cell r="D1768" t="str">
            <v>***PL SZYN.2D B/M.DWUG.CH</v>
          </cell>
        </row>
        <row r="1769">
          <cell r="C1769">
            <v>3017592</v>
          </cell>
          <cell r="D1769" t="str">
            <v>***EU SZYN.2D B/M.DWUG.CH</v>
          </cell>
        </row>
        <row r="1770">
          <cell r="C1770">
            <v>3014492</v>
          </cell>
          <cell r="D1770" t="str">
            <v>***SZYN.WP.B/K 2D KL.U CH</v>
          </cell>
        </row>
        <row r="1771">
          <cell r="C1771">
            <v>3027334</v>
          </cell>
          <cell r="D1771" t="str">
            <v>PL SZYN.4D KAW.</v>
          </cell>
        </row>
        <row r="1772">
          <cell r="C1772">
            <v>3028077</v>
          </cell>
          <cell r="D1772" t="str">
            <v>PL SZYN.4D KAW.OK500KG PBX CH</v>
          </cell>
        </row>
        <row r="1773">
          <cell r="C1773">
            <v>4018367</v>
          </cell>
          <cell r="D1773" t="str">
            <v>PL SZYN.4D KAW.OK1.5KGVACOK15KGKT SEL</v>
          </cell>
        </row>
        <row r="1774">
          <cell r="C1774">
            <v>4029641</v>
          </cell>
          <cell r="D1774" t="str">
            <v>PL SZYN.4D KAW.OK1.5KGVACOK12KGKT SAN</v>
          </cell>
        </row>
        <row r="1775">
          <cell r="C1775">
            <v>4029723</v>
          </cell>
          <cell r="D1775" t="str">
            <v>PL SZYN.4D KAW.OK1.5KGVAC OK12KGKT AUCH</v>
          </cell>
        </row>
        <row r="1776">
          <cell r="C1776">
            <v>4031273</v>
          </cell>
          <cell r="D1776" t="str">
            <v>PL SZYN.4D KAW.MAX1.6KGVAC OK20KGKT EX</v>
          </cell>
        </row>
        <row r="1777">
          <cell r="C1777">
            <v>3045944</v>
          </cell>
          <cell r="D1777" t="str">
            <v>EU SZYN.4D KAW.CH</v>
          </cell>
        </row>
        <row r="1778">
          <cell r="C1778">
            <v>3004391</v>
          </cell>
          <cell r="D1778" t="str">
            <v>***ŁOP.Z/K/SK.B/GOL KL.E CH</v>
          </cell>
        </row>
        <row r="1779">
          <cell r="C1779">
            <v>3008926</v>
          </cell>
          <cell r="D1779" t="str">
            <v>***ŁOP. WP. Z/K B/GOL/SK KL.U CH</v>
          </cell>
        </row>
        <row r="1780">
          <cell r="C1780">
            <v>3008925</v>
          </cell>
          <cell r="D1780" t="str">
            <v>***ŁOP. WP. Z/K B/GOL/SK KL.R CH</v>
          </cell>
        </row>
        <row r="1781">
          <cell r="C1781">
            <v>3008924</v>
          </cell>
          <cell r="D1781" t="str">
            <v>***ŁOP. WP. Z/K B/GOL/SK KL.O CH</v>
          </cell>
        </row>
        <row r="1782">
          <cell r="C1782">
            <v>3008923</v>
          </cell>
          <cell r="D1782" t="str">
            <v>***ŁOP. WP. Z/K B/GOL/SK KL.S CH</v>
          </cell>
        </row>
        <row r="1783">
          <cell r="C1783">
            <v>3023138</v>
          </cell>
          <cell r="D1783" t="str">
            <v>PL ŁOP.Z/K/SK.B/GOL.CH</v>
          </cell>
        </row>
        <row r="1784">
          <cell r="C1784">
            <v>4015349</v>
          </cell>
          <cell r="D1784" t="str">
            <v>***PL ŁOP.Z/K/SK.B/GOL.LUZ PBX HILT</v>
          </cell>
        </row>
        <row r="1785">
          <cell r="C1785">
            <v>3023212</v>
          </cell>
          <cell r="D1785" t="str">
            <v>EU ŁOP.Z/K/SK.B/GOL.CH</v>
          </cell>
        </row>
        <row r="1786">
          <cell r="C1786">
            <v>4015314</v>
          </cell>
          <cell r="D1786" t="str">
            <v>***EU ŁOP.Z/K/SK.B/GOL.LUZ PBX HILT</v>
          </cell>
        </row>
        <row r="1787">
          <cell r="C1787">
            <v>3029458</v>
          </cell>
          <cell r="D1787" t="str">
            <v>ŁOP.Z/K/GOL/S/TŁ.KARK.CH</v>
          </cell>
        </row>
        <row r="1788">
          <cell r="C1788">
            <v>3024511</v>
          </cell>
          <cell r="D1788" t="str">
            <v>PL ŁOP.1.5D CH1</v>
          </cell>
        </row>
        <row r="1789">
          <cell r="C1789">
            <v>3025510</v>
          </cell>
          <cell r="D1789" t="str">
            <v>PL ŁOP.1.5D PBX ST1</v>
          </cell>
        </row>
        <row r="1790">
          <cell r="C1790">
            <v>3032484</v>
          </cell>
          <cell r="D1790" t="str">
            <v>PL ŁOP.WP.1.5D OK15KGWOR GAP MR ST</v>
          </cell>
        </row>
        <row r="1791">
          <cell r="C1791">
            <v>3024720</v>
          </cell>
          <cell r="D1791" t="str">
            <v>PL ŁOP.1.5D OK20KG NB MR ST</v>
          </cell>
        </row>
        <row r="1792">
          <cell r="C1792">
            <v>3033452</v>
          </cell>
          <cell r="D1792" t="str">
            <v>PL ŁOP.1.5D OK20KGWOR PJ AF ST</v>
          </cell>
        </row>
        <row r="1793">
          <cell r="C1793">
            <v>3027550</v>
          </cell>
          <cell r="D1793" t="str">
            <v>PL ŁOP.WP.1.5D OK700KG OKT ST</v>
          </cell>
        </row>
        <row r="1794">
          <cell r="C1794">
            <v>3031690</v>
          </cell>
          <cell r="D1794" t="str">
            <v>***ŁOP.WP.1.5D PBX K4 ZAK</v>
          </cell>
        </row>
        <row r="1795">
          <cell r="C1795">
            <v>3033499</v>
          </cell>
          <cell r="D1795" t="str">
            <v>PL ŁOP.1.5D PBX K4</v>
          </cell>
        </row>
        <row r="1796">
          <cell r="C1796">
            <v>3027252</v>
          </cell>
          <cell r="D1796" t="str">
            <v>ŁOP.WP.1.5D CIĘ.MR ZAK</v>
          </cell>
        </row>
        <row r="1797">
          <cell r="C1797">
            <v>3024649</v>
          </cell>
          <cell r="D1797" t="str">
            <v>PL ŁOP.1.5D PBX MOR SZ</v>
          </cell>
        </row>
        <row r="1798">
          <cell r="C1798">
            <v>3033768</v>
          </cell>
          <cell r="D1798" t="str">
            <v>PL ŁOP.1.5D OK20KG PB MR WE K4</v>
          </cell>
        </row>
        <row r="1799">
          <cell r="C1799">
            <v>3024583</v>
          </cell>
          <cell r="D1799" t="str">
            <v>PL ŁOP.1.5D PBX EŁ1</v>
          </cell>
        </row>
        <row r="1800">
          <cell r="C1800">
            <v>3026117</v>
          </cell>
          <cell r="D1800" t="str">
            <v>PL ŁOP.WP.1.5D NB MR SZ</v>
          </cell>
        </row>
        <row r="1801">
          <cell r="C1801">
            <v>3036408</v>
          </cell>
          <cell r="D1801" t="str">
            <v>PL ŁOP.1.5D PBX 1OB K4</v>
          </cell>
        </row>
        <row r="1802">
          <cell r="C1802">
            <v>3024645</v>
          </cell>
          <cell r="D1802" t="str">
            <v>PL ŁOP.1.5D OK20KG NB MR EŁ</v>
          </cell>
        </row>
        <row r="1803">
          <cell r="C1803">
            <v>3032536</v>
          </cell>
          <cell r="D1803" t="str">
            <v>PL ŁOP.1.5D OK15KGWOR GAP DMR</v>
          </cell>
        </row>
        <row r="1804">
          <cell r="C1804">
            <v>3024641</v>
          </cell>
          <cell r="D1804" t="str">
            <v>PL ŁOP.1.5D OK20KG NB DMR</v>
          </cell>
        </row>
        <row r="1805">
          <cell r="C1805">
            <v>3030397</v>
          </cell>
          <cell r="D1805" t="str">
            <v>ŁOP.1.5D RO</v>
          </cell>
        </row>
        <row r="1806">
          <cell r="C1806">
            <v>3024703</v>
          </cell>
          <cell r="D1806" t="str">
            <v>PL ŁOP.WP.1.5D RO1</v>
          </cell>
        </row>
        <row r="1807">
          <cell r="C1807">
            <v>3024637</v>
          </cell>
          <cell r="D1807" t="str">
            <v>PL ŁOP.1.5D CH2</v>
          </cell>
        </row>
        <row r="1808">
          <cell r="C1808">
            <v>3025511</v>
          </cell>
          <cell r="D1808" t="str">
            <v>PL ŁOP.1.5D PBX ST2</v>
          </cell>
        </row>
        <row r="1809">
          <cell r="C1809">
            <v>3024745</v>
          </cell>
          <cell r="D1809" t="str">
            <v>PL ŁOP.WP.1.5D RO2</v>
          </cell>
        </row>
        <row r="1810">
          <cell r="C1810">
            <v>3024513</v>
          </cell>
          <cell r="D1810" t="str">
            <v>EU ŁOP.1.5D CH1</v>
          </cell>
        </row>
        <row r="1811">
          <cell r="C1811">
            <v>3025512</v>
          </cell>
          <cell r="D1811" t="str">
            <v>EU ŁOP.1.5D PBX ST1</v>
          </cell>
        </row>
        <row r="1812">
          <cell r="C1812">
            <v>3045871</v>
          </cell>
          <cell r="D1812" t="str">
            <v>EU ŁOP.1.5D PBX ST</v>
          </cell>
        </row>
        <row r="1813">
          <cell r="C1813">
            <v>3045484</v>
          </cell>
          <cell r="D1813" t="str">
            <v>EU ŁOP.1.5D OK20KG NB MR K4</v>
          </cell>
        </row>
        <row r="1814">
          <cell r="C1814">
            <v>3046310</v>
          </cell>
          <cell r="D1814" t="str">
            <v>EU ŁOP.WP.1.5D RO1</v>
          </cell>
        </row>
        <row r="1815">
          <cell r="C1815">
            <v>3024638</v>
          </cell>
          <cell r="D1815" t="str">
            <v>EU ŁOP.1.5D CH2</v>
          </cell>
        </row>
        <row r="1816">
          <cell r="C1816">
            <v>3025513</v>
          </cell>
          <cell r="D1816" t="str">
            <v>***EU ŁOP.WP.1.5D PBX CH2</v>
          </cell>
        </row>
        <row r="1817">
          <cell r="C1817">
            <v>3046313</v>
          </cell>
          <cell r="D1817" t="str">
            <v>EU ŁOP.WP.1.5D RO2</v>
          </cell>
        </row>
        <row r="1818">
          <cell r="C1818">
            <v>3035532</v>
          </cell>
          <cell r="D1818" t="str">
            <v>PP ŁOP.WP.1.5D CH</v>
          </cell>
        </row>
        <row r="1819">
          <cell r="C1819">
            <v>3042122</v>
          </cell>
          <cell r="D1819" t="str">
            <v>PP ŁOP.1.5D PBX1</v>
          </cell>
        </row>
        <row r="1820">
          <cell r="C1820">
            <v>3040906</v>
          </cell>
          <cell r="D1820" t="str">
            <v>PP ŁOP.1.5D OK20KG NB MR ST</v>
          </cell>
        </row>
        <row r="1821">
          <cell r="C1821">
            <v>3036297</v>
          </cell>
          <cell r="D1821" t="str">
            <v>PP ŁOP.1.5D PBX ST</v>
          </cell>
        </row>
        <row r="1822">
          <cell r="C1822">
            <v>3039425</v>
          </cell>
          <cell r="D1822" t="str">
            <v>PP ŁOP.1.5D OK20KG NB MR K4</v>
          </cell>
        </row>
        <row r="1823">
          <cell r="C1823">
            <v>3035534</v>
          </cell>
          <cell r="D1823" t="str">
            <v>PP ŁOP.1.5D PBX K4</v>
          </cell>
        </row>
        <row r="1824">
          <cell r="C1824">
            <v>3035839</v>
          </cell>
          <cell r="D1824" t="str">
            <v>PP ŁOP.1.5D OK20KG NB DMR</v>
          </cell>
        </row>
        <row r="1825">
          <cell r="C1825">
            <v>3040907</v>
          </cell>
          <cell r="D1825" t="str">
            <v>PP ŁOP.1.5D RO1</v>
          </cell>
        </row>
        <row r="1826">
          <cell r="C1826">
            <v>3042106</v>
          </cell>
          <cell r="D1826" t="str">
            <v>PP ŁOP.1.5D PBX2</v>
          </cell>
        </row>
        <row r="1827">
          <cell r="C1827">
            <v>3040909</v>
          </cell>
          <cell r="D1827" t="str">
            <v>PP ŁOP.1.5D RO2</v>
          </cell>
        </row>
        <row r="1828">
          <cell r="C1828">
            <v>3032534</v>
          </cell>
          <cell r="D1828" t="str">
            <v>PL ŁOP.1.5D GAP CH</v>
          </cell>
        </row>
        <row r="1829">
          <cell r="C1829">
            <v>3032527</v>
          </cell>
          <cell r="D1829" t="str">
            <v>PL ŁOP.WP.1.5D PBX GAP ST</v>
          </cell>
        </row>
        <row r="1830">
          <cell r="C1830">
            <v>3042709</v>
          </cell>
          <cell r="D1830" t="str">
            <v>PL ŁOP.1.5D MAC.CH</v>
          </cell>
        </row>
        <row r="1831">
          <cell r="C1831">
            <v>3042758</v>
          </cell>
          <cell r="D1831" t="str">
            <v>PL ŁOP.1.5D MAC.PBX1</v>
          </cell>
        </row>
        <row r="1832">
          <cell r="C1832">
            <v>3042878</v>
          </cell>
          <cell r="D1832" t="str">
            <v>PL ŁOP.1.5D MAC.PBX2</v>
          </cell>
        </row>
        <row r="1833">
          <cell r="C1833">
            <v>3042744</v>
          </cell>
          <cell r="D1833" t="str">
            <v>PP ŁOP.1.5D MAC.CH</v>
          </cell>
        </row>
        <row r="1834">
          <cell r="C1834">
            <v>3042759</v>
          </cell>
          <cell r="D1834" t="str">
            <v>PP ŁOP.1.5D MAC.PBX ST1</v>
          </cell>
        </row>
        <row r="1835">
          <cell r="C1835">
            <v>3042892</v>
          </cell>
          <cell r="D1835" t="str">
            <v>PP ŁOP.1.5D MAC.PBX ST2</v>
          </cell>
        </row>
        <row r="1836">
          <cell r="C1836">
            <v>3014204</v>
          </cell>
          <cell r="D1836" t="str">
            <v>***ŁOP.WP.Z/K/SK/GOL.B/M.PODŁOP.USR</v>
          </cell>
        </row>
        <row r="1837">
          <cell r="C1837">
            <v>4010183</v>
          </cell>
          <cell r="D1837" t="str">
            <v>***PL ŁOPZ/K/SK/GOLB/M.PODŁOP.CH PBXHILT</v>
          </cell>
        </row>
        <row r="1838">
          <cell r="C1838">
            <v>4012039</v>
          </cell>
          <cell r="D1838" t="str">
            <v>***EU ŁOP.Z/K/SK/GOL.B/M.PODŁOP.CH PBX.H</v>
          </cell>
        </row>
        <row r="1839">
          <cell r="C1839">
            <v>3005573</v>
          </cell>
          <cell r="D1839" t="str">
            <v>***ŁOP. 3D USR CH</v>
          </cell>
        </row>
        <row r="1840">
          <cell r="C1840">
            <v>4012217</v>
          </cell>
          <cell r="D1840" t="str">
            <v>***PL ŁOP.WP.B/K. WOR.OK15KG PJ EC</v>
          </cell>
        </row>
        <row r="1841">
          <cell r="C1841">
            <v>4010775</v>
          </cell>
          <cell r="D1841" t="str">
            <v>***PL ŁOP.WP.B/K.1STTRM OK15KGPJ ECS</v>
          </cell>
        </row>
        <row r="1842">
          <cell r="C1842">
            <v>4015789</v>
          </cell>
          <cell r="D1842" t="str">
            <v>***PL ŁOP.WP.3D 2STVAC OK15KGKT EX</v>
          </cell>
        </row>
        <row r="1843">
          <cell r="C1843">
            <v>4013730</v>
          </cell>
          <cell r="D1843" t="str">
            <v>***PL ŁOP.WP.3D 1STVAC OK20KGKT MR EX</v>
          </cell>
        </row>
        <row r="1844">
          <cell r="C1844">
            <v>3020955</v>
          </cell>
          <cell r="D1844" t="str">
            <v>***PL ŁOP.WP.3D 1ST VAC OK20KG KT DMR</v>
          </cell>
        </row>
        <row r="1845">
          <cell r="C1845">
            <v>4012214</v>
          </cell>
          <cell r="D1845" t="str">
            <v>***EU ŁOP.WP.B/K. WOR.OK15KG PJ EC</v>
          </cell>
        </row>
        <row r="1846">
          <cell r="C1846">
            <v>4012104</v>
          </cell>
          <cell r="D1846" t="str">
            <v>***EU ŁOP.WP.B/K.1STTRM OK15KGPJ ECS</v>
          </cell>
        </row>
        <row r="1847">
          <cell r="C1847">
            <v>4013732</v>
          </cell>
          <cell r="D1847" t="str">
            <v>***EU ŁOP.WP.3D 1STVAC OK20KGKT MR EX</v>
          </cell>
        </row>
        <row r="1848">
          <cell r="C1848">
            <v>3020956</v>
          </cell>
          <cell r="D1848" t="str">
            <v>***EU ŁOP.WP.3D 1ST VAC OK20KG KT DMR</v>
          </cell>
        </row>
        <row r="1849">
          <cell r="C1849">
            <v>3012375</v>
          </cell>
          <cell r="D1849" t="str">
            <v>***ŁOP.3DB/MTRÓJŁOWEGO/M.GOLONK. CH USR</v>
          </cell>
        </row>
        <row r="1850">
          <cell r="C1850">
            <v>4010007</v>
          </cell>
          <cell r="D1850" t="str">
            <v>PL ŁOP.4D 1STVAC OK8KGKT MOR EX</v>
          </cell>
        </row>
        <row r="1851">
          <cell r="C1851">
            <v>3008798</v>
          </cell>
          <cell r="D1851" t="str">
            <v>***ELEM.ŁOP DO PIECZENIA CH</v>
          </cell>
        </row>
        <row r="1852">
          <cell r="C1852">
            <v>3015074</v>
          </cell>
          <cell r="D1852" t="str">
            <v>ŁOP.2D USR CH</v>
          </cell>
        </row>
        <row r="1853">
          <cell r="C1853">
            <v>3011415</v>
          </cell>
          <cell r="D1853" t="str">
            <v>***ŁOP.2D PB MR ST</v>
          </cell>
        </row>
        <row r="1854">
          <cell r="C1854">
            <v>3020097</v>
          </cell>
          <cell r="D1854" t="str">
            <v>***ŁOP.2D 1ST VAC PJ ST</v>
          </cell>
        </row>
        <row r="1855">
          <cell r="C1855">
            <v>3011399</v>
          </cell>
          <cell r="D1855" t="str">
            <v>***ŁOP.2D LUZ CH PBX ST</v>
          </cell>
        </row>
        <row r="1856">
          <cell r="C1856">
            <v>3011400</v>
          </cell>
          <cell r="D1856" t="str">
            <v>***ŁOP.2D LUZ CH KSP ST</v>
          </cell>
        </row>
        <row r="1857">
          <cell r="C1857">
            <v>3012624</v>
          </cell>
          <cell r="D1857" t="str">
            <v>PL ŁOP.2D PBX MORLINY SZ</v>
          </cell>
        </row>
        <row r="1858">
          <cell r="C1858">
            <v>3012657</v>
          </cell>
          <cell r="D1858" t="str">
            <v>PL ŁOP.2D OK500KG PBX CH EŁ1</v>
          </cell>
        </row>
        <row r="1859">
          <cell r="C1859">
            <v>3011407</v>
          </cell>
          <cell r="D1859" t="str">
            <v>***PL ŁOP.2D PB DMR</v>
          </cell>
        </row>
        <row r="1860">
          <cell r="C1860">
            <v>3011414</v>
          </cell>
          <cell r="D1860" t="str">
            <v>***ŁOP.2D PB RO1</v>
          </cell>
        </row>
        <row r="1861">
          <cell r="C1861">
            <v>3020239</v>
          </cell>
          <cell r="D1861" t="str">
            <v>***ŁOP.2D PB RO2</v>
          </cell>
        </row>
        <row r="1862">
          <cell r="C1862">
            <v>3017476</v>
          </cell>
          <cell r="D1862" t="str">
            <v>***EU ŁOP.2D PB DMR</v>
          </cell>
        </row>
        <row r="1863">
          <cell r="C1863">
            <v>3018916</v>
          </cell>
          <cell r="D1863" t="str">
            <v>PL ŁOP.WP.B/K.KAUF</v>
          </cell>
        </row>
        <row r="1864">
          <cell r="C1864">
            <v>3024889</v>
          </cell>
          <cell r="D1864" t="str">
            <v>***PL ŁOP.WP.B/K.PBX CH KAUF1</v>
          </cell>
        </row>
        <row r="1865">
          <cell r="C1865">
            <v>4013179</v>
          </cell>
          <cell r="D1865" t="str">
            <v>PL ŁOP.WP.B/K.2STMAP 2STKT KAUF</v>
          </cell>
        </row>
        <row r="1866">
          <cell r="C1866">
            <v>4014876</v>
          </cell>
          <cell r="D1866" t="str">
            <v>***PL ŁOP.WP.B/K.OK1.95KGVACOK11.7KGKTKA</v>
          </cell>
        </row>
        <row r="1867">
          <cell r="C1867">
            <v>3025149</v>
          </cell>
          <cell r="D1867" t="str">
            <v>***PL ŁOP.WP.B/K.PBX CH KAUF2</v>
          </cell>
        </row>
        <row r="1868">
          <cell r="C1868">
            <v>3018917</v>
          </cell>
          <cell r="D1868" t="str">
            <v>***EU ŁOPATKA WP.B/K.KAUF</v>
          </cell>
        </row>
        <row r="1869">
          <cell r="C1869">
            <v>3024890</v>
          </cell>
          <cell r="D1869" t="str">
            <v>***EU ŁOP.WP.B/K.PBX CH KAUF1</v>
          </cell>
        </row>
        <row r="1870">
          <cell r="C1870">
            <v>4013180</v>
          </cell>
          <cell r="D1870" t="str">
            <v>***EU ŁOP.WP.B/K.2ST MAP 2ST KT KAUF</v>
          </cell>
        </row>
        <row r="1871">
          <cell r="C1871">
            <v>4014877</v>
          </cell>
          <cell r="D1871" t="str">
            <v>***EU ŁOP.WP.B/K.OK1.95KGVACOK11.7KGKTKA</v>
          </cell>
        </row>
        <row r="1872">
          <cell r="C1872">
            <v>3025150</v>
          </cell>
          <cell r="D1872" t="str">
            <v>***EU ŁOP.WP.B/K.PBX CH KAUF2</v>
          </cell>
        </row>
        <row r="1873">
          <cell r="C1873">
            <v>3023586</v>
          </cell>
          <cell r="D1873" t="str">
            <v>PL ŁOP.B/K/SK.CH1</v>
          </cell>
        </row>
        <row r="1874">
          <cell r="C1874">
            <v>3023589</v>
          </cell>
          <cell r="D1874" t="str">
            <v>PL ŁOP.B/K/SK.CH2</v>
          </cell>
        </row>
        <row r="1875">
          <cell r="C1875">
            <v>3004390</v>
          </cell>
          <cell r="D1875" t="str">
            <v>***ŁOP.Z/K/GOL/SK USR CH</v>
          </cell>
        </row>
        <row r="1876">
          <cell r="C1876">
            <v>3014624</v>
          </cell>
          <cell r="D1876" t="str">
            <v>***PL ŁOP.Z/K/GOL/SK.PBX ST</v>
          </cell>
        </row>
        <row r="1877">
          <cell r="C1877">
            <v>3007566</v>
          </cell>
          <cell r="D1877" t="str">
            <v>ŁOP.Z/K/GOL/SK CH ZAK</v>
          </cell>
        </row>
        <row r="1878">
          <cell r="C1878">
            <v>3017597</v>
          </cell>
          <cell r="D1878" t="str">
            <v>***EU ŁOP.Z/K/GOL/SK.PBX ST</v>
          </cell>
        </row>
        <row r="1879">
          <cell r="C1879">
            <v>3007567</v>
          </cell>
          <cell r="D1879" t="str">
            <v>***ŁOP.Z/K.B/GOL OBR CH</v>
          </cell>
        </row>
        <row r="1880">
          <cell r="C1880">
            <v>4003789</v>
          </cell>
          <cell r="D1880" t="str">
            <v>***ŁOP.WP. Z/K B/GOL.OBR. LUZ KT</v>
          </cell>
        </row>
        <row r="1881">
          <cell r="C1881">
            <v>3012467</v>
          </cell>
          <cell r="D1881" t="str">
            <v>***ŁOP.3D B/M.TRÓJGŁ./M.GOLONK. KL.S CH</v>
          </cell>
        </row>
        <row r="1882">
          <cell r="C1882">
            <v>3004402</v>
          </cell>
          <cell r="D1882" t="str">
            <v>***ŁOP.4D USR CH</v>
          </cell>
        </row>
        <row r="1883">
          <cell r="C1883">
            <v>3007568</v>
          </cell>
          <cell r="D1883" t="str">
            <v>ŁOP. 4D NB MR ST</v>
          </cell>
        </row>
        <row r="1884">
          <cell r="C1884">
            <v>4009582</v>
          </cell>
          <cell r="D1884" t="str">
            <v>***PL ŁOP.4D PB MR RU</v>
          </cell>
        </row>
        <row r="1885">
          <cell r="C1885">
            <v>4001779</v>
          </cell>
          <cell r="D1885" t="str">
            <v>PL ŁOP.4D OK15KG WOR KT CH</v>
          </cell>
        </row>
        <row r="1886">
          <cell r="C1886">
            <v>4008806</v>
          </cell>
          <cell r="D1886" t="str">
            <v>***PL ŁOP.B/K.LUZ OK15KG KT CH TIP</v>
          </cell>
        </row>
        <row r="1887">
          <cell r="C1887">
            <v>3042680</v>
          </cell>
          <cell r="D1887" t="str">
            <v>PL ŁOP.4D OK20KGWOR PJ AF ST</v>
          </cell>
        </row>
        <row r="1888">
          <cell r="C1888">
            <v>4013594</v>
          </cell>
          <cell r="D1888" t="str">
            <v>PL ŁOP.4D OK20KG PB MR EX</v>
          </cell>
        </row>
        <row r="1889">
          <cell r="C1889">
            <v>4008151</v>
          </cell>
          <cell r="D1889" t="str">
            <v>***PL ŁOP.4D OK15KG KT MR EX RU</v>
          </cell>
        </row>
        <row r="1890">
          <cell r="C1890">
            <v>4023277</v>
          </cell>
          <cell r="D1890" t="str">
            <v>***PL ŁOP.4D 2STMAP 2STKT KAUF</v>
          </cell>
        </row>
        <row r="1891">
          <cell r="C1891">
            <v>4016209</v>
          </cell>
          <cell r="D1891" t="str">
            <v>***PL ŁOP.WP.4D OK1KGVAC OK6KGKT ME</v>
          </cell>
        </row>
        <row r="1892">
          <cell r="C1892">
            <v>4001780</v>
          </cell>
          <cell r="D1892" t="str">
            <v>PL ŁOP.4D 1STVAC OK18KGPJ</v>
          </cell>
        </row>
        <row r="1893">
          <cell r="C1893">
            <v>4009135</v>
          </cell>
          <cell r="D1893" t="str">
            <v>PL ŁOP.4D 1STVAC OK15KG PJ ECS</v>
          </cell>
        </row>
        <row r="1894">
          <cell r="C1894">
            <v>4008306</v>
          </cell>
          <cell r="D1894" t="str">
            <v>***PL ŁOP.4D VAC KT CH TESC</v>
          </cell>
        </row>
        <row r="1895">
          <cell r="C1895">
            <v>4009455</v>
          </cell>
          <cell r="D1895" t="str">
            <v>***PL ŁOP.4D OK1KG VAC OK6KG KT RU</v>
          </cell>
        </row>
        <row r="1896">
          <cell r="C1896">
            <v>4012783</v>
          </cell>
          <cell r="D1896" t="str">
            <v>PL ŁOP.4D 1STVAC OK10KGKT PIP</v>
          </cell>
        </row>
        <row r="1897">
          <cell r="C1897">
            <v>4013333</v>
          </cell>
          <cell r="D1897" t="str">
            <v>PL ŁOP.4D OK1KGVAC OK6KGKT BIED</v>
          </cell>
        </row>
        <row r="1898">
          <cell r="C1898">
            <v>4013698</v>
          </cell>
          <cell r="D1898" t="str">
            <v>***PL ŁOP.WP.B/K.OK1KGVAC OK4.2KGKT MOR</v>
          </cell>
        </row>
        <row r="1899">
          <cell r="C1899">
            <v>4013889</v>
          </cell>
          <cell r="D1899" t="str">
            <v>PL ŁOP.WP.4D 1STVAC OK15KG PJ STO</v>
          </cell>
        </row>
        <row r="1900">
          <cell r="C1900">
            <v>4009894</v>
          </cell>
          <cell r="D1900" t="str">
            <v>***PL ŁOP.4D 1ST VAC OK15KG KT SK</v>
          </cell>
        </row>
        <row r="1901">
          <cell r="C1901">
            <v>4015492</v>
          </cell>
          <cell r="D1901" t="str">
            <v>PP ŁOP.WP.B/K.OK1.4KGVAC OK8.4KGKT LIDL</v>
          </cell>
        </row>
        <row r="1902">
          <cell r="C1902">
            <v>4015774</v>
          </cell>
          <cell r="D1902" t="str">
            <v>***PL ŁOP.WP.4D OK1KG VAC 6KG KT POLM</v>
          </cell>
        </row>
        <row r="1903">
          <cell r="C1903">
            <v>4015793</v>
          </cell>
          <cell r="D1903" t="str">
            <v>***PL ŁOP.WP.4D 2ST VAC OK15 KG KT EX</v>
          </cell>
        </row>
        <row r="1904">
          <cell r="C1904">
            <v>4008886</v>
          </cell>
          <cell r="D1904" t="str">
            <v>***PL ŁOP.4D 1ST TRM OK15KG RU</v>
          </cell>
        </row>
        <row r="1905">
          <cell r="C1905">
            <v>4016682</v>
          </cell>
          <cell r="D1905" t="str">
            <v>PL ŁOP.WP.B/K.OK1.5KGVAC OK10KGKT KAUF</v>
          </cell>
        </row>
        <row r="1906">
          <cell r="C1906">
            <v>4012649</v>
          </cell>
          <cell r="D1906" t="str">
            <v>***PL ŁOP.4D 1STVAC OK15KGKT</v>
          </cell>
        </row>
        <row r="1907">
          <cell r="C1907">
            <v>4015414</v>
          </cell>
          <cell r="D1907" t="str">
            <v>***PL ŁOP.4D 1STVAC OK12KGKT SEL</v>
          </cell>
        </row>
        <row r="1908">
          <cell r="C1908">
            <v>4016951</v>
          </cell>
          <cell r="D1908" t="str">
            <v>PL ŁOP.WP.B/K.OK1.4KGVACOK8.4KGKT LIDLLT</v>
          </cell>
        </row>
        <row r="1909">
          <cell r="C1909">
            <v>4017138</v>
          </cell>
          <cell r="D1909" t="str">
            <v>PL ŁOP.4D 1STVAC 20KGKT EX</v>
          </cell>
        </row>
        <row r="1910">
          <cell r="C1910">
            <v>4017710</v>
          </cell>
          <cell r="D1910" t="str">
            <v>***PL ŁOP.WP.B/K.OK1KGVAC OK15KGKT AUCH</v>
          </cell>
        </row>
        <row r="1911">
          <cell r="C1911">
            <v>4017758</v>
          </cell>
          <cell r="D1911" t="str">
            <v>PL ŁOP.WP.B/K.OK1.4KGVACOK8.4KGKT LIDLSK</v>
          </cell>
        </row>
        <row r="1912">
          <cell r="C1912">
            <v>4018015</v>
          </cell>
          <cell r="D1912" t="str">
            <v>PL ŁOP.4D 1STVAC OK18KGKT MET</v>
          </cell>
        </row>
        <row r="1913">
          <cell r="C1913">
            <v>4019630</v>
          </cell>
          <cell r="D1913" t="str">
            <v>PP ŁOP.4D 1STVAC OK4KGKT BIED</v>
          </cell>
        </row>
        <row r="1914">
          <cell r="C1914">
            <v>4019879</v>
          </cell>
          <cell r="D1914" t="str">
            <v>PL ŁOP.4D 1STVAC OK20KGKT KAUF BG</v>
          </cell>
        </row>
        <row r="1915">
          <cell r="C1915">
            <v>4021939</v>
          </cell>
          <cell r="D1915" t="str">
            <v>PL ŁOP.4D 1STVAC MAX20KG PJ POLM</v>
          </cell>
        </row>
        <row r="1916">
          <cell r="C1916">
            <v>4023737</v>
          </cell>
          <cell r="D1916" t="str">
            <v>***PL ŁOP.4D 2STVAC 2STKT KAUF</v>
          </cell>
        </row>
        <row r="1917">
          <cell r="C1917">
            <v>4019397</v>
          </cell>
          <cell r="D1917" t="str">
            <v>PL ŁOP.4D 1STVAC OK14KGKT PREM.SEL</v>
          </cell>
        </row>
        <row r="1918">
          <cell r="C1918">
            <v>4024459</v>
          </cell>
          <cell r="D1918" t="str">
            <v>***PL ŁOP.4D OK1.4KGVAC OK8.4KGKT LIDL</v>
          </cell>
        </row>
        <row r="1919">
          <cell r="C1919">
            <v>4024476</v>
          </cell>
          <cell r="D1919" t="str">
            <v>PL ŁOP.4D 1STVAC OK20KGKT MET RU</v>
          </cell>
        </row>
        <row r="1920">
          <cell r="C1920">
            <v>4024965</v>
          </cell>
          <cell r="D1920" t="str">
            <v>PL ŁOP.4D 1STVAC OK14KGKT MORE EX</v>
          </cell>
        </row>
        <row r="1921">
          <cell r="C1921">
            <v>4026702</v>
          </cell>
          <cell r="D1921" t="str">
            <v>PL ŁOP.4D OK1KGVAC OK6KGKT 3OB BIED</v>
          </cell>
        </row>
        <row r="1922">
          <cell r="C1922">
            <v>4025611</v>
          </cell>
          <cell r="D1922" t="str">
            <v>PL ŁOP.4D OK15KGLUZ PJ AGRO</v>
          </cell>
        </row>
        <row r="1923">
          <cell r="C1923">
            <v>3007569</v>
          </cell>
          <cell r="D1923" t="str">
            <v>PL ŁOP.4D OK15KGLUZ PJ ST</v>
          </cell>
        </row>
        <row r="1924">
          <cell r="C1924">
            <v>4010119</v>
          </cell>
          <cell r="D1924" t="str">
            <v>***PL ŁOP.4D LUZ OK15KG PJ CH 11681 HILT</v>
          </cell>
        </row>
        <row r="1925">
          <cell r="C1925">
            <v>4013222</v>
          </cell>
          <cell r="D1925" t="str">
            <v>***PL ŁOP.WP.4D LUZ WOR OK15KG PJ CH EX</v>
          </cell>
        </row>
        <row r="1926">
          <cell r="C1926">
            <v>4024921</v>
          </cell>
          <cell r="D1926" t="str">
            <v>PL ŁOP.4D MAX20KGWOR PJ POLM</v>
          </cell>
        </row>
        <row r="1927">
          <cell r="C1927">
            <v>4027447</v>
          </cell>
          <cell r="D1927" t="str">
            <v>PL ŁOP.4D 1STVAC OK20KGKT MR EX</v>
          </cell>
        </row>
        <row r="1928">
          <cell r="C1928">
            <v>4030315</v>
          </cell>
          <cell r="D1928" t="str">
            <v>PL ŁOP.4D 1STVAC OK20KGKT MET HU</v>
          </cell>
        </row>
        <row r="1929">
          <cell r="C1929">
            <v>4030300</v>
          </cell>
          <cell r="D1929" t="str">
            <v>PL ŁOP.4D 1STVAC OK20KGKT MET CZ</v>
          </cell>
        </row>
        <row r="1930">
          <cell r="C1930">
            <v>4030978</v>
          </cell>
          <cell r="D1930" t="str">
            <v>PL ŁOP.4D 1STVAC OK14KGKT KAUF</v>
          </cell>
        </row>
        <row r="1931">
          <cell r="C1931">
            <v>3040940</v>
          </cell>
          <cell r="D1931" t="str">
            <v>PL ŁOP.4D PBX ST</v>
          </cell>
        </row>
        <row r="1932">
          <cell r="C1932">
            <v>4030116</v>
          </cell>
          <cell r="D1932" t="str">
            <v>PL ŁOP.4D 1STVAC OK15KGKT AUCH</v>
          </cell>
        </row>
        <row r="1933">
          <cell r="C1933">
            <v>3007026</v>
          </cell>
          <cell r="D1933" t="str">
            <v>***ŁOP.B/K 4D ZM PBX MORL SZ</v>
          </cell>
        </row>
        <row r="1934">
          <cell r="C1934">
            <v>3031570</v>
          </cell>
          <cell r="D1934" t="str">
            <v>ŁOP.4D OK20KG PB MR ZAK</v>
          </cell>
        </row>
        <row r="1935">
          <cell r="C1935">
            <v>3003297</v>
          </cell>
          <cell r="D1935" t="str">
            <v>***ŁOP.4D OK.15,00KG WOR PJ CH EŁ</v>
          </cell>
        </row>
        <row r="1936">
          <cell r="C1936">
            <v>3031503</v>
          </cell>
          <cell r="D1936" t="str">
            <v>ŁOP.WP.4D ZAK</v>
          </cell>
        </row>
        <row r="1937">
          <cell r="C1937">
            <v>3031672</v>
          </cell>
          <cell r="D1937" t="str">
            <v>***ŁOP.WP.4DOK20KGLUZ PJ K4 ZAK</v>
          </cell>
        </row>
        <row r="1938">
          <cell r="C1938">
            <v>3007571</v>
          </cell>
          <cell r="D1938" t="str">
            <v>PL ŁOP.4D NB DMR</v>
          </cell>
        </row>
        <row r="1939">
          <cell r="C1939">
            <v>3011839</v>
          </cell>
          <cell r="D1939" t="str">
            <v>***PL ŁOP.4D PB DMR</v>
          </cell>
        </row>
        <row r="1940">
          <cell r="C1940">
            <v>3020053</v>
          </cell>
          <cell r="D1940" t="str">
            <v>PL ŁOP.4D OK20KG PB DMR EX</v>
          </cell>
        </row>
        <row r="1941">
          <cell r="C1941">
            <v>3008948</v>
          </cell>
          <cell r="D1941" t="str">
            <v>***PL ŁOP.4D LUZ KT DMR</v>
          </cell>
        </row>
        <row r="1942">
          <cell r="C1942">
            <v>3041610</v>
          </cell>
          <cell r="D1942" t="str">
            <v>PL ŁOP.4D 1STVAC OK20KGKT DMR</v>
          </cell>
        </row>
        <row r="1943">
          <cell r="C1943">
            <v>3007572</v>
          </cell>
          <cell r="D1943" t="str">
            <v>ŁOP.4D NB RO1</v>
          </cell>
        </row>
        <row r="1944">
          <cell r="C1944">
            <v>3014547</v>
          </cell>
          <cell r="D1944" t="str">
            <v>ŁOP.WP.4D RO</v>
          </cell>
        </row>
        <row r="1945">
          <cell r="C1945">
            <v>3020240</v>
          </cell>
          <cell r="D1945" t="str">
            <v>ŁOP.4D NB RO2</v>
          </cell>
        </row>
        <row r="1946">
          <cell r="C1946">
            <v>4011951</v>
          </cell>
          <cell r="D1946" t="str">
            <v>***EU ŁOP.4D PB MR RU</v>
          </cell>
        </row>
        <row r="1947">
          <cell r="C1947">
            <v>4011458</v>
          </cell>
          <cell r="D1947" t="str">
            <v>***EU ŁOP.4D OK15KG WOR KT CH</v>
          </cell>
        </row>
        <row r="1948">
          <cell r="C1948">
            <v>4011843</v>
          </cell>
          <cell r="D1948" t="str">
            <v>***EU ŁOP.B/K.LUZ OK15KG KT CH TIP</v>
          </cell>
        </row>
        <row r="1949">
          <cell r="C1949">
            <v>4011769</v>
          </cell>
          <cell r="D1949" t="str">
            <v>***EU ŁOP.4D OK15KG KT MR EX RU</v>
          </cell>
        </row>
        <row r="1950">
          <cell r="C1950">
            <v>4011846</v>
          </cell>
          <cell r="D1950" t="str">
            <v>***EU ŁOP.B/K.VAC OK20KG KT CH TIP</v>
          </cell>
        </row>
        <row r="1951">
          <cell r="C1951">
            <v>4011459</v>
          </cell>
          <cell r="D1951" t="str">
            <v>EU ŁOP.4D 1STVAC OK18KGPJ</v>
          </cell>
        </row>
        <row r="1952">
          <cell r="C1952">
            <v>4011888</v>
          </cell>
          <cell r="D1952" t="str">
            <v>EU ŁOP.4D 1STVAC OK15KGPJ ECS</v>
          </cell>
        </row>
        <row r="1953">
          <cell r="C1953">
            <v>4011780</v>
          </cell>
          <cell r="D1953" t="str">
            <v>***EU ŁOP.4D VAC KT CH TESCO</v>
          </cell>
        </row>
        <row r="1954">
          <cell r="C1954">
            <v>4011923</v>
          </cell>
          <cell r="D1954" t="str">
            <v>***EU ŁOP.4D OK1KG VAC OK6KG KT RU</v>
          </cell>
        </row>
        <row r="1955">
          <cell r="C1955">
            <v>4012784</v>
          </cell>
          <cell r="D1955" t="str">
            <v>***EU ŁOP.B/K.4D 1STVAC OK10KGKT</v>
          </cell>
        </row>
        <row r="1956">
          <cell r="C1956">
            <v>4029485</v>
          </cell>
          <cell r="D1956" t="str">
            <v>EU ŁOP.4D OK1KGVAC OK6KGKT BIED</v>
          </cell>
        </row>
        <row r="1957">
          <cell r="C1957">
            <v>4013699</v>
          </cell>
          <cell r="D1957" t="str">
            <v>***EU ŁOP.WP.B/K.OK1KGVAC OK4.2KGKT MOR</v>
          </cell>
        </row>
        <row r="1958">
          <cell r="C1958">
            <v>4013890</v>
          </cell>
          <cell r="D1958" t="str">
            <v>EU ŁOP.WP.4D 1STVAC OK15KGPJ STO</v>
          </cell>
        </row>
        <row r="1959">
          <cell r="C1959">
            <v>4011986</v>
          </cell>
          <cell r="D1959" t="str">
            <v>***ŁOP.4D 1ST VAC OK15KG KT SK</v>
          </cell>
        </row>
        <row r="1960">
          <cell r="C1960">
            <v>4011867</v>
          </cell>
          <cell r="D1960" t="str">
            <v>***EU ŁOP.4D 1ST TRM OK15KG RU</v>
          </cell>
        </row>
        <row r="1961">
          <cell r="C1961">
            <v>4016683</v>
          </cell>
          <cell r="D1961" t="str">
            <v>EU ŁOP.4D OK1.5KGVAC OK10KGKT KAUF</v>
          </cell>
        </row>
        <row r="1962">
          <cell r="C1962">
            <v>4012636</v>
          </cell>
          <cell r="D1962" t="str">
            <v>***EU ŁOP.4D 1STVAC OK15KGKT</v>
          </cell>
        </row>
        <row r="1963">
          <cell r="C1963">
            <v>4017689</v>
          </cell>
          <cell r="D1963" t="str">
            <v>***EU ŁOP.WP.B/K.OK1KGVACOK15KGKTAUCH</v>
          </cell>
        </row>
        <row r="1964">
          <cell r="C1964">
            <v>4029633</v>
          </cell>
          <cell r="D1964" t="str">
            <v>EU ŁOP.4D 1STVAC OK20KGKT MET</v>
          </cell>
        </row>
        <row r="1965">
          <cell r="C1965">
            <v>4019893</v>
          </cell>
          <cell r="D1965" t="str">
            <v>***EU ŁOP.4D 1STVAC OK20KGKT KAUF BG</v>
          </cell>
        </row>
        <row r="1966">
          <cell r="C1966">
            <v>4027811</v>
          </cell>
          <cell r="D1966" t="str">
            <v>EU ŁOP.4D 1STVAC MAX20KG PJ POLM</v>
          </cell>
        </row>
        <row r="1967">
          <cell r="C1967">
            <v>4012028</v>
          </cell>
          <cell r="D1967" t="str">
            <v>***EU ŁOP.4D LUZ OK15KG PJ CH 11681 HILT</v>
          </cell>
        </row>
        <row r="1968">
          <cell r="C1968">
            <v>4013223</v>
          </cell>
          <cell r="D1968" t="str">
            <v>***EU ŁOP.WP.4D LUZ WOR OK15KG PJ CH EX</v>
          </cell>
        </row>
        <row r="1969">
          <cell r="C1969">
            <v>4029558</v>
          </cell>
          <cell r="D1969" t="str">
            <v>EU ŁOP.4D MAX20KGWOR PJ POLM</v>
          </cell>
        </row>
        <row r="1970">
          <cell r="C1970">
            <v>4030393</v>
          </cell>
          <cell r="D1970" t="str">
            <v>EU ŁOP.4D 1STVAC OK20KGKT MR EX</v>
          </cell>
        </row>
        <row r="1971">
          <cell r="C1971">
            <v>3017483</v>
          </cell>
          <cell r="D1971" t="str">
            <v>***EU ŁOP.4D PB DMR</v>
          </cell>
        </row>
        <row r="1972">
          <cell r="C1972">
            <v>3017430</v>
          </cell>
          <cell r="D1972" t="str">
            <v>***EU ŁOP.4D LUZ KT DMR</v>
          </cell>
        </row>
        <row r="1973">
          <cell r="C1973">
            <v>3045856</v>
          </cell>
          <cell r="D1973" t="str">
            <v>EU ŁOP.4D 1STVAC OK20KGKT DMR</v>
          </cell>
        </row>
        <row r="1974">
          <cell r="C1974">
            <v>3009219</v>
          </cell>
          <cell r="D1974" t="str">
            <v>***ŁOP.4D UŚR</v>
          </cell>
        </row>
        <row r="1975">
          <cell r="C1975">
            <v>3046769</v>
          </cell>
          <cell r="D1975" t="str">
            <v>PL ŁOP.4D OK20KGWOR PJ GAP ST</v>
          </cell>
        </row>
        <row r="1976">
          <cell r="C1976">
            <v>3007573</v>
          </cell>
          <cell r="D1976" t="str">
            <v>***ELEM.ŁOP CAŁA CH</v>
          </cell>
        </row>
        <row r="1977">
          <cell r="C1977">
            <v>4003795</v>
          </cell>
          <cell r="D1977" t="str">
            <v>***PL ŁOP.B/K.OK1KG MAP OK6KG KT BIED</v>
          </cell>
        </row>
        <row r="1978">
          <cell r="C1978">
            <v>4003796</v>
          </cell>
          <cell r="D1978" t="str">
            <v>***PL ŁOP.CAŁA B/K.MAP DO 1KG REAL</v>
          </cell>
        </row>
        <row r="1979">
          <cell r="C1979">
            <v>4003797</v>
          </cell>
          <cell r="D1979" t="str">
            <v>***PL ŁOP.4D OK1KGMAP OK4KGKT LIDL</v>
          </cell>
        </row>
        <row r="1980">
          <cell r="C1980">
            <v>4005492</v>
          </cell>
          <cell r="D1980" t="str">
            <v>***PL ŁOP.4D OK1KG MAP OK6KG KT LIDL LT</v>
          </cell>
        </row>
        <row r="1981">
          <cell r="C1981">
            <v>4006176</v>
          </cell>
          <cell r="D1981" t="str">
            <v>***PL ŁOP.CAŁA B/K.MAP STO</v>
          </cell>
        </row>
        <row r="1982">
          <cell r="C1982">
            <v>4013388</v>
          </cell>
          <cell r="D1982" t="str">
            <v>***PL ŁOP.B/K.OK1KGMAP OK6KGKT AUCH</v>
          </cell>
        </row>
        <row r="1983">
          <cell r="C1983">
            <v>4016973</v>
          </cell>
          <cell r="D1983" t="str">
            <v>***PL ŁOP.4D OK1KGMAP OK4KGKT LIDL LT</v>
          </cell>
        </row>
        <row r="1984">
          <cell r="C1984">
            <v>4008820</v>
          </cell>
          <cell r="D1984" t="str">
            <v>***PL ŁOPB/KOK1KGVAC OK5KG SK PROMO TESC</v>
          </cell>
        </row>
        <row r="1985">
          <cell r="C1985">
            <v>4009868</v>
          </cell>
          <cell r="D1985" t="str">
            <v>***PL ŁOP.B/K.OK1KG VAC OK5KG SK CH TESC</v>
          </cell>
        </row>
        <row r="1986">
          <cell r="C1986">
            <v>4011129</v>
          </cell>
          <cell r="D1986" t="str">
            <v>***PL ŁOP.B/K.OK1KGVAC OK20KG KT CH CARR</v>
          </cell>
        </row>
        <row r="1987">
          <cell r="C1987">
            <v>4011131</v>
          </cell>
          <cell r="D1987" t="str">
            <v>***PL ŁOP.B/K.1STTRM OK20KGKT CH CARR</v>
          </cell>
        </row>
        <row r="1988">
          <cell r="C1988">
            <v>4011130</v>
          </cell>
          <cell r="D1988" t="str">
            <v>***PL ŁOP.B/K.1STTRM OK6KGKT CH CARR</v>
          </cell>
        </row>
        <row r="1989">
          <cell r="C1989">
            <v>3016186</v>
          </cell>
          <cell r="D1989" t="str">
            <v>PL ŁOP.B/K/MŚ.GOL.1305 OK15KGLUZ PJ SZ</v>
          </cell>
        </row>
        <row r="1990">
          <cell r="C1990">
            <v>3005544</v>
          </cell>
          <cell r="D1990" t="str">
            <v>***PL ŁOP.B/K.WOR PJ CH CON BIED SZ</v>
          </cell>
        </row>
        <row r="1991">
          <cell r="C1991">
            <v>3015081</v>
          </cell>
          <cell r="D1991" t="str">
            <v>***PL ŁOP.6D OK15KG WOR PJ CH EŁ</v>
          </cell>
        </row>
        <row r="1992">
          <cell r="C1992">
            <v>4011595</v>
          </cell>
          <cell r="D1992" t="str">
            <v>***EU ŁOP.CAŁA B/K.MAP DO 1KG REAL</v>
          </cell>
        </row>
        <row r="1993">
          <cell r="C1993">
            <v>4011596</v>
          </cell>
          <cell r="D1993" t="str">
            <v>***EU ŁOP.4D OK1KG MAP 4KG KT LIDL</v>
          </cell>
        </row>
        <row r="1994">
          <cell r="C1994">
            <v>4011629</v>
          </cell>
          <cell r="D1994" t="str">
            <v>***EU ŁOP.4D OK1KGMAP OK6KGKT LIDL LT</v>
          </cell>
        </row>
        <row r="1995">
          <cell r="C1995">
            <v>4011646</v>
          </cell>
          <cell r="D1995" t="str">
            <v>***EU ŁOP.CAŁA B/K.MAP STO</v>
          </cell>
        </row>
        <row r="1996">
          <cell r="C1996">
            <v>4013391</v>
          </cell>
          <cell r="D1996" t="str">
            <v>***EU ŁOP.B/K.OK1KGMAPOK6KGKT AUCH</v>
          </cell>
        </row>
        <row r="1997">
          <cell r="C1997">
            <v>4011849</v>
          </cell>
          <cell r="D1997" t="str">
            <v>***EU ŁOP.B/K.OK1KGVACOK5KGSK PROMOTESCO</v>
          </cell>
        </row>
        <row r="1998">
          <cell r="C1998">
            <v>4011980</v>
          </cell>
          <cell r="D1998" t="str">
            <v>***EU ŁOP.B/K.OK1KGVAC OK5KG SK CH TESCO</v>
          </cell>
        </row>
        <row r="1999">
          <cell r="C1999">
            <v>4012166</v>
          </cell>
          <cell r="D1999" t="str">
            <v>***EU ŁOP.B/K.OK1KGVAC OK20KGKT CH CARR</v>
          </cell>
        </row>
        <row r="2000">
          <cell r="C2000">
            <v>4012168</v>
          </cell>
          <cell r="D2000" t="str">
            <v>***EUŁOP.B/K.1STTRM OK20KGKT CH CARR</v>
          </cell>
        </row>
        <row r="2001">
          <cell r="C2001">
            <v>4012167</v>
          </cell>
          <cell r="D2001" t="str">
            <v>***EU ŁOP.B/K.1STTRM OK6KGKT CH CARR</v>
          </cell>
        </row>
        <row r="2002">
          <cell r="C2002">
            <v>3017817</v>
          </cell>
          <cell r="D2002" t="str">
            <v>DE ŁOP.B/K.WOR PJ CH CONS.BIED SZ</v>
          </cell>
        </row>
        <row r="2003">
          <cell r="C2003">
            <v>3012376</v>
          </cell>
          <cell r="D2003" t="str">
            <v>***PL ŁOP.3D B/M.TRÓJG/M.GOL.CH</v>
          </cell>
        </row>
        <row r="2004">
          <cell r="C2004">
            <v>3017527</v>
          </cell>
          <cell r="D2004" t="str">
            <v>***EU ŁOP.3D B/M.TRÓJG/M.GOL.CH</v>
          </cell>
        </row>
        <row r="2005">
          <cell r="C2005">
            <v>3008909</v>
          </cell>
          <cell r="D2005" t="str">
            <v>***MRTRÓJGŁOWY WP. Z ŁOPATKI CH</v>
          </cell>
        </row>
        <row r="2006">
          <cell r="C2006">
            <v>3016421</v>
          </cell>
          <cell r="D2006" t="str">
            <v>***MŚ.TRÓJGŁ.Z/ŁOP.NB MR</v>
          </cell>
        </row>
        <row r="2007">
          <cell r="C2007">
            <v>4009137</v>
          </cell>
          <cell r="D2007" t="str">
            <v>***MŚ TRÓJGŁ.OK3KG VAC OK20KG KT KJM ROS</v>
          </cell>
        </row>
        <row r="2008">
          <cell r="C2008">
            <v>4010950</v>
          </cell>
          <cell r="D2008" t="str">
            <v>***PL ŁOP.DO PIECZ.2STTRMOK8KG KT MOR EX</v>
          </cell>
        </row>
        <row r="2009">
          <cell r="C2009">
            <v>4008888</v>
          </cell>
          <cell r="D2009" t="str">
            <v>***MŚ.TRÓJGŁOWY 1SZT TRM OK.20KG KT ROS</v>
          </cell>
        </row>
        <row r="2010">
          <cell r="C2010">
            <v>3016420</v>
          </cell>
          <cell r="D2010" t="str">
            <v>***MŚ.TRÓJGŁ.Z/ŁOP.NB DMR</v>
          </cell>
        </row>
        <row r="2011">
          <cell r="C2011">
            <v>3016279</v>
          </cell>
          <cell r="D2011" t="str">
            <v>***MŚ.TRÓJGŁ.Z /ŁOP.NB RO1</v>
          </cell>
        </row>
        <row r="2012">
          <cell r="C2012">
            <v>3020241</v>
          </cell>
          <cell r="D2012" t="str">
            <v>***MŚ.TRÓJGŁ.Z /ŁOP.NB RO2</v>
          </cell>
        </row>
        <row r="2013">
          <cell r="C2013">
            <v>3009616</v>
          </cell>
          <cell r="D2013" t="str">
            <v>***MŚ.TRÓJGŁOWY B/TŁ. PL USR</v>
          </cell>
        </row>
        <row r="2014">
          <cell r="C2014">
            <v>3007575</v>
          </cell>
          <cell r="D2014" t="str">
            <v>ELEM.ŁOP WĘDZONKA BOCZKOWA CH</v>
          </cell>
        </row>
        <row r="2015">
          <cell r="C2015">
            <v>3007576</v>
          </cell>
          <cell r="D2015" t="str">
            <v>***ELEM.ŁOP WĘDZONKA BOCZKOWA NB MR</v>
          </cell>
        </row>
        <row r="2016">
          <cell r="C2016">
            <v>3007577</v>
          </cell>
          <cell r="D2016" t="str">
            <v>ELEM.ŁOP WĘDZONKA BOCZKOWA CH ZAK</v>
          </cell>
        </row>
        <row r="2017">
          <cell r="C2017">
            <v>3007578</v>
          </cell>
          <cell r="D2017" t="str">
            <v>***ELEM.ŁOP WĘDZONKA BOCZKOWA MR ZAK</v>
          </cell>
        </row>
        <row r="2018">
          <cell r="C2018">
            <v>3007579</v>
          </cell>
          <cell r="D2018" t="str">
            <v>***ELEM.ŁOP WĘDZONKA BOCZKOWA NB DMR</v>
          </cell>
        </row>
        <row r="2019">
          <cell r="C2019">
            <v>3007580</v>
          </cell>
          <cell r="D2019" t="str">
            <v>***ELEM.ŁOP WĘDZONKA BOCZKOWA NB RO1</v>
          </cell>
        </row>
        <row r="2020">
          <cell r="C2020">
            <v>3020242</v>
          </cell>
          <cell r="D2020" t="str">
            <v>***ELEM.ŁOP WĘDZONKA BOCZKOWA NB RO2</v>
          </cell>
        </row>
        <row r="2021">
          <cell r="C2021">
            <v>3007581</v>
          </cell>
          <cell r="D2021" t="str">
            <v>***ŁOP.Z/K/SK.B/GOL CH</v>
          </cell>
        </row>
        <row r="2022">
          <cell r="C2022">
            <v>4003798</v>
          </cell>
          <cell r="D2022" t="str">
            <v>***ŁOP.WP. Z/K B/GOL. LUZ KT</v>
          </cell>
        </row>
        <row r="2023">
          <cell r="C2023">
            <v>4008811</v>
          </cell>
          <cell r="D2023" t="str">
            <v>***ŁOP.WP.Z/K LUZ OK 15KG KT TIP</v>
          </cell>
        </row>
        <row r="2024">
          <cell r="C2024">
            <v>4008257</v>
          </cell>
          <cell r="D2024" t="str">
            <v>***ŁOPATKA WP Z/K/SK  B/GOL LUZ CH KT</v>
          </cell>
        </row>
        <row r="2025">
          <cell r="C2025">
            <v>3011279</v>
          </cell>
          <cell r="D2025" t="str">
            <v>PL MŚ.GOL.ŁOP.CH</v>
          </cell>
        </row>
        <row r="2026">
          <cell r="C2026">
            <v>3041440</v>
          </cell>
          <cell r="D2026" t="str">
            <v>PL MŚ.GOL.ŁOP.OK20KG NB MR ST</v>
          </cell>
        </row>
        <row r="2027">
          <cell r="C2027">
            <v>3011841</v>
          </cell>
          <cell r="D2027" t="str">
            <v>***MŚ.GOL.Z ŁOP.PB MR ST</v>
          </cell>
        </row>
        <row r="2028">
          <cell r="C2028">
            <v>3011290</v>
          </cell>
          <cell r="D2028" t="str">
            <v>MŚ.GOL.ŁOP.PBX ST</v>
          </cell>
        </row>
        <row r="2029">
          <cell r="C2029">
            <v>3038950</v>
          </cell>
          <cell r="D2029" t="str">
            <v>PL MŚ.GOL.ŁOP.OK20KG NB DMR</v>
          </cell>
        </row>
        <row r="2030">
          <cell r="C2030">
            <v>3011824</v>
          </cell>
          <cell r="D2030" t="str">
            <v>***PL MŚ.GOLON.Z ŁOPATKI PB DMR</v>
          </cell>
        </row>
        <row r="2031">
          <cell r="C2031">
            <v>3011842</v>
          </cell>
          <cell r="D2031" t="str">
            <v>***MŚ.GOL.Z ŁOP.PB RO</v>
          </cell>
        </row>
        <row r="2032">
          <cell r="C2032">
            <v>3035769</v>
          </cell>
          <cell r="D2032" t="str">
            <v>EU MŚ.GOL.ŁOP.CH</v>
          </cell>
        </row>
        <row r="2033">
          <cell r="C2033">
            <v>3017481</v>
          </cell>
          <cell r="D2033" t="str">
            <v>***EU MŚ.GOLON.Z ŁOPATKI PB DMR</v>
          </cell>
        </row>
        <row r="2034">
          <cell r="C2034">
            <v>3011278</v>
          </cell>
          <cell r="D2034" t="str">
            <v>MŚ.GOL.ŁOP.USR</v>
          </cell>
        </row>
        <row r="2035">
          <cell r="C2035">
            <v>3035851</v>
          </cell>
          <cell r="D2035" t="str">
            <v>PP MŚ.GOL.ŁOP.CH</v>
          </cell>
        </row>
        <row r="2036">
          <cell r="C2036">
            <v>3041442</v>
          </cell>
          <cell r="D2036" t="str">
            <v>PP MŚ.GOL.ŁOP.OK20KG NB MR ST</v>
          </cell>
        </row>
        <row r="2037">
          <cell r="C2037">
            <v>3041436</v>
          </cell>
          <cell r="D2037" t="str">
            <v>PP MŚ.GOL.ŁOP.PBX ST</v>
          </cell>
        </row>
        <row r="2038">
          <cell r="C2038">
            <v>3039445</v>
          </cell>
          <cell r="D2038" t="str">
            <v>PP MŚ.GOL.ŁOP.OK20KG NB DMR</v>
          </cell>
        </row>
        <row r="2039">
          <cell r="C2039">
            <v>3007582</v>
          </cell>
          <cell r="D2039" t="str">
            <v>***ŁOP.Z/K.B/GOL OBR KL.E CH</v>
          </cell>
        </row>
        <row r="2040">
          <cell r="C2040">
            <v>3014206</v>
          </cell>
          <cell r="D2040" t="str">
            <v>***ŁOP.Z/K/SK/GOL.B/M.PODŁOPAT.KL.S CH</v>
          </cell>
        </row>
        <row r="2041">
          <cell r="C2041">
            <v>3014205</v>
          </cell>
          <cell r="D2041" t="str">
            <v>PL ŁOP.Z/K/SK/GOL.B/M.PODŁOP.CH</v>
          </cell>
        </row>
        <row r="2042">
          <cell r="C2042">
            <v>3017572</v>
          </cell>
          <cell r="D2042" t="str">
            <v>***EU ŁOP.Z/K/SK/GOL.B/M.PODŁOP.CH</v>
          </cell>
        </row>
        <row r="2043">
          <cell r="C2043">
            <v>3012476</v>
          </cell>
          <cell r="D2043" t="str">
            <v>***MŚ.TRÓJGŁOWY B/TŁ KL.S CH</v>
          </cell>
        </row>
        <row r="2044">
          <cell r="C2044">
            <v>3007583</v>
          </cell>
          <cell r="D2044" t="str">
            <v>PL MŚ.TRÓJG.B/TŁ.1</v>
          </cell>
        </row>
        <row r="2045">
          <cell r="C2045">
            <v>3024891</v>
          </cell>
          <cell r="D2045" t="str">
            <v>***PL MŚ.TRÓJG.B/TŁ.PBX CH1</v>
          </cell>
        </row>
        <row r="2046">
          <cell r="C2046">
            <v>3020243</v>
          </cell>
          <cell r="D2046" t="str">
            <v>PL MŚ.TRÓJG.B/TŁ.2</v>
          </cell>
        </row>
        <row r="2047">
          <cell r="C2047">
            <v>3025151</v>
          </cell>
          <cell r="D2047" t="str">
            <v>***PL MŚ.TRÓJG.B/TŁ.PBX CH2</v>
          </cell>
        </row>
        <row r="2048">
          <cell r="C2048">
            <v>3017377</v>
          </cell>
          <cell r="D2048" t="str">
            <v>EU MŚ.TRÓJG.B/TŁ.1</v>
          </cell>
        </row>
        <row r="2049">
          <cell r="C2049">
            <v>3024892</v>
          </cell>
          <cell r="D2049" t="str">
            <v>***EU MŚ.TRÓJG.B/TŁ.PBX CH1</v>
          </cell>
        </row>
        <row r="2050">
          <cell r="C2050">
            <v>3020244</v>
          </cell>
          <cell r="D2050" t="str">
            <v>EU MŚ.TRÓJG.B/TŁ.2</v>
          </cell>
        </row>
        <row r="2051">
          <cell r="C2051">
            <v>3025152</v>
          </cell>
          <cell r="D2051" t="str">
            <v>EU MŚ.TRÓJG.B/TŁ.PBX CH2</v>
          </cell>
        </row>
        <row r="2052">
          <cell r="C2052">
            <v>3043112</v>
          </cell>
          <cell r="D2052" t="str">
            <v>PL ŁOP.B/MŚ.TRÓJG.CH</v>
          </cell>
        </row>
        <row r="2053">
          <cell r="C2053">
            <v>3027275</v>
          </cell>
          <cell r="D2053" t="str">
            <v>PL ŁOP.4D KAW.OK1KG</v>
          </cell>
        </row>
        <row r="2054">
          <cell r="C2054">
            <v>3028139</v>
          </cell>
          <cell r="D2054" t="str">
            <v>PL ŁOP.4D KAW.OK1KG OK500KGPBX CH</v>
          </cell>
        </row>
        <row r="2055">
          <cell r="C2055">
            <v>4019658</v>
          </cell>
          <cell r="D2055" t="str">
            <v>PL ŁOP.4D KAW.OK1KGVAC OK7KGKT EX</v>
          </cell>
        </row>
        <row r="2056">
          <cell r="C2056">
            <v>3029287</v>
          </cell>
          <cell r="D2056" t="str">
            <v>PL ŁOP.4D KAW.OK1KGLUZ OK15KGWOR PJ ST</v>
          </cell>
        </row>
        <row r="2057">
          <cell r="C2057">
            <v>3027333</v>
          </cell>
          <cell r="D2057" t="str">
            <v>PL ŁOP.4D KAW.</v>
          </cell>
        </row>
        <row r="2058">
          <cell r="C2058">
            <v>3028076</v>
          </cell>
          <cell r="D2058" t="str">
            <v>PL ŁOP.4D KAW.OK500KG PBX CH</v>
          </cell>
        </row>
        <row r="2059">
          <cell r="C2059">
            <v>4018368</v>
          </cell>
          <cell r="D2059" t="str">
            <v>PL ŁOP.4D KAW.OK1.5KGVAC OK15KGKT SEL</v>
          </cell>
        </row>
        <row r="2060">
          <cell r="C2060">
            <v>4020258</v>
          </cell>
          <cell r="D2060" t="str">
            <v>***PL ŁOP.B/K.OK1.4KGVACOK8.4KGKTLIDLCZ</v>
          </cell>
        </row>
        <row r="2061">
          <cell r="C2061">
            <v>4023135</v>
          </cell>
          <cell r="D2061" t="str">
            <v>PL ŁOP.B/K.PC OK1KGVAC OK10KGKT MAKR</v>
          </cell>
        </row>
        <row r="2062">
          <cell r="C2062">
            <v>4029682</v>
          </cell>
          <cell r="D2062" t="str">
            <v>PL ŁOP.4D OK1.5KGVAC OK12KGKT SAN</v>
          </cell>
        </row>
        <row r="2063">
          <cell r="C2063">
            <v>4029724</v>
          </cell>
          <cell r="D2063" t="str">
            <v>PL ŁOP.4D OK1.5KGVAC OK12KGKT AUCH</v>
          </cell>
        </row>
        <row r="2064">
          <cell r="C2064">
            <v>3036796</v>
          </cell>
          <cell r="D2064" t="str">
            <v>PL ŁOP.4D KAW.PBX K4</v>
          </cell>
        </row>
        <row r="2065">
          <cell r="C2065">
            <v>3044616</v>
          </cell>
          <cell r="D2065" t="str">
            <v>EU ŁOP.4D KAW.</v>
          </cell>
        </row>
        <row r="2066">
          <cell r="C2066">
            <v>3035446</v>
          </cell>
          <cell r="D2066" t="str">
            <v>PP ŁOP.4D KAW.</v>
          </cell>
        </row>
        <row r="2067">
          <cell r="C2067">
            <v>3035447</v>
          </cell>
          <cell r="D2067" t="str">
            <v>PP ŁOP.4D KAW.PBX</v>
          </cell>
        </row>
        <row r="2068">
          <cell r="C2068">
            <v>4028656</v>
          </cell>
          <cell r="D2068" t="str">
            <v>PP ŁOP.4D OK1.3KGVAC 6STEPS NETTO</v>
          </cell>
        </row>
        <row r="2069">
          <cell r="C2069">
            <v>3036829</v>
          </cell>
          <cell r="D2069" t="str">
            <v>PP ŁOP.4D KAW.PBX K4</v>
          </cell>
        </row>
        <row r="2070">
          <cell r="C2070">
            <v>3015921</v>
          </cell>
          <cell r="D2070" t="str">
            <v>PL ŁOP.4D CH1</v>
          </cell>
        </row>
        <row r="2071">
          <cell r="C2071">
            <v>3024893</v>
          </cell>
          <cell r="D2071" t="str">
            <v>PL ŁOP.4D PBX CH ST1</v>
          </cell>
        </row>
        <row r="2072">
          <cell r="C2072">
            <v>4007982</v>
          </cell>
          <cell r="D2072" t="str">
            <v>***ŁOP.4D KL.E OK 15KG KR CH</v>
          </cell>
        </row>
        <row r="2073">
          <cell r="C2073">
            <v>3012687</v>
          </cell>
          <cell r="D2073" t="str">
            <v>PL ŁOP.4D PBX EŁ1</v>
          </cell>
        </row>
        <row r="2074">
          <cell r="C2074">
            <v>3033492</v>
          </cell>
          <cell r="D2074" t="str">
            <v>PL ŁOP.4D OK20KGWOR PJ K4</v>
          </cell>
        </row>
        <row r="2075">
          <cell r="C2075">
            <v>3012681</v>
          </cell>
          <cell r="D2075" t="str">
            <v>PL ŁOP.4D OK15KGWOR PJ EŁ1</v>
          </cell>
        </row>
        <row r="2076">
          <cell r="C2076">
            <v>3017585</v>
          </cell>
          <cell r="D2076" t="str">
            <v>EU ŁOP.4D PBX MORLINY SZ</v>
          </cell>
        </row>
        <row r="2077">
          <cell r="C2077">
            <v>3014367</v>
          </cell>
          <cell r="D2077" t="str">
            <v>PL ŁOP.4D PBX MORLINY SZ</v>
          </cell>
        </row>
        <row r="2078">
          <cell r="C2078">
            <v>3031682</v>
          </cell>
          <cell r="D2078" t="str">
            <v>PL ŁOP.4D PBX K4</v>
          </cell>
        </row>
        <row r="2079">
          <cell r="C2079">
            <v>3020245</v>
          </cell>
          <cell r="D2079" t="str">
            <v>PL ŁOP.4D CH2</v>
          </cell>
        </row>
        <row r="2080">
          <cell r="C2080">
            <v>3025153</v>
          </cell>
          <cell r="D2080" t="str">
            <v>PL ŁOP.4D PBX CH ST2</v>
          </cell>
        </row>
        <row r="2081">
          <cell r="C2081">
            <v>3017755</v>
          </cell>
          <cell r="D2081" t="str">
            <v>EU ŁOP.4D CH1</v>
          </cell>
        </row>
        <row r="2082">
          <cell r="C2082">
            <v>3024894</v>
          </cell>
          <cell r="D2082" t="str">
            <v>EU ŁOP.4D PBX CH1</v>
          </cell>
        </row>
        <row r="2083">
          <cell r="C2083">
            <v>3020246</v>
          </cell>
          <cell r="D2083" t="str">
            <v>EU ŁOP.4D CH2</v>
          </cell>
        </row>
        <row r="2084">
          <cell r="C2084">
            <v>3025154</v>
          </cell>
          <cell r="D2084" t="str">
            <v>EU ŁOP.4D PBX CH2</v>
          </cell>
        </row>
        <row r="2085">
          <cell r="C2085">
            <v>3035676</v>
          </cell>
          <cell r="D2085" t="str">
            <v>PP ŁOP.4D CH</v>
          </cell>
        </row>
        <row r="2086">
          <cell r="C2086">
            <v>3037619</v>
          </cell>
          <cell r="D2086" t="str">
            <v>PP ŁOP.4D PBX ST1</v>
          </cell>
        </row>
        <row r="2087">
          <cell r="C2087">
            <v>3037781</v>
          </cell>
          <cell r="D2087" t="str">
            <v>PP ŁOP.4D PBX ST2</v>
          </cell>
        </row>
        <row r="2088">
          <cell r="C2088">
            <v>3023190</v>
          </cell>
          <cell r="D2088" t="str">
            <v>***PL ŁOP.4D NA MIĘSO MIELONE1</v>
          </cell>
        </row>
        <row r="2089">
          <cell r="C2089">
            <v>3023117</v>
          </cell>
          <cell r="D2089" t="str">
            <v>***PL ŁOP.4D NA MIĘSO MIELONE2</v>
          </cell>
        </row>
        <row r="2090">
          <cell r="C2090">
            <v>3046768</v>
          </cell>
          <cell r="D2090" t="str">
            <v>PL ŁOP.4D GAP CH</v>
          </cell>
        </row>
        <row r="2091">
          <cell r="C2091">
            <v>3020877</v>
          </cell>
          <cell r="D2091" t="str">
            <v>***PL ŁOP.4D PORCJA2</v>
          </cell>
        </row>
        <row r="2092">
          <cell r="C2092">
            <v>3019893</v>
          </cell>
          <cell r="D2092" t="str">
            <v>***PL ŁOP.4D GULASZ1</v>
          </cell>
        </row>
        <row r="2093">
          <cell r="C2093">
            <v>3020878</v>
          </cell>
          <cell r="D2093" t="str">
            <v>***PL ŁOP.4D GULASZ2</v>
          </cell>
        </row>
        <row r="2094">
          <cell r="C2094">
            <v>3019014</v>
          </cell>
          <cell r="D2094" t="str">
            <v>ŁOP.4D ROZP1</v>
          </cell>
        </row>
        <row r="2095">
          <cell r="C2095">
            <v>3020247</v>
          </cell>
          <cell r="D2095" t="str">
            <v>ŁOP.4D ROZP2</v>
          </cell>
        </row>
        <row r="2096">
          <cell r="C2096">
            <v>3004399</v>
          </cell>
          <cell r="D2096" t="str">
            <v>***ŁOP.4D KL.U CH</v>
          </cell>
        </row>
        <row r="2097">
          <cell r="C2097">
            <v>3009250</v>
          </cell>
          <cell r="D2097" t="str">
            <v>***ŁOP.KL.U 4D PL</v>
          </cell>
        </row>
        <row r="2098">
          <cell r="C2098">
            <v>3004400</v>
          </cell>
          <cell r="D2098" t="str">
            <v>***ŁOP.4D KL.R CH</v>
          </cell>
        </row>
        <row r="2099">
          <cell r="C2099">
            <v>3009247</v>
          </cell>
          <cell r="D2099" t="str">
            <v>***ŁOP.KL.R 4D PL</v>
          </cell>
        </row>
        <row r="2100">
          <cell r="C2100">
            <v>3004397</v>
          </cell>
          <cell r="D2100" t="str">
            <v>***ŁOP.4D KL.S CH</v>
          </cell>
        </row>
        <row r="2101">
          <cell r="C2101">
            <v>3009246</v>
          </cell>
          <cell r="D2101" t="str">
            <v>***ŁOP.KL.S 4D PL</v>
          </cell>
        </row>
        <row r="2102">
          <cell r="C2102">
            <v>3005992</v>
          </cell>
          <cell r="D2102" t="str">
            <v>***LOP.5D KL.S CONSTAR</v>
          </cell>
        </row>
        <row r="2103">
          <cell r="C2103">
            <v>3005916</v>
          </cell>
          <cell r="D2103" t="str">
            <v>***PL ŁOP.5D CONS.CH</v>
          </cell>
        </row>
        <row r="2104">
          <cell r="C2104">
            <v>3020248</v>
          </cell>
          <cell r="D2104" t="str">
            <v>***PL ŁOP.5D CONS.CH2</v>
          </cell>
        </row>
        <row r="2105">
          <cell r="C2105">
            <v>3005959</v>
          </cell>
          <cell r="D2105" t="str">
            <v>***LOP.5D KL.U CONSTAR</v>
          </cell>
        </row>
        <row r="2106">
          <cell r="C2106">
            <v>3008853</v>
          </cell>
          <cell r="D2106" t="str">
            <v>***ŁOP.5D KL.R CONSTAR</v>
          </cell>
        </row>
        <row r="2107">
          <cell r="C2107">
            <v>3005934</v>
          </cell>
          <cell r="D2107" t="str">
            <v>***LOP.5D CONSTAR USR</v>
          </cell>
        </row>
        <row r="2108">
          <cell r="C2108">
            <v>3007586</v>
          </cell>
          <cell r="D2108" t="str">
            <v>***ELEM.ŁOP KIEŁBASA ŻYWIECKA NB MR</v>
          </cell>
        </row>
        <row r="2109">
          <cell r="C2109">
            <v>4009639</v>
          </cell>
          <cell r="D2109" t="str">
            <v>***ŁOPATKA 5D VAC</v>
          </cell>
        </row>
        <row r="2110">
          <cell r="C2110">
            <v>3011946</v>
          </cell>
          <cell r="D2110" t="str">
            <v>***PL ŁOP.5D VAC ST</v>
          </cell>
        </row>
        <row r="2111">
          <cell r="C2111">
            <v>3007587</v>
          </cell>
          <cell r="D2111" t="str">
            <v>***ELEM.ŁOP KIEŁBASA ŻYWIECKA CH ZAK</v>
          </cell>
        </row>
        <row r="2112">
          <cell r="C2112">
            <v>3007588</v>
          </cell>
          <cell r="D2112" t="str">
            <v>***ELEM.ŁOP KIEŁBASA ŻYWIECKA MR ZAK</v>
          </cell>
        </row>
        <row r="2113">
          <cell r="C2113">
            <v>3005548</v>
          </cell>
          <cell r="D2113" t="str">
            <v>PL ŁOP.5D PBX CON SZ</v>
          </cell>
        </row>
        <row r="2114">
          <cell r="C2114">
            <v>3012617</v>
          </cell>
          <cell r="D2114" t="str">
            <v>PL ŁOP.5D WOR PJ CON SZ</v>
          </cell>
        </row>
        <row r="2115">
          <cell r="C2115">
            <v>3017534</v>
          </cell>
          <cell r="D2115" t="str">
            <v>***DE ŁOP.5D WOR PJ CONS.SZ</v>
          </cell>
        </row>
        <row r="2116">
          <cell r="C2116">
            <v>3007590</v>
          </cell>
          <cell r="D2116" t="str">
            <v>***ELEM.ŁOP KIEŁBASA ŻYWIECKA NB DMR</v>
          </cell>
        </row>
        <row r="2117">
          <cell r="C2117">
            <v>3007591</v>
          </cell>
          <cell r="D2117" t="str">
            <v>***ELEM.ŁOP KIEŁBASA ŻYWIECKA NB RO1</v>
          </cell>
        </row>
        <row r="2118">
          <cell r="C2118">
            <v>3020249</v>
          </cell>
          <cell r="D2118" t="str">
            <v>***ELEM.ŁOP KIEŁBASA ŻYWIECKA NB RO2</v>
          </cell>
        </row>
        <row r="2119">
          <cell r="C2119">
            <v>3017491</v>
          </cell>
          <cell r="D2119" t="str">
            <v>***EU ŁOP.5D VAC</v>
          </cell>
        </row>
        <row r="2120">
          <cell r="C2120">
            <v>3007592</v>
          </cell>
          <cell r="D2120" t="str">
            <v>PL ELEM.ŁOP CH BIED</v>
          </cell>
        </row>
        <row r="2121">
          <cell r="C2121">
            <v>3024895</v>
          </cell>
          <cell r="D2121" t="str">
            <v>PL ELEM.ŁOP.PBX CH BIED1</v>
          </cell>
        </row>
        <row r="2122">
          <cell r="C2122">
            <v>3025155</v>
          </cell>
          <cell r="D2122" t="str">
            <v>PL ELEM.ŁOP.PBX CH BIED2</v>
          </cell>
        </row>
        <row r="2123">
          <cell r="C2123">
            <v>3017378</v>
          </cell>
          <cell r="D2123" t="str">
            <v>EU ELEM.ŁOP CH BIED</v>
          </cell>
        </row>
        <row r="2124">
          <cell r="C2124">
            <v>3024896</v>
          </cell>
          <cell r="D2124" t="str">
            <v>***EU ELEM.ŁOP.PBX CH BIED1</v>
          </cell>
        </row>
        <row r="2125">
          <cell r="C2125">
            <v>3025156</v>
          </cell>
          <cell r="D2125" t="str">
            <v>***EU ELEM.ŁOP.PBX CH BIED2</v>
          </cell>
        </row>
        <row r="2126">
          <cell r="C2126">
            <v>3012389</v>
          </cell>
          <cell r="D2126" t="str">
            <v>***KARK.WP.B/K.Z/KOR CH USR M.E.</v>
          </cell>
        </row>
        <row r="2127">
          <cell r="C2127">
            <v>4009996</v>
          </cell>
          <cell r="D2127" t="str">
            <v>PL KARK.B/K.Z/KOR.1STVAC OK8KGKT MOR EX</v>
          </cell>
        </row>
        <row r="2128">
          <cell r="C2128">
            <v>4010546</v>
          </cell>
          <cell r="D2128" t="str">
            <v>***PLKARK.B/K.Z/KOR1/2STTRMOK8KGKT MOREX</v>
          </cell>
        </row>
        <row r="2129">
          <cell r="C2129">
            <v>4012014</v>
          </cell>
          <cell r="D2129" t="str">
            <v>***EUKARK.B/K.Z/KOR.1STTRMOK8KGKT MOR EX</v>
          </cell>
        </row>
        <row r="2130">
          <cell r="C2130">
            <v>3004415</v>
          </cell>
          <cell r="D2130" t="str">
            <v>***KARKÓWKA Z/K/KOR USR CH</v>
          </cell>
        </row>
        <row r="2131">
          <cell r="C2131">
            <v>4010622</v>
          </cell>
          <cell r="D2131" t="str">
            <v>***PL KARK.Z/K.LUZ CH OK20KG KT</v>
          </cell>
        </row>
        <row r="2132">
          <cell r="C2132">
            <v>4003803</v>
          </cell>
          <cell r="D2132" t="str">
            <v>***PL KARK.Z/K/KOR.1KG MAP JM</v>
          </cell>
        </row>
        <row r="2133">
          <cell r="C2133">
            <v>4009898</v>
          </cell>
          <cell r="D2133" t="str">
            <v>KARKÓWKA WP Z/K LUZ OK.20KG SK T</v>
          </cell>
        </row>
        <row r="2134">
          <cell r="C2134">
            <v>4012063</v>
          </cell>
          <cell r="D2134" t="str">
            <v>***EU KARK.Z/K.LUZ CH OK20KG KT</v>
          </cell>
        </row>
        <row r="2135">
          <cell r="C2135">
            <v>4011989</v>
          </cell>
          <cell r="D2135" t="str">
            <v>***PL KARK.Z/K.LUZ OK20KG PJ EX CZ</v>
          </cell>
        </row>
        <row r="2136">
          <cell r="C2136">
            <v>3007593</v>
          </cell>
          <cell r="D2136" t="str">
            <v>PL KARK.B/K.Z/KOR.KOTLETY CH</v>
          </cell>
        </row>
        <row r="2137">
          <cell r="C2137">
            <v>4010974</v>
          </cell>
          <cell r="D2137" t="str">
            <v>***PL KARK.B/K.KTL 560G MAP 3.36KGKT ME</v>
          </cell>
        </row>
        <row r="2138">
          <cell r="C2138">
            <v>4015742</v>
          </cell>
          <cell r="D2138" t="str">
            <v>***PL KARK.B/K.Z/KOR.KTL 1KGMAP6KGKTPOLM</v>
          </cell>
        </row>
        <row r="2139">
          <cell r="C2139">
            <v>4011103</v>
          </cell>
          <cell r="D2139" t="str">
            <v>***PL KARK.B/K.KTL 560G MAP 6ST KT ECS</v>
          </cell>
        </row>
        <row r="2140">
          <cell r="C2140">
            <v>3023667</v>
          </cell>
          <cell r="D2140" t="str">
            <v>PL KARK.WP.B/K.Z/KOR.400GLUZ15KGPJ ST</v>
          </cell>
        </row>
        <row r="2141">
          <cell r="C2141">
            <v>4016900</v>
          </cell>
          <cell r="D2141" t="str">
            <v>***PL KARK.B/K.KTL560GMAP4.48KGKTLIDL LT</v>
          </cell>
        </row>
        <row r="2142">
          <cell r="C2142">
            <v>4003805</v>
          </cell>
          <cell r="D2142" t="str">
            <v>***PL KARK.B/K.Z/KOR.KTL 560G MAP LIDL</v>
          </cell>
        </row>
        <row r="2143">
          <cell r="C2143">
            <v>4003806</v>
          </cell>
          <cell r="D2143" t="str">
            <v>***PL KARK.B/K.Z/KOR.KTL560GMAP3.36KGKTA</v>
          </cell>
        </row>
        <row r="2144">
          <cell r="C2144">
            <v>4016775</v>
          </cell>
          <cell r="D2144" t="str">
            <v>**PL KARK.B/K.KTL 560G MAP 3.36KGKT KAUF</v>
          </cell>
        </row>
        <row r="2145">
          <cell r="C2145">
            <v>4009968</v>
          </cell>
          <cell r="D2145" t="str">
            <v>***PL KARK.B/K.KTLOK2KGTRMOK15KG KT STO</v>
          </cell>
        </row>
        <row r="2146">
          <cell r="C2146">
            <v>3026319</v>
          </cell>
          <cell r="D2146" t="str">
            <v>***PL KARK.B/K.KTL 560G MAP KAUF BL</v>
          </cell>
        </row>
        <row r="2147">
          <cell r="C2147">
            <v>3017379</v>
          </cell>
          <cell r="D2147" t="str">
            <v>***EU KARK.B/K.Z/KOR.KOTLETY CH</v>
          </cell>
        </row>
        <row r="2148">
          <cell r="C2148">
            <v>4012154</v>
          </cell>
          <cell r="D2148" t="str">
            <v>***EU KARK.B/K.KTL 560G MAP 6ST KT ECS</v>
          </cell>
        </row>
        <row r="2149">
          <cell r="C2149">
            <v>4011597</v>
          </cell>
          <cell r="D2149" t="str">
            <v>***EU KARK.B/K.Z/KOR.KTL 560G MAP LIDL</v>
          </cell>
        </row>
        <row r="2150">
          <cell r="C2150">
            <v>4011598</v>
          </cell>
          <cell r="D2150" t="str">
            <v>***EU KARK.B/K.Z/KOR.KTL560GMAP3.36KGKTA</v>
          </cell>
        </row>
        <row r="2151">
          <cell r="C2151">
            <v>4012007</v>
          </cell>
          <cell r="D2151" t="str">
            <v>***EU KARK.B/K.KTLOK2KGTRM OK15KG KT STO</v>
          </cell>
        </row>
        <row r="2152">
          <cell r="C2152">
            <v>3007594</v>
          </cell>
          <cell r="D2152" t="str">
            <v>***KARK.B/K.Z/KOR KOTLETY FANTOM CH</v>
          </cell>
        </row>
        <row r="2153">
          <cell r="C2153">
            <v>3007595</v>
          </cell>
          <cell r="D2153" t="str">
            <v>KARK.B/K.Z/KOR CH</v>
          </cell>
        </row>
        <row r="2154">
          <cell r="C2154">
            <v>3007596</v>
          </cell>
          <cell r="D2154" t="str">
            <v>***KARK.B/K.Z/KOR NB MR</v>
          </cell>
        </row>
        <row r="2155">
          <cell r="C2155">
            <v>4003808</v>
          </cell>
          <cell r="D2155" t="str">
            <v>PL KARK.B/K.OK15KGWOR KT</v>
          </cell>
        </row>
        <row r="2156">
          <cell r="C2156">
            <v>4008789</v>
          </cell>
          <cell r="D2156" t="str">
            <v>PL KARK.B/K.LUZ OK15KG KT</v>
          </cell>
        </row>
        <row r="2157">
          <cell r="C2157">
            <v>4012235</v>
          </cell>
          <cell r="D2157" t="str">
            <v>***PL KARK.B/K.Z/KOR.1STFOL.12KGKTMR SFL</v>
          </cell>
        </row>
        <row r="2158">
          <cell r="C2158">
            <v>4011312</v>
          </cell>
          <cell r="D2158" t="str">
            <v>***PL KARK.B/K.Z/KOR.1STFOL13.6KGKTMR GB</v>
          </cell>
        </row>
        <row r="2159">
          <cell r="C2159">
            <v>4010914</v>
          </cell>
          <cell r="D2159" t="str">
            <v>***PL KARK.B/K.Z/KOR.1STFOL OK20KGKT MR</v>
          </cell>
        </row>
        <row r="2160">
          <cell r="C2160">
            <v>4005489</v>
          </cell>
          <cell r="D2160" t="str">
            <v>***PL KARK.B/K.Z/KOR.MAP 1KG MAKR</v>
          </cell>
        </row>
        <row r="2161">
          <cell r="C2161">
            <v>4009387</v>
          </cell>
          <cell r="D2161" t="str">
            <v>***PL KARK.B/K.Z/KOR.OK1KGMAPOK6KGKTBIED</v>
          </cell>
        </row>
        <row r="2162">
          <cell r="C2162">
            <v>4011406</v>
          </cell>
          <cell r="D2162" t="str">
            <v>***KARK.WP.B/K Z/KOR.OK1KGMAP OK4KGKT ME</v>
          </cell>
        </row>
        <row r="2163">
          <cell r="C2163">
            <v>4024964</v>
          </cell>
          <cell r="D2163" t="str">
            <v>PL KARK.B/K.Z/KOR.1STVAC OK12KGKTMORE EX</v>
          </cell>
        </row>
        <row r="2164">
          <cell r="C2164">
            <v>4026724</v>
          </cell>
          <cell r="D2164" t="str">
            <v>PL KARK.B/K.Z/K.OK1.4KGVACOK6KGKT3OBBIED</v>
          </cell>
        </row>
        <row r="2165">
          <cell r="C2165">
            <v>4003809</v>
          </cell>
          <cell r="D2165" t="str">
            <v>***PL KARK.B/K.1KGMAP 4KGKT LIDL</v>
          </cell>
        </row>
        <row r="2166">
          <cell r="C2166">
            <v>4008826</v>
          </cell>
          <cell r="D2166" t="str">
            <v>***PL KARK.B/K.VAC OK20KG KT TIP</v>
          </cell>
        </row>
        <row r="2167">
          <cell r="C2167">
            <v>4029740</v>
          </cell>
          <cell r="D2167" t="str">
            <v>PL KARK.B/K.Z/KOR.1STVAC OK15KGKT AUCH</v>
          </cell>
        </row>
        <row r="2168">
          <cell r="C2168">
            <v>4008162</v>
          </cell>
          <cell r="D2168" t="str">
            <v>***PL KARK.B/K.Z/KOR.OK1KGVACOK5KGKTTESC</v>
          </cell>
        </row>
        <row r="2169">
          <cell r="C2169">
            <v>4003810</v>
          </cell>
          <cell r="D2169" t="str">
            <v>***PL KARK.B/K.OK1KG VAC OK5KG KT TESC</v>
          </cell>
        </row>
        <row r="2170">
          <cell r="C2170">
            <v>4008175</v>
          </cell>
          <cell r="D2170" t="str">
            <v>PL KARK.B/K.VAC OK20KG KT CH EX CZ</v>
          </cell>
        </row>
        <row r="2171">
          <cell r="C2171">
            <v>4011070</v>
          </cell>
          <cell r="D2171" t="str">
            <v>***PL KARK.B/K.Z/KOR.1ST TRM OK10KT JMP</v>
          </cell>
        </row>
        <row r="2172">
          <cell r="C2172">
            <v>4016466</v>
          </cell>
          <cell r="D2172" t="str">
            <v>PL KARK.B/K.Z/KOR.2STVAC OK18KGPJ</v>
          </cell>
        </row>
        <row r="2173">
          <cell r="C2173">
            <v>4006841</v>
          </cell>
          <cell r="D2173" t="str">
            <v>***PL KARK.B/K.Z/KOR.OK1KG VAC OK10KG KT</v>
          </cell>
        </row>
        <row r="2174">
          <cell r="C2174">
            <v>4008305</v>
          </cell>
          <cell r="D2174" t="str">
            <v>***PL KARK.B/K.VAC KT CH TESC</v>
          </cell>
        </row>
        <row r="2175">
          <cell r="C2175">
            <v>4011121</v>
          </cell>
          <cell r="D2175" t="str">
            <v>***PLKARK.B/K.Z/KOR.OK1KGVACOK20KGKTCARR</v>
          </cell>
        </row>
        <row r="2176">
          <cell r="C2176">
            <v>4017711</v>
          </cell>
          <cell r="D2176" t="str">
            <v>***PLKARK.B/K.Z/KOR.OK1KGVACOK15KGKTAUCH</v>
          </cell>
        </row>
        <row r="2177">
          <cell r="C2177">
            <v>4007398</v>
          </cell>
          <cell r="D2177" t="str">
            <v>PL KARK.B/K.Z/KOR.1STVAC OK12KGKT</v>
          </cell>
        </row>
        <row r="2178">
          <cell r="C2178">
            <v>4011123</v>
          </cell>
          <cell r="D2178" t="str">
            <v>***PL KARK.B/K.Z/KOR.1STTRMOK20KGKT CARR</v>
          </cell>
        </row>
        <row r="2179">
          <cell r="C2179">
            <v>4011122</v>
          </cell>
          <cell r="D2179" t="str">
            <v>***PL KARK.B/K.Z/KOR.1STTRM OK6KGKT CARR</v>
          </cell>
        </row>
        <row r="2180">
          <cell r="C2180">
            <v>4015772</v>
          </cell>
          <cell r="D2180" t="str">
            <v>***PL KARK.B/K.Z/KOR.OK1KG VAC6KG KTPOL</v>
          </cell>
        </row>
        <row r="2181">
          <cell r="C2181">
            <v>4015794</v>
          </cell>
          <cell r="D2181" t="str">
            <v>***PL KARK.B/K.Z/KOR.2STVAC OK15KGKT EX</v>
          </cell>
        </row>
        <row r="2182">
          <cell r="C2182">
            <v>4016208</v>
          </cell>
          <cell r="D2182" t="str">
            <v>***PL KARK.B/K.Z/KOR.OK1KGVAC 6KGKT ME</v>
          </cell>
        </row>
        <row r="2183">
          <cell r="C2183">
            <v>4016686</v>
          </cell>
          <cell r="D2183" t="str">
            <v>PL KARK.B/K.Z/KOR.1.5KGVAC OK11KGKT KAUF</v>
          </cell>
        </row>
        <row r="2184">
          <cell r="C2184">
            <v>4019536</v>
          </cell>
          <cell r="D2184" t="str">
            <v>PL KARK.B/K.Z/KOR.1STVAC OK15KGKT SEL</v>
          </cell>
        </row>
        <row r="2185">
          <cell r="C2185">
            <v>4019616</v>
          </cell>
          <cell r="D2185" t="str">
            <v>PP KARK.B/K.Z/KOR.1STVAC OK5KGKT</v>
          </cell>
        </row>
        <row r="2186">
          <cell r="C2186">
            <v>4013655</v>
          </cell>
          <cell r="D2186" t="str">
            <v>PL KARK.B/K.Z/KOR.OK1.4KGVACOK6KGKTBIED</v>
          </cell>
        </row>
        <row r="2187">
          <cell r="C2187">
            <v>3009028</v>
          </cell>
          <cell r="D2187" t="str">
            <v>***KARK. WP. B/K Z/KOR VAC MR ST</v>
          </cell>
        </row>
        <row r="2188">
          <cell r="C2188">
            <v>4008448</v>
          </cell>
          <cell r="D2188" t="str">
            <v>PL KARK.B/K.Z/KOR.1STVAC OK15KGKT MR RU</v>
          </cell>
        </row>
        <row r="2189">
          <cell r="C2189">
            <v>4011297</v>
          </cell>
          <cell r="D2189" t="str">
            <v>***PL KARK.B/K.OK1KG VAC 4KG KT NETTO</v>
          </cell>
        </row>
        <row r="2190">
          <cell r="C2190">
            <v>4012638</v>
          </cell>
          <cell r="D2190" t="str">
            <v>PL KARK.B/K.Z/KOR.2STVAC MAX20KGPJ POLM</v>
          </cell>
        </row>
        <row r="2191">
          <cell r="C2191">
            <v>4008007</v>
          </cell>
          <cell r="D2191" t="str">
            <v>***PL KARK.B/K.Z/KOR.4X1KG MAP MAKR</v>
          </cell>
        </row>
        <row r="2192">
          <cell r="C2192">
            <v>4013694</v>
          </cell>
          <cell r="D2192" t="str">
            <v>***PL KARK.WP.B/K.OK1KGVAC OK4.2KGKT</v>
          </cell>
        </row>
        <row r="2193">
          <cell r="C2193">
            <v>4015388</v>
          </cell>
          <cell r="D2193" t="str">
            <v>***PL KARK.B/K.Z/KOR.1STVAC OK12KGKT SEL</v>
          </cell>
        </row>
        <row r="2194">
          <cell r="C2194">
            <v>4018021</v>
          </cell>
          <cell r="D2194" t="str">
            <v>PL KARK.B/K.1STVAC OK20KGKT MET</v>
          </cell>
        </row>
        <row r="2195">
          <cell r="C2195">
            <v>4020757</v>
          </cell>
          <cell r="D2195" t="str">
            <v>PL KARK.B/K.Z/KOR/WAR.1STVACOK15KGPJ ECS</v>
          </cell>
        </row>
        <row r="2196">
          <cell r="C2196">
            <v>4020864</v>
          </cell>
          <cell r="D2196" t="str">
            <v>PL KARK.B/K.Z/KOR.1STVAC OK20KGKT MR HR</v>
          </cell>
        </row>
        <row r="2197">
          <cell r="C2197">
            <v>4021861</v>
          </cell>
          <cell r="D2197" t="str">
            <v>PL KARK.B/K.Z/KOR.1STVAC OK10KGKT  PIP</v>
          </cell>
        </row>
        <row r="2198">
          <cell r="C2198">
            <v>4022276</v>
          </cell>
          <cell r="D2198" t="str">
            <v>PL KARK.B/K.Z/KOR.1STVAC MAX15KG PJ STO</v>
          </cell>
        </row>
        <row r="2199">
          <cell r="C2199">
            <v>4024496</v>
          </cell>
          <cell r="D2199" t="str">
            <v>PL KARK.B/K.1STVAC OK20KGKT MET RU</v>
          </cell>
        </row>
        <row r="2200">
          <cell r="C2200">
            <v>3016063</v>
          </cell>
          <cell r="D2200" t="str">
            <v>PL KARK.B/K.Z/KOR.OK20KGLUZ PJ ST</v>
          </cell>
        </row>
        <row r="2201">
          <cell r="C2201">
            <v>3027052</v>
          </cell>
          <cell r="D2201" t="str">
            <v>PL KARK.B/K.Z/KOR.OK20KGLUZ PJ AF ST</v>
          </cell>
        </row>
        <row r="2202">
          <cell r="C2202">
            <v>4022078</v>
          </cell>
          <cell r="D2202" t="str">
            <v>PL KARK.B/K.Z/KOR.MAX20KGWOR PJ</v>
          </cell>
        </row>
        <row r="2203">
          <cell r="C2203">
            <v>4023145</v>
          </cell>
          <cell r="D2203" t="str">
            <v>PL KARK.B/K.Z/KOR.OK1KGVAC OK10KGKT MAKR</v>
          </cell>
        </row>
        <row r="2204">
          <cell r="C2204">
            <v>4030313</v>
          </cell>
          <cell r="D2204" t="str">
            <v>PL KARK.B/K.Z/K/CZ.W.1STVACOK20KGKTMETCZ</v>
          </cell>
        </row>
        <row r="2205">
          <cell r="C2205">
            <v>4030316</v>
          </cell>
          <cell r="D2205" t="str">
            <v>PL KARK.B/K.Z/K/CZ.W.1STVACOK20KGKTMETHU</v>
          </cell>
        </row>
        <row r="2206">
          <cell r="C2206">
            <v>4030477</v>
          </cell>
          <cell r="D2206" t="str">
            <v>PL KARK.B/K.Z/KOR/CZ.W.1STV6STKTPREM.SEL</v>
          </cell>
        </row>
        <row r="2207">
          <cell r="C2207">
            <v>3028140</v>
          </cell>
          <cell r="D2207" t="str">
            <v>***PL KARK.B/K.Z/KOR.KAW.OK500KGPBX ST</v>
          </cell>
        </row>
        <row r="2208">
          <cell r="C2208">
            <v>4006178</v>
          </cell>
          <cell r="D2208" t="str">
            <v>***PL KARK.B/K.Z/KOR.PC MAP 1KG STO</v>
          </cell>
        </row>
        <row r="2209">
          <cell r="C2209">
            <v>3003313</v>
          </cell>
          <cell r="D2209" t="str">
            <v>***KARKÓWKA B/K Z/KOR/WAR15KGWOR PJ CHEŁ</v>
          </cell>
        </row>
        <row r="2210">
          <cell r="C2210">
            <v>3004422</v>
          </cell>
          <cell r="D2210" t="str">
            <v>***KARKÓWKA B/K Z/KOR/WAROK20KG WOR.R EŁ</v>
          </cell>
        </row>
        <row r="2211">
          <cell r="C2211">
            <v>3009483</v>
          </cell>
          <cell r="D2211" t="str">
            <v>***KARK.B/K Z/KOR/WAR1STFOL500KG KT MREŁ</v>
          </cell>
        </row>
        <row r="2212">
          <cell r="C2212">
            <v>4008066</v>
          </cell>
          <cell r="D2212" t="str">
            <v>***KARKÓWKA WP B K ZAW KT MR ROSJA</v>
          </cell>
        </row>
        <row r="2213">
          <cell r="C2213">
            <v>3031618</v>
          </cell>
          <cell r="D2213" t="str">
            <v>***KARK.WP.B/K.Z/KOR.PBX K4 ZAK</v>
          </cell>
        </row>
        <row r="2214">
          <cell r="C2214">
            <v>4003431</v>
          </cell>
          <cell r="D2214" t="str">
            <v>PL KARK.WP.B/K.WOR PJ</v>
          </cell>
        </row>
        <row r="2215">
          <cell r="C2215">
            <v>3005584</v>
          </cell>
          <cell r="D2215" t="str">
            <v>***KARKB/K Z/KOR/CAŁYM WAROK15KGPJ CH EŁ</v>
          </cell>
        </row>
        <row r="2216">
          <cell r="C2216">
            <v>4007526</v>
          </cell>
          <cell r="D2216" t="str">
            <v>PL KARK.B/K.1320 WOR PJ</v>
          </cell>
        </row>
        <row r="2217">
          <cell r="C2217">
            <v>3011176</v>
          </cell>
          <cell r="D2217" t="str">
            <v>***KARKB/K Z/KOR/CAŁ/WAROK15KGPJCH PL EŁ</v>
          </cell>
        </row>
        <row r="2218">
          <cell r="C2218">
            <v>3014808</v>
          </cell>
          <cell r="D2218" t="str">
            <v>PL KARK.B/K Z/KOR.OK20KG PB MR EŁ</v>
          </cell>
        </row>
        <row r="2219">
          <cell r="C2219">
            <v>3014815</v>
          </cell>
          <cell r="D2219" t="str">
            <v>PL KARK.B/K.Z/KOR.2STVAC PJ MR EŁ</v>
          </cell>
        </row>
        <row r="2220">
          <cell r="C2220">
            <v>3012027</v>
          </cell>
          <cell r="D2220" t="str">
            <v>KARK.WP.B/K.ZAW KT MR SZ</v>
          </cell>
        </row>
        <row r="2221">
          <cell r="C2221">
            <v>3009306</v>
          </cell>
          <cell r="D2221" t="str">
            <v>***KARKÓWKA B/K Z/KOR/WAR 2SZTVAC PJMREŁ</v>
          </cell>
        </row>
        <row r="2222">
          <cell r="C2222">
            <v>3007599</v>
          </cell>
          <cell r="D2222" t="str">
            <v>***KARK.B/K.Z/KOR NB DMR</v>
          </cell>
        </row>
        <row r="2223">
          <cell r="C2223">
            <v>3017894</v>
          </cell>
          <cell r="D2223" t="str">
            <v>***PL KARK.B/K.Z/KOR 1STFOL.12KGKTDMRSFL</v>
          </cell>
        </row>
        <row r="2224">
          <cell r="C2224">
            <v>3017085</v>
          </cell>
          <cell r="D2224" t="str">
            <v>***KARK.B/K.Z/KOR.1STFOL.13.6KGKTDMRGB</v>
          </cell>
        </row>
        <row r="2225">
          <cell r="C2225">
            <v>3014962</v>
          </cell>
          <cell r="D2225" t="str">
            <v>***PL KARK.B/K.Z/KOR.1STFOL.OK20KGKT DMR</v>
          </cell>
        </row>
        <row r="2226">
          <cell r="C2226">
            <v>3009009</v>
          </cell>
          <cell r="D2226" t="str">
            <v>***PL KARK.B/K.VAC DMR</v>
          </cell>
        </row>
        <row r="2227">
          <cell r="C2227">
            <v>3009022</v>
          </cell>
          <cell r="D2227" t="str">
            <v>***PL KARK.B/K.Z/KOR.VAC DMR</v>
          </cell>
        </row>
        <row r="2228">
          <cell r="C2228">
            <v>3009138</v>
          </cell>
          <cell r="D2228" t="str">
            <v>PL KARK.B/K.Z/KOR.VAC OK15KG KT DMR RU</v>
          </cell>
        </row>
        <row r="2229">
          <cell r="C2229">
            <v>3031220</v>
          </cell>
          <cell r="D2229" t="str">
            <v>PL KARK.B/K.Z/KOR.1STVAC OK20KGKT DMR HR</v>
          </cell>
        </row>
        <row r="2230">
          <cell r="C2230">
            <v>3007600</v>
          </cell>
          <cell r="D2230" t="str">
            <v>***KARK.B/K.Z/KOR NB RO1</v>
          </cell>
        </row>
        <row r="2231">
          <cell r="C2231">
            <v>3010012</v>
          </cell>
          <cell r="D2231" t="str">
            <v>***KARK. WP. B/K. ZAW RO</v>
          </cell>
        </row>
        <row r="2232">
          <cell r="C2232">
            <v>3009677</v>
          </cell>
          <cell r="D2232" t="str">
            <v>***KARK. B/K.Z/KOR ZAK RO</v>
          </cell>
        </row>
        <row r="2233">
          <cell r="C2233">
            <v>3009008</v>
          </cell>
          <cell r="D2233" t="str">
            <v>***KARK.WP.B/K VAC RO</v>
          </cell>
        </row>
        <row r="2234">
          <cell r="C2234">
            <v>3012040</v>
          </cell>
          <cell r="D2234" t="str">
            <v>KARK.B/K ZAW KT ZAKUP RO</v>
          </cell>
        </row>
        <row r="2235">
          <cell r="C2235">
            <v>3009023</v>
          </cell>
          <cell r="D2235" t="str">
            <v>KARK. WP. B/K Z/KOR VAC RO</v>
          </cell>
        </row>
        <row r="2236">
          <cell r="C2236">
            <v>3010026</v>
          </cell>
          <cell r="D2236" t="str">
            <v>KARK.B/K.Z/KOR. VAC KT OK 15KG RO</v>
          </cell>
        </row>
        <row r="2237">
          <cell r="C2237">
            <v>3020250</v>
          </cell>
          <cell r="D2237" t="str">
            <v>***KARK.B/K.Z/KOR NB RO2</v>
          </cell>
        </row>
        <row r="2238">
          <cell r="C2238">
            <v>4011599</v>
          </cell>
          <cell r="D2238" t="str">
            <v>EU KARK.B/K.OK15KGWOR KT</v>
          </cell>
        </row>
        <row r="2239">
          <cell r="C2239">
            <v>4011837</v>
          </cell>
          <cell r="D2239" t="str">
            <v>***EU KARK.B/K.LUZ OK15KG KT</v>
          </cell>
        </row>
        <row r="2240">
          <cell r="C2240">
            <v>4012236</v>
          </cell>
          <cell r="D2240" t="str">
            <v>***EU KARK.B/K.Z/KOR.1STFOL12KGKTMR SFL</v>
          </cell>
        </row>
        <row r="2241">
          <cell r="C2241">
            <v>4012182</v>
          </cell>
          <cell r="D2241" t="str">
            <v>***EU KARK.B/K.Z/KOR.1STFOL.13.6KGKTMRGB</v>
          </cell>
        </row>
        <row r="2242">
          <cell r="C2242">
            <v>4012126</v>
          </cell>
          <cell r="D2242" t="str">
            <v>***EU KARK.B/K.Z/KOR.1STFOL OK20KGKT MR</v>
          </cell>
        </row>
        <row r="2243">
          <cell r="C2243">
            <v>4011628</v>
          </cell>
          <cell r="D2243" t="str">
            <v>***EU KARK.B/K.Z/KOR.MAP 1KG MAKR</v>
          </cell>
        </row>
        <row r="2244">
          <cell r="C2244">
            <v>4011600</v>
          </cell>
          <cell r="D2244" t="str">
            <v>***EU KARK.B/K.1KG MAP 4KG KT LIDL</v>
          </cell>
        </row>
        <row r="2245">
          <cell r="C2245">
            <v>4011851</v>
          </cell>
          <cell r="D2245" t="str">
            <v>***EU KARK.B/K.VAC OK20KG KT TIP</v>
          </cell>
        </row>
        <row r="2246">
          <cell r="C2246">
            <v>4011460</v>
          </cell>
          <cell r="D2246" t="str">
            <v>***EU KARK.B/K.2ST TRM OK20KG SK</v>
          </cell>
        </row>
        <row r="2247">
          <cell r="C2247">
            <v>4011772</v>
          </cell>
          <cell r="D2247" t="str">
            <v>***EU KARK.B/K.Z/KOR.OK1KGVACOK5KGKTTESC</v>
          </cell>
        </row>
        <row r="2248">
          <cell r="C2248">
            <v>4011601</v>
          </cell>
          <cell r="D2248" t="str">
            <v>***EU KARK.B/K.OK1KG VAC OK5KG KT TESC</v>
          </cell>
        </row>
        <row r="2249">
          <cell r="C2249">
            <v>4011773</v>
          </cell>
          <cell r="D2249" t="str">
            <v>***EU KARK.B/K.VAC OK20KG KT CH</v>
          </cell>
        </row>
        <row r="2250">
          <cell r="C2250">
            <v>4016468</v>
          </cell>
          <cell r="D2250" t="str">
            <v>EU KARK.B/K.Z/KOR.2STVAC OK18KGPJ</v>
          </cell>
        </row>
        <row r="2251">
          <cell r="C2251">
            <v>4011672</v>
          </cell>
          <cell r="D2251" t="str">
            <v>***EU KARK.B/K.Z/KOR.OK1KG VAC OK10KG KT</v>
          </cell>
        </row>
        <row r="2252">
          <cell r="C2252">
            <v>4011779</v>
          </cell>
          <cell r="D2252" t="str">
            <v>***EU KARK.B/K.VAC KT CH TESCO</v>
          </cell>
        </row>
        <row r="2253">
          <cell r="C2253">
            <v>4012161</v>
          </cell>
          <cell r="D2253" t="str">
            <v>***EUKARK.B/K.Z/KOR.OK1KGVACOK20KGKTCARR</v>
          </cell>
        </row>
        <row r="2254">
          <cell r="C2254">
            <v>4017712</v>
          </cell>
          <cell r="D2254" t="str">
            <v>***EUKARK.B/K.Z/KOR.OK1KGVACOK15KGKTAUCH</v>
          </cell>
        </row>
        <row r="2255">
          <cell r="C2255">
            <v>4011729</v>
          </cell>
          <cell r="D2255" t="str">
            <v>***EU KARK.B/K.VAC HILT</v>
          </cell>
        </row>
        <row r="2256">
          <cell r="C2256">
            <v>4012163</v>
          </cell>
          <cell r="D2256" t="str">
            <v>***EU KARK.B/K.Z/KOR.1STTRMOK20KGKT CARR</v>
          </cell>
        </row>
        <row r="2257">
          <cell r="C2257">
            <v>4012162</v>
          </cell>
          <cell r="D2257" t="str">
            <v>***EU KARK.B/K.Z/KOR.1STTRM OK6KGKT CARR</v>
          </cell>
        </row>
        <row r="2258">
          <cell r="C2258">
            <v>4016687</v>
          </cell>
          <cell r="D2258" t="str">
            <v>EU KARK.B/K.Z/K.OK1.5KGVAC OK11KGKT KAUF</v>
          </cell>
        </row>
        <row r="2259">
          <cell r="C2259">
            <v>4029566</v>
          </cell>
          <cell r="D2259" t="str">
            <v>EU KARK.B/K.Z/KOR.OK1.4KGVACOK6KGKTBIED</v>
          </cell>
        </row>
        <row r="2260">
          <cell r="C2260">
            <v>4011784</v>
          </cell>
          <cell r="D2260" t="str">
            <v>***EU KARK.B/K.Z/KOR.VAC KT OK15KG MR RU</v>
          </cell>
        </row>
        <row r="2261">
          <cell r="C2261">
            <v>4012181</v>
          </cell>
          <cell r="D2261" t="str">
            <v>***EU KARK.B/K.OK1KG VAC 4KG KT NETTO</v>
          </cell>
        </row>
        <row r="2262">
          <cell r="C2262">
            <v>4012637</v>
          </cell>
          <cell r="D2262" t="str">
            <v>EU KARK.B/K.Z/KOR.2STVAC MAX20KGPJ POLM</v>
          </cell>
        </row>
        <row r="2263">
          <cell r="C2263">
            <v>4011762</v>
          </cell>
          <cell r="D2263" t="str">
            <v>***EU KARK.B/K.Z/KOR.4X1KG MAP MAKR</v>
          </cell>
        </row>
        <row r="2264">
          <cell r="C2264">
            <v>4013695</v>
          </cell>
          <cell r="D2264" t="str">
            <v>***EU KARK.WP.B/K.OK1KGVAC OK4.2KGKT MOR</v>
          </cell>
        </row>
        <row r="2265">
          <cell r="C2265">
            <v>4029634</v>
          </cell>
          <cell r="D2265" t="str">
            <v>EU KARK.B/K.1STVAC OK20KGKT MET</v>
          </cell>
        </row>
        <row r="2266">
          <cell r="C2266">
            <v>4024474</v>
          </cell>
          <cell r="D2266" t="str">
            <v>EU KARK.B/K.Z/KOR/WAR.1STVACOK15KGPJ ECS</v>
          </cell>
        </row>
        <row r="2267">
          <cell r="C2267">
            <v>4030262</v>
          </cell>
          <cell r="D2267" t="str">
            <v>EU KARK.B/K.Z/KOR.1STVAC MAX15KG PJ STO</v>
          </cell>
        </row>
        <row r="2268">
          <cell r="C2268">
            <v>3045735</v>
          </cell>
          <cell r="D2268" t="str">
            <v>EU KARK.B/K.Z/KOR.OK20KGLUZ PJ ST</v>
          </cell>
        </row>
        <row r="2269">
          <cell r="C2269">
            <v>4029535</v>
          </cell>
          <cell r="D2269" t="str">
            <v>EU KARK.B/K.Z/KOR.MAX20KGWOR PJ</v>
          </cell>
        </row>
        <row r="2270">
          <cell r="C2270">
            <v>4011648</v>
          </cell>
          <cell r="D2270" t="str">
            <v>***EU KARK.B/K.Z/KOR.PC MAP 1KG STO</v>
          </cell>
        </row>
        <row r="2271">
          <cell r="C2271">
            <v>3017895</v>
          </cell>
          <cell r="D2271" t="str">
            <v>***EU KARK.B/K.Z/KOR 1STFOL12KGKTDMR SFL</v>
          </cell>
        </row>
        <row r="2272">
          <cell r="C2272">
            <v>3017844</v>
          </cell>
          <cell r="D2272" t="str">
            <v>***EU KARK.B/K.Z/KOR.1STFOL13.6KGKTDMRGB</v>
          </cell>
        </row>
        <row r="2273">
          <cell r="C2273">
            <v>3017636</v>
          </cell>
          <cell r="D2273" t="str">
            <v>***EU KARK.B/K.Z/KOR.1STFOL.OK20KGKTDMR</v>
          </cell>
        </row>
        <row r="2274">
          <cell r="C2274">
            <v>3017433</v>
          </cell>
          <cell r="D2274" t="str">
            <v>***EU KARK.B/K.VAC DMR</v>
          </cell>
        </row>
        <row r="2275">
          <cell r="C2275">
            <v>3017438</v>
          </cell>
          <cell r="D2275" t="str">
            <v>***EU KARK.B/K.Z/KOR.VAC DMR</v>
          </cell>
        </row>
        <row r="2276">
          <cell r="C2276">
            <v>3017445</v>
          </cell>
          <cell r="D2276" t="str">
            <v>***EU KARK.B/K.Z/KOR.VAC OK15KGKT DMR RU</v>
          </cell>
        </row>
        <row r="2277">
          <cell r="C2277">
            <v>3035562</v>
          </cell>
          <cell r="D2277" t="str">
            <v>PP KARK.B/K.Z/KOR.OK20KGLUZ PJ ST</v>
          </cell>
        </row>
        <row r="2278">
          <cell r="C2278">
            <v>4023880</v>
          </cell>
          <cell r="D2278" t="str">
            <v>CZ KARK.B/K.OK15KGWOR KT</v>
          </cell>
        </row>
        <row r="2279">
          <cell r="C2279">
            <v>4023874</v>
          </cell>
          <cell r="D2279" t="str">
            <v>CZ KARK.B/K.Z/KOR.2STVAC OK18KGPJ</v>
          </cell>
        </row>
        <row r="2280">
          <cell r="C2280">
            <v>3009137</v>
          </cell>
          <cell r="D2280" t="str">
            <v>***KARK.B/K Z/KOR USR</v>
          </cell>
        </row>
        <row r="2281">
          <cell r="C2281">
            <v>3021350</v>
          </cell>
          <cell r="D2281" t="str">
            <v>KARK.B/K.Z/KOR.ROZP1</v>
          </cell>
        </row>
        <row r="2282">
          <cell r="C2282">
            <v>3021361</v>
          </cell>
          <cell r="D2282" t="str">
            <v>KARK.B/K.Z/KOR.ROZP2</v>
          </cell>
        </row>
        <row r="2283">
          <cell r="C2283">
            <v>3014171</v>
          </cell>
          <cell r="D2283" t="str">
            <v>***PL KARK.B/K.Z/KOR/WAR.1320 KOTL.CH</v>
          </cell>
        </row>
        <row r="2284">
          <cell r="C2284">
            <v>3017569</v>
          </cell>
          <cell r="D2284" t="str">
            <v>***EU KARK.B/K.Z/KOR/WAR.1320 KOTL.CH</v>
          </cell>
        </row>
        <row r="2285">
          <cell r="C2285">
            <v>3018140</v>
          </cell>
          <cell r="D2285" t="str">
            <v>***KARK.B/K.Z/KOR/WAR.1320 KOTL.RO CH</v>
          </cell>
        </row>
        <row r="2286">
          <cell r="C2286">
            <v>4009673</v>
          </cell>
          <cell r="D2286" t="str">
            <v>***KARK.B/K Z/KOR.PB MR ROS</v>
          </cell>
        </row>
        <row r="2287">
          <cell r="C2287">
            <v>4006533</v>
          </cell>
          <cell r="D2287" t="str">
            <v>***KARCZEK WP.B/K MR EX</v>
          </cell>
        </row>
        <row r="2288">
          <cell r="C2288">
            <v>4009136</v>
          </cell>
          <cell r="D2288" t="str">
            <v>***KARK.B/K Z/KOR 1ST VAC OK20KG KJM ROS</v>
          </cell>
        </row>
        <row r="2289">
          <cell r="C2289">
            <v>4009456</v>
          </cell>
          <cell r="D2289" t="str">
            <v>***KARK.B/K Z/KOR OK 1KG VAC OK6KGKT ROS</v>
          </cell>
        </row>
        <row r="2290">
          <cell r="C2290">
            <v>4008885</v>
          </cell>
          <cell r="D2290" t="str">
            <v>***KARK.B/K Z/KOR 1SZT TRM OK20KG  ROS</v>
          </cell>
        </row>
        <row r="2291">
          <cell r="C2291">
            <v>3011996</v>
          </cell>
          <cell r="D2291" t="str">
            <v>***KARK.B/K Z/KOR.PB DMR ROS</v>
          </cell>
        </row>
        <row r="2292">
          <cell r="C2292">
            <v>3007601</v>
          </cell>
          <cell r="D2292" t="str">
            <v>***KARK.B/K.Z/KOR OK 15KG KT DMR CHIN</v>
          </cell>
        </row>
        <row r="2293">
          <cell r="C2293">
            <v>3007602</v>
          </cell>
          <cell r="D2293" t="str">
            <v>***KARK.B/K.Z/KOR OK 15KG KT DMR KOR</v>
          </cell>
        </row>
        <row r="2294">
          <cell r="C2294">
            <v>3012000</v>
          </cell>
          <cell r="D2294" t="str">
            <v>***KARK.B/K Z/KOR PB RO</v>
          </cell>
        </row>
        <row r="2295">
          <cell r="C2295">
            <v>3014419</v>
          </cell>
          <cell r="D2295" t="str">
            <v>***KARCZEK WP B/K KT RO</v>
          </cell>
        </row>
        <row r="2296">
          <cell r="C2296">
            <v>3009063</v>
          </cell>
          <cell r="D2296" t="str">
            <v>***KARK.B/K Z/KOR. PL</v>
          </cell>
        </row>
        <row r="2297">
          <cell r="C2297">
            <v>3009062</v>
          </cell>
          <cell r="D2297" t="str">
            <v>***KARK.B/K Z/KOR. PL UŚR</v>
          </cell>
        </row>
        <row r="2298">
          <cell r="C2298">
            <v>3007603</v>
          </cell>
          <cell r="D2298" t="str">
            <v>***KARK.B/K/KOR 1.6-2.2KG CH</v>
          </cell>
        </row>
        <row r="2299">
          <cell r="C2299">
            <v>3007604</v>
          </cell>
          <cell r="D2299" t="str">
            <v>***KARK.B/K/KOR 1.6-2.2KG NB MR</v>
          </cell>
        </row>
        <row r="2300">
          <cell r="C2300">
            <v>3007605</v>
          </cell>
          <cell r="D2300" t="str">
            <v>***KARK.B/K/KOR 1.6-2.2KG NB DMR</v>
          </cell>
        </row>
        <row r="2301">
          <cell r="C2301">
            <v>3007606</v>
          </cell>
          <cell r="D2301" t="str">
            <v>***KARK.B/K/KOR 1.6-2.2KG NB RO</v>
          </cell>
        </row>
        <row r="2302">
          <cell r="C2302">
            <v>3007607</v>
          </cell>
          <cell r="D2302" t="str">
            <v>***KARK.Z/K.B/KOR CH</v>
          </cell>
        </row>
        <row r="2303">
          <cell r="C2303">
            <v>4001784</v>
          </cell>
          <cell r="D2303" t="str">
            <v>PL KARK.Z/K.CH LUZ OK15KG KT</v>
          </cell>
        </row>
        <row r="2304">
          <cell r="C2304">
            <v>4008800</v>
          </cell>
          <cell r="D2304" t="str">
            <v>***PL KARK.Z/K.LUZ OK15KG KT TIP</v>
          </cell>
        </row>
        <row r="2305">
          <cell r="C2305">
            <v>4008247</v>
          </cell>
          <cell r="D2305" t="str">
            <v>***PL KARK.Z/K.OK15KG KT CH REAL</v>
          </cell>
        </row>
        <row r="2306">
          <cell r="C2306">
            <v>4017669</v>
          </cell>
          <cell r="D2306" t="str">
            <v>***PLKARK.Z/K/KOR.2STWORROLOK20KGKTMR CL</v>
          </cell>
        </row>
        <row r="2307">
          <cell r="C2307">
            <v>4024899</v>
          </cell>
          <cell r="D2307" t="str">
            <v>PL KARK.Z/K.1STFOL OK20KGKT MR</v>
          </cell>
        </row>
        <row r="2308">
          <cell r="C2308">
            <v>4005995</v>
          </cell>
          <cell r="D2308" t="str">
            <v>***PL KARK.Z/K.MAŁA PORC.MAP OK1KG</v>
          </cell>
        </row>
        <row r="2309">
          <cell r="C2309">
            <v>4012642</v>
          </cell>
          <cell r="D2309" t="str">
            <v>***PL KARK.Z/K.B/KOR.1ST VAC OK15KG KT</v>
          </cell>
        </row>
        <row r="2310">
          <cell r="C2310">
            <v>3026951</v>
          </cell>
          <cell r="D2310" t="str">
            <v>***PL KARK.WP.Z/K.OK15KG WOR PJ CH ST</v>
          </cell>
        </row>
        <row r="2311">
          <cell r="C2311">
            <v>4024725</v>
          </cell>
          <cell r="D2311" t="str">
            <v>PL KARK.Z/K/KOR.OK600KG OKT EX</v>
          </cell>
        </row>
        <row r="2312">
          <cell r="C2312">
            <v>3026621</v>
          </cell>
          <cell r="D2312" t="str">
            <v>PL KARK.Z/K/KOR.2STWORROLOK20KGKT DMR CL</v>
          </cell>
        </row>
        <row r="2313">
          <cell r="C2313">
            <v>3036802</v>
          </cell>
          <cell r="D2313" t="str">
            <v>PL KARK.Z/K.1STFOL OK20KG KT DMR</v>
          </cell>
        </row>
        <row r="2314">
          <cell r="C2314">
            <v>4011461</v>
          </cell>
          <cell r="D2314" t="str">
            <v>***EU KARK.Z/K.CH LUZ OK15KG KT</v>
          </cell>
        </row>
        <row r="2315">
          <cell r="C2315">
            <v>4011841</v>
          </cell>
          <cell r="D2315" t="str">
            <v>***EU KARK.Z/K.LUZ OK15KG KT TIP</v>
          </cell>
        </row>
        <row r="2316">
          <cell r="C2316">
            <v>4011775</v>
          </cell>
          <cell r="D2316" t="str">
            <v>***EU KARK.Z/K.OK15KG KT CH REAL</v>
          </cell>
        </row>
        <row r="2317">
          <cell r="C2317">
            <v>4011637</v>
          </cell>
          <cell r="D2317" t="str">
            <v>***EU KARK.Z/K.MAŁA PORC.MAP OK1KG</v>
          </cell>
        </row>
        <row r="2318">
          <cell r="C2318">
            <v>4012643</v>
          </cell>
          <cell r="D2318" t="str">
            <v>***EU KARK.Z/K.B/KOR.1STVAC OK15KGKT</v>
          </cell>
        </row>
        <row r="2319">
          <cell r="C2319">
            <v>3007608</v>
          </cell>
          <cell r="D2319" t="str">
            <v>***KARK.B/K/KOR CH</v>
          </cell>
        </row>
        <row r="2320">
          <cell r="C2320">
            <v>3044305</v>
          </cell>
          <cell r="D2320" t="str">
            <v>PL KARK.B/K/KOR/WAR.OK20KGWOR KT MR ST</v>
          </cell>
        </row>
        <row r="2321">
          <cell r="C2321">
            <v>4003814</v>
          </cell>
          <cell r="D2321" t="str">
            <v>PL KARK.B/K.EXTRA LUZ KT</v>
          </cell>
        </row>
        <row r="2322">
          <cell r="C2322">
            <v>4013264</v>
          </cell>
          <cell r="D2322" t="str">
            <v>***PL KARK.B/K/KOR/WAR.OK20KG KT MR EX</v>
          </cell>
        </row>
        <row r="2323">
          <cell r="C2323">
            <v>4008150</v>
          </cell>
          <cell r="D2323" t="str">
            <v>***PL KARK.B/K/KOR.OK15KG KT MR EX</v>
          </cell>
        </row>
        <row r="2324">
          <cell r="C2324">
            <v>4013471</v>
          </cell>
          <cell r="D2324" t="str">
            <v>PL KARK.B/K/KOR/WAR.OK25KGWOR KT MR EX</v>
          </cell>
        </row>
        <row r="2325">
          <cell r="C2325">
            <v>4006603</v>
          </cell>
          <cell r="D2325" t="str">
            <v>***PL KARK.B/K.EXTRA PORC.PACZKA 1KG MAP</v>
          </cell>
        </row>
        <row r="2326">
          <cell r="C2326">
            <v>4013385</v>
          </cell>
          <cell r="D2326" t="str">
            <v>***PL KARK.B/K.EXT.OK1KGMAPOK6KGKT AUCH</v>
          </cell>
        </row>
        <row r="2327">
          <cell r="C2327">
            <v>4017002</v>
          </cell>
          <cell r="D2327" t="str">
            <v>***PLKARK.B/K/K/WA.OK1KGMAPOK6KGKTLIDLLT</v>
          </cell>
        </row>
        <row r="2328">
          <cell r="C2328">
            <v>4012205</v>
          </cell>
          <cell r="D2328" t="str">
            <v>***PL KARK.B/K.EXT.1STVAC OK15KGKT</v>
          </cell>
        </row>
        <row r="2329">
          <cell r="C2329">
            <v>4008380</v>
          </cell>
          <cell r="D2329" t="str">
            <v>PL KARK.B/K.EXT.1STVAC OK18KGPJ</v>
          </cell>
        </row>
        <row r="2330">
          <cell r="C2330">
            <v>4012639</v>
          </cell>
          <cell r="D2330" t="str">
            <v>***PL KARK.B/K.EXT.1STVAC OK15KGKT</v>
          </cell>
        </row>
        <row r="2331">
          <cell r="C2331">
            <v>4012808</v>
          </cell>
          <cell r="D2331" t="str">
            <v>PL KARK.B/K/KOR/WAR.1STVAC OK8KGKT PIP</v>
          </cell>
        </row>
        <row r="2332">
          <cell r="C2332">
            <v>4013888</v>
          </cell>
          <cell r="D2332" t="str">
            <v>PL KARK.WP.B/K.1STVAC OK15KG PJ STO</v>
          </cell>
        </row>
        <row r="2333">
          <cell r="C2333">
            <v>4015389</v>
          </cell>
          <cell r="D2333" t="str">
            <v>***PL KARK.B/K.EXT.1STVAC OK12KGKT SEL</v>
          </cell>
        </row>
        <row r="2334">
          <cell r="C2334">
            <v>4017606</v>
          </cell>
          <cell r="D2334" t="str">
            <v>***PL KARK.B/K.EXT.OK2KGVAC OK8KGKT MAKR</v>
          </cell>
        </row>
        <row r="2335">
          <cell r="C2335">
            <v>4029727</v>
          </cell>
          <cell r="D2335" t="str">
            <v>PL KARK.B/K/KOR/WAR.1STVAC OK15KGKT AUCH</v>
          </cell>
        </row>
        <row r="2336">
          <cell r="C2336">
            <v>4029726</v>
          </cell>
          <cell r="D2336" t="str">
            <v>PL KARK.B/K.EXT 1STVAC OK6KGKT AUCH</v>
          </cell>
        </row>
        <row r="2337">
          <cell r="C2337">
            <v>4012647</v>
          </cell>
          <cell r="D2337" t="str">
            <v>***PL KAR.B/K./KOR./WAR.1STTRMOK15KGKTEX</v>
          </cell>
        </row>
        <row r="2338">
          <cell r="C2338">
            <v>4019535</v>
          </cell>
          <cell r="D2338" t="str">
            <v>PL KARK.B/K.EXT.1STVAC OK16KGKT PREM.SEL</v>
          </cell>
        </row>
        <row r="2339">
          <cell r="C2339">
            <v>4026586</v>
          </cell>
          <cell r="D2339" t="str">
            <v>PL KARK.B/K/KOR/WAR.1STVAC 15KGKT MAKR</v>
          </cell>
        </row>
        <row r="2340">
          <cell r="C2340">
            <v>4013339</v>
          </cell>
          <cell r="D2340" t="str">
            <v>***PLKARK.B/K/KOR/WAR.1STVACOK20KGKTMREX</v>
          </cell>
        </row>
        <row r="2341">
          <cell r="C2341">
            <v>4006600</v>
          </cell>
          <cell r="D2341" t="str">
            <v>***PL KARK.B/K.EXTRA 800G RODZ.PACZ.TESC</v>
          </cell>
        </row>
        <row r="2342">
          <cell r="C2342">
            <v>4006602</v>
          </cell>
          <cell r="D2342" t="str">
            <v>***PL KARK.B/K.EXTRA 400G RODZ.PACZ.TESC</v>
          </cell>
        </row>
        <row r="2343">
          <cell r="C2343">
            <v>3026050</v>
          </cell>
          <cell r="D2343" t="str">
            <v>PL KARK.WP.B/K.WOR OK15KG PJ CH ST</v>
          </cell>
        </row>
        <row r="2344">
          <cell r="C2344">
            <v>3000094</v>
          </cell>
          <cell r="D2344" t="str">
            <v>***KARKÓWKA WP B/K WOR PJ CONSTAR SZ</v>
          </cell>
        </row>
        <row r="2345">
          <cell r="C2345">
            <v>3007610</v>
          </cell>
          <cell r="D2345" t="str">
            <v>***KARK.B/K/KOR MR ZAK</v>
          </cell>
        </row>
        <row r="2346">
          <cell r="C2346">
            <v>3003321</v>
          </cell>
          <cell r="D2346" t="str">
            <v>***KARKÓWKA B/K/KOR/WAROK15KGWORPJ CHEŁ</v>
          </cell>
        </row>
        <row r="2347">
          <cell r="C2347">
            <v>3011126</v>
          </cell>
          <cell r="D2347" t="str">
            <v>***KARKB/K/KOR/WAROK15KG WOR PJ CH EŁ PL</v>
          </cell>
        </row>
        <row r="2348">
          <cell r="C2348">
            <v>3019097</v>
          </cell>
          <cell r="D2348" t="str">
            <v>***PL KARK.B/K/KOR/WAR.OK20KG KT DMR EX</v>
          </cell>
        </row>
        <row r="2349">
          <cell r="C2349">
            <v>3009122</v>
          </cell>
          <cell r="D2349" t="str">
            <v>***PL KARK.B/K.EXTRA DMR</v>
          </cell>
        </row>
        <row r="2350">
          <cell r="C2350">
            <v>3019955</v>
          </cell>
          <cell r="D2350" t="str">
            <v>PL KARK.WP.B/K/KOR.OK25KG KT DMR EX</v>
          </cell>
        </row>
        <row r="2351">
          <cell r="C2351">
            <v>3019152</v>
          </cell>
          <cell r="D2351" t="str">
            <v>PL KARK.B/K/KOR/WAR.1ST VACOK20KG KT DMR</v>
          </cell>
        </row>
        <row r="2352">
          <cell r="C2352">
            <v>3011860</v>
          </cell>
          <cell r="D2352" t="str">
            <v>KARK.B/K/KOR.OK15KG KT RO</v>
          </cell>
        </row>
        <row r="2353">
          <cell r="C2353">
            <v>4011602</v>
          </cell>
          <cell r="D2353" t="str">
            <v>***EU KARK.B/K.EXTRA LUZ KT</v>
          </cell>
        </row>
        <row r="2354">
          <cell r="C2354">
            <v>4013265</v>
          </cell>
          <cell r="D2354" t="str">
            <v>***EU KARK.B/K/KOR/WAR.OK20KGKT MR EX</v>
          </cell>
        </row>
        <row r="2355">
          <cell r="C2355">
            <v>4011768</v>
          </cell>
          <cell r="D2355" t="str">
            <v>***EU KARK.B/K/KOR.OK15KGKT MR EX</v>
          </cell>
        </row>
        <row r="2356">
          <cell r="C2356">
            <v>4013472</v>
          </cell>
          <cell r="D2356" t="str">
            <v>EU KARK.B/K/KOR/WAR.OK25KGWOR KT MR EX</v>
          </cell>
        </row>
        <row r="2357">
          <cell r="C2357">
            <v>4011664</v>
          </cell>
          <cell r="D2357" t="str">
            <v>***EU KARK.B/K.EXTRA PORC.PACZKA 1KG MAP</v>
          </cell>
        </row>
        <row r="2358">
          <cell r="C2358">
            <v>4013387</v>
          </cell>
          <cell r="D2358" t="str">
            <v>***EU KARK.B/K.EXT.OK1KGMAPOK6KGKT AUCH</v>
          </cell>
        </row>
        <row r="2359">
          <cell r="C2359">
            <v>4012204</v>
          </cell>
          <cell r="D2359" t="str">
            <v>***EU KARK.B/K.EXT.1STVAC OK15KGKT</v>
          </cell>
        </row>
        <row r="2360">
          <cell r="C2360">
            <v>4011781</v>
          </cell>
          <cell r="D2360" t="str">
            <v>***EU KARK.B/K.EXT.1STVAC OK15KGKT</v>
          </cell>
        </row>
        <row r="2361">
          <cell r="C2361">
            <v>4012640</v>
          </cell>
          <cell r="D2361" t="str">
            <v>***EU KARK.B/K.EXT.1STVAC OK15KGKT</v>
          </cell>
        </row>
        <row r="2362">
          <cell r="C2362">
            <v>4012809</v>
          </cell>
          <cell r="D2362" t="str">
            <v>EU KARK.B/K/KOR/WAR.1STVAC OK8KGKT PIP</v>
          </cell>
        </row>
        <row r="2363">
          <cell r="C2363">
            <v>4013887</v>
          </cell>
          <cell r="D2363" t="str">
            <v>***EU KARK.WP.B/K.1STVAC OK15KGPJ MOR</v>
          </cell>
        </row>
        <row r="2364">
          <cell r="C2364">
            <v>4017607</v>
          </cell>
          <cell r="D2364" t="str">
            <v>***EU KARK.B/K.EXT.OK2KGVAC OK8KGKT MAKR</v>
          </cell>
        </row>
        <row r="2365">
          <cell r="C2365">
            <v>4012648</v>
          </cell>
          <cell r="D2365" t="str">
            <v>***EU KAR.B/K./KOR./WAR.1STTRMOK15KGKTEX</v>
          </cell>
        </row>
        <row r="2366">
          <cell r="C2366">
            <v>4013353</v>
          </cell>
          <cell r="D2366" t="str">
            <v>***EUKARK.B/K/KOR/WAR.1STVACOK20KGKTMREX</v>
          </cell>
        </row>
        <row r="2367">
          <cell r="C2367">
            <v>4011662</v>
          </cell>
          <cell r="D2367" t="str">
            <v>***EU KARK.B/K.EXTRA 800G RODZ.PACZ.TESC</v>
          </cell>
        </row>
        <row r="2368">
          <cell r="C2368">
            <v>4011663</v>
          </cell>
          <cell r="D2368" t="str">
            <v>***EU KARK.B/K.EXTRA 400G RODZ.PACZ.TESC</v>
          </cell>
        </row>
        <row r="2369">
          <cell r="C2369">
            <v>3019098</v>
          </cell>
          <cell r="D2369" t="str">
            <v>***EU KARK.B/K/KOR/WAR.OK20KG KT DMR EX</v>
          </cell>
        </row>
        <row r="2370">
          <cell r="C2370">
            <v>3017440</v>
          </cell>
          <cell r="D2370" t="str">
            <v>***EU KARK.B/K.EXTRA DMR</v>
          </cell>
        </row>
        <row r="2371">
          <cell r="C2371">
            <v>3019956</v>
          </cell>
          <cell r="D2371" t="str">
            <v>EU KARK.WP.B/K/KOR.OK25KGKT DMR EX</v>
          </cell>
        </row>
        <row r="2372">
          <cell r="C2372">
            <v>3019158</v>
          </cell>
          <cell r="D2372" t="str">
            <v>EU KARK.B/K/KOR/WAR.1ST VACOK20KG KT DMR</v>
          </cell>
        </row>
        <row r="2373">
          <cell r="C2373">
            <v>3009235</v>
          </cell>
          <cell r="D2373" t="str">
            <v>***KARK.WP.B/K EXTRA UŚR</v>
          </cell>
        </row>
        <row r="2374">
          <cell r="C2374">
            <v>3018918</v>
          </cell>
          <cell r="D2374" t="str">
            <v>PL KARK. WP.B/K.KAUF CH1</v>
          </cell>
        </row>
        <row r="2375">
          <cell r="C2375">
            <v>3024897</v>
          </cell>
          <cell r="D2375" t="str">
            <v>PL KARK.WP.B/K.PBX CH KAUF1</v>
          </cell>
        </row>
        <row r="2376">
          <cell r="C2376">
            <v>4015665</v>
          </cell>
          <cell r="D2376" t="str">
            <v>***PL KARK.B/K.Z/KOR.LUZ KT KAUF</v>
          </cell>
        </row>
        <row r="2377">
          <cell r="C2377">
            <v>4021260</v>
          </cell>
          <cell r="D2377" t="str">
            <v>***PL KARK.B/K.Z/KOR/TŁ.25KGWOR KT MR EX</v>
          </cell>
        </row>
        <row r="2378">
          <cell r="C2378">
            <v>4013181</v>
          </cell>
          <cell r="D2378" t="str">
            <v>***PL KARK.B/K.Z/KOR.2STMAP4-5.6KGKTKAUF</v>
          </cell>
        </row>
        <row r="2379">
          <cell r="C2379">
            <v>4014878</v>
          </cell>
          <cell r="D2379" t="str">
            <v>***PLKARK.WP.B/K.OK1.15KGVACOK11.5KGKTKA</v>
          </cell>
        </row>
        <row r="2380">
          <cell r="C2380">
            <v>4015479</v>
          </cell>
          <cell r="D2380" t="str">
            <v>PP KARK.B/K.Z/KOR.1.4KGVACOK8.4KGKT LIDL</v>
          </cell>
        </row>
        <row r="2381">
          <cell r="C2381">
            <v>4016952</v>
          </cell>
          <cell r="D2381" t="str">
            <v>PL KARK.B/K.OK1.4KGVAC OK8.4KGKT LIDL LT</v>
          </cell>
        </row>
        <row r="2382">
          <cell r="C2382">
            <v>4017759</v>
          </cell>
          <cell r="D2382" t="str">
            <v>PL KARK.B/K.OK1.4KGVAC OK8.4KGKT LIDL SK</v>
          </cell>
        </row>
        <row r="2383">
          <cell r="C2383">
            <v>4020653</v>
          </cell>
          <cell r="D2383" t="str">
            <v>***PL KARK.B/K.Z/KOR.1STVACOK20KGKT KAUF</v>
          </cell>
        </row>
        <row r="2384">
          <cell r="C2384">
            <v>4024364</v>
          </cell>
          <cell r="D2384" t="str">
            <v>PL KARK.B/K.Z/KOR.1.4KGVAC OK8.4KGKT</v>
          </cell>
        </row>
        <row r="2385">
          <cell r="C2385">
            <v>4024663</v>
          </cell>
          <cell r="D2385" t="str">
            <v>***PL KARK.B/K.Z/KOR.2STVAC 2STKT KAUF</v>
          </cell>
        </row>
        <row r="2386">
          <cell r="C2386">
            <v>4029914</v>
          </cell>
          <cell r="D2386" t="str">
            <v>PL KARK.B/K.Z/KOR.1STVAC OK15KGKT MET</v>
          </cell>
        </row>
        <row r="2387">
          <cell r="C2387">
            <v>4030210</v>
          </cell>
          <cell r="D2387" t="str">
            <v>PL KARK.B/K.Z/KOR.1STVAC OK20KGKT SF</v>
          </cell>
        </row>
        <row r="2388">
          <cell r="C2388">
            <v>4030977</v>
          </cell>
          <cell r="D2388" t="str">
            <v>PL KARK.B/K.Z/KOR.1STVAC OK16KGKT KAUF</v>
          </cell>
        </row>
        <row r="2389">
          <cell r="C2389">
            <v>4029542</v>
          </cell>
          <cell r="D2389" t="str">
            <v>PL KARK.B/K.Z/KOR/W.1STVAC OK20KGKTMR EX</v>
          </cell>
        </row>
        <row r="2390">
          <cell r="C2390">
            <v>4025409</v>
          </cell>
          <cell r="D2390" t="str">
            <v>PL KARK.B/K.Z/KOR/CZ.W.OK15KGLUZ PJ AGRO</v>
          </cell>
        </row>
        <row r="2391">
          <cell r="C2391">
            <v>3047314</v>
          </cell>
          <cell r="D2391" t="str">
            <v>PL KARK.B/K.Z/KOR/CZ.WAR.W.OK700KGOKT ST</v>
          </cell>
        </row>
        <row r="2392">
          <cell r="C2392">
            <v>3030581</v>
          </cell>
          <cell r="D2392" t="str">
            <v>PL KARK.B/K.Z/KOR/CZ.WAR.WYRÓW.PBX ST</v>
          </cell>
        </row>
        <row r="2393">
          <cell r="C2393">
            <v>3022015</v>
          </cell>
          <cell r="D2393" t="str">
            <v>DE KARK.WP.B/K.WOR PJ SZ</v>
          </cell>
        </row>
        <row r="2394">
          <cell r="C2394">
            <v>3034109</v>
          </cell>
          <cell r="D2394" t="str">
            <v>***PL KARK.B/K.OK20KG PB MR K4 ZAK</v>
          </cell>
        </row>
        <row r="2395">
          <cell r="C2395">
            <v>3031882</v>
          </cell>
          <cell r="D2395" t="str">
            <v>***PL KARK.B/K.Z/KOR/TŁ.25KGWORKT DMR EX</v>
          </cell>
        </row>
        <row r="2396">
          <cell r="C2396">
            <v>3044623</v>
          </cell>
          <cell r="D2396" t="str">
            <v>PL KARK.B/K.Z/KOR/W.1STVACOK20KGKTDMR EX</v>
          </cell>
        </row>
        <row r="2397">
          <cell r="C2397">
            <v>3034106</v>
          </cell>
          <cell r="D2397" t="str">
            <v>***PL KARK.B/K.Z/KOR.CZ.WAR.WYRÓW.RO1</v>
          </cell>
        </row>
        <row r="2398">
          <cell r="C2398">
            <v>3020909</v>
          </cell>
          <cell r="D2398" t="str">
            <v>PL KARK. WP.B/K.KAUF CH2</v>
          </cell>
        </row>
        <row r="2399">
          <cell r="C2399">
            <v>3025157</v>
          </cell>
          <cell r="D2399" t="str">
            <v>PL KARK.WP.B/K.PBX CH KAUF2</v>
          </cell>
        </row>
        <row r="2400">
          <cell r="C2400">
            <v>3034107</v>
          </cell>
          <cell r="D2400" t="str">
            <v>***PL KARK.B/K.Z/KOR.CZ.WAR.WYRÓW.RO2</v>
          </cell>
        </row>
        <row r="2401">
          <cell r="C2401">
            <v>3018919</v>
          </cell>
          <cell r="D2401" t="str">
            <v>EU KARK.WP.B/K.KAUF1</v>
          </cell>
        </row>
        <row r="2402">
          <cell r="C2402">
            <v>3024898</v>
          </cell>
          <cell r="D2402" t="str">
            <v>***EU KARK.WP.B/K.PBX CH KAUF1</v>
          </cell>
        </row>
        <row r="2403">
          <cell r="C2403">
            <v>4013182</v>
          </cell>
          <cell r="D2403" t="str">
            <v>***EU KARK.B/K.Z/KOR.2STMAP4-5.6KGKTKAUF</v>
          </cell>
        </row>
        <row r="2404">
          <cell r="C2404">
            <v>4014879</v>
          </cell>
          <cell r="D2404" t="str">
            <v>***EUKARK.WP.B/K.OK1.15KGVACOK11.5KGKTKA</v>
          </cell>
        </row>
        <row r="2405">
          <cell r="C2405">
            <v>4030765</v>
          </cell>
          <cell r="D2405" t="str">
            <v>***EU KARK.B/K.Z/KOR.1STVAC OK20KGKT MET</v>
          </cell>
        </row>
        <row r="2406">
          <cell r="C2406">
            <v>4029540</v>
          </cell>
          <cell r="D2406" t="str">
            <v>EU KARK.B/K.Z/KOR/W.1STVACOK20KGKT MR EX</v>
          </cell>
        </row>
        <row r="2407">
          <cell r="C2407">
            <v>4026352</v>
          </cell>
          <cell r="D2407" t="str">
            <v>EU KARK.B/K.Z/KOR/CZ.W.OK15KGLUZ PJ AGRO</v>
          </cell>
        </row>
        <row r="2408">
          <cell r="C2408">
            <v>3030582</v>
          </cell>
          <cell r="D2408" t="str">
            <v>EU KARK.B/K.Z/KOR/CZ.WAR.WYRÓW.PBX ST</v>
          </cell>
        </row>
        <row r="2409">
          <cell r="C2409">
            <v>3044617</v>
          </cell>
          <cell r="D2409" t="str">
            <v>EU KARK.B/K.Z/KOR/W.1STVACOK20KGKTDMR EX</v>
          </cell>
        </row>
        <row r="2410">
          <cell r="C2410">
            <v>3022138</v>
          </cell>
          <cell r="D2410" t="str">
            <v>EU KARK.WP.B/K.KAUF2</v>
          </cell>
        </row>
        <row r="2411">
          <cell r="C2411">
            <v>3025158</v>
          </cell>
          <cell r="D2411" t="str">
            <v>***EU KARK.WP.B/K.PBX CH KAUF2</v>
          </cell>
        </row>
        <row r="2412">
          <cell r="C2412">
            <v>3027371</v>
          </cell>
          <cell r="D2412" t="str">
            <v>PL KARK.WP.B/K.KAW.OK1KG KAUF</v>
          </cell>
        </row>
        <row r="2413">
          <cell r="C2413">
            <v>3028048</v>
          </cell>
          <cell r="D2413" t="str">
            <v>PL KARK.WP.B/K.KAW.OK1KG 500KGPBXCH KAUF</v>
          </cell>
        </row>
        <row r="2414">
          <cell r="C2414">
            <v>4031269</v>
          </cell>
          <cell r="D2414" t="str">
            <v>PL KARK.B/K.KAW.OK1.2KGVAC OK19KGKT EX</v>
          </cell>
        </row>
        <row r="2415">
          <cell r="C2415">
            <v>4019684</v>
          </cell>
          <cell r="D2415" t="str">
            <v>PL KARK.WP.B/K.KAW.OK1KGVAC OK7KGKT EX</v>
          </cell>
        </row>
        <row r="2416">
          <cell r="C2416">
            <v>3043505</v>
          </cell>
          <cell r="D2416" t="str">
            <v>PP KARK.WP.B/K.KAW.OK1KG KAUF</v>
          </cell>
        </row>
        <row r="2417">
          <cell r="C2417">
            <v>4028655</v>
          </cell>
          <cell r="D2417" t="str">
            <v>PP KARK.B/K Z/KOR.OK1.3KGVAC6STEPS NETTO</v>
          </cell>
        </row>
        <row r="2418">
          <cell r="C2418">
            <v>3027653</v>
          </cell>
          <cell r="D2418" t="str">
            <v>PL KARK.B/K.EXT.KAW.</v>
          </cell>
        </row>
        <row r="2419">
          <cell r="C2419">
            <v>3028049</v>
          </cell>
          <cell r="D2419" t="str">
            <v>PL KARK.B/K.EXT.KAW.500KG PBX CH</v>
          </cell>
        </row>
        <row r="2420">
          <cell r="C2420">
            <v>4018366</v>
          </cell>
          <cell r="D2420" t="str">
            <v>PL KARK.B/K.EXT KAW.OK1KGVAC OK10KT SEL</v>
          </cell>
        </row>
        <row r="2421">
          <cell r="C2421">
            <v>3033152</v>
          </cell>
          <cell r="D2421" t="str">
            <v>PL KARK.B/K/WAR.Z/CZ.KOR.CH</v>
          </cell>
        </row>
        <row r="2422">
          <cell r="C2422">
            <v>3033986</v>
          </cell>
          <cell r="D2422" t="str">
            <v>PL KARK.B/K/WAR.Z/CZ.KOR.OK500KG PBX</v>
          </cell>
        </row>
        <row r="2423">
          <cell r="C2423">
            <v>4022772</v>
          </cell>
          <cell r="D2423" t="str">
            <v>PL KARK.B/K/WAR.Z/CZ.KOR.25KGWORKT MR EX</v>
          </cell>
        </row>
        <row r="2424">
          <cell r="C2424">
            <v>3033988</v>
          </cell>
          <cell r="D2424" t="str">
            <v>PL KARK.B/K/WAR.Z/CZ.KOR.25KGWORKTDMR EX</v>
          </cell>
        </row>
        <row r="2425">
          <cell r="C2425">
            <v>3033271</v>
          </cell>
          <cell r="D2425" t="str">
            <v>EU KARK.B/K/WAR.Z/CZ.KOR.CH</v>
          </cell>
        </row>
        <row r="2426">
          <cell r="C2426">
            <v>3033985</v>
          </cell>
          <cell r="D2426" t="str">
            <v>EU KARK.B/K/WAR.Z/CZ.KOR.OK500KG PBX</v>
          </cell>
        </row>
        <row r="2427">
          <cell r="C2427">
            <v>4022768</v>
          </cell>
          <cell r="D2427" t="str">
            <v>EU KARK.B/K/WAR.Z/CZ.KOR.25KGWORKT MR EX</v>
          </cell>
        </row>
        <row r="2428">
          <cell r="C2428">
            <v>3034002</v>
          </cell>
          <cell r="D2428" t="str">
            <v>EU KARK.B/K/WAR.Z/CZ.KOR.25KGWORKTDMR EX</v>
          </cell>
        </row>
        <row r="2429">
          <cell r="C2429">
            <v>3007611</v>
          </cell>
          <cell r="D2429" t="str">
            <v>***PL KARK.B/K/KOR.KOTLETY CH</v>
          </cell>
        </row>
        <row r="2430">
          <cell r="C2430">
            <v>4003821</v>
          </cell>
          <cell r="D2430" t="str">
            <v>***PL KARK.B/K.KTL 560G MAP JM</v>
          </cell>
        </row>
        <row r="2431">
          <cell r="C2431">
            <v>4003822</v>
          </cell>
          <cell r="D2431" t="str">
            <v>***PL KARK.B/K.KTL 560G</v>
          </cell>
        </row>
        <row r="2432">
          <cell r="C2432">
            <v>4003823</v>
          </cell>
          <cell r="D2432" t="str">
            <v>***PL KARK.B/K.KTL  560G MAP CARR</v>
          </cell>
        </row>
        <row r="2433">
          <cell r="C2433">
            <v>4008009</v>
          </cell>
          <cell r="D2433" t="str">
            <v>***KARCZEK WP.B/K Z KOTLETY 8X560G MAP</v>
          </cell>
        </row>
        <row r="2434">
          <cell r="C2434">
            <v>3017380</v>
          </cell>
          <cell r="D2434" t="str">
            <v>***EU KARK.B/K/KOR.KOTLETY CH</v>
          </cell>
        </row>
        <row r="2435">
          <cell r="C2435">
            <v>4011603</v>
          </cell>
          <cell r="D2435" t="str">
            <v>***EU KARK.B/K.KTL 560G</v>
          </cell>
        </row>
        <row r="2436">
          <cell r="C2436">
            <v>4011604</v>
          </cell>
          <cell r="D2436" t="str">
            <v>***EU KARK.B/K.KTL  560G MAP CARR</v>
          </cell>
        </row>
        <row r="2437">
          <cell r="C2437">
            <v>3007612</v>
          </cell>
          <cell r="D2437" t="str">
            <v>***KARK.B/K/KOR KOTLETY FANTOM CH</v>
          </cell>
        </row>
        <row r="2438">
          <cell r="C2438">
            <v>4009801</v>
          </cell>
          <cell r="D2438" t="str">
            <v>***KARK.B/K.Z/KOR/WAR ROZ.M1STFOL KT MRJ</v>
          </cell>
        </row>
        <row r="2439">
          <cell r="C2439">
            <v>3012186</v>
          </cell>
          <cell r="D2439" t="str">
            <v>***KARK.B/K.Z/KOR/WAR ROZ.M 1STFOLKTDMRJ</v>
          </cell>
        </row>
        <row r="2440">
          <cell r="C2440">
            <v>3012234</v>
          </cell>
          <cell r="D2440" t="str">
            <v>***KARK.B/K.Z/KOR/WAR 2-2.5KG PL USR</v>
          </cell>
        </row>
        <row r="2441">
          <cell r="C2441">
            <v>4009802</v>
          </cell>
          <cell r="D2441" t="str">
            <v>***KARK.B/K.Z/KOR/WAR ROZ.L1STFOL KT MRJ</v>
          </cell>
        </row>
        <row r="2442">
          <cell r="C2442">
            <v>3012188</v>
          </cell>
          <cell r="D2442" t="str">
            <v>***KARK.B/KZ/KOR/WAR ROZ.L1STFOL KT DMRJ</v>
          </cell>
        </row>
        <row r="2443">
          <cell r="C2443">
            <v>3012232</v>
          </cell>
          <cell r="D2443" t="str">
            <v>***KARK.B/K.Z/KOR/WAR 2.5-3KG PL USR</v>
          </cell>
        </row>
        <row r="2444">
          <cell r="C2444">
            <v>3007613</v>
          </cell>
          <cell r="D2444" t="str">
            <v>***KARK.B/K/KOR KL.E 1.6-2.2KG CH</v>
          </cell>
        </row>
        <row r="2445">
          <cell r="C2445">
            <v>3007614</v>
          </cell>
          <cell r="D2445" t="str">
            <v>***KARK.B/K/KOR KL.E 1.6-2.2KG NB MR</v>
          </cell>
        </row>
        <row r="2446">
          <cell r="C2446">
            <v>3007615</v>
          </cell>
          <cell r="D2446" t="str">
            <v>***KARK.B/K/KOR KL.E 1.6-2.2KG NB DMR</v>
          </cell>
        </row>
        <row r="2447">
          <cell r="C2447">
            <v>3007616</v>
          </cell>
          <cell r="D2447" t="str">
            <v>***KARK.B/K/KOR KL.U 1.6-2.2KG CH</v>
          </cell>
        </row>
        <row r="2448">
          <cell r="C2448">
            <v>3007617</v>
          </cell>
          <cell r="D2448" t="str">
            <v>***KARK.B/K/KOR KL.U 1.6-2.2KG NB MR</v>
          </cell>
        </row>
        <row r="2449">
          <cell r="C2449">
            <v>3007618</v>
          </cell>
          <cell r="D2449" t="str">
            <v>***KARK.B/K/KOR KL.U 1.6-2.2KG NB DMR</v>
          </cell>
        </row>
        <row r="2450">
          <cell r="C2450">
            <v>3007619</v>
          </cell>
          <cell r="D2450" t="str">
            <v>***KARK.B/K/KOR KL.R 1.6-2.2KG CH</v>
          </cell>
        </row>
        <row r="2451">
          <cell r="C2451">
            <v>3007620</v>
          </cell>
          <cell r="D2451" t="str">
            <v>***KARK.B/K/KOR KL.S 1.6-2.2KG CH</v>
          </cell>
        </row>
        <row r="2452">
          <cell r="C2452">
            <v>3007621</v>
          </cell>
          <cell r="D2452" t="str">
            <v>***KARK.B/K/KOR KL.S 1.6-2.2KG MR</v>
          </cell>
        </row>
        <row r="2453">
          <cell r="C2453">
            <v>3007622</v>
          </cell>
          <cell r="D2453" t="str">
            <v>***KARK.B/K/KOR KL.S 1.6-2.2KG NB DMR</v>
          </cell>
        </row>
        <row r="2454">
          <cell r="C2454">
            <v>3007623</v>
          </cell>
          <cell r="D2454" t="str">
            <v>PL KARK.B/K/KOR.CH1</v>
          </cell>
        </row>
        <row r="2455">
          <cell r="C2455">
            <v>3007624</v>
          </cell>
          <cell r="D2455" t="str">
            <v>***KARK.B/K/KOR KL.E NB MR</v>
          </cell>
        </row>
        <row r="2456">
          <cell r="C2456">
            <v>3015105</v>
          </cell>
          <cell r="D2456" t="str">
            <v>PL KARK.B/K/KOR/WAR.PBX CH1</v>
          </cell>
        </row>
        <row r="2457">
          <cell r="C2457">
            <v>3029091</v>
          </cell>
          <cell r="D2457" t="str">
            <v>***PL KARK.B/K/KOR/WAR.OK500PBX CH ST</v>
          </cell>
        </row>
        <row r="2458">
          <cell r="C2458">
            <v>3026545</v>
          </cell>
          <cell r="D2458" t="str">
            <v>KARK.WP.B/K.WOR OK15KG PJ CH K2</v>
          </cell>
        </row>
        <row r="2459">
          <cell r="C2459">
            <v>3007625</v>
          </cell>
          <cell r="D2459" t="str">
            <v>***KARK.B/K/KOR KL.E NB DMR</v>
          </cell>
        </row>
        <row r="2460">
          <cell r="C2460">
            <v>3020251</v>
          </cell>
          <cell r="D2460" t="str">
            <v>PL KARK.B/K/KOR.CH2</v>
          </cell>
        </row>
        <row r="2461">
          <cell r="C2461">
            <v>3020532</v>
          </cell>
          <cell r="D2461" t="str">
            <v>PL KARK.B/K/KOR/WAR.PBX CH2</v>
          </cell>
        </row>
        <row r="2462">
          <cell r="C2462">
            <v>3017381</v>
          </cell>
          <cell r="D2462" t="str">
            <v>EU KARK.B/K/KOR.CH</v>
          </cell>
        </row>
        <row r="2463">
          <cell r="C2463">
            <v>3017686</v>
          </cell>
          <cell r="D2463" t="str">
            <v>EU KARK.B/K/KOR/WAR.PBX CH1</v>
          </cell>
        </row>
        <row r="2464">
          <cell r="C2464">
            <v>3020535</v>
          </cell>
          <cell r="D2464" t="str">
            <v>EU KARK.B/K/KOR/WAR.PBX CH2</v>
          </cell>
        </row>
        <row r="2465">
          <cell r="C2465">
            <v>3007626</v>
          </cell>
          <cell r="D2465" t="str">
            <v>***KARK.B/K/KOR KL.U</v>
          </cell>
        </row>
        <row r="2466">
          <cell r="C2466">
            <v>3009228</v>
          </cell>
          <cell r="D2466" t="str">
            <v>***KARK.WP.B/K KL.U PL</v>
          </cell>
        </row>
        <row r="2467">
          <cell r="C2467">
            <v>3007627</v>
          </cell>
          <cell r="D2467" t="str">
            <v>***KARK.B/K/KOR KL.R</v>
          </cell>
        </row>
        <row r="2468">
          <cell r="C2468">
            <v>3007628</v>
          </cell>
          <cell r="D2468" t="str">
            <v>***KARK.B/K/KOR KL.S</v>
          </cell>
        </row>
        <row r="2469">
          <cell r="C2469">
            <v>3009237</v>
          </cell>
          <cell r="D2469" t="str">
            <v>***KARK.WP.B/K KL.S PL</v>
          </cell>
        </row>
        <row r="2470">
          <cell r="C2470">
            <v>3007629</v>
          </cell>
          <cell r="D2470" t="str">
            <v>***PL KARK.Z/K.B/KOR.CH</v>
          </cell>
        </row>
        <row r="2471">
          <cell r="C2471">
            <v>3017334</v>
          </cell>
          <cell r="D2471" t="str">
            <v>EU KARK.Z/K.B/KOR.CH</v>
          </cell>
        </row>
        <row r="2472">
          <cell r="C2472">
            <v>3007630</v>
          </cell>
          <cell r="D2472" t="str">
            <v>***KARK.Z/K.B/KOR KL.U CH</v>
          </cell>
        </row>
        <row r="2473">
          <cell r="C2473">
            <v>3007631</v>
          </cell>
          <cell r="D2473" t="str">
            <v>***KARK.Z/K.B/KOR KL.S CH</v>
          </cell>
        </row>
        <row r="2474">
          <cell r="C2474">
            <v>3012187</v>
          </cell>
          <cell r="D2474" t="str">
            <v>***KARK.B/K.Z/KOR/WAR 2-2.5KG KL.S PL CH</v>
          </cell>
        </row>
        <row r="2475">
          <cell r="C2475">
            <v>3012238</v>
          </cell>
          <cell r="D2475" t="str">
            <v>***KARK.B/K.Z/KOR/WAR 2-2.5KG KL.E PL CH</v>
          </cell>
        </row>
        <row r="2476">
          <cell r="C2476">
            <v>3012230</v>
          </cell>
          <cell r="D2476" t="str">
            <v>***KARK.B/K.Z/KOR/WAR 2.5-3KG KL.S PL CH</v>
          </cell>
        </row>
        <row r="2477">
          <cell r="C2477">
            <v>3012236</v>
          </cell>
          <cell r="D2477" t="str">
            <v>***KARK.B/K.Z/KOR/WAR 2.5-3KG KL.E PL CH</v>
          </cell>
        </row>
        <row r="2478">
          <cell r="C2478">
            <v>3012401</v>
          </cell>
          <cell r="D2478" t="str">
            <v>***KARK.WP.B/K. Z/KOR. KL.S CH M.E.</v>
          </cell>
        </row>
        <row r="2479">
          <cell r="C2479">
            <v>3012400</v>
          </cell>
          <cell r="D2479" t="str">
            <v>***KARK.WP.B/K. Z/KOR.KL.E CH M.E.</v>
          </cell>
        </row>
        <row r="2480">
          <cell r="C2480">
            <v>3027140</v>
          </cell>
          <cell r="D2480" t="str">
            <v>PL KARK.B/K.Z/KOR.KAW.</v>
          </cell>
        </row>
        <row r="2481">
          <cell r="C2481">
            <v>3041424</v>
          </cell>
          <cell r="D2481" t="str">
            <v>PL KARK.B/K.Z/KOR.KAW.OK20KG NB MR ST</v>
          </cell>
        </row>
        <row r="2482">
          <cell r="C2482">
            <v>3027158</v>
          </cell>
          <cell r="D2482" t="str">
            <v>PL KARK.B/K.Z/KOR.KAW.PBX CH1</v>
          </cell>
        </row>
        <row r="2483">
          <cell r="C2483">
            <v>4020256</v>
          </cell>
          <cell r="D2483" t="str">
            <v>PL KARK.B/K.Z/KOR.1.4KGVACOK8.4KT LIDLCZ</v>
          </cell>
        </row>
        <row r="2484">
          <cell r="C2484">
            <v>4028149</v>
          </cell>
          <cell r="D2484" t="str">
            <v>PL KARK.B/K.Z/KOR.OK1.4KGVACOK6KGKT ALDI</v>
          </cell>
        </row>
        <row r="2485">
          <cell r="C2485">
            <v>4029680</v>
          </cell>
          <cell r="D2485" t="str">
            <v>PL KARK.B/K.Z/KOR.OK1.5KGVAC OK12KGKTSAN</v>
          </cell>
        </row>
        <row r="2486">
          <cell r="C2486">
            <v>3036797</v>
          </cell>
          <cell r="D2486" t="str">
            <v>PL KARK.B/K.KAW.PBX K4</v>
          </cell>
        </row>
        <row r="2487">
          <cell r="C2487">
            <v>3041423</v>
          </cell>
          <cell r="D2487" t="str">
            <v>PL KARK.B/K.Z/KOR.KAW.OK20KG NB DMR</v>
          </cell>
        </row>
        <row r="2488">
          <cell r="C2488">
            <v>3041425</v>
          </cell>
          <cell r="D2488" t="str">
            <v>PL KARK.B/K.Z/KOR/CZ.WAR.RO1</v>
          </cell>
        </row>
        <row r="2489">
          <cell r="C2489">
            <v>3041431</v>
          </cell>
          <cell r="D2489" t="str">
            <v>PL KARK.B/K.Z/KOR/CZ.WAR.RO2</v>
          </cell>
        </row>
        <row r="2490">
          <cell r="C2490">
            <v>3027172</v>
          </cell>
          <cell r="D2490" t="str">
            <v>PL KARK.B/K.Z/KOR.KAW.PBX CH2</v>
          </cell>
        </row>
        <row r="2491">
          <cell r="C2491">
            <v>3044684</v>
          </cell>
          <cell r="D2491" t="str">
            <v>EU KARK.B/K.Z/KOR.KAW.</v>
          </cell>
        </row>
        <row r="2492">
          <cell r="C2492">
            <v>3035449</v>
          </cell>
          <cell r="D2492" t="str">
            <v>PP KARK.B/K.Z/KOR.KAW.</v>
          </cell>
        </row>
        <row r="2493">
          <cell r="C2493">
            <v>3041434</v>
          </cell>
          <cell r="D2493" t="str">
            <v>PP KARK.B/K.Z/KOR.KAW.OK20KG NB MR ST</v>
          </cell>
        </row>
        <row r="2494">
          <cell r="C2494">
            <v>3035450</v>
          </cell>
          <cell r="D2494" t="str">
            <v>PP KARK.B/K.Z/KOR.KAW.PBX1</v>
          </cell>
        </row>
        <row r="2495">
          <cell r="C2495">
            <v>3036828</v>
          </cell>
          <cell r="D2495" t="str">
            <v>PP KARK.B/K.KAW.PBX K4</v>
          </cell>
        </row>
        <row r="2496">
          <cell r="C2496">
            <v>3041435</v>
          </cell>
          <cell r="D2496" t="str">
            <v>PP KARK.B/K.Z/KOR.KAW.OK20KG NB DMR</v>
          </cell>
        </row>
        <row r="2497">
          <cell r="C2497">
            <v>3041433</v>
          </cell>
          <cell r="D2497" t="str">
            <v>PP KARK.B/K.Z/KOR/CZ.WAR.RO1</v>
          </cell>
        </row>
        <row r="2498">
          <cell r="C2498">
            <v>3041439</v>
          </cell>
          <cell r="D2498" t="str">
            <v>PP KARK.B/K.Z/KOR/CZ.WAR.RO2</v>
          </cell>
        </row>
        <row r="2499">
          <cell r="C2499">
            <v>3041287</v>
          </cell>
          <cell r="D2499" t="str">
            <v>PP KARK.B/K.Z/KOR.KAW.PBX2</v>
          </cell>
        </row>
        <row r="2500">
          <cell r="C2500">
            <v>3015925</v>
          </cell>
          <cell r="D2500" t="str">
            <v>PL KARK.B/K.Z/KOR.CH1</v>
          </cell>
        </row>
        <row r="2501">
          <cell r="C2501">
            <v>3007632</v>
          </cell>
          <cell r="D2501" t="str">
            <v>KARK.B/K.Z/KOR.OK20KG NB MR ST</v>
          </cell>
        </row>
        <row r="2502">
          <cell r="C2502">
            <v>3015096</v>
          </cell>
          <cell r="D2502" t="str">
            <v>PL KARK.B/K.Z/KOR.PBX1</v>
          </cell>
        </row>
        <row r="2503">
          <cell r="C2503">
            <v>3015097</v>
          </cell>
          <cell r="D2503" t="str">
            <v>PL KARK.B/K.Z/KOR.OK15KGWOR PJ EŁ1</v>
          </cell>
        </row>
        <row r="2504">
          <cell r="C2504">
            <v>3024270</v>
          </cell>
          <cell r="D2504" t="str">
            <v>PL KARK.B/K.1322 OK15KG NB MR SZ</v>
          </cell>
        </row>
        <row r="2505">
          <cell r="C2505">
            <v>3026893</v>
          </cell>
          <cell r="D2505" t="str">
            <v>KARK.B/K.Z/KOR.OK15KGWOR PJ MR K2</v>
          </cell>
        </row>
        <row r="2506">
          <cell r="C2506">
            <v>3021024</v>
          </cell>
          <cell r="D2506" t="str">
            <v>PL KARK.B/K.1322 OK15KGLUZ PJ SZ</v>
          </cell>
        </row>
        <row r="2507">
          <cell r="C2507">
            <v>3026505</v>
          </cell>
          <cell r="D2507" t="str">
            <v>KARK.WP.B/K.Z/KOR.OK20KGPJ CH K2</v>
          </cell>
        </row>
        <row r="2508">
          <cell r="C2508">
            <v>3033516</v>
          </cell>
          <cell r="D2508" t="str">
            <v>PL KARK.B/K.PBX K4</v>
          </cell>
        </row>
        <row r="2509">
          <cell r="C2509">
            <v>3036133</v>
          </cell>
          <cell r="D2509" t="str">
            <v>PP KARK.B/K.1322 OK15KGLUZ PJ SZ</v>
          </cell>
        </row>
        <row r="2510">
          <cell r="C2510">
            <v>3007633</v>
          </cell>
          <cell r="D2510" t="str">
            <v>KARK.B/K.Z/KOR.NB DMR</v>
          </cell>
        </row>
        <row r="2511">
          <cell r="C2511">
            <v>3025532</v>
          </cell>
          <cell r="D2511" t="str">
            <v>KARK.B/K.Z/KOR/CZ.WAR.RO1</v>
          </cell>
        </row>
        <row r="2512">
          <cell r="C2512">
            <v>3020252</v>
          </cell>
          <cell r="D2512" t="str">
            <v>PL KARK.B/K.Z/KOR.CH2</v>
          </cell>
        </row>
        <row r="2513">
          <cell r="C2513">
            <v>3036317</v>
          </cell>
          <cell r="D2513" t="str">
            <v>KARK.B/K.Z/KOR/CZ.WAR.RO2</v>
          </cell>
        </row>
        <row r="2514">
          <cell r="C2514">
            <v>3020525</v>
          </cell>
          <cell r="D2514" t="str">
            <v>PL KARK.B/K.Z/KOR.PBX2</v>
          </cell>
        </row>
        <row r="2515">
          <cell r="C2515">
            <v>3017762</v>
          </cell>
          <cell r="D2515" t="str">
            <v>EU KARK.B/K.Z/KOR.CH1</v>
          </cell>
        </row>
        <row r="2516">
          <cell r="C2516">
            <v>3017681</v>
          </cell>
          <cell r="D2516" t="str">
            <v>EU KARK.B/K.Z/KOR.PBX CH1</v>
          </cell>
        </row>
        <row r="2517">
          <cell r="C2517">
            <v>3020253</v>
          </cell>
          <cell r="D2517" t="str">
            <v>EU KARK.B/K.Z/KOR.CH2</v>
          </cell>
        </row>
        <row r="2518">
          <cell r="C2518">
            <v>3020531</v>
          </cell>
          <cell r="D2518" t="str">
            <v>EU KARK.B/K.Z/KOR.PBX2</v>
          </cell>
        </row>
        <row r="2519">
          <cell r="C2519">
            <v>3025343</v>
          </cell>
          <cell r="D2519" t="str">
            <v>PP KARK.B/K.Z/KOR.CH</v>
          </cell>
        </row>
        <row r="2520">
          <cell r="C2520">
            <v>3036703</v>
          </cell>
          <cell r="D2520" t="str">
            <v>PP KARK.B/K.Z/KOR.OK20KG NB MR ST</v>
          </cell>
        </row>
        <row r="2521">
          <cell r="C2521">
            <v>3036704</v>
          </cell>
          <cell r="D2521" t="str">
            <v>PP KARK.B/K.Z/KOR.OK20KG NB DMR</v>
          </cell>
        </row>
        <row r="2522">
          <cell r="C2522">
            <v>3025344</v>
          </cell>
          <cell r="D2522" t="str">
            <v>CZ KARK.B/K.Z/KOR.CH</v>
          </cell>
        </row>
        <row r="2523">
          <cell r="C2523">
            <v>3042732</v>
          </cell>
          <cell r="D2523" t="str">
            <v>PL KARK.B/K.Z/KOR/CZ.WAR.MAC.CH</v>
          </cell>
        </row>
        <row r="2524">
          <cell r="C2524">
            <v>3007634</v>
          </cell>
          <cell r="D2524" t="str">
            <v>***KARK.B/K.Z/KOR KL.U NB MR</v>
          </cell>
        </row>
        <row r="2525">
          <cell r="C2525">
            <v>3042760</v>
          </cell>
          <cell r="D2525" t="str">
            <v>PL KARK.B/K.Z/KOR/CZ.WAR.MAC.PBX1</v>
          </cell>
        </row>
        <row r="2526">
          <cell r="C2526">
            <v>3042779</v>
          </cell>
          <cell r="D2526" t="str">
            <v>PL KARK.B/K.Z/KOR/CZ.WAR.MAC.PBX ST</v>
          </cell>
        </row>
        <row r="2527">
          <cell r="C2527">
            <v>3007635</v>
          </cell>
          <cell r="D2527" t="str">
            <v>***KARK.B/K.Z/KOR KL.U NB DMR</v>
          </cell>
        </row>
        <row r="2528">
          <cell r="C2528">
            <v>3042882</v>
          </cell>
          <cell r="D2528" t="str">
            <v>PL KARK.B/K.Z/KOR/CZ.WAR.MAC.PBX2</v>
          </cell>
        </row>
        <row r="2529">
          <cell r="C2529">
            <v>3009100</v>
          </cell>
          <cell r="D2529" t="str">
            <v>***KARK.B/K Z/KOR. KL.U PL</v>
          </cell>
        </row>
        <row r="2530">
          <cell r="C2530">
            <v>3042745</v>
          </cell>
          <cell r="D2530" t="str">
            <v>PP KARK.B/K.Z/KOR/CZ.WAR.MAC.CH</v>
          </cell>
        </row>
        <row r="2531">
          <cell r="C2531">
            <v>3042761</v>
          </cell>
          <cell r="D2531" t="str">
            <v>PP KARK.B/K.Z/KOR/CZ.WAR.MAC.PBX1</v>
          </cell>
        </row>
        <row r="2532">
          <cell r="C2532">
            <v>3042821</v>
          </cell>
          <cell r="D2532" t="str">
            <v>PP KARK.B/K.Z/KOR/CZ.WAR.MAC.PBX ST</v>
          </cell>
        </row>
        <row r="2533">
          <cell r="C2533">
            <v>3044658</v>
          </cell>
          <cell r="D2533" t="str">
            <v>PP KARK.B/K.Z/KOR/CZ.WAR.MAC.KAW.PBX ST</v>
          </cell>
        </row>
        <row r="2534">
          <cell r="C2534">
            <v>3042917</v>
          </cell>
          <cell r="D2534" t="str">
            <v>PP KARK.B/K.Z/KOR/CZ.WAR.MAC.PBX2</v>
          </cell>
        </row>
        <row r="2535">
          <cell r="C2535">
            <v>3004419</v>
          </cell>
          <cell r="D2535" t="str">
            <v>***KARKOWKA B/K Z/KOR/WAR KL.R CH</v>
          </cell>
        </row>
        <row r="2536">
          <cell r="C2536">
            <v>3009101</v>
          </cell>
          <cell r="D2536" t="str">
            <v>***KARK.B/K Z/KOR. KL.R PL</v>
          </cell>
        </row>
        <row r="2537">
          <cell r="C2537">
            <v>3015923</v>
          </cell>
          <cell r="D2537" t="str">
            <v>PL KARK.Z/K/KOR.CH</v>
          </cell>
        </row>
        <row r="2538">
          <cell r="C2538">
            <v>3024899</v>
          </cell>
          <cell r="D2538" t="str">
            <v>***PL KARK.Z/K/KOR.PBX CH</v>
          </cell>
        </row>
        <row r="2539">
          <cell r="C2539">
            <v>3017758</v>
          </cell>
          <cell r="D2539" t="str">
            <v>EU KARK.Z/K/KOR.CH</v>
          </cell>
        </row>
        <row r="2540">
          <cell r="C2540">
            <v>3024900</v>
          </cell>
          <cell r="D2540" t="str">
            <v>***EU KARK.Z/K/KOR.PBX CH</v>
          </cell>
        </row>
        <row r="2541">
          <cell r="C2541">
            <v>3035456</v>
          </cell>
          <cell r="D2541" t="str">
            <v>PP KARK.Z/K/KOR.</v>
          </cell>
        </row>
        <row r="2542">
          <cell r="C2542">
            <v>3004413</v>
          </cell>
          <cell r="D2542" t="str">
            <v>***KARKÓWKA Z/K/KOR KL.U CH</v>
          </cell>
        </row>
        <row r="2543">
          <cell r="C2543">
            <v>3004411</v>
          </cell>
          <cell r="D2543" t="str">
            <v>***KARKÓWKA Z/K/KOR KL.S CH</v>
          </cell>
        </row>
        <row r="2544">
          <cell r="C2544">
            <v>3004416</v>
          </cell>
          <cell r="D2544" t="str">
            <v>***KARKOWKA B/K Z/KOR/WAR KL.S CH</v>
          </cell>
        </row>
        <row r="2545">
          <cell r="C2545">
            <v>3009102</v>
          </cell>
          <cell r="D2545" t="str">
            <v>***KARK.B/K Z/KOR. KL.S PL</v>
          </cell>
        </row>
        <row r="2546">
          <cell r="C2546">
            <v>3005043</v>
          </cell>
          <cell r="D2546" t="str">
            <v>KARKÓWKA Z/K/KOR KL.R CH</v>
          </cell>
        </row>
        <row r="2547">
          <cell r="C2547">
            <v>4005539</v>
          </cell>
          <cell r="D2547" t="str">
            <v>***BRAVCO.KRKOVICKA BK PL.RB.ST MAP800GT</v>
          </cell>
        </row>
        <row r="2548">
          <cell r="C2548">
            <v>4005574</v>
          </cell>
          <cell r="D2548" t="str">
            <v>***BRAVCOVA KRKOVICKA S KOSTOU MAPOK1KGT</v>
          </cell>
        </row>
        <row r="2549">
          <cell r="C2549">
            <v>3018453</v>
          </cell>
          <cell r="D2549" t="str">
            <v>***ĆW.BOCZKOWA WĄS.TŁUSTA CH</v>
          </cell>
        </row>
        <row r="2550">
          <cell r="C2550">
            <v>3014302</v>
          </cell>
          <cell r="D2550" t="str">
            <v>***BOCZ.WP.ŁUSK.B/SK.Z/CHRZ.USR</v>
          </cell>
        </row>
        <row r="2551">
          <cell r="C2551">
            <v>4010532</v>
          </cell>
          <cell r="D2551" t="str">
            <v>***PL BOCZ.ŁUS.WĄS.B/SK.1/3STTRMOK8KGKT</v>
          </cell>
        </row>
        <row r="2552">
          <cell r="C2552">
            <v>4012043</v>
          </cell>
          <cell r="D2552" t="str">
            <v>***EU BOCZ.ŁUS.WĄS.B/SK.1/3STTRM OK8KGKT</v>
          </cell>
        </row>
        <row r="2553">
          <cell r="C2553">
            <v>3012405</v>
          </cell>
          <cell r="D2553" t="str">
            <v>***BOCZ.WP.ŁUSK.Z/SK/CHRZ.USR CH M.E.</v>
          </cell>
        </row>
        <row r="2554">
          <cell r="C2554">
            <v>4009998</v>
          </cell>
          <cell r="D2554" t="str">
            <v>***PLBOCZ.B ŁUS.WĄS.Z/SK.1STTRMOK6KGKTCH</v>
          </cell>
        </row>
        <row r="2555">
          <cell r="C2555">
            <v>4010535</v>
          </cell>
          <cell r="D2555" t="str">
            <v>***PLBOCZ.ŁUS.WĄS.Z/SK.1/3STTRMOK8KG KT</v>
          </cell>
        </row>
        <row r="2556">
          <cell r="C2556">
            <v>4015776</v>
          </cell>
          <cell r="D2556" t="str">
            <v>***PLBOCZ.B ŁUS.WĄS.Z/SK.1STTRM8KGKTPOLM</v>
          </cell>
        </row>
        <row r="2557">
          <cell r="C2557">
            <v>4012015</v>
          </cell>
          <cell r="D2557" t="str">
            <v>***EUBOCZ.ŁUS.WĄS.Z/SK.1STTRMOK6KG KT CH</v>
          </cell>
        </row>
        <row r="2558">
          <cell r="C2558">
            <v>4012044</v>
          </cell>
          <cell r="D2558" t="str">
            <v>***EU BOCZ.ŁUS.WĄS.Z/SK.1/3STTRMOK8KGKT</v>
          </cell>
        </row>
        <row r="2559">
          <cell r="C2559">
            <v>3007636</v>
          </cell>
          <cell r="D2559" t="str">
            <v>***BOCZ.A ŁUS.WĄS.Z/S.B/CH.B.CH1</v>
          </cell>
        </row>
        <row r="2560">
          <cell r="C2560">
            <v>3024901</v>
          </cell>
          <cell r="D2560" t="str">
            <v>***BOCZ.A ŁUS.WĄS.Z/S.B/CH.B.PBX CH1</v>
          </cell>
        </row>
        <row r="2561">
          <cell r="C2561">
            <v>3027640</v>
          </cell>
          <cell r="D2561" t="str">
            <v>PL BOCZ.A BL.Z/S/PACH.SZER.OK10CM PBX SZ</v>
          </cell>
        </row>
        <row r="2562">
          <cell r="C2562">
            <v>3020254</v>
          </cell>
          <cell r="D2562" t="str">
            <v>***BOCZ.A ŁUS.WĄS.Z/S.B/CH.B.CH2</v>
          </cell>
        </row>
        <row r="2563">
          <cell r="C2563">
            <v>3025161</v>
          </cell>
          <cell r="D2563" t="str">
            <v>***BOCZ.A ŁUS.WĄS.Z/S.B/CH.B.PBX CH2</v>
          </cell>
        </row>
        <row r="2564">
          <cell r="C2564">
            <v>3012403</v>
          </cell>
          <cell r="D2564" t="str">
            <v>***BOCZ.WP.Z/K/SK.WĄSKI USR CH M.E.</v>
          </cell>
        </row>
        <row r="2565">
          <cell r="C2565">
            <v>4009995</v>
          </cell>
          <cell r="D2565" t="str">
            <v>PL BOCZ.B B/P.1STVAC OK11KGKT ME</v>
          </cell>
        </row>
        <row r="2566">
          <cell r="C2566">
            <v>4025032</v>
          </cell>
          <cell r="D2566" t="str">
            <v>PL BOCZ.B B/P.1STVAC OK11KGKT MORE EX</v>
          </cell>
        </row>
        <row r="2567">
          <cell r="C2567">
            <v>4025259</v>
          </cell>
          <cell r="D2567" t="str">
            <v>PL BOCZ.B B/P.1STVAC OK11KGKT</v>
          </cell>
        </row>
        <row r="2568">
          <cell r="C2568">
            <v>3008850</v>
          </cell>
          <cell r="D2568" t="str">
            <v>***BOCZ.ŁUSK.B/SK/CHRZ POD BEKON EXP.</v>
          </cell>
        </row>
        <row r="2569">
          <cell r="C2569">
            <v>3004462</v>
          </cell>
          <cell r="D2569" t="str">
            <v>***BOCZ.BLAT.SZER.Z/SK USR CH</v>
          </cell>
        </row>
        <row r="2570">
          <cell r="C2570">
            <v>4009928</v>
          </cell>
          <cell r="D2570" t="str">
            <v>***BOCZ.BLAT.SZER.Z/SK.CH OKT.</v>
          </cell>
        </row>
        <row r="2571">
          <cell r="C2571">
            <v>3009490</v>
          </cell>
          <cell r="D2571" t="str">
            <v>***BOCZ.SZER.BLAT.B/SK  USR</v>
          </cell>
        </row>
        <row r="2572">
          <cell r="C2572">
            <v>3013569</v>
          </cell>
          <cell r="D2572" t="str">
            <v>***PL BOCZ.B BLAT.WĄS.B/SK.PB MR</v>
          </cell>
        </row>
        <row r="2573">
          <cell r="C2573">
            <v>4012351</v>
          </cell>
          <cell r="D2573" t="str">
            <v>***PL BOCZ.B BLAT.WĄS.B/SK.LUZ OKT CH EX</v>
          </cell>
        </row>
        <row r="2574">
          <cell r="C2574">
            <v>3014631</v>
          </cell>
          <cell r="D2574" t="str">
            <v>***BOCZ.B/ŻEB/SK/CH/MP22X49KT MR MORL SZ</v>
          </cell>
        </row>
        <row r="2575">
          <cell r="C2575">
            <v>3014638</v>
          </cell>
          <cell r="D2575" t="str">
            <v>***PL BOCZ.A B/Ż/SK/CH.22X47 ZAW KTMR SZ</v>
          </cell>
        </row>
        <row r="2576">
          <cell r="C2576">
            <v>3013566</v>
          </cell>
          <cell r="D2576" t="str">
            <v>***PL BOCZ.B BLAT.WĄS.B/SK.PB DMR</v>
          </cell>
        </row>
        <row r="2577">
          <cell r="C2577">
            <v>3013567</v>
          </cell>
          <cell r="D2577" t="str">
            <v>***BOCZ.B BLAT.WĄS.B/SK.PB RO1</v>
          </cell>
        </row>
        <row r="2578">
          <cell r="C2578">
            <v>3020255</v>
          </cell>
          <cell r="D2578" t="str">
            <v>***BOCZ.B BLAT.WĄS.B/SK.PB RO2</v>
          </cell>
        </row>
        <row r="2579">
          <cell r="C2579">
            <v>3017559</v>
          </cell>
          <cell r="D2579" t="str">
            <v>***EU BOCZ.B BLAT.WĄS.B/SK.PB MR</v>
          </cell>
        </row>
        <row r="2580">
          <cell r="C2580">
            <v>4012340</v>
          </cell>
          <cell r="D2580" t="str">
            <v>***EU BOCZ.B BLAT.WĄS.B/SK.WOR PJ CH EX</v>
          </cell>
        </row>
        <row r="2581">
          <cell r="C2581">
            <v>3017558</v>
          </cell>
          <cell r="D2581" t="str">
            <v>***EU BOCZ.B BLAT.WĄS.B/SK.PB DMR</v>
          </cell>
        </row>
        <row r="2582">
          <cell r="C2582">
            <v>3013487</v>
          </cell>
          <cell r="D2582" t="str">
            <v>***BOCZ.WP.BLAT.B/M.PRZEP./SK USR</v>
          </cell>
        </row>
        <row r="2583">
          <cell r="C2583">
            <v>4010076</v>
          </cell>
          <cell r="D2583" t="str">
            <v>***PL BOCZ.B BLAT.B/S/M.PRZEP.4STKTMRUS</v>
          </cell>
        </row>
        <row r="2584">
          <cell r="C2584">
            <v>3013490</v>
          </cell>
          <cell r="D2584" t="str">
            <v>***PL BOCZ.B BLAT.B/S/M.PRZEP.4STKTDMRUS</v>
          </cell>
        </row>
        <row r="2585">
          <cell r="C2585">
            <v>4012023</v>
          </cell>
          <cell r="D2585" t="str">
            <v>***EU BOCZ.B BLAT.B/S/M.PRZEP.4STKTMR US</v>
          </cell>
        </row>
        <row r="2586">
          <cell r="C2586">
            <v>3017554</v>
          </cell>
          <cell r="D2586" t="str">
            <v>***EU BOCZ.B BLAT.B/S/M.PRZEP.4STKTDMRUS</v>
          </cell>
        </row>
        <row r="2587">
          <cell r="C2587">
            <v>3008801</v>
          </cell>
          <cell r="D2587" t="str">
            <v>ELEM.BOCZ.MARYNATA</v>
          </cell>
        </row>
        <row r="2588">
          <cell r="C2588">
            <v>3009011</v>
          </cell>
          <cell r="D2588" t="str">
            <v>***PL BOCZ.B/Ż/SK.ODTŁ.16/22 MR</v>
          </cell>
        </row>
        <row r="2589">
          <cell r="C2589">
            <v>3009015</v>
          </cell>
          <cell r="D2589" t="str">
            <v>PL BOCZ.B/Ż/SK.ODTŁ.16/22 DMR CH</v>
          </cell>
        </row>
        <row r="2590">
          <cell r="C2590">
            <v>3009016</v>
          </cell>
          <cell r="D2590" t="str">
            <v>BOCZ. 16/22 B/ŻEB/SK ODTŁ RO</v>
          </cell>
        </row>
        <row r="2591">
          <cell r="C2591">
            <v>3017435</v>
          </cell>
          <cell r="D2591" t="str">
            <v>***EU BOCZ.B/Ż/SK.ODTŁ.16/22 MR</v>
          </cell>
        </row>
        <row r="2592">
          <cell r="C2592">
            <v>3017437</v>
          </cell>
          <cell r="D2592" t="str">
            <v>***EU BOCZ.B/Ż/SK.ODTŁ.16/22 DMR CH</v>
          </cell>
        </row>
        <row r="2593">
          <cell r="C2593">
            <v>3014425</v>
          </cell>
          <cell r="D2593" t="str">
            <v>***BOCZ.WP.BLAT.Z/SK WĄSKI USR</v>
          </cell>
        </row>
        <row r="2594">
          <cell r="C2594">
            <v>3014465</v>
          </cell>
          <cell r="D2594" t="str">
            <v>***BOCZ.B BLAT.Z/SK.WĄS.NB MR</v>
          </cell>
        </row>
        <row r="2595">
          <cell r="C2595">
            <v>3014487</v>
          </cell>
          <cell r="D2595" t="str">
            <v>***BOCZ.B BLAT.WĄS.Z/SK.NB DMR</v>
          </cell>
        </row>
        <row r="2596">
          <cell r="C2596">
            <v>3014464</v>
          </cell>
          <cell r="D2596" t="str">
            <v>***BOCZ.B BLAT.WĄS.Z/SK.NB RO1</v>
          </cell>
        </row>
        <row r="2597">
          <cell r="C2597">
            <v>3020256</v>
          </cell>
          <cell r="D2597" t="str">
            <v>***BOCZ.B BLAT.WĄS.Z/SK.NB RO2</v>
          </cell>
        </row>
        <row r="2598">
          <cell r="C2598">
            <v>3014714</v>
          </cell>
          <cell r="D2598" t="str">
            <v>***BOCZ.WP.BLAT.Z/SK WĄSKI USR Z/B</v>
          </cell>
        </row>
        <row r="2599">
          <cell r="C2599">
            <v>3015880</v>
          </cell>
          <cell r="D2599" t="str">
            <v>ĆW.BOCZ.C CH</v>
          </cell>
        </row>
        <row r="2600">
          <cell r="C2600">
            <v>4028396</v>
          </cell>
          <cell r="D2600" t="str">
            <v>PL ĆW.BOCZ.C OK20KGWOR KT MR EX</v>
          </cell>
        </row>
        <row r="2601">
          <cell r="C2601">
            <v>4008810</v>
          </cell>
          <cell r="D2601" t="str">
            <v>***BOCZ.Z/S/SK.NAT.CIĘCIE KL.E KT MR CH</v>
          </cell>
        </row>
        <row r="2602">
          <cell r="C2602">
            <v>4022647</v>
          </cell>
          <cell r="D2602" t="str">
            <v>PL ĆW.BOCZ.C OK120KG CHOIN.EX</v>
          </cell>
        </row>
        <row r="2603">
          <cell r="C2603">
            <v>3020981</v>
          </cell>
          <cell r="D2603" t="str">
            <v>***ĆW.BOCZ.C LUZ OKT CH ST</v>
          </cell>
        </row>
        <row r="2604">
          <cell r="C2604">
            <v>4029085</v>
          </cell>
          <cell r="D2604" t="str">
            <v>PL ĆW.BOCZ.C OK500KG OKT EX</v>
          </cell>
        </row>
        <row r="2605">
          <cell r="C2605">
            <v>3033901</v>
          </cell>
          <cell r="D2605" t="str">
            <v>***PL ĆW.BOCZ.C OK650KG OKT K4 ZAK</v>
          </cell>
        </row>
        <row r="2606">
          <cell r="C2606">
            <v>3038563</v>
          </cell>
          <cell r="D2606" t="str">
            <v>ĆW.BOCZ.C OK500KG OKT ZAK</v>
          </cell>
        </row>
        <row r="2607">
          <cell r="C2607">
            <v>3043167</v>
          </cell>
          <cell r="D2607" t="str">
            <v>PL ĆW.BOCZ.C OK20KGWOR KT DMR</v>
          </cell>
        </row>
        <row r="2608">
          <cell r="C2608">
            <v>3009561</v>
          </cell>
          <cell r="D2608" t="str">
            <v>***PL BOCZ.Z/Ż/SK.NT/C KT DMR</v>
          </cell>
        </row>
        <row r="2609">
          <cell r="C2609">
            <v>3009298</v>
          </cell>
          <cell r="D2609" t="str">
            <v>***BOCZ.Z/ŻEB.SZEROKI TŁUSTY KL.E PL</v>
          </cell>
        </row>
        <row r="2610">
          <cell r="C2610">
            <v>3017451</v>
          </cell>
          <cell r="D2610" t="str">
            <v>***EU BOCZ.C Z/Ż/SK.NT/C.KT DMR</v>
          </cell>
        </row>
        <row r="2611">
          <cell r="C2611">
            <v>3009570</v>
          </cell>
          <cell r="D2611" t="str">
            <v>***BOCZ.Z/K/SK NAT.CIĘCIE KL.E  USR</v>
          </cell>
        </row>
        <row r="2612">
          <cell r="C2612">
            <v>3012267</v>
          </cell>
          <cell r="D2612" t="str">
            <v>***BOCZ.Z/ŻEB.SZEROKI TŁUSTY KL.E EX</v>
          </cell>
        </row>
        <row r="2613">
          <cell r="C2613">
            <v>3004234</v>
          </cell>
          <cell r="D2613" t="str">
            <v>***ĆW.BOCZKOWA SZR./TŁUSTA/KL.U CH</v>
          </cell>
        </row>
        <row r="2614">
          <cell r="C2614">
            <v>3009324</v>
          </cell>
          <cell r="D2614" t="str">
            <v>***BOCZ.Z/ŻEB.SZEROKI TŁUSTY KL.U PL</v>
          </cell>
        </row>
        <row r="2615">
          <cell r="C2615">
            <v>3012268</v>
          </cell>
          <cell r="D2615" t="str">
            <v>***BOCZ.Z/ŻEB.SZEROKI TŁUSTY KL.U EX</v>
          </cell>
        </row>
        <row r="2616">
          <cell r="C2616">
            <v>3004236</v>
          </cell>
          <cell r="D2616" t="str">
            <v>***ĆW.BOCZKOWA SZR./TŁUSTA/KL.R CH</v>
          </cell>
        </row>
        <row r="2617">
          <cell r="C2617">
            <v>3009323</v>
          </cell>
          <cell r="D2617" t="str">
            <v>***BOCZ.Z/ŻEB.SZEROKI TŁUSTY KL.R PL</v>
          </cell>
        </row>
        <row r="2618">
          <cell r="C2618">
            <v>3012280</v>
          </cell>
          <cell r="D2618" t="str">
            <v>***BOCZ.Z/ŻEB.SZEROKI TŁUSTY KL.R EX</v>
          </cell>
        </row>
        <row r="2619">
          <cell r="C2619">
            <v>3014430</v>
          </cell>
          <cell r="D2619" t="str">
            <v>***BOCZ.BLAT.Z/SK.SZEROKI USR</v>
          </cell>
        </row>
        <row r="2620">
          <cell r="C2620">
            <v>3014729</v>
          </cell>
          <cell r="D2620" t="str">
            <v>***BOCZ.WP.BLAT.Z/SK.SZER.NB MR</v>
          </cell>
        </row>
        <row r="2621">
          <cell r="C2621">
            <v>3014741</v>
          </cell>
          <cell r="D2621" t="str">
            <v>***BOCZ.WP.BLAT.Z/SK.SZER. NB DMR</v>
          </cell>
        </row>
        <row r="2622">
          <cell r="C2622">
            <v>3014740</v>
          </cell>
          <cell r="D2622" t="str">
            <v>***BOCZ.WP.BLAT.Z/SK.SZER. NB RO</v>
          </cell>
        </row>
        <row r="2623">
          <cell r="C2623">
            <v>3020030</v>
          </cell>
          <cell r="D2623" t="str">
            <v>PL BOCZ.BL.A B/P.20CM CH</v>
          </cell>
        </row>
        <row r="2624">
          <cell r="C2624">
            <v>3024902</v>
          </cell>
          <cell r="D2624" t="str">
            <v>***PL BOCZ.A.BLAT.WĄS.Z/SK.PBX CH1</v>
          </cell>
        </row>
        <row r="2625">
          <cell r="C2625">
            <v>4014790</v>
          </cell>
          <cell r="D2625" t="str">
            <v>***PL BOCZ.A BLAT.WĄS.Z/S.LUZ OK15KGKT</v>
          </cell>
        </row>
        <row r="2626">
          <cell r="C2626">
            <v>3021419</v>
          </cell>
          <cell r="D2626" t="str">
            <v>***BOCZ.A BLAT.WĄS.Z/SK.LUZ PBX CH ST</v>
          </cell>
        </row>
        <row r="2627">
          <cell r="C2627">
            <v>3021491</v>
          </cell>
          <cell r="D2627" t="str">
            <v>PL BOCZ.BL.B B/P.20CM OK20KG PB MR EŁ</v>
          </cell>
        </row>
        <row r="2628">
          <cell r="C2628">
            <v>3025458</v>
          </cell>
          <cell r="D2628" t="str">
            <v>PL BOCZ.BL.B B/P.20CM RO1</v>
          </cell>
        </row>
        <row r="2629">
          <cell r="C2629">
            <v>3022034</v>
          </cell>
          <cell r="D2629" t="str">
            <v>***PL BOCZ.BL.A B/P.20CM CH2</v>
          </cell>
        </row>
        <row r="2630">
          <cell r="C2630">
            <v>3025460</v>
          </cell>
          <cell r="D2630" t="str">
            <v>PL BOCZ.BL.B B/P.20CM RO2</v>
          </cell>
        </row>
        <row r="2631">
          <cell r="C2631">
            <v>3025162</v>
          </cell>
          <cell r="D2631" t="str">
            <v>***PL BOCZ.A.BLAT.WĄS.Z/SK.PBX CH2</v>
          </cell>
        </row>
        <row r="2632">
          <cell r="C2632">
            <v>3021417</v>
          </cell>
          <cell r="D2632" t="str">
            <v>***EU BOCZ.BL.A B/P.20CM CH1</v>
          </cell>
        </row>
        <row r="2633">
          <cell r="C2633">
            <v>3024903</v>
          </cell>
          <cell r="D2633" t="str">
            <v>***EU BOCZ.A.BLAT.WĄS.Z/SK.PBX CH1</v>
          </cell>
        </row>
        <row r="2634">
          <cell r="C2634">
            <v>4014795</v>
          </cell>
          <cell r="D2634" t="str">
            <v>***EU BOCZ.A BLAT.WĄS.Z/SK.LUZ OK15KG KT</v>
          </cell>
        </row>
        <row r="2635">
          <cell r="C2635">
            <v>3022035</v>
          </cell>
          <cell r="D2635" t="str">
            <v>***EU BOCZ.BL.A B/P.20CM CH2</v>
          </cell>
        </row>
        <row r="2636">
          <cell r="C2636">
            <v>3025163</v>
          </cell>
          <cell r="D2636" t="str">
            <v>***EU BOCZ.A.BLAT.WĄS.Z/SK.PBX CH2</v>
          </cell>
        </row>
        <row r="2637">
          <cell r="C2637">
            <v>3007117</v>
          </cell>
          <cell r="D2637" t="str">
            <v>***BOCZ.A BLAT.Z/SK/PACH.10-12CM CH1</v>
          </cell>
        </row>
        <row r="2638">
          <cell r="C2638">
            <v>3024904</v>
          </cell>
          <cell r="D2638" t="str">
            <v>***BOCZ.A BLAT.Z/SK/PACH.10-12CM PBX CH1</v>
          </cell>
        </row>
        <row r="2639">
          <cell r="C2639">
            <v>3023320</v>
          </cell>
          <cell r="D2639" t="str">
            <v>***BOCZ.A BLAT.Z/SK/PACH.10-12CM CH2</v>
          </cell>
        </row>
        <row r="2640">
          <cell r="C2640">
            <v>3025164</v>
          </cell>
          <cell r="D2640" t="str">
            <v>***BOCZ.A BLAT.Z/SK/PACH.10-12CM PBX CH2</v>
          </cell>
        </row>
        <row r="2641">
          <cell r="C2641">
            <v>3015933</v>
          </cell>
          <cell r="D2641" t="str">
            <v>PL BOCZ.BL.C B/P.CH</v>
          </cell>
        </row>
        <row r="2642">
          <cell r="C2642">
            <v>3025836</v>
          </cell>
          <cell r="D2642" t="str">
            <v>***PL BOCZ.C BLAT.Z/SK.PBX CH1</v>
          </cell>
        </row>
        <row r="2643">
          <cell r="C2643">
            <v>3025924</v>
          </cell>
          <cell r="D2643" t="str">
            <v>***PL BOCZ.C BLAT.Z/SK.PBX CH2</v>
          </cell>
        </row>
        <row r="2644">
          <cell r="C2644">
            <v>3017768</v>
          </cell>
          <cell r="D2644" t="str">
            <v>***EU BOCZ.BL.C B/P.CH</v>
          </cell>
        </row>
        <row r="2645">
          <cell r="C2645">
            <v>3025837</v>
          </cell>
          <cell r="D2645" t="str">
            <v>***EU BOCZ.C BLAT.Z/SK.PBX CH1</v>
          </cell>
        </row>
        <row r="2646">
          <cell r="C2646">
            <v>3025925</v>
          </cell>
          <cell r="D2646" t="str">
            <v>***EU BOCZ.C BLAT.Z/SK.PBX CH2</v>
          </cell>
        </row>
        <row r="2647">
          <cell r="C2647">
            <v>3036733</v>
          </cell>
          <cell r="D2647" t="str">
            <v>PL BOCZ.BL.B B/CZP.MC.CH</v>
          </cell>
        </row>
        <row r="2648">
          <cell r="C2648">
            <v>3040010</v>
          </cell>
          <cell r="D2648" t="str">
            <v>PL BOCZ.BL.B B/CZP.MC.PBX ST1</v>
          </cell>
        </row>
        <row r="2649">
          <cell r="C2649">
            <v>3037265</v>
          </cell>
          <cell r="D2649" t="str">
            <v>PL BOCZ.BL.B B/CZP.MC.PBX K4</v>
          </cell>
        </row>
        <row r="2650">
          <cell r="C2650">
            <v>3043489</v>
          </cell>
          <cell r="D2650" t="str">
            <v>PL BOCZ.BL.B B/CZP.MC.PBX ST2</v>
          </cell>
        </row>
        <row r="2651">
          <cell r="C2651">
            <v>3014426</v>
          </cell>
          <cell r="D2651" t="str">
            <v>***BOCZ.WP.BLAT.Z/SK.SZER. KL.E CH</v>
          </cell>
        </row>
        <row r="2652">
          <cell r="C2652">
            <v>3004445</v>
          </cell>
          <cell r="D2652" t="str">
            <v>***BOCZ.Z/ŻEB.WĄSK.Z/SK USR CH</v>
          </cell>
        </row>
        <row r="2653">
          <cell r="C2653">
            <v>4001787</v>
          </cell>
          <cell r="D2653" t="str">
            <v>PL BOCZ.B B/P.OK20KGWOR KT</v>
          </cell>
        </row>
        <row r="2654">
          <cell r="C2654">
            <v>4008746</v>
          </cell>
          <cell r="D2654" t="str">
            <v>***PL BOCZ.B Z/Ż/SK.OK16KG WOR KT TESC</v>
          </cell>
        </row>
        <row r="2655">
          <cell r="C2655">
            <v>4008097</v>
          </cell>
          <cell r="D2655" t="str">
            <v>***PL BOCZ.B WĄS.Z/Ż/SK.OK15KG KT CH TIP</v>
          </cell>
        </row>
        <row r="2656">
          <cell r="C2656">
            <v>4008246</v>
          </cell>
          <cell r="D2656" t="str">
            <v>***PL BOCZ.B Z/Ż.OK15KG KT CH REAL</v>
          </cell>
        </row>
        <row r="2657">
          <cell r="C2657">
            <v>4013456</v>
          </cell>
          <cell r="D2657" t="str">
            <v>PL BOCZ.B B/P.2STMAP 2STKT KAUF</v>
          </cell>
        </row>
        <row r="2658">
          <cell r="C2658">
            <v>4019633</v>
          </cell>
          <cell r="D2658" t="str">
            <v>***PL BOCZ.B Z/Ż/SK.2ST RMM OK12KGKT MOR</v>
          </cell>
        </row>
        <row r="2659">
          <cell r="C2659">
            <v>4011096</v>
          </cell>
          <cell r="D2659" t="str">
            <v>PL BOCZ.B B/P.1/2STVAC OK18KGPJ</v>
          </cell>
        </row>
        <row r="2660">
          <cell r="C2660">
            <v>4012625</v>
          </cell>
          <cell r="D2660" t="str">
            <v>***PL BOCZ.B Z/Ż/S.1STVAC OK15KGKT</v>
          </cell>
        </row>
        <row r="2661">
          <cell r="C2661">
            <v>4007400</v>
          </cell>
          <cell r="D2661" t="str">
            <v>***PL BOCZ.B WĄS.Z/Ż/SK.LUZOK15KGPJ HILT</v>
          </cell>
        </row>
        <row r="2662">
          <cell r="C2662">
            <v>4011462</v>
          </cell>
          <cell r="D2662" t="str">
            <v>***EU BOCZ.Z/Ż.CH LUZ KT</v>
          </cell>
        </row>
        <row r="2663">
          <cell r="C2663">
            <v>4011817</v>
          </cell>
          <cell r="D2663" t="str">
            <v>***EU BOCZ.B Z/Ż/SK.OK16KG WOR TESC</v>
          </cell>
        </row>
        <row r="2664">
          <cell r="C2664">
            <v>4011766</v>
          </cell>
          <cell r="D2664" t="str">
            <v>***EU BOCZ.B WĄS.Z/Ż/SK.OK15KG KT CH TIP</v>
          </cell>
        </row>
        <row r="2665">
          <cell r="C2665">
            <v>4011774</v>
          </cell>
          <cell r="D2665" t="str">
            <v>***EU BOCZ.B Z/Ż.OK15KG KT CH REAL</v>
          </cell>
        </row>
        <row r="2666">
          <cell r="C2666">
            <v>4013484</v>
          </cell>
          <cell r="D2666" t="str">
            <v>***EU BOCZ.B Z/Ż/SK.2ST RMM 2ST KT KAUF</v>
          </cell>
        </row>
        <row r="2667">
          <cell r="C2667">
            <v>4012151</v>
          </cell>
          <cell r="D2667" t="str">
            <v>***EU BOCZ.B Z/Ż/S.1/2STTRM OK15KGPJ ECS</v>
          </cell>
        </row>
        <row r="2668">
          <cell r="C2668">
            <v>4012626</v>
          </cell>
          <cell r="D2668" t="str">
            <v>***EU BOCZ.B Z/Ż/S.1STVAC OK15KGKT</v>
          </cell>
        </row>
        <row r="2669">
          <cell r="C2669">
            <v>4011730</v>
          </cell>
          <cell r="D2669" t="str">
            <v>***EU BOCZ.B WĄS.Z/Ż/S.OK15KGLUZPJ HILT</v>
          </cell>
        </row>
        <row r="2670">
          <cell r="C2670">
            <v>3008889</v>
          </cell>
          <cell r="D2670" t="str">
            <v>***BOCZ.ŁUS. USR CH</v>
          </cell>
        </row>
        <row r="2671">
          <cell r="C2671">
            <v>3004473</v>
          </cell>
          <cell r="D2671" t="str">
            <v>***BOCZŁUS.SZER.B/SK.Z/CHRZ USR CH KOREA</v>
          </cell>
        </row>
        <row r="2672">
          <cell r="C2672">
            <v>4001788</v>
          </cell>
          <cell r="D2672" t="str">
            <v>***PLBOCZ.ŁUS.SZER.B/SK.LUZ MR LIDL KO</v>
          </cell>
        </row>
        <row r="2673">
          <cell r="C2673">
            <v>4001789</v>
          </cell>
          <cell r="D2673" t="str">
            <v>***PLBOCZ.ŁUS.SZER.B/SK.LUZ MR KO</v>
          </cell>
        </row>
        <row r="2674">
          <cell r="C2674">
            <v>4007582</v>
          </cell>
          <cell r="D2674" t="str">
            <v>***PL BOCZ.ŁUS.SZER.B/SK.MR CH KO</v>
          </cell>
        </row>
        <row r="2675">
          <cell r="C2675">
            <v>3007637</v>
          </cell>
          <cell r="D2675" t="str">
            <v>***PLBOCZ.ŁUS.SZ.B/SK.Z/CH.OK15KGKTDMRKO</v>
          </cell>
        </row>
        <row r="2676">
          <cell r="C2676">
            <v>3007638</v>
          </cell>
          <cell r="D2676" t="str">
            <v>***PLBOCZ.ŁUS.SZ.B/SK.Z/CH.OK20KGKTDMRKO</v>
          </cell>
        </row>
        <row r="2677">
          <cell r="C2677">
            <v>3007639</v>
          </cell>
          <cell r="D2677" t="str">
            <v>***PLBOCZ.ŁUS.SZ.B/SK.Z/CH.OK20KGKTDMRCN</v>
          </cell>
        </row>
        <row r="2678">
          <cell r="C2678">
            <v>3014141</v>
          </cell>
          <cell r="D2678" t="str">
            <v>***BOCZ.ŁUSK B/SK SZER.RO</v>
          </cell>
        </row>
        <row r="2679">
          <cell r="C2679">
            <v>3009061</v>
          </cell>
          <cell r="D2679" t="str">
            <v>***BOCZ.ŁUSK.SZER.B/SK.Z/CHRZ. PL</v>
          </cell>
        </row>
        <row r="2680">
          <cell r="C2680">
            <v>4011463</v>
          </cell>
          <cell r="D2680" t="str">
            <v>***EUBOCZ.ŁUS.SZER.B/SK.LUZ MR LIDL KO</v>
          </cell>
        </row>
        <row r="2681">
          <cell r="C2681">
            <v>4011464</v>
          </cell>
          <cell r="D2681" t="str">
            <v>***EU BOCZ.ŁUS.SZER.B/SK.LUZ MR KO</v>
          </cell>
        </row>
        <row r="2682">
          <cell r="C2682">
            <v>4011749</v>
          </cell>
          <cell r="D2682" t="str">
            <v>***EU BOCZ.ŁUS.SZER.B/SK.MR CH KO</v>
          </cell>
        </row>
        <row r="2683">
          <cell r="C2683">
            <v>3017383</v>
          </cell>
          <cell r="D2683" t="str">
            <v>***EUBOCZ.ŁUS.SZ.B/SK.Z/CH.OK15KGKTDMRKO</v>
          </cell>
        </row>
        <row r="2684">
          <cell r="C2684">
            <v>3017384</v>
          </cell>
          <cell r="D2684" t="str">
            <v>***EUBOCZ.ŁUS.SZ.B/SK.Z/CH.OK20KGKTDMRKO</v>
          </cell>
        </row>
        <row r="2685">
          <cell r="C2685">
            <v>3017385</v>
          </cell>
          <cell r="D2685" t="str">
            <v>***EUBOCZ.ŁUS.SZ.B/SK.Z/CH.OK20KGKTDMRCN</v>
          </cell>
        </row>
        <row r="2686">
          <cell r="C2686">
            <v>3009060</v>
          </cell>
          <cell r="D2686" t="str">
            <v>***BOCZ.ŁUSK.SZER.B/SK.Z/CHRZ. PL UŚR</v>
          </cell>
        </row>
        <row r="2687">
          <cell r="C2687">
            <v>3015937</v>
          </cell>
          <cell r="D2687" t="str">
            <v>***PL BOCZ.ŁUS.SZER.B/SK.Z/CHRZ.CH KO</v>
          </cell>
        </row>
        <row r="2688">
          <cell r="C2688">
            <v>3017773</v>
          </cell>
          <cell r="D2688" t="str">
            <v>***EU BOCZ.ŁUS.SZER.B/SK.Z/CHRZ.CH KO</v>
          </cell>
        </row>
        <row r="2689">
          <cell r="C2689">
            <v>3009299</v>
          </cell>
          <cell r="D2689" t="str">
            <v>***BOCZ.ŁUSK.B/SK SZER. PL UŚR</v>
          </cell>
        </row>
        <row r="2690">
          <cell r="C2690">
            <v>3004474</v>
          </cell>
          <cell r="D2690" t="str">
            <v>***BOCZ.ŁUS.SZER.B/SK.Z/CHRZ KLU CHKOREA</v>
          </cell>
        </row>
        <row r="2691">
          <cell r="C2691">
            <v>3014476</v>
          </cell>
          <cell r="D2691" t="str">
            <v>***BOCZ.BLAT.B/CHRZ.Z/SK. KLASYCZNY USR</v>
          </cell>
        </row>
        <row r="2692">
          <cell r="C2692">
            <v>3007640</v>
          </cell>
          <cell r="D2692" t="str">
            <v>***BOCZ.BLAT.WĄS.B/SK CH</v>
          </cell>
        </row>
        <row r="2693">
          <cell r="C2693">
            <v>3007641</v>
          </cell>
          <cell r="D2693" t="str">
            <v>***BOCZ.BLAT.WĄS.B/SK CH ZAK</v>
          </cell>
        </row>
        <row r="2694">
          <cell r="C2694">
            <v>3007642</v>
          </cell>
          <cell r="D2694" t="str">
            <v>***BOCZ.BLAT.WĄS.B/SK KL.S CH</v>
          </cell>
        </row>
        <row r="2695">
          <cell r="C2695">
            <v>3007643</v>
          </cell>
          <cell r="D2695" t="str">
            <v>***BOCZ.BLAT.WĄS.B/SK KL.E CH</v>
          </cell>
        </row>
        <row r="2696">
          <cell r="C2696">
            <v>3007644</v>
          </cell>
          <cell r="D2696" t="str">
            <v>***BOCZ.BLAT.WĄS.B/SK KL.E NB MR</v>
          </cell>
        </row>
        <row r="2697">
          <cell r="C2697">
            <v>3007645</v>
          </cell>
          <cell r="D2697" t="str">
            <v>***BOCZ.BLAT.WĄS.B/SK KL.E NB DMR</v>
          </cell>
        </row>
        <row r="2698">
          <cell r="C2698">
            <v>3007646</v>
          </cell>
          <cell r="D2698" t="str">
            <v>***BOCZ.BLAT.WĄS.B/SK KL.U CH</v>
          </cell>
        </row>
        <row r="2699">
          <cell r="C2699">
            <v>3014478</v>
          </cell>
          <cell r="D2699" t="str">
            <v>***BOCZ.BLAT.B/CHRZ.Z/SK.CHŁOPSKI USR</v>
          </cell>
        </row>
        <row r="2700">
          <cell r="C2700">
            <v>3017917</v>
          </cell>
          <cell r="D2700" t="str">
            <v>KK SKÓRY Z PIERSI OK15KG PB MR SU1</v>
          </cell>
        </row>
        <row r="2701">
          <cell r="C2701">
            <v>3019132</v>
          </cell>
          <cell r="D2701" t="str">
            <v>***PL BOCZ.B BLAT.WĄS.Z/SK.PLASTRY</v>
          </cell>
        </row>
        <row r="2702">
          <cell r="C2702">
            <v>4010651</v>
          </cell>
          <cell r="D2702" t="str">
            <v>***PL BOCZ.PLASTRY360G MAP2.88KG KT JMP</v>
          </cell>
        </row>
        <row r="2703">
          <cell r="C2703">
            <v>4010972</v>
          </cell>
          <cell r="D2703" t="str">
            <v>***PL BOCZ.B PL 360GMAP 2.16KGKT MOR EX</v>
          </cell>
        </row>
        <row r="2704">
          <cell r="C2704">
            <v>4011106</v>
          </cell>
          <cell r="D2704" t="str">
            <v>***PL BOCZ.PLASTRY 360G MAP 12ST KT ECS</v>
          </cell>
        </row>
        <row r="2705">
          <cell r="C2705">
            <v>4011203</v>
          </cell>
          <cell r="D2705" t="str">
            <v>***PL BOCZ.B PL 360GMAP 1.44KGKT</v>
          </cell>
        </row>
        <row r="2706">
          <cell r="C2706">
            <v>4015211</v>
          </cell>
          <cell r="D2706" t="str">
            <v>***PL BOCZ.B PL 360G MAP 1.44KG KT NETTO</v>
          </cell>
        </row>
        <row r="2707">
          <cell r="C2707">
            <v>4015543</v>
          </cell>
          <cell r="D2707" t="str">
            <v>***PL BOCZ.B PL 400G MAP 4.8KG KT LIDL</v>
          </cell>
        </row>
        <row r="2708">
          <cell r="C2708">
            <v>4016917</v>
          </cell>
          <cell r="D2708" t="str">
            <v>***PL BOCZ.B PL400G MAP 4.8KG KT LIDL LT</v>
          </cell>
        </row>
        <row r="2709">
          <cell r="C2709">
            <v>4013886</v>
          </cell>
          <cell r="D2709" t="str">
            <v>***PL BOCZ.B WĄS.B/Ż.Z/SK.1STTRMOK15KGPJ</v>
          </cell>
        </row>
        <row r="2710">
          <cell r="C2710">
            <v>4016103</v>
          </cell>
          <cell r="D2710" t="str">
            <v>***PL BOCZ.B WĄS.B/Ż.Z/S.1STVAC OK15KGKT</v>
          </cell>
        </row>
        <row r="2711">
          <cell r="C2711">
            <v>4007403</v>
          </cell>
          <cell r="D2711" t="str">
            <v>***PL BOCZ.B WĄS.B/Ż.Z/SK.OK15KG PJ HILT</v>
          </cell>
        </row>
        <row r="2712">
          <cell r="C2712">
            <v>3018630</v>
          </cell>
          <cell r="D2712" t="str">
            <v>***BOCZ.B BLAT.WĄS.Z/SK.LUZ PBX CH ST</v>
          </cell>
        </row>
        <row r="2713">
          <cell r="C2713">
            <v>3019128</v>
          </cell>
          <cell r="D2713" t="str">
            <v>***EU BOCZ.B BLAT.WĄS.Z/SK.PLASTRY</v>
          </cell>
        </row>
        <row r="2714">
          <cell r="C2714">
            <v>4012156</v>
          </cell>
          <cell r="D2714" t="str">
            <v>***EU BOCZ.PLASTRY 360G MAP 12ST KT ECS</v>
          </cell>
        </row>
        <row r="2715">
          <cell r="C2715">
            <v>4012173</v>
          </cell>
          <cell r="D2715" t="str">
            <v>***EU BOCZ.PLASTRY360G MAP2.16KGKT NETTO</v>
          </cell>
        </row>
        <row r="2716">
          <cell r="C2716">
            <v>4013885</v>
          </cell>
          <cell r="D2716" t="str">
            <v>***EU BOCZ.B WĄS.B/Ż.Z/SK.1STTRMOK15KGPJ</v>
          </cell>
        </row>
        <row r="2717">
          <cell r="C2717">
            <v>4011731</v>
          </cell>
          <cell r="D2717" t="str">
            <v>***EU BOCZ.B WĄS.B/Ż.Z/SK.OK15KG PJ HILT</v>
          </cell>
        </row>
        <row r="2718">
          <cell r="C2718">
            <v>3008803</v>
          </cell>
          <cell r="D2718" t="str">
            <v>***BOCZ.ŁUSK.WĄS.Z/SK/CHRZ CH</v>
          </cell>
        </row>
        <row r="2719">
          <cell r="C2719">
            <v>3007647</v>
          </cell>
          <cell r="D2719" t="str">
            <v>***BOCZ.ŁUSK.WĄS.Z/SK/CHRZ NB MR</v>
          </cell>
        </row>
        <row r="2720">
          <cell r="C2720">
            <v>3007648</v>
          </cell>
          <cell r="D2720" t="str">
            <v>***BOCZ.ŁUSK.WĄS.Z/SK/CHRZ NB DMR</v>
          </cell>
        </row>
        <row r="2721">
          <cell r="C2721">
            <v>3007649</v>
          </cell>
          <cell r="D2721" t="str">
            <v>***BOCZ.ŁUSK.WĄS.Z/SK/CHRZ NB RO</v>
          </cell>
        </row>
        <row r="2722">
          <cell r="C2722">
            <v>3014479</v>
          </cell>
          <cell r="D2722" t="str">
            <v>***BOCZ.BLAT.B/CHRZ.Z/SK.OKOPCONY USR</v>
          </cell>
        </row>
        <row r="2723">
          <cell r="C2723">
            <v>3014512</v>
          </cell>
          <cell r="D2723" t="str">
            <v>BOCZ.BL.C B/P.OK15KG NB MR ST</v>
          </cell>
        </row>
        <row r="2724">
          <cell r="C2724">
            <v>3016084</v>
          </cell>
          <cell r="D2724" t="str">
            <v>PL BOCZ.C BLAT.Z/SK.OKOPC.PBX SZ</v>
          </cell>
        </row>
        <row r="2725">
          <cell r="C2725">
            <v>3017994</v>
          </cell>
          <cell r="D2725" t="str">
            <v>***BOCZEK B/Ż.Z/SK.TŁUSTY ZAW KT MR SZ</v>
          </cell>
        </row>
        <row r="2726">
          <cell r="C2726">
            <v>3004458</v>
          </cell>
          <cell r="D2726" t="str">
            <v>***BOCZ.BLAT.SZER.Z/SK PBX CH EŁ</v>
          </cell>
        </row>
        <row r="2727">
          <cell r="C2727">
            <v>3027198</v>
          </cell>
          <cell r="D2727" t="str">
            <v>BOCZ.BL.C B/CZP.MC.OK20KG PB MR EŁ</v>
          </cell>
        </row>
        <row r="2728">
          <cell r="C2728">
            <v>3015125</v>
          </cell>
          <cell r="D2728" t="str">
            <v>BOCZ.BL.C B/P.PBX EŁ1</v>
          </cell>
        </row>
        <row r="2729">
          <cell r="C2729">
            <v>3014509</v>
          </cell>
          <cell r="D2729" t="str">
            <v>PL BOCZ.BL.C B/P.OK20KG NB DMR</v>
          </cell>
        </row>
        <row r="2730">
          <cell r="C2730">
            <v>3014511</v>
          </cell>
          <cell r="D2730" t="str">
            <v>BOCZ.BL.C B/P.RO1</v>
          </cell>
        </row>
        <row r="2731">
          <cell r="C2731">
            <v>3027199</v>
          </cell>
          <cell r="D2731" t="str">
            <v>BOCZ.BL.C B/CZP.MC.RO1</v>
          </cell>
        </row>
        <row r="2732">
          <cell r="C2732">
            <v>3020257</v>
          </cell>
          <cell r="D2732" t="str">
            <v>BOCZ.BL.C B/P.RO2</v>
          </cell>
        </row>
        <row r="2733">
          <cell r="C2733">
            <v>3017813</v>
          </cell>
          <cell r="D2733" t="str">
            <v>EU BOCZ.C Z/SK.B/Ż/CH.OKOPCONY PBX SZ</v>
          </cell>
        </row>
        <row r="2734">
          <cell r="C2734">
            <v>3017812</v>
          </cell>
          <cell r="D2734" t="str">
            <v>DE BOCZ.C Z/SK.B/Ż/CH.OKOPCONY PBX SZ</v>
          </cell>
        </row>
        <row r="2735">
          <cell r="C2735">
            <v>3014497</v>
          </cell>
          <cell r="D2735" t="str">
            <v>***BOCZEK B/K Z/SK NAT.CIĘCIE UŚR</v>
          </cell>
        </row>
        <row r="2736">
          <cell r="C2736">
            <v>4013897</v>
          </cell>
          <cell r="D2736" t="str">
            <v>***PL BOCZ.BC BLAT.Z/SK.NT/C.OK15KGLUZKT</v>
          </cell>
        </row>
        <row r="2737">
          <cell r="C2737">
            <v>4010668</v>
          </cell>
          <cell r="D2737" t="str">
            <v>***PL BOCZ.BL.BC B/P.1STFO OK15KGKTMRUS</v>
          </cell>
        </row>
        <row r="2738">
          <cell r="C2738">
            <v>4010669</v>
          </cell>
          <cell r="D2738" t="str">
            <v>***PLBOCZ.B/Ż.Z/SK.4.5-5.5KGNT/C.KTMR US</v>
          </cell>
        </row>
        <row r="2739">
          <cell r="C2739">
            <v>4010665</v>
          </cell>
          <cell r="D2739" t="str">
            <v>***PLBOCZ.B/Ż.Z/SK.5.5-6.5KGNT/C.KTMR US</v>
          </cell>
        </row>
        <row r="2740">
          <cell r="C2740">
            <v>4012760</v>
          </cell>
          <cell r="D2740" t="str">
            <v>***PL BOCZ.BC B/Ż.Z/SK.NT/C.1STVACKTMREX</v>
          </cell>
        </row>
        <row r="2741">
          <cell r="C2741">
            <v>4012902</v>
          </cell>
          <cell r="D2741" t="str">
            <v>***PL BOCZ.BC BLAT.Z/S.NT/C.LUZOKT CH EX</v>
          </cell>
        </row>
        <row r="2742">
          <cell r="C2742">
            <v>3014504</v>
          </cell>
          <cell r="D2742" t="str">
            <v>***PL BOCZ.BL.BC B/P.1STFOLOK15KGKTDMRUS</v>
          </cell>
        </row>
        <row r="2743">
          <cell r="C2743">
            <v>3014505</v>
          </cell>
          <cell r="D2743" t="str">
            <v>***PLBOCZ.B/Ż.Z/SK.4.5-5.5KG NT/C.KT DMR</v>
          </cell>
        </row>
        <row r="2744">
          <cell r="C2744">
            <v>3014501</v>
          </cell>
          <cell r="D2744" t="str">
            <v>***PLBOCZ.B/Ż.Z/SK.5.5-6.5KG NT/C.KT DMR</v>
          </cell>
        </row>
        <row r="2745">
          <cell r="C2745">
            <v>3018438</v>
          </cell>
          <cell r="D2745" t="str">
            <v>***PLBOCZ.BC B/Ż.Z/SK.NT/C.1STVACKTDMREX</v>
          </cell>
        </row>
        <row r="2746">
          <cell r="C2746">
            <v>4013896</v>
          </cell>
          <cell r="D2746" t="str">
            <v>***EU BOCZ.BC BLAT.Z/S.NT/C.OK15KGLUZ KT</v>
          </cell>
        </row>
        <row r="2747">
          <cell r="C2747">
            <v>4012065</v>
          </cell>
          <cell r="D2747" t="str">
            <v>***EU BOCZ.BC B/Ż.Z/S.NT/C.1STFOLKTMR US</v>
          </cell>
        </row>
        <row r="2748">
          <cell r="C2748">
            <v>4012066</v>
          </cell>
          <cell r="D2748" t="str">
            <v>***EUBOCZ.B/Ż.Z/SK.4.5-5.5KGNT/C.KTMR US</v>
          </cell>
        </row>
        <row r="2749">
          <cell r="C2749">
            <v>4012064</v>
          </cell>
          <cell r="D2749" t="str">
            <v>***EUBOCZ.B/Ż.Z/SK.5.5-6.5KGNT/C.KTMR US</v>
          </cell>
        </row>
        <row r="2750">
          <cell r="C2750">
            <v>4012749</v>
          </cell>
          <cell r="D2750" t="str">
            <v>***EU BOCZ.B/Ż.Z/SK.NT/C.1STVAC KT MR EX</v>
          </cell>
        </row>
        <row r="2751">
          <cell r="C2751">
            <v>4012905</v>
          </cell>
          <cell r="D2751" t="str">
            <v>***EU BOCZ.BC BLAT.Z/S.NT/C.LUZOKTCH EX</v>
          </cell>
        </row>
        <row r="2752">
          <cell r="C2752">
            <v>3017595</v>
          </cell>
          <cell r="D2752" t="str">
            <v>***EUBOCZ.BC B/Ż.Z/S.NT/C.1STFOLKTDMRUS</v>
          </cell>
        </row>
        <row r="2753">
          <cell r="C2753">
            <v>3017596</v>
          </cell>
          <cell r="D2753" t="str">
            <v>***EUBOCZ.B/Ż.Z/SK.4.5-5.5KGNT/C.KTDMR</v>
          </cell>
        </row>
        <row r="2754">
          <cell r="C2754">
            <v>3017594</v>
          </cell>
          <cell r="D2754" t="str">
            <v>***EUBOCZ.B/Ż.Z/SK.5.5-6.5KGNT/C.KTDMR</v>
          </cell>
        </row>
        <row r="2755">
          <cell r="C2755">
            <v>3018439</v>
          </cell>
          <cell r="D2755" t="str">
            <v>***EU BOCZ.BC B/Ż.Z/SK.NT/C1STVACKTDMREX</v>
          </cell>
        </row>
        <row r="2756">
          <cell r="C2756">
            <v>3008804</v>
          </cell>
          <cell r="D2756" t="str">
            <v>***BOCZ.ŁUSK.WĄS.B/SK.Z/CHRZ CH</v>
          </cell>
        </row>
        <row r="2757">
          <cell r="C2757">
            <v>3008687</v>
          </cell>
          <cell r="D2757" t="str">
            <v>***BOCZEK ŁUSK. B/S OK.15KG LUZ KT ST</v>
          </cell>
        </row>
        <row r="2758">
          <cell r="C2758">
            <v>4010592</v>
          </cell>
          <cell r="D2758" t="str">
            <v>***PL BOCZ.Z/Ż/SK.NT/C KL.A KT CH</v>
          </cell>
        </row>
        <row r="2759">
          <cell r="C2759">
            <v>4009571</v>
          </cell>
          <cell r="D2759" t="str">
            <v>***PL BOCZ.Z/Ż/SK.NT/C KL.A KT MR CH</v>
          </cell>
        </row>
        <row r="2760">
          <cell r="C2760">
            <v>4011081</v>
          </cell>
          <cell r="D2760" t="str">
            <v>***PL BOCZ.B Z/Ż/SK.NT/C.CH CHOIN.EX</v>
          </cell>
        </row>
        <row r="2761">
          <cell r="C2761">
            <v>4009848</v>
          </cell>
          <cell r="D2761" t="str">
            <v>***PL BOCZ.B Z/Ż/SK.NT/C.CH OKT</v>
          </cell>
        </row>
        <row r="2762">
          <cell r="C2762">
            <v>3011850</v>
          </cell>
          <cell r="D2762" t="str">
            <v>***PL BOCZ.Z/Ż/SK.NT/C KL.A KT DMR</v>
          </cell>
        </row>
        <row r="2763">
          <cell r="C2763">
            <v>3013524</v>
          </cell>
          <cell r="D2763" t="str">
            <v>***BOCZ.Z/K/SK.NAT.CIĘCIE KL.A KT RO</v>
          </cell>
        </row>
        <row r="2764">
          <cell r="C2764">
            <v>4012060</v>
          </cell>
          <cell r="D2764" t="str">
            <v>***BOCZ.Z/Ż/SK.NT/C KL.A KT CH</v>
          </cell>
        </row>
        <row r="2765">
          <cell r="C2765">
            <v>4011950</v>
          </cell>
          <cell r="D2765" t="str">
            <v>***EU BOCZ.Z/Ż/SK.NT/C KL.A KT MR CH</v>
          </cell>
        </row>
        <row r="2766">
          <cell r="C2766">
            <v>4012145</v>
          </cell>
          <cell r="D2766" t="str">
            <v>***EU BOCZ.B Z/Ż/SK.NT/C.CH CHOIN.EX</v>
          </cell>
        </row>
        <row r="2767">
          <cell r="C2767">
            <v>4011975</v>
          </cell>
          <cell r="D2767" t="str">
            <v>***EU BOCZ.B Z/Ż/SK.NT/C.CH OKT CH</v>
          </cell>
        </row>
        <row r="2768">
          <cell r="C2768">
            <v>3017484</v>
          </cell>
          <cell r="D2768" t="str">
            <v>***EU BOCZ.Z/Ż/SK.NT/C KL.A KT DMR</v>
          </cell>
        </row>
        <row r="2769">
          <cell r="C2769">
            <v>3011852</v>
          </cell>
          <cell r="D2769" t="str">
            <v>***BOCZ.Z/K/SK NAT.CIĘCIE KL.A PL USR</v>
          </cell>
        </row>
        <row r="2770">
          <cell r="C2770">
            <v>3012300</v>
          </cell>
          <cell r="D2770" t="str">
            <v>***BOCZ.Z/K/SK NAT.CIĘCIE KL.A EX USR</v>
          </cell>
        </row>
        <row r="2771">
          <cell r="C2771">
            <v>3012203</v>
          </cell>
          <cell r="D2771" t="str">
            <v>***BOCZ.Z/K/SK NAT.CIĘCIE KL.B USR</v>
          </cell>
        </row>
        <row r="2772">
          <cell r="C2772">
            <v>4009570</v>
          </cell>
          <cell r="D2772" t="str">
            <v>***PL BOCZ.Z/Ż/SK.NT/C KL.B KT MR CH</v>
          </cell>
        </row>
        <row r="2773">
          <cell r="C2773">
            <v>4011078</v>
          </cell>
          <cell r="D2773" t="str">
            <v>***PL BOCZ.C Z/Ż/SK.NT/C.CH CHOIN.EX</v>
          </cell>
        </row>
        <row r="2774">
          <cell r="C2774">
            <v>4009818</v>
          </cell>
          <cell r="D2774" t="str">
            <v>***PL BOCZ.C Z/Ż/SK.NT/C.CH OKT CH</v>
          </cell>
        </row>
        <row r="2775">
          <cell r="C2775">
            <v>3011857</v>
          </cell>
          <cell r="D2775" t="str">
            <v>***PL BOCZ.Z/Ż/SK.NT/C KL.B KT DMR</v>
          </cell>
        </row>
        <row r="2776">
          <cell r="C2776">
            <v>3013603</v>
          </cell>
          <cell r="D2776" t="str">
            <v>***BOCZ.Z/K/SK.NAT.CIĘCIE KL.B KT RO</v>
          </cell>
        </row>
        <row r="2777">
          <cell r="C2777">
            <v>4011949</v>
          </cell>
          <cell r="D2777" t="str">
            <v>***EU BOCZ.Z/Ż/SK.NT/C KL.B KT MR CH</v>
          </cell>
        </row>
        <row r="2778">
          <cell r="C2778">
            <v>4012143</v>
          </cell>
          <cell r="D2778" t="str">
            <v>***EU BOCZ.C Z/Ż/SK.NT/C.CH CHOIN.EX</v>
          </cell>
        </row>
        <row r="2779">
          <cell r="C2779">
            <v>4011969</v>
          </cell>
          <cell r="D2779" t="str">
            <v>***EU BOCZ.C Z/Ż/SK.NT/C.CH OKT CH</v>
          </cell>
        </row>
        <row r="2780">
          <cell r="C2780">
            <v>3017487</v>
          </cell>
          <cell r="D2780" t="str">
            <v>***EU BOCZ.Z/Ż/SK.NT/C KL.B KT DMR</v>
          </cell>
        </row>
        <row r="2781">
          <cell r="C2781">
            <v>3011856</v>
          </cell>
          <cell r="D2781" t="str">
            <v>***BOCZ.Z/K/SK NAT.CIĘCIE KL.B PL USR</v>
          </cell>
        </row>
        <row r="2782">
          <cell r="C2782">
            <v>3012269</v>
          </cell>
          <cell r="D2782" t="str">
            <v>***BOCZ.Z/K/SK NAT.CIĘCIE KL.B EX USR</v>
          </cell>
        </row>
        <row r="2783">
          <cell r="C2783">
            <v>3012088</v>
          </cell>
          <cell r="D2783" t="str">
            <v>***BOCZ.BLAT.B/SK KL.S CH</v>
          </cell>
        </row>
        <row r="2784">
          <cell r="C2784">
            <v>3012087</v>
          </cell>
          <cell r="D2784" t="str">
            <v>***BOCZ.BLAT.B/SK KL.E CH</v>
          </cell>
        </row>
        <row r="2785">
          <cell r="C2785">
            <v>3012073</v>
          </cell>
          <cell r="D2785" t="str">
            <v>***BOCZ.BLAT.B/SK KL.S E USR</v>
          </cell>
        </row>
        <row r="2786">
          <cell r="C2786">
            <v>3012074</v>
          </cell>
          <cell r="D2786" t="str">
            <v>***BOCZ.BLAT.B/SK CH OK 20KG PJ ST</v>
          </cell>
        </row>
        <row r="2787">
          <cell r="C2787">
            <v>3012075</v>
          </cell>
          <cell r="D2787" t="str">
            <v>***BOCZ.BLAT.B/SK KL.E S CH OKTABINA ST</v>
          </cell>
        </row>
        <row r="2788">
          <cell r="C2788">
            <v>3012323</v>
          </cell>
          <cell r="D2788" t="str">
            <v>***BOCZ.BLAT.B/SK CH PBX ST</v>
          </cell>
        </row>
        <row r="2789">
          <cell r="C2789">
            <v>3007650</v>
          </cell>
          <cell r="D2789" t="str">
            <v>***BOCZ.B ŁUSK.WĄS.Z/SK/CHRZ LUX CH</v>
          </cell>
        </row>
        <row r="2790">
          <cell r="C2790">
            <v>3007651</v>
          </cell>
          <cell r="D2790" t="str">
            <v>***BOCZ.B ŁUS.WĄS.Z/SK/CH.LUX NB MR ST</v>
          </cell>
        </row>
        <row r="2791">
          <cell r="C2791">
            <v>4008146</v>
          </cell>
          <cell r="D2791" t="str">
            <v>***PL BOCZ.ŁUS.LUX Z/SK.NB MR EX</v>
          </cell>
        </row>
        <row r="2792">
          <cell r="C2792">
            <v>4003842</v>
          </cell>
          <cell r="D2792" t="str">
            <v>***PL BOCZ.B ŁUS.Z/SK.LUX LUZ KT CH</v>
          </cell>
        </row>
        <row r="2793">
          <cell r="C2793">
            <v>4003845</v>
          </cell>
          <cell r="D2793" t="str">
            <v>***PLBOCZ.BŁUS.Z/S.LUX1STTRMOK15KGKTTESC</v>
          </cell>
        </row>
        <row r="2794">
          <cell r="C2794">
            <v>4012208</v>
          </cell>
          <cell r="D2794" t="str">
            <v>***PL BOCZ.B ŁUS.Z/S.1/2STTRM PJ ECS</v>
          </cell>
        </row>
        <row r="2795">
          <cell r="C2795">
            <v>4011134</v>
          </cell>
          <cell r="D2795" t="str">
            <v>***PL BOCZ.B B/Ż.1STTRM OK20KGKT CARR</v>
          </cell>
        </row>
        <row r="2796">
          <cell r="C2796">
            <v>4009466</v>
          </cell>
          <cell r="D2796" t="str">
            <v>***PL BOCZ.ŁUS.Z/SK/CHRZ.1STTRM OK20KGRU</v>
          </cell>
        </row>
        <row r="2797">
          <cell r="C2797">
            <v>4009988</v>
          </cell>
          <cell r="D2797" t="str">
            <v>***PL BOCZ.B ŁUS.Z/S.LUX TRM OK15KGKT CZ</v>
          </cell>
        </row>
        <row r="2798">
          <cell r="C2798">
            <v>4011135</v>
          </cell>
          <cell r="D2798" t="str">
            <v>***PL BOCZ.B B/Ż.1STTRM OK8KGKT CARR</v>
          </cell>
        </row>
        <row r="2799">
          <cell r="C2799">
            <v>4011127</v>
          </cell>
          <cell r="D2799" t="str">
            <v>***PL BOCZ.B B/Ż.OK1KG TRM OK20KG KT CH</v>
          </cell>
        </row>
        <row r="2800">
          <cell r="C2800">
            <v>4011251</v>
          </cell>
          <cell r="D2800" t="str">
            <v>***PL BOCZ.B ŁUS.Z/SK/CH1STTRM OK10KG KT</v>
          </cell>
        </row>
        <row r="2801">
          <cell r="C2801">
            <v>4012679</v>
          </cell>
          <cell r="D2801" t="str">
            <v>***PL BOCZ.B ŁUS.Z/SK/CH.1STTRM OK15KGKT</v>
          </cell>
        </row>
        <row r="2802">
          <cell r="C2802">
            <v>4009987</v>
          </cell>
          <cell r="D2802" t="str">
            <v>***PL BOCZ.ŁUS.WĄS.1STTRMOK15KG KTMR CZ</v>
          </cell>
        </row>
        <row r="2803">
          <cell r="C2803">
            <v>3000107</v>
          </cell>
          <cell r="D2803" t="str">
            <v>***BOCZŁUSK.Z/SK/CHRZ.16-22\45 PBX CH ST</v>
          </cell>
        </row>
        <row r="2804">
          <cell r="C2804">
            <v>3007652</v>
          </cell>
          <cell r="D2804" t="str">
            <v>***BOCZ.ŁU.B B/P/M.ZAK</v>
          </cell>
        </row>
        <row r="2805">
          <cell r="C2805">
            <v>3007653</v>
          </cell>
          <cell r="D2805" t="str">
            <v>***BOCZ.ŁU.B B/P/M.NB MR ZAK</v>
          </cell>
        </row>
        <row r="2806">
          <cell r="C2806">
            <v>4009113</v>
          </cell>
          <cell r="D2806" t="str">
            <v>***BOCZ.ŁUSK.B/SK Z/CHRZKL.E BIEDR. LUZP</v>
          </cell>
        </row>
        <row r="2807">
          <cell r="C2807">
            <v>3007654</v>
          </cell>
          <cell r="D2807" t="str">
            <v>***BOCZ.B ŁUS.WĄS.Z/SK/CH.LUX NB DMR</v>
          </cell>
        </row>
        <row r="2808">
          <cell r="C2808">
            <v>3008961</v>
          </cell>
          <cell r="D2808" t="str">
            <v>***PL BOCZ.ŁUS.LUX Z/SK.DMR CH</v>
          </cell>
        </row>
        <row r="2809">
          <cell r="C2809">
            <v>3012448</v>
          </cell>
          <cell r="D2809" t="str">
            <v>***PL BOCZ.ŁUS.WĄS.TRM OK15KG KT DMR CZ</v>
          </cell>
        </row>
        <row r="2810">
          <cell r="C2810">
            <v>3007655</v>
          </cell>
          <cell r="D2810" t="str">
            <v>***BOCZ.B ŁUS.WĄS.Z/SK/CH.LUX NB RO1</v>
          </cell>
        </row>
        <row r="2811">
          <cell r="C2811">
            <v>3012002</v>
          </cell>
          <cell r="D2811" t="str">
            <v>***BOCZ.ŁUSK.LUKS.Z/SK NB RO</v>
          </cell>
        </row>
        <row r="2812">
          <cell r="C2812">
            <v>3020258</v>
          </cell>
          <cell r="D2812" t="str">
            <v>***BOCZ.B ŁUS.WĄS.Z/SK/CH.LUX NB RO2</v>
          </cell>
        </row>
        <row r="2813">
          <cell r="C2813">
            <v>4011767</v>
          </cell>
          <cell r="D2813" t="str">
            <v>***EU BOCZ.ŁUS.LUX Z/SK.NB MR EX</v>
          </cell>
        </row>
        <row r="2814">
          <cell r="C2814">
            <v>4011605</v>
          </cell>
          <cell r="D2814" t="str">
            <v>***EU BOCZ.B ŁUS.Z/SK.LUX LUZ KT CH</v>
          </cell>
        </row>
        <row r="2815">
          <cell r="C2815">
            <v>4011606</v>
          </cell>
          <cell r="D2815" t="str">
            <v>***EU BOCZ.BŁUSZ/SKLUX1STTRMOK15KGKTTESC</v>
          </cell>
        </row>
        <row r="2816">
          <cell r="C2816">
            <v>4012207</v>
          </cell>
          <cell r="D2816" t="str">
            <v>***EU BOCZ.B ŁUS.Z/S.1/2STTRM PJ ECS</v>
          </cell>
        </row>
        <row r="2817">
          <cell r="C2817">
            <v>4012171</v>
          </cell>
          <cell r="D2817" t="str">
            <v>***EU BOCZ.B B/Ż.1STTRM OK20KGKT CARR</v>
          </cell>
        </row>
        <row r="2818">
          <cell r="C2818">
            <v>4011924</v>
          </cell>
          <cell r="D2818" t="str">
            <v>***EU BOCZ.ŁUS.Z/SK/CHRZ.1STTRMOK20KG RU</v>
          </cell>
        </row>
        <row r="2819">
          <cell r="C2819">
            <v>4012013</v>
          </cell>
          <cell r="D2819" t="str">
            <v>***BOCZ.ŁUS.LUX Z/SK.TRM OK15KG KT CZ</v>
          </cell>
        </row>
        <row r="2820">
          <cell r="C2820">
            <v>4012172</v>
          </cell>
          <cell r="D2820" t="str">
            <v>***EU BOCZ.B B/Ż.1STTRM OK8KGKT CARR</v>
          </cell>
        </row>
        <row r="2821">
          <cell r="C2821">
            <v>4012164</v>
          </cell>
          <cell r="D2821" t="str">
            <v>***EU BOCZ.B B/Ż.OK1KG TRM OK20KG KT CH</v>
          </cell>
        </row>
        <row r="2822">
          <cell r="C2822">
            <v>4012175</v>
          </cell>
          <cell r="D2822" t="str">
            <v>***EU BOCZ.B ŁUS.Z/SK/CH.1STTRMOK10KGKT</v>
          </cell>
        </row>
        <row r="2823">
          <cell r="C2823">
            <v>4012680</v>
          </cell>
          <cell r="D2823" t="str">
            <v>***EU BOCZ.B ŁUS.Z/SK/CH.1STTRM OK15KGKT</v>
          </cell>
        </row>
        <row r="2824">
          <cell r="C2824">
            <v>4012012</v>
          </cell>
          <cell r="D2824" t="str">
            <v>***BOCZ.ŁUS.WĄS.1ST TRM OK15KG KT MR CZ</v>
          </cell>
        </row>
        <row r="2825">
          <cell r="C2825">
            <v>3017431</v>
          </cell>
          <cell r="D2825" t="str">
            <v>***EU BOCZ.ŁUS.LUX Z/SK.DMR CH</v>
          </cell>
        </row>
        <row r="2826">
          <cell r="C2826">
            <v>3017528</v>
          </cell>
          <cell r="D2826" t="str">
            <v>***EU BOCZ.ŁUS.WĄS.TRM OK15KG KT DMR CZ</v>
          </cell>
        </row>
        <row r="2827">
          <cell r="C2827">
            <v>3011369</v>
          </cell>
          <cell r="D2827" t="str">
            <v>***BOCZ.ŁUSK.WĄS.Z/SK/CHRZ LUX CH PL UŚR</v>
          </cell>
        </row>
        <row r="2828">
          <cell r="C2828">
            <v>3014694</v>
          </cell>
          <cell r="D2828" t="str">
            <v>***BOCZ.Z/K/SK/PACHW.SZEROKI USR</v>
          </cell>
        </row>
        <row r="2829">
          <cell r="C2829">
            <v>4011080</v>
          </cell>
          <cell r="D2829" t="str">
            <v>***PL BOCZ.C SZER.Z/Ż/SK/PACH.CHOIN.CHEX</v>
          </cell>
        </row>
        <row r="2830">
          <cell r="C2830">
            <v>4010846</v>
          </cell>
          <cell r="D2830" t="str">
            <v>***PL BOCZ.C SZER.Z/Ż/SK/PACH.OKT CH EX</v>
          </cell>
        </row>
        <row r="2831">
          <cell r="C2831">
            <v>4012144</v>
          </cell>
          <cell r="D2831" t="str">
            <v>***EU BOCZ.C SZER.Z/Ż/SK/PACH.CHOIN.CHEX</v>
          </cell>
        </row>
        <row r="2832">
          <cell r="C2832">
            <v>4012107</v>
          </cell>
          <cell r="D2832" t="str">
            <v>***EU BOCZ.C SZER.Z/Ż/SK/PACH.OKT CH EX</v>
          </cell>
        </row>
        <row r="2833">
          <cell r="C2833">
            <v>3014718</v>
          </cell>
          <cell r="D2833" t="str">
            <v>***BOCZ.WP.BLAT.B/K/SK/TŁ.PACH. USR</v>
          </cell>
        </row>
        <row r="2834">
          <cell r="C2834">
            <v>4015662</v>
          </cell>
          <cell r="D2834" t="str">
            <v>***PL BOCZ.BC B/Ż/SK/TŁ.PACH NB MR EX</v>
          </cell>
        </row>
        <row r="2835">
          <cell r="C2835">
            <v>4011003</v>
          </cell>
          <cell r="D2835" t="str">
            <v>PL BOCZ.BL.BC B/S.1STFOL 4STKT MR</v>
          </cell>
        </row>
        <row r="2836">
          <cell r="C2836">
            <v>3026802</v>
          </cell>
          <cell r="D2836" t="str">
            <v>***PLBOCZ.BC B/Ż/S/TŁ.PA.4STOK15KGKTMRST</v>
          </cell>
        </row>
        <row r="2837">
          <cell r="C2837">
            <v>4027224</v>
          </cell>
          <cell r="D2837" t="str">
            <v>PL BOCZ.BL.BC B/S.OK20KGWOR PJ EX</v>
          </cell>
        </row>
        <row r="2838">
          <cell r="C2838">
            <v>4014844</v>
          </cell>
          <cell r="D2838" t="str">
            <v>PL BOCZ.BL.BC B/S.OK70KG CHOIN.EX</v>
          </cell>
        </row>
        <row r="2839">
          <cell r="C2839">
            <v>4025540</v>
          </cell>
          <cell r="D2839" t="str">
            <v>PL BOCZ.BL.BC B/S.OK500KG OKT EX</v>
          </cell>
        </row>
        <row r="2840">
          <cell r="C2840">
            <v>3023587</v>
          </cell>
          <cell r="D2840" t="str">
            <v>***PL BOCZ.BC B/Ż/SK/TŁ.PACH NB DMR EX</v>
          </cell>
        </row>
        <row r="2841">
          <cell r="C2841">
            <v>3016133</v>
          </cell>
          <cell r="D2841" t="str">
            <v>PL BOCZ.BL.BC B/S.1STFOL 4STKT DMR</v>
          </cell>
        </row>
        <row r="2842">
          <cell r="C2842">
            <v>4012141</v>
          </cell>
          <cell r="D2842" t="str">
            <v>***EU BOCZ.BC B/Ż/S/TŁ.PACH1STFOL4STKTMR</v>
          </cell>
        </row>
        <row r="2843">
          <cell r="C2843">
            <v>4014845</v>
          </cell>
          <cell r="D2843" t="str">
            <v>***EU BOCZ.BC B/Ż/SK/TŁ.PACH.CH CHOIN EX</v>
          </cell>
        </row>
        <row r="2844">
          <cell r="C2844">
            <v>3018620</v>
          </cell>
          <cell r="D2844" t="str">
            <v>***EUBOCZ.BCB/K/S/TŁ.PACH1STFOL4STKTDMR</v>
          </cell>
        </row>
        <row r="2845">
          <cell r="C2845">
            <v>3021260</v>
          </cell>
          <cell r="D2845" t="str">
            <v>EU BOCZ.BL.ABC B/S.USR US</v>
          </cell>
        </row>
        <row r="2846">
          <cell r="C2846">
            <v>3009191</v>
          </cell>
          <cell r="D2846" t="str">
            <v>***BOCZ.ŁUSK Z/SK B/CHRZ. USR</v>
          </cell>
        </row>
        <row r="2847">
          <cell r="C2847">
            <v>3009188</v>
          </cell>
          <cell r="D2847" t="str">
            <v>***BOCZ.ŁUSK.Z/SK B/CHRZ NB MR ST</v>
          </cell>
        </row>
        <row r="2848">
          <cell r="C2848">
            <v>3009186</v>
          </cell>
          <cell r="D2848" t="str">
            <v>***BOCZ.ŁUSK.Z/SK B/CHRZ. DMR</v>
          </cell>
        </row>
        <row r="2849">
          <cell r="C2849">
            <v>3009185</v>
          </cell>
          <cell r="D2849" t="str">
            <v>***BOCZ.ŁUSK.Z/SK B/CHRZ. RO</v>
          </cell>
        </row>
        <row r="2850">
          <cell r="C2850">
            <v>3009187</v>
          </cell>
          <cell r="D2850" t="str">
            <v>***BOCZ.ŁUS.Z/S B/CHRZ.KL. S</v>
          </cell>
        </row>
        <row r="2851">
          <cell r="C2851">
            <v>3009193</v>
          </cell>
          <cell r="D2851" t="str">
            <v>***BOCZ.ŁUS.Z/SK B/CHRZ. KL.E</v>
          </cell>
        </row>
        <row r="2852">
          <cell r="C2852">
            <v>3014693</v>
          </cell>
          <cell r="D2852" t="str">
            <v>***BOCZ.Z/K/SK/PACHW.SZER.KL.U</v>
          </cell>
        </row>
        <row r="2853">
          <cell r="C2853">
            <v>3016189</v>
          </cell>
          <cell r="D2853" t="str">
            <v>***PL BOCZ.C SZER.Z/Ż/SK/PACH.CH</v>
          </cell>
        </row>
        <row r="2854">
          <cell r="C2854">
            <v>3017820</v>
          </cell>
          <cell r="D2854" t="str">
            <v>***EU BOCZ.C SZER.Z/Ż/SK/PACHW.CH</v>
          </cell>
        </row>
        <row r="2855">
          <cell r="C2855">
            <v>3018787</v>
          </cell>
          <cell r="D2855" t="str">
            <v>***PL BOCZ.BL.B B/P.CH1</v>
          </cell>
        </row>
        <row r="2856">
          <cell r="C2856">
            <v>3018858</v>
          </cell>
          <cell r="D2856" t="str">
            <v>***BOCZ.B BLAT.Z/SK.NB MR</v>
          </cell>
        </row>
        <row r="2857">
          <cell r="C2857">
            <v>4013262</v>
          </cell>
          <cell r="D2857" t="str">
            <v>***PL BOC.B BLAT.WĄS.Z/SK.LUZWOROK20KGKT</v>
          </cell>
        </row>
        <row r="2858">
          <cell r="C2858">
            <v>4013164</v>
          </cell>
          <cell r="D2858" t="str">
            <v>***PL BOCZ.B BLAT.WĄS.Z/SK.OK20KGWORPJ</v>
          </cell>
        </row>
        <row r="2859">
          <cell r="C2859">
            <v>3018857</v>
          </cell>
          <cell r="D2859" t="str">
            <v>***BOCZ.B BLAT.Z/SK.NB DMR</v>
          </cell>
        </row>
        <row r="2860">
          <cell r="C2860">
            <v>3018859</v>
          </cell>
          <cell r="D2860" t="str">
            <v>***BOCZ.B BLAT.Z/SK.NB RO1</v>
          </cell>
        </row>
        <row r="2861">
          <cell r="C2861">
            <v>3020259</v>
          </cell>
          <cell r="D2861" t="str">
            <v>***PL BOCZ.BL.B B/P.CH2</v>
          </cell>
        </row>
        <row r="2862">
          <cell r="C2862">
            <v>3020902</v>
          </cell>
          <cell r="D2862" t="str">
            <v>***BOCZ.B BLAT.Z/SK.NB RO2</v>
          </cell>
        </row>
        <row r="2863">
          <cell r="C2863">
            <v>3018788</v>
          </cell>
          <cell r="D2863" t="str">
            <v>***EU BOCZ.BL.B B/P.CH1</v>
          </cell>
        </row>
        <row r="2864">
          <cell r="C2864">
            <v>4013263</v>
          </cell>
          <cell r="D2864" t="str">
            <v>***EUBOCZ.BBLAT.WĄS.Z/SK.LUZWOR OK20KGKT</v>
          </cell>
        </row>
        <row r="2865">
          <cell r="C2865">
            <v>4013163</v>
          </cell>
          <cell r="D2865" t="str">
            <v>***EU BOCZ.B BLAT.WĄS.Z/S.LUZWOROK20KGPJ</v>
          </cell>
        </row>
        <row r="2866">
          <cell r="C2866">
            <v>3021280</v>
          </cell>
          <cell r="D2866" t="str">
            <v>***EU BOCZ.BL.B B/P.CH2</v>
          </cell>
        </row>
        <row r="2867">
          <cell r="C2867">
            <v>3012584</v>
          </cell>
          <cell r="D2867" t="str">
            <v>PL BOCZ.BL.B B/S.CH US</v>
          </cell>
        </row>
        <row r="2868">
          <cell r="C2868">
            <v>3025952</v>
          </cell>
          <cell r="D2868" t="str">
            <v>***PLBOCZ.B B/Ż/SK/CH.MŚ.PRZ.PR.W1PBXCH1</v>
          </cell>
        </row>
        <row r="2869">
          <cell r="C2869">
            <v>4018767</v>
          </cell>
          <cell r="D2869" t="str">
            <v>***PLBOCZ.BB/Ż/S/CH.M.PRZEP.PRZ.W1KTMREX</v>
          </cell>
        </row>
        <row r="2870">
          <cell r="C2870">
            <v>4017000</v>
          </cell>
          <cell r="D2870" t="str">
            <v>***PLBOCZ.B B/Ż/S.400GRTMOK4.8KGKTLIDLLT</v>
          </cell>
        </row>
        <row r="2871">
          <cell r="C2871">
            <v>4016283</v>
          </cell>
          <cell r="D2871" t="str">
            <v>***PL BOCZ.BL.B B/S.1STVAC OK15KGPJ STO</v>
          </cell>
        </row>
        <row r="2872">
          <cell r="C2872">
            <v>4016512</v>
          </cell>
          <cell r="D2872" t="str">
            <v>***PL BOCZ.B B/Ż/SK.1STVAC OK12KGKT ME</v>
          </cell>
        </row>
        <row r="2873">
          <cell r="C2873">
            <v>3026051</v>
          </cell>
          <cell r="D2873" t="str">
            <v>***PLBOCZ.B B/Ż/S/CH.M.PRZ.PR.W1OK15PJST</v>
          </cell>
        </row>
        <row r="2874">
          <cell r="C2874">
            <v>3028401</v>
          </cell>
          <cell r="D2874" t="str">
            <v>***PLBOCZ.B B/Ż/S/CH.M.PRZEP.PRZ.W1KTDMR</v>
          </cell>
        </row>
        <row r="2875">
          <cell r="C2875">
            <v>3025971</v>
          </cell>
          <cell r="D2875" t="str">
            <v>PL BOCZ.B B/Ż/SK/CH.MŚ.PRZ.PR.W1PBX CH2</v>
          </cell>
        </row>
        <row r="2876">
          <cell r="C2876">
            <v>3017531</v>
          </cell>
          <cell r="D2876" t="str">
            <v>EU BOCZ.BL.B B/S.CH US</v>
          </cell>
        </row>
        <row r="2877">
          <cell r="C2877">
            <v>4016284</v>
          </cell>
          <cell r="D2877" t="str">
            <v>***EU BOCZ.B B/Ż/SK.1STVAC OK15KGPJ MOR</v>
          </cell>
        </row>
        <row r="2878">
          <cell r="C2878">
            <v>3021258</v>
          </cell>
          <cell r="D2878" t="str">
            <v>PL BOCZ.ABC B/Ż/SK/CH/MP.USR US</v>
          </cell>
        </row>
        <row r="2879">
          <cell r="C2879">
            <v>3025984</v>
          </cell>
          <cell r="D2879" t="str">
            <v>***PLBOCZ.B B/Ż/SK/CH.MŚ.PRZEP.PRZ.W1KOT</v>
          </cell>
        </row>
        <row r="2880">
          <cell r="C2880">
            <v>3013485</v>
          </cell>
          <cell r="D2880" t="str">
            <v>***PL BOCZ.B BLAT.B/S/M.PRZEP.CH BL</v>
          </cell>
        </row>
        <row r="2881">
          <cell r="C2881">
            <v>3017898</v>
          </cell>
          <cell r="D2881" t="str">
            <v>***EU BOCZ.B BLAT.B/S/M.PRZEP.CH</v>
          </cell>
        </row>
        <row r="2882">
          <cell r="C2882">
            <v>3007656</v>
          </cell>
          <cell r="D2882" t="str">
            <v>ELEM.BOCZ.MARYNATA KL.E CH</v>
          </cell>
        </row>
        <row r="2883">
          <cell r="C2883">
            <v>3007657</v>
          </cell>
          <cell r="D2883" t="str">
            <v>***ELEM.BOCZ.MARYNATA KL.E NB MR</v>
          </cell>
        </row>
        <row r="2884">
          <cell r="C2884">
            <v>3007658</v>
          </cell>
          <cell r="D2884" t="str">
            <v>ELEM.BOCZ.MARYNATA KL.E NB DMR</v>
          </cell>
        </row>
        <row r="2885">
          <cell r="C2885">
            <v>3007659</v>
          </cell>
          <cell r="D2885" t="str">
            <v>ELEM.BOCZ.MARYNATA KL.E NB RO</v>
          </cell>
        </row>
        <row r="2886">
          <cell r="C2886">
            <v>3024209</v>
          </cell>
          <cell r="D2886" t="str">
            <v>***PL BOCZ.BL.A B/S.MC.CH2</v>
          </cell>
        </row>
        <row r="2887">
          <cell r="C2887">
            <v>3024152</v>
          </cell>
          <cell r="D2887" t="str">
            <v>EU BOCZ.BL.A B/S.MC.CH1</v>
          </cell>
        </row>
        <row r="2888">
          <cell r="C2888">
            <v>3024220</v>
          </cell>
          <cell r="D2888" t="str">
            <v>***EU BOCZ.BL.A B/S.MC.CH2</v>
          </cell>
        </row>
        <row r="2889">
          <cell r="C2889">
            <v>3024034</v>
          </cell>
          <cell r="D2889" t="str">
            <v>PL BOCZ.BL.A B/P.CH1</v>
          </cell>
        </row>
        <row r="2890">
          <cell r="C2890">
            <v>3024179</v>
          </cell>
          <cell r="D2890" t="str">
            <v>***PL BOCZ.A BLAT.Z/SK.LUZ PBX CH ST</v>
          </cell>
        </row>
        <row r="2891">
          <cell r="C2891">
            <v>3007661</v>
          </cell>
          <cell r="D2891" t="str">
            <v>***PL BOCZ.ŁUS.WĄS.Z/SK/CHRZ.LUX CH</v>
          </cell>
        </row>
        <row r="2892">
          <cell r="C2892">
            <v>3007662</v>
          </cell>
          <cell r="D2892" t="str">
            <v>***BOCZ.ŁUSK.WĄS.Z/SK/CH.LUX KL.E NB MR</v>
          </cell>
        </row>
        <row r="2893">
          <cell r="C2893">
            <v>4003848</v>
          </cell>
          <cell r="D2893" t="str">
            <v>***BOCZ.ŁUSK.LUKS.Z/SK KL.E MR</v>
          </cell>
        </row>
        <row r="2894">
          <cell r="C2894">
            <v>3007663</v>
          </cell>
          <cell r="D2894" t="str">
            <v>***BOCZ.ŁUSK.WĄS.Z/SK/CH.LUX KL.E NB DMR</v>
          </cell>
        </row>
        <row r="2895">
          <cell r="C2895">
            <v>3007664</v>
          </cell>
          <cell r="D2895" t="str">
            <v>***BOCZ.ŁUSK.WĄS.Z/SK/CH.LUX KL.E PB DMR</v>
          </cell>
        </row>
        <row r="2896">
          <cell r="C2896">
            <v>3017386</v>
          </cell>
          <cell r="D2896" t="str">
            <v>***EU BOCZ.ŁUS.WĄS.Z/SK/CHRZ.LUX CH</v>
          </cell>
        </row>
        <row r="2897">
          <cell r="C2897">
            <v>3007665</v>
          </cell>
          <cell r="D2897" t="str">
            <v>***BOCZ.ŁUSK.WĄS.Z/SK/CHRZ LUX KL.U CH</v>
          </cell>
        </row>
        <row r="2898">
          <cell r="C2898">
            <v>3018267</v>
          </cell>
          <cell r="D2898" t="str">
            <v>***BOCZ.BL.B B/S/P.24X52 CH</v>
          </cell>
        </row>
        <row r="2899">
          <cell r="C2899">
            <v>4012541</v>
          </cell>
          <cell r="D2899" t="str">
            <v>***BOCZ.BC BLAT.B/SK/CH.PB MR ES EX</v>
          </cell>
        </row>
        <row r="2900">
          <cell r="C2900">
            <v>4012556</v>
          </cell>
          <cell r="D2900" t="str">
            <v>***BOCZ.BC BLAT.B/SK/CH.LUZ OKT ES EX</v>
          </cell>
        </row>
        <row r="2901">
          <cell r="C2901">
            <v>3018268</v>
          </cell>
          <cell r="D2901" t="str">
            <v>***BOCZ.BC BLAT.B/SK/CH.PB DMR ES</v>
          </cell>
        </row>
        <row r="2902">
          <cell r="C2902">
            <v>3021277</v>
          </cell>
          <cell r="D2902" t="str">
            <v>***EU BOCZ.BL.B B/S/P.CH</v>
          </cell>
        </row>
        <row r="2903">
          <cell r="C2903">
            <v>3021289</v>
          </cell>
          <cell r="D2903" t="str">
            <v>***PL BOCZ.BL.BC B/S/P.USR</v>
          </cell>
        </row>
        <row r="2904">
          <cell r="C2904">
            <v>3024905</v>
          </cell>
          <cell r="D2904" t="str">
            <v>***PL BOCZ.BC BLAT.B/SK/CH.PBX USR CH ES</v>
          </cell>
        </row>
        <row r="2905">
          <cell r="C2905">
            <v>3018836</v>
          </cell>
          <cell r="D2905" t="str">
            <v>BOCZ.BL.C B/P.CH1</v>
          </cell>
        </row>
        <row r="2906">
          <cell r="C2906">
            <v>3033889</v>
          </cell>
          <cell r="D2906" t="str">
            <v>BOCZ.BL.C B/P.KAW.OK15KG NB MR</v>
          </cell>
        </row>
        <row r="2907">
          <cell r="C2907">
            <v>3024906</v>
          </cell>
          <cell r="D2907" t="str">
            <v>BOCZ.BL.C B/P.PBX1</v>
          </cell>
        </row>
        <row r="2908">
          <cell r="C2908">
            <v>3044022</v>
          </cell>
          <cell r="D2908" t="str">
            <v>PL BOCZ.BL.C B/P.OK15KG PB MR ST</v>
          </cell>
        </row>
        <row r="2909">
          <cell r="C2909">
            <v>4013106</v>
          </cell>
          <cell r="D2909" t="str">
            <v>PL BOCZ.BL.C B/P.OK500KG OKT EX</v>
          </cell>
        </row>
        <row r="2910">
          <cell r="C2910">
            <v>3039554</v>
          </cell>
          <cell r="D2910" t="str">
            <v>PL BOCZ.BL.C B/P.PBX K4</v>
          </cell>
        </row>
        <row r="2911">
          <cell r="C2911">
            <v>3044313</v>
          </cell>
          <cell r="D2911" t="str">
            <v>PL BOCZ.BL.C B/P.OK20KG PB MR K4</v>
          </cell>
        </row>
        <row r="2912">
          <cell r="C2912">
            <v>3033888</v>
          </cell>
          <cell r="D2912" t="str">
            <v>BOCZ.BL.C B/P.OK15KG NB DMR</v>
          </cell>
        </row>
        <row r="2913">
          <cell r="C2913">
            <v>3044023</v>
          </cell>
          <cell r="D2913" t="str">
            <v>PL BOCZ.BL.C B/P.OK15KG PB DMR</v>
          </cell>
        </row>
        <row r="2914">
          <cell r="C2914">
            <v>3033887</v>
          </cell>
          <cell r="D2914" t="str">
            <v>BOCZ.BL.C B/P.KAW.RO1</v>
          </cell>
        </row>
        <row r="2915">
          <cell r="C2915">
            <v>3020896</v>
          </cell>
          <cell r="D2915" t="str">
            <v>BOCZ.BL.C B/P.CH2</v>
          </cell>
        </row>
        <row r="2916">
          <cell r="C2916">
            <v>3033893</v>
          </cell>
          <cell r="D2916" t="str">
            <v>BOCZ.BL.C B/P.KAW.RO2</v>
          </cell>
        </row>
        <row r="2917">
          <cell r="C2917">
            <v>3025166</v>
          </cell>
          <cell r="D2917" t="str">
            <v>BOCZ.BL.C B/P.PBX2</v>
          </cell>
        </row>
        <row r="2918">
          <cell r="C2918">
            <v>3029648</v>
          </cell>
          <cell r="D2918" t="str">
            <v>BOCZ.BL.C B/P.ROZP1</v>
          </cell>
        </row>
        <row r="2919">
          <cell r="C2919">
            <v>3029670</v>
          </cell>
          <cell r="D2919" t="str">
            <v>BOCZ.BL.C B/P.ROZP2</v>
          </cell>
        </row>
        <row r="2920">
          <cell r="C2920">
            <v>3007666</v>
          </cell>
          <cell r="D2920" t="str">
            <v>***BOCZ.ŁUSK.WĄS.Z/SK/CHRZ KL.E CH</v>
          </cell>
        </row>
        <row r="2921">
          <cell r="C2921">
            <v>3014301</v>
          </cell>
          <cell r="D2921" t="str">
            <v>***BOCZWP.ŁUSK.B/SK.Z/CHRZ. KL.S CH M.E.</v>
          </cell>
        </row>
        <row r="2922">
          <cell r="C2922">
            <v>3021275</v>
          </cell>
          <cell r="D2922" t="str">
            <v>***PL BOCZ.BL.C B/S/P.24X52 CH</v>
          </cell>
        </row>
        <row r="2923">
          <cell r="C2923">
            <v>3021276</v>
          </cell>
          <cell r="D2923" t="str">
            <v>***EU BOCZ.BL.C B/S/P.CH</v>
          </cell>
        </row>
        <row r="2924">
          <cell r="C2924">
            <v>3021290</v>
          </cell>
          <cell r="D2924" t="str">
            <v>***EU BOCZ.BL.BC B/S/P.USR</v>
          </cell>
        </row>
        <row r="2925">
          <cell r="C2925">
            <v>3007667</v>
          </cell>
          <cell r="D2925" t="str">
            <v>***BOCZ.ŁUSK.WĄS.Z/SK/CHRZ LUX KL.S CH</v>
          </cell>
        </row>
        <row r="2926">
          <cell r="C2926">
            <v>3007668</v>
          </cell>
          <cell r="D2926" t="str">
            <v>***BOCZ.ŁUSK.WĄ.Z/SK/CHRZ LUX KL.S NB MR</v>
          </cell>
        </row>
        <row r="2927">
          <cell r="C2927">
            <v>3002580</v>
          </cell>
          <cell r="D2927" t="str">
            <v>***BOCZ.ŁUS.Z/S/CH MR BIEDR. ST</v>
          </cell>
        </row>
        <row r="2928">
          <cell r="C2928">
            <v>3007669</v>
          </cell>
          <cell r="D2928" t="str">
            <v>***BOCZ.ŁU.WĄS.Z/SK/CHRZ LUX KL.S NB DMR</v>
          </cell>
        </row>
        <row r="2929">
          <cell r="C2929">
            <v>3007670</v>
          </cell>
          <cell r="D2929" t="str">
            <v>***BOCZ.ŁU.WĄS.Z/SK/CHRZ LUX KL.S PB DMR</v>
          </cell>
        </row>
        <row r="2930">
          <cell r="C2930">
            <v>3011368</v>
          </cell>
          <cell r="D2930" t="str">
            <v>***BOCZ.ŁUSK.WĄS.Z/SK/CHRZ LUX KL.S CHPL</v>
          </cell>
        </row>
        <row r="2931">
          <cell r="C2931">
            <v>3012406</v>
          </cell>
          <cell r="D2931" t="str">
            <v>***BOCZ.WP.ŁUSK.Z/SK/CHRZ. KL. S CH M.E.</v>
          </cell>
        </row>
        <row r="2932">
          <cell r="C2932">
            <v>3008852</v>
          </cell>
          <cell r="D2932" t="str">
            <v>***BOCZ.ŁUSK.WĄS.Z/SK/CHRZ KL.E CH</v>
          </cell>
        </row>
        <row r="2933">
          <cell r="C2933">
            <v>3007671</v>
          </cell>
          <cell r="D2933" t="str">
            <v>***BOCZ.ŁUSK.WĄS.Z/SK/CHRZ KL.U CH</v>
          </cell>
        </row>
        <row r="2934">
          <cell r="C2934">
            <v>3007672</v>
          </cell>
          <cell r="D2934" t="str">
            <v>***BOCZ.ŁUSK.WĄS.Z/SK/CHRZ KL.R CH</v>
          </cell>
        </row>
        <row r="2935">
          <cell r="C2935">
            <v>3021254</v>
          </cell>
          <cell r="D2935" t="str">
            <v>PL BOCZ.ŁU.A B/P/M.20CM CH1</v>
          </cell>
        </row>
        <row r="2936">
          <cell r="C2936">
            <v>3024907</v>
          </cell>
          <cell r="D2936" t="str">
            <v>PL BOCZ.ŁU.A B/P/M.20CM PBX BIED1</v>
          </cell>
        </row>
        <row r="2937">
          <cell r="C2937">
            <v>3021333</v>
          </cell>
          <cell r="D2937" t="str">
            <v>***BOCZ.A ŁUS.Z/SK/CH.PJ CH BIED ST</v>
          </cell>
        </row>
        <row r="2938">
          <cell r="C2938">
            <v>3021367</v>
          </cell>
          <cell r="D2938" t="str">
            <v>PL BOCZ.ŁU.A B/P/M.20CM PBX BIED EŁ1</v>
          </cell>
        </row>
        <row r="2939">
          <cell r="C2939">
            <v>3020031</v>
          </cell>
          <cell r="D2939" t="str">
            <v>PL BOCZ.BL.A B/P.20CM PBX EŁ1</v>
          </cell>
        </row>
        <row r="2940">
          <cell r="C2940">
            <v>3021384</v>
          </cell>
          <cell r="D2940" t="str">
            <v>PL BOCZ.ŁU.A B/P/M.20CM CH2</v>
          </cell>
        </row>
        <row r="2941">
          <cell r="C2941">
            <v>3025167</v>
          </cell>
          <cell r="D2941" t="str">
            <v>PL BOCZ.ŁU.A B/P/M.20CM PBX BIED2</v>
          </cell>
        </row>
        <row r="2942">
          <cell r="C2942">
            <v>3021255</v>
          </cell>
          <cell r="D2942" t="str">
            <v>EU BOCZ.ŁU.A B/P/M.20CM CH1</v>
          </cell>
        </row>
        <row r="2943">
          <cell r="C2943">
            <v>3024908</v>
          </cell>
          <cell r="D2943" t="str">
            <v>***EU BOCZ.A ŁUS.Z/SK/CH.PBX CH BIED1</v>
          </cell>
        </row>
        <row r="2944">
          <cell r="C2944">
            <v>3021385</v>
          </cell>
          <cell r="D2944" t="str">
            <v>EU BOCZ.ŁU.A B/P/M.20CM CH2</v>
          </cell>
        </row>
        <row r="2945">
          <cell r="C2945">
            <v>3025168</v>
          </cell>
          <cell r="D2945" t="str">
            <v>***EU BOCZ.A ŁUS.Z/SK/CH.PBX CH BIED2</v>
          </cell>
        </row>
        <row r="2946">
          <cell r="C2946">
            <v>3007673</v>
          </cell>
          <cell r="D2946" t="str">
            <v>***PL BOCZ.BL.B B/P.CH1</v>
          </cell>
        </row>
        <row r="2947">
          <cell r="C2947">
            <v>3022862</v>
          </cell>
          <cell r="D2947" t="str">
            <v>***BOCZ.B BLAT.WĄS.Z/SK.NB MR</v>
          </cell>
        </row>
        <row r="2948">
          <cell r="C2948">
            <v>3024909</v>
          </cell>
          <cell r="D2948" t="str">
            <v>***PL BOCZ.B BLAT.WĄS.Z/SK.PBX CH1</v>
          </cell>
        </row>
        <row r="2949">
          <cell r="C2949">
            <v>4016539</v>
          </cell>
          <cell r="D2949" t="str">
            <v>***PLBOCZ.BBLAT.WĄS.Z/S.1STVACOK15KGKTME</v>
          </cell>
        </row>
        <row r="2950">
          <cell r="C2950">
            <v>3021484</v>
          </cell>
          <cell r="D2950" t="str">
            <v>PL BOCZ.BL.B B/P.20CM OK15KGWOR PJ EŁ</v>
          </cell>
        </row>
        <row r="2951">
          <cell r="C2951">
            <v>3022842</v>
          </cell>
          <cell r="D2951" t="str">
            <v>***PL BOCZ.B BLAT.WĄS.Z/SK.NB DMR</v>
          </cell>
        </row>
        <row r="2952">
          <cell r="C2952">
            <v>3022861</v>
          </cell>
          <cell r="D2952" t="str">
            <v>***PL BOCZ.B BLAT.WĄS.Z/SK.RO1</v>
          </cell>
        </row>
        <row r="2953">
          <cell r="C2953">
            <v>3020887</v>
          </cell>
          <cell r="D2953" t="str">
            <v>***PL BOCZ.BL.B B/P.CH2</v>
          </cell>
        </row>
        <row r="2954">
          <cell r="C2954">
            <v>3022776</v>
          </cell>
          <cell r="D2954" t="str">
            <v>***PL BOCZ.B BLAT.WĄS.Z/SK.RO2</v>
          </cell>
        </row>
        <row r="2955">
          <cell r="C2955">
            <v>3025169</v>
          </cell>
          <cell r="D2955" t="str">
            <v>***PL BOCZ.B BLAT.WĄS.Z/SK.PBX CH2</v>
          </cell>
        </row>
        <row r="2956">
          <cell r="C2956">
            <v>3017387</v>
          </cell>
          <cell r="D2956" t="str">
            <v>***EU BOCZ.BL.B B/P.CH1</v>
          </cell>
        </row>
        <row r="2957">
          <cell r="C2957">
            <v>3024910</v>
          </cell>
          <cell r="D2957" t="str">
            <v>***EU BOCZ.B BLAT.WĄS.Z/SK.PBX CH1</v>
          </cell>
        </row>
        <row r="2958">
          <cell r="C2958">
            <v>3020889</v>
          </cell>
          <cell r="D2958" t="str">
            <v>***EU BOCZ.BL.B B/P.CH2</v>
          </cell>
        </row>
        <row r="2959">
          <cell r="C2959">
            <v>3025170</v>
          </cell>
          <cell r="D2959" t="str">
            <v>***EU BOCZ.B BLAT.WĄS.Z/SK.PBX CH2</v>
          </cell>
        </row>
        <row r="2960">
          <cell r="C2960">
            <v>3024101</v>
          </cell>
          <cell r="D2960" t="str">
            <v>PL BOCZ.BL.B B/S.MC.CH</v>
          </cell>
        </row>
        <row r="2961">
          <cell r="C2961">
            <v>3024100</v>
          </cell>
          <cell r="D2961" t="str">
            <v>EU BOCZ.BL.B B/S.MC.CH</v>
          </cell>
        </row>
        <row r="2962">
          <cell r="C2962">
            <v>3024098</v>
          </cell>
          <cell r="D2962" t="str">
            <v>PL BOCZ.BL.C B/S.MC.CH</v>
          </cell>
        </row>
        <row r="2963">
          <cell r="C2963">
            <v>3024099</v>
          </cell>
          <cell r="D2963" t="str">
            <v>EU BOCZ.BL.C B/S.MC.CH</v>
          </cell>
        </row>
        <row r="2964">
          <cell r="C2964">
            <v>3024173</v>
          </cell>
          <cell r="D2964" t="str">
            <v>***EU BOCZ.BL.ABC B/S.MC.USR</v>
          </cell>
        </row>
        <row r="2965">
          <cell r="C2965">
            <v>3024911</v>
          </cell>
          <cell r="D2965" t="str">
            <v>***EUBOCZ.ABC.SZER.BLAT/B/S.Z/MŚ.CIE.PBX</v>
          </cell>
        </row>
        <row r="2966">
          <cell r="C2966">
            <v>3014717</v>
          </cell>
          <cell r="D2966" t="str">
            <v>***PL BOCZ.BL.B B/S.CH</v>
          </cell>
        </row>
        <row r="2967">
          <cell r="C2967">
            <v>3017602</v>
          </cell>
          <cell r="D2967" t="str">
            <v>***EU BOCZ.BL.B B/S.CH</v>
          </cell>
        </row>
        <row r="2968">
          <cell r="C2968">
            <v>3021285</v>
          </cell>
          <cell r="D2968" t="str">
            <v>***PL BOCZ.BC BLAT.B/SK/TŁ.PACH.USR CH</v>
          </cell>
        </row>
        <row r="2969">
          <cell r="C2969">
            <v>4021418</v>
          </cell>
          <cell r="D2969" t="str">
            <v>***PL BOCZ.BL.ABC B/S.MC.OK20KG PB MR</v>
          </cell>
        </row>
        <row r="2970">
          <cell r="C2970">
            <v>4015976</v>
          </cell>
          <cell r="D2970" t="str">
            <v>***PL BOCZ.BL.ABC B/S.MC.OK20KGWORKTMREX</v>
          </cell>
        </row>
        <row r="2971">
          <cell r="C2971">
            <v>3026803</v>
          </cell>
          <cell r="D2971" t="str">
            <v>***PL BOCZ.BL.ABC B/S.MC.OK20KGWORKTMRST</v>
          </cell>
        </row>
        <row r="2972">
          <cell r="C2972">
            <v>3032173</v>
          </cell>
          <cell r="D2972" t="str">
            <v>***PL BOCZ.BL.ABC B/S.MC.OK20KG PB DMR</v>
          </cell>
        </row>
        <row r="2973">
          <cell r="C2973">
            <v>3024111</v>
          </cell>
          <cell r="D2973" t="str">
            <v>***PL BOCZ.BL.ABC B/S.MC.OK20KGWORKT DMR</v>
          </cell>
        </row>
        <row r="2974">
          <cell r="C2974">
            <v>3026806</v>
          </cell>
          <cell r="D2974" t="str">
            <v>***PL BOCZ.ABC BLAT.B/SK.Z/MŚ.CIE.RO1</v>
          </cell>
        </row>
        <row r="2975">
          <cell r="C2975">
            <v>3026822</v>
          </cell>
          <cell r="D2975" t="str">
            <v>***PL BOCZ.ABC BLAT.B/SK.Z/MŚ.CIE.RO2</v>
          </cell>
        </row>
        <row r="2976">
          <cell r="C2976">
            <v>4016032</v>
          </cell>
          <cell r="D2976" t="str">
            <v>***EU BOCZ.ABC 1822 OK20KG WOR KT MR EX</v>
          </cell>
        </row>
        <row r="2977">
          <cell r="C2977">
            <v>3024174</v>
          </cell>
          <cell r="D2977" t="str">
            <v>***EU BOCZ.ABC 1822 OK20KG WOR KT DMR EX</v>
          </cell>
        </row>
        <row r="2978">
          <cell r="C2978">
            <v>3024025</v>
          </cell>
          <cell r="D2978" t="str">
            <v>PL BOCZ.BL.ABC B/S.MC.USR</v>
          </cell>
        </row>
        <row r="2979">
          <cell r="C2979">
            <v>3024912</v>
          </cell>
          <cell r="D2979" t="str">
            <v>***PL BOCZ.BL.ABC B/S.MC.PBX1</v>
          </cell>
        </row>
        <row r="2980">
          <cell r="C2980">
            <v>3027161</v>
          </cell>
          <cell r="D2980" t="str">
            <v>***PL BOCZ.BL.ABC B/S.MC.PBX2</v>
          </cell>
        </row>
        <row r="2981">
          <cell r="C2981">
            <v>3007676</v>
          </cell>
          <cell r="D2981" t="str">
            <v>***BOCZ.BLAT.WĄS.B/SK KL.E CH</v>
          </cell>
        </row>
        <row r="2982">
          <cell r="C2982">
            <v>3007677</v>
          </cell>
          <cell r="D2982" t="str">
            <v>***BOCZ.BLAT.WĄS.B/SK KL.U CH</v>
          </cell>
        </row>
        <row r="2983">
          <cell r="C2983">
            <v>3014428</v>
          </cell>
          <cell r="D2983" t="str">
            <v>***BOCZ.WP.BLAT.Z/SK.WĄSKI KL.S CH</v>
          </cell>
        </row>
        <row r="2984">
          <cell r="C2984">
            <v>3014427</v>
          </cell>
          <cell r="D2984" t="str">
            <v>***PL BOCZ.BLAT.Z/SK.WĄS.CH</v>
          </cell>
        </row>
        <row r="2985">
          <cell r="C2985">
            <v>3019210</v>
          </cell>
          <cell r="D2985" t="str">
            <v>***PL BOCZ.BLAT.Z/SK.WĄS.CH2</v>
          </cell>
        </row>
        <row r="2986">
          <cell r="C2986">
            <v>3017587</v>
          </cell>
          <cell r="D2986" t="str">
            <v>***EU BOCZ.BLAT.Z/SK.WĄS.CH</v>
          </cell>
        </row>
        <row r="2987">
          <cell r="C2987">
            <v>3014715</v>
          </cell>
          <cell r="D2987" t="str">
            <v>***BOCZ.WP.BLAT.Z/SK.WĄSKI KL.E CH Z/B</v>
          </cell>
        </row>
        <row r="2988">
          <cell r="C2988">
            <v>3030501</v>
          </cell>
          <cell r="D2988" t="str">
            <v>PL BOCZ.BL.B B/P.CH</v>
          </cell>
        </row>
        <row r="2989">
          <cell r="C2989">
            <v>3024913</v>
          </cell>
          <cell r="D2989" t="str">
            <v>PL BOCZ.BL.B B/P.PBX1</v>
          </cell>
        </row>
        <row r="2990">
          <cell r="C2990">
            <v>4017730</v>
          </cell>
          <cell r="D2990" t="str">
            <v>PP BOCZ.BL.B B/P.OK1KGVAC 6STKT LIDL</v>
          </cell>
        </row>
        <row r="2991">
          <cell r="C2991">
            <v>4018939</v>
          </cell>
          <cell r="D2991" t="str">
            <v>PL BOCZ.BL.B B/P.OK1KGVAC OK6KGKT LIDLLT</v>
          </cell>
        </row>
        <row r="2992">
          <cell r="C2992">
            <v>4024420</v>
          </cell>
          <cell r="D2992" t="str">
            <v>PL BOCZ.BL.B B/P.OK1KGVAC OK6KGKT LIDL</v>
          </cell>
        </row>
        <row r="2993">
          <cell r="C2993">
            <v>4026758</v>
          </cell>
          <cell r="D2993" t="str">
            <v>PL BOCZ.BL.B B/P.OK1KGVAC OK6KGKT NETTO</v>
          </cell>
        </row>
        <row r="2994">
          <cell r="C2994">
            <v>4019598</v>
          </cell>
          <cell r="D2994" t="str">
            <v>PL BOCZ.BL.B B/P.OK15KGWOR PJ</v>
          </cell>
        </row>
        <row r="2995">
          <cell r="C2995">
            <v>3029934</v>
          </cell>
          <cell r="D2995" t="str">
            <v>PL BOCZ.BL.B B/P.OK15KGWOR PJ ST</v>
          </cell>
        </row>
        <row r="2996">
          <cell r="C2996">
            <v>4021731</v>
          </cell>
          <cell r="D2996" t="str">
            <v>PL BOCZ.BL.B B/P.OK800KG OKT EX</v>
          </cell>
        </row>
        <row r="2997">
          <cell r="C2997">
            <v>3031688</v>
          </cell>
          <cell r="D2997" t="str">
            <v>***BOCZ.B BLAT.Z/S.PBX K4 ZAK</v>
          </cell>
        </row>
        <row r="2998">
          <cell r="C2998">
            <v>3021306</v>
          </cell>
          <cell r="D2998" t="str">
            <v>***PL BOCZ.BL.B B/P.CH2</v>
          </cell>
        </row>
        <row r="2999">
          <cell r="C2999">
            <v>3025173</v>
          </cell>
          <cell r="D2999" t="str">
            <v>PL BOCZ.BL.B B/P.PBX2</v>
          </cell>
        </row>
        <row r="3000">
          <cell r="C3000">
            <v>3021271</v>
          </cell>
          <cell r="D3000" t="str">
            <v>***EU BOCZ.BL.B B/P.CH1</v>
          </cell>
        </row>
        <row r="3001">
          <cell r="C3001">
            <v>3024914</v>
          </cell>
          <cell r="D3001" t="str">
            <v>***EU BOCZ.B B/Ż.Z/SK.NT/C.PBX CH1</v>
          </cell>
        </row>
        <row r="3002">
          <cell r="C3002">
            <v>3021307</v>
          </cell>
          <cell r="D3002" t="str">
            <v>***EU BOCZ.BL.B B/P.CH2</v>
          </cell>
        </row>
        <row r="3003">
          <cell r="C3003">
            <v>3025174</v>
          </cell>
          <cell r="D3003" t="str">
            <v>***EU BOCZ.B B/Ż.Z/SK.NT/C.PBX CH2</v>
          </cell>
        </row>
        <row r="3004">
          <cell r="C3004">
            <v>3007678</v>
          </cell>
          <cell r="D3004" t="str">
            <v>***BOCZ.BLAT.WĄS.ODTŁ KL.E CH</v>
          </cell>
        </row>
        <row r="3005">
          <cell r="C3005">
            <v>3007679</v>
          </cell>
          <cell r="D3005" t="str">
            <v>***BOCZ.BLAT.WĄS.ODTŁ KL.E NB MR</v>
          </cell>
        </row>
        <row r="3006">
          <cell r="C3006">
            <v>3007680</v>
          </cell>
          <cell r="D3006" t="str">
            <v>***BOCZ.BLAT.WĄS.ODTŁ KL.E NB DMR</v>
          </cell>
        </row>
        <row r="3007">
          <cell r="C3007">
            <v>3007681</v>
          </cell>
          <cell r="D3007" t="str">
            <v>***BOCZ.BLAT.WĄS.ODTŁ KL.E NB RO</v>
          </cell>
        </row>
        <row r="3008">
          <cell r="C3008">
            <v>3007682</v>
          </cell>
          <cell r="D3008" t="str">
            <v>***BOCZ.BLAT.WĄS.ODTŁ KL.U CH</v>
          </cell>
        </row>
        <row r="3009">
          <cell r="C3009">
            <v>3007683</v>
          </cell>
          <cell r="D3009" t="str">
            <v>***BOCZ.BLAT.WĄS.ODTŁ KL.R CH</v>
          </cell>
        </row>
        <row r="3010">
          <cell r="C3010">
            <v>3014474</v>
          </cell>
          <cell r="D3010" t="str">
            <v>***BOCZ.BLAT.B/CHRZ.Z/SK.KL.S KLASYCZNY</v>
          </cell>
        </row>
        <row r="3011">
          <cell r="C3011">
            <v>3014475</v>
          </cell>
          <cell r="D3011" t="str">
            <v>***BOCZ.BLAT.B/CHRZ.Z/SK.KL.E KLASYCZNY</v>
          </cell>
        </row>
        <row r="3012">
          <cell r="C3012">
            <v>3014466</v>
          </cell>
          <cell r="D3012" t="str">
            <v>***BOCZ.BLAT.B/CHRZ.Z/SK.KL.U CHŁOPSKI</v>
          </cell>
        </row>
        <row r="3013">
          <cell r="C3013">
            <v>3022598</v>
          </cell>
          <cell r="D3013" t="str">
            <v>***PL BOCZ.B BLAT.Z/SK.KROJONY KAUF CH</v>
          </cell>
        </row>
        <row r="3014">
          <cell r="C3014">
            <v>3021286</v>
          </cell>
          <cell r="D3014" t="str">
            <v>***EU BOCZ.BC BLAT.B/SK/TŁ.PACH.USR CH</v>
          </cell>
        </row>
        <row r="3015">
          <cell r="C3015">
            <v>3019105</v>
          </cell>
          <cell r="D3015" t="str">
            <v>PL BOCZ.BL.A B/S.CH US</v>
          </cell>
        </row>
        <row r="3016">
          <cell r="C3016">
            <v>3022007</v>
          </cell>
          <cell r="D3016" t="str">
            <v>EU BOCZ.BL.A B/S.CH US</v>
          </cell>
        </row>
        <row r="3017">
          <cell r="C3017">
            <v>3022292</v>
          </cell>
          <cell r="D3017" t="str">
            <v>PL BOCZ.BL.ABC B/S.USR</v>
          </cell>
        </row>
        <row r="3018">
          <cell r="C3018">
            <v>3024915</v>
          </cell>
          <cell r="D3018" t="str">
            <v>***PL BOCZ.BL.BC B/S.PBX US</v>
          </cell>
        </row>
        <row r="3019">
          <cell r="C3019">
            <v>3007684</v>
          </cell>
          <cell r="D3019" t="str">
            <v>***BOCZ.B BLAT.WĄS.B/SK.KROJONY CH</v>
          </cell>
        </row>
        <row r="3020">
          <cell r="C3020">
            <v>3017388</v>
          </cell>
          <cell r="D3020" t="str">
            <v>***BOCZ.B BLAT.WĄS.B/SK.KROJONY RO CH</v>
          </cell>
        </row>
        <row r="3021">
          <cell r="C3021">
            <v>3007685</v>
          </cell>
          <cell r="D3021" t="str">
            <v>***BOCZ.BLAT.WĄS.B/SK KROJONY FANTOM CH</v>
          </cell>
        </row>
        <row r="3022">
          <cell r="C3022">
            <v>3014472</v>
          </cell>
          <cell r="D3022" t="str">
            <v>PL BOCZ.BL.C B/P.CH</v>
          </cell>
        </row>
        <row r="3023">
          <cell r="C3023">
            <v>3036579</v>
          </cell>
          <cell r="D3023" t="str">
            <v>***PL BOCZ.BL.C B/P.PBX1</v>
          </cell>
        </row>
        <row r="3024">
          <cell r="C3024">
            <v>3018234</v>
          </cell>
          <cell r="D3024" t="str">
            <v>PL BOCZ.C BLAT.Z/SK.B/CH.OKOPCONY MR SZ</v>
          </cell>
        </row>
        <row r="3025">
          <cell r="C3025">
            <v>3018232</v>
          </cell>
          <cell r="D3025" t="str">
            <v>DE BOCZ.C BLAT.Z/SK.B/CH.OKOPCONY MR SZ</v>
          </cell>
        </row>
        <row r="3026">
          <cell r="C3026">
            <v>3019211</v>
          </cell>
          <cell r="D3026" t="str">
            <v>***PL BOCZ.BLAT.B/CHRZ.Z/SK.OKOPC.CH2</v>
          </cell>
        </row>
        <row r="3027">
          <cell r="C3027">
            <v>3036567</v>
          </cell>
          <cell r="D3027" t="str">
            <v>***PL BOCZ.BL.C B/P.PBX2</v>
          </cell>
        </row>
        <row r="3028">
          <cell r="C3028">
            <v>3008851</v>
          </cell>
          <cell r="D3028" t="str">
            <v>***BOCZ.ŁUSK.B/SK KL.E CH</v>
          </cell>
        </row>
        <row r="3029">
          <cell r="C3029">
            <v>3014477</v>
          </cell>
          <cell r="D3029" t="str">
            <v>***BOCZ.BLAT.B/CHRZ.Z/SK.KL.U OKOPCONY</v>
          </cell>
        </row>
        <row r="3030">
          <cell r="C3030">
            <v>3014473</v>
          </cell>
          <cell r="D3030" t="str">
            <v>***BOCZ.Z/K/SK/PACHW. KL.U WSAD</v>
          </cell>
        </row>
        <row r="3031">
          <cell r="C3031">
            <v>3015929</v>
          </cell>
          <cell r="D3031" t="str">
            <v>PL BOCZ.B B/P.CH</v>
          </cell>
        </row>
        <row r="3032">
          <cell r="C3032">
            <v>3024916</v>
          </cell>
          <cell r="D3032" t="str">
            <v>PL BOCZ.B B/P.PBX</v>
          </cell>
        </row>
        <row r="3033">
          <cell r="C3033">
            <v>4001792</v>
          </cell>
          <cell r="D3033" t="str">
            <v>***BOCZ.Z/ŻEB/SK KL.E WĄSKI MR EX</v>
          </cell>
        </row>
        <row r="3034">
          <cell r="C3034">
            <v>4015393</v>
          </cell>
          <cell r="D3034" t="str">
            <v>***PL BOCZ.B Z/Ż/SK.CH.OK15KG MR EX</v>
          </cell>
        </row>
        <row r="3035">
          <cell r="C3035">
            <v>4016901</v>
          </cell>
          <cell r="D3035" t="str">
            <v>***PLBOCZ.B Z/Ż/S.OK700GMAPOK6KGKTLIDLLT</v>
          </cell>
        </row>
        <row r="3036">
          <cell r="C3036">
            <v>3007686</v>
          </cell>
          <cell r="D3036" t="str">
            <v>***BOCZ.B WĄSK.Z/Ż/SK.KL.E OK15KGKT DMR</v>
          </cell>
        </row>
        <row r="3037">
          <cell r="C3037">
            <v>3023280</v>
          </cell>
          <cell r="D3037" t="str">
            <v>***PL BOCZ.B Z/Ż/SK.CH.OK15KG DMR EX</v>
          </cell>
        </row>
        <row r="3038">
          <cell r="C3038">
            <v>3017765</v>
          </cell>
          <cell r="D3038" t="str">
            <v>EU BOCZ.B B/P.CH</v>
          </cell>
        </row>
        <row r="3039">
          <cell r="C3039">
            <v>3024917</v>
          </cell>
          <cell r="D3039" t="str">
            <v>***EU BOCZ.B Z/Ż/SK.PBX CH</v>
          </cell>
        </row>
        <row r="3040">
          <cell r="C3040">
            <v>4015381</v>
          </cell>
          <cell r="D3040" t="str">
            <v>***EU BOCZ.B Z/Ż/SK.CH.OK15KG MR EX</v>
          </cell>
        </row>
        <row r="3041">
          <cell r="C3041">
            <v>3023281</v>
          </cell>
          <cell r="D3041" t="str">
            <v>***EU BOCZ.B Z/Ż/SK.CH.OK15KG DMR EX</v>
          </cell>
        </row>
        <row r="3042">
          <cell r="C3042">
            <v>3025862</v>
          </cell>
          <cell r="D3042" t="str">
            <v>***PL BOCZ.B Z/Ż/SK.CH PORCJA</v>
          </cell>
        </row>
        <row r="3043">
          <cell r="C3043">
            <v>3004442</v>
          </cell>
          <cell r="D3043" t="str">
            <v>***BOCZ.Z/ŻEB.WĄSK.Z/SK KL.U CH</v>
          </cell>
        </row>
        <row r="3044">
          <cell r="C3044">
            <v>3007687</v>
          </cell>
          <cell r="D3044" t="str">
            <v>***BOCZ.Z/ŻEB.WĄSK.Z/SK KL.R CH</v>
          </cell>
        </row>
        <row r="3045">
          <cell r="C3045">
            <v>4003849</v>
          </cell>
          <cell r="D3045" t="str">
            <v>***CONSTAR BOCZEK Z ŻEBR.KLR WĄSKI MR EX</v>
          </cell>
        </row>
        <row r="3046">
          <cell r="C3046">
            <v>3007688</v>
          </cell>
          <cell r="D3046" t="str">
            <v>***BOCZ.Z/ŻEB.WĄ.Z/S KLR OK15KG KT DMREX</v>
          </cell>
        </row>
        <row r="3047">
          <cell r="C3047">
            <v>3016188</v>
          </cell>
          <cell r="D3047" t="str">
            <v>***PL BOCZ.C B/P.CH</v>
          </cell>
        </row>
        <row r="3048">
          <cell r="C3048">
            <v>3017819</v>
          </cell>
          <cell r="D3048" t="str">
            <v>***EU BOCZ.C B/P.CH</v>
          </cell>
        </row>
        <row r="3049">
          <cell r="C3049">
            <v>3007689</v>
          </cell>
          <cell r="D3049" t="str">
            <v>***BOCZ.Z/ŻEB.WĄSK.Z/SK KL.S CH</v>
          </cell>
        </row>
        <row r="3050">
          <cell r="C3050">
            <v>4005420</v>
          </cell>
          <cell r="D3050" t="str">
            <v>***BOCZEK Z/ŻEB. Z/K KL.S WĄSKI MR EX</v>
          </cell>
        </row>
        <row r="3051">
          <cell r="C3051">
            <v>3007690</v>
          </cell>
          <cell r="D3051" t="str">
            <v>***BOCZ.Z/ŻEWĄ.Z/S KL.S OK15KG KT DMR EX</v>
          </cell>
        </row>
        <row r="3052">
          <cell r="C3052">
            <v>3012404</v>
          </cell>
          <cell r="D3052" t="str">
            <v>***BOCZ.WP.Z/K/SK.WĄSKI KL.S CH M.E.</v>
          </cell>
        </row>
        <row r="3053">
          <cell r="C3053">
            <v>3021256</v>
          </cell>
          <cell r="D3053" t="str">
            <v>PL BOCZ.BL.C B/S.CH US</v>
          </cell>
        </row>
        <row r="3054">
          <cell r="C3054">
            <v>4015259</v>
          </cell>
          <cell r="D3054" t="str">
            <v>***PL BOCZ.C B/Ż/S/TŁ.PACH.CHOIN.CH EXCZ</v>
          </cell>
        </row>
        <row r="3055">
          <cell r="C3055">
            <v>3021257</v>
          </cell>
          <cell r="D3055" t="str">
            <v>EU BOCZ.BL.C B/S.CH US</v>
          </cell>
        </row>
        <row r="3056">
          <cell r="C3056">
            <v>3015955</v>
          </cell>
          <cell r="D3056" t="str">
            <v>PL ŻEB.PŁAT.Z/CH.CH</v>
          </cell>
        </row>
        <row r="3057">
          <cell r="C3057">
            <v>4012203</v>
          </cell>
          <cell r="D3057" t="str">
            <v>***PL ŻEB.PŁAT.Z/CH.M.OK15KGWOR PJ</v>
          </cell>
        </row>
        <row r="3058">
          <cell r="C3058">
            <v>4005526</v>
          </cell>
          <cell r="D3058" t="str">
            <v>***PL ŻEB.PŁAT.Z/CHRZ.MOST.MR EX NLP</v>
          </cell>
        </row>
        <row r="3059">
          <cell r="C3059">
            <v>4001794</v>
          </cell>
          <cell r="D3059" t="str">
            <v>***PL ŻEB.PŁAT.Z/CH.M.OK15KGWOR KT MR EX</v>
          </cell>
        </row>
        <row r="3060">
          <cell r="C3060">
            <v>4007583</v>
          </cell>
          <cell r="D3060" t="str">
            <v>***PL ŻEB.PŁAT.Z/CHRZ.MOST.MR CH</v>
          </cell>
        </row>
        <row r="3061">
          <cell r="C3061">
            <v>4015462</v>
          </cell>
          <cell r="D3061" t="str">
            <v>***PL ŻEB.PŁAT.Z/CHRZ.4STMAP OK8KGKT SEL</v>
          </cell>
        </row>
        <row r="3062">
          <cell r="C3062">
            <v>4018216</v>
          </cell>
          <cell r="D3062" t="str">
            <v>***PL ŻEB.PŁAT.Z/CH.OK2KGRMM OK12KGKTECS</v>
          </cell>
        </row>
        <row r="3063">
          <cell r="C3063">
            <v>3007691</v>
          </cell>
          <cell r="D3063" t="str">
            <v>***PL ŻEB.PŁAT.Z/CHR.MO.OK15KG KTDMR EX</v>
          </cell>
        </row>
        <row r="3064">
          <cell r="C3064">
            <v>3007692</v>
          </cell>
          <cell r="D3064" t="str">
            <v>***PL ŻEB.PŁAT.Z/CH.M.OK15KGWORKT DMR EX</v>
          </cell>
        </row>
        <row r="3065">
          <cell r="C3065">
            <v>3007693</v>
          </cell>
          <cell r="D3065" t="str">
            <v>***PL ŻEB.PŁAT.Z/CHRZ.MOST.OK15KGKTDMRCN</v>
          </cell>
        </row>
        <row r="3066">
          <cell r="C3066">
            <v>3010587</v>
          </cell>
          <cell r="D3066" t="str">
            <v>***ŻEB.WP.PŁATY Z/CHRZ.MOST.RO1</v>
          </cell>
        </row>
        <row r="3067">
          <cell r="C3067">
            <v>3023224</v>
          </cell>
          <cell r="D3067" t="str">
            <v>***ŻEB.WP.PŁATY Z/CHRZ.MOST.RO2</v>
          </cell>
        </row>
        <row r="3068">
          <cell r="C3068">
            <v>3017787</v>
          </cell>
          <cell r="D3068" t="str">
            <v>EU ŻEB.PŁAT.Z/CH.CH</v>
          </cell>
        </row>
        <row r="3069">
          <cell r="C3069">
            <v>4012210</v>
          </cell>
          <cell r="D3069" t="str">
            <v>***EU ŻEB.PŁAT.Z/CH.M.OK15KGWOR PJ</v>
          </cell>
        </row>
        <row r="3070">
          <cell r="C3070">
            <v>4011631</v>
          </cell>
          <cell r="D3070" t="str">
            <v>***EU ŻEB.PŁAT.Z/CHRZ.MOST.MR EX NLP</v>
          </cell>
        </row>
        <row r="3071">
          <cell r="C3071">
            <v>4011465</v>
          </cell>
          <cell r="D3071" t="str">
            <v>***EU ŻEB.PŁAT.Z/CH.M.OK15KGWOR KT MR EX</v>
          </cell>
        </row>
        <row r="3072">
          <cell r="C3072">
            <v>4011750</v>
          </cell>
          <cell r="D3072" t="str">
            <v>***EU ŻEB.PŁAT.Z/CHRZ.MOST.MR CH</v>
          </cell>
        </row>
        <row r="3073">
          <cell r="C3073">
            <v>3017389</v>
          </cell>
          <cell r="D3073" t="str">
            <v>***EU ŻEB.PŁAT.Z/CHR.MO.OK15KG KTDMR EX</v>
          </cell>
        </row>
        <row r="3074">
          <cell r="C3074">
            <v>3017390</v>
          </cell>
          <cell r="D3074" t="str">
            <v>***EU ŻEB.PŁAT.Z/CH.M.OK15KGWORKT DMR EX</v>
          </cell>
        </row>
        <row r="3075">
          <cell r="C3075">
            <v>3017391</v>
          </cell>
          <cell r="D3075" t="str">
            <v>***EU ŻEB.PŁAT.Z/CHRZ.MOST.OK15KGKTDMRCN</v>
          </cell>
        </row>
        <row r="3076">
          <cell r="C3076">
            <v>3005076</v>
          </cell>
          <cell r="D3076" t="str">
            <v>***ŻEB.PŁATY Z/CHRZ.USR CH</v>
          </cell>
        </row>
        <row r="3077">
          <cell r="C3077">
            <v>3035909</v>
          </cell>
          <cell r="D3077" t="str">
            <v>PP ŻEB.PŁAT.Z/CH.CH</v>
          </cell>
        </row>
        <row r="3078">
          <cell r="C3078">
            <v>4028324</v>
          </cell>
          <cell r="D3078" t="str">
            <v>PP ŻEB.PŁAT.Z/CH.OK4.5KGWOROK4.5KGKTBIED</v>
          </cell>
        </row>
        <row r="3079">
          <cell r="C3079">
            <v>4029319</v>
          </cell>
          <cell r="D3079" t="str">
            <v>PP ŻEB.PŁAT.Z/CH.OK4.5KGMAPOK4.5KGKTBIED</v>
          </cell>
        </row>
        <row r="3080">
          <cell r="C3080">
            <v>3035230</v>
          </cell>
          <cell r="D3080" t="str">
            <v>CZ ŻEB.PŁAT.Z/CH.CH</v>
          </cell>
        </row>
        <row r="3081">
          <cell r="C3081">
            <v>3009058</v>
          </cell>
          <cell r="D3081" t="str">
            <v>***ŻEB.PŁAT.Z/CHRZ.MOS. PL UŚR</v>
          </cell>
        </row>
        <row r="3082">
          <cell r="C3082">
            <v>3034740</v>
          </cell>
          <cell r="D3082" t="str">
            <v>ŻEB.PŁAT.Z/CH.CIĘ.CH</v>
          </cell>
        </row>
        <row r="3083">
          <cell r="C3083">
            <v>3007694</v>
          </cell>
          <cell r="D3083" t="str">
            <v>ŻEB.PŁAT.Z/CH.CIĘ.OK20KG NB MR</v>
          </cell>
        </row>
        <row r="3084">
          <cell r="C3084">
            <v>3034741</v>
          </cell>
          <cell r="D3084" t="str">
            <v>ŻEB.PŁAT.Z/CH.CIĘ.OK500KG PBX1</v>
          </cell>
        </row>
        <row r="3085">
          <cell r="C3085">
            <v>3007695</v>
          </cell>
          <cell r="D3085" t="str">
            <v>PL ŻEB.PŁAT.Z/CH.CIĘ.OK20KG NB DMR</v>
          </cell>
        </row>
        <row r="3086">
          <cell r="C3086">
            <v>3007696</v>
          </cell>
          <cell r="D3086" t="str">
            <v>ŻEB.PŁAT.Z/CH.CIĘ.RO1</v>
          </cell>
        </row>
        <row r="3087">
          <cell r="C3087">
            <v>3034854</v>
          </cell>
          <cell r="D3087" t="str">
            <v>ŻEB.PŁAT.Z/CH.CIĘ.RO2</v>
          </cell>
        </row>
        <row r="3088">
          <cell r="C3088">
            <v>3034724</v>
          </cell>
          <cell r="D3088" t="str">
            <v>ŻEB.PŁAT.Z/CH.CIĘ.OK500KG PBX2</v>
          </cell>
        </row>
        <row r="3089">
          <cell r="C3089">
            <v>3008867</v>
          </cell>
          <cell r="D3089" t="str">
            <v>***ŻEB. WP USR CH</v>
          </cell>
        </row>
        <row r="3090">
          <cell r="C3090">
            <v>3015953</v>
          </cell>
          <cell r="D3090" t="str">
            <v>PL ŻEB.SCH.CH1</v>
          </cell>
        </row>
        <row r="3091">
          <cell r="C3091">
            <v>3018355</v>
          </cell>
          <cell r="D3091" t="str">
            <v>***ŻEB.SCH.GRILL NB MR</v>
          </cell>
        </row>
        <row r="3092">
          <cell r="C3092">
            <v>3015146</v>
          </cell>
          <cell r="D3092" t="str">
            <v>PL ŻEB.SCH.PBX CH1</v>
          </cell>
        </row>
        <row r="3093">
          <cell r="C3093">
            <v>4001795</v>
          </cell>
          <cell r="D3093" t="str">
            <v>***PL ŻEB.SCH.LUZ OK15KG KT CH</v>
          </cell>
        </row>
        <row r="3094">
          <cell r="C3094">
            <v>4001796</v>
          </cell>
          <cell r="D3094" t="str">
            <v>***PL ŻEB.SCH.MR</v>
          </cell>
        </row>
        <row r="3095">
          <cell r="C3095">
            <v>3029393</v>
          </cell>
          <cell r="D3095" t="str">
            <v>PL ŻEB.SCH.LUZ OK20KGWOR PJ ST</v>
          </cell>
        </row>
        <row r="3096">
          <cell r="C3096">
            <v>3047476</v>
          </cell>
          <cell r="D3096" t="str">
            <v>PL ŻEB.SCH.PBX ST</v>
          </cell>
        </row>
        <row r="3097">
          <cell r="C3097">
            <v>3007697</v>
          </cell>
          <cell r="D3097" t="str">
            <v>ŻEB.SCH.CH ZAK</v>
          </cell>
        </row>
        <row r="3098">
          <cell r="C3098">
            <v>3014841</v>
          </cell>
          <cell r="D3098" t="str">
            <v>***ŻEB.SCHABOWE 6-8CM FOL KT MR KOREA EŁ</v>
          </cell>
        </row>
        <row r="3099">
          <cell r="C3099">
            <v>3016956</v>
          </cell>
          <cell r="D3099" t="str">
            <v>***ŻEB.SCHABOWE6-8CMOK15KG WOR PJ CH EŁ1</v>
          </cell>
        </row>
        <row r="3100">
          <cell r="C3100">
            <v>3018345</v>
          </cell>
          <cell r="D3100" t="str">
            <v>***ŻEB.SCH.GRILL NB DMR</v>
          </cell>
        </row>
        <row r="3101">
          <cell r="C3101">
            <v>3007698</v>
          </cell>
          <cell r="D3101" t="str">
            <v>***PL ŻEB.SCH.PB DMR</v>
          </cell>
        </row>
        <row r="3102">
          <cell r="C3102">
            <v>3018346</v>
          </cell>
          <cell r="D3102" t="str">
            <v>***ŻEB.SCH.GRILL NB RO1</v>
          </cell>
        </row>
        <row r="3103">
          <cell r="C3103">
            <v>3020260</v>
          </cell>
          <cell r="D3103" t="str">
            <v>PL ŻEB.SCH.CH2</v>
          </cell>
        </row>
        <row r="3104">
          <cell r="C3104">
            <v>3020261</v>
          </cell>
          <cell r="D3104" t="str">
            <v>***ŻEB.SCH.GRILL NB RO2</v>
          </cell>
        </row>
        <row r="3105">
          <cell r="C3105">
            <v>3020552</v>
          </cell>
          <cell r="D3105" t="str">
            <v>PL ŻEB.SCH.PBX CH2</v>
          </cell>
        </row>
        <row r="3106">
          <cell r="C3106">
            <v>3017785</v>
          </cell>
          <cell r="D3106" t="str">
            <v>EU ŻEB.SCH.CH</v>
          </cell>
        </row>
        <row r="3107">
          <cell r="C3107">
            <v>3018084</v>
          </cell>
          <cell r="D3107" t="str">
            <v>EU ŻEB.SCH.PBX CH1</v>
          </cell>
        </row>
        <row r="3108">
          <cell r="C3108">
            <v>4011466</v>
          </cell>
          <cell r="D3108" t="str">
            <v>***EU ŻEB.SCH.LUZ OK15KG KT CH</v>
          </cell>
        </row>
        <row r="3109">
          <cell r="C3109">
            <v>4011467</v>
          </cell>
          <cell r="D3109" t="str">
            <v>***EU ŻEB.SCH.MR</v>
          </cell>
        </row>
        <row r="3110">
          <cell r="C3110">
            <v>3017392</v>
          </cell>
          <cell r="D3110" t="str">
            <v>***EU ŻEB.SCH.PB DMR</v>
          </cell>
        </row>
        <row r="3111">
          <cell r="C3111">
            <v>3020555</v>
          </cell>
          <cell r="D3111" t="str">
            <v>EU ŻEB.SCH.5-10CM PBX2</v>
          </cell>
        </row>
        <row r="3112">
          <cell r="C3112">
            <v>3005072</v>
          </cell>
          <cell r="D3112" t="str">
            <v>***ŻEB.SCHABOWE USR</v>
          </cell>
        </row>
        <row r="3113">
          <cell r="C3113">
            <v>3035231</v>
          </cell>
          <cell r="D3113" t="str">
            <v>CZ ŻEB.SCH.CH</v>
          </cell>
        </row>
        <row r="3114">
          <cell r="C3114">
            <v>3015950</v>
          </cell>
          <cell r="D3114" t="str">
            <v>PL ŻEB.PASKI CH1</v>
          </cell>
        </row>
        <row r="3115">
          <cell r="C3115">
            <v>3007699</v>
          </cell>
          <cell r="D3115" t="str">
            <v>***ŻEB.WP.PASKI NB MR ST</v>
          </cell>
        </row>
        <row r="3116">
          <cell r="C3116">
            <v>4003851</v>
          </cell>
          <cell r="D3116" t="str">
            <v>***PL ŻEB.PASKI LUZ KT CH</v>
          </cell>
        </row>
        <row r="3117">
          <cell r="C3117">
            <v>4008748</v>
          </cell>
          <cell r="D3117" t="str">
            <v>***PL ŻEB.PASKI LUZ OK5KG KT CH TIP</v>
          </cell>
        </row>
        <row r="3118">
          <cell r="C3118">
            <v>4009772</v>
          </cell>
          <cell r="D3118" t="str">
            <v>***PL ŻEB.PASKIOK600GMAP OK.2.4KG KT JMD</v>
          </cell>
        </row>
        <row r="3119">
          <cell r="C3119">
            <v>4003855</v>
          </cell>
          <cell r="D3119" t="str">
            <v>***PL ŻEB.PASKI OK750G MAP 3KG KT NETTO</v>
          </cell>
        </row>
        <row r="3120">
          <cell r="C3120">
            <v>4009999</v>
          </cell>
          <cell r="D3120" t="str">
            <v>***PL ŻEB.PASKI 2ST TRM OK6KG KT MOR EX</v>
          </cell>
        </row>
        <row r="3121">
          <cell r="C3121">
            <v>4010533</v>
          </cell>
          <cell r="D3121" t="str">
            <v>***PL ŻEB.PASKI 1ST TRM OK8KG KT MOR EX</v>
          </cell>
        </row>
        <row r="3122">
          <cell r="C3122">
            <v>4012693</v>
          </cell>
          <cell r="D3122" t="str">
            <v>***PL ŻEB.PASKI 2ST TRM OK9KG KT</v>
          </cell>
        </row>
        <row r="3123">
          <cell r="C3123">
            <v>4012789</v>
          </cell>
          <cell r="D3123" t="str">
            <v>***PL ŻEB.PASKI OK2.5KG TRM OK5KG KT</v>
          </cell>
        </row>
        <row r="3124">
          <cell r="C3124">
            <v>3026440</v>
          </cell>
          <cell r="D3124" t="str">
            <v>PL ŻEB.SCH.SZER.600-850G OK15KGWOR PJ SZ</v>
          </cell>
        </row>
        <row r="3125">
          <cell r="C3125">
            <v>3007700</v>
          </cell>
          <cell r="D3125" t="str">
            <v>***ŻEB.PASKI NB DMR</v>
          </cell>
        </row>
        <row r="3126">
          <cell r="C3126">
            <v>3007701</v>
          </cell>
          <cell r="D3126" t="str">
            <v>***ŻEB.PASKI NB RO</v>
          </cell>
        </row>
        <row r="3127">
          <cell r="C3127">
            <v>3020262</v>
          </cell>
          <cell r="D3127" t="str">
            <v>***PL ŻEB.PASKI CH2</v>
          </cell>
        </row>
        <row r="3128">
          <cell r="C3128">
            <v>3017783</v>
          </cell>
          <cell r="D3128" t="str">
            <v>EU ŻEB.PASKI CH</v>
          </cell>
        </row>
        <row r="3129">
          <cell r="C3129">
            <v>4011607</v>
          </cell>
          <cell r="D3129" t="str">
            <v>***EU ŻEB.PASKI LUZ KT CH</v>
          </cell>
        </row>
        <row r="3130">
          <cell r="C3130">
            <v>4011819</v>
          </cell>
          <cell r="D3130" t="str">
            <v>***EU ŻEB.PASKI LUZ OK5KG KT CH TIP</v>
          </cell>
        </row>
        <row r="3131">
          <cell r="C3131">
            <v>4011608</v>
          </cell>
          <cell r="D3131" t="str">
            <v>***EU ŻEB.PASKI OK750G MAP 3KG KT NETTO</v>
          </cell>
        </row>
        <row r="3132">
          <cell r="C3132">
            <v>4012689</v>
          </cell>
          <cell r="D3132" t="str">
            <v>***EU ŻEB.PASKI 2STTRM OK9KGKT</v>
          </cell>
        </row>
        <row r="3133">
          <cell r="C3133">
            <v>4012820</v>
          </cell>
          <cell r="D3133" t="str">
            <v>***EU ŻEB.PASKI OK2.5KG TRM OK5KG KT</v>
          </cell>
        </row>
        <row r="3134">
          <cell r="C3134">
            <v>3005067</v>
          </cell>
          <cell r="D3134" t="str">
            <v>***ŻEB.PASKI USR</v>
          </cell>
        </row>
        <row r="3135">
          <cell r="C3135">
            <v>3016878</v>
          </cell>
          <cell r="D3135" t="str">
            <v>***ŻEB.WP.PASKI MIĘSNE CH</v>
          </cell>
        </row>
        <row r="3136">
          <cell r="C3136">
            <v>3016879</v>
          </cell>
          <cell r="D3136" t="str">
            <v>***ŻEB.WP.PASKI MIĘSNE USR</v>
          </cell>
        </row>
        <row r="3137">
          <cell r="C3137">
            <v>3008805</v>
          </cell>
          <cell r="D3137" t="str">
            <v>***ŻEB.PASKI</v>
          </cell>
        </row>
        <row r="3138">
          <cell r="C3138">
            <v>3009660</v>
          </cell>
          <cell r="D3138" t="str">
            <v>***ŻEB.PASKI GRILL NB MR</v>
          </cell>
        </row>
        <row r="3139">
          <cell r="C3139">
            <v>3009661</v>
          </cell>
          <cell r="D3139" t="str">
            <v>***ŻEB.PASKI GRILL NB DMR</v>
          </cell>
        </row>
        <row r="3140">
          <cell r="C3140">
            <v>3009659</v>
          </cell>
          <cell r="D3140" t="str">
            <v>***ŻEB.PASKI GRILL NB RO</v>
          </cell>
        </row>
        <row r="3141">
          <cell r="C3141">
            <v>3009611</v>
          </cell>
          <cell r="D3141" t="str">
            <v>***ŻEB.PASKI GRILL UŚR</v>
          </cell>
        </row>
        <row r="3142">
          <cell r="C3142">
            <v>3007702</v>
          </cell>
          <cell r="D3142" t="str">
            <v>***ŻEB.SCH.NB MR</v>
          </cell>
        </row>
        <row r="3143">
          <cell r="C3143">
            <v>4005535</v>
          </cell>
          <cell r="D3143" t="str">
            <v>***PL ŻEB.SCH.LUZ KT CH</v>
          </cell>
        </row>
        <row r="3144">
          <cell r="C3144">
            <v>4007584</v>
          </cell>
          <cell r="D3144" t="str">
            <v>***PL ŻEB.SCH.OK15KGWOR KT MR EX</v>
          </cell>
        </row>
        <row r="3145">
          <cell r="C3145">
            <v>4001797</v>
          </cell>
          <cell r="D3145" t="str">
            <v>***PL ŻEB.SCH.EXP.MR LUZ</v>
          </cell>
        </row>
        <row r="3146">
          <cell r="C3146">
            <v>4010177</v>
          </cell>
          <cell r="D3146" t="str">
            <v>***PL ŻEB.SCH.FOL 10KG KT MR SFL</v>
          </cell>
        </row>
        <row r="3147">
          <cell r="C3147">
            <v>4011280</v>
          </cell>
          <cell r="D3147" t="str">
            <v>***PL ŻEB.SCH.OK20KGWOR PJ</v>
          </cell>
        </row>
        <row r="3148">
          <cell r="C3148">
            <v>3007703</v>
          </cell>
          <cell r="D3148" t="str">
            <v>***ŻEB.SCH. NB DMR</v>
          </cell>
        </row>
        <row r="3149">
          <cell r="C3149">
            <v>3007704</v>
          </cell>
          <cell r="D3149" t="str">
            <v>***PL ŻEB.SCH.OK15KG KT DMR CN</v>
          </cell>
        </row>
        <row r="3150">
          <cell r="C3150">
            <v>3007705</v>
          </cell>
          <cell r="D3150" t="str">
            <v>***PL ŻEB.SCH.OK15KG KT DMR EX</v>
          </cell>
        </row>
        <row r="3151">
          <cell r="C3151">
            <v>3014199</v>
          </cell>
          <cell r="D3151" t="str">
            <v>***PL ŻEB.SCH.FOL 10KG KT DMR SFL</v>
          </cell>
        </row>
        <row r="3152">
          <cell r="C3152">
            <v>3007706</v>
          </cell>
          <cell r="D3152" t="str">
            <v>***ŻEB.SCH. NB RO1</v>
          </cell>
        </row>
        <row r="3153">
          <cell r="C3153">
            <v>3023882</v>
          </cell>
          <cell r="D3153" t="str">
            <v>***ŻEB.SCH. NB RO2</v>
          </cell>
        </row>
        <row r="3154">
          <cell r="C3154">
            <v>3009057</v>
          </cell>
          <cell r="D3154" t="str">
            <v>***ŻEB.SCHABOWE PL</v>
          </cell>
        </row>
        <row r="3155">
          <cell r="C3155">
            <v>4011632</v>
          </cell>
          <cell r="D3155" t="str">
            <v>***EU ŻEB.SCH.LUZ KT CH</v>
          </cell>
        </row>
        <row r="3156">
          <cell r="C3156">
            <v>4011751</v>
          </cell>
          <cell r="D3156" t="str">
            <v>***EU ŻEB.SCH.OK15KG KT MR EX</v>
          </cell>
        </row>
        <row r="3157">
          <cell r="C3157">
            <v>4011468</v>
          </cell>
          <cell r="D3157" t="str">
            <v>***EU ŻEB.SCH.EXP.MR LUZ</v>
          </cell>
        </row>
        <row r="3158">
          <cell r="C3158">
            <v>4012038</v>
          </cell>
          <cell r="D3158" t="str">
            <v>***EU ŻEB.SCH.FOL 10KG KT MR SFL</v>
          </cell>
        </row>
        <row r="3159">
          <cell r="C3159">
            <v>4012178</v>
          </cell>
          <cell r="D3159" t="str">
            <v>***EU ŻEB.SCH.OK20KGWOR PJ</v>
          </cell>
        </row>
        <row r="3160">
          <cell r="C3160">
            <v>3017393</v>
          </cell>
          <cell r="D3160" t="str">
            <v>***EU ŻEB.SCH.OK15KG KT DMR CN</v>
          </cell>
        </row>
        <row r="3161">
          <cell r="C3161">
            <v>3017394</v>
          </cell>
          <cell r="D3161" t="str">
            <v>***EU ŻEB.SCH.OK15KG KT DMR EX</v>
          </cell>
        </row>
        <row r="3162">
          <cell r="C3162">
            <v>3017570</v>
          </cell>
          <cell r="D3162" t="str">
            <v>***EU ŻEB.SCH.FOL 10KG KT DMR SFL</v>
          </cell>
        </row>
        <row r="3163">
          <cell r="C3163">
            <v>3007707</v>
          </cell>
          <cell r="D3163" t="str">
            <v>***ŻEB.SCH. UŚR CH</v>
          </cell>
        </row>
        <row r="3164">
          <cell r="C3164">
            <v>3009056</v>
          </cell>
          <cell r="D3164" t="str">
            <v>***ŻEB.SCHABOWE PL UŚR</v>
          </cell>
        </row>
        <row r="3165">
          <cell r="C3165">
            <v>3018700</v>
          </cell>
          <cell r="D3165" t="str">
            <v>PL ŻEB.POZ.PŁAT.CH</v>
          </cell>
        </row>
        <row r="3166">
          <cell r="C3166">
            <v>3024919</v>
          </cell>
          <cell r="D3166" t="str">
            <v>PL ŻEB.POZ.PŁAT.PBX</v>
          </cell>
        </row>
        <row r="3167">
          <cell r="C3167">
            <v>4016988</v>
          </cell>
          <cell r="D3167" t="str">
            <v>***PL POZ.PŁAT.ŻEB.Z/CH/KM.OK15KGWOR KT</v>
          </cell>
        </row>
        <row r="3168">
          <cell r="C3168">
            <v>4019840</v>
          </cell>
          <cell r="D3168" t="str">
            <v>***PL POZ.PŁAT.ŻEB.Z/CH/KM.OK10KGWOR KT</v>
          </cell>
        </row>
        <row r="3169">
          <cell r="C3169">
            <v>4019788</v>
          </cell>
          <cell r="D3169" t="str">
            <v>ŻEB.POZ.PŁAT.OK10KGWOR KT MR VN</v>
          </cell>
        </row>
        <row r="3170">
          <cell r="C3170">
            <v>4013105</v>
          </cell>
          <cell r="D3170" t="str">
            <v>***PL POZ.PŁAT.ŻEB.Z/CH/KM.OK20KGKTMR EX</v>
          </cell>
        </row>
        <row r="3171">
          <cell r="C3171">
            <v>4013013</v>
          </cell>
          <cell r="D3171" t="str">
            <v>ŻEB.POZ.PŁAT.OK10KGWOR KT MR EX</v>
          </cell>
        </row>
        <row r="3172">
          <cell r="C3172">
            <v>4019878</v>
          </cell>
          <cell r="D3172" t="str">
            <v>PL ŻEB.POZ.PŁAT.OK20KGWOR PJ</v>
          </cell>
        </row>
        <row r="3173">
          <cell r="C3173">
            <v>3029702</v>
          </cell>
          <cell r="D3173" t="str">
            <v>PL ŻEB.POZ.PŁAT.OK10KGWOR KT DMR VN</v>
          </cell>
        </row>
        <row r="3174">
          <cell r="C3174">
            <v>3018832</v>
          </cell>
          <cell r="D3174" t="str">
            <v>***PL POZ.PŁAT.ŻEB.Z/CH/KM.OK20KGKT DMR</v>
          </cell>
        </row>
        <row r="3175">
          <cell r="C3175">
            <v>3018702</v>
          </cell>
          <cell r="D3175" t="str">
            <v>PL ŻEB.POZ.PŁAT.OK10KGWOR KT DMR</v>
          </cell>
        </row>
        <row r="3176">
          <cell r="C3176">
            <v>3018701</v>
          </cell>
          <cell r="D3176" t="str">
            <v>EU ŻEB.POZ.PŁAT.CH</v>
          </cell>
        </row>
        <row r="3177">
          <cell r="C3177">
            <v>3024920</v>
          </cell>
          <cell r="D3177" t="str">
            <v>***EU POZ.PŁAT.ŻEB.Z/CH/KM.PBX CH</v>
          </cell>
        </row>
        <row r="3178">
          <cell r="C3178">
            <v>4013104</v>
          </cell>
          <cell r="D3178" t="str">
            <v>***EU POZ.PŁAT.ŻEB.Z/CH/KM.OK20KGKTMR EX</v>
          </cell>
        </row>
        <row r="3179">
          <cell r="C3179">
            <v>4013014</v>
          </cell>
          <cell r="D3179" t="str">
            <v>EU ŻEB.POZ.PŁAT.OK10KGWOR KT MR EX</v>
          </cell>
        </row>
        <row r="3180">
          <cell r="C3180">
            <v>3018831</v>
          </cell>
          <cell r="D3180" t="str">
            <v>***EU POZ.PŁAT.ŻEB.Z/CH/KM.OK20KGKT DMR</v>
          </cell>
        </row>
        <row r="3181">
          <cell r="C3181">
            <v>3018703</v>
          </cell>
          <cell r="D3181" t="str">
            <v>EU ŻEB.POZ.PŁAT.OK10KGWOR KT DMR</v>
          </cell>
        </row>
        <row r="3182">
          <cell r="C3182">
            <v>3012701</v>
          </cell>
          <cell r="D3182" t="str">
            <v>PL  ŻEB.PŁAT.8CM1</v>
          </cell>
        </row>
        <row r="3183">
          <cell r="C3183">
            <v>3021993</v>
          </cell>
          <cell r="D3183" t="str">
            <v>ŻEB.PŁATY 8CM NB MR ST</v>
          </cell>
        </row>
        <row r="3184">
          <cell r="C3184">
            <v>3024921</v>
          </cell>
          <cell r="D3184" t="str">
            <v>ŻEB.BOCZ.8CM PBX1</v>
          </cell>
        </row>
        <row r="3185">
          <cell r="C3185">
            <v>4017250</v>
          </cell>
          <cell r="D3185" t="str">
            <v>PL ŻEB.BOCZ.8CM OK15KG WOR KT</v>
          </cell>
        </row>
        <row r="3186">
          <cell r="C3186">
            <v>4017605</v>
          </cell>
          <cell r="D3186" t="str">
            <v>***PL ŻEB.BOCZ.8CM OK15KG WOR KT TESC</v>
          </cell>
        </row>
        <row r="3187">
          <cell r="C3187">
            <v>4013021</v>
          </cell>
          <cell r="D3187" t="str">
            <v>PL ŻEB.PŁAT.8CM OK20KGWOR KT MR EX</v>
          </cell>
        </row>
        <row r="3188">
          <cell r="C3188">
            <v>4017515</v>
          </cell>
          <cell r="D3188" t="str">
            <v>***PL ŻEB.BOCZ.8CM OK2.5KGRMMOK5KGKTAUCH</v>
          </cell>
        </row>
        <row r="3189">
          <cell r="C3189">
            <v>4017514</v>
          </cell>
          <cell r="D3189" t="str">
            <v>***PL ŻEB.BOCZ.8CMOK4.5KGRMMOK9KGKT KAUF</v>
          </cell>
        </row>
        <row r="3190">
          <cell r="C3190">
            <v>4017618</v>
          </cell>
          <cell r="D3190" t="str">
            <v>***PL ŻEB.BOCZ.8CMOK4.5KGRMMOK15KGPJ STO</v>
          </cell>
        </row>
        <row r="3191">
          <cell r="C3191">
            <v>4017617</v>
          </cell>
          <cell r="D3191" t="str">
            <v>PL ŻEB.BOCZ.8CM OK2.5KGMAP OK5KGKT PIP</v>
          </cell>
        </row>
        <row r="3192">
          <cell r="C3192">
            <v>4017654</v>
          </cell>
          <cell r="D3192" t="str">
            <v>PL ŻEB.BOCZ.8CM 4STMAP OK9KGKT SEL</v>
          </cell>
        </row>
        <row r="3193">
          <cell r="C3193">
            <v>4018027</v>
          </cell>
          <cell r="D3193" t="str">
            <v>PL ŻEB.BOCZ.8CM OK2.5KGMAP OK10KGKT MAKR</v>
          </cell>
        </row>
        <row r="3194">
          <cell r="C3194">
            <v>3023402</v>
          </cell>
          <cell r="D3194" t="str">
            <v>***PL ŻEB.BOCZ.8CM OK15KGPJ CH ST</v>
          </cell>
        </row>
        <row r="3195">
          <cell r="C3195">
            <v>3021937</v>
          </cell>
          <cell r="D3195" t="str">
            <v>PL ŻEB.PŁAT.8CM OK20KG NB DMR</v>
          </cell>
        </row>
        <row r="3196">
          <cell r="C3196">
            <v>3018719</v>
          </cell>
          <cell r="D3196" t="str">
            <v>PL ŻEB.PŁAT.8CM OK20KGWOR KT DMR</v>
          </cell>
        </row>
        <row r="3197">
          <cell r="C3197">
            <v>3021994</v>
          </cell>
          <cell r="D3197" t="str">
            <v>ŻEB.PŁATY 8CM NB RO1</v>
          </cell>
        </row>
        <row r="3198">
          <cell r="C3198">
            <v>3020959</v>
          </cell>
          <cell r="D3198" t="str">
            <v>PL  ŻEB.PŁAT.8CM2</v>
          </cell>
        </row>
        <row r="3199">
          <cell r="C3199">
            <v>3021995</v>
          </cell>
          <cell r="D3199" t="str">
            <v>ŻEB.PŁATY 8CM NB RO2</v>
          </cell>
        </row>
        <row r="3200">
          <cell r="C3200">
            <v>3025181</v>
          </cell>
          <cell r="D3200" t="str">
            <v>ŻEB.BOCZ.8CM PBX2</v>
          </cell>
        </row>
        <row r="3201">
          <cell r="C3201">
            <v>3018043</v>
          </cell>
          <cell r="D3201" t="str">
            <v>EU ŻEB.BOCZ.8CM CH1</v>
          </cell>
        </row>
        <row r="3202">
          <cell r="C3202">
            <v>3024922</v>
          </cell>
          <cell r="D3202" t="str">
            <v>***EU ŻEB.BOCZ.8CM PBX CH1</v>
          </cell>
        </row>
        <row r="3203">
          <cell r="C3203">
            <v>4013020</v>
          </cell>
          <cell r="D3203" t="str">
            <v>EU ŻEB.PŁAT.8CM OK20KGWOR KT MR EX</v>
          </cell>
        </row>
        <row r="3204">
          <cell r="C3204">
            <v>4017546</v>
          </cell>
          <cell r="D3204" t="str">
            <v>***EU ŻEB.BOCZ.8CM OK2.5KGRMMOK5KGKTAUCH</v>
          </cell>
        </row>
        <row r="3205">
          <cell r="C3205">
            <v>4017545</v>
          </cell>
          <cell r="D3205" t="str">
            <v>***EU ŻEB.BOCZ.8CMOK4.5KGRMMOK9KGKT KAUF</v>
          </cell>
        </row>
        <row r="3206">
          <cell r="C3206">
            <v>4017619</v>
          </cell>
          <cell r="D3206" t="str">
            <v>***EU ŻEB.BOCZ.8CMOK4.5KGRMMOK15KGPJ STO</v>
          </cell>
        </row>
        <row r="3207">
          <cell r="C3207">
            <v>4017616</v>
          </cell>
          <cell r="D3207" t="str">
            <v>***EU ŻEB.BOCZ.8CM OK2.5KGRMMOK5KGKT PIP</v>
          </cell>
        </row>
        <row r="3208">
          <cell r="C3208">
            <v>4017655</v>
          </cell>
          <cell r="D3208" t="str">
            <v>***EUŻEB.BOCZ.8CM OK2.5KGRMMOK10KGKTSELG</v>
          </cell>
        </row>
        <row r="3209">
          <cell r="C3209">
            <v>3018718</v>
          </cell>
          <cell r="D3209" t="str">
            <v>EU ŻEB.PŁAT.8CM OK20KGWOR KT DMR</v>
          </cell>
        </row>
        <row r="3210">
          <cell r="C3210">
            <v>3020970</v>
          </cell>
          <cell r="D3210" t="str">
            <v>EU ŻEB.BOCZ.8CM CH2</v>
          </cell>
        </row>
        <row r="3211">
          <cell r="C3211">
            <v>3025182</v>
          </cell>
          <cell r="D3211" t="str">
            <v>***EU ŻEB.BOCZ.8CM PBX CH2</v>
          </cell>
        </row>
        <row r="3212">
          <cell r="C3212">
            <v>3008807</v>
          </cell>
          <cell r="D3212" t="str">
            <v>***PL ŻEB.PASKI WĄS.KOREA CH</v>
          </cell>
        </row>
        <row r="3213">
          <cell r="C3213">
            <v>3017424</v>
          </cell>
          <cell r="D3213" t="str">
            <v>***EU ŻEB.PASKI WĄS.KOREA CH</v>
          </cell>
        </row>
        <row r="3214">
          <cell r="C3214">
            <v>3008808</v>
          </cell>
          <cell r="D3214" t="str">
            <v>***PORK SPARERIBS WITHOUT BREAST BO</v>
          </cell>
        </row>
        <row r="3215">
          <cell r="C3215">
            <v>3007708</v>
          </cell>
          <cell r="D3215" t="str">
            <v>***FR.PK SPARERIBS WITHOUT BREAST B NBMR</v>
          </cell>
        </row>
        <row r="3216">
          <cell r="C3216">
            <v>3007709</v>
          </cell>
          <cell r="D3216" t="str">
            <v>***FRPK SPARERIBS WITHOUT BREAST B NBDMR</v>
          </cell>
        </row>
        <row r="3217">
          <cell r="C3217">
            <v>3007710</v>
          </cell>
          <cell r="D3217" t="str">
            <v>***FR.PK SPARERIBS WITHOUT BREAST B NBRO</v>
          </cell>
        </row>
        <row r="3218">
          <cell r="C3218">
            <v>3006058</v>
          </cell>
          <cell r="D3218" t="str">
            <v>PL BOCZ.B B/S/P.ODTŁ.1/2ST CH</v>
          </cell>
        </row>
        <row r="3219">
          <cell r="C3219">
            <v>3024923</v>
          </cell>
          <cell r="D3219" t="str">
            <v>***PL ŻEB.(1/2 BOCZ.B) PBX CH</v>
          </cell>
        </row>
        <row r="3220">
          <cell r="C3220">
            <v>4014295</v>
          </cell>
          <cell r="D3220" t="str">
            <v>***PL ŻEB.(1/2 BOCZKU B) LUZ KT CH</v>
          </cell>
        </row>
        <row r="3221">
          <cell r="C3221">
            <v>4014296</v>
          </cell>
          <cell r="D3221" t="str">
            <v>***PLŻEB.(1/2 BOCZKU B)OK2.5KGTRMOK5KGKT</v>
          </cell>
        </row>
        <row r="3222">
          <cell r="C3222">
            <v>3017346</v>
          </cell>
          <cell r="D3222" t="str">
            <v>EU BOCZ.B B/S/P.ODTŁ.1/2ST CH</v>
          </cell>
        </row>
        <row r="3223">
          <cell r="C3223">
            <v>3024924</v>
          </cell>
          <cell r="D3223" t="str">
            <v>***EU ŻEB.(1/2 BOCZ.B) PBX CH</v>
          </cell>
        </row>
        <row r="3224">
          <cell r="C3224">
            <v>4014297</v>
          </cell>
          <cell r="D3224" t="str">
            <v>***EU ŻEB.(1/2 BOCZKU B) LUZ KT CH</v>
          </cell>
        </row>
        <row r="3225">
          <cell r="C3225">
            <v>4014298</v>
          </cell>
          <cell r="D3225" t="str">
            <v>***EUŻEB.(1/2 BOCZKU B)OK2.5KGTRMOK5KGKT</v>
          </cell>
        </row>
        <row r="3226">
          <cell r="C3226">
            <v>3008809</v>
          </cell>
          <cell r="D3226" t="str">
            <v>***ŻEB.PŁAT. KOR</v>
          </cell>
        </row>
        <row r="3227">
          <cell r="C3227">
            <v>4001800</v>
          </cell>
          <cell r="D3227" t="str">
            <v>***ŻEBERKA WP.PŁATY KOREA MRŻ.EXP</v>
          </cell>
        </row>
        <row r="3228">
          <cell r="C3228">
            <v>3007711</v>
          </cell>
          <cell r="D3228" t="str">
            <v>***ŻEB.PŁAT. OK 15KG KT DMR KOR</v>
          </cell>
        </row>
        <row r="3229">
          <cell r="C3229">
            <v>3022982</v>
          </cell>
          <cell r="D3229" t="str">
            <v>PL ŻEB.BOCZ.10.5CM 682-795G</v>
          </cell>
        </row>
        <row r="3230">
          <cell r="C3230">
            <v>3025545</v>
          </cell>
          <cell r="D3230" t="str">
            <v>***PL ŻEB.BOCZ.10.5CM 682-795G MR ST</v>
          </cell>
        </row>
        <row r="3231">
          <cell r="C3231">
            <v>3024925</v>
          </cell>
          <cell r="D3231" t="str">
            <v>***PL ŻEB.BOCZ.10.5CM 682-795G PBX CH1</v>
          </cell>
        </row>
        <row r="3232">
          <cell r="C3232">
            <v>4015151</v>
          </cell>
          <cell r="D3232" t="str">
            <v>***PL ŻEB.BOCZ.682-795G OK20KG KT MR EX</v>
          </cell>
        </row>
        <row r="3233">
          <cell r="C3233">
            <v>3026804</v>
          </cell>
          <cell r="D3233" t="str">
            <v>***PL ŻEB.BOCZ.682-795G OK20KG KT MR ST</v>
          </cell>
        </row>
        <row r="3234">
          <cell r="C3234">
            <v>3022618</v>
          </cell>
          <cell r="D3234" t="str">
            <v>PL ŻEB.PŁAT.CIĘ.10CM OK15KGWOR PJ EŁ</v>
          </cell>
        </row>
        <row r="3235">
          <cell r="C3235">
            <v>3023917</v>
          </cell>
          <cell r="D3235" t="str">
            <v>PL ŻEB.BOCZ.10.5CM 682-795G DMR</v>
          </cell>
        </row>
        <row r="3236">
          <cell r="C3236">
            <v>3022983</v>
          </cell>
          <cell r="D3236" t="str">
            <v>***PL ŻEB.BOCZ.682-795G OK20KG KT DMR</v>
          </cell>
        </row>
        <row r="3237">
          <cell r="C3237">
            <v>3025185</v>
          </cell>
          <cell r="D3237" t="str">
            <v>***PL ŻEB.BOCZ.10.5CM 682-795G PBX CH2</v>
          </cell>
        </row>
        <row r="3238">
          <cell r="C3238">
            <v>3022984</v>
          </cell>
          <cell r="D3238" t="str">
            <v>PL ŻEB.PŁAT.10.5CM 515-568G</v>
          </cell>
        </row>
        <row r="3239">
          <cell r="C3239">
            <v>4015152</v>
          </cell>
          <cell r="D3239" t="str">
            <v>***PL ŻEB.BOCZ.515-568G OK20KG KT MR EX</v>
          </cell>
        </row>
        <row r="3240">
          <cell r="C3240">
            <v>3026805</v>
          </cell>
          <cell r="D3240" t="str">
            <v>***PL ŻEB.BOCZ.515-568G OK20KG KT MR ST</v>
          </cell>
        </row>
        <row r="3241">
          <cell r="C3241">
            <v>3022985</v>
          </cell>
          <cell r="D3241" t="str">
            <v>***PL ŻEB.BOCZ 515-568G OK20KG KT DMR</v>
          </cell>
        </row>
        <row r="3242">
          <cell r="C3242">
            <v>3007712</v>
          </cell>
          <cell r="D3242" t="str">
            <v>PL ŻEB.PIECZENIOWE CH</v>
          </cell>
        </row>
        <row r="3243">
          <cell r="C3243">
            <v>3024926</v>
          </cell>
          <cell r="D3243" t="str">
            <v>PL ŻEB.MOST.Z/CH/MP.PBX ST</v>
          </cell>
        </row>
        <row r="3244">
          <cell r="C3244">
            <v>4001801</v>
          </cell>
          <cell r="D3244" t="str">
            <v>PL ŻEB.PIE.OK15KGWOR KT</v>
          </cell>
        </row>
        <row r="3245">
          <cell r="C3245">
            <v>4009884</v>
          </cell>
          <cell r="D3245" t="str">
            <v>***PL ŻEB.PIECZENIOWE OK15KG KT CH</v>
          </cell>
        </row>
        <row r="3246">
          <cell r="C3246">
            <v>4010892</v>
          </cell>
          <cell r="D3246" t="str">
            <v>***PL ŻEB.PIECZENIOWE WOR OK5KGKT CH</v>
          </cell>
        </row>
        <row r="3247">
          <cell r="C3247">
            <v>4012631</v>
          </cell>
          <cell r="D3247" t="str">
            <v>***PL ŻEB.PIECZENIOWE OK10KGWOR KT</v>
          </cell>
        </row>
        <row r="3248">
          <cell r="C3248">
            <v>4012860</v>
          </cell>
          <cell r="D3248" t="str">
            <v>***PL ŻEB.PIECZENIOWE OK20KGKT MR</v>
          </cell>
        </row>
        <row r="3249">
          <cell r="C3249">
            <v>4015471</v>
          </cell>
          <cell r="D3249" t="str">
            <v>PL ŻEB.PIE.4STMAP OK9KGKT SEL</v>
          </cell>
        </row>
        <row r="3250">
          <cell r="C3250">
            <v>4015638</v>
          </cell>
          <cell r="D3250" t="str">
            <v>PL ŻEB.PIE.3STMAP OK12KGPJ ECS</v>
          </cell>
        </row>
        <row r="3251">
          <cell r="C3251">
            <v>4016008</v>
          </cell>
          <cell r="D3251" t="str">
            <v>***PL ŻEB.PIECZ.OK2.5KGRMM OK5KGKT AUCH</v>
          </cell>
        </row>
        <row r="3252">
          <cell r="C3252">
            <v>4016009</v>
          </cell>
          <cell r="D3252" t="str">
            <v>PL ŻEB.PIE.OK3KGMAP OK6KGKT CARR</v>
          </cell>
        </row>
        <row r="3253">
          <cell r="C3253">
            <v>4018028</v>
          </cell>
          <cell r="D3253" t="str">
            <v>PL ŻEB.PIE.OK2.5KGMAP OK10KGKT MAKR</v>
          </cell>
        </row>
        <row r="3254">
          <cell r="C3254">
            <v>4018498</v>
          </cell>
          <cell r="D3254" t="str">
            <v>PL ŻEB.PIE.OK4.5KGMAP OK9KGKT KAUF</v>
          </cell>
        </row>
        <row r="3255">
          <cell r="C3255">
            <v>4020379</v>
          </cell>
          <cell r="D3255" t="str">
            <v>***PL ŻEB.PIECZ.OK4.5KGRMMOK9KGKTKAUF BG</v>
          </cell>
        </row>
        <row r="3256">
          <cell r="C3256">
            <v>4025020</v>
          </cell>
          <cell r="D3256" t="str">
            <v>PL ŻEB.PIE.Z.OK4KGMAP OK12KGKT MORE EX</v>
          </cell>
        </row>
        <row r="3257">
          <cell r="C3257">
            <v>4011088</v>
          </cell>
          <cell r="D3257" t="str">
            <v>***PL ŻEB.PIECZ.2ST VAC OK12KG PJ CH ECS</v>
          </cell>
        </row>
        <row r="3258">
          <cell r="C3258">
            <v>4014888</v>
          </cell>
          <cell r="D3258" t="str">
            <v>***PL ŻEB.PIECZENIOWE 3STVACOK6KGKT AUCH</v>
          </cell>
        </row>
        <row r="3259">
          <cell r="C3259">
            <v>4012652</v>
          </cell>
          <cell r="D3259" t="str">
            <v>***PL ŻEB.PIECZENIOWE OK5KGTRM OK10KGKT</v>
          </cell>
        </row>
        <row r="3260">
          <cell r="C3260">
            <v>3018529</v>
          </cell>
          <cell r="D3260" t="str">
            <v>***PL ŻEB.PIECZENIOWE OK20KG KT DMR</v>
          </cell>
        </row>
        <row r="3261">
          <cell r="C3261">
            <v>3017395</v>
          </cell>
          <cell r="D3261" t="str">
            <v>EU ŻEB.PIECZENIOWE CH</v>
          </cell>
        </row>
        <row r="3262">
          <cell r="C3262">
            <v>3024927</v>
          </cell>
          <cell r="D3262" t="str">
            <v>EU ŻEB.PIECZENIOWE PBX ST</v>
          </cell>
        </row>
        <row r="3263">
          <cell r="C3263">
            <v>4011469</v>
          </cell>
          <cell r="D3263" t="str">
            <v>EU ŻEB.PIE.OK15KGWOR KT</v>
          </cell>
        </row>
        <row r="3264">
          <cell r="C3264">
            <v>4011984</v>
          </cell>
          <cell r="D3264" t="str">
            <v>***EU ŻEB.PIECZENIOWE OK15KG KT CH</v>
          </cell>
        </row>
        <row r="3265">
          <cell r="C3265">
            <v>4012125</v>
          </cell>
          <cell r="D3265" t="str">
            <v>***EU ŻEB.PIECZENIOWE WOR OK5KG KT CH</v>
          </cell>
        </row>
        <row r="3266">
          <cell r="C3266">
            <v>4012632</v>
          </cell>
          <cell r="D3266" t="str">
            <v>***EU ŻEB.PIECZENIOWE OK10KG WOR KT</v>
          </cell>
        </row>
        <row r="3267">
          <cell r="C3267">
            <v>4015639</v>
          </cell>
          <cell r="D3267" t="str">
            <v>EU ŻEB.PIE.3STMAP OK12KGPJ ECS</v>
          </cell>
        </row>
        <row r="3268">
          <cell r="C3268">
            <v>4020420</v>
          </cell>
          <cell r="D3268" t="str">
            <v>***EU ŻEB.PIECZ.OK4.5KGRMMOK9KGKTKAUF BG</v>
          </cell>
        </row>
        <row r="3269">
          <cell r="C3269">
            <v>4012146</v>
          </cell>
          <cell r="D3269" t="str">
            <v>***EU ŻEB.PIECZ.2ST VAC OK12KG PJ CH ECS</v>
          </cell>
        </row>
        <row r="3270">
          <cell r="C3270">
            <v>4014889</v>
          </cell>
          <cell r="D3270" t="str">
            <v>***EU ŻEB.PIECZENIOWE 3STVAC OK6KGKT MOR</v>
          </cell>
        </row>
        <row r="3271">
          <cell r="C3271">
            <v>4012653</v>
          </cell>
          <cell r="D3271" t="str">
            <v>***EU ŻEB.PIECZ.OK5KGTRM OK10KGKT</v>
          </cell>
        </row>
        <row r="3272">
          <cell r="C3272">
            <v>3007713</v>
          </cell>
          <cell r="D3272" t="str">
            <v>***PL ŻEB.PIECZENIOWE USR CH</v>
          </cell>
        </row>
        <row r="3273">
          <cell r="C3273">
            <v>3035866</v>
          </cell>
          <cell r="D3273" t="str">
            <v>PP ŻEB.PIECZENIOWE CH</v>
          </cell>
        </row>
        <row r="3274">
          <cell r="C3274">
            <v>3035859</v>
          </cell>
          <cell r="D3274" t="str">
            <v>PP ŻEB.MOST.Z/CH/MP.PBX ST</v>
          </cell>
        </row>
        <row r="3275">
          <cell r="C3275">
            <v>3035220</v>
          </cell>
          <cell r="D3275" t="str">
            <v>CZ ŻEB.PIECZENIOWE CH</v>
          </cell>
        </row>
        <row r="3276">
          <cell r="C3276">
            <v>4023852</v>
          </cell>
          <cell r="D3276" t="str">
            <v>CZ ŻEB.PIE.OK15KGWOR KT</v>
          </cell>
        </row>
        <row r="3277">
          <cell r="C3277">
            <v>3022986</v>
          </cell>
          <cell r="D3277" t="str">
            <v>PL ŻEB.BOCZ.10.5CM 569-681 CH</v>
          </cell>
        </row>
        <row r="3278">
          <cell r="C3278">
            <v>4015153</v>
          </cell>
          <cell r="D3278" t="str">
            <v>***PL ŻEB.BOCZ.569-681G OK20KG KT MR EX</v>
          </cell>
        </row>
        <row r="3279">
          <cell r="C3279">
            <v>3022987</v>
          </cell>
          <cell r="D3279" t="str">
            <v>***PL ŻEB.BOCZ.569-681G OK20KG KT DMR</v>
          </cell>
        </row>
        <row r="3280">
          <cell r="C3280">
            <v>3007716</v>
          </cell>
          <cell r="D3280" t="str">
            <v>***KOŃC.ŻEB CH</v>
          </cell>
        </row>
        <row r="3281">
          <cell r="C3281">
            <v>3009108</v>
          </cell>
          <cell r="D3281" t="str">
            <v>***KOŃCÓWKI ŻEBER NB MR ST</v>
          </cell>
        </row>
        <row r="3282">
          <cell r="C3282">
            <v>3009107</v>
          </cell>
          <cell r="D3282" t="str">
            <v>***KOŃCÓWKI ŻEBER NB DMR</v>
          </cell>
        </row>
        <row r="3283">
          <cell r="C3283">
            <v>3009371</v>
          </cell>
          <cell r="D3283" t="str">
            <v>***KOŃCÓWKI ŻEBER NB RO</v>
          </cell>
        </row>
        <row r="3284">
          <cell r="C3284">
            <v>3007717</v>
          </cell>
          <cell r="D3284" t="str">
            <v>***KOŃC.ŻEB UŚR CH</v>
          </cell>
        </row>
        <row r="3285">
          <cell r="C3285">
            <v>3023174</v>
          </cell>
          <cell r="D3285" t="str">
            <v>PL ŻEB.BOCZ.10.5CM 796-899G</v>
          </cell>
        </row>
        <row r="3286">
          <cell r="C3286">
            <v>3024928</v>
          </cell>
          <cell r="D3286" t="str">
            <v>PL ŻEB.BOCZ.10.5CM 796-899G PBX1</v>
          </cell>
        </row>
        <row r="3287">
          <cell r="C3287">
            <v>4015289</v>
          </cell>
          <cell r="D3287" t="str">
            <v>***PL ŻEB.BOCZ.796-899G OK20KG KT MR EX</v>
          </cell>
        </row>
        <row r="3288">
          <cell r="C3288">
            <v>4016218</v>
          </cell>
          <cell r="D3288" t="str">
            <v>PL ŻEB.BOCZ.4STMAP OK6KGKT ME</v>
          </cell>
        </row>
        <row r="3289">
          <cell r="C3289">
            <v>4020383</v>
          </cell>
          <cell r="D3289" t="str">
            <v>***PL ŻEB.BOCZ.OK800GVAC 10STKT EX</v>
          </cell>
        </row>
        <row r="3290">
          <cell r="C3290">
            <v>4020443</v>
          </cell>
          <cell r="D3290" t="str">
            <v>***EU ŻEB.BOCZ.OK800GVAC 10STKT EX I</v>
          </cell>
        </row>
        <row r="3291">
          <cell r="C3291">
            <v>4020444</v>
          </cell>
          <cell r="D3291" t="str">
            <v>***ŻEB.BOCZ.OK800GVAC 5KGKT TESC</v>
          </cell>
        </row>
        <row r="3292">
          <cell r="C3292">
            <v>4020810</v>
          </cell>
          <cell r="D3292" t="str">
            <v>***PL ŻEB.BOCZ.OK800GVAC 10STKT LV</v>
          </cell>
        </row>
        <row r="3293">
          <cell r="C3293">
            <v>4017434</v>
          </cell>
          <cell r="D3293" t="str">
            <v>***PL ŻEB.BOCZ.OK800GTRM 10STKT LIDL</v>
          </cell>
        </row>
        <row r="3294">
          <cell r="C3294">
            <v>4015481</v>
          </cell>
          <cell r="D3294" t="str">
            <v>***PL ŻEB.BOCZ.4STVAC OK8KGKT ME</v>
          </cell>
        </row>
        <row r="3295">
          <cell r="C3295">
            <v>4015775</v>
          </cell>
          <cell r="D3295" t="str">
            <v>***PL ŻEB.BOCZ.4STMAP 6KGKT POLM</v>
          </cell>
        </row>
        <row r="3296">
          <cell r="C3296">
            <v>4018957</v>
          </cell>
          <cell r="D3296" t="str">
            <v>***PL ŻEB.BOCZ.OK800GVAC OK8KGKT MR EX</v>
          </cell>
        </row>
        <row r="3297">
          <cell r="C3297">
            <v>4018970</v>
          </cell>
          <cell r="D3297" t="str">
            <v>***PL ŻEB.BOCZ.OK800GVAC 10STKT LIDL LT</v>
          </cell>
        </row>
        <row r="3298">
          <cell r="C3298">
            <v>4019257</v>
          </cell>
          <cell r="D3298" t="str">
            <v>***PLŻEB.BOCZ.OK800GVAC6STKT MOR-EKSPERT</v>
          </cell>
        </row>
        <row r="3299">
          <cell r="C3299">
            <v>4019324</v>
          </cell>
          <cell r="D3299" t="str">
            <v>***PL ŻEB.BOCZ.OK800GVAC OK8KGKT EX</v>
          </cell>
        </row>
        <row r="3300">
          <cell r="C3300">
            <v>3026500</v>
          </cell>
          <cell r="D3300" t="str">
            <v>PL ŻEB.BOCZ.796-899G OK15KGWOR PJ ST</v>
          </cell>
        </row>
        <row r="3301">
          <cell r="C3301">
            <v>3026473</v>
          </cell>
          <cell r="D3301" t="str">
            <v>PL ŻEB.PŁAT.10.5CM 796-899 OK15KGLUZPJSZ</v>
          </cell>
        </row>
        <row r="3302">
          <cell r="C3302">
            <v>3031568</v>
          </cell>
          <cell r="D3302" t="str">
            <v>ŻEB.BOCZ.10.5CM ZAK</v>
          </cell>
        </row>
        <row r="3303">
          <cell r="C3303">
            <v>3031837</v>
          </cell>
          <cell r="D3303" t="str">
            <v>***ŻEB.BOCZ.10.5CM K4 ZAK</v>
          </cell>
        </row>
        <row r="3304">
          <cell r="C3304">
            <v>3023175</v>
          </cell>
          <cell r="D3304" t="str">
            <v>***PL ŻEB.BOCZ.796 - 899G OK20KG KT DMR</v>
          </cell>
        </row>
        <row r="3305">
          <cell r="C3305">
            <v>3028566</v>
          </cell>
          <cell r="D3305" t="str">
            <v>***PLŻEB.BOCZ.OK800GVACOK8KGKTDMR EX</v>
          </cell>
        </row>
        <row r="3306">
          <cell r="C3306">
            <v>3025188</v>
          </cell>
          <cell r="D3306" t="str">
            <v>PL ŻEB.BOCZ.10.5CM 796-899G PBX2</v>
          </cell>
        </row>
        <row r="3307">
          <cell r="C3307">
            <v>4020339</v>
          </cell>
          <cell r="D3307" t="str">
            <v>***EU ŻEB.BOCZ.OK800GVAC 10STKT EX</v>
          </cell>
        </row>
        <row r="3308">
          <cell r="C3308">
            <v>3028894</v>
          </cell>
          <cell r="D3308" t="str">
            <v>ŻEB.BOCZ.ROZP1</v>
          </cell>
        </row>
        <row r="3309">
          <cell r="C3309">
            <v>3028897</v>
          </cell>
          <cell r="D3309" t="str">
            <v>ŻEB.BOCZ.ROZP2</v>
          </cell>
        </row>
        <row r="3310">
          <cell r="C3310">
            <v>3024307</v>
          </cell>
          <cell r="D3310" t="str">
            <v>PL ŻEB.BOCZ.10.5CM 900-1000G</v>
          </cell>
        </row>
        <row r="3311">
          <cell r="C3311">
            <v>4016117</v>
          </cell>
          <cell r="D3311" t="str">
            <v>***PL ŻEB.BOCZ.900-1000G OK20KG KT MR EX</v>
          </cell>
        </row>
        <row r="3312">
          <cell r="C3312">
            <v>3024306</v>
          </cell>
          <cell r="D3312" t="str">
            <v>***PL ŻEB.BOCZ.900-1000G OK20KGKT DMR EX</v>
          </cell>
        </row>
        <row r="3313">
          <cell r="C3313">
            <v>3007718</v>
          </cell>
          <cell r="D3313" t="str">
            <v>PL ŻEB.PŁAT.B/CH.CH</v>
          </cell>
        </row>
        <row r="3314">
          <cell r="C3314">
            <v>3024929</v>
          </cell>
          <cell r="D3314" t="str">
            <v>PL ŻEB.PŁAT.B/CH.PBX1</v>
          </cell>
        </row>
        <row r="3315">
          <cell r="C3315">
            <v>4001803</v>
          </cell>
          <cell r="D3315" t="str">
            <v>PL ŻEB.PŁAT.B/CH.OK15KGWOR KT</v>
          </cell>
        </row>
        <row r="3316">
          <cell r="C3316">
            <v>4007462</v>
          </cell>
          <cell r="D3316" t="str">
            <v>***PL ŻEB.PŁAT.LUZ WOR CH TESC</v>
          </cell>
        </row>
        <row r="3317">
          <cell r="C3317">
            <v>4012703</v>
          </cell>
          <cell r="D3317" t="str">
            <v>***PL ŻEB.PŁATY OK5KG WOR OK10KG KT</v>
          </cell>
        </row>
        <row r="3318">
          <cell r="C3318">
            <v>4012725</v>
          </cell>
          <cell r="D3318" t="str">
            <v>***PL ŻEB.PŁAT.B/CH.OK20KGWOR KT MR EX</v>
          </cell>
        </row>
        <row r="3319">
          <cell r="C3319">
            <v>4018298</v>
          </cell>
          <cell r="D3319" t="str">
            <v>PL ŻEB.PŁAT.B/CH.OK2.7KGMAP OK16KGPJ ECS</v>
          </cell>
        </row>
        <row r="3320">
          <cell r="C3320">
            <v>3039590</v>
          </cell>
          <cell r="D3320" t="str">
            <v>PL ŻEB.PŁAT.B/CH.OK20KGWOR PJ ST</v>
          </cell>
        </row>
        <row r="3321">
          <cell r="C3321">
            <v>4007404</v>
          </cell>
          <cell r="D3321" t="str">
            <v>***PL ŻEB.LUZ HILT</v>
          </cell>
        </row>
        <row r="3322">
          <cell r="C3322">
            <v>4020337</v>
          </cell>
          <cell r="D3322" t="str">
            <v>PL ŻEB.PŁAT.OK500KGWOR OKT CH EX</v>
          </cell>
        </row>
        <row r="3323">
          <cell r="C3323">
            <v>3026237</v>
          </cell>
          <cell r="D3323" t="str">
            <v>PL ŻEB.PŁAT.B/CH.OK15KGWOR PJ EŁ</v>
          </cell>
        </row>
        <row r="3324">
          <cell r="C3324">
            <v>3018410</v>
          </cell>
          <cell r="D3324" t="str">
            <v>***PL ŻEB.PŁAT.B/CH.OK20KGKT DMR EX</v>
          </cell>
        </row>
        <row r="3325">
          <cell r="C3325">
            <v>3030013</v>
          </cell>
          <cell r="D3325" t="str">
            <v>PL ŻEB.PŁAT.B/CH.PBX2</v>
          </cell>
        </row>
        <row r="3326">
          <cell r="C3326">
            <v>3017397</v>
          </cell>
          <cell r="D3326" t="str">
            <v>EU ŻEB.PŁAT.B/CH.CH</v>
          </cell>
        </row>
        <row r="3327">
          <cell r="C3327">
            <v>3024930</v>
          </cell>
          <cell r="D3327" t="str">
            <v>EU ŻEB.PŁAT.B/CH.PBX CH</v>
          </cell>
        </row>
        <row r="3328">
          <cell r="C3328">
            <v>4011470</v>
          </cell>
          <cell r="D3328" t="str">
            <v>***EU ŻEB.PŁAT.LUZ KT CH</v>
          </cell>
        </row>
        <row r="3329">
          <cell r="C3329">
            <v>4011737</v>
          </cell>
          <cell r="D3329" t="str">
            <v>***EU ŻEB.PŁAT.LUZ WOR CH TESCO</v>
          </cell>
        </row>
        <row r="3330">
          <cell r="C3330">
            <v>4012704</v>
          </cell>
          <cell r="D3330" t="str">
            <v>***EU ŻEB.PŁATY OK5KG WOR OK10KG KT</v>
          </cell>
        </row>
        <row r="3331">
          <cell r="C3331">
            <v>4012726</v>
          </cell>
          <cell r="D3331" t="str">
            <v>***EU ŻEB.PŁAT.B/CH.OK20KGKT MR EX</v>
          </cell>
        </row>
        <row r="3332">
          <cell r="C3332">
            <v>4011732</v>
          </cell>
          <cell r="D3332" t="str">
            <v>***EU ŻEB.LUZ HILT</v>
          </cell>
        </row>
        <row r="3333">
          <cell r="C3333">
            <v>4020338</v>
          </cell>
          <cell r="D3333" t="str">
            <v>***EU ŻEB.PŁAT.OK500KGWOROKT CH EX</v>
          </cell>
        </row>
        <row r="3334">
          <cell r="C3334">
            <v>3018411</v>
          </cell>
          <cell r="D3334" t="str">
            <v>***EU ŻEB.PŁAT.B/CH.OK20KGKT DMR EX</v>
          </cell>
        </row>
        <row r="3335">
          <cell r="C3335">
            <v>3007720</v>
          </cell>
          <cell r="D3335" t="str">
            <v>***ŻEBER.WP.PŁATY B/CHRZ.CH USR</v>
          </cell>
        </row>
        <row r="3336">
          <cell r="C3336">
            <v>3035261</v>
          </cell>
          <cell r="D3336" t="str">
            <v>CZ ŻEB.PŁAT.B/CH.CH</v>
          </cell>
        </row>
        <row r="3337">
          <cell r="C3337">
            <v>3012708</v>
          </cell>
          <cell r="D3337" t="str">
            <v>PL ŻEB.PŁAT.B/CH.CIĘ.CH</v>
          </cell>
        </row>
        <row r="3338">
          <cell r="C3338">
            <v>3024931</v>
          </cell>
          <cell r="D3338" t="str">
            <v>***PL ŻEB.PŁAT.B/CH.CIĘ.PBX CH</v>
          </cell>
        </row>
        <row r="3339">
          <cell r="C3339">
            <v>4018950</v>
          </cell>
          <cell r="D3339" t="str">
            <v>PL ŻEB.PŁAT.B/CH.CIĘ.OK15KGWOR KT</v>
          </cell>
        </row>
        <row r="3340">
          <cell r="C3340">
            <v>4018920</v>
          </cell>
          <cell r="D3340" t="str">
            <v>PL ŻEB.PŁAT.B/CH.CIĘ.OK5KGMAP OK10KGKT</v>
          </cell>
        </row>
        <row r="3341">
          <cell r="C3341">
            <v>3017550</v>
          </cell>
          <cell r="D3341" t="str">
            <v>EU ŻEB.PŁAT.B/CH.CIĘ.CH</v>
          </cell>
        </row>
        <row r="3342">
          <cell r="C3342">
            <v>3024932</v>
          </cell>
          <cell r="D3342" t="str">
            <v>***EU ŻEB.PŁAT.B/CH.CIĘ.PBX CH</v>
          </cell>
        </row>
        <row r="3343">
          <cell r="C3343">
            <v>3012581</v>
          </cell>
          <cell r="D3343" t="str">
            <v>ŻEB.WP.PŁAT.B/CH.CIĘ.CH USR</v>
          </cell>
        </row>
        <row r="3344">
          <cell r="C3344">
            <v>4018294</v>
          </cell>
          <cell r="D3344" t="str">
            <v>***PL ŻEB.PŁAT.B/CH.10KGKT MR GB EX</v>
          </cell>
        </row>
        <row r="3345">
          <cell r="C3345">
            <v>4018267</v>
          </cell>
          <cell r="D3345" t="str">
            <v>***PL ŻEB.PŁAT.B/CH.10KG KT MR EX</v>
          </cell>
        </row>
        <row r="3346">
          <cell r="C3346">
            <v>3026814</v>
          </cell>
          <cell r="D3346" t="str">
            <v>***PL ŻEB.PŁAT.B/CH.OK10KG KT MR ST</v>
          </cell>
        </row>
        <row r="3347">
          <cell r="C3347">
            <v>3026832</v>
          </cell>
          <cell r="D3347" t="str">
            <v>***PL ŻEB.PŁAT.B/CHRZ.OK10KG KT MR ST</v>
          </cell>
        </row>
        <row r="3348">
          <cell r="C3348">
            <v>4014211</v>
          </cell>
          <cell r="D3348" t="str">
            <v>PL ŻEB.PŁAT.B/CH.OK10KGWOR KT MR GB</v>
          </cell>
        </row>
        <row r="3349">
          <cell r="C3349">
            <v>4010084</v>
          </cell>
          <cell r="D3349" t="str">
            <v>***PL ŻEB.PŁAT.B/CH.10KGKT MR SFL</v>
          </cell>
        </row>
        <row r="3350">
          <cell r="C3350">
            <v>4010542</v>
          </cell>
          <cell r="D3350" t="str">
            <v>PL ŻEB.PŁAT.B/CH.OK10KGWOR KT MR EX</v>
          </cell>
        </row>
        <row r="3351">
          <cell r="C3351">
            <v>3027601</v>
          </cell>
          <cell r="D3351" t="str">
            <v>***PL ŻEB.PŁAT.B/CH.10KGKT DMR GB EX</v>
          </cell>
        </row>
        <row r="3352">
          <cell r="C3352">
            <v>3027594</v>
          </cell>
          <cell r="D3352" t="str">
            <v>***PL ŻEB.PŁAT.B/CH.10KG KT DMR EX</v>
          </cell>
        </row>
        <row r="3353">
          <cell r="C3353">
            <v>3021914</v>
          </cell>
          <cell r="D3353" t="str">
            <v>PL ŻEB.PŁAT.B/CH.OK10KGWOR KT DMR GB</v>
          </cell>
        </row>
        <row r="3354">
          <cell r="C3354">
            <v>3012717</v>
          </cell>
          <cell r="D3354" t="str">
            <v>***PL ŻEB.PŁAT.B/CH.10KGKT DMR SFL</v>
          </cell>
        </row>
        <row r="3355">
          <cell r="C3355">
            <v>3014323</v>
          </cell>
          <cell r="D3355" t="str">
            <v>PL ŻEB.PŁAT.B/CH.OK10KGWOR KT DMR EX</v>
          </cell>
        </row>
        <row r="3356">
          <cell r="C3356">
            <v>3026845</v>
          </cell>
          <cell r="D3356" t="str">
            <v>***PL ŻEB.PŁAT.B/CH.OK10KGKT RO1</v>
          </cell>
        </row>
        <row r="3357">
          <cell r="C3357">
            <v>3026724</v>
          </cell>
          <cell r="D3357" t="str">
            <v>***PL ŻEB.PŁAT.B/CH.OK10KGKT RO2</v>
          </cell>
        </row>
        <row r="3358">
          <cell r="C3358">
            <v>4014210</v>
          </cell>
          <cell r="D3358" t="str">
            <v>EU ŻEB.PŁAT.B/CH.OK10KGWOR KT MR GB</v>
          </cell>
        </row>
        <row r="3359">
          <cell r="C3359">
            <v>4012024</v>
          </cell>
          <cell r="D3359" t="str">
            <v>***EU ŻEB.PŁAT.B/CH.10KGKT MR SFL</v>
          </cell>
        </row>
        <row r="3360">
          <cell r="C3360">
            <v>4012050</v>
          </cell>
          <cell r="D3360" t="str">
            <v>EU ŻEB.PŁAT.B/CH.OK10KGWOR KT MR EX</v>
          </cell>
        </row>
        <row r="3361">
          <cell r="C3361">
            <v>3021915</v>
          </cell>
          <cell r="D3361" t="str">
            <v>EU ŻEB.PŁAT.B/CH.OK10KGWOR KT DMR GB</v>
          </cell>
        </row>
        <row r="3362">
          <cell r="C3362">
            <v>3017551</v>
          </cell>
          <cell r="D3362" t="str">
            <v>***EU ŻEB.PŁAT.B/CH.10KGKT DMR SFL</v>
          </cell>
        </row>
        <row r="3363">
          <cell r="C3363">
            <v>3017573</v>
          </cell>
          <cell r="D3363" t="str">
            <v>EU ŻEB.PŁAT.B/CH.OK10KGWOR KT DMR EX</v>
          </cell>
        </row>
        <row r="3364">
          <cell r="C3364">
            <v>3007722</v>
          </cell>
          <cell r="D3364" t="str">
            <v>***BIODRÓWKA Z/K UŚR CH</v>
          </cell>
        </row>
        <row r="3365">
          <cell r="C3365">
            <v>4023900</v>
          </cell>
          <cell r="D3365" t="str">
            <v>CZ ŻEB.PŁAT.B/CH.OK10KGWOR KT MR GB</v>
          </cell>
        </row>
        <row r="3366">
          <cell r="C3366">
            <v>3035262</v>
          </cell>
          <cell r="D3366" t="str">
            <v>CZ ŻEB.PŁAT.B/CH.OK10KGWOR KT DMR GB</v>
          </cell>
        </row>
        <row r="3367">
          <cell r="C3367">
            <v>3009683</v>
          </cell>
          <cell r="D3367" t="str">
            <v>***SZYN. 6D KL.S CH</v>
          </cell>
        </row>
        <row r="3368">
          <cell r="C3368">
            <v>3009682</v>
          </cell>
          <cell r="D3368" t="str">
            <v>PL MŚ.SZYN.JAS.CH1</v>
          </cell>
        </row>
        <row r="3369">
          <cell r="C3369">
            <v>3042846</v>
          </cell>
          <cell r="D3369" t="str">
            <v>PL MŚ.SZYN.JAS/CIE.OK20KG NB MR ST</v>
          </cell>
        </row>
        <row r="3370">
          <cell r="C3370">
            <v>3024933</v>
          </cell>
          <cell r="D3370" t="str">
            <v>PL MŚ.SZYN.JAS.PBX ST1</v>
          </cell>
        </row>
        <row r="3371">
          <cell r="C3371">
            <v>3037888</v>
          </cell>
          <cell r="D3371" t="str">
            <v>PL MŚ.SZYN.JAS/CIE.OK20KG NB DMR</v>
          </cell>
        </row>
        <row r="3372">
          <cell r="C3372">
            <v>3042843</v>
          </cell>
          <cell r="D3372" t="str">
            <v>PL MŚ.SZYN.JAS.RO1</v>
          </cell>
        </row>
        <row r="3373">
          <cell r="C3373">
            <v>3020263</v>
          </cell>
          <cell r="D3373" t="str">
            <v>PL MŚ.SZYN.JAS.CH2</v>
          </cell>
        </row>
        <row r="3374">
          <cell r="C3374">
            <v>3042876</v>
          </cell>
          <cell r="D3374" t="str">
            <v>PL MŚ.SZYN.JAS.RO2</v>
          </cell>
        </row>
        <row r="3375">
          <cell r="C3375">
            <v>3025193</v>
          </cell>
          <cell r="D3375" t="str">
            <v>PL MŚ.SZYN.JAS.PBX ST2</v>
          </cell>
        </row>
        <row r="3376">
          <cell r="C3376">
            <v>3017453</v>
          </cell>
          <cell r="D3376" t="str">
            <v>EU MŚ.SZYN.JAS.CH1</v>
          </cell>
        </row>
        <row r="3377">
          <cell r="C3377">
            <v>3044595</v>
          </cell>
          <cell r="D3377" t="str">
            <v>EU MŚ.SZYN.JAS.OK20KG NB MR ST</v>
          </cell>
        </row>
        <row r="3378">
          <cell r="C3378">
            <v>3024934</v>
          </cell>
          <cell r="D3378" t="str">
            <v>***EU SZYN.6D PBX CH1</v>
          </cell>
        </row>
        <row r="3379">
          <cell r="C3379">
            <v>3042970</v>
          </cell>
          <cell r="D3379" t="str">
            <v>EU MŚ.SZYN.JAS.PBX ST</v>
          </cell>
        </row>
        <row r="3380">
          <cell r="C3380">
            <v>3044594</v>
          </cell>
          <cell r="D3380" t="str">
            <v>EU MŚ.SZYN.JAS.OK20KG NB DMR</v>
          </cell>
        </row>
        <row r="3381">
          <cell r="C3381">
            <v>3020264</v>
          </cell>
          <cell r="D3381" t="str">
            <v>EU MŚ.SZYN.JAS.CH2</v>
          </cell>
        </row>
        <row r="3382">
          <cell r="C3382">
            <v>3025194</v>
          </cell>
          <cell r="D3382" t="str">
            <v>***EU SZYN.6D PBX CH2</v>
          </cell>
        </row>
        <row r="3383">
          <cell r="C3383">
            <v>3039221</v>
          </cell>
          <cell r="D3383" t="str">
            <v>PP MŚ.SZYN.JAS.CH</v>
          </cell>
        </row>
        <row r="3384">
          <cell r="C3384">
            <v>3039360</v>
          </cell>
          <cell r="D3384" t="str">
            <v>PP MŚ.SZYN.JAS.PBX ST1</v>
          </cell>
        </row>
        <row r="3385">
          <cell r="C3385">
            <v>3041101</v>
          </cell>
          <cell r="D3385" t="str">
            <v>PP MŚ.SZYN.JAS.PBX ST2</v>
          </cell>
        </row>
        <row r="3386">
          <cell r="C3386">
            <v>3037940</v>
          </cell>
          <cell r="D3386" t="str">
            <v>MŚ.SZYN.JAS.ROZP1</v>
          </cell>
        </row>
        <row r="3387">
          <cell r="C3387">
            <v>3037941</v>
          </cell>
          <cell r="D3387" t="str">
            <v>MŚ.SZYN.JAS.ROZP2</v>
          </cell>
        </row>
        <row r="3388">
          <cell r="C3388">
            <v>3046027</v>
          </cell>
          <cell r="D3388" t="str">
            <v>PL ŻEB.SCH.SZER.8CM CH</v>
          </cell>
        </row>
        <row r="3389">
          <cell r="C3389">
            <v>3046028</v>
          </cell>
          <cell r="D3389" t="str">
            <v>PL ŻEB.SCH.SZER.8CM OK20KGWOR PJ ST</v>
          </cell>
        </row>
        <row r="3390">
          <cell r="C3390">
            <v>3023810</v>
          </cell>
          <cell r="D3390" t="str">
            <v>PL ŻEB.SCH.SZER.500-600G US</v>
          </cell>
        </row>
        <row r="3391">
          <cell r="C3391">
            <v>4015926</v>
          </cell>
          <cell r="D3391" t="str">
            <v>PL ŻEB.SCH.500-600G LUZ 35ST KT MR US EX</v>
          </cell>
        </row>
        <row r="3392">
          <cell r="C3392">
            <v>3023965</v>
          </cell>
          <cell r="D3392" t="str">
            <v>PL ŻEB.SCH.500-600G LUZ 35ST KT DMR US</v>
          </cell>
        </row>
        <row r="3393">
          <cell r="C3393">
            <v>3023813</v>
          </cell>
          <cell r="D3393" t="str">
            <v>EU ŻEB.SCH.SZER.500-600G US</v>
          </cell>
        </row>
        <row r="3394">
          <cell r="C3394">
            <v>4015927</v>
          </cell>
          <cell r="D3394" t="str">
            <v>***EU ŻEB.SCH.500-600G 35STLUZKTMR US EX</v>
          </cell>
        </row>
        <row r="3395">
          <cell r="C3395">
            <v>3023967</v>
          </cell>
          <cell r="D3395" t="str">
            <v>EU ŻEB.SCH.500-600G LUZ 35ST KT DMR US</v>
          </cell>
        </row>
        <row r="3396">
          <cell r="C3396">
            <v>3023814</v>
          </cell>
          <cell r="D3396" t="str">
            <v>PL ŻEB.SCH.SZER.600-850G US</v>
          </cell>
        </row>
        <row r="3397">
          <cell r="C3397">
            <v>4015928</v>
          </cell>
          <cell r="D3397" t="str">
            <v>PL ŻEB.SCH.600-850G LUZ 30ST KT MR US EX</v>
          </cell>
        </row>
        <row r="3398">
          <cell r="C3398">
            <v>3026815</v>
          </cell>
          <cell r="D3398" t="str">
            <v>***PL ŻEB.SCH.600-850G LUZ 30ST KT MR ST</v>
          </cell>
        </row>
        <row r="3399">
          <cell r="C3399">
            <v>4018873</v>
          </cell>
          <cell r="D3399" t="str">
            <v>PL ŻEB.SCH.SZ600-850 OK2KGMAP 10KGKTSEL</v>
          </cell>
        </row>
        <row r="3400">
          <cell r="C3400">
            <v>3026497</v>
          </cell>
          <cell r="D3400" t="str">
            <v>***PLŻEB.SCH.SZER.600-850G OK15KGWORPJST</v>
          </cell>
        </row>
        <row r="3401">
          <cell r="C3401">
            <v>3023968</v>
          </cell>
          <cell r="D3401" t="str">
            <v>PL ŻEB.SCH.600-850G LUZ 30ST KT DMR US</v>
          </cell>
        </row>
        <row r="3402">
          <cell r="C3402">
            <v>3023804</v>
          </cell>
          <cell r="D3402" t="str">
            <v>EU ŻEB.SCH.SZER.600-850G US</v>
          </cell>
        </row>
        <row r="3403">
          <cell r="C3403">
            <v>4015929</v>
          </cell>
          <cell r="D3403" t="str">
            <v>***EU ŻEB.SCH.600-850G 30STLUZKTMR US EX</v>
          </cell>
        </row>
        <row r="3404">
          <cell r="C3404">
            <v>3026498</v>
          </cell>
          <cell r="D3404" t="str">
            <v>***EU ŻEB.SCH.SZER.600-850GOK15KGWORPJST</v>
          </cell>
        </row>
        <row r="3405">
          <cell r="C3405">
            <v>3023969</v>
          </cell>
          <cell r="D3405" t="str">
            <v>EU ŻEB.SCH.600-850G LUZ 30ST KT DMR US</v>
          </cell>
        </row>
        <row r="3406">
          <cell r="C3406">
            <v>3023802</v>
          </cell>
          <cell r="D3406" t="str">
            <v>PL ŻEB.SCH.SZER.850-960G US</v>
          </cell>
        </row>
        <row r="3407">
          <cell r="C3407">
            <v>4015930</v>
          </cell>
          <cell r="D3407" t="str">
            <v>PL ŻEB.SCH.&gt;850G  25STWOR KT MR US EX</v>
          </cell>
        </row>
        <row r="3408">
          <cell r="C3408">
            <v>3026773</v>
          </cell>
          <cell r="D3408" t="str">
            <v>***PL ŻEB.SCH.&gt;850G LUZ 25ST KT MR US ST</v>
          </cell>
        </row>
        <row r="3409">
          <cell r="C3409">
            <v>3023970</v>
          </cell>
          <cell r="D3409" t="str">
            <v>PL ŻEB.SCH.850-960 25STWOR KT DMR US</v>
          </cell>
        </row>
        <row r="3410">
          <cell r="C3410">
            <v>3033089</v>
          </cell>
          <cell r="D3410" t="str">
            <v>***PL ŻEB.SCH.850-960 25STWOR KT RO1</v>
          </cell>
        </row>
        <row r="3411">
          <cell r="C3411">
            <v>3033124</v>
          </cell>
          <cell r="D3411" t="str">
            <v>***PL ŻEB.SCH.850-960 25STWOR KT RO2</v>
          </cell>
        </row>
        <row r="3412">
          <cell r="C3412">
            <v>3023800</v>
          </cell>
          <cell r="D3412" t="str">
            <v>EU ŻEB.SCH.SZER.850-960G US</v>
          </cell>
        </row>
        <row r="3413">
          <cell r="C3413">
            <v>4015931</v>
          </cell>
          <cell r="D3413" t="str">
            <v>***EU ŻEB.SCH.&gt;850G LUZ 25ST KT MR US EX</v>
          </cell>
        </row>
        <row r="3414">
          <cell r="C3414">
            <v>3023971</v>
          </cell>
          <cell r="D3414" t="str">
            <v>EU ŻEB.SCH.850-960G LUZ 25ST KT DMR US</v>
          </cell>
        </row>
        <row r="3415">
          <cell r="C3415">
            <v>3007723</v>
          </cell>
          <cell r="D3415" t="str">
            <v>***ŻEB.PASKI CIĘ.CH</v>
          </cell>
        </row>
        <row r="3416">
          <cell r="C3416">
            <v>3009010</v>
          </cell>
          <cell r="D3416" t="str">
            <v>***PL ŻEB.PASKI CIĘ.GRILL.MR</v>
          </cell>
        </row>
        <row r="3417">
          <cell r="C3417">
            <v>3009012</v>
          </cell>
          <cell r="D3417" t="str">
            <v>***PL ŻEB.PASKI CIĘ.GRILL.DMR</v>
          </cell>
        </row>
        <row r="3418">
          <cell r="C3418">
            <v>3009014</v>
          </cell>
          <cell r="D3418" t="str">
            <v>***ŻEB.PASKI CIĘ.GRILL.RO1</v>
          </cell>
        </row>
        <row r="3419">
          <cell r="C3419">
            <v>3020265</v>
          </cell>
          <cell r="D3419" t="str">
            <v>***ŻEB.PASKI CIĘ.GRILL.RO2</v>
          </cell>
        </row>
        <row r="3420">
          <cell r="C3420">
            <v>3017398</v>
          </cell>
          <cell r="D3420" t="str">
            <v>***EU ŻEB.PASKI CIĘ.CH</v>
          </cell>
        </row>
        <row r="3421">
          <cell r="C3421">
            <v>3017434</v>
          </cell>
          <cell r="D3421" t="str">
            <v>***ŻEB.PASKI CIĘTE GRILL MR</v>
          </cell>
        </row>
        <row r="3422">
          <cell r="C3422">
            <v>3017436</v>
          </cell>
          <cell r="D3422" t="str">
            <v>***ŻEB.PASKI CIĘTE GRILL DMR</v>
          </cell>
        </row>
        <row r="3423">
          <cell r="C3423">
            <v>3007724</v>
          </cell>
          <cell r="D3423" t="str">
            <v>***ŻEB.PASKI CIĘTE UŚR CH</v>
          </cell>
        </row>
        <row r="3424">
          <cell r="C3424">
            <v>3023304</v>
          </cell>
          <cell r="D3424" t="str">
            <v>PL ŻEB.PŁAT.B/CH.CIĘ.10CM CH</v>
          </cell>
        </row>
        <row r="3425">
          <cell r="C3425">
            <v>3023305</v>
          </cell>
          <cell r="D3425" t="str">
            <v>EU ŻEB.PŁAT.CIĘ.10CM CH</v>
          </cell>
        </row>
        <row r="3426">
          <cell r="C3426">
            <v>3025459</v>
          </cell>
          <cell r="D3426" t="str">
            <v>PL ŻEB.BOCZ.10.5CM</v>
          </cell>
        </row>
        <row r="3427">
          <cell r="C3427">
            <v>3044353</v>
          </cell>
          <cell r="D3427" t="str">
            <v>PL ŻEB.PŁAT.B/CH.CIĘ.10CM OK20KGNB MR ST</v>
          </cell>
        </row>
        <row r="3428">
          <cell r="C3428">
            <v>4020853</v>
          </cell>
          <cell r="D3428" t="str">
            <v>PL ŻEB.BOCZ.10.5CM OK20KGWOR KT EX</v>
          </cell>
        </row>
        <row r="3429">
          <cell r="C3429">
            <v>4016613</v>
          </cell>
          <cell r="D3429" t="str">
            <v>***PL ŻEB.BOCZ.OK10KG KT MR</v>
          </cell>
        </row>
        <row r="3430">
          <cell r="C3430">
            <v>3044352</v>
          </cell>
          <cell r="D3430" t="str">
            <v>PL ŻEB.PŁAT.B/CH.CIĘ.10CM OK20KG NB DMR</v>
          </cell>
        </row>
        <row r="3431">
          <cell r="C3431">
            <v>3025538</v>
          </cell>
          <cell r="D3431" t="str">
            <v>***PL ŻEB.BOCZ. OK10KG KT DMR</v>
          </cell>
        </row>
        <row r="3432">
          <cell r="C3432">
            <v>3027403</v>
          </cell>
          <cell r="D3432" t="str">
            <v>PL ŻEB.SCH.600-750G RAS</v>
          </cell>
        </row>
        <row r="3433">
          <cell r="C3433">
            <v>3027438</v>
          </cell>
          <cell r="D3433" t="str">
            <v>PL ŻEB.SCH.600-750G PBX RAS1</v>
          </cell>
        </row>
        <row r="3434">
          <cell r="C3434">
            <v>3027428</v>
          </cell>
          <cell r="D3434" t="str">
            <v>PL ŻEB.SCH.600-750G PBX RAS2</v>
          </cell>
        </row>
        <row r="3435">
          <cell r="C3435">
            <v>3027774</v>
          </cell>
          <cell r="D3435" t="str">
            <v>PL ŻEB.BOCZ.600-750 RAS</v>
          </cell>
        </row>
        <row r="3436">
          <cell r="C3436">
            <v>3027780</v>
          </cell>
          <cell r="D3436" t="str">
            <v>PL ŻEB.BOCZ.600-750 PBX RAS1</v>
          </cell>
        </row>
        <row r="3437">
          <cell r="C3437">
            <v>3027782</v>
          </cell>
          <cell r="D3437" t="str">
            <v>PL ŻEB.BOCZ.600-750 PBX RAS2</v>
          </cell>
        </row>
        <row r="3438">
          <cell r="C3438">
            <v>3015983</v>
          </cell>
          <cell r="D3438" t="str">
            <v>PL ŻEB.MOST.Z/CH.B/MP.CH</v>
          </cell>
        </row>
        <row r="3439">
          <cell r="C3439">
            <v>3015207</v>
          </cell>
          <cell r="D3439" t="str">
            <v>PL ŻEB.MOST.Z/CH.B/MP.PBX1</v>
          </cell>
        </row>
        <row r="3440">
          <cell r="C3440">
            <v>3028390</v>
          </cell>
          <cell r="D3440" t="str">
            <v>PL ŻEB.MOST.Z/CH.B/MP.OK15KG PB MR ST</v>
          </cell>
        </row>
        <row r="3441">
          <cell r="C3441">
            <v>4018593</v>
          </cell>
          <cell r="D3441" t="str">
            <v>PL ŻEB.MOST.Z/CH.B/MP.10KGWOR KT MR</v>
          </cell>
        </row>
        <row r="3442">
          <cell r="C3442">
            <v>3028209</v>
          </cell>
          <cell r="D3442" t="str">
            <v>PL ŻEB.MOST.Z/CH.B/MP.OK15KGWOR PJ ST</v>
          </cell>
        </row>
        <row r="3443">
          <cell r="C3443">
            <v>3028391</v>
          </cell>
          <cell r="D3443" t="str">
            <v>PL ŻEB.MOST.Z/CH.B/MP.OK15KG PB DMR</v>
          </cell>
        </row>
        <row r="3444">
          <cell r="C3444">
            <v>3027479</v>
          </cell>
          <cell r="D3444" t="str">
            <v>PL ŻEB.MOST.Z/CH.B/MP.10KGWOR KT DMR</v>
          </cell>
        </row>
        <row r="3445">
          <cell r="C3445">
            <v>3030838</v>
          </cell>
          <cell r="D3445" t="str">
            <v>PL ŻEB.MOST.Z/CH.B/MP.OK15KG PB RO1</v>
          </cell>
        </row>
        <row r="3446">
          <cell r="C3446">
            <v>3020576</v>
          </cell>
          <cell r="D3446" t="str">
            <v>PL ŻEB.MOST.Z/CH.B/MP.PBX2</v>
          </cell>
        </row>
        <row r="3447">
          <cell r="C3447">
            <v>3030841</v>
          </cell>
          <cell r="D3447" t="str">
            <v>PL ŻEB.MOST.Z/CH.B/MP.OK15KG PB RO2</v>
          </cell>
        </row>
        <row r="3448">
          <cell r="C3448">
            <v>3035790</v>
          </cell>
          <cell r="D3448" t="str">
            <v>EU ŻEB.MOST.Z/CH.B/MP.PBX1</v>
          </cell>
        </row>
        <row r="3449">
          <cell r="C3449">
            <v>3044789</v>
          </cell>
          <cell r="D3449" t="str">
            <v>EU ŻEB.MOST.Z/CH.B/MP.OK15KG PB MR ST</v>
          </cell>
        </row>
        <row r="3450">
          <cell r="C3450">
            <v>3044788</v>
          </cell>
          <cell r="D3450" t="str">
            <v>EU ŻEB.MOST.Z/CH.B/MP.OK15KG PB DMR</v>
          </cell>
        </row>
        <row r="3451">
          <cell r="C3451">
            <v>3007725</v>
          </cell>
          <cell r="D3451" t="str">
            <v>***ELEM.SZYN.DELIKATNA KL.S CH</v>
          </cell>
        </row>
        <row r="3452">
          <cell r="C3452">
            <v>3007726</v>
          </cell>
          <cell r="D3452" t="str">
            <v>EL.SZYN.DELIKATNA CH1</v>
          </cell>
        </row>
        <row r="3453">
          <cell r="C3453">
            <v>3024935</v>
          </cell>
          <cell r="D3453" t="str">
            <v>EL.SZYN.DELIKATNA PBX1</v>
          </cell>
        </row>
        <row r="3454">
          <cell r="C3454">
            <v>3020266</v>
          </cell>
          <cell r="D3454" t="str">
            <v>EL.SZYN.DELIKATNA CH2</v>
          </cell>
        </row>
        <row r="3455">
          <cell r="C3455">
            <v>3025195</v>
          </cell>
          <cell r="D3455" t="str">
            <v>EL.SZYN.DELIKATNA PBX2</v>
          </cell>
        </row>
        <row r="3456">
          <cell r="C3456">
            <v>3007727</v>
          </cell>
          <cell r="D3456" t="str">
            <v>***ELEM.SZYN.DELIKATNA KL.U CH</v>
          </cell>
        </row>
        <row r="3457">
          <cell r="C3457">
            <v>3030178</v>
          </cell>
          <cell r="D3457" t="str">
            <v>PL ŻEB.SCH.CH SUBWAY</v>
          </cell>
        </row>
        <row r="3458">
          <cell r="C3458">
            <v>3030180</v>
          </cell>
          <cell r="D3458" t="str">
            <v>PL ŻEB.SCH.OK500KG PBX SUBWAY1</v>
          </cell>
        </row>
        <row r="3459">
          <cell r="C3459">
            <v>3030183</v>
          </cell>
          <cell r="D3459" t="str">
            <v>PL ŻEB.SCH.OK500KG PBX SUBWAY2</v>
          </cell>
        </row>
        <row r="3460">
          <cell r="C3460">
            <v>3007728</v>
          </cell>
          <cell r="D3460" t="str">
            <v>ELEM.SZYN.DELIKATNA CH</v>
          </cell>
        </row>
        <row r="3461">
          <cell r="C3461">
            <v>3007729</v>
          </cell>
          <cell r="D3461" t="str">
            <v>EL.SZYN.DELIKATNA OK20KG NB MR</v>
          </cell>
        </row>
        <row r="3462">
          <cell r="C3462">
            <v>3007730</v>
          </cell>
          <cell r="D3462" t="str">
            <v>***MŚ.WP.DWUGŁ.Z/LIGAWĄ/TŁ.KL.SEU PJCHST</v>
          </cell>
        </row>
        <row r="3463">
          <cell r="C3463">
            <v>3012598</v>
          </cell>
          <cell r="D3463" t="str">
            <v>***MŚ.WP.DWUGŁ.Z/LIGAWĄ/TŁ.KL.SEU PJCHST</v>
          </cell>
        </row>
        <row r="3464">
          <cell r="C3464">
            <v>3009721</v>
          </cell>
          <cell r="D3464" t="str">
            <v>***MŚ.WP.DWUGŁ.Z/LIGAWĄ/TŁ. OKTABINA ST</v>
          </cell>
        </row>
        <row r="3465">
          <cell r="C3465">
            <v>3007731</v>
          </cell>
          <cell r="D3465" t="str">
            <v>EL.SZYN.DELIKATNA OK20KG NB DMR</v>
          </cell>
        </row>
        <row r="3466">
          <cell r="C3466">
            <v>3007732</v>
          </cell>
          <cell r="D3466" t="str">
            <v>EL.SZYN.DELIKATNA NB RO1</v>
          </cell>
        </row>
        <row r="3467">
          <cell r="C3467">
            <v>3020267</v>
          </cell>
          <cell r="D3467" t="str">
            <v>EL.SZYN.DELIKATNA NB RO2</v>
          </cell>
        </row>
        <row r="3468">
          <cell r="C3468">
            <v>3030179</v>
          </cell>
          <cell r="D3468" t="str">
            <v>PL ŻEB.BOCZ.CH SUBWAY</v>
          </cell>
        </row>
        <row r="3469">
          <cell r="C3469">
            <v>3030181</v>
          </cell>
          <cell r="D3469" t="str">
            <v>PL ŻEB.BOCZ.OK500KG PBX SUBWAY1</v>
          </cell>
        </row>
        <row r="3470">
          <cell r="C3470">
            <v>3030184</v>
          </cell>
          <cell r="D3470" t="str">
            <v>PL ŻEB.BOCZ.OK500KG PBX SUBWAY2</v>
          </cell>
        </row>
        <row r="3471">
          <cell r="C3471">
            <v>3030450</v>
          </cell>
          <cell r="D3471" t="str">
            <v>ŻEB.BOCZ.9X34CM CH</v>
          </cell>
        </row>
        <row r="3472">
          <cell r="C3472">
            <v>3030451</v>
          </cell>
          <cell r="D3472" t="str">
            <v>PL ŻEB.PŁAT.9X34CM OK20KGWOR PJ ST</v>
          </cell>
        </row>
        <row r="3473">
          <cell r="C3473">
            <v>3007733</v>
          </cell>
          <cell r="D3473" t="str">
            <v>***POLĘD.N/OBR CH ZAK</v>
          </cell>
        </row>
        <row r="3474">
          <cell r="C3474">
            <v>3023693</v>
          </cell>
          <cell r="D3474" t="str">
            <v>PL POL.WP.FIL.CH</v>
          </cell>
        </row>
        <row r="3475">
          <cell r="C3475">
            <v>3023659</v>
          </cell>
          <cell r="D3475" t="str">
            <v>PL POL.WP.FIL.OK500KG PBX CH1</v>
          </cell>
        </row>
        <row r="3476">
          <cell r="C3476">
            <v>4013218</v>
          </cell>
          <cell r="D3476" t="str">
            <v>PL POL.WP.FIL.OK15KGWOR KT</v>
          </cell>
        </row>
        <row r="3477">
          <cell r="C3477">
            <v>4013220</v>
          </cell>
          <cell r="D3477" t="str">
            <v>PL POL.WP.FIL.OK2.5KGVAC OK18KGPJ</v>
          </cell>
        </row>
        <row r="3478">
          <cell r="C3478">
            <v>4020306</v>
          </cell>
          <cell r="D3478" t="str">
            <v>PL POL.WP.FIL.OK2.5KGVAC OK10KGKT MR EX</v>
          </cell>
        </row>
        <row r="3479">
          <cell r="C3479">
            <v>3032475</v>
          </cell>
          <cell r="D3479" t="str">
            <v>***EU POL.WP.FIL.OK15KGWOR PJ ST</v>
          </cell>
        </row>
        <row r="3480">
          <cell r="C3480">
            <v>3030380</v>
          </cell>
          <cell r="D3480" t="str">
            <v>PL POL.WP.FIL.OK2.5KGVAC OK10KGKT DMR EX</v>
          </cell>
        </row>
        <row r="3481">
          <cell r="C3481">
            <v>3023609</v>
          </cell>
          <cell r="D3481" t="str">
            <v>PL POL.WP.FIL.OK500KG PBX CH2</v>
          </cell>
        </row>
        <row r="3482">
          <cell r="C3482">
            <v>3018979</v>
          </cell>
          <cell r="D3482" t="str">
            <v>EU POL.WP.FIL.CH</v>
          </cell>
        </row>
        <row r="3483">
          <cell r="C3483">
            <v>3023699</v>
          </cell>
          <cell r="D3483" t="str">
            <v>EU POL.WP.FIL.OK500KG PBX CH1</v>
          </cell>
        </row>
        <row r="3484">
          <cell r="C3484">
            <v>4013219</v>
          </cell>
          <cell r="D3484" t="str">
            <v>***EU POL.WP.FIL.WOR LUZ OK15KG KT</v>
          </cell>
        </row>
        <row r="3485">
          <cell r="C3485">
            <v>4013221</v>
          </cell>
          <cell r="D3485" t="str">
            <v>***EU POL.WP.FIL.OK2.5KGVAC OK15KGKT</v>
          </cell>
        </row>
        <row r="3486">
          <cell r="C3486">
            <v>4020307</v>
          </cell>
          <cell r="D3486" t="str">
            <v>***EU POL.WP.FIL.OK2.5KGVACOK10KGKTMR EX</v>
          </cell>
        </row>
        <row r="3487">
          <cell r="C3487">
            <v>3030394</v>
          </cell>
          <cell r="D3487" t="str">
            <v>***EU POL.WP.FIL.OK2.5KGVACOK10KGKTDMREX</v>
          </cell>
        </row>
        <row r="3488">
          <cell r="C3488">
            <v>3023727</v>
          </cell>
          <cell r="D3488" t="str">
            <v>EU POL.WP.FIL.OK500KG PBX CH2</v>
          </cell>
        </row>
        <row r="3489">
          <cell r="C3489">
            <v>3030725</v>
          </cell>
          <cell r="D3489" t="str">
            <v>PL ŻEB.SCH.SZER.12CM CH</v>
          </cell>
        </row>
        <row r="3490">
          <cell r="C3490">
            <v>4020537</v>
          </cell>
          <cell r="D3490" t="str">
            <v>PL ŻEB.SCH.SZER.750-1100G OK20KGKT MR US</v>
          </cell>
        </row>
        <row r="3491">
          <cell r="C3491">
            <v>3030726</v>
          </cell>
          <cell r="D3491" t="str">
            <v>PL ŻEB.SCH.SZER.12CM OK10KGWOR KT DMR</v>
          </cell>
        </row>
        <row r="3492">
          <cell r="C3492">
            <v>3008810</v>
          </cell>
          <cell r="D3492" t="str">
            <v>POL.B/WAR.Z/GŁ</v>
          </cell>
        </row>
        <row r="3493">
          <cell r="C3493">
            <v>4010022</v>
          </cell>
          <cell r="D3493" t="str">
            <v>***PL POL.B/WAR.Z/GŁOK2.5KGVAC OK20KG PJ</v>
          </cell>
        </row>
        <row r="3494">
          <cell r="C3494">
            <v>4001804</v>
          </cell>
          <cell r="D3494" t="str">
            <v>***PL POL.Z/GŁ.B/WAR.OK2.5KG VAC KT</v>
          </cell>
        </row>
        <row r="3495">
          <cell r="C3495">
            <v>4001805</v>
          </cell>
          <cell r="D3495" t="str">
            <v>***PL POL.Z/GŁ.B/WAR.CH EX</v>
          </cell>
        </row>
        <row r="3496">
          <cell r="C3496">
            <v>4009160</v>
          </cell>
          <cell r="D3496" t="str">
            <v>***PL POL.B/WAR.Z/GŁ.OK2.5KGVAC PJ NL</v>
          </cell>
        </row>
        <row r="3497">
          <cell r="C3497">
            <v>4009383</v>
          </cell>
          <cell r="D3497" t="str">
            <v>***PL POL.Z/GŁ.B/WAR.1STVACOK15KG KTREAL</v>
          </cell>
        </row>
        <row r="3498">
          <cell r="C3498">
            <v>4001806</v>
          </cell>
          <cell r="D3498" t="str">
            <v>***PL POL.Z/GŁ.B/WAR.VAC MR</v>
          </cell>
        </row>
        <row r="3499">
          <cell r="C3499">
            <v>3015157</v>
          </cell>
          <cell r="D3499" t="str">
            <v>PL POL.Z/GŁ.B/W.OK5KGWOR PJ EŁ1</v>
          </cell>
        </row>
        <row r="3500">
          <cell r="C3500">
            <v>3007734</v>
          </cell>
          <cell r="D3500" t="str">
            <v>***PL POL.Z/GŁ.B/WAR.VAC DMR</v>
          </cell>
        </row>
        <row r="3501">
          <cell r="C3501">
            <v>4012020</v>
          </cell>
          <cell r="D3501" t="str">
            <v>***EU POL.B/WAR.Z/GŁOK2.5KGVAC OK20KG PJ</v>
          </cell>
        </row>
        <row r="3502">
          <cell r="C3502">
            <v>4011471</v>
          </cell>
          <cell r="D3502" t="str">
            <v>***EU POL.Z/GŁ.B/WAR.OK2.5KG VAC KT</v>
          </cell>
        </row>
        <row r="3503">
          <cell r="C3503">
            <v>4011472</v>
          </cell>
          <cell r="D3503" t="str">
            <v>***EU POL.Z/GŁ.B/WAR.CH EX</v>
          </cell>
        </row>
        <row r="3504">
          <cell r="C3504">
            <v>4011891</v>
          </cell>
          <cell r="D3504" t="str">
            <v>***EU POL.B/WAR.Z/GŁ.OK2.5KGVAC PJ NL</v>
          </cell>
        </row>
        <row r="3505">
          <cell r="C3505">
            <v>4011916</v>
          </cell>
          <cell r="D3505" t="str">
            <v>***EU POL.Z/GŁ.B/WAR.1STVACOK15KGKT REAL</v>
          </cell>
        </row>
        <row r="3506">
          <cell r="C3506">
            <v>4011473</v>
          </cell>
          <cell r="D3506" t="str">
            <v>***EU POL.Z/GŁ.B/WAR.VAC MR</v>
          </cell>
        </row>
        <row r="3507">
          <cell r="C3507">
            <v>3017399</v>
          </cell>
          <cell r="D3507" t="str">
            <v>***EU POL.Z/GŁ.B/WAR.VAC DMR</v>
          </cell>
        </row>
        <row r="3508">
          <cell r="C3508">
            <v>3010823</v>
          </cell>
          <cell r="D3508" t="str">
            <v>***POLĘDWICZKA Z/GŁ.B/WARK USR PL</v>
          </cell>
        </row>
        <row r="3509">
          <cell r="C3509">
            <v>3030620</v>
          </cell>
          <cell r="D3509" t="str">
            <v>PL ŻEB.PASKI EXT.CH</v>
          </cell>
        </row>
        <row r="3510">
          <cell r="C3510">
            <v>4026461</v>
          </cell>
          <cell r="D3510" t="str">
            <v>PL ŻEB.PASKI EXT.OK20KGWOR KT</v>
          </cell>
        </row>
        <row r="3511">
          <cell r="C3511">
            <v>4029451</v>
          </cell>
          <cell r="D3511" t="str">
            <v>PL ŻEB.PASKI EXT.OK8KGWOR KT POLM</v>
          </cell>
        </row>
        <row r="3512">
          <cell r="C3512">
            <v>4028844</v>
          </cell>
          <cell r="D3512" t="str">
            <v>PL ŻEB.PASKI EXT.OK20KGWOR KT MR</v>
          </cell>
        </row>
        <row r="3513">
          <cell r="C3513">
            <v>4026463</v>
          </cell>
          <cell r="D3513" t="str">
            <v>PL ŻEB.PASKI EXT.OK5KGMAP OK10KGKT</v>
          </cell>
        </row>
        <row r="3514">
          <cell r="C3514">
            <v>4026444</v>
          </cell>
          <cell r="D3514" t="str">
            <v>PL ŻEB.PASKI EXT.OK5KGMAP 4ST PJ STO</v>
          </cell>
        </row>
        <row r="3515">
          <cell r="C3515">
            <v>4026733</v>
          </cell>
          <cell r="D3515" t="str">
            <v>PL ŻEB.PASKI EXT.OK2.4KGMAPOK14.4KGPJECS</v>
          </cell>
        </row>
        <row r="3516">
          <cell r="C3516">
            <v>4028944</v>
          </cell>
          <cell r="D3516" t="str">
            <v>PL ŻEB.PASKI EXT.2STMAP OK12KGKT MAKR</v>
          </cell>
        </row>
        <row r="3517">
          <cell r="C3517">
            <v>4029132</v>
          </cell>
          <cell r="D3517" t="str">
            <v>PL ŻEB.PASKI EXT.2STMAP OK12KGKT SEL</v>
          </cell>
        </row>
        <row r="3518">
          <cell r="C3518">
            <v>4029167</v>
          </cell>
          <cell r="D3518" t="str">
            <v>PL ŻEB.PASKI EXT.2STMAP OK5KGKT AUCH</v>
          </cell>
        </row>
        <row r="3519">
          <cell r="C3519">
            <v>4029452</v>
          </cell>
          <cell r="D3519" t="str">
            <v>PL ŻEB.PASKI EXT.OK4KGMAP OK8KGKT POLM</v>
          </cell>
        </row>
        <row r="3520">
          <cell r="C3520">
            <v>4029805</v>
          </cell>
          <cell r="D3520" t="str">
            <v>PL ŻEB.PASKI EXT.OK20KGLUZ PJ AGRO</v>
          </cell>
        </row>
        <row r="3521">
          <cell r="C3521">
            <v>3043815</v>
          </cell>
          <cell r="D3521" t="str">
            <v>PL ŻEB.PASKI EXT.OK20KGWOR KT DMR</v>
          </cell>
        </row>
        <row r="3522">
          <cell r="C3522">
            <v>3035635</v>
          </cell>
          <cell r="D3522" t="str">
            <v>EU ŻEB.PASKI EXT.CH</v>
          </cell>
        </row>
        <row r="3523">
          <cell r="C3523">
            <v>4026462</v>
          </cell>
          <cell r="D3523" t="str">
            <v>EU ŻEB.PASKI EXT.OK20KGWOR KT</v>
          </cell>
        </row>
        <row r="3524">
          <cell r="C3524">
            <v>4026464</v>
          </cell>
          <cell r="D3524" t="str">
            <v>EU ŻEB.PASKI EXT.OK5KGMAP OK10KGKT</v>
          </cell>
        </row>
        <row r="3525">
          <cell r="C3525">
            <v>4026445</v>
          </cell>
          <cell r="D3525" t="str">
            <v>EU ŻEB.PASKI EXT.OK5KGMAP 4STPJ STO</v>
          </cell>
        </row>
        <row r="3526">
          <cell r="C3526">
            <v>3044147</v>
          </cell>
          <cell r="D3526" t="str">
            <v>PP ŻEB.PASKI EXT.CH</v>
          </cell>
        </row>
        <row r="3527">
          <cell r="C3527">
            <v>4029345</v>
          </cell>
          <cell r="D3527" t="str">
            <v>PP ŻEB.PASKI EXT.OK4KGWOR KT BIED</v>
          </cell>
        </row>
        <row r="3528">
          <cell r="C3528">
            <v>4029093</v>
          </cell>
          <cell r="D3528" t="str">
            <v>PP ŻEB.PASKI EXT.OK3KGMAP OK6KGKT BIED</v>
          </cell>
        </row>
        <row r="3529">
          <cell r="C3529">
            <v>3015165</v>
          </cell>
          <cell r="D3529" t="str">
            <v>POLĘDWICZKA Z/GŁ.B/WARK USR CH</v>
          </cell>
        </row>
        <row r="3530">
          <cell r="C3530">
            <v>4003859</v>
          </cell>
          <cell r="D3530" t="str">
            <v>PL POL.Z/GŁ.OK20KGWOR KT</v>
          </cell>
        </row>
        <row r="3531">
          <cell r="C3531">
            <v>4008747</v>
          </cell>
          <cell r="D3531" t="str">
            <v>***PL POL.Z/GŁ.LUZ OK5KG KT TI</v>
          </cell>
        </row>
        <row r="3532">
          <cell r="C3532">
            <v>4011104</v>
          </cell>
          <cell r="D3532" t="str">
            <v>***PL POL.Z/GŁ.B/WAR.1STMAP OK4KG KT ECS</v>
          </cell>
        </row>
        <row r="3533">
          <cell r="C3533">
            <v>4003860</v>
          </cell>
          <cell r="D3533" t="str">
            <v>***PL POL.Z/GŁ.1STMAP KT BIED</v>
          </cell>
        </row>
        <row r="3534">
          <cell r="C3534">
            <v>4003861</v>
          </cell>
          <cell r="D3534" t="str">
            <v>***PL POL.Z/GŁ.MAP 2ST MAKR</v>
          </cell>
        </row>
        <row r="3535">
          <cell r="C3535">
            <v>4003864</v>
          </cell>
          <cell r="D3535" t="str">
            <v>***PL POL.Z/GŁ.MAP 1ST LIDL</v>
          </cell>
        </row>
        <row r="3536">
          <cell r="C3536">
            <v>4012389</v>
          </cell>
          <cell r="D3536" t="str">
            <v>***PL POL.Z/GŁ.B/WAR.1STMAP 2KGKT NETTO</v>
          </cell>
        </row>
        <row r="3537">
          <cell r="C3537">
            <v>4012618</v>
          </cell>
          <cell r="D3537" t="str">
            <v>***PL POL.Z/GŁ.1STMAP OK4KGKT ME</v>
          </cell>
        </row>
        <row r="3538">
          <cell r="C3538">
            <v>4013236</v>
          </cell>
          <cell r="D3538" t="str">
            <v>***PL POL.Z/GŁ.1STMAP 2KGKT ME</v>
          </cell>
        </row>
        <row r="3539">
          <cell r="C3539">
            <v>4014291</v>
          </cell>
          <cell r="D3539" t="str">
            <v>***PL POL.Z/GŁ.1ST MAP OK4KG KT AUCH</v>
          </cell>
        </row>
        <row r="3540">
          <cell r="C3540">
            <v>4011101</v>
          </cell>
          <cell r="D3540" t="str">
            <v>***PL POL.Z/GŁ.B/WAR.1STVAC OK7KGPJ ECS</v>
          </cell>
        </row>
        <row r="3541">
          <cell r="C3541">
            <v>4003865</v>
          </cell>
          <cell r="D3541" t="str">
            <v>PL POL.WP.Z/GŁ.5STMAP 2STKT KAUF</v>
          </cell>
        </row>
        <row r="3542">
          <cell r="C3542">
            <v>4003866</v>
          </cell>
          <cell r="D3542" t="str">
            <v>PL POL.Z/GŁ.OK2KGVAC OK4KGKT TESC</v>
          </cell>
        </row>
        <row r="3543">
          <cell r="C3543">
            <v>4009883</v>
          </cell>
          <cell r="D3543" t="str">
            <v>***PL POL.Z/GŁ.1STVAC OK4KGKT TESC SK</v>
          </cell>
        </row>
        <row r="3544">
          <cell r="C3544">
            <v>4006842</v>
          </cell>
          <cell r="D3544" t="str">
            <v>***PL POL.Z/GŁ.1ST VAC 2.5KG KT NETTO</v>
          </cell>
        </row>
        <row r="3545">
          <cell r="C3545">
            <v>4007812</v>
          </cell>
          <cell r="D3545" t="str">
            <v>PL POL.Z/GŁ.OK2.5KGVAC OK18KGPJ</v>
          </cell>
        </row>
        <row r="3546">
          <cell r="C3546">
            <v>4009997</v>
          </cell>
          <cell r="D3546" t="str">
            <v>***PL POL.Z/GŁ.1ST VAC OK4KG KT MOR EX</v>
          </cell>
        </row>
        <row r="3547">
          <cell r="C3547">
            <v>4011249</v>
          </cell>
          <cell r="D3547" t="str">
            <v>***PL POL.Z/GŁ.B/WAR.1STVAC 5KGKT EX</v>
          </cell>
        </row>
        <row r="3548">
          <cell r="C3548">
            <v>4012633</v>
          </cell>
          <cell r="D3548" t="str">
            <v>***PL POL.Z/GŁ.OK1.7KGVAC OK5KGKT</v>
          </cell>
        </row>
        <row r="3549">
          <cell r="C3549">
            <v>4012787</v>
          </cell>
          <cell r="D3549" t="str">
            <v>PL POL.Z/GŁ.B/WAR.OK2.5KGVAC OK5KGKT PIP</v>
          </cell>
        </row>
        <row r="3550">
          <cell r="C3550">
            <v>4017608</v>
          </cell>
          <cell r="D3550" t="str">
            <v>***PL POL.WP.Z/GŁ.OK2.5KGVACOK15KGKTMAKR</v>
          </cell>
        </row>
        <row r="3551">
          <cell r="C3551">
            <v>4022100</v>
          </cell>
          <cell r="D3551" t="str">
            <v>PL POL.Z/GŁ.B/WAR.OK2.5KGVAC OK20KGPJ</v>
          </cell>
        </row>
        <row r="3552">
          <cell r="C3552">
            <v>4007407</v>
          </cell>
          <cell r="D3552" t="str">
            <v>***PL POL.Z/GŁ.B/WAR.10ST VAC PJ HILT</v>
          </cell>
        </row>
        <row r="3553">
          <cell r="C3553">
            <v>4016067</v>
          </cell>
          <cell r="D3553" t="str">
            <v>***PL POL.Z/GŁ.1ST VAC OK2KG KT CARR</v>
          </cell>
        </row>
        <row r="3554">
          <cell r="C3554">
            <v>4019544</v>
          </cell>
          <cell r="D3554" t="str">
            <v>***PLPOL.Z/GŁ.B/WAR.OK2.5KGVACOK15KGKTEX</v>
          </cell>
        </row>
        <row r="3555">
          <cell r="C3555">
            <v>4019604</v>
          </cell>
          <cell r="D3555" t="str">
            <v>PP POL.Z/GŁ.OK2GVAC OK4KGKT BIED</v>
          </cell>
        </row>
        <row r="3556">
          <cell r="C3556">
            <v>4024636</v>
          </cell>
          <cell r="D3556" t="str">
            <v>PL POL.Z/GŁ.B/WAR.4-5STVAC 2STKT KAUF</v>
          </cell>
        </row>
        <row r="3557">
          <cell r="C3557">
            <v>4025017</v>
          </cell>
          <cell r="D3557" t="str">
            <v>PL POL.Z/GŁ.B/WAR.OK2.5KGVAC OK13KGKT EX</v>
          </cell>
        </row>
        <row r="3558">
          <cell r="C3558">
            <v>4026396</v>
          </cell>
          <cell r="D3558" t="str">
            <v>PL POL.Z/GŁ.B/W.MAX2KGVAC MAX20KGPJ POLM</v>
          </cell>
        </row>
        <row r="3559">
          <cell r="C3559">
            <v>4026589</v>
          </cell>
          <cell r="D3559" t="str">
            <v>PL POL.Z/GŁ.B/W.OK2KGVAC OK15KGKT MAKR</v>
          </cell>
        </row>
        <row r="3560">
          <cell r="C3560">
            <v>4013880</v>
          </cell>
          <cell r="D3560" t="str">
            <v>PL POL.WP.Z/GŁ.4STVAC OK15KGPJ STO</v>
          </cell>
        </row>
        <row r="3561">
          <cell r="C3561">
            <v>4015049</v>
          </cell>
          <cell r="D3561" t="str">
            <v>PL POL.WP.Z/GŁ.OK1.5KGVAC OK12KGPJ ECS</v>
          </cell>
        </row>
        <row r="3562">
          <cell r="C3562">
            <v>4007504</v>
          </cell>
          <cell r="D3562" t="str">
            <v>***PL POL.Z/GŁ.1STVAC MR</v>
          </cell>
        </row>
        <row r="3563">
          <cell r="C3563">
            <v>4015450</v>
          </cell>
          <cell r="D3563" t="str">
            <v>PL POL.Z/GŁ.OK1.5KGVAC OK6KGKT SEL</v>
          </cell>
        </row>
        <row r="3564">
          <cell r="C3564">
            <v>4018071</v>
          </cell>
          <cell r="D3564" t="str">
            <v>***PL POL.Z/GŁ.B/WAR.OK5KGVACOK20KGPJ EX</v>
          </cell>
        </row>
        <row r="3565">
          <cell r="C3565">
            <v>4021195</v>
          </cell>
          <cell r="D3565" t="str">
            <v>PL POL.Z/GŁ.B/WAR.OK2.5KGVAC OK10KGKT MR</v>
          </cell>
        </row>
        <row r="3566">
          <cell r="C3566">
            <v>3044271</v>
          </cell>
          <cell r="D3566" t="str">
            <v>PL POL.Z/GŁ.B/WAR.OK2KGVACOK10KGKT MR ST</v>
          </cell>
        </row>
        <row r="3567">
          <cell r="C3567">
            <v>4030256</v>
          </cell>
          <cell r="D3567" t="str">
            <v>PL POL.Z/G.B/W.OK2.5KGVAC OK5KGKT AUCH</v>
          </cell>
        </row>
        <row r="3568">
          <cell r="C3568">
            <v>4031376</v>
          </cell>
          <cell r="D3568" t="str">
            <v>PL POL.Z/G.B/W.6STVAC 6STKT MET CZ</v>
          </cell>
        </row>
        <row r="3569">
          <cell r="C3569">
            <v>4017025</v>
          </cell>
          <cell r="D3569" t="str">
            <v>***PL POL.Z/GŁ.1STMAP OK4KGKT LIDL LT</v>
          </cell>
        </row>
        <row r="3570">
          <cell r="C3570">
            <v>4025609</v>
          </cell>
          <cell r="D3570" t="str">
            <v>PL POL.Z/GŁ. MAX.20KGLUZ PJ AGRO</v>
          </cell>
        </row>
        <row r="3571">
          <cell r="C3571">
            <v>4007408</v>
          </cell>
          <cell r="D3571" t="str">
            <v>***PL POL.Z/GŁ.LUZ PJ CH</v>
          </cell>
        </row>
        <row r="3572">
          <cell r="C3572">
            <v>3025850</v>
          </cell>
          <cell r="D3572" t="str">
            <v>PL POL.Z/GŁ.OK15KGWOR PJ ST</v>
          </cell>
        </row>
        <row r="3573">
          <cell r="C3573">
            <v>4007406</v>
          </cell>
          <cell r="D3573" t="str">
            <v>***PL POL.LUZ HILT</v>
          </cell>
        </row>
        <row r="3574">
          <cell r="C3574">
            <v>3027054</v>
          </cell>
          <cell r="D3574" t="str">
            <v>PL POL.Z/GŁ.OK15KG WOR PJ AF ST</v>
          </cell>
        </row>
        <row r="3575">
          <cell r="C3575">
            <v>3039089</v>
          </cell>
          <cell r="D3575" t="str">
            <v>PL POL.Z/GŁ.B/WAR.OK20KGLUZ PJ ST</v>
          </cell>
        </row>
        <row r="3576">
          <cell r="C3576">
            <v>4015744</v>
          </cell>
          <cell r="D3576" t="str">
            <v>***PL POL.Z/GŁ.1ST MAP 4KG KT POLM</v>
          </cell>
        </row>
        <row r="3577">
          <cell r="C3577">
            <v>4016717</v>
          </cell>
          <cell r="D3577" t="str">
            <v>***PL POL.Z/GŁ.OK500GMAP OK2KGKT KAUF</v>
          </cell>
        </row>
        <row r="3578">
          <cell r="C3578">
            <v>3003351</v>
          </cell>
          <cell r="D3578" t="str">
            <v>***POLĘDWICZKA Z/GŁ.B/WARK5KGWOR PJ CHEŁ</v>
          </cell>
        </row>
        <row r="3579">
          <cell r="C3579">
            <v>3009169</v>
          </cell>
          <cell r="D3579" t="str">
            <v>PL POL.Z/GŁ.B/W.OK15KGWOR PJ SZ</v>
          </cell>
        </row>
        <row r="3580">
          <cell r="C3580">
            <v>3011110</v>
          </cell>
          <cell r="D3580" t="str">
            <v>***POL. Z/GŁ.B/WAR.5KG WOR PJ CH EŁ PL</v>
          </cell>
        </row>
        <row r="3581">
          <cell r="C3581">
            <v>3026317</v>
          </cell>
          <cell r="D3581" t="str">
            <v>***PL POL.Z/GŁ.OK500G MAP KAUF BL</v>
          </cell>
        </row>
        <row r="3582">
          <cell r="C3582">
            <v>3007735</v>
          </cell>
          <cell r="D3582" t="str">
            <v>***PL POL.Z/GŁ.B/WAR.1ST VAC DMR</v>
          </cell>
        </row>
        <row r="3583">
          <cell r="C3583">
            <v>3031726</v>
          </cell>
          <cell r="D3583" t="str">
            <v>PL POL.Z/GŁ.B/W.OK2.5KGVAC OK10KGKT DMR</v>
          </cell>
        </row>
        <row r="3584">
          <cell r="C3584">
            <v>3044270</v>
          </cell>
          <cell r="D3584" t="str">
            <v>PL POL.Z/GŁ.B/W.OK2KGVAC OK10KGKT DMR</v>
          </cell>
        </row>
        <row r="3585">
          <cell r="C3585">
            <v>4011609</v>
          </cell>
          <cell r="D3585" t="str">
            <v>EU POL.Z/GŁ.OK20KGWOR KT</v>
          </cell>
        </row>
        <row r="3586">
          <cell r="C3586">
            <v>4011818</v>
          </cell>
          <cell r="D3586" t="str">
            <v>***EU POL.Z/GŁ.LUZ OK5KG KT TI</v>
          </cell>
        </row>
        <row r="3587">
          <cell r="C3587">
            <v>4012155</v>
          </cell>
          <cell r="D3587" t="str">
            <v>***EU POL.Z/GŁ.B/WAR.1STMAP OK4KG KT ECS</v>
          </cell>
        </row>
        <row r="3588">
          <cell r="C3588">
            <v>4011610</v>
          </cell>
          <cell r="D3588" t="str">
            <v>***EU POL.Z/GŁ.MAP 2ST MAKR</v>
          </cell>
        </row>
        <row r="3589">
          <cell r="C3589">
            <v>4011611</v>
          </cell>
          <cell r="D3589" t="str">
            <v>***EU POL.Z/GŁ.MAP 1ST LIDL</v>
          </cell>
        </row>
        <row r="3590">
          <cell r="C3590">
            <v>4012421</v>
          </cell>
          <cell r="D3590" t="str">
            <v>***EU POL.Z/GŁ.B/WAR.1STMAP 2KG KT NETTO</v>
          </cell>
        </row>
        <row r="3591">
          <cell r="C3591">
            <v>4014292</v>
          </cell>
          <cell r="D3591" t="str">
            <v>***EU POL.Z/GŁ.1ST MAP OK4KG KT AUCH</v>
          </cell>
        </row>
        <row r="3592">
          <cell r="C3592">
            <v>4012152</v>
          </cell>
          <cell r="D3592" t="str">
            <v>***EU POL.Z/GŁ.B/WAR.1STVAC OK7KGPJ ECS</v>
          </cell>
        </row>
        <row r="3593">
          <cell r="C3593">
            <v>4013166</v>
          </cell>
          <cell r="D3593" t="str">
            <v>***EU POL.WP.Z/GŁ.5STMAP 2STKT KAUF</v>
          </cell>
        </row>
        <row r="3594">
          <cell r="C3594">
            <v>4011612</v>
          </cell>
          <cell r="D3594" t="str">
            <v>***EU POL.Z/GŁ.OK2KGVAC OK4KGKT TESC</v>
          </cell>
        </row>
        <row r="3595">
          <cell r="C3595">
            <v>4011983</v>
          </cell>
          <cell r="D3595" t="str">
            <v>***EU POL.Z/GŁ.1STVAC OK4KGKT TESC SK</v>
          </cell>
        </row>
        <row r="3596">
          <cell r="C3596">
            <v>4011673</v>
          </cell>
          <cell r="D3596" t="str">
            <v>***EU POL.Z/GŁ.1ST VAC 2.5KG KT NETTO</v>
          </cell>
        </row>
        <row r="3597">
          <cell r="C3597">
            <v>4011756</v>
          </cell>
          <cell r="D3597" t="str">
            <v>EU POL.Z/GŁ.OK2.5KGVAC OK18KGPJ</v>
          </cell>
        </row>
        <row r="3598">
          <cell r="C3598">
            <v>4012174</v>
          </cell>
          <cell r="D3598" t="str">
            <v>***EU POL.Z/GŁ.B/WAR.1STVAC 5KGKT EX</v>
          </cell>
        </row>
        <row r="3599">
          <cell r="C3599">
            <v>4012634</v>
          </cell>
          <cell r="D3599" t="str">
            <v>***EU POL.Z/GŁ.OK1.7KGVAC OK5KGKT</v>
          </cell>
        </row>
        <row r="3600">
          <cell r="C3600">
            <v>4012788</v>
          </cell>
          <cell r="D3600" t="str">
            <v>EU POL.Z/GŁ.B/WAR.OK2.5KGVAC OK5KGKT</v>
          </cell>
        </row>
        <row r="3601">
          <cell r="C3601">
            <v>4017609</v>
          </cell>
          <cell r="D3601" t="str">
            <v>***EU POL.WP.Z/GŁ.OK2.5KGVACOK15KGKTMAKR</v>
          </cell>
        </row>
        <row r="3602">
          <cell r="C3602">
            <v>4011734</v>
          </cell>
          <cell r="D3602" t="str">
            <v>***EU POL.Z/GŁ.B/WAR.10ST VAC PJ HILT</v>
          </cell>
        </row>
        <row r="3603">
          <cell r="C3603">
            <v>4013881</v>
          </cell>
          <cell r="D3603" t="str">
            <v>***EU POL.WP.Z/GŁ.4STVAC OK15KGPJ MOR</v>
          </cell>
        </row>
        <row r="3604">
          <cell r="C3604">
            <v>4015048</v>
          </cell>
          <cell r="D3604" t="str">
            <v>EU POL.Z/GŁ.B/WAR.OK1.5KGVACOK12KGPJ ECS</v>
          </cell>
        </row>
        <row r="3605">
          <cell r="C3605">
            <v>4011738</v>
          </cell>
          <cell r="D3605" t="str">
            <v>***EU POL.Z/GŁ.1STVAC MR</v>
          </cell>
        </row>
        <row r="3606">
          <cell r="C3606">
            <v>4011735</v>
          </cell>
          <cell r="D3606" t="str">
            <v>***EU POL.Z/GŁ.LUZ PJ CH</v>
          </cell>
        </row>
        <row r="3607">
          <cell r="C3607">
            <v>3036435</v>
          </cell>
          <cell r="D3607" t="str">
            <v>EU POL.Z/GŁ.B/WAR.OK15KGWOR PJ ST</v>
          </cell>
        </row>
        <row r="3608">
          <cell r="C3608">
            <v>4011733</v>
          </cell>
          <cell r="D3608" t="str">
            <v>***EU POL.LUZ HILT</v>
          </cell>
        </row>
        <row r="3609">
          <cell r="C3609">
            <v>3017400</v>
          </cell>
          <cell r="D3609" t="str">
            <v>***EU POL.Z/GŁ.B/WAR.1ST VAC DMR</v>
          </cell>
        </row>
        <row r="3610">
          <cell r="C3610">
            <v>3035905</v>
          </cell>
          <cell r="D3610" t="str">
            <v>PP POL.Z/GŁ.OK15KGWOR PJ ST</v>
          </cell>
        </row>
        <row r="3611">
          <cell r="C3611">
            <v>3039087</v>
          </cell>
          <cell r="D3611" t="str">
            <v>PP POL.Z/GŁ.B/WAR.OK20KGLUZ PJ ST</v>
          </cell>
        </row>
        <row r="3612">
          <cell r="C3612">
            <v>3038463</v>
          </cell>
          <cell r="D3612" t="str">
            <v>PP POL.Z/GŁ.B/W.OK15KGLUZ PJ SZ</v>
          </cell>
        </row>
        <row r="3613">
          <cell r="C3613">
            <v>3035954</v>
          </cell>
          <cell r="D3613" t="str">
            <v>PP POL.Z/GŁ.B/W.OK5KGWOR PJ EŁ1</v>
          </cell>
        </row>
        <row r="3614">
          <cell r="C3614">
            <v>4023881</v>
          </cell>
          <cell r="D3614" t="str">
            <v>CZ POL.Z/GŁ.OK2.5KGVAC OK18KGPJ</v>
          </cell>
        </row>
        <row r="3615">
          <cell r="C3615">
            <v>3017361</v>
          </cell>
          <cell r="D3615" t="str">
            <v>POL.B/GŁ.N/OBR.CH</v>
          </cell>
        </row>
        <row r="3616">
          <cell r="C3616">
            <v>3023691</v>
          </cell>
          <cell r="D3616" t="str">
            <v>***EU POL.B/GŁ.N/OBR.</v>
          </cell>
        </row>
        <row r="3617">
          <cell r="C3617">
            <v>3015958</v>
          </cell>
          <cell r="D3617" t="str">
            <v>PL GŁ.POL.CH</v>
          </cell>
        </row>
        <row r="3618">
          <cell r="C3618">
            <v>3017791</v>
          </cell>
          <cell r="D3618" t="str">
            <v>EU GŁ.POL.CH</v>
          </cell>
        </row>
        <row r="3619">
          <cell r="C3619">
            <v>3005089</v>
          </cell>
          <cell r="D3619" t="str">
            <v>GŁÓWKA POL.ODBŁ USR CH</v>
          </cell>
        </row>
        <row r="3620">
          <cell r="C3620">
            <v>3040184</v>
          </cell>
          <cell r="D3620" t="str">
            <v>***PL MŚ.SZYN.ODBŁ.CIE.CH</v>
          </cell>
        </row>
        <row r="3621">
          <cell r="C3621">
            <v>3040203</v>
          </cell>
          <cell r="D3621" t="str">
            <v>***PL MŚ.SZYN.ODBŁ.CIE.OK20KG PB MR ST</v>
          </cell>
        </row>
        <row r="3622">
          <cell r="C3622">
            <v>3040191</v>
          </cell>
          <cell r="D3622" t="str">
            <v>***PL MŚ.SZYN.ODBŁ.CIE.OK20KGLUZ PJ ST</v>
          </cell>
        </row>
        <row r="3623">
          <cell r="C3623">
            <v>3040211</v>
          </cell>
          <cell r="D3623" t="str">
            <v>***PL MŚ.SZYN.ODBŁ.CIE.PBX ST</v>
          </cell>
        </row>
        <row r="3624">
          <cell r="C3624">
            <v>3040202</v>
          </cell>
          <cell r="D3624" t="str">
            <v>***PL MŚ.SZYN.ODBŁ.CIE.OK20KG PB DMR</v>
          </cell>
        </row>
        <row r="3625">
          <cell r="C3625">
            <v>3040369</v>
          </cell>
          <cell r="D3625" t="str">
            <v>***PL MŚ.SZYN.ODBŁ.CIE.CH</v>
          </cell>
        </row>
        <row r="3626">
          <cell r="C3626">
            <v>3040582</v>
          </cell>
          <cell r="D3626" t="str">
            <v>PL MŚ.CZTEROG.ODBŁ.CIE.CH</v>
          </cell>
        </row>
        <row r="3627">
          <cell r="C3627">
            <v>3040671</v>
          </cell>
          <cell r="D3627" t="str">
            <v>***PL MŚ.CZTEROG.ODBŁ.CIE.OK20KGNB MR ST</v>
          </cell>
        </row>
        <row r="3628">
          <cell r="C3628">
            <v>3040635</v>
          </cell>
          <cell r="D3628" t="str">
            <v>***PL MŚ.CZTEROG.ODBŁ.CIE.OK20KGLUZPJ ST</v>
          </cell>
        </row>
        <row r="3629">
          <cell r="C3629">
            <v>3040638</v>
          </cell>
          <cell r="D3629" t="str">
            <v>***PL MŚ.CZTEROG.ODBŁ.CIE.PBX ST</v>
          </cell>
        </row>
        <row r="3630">
          <cell r="C3630">
            <v>3040611</v>
          </cell>
          <cell r="D3630" t="str">
            <v>***PL MŚ.CZTEROG.ODBŁ.CIE.OK20KG NB DMR</v>
          </cell>
        </row>
        <row r="3631">
          <cell r="C3631">
            <v>3040583</v>
          </cell>
          <cell r="D3631" t="str">
            <v>***EU MŚ.CZTEROG.ODBŁ.CIE.CH</v>
          </cell>
        </row>
        <row r="3632">
          <cell r="C3632">
            <v>3040637</v>
          </cell>
          <cell r="D3632" t="str">
            <v>***EU MŚ.CZTEROG.ODBŁ.CIE.OK20KGLUZPJ ST</v>
          </cell>
        </row>
        <row r="3633">
          <cell r="C3633">
            <v>3040627</v>
          </cell>
          <cell r="D3633" t="str">
            <v>***EU MŚ.CZTEROG.ODBŁ.CIE.PBX ST</v>
          </cell>
        </row>
        <row r="3634">
          <cell r="C3634">
            <v>3040584</v>
          </cell>
          <cell r="D3634" t="str">
            <v>PP MŚ.CZTEROG.ODBŁ.CIE.CH</v>
          </cell>
        </row>
        <row r="3635">
          <cell r="C3635">
            <v>3040672</v>
          </cell>
          <cell r="D3635" t="str">
            <v>***PP MŚ.CZTEROG.ODBŁ.CIE.OK20KGNB MR ST</v>
          </cell>
        </row>
        <row r="3636">
          <cell r="C3636">
            <v>3040636</v>
          </cell>
          <cell r="D3636" t="str">
            <v>***PP MŚ.CZTEROG.ODBŁ.CIE.OK20KGLUZPJ ST</v>
          </cell>
        </row>
        <row r="3637">
          <cell r="C3637">
            <v>3040639</v>
          </cell>
          <cell r="D3637" t="str">
            <v>***PP MŚ.CZTEROG.ODBŁ.CIE.PBX ST</v>
          </cell>
        </row>
        <row r="3638">
          <cell r="C3638">
            <v>3040613</v>
          </cell>
          <cell r="D3638" t="str">
            <v>***PP MŚ.CZTEROG.ODBŁ.CIE.OK20KG NB DMR</v>
          </cell>
        </row>
        <row r="3639">
          <cell r="C3639">
            <v>3008811</v>
          </cell>
          <cell r="D3639" t="str">
            <v>POL.B/WAR/GŁ.</v>
          </cell>
        </row>
        <row r="3640">
          <cell r="C3640">
            <v>4011263</v>
          </cell>
          <cell r="D3640" t="str">
            <v>***PL POL.B/WAR./GŁ.OK2KGVAC OK15KGKT</v>
          </cell>
        </row>
        <row r="3641">
          <cell r="C3641">
            <v>4006259</v>
          </cell>
          <cell r="D3641" t="str">
            <v>***PL POL.B/GŁ/WAR.VAC</v>
          </cell>
        </row>
        <row r="3642">
          <cell r="C3642">
            <v>4009161</v>
          </cell>
          <cell r="D3642" t="str">
            <v>***PL POL.B/GŁ/WAR.OK2KGVAC PJ NL</v>
          </cell>
        </row>
        <row r="3643">
          <cell r="C3643">
            <v>4001807</v>
          </cell>
          <cell r="D3643" t="str">
            <v>***PL POL.B/GŁ/WAR.VAC 2KG EX</v>
          </cell>
        </row>
        <row r="3644">
          <cell r="C3644">
            <v>4012176</v>
          </cell>
          <cell r="D3644" t="str">
            <v>***EU POL.B/WAR./GŁ.OK2KGVAC OK15KGKT</v>
          </cell>
        </row>
        <row r="3645">
          <cell r="C3645">
            <v>4011650</v>
          </cell>
          <cell r="D3645" t="str">
            <v>***EU POL.B/GŁ/WAR.VAC</v>
          </cell>
        </row>
        <row r="3646">
          <cell r="C3646">
            <v>4011892</v>
          </cell>
          <cell r="D3646" t="str">
            <v>***EU POL.B/GŁ/WAR.OK2KGVAC PJ NL</v>
          </cell>
        </row>
        <row r="3647">
          <cell r="C3647">
            <v>4011474</v>
          </cell>
          <cell r="D3647" t="str">
            <v>***EU POL.B/GŁ/WAR.VAC 2KG EX</v>
          </cell>
        </row>
        <row r="3648">
          <cell r="C3648">
            <v>3008812</v>
          </cell>
          <cell r="D3648" t="str">
            <v>***POLĘD.Z/WAR/GŁ</v>
          </cell>
        </row>
        <row r="3649">
          <cell r="C3649">
            <v>3007736</v>
          </cell>
          <cell r="D3649" t="str">
            <v>***ELEM.SZYN.FRANCJA KL.E CH</v>
          </cell>
        </row>
        <row r="3650">
          <cell r="C3650">
            <v>3007737</v>
          </cell>
          <cell r="D3650" t="str">
            <v>***ELEM.SZYN.FRANCJA KL.E NB MR</v>
          </cell>
        </row>
        <row r="3651">
          <cell r="C3651">
            <v>3007738</v>
          </cell>
          <cell r="D3651" t="str">
            <v>***ELEM.SZYN.FRANCJA KL.E NB  DMR</v>
          </cell>
        </row>
        <row r="3652">
          <cell r="C3652">
            <v>3007739</v>
          </cell>
          <cell r="D3652" t="str">
            <v>***ELEM.SZYN.FRANCJA KL.E NB RO</v>
          </cell>
        </row>
        <row r="3653">
          <cell r="C3653">
            <v>3007740</v>
          </cell>
          <cell r="D3653" t="str">
            <v>***ELEM.SZYN.FRANCJA KL.U CH</v>
          </cell>
        </row>
        <row r="3654">
          <cell r="C3654">
            <v>3036527</v>
          </cell>
          <cell r="D3654" t="str">
            <v>PL ŻEB.BOCZ.10.5CM CH</v>
          </cell>
        </row>
        <row r="3655">
          <cell r="C3655">
            <v>3036515</v>
          </cell>
          <cell r="D3655" t="str">
            <v>PL ŻEB.PŁAT.B/CH.10.5CM OK20KGWOR PJ ST</v>
          </cell>
        </row>
        <row r="3656">
          <cell r="C3656">
            <v>3036510</v>
          </cell>
          <cell r="D3656" t="str">
            <v>PP ŻEB.BOCZ.10.5CM CH</v>
          </cell>
        </row>
        <row r="3657">
          <cell r="C3657">
            <v>3036516</v>
          </cell>
          <cell r="D3657" t="str">
            <v>PP ŻEB.PŁAT.B/CH.10.5CM OK20KGWOR PJ ST</v>
          </cell>
        </row>
        <row r="3658">
          <cell r="C3658">
            <v>3007741</v>
          </cell>
          <cell r="D3658" t="str">
            <v>***ELEM.SZYN.FRANCJA KL.S CH</v>
          </cell>
        </row>
        <row r="3659">
          <cell r="C3659">
            <v>3007742</v>
          </cell>
          <cell r="D3659" t="str">
            <v>***ELEM.SZYN B/M CZTEROGŁ KL.E CH</v>
          </cell>
        </row>
        <row r="3660">
          <cell r="C3660">
            <v>3007743</v>
          </cell>
          <cell r="D3660" t="str">
            <v>***ELEM.SZYN B/M CZTEROGŁ KL.U CH</v>
          </cell>
        </row>
        <row r="3661">
          <cell r="C3661">
            <v>3007744</v>
          </cell>
          <cell r="D3661" t="str">
            <v>***ELEM.SZYN B/M CZTEROGŁ KL.S CH</v>
          </cell>
        </row>
        <row r="3662">
          <cell r="C3662">
            <v>3009350</v>
          </cell>
          <cell r="D3662" t="str">
            <v>***SZYN.B/M.CZTEROGŁ.USR</v>
          </cell>
        </row>
        <row r="3663">
          <cell r="C3663">
            <v>3008983</v>
          </cell>
          <cell r="D3663" t="str">
            <v>NOGA TYL.DŁ.</v>
          </cell>
        </row>
        <row r="3664">
          <cell r="C3664">
            <v>3040714</v>
          </cell>
          <cell r="D3664" t="str">
            <v>NOGA TYL.DŁ.PBX</v>
          </cell>
        </row>
        <row r="3665">
          <cell r="C3665">
            <v>4019645</v>
          </cell>
          <cell r="D3665" t="str">
            <v>PL NOGA TYL.DŁ.OK15KGWOR KT</v>
          </cell>
        </row>
        <row r="3666">
          <cell r="C3666">
            <v>4010534</v>
          </cell>
          <cell r="D3666" t="str">
            <v>***NOGI WP.TYL.DŁ.OK2KGWOR OK10KGKT</v>
          </cell>
        </row>
        <row r="3667">
          <cell r="C3667">
            <v>4019790</v>
          </cell>
          <cell r="D3667" t="str">
            <v>PL NOGA TYL.DŁ.10KGWOR KT MR VN</v>
          </cell>
        </row>
        <row r="3668">
          <cell r="C3668">
            <v>4016370</v>
          </cell>
          <cell r="D3668" t="str">
            <v>PL NOGA TYL.DŁ.10KGWOR KT MR EX</v>
          </cell>
        </row>
        <row r="3669">
          <cell r="C3669">
            <v>4007586</v>
          </cell>
          <cell r="D3669" t="str">
            <v>***NOGI WP.TYLNE DŁUGIE MR CH</v>
          </cell>
        </row>
        <row r="3670">
          <cell r="C3670">
            <v>4001810</v>
          </cell>
          <cell r="D3670" t="str">
            <v>***NOGI WP.TYL.DŁ.10KG KT MR EX</v>
          </cell>
        </row>
        <row r="3671">
          <cell r="C3671">
            <v>4015459</v>
          </cell>
          <cell r="D3671" t="str">
            <v>***NOGI WP.TYL.3STMAP OK7.5KGKT SEL</v>
          </cell>
        </row>
        <row r="3672">
          <cell r="C3672">
            <v>4018150</v>
          </cell>
          <cell r="D3672" t="str">
            <v>***NOGI WP.TYL.OK2.5KG RMM OK5KG KT MOR</v>
          </cell>
        </row>
        <row r="3673">
          <cell r="C3673">
            <v>4019292</v>
          </cell>
          <cell r="D3673" t="str">
            <v>PL NOGA TYL.OK2KGMAP OK12KGKT ECS</v>
          </cell>
        </row>
        <row r="3674">
          <cell r="C3674">
            <v>4023505</v>
          </cell>
          <cell r="D3674" t="str">
            <v>NOGA TYL.OK4KGMAP OK8KGKT STO</v>
          </cell>
        </row>
        <row r="3675">
          <cell r="C3675">
            <v>4024973</v>
          </cell>
          <cell r="D3675" t="str">
            <v>NOGA TYL.MAX4KGMAP 4STPJ POLM</v>
          </cell>
        </row>
        <row r="3676">
          <cell r="C3676">
            <v>4025435</v>
          </cell>
          <cell r="D3676" t="str">
            <v>NOGA TYL.OK4KGMAP OK12KGKT</v>
          </cell>
        </row>
        <row r="3677">
          <cell r="C3677">
            <v>4024897</v>
          </cell>
          <cell r="D3677" t="str">
            <v>PL NOGA TYL.DŁ.OK20KGWOR PJ POLM</v>
          </cell>
        </row>
        <row r="3678">
          <cell r="C3678">
            <v>3029684</v>
          </cell>
          <cell r="D3678" t="str">
            <v>PL NOGA TYL.DŁ.10KGWOR KT DMR VN</v>
          </cell>
        </row>
        <row r="3679">
          <cell r="C3679">
            <v>3024676</v>
          </cell>
          <cell r="D3679" t="str">
            <v>PL NOGA TYL.DŁ.10KGWOR KT DMR EX</v>
          </cell>
        </row>
        <row r="3680">
          <cell r="C3680">
            <v>3007745</v>
          </cell>
          <cell r="D3680" t="str">
            <v>***NOGI TYLNE OK 10KG KT DMR CHIN</v>
          </cell>
        </row>
        <row r="3681">
          <cell r="C3681">
            <v>3007746</v>
          </cell>
          <cell r="D3681" t="str">
            <v>***NOGI WP.TYL.DŁ.10KG KT DMR EX</v>
          </cell>
        </row>
        <row r="3682">
          <cell r="C3682">
            <v>3009055</v>
          </cell>
          <cell r="D3682" t="str">
            <v>EU NOGA TYL.DŁ.CH</v>
          </cell>
        </row>
        <row r="3683">
          <cell r="C3683">
            <v>4016359</v>
          </cell>
          <cell r="D3683" t="str">
            <v>EU NOGA TYL.DŁ.10KGWOR KT MR EX</v>
          </cell>
        </row>
        <row r="3684">
          <cell r="C3684">
            <v>3024807</v>
          </cell>
          <cell r="D3684" t="str">
            <v>EU NOGA TYL.DŁ.10KGWOR KT DMR EX</v>
          </cell>
        </row>
        <row r="3685">
          <cell r="C3685">
            <v>3008904</v>
          </cell>
          <cell r="D3685" t="str">
            <v>NOGA TYL.DŁ.USR CH</v>
          </cell>
        </row>
        <row r="3686">
          <cell r="C3686">
            <v>3035217</v>
          </cell>
          <cell r="D3686" t="str">
            <v>CZ NOGA WP.TYL.DŁ.</v>
          </cell>
        </row>
        <row r="3687">
          <cell r="C3687">
            <v>4023875</v>
          </cell>
          <cell r="D3687" t="str">
            <v>CZ NOGA WP.TYL.DŁ.10KGWOR KT MR EX</v>
          </cell>
        </row>
        <row r="3688">
          <cell r="C3688">
            <v>3035218</v>
          </cell>
          <cell r="D3688" t="str">
            <v>CZ NOGA WP.TYL.DŁ.10KGWOR KT DMR EX</v>
          </cell>
        </row>
        <row r="3689">
          <cell r="C3689">
            <v>3009054</v>
          </cell>
          <cell r="D3689" t="str">
            <v>***NOGI TYLNE DŁUGIE PL UŚR</v>
          </cell>
        </row>
        <row r="3690">
          <cell r="C3690">
            <v>3016042</v>
          </cell>
          <cell r="D3690" t="str">
            <v>PL SCH.B/K.Z/BOCZ/TŁ3 CH1</v>
          </cell>
        </row>
        <row r="3691">
          <cell r="C3691">
            <v>3024936</v>
          </cell>
          <cell r="D3691" t="str">
            <v>PL SCH.B/K.Z/BOCZ/TŁ.3MM PBX CH1</v>
          </cell>
        </row>
        <row r="3692">
          <cell r="C3692">
            <v>3017303</v>
          </cell>
          <cell r="D3692" t="str">
            <v>DE SCH.B/K/TŁ.WOR PJ CON SZ</v>
          </cell>
        </row>
        <row r="3693">
          <cell r="C3693">
            <v>3020268</v>
          </cell>
          <cell r="D3693" t="str">
            <v>PL SCH.B/K.Z/BOCZ/TŁ3 CH2</v>
          </cell>
        </row>
        <row r="3694">
          <cell r="C3694">
            <v>3025196</v>
          </cell>
          <cell r="D3694" t="str">
            <v>PL SCH.B/K.Z/BOCZ/TŁ.3MM PBX CH2</v>
          </cell>
        </row>
        <row r="3695">
          <cell r="C3695">
            <v>3017808</v>
          </cell>
          <cell r="D3695" t="str">
            <v>EU SCH.B/K.Z/BOCZ/TŁ.3 CH</v>
          </cell>
        </row>
        <row r="3696">
          <cell r="C3696">
            <v>3024937</v>
          </cell>
          <cell r="D3696" t="str">
            <v>***EU SCH.B/K.Z/BOCZ/TŁ.3MM PBX CH1</v>
          </cell>
        </row>
        <row r="3697">
          <cell r="C3697">
            <v>3025197</v>
          </cell>
          <cell r="D3697" t="str">
            <v>***EU SCH.B/K.Z/BOCZ/TŁ.3MM PBX CH2</v>
          </cell>
        </row>
        <row r="3698">
          <cell r="C3698">
            <v>3035576</v>
          </cell>
          <cell r="D3698" t="str">
            <v>PP SCH.B/K.Z/BOCZ/TŁ3</v>
          </cell>
        </row>
        <row r="3699">
          <cell r="C3699">
            <v>3007748</v>
          </cell>
          <cell r="D3699" t="str">
            <v>***SCH.B/K/.Z/2WAR KL.U CH</v>
          </cell>
        </row>
        <row r="3700">
          <cell r="C3700">
            <v>3007749</v>
          </cell>
          <cell r="D3700" t="str">
            <v>***SCH.B/K/.Z/2WAR KL.S CH</v>
          </cell>
        </row>
        <row r="3701">
          <cell r="C3701">
            <v>3004631</v>
          </cell>
          <cell r="D3701" t="str">
            <v>***GOLON.TYL.Z/K B/M-Ń BRZUCH.CH</v>
          </cell>
        </row>
        <row r="3702">
          <cell r="C3702">
            <v>4009615</v>
          </cell>
          <cell r="D3702" t="str">
            <v>***GOLON.TYL.Z/K B/M-Ń BRZUCH.LUZOK15KGK</v>
          </cell>
        </row>
        <row r="3703">
          <cell r="C3703">
            <v>3005117</v>
          </cell>
          <cell r="D3703" t="str">
            <v>***GOLON.TYL.Z/K B/M-Ń BRZUCH.USR</v>
          </cell>
        </row>
        <row r="3704">
          <cell r="C3704">
            <v>3007751</v>
          </cell>
          <cell r="D3704" t="str">
            <v>***ELEM.ŁOP DO PIECZENIA KL.E CH</v>
          </cell>
        </row>
        <row r="3705">
          <cell r="C3705">
            <v>3007752</v>
          </cell>
          <cell r="D3705" t="str">
            <v>***ELEM.ŁOP DO PIECZENIA KL.E NB MR</v>
          </cell>
        </row>
        <row r="3706">
          <cell r="C3706">
            <v>3007753</v>
          </cell>
          <cell r="D3706" t="str">
            <v>***ELEM.ŁOP DO PIECZENIA KL.E NB DMR</v>
          </cell>
        </row>
        <row r="3707">
          <cell r="C3707">
            <v>3007754</v>
          </cell>
          <cell r="D3707" t="str">
            <v>***ELEM.ŁOP DO PIECZENIA KL.U CH</v>
          </cell>
        </row>
        <row r="3708">
          <cell r="C3708">
            <v>3044086</v>
          </cell>
          <cell r="D3708" t="str">
            <v>ŚRODEK B/POL.Z/POK.MAC.CH</v>
          </cell>
        </row>
        <row r="3709">
          <cell r="C3709">
            <v>3042644</v>
          </cell>
          <cell r="D3709" t="str">
            <v>ŚRODEK B/POL/POK.MAC.CH</v>
          </cell>
        </row>
        <row r="3710">
          <cell r="C3710">
            <v>3046082</v>
          </cell>
          <cell r="D3710" t="str">
            <v>ŚRODEK B/POL/POK.MAC.OK20KG NB MR</v>
          </cell>
        </row>
        <row r="3711">
          <cell r="C3711">
            <v>3046076</v>
          </cell>
          <cell r="D3711" t="str">
            <v>ŚRODEK B/POL/POK.MAC.OK20KG NB DMR</v>
          </cell>
        </row>
        <row r="3712">
          <cell r="C3712">
            <v>3046085</v>
          </cell>
          <cell r="D3712" t="str">
            <v>ŚRODEK B/POL/POK.MAC.RO</v>
          </cell>
        </row>
        <row r="3713">
          <cell r="C3713">
            <v>3024411</v>
          </cell>
          <cell r="D3713" t="str">
            <v>ŚRODEK B/POL/POK.KLA CH</v>
          </cell>
        </row>
        <row r="3714">
          <cell r="C3714">
            <v>3024412</v>
          </cell>
          <cell r="D3714" t="str">
            <v>ŚRODEK B/POL/POK.KLB CH</v>
          </cell>
        </row>
        <row r="3715">
          <cell r="C3715">
            <v>3024413</v>
          </cell>
          <cell r="D3715" t="str">
            <v>ŚRODEK B/POL/POK.KLC CH</v>
          </cell>
        </row>
        <row r="3716">
          <cell r="C3716">
            <v>3024447</v>
          </cell>
          <cell r="D3716" t="str">
            <v>ĆW.BOCZ.A MC.CH</v>
          </cell>
        </row>
        <row r="3717">
          <cell r="C3717">
            <v>3024448</v>
          </cell>
          <cell r="D3717" t="str">
            <v>ĆW.BOCZ.B MC.CH</v>
          </cell>
        </row>
        <row r="3718">
          <cell r="C3718">
            <v>3024460</v>
          </cell>
          <cell r="D3718" t="str">
            <v>ĆW.BOCZ.C MC.CH</v>
          </cell>
        </row>
        <row r="3719">
          <cell r="C3719">
            <v>3011792</v>
          </cell>
          <cell r="D3719" t="str">
            <v>***SCH.B/K/WAR/TŁ/MIZDR KL.S CH</v>
          </cell>
        </row>
        <row r="3720">
          <cell r="C3720">
            <v>3007755</v>
          </cell>
          <cell r="D3720" t="str">
            <v>SCH.B/K.Z/BOCZ.3CM/TŁ6 CH</v>
          </cell>
        </row>
        <row r="3721">
          <cell r="C3721">
            <v>3007756</v>
          </cell>
          <cell r="D3721" t="str">
            <v>***M-Ń CZTEROGŁOWY N/OBR KL.S CH</v>
          </cell>
        </row>
        <row r="3722">
          <cell r="C3722">
            <v>3007757</v>
          </cell>
          <cell r="D3722" t="str">
            <v>***M-Ń CZTEROGŁOWY N/OBR KL.S NB MR</v>
          </cell>
        </row>
        <row r="3723">
          <cell r="C3723">
            <v>3007758</v>
          </cell>
          <cell r="D3723" t="str">
            <v>***M-Ń CZTEROGŁOWY N/OBR KL.S NB DMR</v>
          </cell>
        </row>
        <row r="3724">
          <cell r="C3724">
            <v>3007759</v>
          </cell>
          <cell r="D3724" t="str">
            <v>SCH.B/K.Z/BOCZ.3CM/TŁ6 KL.E CH1</v>
          </cell>
        </row>
        <row r="3725">
          <cell r="C3725">
            <v>3024938</v>
          </cell>
          <cell r="D3725" t="str">
            <v>SCH.B/K.Z/BOCZ.3CM/TŁ6MM PBX CH1</v>
          </cell>
        </row>
        <row r="3726">
          <cell r="C3726">
            <v>3027160</v>
          </cell>
          <cell r="D3726" t="str">
            <v>PL SCH.B/K.Z/BOCZ.3CM/TŁ.6MMOK15KGW PJST</v>
          </cell>
        </row>
        <row r="3727">
          <cell r="C3727">
            <v>3020269</v>
          </cell>
          <cell r="D3727" t="str">
            <v>SCH.B/K.Z/BOCZ.3CM/TŁ6 KL.E CH2</v>
          </cell>
        </row>
        <row r="3728">
          <cell r="C3728">
            <v>3025198</v>
          </cell>
          <cell r="D3728" t="str">
            <v>SCH.B/K.Z/BOCZ.3CM/TŁ6MM PBX CH2</v>
          </cell>
        </row>
        <row r="3729">
          <cell r="C3729">
            <v>3024032</v>
          </cell>
          <cell r="D3729" t="str">
            <v>EU SCH.B/K.Z/BOCZ.3CM/TŁ.6 CH1</v>
          </cell>
        </row>
        <row r="3730">
          <cell r="C3730">
            <v>3024939</v>
          </cell>
          <cell r="D3730" t="str">
            <v>***EU SCH.B/K.Z/BOCZ.3CM/TŁ.6MM PBX CH1</v>
          </cell>
        </row>
        <row r="3731">
          <cell r="C3731">
            <v>3024033</v>
          </cell>
          <cell r="D3731" t="str">
            <v>EU SCH.B/K.Z/BOCZ.3CM/TŁ.6 CH2</v>
          </cell>
        </row>
        <row r="3732">
          <cell r="C3732">
            <v>3025199</v>
          </cell>
          <cell r="D3732" t="str">
            <v>***EU SCH.B/K.Z/BOCZ.3CM/TŁ.6MM PBX CH2</v>
          </cell>
        </row>
        <row r="3733">
          <cell r="C3733">
            <v>3038927</v>
          </cell>
          <cell r="D3733" t="str">
            <v>PP SCH.B/K.Z/BOCZ.3CM/TŁ6MM CH</v>
          </cell>
        </row>
        <row r="3734">
          <cell r="C3734">
            <v>3038973</v>
          </cell>
          <cell r="D3734" t="str">
            <v>PP SCH.B/K.Z/BOCZ.3CM/TŁ.6MM PBX ST1</v>
          </cell>
        </row>
        <row r="3735">
          <cell r="C3735">
            <v>3039066</v>
          </cell>
          <cell r="D3735" t="str">
            <v>PP SCH.B/K.Z/BOCZ.3CM/TŁ.6MM PBX ST2</v>
          </cell>
        </row>
        <row r="3736">
          <cell r="C3736">
            <v>3007760</v>
          </cell>
          <cell r="D3736" t="str">
            <v>***SCH.B/K.Z/BOCZ.3CM/TŁ6 KL.U CH</v>
          </cell>
        </row>
        <row r="3737">
          <cell r="C3737">
            <v>3007761</v>
          </cell>
          <cell r="D3737" t="str">
            <v>***SCH.B/K.Z/BOCZ.3CM/TŁ6 KL.S CH</v>
          </cell>
        </row>
        <row r="3738">
          <cell r="C3738">
            <v>3004551</v>
          </cell>
          <cell r="D3738" t="str">
            <v>***ELEM.SZYN.TEŚCIOWEJ/ROKOSZA KLECHMORL</v>
          </cell>
        </row>
        <row r="3739">
          <cell r="C3739">
            <v>3007762</v>
          </cell>
          <cell r="D3739" t="str">
            <v>***ELEM.SZYN.TEŚCIOWEJ KL.E NB MR</v>
          </cell>
        </row>
        <row r="3740">
          <cell r="C3740">
            <v>3007763</v>
          </cell>
          <cell r="D3740" t="str">
            <v>***EL.SZ.ROKOSZ=SZ.TESC WOR PJ MORL ST</v>
          </cell>
        </row>
        <row r="3741">
          <cell r="C3741">
            <v>3007764</v>
          </cell>
          <cell r="D3741" t="str">
            <v>***ELEM.SZYN.TEŚCIOWEJ KL.E NB DMR</v>
          </cell>
        </row>
        <row r="3742">
          <cell r="C3742">
            <v>3009553</v>
          </cell>
          <cell r="D3742" t="str">
            <v>***ELEM.SZYN.TEŚCIOWE/ROKOSZA KLE UŚRMOR</v>
          </cell>
        </row>
        <row r="3743">
          <cell r="C3743">
            <v>3007765</v>
          </cell>
          <cell r="D3743" t="str">
            <v>***ELEM.SZYN.TEŚCIOWEJ KL.U</v>
          </cell>
        </row>
        <row r="3744">
          <cell r="C3744">
            <v>3009390</v>
          </cell>
          <cell r="D3744" t="str">
            <v>***ELEM.SZYN.TEŚCIOWEJ USR</v>
          </cell>
        </row>
        <row r="3745">
          <cell r="C3745">
            <v>3012712</v>
          </cell>
          <cell r="D3745" t="str">
            <v>***ELEM.SZYN.TEŚCIOWEJ CH PJ ST</v>
          </cell>
        </row>
        <row r="3746">
          <cell r="C3746">
            <v>3035180</v>
          </cell>
          <cell r="D3746" t="str">
            <v>PL SZYN.Z/P/S.B/NG.V-CUT TŁ.&gt;1CM CH</v>
          </cell>
        </row>
        <row r="3747">
          <cell r="C3747">
            <v>4024225</v>
          </cell>
          <cell r="D3747" t="str">
            <v>PL SZYN.Z/P/S.B/NG.V-CUT TŁ.&gt;1CMCHOIN.EX</v>
          </cell>
        </row>
        <row r="3748">
          <cell r="C3748">
            <v>3015898</v>
          </cell>
          <cell r="D3748" t="str">
            <v>PL SZYN.Z/K/SK/GOL.B/BIOD.HILT CH</v>
          </cell>
        </row>
        <row r="3749">
          <cell r="C3749">
            <v>4008680</v>
          </cell>
          <cell r="D3749" t="str">
            <v>***PL SZYN.Z/K/SK/GOL.CH CHOIN.</v>
          </cell>
        </row>
        <row r="3750">
          <cell r="C3750">
            <v>4009620</v>
          </cell>
          <cell r="D3750" t="str">
            <v>***PL SZYN.Z/K/SK/GOL.OKT CH HILT</v>
          </cell>
        </row>
        <row r="3751">
          <cell r="C3751">
            <v>4009901</v>
          </cell>
          <cell r="D3751" t="str">
            <v>***PL SZYN.Z/K/SK/GOL.CH PBX CH HILT</v>
          </cell>
        </row>
        <row r="3752">
          <cell r="C3752">
            <v>3039662</v>
          </cell>
          <cell r="D3752" t="str">
            <v>ĆW.SZYN.Z/K/SK/GOL.B/BIODR.CHOIN ZAK</v>
          </cell>
        </row>
        <row r="3753">
          <cell r="C3753">
            <v>3017732</v>
          </cell>
          <cell r="D3753" t="str">
            <v>EU SZYN.Z/K/SK/GOL.B/BIOD.CH HILT</v>
          </cell>
        </row>
        <row r="3754">
          <cell r="C3754">
            <v>4011802</v>
          </cell>
          <cell r="D3754" t="str">
            <v>***EU SZYN.Z/K/SK/GOL.CH CHOIN.</v>
          </cell>
        </row>
        <row r="3755">
          <cell r="C3755">
            <v>4011953</v>
          </cell>
          <cell r="D3755" t="str">
            <v>***EU SZYN.Z/K/SK/GOL.OKT CH HILT</v>
          </cell>
        </row>
        <row r="3756">
          <cell r="C3756">
            <v>4011990</v>
          </cell>
          <cell r="D3756" t="str">
            <v>***EU SZYN.Z/K/SK/GOL.CH PBX CH HILT</v>
          </cell>
        </row>
        <row r="3757">
          <cell r="C3757">
            <v>3009422</v>
          </cell>
          <cell r="D3757" t="str">
            <v>***SZYN.WP.Z/K/SK/GOL KL.E USR</v>
          </cell>
        </row>
        <row r="3758">
          <cell r="C3758">
            <v>3009387</v>
          </cell>
          <cell r="D3758" t="str">
            <v>***SZYN.WP.Z/K/SK/GOL KL.S CH</v>
          </cell>
        </row>
        <row r="3759">
          <cell r="C3759">
            <v>4008679</v>
          </cell>
          <cell r="D3759" t="str">
            <v>***SZYN.WP.Z/K/SK/GOL KL.S PBX HIL</v>
          </cell>
        </row>
        <row r="3760">
          <cell r="C3760">
            <v>4009614</v>
          </cell>
          <cell r="D3760" t="str">
            <v>***SZYN.WP.Z/K/SK/GOL. KL.S OKTOB. HIL</v>
          </cell>
        </row>
        <row r="3761">
          <cell r="C3761">
            <v>3009406</v>
          </cell>
          <cell r="D3761" t="str">
            <v>***SZYN.WP.Z/K/SK/GOL KL.S USR</v>
          </cell>
        </row>
        <row r="3762">
          <cell r="C3762">
            <v>3029055</v>
          </cell>
          <cell r="D3762" t="str">
            <v>PL GOL.PRZED.Z/S.B/K CH</v>
          </cell>
        </row>
        <row r="3763">
          <cell r="C3763">
            <v>3029056</v>
          </cell>
          <cell r="D3763" t="str">
            <v>***PL GOL.PRZED.Z/S.B/K.OK500KG PBX ST</v>
          </cell>
        </row>
        <row r="3764">
          <cell r="C3764">
            <v>3015986</v>
          </cell>
          <cell r="D3764" t="str">
            <v>PL GOL.PRZED.Z/K.CH</v>
          </cell>
        </row>
        <row r="3765">
          <cell r="C3765">
            <v>3024940</v>
          </cell>
          <cell r="D3765" t="str">
            <v>PL GOL.PRZED.Z/K.PBX</v>
          </cell>
        </row>
        <row r="3766">
          <cell r="C3766">
            <v>4003869</v>
          </cell>
          <cell r="D3766" t="str">
            <v>PL GOL.PRZED.OK15KGWOR KT</v>
          </cell>
        </row>
        <row r="3767">
          <cell r="C3767">
            <v>4008741</v>
          </cell>
          <cell r="D3767" t="str">
            <v>***PL GOL.PRZED.LUZ OK15KG KT TIP</v>
          </cell>
        </row>
        <row r="3768">
          <cell r="C3768">
            <v>4013487</v>
          </cell>
          <cell r="D3768" t="str">
            <v>PL GOL.PRZED.4STMAP 2STKT KAUF</v>
          </cell>
        </row>
        <row r="3769">
          <cell r="C3769">
            <v>4022249</v>
          </cell>
          <cell r="D3769" t="str">
            <v>PL GOL.PRZED.4STMAP OK12KGPJ</v>
          </cell>
        </row>
        <row r="3770">
          <cell r="C3770">
            <v>4025040</v>
          </cell>
          <cell r="D3770" t="str">
            <v>PL GOL.PRZED.OK4KGMAP OK12KGKT MORE EX</v>
          </cell>
        </row>
        <row r="3771">
          <cell r="C3771">
            <v>4025320</v>
          </cell>
          <cell r="D3771" t="str">
            <v>PL GOL.PRZED.OK4KGMAP OK12KGKT</v>
          </cell>
        </row>
        <row r="3772">
          <cell r="C3772">
            <v>4015470</v>
          </cell>
          <cell r="D3772" t="str">
            <v>PL GOL.PRZED.6STMAP OK9KGKT SEL</v>
          </cell>
        </row>
        <row r="3773">
          <cell r="C3773">
            <v>4015476</v>
          </cell>
          <cell r="D3773" t="str">
            <v>***PL GOL.PRZED.700GMAP OK4.2KGKT LIDL</v>
          </cell>
        </row>
        <row r="3774">
          <cell r="C3774">
            <v>4015921</v>
          </cell>
          <cell r="D3774" t="str">
            <v>***PLGOL.WP.PRZED.OK700GMAPOK4.2KGKTBIED</v>
          </cell>
        </row>
        <row r="3775">
          <cell r="C3775">
            <v>4030113</v>
          </cell>
          <cell r="D3775" t="str">
            <v>PL GOL.PRZED.OK5KGMAP OK5KGKT AUCH</v>
          </cell>
        </row>
        <row r="3776">
          <cell r="C3776">
            <v>4008742</v>
          </cell>
          <cell r="D3776" t="str">
            <v>***PL GOL.PRZED.VAC OK15KG KT TIP</v>
          </cell>
        </row>
        <row r="3777">
          <cell r="C3777">
            <v>4012627</v>
          </cell>
          <cell r="D3777" t="str">
            <v>***PL GOL.WP.PRZED.VAC OK10KG KT</v>
          </cell>
        </row>
        <row r="3778">
          <cell r="C3778">
            <v>4012925</v>
          </cell>
          <cell r="D3778" t="str">
            <v>***PL GOL.PRZED.OK2.5KGVAC OK5KGKT</v>
          </cell>
        </row>
        <row r="3779">
          <cell r="C3779">
            <v>4012969</v>
          </cell>
          <cell r="D3779" t="str">
            <v>***PL GOL.WP.PRZED.VAC OK7KG PJ TESC</v>
          </cell>
        </row>
        <row r="3780">
          <cell r="C3780">
            <v>4018251</v>
          </cell>
          <cell r="D3780" t="str">
            <v>PL GOL.PRZED.OK3KGMAP OK9KGKT MAKR</v>
          </cell>
        </row>
        <row r="3781">
          <cell r="C3781">
            <v>4021303</v>
          </cell>
          <cell r="D3781" t="str">
            <v>***PL GOL.PRZED.2STMAP OK9KGKT SEL</v>
          </cell>
        </row>
        <row r="3782">
          <cell r="C3782">
            <v>4011089</v>
          </cell>
          <cell r="D3782" t="str">
            <v>PL GOL.PRZED.2STMAP OK15KGPJ ECS</v>
          </cell>
        </row>
        <row r="3783">
          <cell r="C3783">
            <v>4014882</v>
          </cell>
          <cell r="D3783" t="str">
            <v>***PL GOL.PRZED.3STVAC OK5KGKT MOR</v>
          </cell>
        </row>
        <row r="3784">
          <cell r="C3784">
            <v>4015439</v>
          </cell>
          <cell r="D3784" t="str">
            <v>PL GOL.PRZED.4STMAP OK9KGKT ME</v>
          </cell>
        </row>
        <row r="3785">
          <cell r="C3785">
            <v>4019643</v>
          </cell>
          <cell r="D3785" t="str">
            <v>PP GOL.PRZED.4KGMAP OK4KGKT BIED</v>
          </cell>
        </row>
        <row r="3786">
          <cell r="C3786">
            <v>4025579</v>
          </cell>
          <cell r="D3786" t="str">
            <v>PL GOL.PRZED.Z/K.MAX 20KGLUZ PJ AGRO</v>
          </cell>
        </row>
        <row r="3787">
          <cell r="C3787">
            <v>4013616</v>
          </cell>
          <cell r="D3787" t="str">
            <v>***GOL.PRZED.LUZ PJ HILT</v>
          </cell>
        </row>
        <row r="3788">
          <cell r="C3788">
            <v>3026345</v>
          </cell>
          <cell r="D3788" t="str">
            <v>PL GOL.PRZED.Z/K.OK15KGLUZ PJ ST</v>
          </cell>
        </row>
        <row r="3789">
          <cell r="C3789">
            <v>3031447</v>
          </cell>
          <cell r="D3789" t="str">
            <v>GOL.PRZED.OK15KGWOR PJ MR ZAK</v>
          </cell>
        </row>
        <row r="3790">
          <cell r="C3790">
            <v>3027606</v>
          </cell>
          <cell r="D3790" t="str">
            <v>GOL.PRZED.OK15KGWOR PJ MR K2</v>
          </cell>
        </row>
        <row r="3791">
          <cell r="C3791">
            <v>3031507</v>
          </cell>
          <cell r="D3791" t="str">
            <v>GOL.PRZED.RO 0C</v>
          </cell>
        </row>
        <row r="3792">
          <cell r="C3792">
            <v>3017804</v>
          </cell>
          <cell r="D3792" t="str">
            <v>EU GOL.PRZED.Z/K.CH</v>
          </cell>
        </row>
        <row r="3793">
          <cell r="C3793">
            <v>3024941</v>
          </cell>
          <cell r="D3793" t="str">
            <v>***EU GOL.PRZED.Z/K.PBX CH</v>
          </cell>
        </row>
        <row r="3794">
          <cell r="C3794">
            <v>4011613</v>
          </cell>
          <cell r="D3794" t="str">
            <v>***EU GOL.PRZED.CH LUZ KT</v>
          </cell>
        </row>
        <row r="3795">
          <cell r="C3795">
            <v>4011813</v>
          </cell>
          <cell r="D3795" t="str">
            <v>***EU GOL.PRZED.LUZ OK15KG KT TIP</v>
          </cell>
        </row>
        <row r="3796">
          <cell r="C3796">
            <v>4013492</v>
          </cell>
          <cell r="D3796" t="str">
            <v>***EU GOL.PRZED.4ST RMM 2ST KT KAUF</v>
          </cell>
        </row>
        <row r="3797">
          <cell r="C3797">
            <v>4011814</v>
          </cell>
          <cell r="D3797" t="str">
            <v>***EU GOL.PRZED.VAC OK15KG KT TIP</v>
          </cell>
        </row>
        <row r="3798">
          <cell r="C3798">
            <v>4012624</v>
          </cell>
          <cell r="D3798" t="str">
            <v>***EU GOL.WP.PRZED.VAC OK10KG KT</v>
          </cell>
        </row>
        <row r="3799">
          <cell r="C3799">
            <v>4012926</v>
          </cell>
          <cell r="D3799" t="str">
            <v>***EU GOL.PRZED.OK2.5KGVAC OK5KGKT</v>
          </cell>
        </row>
        <row r="3800">
          <cell r="C3800">
            <v>4012968</v>
          </cell>
          <cell r="D3800" t="str">
            <v>***EU GOL.WP.PRZED.VAC  OK7KG PJ TESC</v>
          </cell>
        </row>
        <row r="3801">
          <cell r="C3801">
            <v>4012147</v>
          </cell>
          <cell r="D3801" t="str">
            <v>***EU GOL.PRZED.2STTRM OK15KGPJ ECS</v>
          </cell>
        </row>
        <row r="3802">
          <cell r="C3802">
            <v>4014883</v>
          </cell>
          <cell r="D3802" t="str">
            <v>***EU GOL.PRZED.3STVAC OK5KGKT MOR</v>
          </cell>
        </row>
        <row r="3803">
          <cell r="C3803">
            <v>3005115</v>
          </cell>
          <cell r="D3803" t="str">
            <v>***GOLON.PRZED.Z/K USR CH</v>
          </cell>
        </row>
        <row r="3804">
          <cell r="C3804">
            <v>3035904</v>
          </cell>
          <cell r="D3804" t="str">
            <v>PP GOL.PRZED.Z/K.CH</v>
          </cell>
        </row>
        <row r="3805">
          <cell r="C3805">
            <v>3020116</v>
          </cell>
          <cell r="D3805" t="str">
            <v>PL GOL.TYL.B/S.Z/K.STRZ.CH1</v>
          </cell>
        </row>
        <row r="3806">
          <cell r="C3806">
            <v>3024942</v>
          </cell>
          <cell r="D3806" t="str">
            <v>***GOL.WP.TYL.Z/K.STRZ.B/SK.PBX CH1</v>
          </cell>
        </row>
        <row r="3807">
          <cell r="C3807">
            <v>3024132</v>
          </cell>
          <cell r="D3807" t="str">
            <v>PL GOL.TYL.B/S.Z/K.STRZ.OK15KGWOR PJ ST</v>
          </cell>
        </row>
        <row r="3808">
          <cell r="C3808">
            <v>3047551</v>
          </cell>
          <cell r="D3808" t="str">
            <v>PL GOL.TYL.B/S.Z/K.STRZ.OK650KGCVPPBX ST</v>
          </cell>
        </row>
        <row r="3809">
          <cell r="C3809">
            <v>3020912</v>
          </cell>
          <cell r="D3809" t="str">
            <v>PL GOL.TYL.B/S.Z/K.STRZ.CH2</v>
          </cell>
        </row>
        <row r="3810">
          <cell r="C3810">
            <v>3025202</v>
          </cell>
          <cell r="D3810" t="str">
            <v>***GOL.WP.TYL.Z/K.STRZ.B/SK.PBX CH2</v>
          </cell>
        </row>
        <row r="3811">
          <cell r="C3811">
            <v>3036050</v>
          </cell>
          <cell r="D3811" t="str">
            <v>PP GOL.TYL.B/S.Z/K.STRZ.CH</v>
          </cell>
        </row>
        <row r="3812">
          <cell r="C3812">
            <v>3035870</v>
          </cell>
          <cell r="D3812" t="str">
            <v>PP GOL.TYL.B/S.Z/K.STRZ.OK15KGWOR PJ ST</v>
          </cell>
        </row>
        <row r="3813">
          <cell r="C3813">
            <v>3018104</v>
          </cell>
          <cell r="D3813" t="str">
            <v>EU GOL.TYL.Z/K.B/M.BRZ.CH</v>
          </cell>
        </row>
        <row r="3814">
          <cell r="C3814">
            <v>3012157</v>
          </cell>
          <cell r="D3814" t="str">
            <v>PL GOL.PRZED.Z/K.CIĘ.CH</v>
          </cell>
        </row>
        <row r="3815">
          <cell r="C3815">
            <v>3024943</v>
          </cell>
          <cell r="D3815" t="str">
            <v>***PL GOL.PRZED.Z/K.CIĘ.PBX CH</v>
          </cell>
        </row>
        <row r="3816">
          <cell r="C3816">
            <v>4009775</v>
          </cell>
          <cell r="D3816" t="str">
            <v>***PL GOL.PRZED.OK700GMAP OK2.8KGKT BIED</v>
          </cell>
        </row>
        <row r="3817">
          <cell r="C3817">
            <v>4015016</v>
          </cell>
          <cell r="D3817" t="str">
            <v>***PL GOL.PRZED.OK700GMAP OK4.2KGKT AUCH</v>
          </cell>
        </row>
        <row r="3818">
          <cell r="C3818">
            <v>4010011</v>
          </cell>
          <cell r="D3818" t="str">
            <v>***PL GOL.PRZED.CIĘTA 2ST TRM OK8KGKT</v>
          </cell>
        </row>
        <row r="3819">
          <cell r="C3819">
            <v>3017507</v>
          </cell>
          <cell r="D3819" t="str">
            <v>EU GOL.PRZED.Z/K.CIĘ.CH</v>
          </cell>
        </row>
        <row r="3820">
          <cell r="C3820">
            <v>3024944</v>
          </cell>
          <cell r="D3820" t="str">
            <v>***EU GOL.PRZED.Z/K.CIĘ.PBX CH</v>
          </cell>
        </row>
        <row r="3821">
          <cell r="C3821">
            <v>4015023</v>
          </cell>
          <cell r="D3821" t="str">
            <v>***EU GOL.PRZED.OK700GMAP OK4.2KGKT AUCH</v>
          </cell>
        </row>
        <row r="3822">
          <cell r="C3822">
            <v>4012019</v>
          </cell>
          <cell r="D3822" t="str">
            <v>***EU GOL.PRZED.CIĘTA 2ST TRM OK8KGKT</v>
          </cell>
        </row>
        <row r="3823">
          <cell r="C3823">
            <v>3012158</v>
          </cell>
          <cell r="D3823" t="str">
            <v>***GOLON.WP.PRZED.Z/K CIĘTA USR</v>
          </cell>
        </row>
        <row r="3824">
          <cell r="C3824">
            <v>3035101</v>
          </cell>
          <cell r="D3824" t="str">
            <v>PL NOGA PRZED.Z/GOL.</v>
          </cell>
        </row>
        <row r="3825">
          <cell r="C3825">
            <v>4030433</v>
          </cell>
          <cell r="D3825" t="str">
            <v>PL NOGA PRZED.Z/GOL.OK10KGWOR KT MR EX</v>
          </cell>
        </row>
        <row r="3826">
          <cell r="C3826">
            <v>3035781</v>
          </cell>
          <cell r="D3826" t="str">
            <v>PL NOGA PRZED.Z/GOL.OK10KGWOR KT DMR</v>
          </cell>
        </row>
        <row r="3827">
          <cell r="C3827">
            <v>3045948</v>
          </cell>
          <cell r="D3827" t="str">
            <v>NOGA PRZED.Z/GOL.USR</v>
          </cell>
        </row>
        <row r="3828">
          <cell r="C3828">
            <v>3015988</v>
          </cell>
          <cell r="D3828" t="str">
            <v>PL GOL.TYL.Z/K.B/M.BRZ.CH</v>
          </cell>
        </row>
        <row r="3829">
          <cell r="C3829">
            <v>4003877</v>
          </cell>
          <cell r="D3829" t="str">
            <v>PL GOL.TYL.Z/M.BRZUCH.OK15KGWOR KT</v>
          </cell>
        </row>
        <row r="3830">
          <cell r="C3830">
            <v>4008743</v>
          </cell>
          <cell r="D3830" t="str">
            <v>***PL GOL.TYL.LUZ OK15KG KT TIP</v>
          </cell>
        </row>
        <row r="3831">
          <cell r="C3831">
            <v>4013488</v>
          </cell>
          <cell r="D3831" t="str">
            <v>PL GOL.TYL.3STMAP 2STKT KAUF</v>
          </cell>
        </row>
        <row r="3832">
          <cell r="C3832">
            <v>4015419</v>
          </cell>
          <cell r="D3832" t="str">
            <v>PL GOL.TYL.3STMAP OK8KG KT SEL</v>
          </cell>
        </row>
        <row r="3833">
          <cell r="C3833">
            <v>4030255</v>
          </cell>
          <cell r="D3833" t="str">
            <v>PL GOL.TYL.OK5KGMAP OK5KGKT AUCH</v>
          </cell>
        </row>
        <row r="3834">
          <cell r="C3834">
            <v>4008744</v>
          </cell>
          <cell r="D3834" t="str">
            <v>***PL GOL.TYL.VAC OK15KG KT TIP</v>
          </cell>
        </row>
        <row r="3835">
          <cell r="C3835">
            <v>4012628</v>
          </cell>
          <cell r="D3835" t="str">
            <v>***PL GOL.WP.TYL.VAC OK10KG KT</v>
          </cell>
        </row>
        <row r="3836">
          <cell r="C3836">
            <v>4012986</v>
          </cell>
          <cell r="D3836" t="str">
            <v>***PL GOL.WP.TYL.VAC OK8KG PJ TESC</v>
          </cell>
        </row>
        <row r="3837">
          <cell r="C3837">
            <v>4013781</v>
          </cell>
          <cell r="D3837" t="str">
            <v>PL GOL.TYL.3STMAP OK8KGKT MAKR</v>
          </cell>
        </row>
        <row r="3838">
          <cell r="C3838">
            <v>4014884</v>
          </cell>
          <cell r="D3838" t="str">
            <v>***PL GOL.WP.TYL.2STVAC OK5KGKT MOR</v>
          </cell>
        </row>
        <row r="3839">
          <cell r="C3839">
            <v>4015777</v>
          </cell>
          <cell r="D3839" t="str">
            <v>***PL GOL.WP.TYL.2ST VAC 8KG KT POLM</v>
          </cell>
        </row>
        <row r="3840">
          <cell r="C3840">
            <v>4016203</v>
          </cell>
          <cell r="D3840" t="str">
            <v>***PL GOL.WP.TYL.2STVAC 8KGKT ME</v>
          </cell>
        </row>
        <row r="3841">
          <cell r="C3841">
            <v>4009733</v>
          </cell>
          <cell r="D3841" t="str">
            <v>***PL GOL.TYL.11231 LUZ PJ HILT</v>
          </cell>
        </row>
        <row r="3842">
          <cell r="C3842">
            <v>3017806</v>
          </cell>
          <cell r="D3842" t="str">
            <v>***EU GOL.TYL.Z/K.B/M.BRZUCH.CH</v>
          </cell>
        </row>
        <row r="3843">
          <cell r="C3843">
            <v>4011614</v>
          </cell>
          <cell r="D3843" t="str">
            <v>***EU GOL.TYL.LUZ KT</v>
          </cell>
        </row>
        <row r="3844">
          <cell r="C3844">
            <v>4011815</v>
          </cell>
          <cell r="D3844" t="str">
            <v>***EU GOL.TYLNA.LUZ OK15KG KT TIP</v>
          </cell>
        </row>
        <row r="3845">
          <cell r="C3845">
            <v>4013489</v>
          </cell>
          <cell r="D3845" t="str">
            <v>***EU GOL.TYL.3ST RMM 2ST KT KAUF</v>
          </cell>
        </row>
        <row r="3846">
          <cell r="C3846">
            <v>4011816</v>
          </cell>
          <cell r="D3846" t="str">
            <v>***EU GOL.TYLNA.VAC OK15KG KT TIP</v>
          </cell>
        </row>
        <row r="3847">
          <cell r="C3847">
            <v>4012629</v>
          </cell>
          <cell r="D3847" t="str">
            <v>***EU GOL.WP.TYL.VAC OK10KG KT</v>
          </cell>
        </row>
        <row r="3848">
          <cell r="C3848">
            <v>4012987</v>
          </cell>
          <cell r="D3848" t="str">
            <v>***EU GOL.WP.TYL.VAC OK8KG PJ TESC</v>
          </cell>
        </row>
        <row r="3849">
          <cell r="C3849">
            <v>4013782</v>
          </cell>
          <cell r="D3849" t="str">
            <v>***EU GOL.TYL.2STVAC OK10KGKT MAKR</v>
          </cell>
        </row>
        <row r="3850">
          <cell r="C3850">
            <v>4014885</v>
          </cell>
          <cell r="D3850" t="str">
            <v>***EU GOL.WP.TYL.2STVAC OK5KGKT MOR</v>
          </cell>
        </row>
        <row r="3851">
          <cell r="C3851">
            <v>4011964</v>
          </cell>
          <cell r="D3851" t="str">
            <v>***EU GOL.TYL.11231 LUZ PJ HILT</v>
          </cell>
        </row>
        <row r="3852">
          <cell r="C3852">
            <v>3007767</v>
          </cell>
          <cell r="D3852" t="str">
            <v>***GOLONKA TYLNA UŚR CH</v>
          </cell>
        </row>
        <row r="3853">
          <cell r="C3853">
            <v>4026757</v>
          </cell>
          <cell r="D3853" t="str">
            <v>PP GOL.TYL.2STMAP 2STKT BIED</v>
          </cell>
        </row>
        <row r="3854">
          <cell r="C3854">
            <v>3007768</v>
          </cell>
          <cell r="D3854" t="str">
            <v>***GOLONKA TYLNA B/K.Z/SK CH</v>
          </cell>
        </row>
        <row r="3855">
          <cell r="C3855">
            <v>3017893</v>
          </cell>
          <cell r="D3855" t="str">
            <v>PL ŚRODEK B WP.Z/K.CH</v>
          </cell>
        </row>
        <row r="3856">
          <cell r="C3856">
            <v>3032376</v>
          </cell>
          <cell r="D3856" t="str">
            <v>PL ŚRODEK B WP.Z/K.LUZ OKT MR</v>
          </cell>
        </row>
        <row r="3857">
          <cell r="C3857">
            <v>3034784</v>
          </cell>
          <cell r="D3857" t="str">
            <v>PL ŚRODEK B/P.KLB PBX ST</v>
          </cell>
        </row>
        <row r="3858">
          <cell r="C3858">
            <v>4012230</v>
          </cell>
          <cell r="D3858" t="str">
            <v>***PL ŚRODEK WP Z/K LUZ WOR 1ST PJ</v>
          </cell>
        </row>
        <row r="3859">
          <cell r="C3859">
            <v>3032374</v>
          </cell>
          <cell r="D3859" t="str">
            <v>PL ŚRODEK B WP.Z/K.LUZ OKT DMR</v>
          </cell>
        </row>
        <row r="3860">
          <cell r="C3860">
            <v>3032378</v>
          </cell>
          <cell r="D3860" t="str">
            <v>PL ŚRODEK B WP.Z/K.LUZ OKT RO</v>
          </cell>
        </row>
        <row r="3861">
          <cell r="C3861">
            <v>3017953</v>
          </cell>
          <cell r="D3861" t="str">
            <v>EU ŚRODEK B WP.Z/K.CH</v>
          </cell>
        </row>
        <row r="3862">
          <cell r="C3862">
            <v>4012231</v>
          </cell>
          <cell r="D3862" t="str">
            <v>***EU ŚRODEK WP.Z/K LUZ WOR 1ST PJ</v>
          </cell>
        </row>
        <row r="3863">
          <cell r="C3863">
            <v>3017951</v>
          </cell>
          <cell r="D3863" t="str">
            <v>***PL ŚRODEK WP. Z/K. USR</v>
          </cell>
        </row>
        <row r="3864">
          <cell r="C3864">
            <v>3017950</v>
          </cell>
          <cell r="D3864" t="str">
            <v>***EU ŚRODEK WP. Z/K. USR</v>
          </cell>
        </row>
        <row r="3865">
          <cell r="C3865">
            <v>3018458</v>
          </cell>
          <cell r="D3865" t="str">
            <v>PL GOL.TYL.Z/M.BRZ.CH</v>
          </cell>
        </row>
        <row r="3866">
          <cell r="C3866">
            <v>3024945</v>
          </cell>
          <cell r="D3866" t="str">
            <v>PL GOL.TYL.Z/M.BRZ.PBX</v>
          </cell>
        </row>
        <row r="3867">
          <cell r="C3867">
            <v>3026872</v>
          </cell>
          <cell r="D3867" t="str">
            <v>***PL GOL.TYL.Z/M.BRZUCH.OK15KG PJ MR ST</v>
          </cell>
        </row>
        <row r="3868">
          <cell r="C3868">
            <v>4022265</v>
          </cell>
          <cell r="D3868" t="str">
            <v>PL GOL.TYL.3STMAP OK12KGPJ</v>
          </cell>
        </row>
        <row r="3869">
          <cell r="C3869">
            <v>4024966</v>
          </cell>
          <cell r="D3869" t="str">
            <v>PL GOL.TYL.OK4KGMAP OK12KGKT MORE EX</v>
          </cell>
        </row>
        <row r="3870">
          <cell r="C3870">
            <v>4021304</v>
          </cell>
          <cell r="D3870" t="str">
            <v>***PL GOL.TYL.1STMAP OK7KGKT SEL</v>
          </cell>
        </row>
        <row r="3871">
          <cell r="C3871">
            <v>3026870</v>
          </cell>
          <cell r="D3871" t="str">
            <v>PL GOL.TYL.Z/M.BRZ.OK15KGLUZ PJ ST</v>
          </cell>
        </row>
        <row r="3872">
          <cell r="C3872">
            <v>4021532</v>
          </cell>
          <cell r="D3872" t="str">
            <v>PL GOL.TYL.Z/K.OK15KGWOR PJ</v>
          </cell>
        </row>
        <row r="3873">
          <cell r="C3873">
            <v>3026871</v>
          </cell>
          <cell r="D3873" t="str">
            <v>***PL GOL.TYL.Z/M.BRZUCH.OK15KG PJ DMR</v>
          </cell>
        </row>
        <row r="3874">
          <cell r="C3874">
            <v>3017478</v>
          </cell>
          <cell r="D3874" t="str">
            <v>EU GOL.TYL.Z/M.BRZ.CH</v>
          </cell>
        </row>
        <row r="3875">
          <cell r="C3875">
            <v>3024946</v>
          </cell>
          <cell r="D3875" t="str">
            <v>***EU GOL.TYL.Z/M.BRZUCH.PBX CH</v>
          </cell>
        </row>
        <row r="3876">
          <cell r="C3876">
            <v>3040337</v>
          </cell>
          <cell r="D3876" t="str">
            <v>PP GOL.TYL.Z/M.BRZ.CH</v>
          </cell>
        </row>
        <row r="3877">
          <cell r="C3877">
            <v>3008813</v>
          </cell>
          <cell r="D3877" t="str">
            <v>ĆW.SZYN.Z/K/SK/GOL/BIODR.CH</v>
          </cell>
        </row>
        <row r="3878">
          <cell r="C3878">
            <v>3008690</v>
          </cell>
          <cell r="D3878" t="str">
            <v>***SZYN.WP.Z/K GOL.SK.CIE.PRO.LUZPJCHST</v>
          </cell>
        </row>
        <row r="3879">
          <cell r="C3879">
            <v>3029424</v>
          </cell>
          <cell r="D3879" t="str">
            <v>ĆW.SZYN.Z/K/S/GOL/BIODR.CH ZAK</v>
          </cell>
        </row>
        <row r="3880">
          <cell r="C3880">
            <v>3031727</v>
          </cell>
          <cell r="D3880" t="str">
            <v>***ĆW.SZYN.Z/K/S/GOL/BIODR.CH K4 ZAK</v>
          </cell>
        </row>
        <row r="3881">
          <cell r="C3881">
            <v>3007769</v>
          </cell>
          <cell r="D3881" t="str">
            <v>***NOGI PRZEDNIE CH</v>
          </cell>
        </row>
        <row r="3882">
          <cell r="C3882">
            <v>3016017</v>
          </cell>
          <cell r="D3882" t="str">
            <v>NOGA WP.PRZED.CH</v>
          </cell>
        </row>
        <row r="3883">
          <cell r="C3883">
            <v>4003879</v>
          </cell>
          <cell r="D3883" t="str">
            <v>***NOGI WP.KRÓTKIE LUZ KAR</v>
          </cell>
        </row>
        <row r="3884">
          <cell r="C3884">
            <v>4008787</v>
          </cell>
          <cell r="D3884" t="str">
            <v>***NOGI WP.PRZEDNIE WOR OK 2KG OK10KG KT</v>
          </cell>
        </row>
        <row r="3885">
          <cell r="C3885">
            <v>4012223</v>
          </cell>
          <cell r="D3885" t="str">
            <v>***NOGI WP.PRZED.WOR OK2KG PJ EC</v>
          </cell>
        </row>
        <row r="3886">
          <cell r="C3886">
            <v>4019775</v>
          </cell>
          <cell r="D3886" t="str">
            <v>PL NOGA PRZED.20KGWOR KT MR VN</v>
          </cell>
        </row>
        <row r="3887">
          <cell r="C3887">
            <v>4016289</v>
          </cell>
          <cell r="D3887" t="str">
            <v>***PL NOGA PRZED.20KGWOR KT MR EX</v>
          </cell>
        </row>
        <row r="3888">
          <cell r="C3888">
            <v>4005649</v>
          </cell>
          <cell r="D3888" t="str">
            <v>***NOGI WP.KRÓTKIE MR EX PL</v>
          </cell>
        </row>
        <row r="3889">
          <cell r="C3889">
            <v>4018912</v>
          </cell>
          <cell r="D3889" t="str">
            <v>PL NOGA PRZED.10KG KT MR EX</v>
          </cell>
        </row>
        <row r="3890">
          <cell r="C3890">
            <v>4007585</v>
          </cell>
          <cell r="D3890" t="str">
            <v>***NOGI WP.KRÓTKIE MR CH</v>
          </cell>
        </row>
        <row r="3891">
          <cell r="C3891">
            <v>4015418</v>
          </cell>
          <cell r="D3891" t="str">
            <v>***NOGI WP.PRZED.6STMAP OK8KGKT SEL</v>
          </cell>
        </row>
        <row r="3892">
          <cell r="C3892">
            <v>4016110</v>
          </cell>
          <cell r="D3892" t="str">
            <v>PL NOGA PRZED.OK2.5KGMAP OK15KGPJ ECS</v>
          </cell>
        </row>
        <row r="3893">
          <cell r="C3893">
            <v>4023506</v>
          </cell>
          <cell r="D3893" t="str">
            <v>NOGA PRZED.OK4KGMAP OK8KGKT STO</v>
          </cell>
        </row>
        <row r="3894">
          <cell r="C3894">
            <v>4012879</v>
          </cell>
          <cell r="D3894" t="str">
            <v>***NOGI WP.PRZED.OK2.5KGVAC OK5KGKT</v>
          </cell>
        </row>
        <row r="3895">
          <cell r="C3895">
            <v>4018252</v>
          </cell>
          <cell r="D3895" t="str">
            <v>NOGA PRZED.OK3KGMAP OK10KGKT MAKR</v>
          </cell>
        </row>
        <row r="3896">
          <cell r="C3896">
            <v>4019626</v>
          </cell>
          <cell r="D3896" t="str">
            <v>PP NOGA PRZED.OK4KGMAP OK4KGKT BIED</v>
          </cell>
        </row>
        <row r="3897">
          <cell r="C3897">
            <v>4012990</v>
          </cell>
          <cell r="D3897" t="str">
            <v>***NOGI WP.PRZED.2ST TRM OK7KG PJ TESC</v>
          </cell>
        </row>
        <row r="3898">
          <cell r="C3898">
            <v>4024792</v>
          </cell>
          <cell r="D3898" t="str">
            <v>PL NOGA WP.PRZED.OK20KGWOR PJ</v>
          </cell>
        </row>
        <row r="3899">
          <cell r="C3899">
            <v>4007409</v>
          </cell>
          <cell r="D3899" t="str">
            <v>***NOGI WP.PRZED.LUZ H KL.S.E.U</v>
          </cell>
        </row>
        <row r="3900">
          <cell r="C3900">
            <v>4027377</v>
          </cell>
          <cell r="D3900" t="str">
            <v>PL NOGA PRZED.OK600KG OKT EX</v>
          </cell>
        </row>
        <row r="3901">
          <cell r="C3901">
            <v>4028230</v>
          </cell>
          <cell r="D3901" t="str">
            <v>PL NOGA PRZED.PBX</v>
          </cell>
        </row>
        <row r="3902">
          <cell r="C3902">
            <v>4001811</v>
          </cell>
          <cell r="D3902" t="str">
            <v>***NOGI WP.KRÓTKIE PRZ.</v>
          </cell>
        </row>
        <row r="3903">
          <cell r="C3903">
            <v>3029717</v>
          </cell>
          <cell r="D3903" t="str">
            <v>PL NOGA PRZED.OK20KGWOR KT DMR VN</v>
          </cell>
        </row>
        <row r="3904">
          <cell r="C3904">
            <v>3024677</v>
          </cell>
          <cell r="D3904" t="str">
            <v>***PL NOGA PRZED.20KGWOR KT DMR EX</v>
          </cell>
        </row>
        <row r="3905">
          <cell r="C3905">
            <v>3007770</v>
          </cell>
          <cell r="D3905" t="str">
            <v>***NOGI WP.PRZED.PL OK20KG KT DMR EX</v>
          </cell>
        </row>
        <row r="3906">
          <cell r="C3906">
            <v>3028498</v>
          </cell>
          <cell r="D3906" t="str">
            <v>PL NOGA PRZED.10KG KT DMR EX</v>
          </cell>
        </row>
        <row r="3907">
          <cell r="C3907">
            <v>3007771</v>
          </cell>
          <cell r="D3907" t="str">
            <v>***NOGI PRZEDNIE PL OK 20KG KT DMR CH</v>
          </cell>
        </row>
        <row r="3908">
          <cell r="C3908">
            <v>3007772</v>
          </cell>
          <cell r="D3908" t="str">
            <v>***NOGI WP.PRZED.OK15KG KT DMR KOR</v>
          </cell>
        </row>
        <row r="3909">
          <cell r="C3909">
            <v>3009053</v>
          </cell>
          <cell r="D3909" t="str">
            <v>EU NOGA PRZED.CH</v>
          </cell>
        </row>
        <row r="3910">
          <cell r="C3910">
            <v>4016357</v>
          </cell>
          <cell r="D3910" t="str">
            <v>***EU NOGA PRZED.20KGWOR KT MR EX</v>
          </cell>
        </row>
        <row r="3911">
          <cell r="C3911">
            <v>3024806</v>
          </cell>
          <cell r="D3911" t="str">
            <v>***EU NOGA PRZED.20KGWOR KT DMR EX</v>
          </cell>
        </row>
        <row r="3912">
          <cell r="C3912">
            <v>3016373</v>
          </cell>
          <cell r="D3912" t="str">
            <v>NOGA PRZED.USR</v>
          </cell>
        </row>
        <row r="3913">
          <cell r="C3913">
            <v>3024947</v>
          </cell>
          <cell r="D3913" t="str">
            <v>NOGA PRZED.USR PBX</v>
          </cell>
        </row>
        <row r="3914">
          <cell r="C3914">
            <v>3035907</v>
          </cell>
          <cell r="D3914" t="str">
            <v>PP NOGA WP.PRZED.CH</v>
          </cell>
        </row>
        <row r="3915">
          <cell r="C3915">
            <v>3035219</v>
          </cell>
          <cell r="D3915" t="str">
            <v>CZ NOGA WP.PRZED.CH</v>
          </cell>
        </row>
        <row r="3916">
          <cell r="C3916">
            <v>4023862</v>
          </cell>
          <cell r="D3916" t="str">
            <v>***CZ NOGA WP.PRZED.20KGWOR KT MR EX</v>
          </cell>
        </row>
        <row r="3917">
          <cell r="C3917">
            <v>3035184</v>
          </cell>
          <cell r="D3917" t="str">
            <v>***CZ NOGA WP.PRZED.20KGWOR KT DMR EX</v>
          </cell>
        </row>
        <row r="3918">
          <cell r="C3918">
            <v>3009052</v>
          </cell>
          <cell r="D3918" t="str">
            <v>***NOGI PRZEDNIE PL UŚR</v>
          </cell>
        </row>
        <row r="3919">
          <cell r="C3919">
            <v>3037623</v>
          </cell>
          <cell r="D3919" t="str">
            <v>PP NOGA WP.PRZED.USR</v>
          </cell>
        </row>
        <row r="3920">
          <cell r="C3920">
            <v>3016019</v>
          </cell>
          <cell r="D3920" t="str">
            <v>NOGA WP.TYL.CH</v>
          </cell>
        </row>
        <row r="3921">
          <cell r="C3921">
            <v>4003883</v>
          </cell>
          <cell r="D3921" t="str">
            <v>***NOGI WP.DŁUGIE</v>
          </cell>
        </row>
        <row r="3922">
          <cell r="C3922">
            <v>3015316</v>
          </cell>
          <cell r="D3922" t="str">
            <v>NOGA TYL.USR CH</v>
          </cell>
        </row>
        <row r="3923">
          <cell r="C3923">
            <v>3024948</v>
          </cell>
          <cell r="D3923" t="str">
            <v>NOGA TYL.USR PBX</v>
          </cell>
        </row>
        <row r="3924">
          <cell r="C3924">
            <v>3007773</v>
          </cell>
          <cell r="D3924" t="str">
            <v>KOLANKO OD NOGI CH</v>
          </cell>
        </row>
        <row r="3925">
          <cell r="C3925">
            <v>4003885</v>
          </cell>
          <cell r="D3925" t="str">
            <v>***KOLANKO OD NOGI WP.LUZ KT</v>
          </cell>
        </row>
        <row r="3926">
          <cell r="C3926">
            <v>4022081</v>
          </cell>
          <cell r="D3926" t="str">
            <v>KOLANKO WP.10KGWOR KT MR EX</v>
          </cell>
        </row>
        <row r="3927">
          <cell r="C3927">
            <v>3033122</v>
          </cell>
          <cell r="D3927" t="str">
            <v>PL KOLANKO WP.10KGWOR KT DMR</v>
          </cell>
        </row>
        <row r="3928">
          <cell r="C3928">
            <v>3008906</v>
          </cell>
          <cell r="D3928" t="str">
            <v>KOLANKO OD NOGI USR CH</v>
          </cell>
        </row>
        <row r="3929">
          <cell r="C3929">
            <v>3007774</v>
          </cell>
          <cell r="D3929" t="str">
            <v>NOGA KL2 CH</v>
          </cell>
        </row>
        <row r="3930">
          <cell r="C3930">
            <v>4003886</v>
          </cell>
          <cell r="D3930" t="str">
            <v>PL NOGA PRZED.KL2 OK15KGWOR KT</v>
          </cell>
        </row>
        <row r="3931">
          <cell r="C3931">
            <v>1100050</v>
          </cell>
          <cell r="D3931" t="str">
            <v>***NOGI WP. LUZ PJ CH -MAT.KAT.3</v>
          </cell>
        </row>
        <row r="3932">
          <cell r="C3932">
            <v>3017995</v>
          </cell>
          <cell r="D3932" t="str">
            <v>NOGA KL2 USR</v>
          </cell>
        </row>
        <row r="3933">
          <cell r="C3933">
            <v>3024949</v>
          </cell>
          <cell r="D3933" t="str">
            <v>NOGA KL2 USR PBX</v>
          </cell>
        </row>
        <row r="3934">
          <cell r="C3934">
            <v>3016015</v>
          </cell>
          <cell r="D3934" t="str">
            <v>GŁOWA WP.CH</v>
          </cell>
        </row>
        <row r="3935">
          <cell r="C3935">
            <v>4003887</v>
          </cell>
          <cell r="D3935" t="str">
            <v>***GŁOWA WP. LUZ KARTON</v>
          </cell>
        </row>
        <row r="3936">
          <cell r="C3936">
            <v>4023647</v>
          </cell>
          <cell r="D3936" t="str">
            <v>GŁ.WP.CIĘ.B/USZ.OK10KGWOR KT MR EX</v>
          </cell>
        </row>
        <row r="3937">
          <cell r="C3937">
            <v>4008245</v>
          </cell>
          <cell r="D3937" t="str">
            <v>***GŁOWA WP.CIĘ.B/USZU OKT MR</v>
          </cell>
        </row>
        <row r="3938">
          <cell r="C3938">
            <v>3008945</v>
          </cell>
          <cell r="D3938" t="str">
            <v>***GŁOWA WP.CIĘ.B/USZU LUZ POJ</v>
          </cell>
        </row>
        <row r="3939">
          <cell r="C3939">
            <v>4013250</v>
          </cell>
          <cell r="D3939" t="str">
            <v>***GŁOWA WP.CIĘ.B/USZU LUZ OK15KGWOR PJ</v>
          </cell>
        </row>
        <row r="3940">
          <cell r="C3940">
            <v>4001814</v>
          </cell>
          <cell r="D3940" t="str">
            <v>***GŁOWA WP. LUZ OKTABINA MR</v>
          </cell>
        </row>
        <row r="3941">
          <cell r="C3941">
            <v>4009811</v>
          </cell>
          <cell r="D3941" t="str">
            <v>GŁ.WP.CIĘ.B/USZ.OKT CH HURT</v>
          </cell>
        </row>
        <row r="3942">
          <cell r="C3942">
            <v>3007775</v>
          </cell>
          <cell r="D3942" t="str">
            <v>GŁOWA CH ZAK</v>
          </cell>
        </row>
        <row r="3943">
          <cell r="C3943">
            <v>3035075</v>
          </cell>
          <cell r="D3943" t="str">
            <v>GŁ.WP.CIĘ.B/USZ.OK10KGWOR KT DMR</v>
          </cell>
        </row>
        <row r="3944">
          <cell r="C3944">
            <v>3008921</v>
          </cell>
          <cell r="D3944" t="str">
            <v>***GŁOWA WP.CIĘ.B/USZU OKT DMR</v>
          </cell>
        </row>
        <row r="3945">
          <cell r="C3945">
            <v>3007776</v>
          </cell>
          <cell r="D3945" t="str">
            <v>***GŁOWA WP. LUZ OKTABINA DMR</v>
          </cell>
        </row>
        <row r="3946">
          <cell r="C3946">
            <v>3012490</v>
          </cell>
          <cell r="D3946" t="str">
            <v>***GŁOWA WP.CIĘTA B/USZU OK.12KG KT RO</v>
          </cell>
        </row>
        <row r="3947">
          <cell r="C3947">
            <v>3009050</v>
          </cell>
          <cell r="D3947" t="str">
            <v>***GŁOWA WP.CIĘTA B/USZU CH PL</v>
          </cell>
        </row>
        <row r="3948">
          <cell r="C3948">
            <v>3017996</v>
          </cell>
          <cell r="D3948" t="str">
            <v>GŁ.WP.CIĘ.B/USZ.USR1</v>
          </cell>
        </row>
        <row r="3949">
          <cell r="C3949">
            <v>3024950</v>
          </cell>
          <cell r="D3949" t="str">
            <v>GŁ.WP.CIĘ.B/USZ.PBX USR1</v>
          </cell>
        </row>
        <row r="3950">
          <cell r="C3950">
            <v>3020270</v>
          </cell>
          <cell r="D3950" t="str">
            <v>GŁ.WP.CIĘ.B/USZ.USR2</v>
          </cell>
        </row>
        <row r="3951">
          <cell r="C3951">
            <v>3025210</v>
          </cell>
          <cell r="D3951" t="str">
            <v>GŁ.WP.CIĘ.B/USZ.PBX USR2</v>
          </cell>
        </row>
        <row r="3952">
          <cell r="C3952">
            <v>3009051</v>
          </cell>
          <cell r="D3952" t="str">
            <v>***GŁOWA WP. CIĘTA B/USZU CH PL USR</v>
          </cell>
        </row>
        <row r="3953">
          <cell r="C3953">
            <v>3019015</v>
          </cell>
          <cell r="D3953" t="str">
            <v>GŁ.WP.CIĘ.B/USZ.ROZP1</v>
          </cell>
        </row>
        <row r="3954">
          <cell r="C3954">
            <v>3020271</v>
          </cell>
          <cell r="D3954" t="str">
            <v>GŁ.WP.CIĘ.B/USZ.ROZP2</v>
          </cell>
        </row>
        <row r="3955">
          <cell r="C3955">
            <v>3024401</v>
          </cell>
          <cell r="D3955" t="str">
            <v>NOGA WP.PRZED.KLB CH</v>
          </cell>
        </row>
        <row r="3956">
          <cell r="C3956">
            <v>3040707</v>
          </cell>
          <cell r="D3956" t="str">
            <v>NOGA PRZED.KLB PBX</v>
          </cell>
        </row>
        <row r="3957">
          <cell r="C3957">
            <v>4016288</v>
          </cell>
          <cell r="D3957" t="str">
            <v>***PL NOGI WP.PRZED.KL2 20KGWOR KT MR EX</v>
          </cell>
        </row>
        <row r="3958">
          <cell r="C3958">
            <v>4018728</v>
          </cell>
          <cell r="D3958" t="str">
            <v>PL NOGA PRZED.KL2 10KGWOR KT MR EX</v>
          </cell>
        </row>
        <row r="3959">
          <cell r="C3959">
            <v>3039585</v>
          </cell>
          <cell r="D3959" t="str">
            <v>NOGA PRZED.KLB OK20KGWOR PJ ST</v>
          </cell>
        </row>
        <row r="3960">
          <cell r="C3960">
            <v>4027376</v>
          </cell>
          <cell r="D3960" t="str">
            <v>PL NOGA PRZED.KLB OK600KG OKT EX</v>
          </cell>
        </row>
        <row r="3961">
          <cell r="C3961">
            <v>3024795</v>
          </cell>
          <cell r="D3961" t="str">
            <v>***PL NOGI WP.PRZED.KL2 20KGWORKT DMR EX</v>
          </cell>
        </row>
        <row r="3962">
          <cell r="C3962">
            <v>3028113</v>
          </cell>
          <cell r="D3962" t="str">
            <v>PL NOGA PRZED.KL2 10KGWOR KT DMR EX</v>
          </cell>
        </row>
        <row r="3963">
          <cell r="C3963">
            <v>3039661</v>
          </cell>
          <cell r="D3963" t="str">
            <v>NOGA PRZED.KLB USR</v>
          </cell>
        </row>
        <row r="3964">
          <cell r="C3964">
            <v>3024402</v>
          </cell>
          <cell r="D3964" t="str">
            <v>NOGA WP.TYL.DŁ.KLB CH</v>
          </cell>
        </row>
        <row r="3965">
          <cell r="C3965">
            <v>4016367</v>
          </cell>
          <cell r="D3965" t="str">
            <v>PL NOGA TYL.DŁ.KL2 10KGWOR KT MR EX</v>
          </cell>
        </row>
        <row r="3966">
          <cell r="C3966">
            <v>3039586</v>
          </cell>
          <cell r="D3966" t="str">
            <v>NOGA TYL.DŁ.KLB OK20KGWOR PJ ST</v>
          </cell>
        </row>
        <row r="3967">
          <cell r="C3967">
            <v>3024794</v>
          </cell>
          <cell r="D3967" t="str">
            <v>PL NOGA TYL.DŁ.KL2 10KGWOR KT DMR EX</v>
          </cell>
        </row>
        <row r="3968">
          <cell r="C3968">
            <v>3016016</v>
          </cell>
          <cell r="D3968" t="str">
            <v>USZY CH1</v>
          </cell>
        </row>
        <row r="3969">
          <cell r="C3969">
            <v>3045189</v>
          </cell>
          <cell r="D3969" t="str">
            <v>PL USZY KLA OK20KG NB MR ST</v>
          </cell>
        </row>
        <row r="3970">
          <cell r="C3970">
            <v>4016412</v>
          </cell>
          <cell r="D3970" t="str">
            <v>PL USZY WP.KLA 10KGWOR KT MR EX</v>
          </cell>
        </row>
        <row r="3971">
          <cell r="C3971">
            <v>4001816</v>
          </cell>
          <cell r="D3971" t="str">
            <v>***USZY WP.KLA 10KG KT MR EX</v>
          </cell>
        </row>
        <row r="3972">
          <cell r="C3972">
            <v>4001817</v>
          </cell>
          <cell r="D3972" t="str">
            <v>***USZY WP.10KG KT MR EX</v>
          </cell>
        </row>
        <row r="3973">
          <cell r="C3973">
            <v>3039587</v>
          </cell>
          <cell r="D3973" t="str">
            <v>USZY OK10KGLUZ PJ ST</v>
          </cell>
        </row>
        <row r="3974">
          <cell r="C3974">
            <v>3045220</v>
          </cell>
          <cell r="D3974" t="str">
            <v>PL USZY KLA OK20KG NB DMR</v>
          </cell>
        </row>
        <row r="3975">
          <cell r="C3975">
            <v>3025064</v>
          </cell>
          <cell r="D3975" t="str">
            <v>PL USZY WP.KLA 10KGWOR KT DMR EX</v>
          </cell>
        </row>
        <row r="3976">
          <cell r="C3976">
            <v>3007778</v>
          </cell>
          <cell r="D3976" t="str">
            <v>***USZY WP.KLA 10KG KT DMR EX</v>
          </cell>
        </row>
        <row r="3977">
          <cell r="C3977">
            <v>3007779</v>
          </cell>
          <cell r="D3977" t="str">
            <v>***USZY WP.10KG KT DMR EX</v>
          </cell>
        </row>
        <row r="3978">
          <cell r="C3978">
            <v>3026794</v>
          </cell>
          <cell r="D3978" t="str">
            <v>***USZY WP.KLA RO1</v>
          </cell>
        </row>
        <row r="3979">
          <cell r="C3979">
            <v>3026654</v>
          </cell>
          <cell r="D3979" t="str">
            <v>***USZY WP.CH2</v>
          </cell>
        </row>
        <row r="3980">
          <cell r="C3980">
            <v>3026807</v>
          </cell>
          <cell r="D3980" t="str">
            <v>***USZY WP.KLA RO2</v>
          </cell>
        </row>
        <row r="3981">
          <cell r="C3981">
            <v>3009094</v>
          </cell>
          <cell r="D3981" t="str">
            <v>EU USZY WP.CH</v>
          </cell>
        </row>
        <row r="3982">
          <cell r="C3982">
            <v>4016411</v>
          </cell>
          <cell r="D3982" t="str">
            <v>EU USZY WP.KL A 10KGWOR KT MR EX</v>
          </cell>
        </row>
        <row r="3983">
          <cell r="C3983">
            <v>3025063</v>
          </cell>
          <cell r="D3983" t="str">
            <v>EU USZY WP.KLA 10KGWOR KT DMR EX</v>
          </cell>
        </row>
        <row r="3984">
          <cell r="C3984">
            <v>3017997</v>
          </cell>
          <cell r="D3984" t="str">
            <v>USZY WP. USR</v>
          </cell>
        </row>
        <row r="3985">
          <cell r="C3985">
            <v>3024951</v>
          </cell>
          <cell r="D3985" t="str">
            <v>USZY WP.USR PBX1</v>
          </cell>
        </row>
        <row r="3986">
          <cell r="C3986">
            <v>3026665</v>
          </cell>
          <cell r="D3986" t="str">
            <v>USZY WP.USR PBX2</v>
          </cell>
        </row>
        <row r="3987">
          <cell r="C3987">
            <v>3035245</v>
          </cell>
          <cell r="D3987" t="str">
            <v>CZ USZY WP.CH</v>
          </cell>
        </row>
        <row r="3988">
          <cell r="C3988">
            <v>4023913</v>
          </cell>
          <cell r="D3988" t="str">
            <v>CZ USZY WP.KLA 10KGWOR KT MR EX</v>
          </cell>
        </row>
        <row r="3989">
          <cell r="C3989">
            <v>3035248</v>
          </cell>
          <cell r="D3989" t="str">
            <v>CZ USZY WP.KLA 10KGWOR KT DMR EX</v>
          </cell>
        </row>
        <row r="3990">
          <cell r="C3990">
            <v>3009039</v>
          </cell>
          <cell r="D3990" t="str">
            <v>***USZY PL UŚR</v>
          </cell>
        </row>
        <row r="3991">
          <cell r="C3991">
            <v>3022494</v>
          </cell>
          <cell r="D3991" t="str">
            <v>OGON Z/CZ.K.OG.10CM CH</v>
          </cell>
        </row>
        <row r="3992">
          <cell r="C3992">
            <v>4014834</v>
          </cell>
          <cell r="D3992" t="str">
            <v>***PL OGON Z/CZ.K.OG.10CM 15KGWORKTMR EX</v>
          </cell>
        </row>
        <row r="3993">
          <cell r="C3993">
            <v>3022604</v>
          </cell>
          <cell r="D3993" t="str">
            <v>***PL OGON Z/CZ.K.OG.10CM 15KGWOR KT DMR</v>
          </cell>
        </row>
        <row r="3994">
          <cell r="C3994">
            <v>3034007</v>
          </cell>
          <cell r="D3994" t="str">
            <v>EU OGON Z/CZ.K.OG.10CM CH</v>
          </cell>
        </row>
        <row r="3995">
          <cell r="C3995">
            <v>4022778</v>
          </cell>
          <cell r="D3995" t="str">
            <v>***EU OGON Z/CZ.K.OG.10CM 15KGWORKTMR EX</v>
          </cell>
        </row>
        <row r="3996">
          <cell r="C3996">
            <v>3034012</v>
          </cell>
          <cell r="D3996" t="str">
            <v>***EU OGON Z/CZ.K.OG.10CM 15KGWOR KT DMR</v>
          </cell>
        </row>
        <row r="3997">
          <cell r="C3997">
            <v>3022486</v>
          </cell>
          <cell r="D3997" t="str">
            <v>OGON Z/CZ.K.OG.10CM USR</v>
          </cell>
        </row>
        <row r="3998">
          <cell r="C3998">
            <v>3024952</v>
          </cell>
          <cell r="D3998" t="str">
            <v>OGON Z/CZ.K.OG.10CM PBX</v>
          </cell>
        </row>
        <row r="3999">
          <cell r="C3999">
            <v>3034008</v>
          </cell>
          <cell r="D3999" t="str">
            <v>EU OGON Z/CZ.K.OG.10CM USR</v>
          </cell>
        </row>
        <row r="4000">
          <cell r="C4000">
            <v>3016014</v>
          </cell>
          <cell r="D4000" t="str">
            <v>OGON CH</v>
          </cell>
        </row>
        <row r="4001">
          <cell r="C4001">
            <v>4003888</v>
          </cell>
          <cell r="D4001" t="str">
            <v>PL OGON OK15KGWOR KT</v>
          </cell>
        </row>
        <row r="4002">
          <cell r="C4002">
            <v>4008788</v>
          </cell>
          <cell r="D4002" t="str">
            <v>***OGON WP. WOR OK2KG OK10KG KT</v>
          </cell>
        </row>
        <row r="4003">
          <cell r="C4003">
            <v>4012224</v>
          </cell>
          <cell r="D4003" t="str">
            <v>***OGON WP.WOR OK2KG PJ EC</v>
          </cell>
        </row>
        <row r="4004">
          <cell r="C4004">
            <v>4012927</v>
          </cell>
          <cell r="D4004" t="str">
            <v>***OGON WP.OK2.5KG WOR OK5KG KT</v>
          </cell>
        </row>
        <row r="4005">
          <cell r="C4005">
            <v>3027655</v>
          </cell>
          <cell r="D4005" t="str">
            <v>***OGON WP.OK15KGWOR KT ST</v>
          </cell>
        </row>
        <row r="4006">
          <cell r="C4006">
            <v>4018369</v>
          </cell>
          <cell r="D4006" t="str">
            <v>***OGON WP.OK15KGWOR KT</v>
          </cell>
        </row>
        <row r="4007">
          <cell r="C4007">
            <v>4016435</v>
          </cell>
          <cell r="D4007" t="str">
            <v>***PL OGON 15KGWOR KT MR EX</v>
          </cell>
        </row>
        <row r="4008">
          <cell r="C4008">
            <v>4023043</v>
          </cell>
          <cell r="D4008" t="str">
            <v>PL OGON 10KGWOR KT MR EX</v>
          </cell>
        </row>
        <row r="4009">
          <cell r="C4009">
            <v>4011188</v>
          </cell>
          <cell r="D4009" t="str">
            <v>***OGON WP.OK15KGWOR KT MR EX</v>
          </cell>
        </row>
        <row r="4010">
          <cell r="C4010">
            <v>4016088</v>
          </cell>
          <cell r="D4010" t="str">
            <v>***OGON WP.OK2KGROL OK12KGPJ ECS</v>
          </cell>
        </row>
        <row r="4011">
          <cell r="C4011">
            <v>4019640</v>
          </cell>
          <cell r="D4011" t="str">
            <v>***OGON WP.OK2KGRMM OK4KGKT</v>
          </cell>
        </row>
        <row r="4012">
          <cell r="C4012">
            <v>3025094</v>
          </cell>
          <cell r="D4012" t="str">
            <v>***PL OGON 15KGWOR KT DMR EX</v>
          </cell>
        </row>
        <row r="4013">
          <cell r="C4013">
            <v>3034396</v>
          </cell>
          <cell r="D4013" t="str">
            <v>PL OGON 10KGWOR KT DMR EX</v>
          </cell>
        </row>
        <row r="4014">
          <cell r="C4014">
            <v>3016908</v>
          </cell>
          <cell r="D4014" t="str">
            <v>***OGON WP.15KGWOR KT DMR EX</v>
          </cell>
        </row>
        <row r="4015">
          <cell r="C4015">
            <v>3024699</v>
          </cell>
          <cell r="D4015" t="str">
            <v>EU OGON CH</v>
          </cell>
        </row>
        <row r="4016">
          <cell r="C4016">
            <v>4016441</v>
          </cell>
          <cell r="D4016" t="str">
            <v>***EU OGON 15KGWOR KT MR EX</v>
          </cell>
        </row>
        <row r="4017">
          <cell r="C4017">
            <v>4023008</v>
          </cell>
          <cell r="D4017" t="str">
            <v>EU OGON 10KGWOR KT MR EX</v>
          </cell>
        </row>
        <row r="4018">
          <cell r="C4018">
            <v>3025093</v>
          </cell>
          <cell r="D4018" t="str">
            <v>***EU OGON 15KGWOR KT DMR EX</v>
          </cell>
        </row>
        <row r="4019">
          <cell r="C4019">
            <v>3034407</v>
          </cell>
          <cell r="D4019" t="str">
            <v>EU OGON 10KGWOR KT DMR EX</v>
          </cell>
        </row>
        <row r="4020">
          <cell r="C4020">
            <v>3018002</v>
          </cell>
          <cell r="D4020" t="str">
            <v>OGON USR</v>
          </cell>
        </row>
        <row r="4021">
          <cell r="C4021">
            <v>3024953</v>
          </cell>
          <cell r="D4021" t="str">
            <v>OGON PBX</v>
          </cell>
        </row>
        <row r="4022">
          <cell r="C4022">
            <v>3035185</v>
          </cell>
          <cell r="D4022" t="str">
            <v>CZ OGON CH</v>
          </cell>
        </row>
        <row r="4023">
          <cell r="C4023">
            <v>4023879</v>
          </cell>
          <cell r="D4023" t="str">
            <v>***CZ OGON 15KGWOR KT MR EX</v>
          </cell>
        </row>
        <row r="4024">
          <cell r="C4024">
            <v>3035260</v>
          </cell>
          <cell r="D4024" t="str">
            <v>***CZ OGON 15KGWOR KT DMR EX</v>
          </cell>
        </row>
        <row r="4025">
          <cell r="C4025">
            <v>3034446</v>
          </cell>
          <cell r="D4025" t="str">
            <v>EU OGON USR</v>
          </cell>
        </row>
        <row r="4026">
          <cell r="C4026">
            <v>3032255</v>
          </cell>
          <cell r="D4026" t="str">
            <v>PL ĆW.SZYN.Z/GOL/K.OG.B/NG/PACH/POL.CH</v>
          </cell>
        </row>
        <row r="4027">
          <cell r="C4027">
            <v>4021485</v>
          </cell>
          <cell r="D4027" t="str">
            <v>ĆW.SZYN.Z/GOL/K.OG.B/NG/PACH/POL.CHOIN.</v>
          </cell>
        </row>
        <row r="4028">
          <cell r="C4028">
            <v>3047199</v>
          </cell>
          <cell r="D4028" t="str">
            <v>ĆW.SZYN.Z/GOL/K.OG.OK600KG OKT ST</v>
          </cell>
        </row>
        <row r="4029">
          <cell r="C4029">
            <v>3032223</v>
          </cell>
          <cell r="D4029" t="str">
            <v>***ĆW.SZYN.Z/GOL/K.OG.B/NG/PACH/P.K4 ZAK</v>
          </cell>
        </row>
        <row r="4030">
          <cell r="C4030">
            <v>3007783</v>
          </cell>
          <cell r="D4030" t="str">
            <v>EU M-SO Z/K.KOTL.CH</v>
          </cell>
        </row>
        <row r="4031">
          <cell r="C4031">
            <v>4006260</v>
          </cell>
          <cell r="D4031" t="str">
            <v>***EU M-SO Z/K.KOTLETOWE MAP</v>
          </cell>
        </row>
        <row r="4032">
          <cell r="C4032">
            <v>4009833</v>
          </cell>
          <cell r="D4032" t="str">
            <v>***M-SO WP KOTLETOWE Z/K LUZ OK. 15KG PJ</v>
          </cell>
        </row>
        <row r="4033">
          <cell r="C4033">
            <v>3031651</v>
          </cell>
          <cell r="D4033" t="str">
            <v>NOGA TYL.KR.CH</v>
          </cell>
        </row>
        <row r="4034">
          <cell r="C4034">
            <v>4024334</v>
          </cell>
          <cell r="D4034" t="str">
            <v>PL NOGA TYL.KR.10KGWOR KT MR</v>
          </cell>
        </row>
        <row r="4035">
          <cell r="C4035">
            <v>4028139</v>
          </cell>
          <cell r="D4035" t="str">
            <v>NOGA TYL.KR.PBX</v>
          </cell>
        </row>
        <row r="4036">
          <cell r="C4036">
            <v>3031774</v>
          </cell>
          <cell r="D4036" t="str">
            <v>NOGA TYL.KR.10KGWOR KT DMR</v>
          </cell>
        </row>
        <row r="4037">
          <cell r="C4037">
            <v>3007784</v>
          </cell>
          <cell r="D4037" t="str">
            <v>***M-Ń CZTEROGŁOWY N/OBR CH BIED</v>
          </cell>
        </row>
        <row r="4038">
          <cell r="C4038">
            <v>4012615</v>
          </cell>
          <cell r="D4038" t="str">
            <v>***PL MŚ.CZTEROG.N/OBR.1STMAP OK6KGKT ME</v>
          </cell>
        </row>
        <row r="4039">
          <cell r="C4039">
            <v>4003892</v>
          </cell>
          <cell r="D4039" t="str">
            <v>***PL SZYN.WP.KULKA MAP OK800G B</v>
          </cell>
        </row>
        <row r="4040">
          <cell r="C4040">
            <v>4003893</v>
          </cell>
          <cell r="D4040" t="str">
            <v>***PL SZYN.KULKA MAP K</v>
          </cell>
        </row>
        <row r="4041">
          <cell r="C4041">
            <v>4005493</v>
          </cell>
          <cell r="D4041" t="str">
            <v>***PL SZYN.KULKA MAP MAKR</v>
          </cell>
        </row>
        <row r="4042">
          <cell r="C4042">
            <v>4006177</v>
          </cell>
          <cell r="D4042" t="str">
            <v>***PL SZYN.KULKA MAP STO</v>
          </cell>
        </row>
        <row r="4043">
          <cell r="C4043">
            <v>4006668</v>
          </cell>
          <cell r="D4043" t="str">
            <v>***PL SZYN.KULKA PC OK800G PACZKA TESC</v>
          </cell>
        </row>
        <row r="4044">
          <cell r="C4044">
            <v>4007340</v>
          </cell>
          <cell r="D4044" t="str">
            <v>***PLMŚ.CZTEROG.N/OBR.OK1KGMAP6KGKT LIDL</v>
          </cell>
        </row>
        <row r="4045">
          <cell r="C4045">
            <v>4008550</v>
          </cell>
          <cell r="D4045" t="str">
            <v>***PL SZYN.KUL.OK0.8KG MAP TESC</v>
          </cell>
        </row>
        <row r="4046">
          <cell r="C4046">
            <v>4013410</v>
          </cell>
          <cell r="D4046" t="str">
            <v>PL MŚ.CZTEROG.4STMAP 2STKT KAUF</v>
          </cell>
        </row>
        <row r="4047">
          <cell r="C4047">
            <v>4012686</v>
          </cell>
          <cell r="D4047" t="str">
            <v>***PL MŚ.CZTEROG.OK2.5KGVAC OK10KGKT</v>
          </cell>
        </row>
        <row r="4048">
          <cell r="C4048">
            <v>4015415</v>
          </cell>
          <cell r="D4048" t="str">
            <v>PL MŚ.CZTEROG.OK2KGVAC OK8KGKT SEL</v>
          </cell>
        </row>
        <row r="4049">
          <cell r="C4049">
            <v>4021037</v>
          </cell>
          <cell r="D4049" t="str">
            <v>***PL MŚ.CZTEROG.OK6KGVAC OK18KGKT TESC</v>
          </cell>
        </row>
        <row r="4050">
          <cell r="C4050">
            <v>4022795</v>
          </cell>
          <cell r="D4050" t="str">
            <v>PL MŚ.CZTEROG.OK4KGVAC MAX20KGPJ POLM</v>
          </cell>
        </row>
        <row r="4051">
          <cell r="C4051">
            <v>4028397</v>
          </cell>
          <cell r="D4051" t="str">
            <v>PL MŚ.CZTEROG.6STVAC OK26KGKT EX</v>
          </cell>
        </row>
        <row r="4052">
          <cell r="C4052">
            <v>4030874</v>
          </cell>
          <cell r="D4052" t="str">
            <v>PL MŚ.CZTEROG.2STVAC OK15KGPJ STO</v>
          </cell>
        </row>
        <row r="4053">
          <cell r="C4053">
            <v>4031665</v>
          </cell>
          <cell r="D4053" t="str">
            <v>PL MŚ.CZTEROG.3STVAC OK10KGKT AUCH</v>
          </cell>
        </row>
        <row r="4054">
          <cell r="C4054">
            <v>4031666</v>
          </cell>
          <cell r="D4054" t="str">
            <v>PL MŚ.CZTEROG.1STVAC OK5KGKT AUCH</v>
          </cell>
        </row>
        <row r="4055">
          <cell r="C4055">
            <v>4010570</v>
          </cell>
          <cell r="D4055" t="str">
            <v>***PL MŚ.CZTEROG.6-8KGTRM OK21KG KT GB</v>
          </cell>
        </row>
        <row r="4056">
          <cell r="C4056">
            <v>4010777</v>
          </cell>
          <cell r="D4056" t="str">
            <v>PL MŚ.CZTEROG.2STVAC OK15KGPJ ECS</v>
          </cell>
        </row>
        <row r="4057">
          <cell r="C4057">
            <v>4012952</v>
          </cell>
          <cell r="D4057" t="str">
            <v>***PL MŚ.CZTEROG.6-8KGTRMOK21KGKT MR SFL</v>
          </cell>
        </row>
        <row r="4058">
          <cell r="C4058">
            <v>4026587</v>
          </cell>
          <cell r="D4058" t="str">
            <v>PL MŚ.CZTEROG.2STVAC OK10KGKT MAKR</v>
          </cell>
        </row>
        <row r="4059">
          <cell r="C4059">
            <v>4029226</v>
          </cell>
          <cell r="D4059" t="str">
            <v>PL MŚ.CZTEROG.MAX20KGWOR PJ POLM</v>
          </cell>
        </row>
        <row r="4060">
          <cell r="C4060">
            <v>3026052</v>
          </cell>
          <cell r="D4060" t="str">
            <v>PL MŚ.CZTEROG.OK15KGWOR PJ ST</v>
          </cell>
        </row>
        <row r="4061">
          <cell r="C4061">
            <v>3047520</v>
          </cell>
          <cell r="D4061" t="str">
            <v>PL MŚ.CZTEROG.PBX ST</v>
          </cell>
        </row>
        <row r="4062">
          <cell r="C4062">
            <v>4016987</v>
          </cell>
          <cell r="D4062" t="str">
            <v>***PLMŚ.CZTER.N/OB.OK1KGMAPOK6KGKTLIDLLT</v>
          </cell>
        </row>
        <row r="4063">
          <cell r="C4063">
            <v>4015743</v>
          </cell>
          <cell r="D4063" t="str">
            <v>***PL MŚ.CZTEROG.OK1KGMAP 6KGKT POLM</v>
          </cell>
        </row>
        <row r="4064">
          <cell r="C4064">
            <v>3005541</v>
          </cell>
          <cell r="D4064" t="str">
            <v>PL MŚ.CZTER.N/OBR.OK20KGLUZ PJ SZ</v>
          </cell>
        </row>
        <row r="4065">
          <cell r="C4065">
            <v>3015046</v>
          </cell>
          <cell r="D4065" t="str">
            <v>PL MŚ.CZTER.N/OBR.OK15KGWOR HILT EŁ</v>
          </cell>
        </row>
        <row r="4066">
          <cell r="C4066">
            <v>3003287</v>
          </cell>
          <cell r="D4066" t="str">
            <v>***MŚ.SZ.ODBŁ.CIEM/KULKAOK15KG WR PJCHEŁ</v>
          </cell>
        </row>
        <row r="4067">
          <cell r="C4067">
            <v>3011173</v>
          </cell>
          <cell r="D4067" t="str">
            <v>***M-Ń SZYN.ODBŁ.CIEM.OK15KGWR PJCH EŁPL</v>
          </cell>
        </row>
        <row r="4068">
          <cell r="C4068">
            <v>3015044</v>
          </cell>
          <cell r="D4068" t="str">
            <v>***PLMŚ.SZYN.CIE.ODBŁ.KULKAOK15KGWORPJEŁ</v>
          </cell>
        </row>
        <row r="4069">
          <cell r="C4069">
            <v>3018641</v>
          </cell>
          <cell r="D4069" t="str">
            <v>***PL MŚ.CZTEROG.6-8KGTRMOK21KGKTDMR SFL</v>
          </cell>
        </row>
        <row r="4070">
          <cell r="C4070">
            <v>4011615</v>
          </cell>
          <cell r="D4070" t="str">
            <v>***EU SZYN.KULKA MAP K</v>
          </cell>
        </row>
        <row r="4071">
          <cell r="C4071">
            <v>4011630</v>
          </cell>
          <cell r="D4071" t="str">
            <v>***EU SZYN.KULKA MAP MAKR</v>
          </cell>
        </row>
        <row r="4072">
          <cell r="C4072">
            <v>4011647</v>
          </cell>
          <cell r="D4072" t="str">
            <v>***EU SZYN.KULKA MAP STO</v>
          </cell>
        </row>
        <row r="4073">
          <cell r="C4073">
            <v>4011669</v>
          </cell>
          <cell r="D4073" t="str">
            <v>***EU SZYN.KULKA PC OK800G PACZKA TESCO</v>
          </cell>
        </row>
        <row r="4074">
          <cell r="C4074">
            <v>4011723</v>
          </cell>
          <cell r="D4074" t="str">
            <v>***EU SZYN.KULKA OK1KG MAP 6KG KT LIDL</v>
          </cell>
        </row>
        <row r="4075">
          <cell r="C4075">
            <v>4011795</v>
          </cell>
          <cell r="D4075" t="str">
            <v>***EU SZYN.KUL.OK0.8KG MAP TESCO</v>
          </cell>
        </row>
        <row r="4076">
          <cell r="C4076">
            <v>4013429</v>
          </cell>
          <cell r="D4076" t="str">
            <v>***EU MŚ.CZTEROG.N/OBR.4STRMM 2STKT KAUF</v>
          </cell>
        </row>
        <row r="4077">
          <cell r="C4077">
            <v>4012688</v>
          </cell>
          <cell r="D4077" t="str">
            <v>***EU MŚ.CZTEROG.OK2.5KGVAC OK10KGKT</v>
          </cell>
        </row>
        <row r="4078">
          <cell r="C4078">
            <v>4012058</v>
          </cell>
          <cell r="D4078" t="str">
            <v>***EU MŚ.CZTEROG.6-8KGTRM OK21KG KT GB</v>
          </cell>
        </row>
        <row r="4079">
          <cell r="C4079">
            <v>4012106</v>
          </cell>
          <cell r="D4079" t="str">
            <v>***EU MŚ.CZTEROG.2STTRM OK15KGPJ CH ECS</v>
          </cell>
        </row>
        <row r="4080">
          <cell r="C4080">
            <v>4012953</v>
          </cell>
          <cell r="D4080" t="str">
            <v>***EU MŚ.CZTEROG.6-8KGTRMOK21KGKTMR SFL</v>
          </cell>
        </row>
        <row r="4081">
          <cell r="C4081">
            <v>3017653</v>
          </cell>
          <cell r="D4081" t="str">
            <v>***EUMŚ.SZYN.CIE.ODBŁ.KULKAOK15KGWORPJEŁ</v>
          </cell>
        </row>
        <row r="4082">
          <cell r="C4082">
            <v>3018642</v>
          </cell>
          <cell r="D4082" t="str">
            <v>***EUMŚ.CZTEROG.6-8KGTRM OK21KGKTDMR SFL</v>
          </cell>
        </row>
        <row r="4083">
          <cell r="C4083">
            <v>3006387</v>
          </cell>
          <cell r="D4083" t="str">
            <v>OGON Z/K.KRZ.CH</v>
          </cell>
        </row>
        <row r="4084">
          <cell r="C4084">
            <v>3040603</v>
          </cell>
          <cell r="D4084" t="str">
            <v>OGON Z/K.KRZ.PBX</v>
          </cell>
        </row>
        <row r="4085">
          <cell r="C4085">
            <v>4025554</v>
          </cell>
          <cell r="D4085" t="str">
            <v>PL OGON Z/K.KRZ.10KGWOR KT MR EX</v>
          </cell>
        </row>
        <row r="4086">
          <cell r="C4086">
            <v>4025343</v>
          </cell>
          <cell r="D4086" t="str">
            <v>PL OGON Z/K.KRZ.MAX4KGMAP MAX20KGPJ POLM</v>
          </cell>
        </row>
        <row r="4087">
          <cell r="C4087">
            <v>4025342</v>
          </cell>
          <cell r="D4087" t="str">
            <v>PL OGON Z/K.KRZ.OK2KGMAP OK12KGPJ ES</v>
          </cell>
        </row>
        <row r="4088">
          <cell r="C4088">
            <v>4025439</v>
          </cell>
          <cell r="D4088" t="str">
            <v>PL OGON Z/K.KRZ.OK4KGMAP OK12KGKT</v>
          </cell>
        </row>
        <row r="4089">
          <cell r="C4089">
            <v>4025643</v>
          </cell>
          <cell r="D4089" t="str">
            <v>PL OGON Z/K.KRZ.OK2.5KGMAP 4STPJ STO</v>
          </cell>
        </row>
        <row r="4090">
          <cell r="C4090">
            <v>3037911</v>
          </cell>
          <cell r="D4090" t="str">
            <v>PL OGON Z/K.KRZ.10KGWOR KT DMR EX</v>
          </cell>
        </row>
        <row r="4091">
          <cell r="C4091">
            <v>3016364</v>
          </cell>
          <cell r="D4091" t="str">
            <v>OGON Z/K.KRZ.USR</v>
          </cell>
        </row>
        <row r="4092">
          <cell r="C4092">
            <v>3044569</v>
          </cell>
          <cell r="D4092" t="str">
            <v>PP OGON Z/K.KRZ.CH</v>
          </cell>
        </row>
        <row r="4093">
          <cell r="C4093">
            <v>4029521</v>
          </cell>
          <cell r="D4093" t="str">
            <v>PP OGON Z/K.KRZ.OK4KGWOR OK4KGKT BIED</v>
          </cell>
        </row>
        <row r="4094">
          <cell r="C4094">
            <v>3044600</v>
          </cell>
          <cell r="D4094" t="str">
            <v>PP OGON Z/K.KRZ.USR</v>
          </cell>
        </row>
        <row r="4095">
          <cell r="C4095">
            <v>3007786</v>
          </cell>
          <cell r="D4095" t="str">
            <v>NOGA TYL.KR.CIĘ.CH</v>
          </cell>
        </row>
        <row r="4096">
          <cell r="C4096">
            <v>4022080</v>
          </cell>
          <cell r="D4096" t="str">
            <v>NOGA TYL.KR.10KGWOR KT MR EX</v>
          </cell>
        </row>
        <row r="4097">
          <cell r="C4097">
            <v>4007587</v>
          </cell>
          <cell r="D4097" t="str">
            <v>***NOGI WP.TYLNE KRÓTKIE CIĘTE MR CH</v>
          </cell>
        </row>
        <row r="4098">
          <cell r="C4098">
            <v>4001818</v>
          </cell>
          <cell r="D4098" t="str">
            <v>***NOGI WP.TYLNE KRÓTKO CIĘTE EXP.M</v>
          </cell>
        </row>
        <row r="4099">
          <cell r="C4099">
            <v>3033123</v>
          </cell>
          <cell r="D4099" t="str">
            <v>NOGA TYL.KR.10KGWOR KT DMR</v>
          </cell>
        </row>
        <row r="4100">
          <cell r="C4100">
            <v>3007787</v>
          </cell>
          <cell r="D4100" t="str">
            <v>***NOGI TYLNE KR.CIĘTE OK15KGKT DMR CHIN</v>
          </cell>
        </row>
        <row r="4101">
          <cell r="C4101">
            <v>3007788</v>
          </cell>
          <cell r="D4101" t="str">
            <v>***NOGI TYLNE KR.CIĘTE OK15KG KT DMR EXP</v>
          </cell>
        </row>
        <row r="4102">
          <cell r="C4102">
            <v>3009065</v>
          </cell>
          <cell r="D4102" t="str">
            <v>***NOGI TYLNE KRÓTKO CIĘTE PL</v>
          </cell>
        </row>
        <row r="4103">
          <cell r="C4103">
            <v>3033161</v>
          </cell>
          <cell r="D4103" t="str">
            <v>NOGA TYL.KR.CIĘ.USR</v>
          </cell>
        </row>
        <row r="4104">
          <cell r="C4104">
            <v>3009066</v>
          </cell>
          <cell r="D4104" t="str">
            <v>***NOGI TYLNE KRÓTKO CIĘTE PL UŚR</v>
          </cell>
        </row>
        <row r="4105">
          <cell r="C4105">
            <v>3016021</v>
          </cell>
          <cell r="D4105" t="str">
            <v>SKÓRY B/TŁ.CH</v>
          </cell>
        </row>
        <row r="4106">
          <cell r="C4106">
            <v>3045758</v>
          </cell>
          <cell r="D4106" t="str">
            <v>SKÓRY B/TŁ.OK20KG PB MR</v>
          </cell>
        </row>
        <row r="4107">
          <cell r="C4107">
            <v>4007984</v>
          </cell>
          <cell r="D4107" t="str">
            <v>***SKÓRKI WP.B/TŁ.OK15KG CH KT</v>
          </cell>
        </row>
        <row r="4108">
          <cell r="C4108">
            <v>3000210</v>
          </cell>
          <cell r="D4108" t="str">
            <v>***SKÓRKI WP.B/TŁ.PB MR ST</v>
          </cell>
        </row>
        <row r="4109">
          <cell r="C4109">
            <v>3014601</v>
          </cell>
          <cell r="D4109" t="str">
            <v>SKÓRY B/TŁ.OK20KG NB MR ST</v>
          </cell>
        </row>
        <row r="4110">
          <cell r="C4110">
            <v>4023823</v>
          </cell>
          <cell r="D4110" t="str">
            <v>SKÓRY B/TŁ.10KGWORKT MR EX</v>
          </cell>
        </row>
        <row r="4111">
          <cell r="C4111">
            <v>4001820</v>
          </cell>
          <cell r="D4111" t="str">
            <v>***SKÓRKI WP.EX</v>
          </cell>
        </row>
        <row r="4112">
          <cell r="C4112">
            <v>3000209</v>
          </cell>
          <cell r="D4112" t="str">
            <v>SKÓRY B/TŁ.OK20KGWOR PJ JBB ST</v>
          </cell>
        </row>
        <row r="4113">
          <cell r="C4113">
            <v>3009409</v>
          </cell>
          <cell r="D4113" t="str">
            <v>***SKÓRKI WP.B/TŁ.OK15KG PJ CH ST</v>
          </cell>
        </row>
        <row r="4114">
          <cell r="C4114">
            <v>4009755</v>
          </cell>
          <cell r="D4114" t="str">
            <v>***SKÓRKI WP.B/TŁ.OK15KG PJ WOR CH</v>
          </cell>
        </row>
        <row r="4115">
          <cell r="C4115">
            <v>3012579</v>
          </cell>
          <cell r="D4115" t="str">
            <v>SKÓRY B/TŁ.PJ ST</v>
          </cell>
        </row>
        <row r="4116">
          <cell r="C4116">
            <v>4001821</v>
          </cell>
          <cell r="D4116" t="str">
            <v>SKÓRY B/TŁ.CH OKT</v>
          </cell>
        </row>
        <row r="4117">
          <cell r="C4117">
            <v>4007985</v>
          </cell>
          <cell r="D4117" t="str">
            <v>***SKÓRKI Z/TŁ.PB</v>
          </cell>
        </row>
        <row r="4118">
          <cell r="C4118">
            <v>3012289</v>
          </cell>
          <cell r="D4118" t="str">
            <v>***SKÓRKI WP.B/TŁ.PBX ST</v>
          </cell>
        </row>
        <row r="4119">
          <cell r="C4119">
            <v>3009722</v>
          </cell>
          <cell r="D4119" t="str">
            <v>***SKÓRKI WP.B/TŁ. OKTABINA ST</v>
          </cell>
        </row>
        <row r="4120">
          <cell r="C4120">
            <v>3012609</v>
          </cell>
          <cell r="D4120" t="str">
            <v>SKÓRY B/TŁ.OKT ST</v>
          </cell>
        </row>
        <row r="4121">
          <cell r="C4121">
            <v>3032153</v>
          </cell>
          <cell r="D4121" t="str">
            <v>***SKÓRKI WP.B/TŁ.OK500KG PBX K4 ZAK</v>
          </cell>
        </row>
        <row r="4122">
          <cell r="C4122">
            <v>3014382</v>
          </cell>
          <cell r="D4122" t="str">
            <v>SKÓRY OK15KGLUZ PJ SZ</v>
          </cell>
        </row>
        <row r="4123">
          <cell r="C4123">
            <v>3045750</v>
          </cell>
          <cell r="D4123" t="str">
            <v>SKÓRY B/TŁ.OK20KG PB DMR</v>
          </cell>
        </row>
        <row r="4124">
          <cell r="C4124">
            <v>3007789</v>
          </cell>
          <cell r="D4124" t="str">
            <v>***SKORKI PB DMR</v>
          </cell>
        </row>
        <row r="4125">
          <cell r="C4125">
            <v>3014605</v>
          </cell>
          <cell r="D4125" t="str">
            <v>SKÓRY B/TŁ.OK20KG NB DMR</v>
          </cell>
        </row>
        <row r="4126">
          <cell r="C4126">
            <v>3035192</v>
          </cell>
          <cell r="D4126" t="str">
            <v>SKÓRY B/TŁ.10KGWOR KT DMR</v>
          </cell>
        </row>
        <row r="4127">
          <cell r="C4127">
            <v>3007790</v>
          </cell>
          <cell r="D4127" t="str">
            <v>***SKÓRKI WP.B/TŁ. PB DMR EX</v>
          </cell>
        </row>
        <row r="4128">
          <cell r="C4128">
            <v>3007791</v>
          </cell>
          <cell r="D4128" t="str">
            <v>***SKORKI Z TŁ. PB DMR</v>
          </cell>
        </row>
        <row r="4129">
          <cell r="C4129">
            <v>3011225</v>
          </cell>
          <cell r="D4129" t="str">
            <v>SKÓRY B/TŁ.PB RO1</v>
          </cell>
        </row>
        <row r="4130">
          <cell r="C4130">
            <v>3020272</v>
          </cell>
          <cell r="D4130" t="str">
            <v>SKÓRY B/TŁ.PB RO2</v>
          </cell>
        </row>
        <row r="4131">
          <cell r="C4131">
            <v>3044682</v>
          </cell>
          <cell r="D4131" t="str">
            <v>EU SKÓRY B/TŁ.CH</v>
          </cell>
        </row>
        <row r="4132">
          <cell r="C4132">
            <v>3044683</v>
          </cell>
          <cell r="D4132" t="str">
            <v>EU SKÓRY B/TŁ.PBX1</v>
          </cell>
        </row>
        <row r="4133">
          <cell r="C4133">
            <v>3044701</v>
          </cell>
          <cell r="D4133" t="str">
            <v>EU SKÓRY B/TŁ.OK20KG NB MR ST</v>
          </cell>
        </row>
        <row r="4134">
          <cell r="C4134">
            <v>4029575</v>
          </cell>
          <cell r="D4134" t="str">
            <v>EU SKÓRY B/TŁ.OK500KG OKT</v>
          </cell>
        </row>
        <row r="4135">
          <cell r="C4135">
            <v>3044680</v>
          </cell>
          <cell r="D4135" t="str">
            <v>EU SKÓRY B/TŁ.USR</v>
          </cell>
        </row>
        <row r="4136">
          <cell r="C4136">
            <v>3044702</v>
          </cell>
          <cell r="D4136" t="str">
            <v>EU SKÓRY B/TŁ.OK20KG NB DMR</v>
          </cell>
        </row>
        <row r="4137">
          <cell r="C4137">
            <v>3044693</v>
          </cell>
          <cell r="D4137" t="str">
            <v>EU SKÓRY B/TŁ.RO1</v>
          </cell>
        </row>
        <row r="4138">
          <cell r="C4138">
            <v>3044687</v>
          </cell>
          <cell r="D4138" t="str">
            <v>EU SKÓRY B/TŁ.PBX2</v>
          </cell>
        </row>
        <row r="4139">
          <cell r="C4139">
            <v>3044711</v>
          </cell>
          <cell r="D4139" t="str">
            <v>EU SKÓRY B/TŁ.RO2</v>
          </cell>
        </row>
        <row r="4140">
          <cell r="C4140">
            <v>3024734</v>
          </cell>
          <cell r="D4140" t="str">
            <v>SKÓRY B/TŁ.Z SZYN.CH1</v>
          </cell>
        </row>
        <row r="4141">
          <cell r="C4141">
            <v>3024777</v>
          </cell>
          <cell r="D4141" t="str">
            <v>SKÓRY B/TŁ.Z SZYN.PBX1</v>
          </cell>
        </row>
        <row r="4142">
          <cell r="C4142">
            <v>3025088</v>
          </cell>
          <cell r="D4142" t="str">
            <v>SKÓRY Z SZYN.OK20KG NB MR ST</v>
          </cell>
        </row>
        <row r="4143">
          <cell r="C4143">
            <v>3043077</v>
          </cell>
          <cell r="D4143" t="str">
            <v>EU SKÓRY B/TŁ.Z SZYN.USR CH</v>
          </cell>
        </row>
        <row r="4144">
          <cell r="C4144">
            <v>3024731</v>
          </cell>
          <cell r="D4144" t="str">
            <v>SKÓRY Z SZYN.OK20KG NB DMR</v>
          </cell>
        </row>
        <row r="4145">
          <cell r="C4145">
            <v>3025052</v>
          </cell>
          <cell r="D4145" t="str">
            <v>SKÓRY B/TŁ.Z SZYN.CH2</v>
          </cell>
        </row>
        <row r="4146">
          <cell r="C4146">
            <v>3025119</v>
          </cell>
          <cell r="D4146" t="str">
            <v>SKÓRY B/TŁ.Z SZYN.PBX2</v>
          </cell>
        </row>
        <row r="4147">
          <cell r="C4147">
            <v>3016305</v>
          </cell>
          <cell r="D4147" t="str">
            <v>SKÓRY B/TŁ.USR CH1</v>
          </cell>
        </row>
        <row r="4148">
          <cell r="C4148">
            <v>3024954</v>
          </cell>
          <cell r="D4148" t="str">
            <v>SKÓRY B/TŁ.USR PBX1</v>
          </cell>
        </row>
        <row r="4149">
          <cell r="C4149">
            <v>3020273</v>
          </cell>
          <cell r="D4149" t="str">
            <v>SKÓRY B/TŁ.USR CH2</v>
          </cell>
        </row>
        <row r="4150">
          <cell r="C4150">
            <v>3025214</v>
          </cell>
          <cell r="D4150" t="str">
            <v>SKÓRY B/TŁ.USR PBX2</v>
          </cell>
        </row>
        <row r="4151">
          <cell r="C4151">
            <v>3037822</v>
          </cell>
          <cell r="D4151" t="str">
            <v>PP SKÓRY B/TŁ.CH</v>
          </cell>
        </row>
        <row r="4152">
          <cell r="C4152">
            <v>3041757</v>
          </cell>
          <cell r="D4152" t="str">
            <v>PP SKÓRY B/TŁ.PBX1</v>
          </cell>
        </row>
        <row r="4153">
          <cell r="C4153">
            <v>3041054</v>
          </cell>
          <cell r="D4153" t="str">
            <v>PP SKÓRY Z SZYN.OK20KG NB MR ST</v>
          </cell>
        </row>
        <row r="4154">
          <cell r="C4154">
            <v>3041036</v>
          </cell>
          <cell r="D4154" t="str">
            <v>PP SKÓRY B/TŁ.OK20KG NB MR ST</v>
          </cell>
        </row>
        <row r="4155">
          <cell r="C4155">
            <v>3037423</v>
          </cell>
          <cell r="D4155" t="str">
            <v>PP SKÓRY B/TŁ.Z SZYN.CH</v>
          </cell>
        </row>
        <row r="4156">
          <cell r="C4156">
            <v>3037588</v>
          </cell>
          <cell r="D4156" t="str">
            <v>PP SKÓRY B/TŁ.Z SZYN.PBX ST1</v>
          </cell>
        </row>
        <row r="4157">
          <cell r="C4157">
            <v>3037842</v>
          </cell>
          <cell r="D4157" t="str">
            <v>PP SKÓRY B/TŁ.USR</v>
          </cell>
        </row>
        <row r="4158">
          <cell r="C4158">
            <v>3038264</v>
          </cell>
          <cell r="D4158" t="str">
            <v>PP SKÓRY Z SZYN.OK15KG NB DMR</v>
          </cell>
        </row>
        <row r="4159">
          <cell r="C4159">
            <v>3039461</v>
          </cell>
          <cell r="D4159" t="str">
            <v>PP SKÓRY B/TŁ.OK20KG NB DMR</v>
          </cell>
        </row>
        <row r="4160">
          <cell r="C4160">
            <v>3041037</v>
          </cell>
          <cell r="D4160" t="str">
            <v>PP SKÓRY B/TŁ.RO1</v>
          </cell>
        </row>
        <row r="4161">
          <cell r="C4161">
            <v>3041771</v>
          </cell>
          <cell r="D4161" t="str">
            <v>PP SKÓRY B/TŁ.PBX2</v>
          </cell>
        </row>
        <row r="4162">
          <cell r="C4162">
            <v>3041053</v>
          </cell>
          <cell r="D4162" t="str">
            <v>PP SKÓRY B/TŁ.RO2</v>
          </cell>
        </row>
        <row r="4163">
          <cell r="C4163">
            <v>3037780</v>
          </cell>
          <cell r="D4163" t="str">
            <v>PP SKÓRY B/TŁ.Z SZYN.PBX ST2</v>
          </cell>
        </row>
        <row r="4164">
          <cell r="C4164">
            <v>3044716</v>
          </cell>
          <cell r="D4164" t="str">
            <v>EU SKÓRY B/TŁ.Z SZYN.CH</v>
          </cell>
        </row>
        <row r="4165">
          <cell r="C4165">
            <v>3044718</v>
          </cell>
          <cell r="D4165" t="str">
            <v>EU SKÓRY B/TŁ.Z SZYN.OK20KG NB MR ST</v>
          </cell>
        </row>
        <row r="4166">
          <cell r="C4166">
            <v>3043078</v>
          </cell>
          <cell r="D4166" t="str">
            <v>PP SKÓRY B/TŁ.Z SZYN.USR CH</v>
          </cell>
        </row>
        <row r="4167">
          <cell r="C4167">
            <v>3044717</v>
          </cell>
          <cell r="D4167" t="str">
            <v>EU SKÓRY B/TŁ.Z SZYN.OK20KG NB DMR</v>
          </cell>
        </row>
        <row r="4168">
          <cell r="C4168">
            <v>3042506</v>
          </cell>
          <cell r="D4168" t="str">
            <v>SKÓRY B/TŁ.MAC.CH</v>
          </cell>
        </row>
        <row r="4169">
          <cell r="C4169">
            <v>3042507</v>
          </cell>
          <cell r="D4169" t="str">
            <v>SKÓRY B/TŁ.MAC.USR CH</v>
          </cell>
        </row>
        <row r="4170">
          <cell r="C4170">
            <v>3019055</v>
          </cell>
          <cell r="D4170" t="str">
            <v>SKÓRY B/TŁ. ROZP1</v>
          </cell>
        </row>
        <row r="4171">
          <cell r="C4171">
            <v>3020274</v>
          </cell>
          <cell r="D4171" t="str">
            <v>SKÓRY B/TŁ. ROZP2</v>
          </cell>
        </row>
        <row r="4172">
          <cell r="C4172">
            <v>3016022</v>
          </cell>
          <cell r="D4172" t="str">
            <v>SKÓRY Z/TŁ.CH</v>
          </cell>
        </row>
        <row r="4173">
          <cell r="C4173">
            <v>4003898</v>
          </cell>
          <cell r="D4173" t="str">
            <v>SKÓRY Z/TŁ.OK20KG NB MR</v>
          </cell>
        </row>
        <row r="4174">
          <cell r="C4174">
            <v>3007793</v>
          </cell>
          <cell r="D4174" t="str">
            <v>***SKÓRKI Z TŁ.OK15KG PJ CH ST</v>
          </cell>
        </row>
        <row r="4175">
          <cell r="C4175">
            <v>3009430</v>
          </cell>
          <cell r="D4175" t="str">
            <v>***SKÓRKI WP.Z/TŁ.OK15KG PJ CH ST</v>
          </cell>
        </row>
        <row r="4176">
          <cell r="C4176">
            <v>3003516</v>
          </cell>
          <cell r="D4176" t="str">
            <v>SKÓRY Z/TŁ.LUZ KOSZOPALETA ST</v>
          </cell>
        </row>
        <row r="4177">
          <cell r="C4177">
            <v>3007794</v>
          </cell>
          <cell r="D4177" t="str">
            <v>SKÓRY Z TŁ.OK20KG NB DMR</v>
          </cell>
        </row>
        <row r="4178">
          <cell r="C4178">
            <v>3007795</v>
          </cell>
          <cell r="D4178" t="str">
            <v>SKÓRY Z/TŁ.RO1</v>
          </cell>
        </row>
        <row r="4179">
          <cell r="C4179">
            <v>3020275</v>
          </cell>
          <cell r="D4179" t="str">
            <v>SKÓRY Z/TŁ.RO2</v>
          </cell>
        </row>
        <row r="4180">
          <cell r="C4180">
            <v>3026641</v>
          </cell>
          <cell r="D4180" t="str">
            <v>PL SKÓRY Z/TŁ.Z SZYN.CH</v>
          </cell>
        </row>
        <row r="4181">
          <cell r="C4181">
            <v>3007796</v>
          </cell>
          <cell r="D4181" t="str">
            <v>SKÓRY Z/TŁ.USR CH1</v>
          </cell>
        </row>
        <row r="4182">
          <cell r="C4182">
            <v>3024955</v>
          </cell>
          <cell r="D4182" t="str">
            <v>SKÓRY Z/TŁ.USR PBX1</v>
          </cell>
        </row>
        <row r="4183">
          <cell r="C4183">
            <v>3020276</v>
          </cell>
          <cell r="D4183" t="str">
            <v>SKÓRY Z/TŁ.USR CH2</v>
          </cell>
        </row>
        <row r="4184">
          <cell r="C4184">
            <v>3025215</v>
          </cell>
          <cell r="D4184" t="str">
            <v>SKÓRY Z/TŁ.USR PBX2</v>
          </cell>
        </row>
        <row r="4185">
          <cell r="C4185">
            <v>3041226</v>
          </cell>
          <cell r="D4185" t="str">
            <v>PP SKÓRY Z/TŁ.CH</v>
          </cell>
        </row>
        <row r="4186">
          <cell r="C4186">
            <v>3045783</v>
          </cell>
          <cell r="D4186" t="str">
            <v>PP SKÓRY Z/TŁ.Z SZYN.CH</v>
          </cell>
        </row>
        <row r="4187">
          <cell r="C4187">
            <v>3045784</v>
          </cell>
          <cell r="D4187" t="str">
            <v>PP SKÓRY Z/TŁ.Z/SZYN.PBX1</v>
          </cell>
        </row>
        <row r="4188">
          <cell r="C4188">
            <v>3041256</v>
          </cell>
          <cell r="D4188" t="str">
            <v>PP SKÓRY Z/TŁ.USR CH</v>
          </cell>
        </row>
        <row r="4189">
          <cell r="C4189">
            <v>3045786</v>
          </cell>
          <cell r="D4189" t="str">
            <v>PP SKÓRY Z/TŁ.Z/SZYN.PBX2</v>
          </cell>
        </row>
        <row r="4190">
          <cell r="C4190">
            <v>3038711</v>
          </cell>
          <cell r="D4190" t="str">
            <v>SKÓRY GRZBIET.B/TŁ.ZE SCH.CH</v>
          </cell>
        </row>
        <row r="4191">
          <cell r="C4191">
            <v>4009783</v>
          </cell>
          <cell r="D4191" t="str">
            <v xml:space="preserve">***SKÓRKI WP.GRZBIETOWE 15KG KT MR </v>
          </cell>
        </row>
        <row r="4192">
          <cell r="C4192">
            <v>4025953</v>
          </cell>
          <cell r="D4192" t="str">
            <v>SKÓRY GRZB.B/TŁ.ZE SCH.OK700KGOKT EX</v>
          </cell>
        </row>
        <row r="4193">
          <cell r="C4193">
            <v>3012173</v>
          </cell>
          <cell r="D4193" t="str">
            <v>***SKÓRKI WP.GRZBIETOWE15KG KT DMR CHINY</v>
          </cell>
        </row>
        <row r="4194">
          <cell r="C4194">
            <v>3012171</v>
          </cell>
          <cell r="D4194" t="str">
            <v>***SKÓRKI WP.GRZBIETOWE B/TŁ.CH PL</v>
          </cell>
        </row>
        <row r="4195">
          <cell r="C4195">
            <v>3012172</v>
          </cell>
          <cell r="D4195" t="str">
            <v>***SKÓRKI WP.GRZBIETOWE B/TŁ.CH PL USR</v>
          </cell>
        </row>
        <row r="4196">
          <cell r="C4196">
            <v>3042645</v>
          </cell>
          <cell r="D4196" t="str">
            <v>PRZODEK MAC.CH</v>
          </cell>
        </row>
        <row r="4197">
          <cell r="C4197">
            <v>3046077</v>
          </cell>
          <cell r="D4197" t="str">
            <v>PRZODEK MAC.OK20KG NB MR</v>
          </cell>
        </row>
        <row r="4198">
          <cell r="C4198">
            <v>3046081</v>
          </cell>
          <cell r="D4198" t="str">
            <v>PRZODEK MAC.OK20KG NB DMR</v>
          </cell>
        </row>
        <row r="4199">
          <cell r="C4199">
            <v>3046080</v>
          </cell>
          <cell r="D4199" t="str">
            <v>PRZODEK MAC.RO</v>
          </cell>
        </row>
        <row r="4200">
          <cell r="C4200">
            <v>3015884</v>
          </cell>
          <cell r="D4200" t="str">
            <v>PRZODEK Z/GOL. MDP CH</v>
          </cell>
        </row>
        <row r="4201">
          <cell r="C4201">
            <v>3015877</v>
          </cell>
          <cell r="D4201" t="str">
            <v>PRZODEK Z/GOL.CH</v>
          </cell>
        </row>
        <row r="4202">
          <cell r="C4202">
            <v>3022904</v>
          </cell>
          <cell r="D4202" t="str">
            <v>PRZODEK Z/GOL.LUZ OKT MR</v>
          </cell>
        </row>
        <row r="4203">
          <cell r="C4203">
            <v>3034738</v>
          </cell>
          <cell r="D4203" t="str">
            <v>PL PRZODEK Z/GOL.OK500KG PBX ST</v>
          </cell>
        </row>
        <row r="4204">
          <cell r="C4204">
            <v>4012218</v>
          </cell>
          <cell r="D4204" t="str">
            <v>***PL PRZODEK Z/GOL. LUZ WOR 1ST PJ</v>
          </cell>
        </row>
        <row r="4205">
          <cell r="C4205">
            <v>3018424</v>
          </cell>
          <cell r="D4205" t="str">
            <v>***PL PRZODEK Z/GOL.LUZ OKT CH ST</v>
          </cell>
        </row>
        <row r="4206">
          <cell r="C4206">
            <v>4003292</v>
          </cell>
          <cell r="D4206" t="str">
            <v>***PRZODEK WP. KL.E OKT CH</v>
          </cell>
        </row>
        <row r="4207">
          <cell r="C4207">
            <v>3032489</v>
          </cell>
          <cell r="D4207" t="str">
            <v>***PRZODEK WP.Z/GOL.OK500KG PBX K4 ZAK</v>
          </cell>
        </row>
        <row r="4208">
          <cell r="C4208">
            <v>3011132</v>
          </cell>
          <cell r="D4208" t="str">
            <v>***PRZODEK WP. KL.E OKT CH SZ</v>
          </cell>
        </row>
        <row r="4209">
          <cell r="C4209">
            <v>3035623</v>
          </cell>
          <cell r="D4209" t="str">
            <v>PRZODEK Z/GOL.OK600KG OKT SZ</v>
          </cell>
        </row>
        <row r="4210">
          <cell r="C4210">
            <v>3033488</v>
          </cell>
          <cell r="D4210" t="str">
            <v>PL PRZODEK OK650KG OKT K4</v>
          </cell>
        </row>
        <row r="4211">
          <cell r="C4211">
            <v>3038565</v>
          </cell>
          <cell r="D4211" t="str">
            <v>PRZODEK Z/GOL.OK500KG OKT ZAK</v>
          </cell>
        </row>
        <row r="4212">
          <cell r="C4212">
            <v>3033486</v>
          </cell>
          <cell r="D4212" t="str">
            <v>PL PRZODEK PBX K4</v>
          </cell>
        </row>
        <row r="4213">
          <cell r="C4213">
            <v>3022902</v>
          </cell>
          <cell r="D4213" t="str">
            <v>PRZODEK Z/GOL.LUZ OKT DMR</v>
          </cell>
        </row>
        <row r="4214">
          <cell r="C4214">
            <v>3022903</v>
          </cell>
          <cell r="D4214" t="str">
            <v>PRZODEK Z/GOL.LUZ OKT RO</v>
          </cell>
        </row>
        <row r="4215">
          <cell r="C4215">
            <v>4012219</v>
          </cell>
          <cell r="D4215" t="str">
            <v>***EU PRZODEK Z/GOL. LUZ WOR 1ST PJ</v>
          </cell>
        </row>
        <row r="4216">
          <cell r="C4216">
            <v>3018428</v>
          </cell>
          <cell r="D4216" t="str">
            <v>***EU PRZODEK Z /GOL.LUZ OKT CH ST</v>
          </cell>
        </row>
        <row r="4217">
          <cell r="C4217">
            <v>3017952</v>
          </cell>
          <cell r="D4217" t="str">
            <v>PL PRZODEK Z/GOL. USR</v>
          </cell>
        </row>
        <row r="4218">
          <cell r="C4218">
            <v>3017929</v>
          </cell>
          <cell r="D4218" t="str">
            <v>***EU PRZODEK Z/GOL. USR</v>
          </cell>
        </row>
        <row r="4219">
          <cell r="C4219">
            <v>3044087</v>
          </cell>
          <cell r="D4219" t="str">
            <v>PRZODEK Z/GOL.B/PODG.MAC.CH</v>
          </cell>
        </row>
        <row r="4220">
          <cell r="C4220">
            <v>3041688</v>
          </cell>
          <cell r="D4220" t="str">
            <v>PRZODEK Z/GOL.B/PODG.OK6ST HAK ZAK</v>
          </cell>
        </row>
        <row r="4221">
          <cell r="C4221">
            <v>3004225</v>
          </cell>
          <cell r="D4221" t="str">
            <v>***PRZODEK Z/GOL.KL.R CH</v>
          </cell>
        </row>
        <row r="4222">
          <cell r="C4222">
            <v>3015872</v>
          </cell>
          <cell r="D4222" t="str">
            <v>ĆW.SCH.B/POK/POL.CH</v>
          </cell>
        </row>
        <row r="4223">
          <cell r="C4223">
            <v>3020980</v>
          </cell>
          <cell r="D4223" t="str">
            <v>***ĆW.SCH.B/POK/POL.LUZ OKT CH ST</v>
          </cell>
        </row>
        <row r="4224">
          <cell r="C4224">
            <v>3038586</v>
          </cell>
          <cell r="D4224" t="str">
            <v>ĆW.SCH.B/POK/POL.OK500KG OKT ZAK</v>
          </cell>
        </row>
        <row r="4225">
          <cell r="C4225">
            <v>3004210</v>
          </cell>
          <cell r="D4225" t="str">
            <v>***ĆW.SCH.WĄS.B/POL/POK KL.U CH</v>
          </cell>
        </row>
        <row r="4226">
          <cell r="C4226">
            <v>3004213</v>
          </cell>
          <cell r="D4226" t="str">
            <v>***ĆW.SCH.WĄS.B/POL/POK KL.R CH</v>
          </cell>
        </row>
        <row r="4227">
          <cell r="C4227">
            <v>3008840</v>
          </cell>
          <cell r="D4227" t="str">
            <v>***ĆW.SCH.WĄS.B/POL/POK KL.O CH</v>
          </cell>
        </row>
        <row r="4228">
          <cell r="C4228">
            <v>3004203</v>
          </cell>
          <cell r="D4228" t="str">
            <v>***ĆW.SCH.WĄS.B/POL/POK KL.S CH</v>
          </cell>
        </row>
        <row r="4229">
          <cell r="C4229">
            <v>3007797</v>
          </cell>
          <cell r="D4229" t="str">
            <v>***SZYN.Z/K/SK/GOL KL.E CH</v>
          </cell>
        </row>
        <row r="4230">
          <cell r="C4230">
            <v>3008692</v>
          </cell>
          <cell r="D4230" t="str">
            <v>***SZYNKA KL.E Z/K/SK LUZ PJ CH ST</v>
          </cell>
        </row>
        <row r="4231">
          <cell r="C4231">
            <v>3008903</v>
          </cell>
          <cell r="D4231" t="str">
            <v>***SZYN.Z/K/SK/GOL KL.E USR</v>
          </cell>
        </row>
        <row r="4232">
          <cell r="C4232">
            <v>3008789</v>
          </cell>
          <cell r="D4232" t="str">
            <v>***ĆW.SCH.WĄS.B/POL/POK KL.A CH</v>
          </cell>
        </row>
        <row r="4233">
          <cell r="C4233">
            <v>3004240</v>
          </cell>
          <cell r="D4233" t="str">
            <v>***ĆW.SCH.WĄS.Z/POK.B/POL KL.A CH</v>
          </cell>
        </row>
        <row r="4234">
          <cell r="C4234">
            <v>3015870</v>
          </cell>
          <cell r="D4234" t="str">
            <v>ĆW.SCH.Z/POK.B/POL.CH</v>
          </cell>
        </row>
        <row r="4235">
          <cell r="C4235">
            <v>3022906</v>
          </cell>
          <cell r="D4235" t="str">
            <v>***ĆW.SCH.Z/POK.B/P.LUZ OKT MR</v>
          </cell>
        </row>
        <row r="4236">
          <cell r="C4236">
            <v>3018426</v>
          </cell>
          <cell r="D4236" t="str">
            <v>***PL ĆW.SCH.Z/K.LUZ OKT CH ST</v>
          </cell>
        </row>
        <row r="4237">
          <cell r="C4237">
            <v>3022908</v>
          </cell>
          <cell r="D4237" t="str">
            <v>***ĆW.SCH.Z/POK.B/POL.LUZ OKT DMR</v>
          </cell>
        </row>
        <row r="4238">
          <cell r="C4238">
            <v>3022907</v>
          </cell>
          <cell r="D4238" t="str">
            <v>***ĆW.SCH.Z/POK.B/POL.LUZ OKT RO</v>
          </cell>
        </row>
        <row r="4239">
          <cell r="C4239">
            <v>3018427</v>
          </cell>
          <cell r="D4239" t="str">
            <v>***EU ĆW.SCH.Z/K.LUZ OKT CH ST</v>
          </cell>
        </row>
        <row r="4240">
          <cell r="C4240">
            <v>3018423</v>
          </cell>
          <cell r="D4240" t="str">
            <v>PL ĆW.SCH.Z/K.CH USR</v>
          </cell>
        </row>
        <row r="4241">
          <cell r="C4241">
            <v>3018425</v>
          </cell>
          <cell r="D4241" t="str">
            <v>***EU ĆW.SCH.Z/K.CH USR</v>
          </cell>
        </row>
        <row r="4242">
          <cell r="C4242">
            <v>3015881</v>
          </cell>
          <cell r="D4242" t="str">
            <v>ĆW.SCH.Z/POK/POL.MDP CH</v>
          </cell>
        </row>
        <row r="4243">
          <cell r="C4243">
            <v>3004212</v>
          </cell>
          <cell r="D4243" t="str">
            <v>***ĆW.SCH.WĄS.Z/POK.B/POL KL.R CH</v>
          </cell>
        </row>
        <row r="4244">
          <cell r="C4244">
            <v>3004202</v>
          </cell>
          <cell r="D4244" t="str">
            <v>***ĆW.SCH.WĄS.Z/POK.B/POL KL.S CH</v>
          </cell>
        </row>
        <row r="4245">
          <cell r="C4245">
            <v>3004208</v>
          </cell>
          <cell r="D4245" t="str">
            <v>***ĆW.SCH.WĄS.Z/POK.B/POL KL.U CH</v>
          </cell>
        </row>
        <row r="4246">
          <cell r="C4246">
            <v>3015882</v>
          </cell>
          <cell r="D4246" t="str">
            <v>ĆW.SCH.WĄS.B/POL/POK.MDP CH</v>
          </cell>
        </row>
        <row r="4247">
          <cell r="C4247">
            <v>3015859</v>
          </cell>
          <cell r="D4247" t="str">
            <v>ĆW.SCH.B/POL.CH</v>
          </cell>
        </row>
        <row r="4248">
          <cell r="C4248">
            <v>3007798</v>
          </cell>
          <cell r="D4248" t="str">
            <v>***SZYN.Z/K/SK.B/GOL KL.E CH T</v>
          </cell>
        </row>
        <row r="4249">
          <cell r="C4249">
            <v>3007799</v>
          </cell>
          <cell r="D4249" t="str">
            <v>***SZYN.Z/K/SK.B/GOL KL.U CH T</v>
          </cell>
        </row>
        <row r="4250">
          <cell r="C4250">
            <v>3007800</v>
          </cell>
          <cell r="D4250" t="str">
            <v>***SZYN.Z/K/SK.B/GOL CH T</v>
          </cell>
        </row>
        <row r="4251">
          <cell r="C4251">
            <v>3015918</v>
          </cell>
          <cell r="D4251" t="str">
            <v>PL ŁOP.Z/K/G/S.CH</v>
          </cell>
        </row>
        <row r="4252">
          <cell r="C4252">
            <v>4008719</v>
          </cell>
          <cell r="D4252" t="str">
            <v>***ŁOP.Z/K/GOL KL.E CIĘ.TENIS CHOINK HIL</v>
          </cell>
        </row>
        <row r="4253">
          <cell r="C4253">
            <v>4012505</v>
          </cell>
          <cell r="D4253" t="str">
            <v>***ŁOP.Z/K/GOL/SK.LUZ PBX</v>
          </cell>
        </row>
        <row r="4254">
          <cell r="C4254">
            <v>3033494</v>
          </cell>
          <cell r="D4254" t="str">
            <v>PL ŁOP.Z/K/G/S.OK650KG OKT K4</v>
          </cell>
        </row>
        <row r="4255">
          <cell r="C4255">
            <v>3043131</v>
          </cell>
          <cell r="D4255" t="str">
            <v>ŁOP.Z/K/G/S.HAK ZAK</v>
          </cell>
        </row>
        <row r="4256">
          <cell r="C4256">
            <v>3017751</v>
          </cell>
          <cell r="D4256" t="str">
            <v>EU ŁOP.Z/K/GOL/SK.CH</v>
          </cell>
        </row>
        <row r="4257">
          <cell r="C4257">
            <v>3045291</v>
          </cell>
          <cell r="D4257" t="str">
            <v>EU ŁOP.Z/K/GOL/S.HAK ZAK</v>
          </cell>
        </row>
        <row r="4258">
          <cell r="C4258">
            <v>3009477</v>
          </cell>
          <cell r="D4258" t="str">
            <v>***ŁOP.Z/K/GOL KL.E CIĘ.TENIS USR</v>
          </cell>
        </row>
        <row r="4259">
          <cell r="C4259">
            <v>3035459</v>
          </cell>
          <cell r="D4259" t="str">
            <v>PP ŁOP.Z/K/GOL/SK.</v>
          </cell>
        </row>
        <row r="4260">
          <cell r="C4260">
            <v>3004387</v>
          </cell>
          <cell r="D4260" t="str">
            <v>***ŁOP.Z/K/GOL/SK KL.U CH</v>
          </cell>
        </row>
        <row r="4261">
          <cell r="C4261">
            <v>3005033</v>
          </cell>
          <cell r="D4261" t="str">
            <v>***ŁOP.Z/K/GOL/SK KL.R CH</v>
          </cell>
        </row>
        <row r="4262">
          <cell r="C4262">
            <v>3005032</v>
          </cell>
          <cell r="D4262" t="str">
            <v>***ŁOP.Z GOL. KL.S CH</v>
          </cell>
        </row>
        <row r="4263">
          <cell r="C4263">
            <v>4008718</v>
          </cell>
          <cell r="D4263" t="str">
            <v>***ŁOP.Z/K/GOL KL.S CIĘ.TENIS CHOINK HIL</v>
          </cell>
        </row>
        <row r="4264">
          <cell r="C4264">
            <v>3009476</v>
          </cell>
          <cell r="D4264" t="str">
            <v>***ŁOP.Z/K/GOL KL.S CIĘ.TENIS USR</v>
          </cell>
        </row>
        <row r="4265">
          <cell r="C4265">
            <v>3015908</v>
          </cell>
          <cell r="D4265" t="str">
            <v>PL MŚ.CZTEROG.CH</v>
          </cell>
        </row>
        <row r="4266">
          <cell r="C4266">
            <v>3007801</v>
          </cell>
          <cell r="D4266" t="str">
            <v>***M-Ń CZTEROGŁOWY N/OBR KL.E NB MR</v>
          </cell>
        </row>
        <row r="4267">
          <cell r="C4267">
            <v>3026926</v>
          </cell>
          <cell r="D4267" t="str">
            <v>MŚ.CZTEROG.PBX1</v>
          </cell>
        </row>
        <row r="4268">
          <cell r="C4268">
            <v>3007802</v>
          </cell>
          <cell r="D4268" t="str">
            <v>***M-Ń CZTEROGŁOWY N/OBR KL.E NB DMR</v>
          </cell>
        </row>
        <row r="4269">
          <cell r="C4269">
            <v>3027056</v>
          </cell>
          <cell r="D4269" t="str">
            <v>MŚ.CZTEROG.PBX2</v>
          </cell>
        </row>
        <row r="4270">
          <cell r="C4270">
            <v>3017742</v>
          </cell>
          <cell r="D4270" t="str">
            <v>EU MŚ.CZTEROG.CH</v>
          </cell>
        </row>
        <row r="4271">
          <cell r="C4271">
            <v>3042650</v>
          </cell>
          <cell r="D4271" t="str">
            <v>PP MŚ.CZTEROG.CH</v>
          </cell>
        </row>
        <row r="4272">
          <cell r="C4272">
            <v>3042651</v>
          </cell>
          <cell r="D4272" t="str">
            <v>PP MŚ.CZTEROG.PBX1</v>
          </cell>
        </row>
        <row r="4273">
          <cell r="C4273">
            <v>3042653</v>
          </cell>
          <cell r="D4273" t="str">
            <v>PP MŚ.CZTEROG.PBX2</v>
          </cell>
        </row>
        <row r="4274">
          <cell r="C4274">
            <v>3005024</v>
          </cell>
          <cell r="D4274" t="str">
            <v>***M-Ń CZTEROGŁOWYN/OBR11000HILTON KLU C</v>
          </cell>
        </row>
        <row r="4275">
          <cell r="C4275">
            <v>3007803</v>
          </cell>
          <cell r="D4275" t="str">
            <v>***M-Ń CZTEROGŁOWY N/OBR KL.R CH</v>
          </cell>
        </row>
        <row r="4276">
          <cell r="C4276">
            <v>3026719</v>
          </cell>
          <cell r="D4276" t="str">
            <v>PL MŚ.CZTEROG.CIĘ.3CZ.CH</v>
          </cell>
        </row>
        <row r="4277">
          <cell r="C4277">
            <v>3026978</v>
          </cell>
          <cell r="D4277" t="str">
            <v>***MŚ.CZTEROG.N/OBR.CIĘ.3CZ.PBX CH1</v>
          </cell>
        </row>
        <row r="4278">
          <cell r="C4278">
            <v>3029614</v>
          </cell>
          <cell r="D4278" t="str">
            <v>PL MŚ.CZTEROG.CIĘ.3CZ.OK20KG NB MR ST</v>
          </cell>
        </row>
        <row r="4279">
          <cell r="C4279">
            <v>3026979</v>
          </cell>
          <cell r="D4279" t="str">
            <v>PL MŚ.CZTEROG.CIĘ.3CZ.OK15KGWOR PJST</v>
          </cell>
        </row>
        <row r="4280">
          <cell r="C4280">
            <v>3029615</v>
          </cell>
          <cell r="D4280" t="str">
            <v>PL MŚ.CZTEROG.CIĘ.3CZ.OK20KG NB DMR</v>
          </cell>
        </row>
        <row r="4281">
          <cell r="C4281">
            <v>3027029</v>
          </cell>
          <cell r="D4281" t="str">
            <v>***MŚ.CZTEROG.N/OBR.CIĘ.3CZ.PBX CH2</v>
          </cell>
        </row>
        <row r="4282">
          <cell r="C4282">
            <v>3027042</v>
          </cell>
          <cell r="D4282" t="str">
            <v>MŚ.CZTEROG.CIĘ.2CZ.CH</v>
          </cell>
        </row>
        <row r="4283">
          <cell r="C4283">
            <v>3027035</v>
          </cell>
          <cell r="D4283" t="str">
            <v>***MŚ.CZTEROG.N/OBR.CIĘ.2CZ.MR</v>
          </cell>
        </row>
        <row r="4284">
          <cell r="C4284">
            <v>3027043</v>
          </cell>
          <cell r="D4284" t="str">
            <v>***MŚ.CZTEROG.N/OBR.CIĘ.2CZ.PBX CH1</v>
          </cell>
        </row>
        <row r="4285">
          <cell r="C4285">
            <v>3029663</v>
          </cell>
          <cell r="D4285" t="str">
            <v>PL MŚ.CZTEROG.CIĘ.2CZ.OK15KGWOR PJST</v>
          </cell>
        </row>
        <row r="4286">
          <cell r="C4286">
            <v>3027036</v>
          </cell>
          <cell r="D4286" t="str">
            <v>***MŚ.CZTEROG.N/OBR.CIĘ.2CZ.DMR</v>
          </cell>
        </row>
        <row r="4287">
          <cell r="C4287">
            <v>3027037</v>
          </cell>
          <cell r="D4287" t="str">
            <v>***MŚ.CZTEROG.N/OBR.CIĘ.2CZ.RO1</v>
          </cell>
        </row>
        <row r="4288">
          <cell r="C4288">
            <v>3027110</v>
          </cell>
          <cell r="D4288" t="str">
            <v>***MŚ.CZTEROG.N/OBR.CIĘ.2CZ.RO2</v>
          </cell>
        </row>
        <row r="4289">
          <cell r="C4289">
            <v>3026923</v>
          </cell>
          <cell r="D4289" t="str">
            <v>***MŚ.CZTEROG.N/OBR.CIĘ.2CZ.PBX CH2</v>
          </cell>
        </row>
        <row r="4290">
          <cell r="C4290">
            <v>3038492</v>
          </cell>
          <cell r="D4290" t="str">
            <v>PL MŚ.DWUG.ODBŁ.CH</v>
          </cell>
        </row>
        <row r="4291">
          <cell r="C4291">
            <v>4025862</v>
          </cell>
          <cell r="D4291" t="str">
            <v>PL MŚ.DWUG.ODBŁ.OK5KGVAC OK20KGKT EX</v>
          </cell>
        </row>
        <row r="4292">
          <cell r="C4292">
            <v>3038493</v>
          </cell>
          <cell r="D4292" t="str">
            <v>PL MŚ.PÓŁBŁ.SMUK.ODBŁ.CH</v>
          </cell>
        </row>
        <row r="4293">
          <cell r="C4293">
            <v>4025863</v>
          </cell>
          <cell r="D4293" t="str">
            <v>PL MŚ.PÓŁBŁ.SMUK.ODB.OK5KGVAC OK20KGKTEX</v>
          </cell>
        </row>
        <row r="4294">
          <cell r="C4294">
            <v>3038494</v>
          </cell>
          <cell r="D4294" t="str">
            <v>PL MŚ.PÓŁBŁ.ODBŁ.CH</v>
          </cell>
        </row>
        <row r="4295">
          <cell r="C4295">
            <v>4025864</v>
          </cell>
          <cell r="D4295" t="str">
            <v>PL MŚ.PÓŁBŁ.ODBŁ.OK5KGVAC OK20KGKT EX</v>
          </cell>
        </row>
        <row r="4296">
          <cell r="C4296">
            <v>3016873</v>
          </cell>
          <cell r="D4296" t="str">
            <v>ĆW.SZYN.B/POL/OG/K.OG.KL.M DP CH</v>
          </cell>
        </row>
        <row r="4297">
          <cell r="C4297">
            <v>3015874</v>
          </cell>
          <cell r="D4297" t="str">
            <v>ĆW.SZYN.B/POL/OG/K.OG.CH</v>
          </cell>
        </row>
        <row r="4298">
          <cell r="C4298">
            <v>3034736</v>
          </cell>
          <cell r="D4298" t="str">
            <v>ĆW.SZYN.B/POL/OG/K.OG.OK500KG PBX ST</v>
          </cell>
        </row>
        <row r="4299">
          <cell r="C4299">
            <v>4021500</v>
          </cell>
          <cell r="D4299" t="str">
            <v>ĆW.SZYN.B/POL/OG/K.OG.LUZ CHOIN.</v>
          </cell>
        </row>
        <row r="4300">
          <cell r="C4300">
            <v>3007804</v>
          </cell>
          <cell r="D4300" t="str">
            <v>***ĆW.SZYN.Z/K/SK/GOL/BIODR.KLE OB CH ST</v>
          </cell>
        </row>
        <row r="4301">
          <cell r="C4301">
            <v>4025244</v>
          </cell>
          <cell r="D4301" t="str">
            <v>PL ĆW.SZYN.B/POL/OG/K.OG.OK800KG OKT EX</v>
          </cell>
        </row>
        <row r="4302">
          <cell r="C4302">
            <v>3002583</v>
          </cell>
          <cell r="D4302" t="str">
            <v>***SZYNKA KL.E LUZ PJ CH ST</v>
          </cell>
        </row>
        <row r="4303">
          <cell r="C4303">
            <v>3018422</v>
          </cell>
          <cell r="D4303" t="str">
            <v>PL ĆW.SZYN.Z/K/S/GOL.OK500KGLUZ OKT ST</v>
          </cell>
        </row>
        <row r="4304">
          <cell r="C4304">
            <v>3034053</v>
          </cell>
          <cell r="D4304" t="str">
            <v>PL ĆW.SZYN.B/P/OG/K.OG.OK180KG CHOIN.K4</v>
          </cell>
        </row>
        <row r="4305">
          <cell r="C4305">
            <v>3033933</v>
          </cell>
          <cell r="D4305" t="str">
            <v>PL ĆW.SZYN.B/P/OG/K.OG.OK180KG CHOIN.K4</v>
          </cell>
        </row>
        <row r="4306">
          <cell r="C4306">
            <v>3033935</v>
          </cell>
          <cell r="D4306" t="str">
            <v>PL ĆW.SZYN.B/P/OG/K.OG.OK650KG OKT K4</v>
          </cell>
        </row>
        <row r="4307">
          <cell r="C4307">
            <v>3035386</v>
          </cell>
          <cell r="D4307" t="str">
            <v>PL ĆW.SZYN.B/P/OG/K.OG.OK650KGOKT WST K4</v>
          </cell>
        </row>
        <row r="4308">
          <cell r="C4308">
            <v>3035802</v>
          </cell>
          <cell r="D4308" t="str">
            <v>PL ĆW.SZYN.B/POL/OG/K.OG.OK650KGOKT1OBK4</v>
          </cell>
        </row>
        <row r="4309">
          <cell r="C4309">
            <v>3035602</v>
          </cell>
          <cell r="D4309" t="str">
            <v>ĆW.SZYN.B/POL/OG/K.OG.OK600KG OKT SZ</v>
          </cell>
        </row>
        <row r="4310">
          <cell r="C4310">
            <v>3040071</v>
          </cell>
          <cell r="D4310" t="str">
            <v>PP ĆW.SZYN.B/P/OG/K.OG.OK650KG OKT K4</v>
          </cell>
        </row>
        <row r="4311">
          <cell r="C4311">
            <v>3018421</v>
          </cell>
          <cell r="D4311" t="str">
            <v>***EU ĆW.SZYN.Z/K/SK/GOL.LUZ  OKT CH ST</v>
          </cell>
        </row>
        <row r="4312">
          <cell r="C4312">
            <v>3018398</v>
          </cell>
          <cell r="D4312" t="str">
            <v>PL ĆW.SZYN.Z/K/SK/GOL.CH USR</v>
          </cell>
        </row>
        <row r="4313">
          <cell r="C4313">
            <v>3018420</v>
          </cell>
          <cell r="D4313" t="str">
            <v>***EU ĆW.SZYN.Z/K/SK/GOL. CH USR</v>
          </cell>
        </row>
        <row r="4314">
          <cell r="C4314">
            <v>3042649</v>
          </cell>
          <cell r="D4314" t="str">
            <v>ĆW.SZYN.B/POL/OG/K.OG.MAC.CH</v>
          </cell>
        </row>
        <row r="4315">
          <cell r="C4315">
            <v>3046089</v>
          </cell>
          <cell r="D4315" t="str">
            <v>ĆW.SZYN.B/POL/OG/K.OG.MAC.OK20KG NB MR</v>
          </cell>
        </row>
        <row r="4316">
          <cell r="C4316">
            <v>3007805</v>
          </cell>
          <cell r="D4316" t="str">
            <v>***ĆW.SZYN Z/K/SK/GOL/BIODR.KL.UCHOICHST</v>
          </cell>
        </row>
        <row r="4317">
          <cell r="C4317">
            <v>3002585</v>
          </cell>
          <cell r="D4317" t="str">
            <v>***SZYN.ZAK.CONSTAR KL.U ST</v>
          </cell>
        </row>
        <row r="4318">
          <cell r="C4318">
            <v>3038585</v>
          </cell>
          <cell r="D4318" t="str">
            <v>ĆW.SZYN.B/POL/OG/K.OG OK500KG ZAK</v>
          </cell>
        </row>
        <row r="4319">
          <cell r="C4319">
            <v>3046078</v>
          </cell>
          <cell r="D4319" t="str">
            <v>ĆW.SZYN.B/POL/OG/K.OG.MAC.OK20KG NB DMR</v>
          </cell>
        </row>
        <row r="4320">
          <cell r="C4320">
            <v>3046083</v>
          </cell>
          <cell r="D4320" t="str">
            <v>ĆW.SZYN.B/POL/OG/K.OG.MAC.RO</v>
          </cell>
        </row>
        <row r="4321">
          <cell r="C4321">
            <v>3004220</v>
          </cell>
          <cell r="D4321" t="str">
            <v>***ĆW.SZYN.B/POL/OG/K.OG    KL.R CH</v>
          </cell>
        </row>
        <row r="4322">
          <cell r="C4322">
            <v>3005539</v>
          </cell>
          <cell r="D4322" t="str">
            <v>***ĆW.SZYNKA WP. KL.E OKT SZ</v>
          </cell>
        </row>
        <row r="4323">
          <cell r="C4323">
            <v>3004221</v>
          </cell>
          <cell r="D4323" t="str">
            <v>***ĆW.SZYN.B/POL/OG/K.OG   KL.O CH</v>
          </cell>
        </row>
        <row r="4324">
          <cell r="C4324">
            <v>3004215</v>
          </cell>
          <cell r="D4324" t="str">
            <v>***ĆW.SZYN.B/POL/OG/K.OG KL.S CH</v>
          </cell>
        </row>
        <row r="4325">
          <cell r="C4325">
            <v>3002587</v>
          </cell>
          <cell r="D4325" t="str">
            <v>***SZYN.ZAK.CONSTAR KL.S ST</v>
          </cell>
        </row>
        <row r="4326">
          <cell r="C4326">
            <v>3008814</v>
          </cell>
          <cell r="D4326" t="str">
            <v>***ĆW.SZYN Z/K/SK/GOL/BIODR. KL.A CH</v>
          </cell>
        </row>
        <row r="4327">
          <cell r="C4327">
            <v>3004222</v>
          </cell>
          <cell r="D4327" t="str">
            <v>***PRZODEK Z/GOL.KL.S CH</v>
          </cell>
        </row>
        <row r="4328">
          <cell r="C4328">
            <v>3008815</v>
          </cell>
          <cell r="D4328" t="str">
            <v>***ĆW.SCHAB.SZER. KL.S</v>
          </cell>
        </row>
        <row r="4329">
          <cell r="C4329">
            <v>3008816</v>
          </cell>
          <cell r="D4329" t="str">
            <v>ĆW.SCHAB.SZER. KL.E</v>
          </cell>
        </row>
        <row r="4330">
          <cell r="C4330">
            <v>3008817</v>
          </cell>
          <cell r="D4330" t="str">
            <v>***ĆW.SCHAB.SZER. KL.U</v>
          </cell>
        </row>
        <row r="4331">
          <cell r="C4331">
            <v>3046970</v>
          </cell>
          <cell r="D4331" t="str">
            <v>POLICZEK WEW.DCZ.CH</v>
          </cell>
        </row>
        <row r="4332">
          <cell r="C4332">
            <v>4031393</v>
          </cell>
          <cell r="D4332" t="str">
            <v>POLICZEK WEW.DCZ.OK1KGVAC OK10KGKT MR EX</v>
          </cell>
        </row>
        <row r="4333">
          <cell r="C4333">
            <v>3046971</v>
          </cell>
          <cell r="D4333" t="str">
            <v>POLICZEK WEW.DCZ.OK20KGLUZ PJ ST</v>
          </cell>
        </row>
        <row r="4334">
          <cell r="C4334">
            <v>3047279</v>
          </cell>
          <cell r="D4334" t="str">
            <v>POLICZEK WEW.DCZ.OK1KGVACOK10KGKT DMR EX</v>
          </cell>
        </row>
        <row r="4335">
          <cell r="C4335">
            <v>3044311</v>
          </cell>
          <cell r="D4335" t="str">
            <v>POLICZEK ZEW.DCZ.CH</v>
          </cell>
        </row>
        <row r="4336">
          <cell r="C4336">
            <v>3044324</v>
          </cell>
          <cell r="D4336" t="str">
            <v>POLICZEK ZEW.DCZ.OK20KGLUZ PJ ST</v>
          </cell>
        </row>
        <row r="4337">
          <cell r="C4337">
            <v>3016906</v>
          </cell>
          <cell r="D4337" t="str">
            <v>POLICZEK ZEW.CH1</v>
          </cell>
        </row>
        <row r="4338">
          <cell r="C4338">
            <v>3020987</v>
          </cell>
          <cell r="D4338" t="str">
            <v>POLICZEK ZEW.OK20KG NB MR ST</v>
          </cell>
        </row>
        <row r="4339">
          <cell r="C4339">
            <v>4024675</v>
          </cell>
          <cell r="D4339" t="str">
            <v>POLICZEK ZEW.OK20KG PB MR EX</v>
          </cell>
        </row>
        <row r="4340">
          <cell r="C4340">
            <v>4018288</v>
          </cell>
          <cell r="D4340" t="str">
            <v>***PL POLICZEK ZEW.OK1KGVACOK4KGKTMAKR</v>
          </cell>
        </row>
        <row r="4341">
          <cell r="C4341">
            <v>4024676</v>
          </cell>
          <cell r="D4341" t="str">
            <v>POLICZEK ZEW.OK5KGVAC OK20KGKT MR EX</v>
          </cell>
        </row>
        <row r="4342">
          <cell r="C4342">
            <v>4025191</v>
          </cell>
          <cell r="D4342" t="str">
            <v>POLICZEK ZEW.OK1.5-2KGVAC OK20KGKT MR EX</v>
          </cell>
        </row>
        <row r="4343">
          <cell r="C4343">
            <v>4026177</v>
          </cell>
          <cell r="D4343" t="str">
            <v>PL POLICZEK ZEW.OK1.5-2KGVAC OK20KGKT</v>
          </cell>
        </row>
        <row r="4344">
          <cell r="C4344">
            <v>4027243</v>
          </cell>
          <cell r="D4344" t="str">
            <v>PL POLICZEK ZEW.OK1KGVAC OK12KGPJ ECS</v>
          </cell>
        </row>
        <row r="4345">
          <cell r="C4345">
            <v>4028231</v>
          </cell>
          <cell r="D4345" t="str">
            <v>PL POLICZEK ZEW.OK1KGVAC OK10KGKT POLM</v>
          </cell>
        </row>
        <row r="4346">
          <cell r="C4346">
            <v>4028775</v>
          </cell>
          <cell r="D4346" t="str">
            <v>POLICZEK ZEW.MAC.OK1.5KGVACOK20KGKTMR EX</v>
          </cell>
        </row>
        <row r="4347">
          <cell r="C4347">
            <v>4028790</v>
          </cell>
          <cell r="D4347" t="str">
            <v>PL POLICZEK ZEW.MAC.OK1.5KGVAC OK20KGKT</v>
          </cell>
        </row>
        <row r="4348">
          <cell r="C4348">
            <v>4011274</v>
          </cell>
          <cell r="D4348" t="str">
            <v>***POLICZEK ZEW.WP.5KG TRM OK.15KG KT EX</v>
          </cell>
        </row>
        <row r="4349">
          <cell r="C4349">
            <v>4011186</v>
          </cell>
          <cell r="D4349" t="str">
            <v>***POLICZEK ZEW.5KG TRM 15KG KT MR EX</v>
          </cell>
        </row>
        <row r="4350">
          <cell r="C4350">
            <v>4012885</v>
          </cell>
          <cell r="D4350" t="str">
            <v>***POLICZEK ZEW.WP.5KGTRM 15KGKT MR DAN</v>
          </cell>
        </row>
        <row r="4351">
          <cell r="C4351">
            <v>4013382</v>
          </cell>
          <cell r="D4351" t="str">
            <v>***POLICZEK ZEW.1KGVAC 10KGKT MR EX</v>
          </cell>
        </row>
        <row r="4352">
          <cell r="C4352">
            <v>4018665</v>
          </cell>
          <cell r="D4352" t="str">
            <v>***POLICZEK ZEW.1KG VAC 10KG KT MR EX</v>
          </cell>
        </row>
        <row r="4353">
          <cell r="C4353">
            <v>4018729</v>
          </cell>
          <cell r="D4353" t="str">
            <v>***POLICZEK ZEW.OK1KGVAC 10KGKT MR EX</v>
          </cell>
        </row>
        <row r="4354">
          <cell r="C4354">
            <v>3022863</v>
          </cell>
          <cell r="D4354" t="str">
            <v>POLICZEK ZEW.OK20KGLUZ PJ ST</v>
          </cell>
        </row>
        <row r="4355">
          <cell r="C4355">
            <v>4027285</v>
          </cell>
          <cell r="D4355" t="str">
            <v>PL POLICZEK ZEW.OK20KGWOR PJ</v>
          </cell>
        </row>
        <row r="4356">
          <cell r="C4356">
            <v>4028815</v>
          </cell>
          <cell r="D4356" t="str">
            <v>PL POLICZEK ZEW.MAC.OK20KGWOR PJ</v>
          </cell>
        </row>
        <row r="4357">
          <cell r="C4357">
            <v>3007806</v>
          </cell>
          <cell r="D4357" t="str">
            <v>***POLICZKI CH ZAK</v>
          </cell>
        </row>
        <row r="4358">
          <cell r="C4358">
            <v>3019910</v>
          </cell>
          <cell r="D4358" t="str">
            <v>EU POLICZKI WP.OK15KGLUZ PJ SZ</v>
          </cell>
        </row>
        <row r="4359">
          <cell r="C4359">
            <v>3020986</v>
          </cell>
          <cell r="D4359" t="str">
            <v>POLICZEK ZEW.OK20KG NB DMR</v>
          </cell>
        </row>
        <row r="4360">
          <cell r="C4360">
            <v>3036613</v>
          </cell>
          <cell r="D4360" t="str">
            <v>POLICZEK ZEW.OK20KG PB DMR</v>
          </cell>
        </row>
        <row r="4361">
          <cell r="C4361">
            <v>3036614</v>
          </cell>
          <cell r="D4361" t="str">
            <v>POLICZEK ZEW.OK5KGVAC OK20KGKT DMR</v>
          </cell>
        </row>
        <row r="4362">
          <cell r="C4362">
            <v>3037071</v>
          </cell>
          <cell r="D4362" t="str">
            <v>POLICZEK ZEW.OK1.5-2KGVAC OK20KGKT DMR</v>
          </cell>
        </row>
        <row r="4363">
          <cell r="C4363">
            <v>3043715</v>
          </cell>
          <cell r="D4363" t="str">
            <v>POLICZEK ZEW.MAC.OK1.5KGVAC OK20KGKT DMR</v>
          </cell>
        </row>
        <row r="4364">
          <cell r="C4364">
            <v>3016905</v>
          </cell>
          <cell r="D4364" t="str">
            <v>***POLICZEK ZEW.5KG VAC 15KG KT DMR EX</v>
          </cell>
        </row>
        <row r="4365">
          <cell r="C4365">
            <v>3018574</v>
          </cell>
          <cell r="D4365" t="str">
            <v>***POLICZEK ZEW.5KG VAC 15KG KT DMR DAN</v>
          </cell>
        </row>
        <row r="4366">
          <cell r="C4366">
            <v>3019900</v>
          </cell>
          <cell r="D4366" t="str">
            <v>***POLICZEK ZEW.1KG VAC 10KG KT DMR EX</v>
          </cell>
        </row>
        <row r="4367">
          <cell r="C4367">
            <v>3028075</v>
          </cell>
          <cell r="D4367" t="str">
            <v>***POLICZEK ZEW.1KG VAC 10KG KT DMR EX</v>
          </cell>
        </row>
        <row r="4368">
          <cell r="C4368">
            <v>3028136</v>
          </cell>
          <cell r="D4368" t="str">
            <v>***POLICZEK ZEW.OK1KGVAC10KGKT DMR EX</v>
          </cell>
        </row>
        <row r="4369">
          <cell r="C4369">
            <v>3020988</v>
          </cell>
          <cell r="D4369" t="str">
            <v>***POLICZEK ZEW.WP.RO1</v>
          </cell>
        </row>
        <row r="4370">
          <cell r="C4370">
            <v>3020277</v>
          </cell>
          <cell r="D4370" t="str">
            <v>POLICZEK ZEW.CH2</v>
          </cell>
        </row>
        <row r="4371">
          <cell r="C4371">
            <v>3020991</v>
          </cell>
          <cell r="D4371" t="str">
            <v>***POLICZEK ZEW.WP.RO2</v>
          </cell>
        </row>
        <row r="4372">
          <cell r="C4372">
            <v>3023816</v>
          </cell>
          <cell r="D4372" t="str">
            <v>POLICZEK WEW.WP.CH1</v>
          </cell>
        </row>
        <row r="4373">
          <cell r="C4373">
            <v>4018287</v>
          </cell>
          <cell r="D4373" t="str">
            <v>***PL POLICZEK WEW.OK1KGVACOK4KGKTMAKR</v>
          </cell>
        </row>
        <row r="4374">
          <cell r="C4374">
            <v>4015829</v>
          </cell>
          <cell r="D4374" t="str">
            <v>***PL POLICZEK WEW.OK5KGVACOK15KGKTMR EX</v>
          </cell>
        </row>
        <row r="4375">
          <cell r="C4375">
            <v>3023778</v>
          </cell>
          <cell r="D4375" t="str">
            <v>***PL POLICZEK WEW.OK5KGVAC OK15KGKT DMR</v>
          </cell>
        </row>
        <row r="4376">
          <cell r="C4376">
            <v>3024697</v>
          </cell>
          <cell r="D4376" t="str">
            <v>POLICZEK WEW.WP.CH2</v>
          </cell>
        </row>
        <row r="4377">
          <cell r="C4377">
            <v>3008788</v>
          </cell>
          <cell r="D4377" t="str">
            <v>***M-SO WP.TŁUSTE Z GŁÓW</v>
          </cell>
        </row>
        <row r="4378">
          <cell r="C4378">
            <v>3016846</v>
          </cell>
          <cell r="D4378" t="str">
            <v>PL M-SO MIEL.Z/ŁOP.</v>
          </cell>
        </row>
        <row r="4379">
          <cell r="C4379">
            <v>3026212</v>
          </cell>
          <cell r="D4379" t="str">
            <v>***SUR.MIĘSNE DO PROD.MIĘSA 1915</v>
          </cell>
        </row>
        <row r="4380">
          <cell r="C4380">
            <v>4003902</v>
          </cell>
          <cell r="D4380" t="str">
            <v>***EU M-SO MIEL.Z ŁOP.500G MAP</v>
          </cell>
        </row>
        <row r="4381">
          <cell r="C4381">
            <v>4009962</v>
          </cell>
          <cell r="D4381" t="str">
            <v>***EU M-SO MIEL.Z ŁOP.500G MAP6KGKTPOLP</v>
          </cell>
        </row>
        <row r="4382">
          <cell r="C4382">
            <v>4003903</v>
          </cell>
          <cell r="D4382" t="str">
            <v>***EU M-SO MIEL.Z ŁOP.500GMAP 6STKT KAUF</v>
          </cell>
        </row>
        <row r="4383">
          <cell r="C4383">
            <v>4003904</v>
          </cell>
          <cell r="D4383" t="str">
            <v>***EU M-SO MIEL.Z ŁOP.500G MAP CARR</v>
          </cell>
        </row>
        <row r="4384">
          <cell r="C4384">
            <v>4006371</v>
          </cell>
          <cell r="D4384" t="str">
            <v>M-SO MIELONE Z ŁOP. 750G MAP M</v>
          </cell>
        </row>
        <row r="4385">
          <cell r="C4385">
            <v>4010830</v>
          </cell>
          <cell r="D4385" t="str">
            <v>***EU M-SO MIEL.Z ŁOP.500G MAP3KGKTMAKR</v>
          </cell>
        </row>
        <row r="4386">
          <cell r="C4386">
            <v>4010931</v>
          </cell>
          <cell r="D4386" t="str">
            <v>EU M-SO MIEL.Z ŁOP.600G MAP 3.6KG KT</v>
          </cell>
        </row>
        <row r="4387">
          <cell r="C4387">
            <v>4003906</v>
          </cell>
          <cell r="D4387" t="str">
            <v>***EU M-SO MIEL.Z ŁOP.500GMAP4KGKT KAUF</v>
          </cell>
        </row>
        <row r="4388">
          <cell r="C4388">
            <v>4011365</v>
          </cell>
          <cell r="D4388" t="str">
            <v>***PL M-SO MIEL.Z ŁOP.500GMAP6KGKTMOR EX</v>
          </cell>
        </row>
        <row r="4389">
          <cell r="C4389">
            <v>4013659</v>
          </cell>
          <cell r="D4389" t="str">
            <v>***M-SO MIEL.Z ŁOP.500G 3KG KT JMP</v>
          </cell>
        </row>
        <row r="4390">
          <cell r="C4390">
            <v>4015764</v>
          </cell>
          <cell r="D4390" t="str">
            <v>***PL M-SO MIEL.Z ŁOP.1KGMAP 8KGKT LIDL</v>
          </cell>
        </row>
        <row r="4391">
          <cell r="C4391">
            <v>4015738</v>
          </cell>
          <cell r="D4391" t="str">
            <v>***PL M-SO MIEL.Z ŁOP.1KGMAP 8KGKT POLM</v>
          </cell>
        </row>
        <row r="4392">
          <cell r="C4392">
            <v>4006180</v>
          </cell>
          <cell r="D4392" t="str">
            <v>***EU M-SO MIEL.Z ŁOP.750G MAP STO</v>
          </cell>
        </row>
        <row r="4393">
          <cell r="C4393">
            <v>4014237</v>
          </cell>
          <cell r="D4393" t="str">
            <v>***PL M-SO MIEL.Z ŁOP.500GMAP 3KGKTMOREX</v>
          </cell>
        </row>
        <row r="4394">
          <cell r="C4394">
            <v>4008630</v>
          </cell>
          <cell r="D4394" t="str">
            <v>***M-SOMIEL.ZŁOP. 500GMAP 3KGKT LIDL CZ</v>
          </cell>
        </row>
        <row r="4395">
          <cell r="C4395">
            <v>3027447</v>
          </cell>
          <cell r="D4395" t="str">
            <v>***SUR.MIĘSNE DO PROD.MIĘSA WP.1915OKTST</v>
          </cell>
        </row>
        <row r="4396">
          <cell r="C4396">
            <v>3026204</v>
          </cell>
          <cell r="D4396" t="str">
            <v>***SUR.MIĘSNE DO PROD.MIĘSA WP.1915PBXST</v>
          </cell>
        </row>
        <row r="4397">
          <cell r="C4397">
            <v>3026929</v>
          </cell>
          <cell r="D4397" t="str">
            <v>***SUR.MIĘSNE DO PROD.MIĘSA 1915PBXAF ST</v>
          </cell>
        </row>
        <row r="4398">
          <cell r="C4398">
            <v>4014240</v>
          </cell>
          <cell r="D4398" t="str">
            <v>***M-SO MIEL.Z ŁOP.500G MAP 6KG KT LIDL</v>
          </cell>
        </row>
        <row r="4399">
          <cell r="C4399">
            <v>4016972</v>
          </cell>
          <cell r="D4399" t="str">
            <v>***PL M-SO MM Z ŁOP.500GMAP 6KGKT LIDLLT</v>
          </cell>
        </row>
        <row r="4400">
          <cell r="C4400">
            <v>4003907</v>
          </cell>
          <cell r="D4400" t="str">
            <v>***EU M-SO MIEL.Z ŁOP.500G MAP LIDL</v>
          </cell>
        </row>
        <row r="4401">
          <cell r="C4401">
            <v>4008629</v>
          </cell>
          <cell r="D4401" t="str">
            <v>***M-SO MIEL.Z ŁOP.500GMAP 3KGKT LIDLSŁO</v>
          </cell>
        </row>
        <row r="4402">
          <cell r="C4402">
            <v>4012963</v>
          </cell>
          <cell r="D4402" t="str">
            <v>***PL M-SO MIELZ/ŁOP575G MAP3.45KG KT ME</v>
          </cell>
        </row>
        <row r="4403">
          <cell r="C4403">
            <v>3022999</v>
          </cell>
          <cell r="D4403" t="str">
            <v>***EU M-SO MIEL.Z ŁOP.500G MAP KAUF BL</v>
          </cell>
        </row>
        <row r="4404">
          <cell r="C4404">
            <v>3017835</v>
          </cell>
          <cell r="D4404" t="str">
            <v>***EU M-SO MIEL.Z/ŁOP.</v>
          </cell>
        </row>
        <row r="4405">
          <cell r="C4405">
            <v>3016845</v>
          </cell>
          <cell r="D4405" t="str">
            <v>PL M-SO MIEL.Z/SZYN.</v>
          </cell>
        </row>
        <row r="4406">
          <cell r="C4406">
            <v>3026210</v>
          </cell>
          <cell r="D4406" t="str">
            <v>***SUR.MIĘSNE DO PROD.MIĘSA 1916</v>
          </cell>
        </row>
        <row r="4407">
          <cell r="C4407">
            <v>4003908</v>
          </cell>
          <cell r="D4407" t="str">
            <v>***EU M-SO MIEL.Z SZYN.500G MAP4KGKTKAUF</v>
          </cell>
        </row>
        <row r="4408">
          <cell r="C4408">
            <v>4009961</v>
          </cell>
          <cell r="D4408" t="str">
            <v>***EU M-SO MIEL.ZSZYN.500GMAP6KG KT POLP</v>
          </cell>
        </row>
        <row r="4409">
          <cell r="C4409">
            <v>4003909</v>
          </cell>
          <cell r="D4409" t="str">
            <v>***PL M-SO WP.MIEL.Z SZYN.500G MAP</v>
          </cell>
        </row>
        <row r="4410">
          <cell r="C4410">
            <v>4010829</v>
          </cell>
          <cell r="D4410" t="str">
            <v>***EU M-SO MIEL.Z SZYN.500GMAP6STKT KAUF</v>
          </cell>
        </row>
        <row r="4411">
          <cell r="C4411">
            <v>4003910</v>
          </cell>
          <cell r="D4411" t="str">
            <v>***EU M-SO MIEL.Z SZYN.500G MAP CARR</v>
          </cell>
        </row>
        <row r="4412">
          <cell r="C4412">
            <v>4011108</v>
          </cell>
          <cell r="D4412" t="str">
            <v>***EU M-SO MIEL.Z SZYN.500GMAP 12STKTECS</v>
          </cell>
        </row>
        <row r="4413">
          <cell r="C4413">
            <v>4003913</v>
          </cell>
          <cell r="D4413" t="str">
            <v>M-SO WP. MIELONE Z SZYN. 750G MAP</v>
          </cell>
        </row>
        <row r="4414">
          <cell r="C4414">
            <v>4011364</v>
          </cell>
          <cell r="D4414" t="str">
            <v>***M-SO WP.MIEL.Z/SZYN.500GMAP6KGKT M.E.</v>
          </cell>
        </row>
        <row r="4415">
          <cell r="C4415">
            <v>4013405</v>
          </cell>
          <cell r="D4415" t="str">
            <v>***M-SO WP.MIEL.Z/SZYN.500GMAP 3KGKTAUCH</v>
          </cell>
        </row>
        <row r="4416">
          <cell r="C4416">
            <v>4014236</v>
          </cell>
          <cell r="D4416" t="str">
            <v>***EU M-SO MIEL.Z SZYN.500G MAP6KG KT LI</v>
          </cell>
        </row>
        <row r="4417">
          <cell r="C4417">
            <v>4014238</v>
          </cell>
          <cell r="D4417" t="str">
            <v>***M-SO WP.MIEL.Z SZYN.500GMAP 3KGKTJMP</v>
          </cell>
        </row>
        <row r="4418">
          <cell r="C4418">
            <v>4015816</v>
          </cell>
          <cell r="D4418" t="str">
            <v>***PL M-SO MIEL.Z SZYN.1KGMAP 8KGKT LIDL</v>
          </cell>
        </row>
        <row r="4419">
          <cell r="C4419">
            <v>4015737</v>
          </cell>
          <cell r="D4419" t="str">
            <v>***PL M-SO MIEL.Z SZYN.1KGMAP 8KGKTPOLM</v>
          </cell>
        </row>
        <row r="4420">
          <cell r="C4420">
            <v>4006181</v>
          </cell>
          <cell r="D4420" t="str">
            <v>***EU M-SO MIEL.Z SZYN.750G MAP STO</v>
          </cell>
        </row>
        <row r="4421">
          <cell r="C4421">
            <v>3027448</v>
          </cell>
          <cell r="D4421" t="str">
            <v>***SUR.MIĘSNE DO PROD.MIĘSA WP.1916OKTST</v>
          </cell>
        </row>
        <row r="4422">
          <cell r="C4422">
            <v>3026211</v>
          </cell>
          <cell r="D4422" t="str">
            <v>***SUR.MIĘSNE DO PROD.MIĘSA WP.1916PBXST</v>
          </cell>
        </row>
        <row r="4423">
          <cell r="C4423">
            <v>3027050</v>
          </cell>
          <cell r="D4423" t="str">
            <v>***SUR.MIĘSNE DO PROD.MIĘSA 1916PBXAF ST</v>
          </cell>
        </row>
        <row r="4424">
          <cell r="C4424">
            <v>4016971</v>
          </cell>
          <cell r="D4424" t="str">
            <v>***PL M-SO MM Z SZYN.500GMAP6KGKTLIDLLT</v>
          </cell>
        </row>
        <row r="4425">
          <cell r="C4425">
            <v>4007517</v>
          </cell>
          <cell r="D4425" t="str">
            <v>***PL M-SO MIEL.Z SZYN.500G+10% GRAJMD</v>
          </cell>
        </row>
        <row r="4426">
          <cell r="C4426">
            <v>4007548</v>
          </cell>
          <cell r="D4426" t="str">
            <v>***EU M-SO MIEL.Z SZYN.500G MAP BT</v>
          </cell>
        </row>
        <row r="4427">
          <cell r="C4427">
            <v>4008628</v>
          </cell>
          <cell r="D4427" t="str">
            <v>***EU M-SO MIEL.Z SZYN.500GMAP 6KG KT LI</v>
          </cell>
        </row>
        <row r="4428">
          <cell r="C4428">
            <v>4010938</v>
          </cell>
          <cell r="D4428" t="str">
            <v>***M-SO WP.MIEL.Z/SZYN.500G 3KG KT ME</v>
          </cell>
        </row>
        <row r="4429">
          <cell r="C4429">
            <v>4012962</v>
          </cell>
          <cell r="D4429" t="str">
            <v>***PL M-SOMIEL.Z/SZYN575GMAP3.45KG KT ME</v>
          </cell>
        </row>
        <row r="4430">
          <cell r="C4430">
            <v>4013121</v>
          </cell>
          <cell r="D4430" t="str">
            <v>***EU M-SO MIEL.Z/SZYN625 MAP6ST KT KAUF</v>
          </cell>
        </row>
        <row r="4431">
          <cell r="C4431">
            <v>4013141</v>
          </cell>
          <cell r="D4431" t="str">
            <v>***EU M-SO MIEL.Z/SZYN.625GMAP 6ST KT ME</v>
          </cell>
        </row>
        <row r="4432">
          <cell r="C4432">
            <v>3022998</v>
          </cell>
          <cell r="D4432" t="str">
            <v>***EU M-SO MIEL.Z SZYN.500G MAP KAUF BL</v>
          </cell>
        </row>
        <row r="4433">
          <cell r="C4433">
            <v>3017834</v>
          </cell>
          <cell r="D4433" t="str">
            <v>***EU M-SO MIEL.Z/SZYN.</v>
          </cell>
        </row>
        <row r="4434">
          <cell r="C4434">
            <v>4011616</v>
          </cell>
          <cell r="D4434" t="str">
            <v>***EU M-SO WP.MIELONE Z SZYN.500G MAP</v>
          </cell>
        </row>
        <row r="4435">
          <cell r="C4435">
            <v>3012502</v>
          </cell>
          <cell r="D4435" t="str">
            <v>***M-SO WP.MIEL.Z/ŁOP.</v>
          </cell>
        </row>
        <row r="4436">
          <cell r="C4436">
            <v>4009994</v>
          </cell>
          <cell r="D4436" t="str">
            <v>***M-SO WP.MIELONE Z/ŁOP.500GMAP 12ST KT</v>
          </cell>
        </row>
        <row r="4437">
          <cell r="C4437">
            <v>3007809</v>
          </cell>
          <cell r="D4437" t="str">
            <v>***PL BOCZ.BLAT.WĄS.Z/SK.GRILL KROJ.CH</v>
          </cell>
        </row>
        <row r="4438">
          <cell r="C4438">
            <v>3017401</v>
          </cell>
          <cell r="D4438" t="str">
            <v>***EU BOCZ.BLAT.WĄS.Z/SK.GRILL KROJ.CH</v>
          </cell>
        </row>
        <row r="4439">
          <cell r="C4439">
            <v>3007810</v>
          </cell>
          <cell r="D4439" t="str">
            <v>***BOCZ.BLAT.WĄS.Z/SKKROJ.GRILL FANTOMCH</v>
          </cell>
        </row>
        <row r="4440">
          <cell r="C4440">
            <v>3007811</v>
          </cell>
          <cell r="D4440" t="str">
            <v>***KARK.B/K.Z/KOR KROJ. GRILL CH</v>
          </cell>
        </row>
        <row r="4441">
          <cell r="C4441">
            <v>3007812</v>
          </cell>
          <cell r="D4441" t="str">
            <v>***KARK.B/K.Z/KOR KROJ. GRILL FANTOM CH</v>
          </cell>
        </row>
        <row r="4442">
          <cell r="C4442">
            <v>3009753</v>
          </cell>
          <cell r="D4442" t="str">
            <v>***M-SO MIEL.WP.-WOŁ. 80/20</v>
          </cell>
        </row>
        <row r="4443">
          <cell r="C4443">
            <v>3009751</v>
          </cell>
          <cell r="D4443" t="str">
            <v>***M-SO MIEL.WP.-WOŁ. 70/30</v>
          </cell>
        </row>
        <row r="4444">
          <cell r="C4444">
            <v>3016001</v>
          </cell>
          <cell r="D4444" t="str">
            <v>M-SO WP.PRZEP.CH1</v>
          </cell>
        </row>
        <row r="4445">
          <cell r="C4445">
            <v>3008977</v>
          </cell>
          <cell r="D4445" t="str">
            <v>***PRZEPONA WP.NB MR</v>
          </cell>
        </row>
        <row r="4446">
          <cell r="C4446">
            <v>3010015</v>
          </cell>
          <cell r="D4446" t="str">
            <v>***M-SO WP-PRZEPONA OK15KG WOR PJ CH EŁ</v>
          </cell>
        </row>
        <row r="4447">
          <cell r="C4447">
            <v>3008978</v>
          </cell>
          <cell r="D4447" t="str">
            <v>***PRZEPONA WP. NB DMR</v>
          </cell>
        </row>
        <row r="4448">
          <cell r="C4448">
            <v>3010009</v>
          </cell>
          <cell r="D4448" t="str">
            <v>***PRZEPONA WP.NB RO</v>
          </cell>
        </row>
        <row r="4449">
          <cell r="C4449">
            <v>3021278</v>
          </cell>
          <cell r="D4449" t="str">
            <v>M-SO WP.PRZEP.CH2</v>
          </cell>
        </row>
        <row r="4450">
          <cell r="C4450">
            <v>3007813</v>
          </cell>
          <cell r="D4450" t="str">
            <v>PRZEPONA CP</v>
          </cell>
        </row>
        <row r="4451">
          <cell r="C4451">
            <v>3009758</v>
          </cell>
          <cell r="D4451" t="str">
            <v>PRZEP.KL2 CH1</v>
          </cell>
        </row>
        <row r="4452">
          <cell r="C4452">
            <v>3009756</v>
          </cell>
          <cell r="D4452" t="str">
            <v>PRZEP.KL2 OK20KG NB MR ST</v>
          </cell>
        </row>
        <row r="4453">
          <cell r="C4453">
            <v>3009755</v>
          </cell>
          <cell r="D4453" t="str">
            <v>PRZEP.KL2 LUZ PJ ST</v>
          </cell>
        </row>
        <row r="4454">
          <cell r="C4454">
            <v>3034496</v>
          </cell>
          <cell r="D4454" t="str">
            <v>***PL PRZEPONA OK20KG PB MR ŻST K4 ZAK</v>
          </cell>
        </row>
        <row r="4455">
          <cell r="C4455">
            <v>3037263</v>
          </cell>
          <cell r="D4455" t="str">
            <v>PL PRZEP.OK20KG NB MR K4</v>
          </cell>
        </row>
        <row r="4456">
          <cell r="C4456">
            <v>3009757</v>
          </cell>
          <cell r="D4456" t="str">
            <v>PRZEP.KL2 NB DMR</v>
          </cell>
        </row>
        <row r="4457">
          <cell r="C4457">
            <v>3011115</v>
          </cell>
          <cell r="D4457" t="str">
            <v>PRZEP.KL2 NB RO1</v>
          </cell>
        </row>
        <row r="4458">
          <cell r="C4458">
            <v>3020278</v>
          </cell>
          <cell r="D4458" t="str">
            <v>PRZEP.KL2 CH2</v>
          </cell>
        </row>
        <row r="4459">
          <cell r="C4459">
            <v>3020279</v>
          </cell>
          <cell r="D4459" t="str">
            <v>PRZEP.KL2 NB RO2</v>
          </cell>
        </row>
        <row r="4460">
          <cell r="C4460">
            <v>3039107</v>
          </cell>
          <cell r="D4460" t="str">
            <v>PP PRZEP.KL2 CH1</v>
          </cell>
        </row>
        <row r="4461">
          <cell r="C4461">
            <v>3041051</v>
          </cell>
          <cell r="D4461" t="str">
            <v>PP PRZEP.KL2 OK20KG NB MR ST</v>
          </cell>
        </row>
        <row r="4462">
          <cell r="C4462">
            <v>3037744</v>
          </cell>
          <cell r="D4462" t="str">
            <v>PP PRZEP.OK20KGLUZ PJ K4</v>
          </cell>
        </row>
        <row r="4463">
          <cell r="C4463">
            <v>3037515</v>
          </cell>
          <cell r="D4463" t="str">
            <v>PP M-SO WP.PRZEP.OK15KG NB DMR</v>
          </cell>
        </row>
        <row r="4464">
          <cell r="C4464">
            <v>3037477</v>
          </cell>
          <cell r="D4464" t="str">
            <v>PP M-SO WP.-PRZEP.RO1</v>
          </cell>
        </row>
        <row r="4465">
          <cell r="C4465">
            <v>3040383</v>
          </cell>
          <cell r="D4465" t="str">
            <v>PP PRZEP.KL2 CH2</v>
          </cell>
        </row>
        <row r="4466">
          <cell r="C4466">
            <v>3037541</v>
          </cell>
          <cell r="D4466" t="str">
            <v>PP M-SO WP.-PRZEP.RO2</v>
          </cell>
        </row>
        <row r="4467">
          <cell r="C4467">
            <v>3028114</v>
          </cell>
          <cell r="D4467" t="str">
            <v>PRZEP.KL2 ROZP1</v>
          </cell>
        </row>
        <row r="4468">
          <cell r="C4468">
            <v>3028133</v>
          </cell>
          <cell r="D4468" t="str">
            <v>PRZEP.KL2 ROZP2</v>
          </cell>
        </row>
        <row r="4469">
          <cell r="C4469">
            <v>3015972</v>
          </cell>
          <cell r="D4469" t="str">
            <v>PL ŁOP.3D CH1</v>
          </cell>
        </row>
        <row r="4470">
          <cell r="C4470">
            <v>3024956</v>
          </cell>
          <cell r="D4470" t="str">
            <v>PL ŁOP.3D PBX CH ST1</v>
          </cell>
        </row>
        <row r="4471">
          <cell r="C4471">
            <v>4019010</v>
          </cell>
          <cell r="D4471" t="str">
            <v>PL ŁOP.3D VAC OK20KGKT MET CZ</v>
          </cell>
        </row>
        <row r="4472">
          <cell r="C4472">
            <v>3025853</v>
          </cell>
          <cell r="D4472" t="str">
            <v>PL ŁOP.3D WOR PJ ST</v>
          </cell>
        </row>
        <row r="4473">
          <cell r="C4473">
            <v>3029588</v>
          </cell>
          <cell r="D4473" t="str">
            <v>PL ŁOP.3D OK500KGPBX CH ST</v>
          </cell>
        </row>
        <row r="4474">
          <cell r="C4474">
            <v>3033450</v>
          </cell>
          <cell r="D4474" t="str">
            <v>PL ŁOP.3D OK500KGPBX AF ST</v>
          </cell>
        </row>
        <row r="4475">
          <cell r="C4475">
            <v>3023661</v>
          </cell>
          <cell r="D4475" t="str">
            <v>PL ŁOP.3D PBX SZ</v>
          </cell>
        </row>
        <row r="4476">
          <cell r="C4476">
            <v>3039138</v>
          </cell>
          <cell r="D4476" t="str">
            <v>PL ŁOP.3D OK20KG NB DMR</v>
          </cell>
        </row>
        <row r="4477">
          <cell r="C4477">
            <v>3020280</v>
          </cell>
          <cell r="D4477" t="str">
            <v>PL ŁOP.3D CH2</v>
          </cell>
        </row>
        <row r="4478">
          <cell r="C4478">
            <v>3025216</v>
          </cell>
          <cell r="D4478" t="str">
            <v>PL ŁOP.3D PBX CH ST2</v>
          </cell>
        </row>
        <row r="4479">
          <cell r="C4479">
            <v>3017796</v>
          </cell>
          <cell r="D4479" t="str">
            <v>EU ŁOP.3D CH</v>
          </cell>
        </row>
        <row r="4480">
          <cell r="C4480">
            <v>3024957</v>
          </cell>
          <cell r="D4480" t="str">
            <v>***EU ŁOP.3D PBX CH1</v>
          </cell>
        </row>
        <row r="4481">
          <cell r="C4481">
            <v>3025217</v>
          </cell>
          <cell r="D4481" t="str">
            <v>***EU ŁOP.3D PBX CH2</v>
          </cell>
        </row>
        <row r="4482">
          <cell r="C4482">
            <v>3036151</v>
          </cell>
          <cell r="D4482" t="str">
            <v>PP ŁOP.3D CH</v>
          </cell>
        </row>
        <row r="4483">
          <cell r="C4483">
            <v>3045717</v>
          </cell>
          <cell r="D4483" t="str">
            <v>PP ŁOP.3D OK20KG NB MR ST</v>
          </cell>
        </row>
        <row r="4484">
          <cell r="C4484">
            <v>3043769</v>
          </cell>
          <cell r="D4484" t="str">
            <v>PP ŁOP.3D PBX CH1</v>
          </cell>
        </row>
        <row r="4485">
          <cell r="C4485">
            <v>3036298</v>
          </cell>
          <cell r="D4485" t="str">
            <v>PP ŁOP.3D PBX ST</v>
          </cell>
        </row>
        <row r="4486">
          <cell r="C4486">
            <v>3039422</v>
          </cell>
          <cell r="D4486" t="str">
            <v>PP ŁOP.3D OK20KG NB DMR</v>
          </cell>
        </row>
        <row r="4487">
          <cell r="C4487">
            <v>3045782</v>
          </cell>
          <cell r="D4487" t="str">
            <v>PP ŁOP.3D NB RO1</v>
          </cell>
        </row>
        <row r="4488">
          <cell r="C4488">
            <v>3045785</v>
          </cell>
          <cell r="D4488" t="str">
            <v>PP ŁOP.3D NB RO2</v>
          </cell>
        </row>
        <row r="4489">
          <cell r="C4489">
            <v>3043810</v>
          </cell>
          <cell r="D4489" t="str">
            <v>PP ŁOP.3D PBX CH2</v>
          </cell>
        </row>
        <row r="4490">
          <cell r="C4490">
            <v>3005574</v>
          </cell>
          <cell r="D4490" t="str">
            <v>***ŁOP. 3D KL.U CH</v>
          </cell>
        </row>
        <row r="4491">
          <cell r="C4491">
            <v>3007814</v>
          </cell>
          <cell r="D4491" t="str">
            <v>***ŁOP.3D KL.R CH</v>
          </cell>
        </row>
        <row r="4492">
          <cell r="C4492">
            <v>3005588</v>
          </cell>
          <cell r="D4492" t="str">
            <v>***ŁOP. 3D KL.S CH</v>
          </cell>
        </row>
        <row r="4493">
          <cell r="C4493">
            <v>3028376</v>
          </cell>
          <cell r="D4493" t="str">
            <v>PL ŁOP.3D KAW.</v>
          </cell>
        </row>
        <row r="4494">
          <cell r="C4494">
            <v>3030474</v>
          </cell>
          <cell r="D4494" t="str">
            <v>***PL ŁOP.3D KAW.OK500KG PBX CH</v>
          </cell>
        </row>
        <row r="4495">
          <cell r="C4495">
            <v>4020366</v>
          </cell>
          <cell r="D4495" t="str">
            <v>PL ŁOP.3D OK1.2KGVAC OK20KGKT EX</v>
          </cell>
        </row>
        <row r="4496">
          <cell r="C4496">
            <v>4026849</v>
          </cell>
          <cell r="D4496" t="str">
            <v>PL ŁOP.3D OK1KGVAC OK10KGKT NETTO</v>
          </cell>
        </row>
        <row r="4497">
          <cell r="C4497">
            <v>4031668</v>
          </cell>
          <cell r="D4497" t="str">
            <v>PL ŁOP.3D OK1KGVAC OK5KGKT AUCH</v>
          </cell>
        </row>
        <row r="4498">
          <cell r="C4498">
            <v>3028378</v>
          </cell>
          <cell r="D4498" t="str">
            <v>PL ŁOP.3D KAW.OK15KG PJ ST</v>
          </cell>
        </row>
        <row r="4499">
          <cell r="C4499">
            <v>3030477</v>
          </cell>
          <cell r="D4499" t="str">
            <v>EU ŁOP.3D KAW.</v>
          </cell>
        </row>
        <row r="4500">
          <cell r="C4500">
            <v>3030476</v>
          </cell>
          <cell r="D4500" t="str">
            <v>***EU ŁOP.3D KAW.OK500KG PBX CH</v>
          </cell>
        </row>
        <row r="4501">
          <cell r="C4501">
            <v>4020367</v>
          </cell>
          <cell r="D4501" t="str">
            <v>***EU ŁOP.3D OK1KGVAC OK12KGKT EX</v>
          </cell>
        </row>
        <row r="4502">
          <cell r="C4502">
            <v>3005077</v>
          </cell>
          <cell r="D4502" t="str">
            <v>***POLEDWICZKA B/GŁ/WARK  KL.S CH</v>
          </cell>
        </row>
        <row r="4503">
          <cell r="C4503">
            <v>3015154</v>
          </cell>
          <cell r="D4503" t="str">
            <v>PL POL.B/GŁ/WAR.CH</v>
          </cell>
        </row>
        <row r="4504">
          <cell r="C4504">
            <v>3024958</v>
          </cell>
          <cell r="D4504" t="str">
            <v>***PL POL.B/GŁ/WAR.PBX CH</v>
          </cell>
        </row>
        <row r="4505">
          <cell r="C4505">
            <v>4030486</v>
          </cell>
          <cell r="D4505" t="str">
            <v>PL POL.B/GŁ/WAR.OK2.5KGVAC OK20KGPJ</v>
          </cell>
        </row>
        <row r="4506">
          <cell r="C4506">
            <v>3017706</v>
          </cell>
          <cell r="D4506" t="str">
            <v>EU POL.B/GŁ/WAR.CH</v>
          </cell>
        </row>
        <row r="4507">
          <cell r="C4507">
            <v>3024959</v>
          </cell>
          <cell r="D4507" t="str">
            <v>***EU POL.B/GŁ/WAR.PBX CH</v>
          </cell>
        </row>
        <row r="4508">
          <cell r="C4508">
            <v>3005079</v>
          </cell>
          <cell r="D4508" t="str">
            <v>***POLEDWICZKA B/GŁ/WARK KL.U CH</v>
          </cell>
        </row>
        <row r="4509">
          <cell r="C4509">
            <v>3005424</v>
          </cell>
          <cell r="D4509" t="str">
            <v>***POLEDWICZKA B/GŁ/WARK KL.R CH</v>
          </cell>
        </row>
        <row r="4510">
          <cell r="C4510">
            <v>3011375</v>
          </cell>
          <cell r="D4510" t="str">
            <v>***ŁOP. 2D KL.S CH</v>
          </cell>
        </row>
        <row r="4511">
          <cell r="C4511">
            <v>3015920</v>
          </cell>
          <cell r="D4511" t="str">
            <v>PL ŁOP.2D CH1</v>
          </cell>
        </row>
        <row r="4512">
          <cell r="C4512">
            <v>3024960</v>
          </cell>
          <cell r="D4512" t="str">
            <v>PL ŁOP.2D PBX CH1</v>
          </cell>
        </row>
        <row r="4513">
          <cell r="C4513">
            <v>4030115</v>
          </cell>
          <cell r="D4513" t="str">
            <v>PL ŁOP.2D 1STVAC OK12KGKT AUCH</v>
          </cell>
        </row>
        <row r="4514">
          <cell r="C4514">
            <v>3020281</v>
          </cell>
          <cell r="D4514" t="str">
            <v>PL ŁOP.2D CH2</v>
          </cell>
        </row>
        <row r="4515">
          <cell r="C4515">
            <v>3025220</v>
          </cell>
          <cell r="D4515" t="str">
            <v>PL ŁOP.2D PBX CH2</v>
          </cell>
        </row>
        <row r="4516">
          <cell r="C4516">
            <v>3017753</v>
          </cell>
          <cell r="D4516" t="str">
            <v>EU ŁOP.2D CH1</v>
          </cell>
        </row>
        <row r="4517">
          <cell r="C4517">
            <v>3024961</v>
          </cell>
          <cell r="D4517" t="str">
            <v>***EU ŁOP.2D PBX CH1</v>
          </cell>
        </row>
        <row r="4518">
          <cell r="C4518">
            <v>3020282</v>
          </cell>
          <cell r="D4518" t="str">
            <v>EU ŁOP.2D CH2</v>
          </cell>
        </row>
        <row r="4519">
          <cell r="C4519">
            <v>3025221</v>
          </cell>
          <cell r="D4519" t="str">
            <v>***EU ŁOP.2D PBX CH2</v>
          </cell>
        </row>
        <row r="4520">
          <cell r="C4520">
            <v>3005040</v>
          </cell>
          <cell r="D4520" t="str">
            <v>***ŁOP.2D KL.U CH</v>
          </cell>
        </row>
        <row r="4521">
          <cell r="C4521">
            <v>3007816</v>
          </cell>
          <cell r="D4521" t="str">
            <v>ELEM.ŁOP.WĘDZ.BOCZ.KL.E CH1</v>
          </cell>
        </row>
        <row r="4522">
          <cell r="C4522">
            <v>3007817</v>
          </cell>
          <cell r="D4522" t="str">
            <v>***ELEM.ŁOP.WĘDZ.BOCZ.KL.E NB MR</v>
          </cell>
        </row>
        <row r="4523">
          <cell r="C4523">
            <v>3024962</v>
          </cell>
          <cell r="D4523" t="str">
            <v>***ELEM.ŁOP.WĘDZ.BOCZ.KLE PBX CH1</v>
          </cell>
        </row>
        <row r="4524">
          <cell r="C4524">
            <v>3007818</v>
          </cell>
          <cell r="D4524" t="str">
            <v>***ELEM.ŁOP.WĘDZ.BOCZ.KL.E NB DMR</v>
          </cell>
        </row>
        <row r="4525">
          <cell r="C4525">
            <v>3020283</v>
          </cell>
          <cell r="D4525" t="str">
            <v>ELEM.ŁOP.WĘDZ.BOCZ.KL.E CH2</v>
          </cell>
        </row>
        <row r="4526">
          <cell r="C4526">
            <v>3025222</v>
          </cell>
          <cell r="D4526" t="str">
            <v>***ELEM.ŁOP.WĘDZ.BOCZ.KLE PBX CH2</v>
          </cell>
        </row>
        <row r="4527">
          <cell r="C4527">
            <v>3007819</v>
          </cell>
          <cell r="D4527" t="str">
            <v>***ELEM.ŁOP WĘDZONKA BOCZKOWA KL.U CH</v>
          </cell>
        </row>
        <row r="4528">
          <cell r="C4528">
            <v>3016875</v>
          </cell>
          <cell r="D4528" t="str">
            <v>PL POL.N/OBR.MDP CH</v>
          </cell>
        </row>
        <row r="4529">
          <cell r="C4529">
            <v>3017837</v>
          </cell>
          <cell r="D4529" t="str">
            <v>***EU POL.N/OBR.MDP CH</v>
          </cell>
        </row>
        <row r="4530">
          <cell r="C4530">
            <v>3015957</v>
          </cell>
          <cell r="D4530" t="str">
            <v>POL.N/OBR.CH</v>
          </cell>
        </row>
        <row r="4531">
          <cell r="C4531">
            <v>3032377</v>
          </cell>
          <cell r="D4531" t="str">
            <v>***POL.N/OBR.LUZ PB MR</v>
          </cell>
        </row>
        <row r="4532">
          <cell r="C4532">
            <v>3020982</v>
          </cell>
          <cell r="D4532" t="str">
            <v>***POL.N/OBR.LUZ PJ CH ST</v>
          </cell>
        </row>
        <row r="4533">
          <cell r="C4533">
            <v>3038564</v>
          </cell>
          <cell r="D4533" t="str">
            <v>POL.N/OBR.OK500KG OKT ZAK</v>
          </cell>
        </row>
        <row r="4534">
          <cell r="C4534">
            <v>3032375</v>
          </cell>
          <cell r="D4534" t="str">
            <v>***POL.N/OBR.CH LUZ PB DMR</v>
          </cell>
        </row>
        <row r="4535">
          <cell r="C4535">
            <v>3032379</v>
          </cell>
          <cell r="D4535" t="str">
            <v>***POL.N/OBR.RO</v>
          </cell>
        </row>
        <row r="4536">
          <cell r="C4536">
            <v>3017789</v>
          </cell>
          <cell r="D4536" t="str">
            <v>***EU POL.N/OBR.CH</v>
          </cell>
        </row>
        <row r="4537">
          <cell r="C4537">
            <v>3042647</v>
          </cell>
          <cell r="D4537" t="str">
            <v>POL.N/OBR.MAC.</v>
          </cell>
        </row>
        <row r="4538">
          <cell r="C4538">
            <v>3046075</v>
          </cell>
          <cell r="D4538" t="str">
            <v>POL.N/OBR.MAC.OK20KG NB MR</v>
          </cell>
        </row>
        <row r="4539">
          <cell r="C4539">
            <v>3046074</v>
          </cell>
          <cell r="D4539" t="str">
            <v>POL.N/OBR.MAC.OK20KG NB DMR</v>
          </cell>
        </row>
        <row r="4540">
          <cell r="C4540">
            <v>3046079</v>
          </cell>
          <cell r="D4540" t="str">
            <v>POL.N/OBR.MAC.RO</v>
          </cell>
        </row>
        <row r="4541">
          <cell r="C4541">
            <v>3007822</v>
          </cell>
          <cell r="D4541" t="str">
            <v>***POLĘD.N/OBR KL.R CH</v>
          </cell>
        </row>
        <row r="4542">
          <cell r="C4542">
            <v>3007823</v>
          </cell>
          <cell r="D4542" t="str">
            <v>***POLĘD.N/OBR KL.O CH</v>
          </cell>
        </row>
        <row r="4543">
          <cell r="C4543">
            <v>3007824</v>
          </cell>
          <cell r="D4543" t="str">
            <v>***POLĘD.N/OBR KL.S CH</v>
          </cell>
        </row>
        <row r="4544">
          <cell r="C4544">
            <v>3007825</v>
          </cell>
          <cell r="D4544" t="str">
            <v>***POLĘD.N/OBR KL.A CH</v>
          </cell>
        </row>
        <row r="4545">
          <cell r="C4545">
            <v>3008818</v>
          </cell>
          <cell r="D4545" t="str">
            <v>***POLĘD.Z/WAR/GŁ CH</v>
          </cell>
        </row>
        <row r="4546">
          <cell r="C4546">
            <v>3029415</v>
          </cell>
          <cell r="D4546" t="str">
            <v>PL POL.Z/GŁ/W.CH</v>
          </cell>
        </row>
        <row r="4547">
          <cell r="C4547">
            <v>3030954</v>
          </cell>
          <cell r="D4547" t="str">
            <v>PL POL.Z/GŁ/WAR.OK20KGWOR PJ ST</v>
          </cell>
        </row>
        <row r="4548">
          <cell r="C4548">
            <v>3039104</v>
          </cell>
          <cell r="D4548" t="str">
            <v>PL POL.Z/GŁ/WAR.OK20KGLUZ PJ ST</v>
          </cell>
        </row>
        <row r="4549">
          <cell r="C4549">
            <v>3029414</v>
          </cell>
          <cell r="D4549" t="str">
            <v>EU POL.Z/GŁ/W.CH</v>
          </cell>
        </row>
        <row r="4550">
          <cell r="C4550">
            <v>3036436</v>
          </cell>
          <cell r="D4550" t="str">
            <v>EU POL.Z/GŁ/WAR.OK20KGWOR PJ ST</v>
          </cell>
        </row>
        <row r="4551">
          <cell r="C4551">
            <v>3035845</v>
          </cell>
          <cell r="D4551" t="str">
            <v>PP POL.Z/GŁ/W.CH</v>
          </cell>
        </row>
        <row r="4552">
          <cell r="C4552">
            <v>3041533</v>
          </cell>
          <cell r="D4552" t="str">
            <v>PP POL.Z/GŁ/W.OK5KGVAC OK500KGOKT MR ST</v>
          </cell>
        </row>
        <row r="4553">
          <cell r="C4553">
            <v>3035857</v>
          </cell>
          <cell r="D4553" t="str">
            <v>PP POL.Z/GŁ/WAR.OK20KGWOR PJ ST</v>
          </cell>
        </row>
        <row r="4554">
          <cell r="C4554">
            <v>3039088</v>
          </cell>
          <cell r="D4554" t="str">
            <v>PP POL.Z/GŁ/WAR.OK20KGLUZ PJ ST</v>
          </cell>
        </row>
        <row r="4555">
          <cell r="C4555">
            <v>3041532</v>
          </cell>
          <cell r="D4555" t="str">
            <v>PP POL.Z/GŁ/W.OK5KGVAC OK500KG OKT DMR</v>
          </cell>
        </row>
        <row r="4556">
          <cell r="C4556">
            <v>3015959</v>
          </cell>
          <cell r="D4556" t="str">
            <v>PL POL.Z/GŁ.B/W.CH1</v>
          </cell>
        </row>
        <row r="4557">
          <cell r="C4557">
            <v>3024963</v>
          </cell>
          <cell r="D4557" t="str">
            <v>PL POL.Z/GŁ.B/WAR.PBX CH ST1</v>
          </cell>
        </row>
        <row r="4558">
          <cell r="C4558">
            <v>4024178</v>
          </cell>
          <cell r="D4558" t="str">
            <v>PL POL.Z/GŁ.B/WAR.OK2.5KGVACOK18KGPJ</v>
          </cell>
        </row>
        <row r="4559">
          <cell r="C4559">
            <v>3031683</v>
          </cell>
          <cell r="D4559" t="str">
            <v>***POL.Z/GŁ.B/WAR.PBX K4 ZAK</v>
          </cell>
        </row>
        <row r="4560">
          <cell r="C4560">
            <v>3037097</v>
          </cell>
          <cell r="D4560" t="str">
            <v>PL POL.Z/GŁ.B/W.OK20KGLUZ PJ K4</v>
          </cell>
        </row>
        <row r="4561">
          <cell r="C4561">
            <v>3020284</v>
          </cell>
          <cell r="D4561" t="str">
            <v>PL POL.Z/GŁ.B/W.CH2</v>
          </cell>
        </row>
        <row r="4562">
          <cell r="C4562">
            <v>3025223</v>
          </cell>
          <cell r="D4562" t="str">
            <v>PL POL.Z/GŁ.B/WAR.PBX CH ST2</v>
          </cell>
        </row>
        <row r="4563">
          <cell r="C4563">
            <v>3017793</v>
          </cell>
          <cell r="D4563" t="str">
            <v>EU POL.Z/GŁ.B/W.CH1</v>
          </cell>
        </row>
        <row r="4564">
          <cell r="C4564">
            <v>3024964</v>
          </cell>
          <cell r="D4564" t="str">
            <v>***EU POL.Z/GŁ.B/WAR.PBX CH1</v>
          </cell>
        </row>
        <row r="4565">
          <cell r="C4565">
            <v>4024183</v>
          </cell>
          <cell r="D4565" t="str">
            <v>EU POL.Z/GŁ.B/WAR.OK2.5KGVACOK15KGKT LAD</v>
          </cell>
        </row>
        <row r="4566">
          <cell r="C4566">
            <v>3017707</v>
          </cell>
          <cell r="D4566" t="str">
            <v>EU POL.Z/GŁ.B/W.OK5KGWOR PJ EŁ1</v>
          </cell>
        </row>
        <row r="4567">
          <cell r="C4567">
            <v>3024384</v>
          </cell>
          <cell r="D4567" t="str">
            <v>EU POL.Z/GŁ.B/W.CH2</v>
          </cell>
        </row>
        <row r="4568">
          <cell r="C4568">
            <v>3025224</v>
          </cell>
          <cell r="D4568" t="str">
            <v>***EU POL.Z/GŁ.B/WAR.PBX CH2</v>
          </cell>
        </row>
        <row r="4569">
          <cell r="C4569">
            <v>3035683</v>
          </cell>
          <cell r="D4569" t="str">
            <v>PP POL.Z/GŁ.B/W.CH</v>
          </cell>
        </row>
        <row r="4570">
          <cell r="C4570">
            <v>3037787</v>
          </cell>
          <cell r="D4570" t="str">
            <v>PP POL.Z/GŁ.B/WAR.PBX ST1</v>
          </cell>
        </row>
        <row r="4571">
          <cell r="C4571">
            <v>3037164</v>
          </cell>
          <cell r="D4571" t="str">
            <v>PP POL.Z/GŁ.B/WAR.OK20KGLUZ PJ K4</v>
          </cell>
        </row>
        <row r="4572">
          <cell r="C4572">
            <v>3037766</v>
          </cell>
          <cell r="D4572" t="str">
            <v>PP POL.Z/GŁ.B/WAR.PBX ST2</v>
          </cell>
        </row>
        <row r="4573">
          <cell r="C4573">
            <v>3035205</v>
          </cell>
          <cell r="D4573" t="str">
            <v>CZ POL.Z/GŁ.B/WAR.CH</v>
          </cell>
        </row>
        <row r="4574">
          <cell r="C4574">
            <v>3020019</v>
          </cell>
          <cell r="D4574" t="str">
            <v>POL.Z/GŁ.B/WAR.KAL.CH1</v>
          </cell>
        </row>
        <row r="4575">
          <cell r="C4575">
            <v>3024965</v>
          </cell>
          <cell r="D4575" t="str">
            <v>POL.Z/GŁ.B/WAR.KAL.PBX CH1</v>
          </cell>
        </row>
        <row r="4576">
          <cell r="C4576">
            <v>3020897</v>
          </cell>
          <cell r="D4576" t="str">
            <v>POL.Z/GŁ.B/WAR.KAL.CH2</v>
          </cell>
        </row>
        <row r="4577">
          <cell r="C4577">
            <v>3025225</v>
          </cell>
          <cell r="D4577" t="str">
            <v>POL.Z/GŁ.B/WAR.KAL.PBX CH2</v>
          </cell>
        </row>
        <row r="4578">
          <cell r="C4578">
            <v>3030532</v>
          </cell>
          <cell r="D4578" t="str">
            <v>PL POL.Z/GŁ.B/WAR.ROZP1</v>
          </cell>
        </row>
        <row r="4579">
          <cell r="C4579">
            <v>3030534</v>
          </cell>
          <cell r="D4579" t="str">
            <v>PL POL.Z/GŁ.B/WAR.ROZP2</v>
          </cell>
        </row>
        <row r="4580">
          <cell r="C4580">
            <v>3007826</v>
          </cell>
          <cell r="D4580" t="str">
            <v>***POLĘD.B/WAR.Z/GŁ KLU CH</v>
          </cell>
        </row>
        <row r="4581">
          <cell r="C4581">
            <v>3010600</v>
          </cell>
          <cell r="D4581" t="str">
            <v>***POLĘDWICZKA Z/GŁ B/WARK  KL.U CH PL</v>
          </cell>
        </row>
        <row r="4582">
          <cell r="C4582">
            <v>3004535</v>
          </cell>
          <cell r="D4582" t="str">
            <v>***POLĘDWICZKA Z/GŁ.B/WARK KL.R CH</v>
          </cell>
        </row>
        <row r="4583">
          <cell r="C4583">
            <v>3004532</v>
          </cell>
          <cell r="D4583" t="str">
            <v>***POLĘDWICZKA Z/GŁ.B/WARK KL.S CH</v>
          </cell>
        </row>
        <row r="4584">
          <cell r="C4584">
            <v>3010602</v>
          </cell>
          <cell r="D4584" t="str">
            <v>***POLĘDWICZKA Z/GŁ B/WARK KL.S CH PL</v>
          </cell>
        </row>
        <row r="4585">
          <cell r="C4585">
            <v>3007827</v>
          </cell>
          <cell r="D4585" t="str">
            <v>PL GŁ.POL.ODBŁ.CH</v>
          </cell>
        </row>
        <row r="4586">
          <cell r="C4586">
            <v>3024966</v>
          </cell>
          <cell r="D4586" t="str">
            <v>***PL GŁ.POL.ODBŁ.PBX CH</v>
          </cell>
        </row>
        <row r="4587">
          <cell r="C4587">
            <v>4011264</v>
          </cell>
          <cell r="D4587" t="str">
            <v>***PL GŁ.POL.ODBŁ.OK5KGVAC OK20KGKT</v>
          </cell>
        </row>
        <row r="4588">
          <cell r="C4588">
            <v>4001823</v>
          </cell>
          <cell r="D4588" t="str">
            <v>***PL GŁ.POL.ODBŁ.VAC CH EX</v>
          </cell>
        </row>
        <row r="4589">
          <cell r="C4589">
            <v>4009149</v>
          </cell>
          <cell r="D4589" t="str">
            <v>***PL GŁ.POL.ODBŁ.OK2.5KGVAC PJ CH NL</v>
          </cell>
        </row>
        <row r="4590">
          <cell r="C4590">
            <v>4030487</v>
          </cell>
          <cell r="D4590" t="str">
            <v>PL GŁ.POL.ODBŁ.OK2.5KGVAC OK20KGPJ</v>
          </cell>
        </row>
        <row r="4591">
          <cell r="C4591">
            <v>3017402</v>
          </cell>
          <cell r="D4591" t="str">
            <v>EU GŁ.POL.ODBŁ.CH</v>
          </cell>
        </row>
        <row r="4592">
          <cell r="C4592">
            <v>3024967</v>
          </cell>
          <cell r="D4592" t="str">
            <v>EU GŁ.POL.ODBŁ.PBX CH</v>
          </cell>
        </row>
        <row r="4593">
          <cell r="C4593">
            <v>4012177</v>
          </cell>
          <cell r="D4593" t="str">
            <v>***EU GŁ.POL.ODBŁ.OK2KGVAC OK15KGKT</v>
          </cell>
        </row>
        <row r="4594">
          <cell r="C4594">
            <v>4011475</v>
          </cell>
          <cell r="D4594" t="str">
            <v>***EU GŁ.POL.ODBŁ.VAC CH EX</v>
          </cell>
        </row>
        <row r="4595">
          <cell r="C4595">
            <v>4011890</v>
          </cell>
          <cell r="D4595" t="str">
            <v>***EU GŁ.POL.ODBŁ.OK2.5KGVAC PJ CH NL</v>
          </cell>
        </row>
        <row r="4596">
          <cell r="C4596">
            <v>3007828</v>
          </cell>
          <cell r="D4596" t="str">
            <v>***GŁÓW.POLĘD.ODBŁ.UŚR.CH</v>
          </cell>
        </row>
        <row r="4597">
          <cell r="C4597">
            <v>3007830</v>
          </cell>
          <cell r="D4597" t="str">
            <v>***PODG.Z/SK.CZ.ZASAD.UŚR.CH</v>
          </cell>
        </row>
        <row r="4598">
          <cell r="C4598">
            <v>3015977</v>
          </cell>
          <cell r="D4598" t="str">
            <v>PL PODG.Z/S.CH1</v>
          </cell>
        </row>
        <row r="4599">
          <cell r="C4599">
            <v>3015203</v>
          </cell>
          <cell r="D4599" t="str">
            <v>***PODG.Z/S.OBR PBX CH1</v>
          </cell>
        </row>
        <row r="4600">
          <cell r="C4600">
            <v>4003915</v>
          </cell>
          <cell r="D4600" t="str">
            <v>PL PODG.Z/S.LUZ KT CH</v>
          </cell>
        </row>
        <row r="4601">
          <cell r="C4601">
            <v>3012659</v>
          </cell>
          <cell r="D4601" t="str">
            <v>PL PODG.B/S.PBX EŁ1</v>
          </cell>
        </row>
        <row r="4602">
          <cell r="C4602">
            <v>4013473</v>
          </cell>
          <cell r="D4602" t="str">
            <v>***PODG.WP.Z/S.OK20KG NB MR EX</v>
          </cell>
        </row>
        <row r="4603">
          <cell r="C4603">
            <v>4012682</v>
          </cell>
          <cell r="D4603" t="str">
            <v>***PL PODG.Z/S.OK2.5KGVAC OK10KGKT</v>
          </cell>
        </row>
        <row r="4604">
          <cell r="C4604">
            <v>3031497</v>
          </cell>
          <cell r="D4604" t="str">
            <v>PODG.WP.Z/S.NB MR ZAK</v>
          </cell>
        </row>
        <row r="4605">
          <cell r="C4605">
            <v>3019957</v>
          </cell>
          <cell r="D4605" t="str">
            <v>***PODG.WP.Z/S.OK20KG NB DMR EX</v>
          </cell>
        </row>
        <row r="4606">
          <cell r="C4606">
            <v>3022540</v>
          </cell>
          <cell r="D4606" t="str">
            <v>***PODG.WP.Z/S.RO1</v>
          </cell>
        </row>
        <row r="4607">
          <cell r="C4607">
            <v>3031848</v>
          </cell>
          <cell r="D4607" t="str">
            <v>PL PODG.Z/S.ZAK RO</v>
          </cell>
        </row>
        <row r="4608">
          <cell r="C4608">
            <v>3020895</v>
          </cell>
          <cell r="D4608" t="str">
            <v>PL PODG.Z/S.CH2</v>
          </cell>
        </row>
        <row r="4609">
          <cell r="C4609">
            <v>3022544</v>
          </cell>
          <cell r="D4609" t="str">
            <v>***PODG.WP.Z/S.RO2</v>
          </cell>
        </row>
        <row r="4610">
          <cell r="C4610">
            <v>3020573</v>
          </cell>
          <cell r="D4610" t="str">
            <v>PODG.Z/S.OBR PBX CH2</v>
          </cell>
        </row>
        <row r="4611">
          <cell r="C4611">
            <v>3017798</v>
          </cell>
          <cell r="D4611" t="str">
            <v>EU PODG.Z/S.CH</v>
          </cell>
        </row>
        <row r="4612">
          <cell r="C4612">
            <v>3024968</v>
          </cell>
          <cell r="D4612" t="str">
            <v>EU PODG.Z/SK.PBX1</v>
          </cell>
        </row>
        <row r="4613">
          <cell r="C4613">
            <v>4011617</v>
          </cell>
          <cell r="D4613" t="str">
            <v>***EU PODGARDLE Z/SK.LUZ KT CH</v>
          </cell>
        </row>
        <row r="4614">
          <cell r="C4614">
            <v>4012683</v>
          </cell>
          <cell r="D4614" t="str">
            <v>***EU PODG.Z/S.OK2.5KGVAC OK10KGKT</v>
          </cell>
        </row>
        <row r="4615">
          <cell r="C4615">
            <v>3025228</v>
          </cell>
          <cell r="D4615" t="str">
            <v>EU PODG.Z/SK.PBX2</v>
          </cell>
        </row>
        <row r="4616">
          <cell r="C4616">
            <v>3016301</v>
          </cell>
          <cell r="D4616" t="str">
            <v>***PODGARDLE Z/SK.OBR USR CH</v>
          </cell>
        </row>
        <row r="4617">
          <cell r="C4617">
            <v>3015978</v>
          </cell>
          <cell r="D4617" t="str">
            <v>PL PODG.B/S.CH1</v>
          </cell>
        </row>
        <row r="4618">
          <cell r="C4618">
            <v>3008982</v>
          </cell>
          <cell r="D4618" t="str">
            <v>***PODGARDLE B/SK PB MR ST</v>
          </cell>
        </row>
        <row r="4619">
          <cell r="C4619">
            <v>3024969</v>
          </cell>
          <cell r="D4619" t="str">
            <v>PL PODG.B/S.PBX ST1</v>
          </cell>
        </row>
        <row r="4620">
          <cell r="C4620">
            <v>3020200</v>
          </cell>
          <cell r="D4620" t="str">
            <v>***PL PODG.WP.B/SK.20CM NB MR ST</v>
          </cell>
        </row>
        <row r="4621">
          <cell r="C4621">
            <v>3019882</v>
          </cell>
          <cell r="D4621" t="str">
            <v>***PODG.WP.B/S.PB MR ST</v>
          </cell>
        </row>
        <row r="4622">
          <cell r="C4622">
            <v>3009159</v>
          </cell>
          <cell r="D4622" t="str">
            <v>PODG.B/S.NB MR ST</v>
          </cell>
        </row>
        <row r="4623">
          <cell r="C4623">
            <v>4003916</v>
          </cell>
          <cell r="D4623" t="str">
            <v>PL PODG.B/S.OK15KGWOR KT</v>
          </cell>
        </row>
        <row r="4624">
          <cell r="C4624">
            <v>4008795</v>
          </cell>
          <cell r="D4624" t="str">
            <v>***PL PODG.B/S.LUZ OK10KG KT</v>
          </cell>
        </row>
        <row r="4625">
          <cell r="C4625">
            <v>4012220</v>
          </cell>
          <cell r="D4625" t="str">
            <v>***PL PODG.WP.B/SK.WOR OK2KG PJ EC</v>
          </cell>
        </row>
        <row r="4626">
          <cell r="C4626">
            <v>3008630</v>
          </cell>
          <cell r="D4626" t="str">
            <v>***PODGARDLE B/SK. OK.15KG WOR MR ST</v>
          </cell>
        </row>
        <row r="4627">
          <cell r="C4627">
            <v>3012604</v>
          </cell>
          <cell r="D4627" t="str">
            <v>PODG.B/S.OK15KGWOR MR ST</v>
          </cell>
        </row>
        <row r="4628">
          <cell r="C4628">
            <v>4013778</v>
          </cell>
          <cell r="D4628" t="str">
            <v>***PL PODG.WP.B/SK.LUZ OK15KG KT MR EX</v>
          </cell>
        </row>
        <row r="4629">
          <cell r="C4629">
            <v>4016069</v>
          </cell>
          <cell r="D4629" t="str">
            <v>PL PODG.B/SKOK2KGVAC OK12KGPJ ECS</v>
          </cell>
        </row>
        <row r="4630">
          <cell r="C4630">
            <v>4025258</v>
          </cell>
          <cell r="D4630" t="str">
            <v>PL PODG.B/S.MAX4KGVAC MAX20KGPJ POLM</v>
          </cell>
        </row>
        <row r="4631">
          <cell r="C4631">
            <v>4012677</v>
          </cell>
          <cell r="D4631" t="str">
            <v>***PL PODG.B/S.OK2.5KGVAC OK5KGKT</v>
          </cell>
        </row>
        <row r="4632">
          <cell r="C4632">
            <v>4012984</v>
          </cell>
          <cell r="D4632" t="str">
            <v>***PL PODG.B/SK.OK2KGVAC OK6KG PJ TESC</v>
          </cell>
        </row>
        <row r="4633">
          <cell r="C4633">
            <v>3007831</v>
          </cell>
          <cell r="D4633" t="str">
            <v>***PODGARDLE WP.B/SK WOR PJ ST</v>
          </cell>
        </row>
        <row r="4634">
          <cell r="C4634">
            <v>4009731</v>
          </cell>
          <cell r="D4634" t="str">
            <v>***PL PODG.B/S.LUZ PJ HILT</v>
          </cell>
        </row>
        <row r="4635">
          <cell r="C4635">
            <v>3012599</v>
          </cell>
          <cell r="D4635" t="str">
            <v>PL PODG.B/S OK15KGWOR PJ ST</v>
          </cell>
        </row>
        <row r="4636">
          <cell r="C4636">
            <v>3009724</v>
          </cell>
          <cell r="D4636" t="str">
            <v>***PODGARDLE WP.B/SK OKTABINA ST</v>
          </cell>
        </row>
        <row r="4637">
          <cell r="C4637">
            <v>3012286</v>
          </cell>
          <cell r="D4637" t="str">
            <v>PL PODG.B/S.PBX ST</v>
          </cell>
        </row>
        <row r="4638">
          <cell r="C4638">
            <v>3012610</v>
          </cell>
          <cell r="D4638" t="str">
            <v>PL PODG.B/S.OKT ST</v>
          </cell>
        </row>
        <row r="4639">
          <cell r="C4639">
            <v>3031664</v>
          </cell>
          <cell r="D4639" t="str">
            <v>***PODG.WP.B/S.OK20KGLUZ PJ K4 ZAK</v>
          </cell>
        </row>
        <row r="4640">
          <cell r="C4640">
            <v>3012637</v>
          </cell>
          <cell r="D4640" t="str">
            <v>PL PODG.B/S.PBX MOR SZ</v>
          </cell>
        </row>
        <row r="4641">
          <cell r="C4641">
            <v>3031190</v>
          </cell>
          <cell r="D4641" t="str">
            <v>PL PODG.B/S.OK500KG OKT SZ</v>
          </cell>
        </row>
        <row r="4642">
          <cell r="C4642">
            <v>3033673</v>
          </cell>
          <cell r="D4642" t="str">
            <v>PL PODG.B/S.PBX K4</v>
          </cell>
        </row>
        <row r="4643">
          <cell r="C4643">
            <v>3036973</v>
          </cell>
          <cell r="D4643" t="str">
            <v>PL PODG.B/S.OK20KG NB MR K4</v>
          </cell>
        </row>
        <row r="4644">
          <cell r="C4644">
            <v>3038153</v>
          </cell>
          <cell r="D4644" t="str">
            <v>PL PODG.B/S.PBX WST K4</v>
          </cell>
        </row>
        <row r="4645">
          <cell r="C4645">
            <v>3036407</v>
          </cell>
          <cell r="D4645" t="str">
            <v>PL PODG.B/S.OK600KG PBX 1OB K4</v>
          </cell>
        </row>
        <row r="4646">
          <cell r="C4646">
            <v>3006271</v>
          </cell>
          <cell r="D4646" t="str">
            <v>***PODGARDLE B/SK  NB DMR</v>
          </cell>
        </row>
        <row r="4647">
          <cell r="C4647">
            <v>3020188</v>
          </cell>
          <cell r="D4647" t="str">
            <v>***PL PODG.WP.B/SK.20CM NB DMR</v>
          </cell>
        </row>
        <row r="4648">
          <cell r="C4648">
            <v>3019881</v>
          </cell>
          <cell r="D4648" t="str">
            <v>***PODG.WP.B/S.PB DMR</v>
          </cell>
        </row>
        <row r="4649">
          <cell r="C4649">
            <v>3009158</v>
          </cell>
          <cell r="D4649" t="str">
            <v>PL PODG.B/S.OK15KG NB DMR</v>
          </cell>
        </row>
        <row r="4650">
          <cell r="C4650">
            <v>3007832</v>
          </cell>
          <cell r="D4650" t="str">
            <v>***PL PODGARDLE B/SK.KT DMR</v>
          </cell>
        </row>
        <row r="4651">
          <cell r="C4651">
            <v>3013587</v>
          </cell>
          <cell r="D4651" t="str">
            <v>PL PODG.B/S.PB DMR</v>
          </cell>
        </row>
        <row r="4652">
          <cell r="C4652">
            <v>3021035</v>
          </cell>
          <cell r="D4652" t="str">
            <v>***PL PODG.WP.B/SK.LUZ OK15KG KT DMR</v>
          </cell>
        </row>
        <row r="4653">
          <cell r="C4653">
            <v>3009516</v>
          </cell>
          <cell r="D4653" t="str">
            <v>PODG.B/S.PB RO1</v>
          </cell>
        </row>
        <row r="4654">
          <cell r="C4654">
            <v>3012417</v>
          </cell>
          <cell r="D4654" t="str">
            <v>***PODGARDLE B/SK OK 15KG WOR RO</v>
          </cell>
        </row>
        <row r="4655">
          <cell r="C4655">
            <v>3013558</v>
          </cell>
          <cell r="D4655" t="str">
            <v>PODG.WP.B/S.PB RO1</v>
          </cell>
        </row>
        <row r="4656">
          <cell r="C4656">
            <v>3020285</v>
          </cell>
          <cell r="D4656" t="str">
            <v>PL PODG.B/S.CH2</v>
          </cell>
        </row>
        <row r="4657">
          <cell r="C4657">
            <v>3027427</v>
          </cell>
          <cell r="D4657" t="str">
            <v>PODG.B/S.PB RO2</v>
          </cell>
        </row>
        <row r="4658">
          <cell r="C4658">
            <v>3025229</v>
          </cell>
          <cell r="D4658" t="str">
            <v>PL PODG.B/S.PBX ST2</v>
          </cell>
        </row>
        <row r="4659">
          <cell r="C4659">
            <v>3020286</v>
          </cell>
          <cell r="D4659" t="str">
            <v>PODG.WP.B/S.PB RO2</v>
          </cell>
        </row>
        <row r="4660">
          <cell r="C4660">
            <v>3017800</v>
          </cell>
          <cell r="D4660" t="str">
            <v>EU PODG.B/S.CH1</v>
          </cell>
        </row>
        <row r="4661">
          <cell r="C4661">
            <v>3024970</v>
          </cell>
          <cell r="D4661" t="str">
            <v>EU PODG.B/S.PBX1</v>
          </cell>
        </row>
        <row r="4662">
          <cell r="C4662">
            <v>3020201</v>
          </cell>
          <cell r="D4662" t="str">
            <v>***EU PODG.WP.B/SK.20CM NB MR ST</v>
          </cell>
        </row>
        <row r="4663">
          <cell r="C4663">
            <v>3044733</v>
          </cell>
          <cell r="D4663" t="str">
            <v>EU PODG.B/S.OK15KG NB MR ST</v>
          </cell>
        </row>
        <row r="4664">
          <cell r="C4664">
            <v>4011618</v>
          </cell>
          <cell r="D4664" t="str">
            <v>***EU PODG.B/S.LUZ KT</v>
          </cell>
        </row>
        <row r="4665">
          <cell r="C4665">
            <v>4011840</v>
          </cell>
          <cell r="D4665" t="str">
            <v>***EU PODG.B/S.LUZ OK10KG KT</v>
          </cell>
        </row>
        <row r="4666">
          <cell r="C4666">
            <v>4012209</v>
          </cell>
          <cell r="D4666" t="str">
            <v>***EU PODG.WP.B/SK.WOR OK2KG PJ EC</v>
          </cell>
        </row>
        <row r="4667">
          <cell r="C4667">
            <v>4013779</v>
          </cell>
          <cell r="D4667" t="str">
            <v>***EU PODG.WP.B/SK.LUZ OK15KG KT MR EX</v>
          </cell>
        </row>
        <row r="4668">
          <cell r="C4668">
            <v>4012678</v>
          </cell>
          <cell r="D4668" t="str">
            <v>***EU PODG.B/S.OK2.5KGVAC OK5KGKT</v>
          </cell>
        </row>
        <row r="4669">
          <cell r="C4669">
            <v>4012985</v>
          </cell>
          <cell r="D4669" t="str">
            <v>***EU PODG.B/SK.OK2KGVAC OK 6KG PJ TESC</v>
          </cell>
        </row>
        <row r="4670">
          <cell r="C4670">
            <v>4011962</v>
          </cell>
          <cell r="D4670" t="str">
            <v>***EU PODG.B/S.LUZ PJ HILT</v>
          </cell>
        </row>
        <row r="4671">
          <cell r="C4671">
            <v>3020189</v>
          </cell>
          <cell r="D4671" t="str">
            <v>***EU PODG.WP.B/SK.20CM NB DMR</v>
          </cell>
        </row>
        <row r="4672">
          <cell r="C4672">
            <v>3044732</v>
          </cell>
          <cell r="D4672" t="str">
            <v>EU PODG.B/S.OK15KG NB DMR</v>
          </cell>
        </row>
        <row r="4673">
          <cell r="C4673">
            <v>3017403</v>
          </cell>
          <cell r="D4673" t="str">
            <v>***EU PODG.B/S.KT DMR</v>
          </cell>
        </row>
        <row r="4674">
          <cell r="C4674">
            <v>3017560</v>
          </cell>
          <cell r="D4674" t="str">
            <v>***EU PODG.B/S.PB DMR</v>
          </cell>
        </row>
        <row r="4675">
          <cell r="C4675">
            <v>3021036</v>
          </cell>
          <cell r="D4675" t="str">
            <v>***EU PODG.WP.B/SK.LUZ OK15KG KT DMR</v>
          </cell>
        </row>
        <row r="4676">
          <cell r="C4676">
            <v>3044731</v>
          </cell>
          <cell r="D4676" t="str">
            <v>EU PODG.B/S.RO1</v>
          </cell>
        </row>
        <row r="4677">
          <cell r="C4677">
            <v>3020287</v>
          </cell>
          <cell r="D4677" t="str">
            <v>EU PODG.B/S.CH2</v>
          </cell>
        </row>
        <row r="4678">
          <cell r="C4678">
            <v>3025230</v>
          </cell>
          <cell r="D4678" t="str">
            <v>EU PODG.B/S.PBX2</v>
          </cell>
        </row>
        <row r="4679">
          <cell r="C4679">
            <v>3044743</v>
          </cell>
          <cell r="D4679" t="str">
            <v>EU PODG.B/S.RO2</v>
          </cell>
        </row>
        <row r="4680">
          <cell r="C4680">
            <v>3016300</v>
          </cell>
          <cell r="D4680" t="str">
            <v>PODGARDLE B/SK USR CH</v>
          </cell>
        </row>
        <row r="4681">
          <cell r="C4681">
            <v>3037430</v>
          </cell>
          <cell r="D4681" t="str">
            <v>PP PODG.B/S.CH</v>
          </cell>
        </row>
        <row r="4682">
          <cell r="C4682">
            <v>3037636</v>
          </cell>
          <cell r="D4682" t="str">
            <v>PP PODG.B/S.PBX ST1</v>
          </cell>
        </row>
        <row r="4683">
          <cell r="C4683">
            <v>3042256</v>
          </cell>
          <cell r="D4683" t="str">
            <v>PP PODG.B/S.OK15KG NB MR ST</v>
          </cell>
        </row>
        <row r="4684">
          <cell r="C4684">
            <v>4026855</v>
          </cell>
          <cell r="D4684" t="str">
            <v>PP PODG.B/S.OK1.5KGVAC OK3KGKT BIED</v>
          </cell>
        </row>
        <row r="4685">
          <cell r="C4685">
            <v>3039520</v>
          </cell>
          <cell r="D4685" t="str">
            <v>PP PODG.B/S.OK20KG NB MR K4</v>
          </cell>
        </row>
        <row r="4686">
          <cell r="C4686">
            <v>3037663</v>
          </cell>
          <cell r="D4686" t="str">
            <v>PP PODG.B/S.PBX K4</v>
          </cell>
        </row>
        <row r="4687">
          <cell r="C4687">
            <v>3039293</v>
          </cell>
          <cell r="D4687" t="str">
            <v>PP PODG.B/S.OK15KG NB DMR</v>
          </cell>
        </row>
        <row r="4688">
          <cell r="C4688">
            <v>3042253</v>
          </cell>
          <cell r="D4688" t="str">
            <v>PP PODG.B/S.NB RO1</v>
          </cell>
        </row>
        <row r="4689">
          <cell r="C4689">
            <v>3037782</v>
          </cell>
          <cell r="D4689" t="str">
            <v>PP PODG.B/S.PBX ST2</v>
          </cell>
        </row>
        <row r="4690">
          <cell r="C4690">
            <v>3042255</v>
          </cell>
          <cell r="D4690" t="str">
            <v>PP PODG.B/S.NB RO2</v>
          </cell>
        </row>
        <row r="4691">
          <cell r="C4691">
            <v>3019056</v>
          </cell>
          <cell r="D4691" t="str">
            <v>PODG.B/S.ROZP1</v>
          </cell>
        </row>
        <row r="4692">
          <cell r="C4692">
            <v>3020288</v>
          </cell>
          <cell r="D4692" t="str">
            <v>PODG.B/S.ROZP2</v>
          </cell>
        </row>
        <row r="4693">
          <cell r="C4693">
            <v>3032928</v>
          </cell>
          <cell r="D4693" t="str">
            <v>PODG.B/S/TŁ/GRUCZ.CH</v>
          </cell>
        </row>
        <row r="4694">
          <cell r="C4694">
            <v>4022035</v>
          </cell>
          <cell r="D4694" t="str">
            <v>PODG.B/S/TŁ/GRUCZ.25KGFOL KT MR EX</v>
          </cell>
        </row>
        <row r="4695">
          <cell r="C4695">
            <v>4025383</v>
          </cell>
          <cell r="D4695" t="str">
            <v>PODG.B/S/TŁ/GRUCZ.25KGFOL KT MR VN</v>
          </cell>
        </row>
        <row r="4696">
          <cell r="C4696">
            <v>4024604</v>
          </cell>
          <cell r="D4696" t="str">
            <v>PODG.B/S/TŁ/GRUCZ.OK1KGVAC OK10KGKTMR EX</v>
          </cell>
        </row>
        <row r="4697">
          <cell r="C4697">
            <v>3037202</v>
          </cell>
          <cell r="D4697" t="str">
            <v>PODG.B/S/TŁ/GRUCZ.OK20KG PJ ST</v>
          </cell>
        </row>
        <row r="4698">
          <cell r="C4698">
            <v>3033031</v>
          </cell>
          <cell r="D4698" t="str">
            <v>PODG.B/S/TŁ/GRUCZ.25KGFOL KT DMR</v>
          </cell>
        </row>
        <row r="4699">
          <cell r="C4699">
            <v>3037593</v>
          </cell>
          <cell r="D4699" t="str">
            <v>PODG.B/S/TŁ/GRUCZ.25KGFOL KT DMR VN</v>
          </cell>
        </row>
        <row r="4700">
          <cell r="C4700">
            <v>3036541</v>
          </cell>
          <cell r="D4700" t="str">
            <v>PODG.B/S/TŁ/GRUCZ.OK1KGVAC OK10KGKTDMREX</v>
          </cell>
        </row>
        <row r="4701">
          <cell r="C4701">
            <v>3038478</v>
          </cell>
          <cell r="D4701" t="str">
            <v>PODG.B/S/TŁ/GRUCZ.K4 CH</v>
          </cell>
        </row>
        <row r="4702">
          <cell r="C4702">
            <v>3039259</v>
          </cell>
          <cell r="D4702" t="str">
            <v>PP PODG.WP.B/S.OK15KG NB MR SZ</v>
          </cell>
        </row>
        <row r="4703">
          <cell r="C4703">
            <v>3038700</v>
          </cell>
          <cell r="D4703" t="str">
            <v>PODG.B/S/TŁ/GRUCZ.VN</v>
          </cell>
        </row>
        <row r="4704">
          <cell r="C4704">
            <v>3015878</v>
          </cell>
          <cell r="D4704" t="str">
            <v>***ĆW.BOCZ.CH</v>
          </cell>
        </row>
        <row r="4705">
          <cell r="C4705">
            <v>3016874</v>
          </cell>
          <cell r="D4705" t="str">
            <v>ĆW.BOCZ.C MDP CH</v>
          </cell>
        </row>
        <row r="4706">
          <cell r="C4706">
            <v>3015879</v>
          </cell>
          <cell r="D4706" t="str">
            <v>ĆW.BOCZ.B CH</v>
          </cell>
        </row>
        <row r="4707">
          <cell r="C4707">
            <v>3022910</v>
          </cell>
          <cell r="D4707" t="str">
            <v>***ĆW.BOCZ.B LUZ OKT MR</v>
          </cell>
        </row>
        <row r="4708">
          <cell r="C4708">
            <v>3024971</v>
          </cell>
          <cell r="D4708" t="str">
            <v>***ĆW.BOCZ.B PBX ST</v>
          </cell>
        </row>
        <row r="4709">
          <cell r="C4709">
            <v>4027480</v>
          </cell>
          <cell r="D4709" t="str">
            <v>PL ĆW.BOCZ.B OK20KGWOR KT MR EX</v>
          </cell>
        </row>
        <row r="4710">
          <cell r="C4710">
            <v>4015156</v>
          </cell>
          <cell r="D4710" t="str">
            <v>***ĆW.BOCZ.B SZER.Z/Ż/SK.PB MR EX</v>
          </cell>
        </row>
        <row r="4711">
          <cell r="C4711">
            <v>4025230</v>
          </cell>
          <cell r="D4711" t="str">
            <v>PL ĆW.BOCZ.B 1STFOL OK20KGKT MR EX</v>
          </cell>
        </row>
        <row r="4712">
          <cell r="C4712">
            <v>4017572</v>
          </cell>
          <cell r="D4712" t="str">
            <v>ĆW.BOCZ.B OK120KG CHOIN.EX</v>
          </cell>
        </row>
        <row r="4713">
          <cell r="C4713">
            <v>3007833</v>
          </cell>
          <cell r="D4713" t="str">
            <v>ĆW.BOCZ.B OK650KG OKT ST</v>
          </cell>
        </row>
        <row r="4714">
          <cell r="C4714">
            <v>4021730</v>
          </cell>
          <cell r="D4714" t="str">
            <v>ĆW.BOCZ.B OK650KG OKT EX</v>
          </cell>
        </row>
        <row r="4715">
          <cell r="C4715">
            <v>4005847</v>
          </cell>
          <cell r="D4715" t="str">
            <v>***PL BOCZ.SZER.Z/Ż.PBX CH</v>
          </cell>
        </row>
        <row r="4716">
          <cell r="C4716">
            <v>3022909</v>
          </cell>
          <cell r="D4716" t="str">
            <v>***ĆW.BOCZ.B LUZ OKT DMR</v>
          </cell>
        </row>
        <row r="4717">
          <cell r="C4717">
            <v>3041611</v>
          </cell>
          <cell r="D4717" t="str">
            <v>PL ĆW.BOCZ.B OK20KGWOR KT DMR</v>
          </cell>
        </row>
        <row r="4718">
          <cell r="C4718">
            <v>3023040</v>
          </cell>
          <cell r="D4718" t="str">
            <v>***ĆW.BOCZ.B SZER Z/Ż/SK.PB DMR EX</v>
          </cell>
        </row>
        <row r="4719">
          <cell r="C4719">
            <v>3037224</v>
          </cell>
          <cell r="D4719" t="str">
            <v>PL ĆW.BOCZ.B 1STFOL OK20KGKT DMR</v>
          </cell>
        </row>
        <row r="4720">
          <cell r="C4720">
            <v>3022911</v>
          </cell>
          <cell r="D4720" t="str">
            <v>***ĆW.BOCZ.B LUZ OKT RO</v>
          </cell>
        </row>
        <row r="4721">
          <cell r="C4721">
            <v>3009569</v>
          </cell>
          <cell r="D4721" t="str">
            <v>***ĆW.BOCZKOWA SZR.KL.E CH PL</v>
          </cell>
        </row>
        <row r="4722">
          <cell r="C4722">
            <v>4011635</v>
          </cell>
          <cell r="D4722" t="str">
            <v>***EU BOCZ.SZER.Z/Ż.PBX CH</v>
          </cell>
        </row>
        <row r="4723">
          <cell r="C4723">
            <v>3012301</v>
          </cell>
          <cell r="D4723" t="str">
            <v>***BOCZ.Z/ŻEB.SZEROKI NAT.CIĘC.KL.ECH EX</v>
          </cell>
        </row>
        <row r="4724">
          <cell r="C4724">
            <v>3004233</v>
          </cell>
          <cell r="D4724" t="str">
            <v>***ĆW.BOCZKOWA SZR.KL.U CH</v>
          </cell>
        </row>
        <row r="4725">
          <cell r="C4725">
            <v>3009567</v>
          </cell>
          <cell r="D4725" t="str">
            <v>***ĆW.BOCZKOWA SZR.KL.U CH PL</v>
          </cell>
        </row>
        <row r="4726">
          <cell r="C4726">
            <v>3012279</v>
          </cell>
          <cell r="D4726" t="str">
            <v>***BOCZ.Z/ŻEB.SZER. NAT.CIĘC. KL.U CH EX</v>
          </cell>
        </row>
        <row r="4727">
          <cell r="C4727">
            <v>3021250</v>
          </cell>
          <cell r="D4727" t="str">
            <v>ĆW.BOCZ.A CH</v>
          </cell>
        </row>
        <row r="4728">
          <cell r="C4728">
            <v>4022643</v>
          </cell>
          <cell r="D4728" t="str">
            <v>PL ĆW.BOCZ.A OK120KG CHOIN.EX</v>
          </cell>
        </row>
        <row r="4729">
          <cell r="C4729">
            <v>3021909</v>
          </cell>
          <cell r="D4729" t="str">
            <v>BOCZ.A B/P.OK20KGLUZ PJ ZAK</v>
          </cell>
        </row>
        <row r="4730">
          <cell r="C4730">
            <v>3021268</v>
          </cell>
          <cell r="D4730" t="str">
            <v>ĆW.BOCZ.A OK500KG OKT ZAK</v>
          </cell>
        </row>
        <row r="4731">
          <cell r="C4731">
            <v>3030763</v>
          </cell>
          <cell r="D4731" t="str">
            <v>PL BOCZ.A B/P.CH</v>
          </cell>
        </row>
        <row r="4732">
          <cell r="C4732">
            <v>3043970</v>
          </cell>
          <cell r="D4732" t="str">
            <v>PL BOCZ.A B/P.OK20KG NB MR ST</v>
          </cell>
        </row>
        <row r="4733">
          <cell r="C4733">
            <v>4026515</v>
          </cell>
          <cell r="D4733" t="str">
            <v>PL BOCZ.A B/P.OK15KGWOR KT</v>
          </cell>
        </row>
        <row r="4734">
          <cell r="C4734">
            <v>4026540</v>
          </cell>
          <cell r="D4734" t="str">
            <v>PL BOCZ.A B/P.1STMAP OK15KGKT</v>
          </cell>
        </row>
        <row r="4735">
          <cell r="C4735">
            <v>4028884</v>
          </cell>
          <cell r="D4735" t="str">
            <v>PL BOCZ.A B/P.1STMAP OK15KGPJ POLM</v>
          </cell>
        </row>
        <row r="4736">
          <cell r="C4736">
            <v>4028940</v>
          </cell>
          <cell r="D4736" t="str">
            <v>PL BOCZ.A B/P.1STMAP OK16KGKT SEL</v>
          </cell>
        </row>
        <row r="4737">
          <cell r="C4737">
            <v>4028965</v>
          </cell>
          <cell r="D4737" t="str">
            <v>PL BOCZ.A B/P.1STMAP OK10KGKTMAKR</v>
          </cell>
        </row>
        <row r="4738">
          <cell r="C4738">
            <v>4029168</v>
          </cell>
          <cell r="D4738" t="str">
            <v>PL BOCZ.A B/P.1STMAP OK12KGKT AUCH</v>
          </cell>
        </row>
        <row r="4739">
          <cell r="C4739">
            <v>4030875</v>
          </cell>
          <cell r="D4739" t="str">
            <v>PL BOCZ.A B/P.2STMAP 2STKT KAUF</v>
          </cell>
        </row>
        <row r="4740">
          <cell r="C4740">
            <v>4028883</v>
          </cell>
          <cell r="D4740" t="str">
            <v>PL BOCZ.A B/P.OK20KGWOR PJ POLM</v>
          </cell>
        </row>
        <row r="4741">
          <cell r="C4741">
            <v>3043939</v>
          </cell>
          <cell r="D4741" t="str">
            <v>PL BOCZ.A B/P.OK20KG NB DMR</v>
          </cell>
        </row>
        <row r="4742">
          <cell r="C4742">
            <v>3043938</v>
          </cell>
          <cell r="D4742" t="str">
            <v>PL BOCZ.A B/P.RO1</v>
          </cell>
        </row>
        <row r="4743">
          <cell r="C4743">
            <v>3043974</v>
          </cell>
          <cell r="D4743" t="str">
            <v>PL BOCZ.A B/P.RO2</v>
          </cell>
        </row>
        <row r="4744">
          <cell r="C4744">
            <v>3017348</v>
          </cell>
          <cell r="D4744" t="str">
            <v>BOCZ.ŁU.A B/P/CHB.18CM CH</v>
          </cell>
        </row>
        <row r="4745">
          <cell r="C4745">
            <v>3036290</v>
          </cell>
          <cell r="D4745" t="str">
            <v>BOCZ.ŁU.A B/P/CHB.18CM PBX1</v>
          </cell>
        </row>
        <row r="4746">
          <cell r="C4746">
            <v>3036283</v>
          </cell>
          <cell r="D4746" t="str">
            <v>BOCZ.ŁU.A B/P/CHB.18CM PBX2</v>
          </cell>
        </row>
        <row r="4747">
          <cell r="C4747">
            <v>3038897</v>
          </cell>
          <cell r="D4747" t="str">
            <v>PP BOCZ.ŁU.A B/P/CHB.18CM CH</v>
          </cell>
        </row>
        <row r="4748">
          <cell r="C4748">
            <v>3039064</v>
          </cell>
          <cell r="D4748" t="str">
            <v>PP BOCZ.ŁU.A B/P/CHB.18CM PBX ST1</v>
          </cell>
        </row>
        <row r="4749">
          <cell r="C4749">
            <v>3039074</v>
          </cell>
          <cell r="D4749" t="str">
            <v>PP BOCZ.ŁU.A B/P/CHB.18CM PBX ST2</v>
          </cell>
        </row>
        <row r="4750">
          <cell r="C4750">
            <v>3030417</v>
          </cell>
          <cell r="D4750" t="str">
            <v>PL BOCZ.BL.C CH</v>
          </cell>
        </row>
        <row r="4751">
          <cell r="C4751">
            <v>3030383</v>
          </cell>
          <cell r="D4751" t="str">
            <v>PL BOCZ.BL.B CH</v>
          </cell>
        </row>
        <row r="4752">
          <cell r="C4752">
            <v>3030416</v>
          </cell>
          <cell r="D4752" t="str">
            <v>PL BOCZ.BL.A CH</v>
          </cell>
        </row>
        <row r="4753">
          <cell r="C4753">
            <v>3030418</v>
          </cell>
          <cell r="D4753" t="str">
            <v>PL BOCZ.BL.ABC USR</v>
          </cell>
        </row>
        <row r="4754">
          <cell r="C4754">
            <v>4020286</v>
          </cell>
          <cell r="D4754" t="str">
            <v>***PL BOCZ.BL.ABC OK20KGFOL KT MR RU</v>
          </cell>
        </row>
        <row r="4755">
          <cell r="C4755">
            <v>3030419</v>
          </cell>
          <cell r="D4755" t="str">
            <v>PL BOCZ.BL.ABC OK20KGFOL KT DMR US</v>
          </cell>
        </row>
        <row r="4756">
          <cell r="C4756">
            <v>3021402</v>
          </cell>
          <cell r="D4756" t="str">
            <v>PL BOCZ.BL.B B/P.20CM CH</v>
          </cell>
        </row>
        <row r="4757">
          <cell r="C4757">
            <v>4029607</v>
          </cell>
          <cell r="D4757" t="str">
            <v>PL BOCZ.BL.B B/P.20CM OK1KGVOK12KGKTAUCH</v>
          </cell>
        </row>
        <row r="4758">
          <cell r="C4758">
            <v>4029669</v>
          </cell>
          <cell r="D4758" t="str">
            <v>PL BOCZ.BL.B B/P.20CM OK1KGVOK12KGKT SAN</v>
          </cell>
        </row>
        <row r="4759">
          <cell r="C4759">
            <v>4030141</v>
          </cell>
          <cell r="D4759" t="str">
            <v>PL BOCZ.BL.B B/P.20CM 1STVACOK12KGKTAUCH</v>
          </cell>
        </row>
        <row r="4760">
          <cell r="C4760">
            <v>4019785</v>
          </cell>
          <cell r="D4760" t="str">
            <v>***PL BOCZ.B BLAT.Z/S.1STVACOK12KGKTAUCH</v>
          </cell>
        </row>
        <row r="4761">
          <cell r="C4761">
            <v>3044480</v>
          </cell>
          <cell r="D4761" t="str">
            <v>PP BOCZ.BL.B B/P.20CM CH</v>
          </cell>
        </row>
        <row r="4762">
          <cell r="C4762">
            <v>4029435</v>
          </cell>
          <cell r="D4762" t="str">
            <v>PP BOCZ.BL.B B/P.20CM OK3KGV OK3KGKTBIED</v>
          </cell>
        </row>
        <row r="4763">
          <cell r="C4763">
            <v>3027785</v>
          </cell>
          <cell r="D4763" t="str">
            <v>PL BOCZ.BL.B B/P.KAW.CH</v>
          </cell>
        </row>
        <row r="4764">
          <cell r="C4764">
            <v>4020255</v>
          </cell>
          <cell r="D4764" t="str">
            <v>***PLBOCZ.B B/Ż.Z/S.OK1KGVACOK6KTLIDLCZ</v>
          </cell>
        </row>
        <row r="4765">
          <cell r="C4765">
            <v>3036822</v>
          </cell>
          <cell r="D4765" t="str">
            <v>PL BOCZ.BL.A B/P.KAW.PBX K4</v>
          </cell>
        </row>
        <row r="4766">
          <cell r="C4766">
            <v>3030500</v>
          </cell>
          <cell r="D4766" t="str">
            <v>PL BOCZ.BL.B B/P.PBX EŁ</v>
          </cell>
        </row>
        <row r="4767">
          <cell r="C4767">
            <v>3035448</v>
          </cell>
          <cell r="D4767" t="str">
            <v>PP BOCZ.BL.B B/P.KAW.CH</v>
          </cell>
        </row>
        <row r="4768">
          <cell r="C4768">
            <v>3035451</v>
          </cell>
          <cell r="D4768" t="str">
            <v>PP BOCZ.BL.B B/P.KAW.PBX</v>
          </cell>
        </row>
        <row r="4769">
          <cell r="C4769">
            <v>3036826</v>
          </cell>
          <cell r="D4769" t="str">
            <v>PP BOCZ.BL.A B/P.KAW.PBX K4</v>
          </cell>
        </row>
        <row r="4770">
          <cell r="C4770">
            <v>3027786</v>
          </cell>
          <cell r="D4770" t="str">
            <v>PL BOCZ.BL.B B/S/CZPF.OK10CM KAW.CH</v>
          </cell>
        </row>
        <row r="4771">
          <cell r="C4771">
            <v>3028080</v>
          </cell>
          <cell r="D4771" t="str">
            <v>PL BOCZ.BL.B B/S/CZPF.OK10CM KAW.PBX</v>
          </cell>
        </row>
        <row r="4772">
          <cell r="C4772">
            <v>3015948</v>
          </cell>
          <cell r="D4772" t="str">
            <v>PL BOCZ.BL.A B/P.20CM PRZ.CH</v>
          </cell>
        </row>
        <row r="4773">
          <cell r="C4773">
            <v>3027758</v>
          </cell>
          <cell r="D4773" t="str">
            <v>PL BOCZ.BL.A B/P.20CM OK15KG NB MR ST</v>
          </cell>
        </row>
        <row r="4774">
          <cell r="C4774">
            <v>3024213</v>
          </cell>
          <cell r="D4774" t="str">
            <v>PL BOCZ.BL.A B/P.20CM PRZ.PBX1</v>
          </cell>
        </row>
        <row r="4775">
          <cell r="C4775">
            <v>4026467</v>
          </cell>
          <cell r="D4775" t="str">
            <v>PL BOCZ.BL.A B/P.20CM 1STVAC OK15KGPJSTO</v>
          </cell>
        </row>
        <row r="4776">
          <cell r="C4776">
            <v>4026469</v>
          </cell>
          <cell r="D4776" t="str">
            <v>PL BOCZ.BL.A B/P.20CM 1STVAC OK12KGKT</v>
          </cell>
        </row>
        <row r="4777">
          <cell r="C4777">
            <v>4028845</v>
          </cell>
          <cell r="D4777" t="str">
            <v>PL BOCZ.BL.A B/P.20CM 1/2STVOK15KGPJ ECS</v>
          </cell>
        </row>
        <row r="4778">
          <cell r="C4778">
            <v>4026427</v>
          </cell>
          <cell r="D4778" t="str">
            <v>PL BOCZ.BL.A B/P.20CM MAX20KGLUZ PJ AGRO</v>
          </cell>
        </row>
        <row r="4779">
          <cell r="C4779">
            <v>3033829</v>
          </cell>
          <cell r="D4779" t="str">
            <v>***PL BOCZ.A BL.Z/S.OK600KG PBX K4 ZAK</v>
          </cell>
        </row>
        <row r="4780">
          <cell r="C4780">
            <v>3024214</v>
          </cell>
          <cell r="D4780" t="str">
            <v>PL BOCZ.BL.A B/P.20CM PRZ.OK20KG PB MREŁ</v>
          </cell>
        </row>
        <row r="4781">
          <cell r="C4781">
            <v>3040117</v>
          </cell>
          <cell r="D4781" t="str">
            <v>PL BOCZ.BL.A B/P.20CM PBX 3OB K4</v>
          </cell>
        </row>
        <row r="4782">
          <cell r="C4782">
            <v>3021487</v>
          </cell>
          <cell r="D4782" t="str">
            <v>PL BOCZ.BL.A B/P.20CM OK20KG PB MR EŁ</v>
          </cell>
        </row>
        <row r="4783">
          <cell r="C4783">
            <v>3040119</v>
          </cell>
          <cell r="D4783" t="str">
            <v>PL BOCZ.BL.A B/P.20CM OK20KG NB MR 3OBK4</v>
          </cell>
        </row>
        <row r="4784">
          <cell r="C4784">
            <v>3027649</v>
          </cell>
          <cell r="D4784" t="str">
            <v>PL BOCZ.BL.A B/P.20CM OK15KG NB DMR</v>
          </cell>
        </row>
        <row r="4785">
          <cell r="C4785">
            <v>3024216</v>
          </cell>
          <cell r="D4785" t="str">
            <v>BOCZ.BL.A B/P.20CM PRZ.RO1</v>
          </cell>
        </row>
        <row r="4786">
          <cell r="C4786">
            <v>3030297</v>
          </cell>
          <cell r="D4786" t="str">
            <v>***BOCZ.BL.A B/P.20CM RO</v>
          </cell>
        </row>
        <row r="4787">
          <cell r="C4787">
            <v>3024347</v>
          </cell>
          <cell r="D4787" t="str">
            <v>BOCZ.BL.A B/P.20CM PRZ.RO2</v>
          </cell>
        </row>
        <row r="4788">
          <cell r="C4788">
            <v>3024346</v>
          </cell>
          <cell r="D4788" t="str">
            <v>PL BOCZ.BL.A B/P.20CM PRZ.PBX2</v>
          </cell>
        </row>
        <row r="4789">
          <cell r="C4789">
            <v>3035621</v>
          </cell>
          <cell r="D4789" t="str">
            <v>EU BOCZ.BL.A B/P.20CM PRZ.CH</v>
          </cell>
        </row>
        <row r="4790">
          <cell r="C4790">
            <v>4026468</v>
          </cell>
          <cell r="D4790" t="str">
            <v>EU BOCZ.BL.A B/P.20CM 1STVAC OK15KGPJSTO</v>
          </cell>
        </row>
        <row r="4791">
          <cell r="C4791">
            <v>4026470</v>
          </cell>
          <cell r="D4791" t="str">
            <v>EU BOCZ.BL.A B/P.20CM 1STVAC OK12KGKT</v>
          </cell>
        </row>
        <row r="4792">
          <cell r="C4792">
            <v>4026428</v>
          </cell>
          <cell r="D4792" t="str">
            <v>EU BOCZ.BL.A B/P.20CM MAX20KGLUZ PJ AGRO</v>
          </cell>
        </row>
        <row r="4793">
          <cell r="C4793">
            <v>3043202</v>
          </cell>
          <cell r="D4793" t="str">
            <v>PP BOCZ.BL.A B/P.20CM PRZ.CH</v>
          </cell>
        </row>
        <row r="4794">
          <cell r="C4794">
            <v>3043198</v>
          </cell>
          <cell r="D4794" t="str">
            <v>PP BOCZ.BL.A B/P.20CM OK15KG NB MR ST</v>
          </cell>
        </row>
        <row r="4795">
          <cell r="C4795">
            <v>3043204</v>
          </cell>
          <cell r="D4795" t="str">
            <v>PP BOCZ.BL.A B/P.20CM PRZ.PBX1</v>
          </cell>
        </row>
        <row r="4796">
          <cell r="C4796">
            <v>3043708</v>
          </cell>
          <cell r="D4796" t="str">
            <v>PP BOCZ.BL.A B/P.20CM OK20KGLUZ PJ ST</v>
          </cell>
        </row>
        <row r="4797">
          <cell r="C4797">
            <v>3043196</v>
          </cell>
          <cell r="D4797" t="str">
            <v>PP BOCZ.BL.A B/P.20CM OK15KG NB DMR</v>
          </cell>
        </row>
        <row r="4798">
          <cell r="C4798">
            <v>3043197</v>
          </cell>
          <cell r="D4798" t="str">
            <v>PP BOCZ.BL.A B/P.20CM RO1</v>
          </cell>
        </row>
        <row r="4799">
          <cell r="C4799">
            <v>3043199</v>
          </cell>
          <cell r="D4799" t="str">
            <v>PP BOCZ.BL.A B/P.20CM RO2</v>
          </cell>
        </row>
        <row r="4800">
          <cell r="C4800">
            <v>3043208</v>
          </cell>
          <cell r="D4800" t="str">
            <v>PP BOCZ.BL.A B/P.20CM PRZ.PBX2</v>
          </cell>
        </row>
        <row r="4801">
          <cell r="C4801">
            <v>3038635</v>
          </cell>
          <cell r="D4801" t="str">
            <v>PL BOCZ.BL.A B/P.20CM ROZP1</v>
          </cell>
        </row>
        <row r="4802">
          <cell r="C4802">
            <v>3038646</v>
          </cell>
          <cell r="D4802" t="str">
            <v>PL BOCZ.BL.A B/P.20CM ROZP2</v>
          </cell>
        </row>
        <row r="4803">
          <cell r="C4803">
            <v>3022291</v>
          </cell>
          <cell r="D4803" t="str">
            <v>***EU BOCZ.BL.ABC B/S.USR US</v>
          </cell>
        </row>
        <row r="4804">
          <cell r="C4804">
            <v>3024972</v>
          </cell>
          <cell r="D4804" t="str">
            <v>***EU BOCZ.BC B/Ż/SK/CH/MP.PBX CH US</v>
          </cell>
        </row>
        <row r="4805">
          <cell r="C4805">
            <v>3022293</v>
          </cell>
          <cell r="D4805" t="str">
            <v>***EU BOCZ.BL.ABC B/P.USR</v>
          </cell>
        </row>
        <row r="4806">
          <cell r="C4806">
            <v>3024973</v>
          </cell>
          <cell r="D4806" t="str">
            <v>EU BOCZ.BC B/Ż.Z/SK.NT/C.PBX USR CH</v>
          </cell>
        </row>
        <row r="4807">
          <cell r="C4807">
            <v>3022294</v>
          </cell>
          <cell r="D4807" t="str">
            <v>***PL BOCZ.BL.ABC B/P.USR</v>
          </cell>
        </row>
        <row r="4808">
          <cell r="C4808">
            <v>3024974</v>
          </cell>
          <cell r="D4808" t="str">
            <v>***PL BOCZ.BL.BC B/P.PBX USR</v>
          </cell>
        </row>
        <row r="4809">
          <cell r="C4809">
            <v>3022272</v>
          </cell>
          <cell r="D4809" t="str">
            <v>***PL BOCZ.BL.A B/P.CH1</v>
          </cell>
        </row>
        <row r="4810">
          <cell r="C4810">
            <v>3024625</v>
          </cell>
          <cell r="D4810" t="str">
            <v>***PL BOCZ.A B/Ż.Z/SK.NT/C.MR ST</v>
          </cell>
        </row>
        <row r="4811">
          <cell r="C4811">
            <v>3024975</v>
          </cell>
          <cell r="D4811" t="str">
            <v>***PL BOCZ.BL.A B/P.PBX1</v>
          </cell>
        </row>
        <row r="4812">
          <cell r="C4812">
            <v>4020834</v>
          </cell>
          <cell r="D4812" t="str">
            <v>***PL BOCZ.BL.A B/P.1/2STVAC OK15KGKT PJ</v>
          </cell>
        </row>
        <row r="4813">
          <cell r="C4813">
            <v>3033553</v>
          </cell>
          <cell r="D4813" t="str">
            <v>PL BOCZ.A BL.Z/S.PBX K4</v>
          </cell>
        </row>
        <row r="4814">
          <cell r="C4814">
            <v>4017200</v>
          </cell>
          <cell r="D4814" t="str">
            <v>PL BOCZ.BL.A B/P.1/2STVAC OK20KGKT MR NZ</v>
          </cell>
        </row>
        <row r="4815">
          <cell r="C4815">
            <v>3024582</v>
          </cell>
          <cell r="D4815" t="str">
            <v>***PL BOCZ.A B/Ż.Z/SK.NT/C.DMR</v>
          </cell>
        </row>
        <row r="4816">
          <cell r="C4816">
            <v>3025325</v>
          </cell>
          <cell r="D4816" t="str">
            <v>***PL BOCZ.A B/Ż.Z/SK.NT/C.RO1</v>
          </cell>
        </row>
        <row r="4817">
          <cell r="C4817">
            <v>3024206</v>
          </cell>
          <cell r="D4817" t="str">
            <v>***PL BOCZ.BL.A B/P.CH2</v>
          </cell>
        </row>
        <row r="4818">
          <cell r="C4818">
            <v>3025327</v>
          </cell>
          <cell r="D4818" t="str">
            <v>***PL BOCZ.A B/Ż.Z/SK.NT/C.RO2</v>
          </cell>
        </row>
        <row r="4819">
          <cell r="C4819">
            <v>3025235</v>
          </cell>
          <cell r="D4819" t="str">
            <v>***PL BOCZ.BL.A B/P.PBX2</v>
          </cell>
        </row>
        <row r="4820">
          <cell r="C4820">
            <v>3022273</v>
          </cell>
          <cell r="D4820" t="str">
            <v>***EU BOCZ.BL.A B/P.CH1</v>
          </cell>
        </row>
        <row r="4821">
          <cell r="C4821">
            <v>3024976</v>
          </cell>
          <cell r="D4821" t="str">
            <v>***EU BOCZ.BL.A B/P.PBX1</v>
          </cell>
        </row>
        <row r="4822">
          <cell r="C4822">
            <v>3024207</v>
          </cell>
          <cell r="D4822" t="str">
            <v>***EU BOCZ.BL.A B/P.CH2</v>
          </cell>
        </row>
        <row r="4823">
          <cell r="C4823">
            <v>3025236</v>
          </cell>
          <cell r="D4823" t="str">
            <v>***EU BOCZ.A B/Ż.Z/SK.NT/C.PBX CH2</v>
          </cell>
        </row>
        <row r="4824">
          <cell r="C4824">
            <v>3021288</v>
          </cell>
          <cell r="D4824" t="str">
            <v>***EU BOCZ.BL.BC B/P.USR</v>
          </cell>
        </row>
        <row r="4825">
          <cell r="C4825">
            <v>3004227</v>
          </cell>
          <cell r="D4825" t="str">
            <v>***ĆW.BOCZKOWA SZR.KL.S CH</v>
          </cell>
        </row>
        <row r="4826">
          <cell r="C4826">
            <v>3011851</v>
          </cell>
          <cell r="D4826" t="str">
            <v>***ĆW.BOCZ.SZER.KL.S CH PL</v>
          </cell>
        </row>
        <row r="4827">
          <cell r="C4827">
            <v>3012292</v>
          </cell>
          <cell r="D4827" t="str">
            <v>***BOCZ.Z/ŻEB.SZEROKI NAT.CIĘC.KL.S CHEX</v>
          </cell>
        </row>
        <row r="4828">
          <cell r="C4828">
            <v>3004238</v>
          </cell>
          <cell r="D4828" t="str">
            <v>***ĆW.BOCZKOWA SZR./TŁUSTA/KL.O CH</v>
          </cell>
        </row>
        <row r="4829">
          <cell r="C4829">
            <v>3014503</v>
          </cell>
          <cell r="D4829" t="str">
            <v>***BOCZEK B/K Z/SK NAT.CIĘCIE KL.S CH</v>
          </cell>
        </row>
        <row r="4830">
          <cell r="C4830">
            <v>3014498</v>
          </cell>
          <cell r="D4830" t="str">
            <v>***PL BOCZ.BL.B B/P.CH1</v>
          </cell>
        </row>
        <row r="4831">
          <cell r="C4831">
            <v>4016195</v>
          </cell>
          <cell r="D4831" t="str">
            <v>***PL BOCZ.B B/Ż.Z/SK.1/2STVACOK12KGKTME</v>
          </cell>
        </row>
        <row r="4832">
          <cell r="C4832">
            <v>4016422</v>
          </cell>
          <cell r="D4832" t="str">
            <v>PL BOCZ.BL.B B/P.1/2STVAC OK15KG KT</v>
          </cell>
        </row>
        <row r="4833">
          <cell r="C4833">
            <v>4016590</v>
          </cell>
          <cell r="D4833" t="str">
            <v>***PL BOCZ.B B/Ż.Z/SK.1STVAC OK20KGPJ</v>
          </cell>
        </row>
        <row r="4834">
          <cell r="C4834">
            <v>4016611</v>
          </cell>
          <cell r="D4834" t="str">
            <v>PL BOCZ.BL.B B/P.1STVAC OK15KGKT ME</v>
          </cell>
        </row>
        <row r="4835">
          <cell r="C4835">
            <v>4025034</v>
          </cell>
          <cell r="D4835" t="str">
            <v>PL BOCZ.BL.B B/P.1STVAC OK12KGKT MORE EX</v>
          </cell>
        </row>
        <row r="4836">
          <cell r="C4836">
            <v>4025321</v>
          </cell>
          <cell r="D4836" t="str">
            <v>PL BOCZ.BL.B B/P.1STVAC OK12KGKT</v>
          </cell>
        </row>
        <row r="4837">
          <cell r="C4837">
            <v>3020890</v>
          </cell>
          <cell r="D4837" t="str">
            <v>***PL BOCZ.BL.B B/P.CH2</v>
          </cell>
        </row>
        <row r="4838">
          <cell r="C4838">
            <v>3017593</v>
          </cell>
          <cell r="D4838" t="str">
            <v>***EU BOCZ.BL.B B/P.CH1</v>
          </cell>
        </row>
        <row r="4839">
          <cell r="C4839">
            <v>4016423</v>
          </cell>
          <cell r="D4839" t="str">
            <v>***EU BOCZ.B B/Ż.Z/SK.1/2STVACOK15KGKTPJ</v>
          </cell>
        </row>
        <row r="4840">
          <cell r="C4840">
            <v>4016591</v>
          </cell>
          <cell r="D4840" t="str">
            <v>***EU BOCZ.B B/Ż.Z/SK.1STVAC OK20KGPJ</v>
          </cell>
        </row>
        <row r="4841">
          <cell r="C4841">
            <v>4016612</v>
          </cell>
          <cell r="D4841" t="str">
            <v>***EU BOCZ.B B/Ż.Z/SK.1STVAC OK15KGKT ME</v>
          </cell>
        </row>
        <row r="4842">
          <cell r="C4842">
            <v>3020891</v>
          </cell>
          <cell r="D4842" t="str">
            <v>***EU BOCZ.BL.B B/P.CH2</v>
          </cell>
        </row>
        <row r="4843">
          <cell r="C4843">
            <v>3021287</v>
          </cell>
          <cell r="D4843" t="str">
            <v>***PL BOCZ.BL.BC B/P.USR</v>
          </cell>
        </row>
        <row r="4844">
          <cell r="C4844">
            <v>3024404</v>
          </cell>
          <cell r="D4844" t="str">
            <v>PP BOCZ.BL.B B/P.CH</v>
          </cell>
        </row>
        <row r="4845">
          <cell r="C4845">
            <v>3025321</v>
          </cell>
          <cell r="D4845" t="str">
            <v>***EU BOCZ.BL.B B/P.CH</v>
          </cell>
        </row>
        <row r="4846">
          <cell r="C4846">
            <v>3014502</v>
          </cell>
          <cell r="D4846" t="str">
            <v>***BOCZEK B/K Z/SK NAT.CIĘCIE KL.U CH</v>
          </cell>
        </row>
        <row r="4847">
          <cell r="C4847">
            <v>3021273</v>
          </cell>
          <cell r="D4847" t="str">
            <v>***PL BOCZ.BL.C B/P.CH</v>
          </cell>
        </row>
        <row r="4848">
          <cell r="C4848">
            <v>3021274</v>
          </cell>
          <cell r="D4848" t="str">
            <v>***EU BOCZ.BL.C B/P.CH</v>
          </cell>
        </row>
        <row r="4849">
          <cell r="C4849">
            <v>3008820</v>
          </cell>
          <cell r="D4849" t="str">
            <v>PL ŻEB.MOST.Z/CH.B/MP.CH.CH</v>
          </cell>
        </row>
        <row r="4850">
          <cell r="C4850">
            <v>3024977</v>
          </cell>
          <cell r="D4850" t="str">
            <v>PL ŻEB.MOST.Z/CH.B/MP.OK500KG PBX</v>
          </cell>
        </row>
        <row r="4851">
          <cell r="C4851">
            <v>4016454</v>
          </cell>
          <cell r="D4851" t="str">
            <v>***PL ŻEB.MOST.Z/CH.B/MP.10KGWORKT MR EX</v>
          </cell>
        </row>
        <row r="4852">
          <cell r="C4852">
            <v>4012877</v>
          </cell>
          <cell r="D4852" t="str">
            <v>PL ŻEB.MOST.Z/CH.B/MP.OK10KGWOR KT MR EX</v>
          </cell>
        </row>
        <row r="4853">
          <cell r="C4853">
            <v>3025324</v>
          </cell>
          <cell r="D4853" t="str">
            <v>***PL ŻEB.MOST.Z/CH.B/MP.10KGWORKTDMR EX</v>
          </cell>
        </row>
        <row r="4854">
          <cell r="C4854">
            <v>3018563</v>
          </cell>
          <cell r="D4854" t="str">
            <v>PL ŻEB.MOST.Z/CH.B/MP.OK10KGWORKT DMR EX</v>
          </cell>
        </row>
        <row r="4855">
          <cell r="C4855">
            <v>3017425</v>
          </cell>
          <cell r="D4855" t="str">
            <v>EU ŻEB.MOST.Z/CH.B/MP.CH</v>
          </cell>
        </row>
        <row r="4856">
          <cell r="C4856">
            <v>3024978</v>
          </cell>
          <cell r="D4856" t="str">
            <v>***EU ŻEB.MOST.Z/CH.B/MP. ...PBX CH</v>
          </cell>
        </row>
        <row r="4857">
          <cell r="C4857">
            <v>4016453</v>
          </cell>
          <cell r="D4857" t="str">
            <v>***EU ŻEB.MOST.Z/CH.B/MP.10KGWORKT MR EX</v>
          </cell>
        </row>
        <row r="4858">
          <cell r="C4858">
            <v>4012878</v>
          </cell>
          <cell r="D4858" t="str">
            <v>***EU ŻEB.MOST.Z/CH.B/MP.OK10KGWORKTMREX</v>
          </cell>
        </row>
        <row r="4859">
          <cell r="C4859">
            <v>3025323</v>
          </cell>
          <cell r="D4859" t="str">
            <v>***EU ŻEB.MOST.Z/CH.B/MP.10KGWORKTDMR EX</v>
          </cell>
        </row>
        <row r="4860">
          <cell r="C4860">
            <v>3018564</v>
          </cell>
          <cell r="D4860" t="str">
            <v>***EUŻEB.MOST.Z/CH.B/MP.OK10KGWORKTDMREX</v>
          </cell>
        </row>
        <row r="4861">
          <cell r="C4861">
            <v>3015984</v>
          </cell>
          <cell r="D4861" t="str">
            <v>PL ŻEB.MOST.Z/CH/MP.CH</v>
          </cell>
        </row>
        <row r="4862">
          <cell r="C4862">
            <v>3024515</v>
          </cell>
          <cell r="D4862" t="str">
            <v>PL ŻEB.MOST.Z/CH/MP.PBX1</v>
          </cell>
        </row>
        <row r="4863">
          <cell r="C4863">
            <v>4009691</v>
          </cell>
          <cell r="D4863" t="str">
            <v>***PL ŻEB.MOST.Z/CH/MP.OK14KGWOR KT TESC</v>
          </cell>
        </row>
        <row r="4864">
          <cell r="C4864">
            <v>4015762</v>
          </cell>
          <cell r="D4864" t="str">
            <v>***PL ŻEB.MOST.Z/CH/MP.OK10KGWORKT MR EX</v>
          </cell>
        </row>
        <row r="4865">
          <cell r="C4865">
            <v>3029575</v>
          </cell>
          <cell r="D4865" t="str">
            <v>PL ŻEB.MOST.Z/CH/MP.OK20KG NB MR ST</v>
          </cell>
        </row>
        <row r="4866">
          <cell r="C4866">
            <v>4011296</v>
          </cell>
          <cell r="D4866" t="str">
            <v>***PL ŻEB.MOST.Z/CH/MP.OK15KGWORKT MR EX</v>
          </cell>
        </row>
        <row r="4867">
          <cell r="C4867">
            <v>4019184</v>
          </cell>
          <cell r="D4867" t="str">
            <v>PL ŻEB.MOST.Z/CH/MP.10KGWOR KT MR EX</v>
          </cell>
        </row>
        <row r="4868">
          <cell r="C4868">
            <v>4015083</v>
          </cell>
          <cell r="D4868" t="str">
            <v>PL ŻEB.MOST.Z/CH/MP.OK5KGMAP MAX15KGPJ</v>
          </cell>
        </row>
        <row r="4869">
          <cell r="C4869">
            <v>4029681</v>
          </cell>
          <cell r="D4869" t="str">
            <v>PL ŻEB.MOST.Z/CH/MP.OK4KGMAP OK12KGKTSAN</v>
          </cell>
        </row>
        <row r="4870">
          <cell r="C4870">
            <v>4013238</v>
          </cell>
          <cell r="D4870" t="str">
            <v>***PL ŻEB.MOST.Z/CH/MP.OK5KGTRM OK15KGKT</v>
          </cell>
        </row>
        <row r="4871">
          <cell r="C4871">
            <v>4015480</v>
          </cell>
          <cell r="D4871" t="str">
            <v>***PL ŻEB.MOST.TRÓJ.B/CH.2STVACOK8KGKTME</v>
          </cell>
        </row>
        <row r="4872">
          <cell r="C4872">
            <v>4013876</v>
          </cell>
          <cell r="D4872" t="str">
            <v>PL ŻEB.MOST.Z/CH/MP.MAX15KGWOR PJ</v>
          </cell>
        </row>
        <row r="4873">
          <cell r="C4873">
            <v>3029572</v>
          </cell>
          <cell r="D4873" t="str">
            <v>PL ŻEB.MOST.Z/CH/MP.OK20KG PB MR SZ</v>
          </cell>
        </row>
        <row r="4874">
          <cell r="C4874">
            <v>3023700</v>
          </cell>
          <cell r="D4874" t="str">
            <v>***PL ŻEB.MOST.Z/CH/MP.OK10KGWOR KT DMR</v>
          </cell>
        </row>
        <row r="4875">
          <cell r="C4875">
            <v>3029576</v>
          </cell>
          <cell r="D4875" t="str">
            <v>PL ŻEB.MOST.Z/CH/MP.OK20KG NB DMR</v>
          </cell>
        </row>
        <row r="4876">
          <cell r="C4876">
            <v>3017064</v>
          </cell>
          <cell r="D4876" t="str">
            <v>***PL ŻEB.MOST.Z/CH/MP.OK15KGWOR KT DMR</v>
          </cell>
        </row>
        <row r="4877">
          <cell r="C4877">
            <v>3019073</v>
          </cell>
          <cell r="D4877" t="str">
            <v>PL ŻEB.MOST.Z/CH/MP.10KGWOR KT DMR</v>
          </cell>
        </row>
        <row r="4878">
          <cell r="C4878">
            <v>3029713</v>
          </cell>
          <cell r="D4878" t="str">
            <v>PL ŻEB.MOST.Z/CH/MP.OK20KG NB RO1</v>
          </cell>
        </row>
        <row r="4879">
          <cell r="C4879">
            <v>3024527</v>
          </cell>
          <cell r="D4879" t="str">
            <v>PL ŻEB.MOST.Z/CH/MP.PBX2</v>
          </cell>
        </row>
        <row r="4880">
          <cell r="C4880">
            <v>3029716</v>
          </cell>
          <cell r="D4880" t="str">
            <v>PL ŻEB.MOST.Z/CH/MP.OK20KG NB RO2</v>
          </cell>
        </row>
        <row r="4881">
          <cell r="C4881">
            <v>3017802</v>
          </cell>
          <cell r="D4881" t="str">
            <v>EU ŻEB.MOST.Z/CH/MP.CH KR</v>
          </cell>
        </row>
        <row r="4882">
          <cell r="C4882">
            <v>3024979</v>
          </cell>
          <cell r="D4882" t="str">
            <v>EU ŻEB.MOST.Z/CH/MP.OK500KG PBX1</v>
          </cell>
        </row>
        <row r="4883">
          <cell r="C4883">
            <v>4011958</v>
          </cell>
          <cell r="D4883" t="str">
            <v>***EU ŻEB.MOST.Z/CH/MP.OK14KGWOR KT TESC</v>
          </cell>
        </row>
        <row r="4884">
          <cell r="C4884">
            <v>4015817</v>
          </cell>
          <cell r="D4884" t="str">
            <v>EU ŻEB.MOST.Z/CH/MP.OK10KGWOR KT MR EX</v>
          </cell>
        </row>
        <row r="4885">
          <cell r="C4885">
            <v>4012180</v>
          </cell>
          <cell r="D4885" t="str">
            <v>***EU ŻEB.MOST.Z/CH/MP.OK15KGWORKT MR EX</v>
          </cell>
        </row>
        <row r="4886">
          <cell r="C4886">
            <v>4025080</v>
          </cell>
          <cell r="D4886" t="str">
            <v>EU ŻEB.MOST.Z/CH/MP.10KGWOR KT MR EX</v>
          </cell>
        </row>
        <row r="4887">
          <cell r="C4887">
            <v>4013239</v>
          </cell>
          <cell r="D4887" t="str">
            <v>***EU ŻEB.MOST.Z/CHRZ.OK5KGTRM OK15KG KT</v>
          </cell>
        </row>
        <row r="4888">
          <cell r="C4888">
            <v>3023768</v>
          </cell>
          <cell r="D4888" t="str">
            <v>***EU ŻEB.MOST.Z/CH/MP.OK10KGWORKTDMR</v>
          </cell>
        </row>
        <row r="4889">
          <cell r="C4889">
            <v>3017843</v>
          </cell>
          <cell r="D4889" t="str">
            <v>***EUŻEB.MOST.Z/CH/MP.OK15KGWORKTDMR</v>
          </cell>
        </row>
        <row r="4890">
          <cell r="C4890">
            <v>3036944</v>
          </cell>
          <cell r="D4890" t="str">
            <v>EU ŻEB.MOST.Z/CH/MP.10KGWOR KT DMR EX</v>
          </cell>
        </row>
        <row r="4891">
          <cell r="C4891">
            <v>3029749</v>
          </cell>
          <cell r="D4891" t="str">
            <v>EU ŻEB.MOST.Z/CH/MP.OK500KG PBX2</v>
          </cell>
        </row>
        <row r="4892">
          <cell r="C4892">
            <v>3005112</v>
          </cell>
          <cell r="D4892" t="str">
            <v>***ŻEB.MOSTKI Z/CHRZ USR  CH</v>
          </cell>
        </row>
        <row r="4893">
          <cell r="C4893">
            <v>3035830</v>
          </cell>
          <cell r="D4893" t="str">
            <v>PP ŻEB.MOST.Z/CH/MP.CH</v>
          </cell>
        </row>
        <row r="4894">
          <cell r="C4894">
            <v>4029509</v>
          </cell>
          <cell r="D4894" t="str">
            <v>PP ŻEB.MOST.Z/CH/MP.OK5KGMAPOK5KGKT BIED</v>
          </cell>
        </row>
        <row r="4895">
          <cell r="C4895">
            <v>3035207</v>
          </cell>
          <cell r="D4895" t="str">
            <v>CZ ŻEB.MOST.Z/CH/MP.CH</v>
          </cell>
        </row>
        <row r="4896">
          <cell r="C4896">
            <v>3029745</v>
          </cell>
          <cell r="D4896" t="str">
            <v>PL ŻEB.MOST.Z/CH/MP.ROZP1</v>
          </cell>
        </row>
        <row r="4897">
          <cell r="C4897">
            <v>3029688</v>
          </cell>
          <cell r="D4897" t="str">
            <v>PL ŻEB.MOST.Z/CH/MP.ROZP2</v>
          </cell>
        </row>
        <row r="4898">
          <cell r="C4898">
            <v>3021308</v>
          </cell>
          <cell r="D4898" t="str">
            <v>PL ŻEB.SCH.SZER.510-600G US</v>
          </cell>
        </row>
        <row r="4899">
          <cell r="C4899">
            <v>4014022</v>
          </cell>
          <cell r="D4899" t="str">
            <v>***PL ŻEB.SCH.510-600G OK20KGLUZKTMR EX</v>
          </cell>
        </row>
        <row r="4900">
          <cell r="C4900">
            <v>3021351</v>
          </cell>
          <cell r="D4900" t="str">
            <v>***PL ŻEB.SCH.SZER.510-600G KT DMR US</v>
          </cell>
        </row>
        <row r="4901">
          <cell r="C4901">
            <v>3021340</v>
          </cell>
          <cell r="D4901" t="str">
            <v>EU ŻEB.SCH.SZER.510-600G US</v>
          </cell>
        </row>
        <row r="4902">
          <cell r="C4902">
            <v>4014023</v>
          </cell>
          <cell r="D4902" t="str">
            <v>***EU ŻEB.SCH.510-600G OK20KGLUZKT MR EX</v>
          </cell>
        </row>
        <row r="4903">
          <cell r="C4903">
            <v>3021353</v>
          </cell>
          <cell r="D4903" t="str">
            <v>***EU ŻEB.SCH.SZER.510-600G KT DMR US</v>
          </cell>
        </row>
        <row r="4904">
          <cell r="C4904">
            <v>4001824</v>
          </cell>
          <cell r="D4904" t="str">
            <v>***ŻEBERKA WP.MOSTKI-KOREA STD MR EXP</v>
          </cell>
        </row>
        <row r="4905">
          <cell r="C4905">
            <v>3007838</v>
          </cell>
          <cell r="D4905" t="str">
            <v>***ŻEB.MOST. OK 15KG KT DMR KOR</v>
          </cell>
        </row>
        <row r="4906">
          <cell r="C4906">
            <v>3007839</v>
          </cell>
          <cell r="D4906" t="str">
            <v>PL ŻEB.SCH.SZER.&lt;665G CH</v>
          </cell>
        </row>
        <row r="4907">
          <cell r="C4907">
            <v>4003922</v>
          </cell>
          <cell r="D4907" t="str">
            <v>***PL ŻEB.SCH.SZER.&lt;665G MR</v>
          </cell>
        </row>
        <row r="4908">
          <cell r="C4908">
            <v>3007840</v>
          </cell>
          <cell r="D4908" t="str">
            <v>***PL ŻEB.SCH.SZER.&lt;665G OK20KG KT DMR</v>
          </cell>
        </row>
        <row r="4909">
          <cell r="C4909">
            <v>3017404</v>
          </cell>
          <cell r="D4909" t="str">
            <v>EU ŻEB.SCH.SZER.&lt;665G CH</v>
          </cell>
        </row>
        <row r="4910">
          <cell r="C4910">
            <v>4011619</v>
          </cell>
          <cell r="D4910" t="str">
            <v>***EU ŻEB.SCH.SZER.&lt;665G MR</v>
          </cell>
        </row>
        <row r="4911">
          <cell r="C4911">
            <v>3017405</v>
          </cell>
          <cell r="D4911" t="str">
            <v>***EU ŻEB.SCH.SZER.&lt;665G OK20KG KT DMR</v>
          </cell>
        </row>
        <row r="4912">
          <cell r="C4912">
            <v>3007841</v>
          </cell>
          <cell r="D4912" t="str">
            <v>***ŻEB.SCH.SZER.&lt;665G UŚR CH</v>
          </cell>
        </row>
        <row r="4913">
          <cell r="C4913">
            <v>3007842</v>
          </cell>
          <cell r="D4913" t="str">
            <v>PL ŻEB.SCH.SZER.&gt;665G CH</v>
          </cell>
        </row>
        <row r="4914">
          <cell r="C4914">
            <v>3024980</v>
          </cell>
          <cell r="D4914" t="str">
            <v>***PL ŻEB.SCH.SZER.&gt;665G PBX CH</v>
          </cell>
        </row>
        <row r="4915">
          <cell r="C4915">
            <v>4001825</v>
          </cell>
          <cell r="D4915" t="str">
            <v>***PL ŻEB.SCH.SZER.&gt;665G MR</v>
          </cell>
        </row>
        <row r="4916">
          <cell r="C4916">
            <v>3007843</v>
          </cell>
          <cell r="D4916" t="str">
            <v>***PL ŻEB.SCH.SZER.&gt;665G OK20KG KT DMR</v>
          </cell>
        </row>
        <row r="4917">
          <cell r="C4917">
            <v>3017406</v>
          </cell>
          <cell r="D4917" t="str">
            <v>EU ŻEB.SCH.SZER.&gt;665G CH</v>
          </cell>
        </row>
        <row r="4918">
          <cell r="C4918">
            <v>3024981</v>
          </cell>
          <cell r="D4918" t="str">
            <v>***EU ŻEB.SCH.SZER.&gt;665G PBX CH</v>
          </cell>
        </row>
        <row r="4919">
          <cell r="C4919">
            <v>4011476</v>
          </cell>
          <cell r="D4919" t="str">
            <v>***EU ŻEB.SCH.SZER.&gt;665G MR</v>
          </cell>
        </row>
        <row r="4920">
          <cell r="C4920">
            <v>3017407</v>
          </cell>
          <cell r="D4920" t="str">
            <v>***EU ŻEB.SCH.SZER.&gt;665G OK20KG KT DMR</v>
          </cell>
        </row>
        <row r="4921">
          <cell r="C4921">
            <v>3007844</v>
          </cell>
          <cell r="D4921" t="str">
            <v>***ŻEB.SCH.SZER.&gt;665G UŚR CH</v>
          </cell>
        </row>
        <row r="4922">
          <cell r="C4922">
            <v>3007845</v>
          </cell>
          <cell r="D4922" t="str">
            <v>***ŻEB.SCH.WĄSK.&lt;400G CH</v>
          </cell>
        </row>
        <row r="4923">
          <cell r="C4923">
            <v>3007846</v>
          </cell>
          <cell r="D4923" t="str">
            <v>***ŻEB.SCH.WĄSK.&lt;400G UŚR CH</v>
          </cell>
        </row>
        <row r="4924">
          <cell r="C4924">
            <v>3018457</v>
          </cell>
          <cell r="D4924" t="str">
            <v>PL ŻEB.SCH.WĄS.1645 400-510 CH US</v>
          </cell>
        </row>
        <row r="4925">
          <cell r="C4925">
            <v>3024982</v>
          </cell>
          <cell r="D4925" t="str">
            <v>***PL ŻEB.SCH.WĄS.1645 400-510GPBX CH US</v>
          </cell>
        </row>
        <row r="4926">
          <cell r="C4926">
            <v>4001826</v>
          </cell>
          <cell r="D4926" t="str">
            <v>***PL ŻEB.SCH.WĄS.400-510G MR</v>
          </cell>
        </row>
        <row r="4927">
          <cell r="C4927">
            <v>3007847</v>
          </cell>
          <cell r="D4927" t="str">
            <v>***PL ŻEB.SCH.WĄS.400-510G OK20KG DMR CH</v>
          </cell>
        </row>
        <row r="4928">
          <cell r="C4928">
            <v>3017359</v>
          </cell>
          <cell r="D4928" t="str">
            <v>***EU ŻEB.SCH.WĄS.1645 14/18 400-510CHUS</v>
          </cell>
        </row>
        <row r="4929">
          <cell r="C4929">
            <v>3024983</v>
          </cell>
          <cell r="D4929" t="str">
            <v>***EU ŻEB.SCH.WĄS.1645 400-510GPBX CH US</v>
          </cell>
        </row>
        <row r="4930">
          <cell r="C4930">
            <v>4011477</v>
          </cell>
          <cell r="D4930" t="str">
            <v>***EU ŻEB.SCH.WĄS.400-510G MR</v>
          </cell>
        </row>
        <row r="4931">
          <cell r="C4931">
            <v>3017408</v>
          </cell>
          <cell r="D4931" t="str">
            <v>***EU ŻEB.SCH.WĄS.400-510G OK20KG DMR CH</v>
          </cell>
        </row>
        <row r="4932">
          <cell r="C4932">
            <v>3006196</v>
          </cell>
          <cell r="D4932" t="str">
            <v>***ZEB.SCH.W.USA1645 400-510 USR</v>
          </cell>
        </row>
        <row r="4933">
          <cell r="C4933">
            <v>3007848</v>
          </cell>
          <cell r="D4933" t="str">
            <v>***PL ŻEB.SCH.WĄS.&gt;510G CH</v>
          </cell>
        </row>
        <row r="4934">
          <cell r="C4934">
            <v>4001827</v>
          </cell>
          <cell r="D4934" t="str">
            <v>***PL ŻEB.SCH.WĄS.&gt;510G MR</v>
          </cell>
        </row>
        <row r="4935">
          <cell r="C4935">
            <v>3007849</v>
          </cell>
          <cell r="D4935" t="str">
            <v>***PL ŻEB.SCH.WĄS.&gt;510G OK20KG KT DMR CH</v>
          </cell>
        </row>
        <row r="4936">
          <cell r="C4936">
            <v>3017409</v>
          </cell>
          <cell r="D4936" t="str">
            <v>***EU ŻEB.SCH.WĄS.&gt;510G CH</v>
          </cell>
        </row>
        <row r="4937">
          <cell r="C4937">
            <v>4011478</v>
          </cell>
          <cell r="D4937" t="str">
            <v>***EU ŻEB.SCH.WĄS.&gt;510G MR</v>
          </cell>
        </row>
        <row r="4938">
          <cell r="C4938">
            <v>3017410</v>
          </cell>
          <cell r="D4938" t="str">
            <v>***EU ŻEB.SCH.WĄS.&gt;510G OK20KG KT DMR CH</v>
          </cell>
        </row>
        <row r="4939">
          <cell r="C4939">
            <v>3007850</v>
          </cell>
          <cell r="D4939" t="str">
            <v>***ŻEB.SCH.WĄSK.&gt;510G UŚR CH</v>
          </cell>
        </row>
        <row r="4940">
          <cell r="C4940">
            <v>3007851</v>
          </cell>
          <cell r="D4940" t="str">
            <v>PL ŻEB.MOST.Z/CH.B/CZ.MP.CH</v>
          </cell>
        </row>
        <row r="4941">
          <cell r="C4941">
            <v>3024984</v>
          </cell>
          <cell r="D4941" t="str">
            <v>PL ŻEB.MOST.Z/CH.B/CZ.MP.OK500KG PBX</v>
          </cell>
        </row>
        <row r="4942">
          <cell r="C4942">
            <v>4003923</v>
          </cell>
          <cell r="D4942" t="str">
            <v>***PLŻEB.MOST.Z/CH.B/CZ.MP.OK20KGWORKTCH</v>
          </cell>
        </row>
        <row r="4943">
          <cell r="C4943">
            <v>4015514</v>
          </cell>
          <cell r="D4943" t="str">
            <v>PLŻEB.MOST.Z/CH.B/CZ.MP.OK3KGMAPOK12KGPJ</v>
          </cell>
        </row>
        <row r="4944">
          <cell r="C4944">
            <v>4012837</v>
          </cell>
          <cell r="D4944" t="str">
            <v>***PL ŻEB.MOST.MIĘSNE 3ST VAC OK15KG KT</v>
          </cell>
        </row>
        <row r="4945">
          <cell r="C4945">
            <v>3043870</v>
          </cell>
          <cell r="D4945" t="str">
            <v>PL ŻEB.MOST.Z/CH.B/CZ.MP.OK20KGLUZPJ ST</v>
          </cell>
        </row>
        <row r="4946">
          <cell r="C4946">
            <v>3017411</v>
          </cell>
          <cell r="D4946" t="str">
            <v>EU ŻEB.MOST.Z/CH.B/CZ.MP.CH</v>
          </cell>
        </row>
        <row r="4947">
          <cell r="C4947">
            <v>3024985</v>
          </cell>
          <cell r="D4947" t="str">
            <v>***EU ŻEB.MOST.Z/CH.B/CZ.MP.OK500KGPBXCH</v>
          </cell>
        </row>
        <row r="4948">
          <cell r="C4948">
            <v>4011620</v>
          </cell>
          <cell r="D4948" t="str">
            <v>***EU ŻEB.MOST.Z/CH.B/CZ.MP.OK20KGWORKT</v>
          </cell>
        </row>
        <row r="4949">
          <cell r="C4949">
            <v>4012838</v>
          </cell>
          <cell r="D4949" t="str">
            <v>***EU ŻEB.MOST.MIĘSNE 3ST VAC OK15KG KT</v>
          </cell>
        </row>
        <row r="4950">
          <cell r="C4950">
            <v>3007852</v>
          </cell>
          <cell r="D4950" t="str">
            <v>***ŻEB.MOST. MIĘS.UŚR CH</v>
          </cell>
        </row>
        <row r="4951">
          <cell r="C4951">
            <v>3007853</v>
          </cell>
          <cell r="D4951" t="str">
            <v>***ŻEB.WP.MOSTKI W CH</v>
          </cell>
        </row>
        <row r="4952">
          <cell r="C4952">
            <v>3007854</v>
          </cell>
          <cell r="D4952" t="str">
            <v>***ŻEB.WP.MOSTKI NB MR</v>
          </cell>
        </row>
        <row r="4953">
          <cell r="C4953">
            <v>4001828</v>
          </cell>
          <cell r="D4953" t="str">
            <v>***ŻEB.WP.MOSTKI OK.20KG KT MR</v>
          </cell>
        </row>
        <row r="4954">
          <cell r="C4954">
            <v>3007855</v>
          </cell>
          <cell r="D4954" t="str">
            <v>***ŻEB.WP.MOSTKI NB DMR</v>
          </cell>
        </row>
        <row r="4955">
          <cell r="C4955">
            <v>3007856</v>
          </cell>
          <cell r="D4955" t="str">
            <v>***ŻEB.WP.MOSTKI OK 20KG KT DMR</v>
          </cell>
        </row>
        <row r="4956">
          <cell r="C4956">
            <v>3007857</v>
          </cell>
          <cell r="D4956" t="str">
            <v>***ŻEB.WP.MOSTKI NB RO</v>
          </cell>
        </row>
        <row r="4957">
          <cell r="C4957">
            <v>3014181</v>
          </cell>
          <cell r="D4957" t="str">
            <v>***ŻEB. WP MOSTKI OK. 20KG KT RO</v>
          </cell>
        </row>
        <row r="4958">
          <cell r="C4958">
            <v>3007858</v>
          </cell>
          <cell r="D4958" t="str">
            <v>***ŻEB.WP.MOSTKI W CH USR</v>
          </cell>
        </row>
        <row r="4959">
          <cell r="C4959">
            <v>3007859</v>
          </cell>
          <cell r="D4959" t="str">
            <v>PL ŻEB.MOST.B/CH.Z/MP.CH</v>
          </cell>
        </row>
        <row r="4960">
          <cell r="C4960">
            <v>3024986</v>
          </cell>
          <cell r="D4960" t="str">
            <v>PL ŻEB.MOST.B/CH.Z/MP.PBX</v>
          </cell>
        </row>
        <row r="4961">
          <cell r="C4961">
            <v>4006224</v>
          </cell>
          <cell r="D4961" t="str">
            <v>***PL ŻEB.MOST.B/CH.Z/MP.OK15KGWORKTREAL</v>
          </cell>
        </row>
        <row r="4962">
          <cell r="C4962">
            <v>4003924</v>
          </cell>
          <cell r="D4962" t="str">
            <v>***PL ŻEB.TRÓJKĄTY LUZ WOR TESC</v>
          </cell>
        </row>
        <row r="4963">
          <cell r="C4963">
            <v>4008791</v>
          </cell>
          <cell r="D4963" t="str">
            <v>***PL ŻEB.TRÓJKĄTY LUZ OK10KG KT TIP</v>
          </cell>
        </row>
        <row r="4964">
          <cell r="C4964">
            <v>4009210</v>
          </cell>
          <cell r="D4964" t="str">
            <v>***PL ŻEB.TRÓJKĄTY LUZ OK15KG KT HURT</v>
          </cell>
        </row>
        <row r="4965">
          <cell r="C4965">
            <v>4015735</v>
          </cell>
          <cell r="D4965" t="str">
            <v>***PL ŻEB.TRÓJKĄTY 1ST MAP 5KG KT POLM</v>
          </cell>
        </row>
        <row r="4966">
          <cell r="C4966">
            <v>4015017</v>
          </cell>
          <cell r="D4966" t="str">
            <v>***PL ŻEB.TRÓJKĄTY OK1KGMAP OK6KGKT AUCH</v>
          </cell>
        </row>
        <row r="4967">
          <cell r="C4967">
            <v>4003925</v>
          </cell>
          <cell r="D4967" t="str">
            <v>***PL ŻEB.TRÓJKĄTY OK800GMAP OK4KGKT B</v>
          </cell>
        </row>
        <row r="4968">
          <cell r="C4968">
            <v>4003926</v>
          </cell>
          <cell r="D4968" t="str">
            <v>***PL ŻEB.TRÓJKĄTY MAP KAUF</v>
          </cell>
        </row>
        <row r="4969">
          <cell r="C4969">
            <v>4003928</v>
          </cell>
          <cell r="D4969" t="str">
            <v>***PL ŻEB.TRÓJKĄTY MAP TESC</v>
          </cell>
        </row>
        <row r="4970">
          <cell r="C4970">
            <v>4003930</v>
          </cell>
          <cell r="D4970" t="str">
            <v>***PL ŻEB.TRÓJKĄTYOK1KG MAP 4KG KT NETTO</v>
          </cell>
        </row>
        <row r="4971">
          <cell r="C4971">
            <v>4013735</v>
          </cell>
          <cell r="D4971" t="str">
            <v>***PL ŻEB.TRÓJKĄTY OK800GMAP OK5KGKT MOR</v>
          </cell>
        </row>
        <row r="4972">
          <cell r="C4972">
            <v>4015545</v>
          </cell>
          <cell r="D4972" t="str">
            <v>***PL ŻEB.MOST.B/CH.1STMAPOK4.8KGKT LIDL</v>
          </cell>
        </row>
        <row r="4973">
          <cell r="C4973">
            <v>4019641</v>
          </cell>
          <cell r="D4973" t="str">
            <v>***PPŻEB.MOST.B/CH.Z/MP.OK5KGMAPOK5KGKT</v>
          </cell>
        </row>
        <row r="4974">
          <cell r="C4974">
            <v>4028112</v>
          </cell>
          <cell r="D4974" t="str">
            <v>PL ŻEB.MOST.B/CH.Z/MP.OK4KGMAP OK4KGKT</v>
          </cell>
        </row>
        <row r="4975">
          <cell r="C4975">
            <v>4030140</v>
          </cell>
          <cell r="D4975" t="str">
            <v>PLŻEB.MOST.B/CH.Z/MP.OK5KGMAPOK5KGKTAUCH</v>
          </cell>
        </row>
        <row r="4976">
          <cell r="C4976">
            <v>4015679</v>
          </cell>
          <cell r="D4976" t="str">
            <v>***PL ŻEB.MOST.B/CH.2STVAC OK8KGKT ME</v>
          </cell>
        </row>
        <row r="4977">
          <cell r="C4977">
            <v>4017026</v>
          </cell>
          <cell r="D4977" t="str">
            <v>***PL ŻEB.MOST.B/CH.1STMAP OK4.8KGKT LT</v>
          </cell>
        </row>
        <row r="4978">
          <cell r="C4978">
            <v>3026323</v>
          </cell>
          <cell r="D4978" t="str">
            <v>PL ŻEB.MOST.B/CH.Z/MP.OK15KGWOR PJ CH ST</v>
          </cell>
        </row>
        <row r="4979">
          <cell r="C4979">
            <v>3005549</v>
          </cell>
          <cell r="D4979" t="str">
            <v>***ŻEBERKA TRÓJKĄTY WOR PJ CONSTAR SZ</v>
          </cell>
        </row>
        <row r="4980">
          <cell r="C4980">
            <v>3017412</v>
          </cell>
          <cell r="D4980" t="str">
            <v>EU ŻEB.MOST.B/CH.Z/MP.CH</v>
          </cell>
        </row>
        <row r="4981">
          <cell r="C4981">
            <v>3024987</v>
          </cell>
          <cell r="D4981" t="str">
            <v>***EU ŻEB.MOST.B/CH.Z/MP.OK500KG PBX CH</v>
          </cell>
        </row>
        <row r="4982">
          <cell r="C4982">
            <v>4011649</v>
          </cell>
          <cell r="D4982" t="str">
            <v>***EU ŻEB.MOST.B/CH.Z/MP.OK15KGWORKTREAL</v>
          </cell>
        </row>
        <row r="4983">
          <cell r="C4983">
            <v>4011621</v>
          </cell>
          <cell r="D4983" t="str">
            <v>***EU ŻEB.TRÓJKĄTY LUZ WOR TESC</v>
          </cell>
        </row>
        <row r="4984">
          <cell r="C4984">
            <v>4011839</v>
          </cell>
          <cell r="D4984" t="str">
            <v>***EU ŻEB.TRÓJKĄTY LUZ OK10KG KT TIP</v>
          </cell>
        </row>
        <row r="4985">
          <cell r="C4985">
            <v>4011893</v>
          </cell>
          <cell r="D4985" t="str">
            <v>***EU ŻEB.TRÓJKĄTY LUZ OK15KGKT HURT</v>
          </cell>
        </row>
        <row r="4986">
          <cell r="C4986">
            <v>4015024</v>
          </cell>
          <cell r="D4986" t="str">
            <v>***EU ŻEB.TRÓJKĄTY OK1KGMAP OK6KGKT AUCH</v>
          </cell>
        </row>
        <row r="4987">
          <cell r="C4987">
            <v>4011622</v>
          </cell>
          <cell r="D4987" t="str">
            <v>***EU ŻEB.TRÓJKĄTY MAP KAUF</v>
          </cell>
        </row>
        <row r="4988">
          <cell r="C4988">
            <v>4011623</v>
          </cell>
          <cell r="D4988" t="str">
            <v>***EU ŻEB.TRÓJKĄTY MAP TESCO</v>
          </cell>
        </row>
        <row r="4989">
          <cell r="C4989">
            <v>4011624</v>
          </cell>
          <cell r="D4989" t="str">
            <v>***EU ŻEB.TRÓJKĄTYOK1KG MAP 4KG KT NETTO</v>
          </cell>
        </row>
        <row r="4990">
          <cell r="C4990">
            <v>4013736</v>
          </cell>
          <cell r="D4990" t="str">
            <v>***EU ŻEB.TRÓJKĄTY OK800GMAP OK5KGKT MOR</v>
          </cell>
        </row>
        <row r="4991">
          <cell r="C4991">
            <v>3007861</v>
          </cell>
          <cell r="D4991" t="str">
            <v>***ŻEB.MOST.TRÓJ.UŚR CH</v>
          </cell>
        </row>
        <row r="4992">
          <cell r="C4992">
            <v>3035903</v>
          </cell>
          <cell r="D4992" t="str">
            <v>PP ŻEB.MOST.B/CH.Z/MP.CH</v>
          </cell>
        </row>
        <row r="4993">
          <cell r="C4993">
            <v>3021341</v>
          </cell>
          <cell r="D4993" t="str">
            <v>PL ŻEB.SCH.SZER.&gt;600G US</v>
          </cell>
        </row>
        <row r="4994">
          <cell r="C4994">
            <v>3041835</v>
          </cell>
          <cell r="D4994" t="str">
            <v>PL ŻEB.SCH.&gt;600G OK20KG NB MR ST</v>
          </cell>
        </row>
        <row r="4995">
          <cell r="C4995">
            <v>4019288</v>
          </cell>
          <cell r="D4995" t="str">
            <v>PL ŻEB.SCH.&gt;600G OK15KGWORKT</v>
          </cell>
        </row>
        <row r="4996">
          <cell r="C4996">
            <v>4029562</v>
          </cell>
          <cell r="D4996" t="str">
            <v>PL ŻEB.SCH.&gt;600G OK20KGWOR KT MR</v>
          </cell>
        </row>
        <row r="4997">
          <cell r="C4997">
            <v>4014030</v>
          </cell>
          <cell r="D4997" t="str">
            <v>***PL ŻEB.SCH.&gt;600G LUZ OK20KG KT MR EX</v>
          </cell>
        </row>
        <row r="4998">
          <cell r="C4998">
            <v>4019287</v>
          </cell>
          <cell r="D4998" t="str">
            <v>PL ŻEB.SCH.&gt;600G OK2.5KGMAP OK12KGPJ</v>
          </cell>
        </row>
        <row r="4999">
          <cell r="C4999">
            <v>3039627</v>
          </cell>
          <cell r="D4999" t="str">
            <v>PL ŻEB.SCH.&gt;600G OK20KGWOR PJ ST</v>
          </cell>
        </row>
        <row r="5000">
          <cell r="C5000">
            <v>3041883</v>
          </cell>
          <cell r="D5000" t="str">
            <v>PL ŻEB.SCH.&gt;600G OK20KG NB DMR</v>
          </cell>
        </row>
        <row r="5001">
          <cell r="C5001">
            <v>3044629</v>
          </cell>
          <cell r="D5001" t="str">
            <v>PL ŻEB.SCH.&gt;600G OK20KGWOR KT DMR</v>
          </cell>
        </row>
        <row r="5002">
          <cell r="C5002">
            <v>3021354</v>
          </cell>
          <cell r="D5002" t="str">
            <v>***PL ŻEB.SCH.SZER.&gt;600G KT DMR US</v>
          </cell>
        </row>
        <row r="5003">
          <cell r="C5003">
            <v>3021343</v>
          </cell>
          <cell r="D5003" t="str">
            <v>EU ŻEB.SCH.SZER.&gt;600G US</v>
          </cell>
        </row>
        <row r="5004">
          <cell r="C5004">
            <v>4014031</v>
          </cell>
          <cell r="D5004" t="str">
            <v>***EU ŻEB.SCH.&gt;600G LUZ OK20KG KT MR EX</v>
          </cell>
        </row>
        <row r="5005">
          <cell r="C5005">
            <v>3021355</v>
          </cell>
          <cell r="D5005" t="str">
            <v>***EU ŻEB.SCH.SZER.&gt;600G KT DMR US</v>
          </cell>
        </row>
        <row r="5006">
          <cell r="C5006">
            <v>3027531</v>
          </cell>
          <cell r="D5006" t="str">
            <v>PL ŻEB.PŁAT.10.5CM 720-860G</v>
          </cell>
        </row>
        <row r="5007">
          <cell r="C5007">
            <v>4018293</v>
          </cell>
          <cell r="D5007" t="str">
            <v>PL ŻEB.PŁAT.10.5CM 720-860G 25STKTMR EX</v>
          </cell>
        </row>
        <row r="5008">
          <cell r="C5008">
            <v>3027539</v>
          </cell>
          <cell r="D5008" t="str">
            <v>PL ŻEB.PŁAT.10.5CM 720-860G DMR</v>
          </cell>
        </row>
        <row r="5009">
          <cell r="C5009">
            <v>3027533</v>
          </cell>
          <cell r="D5009" t="str">
            <v>PL ŻEB.PŁAT.10.5CM 860-950G</v>
          </cell>
        </row>
        <row r="5010">
          <cell r="C5010">
            <v>4018292</v>
          </cell>
          <cell r="D5010" t="str">
            <v>PL ŻEB.PŁAT.10.5CM 860-950G 25STKTMR EX</v>
          </cell>
        </row>
        <row r="5011">
          <cell r="C5011">
            <v>3027542</v>
          </cell>
          <cell r="D5011" t="str">
            <v>PL ŻEB.PŁAT.10.5CM 860-950G DMR</v>
          </cell>
        </row>
        <row r="5012">
          <cell r="C5012">
            <v>3027535</v>
          </cell>
          <cell r="D5012" t="str">
            <v>PL ŻEB.PŁAT.10.5CM 950-1030G</v>
          </cell>
        </row>
        <row r="5013">
          <cell r="C5013">
            <v>4018291</v>
          </cell>
          <cell r="D5013" t="str">
            <v>PL ŻEB.PŁAT.10.5CM 950-1030G 25STKTMR EX</v>
          </cell>
        </row>
        <row r="5014">
          <cell r="C5014">
            <v>3027543</v>
          </cell>
          <cell r="D5014" t="str">
            <v>PL ŻEB.PŁAT.10.5CM 950-1030G DMR</v>
          </cell>
        </row>
        <row r="5015">
          <cell r="C5015">
            <v>3027538</v>
          </cell>
          <cell r="D5015" t="str">
            <v>PL ŻEB.PŁAT.10.5CM 1030-1115G</v>
          </cell>
        </row>
        <row r="5016">
          <cell r="C5016">
            <v>4018290</v>
          </cell>
          <cell r="D5016" t="str">
            <v>PL ŻEB.PŁAT.10.5CM 1030-1115 25STKTMR EX</v>
          </cell>
        </row>
        <row r="5017">
          <cell r="C5017">
            <v>3027546</v>
          </cell>
          <cell r="D5017" t="str">
            <v>PL ŻEB.PŁAT.10.5CM 1030-1115G DMR</v>
          </cell>
        </row>
        <row r="5018">
          <cell r="C5018">
            <v>3029130</v>
          </cell>
          <cell r="D5018" t="str">
            <v>PL ŻEB.SCH.SZER.5-8CM CH</v>
          </cell>
        </row>
        <row r="5019">
          <cell r="C5019">
            <v>3047462</v>
          </cell>
          <cell r="D5019" t="str">
            <v>PL ŻEB.SCH.5-8CM OK20KG NB MR</v>
          </cell>
        </row>
        <row r="5020">
          <cell r="C5020">
            <v>3040866</v>
          </cell>
          <cell r="D5020" t="str">
            <v>PL ŻEB.SCH.5-8CM PBX1</v>
          </cell>
        </row>
        <row r="5021">
          <cell r="C5021">
            <v>4019804</v>
          </cell>
          <cell r="D5021" t="str">
            <v>***PL ŻEB.SCH.SZER.5-8CM OK10KGKTMRSF EX</v>
          </cell>
        </row>
        <row r="5022">
          <cell r="C5022">
            <v>4019273</v>
          </cell>
          <cell r="D5022" t="str">
            <v>PL ŻEB.SCH.SZER.5-8CM OK10KGKTWOR MR</v>
          </cell>
        </row>
        <row r="5023">
          <cell r="C5023">
            <v>4026621</v>
          </cell>
          <cell r="D5023" t="str">
            <v>PL ŻEB.SCH.SZER.OK5KGMAP 10KGKT MAKR</v>
          </cell>
        </row>
        <row r="5024">
          <cell r="C5024">
            <v>4031505</v>
          </cell>
          <cell r="D5024" t="str">
            <v>PL ŻEB.SCH.5-8CM OK4KGMAP OK8KGKT KAUF</v>
          </cell>
        </row>
        <row r="5025">
          <cell r="C5025">
            <v>3047461</v>
          </cell>
          <cell r="D5025" t="str">
            <v>PL ŻEB.SCH.5-8CM OK20KG NB DMR</v>
          </cell>
        </row>
        <row r="5026">
          <cell r="C5026">
            <v>3029941</v>
          </cell>
          <cell r="D5026" t="str">
            <v>***PL ŻEB.SCH.SZER.5-8CM OK10KGKTDMRSFEX</v>
          </cell>
        </row>
        <row r="5027">
          <cell r="C5027">
            <v>3029131</v>
          </cell>
          <cell r="D5027" t="str">
            <v>PL ŻEB.SCH.SZER.5-8CM OK10KGKT DMR</v>
          </cell>
        </row>
        <row r="5028">
          <cell r="C5028">
            <v>3041609</v>
          </cell>
          <cell r="D5028" t="str">
            <v>PL ŻEB.SCH.5-8CM RO1</v>
          </cell>
        </row>
        <row r="5029">
          <cell r="C5029">
            <v>3047495</v>
          </cell>
          <cell r="D5029" t="str">
            <v>PL ŻEB.SCH.5-8CM RO2</v>
          </cell>
        </row>
        <row r="5030">
          <cell r="C5030">
            <v>3040870</v>
          </cell>
          <cell r="D5030" t="str">
            <v>PL ŻEB.SCH.5-8CM PBX2</v>
          </cell>
        </row>
        <row r="5031">
          <cell r="C5031">
            <v>3029456</v>
          </cell>
          <cell r="D5031" t="str">
            <v>PL PŁAT.SCH/BOCZ.CH</v>
          </cell>
        </row>
        <row r="5032">
          <cell r="C5032">
            <v>3039823</v>
          </cell>
          <cell r="D5032" t="str">
            <v>PP PŁAT.SCH/BOCZ.CH</v>
          </cell>
        </row>
        <row r="5033">
          <cell r="C5033">
            <v>3029457</v>
          </cell>
          <cell r="D5033" t="str">
            <v>PL ŻEB.Z PŁAT.SCH/BOCZ.OK8-10CM</v>
          </cell>
        </row>
        <row r="5034">
          <cell r="C5034">
            <v>3039806</v>
          </cell>
          <cell r="D5034" t="str">
            <v>PL ŻEB.Z PŁAT.SCH/BOCZ8-10CMOK20KGNBMRST</v>
          </cell>
        </row>
        <row r="5035">
          <cell r="C5035">
            <v>3040293</v>
          </cell>
          <cell r="D5035" t="str">
            <v>PLŻEB.Z PŁAT.SCH/BOCZ8-10MACOK20KGNBMRST</v>
          </cell>
        </row>
        <row r="5036">
          <cell r="C5036">
            <v>4019642</v>
          </cell>
          <cell r="D5036" t="str">
            <v>***PL ŻEB.SCH/BOCZ.OK2.5KGRMM OK5KGKT</v>
          </cell>
        </row>
        <row r="5037">
          <cell r="C5037">
            <v>4019585</v>
          </cell>
          <cell r="D5037" t="str">
            <v>***PLŻEB.BOCZ.OK600GVOK6KGKTMOR-EKSPERT</v>
          </cell>
        </row>
        <row r="5038">
          <cell r="C5038">
            <v>3029595</v>
          </cell>
          <cell r="D5038" t="str">
            <v>***PL ŻEB.Z PŁAT.SCH/BOCZ.OK15KGPJ CH ST</v>
          </cell>
        </row>
        <row r="5039">
          <cell r="C5039">
            <v>3039863</v>
          </cell>
          <cell r="D5039" t="str">
            <v>PL ŻEB.Z PŁAT.SCH/BOCZ.8-10OK20KGLUZPJST</v>
          </cell>
        </row>
        <row r="5040">
          <cell r="C5040">
            <v>3041968</v>
          </cell>
          <cell r="D5040" t="str">
            <v>PLŻEB.Z PŁ.SCH/BOCZ.8-10 MAC.OK20KGLPJST</v>
          </cell>
        </row>
        <row r="5041">
          <cell r="C5041">
            <v>3039862</v>
          </cell>
          <cell r="D5041" t="str">
            <v>PL ŻEB.Z PŁAT.SCH/BOCZ.8-10CM PBX ST</v>
          </cell>
        </row>
        <row r="5042">
          <cell r="C5042">
            <v>3039805</v>
          </cell>
          <cell r="D5042" t="str">
            <v>PL ŻEB.Z PŁAT.SCH/BOCZ.8-10CMOK20KGNBDMR</v>
          </cell>
        </row>
        <row r="5043">
          <cell r="C5043">
            <v>3040294</v>
          </cell>
          <cell r="D5043" t="str">
            <v>PLŻEB.Z PŁAT.SCH/BOCZ.8-10MACOK20KGNBDMR</v>
          </cell>
        </row>
        <row r="5044">
          <cell r="C5044">
            <v>3039814</v>
          </cell>
          <cell r="D5044" t="str">
            <v>EU ŻEB.Z PŁAT.SCH/BOCZ.8-10CM CH</v>
          </cell>
        </row>
        <row r="5045">
          <cell r="C5045">
            <v>3039738</v>
          </cell>
          <cell r="D5045" t="str">
            <v>PP ŻEB.Z PŁAT.SCH/BOCZ.8-10CM CH</v>
          </cell>
        </row>
        <row r="5046">
          <cell r="C5046">
            <v>3039838</v>
          </cell>
          <cell r="D5046" t="str">
            <v>PP ŻEB.Z PŁAT.SCH/BOCZ.8-10OK20KGLUZPJST</v>
          </cell>
        </row>
        <row r="5047">
          <cell r="C5047">
            <v>3041965</v>
          </cell>
          <cell r="D5047" t="str">
            <v>PPŻEB.Z PŁ.SCH/BOCZ.8-10 MAC.OK20KGLPJST</v>
          </cell>
        </row>
        <row r="5048">
          <cell r="C5048">
            <v>3039882</v>
          </cell>
          <cell r="D5048" t="str">
            <v>PP ŻEB.Z PŁAT.SCH/BOCZ.8-10CM PBX ST</v>
          </cell>
        </row>
        <row r="5049">
          <cell r="C5049">
            <v>3040154</v>
          </cell>
          <cell r="D5049" t="str">
            <v>PL ŻEB.Z PŁ.SCH/BOCZ.OK8-10CM CH 3OB</v>
          </cell>
        </row>
        <row r="5050">
          <cell r="C5050">
            <v>3040300</v>
          </cell>
          <cell r="D5050" t="str">
            <v>PLŻEB.Z PŁAT.SCH/BOCZ8-10OK20KGNBMR3OBST</v>
          </cell>
        </row>
        <row r="5051">
          <cell r="C5051">
            <v>3040271</v>
          </cell>
          <cell r="D5051" t="str">
            <v>PL ŻEB.Z PŁ.SCH/BOCZ.OK8-10CM 3OB PBX1</v>
          </cell>
        </row>
        <row r="5052">
          <cell r="C5052">
            <v>3040276</v>
          </cell>
          <cell r="D5052" t="str">
            <v>PL ŻEB.Z PŁAT.SCH/BOCZ8-10OK20KGLPJ3OBST</v>
          </cell>
        </row>
        <row r="5053">
          <cell r="C5053">
            <v>3025715</v>
          </cell>
          <cell r="D5053" t="str">
            <v>PL GOL.PRZED.OK15KGLUZ PJ SZ</v>
          </cell>
        </row>
        <row r="5054">
          <cell r="C5054">
            <v>3040275</v>
          </cell>
          <cell r="D5054" t="str">
            <v>PLŻEB.Z PŁAT.SCH/BOCZ8-10 OK20KGNBDMR3OB</v>
          </cell>
        </row>
        <row r="5055">
          <cell r="C5055">
            <v>3040320</v>
          </cell>
          <cell r="D5055" t="str">
            <v>PL ŻEB.Z PŁ.SCH/BOCZ.OK8-10CM 3OB RO1</v>
          </cell>
        </row>
        <row r="5056">
          <cell r="C5056">
            <v>3040316</v>
          </cell>
          <cell r="D5056" t="str">
            <v>PL ŻEB.Z PŁ.SCH/BOCZ.OK8-10CM 3OB RO2</v>
          </cell>
        </row>
        <row r="5057">
          <cell r="C5057">
            <v>3040274</v>
          </cell>
          <cell r="D5057" t="str">
            <v>PL ŻEB.Z PŁ.SCH/BOCZ.OK8-10CM 3OB PBX2</v>
          </cell>
        </row>
        <row r="5058">
          <cell r="C5058">
            <v>3040105</v>
          </cell>
          <cell r="D5058" t="str">
            <v>PP ŻEB.Z PŁ.SCH/BOCZ.OK8-10CM CH 3OB</v>
          </cell>
        </row>
        <row r="5059">
          <cell r="C5059">
            <v>3040301</v>
          </cell>
          <cell r="D5059" t="str">
            <v>PPŻEB.Z PŁAT.SCH/BOCZ8-10OK20KGNBMR3OBST</v>
          </cell>
        </row>
        <row r="5060">
          <cell r="C5060">
            <v>3040272</v>
          </cell>
          <cell r="D5060" t="str">
            <v>PP ŻEB.Z PŁ.SCH/BOCZ.OK8-10CM 3OB PBX1</v>
          </cell>
        </row>
        <row r="5061">
          <cell r="C5061">
            <v>3040278</v>
          </cell>
          <cell r="D5061" t="str">
            <v>PP ŻEB.Z PŁAT.SCH/BOCZ.8-10OK20KGPJ3OBST</v>
          </cell>
        </row>
        <row r="5062">
          <cell r="C5062">
            <v>3040279</v>
          </cell>
          <cell r="D5062" t="str">
            <v>PPŻEB.Z PŁAT.SCH/BOCZ.8-10OK20KGNBDMR3OB</v>
          </cell>
        </row>
        <row r="5063">
          <cell r="C5063">
            <v>3040321</v>
          </cell>
          <cell r="D5063" t="str">
            <v>PP ŻEB.Z PŁ.SCH/BOCZ.OK8-10CM 3OB RO1</v>
          </cell>
        </row>
        <row r="5064">
          <cell r="C5064">
            <v>3040317</v>
          </cell>
          <cell r="D5064" t="str">
            <v>PP ŻEB.Z PŁ.SCH/BOCZ.OK8-10CM 3OB RO2</v>
          </cell>
        </row>
        <row r="5065">
          <cell r="C5065">
            <v>3040273</v>
          </cell>
          <cell r="D5065" t="str">
            <v>PP ŻEB.Z PŁ.SCH/BOCZ.OK8-10CM 3OB PBX2</v>
          </cell>
        </row>
        <row r="5066">
          <cell r="C5066">
            <v>3044939</v>
          </cell>
          <cell r="D5066" t="str">
            <v>PP ŻEB.Z PŁAT.SCH/BOCZ.8-10 3OB ROZP1</v>
          </cell>
        </row>
        <row r="5067">
          <cell r="C5067">
            <v>3044940</v>
          </cell>
          <cell r="D5067" t="str">
            <v>PP ŻEB.Z PŁAT.SCH/BOCZ.8-10 3OB ROZP2</v>
          </cell>
        </row>
        <row r="5068">
          <cell r="C5068">
            <v>3030278</v>
          </cell>
          <cell r="D5068" t="str">
            <v>PL ŻEB.SCH.500-680 US</v>
          </cell>
        </row>
        <row r="5069">
          <cell r="C5069">
            <v>3041878</v>
          </cell>
          <cell r="D5069" t="str">
            <v>PL ŻEB.SCH.500-680 OK20KG NB MR ST</v>
          </cell>
        </row>
        <row r="5070">
          <cell r="C5070">
            <v>4020241</v>
          </cell>
          <cell r="D5070" t="str">
            <v>PL ŻEB.SCH.500-680 OK20KGLUZ KT MR EX US</v>
          </cell>
        </row>
        <row r="5071">
          <cell r="C5071">
            <v>4020735</v>
          </cell>
          <cell r="D5071" t="str">
            <v>PL ŻEB.SCH.500-680 OK20WOR PJ EX</v>
          </cell>
        </row>
        <row r="5072">
          <cell r="C5072">
            <v>3041877</v>
          </cell>
          <cell r="D5072" t="str">
            <v>PL ŻEB.SCH.500-680 OK20KG NB DMR</v>
          </cell>
        </row>
        <row r="5073">
          <cell r="C5073">
            <v>3030279</v>
          </cell>
          <cell r="D5073" t="str">
            <v>PL ŻEB.SCH.500-680 OK20KGLUZ KT DMR US</v>
          </cell>
        </row>
        <row r="5074">
          <cell r="C5074">
            <v>3030289</v>
          </cell>
          <cell r="D5074" t="str">
            <v>EU ŻEB.SCH.500-680 US</v>
          </cell>
        </row>
        <row r="5075">
          <cell r="C5075">
            <v>4020254</v>
          </cell>
          <cell r="D5075" t="str">
            <v>***EU ŻEB.SCH.500-680 OK20KGLUZKTMREX US</v>
          </cell>
        </row>
        <row r="5076">
          <cell r="C5076">
            <v>4022736</v>
          </cell>
          <cell r="D5076" t="str">
            <v>EU ŻEB.SCH.500-680 OK20WOR PJ EX</v>
          </cell>
        </row>
        <row r="5077">
          <cell r="C5077">
            <v>3030290</v>
          </cell>
          <cell r="D5077" t="str">
            <v>EU ŻEB.SCH.500-680 OK20KGLUZ KT DMR US</v>
          </cell>
        </row>
        <row r="5078">
          <cell r="C5078">
            <v>3035206</v>
          </cell>
          <cell r="D5078" t="str">
            <v>CZ ŻEB.SCH.500-680 US</v>
          </cell>
        </row>
        <row r="5079">
          <cell r="C5079">
            <v>4023882</v>
          </cell>
          <cell r="D5079" t="str">
            <v>CZ ŻEB.SCH.500-680 OK20KGWOR PJ EX</v>
          </cell>
        </row>
        <row r="5080">
          <cell r="C5080">
            <v>3031087</v>
          </cell>
          <cell r="D5080" t="str">
            <v>PL ŻEB.SCH.500-680 B/BŁ.US</v>
          </cell>
        </row>
        <row r="5081">
          <cell r="C5081">
            <v>4020788</v>
          </cell>
          <cell r="D5081" t="str">
            <v>***PLŻEB.SCH500-680 B/BŁ.OK20KGLUZKTMRUS</v>
          </cell>
        </row>
        <row r="5082">
          <cell r="C5082">
            <v>3031088</v>
          </cell>
          <cell r="D5082" t="str">
            <v>***PLŻEB.SCH500-680B/BŁ.OK20KGLUZKTDMRUS</v>
          </cell>
        </row>
        <row r="5083">
          <cell r="C5083">
            <v>3007862</v>
          </cell>
          <cell r="D5083" t="str">
            <v>***ELEM.ŁOP KL.S CH BIED</v>
          </cell>
        </row>
        <row r="5084">
          <cell r="C5084">
            <v>3031170</v>
          </cell>
          <cell r="D5084" t="str">
            <v>PL ŻEB.BOCZ.2X8 CH</v>
          </cell>
        </row>
        <row r="5085">
          <cell r="C5085">
            <v>3039779</v>
          </cell>
          <cell r="D5085" t="str">
            <v>PL ŻEB.BOCZ.2X8 OK20KG NB MR ST</v>
          </cell>
        </row>
        <row r="5086">
          <cell r="C5086">
            <v>3047496</v>
          </cell>
          <cell r="D5086" t="str">
            <v>PL ŻEB.BOCZ.2X8 PBX1</v>
          </cell>
        </row>
        <row r="5087">
          <cell r="C5087">
            <v>4027949</v>
          </cell>
          <cell r="D5087" t="str">
            <v>PL ŻEB.BOCZ.2X8 4STMAP OK9KGKT SEL</v>
          </cell>
        </row>
        <row r="5088">
          <cell r="C5088">
            <v>3031144</v>
          </cell>
          <cell r="D5088" t="str">
            <v>PL ŻEB.BOCZ.2X8 OK20KGWOR PJ ST</v>
          </cell>
        </row>
        <row r="5089">
          <cell r="C5089">
            <v>3037371</v>
          </cell>
          <cell r="D5089" t="str">
            <v>PL ŻEB.BOCZ.2X8 PBX ST</v>
          </cell>
        </row>
        <row r="5090">
          <cell r="C5090">
            <v>3031165</v>
          </cell>
          <cell r="D5090" t="str">
            <v>PL ŻEB.BOCZ.2X8 OK15KGLUZ PJ SZ</v>
          </cell>
        </row>
        <row r="5091">
          <cell r="C5091">
            <v>3034289</v>
          </cell>
          <cell r="D5091" t="str">
            <v>PL ŻEB.BOCZ.2X8 OK20KG NB DMR</v>
          </cell>
        </row>
        <row r="5092">
          <cell r="C5092">
            <v>3047499</v>
          </cell>
          <cell r="D5092" t="str">
            <v>PL ŻEB.BOCZ.2X8 PBX2</v>
          </cell>
        </row>
        <row r="5093">
          <cell r="C5093">
            <v>3039480</v>
          </cell>
          <cell r="D5093" t="str">
            <v>PP ŻEB.BOCZ.2X8 OK20KG NB MR K4</v>
          </cell>
        </row>
        <row r="5094">
          <cell r="C5094">
            <v>3035900</v>
          </cell>
          <cell r="D5094" t="str">
            <v>PP ŻEB.BOCZ.2X8 CH</v>
          </cell>
        </row>
        <row r="5095">
          <cell r="C5095">
            <v>3042056</v>
          </cell>
          <cell r="D5095" t="str">
            <v>PP ŻEB.BOCZ.2X8 OK20KG NB MR ST</v>
          </cell>
        </row>
        <row r="5096">
          <cell r="C5096">
            <v>3035858</v>
          </cell>
          <cell r="D5096" t="str">
            <v>PP ŻEB.BOCZ.2X8 OK20KGWOR PJ ST</v>
          </cell>
        </row>
        <row r="5097">
          <cell r="C5097">
            <v>3037370</v>
          </cell>
          <cell r="D5097" t="str">
            <v>PP ŻEB.BOCZ.2X8 PBX ST</v>
          </cell>
        </row>
        <row r="5098">
          <cell r="C5098">
            <v>3039469</v>
          </cell>
          <cell r="D5098" t="str">
            <v>PP ŻEB.BOCZ.2X8 OK20KG NB DMR</v>
          </cell>
        </row>
        <row r="5099">
          <cell r="C5099">
            <v>3042493</v>
          </cell>
          <cell r="D5099" t="str">
            <v>PL ŻEB.Z PŁAT.SCH/BOCZ.OK8-10CM MAC.</v>
          </cell>
        </row>
        <row r="5100">
          <cell r="C5100">
            <v>3042436</v>
          </cell>
          <cell r="D5100" t="str">
            <v>PL ŻEB.Z PŁ.SCH/BOCZ8-10MAC.OK20KGNBMRST</v>
          </cell>
        </row>
        <row r="5101">
          <cell r="C5101">
            <v>4028243</v>
          </cell>
          <cell r="D5101" t="str">
            <v>PL ŻEB.Z PŁ.SCH/BOCZ.OK8-10MAC.OK20KGLPJ</v>
          </cell>
        </row>
        <row r="5102">
          <cell r="C5102">
            <v>3042435</v>
          </cell>
          <cell r="D5102" t="str">
            <v>PL ŻEB.Z PŁ.SCH/BOCZ8-10MAC.OK20KGNB DMR</v>
          </cell>
        </row>
        <row r="5103">
          <cell r="C5103">
            <v>3042801</v>
          </cell>
          <cell r="D5103" t="str">
            <v>PP ŻEB.Z PŁAT.SCH/BOCZ.OK8-10CM MAC.CH</v>
          </cell>
        </row>
        <row r="5104">
          <cell r="C5104">
            <v>3042803</v>
          </cell>
          <cell r="D5104" t="str">
            <v>PP ŻEB.Z PŁ.SCH/BOCZ8-10MAC.OK20KGNBMRST</v>
          </cell>
        </row>
        <row r="5105">
          <cell r="C5105">
            <v>4028244</v>
          </cell>
          <cell r="D5105" t="str">
            <v>PP ŻEB.Z PŁ.SCH/BOCZ.OK8-10MAC.OK20KGLPJ</v>
          </cell>
        </row>
        <row r="5106">
          <cell r="C5106">
            <v>3042802</v>
          </cell>
          <cell r="D5106" t="str">
            <v>PP ŻEB.Z PŁ.SCH/BOCZ8-10MAC.OK20KGNB DMR</v>
          </cell>
        </row>
        <row r="5107">
          <cell r="C5107">
            <v>3007864</v>
          </cell>
          <cell r="D5107" t="str">
            <v>***KARK.B/K.Z/KOR.KROJ.GRILL CH RQ</v>
          </cell>
        </row>
        <row r="5108">
          <cell r="C5108">
            <v>3017413</v>
          </cell>
          <cell r="D5108" t="str">
            <v>***EU KARK.B/K.Z/KOR.KROJ.GRILL CH RQ</v>
          </cell>
        </row>
        <row r="5109">
          <cell r="C5109">
            <v>3007865</v>
          </cell>
          <cell r="D5109" t="str">
            <v>***KARK.B/K.Z/KOR KROJ.GRILL FANTOM CHRQ</v>
          </cell>
        </row>
        <row r="5110">
          <cell r="C5110">
            <v>3045543</v>
          </cell>
          <cell r="D5110" t="str">
            <v>PL ŻEB.SCH.SZER.730-830 CH</v>
          </cell>
        </row>
        <row r="5111">
          <cell r="C5111">
            <v>3045676</v>
          </cell>
          <cell r="D5111" t="str">
            <v>PL ŻEB.SCH.SZER.730-830 OK20KGNB MR ST</v>
          </cell>
        </row>
        <row r="5112">
          <cell r="C5112">
            <v>3045557</v>
          </cell>
          <cell r="D5112" t="str">
            <v>PL ŻEB.SCH.5-8CM 730-830 OK20KGLUZPJ ST</v>
          </cell>
        </row>
        <row r="5113">
          <cell r="C5113">
            <v>3045558</v>
          </cell>
          <cell r="D5113" t="str">
            <v>PL ŻEB.SCH.5-8CM 730-830 PBX ST</v>
          </cell>
        </row>
        <row r="5114">
          <cell r="C5114">
            <v>3045675</v>
          </cell>
          <cell r="D5114" t="str">
            <v>PL ŻEB.SCH.SZER.730-830 OK20KGNB DMR</v>
          </cell>
        </row>
        <row r="5115">
          <cell r="C5115">
            <v>3007866</v>
          </cell>
          <cell r="D5115" t="str">
            <v>***BOCZ.BLAT.WĄS.Z/SK KROJ.GR.FAN.CHRQ</v>
          </cell>
        </row>
        <row r="5116">
          <cell r="C5116">
            <v>3030875</v>
          </cell>
          <cell r="D5116" t="str">
            <v>PL ŻEB.SCH.10-12CM CH</v>
          </cell>
        </row>
        <row r="5117">
          <cell r="C5117">
            <v>4026832</v>
          </cell>
          <cell r="D5117" t="str">
            <v>PL ŻEB.SCH.10-12CM OK20KGWOR KT</v>
          </cell>
        </row>
        <row r="5118">
          <cell r="C5118">
            <v>4031220</v>
          </cell>
          <cell r="D5118" t="str">
            <v>PL ŻEB.SCH.12CM OK20KGWOR KT MR EX</v>
          </cell>
        </row>
        <row r="5119">
          <cell r="C5119">
            <v>4024643</v>
          </cell>
          <cell r="D5119" t="str">
            <v>PL ŻEB.SCH.10-12CM OK10KGWOR KT MR EX</v>
          </cell>
        </row>
        <row r="5120">
          <cell r="C5120">
            <v>4024689</v>
          </cell>
          <cell r="D5120" t="str">
            <v>PL ŻEB.SCH.10-12CM OK20KGWOR KT MR EX</v>
          </cell>
        </row>
        <row r="5121">
          <cell r="C5121">
            <v>3047047</v>
          </cell>
          <cell r="D5121" t="str">
            <v>PL ŻEB.SCH.12CM OK20KGWOR KT DMR</v>
          </cell>
        </row>
        <row r="5122">
          <cell r="C5122">
            <v>3030861</v>
          </cell>
          <cell r="D5122" t="str">
            <v>PL ŻEB.SCH.10-12CM OK10KGFOL KT DMR</v>
          </cell>
        </row>
        <row r="5123">
          <cell r="C5123">
            <v>3036696</v>
          </cell>
          <cell r="D5123" t="str">
            <v>PL ŻEB.SCH.10-12CM OK20KGWOR KT DMR</v>
          </cell>
        </row>
        <row r="5124">
          <cell r="C5124">
            <v>3016306</v>
          </cell>
          <cell r="D5124" t="str">
            <v>EU MŚ.WP.KL2B KROJONE CH</v>
          </cell>
        </row>
        <row r="5125">
          <cell r="C5125">
            <v>3026937</v>
          </cell>
          <cell r="D5125" t="str">
            <v>SUR.MIĘSNE DO PROD.MIĘSA 29%</v>
          </cell>
        </row>
        <row r="5126">
          <cell r="C5126">
            <v>3027453</v>
          </cell>
          <cell r="D5126" t="str">
            <v>***SUR.MIĘSNE DO PROD.MIĘSA WP.29%OKT ST</v>
          </cell>
        </row>
        <row r="5127">
          <cell r="C5127">
            <v>3026953</v>
          </cell>
          <cell r="D5127" t="str">
            <v>SUR.MIĘSNE DO PROD.MIĘSA 29% PBX ST</v>
          </cell>
        </row>
        <row r="5128">
          <cell r="C5128">
            <v>3007868</v>
          </cell>
          <cell r="D5128" t="str">
            <v>***PRZEPONA CH KOR</v>
          </cell>
        </row>
        <row r="5129">
          <cell r="C5129">
            <v>4001829</v>
          </cell>
          <cell r="D5129" t="str">
            <v>***PRZEPONA WP.EXP.KOREA VAC MRŻ.</v>
          </cell>
        </row>
        <row r="5130">
          <cell r="C5130">
            <v>3007869</v>
          </cell>
          <cell r="D5130" t="str">
            <v>***PRZEPONA OK 15KG KR DMR KOR</v>
          </cell>
        </row>
        <row r="5131">
          <cell r="C5131">
            <v>3014489</v>
          </cell>
          <cell r="D5131" t="str">
            <v>***M-SO MIEL.WP.DO 20% TŁ.</v>
          </cell>
        </row>
        <row r="5132">
          <cell r="C5132">
            <v>4010681</v>
          </cell>
          <cell r="D5132" t="str">
            <v>***M-SO MIEL.WP.500G MAP 6KG KT</v>
          </cell>
        </row>
        <row r="5133">
          <cell r="C5133">
            <v>3007870</v>
          </cell>
          <cell r="D5133" t="str">
            <v>***M-SO MIEL.WP CH</v>
          </cell>
        </row>
        <row r="5134">
          <cell r="C5134">
            <v>4003933</v>
          </cell>
          <cell r="D5134" t="str">
            <v>***MIĘSO MIEL. WP KOST. 250G M MR</v>
          </cell>
        </row>
        <row r="5135">
          <cell r="C5135">
            <v>3007871</v>
          </cell>
          <cell r="D5135" t="str">
            <v>***M-SO MIEL.WP 250G KO 5,5KG KT DMR</v>
          </cell>
        </row>
        <row r="5136">
          <cell r="C5136">
            <v>3015945</v>
          </cell>
          <cell r="D5136" t="str">
            <v>PL BOCZ.BL.C B/S.KAW.CH</v>
          </cell>
        </row>
        <row r="5137">
          <cell r="C5137">
            <v>3004493</v>
          </cell>
          <cell r="D5137" t="str">
            <v>***BOCZ.BLAT.SZER.B/SK KL.U /KROJONY/ CH</v>
          </cell>
        </row>
        <row r="5138">
          <cell r="C5138">
            <v>3004494</v>
          </cell>
          <cell r="D5138" t="str">
            <v>***BOCZ.BLAT.SZER.B/SK KL.R /KROJONY/CH</v>
          </cell>
        </row>
        <row r="5139">
          <cell r="C5139">
            <v>3007872</v>
          </cell>
          <cell r="D5139" t="str">
            <v>***M-SO MIEL.WP-WOŁ CH</v>
          </cell>
        </row>
        <row r="5140">
          <cell r="C5140">
            <v>4003941</v>
          </cell>
          <cell r="D5140" t="str">
            <v>***MIĘSO WP.-WŁ.MIEL.KOST.250G M MR</v>
          </cell>
        </row>
        <row r="5141">
          <cell r="C5141">
            <v>4003942</v>
          </cell>
          <cell r="D5141" t="str">
            <v>***M-SO WP.-WŁ. MIELONE 500G MAP</v>
          </cell>
        </row>
        <row r="5142">
          <cell r="C5142">
            <v>4003944</v>
          </cell>
          <cell r="D5142" t="str">
            <v>***M-SO WP.-WŁ.MIELONE 500G MAP C</v>
          </cell>
        </row>
        <row r="5143">
          <cell r="C5143">
            <v>4007549</v>
          </cell>
          <cell r="D5143" t="str">
            <v>***M-SO WP.-WOŁ.MIELONE 500G MAP BT</v>
          </cell>
        </row>
        <row r="5144">
          <cell r="C5144">
            <v>3007873</v>
          </cell>
          <cell r="D5144" t="str">
            <v>***M-SO MIEL.WP-WOŁ 250G KO 5,5KG KT DMR</v>
          </cell>
        </row>
        <row r="5145">
          <cell r="C5145">
            <v>3014482</v>
          </cell>
          <cell r="D5145" t="str">
            <v>***EU M.MIEL.WP-WŁ.FARSZ BIED</v>
          </cell>
        </row>
        <row r="5146">
          <cell r="C5146">
            <v>4010642</v>
          </cell>
          <cell r="D5146" t="str">
            <v>M-SO MIEL.WP-WOŁ 650G MAP 7.8KG KT JMP</v>
          </cell>
        </row>
        <row r="5147">
          <cell r="C5147">
            <v>4010801</v>
          </cell>
          <cell r="D5147" t="str">
            <v>****EU M-SO MIEL.WP-WŁ.500GMAP6KGKT CARR</v>
          </cell>
        </row>
        <row r="5148">
          <cell r="C5148">
            <v>3016844</v>
          </cell>
          <cell r="D5148" t="str">
            <v>***PL M-SO MIEL.WP-WŁ.18% TŁ.</v>
          </cell>
        </row>
        <row r="5149">
          <cell r="C5149">
            <v>3026398</v>
          </cell>
          <cell r="D5149" t="str">
            <v>***SUR.MIĘSNE DO PROD.MIĘSA 2096</v>
          </cell>
        </row>
        <row r="5150">
          <cell r="C5150">
            <v>4011051</v>
          </cell>
          <cell r="D5150" t="str">
            <v>***EU M-SO MIEL.WP-WŁ500G MAP3KG KT MAK</v>
          </cell>
        </row>
        <row r="5151">
          <cell r="C5151">
            <v>4003950</v>
          </cell>
          <cell r="D5151" t="str">
            <v>***PL M-SO WP-WŁ.TŁ.18% 500G MAP</v>
          </cell>
        </row>
        <row r="5152">
          <cell r="C5152">
            <v>4014241</v>
          </cell>
          <cell r="D5152" t="str">
            <v>***M-SO WP-WŁ.TŁ.18% 500G 3KG KT MAP JMP</v>
          </cell>
        </row>
        <row r="5153">
          <cell r="C5153">
            <v>3027449</v>
          </cell>
          <cell r="D5153" t="str">
            <v>***SUR.MIĘSNE DO PROD.MIĘSA WP.2096OKTST</v>
          </cell>
        </row>
        <row r="5154">
          <cell r="C5154">
            <v>3026425</v>
          </cell>
          <cell r="D5154" t="str">
            <v>***SUR.MIĘSNE DO PROD.MIĘSA 2096 PBX ST</v>
          </cell>
        </row>
        <row r="5155">
          <cell r="C5155">
            <v>3017833</v>
          </cell>
          <cell r="D5155" t="str">
            <v>***EU M-SO MIEL.WP-WŁ.18% TŁ.</v>
          </cell>
        </row>
        <row r="5156">
          <cell r="C5156">
            <v>3007875</v>
          </cell>
          <cell r="D5156" t="str">
            <v>***M-SO MIEL.Z ŁOP. TŁ.20% CH</v>
          </cell>
        </row>
        <row r="5157">
          <cell r="C5157">
            <v>4007619</v>
          </cell>
          <cell r="D5157" t="str">
            <v>***M-SO MIELONE Z ŁOPATKI20%TŁ.MAP500GBT</v>
          </cell>
        </row>
        <row r="5158">
          <cell r="C5158">
            <v>4006598</v>
          </cell>
          <cell r="D5158" t="str">
            <v>***GULASZ WP Z SZYNKI MAP 500G T</v>
          </cell>
        </row>
        <row r="5159">
          <cell r="C5159">
            <v>4008937</v>
          </cell>
          <cell r="D5159" t="str">
            <v>***GULASZ WP.Z SZYN.500G MAP 6KG KT BIED</v>
          </cell>
        </row>
        <row r="5160">
          <cell r="C5160">
            <v>3019094</v>
          </cell>
          <cell r="D5160" t="str">
            <v>PL GULASZ Z/SZYN.4D KOSTKA</v>
          </cell>
        </row>
        <row r="5161">
          <cell r="C5161">
            <v>4009814</v>
          </cell>
          <cell r="D5161" t="str">
            <v>***PL GUL.Z SZYN.500GMAP 3KGKT LIDL</v>
          </cell>
        </row>
        <row r="5162">
          <cell r="C5162">
            <v>4012840</v>
          </cell>
          <cell r="D5162" t="str">
            <v>***PL GULASZ Z SZYN.500G MAP 3KG KT ME</v>
          </cell>
        </row>
        <row r="5163">
          <cell r="C5163">
            <v>4013658</v>
          </cell>
          <cell r="D5163" t="str">
            <v>***GUL.Z SZYN.500GMAP 3KGKT BIED</v>
          </cell>
        </row>
        <row r="5164">
          <cell r="C5164">
            <v>4015280</v>
          </cell>
          <cell r="D5164" t="str">
            <v>***PL GULASZ Z SZYN.500G MAP 3KG KT AUCH</v>
          </cell>
        </row>
        <row r="5165">
          <cell r="C5165">
            <v>4015736</v>
          </cell>
          <cell r="D5165" t="str">
            <v>***PL GULASZ Z SZYN.OK500GMAP 6KGKT POLM</v>
          </cell>
        </row>
        <row r="5166">
          <cell r="C5166">
            <v>4016915</v>
          </cell>
          <cell r="D5166" t="str">
            <v>***PL GULASZ Z SZYN.500GMAP 3KGKT KAUF</v>
          </cell>
        </row>
        <row r="5167">
          <cell r="C5167">
            <v>4016964</v>
          </cell>
          <cell r="D5167" t="str">
            <v>***PL GUL.Z SZYN.500GMAP 3KGKT LIDL LT</v>
          </cell>
        </row>
        <row r="5168">
          <cell r="C5168">
            <v>3026318</v>
          </cell>
          <cell r="D5168" t="str">
            <v xml:space="preserve"> ***PL GULASZ Z SZYN.500G MAP BL</v>
          </cell>
        </row>
        <row r="5169">
          <cell r="C5169">
            <v>3019096</v>
          </cell>
          <cell r="D5169" t="str">
            <v>***EU GULASZ Z SZYN.4D KOSTKA</v>
          </cell>
        </row>
        <row r="5170">
          <cell r="C5170">
            <v>4011968</v>
          </cell>
          <cell r="D5170" t="str">
            <v>***EU GULASZ Z SZYN.500G MAP 3KG KT LIDL</v>
          </cell>
        </row>
        <row r="5171">
          <cell r="C5171">
            <v>2100822</v>
          </cell>
          <cell r="D5171" t="str">
            <v>BIAŁKO SANDIPRO IP-105</v>
          </cell>
        </row>
        <row r="5172">
          <cell r="C5172">
            <v>3008755</v>
          </cell>
          <cell r="D5172" t="str">
            <v>***SZNYCEL Z SZYNKI</v>
          </cell>
        </row>
        <row r="5173">
          <cell r="C5173">
            <v>4006595</v>
          </cell>
          <cell r="D5173" t="str">
            <v>***SZNYCEL Z SZYNKI PLAST.PACZOK500GMAPT</v>
          </cell>
        </row>
        <row r="5174">
          <cell r="C5174">
            <v>4007289</v>
          </cell>
          <cell r="D5174" t="str">
            <v>***SZNYCEL Z SZYNKI 300G MAP N</v>
          </cell>
        </row>
        <row r="5175">
          <cell r="C5175">
            <v>3018369</v>
          </cell>
          <cell r="D5175" t="str">
            <v>***PL SZYN.WP.KOTL.</v>
          </cell>
        </row>
        <row r="5176">
          <cell r="C5176">
            <v>4010641</v>
          </cell>
          <cell r="D5176" t="str">
            <v>SZNYCEL Z/SZYN.PL.OK.500GMAP OK6KGKT JMP</v>
          </cell>
        </row>
        <row r="5177">
          <cell r="C5177">
            <v>4010973</v>
          </cell>
          <cell r="D5177" t="str">
            <v>***PL SZNYC.Z SZYN.PLOK500GMAPOK3KGKT ME</v>
          </cell>
        </row>
        <row r="5178">
          <cell r="C5178">
            <v>4012619</v>
          </cell>
          <cell r="D5178" t="str">
            <v>***PL SZN.Z SZYN.500G MAP 3KG KT ME</v>
          </cell>
        </row>
        <row r="5179">
          <cell r="C5179">
            <v>4011020</v>
          </cell>
          <cell r="D5179" t="str">
            <v>***PL M-SO Z SZYN.NAROL.OK600GMAP KT JMP</v>
          </cell>
        </row>
        <row r="5180">
          <cell r="C5180">
            <v>3021511</v>
          </cell>
          <cell r="D5180" t="str">
            <v>***ELEM.SZYN.SZWAGRA KOTL.CH</v>
          </cell>
        </row>
        <row r="5181">
          <cell r="C5181">
            <v>3045591</v>
          </cell>
          <cell r="D5181" t="str">
            <v>TRYM.WP.75/25 ŻWACZE CH</v>
          </cell>
        </row>
        <row r="5182">
          <cell r="C5182">
            <v>3044749</v>
          </cell>
          <cell r="D5182" t="str">
            <v>TRYM.WP.75/25 ŻWACZE OK20KG NB MR ST</v>
          </cell>
        </row>
        <row r="5183">
          <cell r="C5183">
            <v>3044681</v>
          </cell>
          <cell r="D5183" t="str">
            <v>TRYM.WP.75/25 ŻWACZE PBX1</v>
          </cell>
        </row>
        <row r="5184">
          <cell r="C5184">
            <v>3044783</v>
          </cell>
          <cell r="D5184" t="str">
            <v>TRYM.WP.75/25 ŻWACZE OK20KG NB DMR</v>
          </cell>
        </row>
        <row r="5185">
          <cell r="C5185">
            <v>3044790</v>
          </cell>
          <cell r="D5185" t="str">
            <v>TRYM.WP.75/25 ŻWACZE RO1</v>
          </cell>
        </row>
        <row r="5186">
          <cell r="C5186">
            <v>3044801</v>
          </cell>
          <cell r="D5186" t="str">
            <v>TRYM.WP.75/25 ŻWACZE RO2</v>
          </cell>
        </row>
        <row r="5187">
          <cell r="C5187">
            <v>3044686</v>
          </cell>
          <cell r="D5187" t="str">
            <v>TRYM.WP.75/25 ŻWACZE PBX2</v>
          </cell>
        </row>
        <row r="5188">
          <cell r="C5188">
            <v>3045546</v>
          </cell>
          <cell r="D5188" t="str">
            <v>PP TRYM.WP.75/25 ŻWACZE CH</v>
          </cell>
        </row>
        <row r="5189">
          <cell r="C5189">
            <v>3045562</v>
          </cell>
          <cell r="D5189" t="str">
            <v>PP TRYM.WP.75/25 ŻWACZE PBX1</v>
          </cell>
        </row>
        <row r="5190">
          <cell r="C5190">
            <v>3045568</v>
          </cell>
          <cell r="D5190" t="str">
            <v>PP TRYM.WP.75/25 ŻWACZE PBX2</v>
          </cell>
        </row>
        <row r="5191">
          <cell r="C5191">
            <v>3047291</v>
          </cell>
          <cell r="D5191" t="str">
            <v>TRYM.WP.Z GŁ.CH</v>
          </cell>
        </row>
        <row r="5192">
          <cell r="C5192">
            <v>4026226</v>
          </cell>
          <cell r="D5192" t="str">
            <v>TRYM.WP.Z GŁ.OK20KG NB MR</v>
          </cell>
        </row>
        <row r="5193">
          <cell r="C5193">
            <v>3039307</v>
          </cell>
          <cell r="D5193" t="str">
            <v>TRYM.WP.Z GŁ.OK20KG NB DMR</v>
          </cell>
        </row>
        <row r="5194">
          <cell r="C5194">
            <v>3047559</v>
          </cell>
          <cell r="D5194" t="str">
            <v>TRYM.WP.80/20 Z GŁ.CH</v>
          </cell>
        </row>
        <row r="5195">
          <cell r="C5195">
            <v>3045553</v>
          </cell>
          <cell r="D5195" t="str">
            <v>PP TRYM.WP.80/20 FI3 CH</v>
          </cell>
        </row>
        <row r="5196">
          <cell r="C5196">
            <v>3045555</v>
          </cell>
          <cell r="D5196" t="str">
            <v>PP TRYM.WP.80/20 FI3 OK15KG NB MR ST</v>
          </cell>
        </row>
        <row r="5197">
          <cell r="C5197">
            <v>3045560</v>
          </cell>
          <cell r="D5197" t="str">
            <v>PP TRYM.WP.80/20 FI3 PBX1</v>
          </cell>
        </row>
        <row r="5198">
          <cell r="C5198">
            <v>3045554</v>
          </cell>
          <cell r="D5198" t="str">
            <v>PP TRYM.WP.80/20 FI3 OK15KG NB DMR</v>
          </cell>
        </row>
        <row r="5199">
          <cell r="C5199">
            <v>3045820</v>
          </cell>
          <cell r="D5199" t="str">
            <v>PP TRYM.WP.80/20 FI3 RO1</v>
          </cell>
        </row>
        <row r="5200">
          <cell r="C5200">
            <v>3045824</v>
          </cell>
          <cell r="D5200" t="str">
            <v>PP TRYM.WP.80/20 FI3 RO2</v>
          </cell>
        </row>
        <row r="5201">
          <cell r="C5201">
            <v>3045567</v>
          </cell>
          <cell r="D5201" t="str">
            <v>PP TRYM.WP.80/20 FI3 PBX2</v>
          </cell>
        </row>
        <row r="5202">
          <cell r="C5202">
            <v>3019095</v>
          </cell>
          <cell r="D5202" t="str">
            <v>PL GULASZ Z ŁOP.1313 KOSTKA</v>
          </cell>
        </row>
        <row r="5203">
          <cell r="C5203">
            <v>4011285</v>
          </cell>
          <cell r="D5203" t="str">
            <v>***PL GUL.Z ŁOP.500GMAP 2.5KGKT BIED</v>
          </cell>
        </row>
        <row r="5204">
          <cell r="C5204">
            <v>4012841</v>
          </cell>
          <cell r="D5204" t="str">
            <v>***PL GULASZ Z ŁOP.500G MAP 3KG KT ME</v>
          </cell>
        </row>
        <row r="5205">
          <cell r="C5205">
            <v>4015018</v>
          </cell>
          <cell r="D5205" t="str">
            <v>***PL GULASZ Z ŁOP.500G MAP 3KG KT AUCH</v>
          </cell>
        </row>
        <row r="5206">
          <cell r="C5206">
            <v>4006594</v>
          </cell>
          <cell r="D5206" t="str">
            <v>***GULASZ WP Z ŁOPATKI MAP 500G T</v>
          </cell>
        </row>
        <row r="5207">
          <cell r="C5207">
            <v>4009311</v>
          </cell>
          <cell r="D5207" t="str">
            <v>***GULASZ WP. Z ŁOP. 450G MAP 2.7KGKT N</v>
          </cell>
        </row>
        <row r="5208">
          <cell r="C5208">
            <v>4016774</v>
          </cell>
          <cell r="D5208" t="str">
            <v>***PL GULASZ Z ŁOP.500GMAP 3KGKT KAUF</v>
          </cell>
        </row>
        <row r="5209">
          <cell r="C5209">
            <v>4015318</v>
          </cell>
          <cell r="D5209" t="str">
            <v>***PL GUL.Z ŁOP.500GMAP 3KGKT BIED</v>
          </cell>
        </row>
        <row r="5210">
          <cell r="C5210">
            <v>3026330</v>
          </cell>
          <cell r="D5210" t="str">
            <v>***PL GULASZ Z ŁOP.500G MAP KAUF BL</v>
          </cell>
        </row>
        <row r="5211">
          <cell r="C5211">
            <v>3033142</v>
          </cell>
          <cell r="D5211" t="str">
            <v>EU TRYM.WP.70/30 Z SZYN.CH</v>
          </cell>
        </row>
        <row r="5212">
          <cell r="C5212">
            <v>3034714</v>
          </cell>
          <cell r="D5212" t="str">
            <v>EU TRYM.WP.70/30 Z SZYN.OK20KG NB MR ST</v>
          </cell>
        </row>
        <row r="5213">
          <cell r="C5213">
            <v>3033141</v>
          </cell>
          <cell r="D5213" t="str">
            <v>EU TRYM.WP.70/30 Z SZYN.PBX</v>
          </cell>
        </row>
        <row r="5214">
          <cell r="C5214">
            <v>3033143</v>
          </cell>
          <cell r="D5214" t="str">
            <v>EU TRYM.WP.70/30 Z SZYN.OK800KGOKT EX ST</v>
          </cell>
        </row>
        <row r="5215">
          <cell r="C5215">
            <v>3034712</v>
          </cell>
          <cell r="D5215" t="str">
            <v>EU TRYM.WP.70/30 Z SZYN.OK20KG NB DMR</v>
          </cell>
        </row>
        <row r="5216">
          <cell r="C5216">
            <v>3008959</v>
          </cell>
          <cell r="D5216" t="str">
            <v>EU TRYM.WP.60/40 CH</v>
          </cell>
        </row>
        <row r="5217">
          <cell r="C5217">
            <v>3008757</v>
          </cell>
          <cell r="D5217" t="str">
            <v>***M-SO WP. KL.2B WOR PJ CH ST</v>
          </cell>
        </row>
        <row r="5218">
          <cell r="C5218">
            <v>3012606</v>
          </cell>
          <cell r="D5218" t="str">
            <v>EU M-SO WP.DR.KL2B WOR PJ ST</v>
          </cell>
        </row>
        <row r="5219">
          <cell r="C5219">
            <v>3009698</v>
          </cell>
          <cell r="D5219" t="str">
            <v>***M-SO WP.KL.2B OKTABINA ST</v>
          </cell>
        </row>
        <row r="5220">
          <cell r="C5220">
            <v>3012288</v>
          </cell>
          <cell r="D5220" t="str">
            <v>EU M-SO WP.DR.KL2B PBX ST</v>
          </cell>
        </row>
        <row r="5221">
          <cell r="C5221">
            <v>3012608</v>
          </cell>
          <cell r="D5221" t="str">
            <v>***EU M-SO DR.WP.KL2B OKT ST</v>
          </cell>
        </row>
        <row r="5222">
          <cell r="C5222">
            <v>3019057</v>
          </cell>
          <cell r="D5222" t="str">
            <v>M-SO WP.DR.KL2B ROZP1</v>
          </cell>
        </row>
        <row r="5223">
          <cell r="C5223">
            <v>3020289</v>
          </cell>
          <cell r="D5223" t="str">
            <v>M-SO WP.DR.KL2B ROZP2</v>
          </cell>
        </row>
        <row r="5224">
          <cell r="C5224">
            <v>3033057</v>
          </cell>
          <cell r="D5224" t="str">
            <v>EU TRYM.WP.70/30 CH</v>
          </cell>
        </row>
        <row r="5225">
          <cell r="C5225">
            <v>3033056</v>
          </cell>
          <cell r="D5225" t="str">
            <v>EU TRYM.WP.70/30 PBX</v>
          </cell>
        </row>
        <row r="5226">
          <cell r="C5226">
            <v>4031237</v>
          </cell>
          <cell r="D5226" t="str">
            <v>EU TRYM.WP.70/30 OK2.25KGVAC OK11KGKT</v>
          </cell>
        </row>
        <row r="5227">
          <cell r="C5227">
            <v>3033055</v>
          </cell>
          <cell r="D5227" t="str">
            <v>EU TRYM.WP.70/30 OK800KGOKT EX ST</v>
          </cell>
        </row>
        <row r="5228">
          <cell r="C5228">
            <v>3024029</v>
          </cell>
          <cell r="D5228" t="str">
            <v>TRYM.WP.70/30 CH ZAK</v>
          </cell>
        </row>
        <row r="5229">
          <cell r="C5229">
            <v>3024067</v>
          </cell>
          <cell r="D5229" t="str">
            <v>TRYM.WP.70/30 MR ZAK</v>
          </cell>
        </row>
        <row r="5230">
          <cell r="C5230">
            <v>3041848</v>
          </cell>
          <cell r="D5230" t="str">
            <v>EU TRYM.WP.70/30 RO1</v>
          </cell>
        </row>
        <row r="5231">
          <cell r="C5231">
            <v>3041799</v>
          </cell>
          <cell r="D5231" t="str">
            <v>EU TRYM.WP.70/30 RO2</v>
          </cell>
        </row>
        <row r="5232">
          <cell r="C5232">
            <v>3033160</v>
          </cell>
          <cell r="D5232" t="str">
            <v>EU TRYM.WP.70/30 USR</v>
          </cell>
        </row>
        <row r="5233">
          <cell r="C5233">
            <v>3037552</v>
          </cell>
          <cell r="D5233" t="str">
            <v>PP M-SO WP.DR.KL2B CH</v>
          </cell>
        </row>
        <row r="5234">
          <cell r="C5234">
            <v>3041085</v>
          </cell>
          <cell r="D5234" t="str">
            <v>PP M-SO WP.DR.KL2B OK15KG NB MR ST</v>
          </cell>
        </row>
        <row r="5235">
          <cell r="C5235">
            <v>3037578</v>
          </cell>
          <cell r="D5235" t="str">
            <v>PP M-SO WP.DR.KL2B PBX ST1</v>
          </cell>
        </row>
        <row r="5236">
          <cell r="C5236">
            <v>3039511</v>
          </cell>
          <cell r="D5236" t="str">
            <v>PP M-SO WP.DR.KL2B OK20KG NB MR K4</v>
          </cell>
        </row>
        <row r="5237">
          <cell r="C5237">
            <v>3037508</v>
          </cell>
          <cell r="D5237" t="str">
            <v>PP M-SO WP.DR.KL2B USR CH</v>
          </cell>
        </row>
        <row r="5238">
          <cell r="C5238">
            <v>3039313</v>
          </cell>
          <cell r="D5238" t="str">
            <v>PP M-SO WP.DR.KL2B OK15KG NB DMR</v>
          </cell>
        </row>
        <row r="5239">
          <cell r="C5239">
            <v>3041534</v>
          </cell>
          <cell r="D5239" t="str">
            <v>PP M-SO WP.DR.KL2B RO1</v>
          </cell>
        </row>
        <row r="5240">
          <cell r="C5240">
            <v>3041542</v>
          </cell>
          <cell r="D5240" t="str">
            <v>PP M-SO WP.DR.KL2B RO2</v>
          </cell>
        </row>
        <row r="5241">
          <cell r="C5241">
            <v>3040310</v>
          </cell>
          <cell r="D5241" t="str">
            <v>PP M-SO WP.DR.KL2B PBX ST2</v>
          </cell>
        </row>
        <row r="5242">
          <cell r="C5242">
            <v>3016003</v>
          </cell>
          <cell r="D5242" t="str">
            <v>M-SO WP.DR. 50/50 KL2B CH</v>
          </cell>
        </row>
        <row r="5243">
          <cell r="C5243">
            <v>3039296</v>
          </cell>
          <cell r="D5243" t="str">
            <v>TRYM.WP.50/50 PBX1</v>
          </cell>
        </row>
        <row r="5244">
          <cell r="C5244">
            <v>4026246</v>
          </cell>
          <cell r="D5244" t="str">
            <v>TRYM.WP.50/50 OK20KG NB MR EX</v>
          </cell>
        </row>
        <row r="5245">
          <cell r="C5245">
            <v>3039594</v>
          </cell>
          <cell r="D5245" t="str">
            <v>TRYM.WP.50/50 OK700KG OKT EX ST</v>
          </cell>
        </row>
        <row r="5246">
          <cell r="C5246">
            <v>3027400</v>
          </cell>
          <cell r="D5246" t="str">
            <v>M-SO WP.DR.50/50 NB CH ZAK</v>
          </cell>
        </row>
        <row r="5247">
          <cell r="C5247">
            <v>3039633</v>
          </cell>
          <cell r="D5247" t="str">
            <v>M-SO WP.DR.50/50 OK20KG NB MR ZAK</v>
          </cell>
        </row>
        <row r="5248">
          <cell r="C5248">
            <v>3034474</v>
          </cell>
          <cell r="D5248" t="str">
            <v>EU M-SO WP.DR.50/50 OK20KG NB MR K4</v>
          </cell>
        </row>
        <row r="5249">
          <cell r="C5249">
            <v>3039295</v>
          </cell>
          <cell r="D5249" t="str">
            <v>TRYM.WP.50/50 OK20KG NB DMR</v>
          </cell>
        </row>
        <row r="5250">
          <cell r="C5250">
            <v>3042111</v>
          </cell>
          <cell r="D5250" t="str">
            <v>TRYM.WP.50/50 RO1</v>
          </cell>
        </row>
        <row r="5251">
          <cell r="C5251">
            <v>3042113</v>
          </cell>
          <cell r="D5251" t="str">
            <v>TRYM.WP.50/50 RO2</v>
          </cell>
        </row>
        <row r="5252">
          <cell r="C5252">
            <v>3045913</v>
          </cell>
          <cell r="D5252" t="str">
            <v>TRYM.WP.50/50 PBX2</v>
          </cell>
        </row>
        <row r="5253">
          <cell r="C5253">
            <v>3039294</v>
          </cell>
          <cell r="D5253" t="str">
            <v>TRYM.WP.50/50 USR</v>
          </cell>
        </row>
        <row r="5254">
          <cell r="C5254">
            <v>3007876</v>
          </cell>
          <cell r="D5254" t="str">
            <v>EU TRYM.WP.60/40 CH1</v>
          </cell>
        </row>
        <row r="5255">
          <cell r="C5255">
            <v>3007877</v>
          </cell>
          <cell r="D5255" t="str">
            <v>***EU TRYMING 60/40 NB MR ST</v>
          </cell>
        </row>
        <row r="5256">
          <cell r="C5256">
            <v>3024988</v>
          </cell>
          <cell r="D5256" t="str">
            <v>EU TRYM.WP.60/40 PBX ST1</v>
          </cell>
        </row>
        <row r="5257">
          <cell r="C5257">
            <v>3012576</v>
          </cell>
          <cell r="D5257" t="str">
            <v>EU TRYM.WP.60/40 NB MR ST</v>
          </cell>
        </row>
        <row r="5258">
          <cell r="C5258">
            <v>3000168</v>
          </cell>
          <cell r="D5258" t="str">
            <v>***TRYMING WP.60/40 NB MR ST</v>
          </cell>
        </row>
        <row r="5259">
          <cell r="C5259">
            <v>4008191</v>
          </cell>
          <cell r="D5259" t="str">
            <v>***TRYMING 60/40 OK15KG NB MR ROS</v>
          </cell>
        </row>
        <row r="5260">
          <cell r="C5260">
            <v>3007878</v>
          </cell>
          <cell r="D5260" t="str">
            <v>***EU M-SO DR.WP.KL2B PBX CH ST</v>
          </cell>
        </row>
        <row r="5261">
          <cell r="C5261">
            <v>4008179</v>
          </cell>
          <cell r="D5261" t="str">
            <v>***TRYMING 60/40 OK15KG PJ</v>
          </cell>
        </row>
        <row r="5262">
          <cell r="C5262">
            <v>3018537</v>
          </cell>
          <cell r="D5262" t="str">
            <v>***EU TRYMING 60/40 OK20KGWOR PJ CH ST</v>
          </cell>
        </row>
        <row r="5263">
          <cell r="C5263">
            <v>3027468</v>
          </cell>
          <cell r="D5263" t="str">
            <v>***EU TRYMING 60/40 OK700KG OKT ST</v>
          </cell>
        </row>
        <row r="5264">
          <cell r="C5264">
            <v>3031888</v>
          </cell>
          <cell r="D5264" t="str">
            <v>***M-SO WP.TRIMING 60/40 PBX CH K4 ZAK</v>
          </cell>
        </row>
        <row r="5265">
          <cell r="C5265">
            <v>3023562</v>
          </cell>
          <cell r="D5265" t="str">
            <v>TRYM.WP.60/40 MR SZ</v>
          </cell>
        </row>
        <row r="5266">
          <cell r="C5266">
            <v>3024500</v>
          </cell>
          <cell r="D5266" t="str">
            <v>EU M-SO WP.TRIM.60/40 OK400KGCVP PBX SZ</v>
          </cell>
        </row>
        <row r="5267">
          <cell r="C5267">
            <v>3031185</v>
          </cell>
          <cell r="D5267" t="str">
            <v>EU TRYM.WP.60/40 OK500KG OKT SZ</v>
          </cell>
        </row>
        <row r="5268">
          <cell r="C5268">
            <v>3007879</v>
          </cell>
          <cell r="D5268" t="str">
            <v>***EU TRYMING 60/40 NB DMR</v>
          </cell>
        </row>
        <row r="5269">
          <cell r="C5269">
            <v>3013577</v>
          </cell>
          <cell r="D5269" t="str">
            <v>TRYM.WP.60/40 NB DMR</v>
          </cell>
        </row>
        <row r="5270">
          <cell r="C5270">
            <v>3007880</v>
          </cell>
          <cell r="D5270" t="str">
            <v>***EU TRYMING 60/40 PB DMR</v>
          </cell>
        </row>
        <row r="5271">
          <cell r="C5271">
            <v>3009750</v>
          </cell>
          <cell r="D5271" t="str">
            <v>***TRYMING 60/40 OK15KG NB DMR ROS</v>
          </cell>
        </row>
        <row r="5272">
          <cell r="C5272">
            <v>3007881</v>
          </cell>
          <cell r="D5272" t="str">
            <v>EU TRYMING 60/40 NB RO1</v>
          </cell>
        </row>
        <row r="5273">
          <cell r="C5273">
            <v>3013579</v>
          </cell>
          <cell r="D5273" t="str">
            <v>TRYM.WP.60/40 NB RO1</v>
          </cell>
        </row>
        <row r="5274">
          <cell r="C5274">
            <v>3007882</v>
          </cell>
          <cell r="D5274" t="str">
            <v>***TRYM.60/40 PB RO</v>
          </cell>
        </row>
        <row r="5275">
          <cell r="C5275">
            <v>3020290</v>
          </cell>
          <cell r="D5275" t="str">
            <v>EU TRYM.WP.60/40 CH2</v>
          </cell>
        </row>
        <row r="5276">
          <cell r="C5276">
            <v>3026284</v>
          </cell>
          <cell r="D5276" t="str">
            <v>EU TRYMING 60/40 NB RO2</v>
          </cell>
        </row>
        <row r="5277">
          <cell r="C5277">
            <v>3025248</v>
          </cell>
          <cell r="D5277" t="str">
            <v>EU TRYM.WP.60/40 PBX ST2</v>
          </cell>
        </row>
        <row r="5278">
          <cell r="C5278">
            <v>3020291</v>
          </cell>
          <cell r="D5278" t="str">
            <v>TRYM.WP.60/40 NB RO2</v>
          </cell>
        </row>
        <row r="5279">
          <cell r="C5279">
            <v>3039051</v>
          </cell>
          <cell r="D5279" t="str">
            <v>PP TRYM.WP.60/40 CH</v>
          </cell>
        </row>
        <row r="5280">
          <cell r="C5280">
            <v>3040934</v>
          </cell>
          <cell r="D5280" t="str">
            <v>PP TRYM.WP.60/40 OK15KG NB MR ST</v>
          </cell>
        </row>
        <row r="5281">
          <cell r="C5281">
            <v>3039028</v>
          </cell>
          <cell r="D5281" t="str">
            <v>PP TRYM.WP.60/40 PBX ST1</v>
          </cell>
        </row>
        <row r="5282">
          <cell r="C5282">
            <v>3040581</v>
          </cell>
          <cell r="D5282" t="str">
            <v>PP TRYM.WP.60/40 ROZDR.PBX SZ</v>
          </cell>
        </row>
        <row r="5283">
          <cell r="C5283">
            <v>3039318</v>
          </cell>
          <cell r="D5283" t="str">
            <v>PP TRYM.WP.60/40 OK15KG NB MR SZ</v>
          </cell>
        </row>
        <row r="5284">
          <cell r="C5284">
            <v>3039317</v>
          </cell>
          <cell r="D5284" t="str">
            <v>PP TRYM.WP.60/40 OK15KG NB DMR</v>
          </cell>
        </row>
        <row r="5285">
          <cell r="C5285">
            <v>3041008</v>
          </cell>
          <cell r="D5285" t="str">
            <v>PP TRYM.WP.60/40 RO1</v>
          </cell>
        </row>
        <row r="5286">
          <cell r="C5286">
            <v>3045828</v>
          </cell>
          <cell r="D5286" t="str">
            <v>PP TRYM.WP.60/40 RO2</v>
          </cell>
        </row>
        <row r="5287">
          <cell r="C5287">
            <v>3039075</v>
          </cell>
          <cell r="D5287" t="str">
            <v>PP TRYM.WP.60/40 PBX ST2</v>
          </cell>
        </row>
        <row r="5288">
          <cell r="C5288">
            <v>3032755</v>
          </cell>
          <cell r="D5288" t="str">
            <v>EU TRYM.WP.60/40 ROZP1</v>
          </cell>
        </row>
        <row r="5289">
          <cell r="C5289">
            <v>3032783</v>
          </cell>
          <cell r="D5289" t="str">
            <v>EU TRYM.WP.60/40 ROZP2</v>
          </cell>
        </row>
        <row r="5290">
          <cell r="C5290">
            <v>3032875</v>
          </cell>
          <cell r="D5290" t="str">
            <v>EU TRYM.WP.70/30 Z ŁOP.CH</v>
          </cell>
        </row>
        <row r="5291">
          <cell r="C5291">
            <v>3034715</v>
          </cell>
          <cell r="D5291" t="str">
            <v>EU TRYM.WP.70/30 Z ŁOP.OK20KG NB MR ST</v>
          </cell>
        </row>
        <row r="5292">
          <cell r="C5292">
            <v>3032876</v>
          </cell>
          <cell r="D5292" t="str">
            <v>EU TRYM.WP.70/30 Z ŁOP.PBX</v>
          </cell>
        </row>
        <row r="5293">
          <cell r="C5293">
            <v>4021874</v>
          </cell>
          <cell r="D5293" t="str">
            <v>EU TRYM.WP.70/30 Z ŁOP.OK800KG OKT EX</v>
          </cell>
        </row>
        <row r="5294">
          <cell r="C5294">
            <v>3034713</v>
          </cell>
          <cell r="D5294" t="str">
            <v>EU TRYM.WP.70/30 Z ŁOP.OK20KG NB DMR</v>
          </cell>
        </row>
        <row r="5295">
          <cell r="C5295">
            <v>3008761</v>
          </cell>
          <cell r="D5295" t="str">
            <v>***TRYMING 80/20 CH</v>
          </cell>
        </row>
        <row r="5296">
          <cell r="C5296">
            <v>4008178</v>
          </cell>
          <cell r="D5296" t="str">
            <v>***TRYMING 80/20 OK.15KG PJ</v>
          </cell>
        </row>
        <row r="5297">
          <cell r="C5297">
            <v>3008821</v>
          </cell>
          <cell r="D5297" t="str">
            <v>M-SO WP.DR.KL4.CIE.CH</v>
          </cell>
        </row>
        <row r="5298">
          <cell r="C5298">
            <v>3017426</v>
          </cell>
          <cell r="D5298" t="str">
            <v>***EU M-SO WP.DR.KL4 CIE.CH</v>
          </cell>
        </row>
        <row r="5299">
          <cell r="C5299">
            <v>3006282</v>
          </cell>
          <cell r="D5299" t="str">
            <v>EU M-SO WP.DR.KL1 JAS.Z SZYN.CH1</v>
          </cell>
        </row>
        <row r="5300">
          <cell r="C5300">
            <v>3007883</v>
          </cell>
          <cell r="D5300" t="str">
            <v>EU M-SO WP.DR.KL1 JAS.Z SZYN.NB MR</v>
          </cell>
        </row>
        <row r="5301">
          <cell r="C5301">
            <v>3024989</v>
          </cell>
          <cell r="D5301" t="str">
            <v>EU M-SO WP.DR.KL1 JAS.Z SZYN.PBX1</v>
          </cell>
        </row>
        <row r="5302">
          <cell r="C5302">
            <v>3012591</v>
          </cell>
          <cell r="D5302" t="str">
            <v>EU M-SO WP.DR.KL1 JAS.Z SZYN.NB MR ST</v>
          </cell>
        </row>
        <row r="5303">
          <cell r="C5303">
            <v>3002588</v>
          </cell>
          <cell r="D5303" t="str">
            <v>***M-SO WP. KL.1 JASNE Z SZYN. PB MR ST</v>
          </cell>
        </row>
        <row r="5304">
          <cell r="C5304">
            <v>4007987</v>
          </cell>
          <cell r="D5304" t="str">
            <v>***EU M-SO DR.WP.KL.1 JAS.ZSZYN.OK15KGKT</v>
          </cell>
        </row>
        <row r="5305">
          <cell r="C5305">
            <v>4007988</v>
          </cell>
          <cell r="D5305" t="str">
            <v>***EUM-SO DR.WP.KL1JAS.Z SZYN.OK15KGKTMR</v>
          </cell>
        </row>
        <row r="5306">
          <cell r="C5306">
            <v>3000134</v>
          </cell>
          <cell r="D5306" t="str">
            <v>***M-SO WP.DR.KL1JASNE Z SZYNKI CH PJ ST</v>
          </cell>
        </row>
        <row r="5307">
          <cell r="C5307">
            <v>3012575</v>
          </cell>
          <cell r="D5307" t="str">
            <v>M-SO WP.DR.KL1 JAS.Z SZYN.CH PJ ST</v>
          </cell>
        </row>
        <row r="5308">
          <cell r="C5308">
            <v>3008693</v>
          </cell>
          <cell r="D5308" t="str">
            <v>***EU M-SO DR.WP.KL1 Z SZYN.LUZ PJ ST</v>
          </cell>
        </row>
        <row r="5309">
          <cell r="C5309">
            <v>3031398</v>
          </cell>
          <cell r="D5309" t="str">
            <v>***EUM-SOWP.DR.KL1JAS.ZSZYN.OK700KGOKTST</v>
          </cell>
        </row>
        <row r="5310">
          <cell r="C5310">
            <v>3007884</v>
          </cell>
          <cell r="D5310" t="str">
            <v>M-SO KL1 JAS.Z SZYN.CH ZAK</v>
          </cell>
        </row>
        <row r="5311">
          <cell r="C5311">
            <v>3007885</v>
          </cell>
          <cell r="D5311" t="str">
            <v>***M-SO KL1 JASNE Z SZYN.MR ZAK</v>
          </cell>
        </row>
        <row r="5312">
          <cell r="C5312">
            <v>3012632</v>
          </cell>
          <cell r="D5312" t="str">
            <v>M-SO WP.KL1 Z SZYN.JAS.OK15KGLUZ PJ SZ</v>
          </cell>
        </row>
        <row r="5313">
          <cell r="C5313">
            <v>3022307</v>
          </cell>
          <cell r="D5313" t="str">
            <v>M-SO WP.DR.KL1 Z SZYN.JAS.NB MR SZ</v>
          </cell>
        </row>
        <row r="5314">
          <cell r="C5314">
            <v>3006290</v>
          </cell>
          <cell r="D5314" t="str">
            <v>EU M-SO WP.DR.KL1 JAS.Z SZYN.NB DMR</v>
          </cell>
        </row>
        <row r="5315">
          <cell r="C5315">
            <v>3013586</v>
          </cell>
          <cell r="D5315" t="str">
            <v>EU M-SO WP.DR.KL1 JAS.Z SZYN.NB DMR</v>
          </cell>
        </row>
        <row r="5316">
          <cell r="C5316">
            <v>3007886</v>
          </cell>
          <cell r="D5316" t="str">
            <v>***M-SO KL.1 JASNE Z SZYN. PB DMR</v>
          </cell>
        </row>
        <row r="5317">
          <cell r="C5317">
            <v>3007887</v>
          </cell>
          <cell r="D5317" t="str">
            <v>***EU M-SO DR.WP.KL1 JAS.Z SZYN.PBDMRKRA</v>
          </cell>
        </row>
        <row r="5318">
          <cell r="C5318">
            <v>3007888</v>
          </cell>
          <cell r="D5318" t="str">
            <v>EU M-SO WP.DR.KL1 JAS.Z SZYN.NB RO1</v>
          </cell>
        </row>
        <row r="5319">
          <cell r="C5319">
            <v>3013584</v>
          </cell>
          <cell r="D5319" t="str">
            <v>M-SO WP.KL1 JAS.Z SZYN.NB RO1</v>
          </cell>
        </row>
        <row r="5320">
          <cell r="C5320">
            <v>3007889</v>
          </cell>
          <cell r="D5320" t="str">
            <v>***M-SO KL.1 JASNE Z SZYN. PB RO</v>
          </cell>
        </row>
        <row r="5321">
          <cell r="C5321">
            <v>3020292</v>
          </cell>
          <cell r="D5321" t="str">
            <v>EU M-SO WP.DR.KL1 JAS.Z SZYN.CH2</v>
          </cell>
        </row>
        <row r="5322">
          <cell r="C5322">
            <v>3020926</v>
          </cell>
          <cell r="D5322" t="str">
            <v>EU M-SO WP.DR.KL1 JAS.Z SZYN.NB RO2</v>
          </cell>
        </row>
        <row r="5323">
          <cell r="C5323">
            <v>3025249</v>
          </cell>
          <cell r="D5323" t="str">
            <v>EU M-SO WP.DR.KL1 JAS.Z SZYN.PBX2</v>
          </cell>
        </row>
        <row r="5324">
          <cell r="C5324">
            <v>3020293</v>
          </cell>
          <cell r="D5324" t="str">
            <v>M-SO WP.KL1 JAS.Z SZYN.NB RO2</v>
          </cell>
        </row>
        <row r="5325">
          <cell r="C5325">
            <v>3016307</v>
          </cell>
          <cell r="D5325" t="str">
            <v>EU M-SO WP.DR.KL1 JAS.Z SZYN.USR CH</v>
          </cell>
        </row>
        <row r="5326">
          <cell r="C5326">
            <v>3038280</v>
          </cell>
          <cell r="D5326" t="str">
            <v>PP M-SO WP.DR.KL1 JAS.Z SZYN.CH</v>
          </cell>
        </row>
        <row r="5327">
          <cell r="C5327">
            <v>3040912</v>
          </cell>
          <cell r="D5327" t="str">
            <v>PPM-SO WP.DR.KL1 JAS.Z SZYN.OK15KGNBMRST</v>
          </cell>
        </row>
        <row r="5328">
          <cell r="C5328">
            <v>3039220</v>
          </cell>
          <cell r="D5328" t="str">
            <v>PP M-SO WP.DR.KL1 JAS.Z SZYN.PBX ST1</v>
          </cell>
        </row>
        <row r="5329">
          <cell r="C5329">
            <v>3039539</v>
          </cell>
          <cell r="D5329" t="str">
            <v>PPM-SOWP.DR.KL1 JAS.Z SZYN.OK15KGLUZPJST</v>
          </cell>
        </row>
        <row r="5330">
          <cell r="C5330">
            <v>3043076</v>
          </cell>
          <cell r="D5330" t="str">
            <v>PP M-SO WP.DR.KL1 JAS.Z SZYN.USR CH</v>
          </cell>
        </row>
        <row r="5331">
          <cell r="C5331">
            <v>3039325</v>
          </cell>
          <cell r="D5331" t="str">
            <v>PPM-SOWP.DR.KL1Z SZ.JAS.S/OG.OK15KGNBDMR</v>
          </cell>
        </row>
        <row r="5332">
          <cell r="C5332">
            <v>3041860</v>
          </cell>
          <cell r="D5332" t="str">
            <v>PP M-SO WP.DR.KL1 JAS.Z SZYN.RO1</v>
          </cell>
        </row>
        <row r="5333">
          <cell r="C5333">
            <v>3041861</v>
          </cell>
          <cell r="D5333" t="str">
            <v>PP M-SO WP.DR.KL1 JAS.Z SZYN.RO2</v>
          </cell>
        </row>
        <row r="5334">
          <cell r="C5334">
            <v>3039233</v>
          </cell>
          <cell r="D5334" t="str">
            <v>PP M-SO WP.DR.KL1 JAS.Z SZYN.PBX ST2</v>
          </cell>
        </row>
        <row r="5335">
          <cell r="C5335">
            <v>3007891</v>
          </cell>
          <cell r="D5335" t="str">
            <v>EU M-SO WP.DR.KL1 CIE.Z SZYN.CH1</v>
          </cell>
        </row>
        <row r="5336">
          <cell r="C5336">
            <v>3007892</v>
          </cell>
          <cell r="D5336" t="str">
            <v>***EU M-SO DR.WP.KL.1 CIE.Z SZYN.NB MR</v>
          </cell>
        </row>
        <row r="5337">
          <cell r="C5337">
            <v>3024990</v>
          </cell>
          <cell r="D5337" t="str">
            <v>EU M-SO WP.DR.KL1 CIE.Z SZYN.PBX1</v>
          </cell>
        </row>
        <row r="5338">
          <cell r="C5338">
            <v>3014470</v>
          </cell>
          <cell r="D5338" t="str">
            <v>EU M-SO WP.DR.KL1 CIE.Z SZYN.NB MR ST</v>
          </cell>
        </row>
        <row r="5339">
          <cell r="C5339">
            <v>4007989</v>
          </cell>
          <cell r="D5339" t="str">
            <v>***EU M-SO DR.WP.KL.1CIE.Z SZYN.OK15KGKT</v>
          </cell>
        </row>
        <row r="5340">
          <cell r="C5340">
            <v>4009120</v>
          </cell>
          <cell r="D5340" t="str">
            <v>***EU M-SOOD SZYNKI OK1.5KG MAP OK6KG KT</v>
          </cell>
        </row>
        <row r="5341">
          <cell r="C5341">
            <v>4009106</v>
          </cell>
          <cell r="D5341" t="str">
            <v>***EU M-SO WP.NAGULASZOK2.5KGVACOK15KGKT</v>
          </cell>
        </row>
        <row r="5342">
          <cell r="C5342">
            <v>3002621</v>
          </cell>
          <cell r="D5342" t="str">
            <v>***M-SO DR.WP.KL.1 CIEMNE LUZ PJ ST</v>
          </cell>
        </row>
        <row r="5343">
          <cell r="C5343">
            <v>4009759</v>
          </cell>
          <cell r="D5343" t="str">
            <v>***EU M-SO WP.DR.KL1 CIE.OK15KGWOR PJ CH</v>
          </cell>
        </row>
        <row r="5344">
          <cell r="C5344">
            <v>3012593</v>
          </cell>
          <cell r="D5344" t="str">
            <v>EU M-SO WP.DR.KL1 CIE.Z SZYN.LUZ PJ ST</v>
          </cell>
        </row>
        <row r="5345">
          <cell r="C5345">
            <v>3005369</v>
          </cell>
          <cell r="D5345" t="str">
            <v>***M-SO WP.KL.1 CIEMNA EXTRA PBX CH EŁ</v>
          </cell>
        </row>
        <row r="5346">
          <cell r="C5346">
            <v>3005428</v>
          </cell>
          <cell r="D5346" t="str">
            <v>***M-SO WP.KL.1 CIEMNA EXTRA WOR. MR EŁ</v>
          </cell>
        </row>
        <row r="5347">
          <cell r="C5347">
            <v>3024775</v>
          </cell>
          <cell r="D5347" t="str">
            <v>EU M-SO WP.DR.KL1 CIE.Z SZYN.PBX SZ</v>
          </cell>
        </row>
        <row r="5348">
          <cell r="C5348">
            <v>3014320</v>
          </cell>
          <cell r="D5348" t="str">
            <v>M-SO WP.KL1B OK15KGLUZ PJ SZ</v>
          </cell>
        </row>
        <row r="5349">
          <cell r="C5349">
            <v>3022262</v>
          </cell>
          <cell r="D5349" t="str">
            <v>EU M-SO WP.DR.KL1 CIE.Z SZYN.NB MR SZ</v>
          </cell>
        </row>
        <row r="5350">
          <cell r="C5350">
            <v>3022607</v>
          </cell>
          <cell r="D5350" t="str">
            <v>EU M-SO WP.DR.KL1 CIE.Z SZYN.OK15KGLUZ P</v>
          </cell>
        </row>
        <row r="5351">
          <cell r="C5351">
            <v>3015230</v>
          </cell>
          <cell r="D5351" t="str">
            <v>M-SO WP.KL1 CIE.Z SZYN.PBX EŁ1</v>
          </cell>
        </row>
        <row r="5352">
          <cell r="C5352">
            <v>3034755</v>
          </cell>
          <cell r="D5352" t="str">
            <v>EU M-SO WP.DR.KL1 CIE.Z SZYN.CVP PBX SZ</v>
          </cell>
        </row>
        <row r="5353">
          <cell r="C5353">
            <v>3022018</v>
          </cell>
          <cell r="D5353" t="str">
            <v>M-SO WP.KL1 CIE.Z SZYN.OK20KG PB MR EŁ</v>
          </cell>
        </row>
        <row r="5354">
          <cell r="C5354">
            <v>3040790</v>
          </cell>
          <cell r="D5354" t="str">
            <v>EU M-SO WP.DR.KL1 CIE.Z SZYN.PBX K4</v>
          </cell>
        </row>
        <row r="5355">
          <cell r="C5355">
            <v>3006306</v>
          </cell>
          <cell r="D5355" t="str">
            <v>EU M-SO DR.WP.KL.1 CIE.Z SZYN.NB DMR</v>
          </cell>
        </row>
        <row r="5356">
          <cell r="C5356">
            <v>3014481</v>
          </cell>
          <cell r="D5356" t="str">
            <v>EU M-SO WP.DR.KL1 CIE.Z SZYN.NB DMR</v>
          </cell>
        </row>
        <row r="5357">
          <cell r="C5357">
            <v>3007895</v>
          </cell>
          <cell r="D5357" t="str">
            <v>***EU M-SO DR.WP.KL.1 CIE.Z SZYN.NB RO</v>
          </cell>
        </row>
        <row r="5358">
          <cell r="C5358">
            <v>3014480</v>
          </cell>
          <cell r="D5358" t="str">
            <v>EU M-SO WP.DR.KL1 CIE.Z SZYN.NB RO1</v>
          </cell>
        </row>
        <row r="5359">
          <cell r="C5359">
            <v>3007393</v>
          </cell>
          <cell r="D5359" t="str">
            <v>***MIĘSO WP.KL.1 CIEMNA EXTRA WOR.RO</v>
          </cell>
        </row>
        <row r="5360">
          <cell r="C5360">
            <v>3020294</v>
          </cell>
          <cell r="D5360" t="str">
            <v>EU M-SO WP.DR.KL1 CIE.Z SZYN.CH2</v>
          </cell>
        </row>
        <row r="5361">
          <cell r="C5361">
            <v>3025250</v>
          </cell>
          <cell r="D5361" t="str">
            <v>EU M-SO WP.DR.KL1 CIE.Z SZYN.PBX2</v>
          </cell>
        </row>
        <row r="5362">
          <cell r="C5362">
            <v>3020295</v>
          </cell>
          <cell r="D5362" t="str">
            <v>EU M-SO WP.DR.KL1 CIE.Z SZYN.NB RO2</v>
          </cell>
        </row>
        <row r="5363">
          <cell r="C5363">
            <v>3015993</v>
          </cell>
          <cell r="D5363" t="str">
            <v>EU M-SO WP.DR.KL1 CIE.Z SZYN.CH</v>
          </cell>
        </row>
        <row r="5364">
          <cell r="C5364">
            <v>3007896</v>
          </cell>
          <cell r="D5364" t="str">
            <v>***M-SO KL.1 CIEMNE Z SZYN. UŚR CH</v>
          </cell>
        </row>
        <row r="5365">
          <cell r="C5365">
            <v>3039043</v>
          </cell>
          <cell r="D5365" t="str">
            <v>PP M-SO WP.DR.KL1 CIE.Z SZYN.CH</v>
          </cell>
        </row>
        <row r="5366">
          <cell r="C5366">
            <v>3040898</v>
          </cell>
          <cell r="D5366" t="str">
            <v>PPM-SO WP.DR.KL1 CIE.Z SZYN.OK15KGNBMRST</v>
          </cell>
        </row>
        <row r="5367">
          <cell r="C5367">
            <v>3039552</v>
          </cell>
          <cell r="D5367" t="str">
            <v>PP M-SO WP.DR.KL1 CIE.Z SZYN.PBX ST1</v>
          </cell>
        </row>
        <row r="5368">
          <cell r="C5368">
            <v>3039535</v>
          </cell>
          <cell r="D5368" t="str">
            <v>PPM-SOWP.DR.KL1 CIE.Z SZYN.OK15KGLUZPJST</v>
          </cell>
        </row>
        <row r="5369">
          <cell r="C5369">
            <v>3039328</v>
          </cell>
          <cell r="D5369" t="str">
            <v>PP M-SO WP.DR.KL1 CIE.Z SZYN.OK15KGNBDMR</v>
          </cell>
        </row>
        <row r="5370">
          <cell r="C5370">
            <v>3039273</v>
          </cell>
          <cell r="D5370" t="str">
            <v>PP M-SO WP.DR.KL1 CIE.Z SZYN.RO1</v>
          </cell>
        </row>
        <row r="5371">
          <cell r="C5371">
            <v>3039255</v>
          </cell>
          <cell r="D5371" t="str">
            <v>PP M-SO WP.DR.KL1 CIE.Z SZYN.RO2</v>
          </cell>
        </row>
        <row r="5372">
          <cell r="C5372">
            <v>3040180</v>
          </cell>
          <cell r="D5372" t="str">
            <v>PP M-SO WP.DR.KL1 CIE.Z SZYN.PBX ST2</v>
          </cell>
        </row>
        <row r="5373">
          <cell r="C5373">
            <v>3019058</v>
          </cell>
          <cell r="D5373" t="str">
            <v>M-SO WP.DR.KL1 CIE.ROZP1</v>
          </cell>
        </row>
        <row r="5374">
          <cell r="C5374">
            <v>3020296</v>
          </cell>
          <cell r="D5374" t="str">
            <v>M-SO WP.DR.KL1 CIE.ROZP2</v>
          </cell>
        </row>
        <row r="5375">
          <cell r="C5375">
            <v>3016005</v>
          </cell>
          <cell r="D5375" t="str">
            <v>EU M-SO WP.DR.KL2A CH</v>
          </cell>
        </row>
        <row r="5376">
          <cell r="C5376">
            <v>3007897</v>
          </cell>
          <cell r="D5376" t="str">
            <v>***M-SO KL.2A NB MR ST</v>
          </cell>
        </row>
        <row r="5377">
          <cell r="C5377">
            <v>3030222</v>
          </cell>
          <cell r="D5377" t="str">
            <v>EU M-SO WP.DR.KL2A OK15KGWOR MR MORR ST</v>
          </cell>
        </row>
        <row r="5378">
          <cell r="C5378">
            <v>3012600</v>
          </cell>
          <cell r="D5378" t="str">
            <v>EU M-SO WP.DR.KL2A OK20KG NB MR ST</v>
          </cell>
        </row>
        <row r="5379">
          <cell r="C5379">
            <v>3008756</v>
          </cell>
          <cell r="D5379" t="str">
            <v>***EU M-SO DR.WP.KL2A PJ MR ST</v>
          </cell>
        </row>
        <row r="5380">
          <cell r="C5380">
            <v>4003966</v>
          </cell>
          <cell r="D5380" t="str">
            <v>EU M-SO WP.DR.KL2A OK15KGWOR KT</v>
          </cell>
        </row>
        <row r="5381">
          <cell r="C5381">
            <v>4012710</v>
          </cell>
          <cell r="D5381" t="str">
            <v>***EUM-SO DR.WP.KL2A OK2.5KGVAC OK10KGKT</v>
          </cell>
        </row>
        <row r="5382">
          <cell r="C5382">
            <v>4015399</v>
          </cell>
          <cell r="D5382" t="str">
            <v>EU M-SO WP.KL2A OK3KGVAC OK12KGKT SEL</v>
          </cell>
        </row>
        <row r="5383">
          <cell r="C5383">
            <v>4023507</v>
          </cell>
          <cell r="D5383" t="str">
            <v>EU M-SO WP.KL2A OK3.5KGVAC 3STKT STO</v>
          </cell>
        </row>
        <row r="5384">
          <cell r="C5384">
            <v>3007898</v>
          </cell>
          <cell r="D5384" t="str">
            <v>***M-SO WP. KL.2A WOR PJ ST</v>
          </cell>
        </row>
        <row r="5385">
          <cell r="C5385">
            <v>3012601</v>
          </cell>
          <cell r="D5385" t="str">
            <v>EU M-SO WP.DR.KL2A WOR PJ ST</v>
          </cell>
        </row>
        <row r="5386">
          <cell r="C5386">
            <v>3027469</v>
          </cell>
          <cell r="D5386" t="str">
            <v>***EU M-SO DR.WP.KL2A OK700KG OKT ST</v>
          </cell>
        </row>
        <row r="5387">
          <cell r="C5387">
            <v>4023773</v>
          </cell>
          <cell r="D5387" t="str">
            <v>EU TRYM.WP.80/20 OK800KG OKT EX</v>
          </cell>
        </row>
        <row r="5388">
          <cell r="C5388">
            <v>3012326</v>
          </cell>
          <cell r="D5388" t="str">
            <v>EU M-SO WP.DR.KL2A PBX ST</v>
          </cell>
        </row>
        <row r="5389">
          <cell r="C5389">
            <v>3007899</v>
          </cell>
          <cell r="D5389" t="str">
            <v>M-SO KL2A CH ZAK</v>
          </cell>
        </row>
        <row r="5390">
          <cell r="C5390">
            <v>3032825</v>
          </cell>
          <cell r="D5390" t="str">
            <v>M-SO WP.DR.KL2A PRZET.OK15KG PB MR K2</v>
          </cell>
        </row>
        <row r="5391">
          <cell r="C5391">
            <v>3012665</v>
          </cell>
          <cell r="D5391" t="str">
            <v>EU M-SO WP.DR.KL2A PBX EŁ1</v>
          </cell>
        </row>
        <row r="5392">
          <cell r="C5392">
            <v>3033242</v>
          </cell>
          <cell r="D5392" t="str">
            <v>***M-SO WP.DR.KL2A OK500KGPBX MR K4 ZAK</v>
          </cell>
        </row>
        <row r="5393">
          <cell r="C5393">
            <v>3012638</v>
          </cell>
          <cell r="D5393" t="str">
            <v>M-SO WP.KL2A Z ŁOP.PBX MORLINY SZ</v>
          </cell>
        </row>
        <row r="5394">
          <cell r="C5394">
            <v>3033977</v>
          </cell>
          <cell r="D5394" t="str">
            <v>M-SO WP.DR.KL2A PRZET.OK15KG NB MR K2</v>
          </cell>
        </row>
        <row r="5395">
          <cell r="C5395">
            <v>3012633</v>
          </cell>
          <cell r="D5395" t="str">
            <v>M-SO WP.KL2A PBX MORLINY SZ</v>
          </cell>
        </row>
        <row r="5396">
          <cell r="C5396">
            <v>3033603</v>
          </cell>
          <cell r="D5396" t="str">
            <v>EU M-SO WP.DR.KL2A OK20KG NB MR K4</v>
          </cell>
        </row>
        <row r="5397">
          <cell r="C5397">
            <v>3022949</v>
          </cell>
          <cell r="D5397" t="str">
            <v>EU TRYM.WP.80/20 PBX SZ</v>
          </cell>
        </row>
        <row r="5398">
          <cell r="C5398">
            <v>3023565</v>
          </cell>
          <cell r="D5398" t="str">
            <v>TRYM.WP.80/20 MR SZ</v>
          </cell>
        </row>
        <row r="5399">
          <cell r="C5399">
            <v>3029777</v>
          </cell>
          <cell r="D5399" t="str">
            <v>M-SO WP.DR.KL2A OK15KG PB MR K2</v>
          </cell>
        </row>
        <row r="5400">
          <cell r="C5400">
            <v>3022849</v>
          </cell>
          <cell r="D5400" t="str">
            <v>M-SO WP.DR.KL2A MR ZAK</v>
          </cell>
        </row>
        <row r="5401">
          <cell r="C5401">
            <v>3036056</v>
          </cell>
          <cell r="D5401" t="str">
            <v>EU M-SO WP.DR.KL2A PBX 1OB K4</v>
          </cell>
        </row>
        <row r="5402">
          <cell r="C5402">
            <v>3036068</v>
          </cell>
          <cell r="D5402" t="str">
            <v>EU M-SO WP.DR.KL2A OK20KG NB MR 1OB K4</v>
          </cell>
        </row>
        <row r="5403">
          <cell r="C5403">
            <v>3024487</v>
          </cell>
          <cell r="D5403" t="str">
            <v>EU M-SO WP.TRIM.80/20 OK400KG CVP PBX SZ</v>
          </cell>
        </row>
        <row r="5404">
          <cell r="C5404">
            <v>3043635</v>
          </cell>
          <cell r="D5404" t="str">
            <v>M-SO WP.DR.80/20 ODŚC.OK15KG NB MR ZAK</v>
          </cell>
        </row>
        <row r="5405">
          <cell r="C5405">
            <v>3031665</v>
          </cell>
          <cell r="D5405" t="str">
            <v>***M-SO WP.KL2A OK20KGLUZ PJ K4 ZAK</v>
          </cell>
        </row>
        <row r="5406">
          <cell r="C5406">
            <v>3031694</v>
          </cell>
          <cell r="D5406" t="str">
            <v>EU M-SO WP.DR.KL2A PBX K4</v>
          </cell>
        </row>
        <row r="5407">
          <cell r="C5407">
            <v>3014769</v>
          </cell>
          <cell r="D5407" t="str">
            <v>M-SO WP.KL2A 80/20 CH ZAK</v>
          </cell>
        </row>
        <row r="5408">
          <cell r="C5408">
            <v>3039640</v>
          </cell>
          <cell r="D5408" t="str">
            <v>EU TRYM.WP.80/20 OK20KG NB MR ZAK</v>
          </cell>
        </row>
        <row r="5409">
          <cell r="C5409">
            <v>3036781</v>
          </cell>
          <cell r="D5409" t="str">
            <v>EU M-SO WP.DR.KL2A CVP PBX K4</v>
          </cell>
        </row>
        <row r="5410">
          <cell r="C5410">
            <v>3039612</v>
          </cell>
          <cell r="D5410" t="str">
            <v>EU TRYM.WP.80/20 OK20KG PB MR ZAK</v>
          </cell>
        </row>
        <row r="5411">
          <cell r="C5411">
            <v>3035538</v>
          </cell>
          <cell r="D5411" t="str">
            <v>PP M-SO WP.DR.KL2A OK20KGWOR PJ K4</v>
          </cell>
        </row>
        <row r="5412">
          <cell r="C5412">
            <v>3006315</v>
          </cell>
          <cell r="D5412" t="str">
            <v>M-SO WP KL.2A DMR</v>
          </cell>
        </row>
        <row r="5413">
          <cell r="C5413">
            <v>3030096</v>
          </cell>
          <cell r="D5413" t="str">
            <v>EU M-SO WP.DR.KL2A OK15KGWOR DMR MORR</v>
          </cell>
        </row>
        <row r="5414">
          <cell r="C5414">
            <v>3013592</v>
          </cell>
          <cell r="D5414" t="str">
            <v>EU M-SO WP.DR.KL2A OK20KG NB DMR</v>
          </cell>
        </row>
        <row r="5415">
          <cell r="C5415">
            <v>3007900</v>
          </cell>
          <cell r="D5415" t="str">
            <v>***EU M-SO DR.WP.KL2A PB DMR</v>
          </cell>
        </row>
        <row r="5416">
          <cell r="C5416">
            <v>3007901</v>
          </cell>
          <cell r="D5416" t="str">
            <v>M-SO WP.KL2A NB ZAK RO</v>
          </cell>
        </row>
        <row r="5417">
          <cell r="C5417">
            <v>3013591</v>
          </cell>
          <cell r="D5417" t="str">
            <v>M-SO WP.KL2A NB RO1</v>
          </cell>
        </row>
        <row r="5418">
          <cell r="C5418">
            <v>3007902</v>
          </cell>
          <cell r="D5418" t="str">
            <v>***EU M-SO DR.WP.KL2A PB RO</v>
          </cell>
        </row>
        <row r="5419">
          <cell r="C5419">
            <v>3020297</v>
          </cell>
          <cell r="D5419" t="str">
            <v>M-SO WP.KL2A NB RO2</v>
          </cell>
        </row>
        <row r="5420">
          <cell r="C5420">
            <v>3016004</v>
          </cell>
          <cell r="D5420" t="str">
            <v>EU M-SO WP.DR.KL2A Z SZYN.CH1</v>
          </cell>
        </row>
        <row r="5421">
          <cell r="C5421">
            <v>3020095</v>
          </cell>
          <cell r="D5421" t="str">
            <v>EU M-SO WP.DR.KL2A Z SZYN.MR ST</v>
          </cell>
        </row>
        <row r="5422">
          <cell r="C5422">
            <v>3024991</v>
          </cell>
          <cell r="D5422" t="str">
            <v>EU M-SO WP.DR.KL2A Z SZYN.PBX1</v>
          </cell>
        </row>
        <row r="5423">
          <cell r="C5423">
            <v>3012648</v>
          </cell>
          <cell r="D5423" t="str">
            <v>M-SO WP.KL2A Z SZYN.OK15KGLUZ PJ SZ</v>
          </cell>
        </row>
        <row r="5424">
          <cell r="C5424">
            <v>3014381</v>
          </cell>
          <cell r="D5424" t="str">
            <v>EU M-SO WP.DR.2A Z SZYN.OK15KGWOR PJ EŁ</v>
          </cell>
        </row>
        <row r="5425">
          <cell r="C5425">
            <v>3021450</v>
          </cell>
          <cell r="D5425" t="str">
            <v>EU M-SO WP.DR.KL2A Z SZYN.OK20KGNB MR EŁ</v>
          </cell>
        </row>
        <row r="5426">
          <cell r="C5426">
            <v>3047241</v>
          </cell>
          <cell r="D5426" t="str">
            <v>PP M-SO WP.DR.KL2A ZSZYN.OK650KGCVPOKTK4</v>
          </cell>
        </row>
        <row r="5427">
          <cell r="C5427">
            <v>3043054</v>
          </cell>
          <cell r="D5427" t="str">
            <v>EU M-SO WP.DR.KL2A Z SZYN.USR CH</v>
          </cell>
        </row>
        <row r="5428">
          <cell r="C5428">
            <v>3020089</v>
          </cell>
          <cell r="D5428" t="str">
            <v>EU M-SO WP.DR.KL2A Z SZYN.DMR</v>
          </cell>
        </row>
        <row r="5429">
          <cell r="C5429">
            <v>3020096</v>
          </cell>
          <cell r="D5429" t="str">
            <v>EU M-SO WP.DR.KL2A Z SZYN.RO1</v>
          </cell>
        </row>
        <row r="5430">
          <cell r="C5430">
            <v>3020298</v>
          </cell>
          <cell r="D5430" t="str">
            <v>EU M-SO WP.DR.KL2A Z SZYN.CH2</v>
          </cell>
        </row>
        <row r="5431">
          <cell r="C5431">
            <v>3020907</v>
          </cell>
          <cell r="D5431" t="str">
            <v>EU M-SO WP.DR.KL2A Z SZYN.RO2</v>
          </cell>
        </row>
        <row r="5432">
          <cell r="C5432">
            <v>3025251</v>
          </cell>
          <cell r="D5432" t="str">
            <v>EU M-SO WP.DR.KL2A Z SZYN.PBX2</v>
          </cell>
        </row>
        <row r="5433">
          <cell r="C5433">
            <v>3015265</v>
          </cell>
          <cell r="D5433" t="str">
            <v>EU M-SO WP.DR.KL2A USR CH1</v>
          </cell>
        </row>
        <row r="5434">
          <cell r="C5434">
            <v>3024992</v>
          </cell>
          <cell r="D5434" t="str">
            <v>EU M-SO WP.DR.KL2A USR PBX ST1</v>
          </cell>
        </row>
        <row r="5435">
          <cell r="C5435">
            <v>3030649</v>
          </cell>
          <cell r="D5435" t="str">
            <v>EU M-SO WP.DR.KL2A USR CH MORR</v>
          </cell>
        </row>
        <row r="5436">
          <cell r="C5436">
            <v>3032659</v>
          </cell>
          <cell r="D5436" t="str">
            <v>EU M-SO WP.DR.KL2A PBX GAP</v>
          </cell>
        </row>
        <row r="5437">
          <cell r="C5437">
            <v>3032655</v>
          </cell>
          <cell r="D5437" t="str">
            <v>EU M-SO WP.DR.KL2A OK20KGLUZPJ GAP ST</v>
          </cell>
        </row>
        <row r="5438">
          <cell r="C5438">
            <v>3020299</v>
          </cell>
          <cell r="D5438" t="str">
            <v>EU M-SO WP.DR.KL2A USR CH2</v>
          </cell>
        </row>
        <row r="5439">
          <cell r="C5439">
            <v>3025252</v>
          </cell>
          <cell r="D5439" t="str">
            <v>EU M-SO WP.DR.KL2A USR PBX ST2</v>
          </cell>
        </row>
        <row r="5440">
          <cell r="C5440">
            <v>3037424</v>
          </cell>
          <cell r="D5440" t="str">
            <v>PP M-SO WP.DR.KL2A CH</v>
          </cell>
        </row>
        <row r="5441">
          <cell r="C5441">
            <v>3039628</v>
          </cell>
          <cell r="D5441" t="str">
            <v>PP M-SO WP.DR.KL2A OK20KG NB MR ST</v>
          </cell>
        </row>
        <row r="5442">
          <cell r="C5442">
            <v>3037669</v>
          </cell>
          <cell r="D5442" t="str">
            <v>PP M-SO WP.DR.KL2A USR PBX ST1</v>
          </cell>
        </row>
        <row r="5443">
          <cell r="C5443">
            <v>3039631</v>
          </cell>
          <cell r="D5443" t="str">
            <v>PP M-SO WP.DR.KL2A Z SZYN.OK20KGNB MR ST</v>
          </cell>
        </row>
        <row r="5444">
          <cell r="C5444">
            <v>3039510</v>
          </cell>
          <cell r="D5444" t="str">
            <v>PP M-SO WP.DR.KL2A OK20KG NB MR K4</v>
          </cell>
        </row>
        <row r="5445">
          <cell r="C5445">
            <v>3035553</v>
          </cell>
          <cell r="D5445" t="str">
            <v>PP M-SO WP.DR.KL2A PBX K4</v>
          </cell>
        </row>
        <row r="5446">
          <cell r="C5446">
            <v>3038281</v>
          </cell>
          <cell r="D5446" t="str">
            <v>PP M-SO WP.DR.KL2A Z SZYN.CH</v>
          </cell>
        </row>
        <row r="5447">
          <cell r="C5447">
            <v>3039235</v>
          </cell>
          <cell r="D5447" t="str">
            <v>PP M-SO WP.DR.KL2A Z SZYN.PBX ST1</v>
          </cell>
        </row>
        <row r="5448">
          <cell r="C5448">
            <v>3037452</v>
          </cell>
          <cell r="D5448" t="str">
            <v>PP M-SO WP.DR.KL2A USR CH</v>
          </cell>
        </row>
        <row r="5449">
          <cell r="C5449">
            <v>3039435</v>
          </cell>
          <cell r="D5449" t="str">
            <v>PP M-SO WP.DR.KL2A OK20KG NB DMR</v>
          </cell>
        </row>
        <row r="5450">
          <cell r="C5450">
            <v>3039630</v>
          </cell>
          <cell r="D5450" t="str">
            <v>PP M-SO WP.DR.KL2A Z SZYN.OK20KG NB DMR</v>
          </cell>
        </row>
        <row r="5451">
          <cell r="C5451">
            <v>3039626</v>
          </cell>
          <cell r="D5451" t="str">
            <v>PP M-SO WP.DR.KL2A RO1</v>
          </cell>
        </row>
        <row r="5452">
          <cell r="C5452">
            <v>3039608</v>
          </cell>
          <cell r="D5452" t="str">
            <v>PP M-SO WP.DR.KL2A Z SZYN.RO1</v>
          </cell>
        </row>
        <row r="5453">
          <cell r="C5453">
            <v>3039632</v>
          </cell>
          <cell r="D5453" t="str">
            <v>PP M-SO WP.DR.KL2A RO2</v>
          </cell>
        </row>
        <row r="5454">
          <cell r="C5454">
            <v>3037729</v>
          </cell>
          <cell r="D5454" t="str">
            <v>PP M-SO WP.DR.KL2A USR PBX ST2</v>
          </cell>
        </row>
        <row r="5455">
          <cell r="C5455">
            <v>3039714</v>
          </cell>
          <cell r="D5455" t="str">
            <v>PP M-SO WP.DR.KL2A Z SZYN.RO2</v>
          </cell>
        </row>
        <row r="5456">
          <cell r="C5456">
            <v>3039245</v>
          </cell>
          <cell r="D5456" t="str">
            <v>PP M-SO WP.DR.KL2A Z SZYN.PBX ST2</v>
          </cell>
        </row>
        <row r="5457">
          <cell r="C5457">
            <v>3011137</v>
          </cell>
          <cell r="D5457" t="str">
            <v>***M-SO WP.KL.2A Z SZYNKI USR</v>
          </cell>
        </row>
        <row r="5458">
          <cell r="C5458">
            <v>3011136</v>
          </cell>
          <cell r="D5458" t="str">
            <v>EU M-SO WP.DR.KL2A Z SZYN.PJ ST</v>
          </cell>
        </row>
        <row r="5459">
          <cell r="C5459">
            <v>3027551</v>
          </cell>
          <cell r="D5459" t="str">
            <v>***EUM-SO DR.WP.KL2A Z SZYN.OK700KGOKTST</v>
          </cell>
        </row>
        <row r="5460">
          <cell r="C5460">
            <v>3012344</v>
          </cell>
          <cell r="D5460" t="str">
            <v>***EU M-SO WP.DR.KL2A Z SZYN.PBX ST</v>
          </cell>
        </row>
        <row r="5461">
          <cell r="C5461">
            <v>3043055</v>
          </cell>
          <cell r="D5461" t="str">
            <v>PP M-SO WP.DR.KL2A Z SZYN.USR CH</v>
          </cell>
        </row>
        <row r="5462">
          <cell r="C5462">
            <v>3043530</v>
          </cell>
          <cell r="D5462" t="str">
            <v>EU M-SO WP.DR.KL2A Z BOCZ.CH</v>
          </cell>
        </row>
        <row r="5463">
          <cell r="C5463">
            <v>3043532</v>
          </cell>
          <cell r="D5463" t="str">
            <v>EU M-SO WP.DR.KL2A Z BOCZ.PBX ST</v>
          </cell>
        </row>
        <row r="5464">
          <cell r="C5464">
            <v>3030613</v>
          </cell>
          <cell r="D5464" t="str">
            <v>EU M-SO WP.DR.KL2A CH MORR</v>
          </cell>
        </row>
        <row r="5465">
          <cell r="C5465">
            <v>3019059</v>
          </cell>
          <cell r="D5465" t="str">
            <v>M-SO WP.DR.KL2A ROZP1</v>
          </cell>
        </row>
        <row r="5466">
          <cell r="C5466">
            <v>3027960</v>
          </cell>
          <cell r="D5466" t="str">
            <v>EU M-SO WP.DR.KL2A Z SZYN.ROZP1</v>
          </cell>
        </row>
        <row r="5467">
          <cell r="C5467">
            <v>3020300</v>
          </cell>
          <cell r="D5467" t="str">
            <v>M-SO WP.DR.KL2A ROZP2</v>
          </cell>
        </row>
        <row r="5468">
          <cell r="C5468">
            <v>3027962</v>
          </cell>
          <cell r="D5468" t="str">
            <v>EU M-SO WP.DR.KL2A Z SZYN.ROZP2</v>
          </cell>
        </row>
        <row r="5469">
          <cell r="C5469">
            <v>3015996</v>
          </cell>
          <cell r="D5469" t="str">
            <v>EU M-SO WP.DR.KL2B CH</v>
          </cell>
        </row>
        <row r="5470">
          <cell r="C5470">
            <v>4007990</v>
          </cell>
          <cell r="D5470" t="str">
            <v>EU M-SO WP.DR.KL2B OK15KGWOR KT</v>
          </cell>
        </row>
        <row r="5471">
          <cell r="C5471">
            <v>4012687</v>
          </cell>
          <cell r="D5471" t="str">
            <v>***EU M-SO WP.KL2B OK2KGVAC OK12KGKT</v>
          </cell>
        </row>
        <row r="5472">
          <cell r="C5472">
            <v>4015438</v>
          </cell>
          <cell r="D5472" t="str">
            <v>EU M-SO WP.KL2B OK2KGVAC OK12KGKT SEL</v>
          </cell>
        </row>
        <row r="5473">
          <cell r="C5473">
            <v>3007903</v>
          </cell>
          <cell r="D5473" t="str">
            <v>***EU M-SO DR.WP.KL2B OK15KG PJ CH ST</v>
          </cell>
        </row>
        <row r="5474">
          <cell r="C5474">
            <v>3022961</v>
          </cell>
          <cell r="D5474" t="str">
            <v>EU TRYM.WP.60/40 PBX SZ</v>
          </cell>
        </row>
        <row r="5475">
          <cell r="C5475">
            <v>3012625</v>
          </cell>
          <cell r="D5475" t="str">
            <v>M-SO WP.KL2B MR SZ</v>
          </cell>
        </row>
        <row r="5476">
          <cell r="C5476">
            <v>3026639</v>
          </cell>
          <cell r="D5476" t="str">
            <v>M-SO WP.DR.KL2B OK15KGWOR PJ MR K2</v>
          </cell>
        </row>
        <row r="5477">
          <cell r="C5477">
            <v>3012667</v>
          </cell>
          <cell r="D5477" t="str">
            <v>M-SO WP.KL2B PBX EŁ1</v>
          </cell>
        </row>
        <row r="5478">
          <cell r="C5478">
            <v>3032763</v>
          </cell>
          <cell r="D5478" t="str">
            <v>M-SO WP.DR.KL2B PRZET.OK15KG PB MR K2</v>
          </cell>
        </row>
        <row r="5479">
          <cell r="C5479">
            <v>3029778</v>
          </cell>
          <cell r="D5479" t="str">
            <v>M-SO WP.DR.KL2B OK15KG PB MR K2</v>
          </cell>
        </row>
        <row r="5480">
          <cell r="C5480">
            <v>3034409</v>
          </cell>
          <cell r="D5480" t="str">
            <v>***EU M-SO WP.DR.KL2B OK20KGNB MR K4 ZAK</v>
          </cell>
        </row>
        <row r="5481">
          <cell r="C5481">
            <v>3033614</v>
          </cell>
          <cell r="D5481" t="str">
            <v>EU M-SO WP.DR.KL2B PBX K4</v>
          </cell>
        </row>
        <row r="5482">
          <cell r="C5482">
            <v>3033978</v>
          </cell>
          <cell r="D5482" t="str">
            <v>M-SO WP.DR.KL2B PRZET.OK15KG NB MR K2</v>
          </cell>
        </row>
        <row r="5483">
          <cell r="C5483">
            <v>3033616</v>
          </cell>
          <cell r="D5483" t="str">
            <v>EU M-SO WP.DR.KL2B OK650KG OKT K4</v>
          </cell>
        </row>
        <row r="5484">
          <cell r="C5484">
            <v>3033609</v>
          </cell>
          <cell r="D5484" t="str">
            <v>EU M-SO WP.DR.KL2B OK20KG NB MR K4</v>
          </cell>
        </row>
        <row r="5485">
          <cell r="C5485">
            <v>3035560</v>
          </cell>
          <cell r="D5485" t="str">
            <v>PP M-SO WP.DR.KL2B PBX K4</v>
          </cell>
        </row>
        <row r="5486">
          <cell r="C5486">
            <v>3013455</v>
          </cell>
          <cell r="D5486" t="str">
            <v>M-SO WP.KL2B NB MR ZAK</v>
          </cell>
        </row>
        <row r="5487">
          <cell r="C5487">
            <v>3035902</v>
          </cell>
          <cell r="D5487" t="str">
            <v>EU M-SO WP.DR.KL2B PBX 1OB K4</v>
          </cell>
        </row>
        <row r="5488">
          <cell r="C5488">
            <v>3012639</v>
          </cell>
          <cell r="D5488" t="str">
            <v>M-SO WP.KL2B BIGBOX MORLINY SZ</v>
          </cell>
        </row>
        <row r="5489">
          <cell r="C5489">
            <v>3038913</v>
          </cell>
          <cell r="D5489" t="str">
            <v>PP M-SO WP.DR.KL2B PBX EŁ1</v>
          </cell>
        </row>
        <row r="5490">
          <cell r="C5490">
            <v>3036784</v>
          </cell>
          <cell r="D5490" t="str">
            <v>EU M-SO WP.DR.KL2B CVP PBX K4</v>
          </cell>
        </row>
        <row r="5491">
          <cell r="C5491">
            <v>3039579</v>
          </cell>
          <cell r="D5491" t="str">
            <v>EU TRYM.WP.60/40 OK20KG PB MR ZAK</v>
          </cell>
        </row>
        <row r="5492">
          <cell r="C5492">
            <v>3032150</v>
          </cell>
          <cell r="D5492" t="str">
            <v>EU M-SO WP.DR.KL2B ZAK RO</v>
          </cell>
        </row>
        <row r="5493">
          <cell r="C5493">
            <v>3009578</v>
          </cell>
          <cell r="D5493" t="str">
            <v>EU M-SO WP.DR.KL2B Z SZYN.CH</v>
          </cell>
        </row>
        <row r="5494">
          <cell r="C5494">
            <v>3020153</v>
          </cell>
          <cell r="D5494" t="str">
            <v>EU M-SO WP.DR.KL2B Z SZYN.MR ST</v>
          </cell>
        </row>
        <row r="5495">
          <cell r="C5495">
            <v>3024993</v>
          </cell>
          <cell r="D5495" t="str">
            <v>EU M-SO WP.DR.KL2B Z SZYN.PBX1</v>
          </cell>
        </row>
        <row r="5496">
          <cell r="C5496">
            <v>3041192</v>
          </cell>
          <cell r="D5496" t="str">
            <v>EU M-SO WP.DR.KL2B Z SZYN.CVP PBX K4</v>
          </cell>
        </row>
        <row r="5497">
          <cell r="C5497">
            <v>3043056</v>
          </cell>
          <cell r="D5497" t="str">
            <v>EU M-SO WP.DR.KL2B Z SZYN.USR CH</v>
          </cell>
        </row>
        <row r="5498">
          <cell r="C5498">
            <v>3020152</v>
          </cell>
          <cell r="D5498" t="str">
            <v>EU M-SO WP.DR.KL2B Z SZYN.DMR</v>
          </cell>
        </row>
        <row r="5499">
          <cell r="C5499">
            <v>3020154</v>
          </cell>
          <cell r="D5499" t="str">
            <v>EU M-SO WP.DR.KL2B Z SZYN. RO1</v>
          </cell>
        </row>
        <row r="5500">
          <cell r="C5500">
            <v>3020301</v>
          </cell>
          <cell r="D5500" t="str">
            <v>***EU M-SO DR.WP.KL.2B Z SZYN.CH2</v>
          </cell>
        </row>
        <row r="5501">
          <cell r="C5501">
            <v>3020918</v>
          </cell>
          <cell r="D5501" t="str">
            <v>EU M-SO WP.DR.KL2B Z SZYN. RO2</v>
          </cell>
        </row>
        <row r="5502">
          <cell r="C5502">
            <v>3025253</v>
          </cell>
          <cell r="D5502" t="str">
            <v>EU M-SO WP.DR.KL2B Z SZYN.PBX2</v>
          </cell>
        </row>
        <row r="5503">
          <cell r="C5503">
            <v>3016308</v>
          </cell>
          <cell r="D5503" t="str">
            <v>EU M-SO WP.DR.KL2B USR CH1</v>
          </cell>
        </row>
        <row r="5504">
          <cell r="C5504">
            <v>3024994</v>
          </cell>
          <cell r="D5504" t="str">
            <v>EU M-SO WP.DR.KL2B USR PBX1</v>
          </cell>
        </row>
        <row r="5505">
          <cell r="C5505">
            <v>3032641</v>
          </cell>
          <cell r="D5505" t="str">
            <v>EU M-SO WP.DR.KL2B GAP USR CH</v>
          </cell>
        </row>
        <row r="5506">
          <cell r="C5506">
            <v>3032653</v>
          </cell>
          <cell r="D5506" t="str">
            <v>EU M-SO WP.DR.KL2B PBX GAP</v>
          </cell>
        </row>
        <row r="5507">
          <cell r="C5507">
            <v>3032651</v>
          </cell>
          <cell r="D5507" t="str">
            <v>EU M-SO WP.DR.KL2B OK20KGLUZPJ GAP ST</v>
          </cell>
        </row>
        <row r="5508">
          <cell r="C5508">
            <v>3020302</v>
          </cell>
          <cell r="D5508" t="str">
            <v>EU M-SO WP.DR.KL2B USR CH2</v>
          </cell>
        </row>
        <row r="5509">
          <cell r="C5509">
            <v>3025254</v>
          </cell>
          <cell r="D5509" t="str">
            <v>EU M-SO WP.DR.KL2B USR PBX2</v>
          </cell>
        </row>
        <row r="5510">
          <cell r="C5510">
            <v>3023082</v>
          </cell>
          <cell r="D5510" t="str">
            <v>EU M-SO WP.DR.KL2B ZE SCH.CH1</v>
          </cell>
        </row>
        <row r="5511">
          <cell r="C5511">
            <v>3024995</v>
          </cell>
          <cell r="D5511" t="str">
            <v>***EU M-SO DR.WP.KL2B ZE SCH.PBX CH1</v>
          </cell>
        </row>
        <row r="5512">
          <cell r="C5512">
            <v>3040951</v>
          </cell>
          <cell r="D5512" t="str">
            <v>PP M-SO WP.DR.KL2B Z SZYN.OK15KGPB MR ST</v>
          </cell>
        </row>
        <row r="5513">
          <cell r="C5513">
            <v>3023080</v>
          </cell>
          <cell r="D5513" t="str">
            <v>***EU M-SO DR.WP.KL2B Z/SCH.OK15KGPJCHST</v>
          </cell>
        </row>
        <row r="5514">
          <cell r="C5514">
            <v>3038302</v>
          </cell>
          <cell r="D5514" t="str">
            <v>PP M-SO WP.DR.KL2B PBX SZ</v>
          </cell>
        </row>
        <row r="5515">
          <cell r="C5515">
            <v>3038282</v>
          </cell>
          <cell r="D5515" t="str">
            <v>PP M-SO WP.DR.KL2B Z SZYN.CH</v>
          </cell>
        </row>
        <row r="5516">
          <cell r="C5516">
            <v>3039236</v>
          </cell>
          <cell r="D5516" t="str">
            <v>PP M-SO WP.DR.KL2B Z SZYN.PBX ST1</v>
          </cell>
        </row>
        <row r="5517">
          <cell r="C5517">
            <v>3039179</v>
          </cell>
          <cell r="D5517" t="str">
            <v>PP M-SO WP.DR.KL2B Z SZYN.OK15KG PB DMR</v>
          </cell>
        </row>
        <row r="5518">
          <cell r="C5518">
            <v>3039244</v>
          </cell>
          <cell r="D5518" t="str">
            <v>PP M-SO WP.DR.KL2B Z SZYN.RO1</v>
          </cell>
        </row>
        <row r="5519">
          <cell r="C5519">
            <v>3023150</v>
          </cell>
          <cell r="D5519" t="str">
            <v>EU M-SO WP.DR.KL2B ZE SCH.CH2</v>
          </cell>
        </row>
        <row r="5520">
          <cell r="C5520">
            <v>3025255</v>
          </cell>
          <cell r="D5520" t="str">
            <v>***EU M-SO DR.WP.KL2B ZE SCH.PBX CH2</v>
          </cell>
        </row>
        <row r="5521">
          <cell r="C5521">
            <v>3039257</v>
          </cell>
          <cell r="D5521" t="str">
            <v>PP M-SO WP.DR.KL2B Z SZYN.RO2</v>
          </cell>
        </row>
        <row r="5522">
          <cell r="C5522">
            <v>3039246</v>
          </cell>
          <cell r="D5522" t="str">
            <v>PP M-SO WP.DR.KL2B Z SZYN.PBX ST2</v>
          </cell>
        </row>
        <row r="5523">
          <cell r="C5523">
            <v>3011134</v>
          </cell>
          <cell r="D5523" t="str">
            <v>***M-SO WP.KL.2B Z SZYNKI USR</v>
          </cell>
        </row>
        <row r="5524">
          <cell r="C5524">
            <v>3011133</v>
          </cell>
          <cell r="D5524" t="str">
            <v>***EU M-SO DR.WP.KL2B Z SZYN.PJ ST</v>
          </cell>
        </row>
        <row r="5525">
          <cell r="C5525">
            <v>3011791</v>
          </cell>
          <cell r="D5525" t="str">
            <v>***EUM-SO DR.WP.KL2B Z SZYN.LUZ KOSZP.ST</v>
          </cell>
        </row>
        <row r="5526">
          <cell r="C5526">
            <v>3011790</v>
          </cell>
          <cell r="D5526" t="str">
            <v>EU M-SO WP.DR.KL2B Z SZYN.LUZ PBX ST</v>
          </cell>
        </row>
        <row r="5527">
          <cell r="C5527">
            <v>3043057</v>
          </cell>
          <cell r="D5527" t="str">
            <v>PP M-SO WP.DR.KL2B Z SZYN.USR CH</v>
          </cell>
        </row>
        <row r="5528">
          <cell r="C5528">
            <v>3043531</v>
          </cell>
          <cell r="D5528" t="str">
            <v>EU M-SO WP.DR.KL2B Z BOCZ.CH</v>
          </cell>
        </row>
        <row r="5529">
          <cell r="C5529">
            <v>3043533</v>
          </cell>
          <cell r="D5529" t="str">
            <v>EU M-SO WP.DR.KL2B Z BOCZ.PBX ST</v>
          </cell>
        </row>
        <row r="5530">
          <cell r="C5530">
            <v>3011780</v>
          </cell>
          <cell r="D5530" t="str">
            <v>***EU M-SO DR.WP.KL.2B ROZB.CH</v>
          </cell>
        </row>
        <row r="5531">
          <cell r="C5531">
            <v>3032640</v>
          </cell>
          <cell r="D5531" t="str">
            <v>EU M-SO WP.DR.KL2B GAP CH</v>
          </cell>
        </row>
        <row r="5532">
          <cell r="C5532">
            <v>3042960</v>
          </cell>
          <cell r="D5532" t="str">
            <v>EU M-SO WP.DR.KL2B OK20KG NB GAP MR ST</v>
          </cell>
        </row>
        <row r="5533">
          <cell r="C5533">
            <v>3042964</v>
          </cell>
          <cell r="D5533" t="str">
            <v>EU M-SO WP.DR.KL2B OK20KG NB GAP DMR</v>
          </cell>
        </row>
        <row r="5534">
          <cell r="C5534">
            <v>3015997</v>
          </cell>
          <cell r="D5534" t="str">
            <v>EU M-SO WP.DR.KL3A CH1</v>
          </cell>
        </row>
        <row r="5535">
          <cell r="C5535">
            <v>3007905</v>
          </cell>
          <cell r="D5535" t="str">
            <v>***EU M-SO DR.WP.KL3A NB MR</v>
          </cell>
        </row>
        <row r="5536">
          <cell r="C5536">
            <v>3014432</v>
          </cell>
          <cell r="D5536" t="str">
            <v>EU M-SO WP.DR.KL3A OK20KG NB MR ST</v>
          </cell>
        </row>
        <row r="5537">
          <cell r="C5537">
            <v>3008635</v>
          </cell>
          <cell r="D5537" t="str">
            <v>***EU M-SO DR.WP.KL.3A PB MR ST</v>
          </cell>
        </row>
        <row r="5538">
          <cell r="C5538">
            <v>4007992</v>
          </cell>
          <cell r="D5538" t="str">
            <v>EU M-SO WP.DR.KL3A OK15KGWOR KT</v>
          </cell>
        </row>
        <row r="5539">
          <cell r="C5539">
            <v>4009105</v>
          </cell>
          <cell r="D5539" t="str">
            <v>***EU M-SOWP.KAWAŁKIOK1.5KGMAP OK6KG KT</v>
          </cell>
        </row>
        <row r="5540">
          <cell r="C5540">
            <v>4008929</v>
          </cell>
          <cell r="D5540" t="str">
            <v>EU M-SO WP.DR.KL3A OK4KGVAC OK16KGKT</v>
          </cell>
        </row>
        <row r="5541">
          <cell r="C5541">
            <v>4008928</v>
          </cell>
          <cell r="D5541" t="str">
            <v>***EU M-SO WP.DR.OK2.5KGVACOK15KGKT AUCH</v>
          </cell>
        </row>
        <row r="5542">
          <cell r="C5542">
            <v>4008927</v>
          </cell>
          <cell r="D5542" t="str">
            <v>***EU M-SO WP.3A OK2.5KGVAC OK15KGK MAKR</v>
          </cell>
        </row>
        <row r="5543">
          <cell r="C5543">
            <v>4015315</v>
          </cell>
          <cell r="D5543" t="str">
            <v>EU M-SO WP.KL3A OK2KGVAC OK12KGKT SEL</v>
          </cell>
        </row>
        <row r="5544">
          <cell r="C5544">
            <v>3007906</v>
          </cell>
          <cell r="D5544" t="str">
            <v>***M-SO DR.WP.KL.3A PJ CH ST</v>
          </cell>
        </row>
        <row r="5545">
          <cell r="C5545">
            <v>4008960</v>
          </cell>
          <cell r="D5545" t="str">
            <v>***EU M-SO DR.WP.KL3A OK20KG WOR PJ HILT</v>
          </cell>
        </row>
        <row r="5546">
          <cell r="C5546">
            <v>3012602</v>
          </cell>
          <cell r="D5546" t="str">
            <v>EU M-SO WP.DR.KL3A PJ ST</v>
          </cell>
        </row>
        <row r="5547">
          <cell r="C5547">
            <v>3009720</v>
          </cell>
          <cell r="D5547" t="str">
            <v>EU M-SO WP.DR.KL3A OKT ST</v>
          </cell>
        </row>
        <row r="5548">
          <cell r="C5548">
            <v>3012325</v>
          </cell>
          <cell r="D5548" t="str">
            <v>EU M-SO WP.DR.KL3A PBX ST</v>
          </cell>
        </row>
        <row r="5549">
          <cell r="C5549">
            <v>3012669</v>
          </cell>
          <cell r="D5549" t="str">
            <v>M-SO WP.DR.KL3A PBX EŁ1</v>
          </cell>
        </row>
        <row r="5550">
          <cell r="C5550">
            <v>3026682</v>
          </cell>
          <cell r="D5550" t="str">
            <v>M-SO WP.DR.KL3A OK15KGWOR PJ MR K2</v>
          </cell>
        </row>
        <row r="5551">
          <cell r="C5551">
            <v>3034717</v>
          </cell>
          <cell r="D5551" t="str">
            <v>***EU M-SO WP.DR.KL3A OK20KGWORPJ K4 ZAK</v>
          </cell>
        </row>
        <row r="5552">
          <cell r="C5552">
            <v>3012644</v>
          </cell>
          <cell r="D5552" t="str">
            <v>EU M-SO WP.DR.KL3A Z GŁÓW OK15KGNB MR SZ</v>
          </cell>
        </row>
        <row r="5553">
          <cell r="C5553">
            <v>3012640</v>
          </cell>
          <cell r="D5553" t="str">
            <v>M-SO WP.KL3A PBX MORLINY SZ</v>
          </cell>
        </row>
        <row r="5554">
          <cell r="C5554">
            <v>3037104</v>
          </cell>
          <cell r="D5554" t="str">
            <v>EU M-SO WP.DR.KL3A OK20KGLUZ PJ K4</v>
          </cell>
        </row>
        <row r="5555">
          <cell r="C5555">
            <v>3029880</v>
          </cell>
          <cell r="D5555" t="str">
            <v>M-SO WP.DR.KL3A OK15KG PB MR K2</v>
          </cell>
        </row>
        <row r="5556">
          <cell r="C5556">
            <v>3044996</v>
          </cell>
          <cell r="D5556" t="str">
            <v>TRYM.WP.75/25 CH ZAK</v>
          </cell>
        </row>
        <row r="5557">
          <cell r="C5557">
            <v>3033458</v>
          </cell>
          <cell r="D5557" t="str">
            <v>EU M-SO WP.DR.KL3A OK20KG NB MR K4</v>
          </cell>
        </row>
        <row r="5558">
          <cell r="C5558">
            <v>3042349</v>
          </cell>
          <cell r="D5558" t="str">
            <v>TRYM.WP.75/25 MR ZAK</v>
          </cell>
        </row>
        <row r="5559">
          <cell r="C5559">
            <v>3033618</v>
          </cell>
          <cell r="D5559" t="str">
            <v>EU M-SO WP.DR.KL3A OK20KGWOR PJ K4</v>
          </cell>
        </row>
        <row r="5560">
          <cell r="C5560">
            <v>3006333</v>
          </cell>
          <cell r="D5560" t="str">
            <v>EU M-SO DR.WP.KL3A DMR</v>
          </cell>
        </row>
        <row r="5561">
          <cell r="C5561">
            <v>3014434</v>
          </cell>
          <cell r="D5561" t="str">
            <v>EU M-SO WP.DR.KL3A OK20KG NB DMR</v>
          </cell>
        </row>
        <row r="5562">
          <cell r="C5562">
            <v>3007907</v>
          </cell>
          <cell r="D5562" t="str">
            <v>***EU M-SO DR.WP.KL.3A PB DMR</v>
          </cell>
        </row>
        <row r="5563">
          <cell r="C5563">
            <v>3007908</v>
          </cell>
          <cell r="D5563" t="str">
            <v>***EU M-SO DR.WP.KL3A NB RO1</v>
          </cell>
        </row>
        <row r="5564">
          <cell r="C5564">
            <v>3014433</v>
          </cell>
          <cell r="D5564" t="str">
            <v>EU M-SO WP.DR.KL3A PB RO1</v>
          </cell>
        </row>
        <row r="5565">
          <cell r="C5565">
            <v>3007909</v>
          </cell>
          <cell r="D5565" t="str">
            <v>***EU M-SO DR.WP.KL.3A PB RO</v>
          </cell>
        </row>
        <row r="5566">
          <cell r="C5566">
            <v>3045743</v>
          </cell>
          <cell r="D5566" t="str">
            <v>TRYM.WP.75/25 RO</v>
          </cell>
        </row>
        <row r="5567">
          <cell r="C5567">
            <v>3028086</v>
          </cell>
          <cell r="D5567" t="str">
            <v>EU M-SO WP.DR.KL3A CH2</v>
          </cell>
        </row>
        <row r="5568">
          <cell r="C5568">
            <v>3020303</v>
          </cell>
          <cell r="D5568" t="str">
            <v>***EU M-SO DR.WP.KL3A NB RO2</v>
          </cell>
        </row>
        <row r="5569">
          <cell r="C5569">
            <v>3020304</v>
          </cell>
          <cell r="D5569" t="str">
            <v>EU M-SO WP.DR.KL3A PB RO2</v>
          </cell>
        </row>
        <row r="5570">
          <cell r="C5570">
            <v>3010017</v>
          </cell>
          <cell r="D5570" t="str">
            <v>***M-SO KL.3A PL</v>
          </cell>
        </row>
        <row r="5571">
          <cell r="C5571">
            <v>3017157</v>
          </cell>
          <cell r="D5571" t="str">
            <v>EU M-SO WP.DR.KL3A Z SZYN.CH1</v>
          </cell>
        </row>
        <row r="5572">
          <cell r="C5572">
            <v>3036437</v>
          </cell>
          <cell r="D5572" t="str">
            <v>EU M-SO WP.DR.KL3A Z SZYN.OK20KGNB MR ST</v>
          </cell>
        </row>
        <row r="5573">
          <cell r="C5573">
            <v>3024996</v>
          </cell>
          <cell r="D5573" t="str">
            <v>EU M-SO WP.DR.KL3A Z SZYN.PBX1</v>
          </cell>
        </row>
        <row r="5574">
          <cell r="C5574">
            <v>3017156</v>
          </cell>
          <cell r="D5574" t="str">
            <v>EU M-SO WP.DR.KL3A Z SZYN.PJ CH ST</v>
          </cell>
        </row>
        <row r="5575">
          <cell r="C5575">
            <v>3041080</v>
          </cell>
          <cell r="D5575" t="str">
            <v>EU M-SO WP.DR.KL3A Z SZYN.PBX K4</v>
          </cell>
        </row>
        <row r="5576">
          <cell r="C5576">
            <v>3043071</v>
          </cell>
          <cell r="D5576" t="str">
            <v>EU M-SO WP.DR.KL3A Z SZYN.USR CH</v>
          </cell>
        </row>
        <row r="5577">
          <cell r="C5577">
            <v>3036336</v>
          </cell>
          <cell r="D5577" t="str">
            <v>EU M-SO WP.DR.KL3A Z SZYN.OK20KGNB DMR</v>
          </cell>
        </row>
        <row r="5578">
          <cell r="C5578">
            <v>3036335</v>
          </cell>
          <cell r="D5578" t="str">
            <v>EU M-SO WP.DR.KL3 Z SZYN.RO1</v>
          </cell>
        </row>
        <row r="5579">
          <cell r="C5579">
            <v>3020305</v>
          </cell>
          <cell r="D5579" t="str">
            <v>EU M-SO WP.DR.KL3A Z SZYN.CH2</v>
          </cell>
        </row>
        <row r="5580">
          <cell r="C5580">
            <v>3036442</v>
          </cell>
          <cell r="D5580" t="str">
            <v>EU M-SO WP.DR.KL3 Z SZYN.RO2</v>
          </cell>
        </row>
        <row r="5581">
          <cell r="C5581">
            <v>3025256</v>
          </cell>
          <cell r="D5581" t="str">
            <v>EU M-SO WP.DR.KL3A Z SZYN.PBX2</v>
          </cell>
        </row>
        <row r="5582">
          <cell r="C5582">
            <v>3016309</v>
          </cell>
          <cell r="D5582" t="str">
            <v>EU M-SO WP.DR.KL3A USR CH1</v>
          </cell>
        </row>
        <row r="5583">
          <cell r="C5583">
            <v>3024997</v>
          </cell>
          <cell r="D5583" t="str">
            <v>EU M-SO WP.DR.KL3A PBX USR ST1</v>
          </cell>
        </row>
        <row r="5584">
          <cell r="C5584">
            <v>3020306</v>
          </cell>
          <cell r="D5584" t="str">
            <v>EU M-SO WP.DR.KL3A USR CH2</v>
          </cell>
        </row>
        <row r="5585">
          <cell r="C5585">
            <v>3025257</v>
          </cell>
          <cell r="D5585" t="str">
            <v>EU M-SO WP.DR.KL3A PBX USR ST2</v>
          </cell>
        </row>
        <row r="5586">
          <cell r="C5586">
            <v>3037418</v>
          </cell>
          <cell r="D5586" t="str">
            <v>PP M-SO WP.DR.KL3A CH</v>
          </cell>
        </row>
        <row r="5587">
          <cell r="C5587">
            <v>3040956</v>
          </cell>
          <cell r="D5587" t="str">
            <v>PP M-SO WP.DR.KL3A OK15KG NB MR ST</v>
          </cell>
        </row>
        <row r="5588">
          <cell r="C5588">
            <v>3037539</v>
          </cell>
          <cell r="D5588" t="str">
            <v>PP M-SO WP.DR.KL3A USR PBX ST1</v>
          </cell>
        </row>
        <row r="5589">
          <cell r="C5589">
            <v>3040685</v>
          </cell>
          <cell r="D5589" t="str">
            <v>PP M-SO WP.DR.KL3A Z SZYN.OK20KGNB MR ST</v>
          </cell>
        </row>
        <row r="5590">
          <cell r="C5590">
            <v>3041000</v>
          </cell>
          <cell r="D5590" t="str">
            <v>PP M-SO WP.DR.KL3A Z POL.OK15KG NB MR ST</v>
          </cell>
        </row>
        <row r="5591">
          <cell r="C5591">
            <v>3038277</v>
          </cell>
          <cell r="D5591" t="str">
            <v>PP M-SO WP.DR.KL3A Z SZYN.CH</v>
          </cell>
        </row>
        <row r="5592">
          <cell r="C5592">
            <v>3039237</v>
          </cell>
          <cell r="D5592" t="str">
            <v>PP M-SO WP.DR.KL3A Z SZYN.PBX ST1</v>
          </cell>
        </row>
        <row r="5593">
          <cell r="C5593">
            <v>3039537</v>
          </cell>
          <cell r="D5593" t="str">
            <v>PP M-SO WP.DR.KL3A Z SZYN.OK15KGLUZPJ ST</v>
          </cell>
        </row>
        <row r="5594">
          <cell r="C5594">
            <v>3037475</v>
          </cell>
          <cell r="D5594" t="str">
            <v>PP M-SO WP.DR.KL3A USR</v>
          </cell>
        </row>
        <row r="5595">
          <cell r="C5595">
            <v>3039319</v>
          </cell>
          <cell r="D5595" t="str">
            <v>PP M-SO WP.DR.KL3A OK15KG NB DMR</v>
          </cell>
        </row>
        <row r="5596">
          <cell r="C5596">
            <v>3040684</v>
          </cell>
          <cell r="D5596" t="str">
            <v>PP M-SO WP.DR.KL3A Z SZYN.OK20KGNB DMR</v>
          </cell>
        </row>
        <row r="5597">
          <cell r="C5597">
            <v>3040975</v>
          </cell>
          <cell r="D5597" t="str">
            <v>PP M-SO WP.DR.KL3A Z POL.OK20KG NB DMR</v>
          </cell>
        </row>
        <row r="5598">
          <cell r="C5598">
            <v>3041009</v>
          </cell>
          <cell r="D5598" t="str">
            <v>PP M-SO WP.DR.KL3A RO1</v>
          </cell>
        </row>
        <row r="5599">
          <cell r="C5599">
            <v>3041050</v>
          </cell>
          <cell r="D5599" t="str">
            <v>PP M-SO WP.DR.KL3 Z SZYN.RO1</v>
          </cell>
        </row>
        <row r="5600">
          <cell r="C5600">
            <v>3041001</v>
          </cell>
          <cell r="D5600" t="str">
            <v>PP M-SO WP.DR.KL3A Z POL.RO1</v>
          </cell>
        </row>
        <row r="5601">
          <cell r="C5601">
            <v>3040989</v>
          </cell>
          <cell r="D5601" t="str">
            <v>PP M-SO WP.DR.KL3A Z POL.CH</v>
          </cell>
        </row>
        <row r="5602">
          <cell r="C5602">
            <v>3041758</v>
          </cell>
          <cell r="D5602" t="str">
            <v>PP M-SO WP.DR.KL3A RO2</v>
          </cell>
        </row>
        <row r="5603">
          <cell r="C5603">
            <v>3037783</v>
          </cell>
          <cell r="D5603" t="str">
            <v>PP M-SO WP.DR.KL3A USR PBX ST2</v>
          </cell>
        </row>
        <row r="5604">
          <cell r="C5604">
            <v>3041153</v>
          </cell>
          <cell r="D5604" t="str">
            <v>PP M-SO WP.DR.KL3 Z SZYN.RO2</v>
          </cell>
        </row>
        <row r="5605">
          <cell r="C5605">
            <v>3039247</v>
          </cell>
          <cell r="D5605" t="str">
            <v>PP M-SO WP.DR.KL3A Z SZYN.PBX ST2</v>
          </cell>
        </row>
        <row r="5606">
          <cell r="C5606">
            <v>3041022</v>
          </cell>
          <cell r="D5606" t="str">
            <v>PP M-SO WP.DR.KL3A Z POL.RO2</v>
          </cell>
        </row>
        <row r="5607">
          <cell r="C5607">
            <v>3006330</v>
          </cell>
          <cell r="D5607" t="str">
            <v>M-SO WP.KL3 ŻWACZE1</v>
          </cell>
        </row>
        <row r="5608">
          <cell r="C5608">
            <v>3017961</v>
          </cell>
          <cell r="D5608" t="str">
            <v>EU M-SO WP.KL3 ŻWACZE NB MR ST</v>
          </cell>
        </row>
        <row r="5609">
          <cell r="C5609">
            <v>3037173</v>
          </cell>
          <cell r="D5609" t="str">
            <v>M-SO WP.KL3 ŻWACZE PBX1</v>
          </cell>
        </row>
        <row r="5610">
          <cell r="C5610">
            <v>3037720</v>
          </cell>
          <cell r="D5610" t="str">
            <v>M-SO WP.KL3 ŻWACZE OK20KGLUZ PJ ST</v>
          </cell>
        </row>
        <row r="5611">
          <cell r="C5611">
            <v>3018308</v>
          </cell>
          <cell r="D5611" t="str">
            <v>***EU M-SO WP.KL3 ŻWACZE PBX CH ST</v>
          </cell>
        </row>
        <row r="5612">
          <cell r="C5612">
            <v>3043072</v>
          </cell>
          <cell r="D5612" t="str">
            <v>PP M-SO WP.DR.KL3A Z SZYN.USR CH</v>
          </cell>
        </row>
        <row r="5613">
          <cell r="C5613">
            <v>3017962</v>
          </cell>
          <cell r="D5613" t="str">
            <v>EU M-SO WP.KL3 ŻWACZE NB DMR</v>
          </cell>
        </row>
        <row r="5614">
          <cell r="C5614">
            <v>3017960</v>
          </cell>
          <cell r="D5614" t="str">
            <v>EU M-SO WP.KL3 ŻWACZE NB RO1</v>
          </cell>
        </row>
        <row r="5615">
          <cell r="C5615">
            <v>3043070</v>
          </cell>
          <cell r="D5615" t="str">
            <v>PP M-SO WP.DR.KL3A Z POL.USR CH</v>
          </cell>
        </row>
        <row r="5616">
          <cell r="C5616">
            <v>3020307</v>
          </cell>
          <cell r="D5616" t="str">
            <v>M-SO WP.KL3 ŻWACZE2</v>
          </cell>
        </row>
        <row r="5617">
          <cell r="C5617">
            <v>3020308</v>
          </cell>
          <cell r="D5617" t="str">
            <v>EU M-SO WP.KL3 ŻWACZE NB RO2</v>
          </cell>
        </row>
        <row r="5618">
          <cell r="C5618">
            <v>3037135</v>
          </cell>
          <cell r="D5618" t="str">
            <v>M-SO WP.KL3 ŻWACZE PBX2</v>
          </cell>
        </row>
        <row r="5619">
          <cell r="C5619">
            <v>3009798</v>
          </cell>
          <cell r="D5619" t="str">
            <v>***M-SO KL.3A PL UŚR</v>
          </cell>
        </row>
        <row r="5620">
          <cell r="C5620">
            <v>4009059</v>
          </cell>
          <cell r="D5620" t="str">
            <v>***M-SO KL.3A OK 20KG PB MR ROSJA</v>
          </cell>
        </row>
        <row r="5621">
          <cell r="C5621">
            <v>3010027</v>
          </cell>
          <cell r="D5621" t="str">
            <v>***EU M-SO DR.WP.KL3A OK20KGPB DMR RU</v>
          </cell>
        </row>
        <row r="5622">
          <cell r="C5622">
            <v>3032204</v>
          </cell>
          <cell r="D5622" t="str">
            <v>EU M-SO WP.DR.KL3A Z POL.CH</v>
          </cell>
        </row>
        <row r="5623">
          <cell r="C5623">
            <v>3038231</v>
          </cell>
          <cell r="D5623" t="str">
            <v>EU M-SO WP.DR.KL3A Z POL.OK20KGNB MR ST</v>
          </cell>
        </row>
        <row r="5624">
          <cell r="C5624">
            <v>3032148</v>
          </cell>
          <cell r="D5624" t="str">
            <v>EU M-SO WP.DR.KL3A Z POL.PBX1</v>
          </cell>
        </row>
        <row r="5625">
          <cell r="C5625">
            <v>3043059</v>
          </cell>
          <cell r="D5625" t="str">
            <v>EU M-SO WP.DR.KL3A Z POL.USR CH</v>
          </cell>
        </row>
        <row r="5626">
          <cell r="C5626">
            <v>3038230</v>
          </cell>
          <cell r="D5626" t="str">
            <v>EU M-SO WP.DR.KL3A Z POL.OK20KG NB DMR</v>
          </cell>
        </row>
        <row r="5627">
          <cell r="C5627">
            <v>3038232</v>
          </cell>
          <cell r="D5627" t="str">
            <v>EU M-SO WP.DR.KL3A Z POL.RO1</v>
          </cell>
        </row>
        <row r="5628">
          <cell r="C5628">
            <v>3038228</v>
          </cell>
          <cell r="D5628" t="str">
            <v>EU M-SO WP.DR.KL3A Z POL.RO2</v>
          </cell>
        </row>
        <row r="5629">
          <cell r="C5629">
            <v>3039061</v>
          </cell>
          <cell r="D5629" t="str">
            <v>EU M-SO WP.DR.KL3A Z POL.PBX2</v>
          </cell>
        </row>
        <row r="5630">
          <cell r="C5630">
            <v>3019060</v>
          </cell>
          <cell r="D5630" t="str">
            <v>M-SO WP.DR.KL3A ROZP1</v>
          </cell>
        </row>
        <row r="5631">
          <cell r="C5631">
            <v>3020309</v>
          </cell>
          <cell r="D5631" t="str">
            <v>M-SO WP.DR.KL3A ROZP2</v>
          </cell>
        </row>
        <row r="5632">
          <cell r="C5632">
            <v>3029441</v>
          </cell>
          <cell r="D5632" t="str">
            <v>EU M-SO WP.DR.KL3A Z GŁÓW CH</v>
          </cell>
        </row>
        <row r="5633">
          <cell r="C5633">
            <v>3015998</v>
          </cell>
          <cell r="D5633" t="str">
            <v>EU M-SO WP.DR.KL3B CH1</v>
          </cell>
        </row>
        <row r="5634">
          <cell r="C5634">
            <v>3007912</v>
          </cell>
          <cell r="D5634" t="str">
            <v>***EU M-SO DR.WP.KL.3B NB MR ST</v>
          </cell>
        </row>
        <row r="5635">
          <cell r="C5635">
            <v>3016061</v>
          </cell>
          <cell r="D5635" t="str">
            <v>EU M-SO WP.DR.KL3B OK20KG NB MR ST</v>
          </cell>
        </row>
        <row r="5636">
          <cell r="C5636">
            <v>3000180</v>
          </cell>
          <cell r="D5636" t="str">
            <v>***EU M-SO DR.WP.KL.3B NB MR</v>
          </cell>
        </row>
        <row r="5637">
          <cell r="C5637">
            <v>4007993</v>
          </cell>
          <cell r="D5637" t="str">
            <v>***EU M-SO DR.WP.KL.3B OK15KG KT CH</v>
          </cell>
        </row>
        <row r="5638">
          <cell r="C5638">
            <v>4008340</v>
          </cell>
          <cell r="D5638" t="str">
            <v>***M-SO WP. DROBNE KL.3B NB MR ST</v>
          </cell>
        </row>
        <row r="5639">
          <cell r="C5639">
            <v>3000179</v>
          </cell>
          <cell r="D5639" t="str">
            <v>***M-SO DR.WP.KL.3B PJ CH ST</v>
          </cell>
        </row>
        <row r="5640">
          <cell r="C5640">
            <v>3012577</v>
          </cell>
          <cell r="D5640" t="str">
            <v>EU M-SO WP.DR.KL3B PJ ST</v>
          </cell>
        </row>
        <row r="5641">
          <cell r="C5641">
            <v>3009725</v>
          </cell>
          <cell r="D5641" t="str">
            <v>***EU M-SO DR.WP.KL3B OKT ST</v>
          </cell>
        </row>
        <row r="5642">
          <cell r="C5642">
            <v>3012322</v>
          </cell>
          <cell r="D5642" t="str">
            <v>EU M-SO WP.DR.KL3B PBX ST</v>
          </cell>
        </row>
        <row r="5643">
          <cell r="C5643">
            <v>3012636</v>
          </cell>
          <cell r="D5643" t="str">
            <v>M-SO WP.KL3B MR SZ</v>
          </cell>
        </row>
        <row r="5644">
          <cell r="C5644">
            <v>3033749</v>
          </cell>
          <cell r="D5644" t="str">
            <v>EU M-SO WP.DR.KL3B OK20KG NB MR K4</v>
          </cell>
        </row>
        <row r="5645">
          <cell r="C5645">
            <v>3006338</v>
          </cell>
          <cell r="D5645" t="str">
            <v>EU M-SO DR.WP.KL.3B DMR</v>
          </cell>
        </row>
        <row r="5646">
          <cell r="C5646">
            <v>3016060</v>
          </cell>
          <cell r="D5646" t="str">
            <v>EU M-SO WP.DR.KL3B OK20KG NB DMR</v>
          </cell>
        </row>
        <row r="5647">
          <cell r="C5647">
            <v>3007913</v>
          </cell>
          <cell r="D5647" t="str">
            <v>***EU M-SO DR.WP.KL.3B PB DMR</v>
          </cell>
        </row>
        <row r="5648">
          <cell r="C5648">
            <v>3008947</v>
          </cell>
          <cell r="D5648" t="str">
            <v>***M-SO WP. KL.3B OK.20KG PJ DMR</v>
          </cell>
        </row>
        <row r="5649">
          <cell r="C5649">
            <v>3007914</v>
          </cell>
          <cell r="D5649" t="str">
            <v>EU M-SO WP.DR.KL3B NB RO1</v>
          </cell>
        </row>
        <row r="5650">
          <cell r="C5650">
            <v>3007915</v>
          </cell>
          <cell r="D5650" t="str">
            <v>***EU M-SO DR.WP.KL.3B PB RO</v>
          </cell>
        </row>
        <row r="5651">
          <cell r="C5651">
            <v>3020310</v>
          </cell>
          <cell r="D5651" t="str">
            <v>EU M-SO WP.DR.KL3B NB RO2</v>
          </cell>
        </row>
        <row r="5652">
          <cell r="C5652">
            <v>3017125</v>
          </cell>
          <cell r="D5652" t="str">
            <v>EU M-SO WP.DR.KL4.MIZD.CH1</v>
          </cell>
        </row>
        <row r="5653">
          <cell r="C5653">
            <v>3024998</v>
          </cell>
          <cell r="D5653" t="str">
            <v>EU M-SO WP.DR.KL4.MIZD.PBX1</v>
          </cell>
        </row>
        <row r="5654">
          <cell r="C5654">
            <v>3017144</v>
          </cell>
          <cell r="D5654" t="str">
            <v>***EU M-SO WP.DR.KL3B Z SCH.NB MR ST</v>
          </cell>
        </row>
        <row r="5655">
          <cell r="C5655">
            <v>3017123</v>
          </cell>
          <cell r="D5655" t="str">
            <v>***M-SO WP.DR.KL3B Z SCH.PJ ST</v>
          </cell>
        </row>
        <row r="5656">
          <cell r="C5656">
            <v>3017143</v>
          </cell>
          <cell r="D5656" t="str">
            <v>***EU M-SO WP.DR.KL3B Z SCH.NB DMR</v>
          </cell>
        </row>
        <row r="5657">
          <cell r="C5657">
            <v>3019085</v>
          </cell>
          <cell r="D5657" t="str">
            <v>***EU M-SO WP.DR.KL3B Z SCH.NB RO1</v>
          </cell>
        </row>
        <row r="5658">
          <cell r="C5658">
            <v>3020311</v>
          </cell>
          <cell r="D5658" t="str">
            <v>EU M-SO WP.DR.KL4.MIZD.CH2</v>
          </cell>
        </row>
        <row r="5659">
          <cell r="C5659">
            <v>3025258</v>
          </cell>
          <cell r="D5659" t="str">
            <v>EU M-SO WP.DR.KL4.MIZD.PBX2</v>
          </cell>
        </row>
        <row r="5660">
          <cell r="C5660">
            <v>3020312</v>
          </cell>
          <cell r="D5660" t="str">
            <v>***EU M-SO WP.DR.KL3B Z SCH.NB RO2</v>
          </cell>
        </row>
        <row r="5661">
          <cell r="C5661">
            <v>3009481</v>
          </cell>
          <cell r="D5661" t="str">
            <v>EU M-SO WP.DR.KL3B Z SZYN.CH1</v>
          </cell>
        </row>
        <row r="5662">
          <cell r="C5662">
            <v>3017981</v>
          </cell>
          <cell r="D5662" t="str">
            <v>M-SO WP.DR.KL3B Z SZYN.PBX1</v>
          </cell>
        </row>
        <row r="5663">
          <cell r="C5663">
            <v>3017145</v>
          </cell>
          <cell r="D5663" t="str">
            <v>EU M-SO WP.DR.KL3B Z SZYN.OK20KG NB MRST</v>
          </cell>
        </row>
        <row r="5664">
          <cell r="C5664">
            <v>3017146</v>
          </cell>
          <cell r="D5664" t="str">
            <v>EU M-SO WP.DR.KL3B Z SZYN.PJ ST</v>
          </cell>
        </row>
        <row r="5665">
          <cell r="C5665">
            <v>3037106</v>
          </cell>
          <cell r="D5665" t="str">
            <v>EU M-SO WP.DR.KL3B Z SZYN.OK20KGLUZPJ K4</v>
          </cell>
        </row>
        <row r="5666">
          <cell r="C5666">
            <v>3033624</v>
          </cell>
          <cell r="D5666" t="str">
            <v>EU M-SO WP.DR.KL3B Z SZYN.OK20KGWORPJ K4</v>
          </cell>
        </row>
        <row r="5667">
          <cell r="C5667">
            <v>3033762</v>
          </cell>
          <cell r="D5667" t="str">
            <v>EU M-SO WP.DR.KL3B Z SZYN.OK20KG NB MRK4</v>
          </cell>
        </row>
        <row r="5668">
          <cell r="C5668">
            <v>3043073</v>
          </cell>
          <cell r="D5668" t="str">
            <v>EU M-SO WP.DR.KL3B Z SZYN.USR CH</v>
          </cell>
        </row>
        <row r="5669">
          <cell r="C5669">
            <v>3017142</v>
          </cell>
          <cell r="D5669" t="str">
            <v>EU M-SO WP.DR.KL3B Z SZYN.OK20KG NB DMR</v>
          </cell>
        </row>
        <row r="5670">
          <cell r="C5670">
            <v>3020187</v>
          </cell>
          <cell r="D5670" t="str">
            <v>EU M-SO WP.KL3B Z SZYN. RO1</v>
          </cell>
        </row>
        <row r="5671">
          <cell r="C5671">
            <v>3020313</v>
          </cell>
          <cell r="D5671" t="str">
            <v>EU M-SO WP.DR.KL3B Z SZYN.CH2</v>
          </cell>
        </row>
        <row r="5672">
          <cell r="C5672">
            <v>3020591</v>
          </cell>
          <cell r="D5672" t="str">
            <v>M-SO WP.DR.KL3B Z SZYN.PBX2</v>
          </cell>
        </row>
        <row r="5673">
          <cell r="C5673">
            <v>3020927</v>
          </cell>
          <cell r="D5673" t="str">
            <v>EU M-SO WP.KL3B Z SZYN. RO2</v>
          </cell>
        </row>
        <row r="5674">
          <cell r="C5674">
            <v>3016310</v>
          </cell>
          <cell r="D5674" t="str">
            <v>EU M-SO WP.DR.KL3B USR CH1</v>
          </cell>
        </row>
        <row r="5675">
          <cell r="C5675">
            <v>3029096</v>
          </cell>
          <cell r="D5675" t="str">
            <v>EU M-SO WP.DR.KL3B USR CH ST1</v>
          </cell>
        </row>
        <row r="5676">
          <cell r="C5676">
            <v>3020314</v>
          </cell>
          <cell r="D5676" t="str">
            <v>EU M-SO WP.DR.KL3B USR CH2</v>
          </cell>
        </row>
        <row r="5677">
          <cell r="C5677">
            <v>3029101</v>
          </cell>
          <cell r="D5677" t="str">
            <v>EU M-SO WP.DR.KL3B USR CH ST2</v>
          </cell>
        </row>
        <row r="5678">
          <cell r="C5678">
            <v>3037419</v>
          </cell>
          <cell r="D5678" t="str">
            <v>PP M-SO WP.DR.KL3B CH1</v>
          </cell>
        </row>
        <row r="5679">
          <cell r="C5679">
            <v>3038861</v>
          </cell>
          <cell r="D5679" t="str">
            <v>PP M-SO WP.DR.KL3B PBX ST1</v>
          </cell>
        </row>
        <row r="5680">
          <cell r="C5680">
            <v>3040950</v>
          </cell>
          <cell r="D5680" t="str">
            <v>PP M-SO WP.DR.KL3B Z SZYN.OK15KGPB MR ST</v>
          </cell>
        </row>
        <row r="5681">
          <cell r="C5681">
            <v>3038275</v>
          </cell>
          <cell r="D5681" t="str">
            <v>PP M-SO WP.DR.KL3B Z SZYN.CH</v>
          </cell>
        </row>
        <row r="5682">
          <cell r="C5682">
            <v>3039346</v>
          </cell>
          <cell r="D5682" t="str">
            <v>PP M-SO WP.DR.KL3B Z SZYN.PBX ST1</v>
          </cell>
        </row>
        <row r="5683">
          <cell r="C5683">
            <v>3039538</v>
          </cell>
          <cell r="D5683" t="str">
            <v>PP M-SO WP.DR.KL3B Z SZYN.OK15KGLUZ PJST</v>
          </cell>
        </row>
        <row r="5684">
          <cell r="C5684">
            <v>3037493</v>
          </cell>
          <cell r="D5684" t="str">
            <v>PP M-SO WP.DR.KL3B USR</v>
          </cell>
        </row>
        <row r="5685">
          <cell r="C5685">
            <v>3039778</v>
          </cell>
          <cell r="D5685" t="str">
            <v>PP M-SO WP.DR.KL3B Z SZYN.OK15KG PB DMR</v>
          </cell>
        </row>
        <row r="5686">
          <cell r="C5686">
            <v>3041007</v>
          </cell>
          <cell r="D5686" t="str">
            <v>PP M-SO WP.DR.KL3B Z SZYN.RO1</v>
          </cell>
        </row>
        <row r="5687">
          <cell r="C5687">
            <v>3039062</v>
          </cell>
          <cell r="D5687" t="str">
            <v>PP M-SO WP.DR.KL3B PBX ST2</v>
          </cell>
        </row>
        <row r="5688">
          <cell r="C5688">
            <v>3041760</v>
          </cell>
          <cell r="D5688" t="str">
            <v>PP M-SO WP.DR.KL3B Z SZYN.RO2</v>
          </cell>
        </row>
        <row r="5689">
          <cell r="C5689">
            <v>3039408</v>
          </cell>
          <cell r="D5689" t="str">
            <v>PP M-SO WP.DR.KL3B Z SZYN.PBX ST2</v>
          </cell>
        </row>
        <row r="5690">
          <cell r="C5690">
            <v>3009480</v>
          </cell>
          <cell r="D5690" t="str">
            <v>***M-SO KL.3B Z SZYNKI USR</v>
          </cell>
        </row>
        <row r="5691">
          <cell r="C5691">
            <v>3043074</v>
          </cell>
          <cell r="D5691" t="str">
            <v>PP M-SO WP.DR.KL3B Z SZYN.USR CH</v>
          </cell>
        </row>
        <row r="5692">
          <cell r="C5692">
            <v>3023133</v>
          </cell>
          <cell r="D5692" t="str">
            <v>M-SO WP.ODŚC.80/20 CH1</v>
          </cell>
        </row>
        <row r="5693">
          <cell r="C5693">
            <v>3024999</v>
          </cell>
          <cell r="D5693" t="str">
            <v>M-SO WP.ODŚC.80/20 PBX1</v>
          </cell>
        </row>
        <row r="5694">
          <cell r="C5694">
            <v>3023158</v>
          </cell>
          <cell r="D5694" t="str">
            <v>M-SO WP.ODŚC.80/20 CH2</v>
          </cell>
        </row>
        <row r="5695">
          <cell r="C5695">
            <v>3025259</v>
          </cell>
          <cell r="D5695" t="str">
            <v>M-SO WP.ODŚC.80/20 PBX2</v>
          </cell>
        </row>
        <row r="5696">
          <cell r="C5696">
            <v>3012449</v>
          </cell>
          <cell r="D5696" t="str">
            <v>EU M-SO WP.DR.KL3 ODŚĆ. 80/20 CH</v>
          </cell>
        </row>
        <row r="5697">
          <cell r="C5697">
            <v>3012447</v>
          </cell>
          <cell r="D5697" t="str">
            <v>EU M-SO WP.DR.KL3 ODŚC.80/20 USR CH1</v>
          </cell>
        </row>
        <row r="5698">
          <cell r="C5698">
            <v>3037137</v>
          </cell>
          <cell r="D5698" t="str">
            <v>EU M-SO WP.DR.KL3ODŚC.80/20OK20KGPBMR ST</v>
          </cell>
        </row>
        <row r="5699">
          <cell r="C5699">
            <v>3035355</v>
          </cell>
          <cell r="D5699" t="str">
            <v>M-SO WP.KL3 ODŚC.80/20 PBX1</v>
          </cell>
        </row>
        <row r="5700">
          <cell r="C5700">
            <v>3012450</v>
          </cell>
          <cell r="D5700" t="str">
            <v>EU M-SO WP.DR.KL3ODŚC.80/20OK20KGNBMR ST</v>
          </cell>
        </row>
        <row r="5701">
          <cell r="C5701">
            <v>3012446</v>
          </cell>
          <cell r="D5701" t="str">
            <v>M-SO WP.KL3 ODŚC.80/20 CH PBX ST1</v>
          </cell>
        </row>
        <row r="5702">
          <cell r="C5702">
            <v>3034845</v>
          </cell>
          <cell r="D5702" t="str">
            <v>EU M-SO WP.DR.KL3B ODŚC.OK20KG NB MR K4</v>
          </cell>
        </row>
        <row r="5703">
          <cell r="C5703">
            <v>3037215</v>
          </cell>
          <cell r="D5703" t="str">
            <v>EU M-SO WP.DR.KL3ODŚC.80/20 OK20KG PBDMR</v>
          </cell>
        </row>
        <row r="5704">
          <cell r="C5704">
            <v>3012445</v>
          </cell>
          <cell r="D5704" t="str">
            <v>EU M-SO WP.DR.KL3ODŚC.80/20OK20KGNB DMR</v>
          </cell>
        </row>
        <row r="5705">
          <cell r="C5705">
            <v>3038447</v>
          </cell>
          <cell r="D5705" t="str">
            <v>EU M-SO WP.DR.KL3 ODŚC.80/20 RO1</v>
          </cell>
        </row>
        <row r="5706">
          <cell r="C5706">
            <v>3014442</v>
          </cell>
          <cell r="D5706" t="str">
            <v>***M-SO WP.DR.KL3 ODŚC.80/20 PB RO1</v>
          </cell>
        </row>
        <row r="5707">
          <cell r="C5707">
            <v>3020315</v>
          </cell>
          <cell r="D5707" t="str">
            <v>EU M-SO WP.DR.KL3 ODŚC.80/20 USR CH2</v>
          </cell>
        </row>
        <row r="5708">
          <cell r="C5708">
            <v>3038490</v>
          </cell>
          <cell r="D5708" t="str">
            <v>EU M-SO WP.DR.KL3 ODŚC.80/20 RO2</v>
          </cell>
        </row>
        <row r="5709">
          <cell r="C5709">
            <v>3035430</v>
          </cell>
          <cell r="D5709" t="str">
            <v>M-SO WP.KL3 ODŚC.80/20 PBX2</v>
          </cell>
        </row>
        <row r="5710">
          <cell r="C5710">
            <v>3024255</v>
          </cell>
          <cell r="D5710" t="str">
            <v>***M-SO WP.DR.KL3 ODŚC.80/20 PB RO2</v>
          </cell>
        </row>
        <row r="5711">
          <cell r="C5711">
            <v>3035376</v>
          </cell>
          <cell r="D5711" t="str">
            <v>M-SO WP.KL3 ODŚC.80/20 CH PBX ST2</v>
          </cell>
        </row>
        <row r="5712">
          <cell r="C5712">
            <v>3023019</v>
          </cell>
          <cell r="D5712" t="str">
            <v>EU M-SO WP.DR.KL3B ROZP1</v>
          </cell>
        </row>
        <row r="5713">
          <cell r="C5713">
            <v>3027664</v>
          </cell>
          <cell r="D5713" t="str">
            <v>EU M-SO WP.DR.KL3B Z SZYN.ROZP1</v>
          </cell>
        </row>
        <row r="5714">
          <cell r="C5714">
            <v>3028115</v>
          </cell>
          <cell r="D5714" t="str">
            <v>M-SO WP.DR.KL3 ODŚC.80/20 ROZP1</v>
          </cell>
        </row>
        <row r="5715">
          <cell r="C5715">
            <v>3023022</v>
          </cell>
          <cell r="D5715" t="str">
            <v>EU M-SO WP.DR.KL3B ROZP2</v>
          </cell>
        </row>
        <row r="5716">
          <cell r="C5716">
            <v>3027665</v>
          </cell>
          <cell r="D5716" t="str">
            <v>EU M-SO WP.DR.KL3B Z SZYN.ROZP2</v>
          </cell>
        </row>
        <row r="5717">
          <cell r="C5717">
            <v>3028134</v>
          </cell>
          <cell r="D5717" t="str">
            <v>M-SO WP.DR.KL3 ODŚC.80/20 ROZP2</v>
          </cell>
        </row>
        <row r="5718">
          <cell r="C5718">
            <v>3015999</v>
          </cell>
          <cell r="D5718" t="str">
            <v>EU M-SO WP.DR.KL4 CIE.CH</v>
          </cell>
        </row>
        <row r="5719">
          <cell r="C5719">
            <v>3016073</v>
          </cell>
          <cell r="D5719" t="str">
            <v>EU M-SO WP.DR.KL4 CIE.OK20KG NB MR ST</v>
          </cell>
        </row>
        <row r="5720">
          <cell r="C5720">
            <v>3008758</v>
          </cell>
          <cell r="D5720" t="str">
            <v>***EU M-SO DR.WP.KL.4 NB PJ MR ST</v>
          </cell>
        </row>
        <row r="5721">
          <cell r="C5721">
            <v>3007917</v>
          </cell>
          <cell r="D5721" t="str">
            <v>***M-SO WP.KL.4 CIEMNE OK.15KGWOR PJCHST</v>
          </cell>
        </row>
        <row r="5722">
          <cell r="C5722">
            <v>3012603</v>
          </cell>
          <cell r="D5722" t="str">
            <v>***EU M-SO WP.DR.KL4 CIE.OK15KGWOR PJ ST</v>
          </cell>
        </row>
        <row r="5723">
          <cell r="C5723">
            <v>3009699</v>
          </cell>
          <cell r="D5723" t="str">
            <v>***EU M-SO DR.WP.KL4 CIE.OKT ST</v>
          </cell>
        </row>
        <row r="5724">
          <cell r="C5724">
            <v>3012324</v>
          </cell>
          <cell r="D5724" t="str">
            <v>EU M-SO WP.DR.KL4 CIE.PBX ST</v>
          </cell>
        </row>
        <row r="5725">
          <cell r="C5725">
            <v>3013178</v>
          </cell>
          <cell r="D5725" t="str">
            <v>M-SO WP.DR.KL4.CIE.OK.KG NB MR ZAK</v>
          </cell>
        </row>
        <row r="5726">
          <cell r="C5726">
            <v>3033631</v>
          </cell>
          <cell r="D5726" t="str">
            <v>EU M-SO WP.DR.KL4 CIE.PBX K4</v>
          </cell>
        </row>
        <row r="5727">
          <cell r="C5727">
            <v>3016075</v>
          </cell>
          <cell r="D5727" t="str">
            <v>EU M-SO WP.DR.KL4 CIE.OK20KG NB DMR</v>
          </cell>
        </row>
        <row r="5728">
          <cell r="C5728">
            <v>3006346</v>
          </cell>
          <cell r="D5728" t="str">
            <v>EU M-SO DR.WP.KL.4 NB DMR</v>
          </cell>
        </row>
        <row r="5729">
          <cell r="C5729">
            <v>3007918</v>
          </cell>
          <cell r="D5729" t="str">
            <v>EU M-SO WP.DR.KL4 CIE.RO1</v>
          </cell>
        </row>
        <row r="5730">
          <cell r="C5730">
            <v>3020316</v>
          </cell>
          <cell r="D5730" t="str">
            <v>EU M-SO WP.DR.KL4 CIE.RO2</v>
          </cell>
        </row>
        <row r="5731">
          <cell r="C5731">
            <v>3032179</v>
          </cell>
          <cell r="D5731" t="str">
            <v>EU M-SO WP.DR.KL4 CIE.Z SZYN.CH</v>
          </cell>
        </row>
        <row r="5732">
          <cell r="C5732">
            <v>3032220</v>
          </cell>
          <cell r="D5732" t="str">
            <v>EU M-SO WP.DR.KL4 CIE.Z SZYN.PBX1</v>
          </cell>
        </row>
        <row r="5733">
          <cell r="C5733">
            <v>3043075</v>
          </cell>
          <cell r="D5733" t="str">
            <v>EU M-SO WP.DR.KL4 CIE.Z SZYN.USR</v>
          </cell>
        </row>
        <row r="5734">
          <cell r="C5734">
            <v>3032222</v>
          </cell>
          <cell r="D5734" t="str">
            <v>EU M-SO WP.DR.KL4 CIE.Z SZYN.PBX2</v>
          </cell>
        </row>
        <row r="5735">
          <cell r="C5735">
            <v>3015245</v>
          </cell>
          <cell r="D5735" t="str">
            <v>EU M-SO WP.DR.KL4 CIE.USR1</v>
          </cell>
        </row>
        <row r="5736">
          <cell r="C5736">
            <v>3025000</v>
          </cell>
          <cell r="D5736" t="str">
            <v>EU M-SO WP.DR.KL4 CIE.PBX USR ST1</v>
          </cell>
        </row>
        <row r="5737">
          <cell r="C5737">
            <v>3020317</v>
          </cell>
          <cell r="D5737" t="str">
            <v>EU M-SO WP.DR.KL4 CIE.USR2</v>
          </cell>
        </row>
        <row r="5738">
          <cell r="C5738">
            <v>3025260</v>
          </cell>
          <cell r="D5738" t="str">
            <v>EU M-SO WP.DR.KL4 CIE.PBX USR ST2</v>
          </cell>
        </row>
        <row r="5739">
          <cell r="C5739">
            <v>3037547</v>
          </cell>
          <cell r="D5739" t="str">
            <v>PP M-SO WP.DR.KL4 CIE.CH</v>
          </cell>
        </row>
        <row r="5740">
          <cell r="C5740">
            <v>3040953</v>
          </cell>
          <cell r="D5740" t="str">
            <v>PP M-SO WP.DR.KL4 CIE.OK15KG NB MR ST</v>
          </cell>
        </row>
        <row r="5741">
          <cell r="C5741">
            <v>3037632</v>
          </cell>
          <cell r="D5741" t="str">
            <v>PP M-SO WP.DR.KL4 CIE.PBX ST1</v>
          </cell>
        </row>
        <row r="5742">
          <cell r="C5742">
            <v>3045039</v>
          </cell>
          <cell r="D5742" t="str">
            <v>PP M-SOWP.DR.KL4 CIE.Z SZYN.OK20KGNBMRST</v>
          </cell>
        </row>
        <row r="5743">
          <cell r="C5743">
            <v>3037655</v>
          </cell>
          <cell r="D5743" t="str">
            <v>PP M-SO WP.DR.KL4 CIE.PBX K4</v>
          </cell>
        </row>
        <row r="5744">
          <cell r="C5744">
            <v>3039208</v>
          </cell>
          <cell r="D5744" t="str">
            <v>PP M-SO WP.DR.KL4 CIE.Z SZYN.CH</v>
          </cell>
        </row>
        <row r="5745">
          <cell r="C5745">
            <v>3039347</v>
          </cell>
          <cell r="D5745" t="str">
            <v>PP M-SO WP.DR.KL4 CIE.Z SZYN.PBX ST1</v>
          </cell>
        </row>
        <row r="5746">
          <cell r="C5746">
            <v>3037634</v>
          </cell>
          <cell r="D5746" t="str">
            <v>PP M-SO WP.DR.KL4 CIE.USR</v>
          </cell>
        </row>
        <row r="5747">
          <cell r="C5747">
            <v>3039375</v>
          </cell>
          <cell r="D5747" t="str">
            <v>PP M-SO WP.DR.KL4 CIE.OK15KG NB DMR</v>
          </cell>
        </row>
        <row r="5748">
          <cell r="C5748">
            <v>3045040</v>
          </cell>
          <cell r="D5748" t="str">
            <v>PP M-SO WP.DR.KL4 CIE.Z SZYN.OK20KGNBDMR</v>
          </cell>
        </row>
        <row r="5749">
          <cell r="C5749">
            <v>3040239</v>
          </cell>
          <cell r="D5749" t="str">
            <v>PP M-SO WP.DR.KL4 CIE.PBX ST2</v>
          </cell>
        </row>
        <row r="5750">
          <cell r="C5750">
            <v>3039409</v>
          </cell>
          <cell r="D5750" t="str">
            <v>PP M-SO WP.DR.KL4 CIE.Z SZYN.PBX ST2</v>
          </cell>
        </row>
        <row r="5751">
          <cell r="C5751">
            <v>3043009</v>
          </cell>
          <cell r="D5751" t="str">
            <v>PP M-SO WP.DR.KL4 CIE.Z SZYN.USR</v>
          </cell>
        </row>
        <row r="5752">
          <cell r="C5752">
            <v>3015995</v>
          </cell>
          <cell r="D5752" t="str">
            <v>M-SO WP.KL1 CIE.EXT.CH</v>
          </cell>
        </row>
        <row r="5753">
          <cell r="C5753">
            <v>3042728</v>
          </cell>
          <cell r="D5753" t="str">
            <v>M-SO WP.KL1 CIE.EXT.OK20KG NB MR ST</v>
          </cell>
        </row>
        <row r="5754">
          <cell r="C5754">
            <v>3041096</v>
          </cell>
          <cell r="D5754" t="str">
            <v>M-SO WP.KL1 CIE.EXT.PBX1</v>
          </cell>
        </row>
        <row r="5755">
          <cell r="C5755">
            <v>4003974</v>
          </cell>
          <cell r="D5755" t="str">
            <v>***EU M-SO WP.DR.KL2 LUZ KT</v>
          </cell>
        </row>
        <row r="5756">
          <cell r="C5756">
            <v>3041706</v>
          </cell>
          <cell r="D5756" t="str">
            <v>M-SO WP.DR.KL1 CIE.EXT.PBX ST</v>
          </cell>
        </row>
        <row r="5757">
          <cell r="C5757">
            <v>3041024</v>
          </cell>
          <cell r="D5757" t="str">
            <v>EU M-SO WP.KL1 CIE.EXT.PBX K4</v>
          </cell>
        </row>
        <row r="5758">
          <cell r="C5758">
            <v>3042727</v>
          </cell>
          <cell r="D5758" t="str">
            <v>M-SO WP.KL1 CIE.EXT.OK20KG NB DMR</v>
          </cell>
        </row>
        <row r="5759">
          <cell r="C5759">
            <v>3041127</v>
          </cell>
          <cell r="D5759" t="str">
            <v>M-SO WP.KL1 CIE.EXT.PBX2</v>
          </cell>
        </row>
        <row r="5760">
          <cell r="C5760">
            <v>3015234</v>
          </cell>
          <cell r="D5760" t="str">
            <v>M-SO WP.KL1 CIE.EXT.USR</v>
          </cell>
        </row>
        <row r="5761">
          <cell r="C5761">
            <v>3042729</v>
          </cell>
          <cell r="D5761" t="str">
            <v>PP M-SO WP.KL1 CIE.EXT.CH</v>
          </cell>
        </row>
        <row r="5762">
          <cell r="C5762">
            <v>3042734</v>
          </cell>
          <cell r="D5762" t="str">
            <v>PP M-SO WP.DR.KL1 CIE.EXT.PBX1</v>
          </cell>
        </row>
        <row r="5763">
          <cell r="C5763">
            <v>3042730</v>
          </cell>
          <cell r="D5763" t="str">
            <v>PP M-SO WP.KL1 CIE.EXT.USR</v>
          </cell>
        </row>
        <row r="5764">
          <cell r="C5764">
            <v>3042737</v>
          </cell>
          <cell r="D5764" t="str">
            <v>PP M-SO WP.DR.KL1 CIE.EXT.PBX2</v>
          </cell>
        </row>
        <row r="5765">
          <cell r="C5765">
            <v>3037036</v>
          </cell>
          <cell r="D5765" t="str">
            <v>EU M-SO WP.DR.KL1 CIE.Z ŁOP.CH</v>
          </cell>
        </row>
        <row r="5766">
          <cell r="C5766">
            <v>3037118</v>
          </cell>
          <cell r="D5766" t="str">
            <v>EU M-SO WP.DR.KL1 CIE.Z ŁOP.OK20KGNBMRST</v>
          </cell>
        </row>
        <row r="5767">
          <cell r="C5767">
            <v>3037035</v>
          </cell>
          <cell r="D5767" t="str">
            <v>EU M-SO WP.DR.KL1 CIE.Z ŁOP.PBX1</v>
          </cell>
        </row>
        <row r="5768">
          <cell r="C5768">
            <v>3040954</v>
          </cell>
          <cell r="D5768" t="str">
            <v>EU M-SO WP.DR.KL1 CIE.Z ŁOP.PBX ST</v>
          </cell>
        </row>
        <row r="5769">
          <cell r="C5769">
            <v>3033992</v>
          </cell>
          <cell r="D5769" t="str">
            <v>EU M-SO WP.DR.KL1 ŁOP.OK20KGWOR PJ K4</v>
          </cell>
        </row>
        <row r="5770">
          <cell r="C5770">
            <v>3037117</v>
          </cell>
          <cell r="D5770" t="str">
            <v>EU M-SO WP.DR.KL1 CIE.Z ŁOP.OK20KGNB DMR</v>
          </cell>
        </row>
        <row r="5771">
          <cell r="C5771">
            <v>3037119</v>
          </cell>
          <cell r="D5771" t="str">
            <v>EU M-SO WP.DR.KL1 CIE.Z ŁOP.RO1</v>
          </cell>
        </row>
        <row r="5772">
          <cell r="C5772">
            <v>3037143</v>
          </cell>
          <cell r="D5772" t="str">
            <v>EU M-SO WP.DR.KL1 CIE.Z ŁOP.RO2</v>
          </cell>
        </row>
        <row r="5773">
          <cell r="C5773">
            <v>3037115</v>
          </cell>
          <cell r="D5773" t="str">
            <v>EU M-SO WP.DR.KL1 CIE.Z ŁOP.PBX2</v>
          </cell>
        </row>
        <row r="5774">
          <cell r="C5774">
            <v>3039416</v>
          </cell>
          <cell r="D5774" t="str">
            <v>PP M-SO WP.Z ŁOP.KL1B</v>
          </cell>
        </row>
        <row r="5775">
          <cell r="C5775">
            <v>3041026</v>
          </cell>
          <cell r="D5775" t="str">
            <v>PPM-SO WP.DR.KL1B CIE.Z ŁOP.OK15KGNBMRST</v>
          </cell>
        </row>
        <row r="5776">
          <cell r="C5776">
            <v>3041119</v>
          </cell>
          <cell r="D5776" t="str">
            <v>PP M-SO WP.DR.KL1B CIE.Z ŁOP.PBX ST1</v>
          </cell>
        </row>
        <row r="5777">
          <cell r="C5777">
            <v>3039342</v>
          </cell>
          <cell r="D5777" t="str">
            <v>PPM-SO WP.DR.KL1B CIE.Z ŁOP.OK15KGNB DMR</v>
          </cell>
        </row>
        <row r="5778">
          <cell r="C5778">
            <v>3041031</v>
          </cell>
          <cell r="D5778" t="str">
            <v>PP M-SO WP.DR.KL1B CIE.Z ŁOP.RO1</v>
          </cell>
        </row>
        <row r="5779">
          <cell r="C5779">
            <v>3042963</v>
          </cell>
          <cell r="D5779" t="str">
            <v>PP M-SO WP.DR.KL1B CIE.Z ŁOP.RO2</v>
          </cell>
        </row>
        <row r="5780">
          <cell r="C5780">
            <v>3041875</v>
          </cell>
          <cell r="D5780" t="str">
            <v>PP M-SO WP.DR.KL1B CIE.Z ŁOP.PBX ST2</v>
          </cell>
        </row>
        <row r="5781">
          <cell r="C5781">
            <v>3015991</v>
          </cell>
          <cell r="D5781" t="str">
            <v>EU M-SO WP.DR.KL1 JAS.CH</v>
          </cell>
        </row>
        <row r="5782">
          <cell r="C5782">
            <v>3021015</v>
          </cell>
          <cell r="D5782" t="str">
            <v>EU M-SO WP.DR.KL1 JAS.OK20KG NB MR ST</v>
          </cell>
        </row>
        <row r="5783">
          <cell r="C5783">
            <v>3012682</v>
          </cell>
          <cell r="D5783" t="str">
            <v>M-SO WP.KL1 CIE.PBX CH EŁ1</v>
          </cell>
        </row>
        <row r="5784">
          <cell r="C5784">
            <v>3023088</v>
          </cell>
          <cell r="D5784" t="str">
            <v>***EU M-SO WP.DR.KL1 JAS.OK15KG PJ CH ST</v>
          </cell>
        </row>
        <row r="5785">
          <cell r="C5785">
            <v>3031396</v>
          </cell>
          <cell r="D5785" t="str">
            <v>***EU M-SO WP.DR.KL1 JAS.OK700KG OKT ST</v>
          </cell>
        </row>
        <row r="5786">
          <cell r="C5786">
            <v>3034779</v>
          </cell>
          <cell r="D5786" t="str">
            <v>***EUM-SO WP.DR.KL1 JAS.OK20KGWORPJK4ZAK</v>
          </cell>
        </row>
        <row r="5787">
          <cell r="C5787">
            <v>3034580</v>
          </cell>
          <cell r="D5787" t="str">
            <v>EU M-SO WP.DR.KL1 JAS.OK20KGWOR PJ K4</v>
          </cell>
        </row>
        <row r="5788">
          <cell r="C5788">
            <v>3034582</v>
          </cell>
          <cell r="D5788" t="str">
            <v>EU M-SO WP.DR.KL1 JAS.OK20KG NB MR K4</v>
          </cell>
        </row>
        <row r="5789">
          <cell r="C5789">
            <v>3034589</v>
          </cell>
          <cell r="D5789" t="str">
            <v>EU M-SO WP.DR.KL1 JAS.OK20KG NB DMR</v>
          </cell>
        </row>
        <row r="5790">
          <cell r="C5790">
            <v>3021016</v>
          </cell>
          <cell r="D5790" t="str">
            <v>EU M-SO WP.DR.KL1 JAS.RO1</v>
          </cell>
        </row>
        <row r="5791">
          <cell r="C5791">
            <v>3021027</v>
          </cell>
          <cell r="D5791" t="str">
            <v>EU M-SO WP.DR.KL1 JAS.RO2</v>
          </cell>
        </row>
        <row r="5792">
          <cell r="C5792">
            <v>3016302</v>
          </cell>
          <cell r="D5792" t="str">
            <v>EU M-SO WP.DR.KL1 JAS.USR1</v>
          </cell>
        </row>
        <row r="5793">
          <cell r="C5793">
            <v>3025001</v>
          </cell>
          <cell r="D5793" t="str">
            <v>EU M-SO WP.DR.KL1 JAS.USR PBX1</v>
          </cell>
        </row>
        <row r="5794">
          <cell r="C5794">
            <v>3020318</v>
          </cell>
          <cell r="D5794" t="str">
            <v>EU M-SO WP.DR.KL1 JAS.USR2</v>
          </cell>
        </row>
        <row r="5795">
          <cell r="C5795">
            <v>3025261</v>
          </cell>
          <cell r="D5795" t="str">
            <v>EU M-SO WP.DR.KL1 JAS.USR PBX2</v>
          </cell>
        </row>
        <row r="5796">
          <cell r="C5796">
            <v>3038189</v>
          </cell>
          <cell r="D5796" t="str">
            <v>PP M-SO WP.DR.KL1 JAS.CH</v>
          </cell>
        </row>
        <row r="5797">
          <cell r="C5797">
            <v>3039387</v>
          </cell>
          <cell r="D5797" t="str">
            <v>PP M-SO WP.DR.KL1 JAS.PBX ST1</v>
          </cell>
        </row>
        <row r="5798">
          <cell r="C5798">
            <v>3038259</v>
          </cell>
          <cell r="D5798" t="str">
            <v>PP M-SO WP.DR.KL1 JAS.USR</v>
          </cell>
        </row>
        <row r="5799">
          <cell r="C5799">
            <v>3040456</v>
          </cell>
          <cell r="D5799" t="str">
            <v>PP M-SO WP.DR.KL1 JAS.PBX ST2</v>
          </cell>
        </row>
        <row r="5800">
          <cell r="C5800">
            <v>3019065</v>
          </cell>
          <cell r="D5800" t="str">
            <v>M-SO WP.DR.KL1 JAS.ROZP1</v>
          </cell>
        </row>
        <row r="5801">
          <cell r="C5801">
            <v>3020319</v>
          </cell>
          <cell r="D5801" t="str">
            <v>M-SO WP.DR.KL1 JAS.ROZP2</v>
          </cell>
        </row>
        <row r="5802">
          <cell r="C5802">
            <v>3015992</v>
          </cell>
          <cell r="D5802" t="str">
            <v>EU M-SO WP.DR.KL1 CIE.CH</v>
          </cell>
        </row>
        <row r="5803">
          <cell r="C5803">
            <v>3021492</v>
          </cell>
          <cell r="D5803" t="str">
            <v>EU M-SO WP.DR.KL1 CIE.OK20KG NB MR ST</v>
          </cell>
        </row>
        <row r="5804">
          <cell r="C5804">
            <v>3023087</v>
          </cell>
          <cell r="D5804" t="str">
            <v>EU M-SO WP.DR.KL1 CIE.OK15KG PJ CH ST</v>
          </cell>
        </row>
        <row r="5805">
          <cell r="C5805">
            <v>3031397</v>
          </cell>
          <cell r="D5805" t="str">
            <v>***EU M-SO WP.DR.KL1 CIE.OK700KG OKT ST</v>
          </cell>
        </row>
        <row r="5806">
          <cell r="C5806">
            <v>3040971</v>
          </cell>
          <cell r="D5806" t="str">
            <v>EU M-SO WP.DR.KL1 CIE.PBX ST</v>
          </cell>
        </row>
        <row r="5807">
          <cell r="C5807">
            <v>3012663</v>
          </cell>
          <cell r="D5807" t="str">
            <v>M-SO WP.KL1 CIE.OK15KGWOR PJ CH EŁ1</v>
          </cell>
        </row>
        <row r="5808">
          <cell r="C5808">
            <v>3014203</v>
          </cell>
          <cell r="D5808" t="str">
            <v>EU M-SO WP.DR.KL1B Z ŁOP.NB MR SZ</v>
          </cell>
        </row>
        <row r="5809">
          <cell r="C5809">
            <v>3026940</v>
          </cell>
          <cell r="D5809" t="str">
            <v>EU M-SO WP.DR.KL1 CIE.OK15KGWOR PJ CH K2</v>
          </cell>
        </row>
        <row r="5810">
          <cell r="C5810">
            <v>3012699</v>
          </cell>
          <cell r="D5810" t="str">
            <v>M-SO WP.KL1 CIE.OK15KGWOR MR EŁ</v>
          </cell>
        </row>
        <row r="5811">
          <cell r="C5811">
            <v>3032767</v>
          </cell>
          <cell r="D5811" t="str">
            <v>M-SO WP.DR.KL1 CIE.PRZET.OK15KG PB MR K2</v>
          </cell>
        </row>
        <row r="5812">
          <cell r="C5812">
            <v>3031753</v>
          </cell>
          <cell r="D5812" t="str">
            <v>***M-SO WP.KL1 CIE.KGVAC K4 ZAK</v>
          </cell>
        </row>
        <row r="5813">
          <cell r="C5813">
            <v>3006304</v>
          </cell>
          <cell r="D5813" t="str">
            <v>M-SO WP.KL1 CIE.MR SZ</v>
          </cell>
        </row>
        <row r="5814">
          <cell r="C5814">
            <v>3033599</v>
          </cell>
          <cell r="D5814" t="str">
            <v>EU M-SO WP.DR.KL1 CIE.OK20KGWOR PJ K4</v>
          </cell>
        </row>
        <row r="5815">
          <cell r="C5815">
            <v>3033597</v>
          </cell>
          <cell r="D5815" t="str">
            <v>EU M-SO WP.DR.KL1 CIE.OK20KG NB MR K4</v>
          </cell>
        </row>
        <row r="5816">
          <cell r="C5816">
            <v>3036419</v>
          </cell>
          <cell r="D5816" t="str">
            <v>EU M-SO WP.DR.KL1 CIE.PBX 1OB K4</v>
          </cell>
        </row>
        <row r="5817">
          <cell r="C5817">
            <v>3002897</v>
          </cell>
          <cell r="D5817" t="str">
            <v>M-SO WP.KL1B Z ŁOP.NB MR SZ</v>
          </cell>
        </row>
        <row r="5818">
          <cell r="C5818">
            <v>3033601</v>
          </cell>
          <cell r="D5818" t="str">
            <v>EU M-SO WP.DR.KL1 CIE.PBX K4</v>
          </cell>
        </row>
        <row r="5819">
          <cell r="C5819">
            <v>3031477</v>
          </cell>
          <cell r="D5819" t="str">
            <v>M-SO WP.DR.KL1 CIE.MR ZAK</v>
          </cell>
        </row>
        <row r="5820">
          <cell r="C5820">
            <v>3021510</v>
          </cell>
          <cell r="D5820" t="str">
            <v>EU M-SO WP.DR.KL1 CIE.OK20KG NB DMR</v>
          </cell>
        </row>
        <row r="5821">
          <cell r="C5821">
            <v>3014288</v>
          </cell>
          <cell r="D5821" t="str">
            <v>EU M-SO WP.DR.KL1B Z ŁOP.RO1</v>
          </cell>
        </row>
        <row r="5822">
          <cell r="C5822">
            <v>3031449</v>
          </cell>
          <cell r="D5822" t="str">
            <v>EU M-SO WP.DR.KL1 CIE.RO1</v>
          </cell>
        </row>
        <row r="5823">
          <cell r="C5823">
            <v>3021516</v>
          </cell>
          <cell r="D5823" t="str">
            <v>EU M-SO WP.DR.KL1B Z ŁOP.RO2</v>
          </cell>
        </row>
        <row r="5824">
          <cell r="C5824">
            <v>3031490</v>
          </cell>
          <cell r="D5824" t="str">
            <v>EU M-SO WP.DR.KL1 CIE.RO2</v>
          </cell>
        </row>
        <row r="5825">
          <cell r="C5825">
            <v>3016311</v>
          </cell>
          <cell r="D5825" t="str">
            <v>EU M-SO WP.DR.KL1 CIE.USR CH1</v>
          </cell>
        </row>
        <row r="5826">
          <cell r="C5826">
            <v>3025002</v>
          </cell>
          <cell r="D5826" t="str">
            <v>EU M-SO WP.DR.KL1 CIE.USR PBX1</v>
          </cell>
        </row>
        <row r="5827">
          <cell r="C5827">
            <v>3032642</v>
          </cell>
          <cell r="D5827" t="str">
            <v>EU M-SO WP.DR.KL1 CIE.GAP USR CH</v>
          </cell>
        </row>
        <row r="5828">
          <cell r="C5828">
            <v>3032654</v>
          </cell>
          <cell r="D5828" t="str">
            <v>EU M-SO WP.DR.KL1 CIE.PBX GAP</v>
          </cell>
        </row>
        <row r="5829">
          <cell r="C5829">
            <v>3032652</v>
          </cell>
          <cell r="D5829" t="str">
            <v>EU M-SO WP.DR.KL1 CIE.OK20KGLUZPJ GAP ST</v>
          </cell>
        </row>
        <row r="5830">
          <cell r="C5830">
            <v>3020320</v>
          </cell>
          <cell r="D5830" t="str">
            <v>EU M-SO WP.DR.KL1 CIE.USR CH2</v>
          </cell>
        </row>
        <row r="5831">
          <cell r="C5831">
            <v>3025262</v>
          </cell>
          <cell r="D5831" t="str">
            <v>EU M-SO WP.DR.KL1 CIE.USR PBX2</v>
          </cell>
        </row>
        <row r="5832">
          <cell r="C5832">
            <v>3037554</v>
          </cell>
          <cell r="D5832" t="str">
            <v>PP M-SO WP.DR.KL1 CIE.CH</v>
          </cell>
        </row>
        <row r="5833">
          <cell r="C5833">
            <v>3041025</v>
          </cell>
          <cell r="D5833" t="str">
            <v>PP M-SO WP.DR.KL1 CIE.OK15KG NB MR ST</v>
          </cell>
        </row>
        <row r="5834">
          <cell r="C5834">
            <v>3037726</v>
          </cell>
          <cell r="D5834" t="str">
            <v>PP M-SO WP.DR.KL1 CIE.USR PBX ST1</v>
          </cell>
        </row>
        <row r="5835">
          <cell r="C5835">
            <v>3039534</v>
          </cell>
          <cell r="D5835" t="str">
            <v>PP M-SO WP.DR.KL1 CIE.OK15KGLUZ PJ ST</v>
          </cell>
        </row>
        <row r="5836">
          <cell r="C5836">
            <v>3037670</v>
          </cell>
          <cell r="D5836" t="str">
            <v>PP M-SO WP.DR.KL1 CIE.USR</v>
          </cell>
        </row>
        <row r="5837">
          <cell r="C5837">
            <v>3039326</v>
          </cell>
          <cell r="D5837" t="str">
            <v>PP M-SO WP.DR.KL1 CIE.OK15KG NB DMR</v>
          </cell>
        </row>
        <row r="5838">
          <cell r="C5838">
            <v>3039555</v>
          </cell>
          <cell r="D5838" t="str">
            <v>PP M-SO WP.DR.KL1 CIE.RO1</v>
          </cell>
        </row>
        <row r="5839">
          <cell r="C5839">
            <v>3039557</v>
          </cell>
          <cell r="D5839" t="str">
            <v>PP M-SO WP.DR.KL1 CIE.RO2</v>
          </cell>
        </row>
        <row r="5840">
          <cell r="C5840">
            <v>3037768</v>
          </cell>
          <cell r="D5840" t="str">
            <v>PP M-SO WP.DR.KL1 CIE.USR PBX ST2</v>
          </cell>
        </row>
        <row r="5841">
          <cell r="C5841">
            <v>3032643</v>
          </cell>
          <cell r="D5841" t="str">
            <v>EU M-SO WP.DR.KL1 CIE.GAP CH</v>
          </cell>
        </row>
        <row r="5842">
          <cell r="C5842">
            <v>3042962</v>
          </cell>
          <cell r="D5842" t="str">
            <v>EU M-SO WP.DR.KL1 CIE.OK20KGNB GAP MR ST</v>
          </cell>
        </row>
        <row r="5843">
          <cell r="C5843">
            <v>3042961</v>
          </cell>
          <cell r="D5843" t="str">
            <v>EU M-SO WP.DR.KL1 CIE.OK20KG NB GAP DMR</v>
          </cell>
        </row>
        <row r="5844">
          <cell r="C5844">
            <v>3007921</v>
          </cell>
          <cell r="D5844" t="str">
            <v>EU M-SO WP.DR.KL2A.Z ŁOP.CH1</v>
          </cell>
        </row>
        <row r="5845">
          <cell r="C5845">
            <v>3007922</v>
          </cell>
          <cell r="D5845" t="str">
            <v>EU M-SO WP.DR.KL2A Z ŁOP.NB MR ST</v>
          </cell>
        </row>
        <row r="5846">
          <cell r="C5846">
            <v>3025003</v>
          </cell>
          <cell r="D5846" t="str">
            <v>EU M-SO WP.DR.KL2A Z ŁOP.PBX ST1</v>
          </cell>
        </row>
        <row r="5847">
          <cell r="C5847">
            <v>3032401</v>
          </cell>
          <cell r="D5847" t="str">
            <v>EU M-SO WP.DR.KL2A Z ŁOP.OK15KGNBGAPMRST</v>
          </cell>
        </row>
        <row r="5848">
          <cell r="C5848">
            <v>3032178</v>
          </cell>
          <cell r="D5848" t="str">
            <v>M-SO WP.KL2A Z ŁOP.OK400KGCVP PBX SZ</v>
          </cell>
        </row>
        <row r="5849">
          <cell r="C5849">
            <v>3012634</v>
          </cell>
          <cell r="D5849" t="str">
            <v>M-SO WP.KL2A Z ŁOP.NB MR SZ</v>
          </cell>
        </row>
        <row r="5850">
          <cell r="C5850">
            <v>3031200</v>
          </cell>
          <cell r="D5850" t="str">
            <v>M-SO WP.KL2A Z ŁOP.OK500KG OKT SZ</v>
          </cell>
        </row>
        <row r="5851">
          <cell r="C5851">
            <v>3007923</v>
          </cell>
          <cell r="D5851" t="str">
            <v>EU M-SO WP.DR.KL2A.Z ŁOP.NB DMR</v>
          </cell>
        </row>
        <row r="5852">
          <cell r="C5852">
            <v>3032400</v>
          </cell>
          <cell r="D5852" t="str">
            <v>EU M-SO WP.DR.KL2A Z ŁOP.OK15KGNBGAP DMR</v>
          </cell>
        </row>
        <row r="5853">
          <cell r="C5853">
            <v>3007924</v>
          </cell>
          <cell r="D5853" t="str">
            <v>EU M-SO WP.DR.Z ŁOP.KL2A NB RO1</v>
          </cell>
        </row>
        <row r="5854">
          <cell r="C5854">
            <v>3020321</v>
          </cell>
          <cell r="D5854" t="str">
            <v>EU M-SO WP.DR.KL2A.Z ŁOP.CH2</v>
          </cell>
        </row>
        <row r="5855">
          <cell r="C5855">
            <v>3029775</v>
          </cell>
          <cell r="D5855" t="str">
            <v>EU M-SO WP.DR.Z ŁOP.KL2A NB RO2</v>
          </cell>
        </row>
        <row r="5856">
          <cell r="C5856">
            <v>3025263</v>
          </cell>
          <cell r="D5856" t="str">
            <v>EU M-SO WP.DR.KL2A Z ŁOP.PBX ST2</v>
          </cell>
        </row>
        <row r="5857">
          <cell r="C5857">
            <v>3007925</v>
          </cell>
          <cell r="D5857" t="str">
            <v>EU M-SO WP.DR.KL2A Z ŁOP.USR CH</v>
          </cell>
        </row>
        <row r="5858">
          <cell r="C5858">
            <v>3039120</v>
          </cell>
          <cell r="D5858" t="str">
            <v>PP M-SO WP.DR.KL2A Z ŁOP.CH</v>
          </cell>
        </row>
        <row r="5859">
          <cell r="C5859">
            <v>3039615</v>
          </cell>
          <cell r="D5859" t="str">
            <v>PP M-SO WP.DR.KL2A Z ŁOP.OK20KG NB MR ST</v>
          </cell>
        </row>
        <row r="5860">
          <cell r="C5860">
            <v>3039614</v>
          </cell>
          <cell r="D5860" t="str">
            <v>PP M-SO WP.DR.KL2A Z ŁOP.PBX ST1</v>
          </cell>
        </row>
        <row r="5861">
          <cell r="C5861">
            <v>3039336</v>
          </cell>
          <cell r="D5861" t="str">
            <v>PP M-SO WP.DR.KL2A Z ŁOP.OK15KG NB MR SZ</v>
          </cell>
        </row>
        <row r="5862">
          <cell r="C5862">
            <v>3043058</v>
          </cell>
          <cell r="D5862" t="str">
            <v>PP M-SO WP.DR.KL2A Z ŁOP.USR CH</v>
          </cell>
        </row>
        <row r="5863">
          <cell r="C5863">
            <v>3039340</v>
          </cell>
          <cell r="D5863" t="str">
            <v>PP M-SO WP.DR.KL2A Z ŁOP.OK15KG NB DMR</v>
          </cell>
        </row>
        <row r="5864">
          <cell r="C5864">
            <v>3041974</v>
          </cell>
          <cell r="D5864" t="str">
            <v>PP M-SO WP.DR.KL2A Z ŁOP.RO1</v>
          </cell>
        </row>
        <row r="5865">
          <cell r="C5865">
            <v>3041975</v>
          </cell>
          <cell r="D5865" t="str">
            <v>PP M-SO WP.DR.KL2A Z ŁOP.RO2</v>
          </cell>
        </row>
        <row r="5866">
          <cell r="C5866">
            <v>3039748</v>
          </cell>
          <cell r="D5866" t="str">
            <v>PP M-SO WP.DR.KL2A Z ŁOP.PBX ST2</v>
          </cell>
        </row>
        <row r="5867">
          <cell r="C5867">
            <v>3032411</v>
          </cell>
          <cell r="D5867" t="str">
            <v>EU M-SO WP.DR.KL2A.Z ŁOP.GAP CH</v>
          </cell>
        </row>
        <row r="5868">
          <cell r="C5868">
            <v>3032415</v>
          </cell>
          <cell r="D5868" t="str">
            <v>EU M-SO WP.DR.KL2A Z ŁOP.PBX GAP</v>
          </cell>
        </row>
        <row r="5869">
          <cell r="C5869">
            <v>3007926</v>
          </cell>
          <cell r="D5869" t="str">
            <v>M-SO WP.KL4 Z OBR.PODR.CH</v>
          </cell>
        </row>
        <row r="5870">
          <cell r="C5870">
            <v>3007927</v>
          </cell>
          <cell r="D5870" t="str">
            <v>***M-SO WP.KL4 Z OBR.PODR.NB MR</v>
          </cell>
        </row>
        <row r="5871">
          <cell r="C5871">
            <v>3000190</v>
          </cell>
          <cell r="D5871" t="str">
            <v>M-SO WP KL.4 Z OBR.PODR.OK15KG WOR MR EŁ</v>
          </cell>
        </row>
        <row r="5872">
          <cell r="C5872">
            <v>3007928</v>
          </cell>
          <cell r="D5872" t="str">
            <v>***M-SO WP.KL4 Z OBR.PODR.NB DMR</v>
          </cell>
        </row>
        <row r="5873">
          <cell r="C5873">
            <v>3007929</v>
          </cell>
          <cell r="D5873" t="str">
            <v>***M-SO KL.4 Z.OBR.PODR. PB DMR</v>
          </cell>
        </row>
        <row r="5874">
          <cell r="C5874">
            <v>3018120</v>
          </cell>
          <cell r="D5874" t="str">
            <v>M-SO WP.KL4 Z OBR.PODR.NB RO1</v>
          </cell>
        </row>
        <row r="5875">
          <cell r="C5875">
            <v>3007931</v>
          </cell>
          <cell r="D5875" t="str">
            <v>***M-SO KL.4 Z. OBR.PODR. PB RO</v>
          </cell>
        </row>
        <row r="5876">
          <cell r="C5876">
            <v>3020462</v>
          </cell>
          <cell r="D5876" t="str">
            <v>M-SO WP.KL4 Z OBR.PODR.NB RO2</v>
          </cell>
        </row>
        <row r="5877">
          <cell r="C5877">
            <v>3007932</v>
          </cell>
          <cell r="D5877" t="str">
            <v>***M-SO KL.4 Z. OBR.PODR. CP</v>
          </cell>
        </row>
        <row r="5878">
          <cell r="C5878">
            <v>3042468</v>
          </cell>
          <cell r="D5878" t="str">
            <v>PP M-SO WP.DR.KL1 CIE.ZE SCH.CH</v>
          </cell>
        </row>
        <row r="5879">
          <cell r="C5879">
            <v>3042490</v>
          </cell>
          <cell r="D5879" t="str">
            <v>PP M-SO WP.DR.KL1 CIE.ZE SCH.PBX ST</v>
          </cell>
        </row>
        <row r="5880">
          <cell r="C5880">
            <v>3007933</v>
          </cell>
          <cell r="D5880" t="str">
            <v>EU M-SO DR.WP.KL.1 CIE.KABAN.CH</v>
          </cell>
        </row>
        <row r="5881">
          <cell r="C5881">
            <v>3007934</v>
          </cell>
          <cell r="D5881" t="str">
            <v>***EU M-SO WP.DR.KL1 CIE.KABAN.NB MR</v>
          </cell>
        </row>
        <row r="5882">
          <cell r="C5882">
            <v>3012592</v>
          </cell>
          <cell r="D5882" t="str">
            <v>***EU M-SO DR.WP.KL1 CIE.KABAN.PJ MR ST</v>
          </cell>
        </row>
        <row r="5883">
          <cell r="C5883">
            <v>3002590</v>
          </cell>
          <cell r="D5883" t="str">
            <v>***M-SO WP.KL.1DR.CIEM.KABANOSMR LUZPJST</v>
          </cell>
        </row>
        <row r="5884">
          <cell r="C5884">
            <v>4010571</v>
          </cell>
          <cell r="D5884" t="str">
            <v>***PL MŚ.DR.SZYN.6-8KG TRM OK21KG KT GB</v>
          </cell>
        </row>
        <row r="5885">
          <cell r="C5885">
            <v>4012942</v>
          </cell>
          <cell r="D5885" t="str">
            <v>***PLMŚ.DR.SZYN. 6-8KGTRM OK21KGKTMR SFL</v>
          </cell>
        </row>
        <row r="5886">
          <cell r="C5886">
            <v>4009014</v>
          </cell>
          <cell r="D5886" t="str">
            <v>***EU M-SO DR.WP.KL.1 CIE.KABAN.LUZ PJ</v>
          </cell>
        </row>
        <row r="5887">
          <cell r="C5887">
            <v>3009781</v>
          </cell>
          <cell r="D5887" t="str">
            <v>***EU M-SO DR.WP.KL.1 CIE.KABAN.PJ CH ST</v>
          </cell>
        </row>
        <row r="5888">
          <cell r="C5888">
            <v>3007935</v>
          </cell>
          <cell r="D5888" t="str">
            <v>***EU M-SO WP.DR.KL1 CIE.KABAN.NB DMR</v>
          </cell>
        </row>
        <row r="5889">
          <cell r="C5889">
            <v>3013582</v>
          </cell>
          <cell r="D5889" t="str">
            <v>***EU M-SO DR.WP.KL.1 CIE.KABAN.PB DMR</v>
          </cell>
        </row>
        <row r="5890">
          <cell r="C5890">
            <v>3007936</v>
          </cell>
          <cell r="D5890" t="str">
            <v>***M-SO KL.1 CIEMNE KABAN. PB DMR</v>
          </cell>
        </row>
        <row r="5891">
          <cell r="C5891">
            <v>3018636</v>
          </cell>
          <cell r="D5891" t="str">
            <v>***PL MŚ.DR.SZYN.6-8KGTRMOK21KGKTDMR SFL</v>
          </cell>
        </row>
        <row r="5892">
          <cell r="C5892">
            <v>3007937</v>
          </cell>
          <cell r="D5892" t="str">
            <v>***EU M-SO WP.DR.KL1 CIE.KABAN.NB RO</v>
          </cell>
        </row>
        <row r="5893">
          <cell r="C5893">
            <v>3013581</v>
          </cell>
          <cell r="D5893" t="str">
            <v>***M-SO WP.KL1 DR.CIE.KABAN.PB RO</v>
          </cell>
        </row>
        <row r="5894">
          <cell r="C5894">
            <v>3007938</v>
          </cell>
          <cell r="D5894" t="str">
            <v>***M-SO KL.1 CIEMNE KABAN. PB RO</v>
          </cell>
        </row>
        <row r="5895">
          <cell r="C5895">
            <v>4012059</v>
          </cell>
          <cell r="D5895" t="str">
            <v>***EU MŚ.DR.SZYN.6-8KG TRM OK21KG KT GB</v>
          </cell>
        </row>
        <row r="5896">
          <cell r="C5896">
            <v>4012943</v>
          </cell>
          <cell r="D5896" t="str">
            <v>***EU MŚ.DR.SZYN.6-8KGTRM OK21KGKTMR SFL</v>
          </cell>
        </row>
        <row r="5897">
          <cell r="C5897">
            <v>3018638</v>
          </cell>
          <cell r="D5897" t="str">
            <v>***EU MŚ.DR.SZYN.6-8KGTRMOK21KGKTDMR SFL</v>
          </cell>
        </row>
        <row r="5898">
          <cell r="C5898">
            <v>3007939</v>
          </cell>
          <cell r="D5898" t="str">
            <v>***M-SO KL.1 CIEMNE KABAN. UŚR CH</v>
          </cell>
        </row>
        <row r="5899">
          <cell r="C5899">
            <v>3016010</v>
          </cell>
          <cell r="D5899" t="str">
            <v>EU M-SO WP.DR.KL4 JAS.Z SZYN.CH1</v>
          </cell>
        </row>
        <row r="5900">
          <cell r="C5900">
            <v>3024666</v>
          </cell>
          <cell r="D5900" t="str">
            <v>EU M-SO WP.DR.KL4 JAS.Z SZYN.CH2</v>
          </cell>
        </row>
        <row r="5901">
          <cell r="C5901">
            <v>3008822</v>
          </cell>
          <cell r="D5901" t="str">
            <v>***EU M-SO DR.WP.KL.4 OBR.POLĘD.</v>
          </cell>
        </row>
        <row r="5902">
          <cell r="C5902">
            <v>3007940</v>
          </cell>
          <cell r="D5902" t="str">
            <v>***EU M-SO DR.WP.KL.4 OBR.POLĘD.NB MR</v>
          </cell>
        </row>
        <row r="5903">
          <cell r="C5903">
            <v>1100150</v>
          </cell>
          <cell r="D5903" t="str">
            <v>M-SO KL.4 Z.OBR.POD OBR.POL.PJ-K.3</v>
          </cell>
        </row>
        <row r="5904">
          <cell r="C5904">
            <v>3007941</v>
          </cell>
          <cell r="D5904" t="str">
            <v>***EU M-SO DR.WP.KL.4 OBR.POLĘD.NB DMR</v>
          </cell>
        </row>
        <row r="5905">
          <cell r="C5905">
            <v>3007942</v>
          </cell>
          <cell r="D5905" t="str">
            <v>M-SO KL.4 Z. OBR.PODR-OBR POLĘD. NB RO</v>
          </cell>
        </row>
        <row r="5906">
          <cell r="C5906">
            <v>3045106</v>
          </cell>
          <cell r="D5906" t="str">
            <v>EU M-SO WP.DR.KL4B CH1</v>
          </cell>
        </row>
        <row r="5907">
          <cell r="C5907">
            <v>3007944</v>
          </cell>
          <cell r="D5907" t="str">
            <v>EU M-SO WP.DR.KL4B NB MR ST</v>
          </cell>
        </row>
        <row r="5908">
          <cell r="C5908">
            <v>3025004</v>
          </cell>
          <cell r="D5908" t="str">
            <v>EU M-SO DR.WP.KL4B PBX1</v>
          </cell>
        </row>
        <row r="5909">
          <cell r="C5909">
            <v>3040231</v>
          </cell>
          <cell r="D5909" t="str">
            <v>EU M-SO WP.DR.KL4B OK20KG PB MR ST</v>
          </cell>
        </row>
        <row r="5910">
          <cell r="C5910">
            <v>3002620</v>
          </cell>
          <cell r="D5910" t="str">
            <v>***M-SO WP.DR.KL4B MR PB</v>
          </cell>
        </row>
        <row r="5911">
          <cell r="C5911">
            <v>3029407</v>
          </cell>
          <cell r="D5911" t="str">
            <v>EU M-SO WP.DR.KL4B OK15KGPJ CH ST</v>
          </cell>
        </row>
        <row r="5912">
          <cell r="C5912">
            <v>1100171</v>
          </cell>
          <cell r="D5912" t="str">
            <v>M-SO WP.DR.KL4B-KAT.3</v>
          </cell>
        </row>
        <row r="5913">
          <cell r="C5913">
            <v>3018310</v>
          </cell>
          <cell r="D5913" t="str">
            <v>EU M-SO WP.DR.KL4B PBX ST</v>
          </cell>
        </row>
        <row r="5914">
          <cell r="C5914">
            <v>3007945</v>
          </cell>
          <cell r="D5914" t="str">
            <v>EU M-SO WP.DR.KL4B OK20KG NB DMR</v>
          </cell>
        </row>
        <row r="5915">
          <cell r="C5915">
            <v>3040221</v>
          </cell>
          <cell r="D5915" t="str">
            <v>EU M-SO WP.DR.KL4B OK20KG PB DMR</v>
          </cell>
        </row>
        <row r="5916">
          <cell r="C5916">
            <v>3007946</v>
          </cell>
          <cell r="D5916" t="str">
            <v>***EU M-SO DR.WP.KL4B PB DMR</v>
          </cell>
        </row>
        <row r="5917">
          <cell r="C5917">
            <v>3007947</v>
          </cell>
          <cell r="D5917" t="str">
            <v>EU M-SO WP.DR.KL4B NB RO1</v>
          </cell>
        </row>
        <row r="5918">
          <cell r="C5918">
            <v>3007948</v>
          </cell>
          <cell r="D5918" t="str">
            <v>EU M-SO WP.DR.KL4B PB RO1</v>
          </cell>
        </row>
        <row r="5919">
          <cell r="C5919">
            <v>3045164</v>
          </cell>
          <cell r="D5919" t="str">
            <v>EU M-SO WP.DR.KL4B CH2</v>
          </cell>
        </row>
        <row r="5920">
          <cell r="C5920">
            <v>3020323</v>
          </cell>
          <cell r="D5920" t="str">
            <v>EU M-SO WP.DR.KL4B NB RO2</v>
          </cell>
        </row>
        <row r="5921">
          <cell r="C5921">
            <v>3025264</v>
          </cell>
          <cell r="D5921" t="str">
            <v>EU M-SO DR.WP.KL4B PBX2</v>
          </cell>
        </row>
        <row r="5922">
          <cell r="C5922">
            <v>3020324</v>
          </cell>
          <cell r="D5922" t="str">
            <v>EU M-SO WP.DR.KL4B PB RO2</v>
          </cell>
        </row>
        <row r="5923">
          <cell r="C5923">
            <v>3007949</v>
          </cell>
          <cell r="D5923" t="str">
            <v>M-SO KL.4 Z. OBR.PODR-OBR OZOR. CP</v>
          </cell>
        </row>
        <row r="5924">
          <cell r="C5924">
            <v>3022866</v>
          </cell>
          <cell r="D5924" t="str">
            <v>EU M-SO WP.DR.KL4B ROZP1</v>
          </cell>
        </row>
        <row r="5925">
          <cell r="C5925">
            <v>3022868</v>
          </cell>
          <cell r="D5925" t="str">
            <v>EU M-SO WP.DR.KL4B ROZP2</v>
          </cell>
        </row>
        <row r="5926">
          <cell r="C5926">
            <v>3007950</v>
          </cell>
          <cell r="D5926" t="str">
            <v>EU M-SO WP.DR.KL4 OBR.FIL.PRZEP.CH1</v>
          </cell>
        </row>
        <row r="5927">
          <cell r="C5927">
            <v>3007951</v>
          </cell>
          <cell r="D5927" t="str">
            <v>***EU M-SO DR.WP.KL4 OBR.FIL.PRZEP.NB MR</v>
          </cell>
        </row>
        <row r="5928">
          <cell r="C5928">
            <v>1100172</v>
          </cell>
          <cell r="D5928" t="str">
            <v>M-SO WP.KL4 Z OBR.PODR.-FIL.PRZEP.-KAT.3</v>
          </cell>
        </row>
        <row r="5929">
          <cell r="C5929">
            <v>3007952</v>
          </cell>
          <cell r="D5929" t="str">
            <v>***EU M-SO DR.WP.KL4 OBR.FIL.PRZEP.NBDMR</v>
          </cell>
        </row>
        <row r="5930">
          <cell r="C5930">
            <v>3007953</v>
          </cell>
          <cell r="D5930" t="str">
            <v>***EU M-SO DR.WP.KL4 OBR.FIL.PRZEP.NB RO</v>
          </cell>
        </row>
        <row r="5931">
          <cell r="C5931">
            <v>3020325</v>
          </cell>
          <cell r="D5931" t="str">
            <v>EU M-SO WP.DR.KL4 OBR.FIL.PRZEP.CH2</v>
          </cell>
        </row>
        <row r="5932">
          <cell r="C5932">
            <v>3007954</v>
          </cell>
          <cell r="D5932" t="str">
            <v>M-SO KL.4 Z. OBR.PODR-FIL.PRZEP. CP</v>
          </cell>
        </row>
        <row r="5933">
          <cell r="C5933">
            <v>3024516</v>
          </cell>
          <cell r="D5933" t="str">
            <v>EU M-SO WP.KL4P Z/OBR.PODR.CH1</v>
          </cell>
        </row>
        <row r="5934">
          <cell r="C5934">
            <v>3037207</v>
          </cell>
          <cell r="D5934" t="str">
            <v>EU M-SO WP.KL4P OK20KGPB MR ST</v>
          </cell>
        </row>
        <row r="5935">
          <cell r="C5935">
            <v>3042082</v>
          </cell>
          <cell r="D5935" t="str">
            <v>EU M-SO WP.KL4 POUB.Z/OBR.PODR.PBX1</v>
          </cell>
        </row>
        <row r="5936">
          <cell r="C5936">
            <v>3024518</v>
          </cell>
          <cell r="D5936" t="str">
            <v>EU M-SO WP.KL4P Z/OBR.PODR.OK20KGNBMR ST</v>
          </cell>
        </row>
        <row r="5937">
          <cell r="C5937">
            <v>3036341</v>
          </cell>
          <cell r="D5937" t="str">
            <v>EU M-SO WP.KL4P Z/OBR.PODR.OK20KGL PJ ST</v>
          </cell>
        </row>
        <row r="5938">
          <cell r="C5938">
            <v>3033377</v>
          </cell>
          <cell r="D5938" t="str">
            <v>***M-SO WP.DR.KL4B PBX MR K4 ZAK</v>
          </cell>
        </row>
        <row r="5939">
          <cell r="C5939">
            <v>3033637</v>
          </cell>
          <cell r="D5939" t="str">
            <v>M-SO WP.KL4 POUB.OK20KG NB MR K4</v>
          </cell>
        </row>
        <row r="5940">
          <cell r="C5940">
            <v>3036069</v>
          </cell>
          <cell r="D5940" t="str">
            <v>M-SO WP.KL4 POUB.OK20KG NB MR 1OB K4</v>
          </cell>
        </row>
        <row r="5941">
          <cell r="C5941">
            <v>3037205</v>
          </cell>
          <cell r="D5941" t="str">
            <v>EU M-SO WP.KL4P OK20KG PB DMR</v>
          </cell>
        </row>
        <row r="5942">
          <cell r="C5942">
            <v>3024528</v>
          </cell>
          <cell r="D5942" t="str">
            <v>EU M-SO WP.KL4P Z/OBR.PODR.OK20KG NB DMR</v>
          </cell>
        </row>
        <row r="5943">
          <cell r="C5943">
            <v>3033120</v>
          </cell>
          <cell r="D5943" t="str">
            <v>EU M-SO WP.KL4P Z/OBR.PODR.RO1</v>
          </cell>
        </row>
        <row r="5944">
          <cell r="C5944">
            <v>3033121</v>
          </cell>
          <cell r="D5944" t="str">
            <v>EU M-SO WP.KL4P Z/OBR.PODR.CH2</v>
          </cell>
        </row>
        <row r="5945">
          <cell r="C5945">
            <v>3042086</v>
          </cell>
          <cell r="D5945" t="str">
            <v>EU M-SO WP.KL4 POUB.Z/OBR.PODR.PBX2</v>
          </cell>
        </row>
        <row r="5946">
          <cell r="C5946">
            <v>3033125</v>
          </cell>
          <cell r="D5946" t="str">
            <v>EU M-SO WP.KL4P Z/OBR.PODR.RO2</v>
          </cell>
        </row>
        <row r="5947">
          <cell r="C5947">
            <v>3037810</v>
          </cell>
          <cell r="D5947" t="str">
            <v>PP M-SO WP.KL4 POUB.CH1</v>
          </cell>
        </row>
        <row r="5948">
          <cell r="C5948">
            <v>3042554</v>
          </cell>
          <cell r="D5948" t="str">
            <v>PP M-SO WP.KL4P Z/OBR.PODR.PBX1</v>
          </cell>
        </row>
        <row r="5949">
          <cell r="C5949">
            <v>3041034</v>
          </cell>
          <cell r="D5949" t="str">
            <v>PP M-SO WP.KL4P Z/OBR.PODR.OK20KGNBMR ST</v>
          </cell>
        </row>
        <row r="5950">
          <cell r="C5950">
            <v>3040972</v>
          </cell>
          <cell r="D5950" t="str">
            <v>PP M-SO WP.KL4P Z/OBR.PODR.OK20KGL PJ ST</v>
          </cell>
        </row>
        <row r="5951">
          <cell r="C5951">
            <v>3041046</v>
          </cell>
          <cell r="D5951" t="str">
            <v>PP M-SO WP.KL4P Z/OBR.PODR.OK20KG NB DMR</v>
          </cell>
        </row>
        <row r="5952">
          <cell r="C5952">
            <v>3041035</v>
          </cell>
          <cell r="D5952" t="str">
            <v>PP M-SO WP.KL4 POUB.Z/OBR.PODR.RO1</v>
          </cell>
        </row>
        <row r="5953">
          <cell r="C5953">
            <v>3038942</v>
          </cell>
          <cell r="D5953" t="str">
            <v>PP M-SO WP.KL4 POUB.CH2</v>
          </cell>
        </row>
        <row r="5954">
          <cell r="C5954">
            <v>3042518</v>
          </cell>
          <cell r="D5954" t="str">
            <v>PP M-SO WP.KL4P Z/OBR.PODR.PBX2</v>
          </cell>
        </row>
        <row r="5955">
          <cell r="C5955">
            <v>3041038</v>
          </cell>
          <cell r="D5955" t="str">
            <v>PP M-SO WP.KL4 POUB.Z/OBR.PODR.RO2</v>
          </cell>
        </row>
        <row r="5956">
          <cell r="C5956">
            <v>3037830</v>
          </cell>
          <cell r="D5956" t="str">
            <v>PP M-SO WP.DR.KL4B CH1</v>
          </cell>
        </row>
        <row r="5957">
          <cell r="C5957">
            <v>3043201</v>
          </cell>
          <cell r="D5957" t="str">
            <v>PP M-SO WP.DR.KL4B OK20KG NB MR ST</v>
          </cell>
        </row>
        <row r="5958">
          <cell r="C5958">
            <v>3043159</v>
          </cell>
          <cell r="D5958" t="str">
            <v>PP M-SO WP.DR.KL4B PBX1</v>
          </cell>
        </row>
        <row r="5959">
          <cell r="C5959">
            <v>3043200</v>
          </cell>
          <cell r="D5959" t="str">
            <v>PP M-SO WP.DR.KL4B OK20KG NB DMR</v>
          </cell>
        </row>
        <row r="5960">
          <cell r="C5960">
            <v>3043203</v>
          </cell>
          <cell r="D5960" t="str">
            <v>PP M-SO WP.DR.KL4B RO1</v>
          </cell>
        </row>
        <row r="5961">
          <cell r="C5961">
            <v>3037833</v>
          </cell>
          <cell r="D5961" t="str">
            <v>PP M-SO WP.DR.KL4B CH2</v>
          </cell>
        </row>
        <row r="5962">
          <cell r="C5962">
            <v>3043207</v>
          </cell>
          <cell r="D5962" t="str">
            <v>PP M-SO WP.DR.KL4B RO2</v>
          </cell>
        </row>
        <row r="5963">
          <cell r="C5963">
            <v>3043206</v>
          </cell>
          <cell r="D5963" t="str">
            <v>PP M-SO WP.DR.KL4B PBX2</v>
          </cell>
        </row>
        <row r="5964">
          <cell r="C5964">
            <v>3041721</v>
          </cell>
          <cell r="D5964" t="str">
            <v>PP MOM WP.CH</v>
          </cell>
        </row>
        <row r="5965">
          <cell r="C5965">
            <v>3041723</v>
          </cell>
          <cell r="D5965" t="str">
            <v>PP MOM WP.OK20KG NB MR ST</v>
          </cell>
        </row>
        <row r="5966">
          <cell r="C5966">
            <v>3041770</v>
          </cell>
          <cell r="D5966" t="str">
            <v>PP MOM WP.PBX1</v>
          </cell>
        </row>
        <row r="5967">
          <cell r="C5967">
            <v>3043918</v>
          </cell>
          <cell r="D5967" t="str">
            <v>PL MOM WP.OK20KG NB MR K4</v>
          </cell>
        </row>
        <row r="5968">
          <cell r="C5968">
            <v>3041722</v>
          </cell>
          <cell r="D5968" t="str">
            <v>PP MOM WP.OK20KG NB DMR</v>
          </cell>
        </row>
        <row r="5969">
          <cell r="C5969">
            <v>3041858</v>
          </cell>
          <cell r="D5969" t="str">
            <v>PP MOM WP.RO1</v>
          </cell>
        </row>
        <row r="5970">
          <cell r="C5970">
            <v>3041902</v>
          </cell>
          <cell r="D5970" t="str">
            <v>PP MOM WP.RO2</v>
          </cell>
        </row>
        <row r="5971">
          <cell r="C5971">
            <v>3041781</v>
          </cell>
          <cell r="D5971" t="str">
            <v>PP MOM WP.PBX2</v>
          </cell>
        </row>
        <row r="5972">
          <cell r="C5972">
            <v>3042648</v>
          </cell>
          <cell r="D5972" t="str">
            <v>PL M-SO DR.KL1 CIE.Z SZYN.MAC.CH</v>
          </cell>
        </row>
        <row r="5973">
          <cell r="C5973">
            <v>3042746</v>
          </cell>
          <cell r="D5973" t="str">
            <v>PL M-SO WP.DR.KL1 CIE.Z SZYN.MAC.PBX1</v>
          </cell>
        </row>
        <row r="5974">
          <cell r="C5974">
            <v>3043067</v>
          </cell>
          <cell r="D5974" t="str">
            <v>PL M-SO WP.DR.KL1 CIE.Z SZYN.MAC.PBX ST</v>
          </cell>
        </row>
        <row r="5975">
          <cell r="C5975">
            <v>3042808</v>
          </cell>
          <cell r="D5975" t="str">
            <v>PL M-SO WP.DR.KL1 CIE.Z SZYN.MAC.PBX2</v>
          </cell>
        </row>
        <row r="5976">
          <cell r="C5976">
            <v>3042738</v>
          </cell>
          <cell r="D5976" t="str">
            <v>PP M-SO WP.DR.KL1 CIE.Z SZYN.MAC.CH</v>
          </cell>
        </row>
        <row r="5977">
          <cell r="C5977">
            <v>3042747</v>
          </cell>
          <cell r="D5977" t="str">
            <v>PP M-SO WP.DR.KL1 CIE.Z SZYN.MAC.PBX1</v>
          </cell>
        </row>
        <row r="5978">
          <cell r="C5978">
            <v>3043068</v>
          </cell>
          <cell r="D5978" t="str">
            <v>PP M-SO WP.DR.KL1 CIE.Z SZYN.MAC.PBX ST</v>
          </cell>
        </row>
        <row r="5979">
          <cell r="C5979">
            <v>3042897</v>
          </cell>
          <cell r="D5979" t="str">
            <v>PP M-SO WP.DR.KL1 CIE.Z SZYN.MAC.PBX2</v>
          </cell>
        </row>
        <row r="5980">
          <cell r="C5980">
            <v>3042646</v>
          </cell>
          <cell r="D5980" t="str">
            <v>***PL M-SO WP.DR.KL2A PRZOD.MAC.CH</v>
          </cell>
        </row>
        <row r="5981">
          <cell r="C5981">
            <v>3042748</v>
          </cell>
          <cell r="D5981" t="str">
            <v>***PL M-SO WP.DR.KL2A PRZOD.MAC.PBX</v>
          </cell>
        </row>
        <row r="5982">
          <cell r="C5982">
            <v>3042739</v>
          </cell>
          <cell r="D5982" t="str">
            <v>***PP M-SO WP.DR.KL2A PRZOD.MAC.CH</v>
          </cell>
        </row>
        <row r="5983">
          <cell r="C5983">
            <v>3042749</v>
          </cell>
          <cell r="D5983" t="str">
            <v>***PP M-SO WP.DR.KL2A PRZOD.MAC.PBX</v>
          </cell>
        </row>
        <row r="5984">
          <cell r="C5984">
            <v>3042711</v>
          </cell>
          <cell r="D5984" t="str">
            <v>PL M-SO WP.DR.KL1 CIE.Z POL.MAC.CH</v>
          </cell>
        </row>
        <row r="5985">
          <cell r="C5985">
            <v>3042750</v>
          </cell>
          <cell r="D5985" t="str">
            <v>PL M-SO WP.DR.KL1 CIE.Z POL.MAC.PBX1</v>
          </cell>
        </row>
        <row r="5986">
          <cell r="C5986">
            <v>3042809</v>
          </cell>
          <cell r="D5986" t="str">
            <v>PL M-SO WP.DR.KL1 CIE.Z POL.MAC.PBX2</v>
          </cell>
        </row>
        <row r="5987">
          <cell r="C5987">
            <v>3042740</v>
          </cell>
          <cell r="D5987" t="str">
            <v>PP M-SO WP.DR.KL1 CIE.Z POL.MAC.CH</v>
          </cell>
        </row>
        <row r="5988">
          <cell r="C5988">
            <v>3042751</v>
          </cell>
          <cell r="D5988" t="str">
            <v>PP M-SO WP.DR.KL1 CIE.Z POL.MAC.PBX1</v>
          </cell>
        </row>
        <row r="5989">
          <cell r="C5989">
            <v>3042896</v>
          </cell>
          <cell r="D5989" t="str">
            <v>PP M-SO WP.DR.KL1 CIE.Z POL.MAC.PBX2</v>
          </cell>
        </row>
        <row r="5990">
          <cell r="C5990">
            <v>3042712</v>
          </cell>
          <cell r="D5990" t="str">
            <v>PL M-SO WP.DR.KL2A ŚR.MAC.CH</v>
          </cell>
        </row>
        <row r="5991">
          <cell r="C5991">
            <v>3042752</v>
          </cell>
          <cell r="D5991" t="str">
            <v>PL M-SO WP.DR.KL2A ŚR.MAC.PBX1</v>
          </cell>
        </row>
        <row r="5992">
          <cell r="C5992">
            <v>3042877</v>
          </cell>
          <cell r="D5992" t="str">
            <v>PL M-SO WP.DR.KL2A ŚR.MAC.PBX2</v>
          </cell>
        </row>
        <row r="5993">
          <cell r="C5993">
            <v>3042741</v>
          </cell>
          <cell r="D5993" t="str">
            <v>PP M-SO WP.DR.KL2A ŚR.MAC.CH</v>
          </cell>
        </row>
        <row r="5994">
          <cell r="C5994">
            <v>3042753</v>
          </cell>
          <cell r="D5994" t="str">
            <v>PP M-SO WP.DR.KL2A ŚR.MAC.PBX1</v>
          </cell>
        </row>
        <row r="5995">
          <cell r="C5995">
            <v>3042898</v>
          </cell>
          <cell r="D5995" t="str">
            <v>PP M-SO WP.DR.KL2A ŚR.MAC.PBX2</v>
          </cell>
        </row>
        <row r="5996">
          <cell r="C5996">
            <v>3043105</v>
          </cell>
          <cell r="D5996" t="str">
            <v>PL M-SO WP.DR.KL1 CIE.ZE SCH.MAC.CH</v>
          </cell>
        </row>
        <row r="5997">
          <cell r="C5997">
            <v>3043108</v>
          </cell>
          <cell r="D5997" t="str">
            <v>PL M-SO WP.DR.KL1 CIE.ZE SCH.MAC.PBX1</v>
          </cell>
        </row>
        <row r="5998">
          <cell r="C5998">
            <v>3043121</v>
          </cell>
          <cell r="D5998" t="str">
            <v>PL M-SO WP.DR.KL1 CIE.ZE SCH.MAC.PBX ST</v>
          </cell>
        </row>
        <row r="5999">
          <cell r="C5999">
            <v>3043177</v>
          </cell>
          <cell r="D5999" t="str">
            <v>PL M-SO WP.DR.KL1 CIE.ZE SCH.MAC.PBX2</v>
          </cell>
        </row>
        <row r="6000">
          <cell r="C6000">
            <v>3043106</v>
          </cell>
          <cell r="D6000" t="str">
            <v>PP M-SO WP.DR.KL1 CIE.ZE SCH.MAC.CH</v>
          </cell>
        </row>
        <row r="6001">
          <cell r="C6001">
            <v>3043107</v>
          </cell>
          <cell r="D6001" t="str">
            <v>PP M-SO WP.DR.KL1 CIE.ZE SCH.MAC.PBX1</v>
          </cell>
        </row>
        <row r="6002">
          <cell r="C6002">
            <v>3043120</v>
          </cell>
          <cell r="D6002" t="str">
            <v>PP M-SO WP.DR.KL1 CIE.ZE SCH.MAC.PBX ST</v>
          </cell>
        </row>
        <row r="6003">
          <cell r="C6003">
            <v>3043176</v>
          </cell>
          <cell r="D6003" t="str">
            <v>PP M-SO WP.DR.KL1 CIE.ZE SCH.MAC.PBX2</v>
          </cell>
        </row>
        <row r="6004">
          <cell r="C6004">
            <v>3044625</v>
          </cell>
          <cell r="D6004" t="str">
            <v>M-SO WP.DR.KL1 CIE.Z ŁOP.MAC.CH</v>
          </cell>
        </row>
        <row r="6005">
          <cell r="C6005">
            <v>3044626</v>
          </cell>
          <cell r="D6005" t="str">
            <v>M-SO WP.DR.KL1 CIE.Z ŁOP.MAC.PBX ST</v>
          </cell>
        </row>
        <row r="6006">
          <cell r="C6006">
            <v>3044668</v>
          </cell>
          <cell r="D6006" t="str">
            <v>PP M-SO WP.DR.KL1 CIE.Z ŁOP.MAC.CH</v>
          </cell>
        </row>
        <row r="6007">
          <cell r="C6007">
            <v>3044669</v>
          </cell>
          <cell r="D6007" t="str">
            <v>PP M-SO WP.DR.KL1 CIE.Z ŁOP.MAC.PBX ST</v>
          </cell>
        </row>
        <row r="6008">
          <cell r="C6008">
            <v>3046411</v>
          </cell>
          <cell r="D6008" t="str">
            <v>TRYM.WP.65/35 CH</v>
          </cell>
        </row>
        <row r="6009">
          <cell r="C6009">
            <v>3047136</v>
          </cell>
          <cell r="D6009" t="str">
            <v>TRYM.WP.65/35 OK20KG NB MR</v>
          </cell>
        </row>
        <row r="6010">
          <cell r="C6010">
            <v>3046429</v>
          </cell>
          <cell r="D6010" t="str">
            <v>TRYM.WP.65/35 PBX1</v>
          </cell>
        </row>
        <row r="6011">
          <cell r="C6011">
            <v>3047133</v>
          </cell>
          <cell r="D6011" t="str">
            <v>TRYM.WP.65/35 OK20KG NB DMR</v>
          </cell>
        </row>
        <row r="6012">
          <cell r="C6012">
            <v>3047135</v>
          </cell>
          <cell r="D6012" t="str">
            <v>TRYM.WP.65/35 RO1</v>
          </cell>
        </row>
        <row r="6013">
          <cell r="C6013">
            <v>3047171</v>
          </cell>
          <cell r="D6013" t="str">
            <v>TRYM.WP.65/35 RO2</v>
          </cell>
        </row>
        <row r="6014">
          <cell r="C6014">
            <v>3046433</v>
          </cell>
          <cell r="D6014" t="str">
            <v>TRYM.WP.65/35 PBX2</v>
          </cell>
        </row>
        <row r="6015">
          <cell r="C6015">
            <v>3047265</v>
          </cell>
          <cell r="D6015" t="str">
            <v>M-SO WP.DROBNE 65/35 CH</v>
          </cell>
        </row>
        <row r="6016">
          <cell r="C6016">
            <v>3047266</v>
          </cell>
          <cell r="D6016" t="str">
            <v>M-SO WP.DROBNE 65/35 PBX ST</v>
          </cell>
        </row>
        <row r="6017">
          <cell r="C6017">
            <v>3047252</v>
          </cell>
          <cell r="D6017" t="str">
            <v>M-SO WP.DROBNE 65/35 USR</v>
          </cell>
        </row>
        <row r="6018">
          <cell r="C6018">
            <v>3025550</v>
          </cell>
          <cell r="D6018" t="str">
            <v>M-SO WP.DR.KL3B Z SZYN.OK15KGWOR PJ EŁ</v>
          </cell>
        </row>
        <row r="6019">
          <cell r="C6019">
            <v>3007955</v>
          </cell>
          <cell r="D6019" t="str">
            <v>OKOSTNA CH</v>
          </cell>
        </row>
        <row r="6020">
          <cell r="C6020">
            <v>3007956</v>
          </cell>
          <cell r="D6020" t="str">
            <v>OKOSTNA CH ZAK</v>
          </cell>
        </row>
        <row r="6021">
          <cell r="C6021">
            <v>3024325</v>
          </cell>
          <cell r="D6021" t="str">
            <v>OKOSTNA CH USR</v>
          </cell>
        </row>
        <row r="6022">
          <cell r="C6022">
            <v>3015994</v>
          </cell>
          <cell r="D6022" t="str">
            <v>EU M-SO WP.DR.KL1 JAS.ZAPARZ.CH</v>
          </cell>
        </row>
        <row r="6023">
          <cell r="C6023">
            <v>3007958</v>
          </cell>
          <cell r="D6023" t="str">
            <v>***MŚ.ZAPARZ.NB MR</v>
          </cell>
        </row>
        <row r="6024">
          <cell r="C6024">
            <v>3006291</v>
          </cell>
          <cell r="D6024" t="str">
            <v>MŚ.ZAPARZONE KL1A NB DMR</v>
          </cell>
        </row>
        <row r="6025">
          <cell r="C6025">
            <v>3007959</v>
          </cell>
          <cell r="D6025" t="str">
            <v>***MŚ.ZAPARZ.NB RO1</v>
          </cell>
        </row>
        <row r="6026">
          <cell r="C6026">
            <v>3020326</v>
          </cell>
          <cell r="D6026" t="str">
            <v>***MŚ.ZAPARZ.NB RO2</v>
          </cell>
        </row>
        <row r="6027">
          <cell r="C6027">
            <v>3016312</v>
          </cell>
          <cell r="D6027" t="str">
            <v>M-SO WP.DR.KL1 JAS.ZAPARZ.USR1</v>
          </cell>
        </row>
        <row r="6028">
          <cell r="C6028">
            <v>3025005</v>
          </cell>
          <cell r="D6028" t="str">
            <v>M-SO WP.DR.KL1 JAS.ZAPARZ.USR PBX1</v>
          </cell>
        </row>
        <row r="6029">
          <cell r="C6029">
            <v>3020327</v>
          </cell>
          <cell r="D6029" t="str">
            <v>M-SO WP.DR.KL1 JAS.ZAPARZ.USR2</v>
          </cell>
        </row>
        <row r="6030">
          <cell r="C6030">
            <v>3025265</v>
          </cell>
          <cell r="D6030" t="str">
            <v>M-SO WP.DR.KL1 JAS.ZAPARZ.USR PBX2</v>
          </cell>
        </row>
        <row r="6031">
          <cell r="C6031">
            <v>3039625</v>
          </cell>
          <cell r="D6031" t="str">
            <v>PP M-SO WP.DR.KL1 JAS.ZAPARZ.CH</v>
          </cell>
        </row>
        <row r="6032">
          <cell r="C6032">
            <v>3039052</v>
          </cell>
          <cell r="D6032" t="str">
            <v>PP M-SO WP.DR.KL1 JAS.ZAPARZ.PBX ST1</v>
          </cell>
        </row>
        <row r="6033">
          <cell r="C6033">
            <v>3039068</v>
          </cell>
          <cell r="D6033" t="str">
            <v>PP M-SO WP.DR.KL1 JAS.ZAPARZ.PBX ST2</v>
          </cell>
        </row>
        <row r="6034">
          <cell r="C6034">
            <v>3041063</v>
          </cell>
          <cell r="D6034" t="str">
            <v>PP M-SO WP.DR.KL3 ODŚC.80/20 CH</v>
          </cell>
        </row>
        <row r="6035">
          <cell r="C6035">
            <v>3041070</v>
          </cell>
          <cell r="D6035" t="str">
            <v>PP M-SO WP.DR.KL3 ODŚC.80/20 PBX ST</v>
          </cell>
        </row>
        <row r="6036">
          <cell r="C6036">
            <v>3041062</v>
          </cell>
          <cell r="D6036" t="str">
            <v>PP M-SO WP.DR.KL3ODŚC.80/20 OK20KGNBMRST</v>
          </cell>
        </row>
        <row r="6037">
          <cell r="C6037">
            <v>3041056</v>
          </cell>
          <cell r="D6037" t="str">
            <v>PP M-SO WP.DR.KL3 ODŚC.80/20 USR CH</v>
          </cell>
        </row>
        <row r="6038">
          <cell r="C6038">
            <v>3041061</v>
          </cell>
          <cell r="D6038" t="str">
            <v>PP M-SO WP.DR.KL3ODŚC.80/20 OK20KGNBDMR</v>
          </cell>
        </row>
        <row r="6039">
          <cell r="C6039">
            <v>3042098</v>
          </cell>
          <cell r="D6039" t="str">
            <v>PP M-SO WP.DR.KL3 ODŚC.80/20 RO1</v>
          </cell>
        </row>
        <row r="6040">
          <cell r="C6040">
            <v>3042161</v>
          </cell>
          <cell r="D6040" t="str">
            <v>PP M-SO WP.DR.KL3 ODŚC.80/20 RO2</v>
          </cell>
        </row>
        <row r="6041">
          <cell r="C6041">
            <v>3047186</v>
          </cell>
          <cell r="D6041" t="str">
            <v>RYJEK WP.B/CHRZ.MAX 4CM CH</v>
          </cell>
        </row>
        <row r="6042">
          <cell r="C6042">
            <v>4031352</v>
          </cell>
          <cell r="D6042" t="str">
            <v>RYJEK B/CHRZ.4CM- OK20KG NB MR</v>
          </cell>
        </row>
        <row r="6043">
          <cell r="C6043">
            <v>3047175</v>
          </cell>
          <cell r="D6043" t="str">
            <v>RYJEK B/CHRZ.4CM- OK20KG NB DMR</v>
          </cell>
        </row>
        <row r="6044">
          <cell r="C6044">
            <v>3044059</v>
          </cell>
          <cell r="D6044" t="str">
            <v>MASKI TŁ.Z/GŁ.Z/RYJ/USZ/S.CH</v>
          </cell>
        </row>
        <row r="6045">
          <cell r="C6045">
            <v>4029063</v>
          </cell>
          <cell r="D6045" t="str">
            <v>MASKI TŁ.Z/GŁ.Z/RYJ/USZ/S.10KGKTWORMR EX</v>
          </cell>
        </row>
        <row r="6046">
          <cell r="C6046">
            <v>3044094</v>
          </cell>
          <cell r="D6046" t="str">
            <v>MASKI TŁ.Z/GŁ.Z/RYJ/USZ/S.10KGKT WOR DMR</v>
          </cell>
        </row>
        <row r="6047">
          <cell r="C6047">
            <v>3036615</v>
          </cell>
          <cell r="D6047" t="str">
            <v>RYJEK Z/CZ.MASKI Z/GŁ.CH</v>
          </cell>
        </row>
        <row r="6048">
          <cell r="C6048">
            <v>4025482</v>
          </cell>
          <cell r="D6048" t="str">
            <v>RYJEK WP.Z/CZ.MASKI Z/GŁ.10KGWORKTMREX</v>
          </cell>
        </row>
        <row r="6049">
          <cell r="C6049">
            <v>3037753</v>
          </cell>
          <cell r="D6049" t="str">
            <v>RYJEK Z/CZ.MASKI Z/GŁ.10KGWOR KT DMR EX</v>
          </cell>
        </row>
        <row r="6050">
          <cell r="C6050">
            <v>3016903</v>
          </cell>
          <cell r="D6050" t="str">
            <v>MASKI TŁ.Z/GŁ/S.CH1</v>
          </cell>
        </row>
        <row r="6051">
          <cell r="C6051">
            <v>3021272</v>
          </cell>
          <cell r="D6051" t="str">
            <v>MASKI TŁ.Z/GŁ/S.OK20KG NB MR ST</v>
          </cell>
        </row>
        <row r="6052">
          <cell r="C6052">
            <v>4028835</v>
          </cell>
          <cell r="D6052" t="str">
            <v>MASKI TŁ.Z/GŁ/S/RYJ.OK20KGWOR KT</v>
          </cell>
        </row>
        <row r="6053">
          <cell r="C6053">
            <v>4028846</v>
          </cell>
          <cell r="D6053" t="str">
            <v>MASKI TŁ.Z/GŁ/SK.OK20KGWOR KT MR</v>
          </cell>
        </row>
        <row r="6054">
          <cell r="C6054">
            <v>4016440</v>
          </cell>
          <cell r="D6054" t="str">
            <v>***PL MASKI TŁ.Z/GŁ.Z/SK.10KGWORKT MR EX</v>
          </cell>
        </row>
        <row r="6055">
          <cell r="C6055">
            <v>4015040</v>
          </cell>
          <cell r="D6055" t="str">
            <v>MASKI TŁ.Z/GŁ/S.10KGWORKT MR EX</v>
          </cell>
        </row>
        <row r="6056">
          <cell r="C6056">
            <v>4011189</v>
          </cell>
          <cell r="D6056" t="str">
            <v>***MASKI TŁ.Z/GŁ/SK.10KG WOR KT MR EX</v>
          </cell>
        </row>
        <row r="6057">
          <cell r="C6057">
            <v>4024729</v>
          </cell>
          <cell r="D6057" t="str">
            <v>MASKI TŁ.Z/GŁ/S/RYJ.10KGWOR KT MR EX</v>
          </cell>
        </row>
        <row r="6058">
          <cell r="C6058">
            <v>4024791</v>
          </cell>
          <cell r="D6058" t="str">
            <v>MASKI TŁ.Z/GŁ/S/RYJ.OK20KG PJ</v>
          </cell>
        </row>
        <row r="6059">
          <cell r="C6059">
            <v>3037721</v>
          </cell>
          <cell r="D6059" t="str">
            <v>MASKI TŁ.Z/GŁ/S.OK20KGLUZ PJ ST</v>
          </cell>
        </row>
        <row r="6060">
          <cell r="C6060">
            <v>4026556</v>
          </cell>
          <cell r="D6060" t="str">
            <v>PL MASKI TŁ.Z/GŁ/S/RYJ.OK800KG OKT</v>
          </cell>
        </row>
        <row r="6061">
          <cell r="C6061">
            <v>3021270</v>
          </cell>
          <cell r="D6061" t="str">
            <v>MASKI TŁ.Z/GŁ/S.OK20KG NB DMR</v>
          </cell>
        </row>
        <row r="6062">
          <cell r="C6062">
            <v>3043816</v>
          </cell>
          <cell r="D6062" t="str">
            <v>MASKI TŁ.Z/GŁ/S.OK20KGWOR KT DMR</v>
          </cell>
        </row>
        <row r="6063">
          <cell r="C6063">
            <v>3025101</v>
          </cell>
          <cell r="D6063" t="str">
            <v>***PL MASKI TŁ.Z/GŁ/SK.10KGWOR KT DMR EX</v>
          </cell>
        </row>
        <row r="6064">
          <cell r="C6064">
            <v>3022767</v>
          </cell>
          <cell r="D6064" t="str">
            <v>MASKI TŁ.Z/GŁ/S.10KGWOR KT DMR</v>
          </cell>
        </row>
        <row r="6065">
          <cell r="C6065">
            <v>3016909</v>
          </cell>
          <cell r="D6065" t="str">
            <v>***MASKI TŁ.Z/GŁ/SK.10KG WOR KT DMR EX</v>
          </cell>
        </row>
        <row r="6066">
          <cell r="C6066">
            <v>3036677</v>
          </cell>
          <cell r="D6066" t="str">
            <v>MASKI TŁ.Z/GŁ/S/RYJ.10KGWOR KT DMR</v>
          </cell>
        </row>
        <row r="6067">
          <cell r="C6067">
            <v>3038799</v>
          </cell>
          <cell r="D6067" t="str">
            <v>MASKI TŁ.Z/GŁ/S.RO1</v>
          </cell>
        </row>
        <row r="6068">
          <cell r="C6068">
            <v>3046000</v>
          </cell>
          <cell r="D6068" t="str">
            <v>MASKI TŁ.Z/GŁ/S.II RO1</v>
          </cell>
        </row>
        <row r="6069">
          <cell r="C6069">
            <v>3018694</v>
          </cell>
          <cell r="D6069" t="str">
            <v>***MASKI TŁ.Z/GŁ/SK.WOR OK10KG KT RO1</v>
          </cell>
        </row>
        <row r="6070">
          <cell r="C6070">
            <v>3020328</v>
          </cell>
          <cell r="D6070" t="str">
            <v>MASKI TŁ.Z/GŁ/S.CH2</v>
          </cell>
        </row>
        <row r="6071">
          <cell r="C6071">
            <v>3038824</v>
          </cell>
          <cell r="D6071" t="str">
            <v>MASKI TŁ.Z/GŁ/S.RO2</v>
          </cell>
        </row>
        <row r="6072">
          <cell r="C6072">
            <v>3045995</v>
          </cell>
          <cell r="D6072" t="str">
            <v>MASKI TŁ.Z/GŁ/S.II RO2</v>
          </cell>
        </row>
        <row r="6073">
          <cell r="C6073">
            <v>3020329</v>
          </cell>
          <cell r="D6073" t="str">
            <v>***MASKI TŁ.Z/GŁ/SK.WOR OK10KG KT RO2</v>
          </cell>
        </row>
        <row r="6074">
          <cell r="C6074">
            <v>3025105</v>
          </cell>
          <cell r="D6074" t="str">
            <v>EU MASKI TŁ.Z/GŁ/S.CH</v>
          </cell>
        </row>
        <row r="6075">
          <cell r="C6075">
            <v>4016434</v>
          </cell>
          <cell r="D6075" t="str">
            <v>***EU MASKI TŁ.Z/GŁ/SK.10KG WOR KT MR EX</v>
          </cell>
        </row>
        <row r="6076">
          <cell r="C6076">
            <v>3025092</v>
          </cell>
          <cell r="D6076" t="str">
            <v>***EU MASKI TŁ.Z/GŁ/S.10KGWOR KT DMR EX</v>
          </cell>
        </row>
        <row r="6077">
          <cell r="C6077">
            <v>3045552</v>
          </cell>
          <cell r="D6077" t="str">
            <v>PP MASKI TŁ.Z/GŁ/S.CH</v>
          </cell>
        </row>
        <row r="6078">
          <cell r="C6078">
            <v>3016904</v>
          </cell>
          <cell r="D6078" t="str">
            <v>RYJEK WP.CH1</v>
          </cell>
        </row>
        <row r="6079">
          <cell r="C6079">
            <v>4016416</v>
          </cell>
          <cell r="D6079" t="str">
            <v>***PL RYJEK WP.15KGWOR KT MR EX</v>
          </cell>
        </row>
        <row r="6080">
          <cell r="C6080">
            <v>4011187</v>
          </cell>
          <cell r="D6080" t="str">
            <v>***RYJEK WP.15G WOR KT MR EX</v>
          </cell>
        </row>
        <row r="6081">
          <cell r="C6081">
            <v>3018830</v>
          </cell>
          <cell r="D6081" t="str">
            <v>RYJEK Z/POZ.SK.Z MASKI Z/GŁ.OKT SZ</v>
          </cell>
        </row>
        <row r="6082">
          <cell r="C6082">
            <v>3018627</v>
          </cell>
          <cell r="D6082" t="str">
            <v>RYJEK Z/CZ.MASKI Z/GŁ.NB MR SZ</v>
          </cell>
        </row>
        <row r="6083">
          <cell r="C6083">
            <v>3046505</v>
          </cell>
          <cell r="D6083" t="str">
            <v>RYJEK WP.I CZ.MASKI Z/GŁ.OK20KGPB MR SZ</v>
          </cell>
        </row>
        <row r="6084">
          <cell r="C6084">
            <v>3046546</v>
          </cell>
          <cell r="D6084" t="str">
            <v>RYJEK Z/GŁ.OK20KG NB MR SZ</v>
          </cell>
        </row>
        <row r="6085">
          <cell r="C6085">
            <v>3025054</v>
          </cell>
          <cell r="D6085" t="str">
            <v>***PL RYJEK WP.15KG KT DMR EX</v>
          </cell>
        </row>
        <row r="6086">
          <cell r="C6086">
            <v>3016907</v>
          </cell>
          <cell r="D6086" t="str">
            <v>***RYJEK WP.15G WOR KT DMR EX</v>
          </cell>
        </row>
        <row r="6087">
          <cell r="C6087">
            <v>3018624</v>
          </cell>
          <cell r="D6087" t="str">
            <v>***RYJEK WP.15GWOR KT RO1</v>
          </cell>
        </row>
        <row r="6088">
          <cell r="C6088">
            <v>3020330</v>
          </cell>
          <cell r="D6088" t="str">
            <v>RYJEK WP.CH2</v>
          </cell>
        </row>
        <row r="6089">
          <cell r="C6089">
            <v>3020331</v>
          </cell>
          <cell r="D6089" t="str">
            <v>***RYJEK WP.15GWOR KT RO2</v>
          </cell>
        </row>
        <row r="6090">
          <cell r="C6090">
            <v>3024700</v>
          </cell>
          <cell r="D6090" t="str">
            <v>EU RYJEK WP.CH</v>
          </cell>
        </row>
        <row r="6091">
          <cell r="C6091">
            <v>4016415</v>
          </cell>
          <cell r="D6091" t="str">
            <v>***EU RYJEK WP.15KGWOR KT MR EX</v>
          </cell>
        </row>
        <row r="6092">
          <cell r="C6092">
            <v>3025056</v>
          </cell>
          <cell r="D6092" t="str">
            <v>***EU RYJEK WP.15G WOR KT DMR EX</v>
          </cell>
        </row>
        <row r="6093">
          <cell r="C6093">
            <v>3016182</v>
          </cell>
          <cell r="D6093" t="str">
            <v>MASKI I M-SO Z/GŁ.Z/S.CH1</v>
          </cell>
        </row>
        <row r="6094">
          <cell r="C6094">
            <v>3016184</v>
          </cell>
          <cell r="D6094" t="str">
            <v>***MASKI I M-SO Z/GŁ.Z/SK.NB MR ST</v>
          </cell>
        </row>
        <row r="6095">
          <cell r="C6095">
            <v>3007961</v>
          </cell>
          <cell r="D6095" t="str">
            <v>***MASKI Z GŁ.B/USZU CH ZAK</v>
          </cell>
        </row>
        <row r="6096">
          <cell r="C6096">
            <v>3006401</v>
          </cell>
          <cell r="D6096" t="str">
            <v>MASKI Z GŁ.MR SZ</v>
          </cell>
        </row>
        <row r="6097">
          <cell r="C6097">
            <v>3026244</v>
          </cell>
          <cell r="D6097" t="str">
            <v>MASKI I M-SO Z/GŁ.Z/S.W.NB MR SZ</v>
          </cell>
        </row>
        <row r="6098">
          <cell r="C6098">
            <v>3008527</v>
          </cell>
          <cell r="D6098" t="str">
            <v>MASKI I M-SO Z/GŁ.Z/SK.PBX CH SZ</v>
          </cell>
        </row>
        <row r="6099">
          <cell r="C6099">
            <v>3006991</v>
          </cell>
          <cell r="D6099" t="str">
            <v>MASKI Z GŁ.PBX CON SZ</v>
          </cell>
        </row>
        <row r="6100">
          <cell r="C6100">
            <v>3005554</v>
          </cell>
          <cell r="D6100" t="str">
            <v>MASKI Z GŁ.PB MR SZ</v>
          </cell>
        </row>
        <row r="6101">
          <cell r="C6101">
            <v>3016183</v>
          </cell>
          <cell r="D6101" t="str">
            <v>***MASKI I M-SO Z/GŁ.Z/SK.NB DMR</v>
          </cell>
        </row>
        <row r="6102">
          <cell r="C6102">
            <v>3009168</v>
          </cell>
          <cell r="D6102" t="str">
            <v>***MASKI Z GŁÓW RO1</v>
          </cell>
        </row>
        <row r="6103">
          <cell r="C6103">
            <v>3020332</v>
          </cell>
          <cell r="D6103" t="str">
            <v>MASKI I M-SO Z/GŁ.Z/S.CH2</v>
          </cell>
        </row>
        <row r="6104">
          <cell r="C6104">
            <v>3020333</v>
          </cell>
          <cell r="D6104" t="str">
            <v>***MASKI Z GŁÓW RO2</v>
          </cell>
        </row>
        <row r="6105">
          <cell r="C6105">
            <v>3007963</v>
          </cell>
          <cell r="D6105" t="str">
            <v>SŁON.Z/S.CH</v>
          </cell>
        </row>
        <row r="6106">
          <cell r="C6106">
            <v>3007964</v>
          </cell>
          <cell r="D6106" t="str">
            <v>SŁON.Z/S.USR CH</v>
          </cell>
        </row>
        <row r="6107">
          <cell r="C6107">
            <v>3016006</v>
          </cell>
          <cell r="D6107" t="str">
            <v>SŁON.HANDL.B/S.CH</v>
          </cell>
        </row>
        <row r="6108">
          <cell r="C6108">
            <v>3008974</v>
          </cell>
          <cell r="D6108" t="str">
            <v>***SŁONINA B/SK MR</v>
          </cell>
        </row>
        <row r="6109">
          <cell r="C6109">
            <v>4003980</v>
          </cell>
          <cell r="D6109" t="str">
            <v>SŁON.HANDL.B/S.OK15KGWOR KT</v>
          </cell>
        </row>
        <row r="6110">
          <cell r="C6110">
            <v>4008793</v>
          </cell>
          <cell r="D6110" t="str">
            <v>***SŁONINA WP.B/S.LUZ OK5KGKT TIP</v>
          </cell>
        </row>
        <row r="6111">
          <cell r="C6111">
            <v>3000194</v>
          </cell>
          <cell r="D6111" t="str">
            <v>***SŁONINA WP.HANDLOWA PB MR ST</v>
          </cell>
        </row>
        <row r="6112">
          <cell r="C6112">
            <v>3012578</v>
          </cell>
          <cell r="D6112" t="str">
            <v>***SŁONINA WP.HANDLOWA PB MR ST</v>
          </cell>
        </row>
        <row r="6113">
          <cell r="C6113">
            <v>4009773</v>
          </cell>
          <cell r="D6113" t="str">
            <v>***SŁONIWP.B/SK. OK.250G MAP OK.2KG KT J</v>
          </cell>
        </row>
        <row r="6114">
          <cell r="C6114">
            <v>4012630</v>
          </cell>
          <cell r="D6114" t="str">
            <v>***SŁONINA HANDL.B/SK.OK1.5KGVACOK9KG KT</v>
          </cell>
        </row>
        <row r="6115">
          <cell r="C6115">
            <v>4012981</v>
          </cell>
          <cell r="D6115" t="str">
            <v>***SŁONIHAND.B/SK.OK2.5KGVACOK7KGPJ TESC</v>
          </cell>
        </row>
        <row r="6116">
          <cell r="C6116">
            <v>4014886</v>
          </cell>
          <cell r="D6116" t="str">
            <v>***SŁONINA WP.OK2.5KGVAC OK5KGKT MOR</v>
          </cell>
        </row>
        <row r="6117">
          <cell r="C6117">
            <v>4015412</v>
          </cell>
          <cell r="D6117" t="str">
            <v>***SŁONINA HAND.B/S.OK1.5KGVACOK9KGKTSEL</v>
          </cell>
        </row>
        <row r="6118">
          <cell r="C6118">
            <v>4014886</v>
          </cell>
          <cell r="D6118" t="str">
            <v>PL SŁONINA WP.OK2.5KG VAC OK5KG KT MOR</v>
          </cell>
        </row>
        <row r="6119">
          <cell r="C6119">
            <v>3047227</v>
          </cell>
          <cell r="D6119" t="str">
            <v>SŁON.HANDL.B/S.OK20KGWOR PJ ST</v>
          </cell>
        </row>
        <row r="6120">
          <cell r="C6120">
            <v>3009129</v>
          </cell>
          <cell r="D6120" t="str">
            <v>***SŁONINA B/SK DMR</v>
          </cell>
        </row>
        <row r="6121">
          <cell r="C6121">
            <v>3007965</v>
          </cell>
          <cell r="D6121" t="str">
            <v>***SŁONINA B/SK OK.15KG KT DMR</v>
          </cell>
        </row>
        <row r="6122">
          <cell r="C6122">
            <v>3013583</v>
          </cell>
          <cell r="D6122" t="str">
            <v>***SŁONINA WP.B/SK.HANDL.PB DMR</v>
          </cell>
        </row>
        <row r="6123">
          <cell r="C6123">
            <v>3013585</v>
          </cell>
          <cell r="D6123" t="str">
            <v>***SŁONINA WP.B/SK.HANDL.PB RO1</v>
          </cell>
        </row>
        <row r="6124">
          <cell r="C6124">
            <v>3020914</v>
          </cell>
          <cell r="D6124" t="str">
            <v>***SŁONINA WP.B/SK.HANDL.PB RO2</v>
          </cell>
        </row>
        <row r="6125">
          <cell r="C6125">
            <v>4014887</v>
          </cell>
          <cell r="D6125" t="str">
            <v>***EU SŁONINA WP.OK2.5KG VACOK5KG KT MOR</v>
          </cell>
        </row>
        <row r="6126">
          <cell r="C6126">
            <v>4014887</v>
          </cell>
          <cell r="D6126" t="str">
            <v>EU SŁONINA WP.OK2.5KG VAC OK5KG KT MOR</v>
          </cell>
        </row>
        <row r="6127">
          <cell r="C6127">
            <v>3015270</v>
          </cell>
          <cell r="D6127" t="str">
            <v>SŁON.HANDL.B/S.USR CH1</v>
          </cell>
        </row>
        <row r="6128">
          <cell r="C6128">
            <v>3025006</v>
          </cell>
          <cell r="D6128" t="str">
            <v>***SŁONINA HANDL.B/SK.PBX USR CH</v>
          </cell>
        </row>
        <row r="6129">
          <cell r="C6129">
            <v>3047229</v>
          </cell>
          <cell r="D6129" t="str">
            <v>PP SŁON.HANDL.B/S.USR</v>
          </cell>
        </row>
        <row r="6130">
          <cell r="C6130">
            <v>3020334</v>
          </cell>
          <cell r="D6130" t="str">
            <v>SŁON.HANDL.B/S.USR CH2</v>
          </cell>
        </row>
        <row r="6131">
          <cell r="C6131">
            <v>3047228</v>
          </cell>
          <cell r="D6131" t="str">
            <v>PP SŁON.HANDL.B/S.CH</v>
          </cell>
        </row>
        <row r="6132">
          <cell r="C6132">
            <v>3016011</v>
          </cell>
          <cell r="D6132" t="str">
            <v>TŁUSZCZ WP. PACHWINOWY CH</v>
          </cell>
        </row>
        <row r="6133">
          <cell r="C6133">
            <v>4024569</v>
          </cell>
          <cell r="D6133" t="str">
            <v>PL TŁUSZCZ WP.PACH.OK20KG NB MR EX</v>
          </cell>
        </row>
        <row r="6134">
          <cell r="C6134">
            <v>3012153</v>
          </cell>
          <cell r="D6134" t="str">
            <v>TŁ.WP.PACHINOWY PB MR ST</v>
          </cell>
        </row>
        <row r="6135">
          <cell r="C6135">
            <v>4003982</v>
          </cell>
          <cell r="D6135" t="str">
            <v>***TŁUSZCZ PACHW.MRŻ.</v>
          </cell>
        </row>
        <row r="6136">
          <cell r="C6136">
            <v>4021909</v>
          </cell>
          <cell r="D6136" t="str">
            <v>TŁ.WP.PACH.OK20KG PB MR RU</v>
          </cell>
        </row>
        <row r="6137">
          <cell r="C6137">
            <v>4006280</v>
          </cell>
          <cell r="D6137" t="str">
            <v>TŁUSZCZ PACH.PB MR EX</v>
          </cell>
        </row>
        <row r="6138">
          <cell r="C6138">
            <v>3007966</v>
          </cell>
          <cell r="D6138" t="str">
            <v>***TŁUSZCZ PACH.OK15KGPJ CH</v>
          </cell>
        </row>
        <row r="6139">
          <cell r="C6139">
            <v>3033146</v>
          </cell>
          <cell r="D6139" t="str">
            <v>PL TŁ.WP.PACH.OK20KGWOR PJ ST</v>
          </cell>
        </row>
        <row r="6140">
          <cell r="C6140">
            <v>4011074</v>
          </cell>
          <cell r="D6140" t="str">
            <v>PL TŁ.WP.PACH.OK500KG OKT</v>
          </cell>
        </row>
        <row r="6141">
          <cell r="C6141">
            <v>3006370</v>
          </cell>
          <cell r="D6141" t="str">
            <v>PL TŁ.WP.PACH.OK500KG OKT ST</v>
          </cell>
        </row>
        <row r="6142">
          <cell r="C6142">
            <v>3029569</v>
          </cell>
          <cell r="D6142" t="str">
            <v>PL TŁ.WP.PACH.PBX ST</v>
          </cell>
        </row>
        <row r="6143">
          <cell r="C6143">
            <v>3018905</v>
          </cell>
          <cell r="D6143" t="str">
            <v>PL TŁ.WP.PACH.OK600KG ST</v>
          </cell>
        </row>
        <row r="6144">
          <cell r="C6144">
            <v>3036535</v>
          </cell>
          <cell r="D6144" t="str">
            <v>PL TŁUSZCZ WP.PACH.OK20KG NB DMR</v>
          </cell>
        </row>
        <row r="6145">
          <cell r="C6145">
            <v>3012152</v>
          </cell>
          <cell r="D6145" t="str">
            <v>PL TŁ.WP.PACH.OK20KG PB DMR</v>
          </cell>
        </row>
        <row r="6146">
          <cell r="C6146">
            <v>3007967</v>
          </cell>
          <cell r="D6146" t="str">
            <v>***TŁUSZCZ PACH. PB DMR</v>
          </cell>
        </row>
        <row r="6147">
          <cell r="C6147">
            <v>3032940</v>
          </cell>
          <cell r="D6147" t="str">
            <v>PL TŁ.WP.PACH.OK20KG PB DMR RU</v>
          </cell>
        </row>
        <row r="6148">
          <cell r="C6148">
            <v>3007968</v>
          </cell>
          <cell r="D6148" t="str">
            <v>PL TŁ.WP.PACH.PB DMR EX</v>
          </cell>
        </row>
        <row r="6149">
          <cell r="C6149">
            <v>3015283</v>
          </cell>
          <cell r="D6149" t="str">
            <v>TŁ.WP.PACHWINOWY USR CH</v>
          </cell>
        </row>
        <row r="6150">
          <cell r="C6150">
            <v>3025007</v>
          </cell>
          <cell r="D6150" t="str">
            <v>TŁUSZCZ PACHW.USR PBX1</v>
          </cell>
        </row>
        <row r="6151">
          <cell r="C6151">
            <v>3025267</v>
          </cell>
          <cell r="D6151" t="str">
            <v>TŁUSZCZ PACHW.USR PBX2</v>
          </cell>
        </row>
        <row r="6152">
          <cell r="C6152">
            <v>3007969</v>
          </cell>
          <cell r="D6152" t="str">
            <v>TŁUSZCZ Z/SK CH</v>
          </cell>
        </row>
        <row r="6153">
          <cell r="C6153">
            <v>3031393</v>
          </cell>
          <cell r="D6153" t="str">
            <v>TŁUSZCZ Z/S.OK20KG NB MR</v>
          </cell>
        </row>
        <row r="6154">
          <cell r="C6154">
            <v>4007994</v>
          </cell>
          <cell r="D6154" t="str">
            <v>TŁUSZCZ Z/S.OK20KG NB MR</v>
          </cell>
        </row>
        <row r="6155">
          <cell r="C6155">
            <v>3008688</v>
          </cell>
          <cell r="D6155" t="str">
            <v>***TŁUSZCZ WP.Z/S.OK20KG LUZ PJ ST</v>
          </cell>
        </row>
        <row r="6156">
          <cell r="C6156">
            <v>3002593</v>
          </cell>
          <cell r="D6156" t="str">
            <v>PL TŁ.WP.Z/S.OK800KG OKT ST</v>
          </cell>
        </row>
        <row r="6157">
          <cell r="C6157">
            <v>3031391</v>
          </cell>
          <cell r="D6157" t="str">
            <v>PL TŁ.WP.Z/S.OK20KG NB DMR</v>
          </cell>
        </row>
        <row r="6158">
          <cell r="C6158">
            <v>3007970</v>
          </cell>
          <cell r="D6158" t="str">
            <v>PL TŁ.WP.Z/S.OK20KG NB DMR</v>
          </cell>
        </row>
        <row r="6159">
          <cell r="C6159">
            <v>3032394</v>
          </cell>
          <cell r="D6159" t="str">
            <v>TŁUSZCZ WP.Z/S.PB RO1</v>
          </cell>
        </row>
        <row r="6160">
          <cell r="C6160">
            <v>3007971</v>
          </cell>
          <cell r="D6160" t="str">
            <v>***TŁUSZCZ Z/S.PB RO1</v>
          </cell>
        </row>
        <row r="6161">
          <cell r="C6161">
            <v>3032395</v>
          </cell>
          <cell r="D6161" t="str">
            <v>TŁUSZCZ WP.Z/S.PB RO2</v>
          </cell>
        </row>
        <row r="6162">
          <cell r="C6162">
            <v>3020335</v>
          </cell>
          <cell r="D6162" t="str">
            <v>***TŁUSZCZ Z/S.PB RO2</v>
          </cell>
        </row>
        <row r="6163">
          <cell r="C6163">
            <v>3016313</v>
          </cell>
          <cell r="D6163" t="str">
            <v>TŁUSZCZ Z/SK UŚR CH1</v>
          </cell>
        </row>
        <row r="6164">
          <cell r="C6164">
            <v>3025008</v>
          </cell>
          <cell r="D6164" t="str">
            <v>TŁUSZCZ Z/SK.USR PBX1</v>
          </cell>
        </row>
        <row r="6165">
          <cell r="C6165">
            <v>3020336</v>
          </cell>
          <cell r="D6165" t="str">
            <v>TŁUSZCZ Z/SK UŚR CH2</v>
          </cell>
        </row>
        <row r="6166">
          <cell r="C6166">
            <v>3025268</v>
          </cell>
          <cell r="D6166" t="str">
            <v>TŁUSZCZ Z/SK.USR PBX2</v>
          </cell>
        </row>
        <row r="6167">
          <cell r="C6167">
            <v>3019061</v>
          </cell>
          <cell r="D6167" t="str">
            <v>TŁUSZCZ WP.Z/SK.ROZP1</v>
          </cell>
        </row>
        <row r="6168">
          <cell r="C6168">
            <v>3020337</v>
          </cell>
          <cell r="D6168" t="str">
            <v>TŁUSZCZ WP.Z/SK.ROZP2</v>
          </cell>
        </row>
        <row r="6169">
          <cell r="C6169">
            <v>3016008</v>
          </cell>
          <cell r="D6169" t="str">
            <v>TŁUSZCZ WP.DR.CH</v>
          </cell>
        </row>
        <row r="6170">
          <cell r="C6170">
            <v>3007973</v>
          </cell>
          <cell r="D6170" t="str">
            <v>***TŁUSZCZ DROBNY NB MR</v>
          </cell>
        </row>
        <row r="6171">
          <cell r="C6171">
            <v>3002926</v>
          </cell>
          <cell r="D6171" t="str">
            <v>***TŁUSZCZ DROBNY MR. OW</v>
          </cell>
        </row>
        <row r="6172">
          <cell r="C6172">
            <v>3034085</v>
          </cell>
          <cell r="D6172" t="str">
            <v>TŁUSZCZ WP.DR.OK20KG NB MR EX ST</v>
          </cell>
        </row>
        <row r="6173">
          <cell r="C6173">
            <v>4021964</v>
          </cell>
          <cell r="D6173" t="str">
            <v>TŁUSZCZ DR.OK20KG PB MR EX</v>
          </cell>
        </row>
        <row r="6174">
          <cell r="C6174">
            <v>3014135</v>
          </cell>
          <cell r="D6174" t="str">
            <v>TŁUSZCZ WP.DROBNY PB MR ST</v>
          </cell>
        </row>
        <row r="6175">
          <cell r="C6175">
            <v>4006419</v>
          </cell>
          <cell r="D6175" t="str">
            <v>TŁUSZCZ DROBNY MR EX PL</v>
          </cell>
        </row>
        <row r="6176">
          <cell r="C6176">
            <v>4022711</v>
          </cell>
          <cell r="D6176" t="str">
            <v>TŁUSZCZ DR.20KGWOR KT MR HK</v>
          </cell>
        </row>
        <row r="6177">
          <cell r="C6177">
            <v>3008637</v>
          </cell>
          <cell r="D6177" t="str">
            <v>***TŁUSZCZ DROBNY OK.15KG KT MR ST</v>
          </cell>
        </row>
        <row r="6178">
          <cell r="C6178">
            <v>4022246</v>
          </cell>
          <cell r="D6178" t="str">
            <v>***TŁUSZCZ DR.10KGWORKT MR HK</v>
          </cell>
        </row>
        <row r="6179">
          <cell r="C6179">
            <v>4008158</v>
          </cell>
          <cell r="D6179" t="str">
            <v>***TŁUSZCZ DROBNY NB MR ROS</v>
          </cell>
        </row>
        <row r="6180">
          <cell r="C6180">
            <v>4001831</v>
          </cell>
          <cell r="D6180" t="str">
            <v>***TŁUSZCZ DROBNY MRŻ.EXP.STRETCH</v>
          </cell>
        </row>
        <row r="6181">
          <cell r="C6181">
            <v>4022198</v>
          </cell>
          <cell r="D6181" t="str">
            <v>TŁUSZCZ DR.10KGWORKT MR VN</v>
          </cell>
        </row>
        <row r="6182">
          <cell r="C6182">
            <v>4024463</v>
          </cell>
          <cell r="D6182" t="str">
            <v>PL TŁ.WP.DR.MAX.18KGWOR PJ</v>
          </cell>
        </row>
        <row r="6183">
          <cell r="C6183">
            <v>3008759</v>
          </cell>
          <cell r="D6183" t="str">
            <v>PL TŁ.WP.DR.OK20KGWOR PJ JBB ST</v>
          </cell>
        </row>
        <row r="6184">
          <cell r="C6184">
            <v>3003519</v>
          </cell>
          <cell r="D6184" t="str">
            <v>TŁUSZCZ DROBNY CH PJ OW ST</v>
          </cell>
        </row>
        <row r="6185">
          <cell r="C6185">
            <v>3009431</v>
          </cell>
          <cell r="D6185" t="str">
            <v>***TŁ.WP.DR.OK15KG PJ CH ST</v>
          </cell>
        </row>
        <row r="6186">
          <cell r="C6186">
            <v>4009757</v>
          </cell>
          <cell r="D6186" t="str">
            <v>PL TŁ.WP.DR.OK20KGWOR PJ</v>
          </cell>
        </row>
        <row r="6187">
          <cell r="C6187">
            <v>3012607</v>
          </cell>
          <cell r="D6187" t="str">
            <v>PL TŁ.WP.DR.OK20KGWOR PJ ST</v>
          </cell>
        </row>
        <row r="6188">
          <cell r="C6188">
            <v>3003520</v>
          </cell>
          <cell r="D6188" t="str">
            <v>PL TŁ.WP.DR.OK500KG KOSZ.ST</v>
          </cell>
        </row>
        <row r="6189">
          <cell r="C6189">
            <v>3027307</v>
          </cell>
          <cell r="D6189" t="str">
            <v>***TŁUSZCZ DR.WP.PBX CH ST</v>
          </cell>
        </row>
        <row r="6190">
          <cell r="C6190">
            <v>4003989</v>
          </cell>
          <cell r="D6190" t="str">
            <v>***TŁUSZCZ DROBNY PLASTBOX</v>
          </cell>
        </row>
        <row r="6191">
          <cell r="C6191">
            <v>3009726</v>
          </cell>
          <cell r="D6191" t="str">
            <v>***TŁUSZCZ DROBNY WP. OKTOBINA ST</v>
          </cell>
        </row>
        <row r="6192">
          <cell r="C6192">
            <v>3012611</v>
          </cell>
          <cell r="D6192" t="str">
            <v>PL TŁ.WP.DR.OK600KG OKT ST</v>
          </cell>
        </row>
        <row r="6193">
          <cell r="C6193">
            <v>3012642</v>
          </cell>
          <cell r="D6193" t="str">
            <v>TŁUSZCZ WP.DR.TWARDY OK15KGLUZ PJ SZ</v>
          </cell>
        </row>
        <row r="6194">
          <cell r="C6194">
            <v>3029884</v>
          </cell>
          <cell r="D6194" t="str">
            <v>TŁUSZCZ DR.WP.OK15KG PB MR K2</v>
          </cell>
        </row>
        <row r="6195">
          <cell r="C6195">
            <v>3031691</v>
          </cell>
          <cell r="D6195" t="str">
            <v>***TŁUSZCZ DR.PBX K4 ZAK</v>
          </cell>
        </row>
        <row r="6196">
          <cell r="C6196">
            <v>3014138</v>
          </cell>
          <cell r="D6196" t="str">
            <v>TŁUSZCZ DR.OK15KG PB MR SZ</v>
          </cell>
        </row>
        <row r="6197">
          <cell r="C6197">
            <v>3033708</v>
          </cell>
          <cell r="D6197" t="str">
            <v>TŁUSZCZ DR.PBX K4</v>
          </cell>
        </row>
        <row r="6198">
          <cell r="C6198">
            <v>3042196</v>
          </cell>
          <cell r="D6198" t="str">
            <v>TŁUSZCZ WP.DR.OK20KG NB MR EŁ</v>
          </cell>
        </row>
        <row r="6199">
          <cell r="C6199">
            <v>3042494</v>
          </cell>
          <cell r="D6199" t="str">
            <v>TŁUSZCZ DR.PBX 1OB K4</v>
          </cell>
        </row>
        <row r="6200">
          <cell r="C6200">
            <v>3033702</v>
          </cell>
          <cell r="D6200" t="str">
            <v>TŁUSZCZ DR.OK20KG NB MR K4</v>
          </cell>
        </row>
        <row r="6201">
          <cell r="C6201">
            <v>3012675</v>
          </cell>
          <cell r="D6201" t="str">
            <v>TŁUSZCZ WP.DR.PBX EŁ1</v>
          </cell>
        </row>
        <row r="6202">
          <cell r="C6202">
            <v>3043545</v>
          </cell>
          <cell r="D6202" t="str">
            <v>TŁUSZCZ DR.OK20KG NB MR SZ</v>
          </cell>
        </row>
        <row r="6203">
          <cell r="C6203">
            <v>3012673</v>
          </cell>
          <cell r="D6203" t="str">
            <v>TŁ.WP.DR.OK15KG WOR PJ CH EŁ1</v>
          </cell>
        </row>
        <row r="6204">
          <cell r="C6204">
            <v>3037741</v>
          </cell>
          <cell r="D6204" t="str">
            <v>PL TŁUSZCZ WP.DR.PBX BST SZ</v>
          </cell>
        </row>
        <row r="6205">
          <cell r="C6205">
            <v>3031194</v>
          </cell>
          <cell r="D6205" t="str">
            <v>TŁUSZCZ WP.DR.TWARDY OK500KG OKT SZ</v>
          </cell>
        </row>
        <row r="6206">
          <cell r="C6206">
            <v>3007974</v>
          </cell>
          <cell r="D6206" t="str">
            <v>***TŁUSZCZ DROBNY NB DMR</v>
          </cell>
        </row>
        <row r="6207">
          <cell r="C6207">
            <v>3007975</v>
          </cell>
          <cell r="D6207" t="str">
            <v>***TŁUSZCZ DROBNY NB DMR OW</v>
          </cell>
        </row>
        <row r="6208">
          <cell r="C6208">
            <v>3034086</v>
          </cell>
          <cell r="D6208" t="str">
            <v>PL TŁ.WP.DR.OK20KG NB DMR</v>
          </cell>
        </row>
        <row r="6209">
          <cell r="C6209">
            <v>3032970</v>
          </cell>
          <cell r="D6209" t="str">
            <v>TŁUSZCZ DR.OK20KG PB DMR EX</v>
          </cell>
        </row>
        <row r="6210">
          <cell r="C6210">
            <v>3014136</v>
          </cell>
          <cell r="D6210" t="str">
            <v>PL TŁ.WP.DR.OK20KG PB DMR</v>
          </cell>
        </row>
        <row r="6211">
          <cell r="C6211">
            <v>3007976</v>
          </cell>
          <cell r="D6211" t="str">
            <v>PL TŁ.WP.DR.OK20KG PB DMR EX</v>
          </cell>
        </row>
        <row r="6212">
          <cell r="C6212">
            <v>3033930</v>
          </cell>
          <cell r="D6212" t="str">
            <v>PL TŁ.WP.DR.20KGWOR KT DMR HK</v>
          </cell>
        </row>
        <row r="6213">
          <cell r="C6213">
            <v>3007977</v>
          </cell>
          <cell r="D6213" t="str">
            <v>***TŁUSZCZ DROBNY OK 15KG KT DMR EX</v>
          </cell>
        </row>
        <row r="6214">
          <cell r="C6214">
            <v>3033312</v>
          </cell>
          <cell r="D6214" t="str">
            <v>***TŁUSZCZ DR.10KGWOR KT DMR HK</v>
          </cell>
        </row>
        <row r="6215">
          <cell r="C6215">
            <v>3009313</v>
          </cell>
          <cell r="D6215" t="str">
            <v>***TŁUSZCZ DROBNY NB DMR ROS</v>
          </cell>
        </row>
        <row r="6216">
          <cell r="C6216">
            <v>3007978</v>
          </cell>
          <cell r="D6216" t="str">
            <v>***TŁUSZCZ DROBNY PB DMR EX</v>
          </cell>
        </row>
        <row r="6217">
          <cell r="C6217">
            <v>3031993</v>
          </cell>
          <cell r="D6217" t="str">
            <v>TŁ.WP.DR.10KGWOR KT DMR VN</v>
          </cell>
        </row>
        <row r="6218">
          <cell r="C6218">
            <v>3007979</v>
          </cell>
          <cell r="D6218" t="str">
            <v>***TŁUSZCZ DROBNY NB RO1</v>
          </cell>
        </row>
        <row r="6219">
          <cell r="C6219">
            <v>3007980</v>
          </cell>
          <cell r="D6219" t="str">
            <v>TŁUSZCZ DROBNY NB RO OW</v>
          </cell>
        </row>
        <row r="6220">
          <cell r="C6220">
            <v>3014125</v>
          </cell>
          <cell r="D6220" t="str">
            <v>TŁUSZCZ WP.DROBNY PB RO1</v>
          </cell>
        </row>
        <row r="6221">
          <cell r="C6221">
            <v>3012001</v>
          </cell>
          <cell r="D6221" t="str">
            <v>***TŁUSZCZ DROBNY NB ROS RO</v>
          </cell>
        </row>
        <row r="6222">
          <cell r="C6222">
            <v>3020338</v>
          </cell>
          <cell r="D6222" t="str">
            <v>***TŁUSZCZ DROBNY NB RO2</v>
          </cell>
        </row>
        <row r="6223">
          <cell r="C6223">
            <v>3020339</v>
          </cell>
          <cell r="D6223" t="str">
            <v>TŁUSZCZ WP.DROBNY PB RO2</v>
          </cell>
        </row>
        <row r="6224">
          <cell r="C6224">
            <v>3009248</v>
          </cell>
          <cell r="D6224" t="str">
            <v>***TŁUSZCZ DROB.WP. PL</v>
          </cell>
        </row>
        <row r="6225">
          <cell r="C6225">
            <v>3009479</v>
          </cell>
          <cell r="D6225" t="str">
            <v>TŁUSZCZ DR.Z SZYN.CH1</v>
          </cell>
        </row>
        <row r="6226">
          <cell r="C6226">
            <v>3025009</v>
          </cell>
          <cell r="D6226" t="str">
            <v>TŁUSZCZ DR.Z SZYN.PBX1</v>
          </cell>
        </row>
        <row r="6227">
          <cell r="C6227">
            <v>3032269</v>
          </cell>
          <cell r="D6227" t="str">
            <v>PL TŁ.WP.DR.Z SZYN.OK500KG OKT ST</v>
          </cell>
        </row>
        <row r="6228">
          <cell r="C6228">
            <v>3013130</v>
          </cell>
          <cell r="D6228" t="str">
            <v>TŁUSZCZ DR.Z SZYN.USR CH</v>
          </cell>
        </row>
        <row r="6229">
          <cell r="C6229">
            <v>3020340</v>
          </cell>
          <cell r="D6229" t="str">
            <v>TŁUSZCZ DR.Z SZYN.CH2</v>
          </cell>
        </row>
        <row r="6230">
          <cell r="C6230">
            <v>3025269</v>
          </cell>
          <cell r="D6230" t="str">
            <v>TŁUSZCZ DR.Z SZYN.PBX2</v>
          </cell>
        </row>
        <row r="6231">
          <cell r="C6231">
            <v>3016314</v>
          </cell>
          <cell r="D6231" t="str">
            <v>TŁUSZCZ DROBNY UŚR CH1</v>
          </cell>
        </row>
        <row r="6232">
          <cell r="C6232">
            <v>3025010</v>
          </cell>
          <cell r="D6232" t="str">
            <v>TŁUSZCZ DR.USR PBX USRST1</v>
          </cell>
        </row>
        <row r="6233">
          <cell r="C6233">
            <v>3020341</v>
          </cell>
          <cell r="D6233" t="str">
            <v>TŁUSZCZ DROBNY UŚR CH2</v>
          </cell>
        </row>
        <row r="6234">
          <cell r="C6234">
            <v>3025270</v>
          </cell>
          <cell r="D6234" t="str">
            <v>TŁUSZCZ DR.USR PBX USRST2</v>
          </cell>
        </row>
        <row r="6235">
          <cell r="C6235">
            <v>3037546</v>
          </cell>
          <cell r="D6235" t="str">
            <v>PP TŁUSZCZ WP.DR.CH</v>
          </cell>
        </row>
        <row r="6236">
          <cell r="C6236">
            <v>3037577</v>
          </cell>
          <cell r="D6236" t="str">
            <v>PP TŁUSZCZ DR.PBX ST1</v>
          </cell>
        </row>
        <row r="6237">
          <cell r="C6237">
            <v>3040965</v>
          </cell>
          <cell r="D6237" t="str">
            <v>PP TŁUSZCZ WP.DR.OK20KG NB MR ST</v>
          </cell>
        </row>
        <row r="6238">
          <cell r="C6238">
            <v>3039569</v>
          </cell>
          <cell r="D6238" t="str">
            <v>PP TŁUSZCZ WP.DR.OK20KG PB MR EŁ</v>
          </cell>
        </row>
        <row r="6239">
          <cell r="C6239">
            <v>3042197</v>
          </cell>
          <cell r="D6239" t="str">
            <v>PP TŁUSZCZ WP.DR.OK20KG NB MR EŁ</v>
          </cell>
        </row>
        <row r="6240">
          <cell r="C6240">
            <v>3039599</v>
          </cell>
          <cell r="D6240" t="str">
            <v>PP TŁUSZCZ WP.DR.PBX EŁ1</v>
          </cell>
        </row>
        <row r="6241">
          <cell r="C6241">
            <v>3039595</v>
          </cell>
          <cell r="D6241" t="str">
            <v>PP TŁUSZCZ WP.DR.OK15KGWOR PJ EŁ</v>
          </cell>
        </row>
        <row r="6242">
          <cell r="C6242">
            <v>3038340</v>
          </cell>
          <cell r="D6242" t="str">
            <v>PP TŁUSZCZ WP.DR.PBX SZ</v>
          </cell>
        </row>
        <row r="6243">
          <cell r="C6243">
            <v>3035589</v>
          </cell>
          <cell r="D6243" t="str">
            <v>PP TŁUSZCZ DR.PBX K4</v>
          </cell>
        </row>
        <row r="6244">
          <cell r="C6244">
            <v>3038318</v>
          </cell>
          <cell r="D6244" t="str">
            <v>PP TŁUSZCZ WP.DR.Z SZYN.CH</v>
          </cell>
        </row>
        <row r="6245">
          <cell r="C6245">
            <v>3039391</v>
          </cell>
          <cell r="D6245" t="str">
            <v>PP TŁUSZCZ DR.Z SZYN.PBX ST1</v>
          </cell>
        </row>
        <row r="6246">
          <cell r="C6246">
            <v>3039390</v>
          </cell>
          <cell r="D6246" t="str">
            <v>PP TŁUSZCZ WP.DR.Z SZYN.OK15KGWOR PJ ST</v>
          </cell>
        </row>
        <row r="6247">
          <cell r="C6247">
            <v>3039536</v>
          </cell>
          <cell r="D6247" t="str">
            <v>PP TŁUSZCZ WP.DR.Z SZYN.OK500KG OKT ST</v>
          </cell>
        </row>
        <row r="6248">
          <cell r="C6248">
            <v>3037538</v>
          </cell>
          <cell r="D6248" t="str">
            <v>PP TŁUSZCZ DR.USR CH</v>
          </cell>
        </row>
        <row r="6249">
          <cell r="C6249">
            <v>3039463</v>
          </cell>
          <cell r="D6249" t="str">
            <v>PP TŁUSZCZ DR.OK20KG NB DMR</v>
          </cell>
        </row>
        <row r="6250">
          <cell r="C6250">
            <v>3040964</v>
          </cell>
          <cell r="D6250" t="str">
            <v>PP TŁUSZCZ WP.DR.RO1</v>
          </cell>
        </row>
        <row r="6251">
          <cell r="C6251">
            <v>3037728</v>
          </cell>
          <cell r="D6251" t="str">
            <v>PP TŁUSZCZ DR.PBX ST2</v>
          </cell>
        </row>
        <row r="6252">
          <cell r="C6252">
            <v>3040916</v>
          </cell>
          <cell r="D6252" t="str">
            <v>PP TŁUSZCZ WP.DR.RO2</v>
          </cell>
        </row>
        <row r="6253">
          <cell r="C6253">
            <v>3040502</v>
          </cell>
          <cell r="D6253" t="str">
            <v>PP TŁUSZCZ DR.Z SZYN.PBX ST2</v>
          </cell>
        </row>
        <row r="6254">
          <cell r="C6254">
            <v>3009478</v>
          </cell>
          <cell r="D6254" t="str">
            <v>***TŁUSZCZ DROBNY Z SZYNKI USR</v>
          </cell>
        </row>
        <row r="6255">
          <cell r="C6255">
            <v>3009691</v>
          </cell>
          <cell r="D6255" t="str">
            <v>TŁUSZCZ DR.Z SZYN.OK20KG NB MR ST</v>
          </cell>
        </row>
        <row r="6256">
          <cell r="C6256">
            <v>3040915</v>
          </cell>
          <cell r="D6256" t="str">
            <v>PP TŁUSZCZ DR.Z SZYN.OK20KG NB MR ST</v>
          </cell>
        </row>
        <row r="6257">
          <cell r="C6257">
            <v>3009692</v>
          </cell>
          <cell r="D6257" t="str">
            <v>PL TŁ.WP.DR.Z SZYN.OK15KGWOR PJ ST</v>
          </cell>
        </row>
        <row r="6258">
          <cell r="C6258">
            <v>3029596</v>
          </cell>
          <cell r="D6258" t="str">
            <v>***TŁUSZCZ DR.Z SZYN.OK500KGPBX CH ST</v>
          </cell>
        </row>
        <row r="6259">
          <cell r="C6259">
            <v>3012635</v>
          </cell>
          <cell r="D6259" t="str">
            <v>TŁUSZCZ WP.DR.Z SZYN.OK.15KGLUZ PJ SZ</v>
          </cell>
        </row>
        <row r="6260">
          <cell r="C6260">
            <v>3043079</v>
          </cell>
          <cell r="D6260" t="str">
            <v>PP TŁUSZCZ DR.Z SZYN.USR CH</v>
          </cell>
        </row>
        <row r="6261">
          <cell r="C6261">
            <v>3009662</v>
          </cell>
          <cell r="D6261" t="str">
            <v>TŁUSZCZ DR.Z SZYN.OK20KG NB DMR</v>
          </cell>
        </row>
        <row r="6262">
          <cell r="C6262">
            <v>3040967</v>
          </cell>
          <cell r="D6262" t="str">
            <v>PP TŁUSZCZ DR.Z SZYN.OK20KG NB DMR</v>
          </cell>
        </row>
        <row r="6263">
          <cell r="C6263">
            <v>3009245</v>
          </cell>
          <cell r="D6263" t="str">
            <v>TŁUSZCZ DROB.WP. UŚR</v>
          </cell>
        </row>
        <row r="6264">
          <cell r="C6264">
            <v>3019062</v>
          </cell>
          <cell r="D6264" t="str">
            <v>TŁUSZCZ DR.WP.ROZP1</v>
          </cell>
        </row>
        <row r="6265">
          <cell r="C6265">
            <v>3020342</v>
          </cell>
          <cell r="D6265" t="str">
            <v>TŁUSZCZ DR.WP.ROZP2</v>
          </cell>
        </row>
        <row r="6266">
          <cell r="C6266">
            <v>3007982</v>
          </cell>
          <cell r="D6266" t="str">
            <v>***TŁUSZCZ ODPAD CH</v>
          </cell>
        </row>
        <row r="6267">
          <cell r="C6267">
            <v>4003990</v>
          </cell>
          <cell r="D6267" t="str">
            <v>***TLUSZCZ ODPADOWY WP.LUZ MRZ.</v>
          </cell>
        </row>
        <row r="6268">
          <cell r="C6268">
            <v>1100161</v>
          </cell>
          <cell r="D6268" t="str">
            <v>UPPZ.KAT.3-TŁUSZCZ PJ</v>
          </cell>
        </row>
        <row r="6269">
          <cell r="C6269">
            <v>3007983</v>
          </cell>
          <cell r="D6269" t="str">
            <v>***TŁUSZCZ ODPAD.PB DMR</v>
          </cell>
        </row>
        <row r="6270">
          <cell r="C6270">
            <v>3007984</v>
          </cell>
          <cell r="D6270" t="str">
            <v>TŁUSZCZ ODPAD. CP</v>
          </cell>
        </row>
        <row r="6271">
          <cell r="C6271">
            <v>3015279</v>
          </cell>
          <cell r="D6271" t="str">
            <v>TŁUSZCZ WP.DR.Z SZYN.PBX EŁ1</v>
          </cell>
        </row>
        <row r="6272">
          <cell r="C6272">
            <v>3016007</v>
          </cell>
          <cell r="D6272" t="str">
            <v>SŁON.PRZEM.B/S.CH</v>
          </cell>
        </row>
        <row r="6273">
          <cell r="C6273">
            <v>3030223</v>
          </cell>
          <cell r="D6273" t="str">
            <v>SŁON.PRZEM.B/S.OK20KGWOR MR MORR ST</v>
          </cell>
        </row>
        <row r="6274">
          <cell r="C6274">
            <v>3027420</v>
          </cell>
          <cell r="D6274" t="str">
            <v>SŁON.PRZEM.B/S.OK15KG NB MR ST</v>
          </cell>
        </row>
        <row r="6275">
          <cell r="C6275">
            <v>4008159</v>
          </cell>
          <cell r="D6275" t="str">
            <v>***SŁONINA PRZEM. B/SK NB MR ROS</v>
          </cell>
        </row>
        <row r="6276">
          <cell r="C6276">
            <v>4001832</v>
          </cell>
          <cell r="D6276" t="str">
            <v>SŁON.PRZEM.B/S.OK20KG PB MR</v>
          </cell>
        </row>
        <row r="6277">
          <cell r="C6277">
            <v>4025184</v>
          </cell>
          <cell r="D6277" t="str">
            <v>PL SŁON.PRZEM.B/S.20KGWOR KT MR</v>
          </cell>
        </row>
        <row r="6278">
          <cell r="C6278">
            <v>4001833</v>
          </cell>
          <cell r="D6278" t="str">
            <v>***SŁONINA PRZEMYSŁOWA EXPORT</v>
          </cell>
        </row>
        <row r="6279">
          <cell r="C6279">
            <v>4011100</v>
          </cell>
          <cell r="D6279" t="str">
            <v>SŁON.HANDL.B/S.OK1.2KGVAC 15KGPJ ECS</v>
          </cell>
        </row>
        <row r="6280">
          <cell r="C6280">
            <v>4024674</v>
          </cell>
          <cell r="D6280" t="str">
            <v>PL SŁON.HANDL.B/S.OK3KGVACOK9KGKT MOR EX</v>
          </cell>
        </row>
        <row r="6281">
          <cell r="C6281">
            <v>4025281</v>
          </cell>
          <cell r="D6281" t="str">
            <v>PL SŁON.HANDL.B/S.OK3KGVAC OK9KGKT</v>
          </cell>
        </row>
        <row r="6282">
          <cell r="C6282">
            <v>4030117</v>
          </cell>
          <cell r="D6282" t="str">
            <v>PL SŁON.HANDL.B/S.OK2.5KGVACOK5KGKT AUCH</v>
          </cell>
        </row>
        <row r="6283">
          <cell r="C6283">
            <v>4019625</v>
          </cell>
          <cell r="D6283" t="str">
            <v>PP SŁON.HANDL.B/S.OK1.5KGVACOK3KGKT BIED</v>
          </cell>
        </row>
        <row r="6284">
          <cell r="C6284">
            <v>4024464</v>
          </cell>
          <cell r="D6284" t="str">
            <v>SŁON.PRZEM.B/S.MAX.18KGWOR PJ</v>
          </cell>
        </row>
        <row r="6285">
          <cell r="C6285">
            <v>3008673</v>
          </cell>
          <cell r="D6285" t="str">
            <v>***SŁONINA PRZEMYSŁOWA OK20KGPJ CH ST</v>
          </cell>
        </row>
        <row r="6286">
          <cell r="C6286">
            <v>4009758</v>
          </cell>
          <cell r="D6286" t="str">
            <v>SŁON.PRZEM.B/S.OK15KGWOR PJ</v>
          </cell>
        </row>
        <row r="6287">
          <cell r="C6287">
            <v>3007985</v>
          </cell>
          <cell r="D6287" t="str">
            <v>***SŁONINA B/SK PRZEM.PB CH</v>
          </cell>
        </row>
        <row r="6288">
          <cell r="C6288">
            <v>4027024</v>
          </cell>
          <cell r="D6288" t="str">
            <v>SŁON.PRZEM.B/S.OK500KG OKT</v>
          </cell>
        </row>
        <row r="6289">
          <cell r="C6289">
            <v>3047368</v>
          </cell>
          <cell r="D6289" t="str">
            <v>PL SŁON.PRZEM.B/S.PBX ST</v>
          </cell>
        </row>
        <row r="6290">
          <cell r="C6290">
            <v>3030100</v>
          </cell>
          <cell r="D6290" t="str">
            <v>SŁON.PRZEM.B/S.OK20KGWOR DMR MORR</v>
          </cell>
        </row>
        <row r="6291">
          <cell r="C6291">
            <v>3027387</v>
          </cell>
          <cell r="D6291" t="str">
            <v>SŁON.PRZEM.B/S.OK15KG PJ DMR</v>
          </cell>
        </row>
        <row r="6292">
          <cell r="C6292">
            <v>3009127</v>
          </cell>
          <cell r="D6292" t="str">
            <v>***SŁONINA PRZEM. B/SK NB DMR</v>
          </cell>
        </row>
        <row r="6293">
          <cell r="C6293">
            <v>3007986</v>
          </cell>
          <cell r="D6293" t="str">
            <v>SŁON.PRZEM.B/S.OK20KG PB DMR</v>
          </cell>
        </row>
        <row r="6294">
          <cell r="C6294">
            <v>3037131</v>
          </cell>
          <cell r="D6294" t="str">
            <v>PL SŁON.PRZEM.B/S.20KGWOR KT DMR</v>
          </cell>
        </row>
        <row r="6295">
          <cell r="C6295">
            <v>3007987</v>
          </cell>
          <cell r="D6295" t="str">
            <v>***SŁONINA B/SK PRZEM. PB DMR EX</v>
          </cell>
        </row>
        <row r="6296">
          <cell r="C6296">
            <v>3033380</v>
          </cell>
          <cell r="D6296" t="str">
            <v>SŁON.PRZEM.B/S.RO1</v>
          </cell>
        </row>
        <row r="6297">
          <cell r="C6297">
            <v>3011806</v>
          </cell>
          <cell r="D6297" t="str">
            <v>***SŁONINA PRZEM. B/SK NB ROS RO</v>
          </cell>
        </row>
        <row r="6298">
          <cell r="C6298">
            <v>3010079</v>
          </cell>
          <cell r="D6298" t="str">
            <v>SŁONINA PRZEMYSŁOWA RO</v>
          </cell>
        </row>
        <row r="6299">
          <cell r="C6299">
            <v>3010556</v>
          </cell>
          <cell r="D6299" t="str">
            <v>***SŁONINA PRZEMYSŁOWA EXPORT RO</v>
          </cell>
        </row>
        <row r="6300">
          <cell r="C6300">
            <v>3033381</v>
          </cell>
          <cell r="D6300" t="str">
            <v>SŁON.PRZEM.B/S.RO2</v>
          </cell>
        </row>
        <row r="6301">
          <cell r="C6301">
            <v>3009218</v>
          </cell>
          <cell r="D6301" t="str">
            <v>***SŁONINA PRZEMYSŁOWA PL</v>
          </cell>
        </row>
        <row r="6302">
          <cell r="C6302">
            <v>3015273</v>
          </cell>
          <cell r="D6302" t="str">
            <v>SŁON.PRZEM.B/S.USR CH1</v>
          </cell>
        </row>
        <row r="6303">
          <cell r="C6303">
            <v>3025011</v>
          </cell>
          <cell r="D6303" t="str">
            <v>SŁON.PRZEM.B/S.USR PBX1</v>
          </cell>
        </row>
        <row r="6304">
          <cell r="C6304">
            <v>3030648</v>
          </cell>
          <cell r="D6304" t="str">
            <v>SŁON.RZEM.B/S.USR CH MORR</v>
          </cell>
        </row>
        <row r="6305">
          <cell r="C6305">
            <v>3020343</v>
          </cell>
          <cell r="D6305" t="str">
            <v>SŁON.PRZEM.B/S.USR CH2</v>
          </cell>
        </row>
        <row r="6306">
          <cell r="C6306">
            <v>3025271</v>
          </cell>
          <cell r="D6306" t="str">
            <v>SŁON.PRZEM.B/S.USR PBX2</v>
          </cell>
        </row>
        <row r="6307">
          <cell r="C6307">
            <v>3035908</v>
          </cell>
          <cell r="D6307" t="str">
            <v>PP SŁON.PRZEM.B/S.CH</v>
          </cell>
        </row>
        <row r="6308">
          <cell r="C6308">
            <v>3009251</v>
          </cell>
          <cell r="D6308" t="str">
            <v>***SŁONINA PRZEMYSŁOWA PL UŚR</v>
          </cell>
        </row>
        <row r="6309">
          <cell r="C6309">
            <v>3030622</v>
          </cell>
          <cell r="D6309" t="str">
            <v>SŁON.PRZEM.B/S.CH MORR</v>
          </cell>
        </row>
        <row r="6310">
          <cell r="C6310">
            <v>3037624</v>
          </cell>
          <cell r="D6310" t="str">
            <v>PP SŁON.PRZEM.B/S.USR</v>
          </cell>
        </row>
        <row r="6311">
          <cell r="C6311">
            <v>3027386</v>
          </cell>
          <cell r="D6311" t="str">
            <v>SŁON.PRZEM.B/S.PŁATY CH</v>
          </cell>
        </row>
        <row r="6312">
          <cell r="C6312">
            <v>4020280</v>
          </cell>
          <cell r="D6312" t="str">
            <v>***SŁONINA PRZEM.B/S.10KGWOR KT MR EX</v>
          </cell>
        </row>
        <row r="6313">
          <cell r="C6313">
            <v>3027389</v>
          </cell>
          <cell r="D6313" t="str">
            <v>SŁON.PRZEM.B/S.PŁAT.OK15KGWOR PJ ST</v>
          </cell>
        </row>
        <row r="6314">
          <cell r="C6314">
            <v>3030303</v>
          </cell>
          <cell r="D6314" t="str">
            <v>SŁONINA PRZEM.B/S.10KGWOR KT DMR EX</v>
          </cell>
        </row>
        <row r="6315">
          <cell r="C6315">
            <v>3033345</v>
          </cell>
          <cell r="D6315" t="str">
            <v>SŁON.PRZEM.B/S.NA KRAK.CH</v>
          </cell>
        </row>
        <row r="6316">
          <cell r="C6316">
            <v>3040525</v>
          </cell>
          <cell r="D6316" t="str">
            <v>SŁON.PRZEM.B/S.NA KRAK.OK20KGLUZPJ ST</v>
          </cell>
        </row>
        <row r="6317">
          <cell r="C6317">
            <v>3040578</v>
          </cell>
          <cell r="D6317" t="str">
            <v>SŁON.PRZEM.B/S.NA KRAK.PBX ST</v>
          </cell>
        </row>
        <row r="6318">
          <cell r="C6318">
            <v>3037823</v>
          </cell>
          <cell r="D6318" t="str">
            <v>PP SŁON.PRZEM.B/S.NA KRAK.CH</v>
          </cell>
        </row>
        <row r="6319">
          <cell r="C6319">
            <v>3040555</v>
          </cell>
          <cell r="D6319" t="str">
            <v>PP SŁON.PRZEM.B/S.NA KRAK.OK20KGLUZPJST</v>
          </cell>
        </row>
        <row r="6320">
          <cell r="C6320">
            <v>3040592</v>
          </cell>
          <cell r="D6320" t="str">
            <v>PP SŁON.PRZEM.B/S.NA KRAK.PBX ST</v>
          </cell>
        </row>
        <row r="6321">
          <cell r="C6321">
            <v>3015302</v>
          </cell>
          <cell r="D6321" t="str">
            <v>MÓZG WP.CH</v>
          </cell>
        </row>
        <row r="6322">
          <cell r="C6322">
            <v>4024930</v>
          </cell>
          <cell r="D6322" t="str">
            <v>***MÓZG WP.OK15KG NB MR EX</v>
          </cell>
        </row>
        <row r="6323">
          <cell r="C6323">
            <v>4003995</v>
          </cell>
          <cell r="D6323" t="str">
            <v>***MÓZG WP.ŚWŻ.LUZ KAR.</v>
          </cell>
        </row>
        <row r="6324">
          <cell r="C6324">
            <v>4007996</v>
          </cell>
          <cell r="D6324" t="str">
            <v>***MÓZG PB MR EX</v>
          </cell>
        </row>
        <row r="6325">
          <cell r="C6325">
            <v>4001834</v>
          </cell>
          <cell r="D6325" t="str">
            <v>***MÓZG WP. 1 KG MRZ. WOREK EXP.</v>
          </cell>
        </row>
        <row r="6326">
          <cell r="C6326">
            <v>4001835</v>
          </cell>
          <cell r="D6326" t="str">
            <v>***MÓZG WP.EKSPORT</v>
          </cell>
        </row>
        <row r="6327">
          <cell r="C6327">
            <v>3014902</v>
          </cell>
          <cell r="D6327" t="str">
            <v>MÓZG WP.OK15KG NB DMR</v>
          </cell>
        </row>
        <row r="6328">
          <cell r="C6328">
            <v>3007988</v>
          </cell>
          <cell r="D6328" t="str">
            <v>***MÓZG PB DMR</v>
          </cell>
        </row>
        <row r="6329">
          <cell r="C6329">
            <v>3007989</v>
          </cell>
          <cell r="D6329" t="str">
            <v>***MÓZG OK.10KG KT DMR EX</v>
          </cell>
        </row>
        <row r="6330">
          <cell r="C6330">
            <v>3007990</v>
          </cell>
          <cell r="D6330" t="str">
            <v>***MÓZG PB DMR EX</v>
          </cell>
        </row>
        <row r="6331">
          <cell r="C6331">
            <v>3007991</v>
          </cell>
          <cell r="D6331" t="str">
            <v>***MÓZG CP</v>
          </cell>
        </row>
        <row r="6332">
          <cell r="C6332">
            <v>3015274</v>
          </cell>
          <cell r="D6332" t="str">
            <v>SADŁO CH</v>
          </cell>
        </row>
        <row r="6333">
          <cell r="C6333">
            <v>3016155</v>
          </cell>
          <cell r="D6333" t="str">
            <v>SADŁO OK20KG NB MR ST</v>
          </cell>
        </row>
        <row r="6334">
          <cell r="C6334">
            <v>4003996</v>
          </cell>
          <cell r="D6334" t="str">
            <v>***SADŁO ŚWŻ.</v>
          </cell>
        </row>
        <row r="6335">
          <cell r="C6335">
            <v>4003997</v>
          </cell>
          <cell r="D6335" t="str">
            <v>***SADŁO MRŻ.</v>
          </cell>
        </row>
        <row r="6336">
          <cell r="C6336">
            <v>3007992</v>
          </cell>
          <cell r="D6336" t="str">
            <v>***SADŁO PJ CH</v>
          </cell>
        </row>
        <row r="6337">
          <cell r="C6337">
            <v>4010111</v>
          </cell>
          <cell r="D6337" t="str">
            <v>SADŁO OK600KG OKT</v>
          </cell>
        </row>
        <row r="6338">
          <cell r="C6338">
            <v>3006361</v>
          </cell>
          <cell r="D6338" t="str">
            <v>SADŁO WP.PBX ST</v>
          </cell>
        </row>
        <row r="6339">
          <cell r="C6339">
            <v>3018906</v>
          </cell>
          <cell r="D6339" t="str">
            <v>SADŁO OK600KG OKT ST</v>
          </cell>
        </row>
        <row r="6340">
          <cell r="C6340">
            <v>3016156</v>
          </cell>
          <cell r="D6340" t="str">
            <v>SADŁO OK20KG NB DMR</v>
          </cell>
        </row>
        <row r="6341">
          <cell r="C6341">
            <v>3007993</v>
          </cell>
          <cell r="D6341" t="str">
            <v>***SADŁO PB DMR</v>
          </cell>
        </row>
        <row r="6342">
          <cell r="C6342">
            <v>3007994</v>
          </cell>
          <cell r="D6342" t="str">
            <v>SADŁO CP</v>
          </cell>
        </row>
        <row r="6343">
          <cell r="C6343">
            <v>3030307</v>
          </cell>
          <cell r="D6343" t="str">
            <v>SADŁO DR.CH</v>
          </cell>
        </row>
        <row r="6344">
          <cell r="C6344">
            <v>3047200</v>
          </cell>
          <cell r="D6344" t="str">
            <v>SADŁO DR.OK20KG NB MR ST</v>
          </cell>
        </row>
        <row r="6345">
          <cell r="C6345">
            <v>4021219</v>
          </cell>
          <cell r="D6345" t="str">
            <v>SADŁO DR.OK500KGOKT</v>
          </cell>
        </row>
        <row r="6346">
          <cell r="C6346">
            <v>3047201</v>
          </cell>
          <cell r="D6346" t="str">
            <v>SADŁO DR.OK20KG NB DMR</v>
          </cell>
        </row>
        <row r="6347">
          <cell r="C6347">
            <v>3015286</v>
          </cell>
          <cell r="D6347" t="str">
            <v>WĄTROBA WP.CH1</v>
          </cell>
        </row>
        <row r="6348">
          <cell r="C6348">
            <v>4003999</v>
          </cell>
          <cell r="D6348" t="str">
            <v>PL WĄTROBA OK15KGWOR KT</v>
          </cell>
        </row>
        <row r="6349">
          <cell r="C6349">
            <v>3002927</v>
          </cell>
          <cell r="D6349" t="str">
            <v>***WĄTROBA WP.OK2.5KG WOR OK5KG KT ST</v>
          </cell>
        </row>
        <row r="6350">
          <cell r="C6350">
            <v>4008792</v>
          </cell>
          <cell r="D6350" t="str">
            <v>***WĄTROBA WP. WOR.OK2KG OK10KG KT</v>
          </cell>
        </row>
        <row r="6351">
          <cell r="C6351">
            <v>4012228</v>
          </cell>
          <cell r="D6351" t="str">
            <v>***WĄTROBA WP.WOR OK2KG PJ EC</v>
          </cell>
        </row>
        <row r="6352">
          <cell r="C6352">
            <v>4012922</v>
          </cell>
          <cell r="D6352" t="str">
            <v>***WĄTROBA WP.WOR.OK2.5KG OK5KG KT</v>
          </cell>
        </row>
        <row r="6353">
          <cell r="C6353">
            <v>3008996</v>
          </cell>
          <cell r="D6353" t="str">
            <v>WĄTROBA WP.OK20KG NB MR</v>
          </cell>
        </row>
        <row r="6354">
          <cell r="C6354">
            <v>4001836</v>
          </cell>
          <cell r="D6354" t="str">
            <v>***WĄTROBA WP.MRŻ.EXP POLIBLOK</v>
          </cell>
        </row>
        <row r="6355">
          <cell r="C6355">
            <v>4019979</v>
          </cell>
          <cell r="D6355" t="str">
            <v>WĄTROBA WP.NB MR EX</v>
          </cell>
        </row>
        <row r="6356">
          <cell r="C6356">
            <v>4009085</v>
          </cell>
          <cell r="D6356" t="str">
            <v>***WĄTROBA WP.400G MAP 6SZT KT JMD</v>
          </cell>
        </row>
        <row r="6357">
          <cell r="C6357">
            <v>4015179</v>
          </cell>
          <cell r="D6357" t="str">
            <v>***WĄTROBA WP.OK500GMAP OK3KGKT BIED</v>
          </cell>
        </row>
        <row r="6358">
          <cell r="C6358">
            <v>4016120</v>
          </cell>
          <cell r="D6358" t="str">
            <v>WĄTROBA WP.OK2KGMAP OK12KGPJ ECS</v>
          </cell>
        </row>
        <row r="6359">
          <cell r="C6359">
            <v>4023531</v>
          </cell>
          <cell r="D6359" t="str">
            <v>WĄTROBA WP.OK3.5KGMAP 4STPJ STO</v>
          </cell>
        </row>
        <row r="6360">
          <cell r="C6360">
            <v>4025382</v>
          </cell>
          <cell r="D6360" t="str">
            <v>WĄTROBA WP.OK4KGMAP OK16KGPJ</v>
          </cell>
        </row>
        <row r="6361">
          <cell r="C6361">
            <v>4025436</v>
          </cell>
          <cell r="D6361" t="str">
            <v>WĄTROBA OK4KGMAP OK12KGKT</v>
          </cell>
        </row>
        <row r="6362">
          <cell r="C6362">
            <v>4006740</v>
          </cell>
          <cell r="D6362" t="str">
            <v>***WĄTROBA WP. OK.600G MAP T</v>
          </cell>
        </row>
        <row r="6363">
          <cell r="C6363">
            <v>4004003</v>
          </cell>
          <cell r="D6363" t="str">
            <v>***WĄTROBA  WP. MAP OK.1KG</v>
          </cell>
        </row>
        <row r="6364">
          <cell r="C6364">
            <v>4011262</v>
          </cell>
          <cell r="D6364" t="str">
            <v>***WĄTROBA WP.OK2.5KGVAC OK5KGKT EKO</v>
          </cell>
        </row>
        <row r="6365">
          <cell r="C6365">
            <v>4004005</v>
          </cell>
          <cell r="D6365" t="str">
            <v>***WĄTROBA WP. VAC OK.2.5KG R</v>
          </cell>
        </row>
        <row r="6366">
          <cell r="C6366">
            <v>4019629</v>
          </cell>
          <cell r="D6366" t="str">
            <v>PP WĄTROBA WP.OK4KGMAP OK4KGKT BIED</v>
          </cell>
        </row>
        <row r="6367">
          <cell r="C6367">
            <v>4025610</v>
          </cell>
          <cell r="D6367" t="str">
            <v>WĄTROBA WP. MAX.20KGLUZ PJ AGRO</v>
          </cell>
        </row>
        <row r="6368">
          <cell r="C6368">
            <v>3008674</v>
          </cell>
          <cell r="D6368" t="str">
            <v>***WĄTROBA WP.OK20KGPJ CH ST</v>
          </cell>
        </row>
        <row r="6369">
          <cell r="C6369">
            <v>4007430</v>
          </cell>
          <cell r="D6369" t="str">
            <v>PL WĄTROBA WP.OK15KGWOR PJ</v>
          </cell>
        </row>
        <row r="6370">
          <cell r="C6370">
            <v>3012678</v>
          </cell>
          <cell r="D6370" t="str">
            <v>WĄTROBA WP.NB MR EŁ</v>
          </cell>
        </row>
        <row r="6371">
          <cell r="C6371">
            <v>3007995</v>
          </cell>
          <cell r="D6371" t="str">
            <v>***WĄTROBA PB DMR</v>
          </cell>
        </row>
        <row r="6372">
          <cell r="C6372">
            <v>3008997</v>
          </cell>
          <cell r="D6372" t="str">
            <v>WĄTROBA WP.OK20KG NB DMR</v>
          </cell>
        </row>
        <row r="6373">
          <cell r="C6373">
            <v>3007996</v>
          </cell>
          <cell r="D6373" t="str">
            <v>***WĄTROBA PB DMR EX</v>
          </cell>
        </row>
        <row r="6374">
          <cell r="C6374">
            <v>3014894</v>
          </cell>
          <cell r="D6374" t="str">
            <v>WĄTROBA WP.NB DMR</v>
          </cell>
        </row>
        <row r="6375">
          <cell r="C6375">
            <v>3012076</v>
          </cell>
          <cell r="D6375" t="str">
            <v>WĄTROBA WP.PB RO1</v>
          </cell>
        </row>
        <row r="6376">
          <cell r="C6376">
            <v>3020344</v>
          </cell>
          <cell r="D6376" t="str">
            <v>WĄTROBA WP.CH2</v>
          </cell>
        </row>
        <row r="6377">
          <cell r="C6377">
            <v>3022973</v>
          </cell>
          <cell r="D6377" t="str">
            <v>WĄTROBA WP.PB RO2</v>
          </cell>
        </row>
        <row r="6378">
          <cell r="C6378">
            <v>3007997</v>
          </cell>
          <cell r="D6378" t="str">
            <v>WĄTROBA CP</v>
          </cell>
        </row>
        <row r="6379">
          <cell r="C6379">
            <v>3035693</v>
          </cell>
          <cell r="D6379" t="str">
            <v>PP WĄTROBA WP.CH</v>
          </cell>
        </row>
        <row r="6380">
          <cell r="C6380">
            <v>3023577</v>
          </cell>
          <cell r="D6380" t="str">
            <v>WĄTROBA WP.ROZP1</v>
          </cell>
        </row>
        <row r="6381">
          <cell r="C6381">
            <v>3023580</v>
          </cell>
          <cell r="D6381" t="str">
            <v>WĄTROBA WP.ROZP2</v>
          </cell>
        </row>
        <row r="6382">
          <cell r="C6382">
            <v>1100156</v>
          </cell>
          <cell r="D6382" t="str">
            <v>WĄTROBA WP.CH-MAT.-KAT.3</v>
          </cell>
        </row>
        <row r="6383">
          <cell r="C6383">
            <v>3015290</v>
          </cell>
          <cell r="D6383" t="str">
            <v>SERCA WP.CH1</v>
          </cell>
        </row>
        <row r="6384">
          <cell r="C6384">
            <v>4004008</v>
          </cell>
          <cell r="D6384" t="str">
            <v>SERCE OK15KGWOR KT</v>
          </cell>
        </row>
        <row r="6385">
          <cell r="C6385">
            <v>4004009</v>
          </cell>
          <cell r="D6385" t="str">
            <v>***SERCA WP.OK2.5KG WOR OK5KG KT TESC</v>
          </cell>
        </row>
        <row r="6386">
          <cell r="C6386">
            <v>4008794</v>
          </cell>
          <cell r="D6386" t="str">
            <v>***SERCA WP.OK5KG LUZ KT TIP</v>
          </cell>
        </row>
        <row r="6387">
          <cell r="C6387">
            <v>4001839</v>
          </cell>
          <cell r="D6387" t="str">
            <v>SERCE WP.OK20KG NB MR</v>
          </cell>
        </row>
        <row r="6388">
          <cell r="C6388">
            <v>4020692</v>
          </cell>
          <cell r="D6388" t="str">
            <v>SERCA WP.NB MR BST</v>
          </cell>
        </row>
        <row r="6389">
          <cell r="C6389">
            <v>4019627</v>
          </cell>
          <cell r="D6389" t="str">
            <v>***SERCA WP.OK2KGRMM OK4KGKT</v>
          </cell>
        </row>
        <row r="6390">
          <cell r="C6390">
            <v>4025437</v>
          </cell>
          <cell r="D6390" t="str">
            <v>SERCA WP.OK4KGMAP OK12KGKT</v>
          </cell>
        </row>
        <row r="6391">
          <cell r="C6391">
            <v>4004013</v>
          </cell>
          <cell r="D6391" t="str">
            <v>***SERCA WP.OK2.5KG VAC OK10KG KT</v>
          </cell>
        </row>
        <row r="6392">
          <cell r="C6392">
            <v>4012923</v>
          </cell>
          <cell r="D6392" t="str">
            <v>***SERCA WP.OK2.5KG VAC OK5KG KT</v>
          </cell>
        </row>
        <row r="6393">
          <cell r="C6393">
            <v>4007431</v>
          </cell>
          <cell r="D6393" t="str">
            <v>SERCA WP. MAX.20KG PJ AGRO</v>
          </cell>
        </row>
        <row r="6394">
          <cell r="C6394">
            <v>3007998</v>
          </cell>
          <cell r="D6394" t="str">
            <v>SERCE WP.OK20KG NB DMR</v>
          </cell>
        </row>
        <row r="6395">
          <cell r="C6395">
            <v>3030967</v>
          </cell>
          <cell r="D6395" t="str">
            <v>SERCA WP.NB DMR BST</v>
          </cell>
        </row>
        <row r="6396">
          <cell r="C6396">
            <v>3026776</v>
          </cell>
          <cell r="D6396" t="str">
            <v>***SERCA WP.RO1</v>
          </cell>
        </row>
        <row r="6397">
          <cell r="C6397">
            <v>3026812</v>
          </cell>
          <cell r="D6397" t="str">
            <v>***SERCA WP.RO2</v>
          </cell>
        </row>
        <row r="6398">
          <cell r="C6398">
            <v>3002072</v>
          </cell>
          <cell r="D6398" t="str">
            <v>***SERCA WP.</v>
          </cell>
        </row>
        <row r="6399">
          <cell r="C6399">
            <v>3030968</v>
          </cell>
          <cell r="D6399" t="str">
            <v>SERCA WP.CH BST</v>
          </cell>
        </row>
        <row r="6400">
          <cell r="C6400">
            <v>1100151</v>
          </cell>
          <cell r="D6400" t="str">
            <v>***PŁUCA SKON. PB EX - MAT.KAT.3</v>
          </cell>
        </row>
        <row r="6401">
          <cell r="C6401">
            <v>1100162</v>
          </cell>
          <cell r="D6401" t="str">
            <v>PŁUCA WP.LUZ PJ-KAT.3</v>
          </cell>
        </row>
        <row r="6402">
          <cell r="C6402">
            <v>3015300</v>
          </cell>
          <cell r="D6402" t="str">
            <v>OZORY CH1</v>
          </cell>
        </row>
        <row r="6403">
          <cell r="C6403">
            <v>3043480</v>
          </cell>
          <cell r="D6403" t="str">
            <v>OZORY OK20KG NB MR ST</v>
          </cell>
        </row>
        <row r="6404">
          <cell r="C6404">
            <v>3043496</v>
          </cell>
          <cell r="D6404" t="str">
            <v>PL OZORY OK15KG PB MR ST</v>
          </cell>
        </row>
        <row r="6405">
          <cell r="C6405">
            <v>4004015</v>
          </cell>
          <cell r="D6405" t="str">
            <v>OZORY OK15KGWOR KT</v>
          </cell>
        </row>
        <row r="6406">
          <cell r="C6406">
            <v>4012227</v>
          </cell>
          <cell r="D6406" t="str">
            <v>***OZORY WP.OK1KG WOR PJ EC</v>
          </cell>
        </row>
        <row r="6407">
          <cell r="C6407">
            <v>4012847</v>
          </cell>
          <cell r="D6407" t="str">
            <v>***OZORY WP.N/OBR.OK15KG LUZ KT CH EX</v>
          </cell>
        </row>
        <row r="6408">
          <cell r="C6408">
            <v>4019768</v>
          </cell>
          <cell r="D6408" t="str">
            <v>PL OZORY 10KGWOR KT MR VN</v>
          </cell>
        </row>
        <row r="6409">
          <cell r="C6409">
            <v>4004016</v>
          </cell>
          <cell r="D6409" t="str">
            <v>***OZORY OK20KG NB MR</v>
          </cell>
        </row>
        <row r="6410">
          <cell r="C6410">
            <v>4016393</v>
          </cell>
          <cell r="D6410" t="str">
            <v>PL OZORY 10KGWOR KT MR EX</v>
          </cell>
        </row>
        <row r="6411">
          <cell r="C6411">
            <v>4009201</v>
          </cell>
          <cell r="D6411" t="str">
            <v>***OZORY WP.N/OBR.10KG LUZ KT MR CN</v>
          </cell>
        </row>
        <row r="6412">
          <cell r="C6412">
            <v>4001841</v>
          </cell>
          <cell r="D6412" t="str">
            <v>***OZORY WP.N/OBR.MR EX</v>
          </cell>
        </row>
        <row r="6413">
          <cell r="C6413">
            <v>4023533</v>
          </cell>
          <cell r="D6413" t="str">
            <v>OZORY OK3.5KGMAP 2STKT STO</v>
          </cell>
        </row>
        <row r="6414">
          <cell r="C6414">
            <v>4025306</v>
          </cell>
          <cell r="D6414" t="str">
            <v>OZORY N/OBR.MAX4KGVAC MAX20KGPJ POLM</v>
          </cell>
        </row>
        <row r="6415">
          <cell r="C6415">
            <v>4004020</v>
          </cell>
          <cell r="D6415" t="str">
            <v>***OZORY OK2KGVAC OK4KGKT TESC</v>
          </cell>
        </row>
        <row r="6416">
          <cell r="C6416">
            <v>4016112</v>
          </cell>
          <cell r="D6416" t="str">
            <v>***OZORY WP.OK1KGVAC OK14KGPJ ECS</v>
          </cell>
        </row>
        <row r="6417">
          <cell r="C6417">
            <v>4025440</v>
          </cell>
          <cell r="D6417" t="str">
            <v>OZORY OK4KGVAC OK15KGKT</v>
          </cell>
        </row>
        <row r="6418">
          <cell r="C6418">
            <v>4004021</v>
          </cell>
          <cell r="D6418" t="str">
            <v>***OZÓR WP. VAC OK2.5KG OK10KG KT</v>
          </cell>
        </row>
        <row r="6419">
          <cell r="C6419">
            <v>4012924</v>
          </cell>
          <cell r="D6419" t="str">
            <v>***OZÓR WP.OK2.5KG VAC OK5KG KT</v>
          </cell>
        </row>
        <row r="6420">
          <cell r="C6420">
            <v>4007432</v>
          </cell>
          <cell r="D6420" t="str">
            <v>OZORY MAX20KG PJ AGRO</v>
          </cell>
        </row>
        <row r="6421">
          <cell r="C6421">
            <v>3024119</v>
          </cell>
          <cell r="D6421" t="str">
            <v>OZORY OK20KG PB MR SZ</v>
          </cell>
        </row>
        <row r="6422">
          <cell r="C6422">
            <v>3043481</v>
          </cell>
          <cell r="D6422" t="str">
            <v>OZORY OK20KG NB DMR II</v>
          </cell>
        </row>
        <row r="6423">
          <cell r="C6423">
            <v>3006386</v>
          </cell>
          <cell r="D6423" t="str">
            <v>PL OZORY OK15KG PB DMR</v>
          </cell>
        </row>
        <row r="6424">
          <cell r="C6424">
            <v>3029685</v>
          </cell>
          <cell r="D6424" t="str">
            <v>PL OZORY 10KGWOR KT DMR VN</v>
          </cell>
        </row>
        <row r="6425">
          <cell r="C6425">
            <v>3008000</v>
          </cell>
          <cell r="D6425" t="str">
            <v>***OZORY OK20KG NB DMR</v>
          </cell>
        </row>
        <row r="6426">
          <cell r="C6426">
            <v>3024832</v>
          </cell>
          <cell r="D6426" t="str">
            <v>PL OZORY 10KGWOR KT DMR EX</v>
          </cell>
        </row>
        <row r="6427">
          <cell r="C6427">
            <v>3010650</v>
          </cell>
          <cell r="D6427" t="str">
            <v>***OZORY WP.N/OBR.LUZ 10KG KT DMR CN</v>
          </cell>
        </row>
        <row r="6428">
          <cell r="C6428">
            <v>3008001</v>
          </cell>
          <cell r="D6428" t="str">
            <v>***OZORY WP.N/OBR.PB DMR EX</v>
          </cell>
        </row>
        <row r="6429">
          <cell r="C6429">
            <v>3011849</v>
          </cell>
          <cell r="D6429" t="str">
            <v>***OZORY WP.N/OBR.RO1</v>
          </cell>
        </row>
        <row r="6430">
          <cell r="C6430">
            <v>3024287</v>
          </cell>
          <cell r="D6430" t="str">
            <v>OZORY CH2</v>
          </cell>
        </row>
        <row r="6431">
          <cell r="C6431">
            <v>3020345</v>
          </cell>
          <cell r="D6431" t="str">
            <v>***OZORY WP.N/OBR.RO2</v>
          </cell>
        </row>
        <row r="6432">
          <cell r="C6432">
            <v>3024701</v>
          </cell>
          <cell r="D6432" t="str">
            <v>EU OZORY CH</v>
          </cell>
        </row>
        <row r="6433">
          <cell r="C6433">
            <v>4016392</v>
          </cell>
          <cell r="D6433" t="str">
            <v>EU OZORY 10KGWOR KT MR EX</v>
          </cell>
        </row>
        <row r="6434">
          <cell r="C6434">
            <v>3025057</v>
          </cell>
          <cell r="D6434" t="str">
            <v>EU OZORY 10KGWOR KT DMR EX</v>
          </cell>
        </row>
        <row r="6435">
          <cell r="C6435">
            <v>3002073</v>
          </cell>
          <cell r="D6435" t="str">
            <v>PP OZORY CH</v>
          </cell>
        </row>
        <row r="6436">
          <cell r="C6436">
            <v>4029523</v>
          </cell>
          <cell r="D6436" t="str">
            <v>PP OZORY OK3KGWOR OK3KGKT BIED</v>
          </cell>
        </row>
        <row r="6437">
          <cell r="C6437">
            <v>4026863</v>
          </cell>
          <cell r="D6437" t="str">
            <v>PP OZORY OK1.5KGVAC OK3KGKT BIED</v>
          </cell>
        </row>
        <row r="6438">
          <cell r="C6438">
            <v>3035252</v>
          </cell>
          <cell r="D6438" t="str">
            <v>CZ OZORY CH</v>
          </cell>
        </row>
        <row r="6439">
          <cell r="C6439">
            <v>4023858</v>
          </cell>
          <cell r="D6439" t="str">
            <v>CZ OZORY 10KGWOR KT MR EX</v>
          </cell>
        </row>
        <row r="6440">
          <cell r="C6440">
            <v>3035243</v>
          </cell>
          <cell r="D6440" t="str">
            <v>CZ OZORY 10KGWOR KT DMR EX</v>
          </cell>
        </row>
        <row r="6441">
          <cell r="C6441">
            <v>3022796</v>
          </cell>
          <cell r="D6441" t="str">
            <v>OZORY ROZP.1</v>
          </cell>
        </row>
        <row r="6442">
          <cell r="C6442">
            <v>3022814</v>
          </cell>
          <cell r="D6442" t="str">
            <v>OZORY ROZP.2</v>
          </cell>
        </row>
        <row r="6443">
          <cell r="C6443">
            <v>3008002</v>
          </cell>
          <cell r="D6443" t="str">
            <v>OZORY KL2 CH1</v>
          </cell>
        </row>
        <row r="6444">
          <cell r="C6444">
            <v>3008003</v>
          </cell>
          <cell r="D6444" t="str">
            <v>OZORY KL2 OK20KG NB MR ST</v>
          </cell>
        </row>
        <row r="6445">
          <cell r="C6445">
            <v>4008646</v>
          </cell>
          <cell r="D6445" t="str">
            <v>***OZORY WP.N/OBR.KL2 PB MR</v>
          </cell>
        </row>
        <row r="6446">
          <cell r="C6446">
            <v>3008004</v>
          </cell>
          <cell r="D6446" t="str">
            <v>OZORY KL2 OK20KG NB DMR</v>
          </cell>
        </row>
        <row r="6447">
          <cell r="C6447">
            <v>3009414</v>
          </cell>
          <cell r="D6447" t="str">
            <v>***OZORY WP.N/OBR.KL2 PB DMR</v>
          </cell>
        </row>
        <row r="6448">
          <cell r="C6448">
            <v>3008005</v>
          </cell>
          <cell r="D6448" t="str">
            <v>OZORY KL2 RO1</v>
          </cell>
        </row>
        <row r="6449">
          <cell r="C6449">
            <v>3020346</v>
          </cell>
          <cell r="D6449" t="str">
            <v>OZORY KL2 CH2</v>
          </cell>
        </row>
        <row r="6450">
          <cell r="C6450">
            <v>3020347</v>
          </cell>
          <cell r="D6450" t="str">
            <v>OZORY KL2 RO2</v>
          </cell>
        </row>
        <row r="6451">
          <cell r="C6451">
            <v>3008006</v>
          </cell>
          <cell r="D6451" t="str">
            <v>OZÓR N/OBR. KL.2 CP</v>
          </cell>
        </row>
        <row r="6452">
          <cell r="C6452">
            <v>3015297</v>
          </cell>
          <cell r="D6452" t="str">
            <v>NERKI WP.CH1</v>
          </cell>
        </row>
        <row r="6453">
          <cell r="C6453">
            <v>4004022</v>
          </cell>
          <cell r="D6453" t="str">
            <v>NERKI OK15KGWOR KT</v>
          </cell>
        </row>
        <row r="6454">
          <cell r="C6454">
            <v>4008745</v>
          </cell>
          <cell r="D6454" t="str">
            <v>***NERKI WP. WOR OK2KG OK10KG KT</v>
          </cell>
        </row>
        <row r="6455">
          <cell r="C6455">
            <v>3008675</v>
          </cell>
          <cell r="D6455" t="str">
            <v>***NERKI WP.OK15KG LUZ KT CH ST</v>
          </cell>
        </row>
        <row r="6456">
          <cell r="C6456">
            <v>4012226</v>
          </cell>
          <cell r="D6456" t="str">
            <v>***NERKI WP.WOR OK2KG PJ EC</v>
          </cell>
        </row>
        <row r="6457">
          <cell r="C6457">
            <v>4012928</v>
          </cell>
          <cell r="D6457" t="str">
            <v>***NERKI WP.OK2.5KG WOR OK5KG KT</v>
          </cell>
        </row>
        <row r="6458">
          <cell r="C6458">
            <v>4001842</v>
          </cell>
          <cell r="D6458" t="str">
            <v>***NERKI WP.MRŻ.</v>
          </cell>
        </row>
        <row r="6459">
          <cell r="C6459">
            <v>4016500</v>
          </cell>
          <cell r="D6459" t="str">
            <v>NERKI WP.OK15KG NB MR</v>
          </cell>
        </row>
        <row r="6460">
          <cell r="C6460">
            <v>4016508</v>
          </cell>
          <cell r="D6460" t="str">
            <v>NERKI WP.OK15KG PB MR</v>
          </cell>
        </row>
        <row r="6461">
          <cell r="C6461">
            <v>4020733</v>
          </cell>
          <cell r="D6461" t="str">
            <v>NERKI WP.10KGWOR KT MR</v>
          </cell>
        </row>
        <row r="6462">
          <cell r="C6462">
            <v>4016087</v>
          </cell>
          <cell r="D6462" t="str">
            <v>***NERKI WP.OK2KGROL OK12KGKT ECS</v>
          </cell>
        </row>
        <row r="6463">
          <cell r="C6463">
            <v>4023535</v>
          </cell>
          <cell r="D6463" t="str">
            <v>NERKI MAX2KGMAP OK7KGKT STO</v>
          </cell>
        </row>
        <row r="6464">
          <cell r="C6464">
            <v>4025434</v>
          </cell>
          <cell r="D6464" t="str">
            <v>NERKI OK4KGMAP OK12KGKT</v>
          </cell>
        </row>
        <row r="6465">
          <cell r="C6465">
            <v>4019628</v>
          </cell>
          <cell r="D6465" t="str">
            <v>***NERKI WP.OK2.5KGRMM OK5KGKT</v>
          </cell>
        </row>
        <row r="6466">
          <cell r="C6466">
            <v>4004026</v>
          </cell>
          <cell r="D6466" t="str">
            <v>***NERKI WP. VAC OK.2.5KG R</v>
          </cell>
        </row>
        <row r="6467">
          <cell r="C6467">
            <v>4025291</v>
          </cell>
          <cell r="D6467" t="str">
            <v>NERKI MAX20KG PJ AGRO</v>
          </cell>
        </row>
        <row r="6468">
          <cell r="C6468">
            <v>3008007</v>
          </cell>
          <cell r="D6468" t="str">
            <v>***NERKI PB DMR</v>
          </cell>
        </row>
        <row r="6469">
          <cell r="C6469">
            <v>3006383</v>
          </cell>
          <cell r="D6469" t="str">
            <v>NERKI WP.OK15KG NB DMR</v>
          </cell>
        </row>
        <row r="6470">
          <cell r="C6470">
            <v>3006384</v>
          </cell>
          <cell r="D6470" t="str">
            <v>NERKI WP.OK15KG PB DMR</v>
          </cell>
        </row>
        <row r="6471">
          <cell r="C6471">
            <v>3031022</v>
          </cell>
          <cell r="D6471" t="str">
            <v>NERKI WP.10KGWOR KT DMR</v>
          </cell>
        </row>
        <row r="6472">
          <cell r="C6472">
            <v>3026793</v>
          </cell>
          <cell r="D6472" t="str">
            <v>***NERKI WP.OK15KG NB RO1</v>
          </cell>
        </row>
        <row r="6473">
          <cell r="C6473">
            <v>3020348</v>
          </cell>
          <cell r="D6473" t="str">
            <v>NERKI WP.CH2</v>
          </cell>
        </row>
        <row r="6474">
          <cell r="C6474">
            <v>3026774</v>
          </cell>
          <cell r="D6474" t="str">
            <v>***NERKI WP.OK15KG NB RO2</v>
          </cell>
        </row>
        <row r="6475">
          <cell r="C6475">
            <v>3044601</v>
          </cell>
          <cell r="D6475" t="str">
            <v>PP NERKI CH</v>
          </cell>
        </row>
        <row r="6476">
          <cell r="C6476">
            <v>4029525</v>
          </cell>
          <cell r="D6476" t="str">
            <v>PP NERKI OK3KGVAC OK3KGKT BIED</v>
          </cell>
        </row>
        <row r="6477">
          <cell r="C6477">
            <v>3025497</v>
          </cell>
          <cell r="D6477" t="str">
            <v>NERKI WP.ROZP.</v>
          </cell>
        </row>
        <row r="6478">
          <cell r="C6478">
            <v>1100183</v>
          </cell>
          <cell r="D6478" t="str">
            <v>NERKI WP.LUZ PJ-KAT.3</v>
          </cell>
        </row>
        <row r="6479">
          <cell r="C6479">
            <v>3012204</v>
          </cell>
          <cell r="D6479" t="str">
            <v>***OŚRODKI WP.ZAK</v>
          </cell>
        </row>
        <row r="6480">
          <cell r="C6480">
            <v>3008716</v>
          </cell>
          <cell r="D6480" t="str">
            <v>OGON KR.CH</v>
          </cell>
        </row>
        <row r="6481">
          <cell r="C6481">
            <v>4024354</v>
          </cell>
          <cell r="D6481" t="str">
            <v>PL OGON KR.12CM 10KGWOR KT MR EX</v>
          </cell>
        </row>
        <row r="6482">
          <cell r="C6482">
            <v>4016433</v>
          </cell>
          <cell r="D6482" t="str">
            <v>PL OGON KR.12CM- 10KGWOR KT MR EX</v>
          </cell>
        </row>
        <row r="6483">
          <cell r="C6483">
            <v>4007588</v>
          </cell>
          <cell r="D6483" t="str">
            <v>***OGON WP.KR.MR CN</v>
          </cell>
        </row>
        <row r="6484">
          <cell r="C6484">
            <v>4001844</v>
          </cell>
          <cell r="D6484" t="str">
            <v>***OGON WP.KRÓTKI MRŻ.EXP.</v>
          </cell>
        </row>
        <row r="6485">
          <cell r="C6485">
            <v>4026340</v>
          </cell>
          <cell r="D6485" t="str">
            <v>OGON KR.12CM+ OK20KGLUZ PJ</v>
          </cell>
        </row>
        <row r="6486">
          <cell r="C6486">
            <v>3036236</v>
          </cell>
          <cell r="D6486" t="str">
            <v>PL OGON KR.12CM 10KGWOR KT DMR EX</v>
          </cell>
        </row>
        <row r="6487">
          <cell r="C6487">
            <v>3025100</v>
          </cell>
          <cell r="D6487" t="str">
            <v>PL OGON KR.12CM- 10KGWOR KT DMR</v>
          </cell>
        </row>
        <row r="6488">
          <cell r="C6488">
            <v>3008009</v>
          </cell>
          <cell r="D6488" t="str">
            <v>***OGON WP.KR.10KGWOR KT DMR CN</v>
          </cell>
        </row>
        <row r="6489">
          <cell r="C6489">
            <v>3008010</v>
          </cell>
          <cell r="D6489" t="str">
            <v>OGON WP.KR.10KGWOR KT DMR EX</v>
          </cell>
        </row>
        <row r="6490">
          <cell r="C6490">
            <v>3009067</v>
          </cell>
          <cell r="D6490" t="str">
            <v>EU OGON KR.CH</v>
          </cell>
        </row>
        <row r="6491">
          <cell r="C6491">
            <v>4016432</v>
          </cell>
          <cell r="D6491" t="str">
            <v>***EU OGON WP.KR.10KGWOR KT MR CH</v>
          </cell>
        </row>
        <row r="6492">
          <cell r="C6492">
            <v>3025089</v>
          </cell>
          <cell r="D6492" t="str">
            <v>***EU OGON WP.KR.10KGWOR KT DMR EX</v>
          </cell>
        </row>
        <row r="6493">
          <cell r="C6493">
            <v>3016439</v>
          </cell>
          <cell r="D6493" t="str">
            <v>OGON KR.USR</v>
          </cell>
        </row>
        <row r="6494">
          <cell r="C6494">
            <v>3025012</v>
          </cell>
          <cell r="D6494" t="str">
            <v>***OGON WP.KR.OK500KGPBX USR CH</v>
          </cell>
        </row>
        <row r="6495">
          <cell r="C6495">
            <v>3040430</v>
          </cell>
          <cell r="D6495" t="str">
            <v>PP OGON KR.CH</v>
          </cell>
        </row>
        <row r="6496">
          <cell r="C6496">
            <v>4026871</v>
          </cell>
          <cell r="D6496" t="str">
            <v>PP OGON KR.OK1.5KGVAC OK3KGKT BIED</v>
          </cell>
        </row>
        <row r="6497">
          <cell r="C6497">
            <v>3009068</v>
          </cell>
          <cell r="D6497" t="str">
            <v>***OGON KRÓTKI PL UŚR</v>
          </cell>
        </row>
        <row r="6498">
          <cell r="C6498">
            <v>3038705</v>
          </cell>
          <cell r="D6498" t="str">
            <v>ŻOŁĄDEK CH</v>
          </cell>
        </row>
        <row r="6499">
          <cell r="C6499">
            <v>3039231</v>
          </cell>
          <cell r="D6499" t="str">
            <v>ŻOŁĄDEK SOL.550G BL</v>
          </cell>
        </row>
        <row r="6500">
          <cell r="C6500">
            <v>3045078</v>
          </cell>
          <cell r="D6500" t="str">
            <v>ŻOŁĄDEK DCZ.BL</v>
          </cell>
        </row>
        <row r="6501">
          <cell r="C6501">
            <v>4028355</v>
          </cell>
          <cell r="D6501" t="str">
            <v>ŻOŁĄDEK OK20KG NB MR</v>
          </cell>
        </row>
        <row r="6502">
          <cell r="C6502">
            <v>4025919</v>
          </cell>
          <cell r="D6502" t="str">
            <v>***ŻOŁĄDEK OK10KGWOR KT MR</v>
          </cell>
        </row>
        <row r="6503">
          <cell r="C6503">
            <v>4026021</v>
          </cell>
          <cell r="D6503" t="str">
            <v>ŻOŁĄDEK 10KGWOR KT MR EX</v>
          </cell>
        </row>
        <row r="6504">
          <cell r="C6504">
            <v>4026201</v>
          </cell>
          <cell r="D6504" t="str">
            <v>ŻOŁĄDEK SOL.550G 250STBECZ.JX</v>
          </cell>
        </row>
        <row r="6505">
          <cell r="C6505">
            <v>4026121</v>
          </cell>
          <cell r="D6505" t="str">
            <v>***ŻOŁĄDEK PARZ.10KGWOR KT MR EX</v>
          </cell>
        </row>
        <row r="6506">
          <cell r="C6506">
            <v>3045414</v>
          </cell>
          <cell r="D6506" t="str">
            <v>***ŻOŁĄDEK KLB PBX ST</v>
          </cell>
        </row>
        <row r="6507">
          <cell r="C6507">
            <v>4025962</v>
          </cell>
          <cell r="D6507" t="str">
            <v>ŻOŁĄDEK PBX</v>
          </cell>
        </row>
        <row r="6508">
          <cell r="C6508">
            <v>3043111</v>
          </cell>
          <cell r="D6508" t="str">
            <v>ŻOŁĄDEK OK20KG NB DMR</v>
          </cell>
        </row>
        <row r="6509">
          <cell r="C6509">
            <v>3038733</v>
          </cell>
          <cell r="D6509" t="str">
            <v>***ŻOŁĄDEK OK10KGWOR KT DMR</v>
          </cell>
        </row>
        <row r="6510">
          <cell r="C6510">
            <v>3038860</v>
          </cell>
          <cell r="D6510" t="str">
            <v>ŻOŁĄDEK 10KGWOR KT DMR EX</v>
          </cell>
        </row>
        <row r="6511">
          <cell r="C6511">
            <v>3039013</v>
          </cell>
          <cell r="D6511" t="str">
            <v>***ŻOŁĄDEK PARZ.10KGWOR KT DMR EX</v>
          </cell>
        </row>
        <row r="6512">
          <cell r="C6512">
            <v>3038706</v>
          </cell>
          <cell r="D6512" t="str">
            <v>JELITO GRU.CH</v>
          </cell>
        </row>
        <row r="6513">
          <cell r="C6513">
            <v>3041078</v>
          </cell>
          <cell r="D6513" t="str">
            <v>JELITO GRU.SOL.1M 0.36KG 20MSIA.BL</v>
          </cell>
        </row>
        <row r="6514">
          <cell r="C6514">
            <v>3039234</v>
          </cell>
          <cell r="D6514" t="str">
            <v>JELITO GRU.SOL.3.2KGSIA.BL</v>
          </cell>
        </row>
        <row r="6515">
          <cell r="C6515">
            <v>3040528</v>
          </cell>
          <cell r="D6515" t="str">
            <v>JELITO GRU.SOL.5.2KGSIA.BL</v>
          </cell>
        </row>
        <row r="6516">
          <cell r="C6516">
            <v>3039750</v>
          </cell>
          <cell r="D6516" t="str">
            <v>JELITO GRU.MAC.SOL.3.2KGSIA.BL</v>
          </cell>
        </row>
        <row r="6517">
          <cell r="C6517">
            <v>3041200</v>
          </cell>
          <cell r="D6517" t="str">
            <v>JELITO GRU.MAC.SOL.5.2KGSIA.BL</v>
          </cell>
        </row>
        <row r="6518">
          <cell r="C6518">
            <v>3045225</v>
          </cell>
          <cell r="D6518" t="str">
            <v>JELITO GRU.MAC.SOL.2.6KGSIA.BL</v>
          </cell>
        </row>
        <row r="6519">
          <cell r="C6519">
            <v>3045727</v>
          </cell>
          <cell r="D6519" t="str">
            <v>JELITO GRU.MAC.SOL.90-100CM 5.3KGSIA.BL</v>
          </cell>
        </row>
        <row r="6520">
          <cell r="C6520">
            <v>4026066</v>
          </cell>
          <cell r="D6520" t="str">
            <v>***JELITO GRU.SOL.2.5M 20MSIA.35ST BECZ.</v>
          </cell>
        </row>
        <row r="6521">
          <cell r="C6521">
            <v>4026197</v>
          </cell>
          <cell r="D6521" t="str">
            <v>JELITO GRU.SOL.9M 3.2KGSIA.BECZ.</v>
          </cell>
        </row>
        <row r="6522">
          <cell r="C6522">
            <v>4026376</v>
          </cell>
          <cell r="D6522" t="str">
            <v>***JELITO GRU.MAC.SOL.9M 3.2KGSIA.BECZ.</v>
          </cell>
        </row>
        <row r="6523">
          <cell r="C6523">
            <v>4026946</v>
          </cell>
          <cell r="D6523" t="str">
            <v>JELITO GRU.SOL.20M 5.2KGSIA.40STBECZ.</v>
          </cell>
        </row>
        <row r="6524">
          <cell r="C6524">
            <v>4027235</v>
          </cell>
          <cell r="D6524" t="str">
            <v>JELITO GRU.MAC.SOL.20M5.2KGSIA.32STBECZ.</v>
          </cell>
        </row>
        <row r="6525">
          <cell r="C6525">
            <v>4029261</v>
          </cell>
          <cell r="D6525" t="str">
            <v>JELITO GRU.PEKL.8% PBX</v>
          </cell>
        </row>
        <row r="6526">
          <cell r="C6526">
            <v>4027194</v>
          </cell>
          <cell r="D6526" t="str">
            <v>JELITO GRU.SOL.1M0.36KG 20MSIA.40STBECZ.</v>
          </cell>
        </row>
        <row r="6527">
          <cell r="C6527">
            <v>4029506</v>
          </cell>
          <cell r="D6527" t="str">
            <v>JELITO GRU.60+ 350G PEKL.8% PBX</v>
          </cell>
        </row>
        <row r="6528">
          <cell r="C6528">
            <v>4029956</v>
          </cell>
          <cell r="D6528" t="str">
            <v>JELITO GRU.MAC.SOL.10M2.6KGSIA.64STBECZ.</v>
          </cell>
        </row>
        <row r="6529">
          <cell r="C6529">
            <v>4030286</v>
          </cell>
          <cell r="D6529" t="str">
            <v>JEL.GRU.MAC.SOL.90-100CM5.3KGSIA.40STBEC</v>
          </cell>
        </row>
        <row r="6530">
          <cell r="C6530">
            <v>4025963</v>
          </cell>
          <cell r="D6530" t="str">
            <v>JELITO GRU.PBX</v>
          </cell>
        </row>
        <row r="6531">
          <cell r="C6531">
            <v>4026309</v>
          </cell>
          <cell r="D6531" t="str">
            <v>JELITO GRU.1M 360GLUZ PBX</v>
          </cell>
        </row>
        <row r="6532">
          <cell r="C6532">
            <v>3038707</v>
          </cell>
          <cell r="D6532" t="str">
            <v>JELITO CIEN.CH</v>
          </cell>
        </row>
        <row r="6533">
          <cell r="C6533">
            <v>3039059</v>
          </cell>
          <cell r="D6533" t="str">
            <v>JELITO CIEN.SOL.210G BL</v>
          </cell>
        </row>
        <row r="6534">
          <cell r="C6534">
            <v>3044400</v>
          </cell>
          <cell r="D6534" t="str">
            <v>JELITO CIEN.SOL.210G K4 BL</v>
          </cell>
        </row>
        <row r="6535">
          <cell r="C6535">
            <v>3039751</v>
          </cell>
          <cell r="D6535" t="str">
            <v>JELITO CIEN.MAC.SOL.210G BL</v>
          </cell>
        </row>
        <row r="6536">
          <cell r="C6536">
            <v>3046001</v>
          </cell>
          <cell r="D6536" t="str">
            <v>JEL.CIEN.28- CH</v>
          </cell>
        </row>
        <row r="6537">
          <cell r="C6537">
            <v>3046002</v>
          </cell>
          <cell r="D6537" t="str">
            <v>JEL.CIEN.28/30 CH</v>
          </cell>
        </row>
        <row r="6538">
          <cell r="C6538">
            <v>3046003</v>
          </cell>
          <cell r="D6538" t="str">
            <v>JEL.CIEN.32/34 5-12 CH</v>
          </cell>
        </row>
        <row r="6539">
          <cell r="C6539">
            <v>3046004</v>
          </cell>
          <cell r="D6539" t="str">
            <v>JEL.CIEN.34/37 5-12 CH</v>
          </cell>
        </row>
        <row r="6540">
          <cell r="C6540">
            <v>3046005</v>
          </cell>
          <cell r="D6540" t="str">
            <v>JEL.CIEN.37/41 5-12 CH</v>
          </cell>
        </row>
        <row r="6541">
          <cell r="C6541">
            <v>3046006</v>
          </cell>
          <cell r="D6541" t="str">
            <v>JEL.CIEN.40+ CH</v>
          </cell>
        </row>
        <row r="6542">
          <cell r="C6542">
            <v>3046594</v>
          </cell>
          <cell r="D6542" t="str">
            <v>JEL.CIEN.32/34 12+ CH</v>
          </cell>
        </row>
        <row r="6543">
          <cell r="C6543">
            <v>3046595</v>
          </cell>
          <cell r="D6543" t="str">
            <v>JEL.CIEN.34/37 12+ CH</v>
          </cell>
        </row>
        <row r="6544">
          <cell r="C6544">
            <v>3046596</v>
          </cell>
          <cell r="D6544" t="str">
            <v>JEL.CIEN.37/41 12+ CH</v>
          </cell>
        </row>
        <row r="6545">
          <cell r="C6545">
            <v>4026000</v>
          </cell>
          <cell r="D6545" t="str">
            <v>JELITO CIEN.SOL.210G 20STSIA.BECZ.JX</v>
          </cell>
        </row>
        <row r="6546">
          <cell r="C6546">
            <v>4026180</v>
          </cell>
          <cell r="D6546" t="str">
            <v>JELITO CIEN.MAC.SOL.210G 20STSIA.BECZ.</v>
          </cell>
        </row>
        <row r="6547">
          <cell r="C6547">
            <v>4029340</v>
          </cell>
          <cell r="D6547" t="str">
            <v>JELITO CIEN.SOL.210G K4 20STSIA.BECZ.</v>
          </cell>
        </row>
        <row r="6548">
          <cell r="C6548">
            <v>4026003</v>
          </cell>
          <cell r="D6548" t="str">
            <v>JELITO CIEN.210G 20STPCZ.PBX ASG</v>
          </cell>
        </row>
        <row r="6549">
          <cell r="C6549">
            <v>4026092</v>
          </cell>
          <cell r="D6549" t="str">
            <v>JELITO CIEN.200G 10STPCZ.1000ST PBX</v>
          </cell>
        </row>
        <row r="6550">
          <cell r="C6550">
            <v>4026137</v>
          </cell>
          <cell r="D6550" t="str">
            <v>JELITO CIEN.MAC.210G 10STPCZ.1000ST PBX</v>
          </cell>
        </row>
        <row r="6551">
          <cell r="C6551">
            <v>3044233</v>
          </cell>
          <cell r="D6551" t="str">
            <v>JELITO CIEN.210G 10STPCZ.1400ST PBX K4</v>
          </cell>
        </row>
        <row r="6552">
          <cell r="C6552">
            <v>3045877</v>
          </cell>
          <cell r="D6552" t="str">
            <v>JELITO CIEN.SOL.210G 20STSIA.BECZ.K4</v>
          </cell>
        </row>
        <row r="6553">
          <cell r="C6553">
            <v>3045857</v>
          </cell>
          <cell r="D6553" t="str">
            <v>JELITO CIEN.SOL.210G 20STSIA.BECZ.EŁ</v>
          </cell>
        </row>
        <row r="6554">
          <cell r="C6554">
            <v>3046064</v>
          </cell>
          <cell r="D6554" t="str">
            <v>JELITO CIEN.SOL.210G 20STSIA.BECZ.SZ</v>
          </cell>
        </row>
        <row r="6555">
          <cell r="C6555">
            <v>3038708</v>
          </cell>
          <cell r="D6555" t="str">
            <v>KĄTNICA CH</v>
          </cell>
        </row>
        <row r="6556">
          <cell r="C6556">
            <v>3039189</v>
          </cell>
          <cell r="D6556" t="str">
            <v>KĄTNICA SOL.200G BL</v>
          </cell>
        </row>
        <row r="6557">
          <cell r="C6557">
            <v>3039403</v>
          </cell>
          <cell r="D6557" t="str">
            <v>KĄTNICA SOL.250G BL</v>
          </cell>
        </row>
        <row r="6558">
          <cell r="C6558">
            <v>3039758</v>
          </cell>
          <cell r="D6558" t="str">
            <v>KĄTNICA MAC.SOL.250G 20STSIA.BL</v>
          </cell>
        </row>
        <row r="6559">
          <cell r="C6559">
            <v>4026055</v>
          </cell>
          <cell r="D6559" t="str">
            <v>***KĄTNICA SOL.200G 40STSIA.BECZ.</v>
          </cell>
        </row>
        <row r="6560">
          <cell r="C6560">
            <v>4026262</v>
          </cell>
          <cell r="D6560" t="str">
            <v>KĄTNICA SOL.250G 40STSIA.BECZ.</v>
          </cell>
        </row>
        <row r="6561">
          <cell r="C6561">
            <v>4026266</v>
          </cell>
          <cell r="D6561" t="str">
            <v>KĄTNICA MAC.SOL.250G 20STSIA.BECZ.</v>
          </cell>
        </row>
        <row r="6562">
          <cell r="C6562">
            <v>4026037</v>
          </cell>
          <cell r="D6562" t="str">
            <v>KĄTNICA OK200GLUZ PBX</v>
          </cell>
        </row>
        <row r="6563">
          <cell r="C6563">
            <v>4026155</v>
          </cell>
          <cell r="D6563" t="str">
            <v>KĄTNICA 200GLUZ PBX</v>
          </cell>
        </row>
        <row r="6564">
          <cell r="C6564">
            <v>3038712</v>
          </cell>
          <cell r="D6564" t="str">
            <v>KRZYŻÓWKA CH</v>
          </cell>
        </row>
        <row r="6565">
          <cell r="C6565">
            <v>3040026</v>
          </cell>
          <cell r="D6565" t="str">
            <v>KRZYŻÓWKA SOL.70CM 230G BL</v>
          </cell>
        </row>
        <row r="6566">
          <cell r="C6566">
            <v>3039230</v>
          </cell>
          <cell r="D6566" t="str">
            <v>KRZYŻÓWKA SOL.100G BL</v>
          </cell>
        </row>
        <row r="6567">
          <cell r="C6567">
            <v>3039404</v>
          </cell>
          <cell r="D6567" t="str">
            <v>KRZYŻÓWKA SOL.200G BL</v>
          </cell>
        </row>
        <row r="6568">
          <cell r="C6568">
            <v>3039766</v>
          </cell>
          <cell r="D6568" t="str">
            <v>KRZYŻÓWKA MAC.SOL.200G BL</v>
          </cell>
        </row>
        <row r="6569">
          <cell r="C6569">
            <v>3039890</v>
          </cell>
          <cell r="D6569" t="str">
            <v>KRZYŻÓWKA SOL.70CM 350G BL</v>
          </cell>
        </row>
        <row r="6570">
          <cell r="C6570">
            <v>4025970</v>
          </cell>
          <cell r="D6570" t="str">
            <v>KRZYŻÓWKA OK10KGWOR KT MR</v>
          </cell>
        </row>
        <row r="6571">
          <cell r="C6571">
            <v>4026063</v>
          </cell>
          <cell r="D6571" t="str">
            <v>KRZYŻÓWKA 10KGWOR KT MR EX</v>
          </cell>
        </row>
        <row r="6572">
          <cell r="C6572">
            <v>4026198</v>
          </cell>
          <cell r="D6572" t="str">
            <v>***KRZYŻÓWKA SOL.100G 20STSIA.BECZ.</v>
          </cell>
        </row>
        <row r="6573">
          <cell r="C6573">
            <v>4026263</v>
          </cell>
          <cell r="D6573" t="str">
            <v>KRZYŻÓWKA SOL.200G 20STSIA.BECZ.</v>
          </cell>
        </row>
        <row r="6574">
          <cell r="C6574">
            <v>4026383</v>
          </cell>
          <cell r="D6574" t="str">
            <v>KRZYŻÓWKA MAC.SOL.200G 20STSIA.BECZ.</v>
          </cell>
        </row>
        <row r="6575">
          <cell r="C6575">
            <v>4026460</v>
          </cell>
          <cell r="D6575" t="str">
            <v>KRZYŻÓWKA SOL.70CM 350G 20STSIA.BECZ.</v>
          </cell>
        </row>
        <row r="6576">
          <cell r="C6576">
            <v>4026516</v>
          </cell>
          <cell r="D6576" t="str">
            <v>KRZYŻÓWKA SOL.70CM 230G 20STSIA.BECZ.</v>
          </cell>
        </row>
        <row r="6577">
          <cell r="C6577">
            <v>4026036</v>
          </cell>
          <cell r="D6577" t="str">
            <v>KRZYŻÓWKA PBX</v>
          </cell>
        </row>
        <row r="6578">
          <cell r="C6578">
            <v>3038725</v>
          </cell>
          <cell r="D6578" t="str">
            <v>KRZYŻÓWKA OK10KGWOR KT DMR</v>
          </cell>
        </row>
        <row r="6579">
          <cell r="C6579">
            <v>3038890</v>
          </cell>
          <cell r="D6579" t="str">
            <v>KRZYŻÓWKA 10KGWOR KT DMR EX</v>
          </cell>
        </row>
        <row r="6580">
          <cell r="C6580">
            <v>3038701</v>
          </cell>
          <cell r="D6580" t="str">
            <v>PĘCHERZ CH</v>
          </cell>
        </row>
        <row r="6581">
          <cell r="C6581">
            <v>3039382</v>
          </cell>
          <cell r="D6581" t="str">
            <v>PĘCHERZ SOL.40G BL</v>
          </cell>
        </row>
        <row r="6582">
          <cell r="C6582">
            <v>3039752</v>
          </cell>
          <cell r="D6582" t="str">
            <v>PĘCHERZ MAC.SOL.40G BL</v>
          </cell>
        </row>
        <row r="6583">
          <cell r="C6583">
            <v>4025946</v>
          </cell>
          <cell r="D6583" t="str">
            <v>***PĘCHERZ OK10KGWOR KT MR</v>
          </cell>
        </row>
        <row r="6584">
          <cell r="C6584">
            <v>4026064</v>
          </cell>
          <cell r="D6584" t="str">
            <v>***PĘCHERZ 10KGWOR KT MR EX</v>
          </cell>
        </row>
        <row r="6585">
          <cell r="C6585">
            <v>4025967</v>
          </cell>
          <cell r="D6585" t="str">
            <v>PĘCHERZ SOL.40G 100STSIA.BECZ.EUR</v>
          </cell>
        </row>
        <row r="6586">
          <cell r="C6586">
            <v>4026272</v>
          </cell>
          <cell r="D6586" t="str">
            <v>PĘCHERZ MAC.SOL.40G 50STSIA.BECZ.</v>
          </cell>
        </row>
        <row r="6587">
          <cell r="C6587">
            <v>4026038</v>
          </cell>
          <cell r="D6587" t="str">
            <v>PĘCHERZ PBX BON</v>
          </cell>
        </row>
        <row r="6588">
          <cell r="C6588">
            <v>3038726</v>
          </cell>
          <cell r="D6588" t="str">
            <v>***PĘCHERZ OK10KGWOR KT DMR</v>
          </cell>
        </row>
        <row r="6589">
          <cell r="C6589">
            <v>3038891</v>
          </cell>
          <cell r="D6589" t="str">
            <v>***PĘCHERZ 10KGWOR KT DMR EX</v>
          </cell>
        </row>
        <row r="6590">
          <cell r="C6590">
            <v>3038709</v>
          </cell>
          <cell r="D6590" t="str">
            <v>JELITO PRO.CH</v>
          </cell>
        </row>
        <row r="6591">
          <cell r="C6591">
            <v>3040908</v>
          </cell>
          <cell r="D6591" t="str">
            <v>JELITO PRO.SOL.1M 0.19KG 120SIA.BL</v>
          </cell>
        </row>
        <row r="6592">
          <cell r="C6592">
            <v>3039232</v>
          </cell>
          <cell r="D6592" t="str">
            <v>JELITO PRO.SOL.1.7KG BL</v>
          </cell>
        </row>
        <row r="6593">
          <cell r="C6593">
            <v>3039613</v>
          </cell>
          <cell r="D6593" t="str">
            <v>JELITO PRO.SOL.28M 5.3KGSIA.BL</v>
          </cell>
        </row>
        <row r="6594">
          <cell r="C6594">
            <v>3039767</v>
          </cell>
          <cell r="D6594" t="str">
            <v>JELITO PRO.MAC.SOL.9M 1.7KG BL</v>
          </cell>
        </row>
        <row r="6595">
          <cell r="C6595">
            <v>3039832</v>
          </cell>
          <cell r="D6595" t="str">
            <v>JELITO PRO.SOL.1.7KG BL EUR</v>
          </cell>
        </row>
        <row r="6596">
          <cell r="C6596">
            <v>3046098</v>
          </cell>
          <cell r="D6596" t="str">
            <v>JELITO PRO.SOL.1.7KGSIA.140STBECZ.BL</v>
          </cell>
        </row>
        <row r="6597">
          <cell r="C6597">
            <v>4026068</v>
          </cell>
          <cell r="D6597" t="str">
            <v>***JELITO PRO.SOL.100G 9MPCZ.35ST BECZ.</v>
          </cell>
        </row>
        <row r="6598">
          <cell r="C6598">
            <v>4026199</v>
          </cell>
          <cell r="D6598" t="str">
            <v>JELITO PRO.SOL.9M 1.7KGSIA.BECZ.</v>
          </cell>
        </row>
        <row r="6599">
          <cell r="C6599">
            <v>4026285</v>
          </cell>
          <cell r="D6599" t="str">
            <v>JELITO PRO.SOL.0.7M 9MSIA.BECZ.EUR</v>
          </cell>
        </row>
        <row r="6600">
          <cell r="C6600">
            <v>4026350</v>
          </cell>
          <cell r="D6600" t="str">
            <v>JELITO PRO.SOL.28M 5.3KGSIA.BECZ.DAT</v>
          </cell>
        </row>
        <row r="6601">
          <cell r="C6601">
            <v>4026384</v>
          </cell>
          <cell r="D6601" t="str">
            <v>JELITO PRO.MAC.SOL.9M1.7KGSIA.100SIABECZ</v>
          </cell>
        </row>
        <row r="6602">
          <cell r="C6602">
            <v>4026422</v>
          </cell>
          <cell r="D6602" t="str">
            <v>JELITO PRO.SOL.9M 1.7KGSIA.BECZ.EUR</v>
          </cell>
        </row>
        <row r="6603">
          <cell r="C6603">
            <v>4027087</v>
          </cell>
          <cell r="D6603" t="str">
            <v>JELITO PRO.SOL.1M 0.19KG 120SIA.BECZ.</v>
          </cell>
        </row>
        <row r="6604">
          <cell r="C6604">
            <v>4030529</v>
          </cell>
          <cell r="D6604" t="str">
            <v>JELITO PRO.SOL.9M 1.7KGSIA.140STBECZ.</v>
          </cell>
        </row>
        <row r="6605">
          <cell r="C6605">
            <v>4025964</v>
          </cell>
          <cell r="D6605" t="str">
            <v>JELITO PRO.PBX</v>
          </cell>
        </row>
        <row r="6606">
          <cell r="C6606">
            <v>3038702</v>
          </cell>
          <cell r="D6606" t="str">
            <v>ŚLEDZIONA CH</v>
          </cell>
        </row>
        <row r="6607">
          <cell r="C6607">
            <v>4025918</v>
          </cell>
          <cell r="D6607" t="str">
            <v>ŚLEDZIONA PBX</v>
          </cell>
        </row>
        <row r="6608">
          <cell r="C6608">
            <v>3046557</v>
          </cell>
          <cell r="D6608" t="str">
            <v>UPPZ KAT.3-ŚLUZ CH</v>
          </cell>
        </row>
        <row r="6609">
          <cell r="C6609">
            <v>3041352</v>
          </cell>
          <cell r="D6609" t="str">
            <v>UPPZ KAT.3-ŚLUZ ZAKONS.EŁ</v>
          </cell>
        </row>
        <row r="6610">
          <cell r="C6610">
            <v>3042620</v>
          </cell>
          <cell r="D6610" t="str">
            <v>***UPPZ KAT.3-ŚLUZ ZAKONS.SZ</v>
          </cell>
        </row>
        <row r="6611">
          <cell r="C6611">
            <v>3043814</v>
          </cell>
          <cell r="D6611" t="str">
            <v>ŚLUZ Z JELIT LUZ ZAK</v>
          </cell>
        </row>
        <row r="6612">
          <cell r="C6612">
            <v>3044216</v>
          </cell>
          <cell r="D6612" t="str">
            <v>UPPZ KAT.3-ŚLUZ ZAKONS.SZ</v>
          </cell>
        </row>
        <row r="6613">
          <cell r="C6613">
            <v>3044208</v>
          </cell>
          <cell r="D6613" t="str">
            <v>UPPZ KAT.3-ŚLUZ ZAKONS.EŁ</v>
          </cell>
        </row>
        <row r="6614">
          <cell r="C6614">
            <v>3044209</v>
          </cell>
          <cell r="D6614" t="str">
            <v>UPPZ KAT.3-ŚLUZ ZAKONS.K4</v>
          </cell>
        </row>
        <row r="6615">
          <cell r="C6615">
            <v>3038703</v>
          </cell>
          <cell r="D6615" t="str">
            <v>TRZUSTKA CH</v>
          </cell>
        </row>
        <row r="6616">
          <cell r="C6616">
            <v>4025947</v>
          </cell>
          <cell r="D6616" t="str">
            <v>***TRZUSTKA OK20KG NB MR</v>
          </cell>
        </row>
        <row r="6617">
          <cell r="C6617">
            <v>4026020</v>
          </cell>
          <cell r="D6617" t="str">
            <v>TRZUSTKA 10KG NB MR BON</v>
          </cell>
        </row>
        <row r="6618">
          <cell r="C6618">
            <v>4026426</v>
          </cell>
          <cell r="D6618" t="str">
            <v>TRZUSTKA MAC.10KG NB MR BON</v>
          </cell>
        </row>
        <row r="6619">
          <cell r="C6619">
            <v>4025948</v>
          </cell>
          <cell r="D6619" t="str">
            <v>***TRZUSTKA OK10KGWOR KT MR</v>
          </cell>
        </row>
        <row r="6620">
          <cell r="C6620">
            <v>4026065</v>
          </cell>
          <cell r="D6620" t="str">
            <v>***TRZUSTKA 10KGWOR KT MR EX</v>
          </cell>
        </row>
        <row r="6621">
          <cell r="C6621">
            <v>3038727</v>
          </cell>
          <cell r="D6621" t="str">
            <v>***TRZUSTKA OK20KG NB DMR</v>
          </cell>
        </row>
        <row r="6622">
          <cell r="C6622">
            <v>3038823</v>
          </cell>
          <cell r="D6622" t="str">
            <v>TRZUSTKA 10KG NB DMR</v>
          </cell>
        </row>
        <row r="6623">
          <cell r="C6623">
            <v>3039881</v>
          </cell>
          <cell r="D6623" t="str">
            <v>TRZUSTKA MAC.10KG NB DMR</v>
          </cell>
        </row>
        <row r="6624">
          <cell r="C6624">
            <v>3038728</v>
          </cell>
          <cell r="D6624" t="str">
            <v>***TRZUSTKA OK10KGWOR KT DMR</v>
          </cell>
        </row>
        <row r="6625">
          <cell r="C6625">
            <v>3038892</v>
          </cell>
          <cell r="D6625" t="str">
            <v>***TRZUSTKA 10KGWOR KT DMR EX</v>
          </cell>
        </row>
        <row r="6626">
          <cell r="C6626">
            <v>3038704</v>
          </cell>
          <cell r="D6626" t="str">
            <v>MACICA CH</v>
          </cell>
        </row>
        <row r="6627">
          <cell r="C6627">
            <v>4025949</v>
          </cell>
          <cell r="D6627" t="str">
            <v>MACICA OK10KGWOR KT MR</v>
          </cell>
        </row>
        <row r="6628">
          <cell r="C6628">
            <v>4026067</v>
          </cell>
          <cell r="D6628" t="str">
            <v>MACICA 10KGWOR KT MR EX</v>
          </cell>
        </row>
        <row r="6629">
          <cell r="C6629">
            <v>4026039</v>
          </cell>
          <cell r="D6629" t="str">
            <v>MACICA PBX BON</v>
          </cell>
        </row>
        <row r="6630">
          <cell r="C6630">
            <v>3038729</v>
          </cell>
          <cell r="D6630" t="str">
            <v>MACICA OK10KGWOR KT DMR</v>
          </cell>
        </row>
        <row r="6631">
          <cell r="C6631">
            <v>3038920</v>
          </cell>
          <cell r="D6631" t="str">
            <v>MACICA 10KGWOR KT DMR EX</v>
          </cell>
        </row>
        <row r="6632">
          <cell r="C6632">
            <v>4026140</v>
          </cell>
          <cell r="D6632" t="str">
            <v>JEL.GRU.+KĄTN.PBX</v>
          </cell>
        </row>
        <row r="6633">
          <cell r="C6633">
            <v>4026119</v>
          </cell>
          <cell r="D6633" t="str">
            <v>KRZYŻ.+JEL.PRO.CZ.PARZ.10KGWOR KT MR EX</v>
          </cell>
        </row>
        <row r="6634">
          <cell r="C6634">
            <v>3039006</v>
          </cell>
          <cell r="D6634" t="str">
            <v>KRZYŻ.+JEL.PRO.CZ.PARZ.10KGWOR KT DMR EX</v>
          </cell>
        </row>
        <row r="6635">
          <cell r="C6635">
            <v>4026150</v>
          </cell>
          <cell r="D6635" t="str">
            <v>JEL.GRU.+PRO.CZ.+KĄTN.PARZ.10KGW KTMR EX</v>
          </cell>
        </row>
        <row r="6636">
          <cell r="C6636">
            <v>3039007</v>
          </cell>
          <cell r="D6636" t="str">
            <v>JEL.GRU.+PRO.CZ.+KĄTN.PARZ.10KGW KTDMREX</v>
          </cell>
        </row>
        <row r="6637">
          <cell r="C6637">
            <v>3039545</v>
          </cell>
          <cell r="D6637" t="str">
            <v>KRZYŻ.+JEL.PRO.SOL.350G 20STSIA.BL</v>
          </cell>
        </row>
        <row r="6638">
          <cell r="C6638">
            <v>4026286</v>
          </cell>
          <cell r="D6638" t="str">
            <v>KRZYŻ.+JEL.PRO.SOL.350G 20STSIA.BECZ.EUR</v>
          </cell>
        </row>
        <row r="6639">
          <cell r="C6639">
            <v>3041341</v>
          </cell>
          <cell r="D6639" t="str">
            <v>KRZYŻ.Z/KOR.+JEL.PRO.125CM+ CH</v>
          </cell>
        </row>
        <row r="6640">
          <cell r="C6640">
            <v>3041313</v>
          </cell>
          <cell r="D6640" t="str">
            <v>KRZYŻ.Z/KOR.+J.PR.SOL125CM+300G10STBL</v>
          </cell>
        </row>
        <row r="6641">
          <cell r="C6641">
            <v>4027275</v>
          </cell>
          <cell r="D6641" t="str">
            <v>KRZYŻ.Z/KOR.+J.PR.SOL125CM+300G10STBECZ.</v>
          </cell>
        </row>
        <row r="6642">
          <cell r="C6642">
            <v>3041396</v>
          </cell>
          <cell r="D6642" t="str">
            <v>KRZYŻ.Z/KOR.+JEL.PRO.60CM+ CH</v>
          </cell>
        </row>
        <row r="6643">
          <cell r="C6643">
            <v>3041426</v>
          </cell>
          <cell r="D6643" t="str">
            <v>KRZYŻ.Z/KOR.+J.PR.SOL60CM+250G10STBL</v>
          </cell>
        </row>
        <row r="6644">
          <cell r="C6644">
            <v>4027335</v>
          </cell>
          <cell r="D6644" t="str">
            <v>KRZYŻ.Z/KOR.+J.PR.SOL60CM+250G10STBECZ.</v>
          </cell>
        </row>
        <row r="6645">
          <cell r="C6645">
            <v>3044559</v>
          </cell>
          <cell r="D6645" t="str">
            <v>SL Z JEL.CIE.ZASOL.CH</v>
          </cell>
        </row>
        <row r="6646">
          <cell r="C6646">
            <v>3044557</v>
          </cell>
          <cell r="D6646" t="str">
            <v>SL Z JEL.CIE.ZASOL.200L BECZ.ST</v>
          </cell>
        </row>
        <row r="6647">
          <cell r="C6647">
            <v>3044818</v>
          </cell>
          <cell r="D6647" t="str">
            <v>JELITO GRU.FI&lt;62 CH</v>
          </cell>
        </row>
        <row r="6648">
          <cell r="C6648">
            <v>3044849</v>
          </cell>
          <cell r="D6648" t="str">
            <v>JEL.GRU.FI&lt;62 SOL.20M 4.1KGSIA.BL</v>
          </cell>
        </row>
        <row r="6649">
          <cell r="C6649">
            <v>3046061</v>
          </cell>
          <cell r="D6649" t="str">
            <v>JEL.GRU.FI&lt;62 SOL.20M4.1KGSIA.40STBECZBL</v>
          </cell>
        </row>
        <row r="6650">
          <cell r="C6650">
            <v>4029729</v>
          </cell>
          <cell r="D6650" t="str">
            <v>JEL.GRU.FI&lt;62 SOL.20M 4.1KGSIA.45STBECZ.</v>
          </cell>
        </row>
        <row r="6651">
          <cell r="C6651">
            <v>4030509</v>
          </cell>
          <cell r="D6651" t="str">
            <v>JEL.GRU.FI&lt;62 SOL.20M 4.1KGSIA.40STBECZ.</v>
          </cell>
        </row>
        <row r="6652">
          <cell r="C6652">
            <v>3047500</v>
          </cell>
          <cell r="D6652" t="str">
            <v>JELITO GRU.60CM CH</v>
          </cell>
        </row>
        <row r="6653">
          <cell r="C6653">
            <v>3047466</v>
          </cell>
          <cell r="D6653" t="str">
            <v>JELITO GRU.60CM SOL.15ST 50STBECZ. BL</v>
          </cell>
        </row>
        <row r="6654">
          <cell r="C6654">
            <v>4031516</v>
          </cell>
          <cell r="D6654" t="str">
            <v>JELITO GRU.60CM SOL.15ST 50STBECZ.</v>
          </cell>
        </row>
        <row r="6655">
          <cell r="C6655">
            <v>1200071</v>
          </cell>
          <cell r="D6655" t="str">
            <v>UPPZ KAT.2-JELITO CP KPL.KONF.</v>
          </cell>
        </row>
        <row r="6656">
          <cell r="C6656">
            <v>3008837</v>
          </cell>
          <cell r="D6656" t="str">
            <v>JELITO KPL.LUZ PJ ST</v>
          </cell>
        </row>
        <row r="6657">
          <cell r="C6657">
            <v>1200044</v>
          </cell>
          <cell r="D6657" t="str">
            <v>ODPAD/SZT. NIEZDATNE DO SPOŻ./-MAT.KAT.2</v>
          </cell>
        </row>
        <row r="6658">
          <cell r="C6658">
            <v>1200042</v>
          </cell>
          <cell r="D6658" t="str">
            <v>ODPADY /ŻYWIEC PADŁY/- MAT.KAT.2</v>
          </cell>
        </row>
        <row r="6659">
          <cell r="C6659">
            <v>1200280</v>
          </cell>
          <cell r="D6659" t="str">
            <v>UPPZ KAT.2-ODPAD ŻYWIEC PADŁY</v>
          </cell>
        </row>
        <row r="6660">
          <cell r="C6660">
            <v>1100770</v>
          </cell>
          <cell r="D6660" t="str">
            <v>UPPZ KAT.3-JELITO PARZ.KONF.</v>
          </cell>
        </row>
        <row r="6661">
          <cell r="C6661">
            <v>1100771</v>
          </cell>
          <cell r="D6661" t="str">
            <v>UPPZ KAT.3-ŚLEDZIONA</v>
          </cell>
        </row>
        <row r="6662">
          <cell r="C6662">
            <v>3009038</v>
          </cell>
          <cell r="D6662" t="str">
            <v>ŚLUZ Z JELIT CH ZAK</v>
          </cell>
        </row>
        <row r="6663">
          <cell r="C6663">
            <v>1100164</v>
          </cell>
          <cell r="D6663" t="str">
            <v>TCHAWICA WP.LUZ PJ-KAT.3</v>
          </cell>
        </row>
        <row r="6664">
          <cell r="C6664">
            <v>3028822</v>
          </cell>
          <cell r="D6664" t="str">
            <v>AORTA WP.CP ST</v>
          </cell>
        </row>
        <row r="6665">
          <cell r="C6665">
            <v>4022044</v>
          </cell>
          <cell r="D6665" t="str">
            <v>AORTA WP.10KGWOR KT MR EX</v>
          </cell>
        </row>
        <row r="6666">
          <cell r="C6666">
            <v>3033045</v>
          </cell>
          <cell r="D6666" t="str">
            <v>AORTA 10KGWOR KT DMR</v>
          </cell>
        </row>
        <row r="6667">
          <cell r="C6667">
            <v>3033310</v>
          </cell>
          <cell r="D6667" t="str">
            <v>AORTA WP.CH</v>
          </cell>
        </row>
        <row r="6668">
          <cell r="C6668">
            <v>3014934</v>
          </cell>
          <cell r="D6668" t="str">
            <v>KREW WP.SPOŻ.CH1</v>
          </cell>
        </row>
        <row r="6669">
          <cell r="C6669">
            <v>3009485</v>
          </cell>
          <cell r="D6669" t="str">
            <v>***KREW WP.SPOŻ.NB MR</v>
          </cell>
        </row>
        <row r="6670">
          <cell r="C6670">
            <v>3044794</v>
          </cell>
          <cell r="D6670" t="str">
            <v>KREW SPOŻ.OK1000KG BECZ.ST           </v>
          </cell>
        </row>
        <row r="6671">
          <cell r="C6671">
            <v>3014194</v>
          </cell>
          <cell r="D6671" t="str">
            <v>KREW WP.SPOŻ.NB MR EŁ</v>
          </cell>
        </row>
        <row r="6672">
          <cell r="C6672">
            <v>3009029</v>
          </cell>
          <cell r="D6672" t="str">
            <v>KREW WP.SPOŻ.DMR</v>
          </cell>
        </row>
        <row r="6673">
          <cell r="C6673">
            <v>3009486</v>
          </cell>
          <cell r="D6673" t="str">
            <v>***KREW WP.SPOŻ.RO1</v>
          </cell>
        </row>
        <row r="6674">
          <cell r="C6674">
            <v>3014207</v>
          </cell>
          <cell r="D6674" t="str">
            <v>KREW WP.SPOŻYWCZA NB RO</v>
          </cell>
        </row>
        <row r="6675">
          <cell r="C6675">
            <v>3020349</v>
          </cell>
          <cell r="D6675" t="str">
            <v>KREW WP.SPOŻ.CH2</v>
          </cell>
        </row>
        <row r="6676">
          <cell r="C6676">
            <v>3020350</v>
          </cell>
          <cell r="D6676" t="str">
            <v>***KREW WP.SPOŻ.RO2</v>
          </cell>
        </row>
        <row r="6677">
          <cell r="C6677">
            <v>3003446</v>
          </cell>
          <cell r="D6677" t="str">
            <v>KREW WP. SPOŻYWCZA CP</v>
          </cell>
        </row>
        <row r="6678">
          <cell r="C6678">
            <v>1100131</v>
          </cell>
          <cell r="D6678" t="str">
            <v>M-SO KRWAWE RANA KŁUCIA ODP. -MAT.KAT.3</v>
          </cell>
        </row>
        <row r="6679">
          <cell r="C6679">
            <v>1100087</v>
          </cell>
          <cell r="D6679" t="str">
            <v>USZY WEWNĘTRZNE -MAT.KAT.3</v>
          </cell>
        </row>
        <row r="6680">
          <cell r="C6680">
            <v>1100175</v>
          </cell>
          <cell r="D6680" t="str">
            <v>PENISY WP.PB CH -MAT.KAT.3</v>
          </cell>
        </row>
        <row r="6681">
          <cell r="C6681">
            <v>1100871</v>
          </cell>
          <cell r="D6681" t="str">
            <v>UPPZ KAT.3-JĄDRO LUZ PJ</v>
          </cell>
        </row>
        <row r="6682">
          <cell r="C6682">
            <v>3039065</v>
          </cell>
          <cell r="D6682" t="str">
            <v>KOŚCI STRZAŁ.CH</v>
          </cell>
        </row>
        <row r="6683">
          <cell r="C6683">
            <v>4026146</v>
          </cell>
          <cell r="D6683" t="str">
            <v>KOŚCI STRZAŁ.PBX</v>
          </cell>
        </row>
        <row r="6684">
          <cell r="C6684">
            <v>3030836</v>
          </cell>
          <cell r="D6684" t="str">
            <v>KOŚCI KARK.CIĘ.4CM CH</v>
          </cell>
        </row>
        <row r="6685">
          <cell r="C6685">
            <v>4020632</v>
          </cell>
          <cell r="D6685" t="str">
            <v>***KOŚCI KARK.CIĘ OK20KGWOR KT MR EX</v>
          </cell>
        </row>
        <row r="6686">
          <cell r="C6686">
            <v>3030837</v>
          </cell>
          <cell r="D6686" t="str">
            <v>***KOŚCI KARK.CIĘ.OK20KGWOR KT DMR EX</v>
          </cell>
        </row>
        <row r="6687">
          <cell r="C6687">
            <v>3022109</v>
          </cell>
          <cell r="D6687" t="str">
            <v>PL KOŚCI SCH.WIZARD CH</v>
          </cell>
        </row>
        <row r="6688">
          <cell r="C6688">
            <v>3025013</v>
          </cell>
          <cell r="D6688" t="str">
            <v>PL KOŚCI SCH.WIZARD PBX</v>
          </cell>
        </row>
        <row r="6689">
          <cell r="C6689">
            <v>4016028</v>
          </cell>
          <cell r="D6689" t="str">
            <v>PL KOŚCI SCH.WIZARD OK15KGWOR KT</v>
          </cell>
        </row>
        <row r="6690">
          <cell r="C6690">
            <v>4016366</v>
          </cell>
          <cell r="D6690" t="str">
            <v>***PL KOŚCI SCH.WIZARD 10KGWOR KT MR EX</v>
          </cell>
        </row>
        <row r="6691">
          <cell r="C6691">
            <v>3024789</v>
          </cell>
          <cell r="D6691" t="str">
            <v>***PL KOŚCI SCH.WIZARD 10KGWOR KT DMR EX</v>
          </cell>
        </row>
        <row r="6692">
          <cell r="C6692">
            <v>3024803</v>
          </cell>
          <cell r="D6692" t="str">
            <v>EU KOŚCI SCH.WIZARD CH</v>
          </cell>
        </row>
        <row r="6693">
          <cell r="C6693">
            <v>4016358</v>
          </cell>
          <cell r="D6693" t="str">
            <v>***EU KOŚCI SCH.WIZARD 10KGWOR KT MR EX</v>
          </cell>
        </row>
        <row r="6694">
          <cell r="C6694">
            <v>3024805</v>
          </cell>
          <cell r="D6694" t="str">
            <v>***EU KOŚCI SCH.WIZARD 10KGWOR KT DMR EX</v>
          </cell>
        </row>
        <row r="6695">
          <cell r="C6695">
            <v>3016036</v>
          </cell>
          <cell r="D6695" t="str">
            <v>PL KOŚCI POKRZEP.CH</v>
          </cell>
        </row>
        <row r="6696">
          <cell r="C6696">
            <v>4016189</v>
          </cell>
          <cell r="D6696" t="str">
            <v>PL KOŚCI POKRZEP.OK15KGWOR KT</v>
          </cell>
        </row>
        <row r="6697">
          <cell r="C6697">
            <v>4016196</v>
          </cell>
          <cell r="D6697" t="str">
            <v>***KOŚCI POKRZEP.20KGWOR KT EX</v>
          </cell>
        </row>
        <row r="6698">
          <cell r="C6698">
            <v>4016410</v>
          </cell>
          <cell r="D6698" t="str">
            <v>PL KOŚCI POKRZEP.20KGWOR KT MR EX</v>
          </cell>
        </row>
        <row r="6699">
          <cell r="C6699">
            <v>4016138</v>
          </cell>
          <cell r="D6699" t="str">
            <v>***KOŚCI POKRZEP.OK20KGWOR KT MR EX</v>
          </cell>
        </row>
        <row r="6700">
          <cell r="C6700">
            <v>4025399</v>
          </cell>
          <cell r="D6700" t="str">
            <v>KOŚCI POKRZEP.OK3KGMAP OK6KGKT</v>
          </cell>
        </row>
        <row r="6701">
          <cell r="C6701">
            <v>3024139</v>
          </cell>
          <cell r="D6701" t="str">
            <v>PL KOŚCI POKRZEP.OK500KG OKT EŁ</v>
          </cell>
        </row>
        <row r="6702">
          <cell r="C6702">
            <v>3042632</v>
          </cell>
          <cell r="D6702" t="str">
            <v>PL KOŚCI POKRZEP.PBX EŁ</v>
          </cell>
        </row>
        <row r="6703">
          <cell r="C6703">
            <v>3042580</v>
          </cell>
          <cell r="D6703" t="str">
            <v>PL KOŚCI POKRZEP.PBX K4</v>
          </cell>
        </row>
        <row r="6704">
          <cell r="C6704">
            <v>3042581</v>
          </cell>
          <cell r="D6704" t="str">
            <v>PP KOŚCI POKRZEP.PBX K4</v>
          </cell>
        </row>
        <row r="6705">
          <cell r="C6705">
            <v>3045016</v>
          </cell>
          <cell r="D6705" t="str">
            <v>PL KOŚCI POKRZEP.OK500KG OKT SZ</v>
          </cell>
        </row>
        <row r="6706">
          <cell r="C6706">
            <v>3045094</v>
          </cell>
          <cell r="D6706" t="str">
            <v>PL KOŚCI POKRZEP.PBX SZ</v>
          </cell>
        </row>
        <row r="6707">
          <cell r="C6707">
            <v>3025062</v>
          </cell>
          <cell r="D6707" t="str">
            <v>PL KOŚCI POKRZEP.20KGWOR KT DMR EX</v>
          </cell>
        </row>
        <row r="6708">
          <cell r="C6708">
            <v>3024326</v>
          </cell>
          <cell r="D6708" t="str">
            <v>***KOŚCI POKRZEP.20KGWOR KT DMR EX</v>
          </cell>
        </row>
        <row r="6709">
          <cell r="C6709">
            <v>3025061</v>
          </cell>
          <cell r="D6709" t="str">
            <v>EU KOŚCI POKRZEP.CH</v>
          </cell>
        </row>
        <row r="6710">
          <cell r="C6710">
            <v>4016349</v>
          </cell>
          <cell r="D6710" t="str">
            <v>EU KOŚCI POKRZEP.20KGWOR KT MR EX</v>
          </cell>
        </row>
        <row r="6711">
          <cell r="C6711">
            <v>3035554</v>
          </cell>
          <cell r="D6711" t="str">
            <v>EU KOŚCI POKRZEP.PBX EŁ</v>
          </cell>
        </row>
        <row r="6712">
          <cell r="C6712">
            <v>3024859</v>
          </cell>
          <cell r="D6712" t="str">
            <v>EU KOŚCI POKRZEP.20KGWOR KT DMR EX</v>
          </cell>
        </row>
        <row r="6713">
          <cell r="C6713">
            <v>3015341</v>
          </cell>
          <cell r="D6713" t="str">
            <v>PL KOŚCI POKRZEP.USR</v>
          </cell>
        </row>
        <row r="6714">
          <cell r="C6714">
            <v>3015340</v>
          </cell>
          <cell r="D6714" t="str">
            <v>PL KOŚCI POKRZEP.PBX</v>
          </cell>
        </row>
        <row r="6715">
          <cell r="C6715">
            <v>3025110</v>
          </cell>
          <cell r="D6715" t="str">
            <v>KOŚCI POKRZEPOWE PBX CH2</v>
          </cell>
        </row>
        <row r="6716">
          <cell r="C6716">
            <v>3024322</v>
          </cell>
          <cell r="D6716" t="str">
            <v>PL KOŚCI POKRZEP.CIĘ.CH</v>
          </cell>
        </row>
        <row r="6717">
          <cell r="C6717">
            <v>3035825</v>
          </cell>
          <cell r="D6717" t="str">
            <v>PP KOŚCI POKRZEP.PBX EŁ</v>
          </cell>
        </row>
        <row r="6718">
          <cell r="C6718">
            <v>3045018</v>
          </cell>
          <cell r="D6718" t="str">
            <v>PP KOŚCI POKRZEP.OK500KG OKT SZ</v>
          </cell>
        </row>
        <row r="6719">
          <cell r="C6719">
            <v>3045168</v>
          </cell>
          <cell r="D6719" t="str">
            <v>PP KOŚCI POKRZEP.PBX SZ</v>
          </cell>
        </row>
        <row r="6720">
          <cell r="C6720">
            <v>3035831</v>
          </cell>
          <cell r="D6720" t="str">
            <v>PP KOŚCI POKRZEP.CH</v>
          </cell>
        </row>
        <row r="6721">
          <cell r="C6721">
            <v>3012044</v>
          </cell>
          <cell r="D6721" t="str">
            <v>PL KOŚCI SCH.CIĘ.CH</v>
          </cell>
        </row>
        <row r="6722">
          <cell r="C6722">
            <v>3025014</v>
          </cell>
          <cell r="D6722" t="str">
            <v>***PL KOŚCI SCH.CIĘ.OK500KG PBX CH</v>
          </cell>
        </row>
        <row r="6723">
          <cell r="C6723">
            <v>4011072</v>
          </cell>
          <cell r="D6723" t="str">
            <v>***PL K-CI SCHAB.OK700G MAP OK4.2KG TESC</v>
          </cell>
        </row>
        <row r="6724">
          <cell r="C6724">
            <v>4015458</v>
          </cell>
          <cell r="D6724" t="str">
            <v>***PL KOŚCI SCH.CIĘ.4STMAP OK8KGKT SEL</v>
          </cell>
        </row>
        <row r="6725">
          <cell r="C6725">
            <v>4027190</v>
          </cell>
          <cell r="D6725" t="str">
            <v>PL KOŚCI SCH.CIĘ.OK20KGLUZ PJ AGRO</v>
          </cell>
        </row>
        <row r="6726">
          <cell r="C6726">
            <v>3027552</v>
          </cell>
          <cell r="D6726" t="str">
            <v>***PL KOŚCI SCH.CIĘ.OK700KGOKT ST</v>
          </cell>
        </row>
        <row r="6727">
          <cell r="C6727">
            <v>3026424</v>
          </cell>
          <cell r="D6727" t="str">
            <v>PL KOŚCI SCH.CIĘ.OK600KG PBX ST</v>
          </cell>
        </row>
        <row r="6728">
          <cell r="C6728">
            <v>4027195</v>
          </cell>
          <cell r="D6728" t="str">
            <v>PL KOŚCI SCH.CIĘ.PBX AGRO</v>
          </cell>
        </row>
        <row r="6729">
          <cell r="C6729">
            <v>3031680</v>
          </cell>
          <cell r="D6729" t="str">
            <v>PL KOŚCI SCH.SPOŻ.CIĘ.PBX K4</v>
          </cell>
        </row>
        <row r="6730">
          <cell r="C6730">
            <v>3017494</v>
          </cell>
          <cell r="D6730" t="str">
            <v>EU KOŚCI SCH.CIĘ.CH</v>
          </cell>
        </row>
        <row r="6731">
          <cell r="C6731">
            <v>3025015</v>
          </cell>
          <cell r="D6731" t="str">
            <v>***EU KOŚCI SCH.CIĘ.OK500KG PBX CH</v>
          </cell>
        </row>
        <row r="6732">
          <cell r="C6732">
            <v>4012142</v>
          </cell>
          <cell r="D6732" t="str">
            <v>***EU K-CI SCHAB.OK700G MAPOK4.2KG TESCO</v>
          </cell>
        </row>
        <row r="6733">
          <cell r="C6733">
            <v>3012042</v>
          </cell>
          <cell r="D6733" t="str">
            <v>***K-CI SCH.SPOŻ CIĘTE USR</v>
          </cell>
        </row>
        <row r="6734">
          <cell r="C6734">
            <v>3016040</v>
          </cell>
          <cell r="D6734" t="str">
            <v>PL KOŚCI SCH.LĘDŹW.CH</v>
          </cell>
        </row>
        <row r="6735">
          <cell r="C6735">
            <v>4004034</v>
          </cell>
          <cell r="D6735" t="str">
            <v>***KOŚCI SCH.LĘDŹW.OK20KGWOR KT</v>
          </cell>
        </row>
        <row r="6736">
          <cell r="C6736">
            <v>4014251</v>
          </cell>
          <cell r="D6736" t="str">
            <v>***KOŚCI SCH.LĘDŹW.OK20KGWOR KT MR EX</v>
          </cell>
        </row>
        <row r="6737">
          <cell r="C6737">
            <v>4009142</v>
          </cell>
          <cell r="D6737" t="str">
            <v>***PL K-C WP.SPOŻ.OK1KG MAP OK4KG KT JMD</v>
          </cell>
        </row>
        <row r="6738">
          <cell r="C6738">
            <v>3021975</v>
          </cell>
          <cell r="D6738" t="str">
            <v>***KOŚCI SCH.LĘDŹW.OK20KGWOR KT DMR EX</v>
          </cell>
        </row>
        <row r="6739">
          <cell r="C6739">
            <v>3016315</v>
          </cell>
          <cell r="D6739" t="str">
            <v>***KOŚCI SCH.LĘDŹW.USR CH</v>
          </cell>
        </row>
        <row r="6740">
          <cell r="C6740">
            <v>3008013</v>
          </cell>
          <cell r="D6740" t="str">
            <v>KOŚCI MOST.CH</v>
          </cell>
        </row>
        <row r="6741">
          <cell r="C6741">
            <v>3025016</v>
          </cell>
          <cell r="D6741" t="str">
            <v>***KOŚCI MOST.OK500KG PBX CH</v>
          </cell>
        </row>
        <row r="6742">
          <cell r="C6742">
            <v>3008014</v>
          </cell>
          <cell r="D6742" t="str">
            <v>***K-CI MOST.SPOŻ UŚR CH</v>
          </cell>
        </row>
        <row r="6743">
          <cell r="C6743">
            <v>3016033</v>
          </cell>
          <cell r="D6743" t="str">
            <v>PL KOŚCI BOCZ.CH</v>
          </cell>
        </row>
        <row r="6744">
          <cell r="C6744">
            <v>3025017</v>
          </cell>
          <cell r="D6744" t="str">
            <v>KOŚCI BOCZ.PBX</v>
          </cell>
        </row>
        <row r="6745">
          <cell r="C6745">
            <v>4004035</v>
          </cell>
          <cell r="D6745" t="str">
            <v>PL KOŚCI BOCZ.OK15KGWOR KT</v>
          </cell>
        </row>
        <row r="6746">
          <cell r="C6746">
            <v>3005185</v>
          </cell>
          <cell r="D6746" t="str">
            <v>***KOŚCI Z BOCZKU  USR CH</v>
          </cell>
        </row>
        <row r="6747">
          <cell r="C6747">
            <v>3016027</v>
          </cell>
          <cell r="D6747" t="str">
            <v>KOŚCI KARK.CH</v>
          </cell>
        </row>
        <row r="6748">
          <cell r="C6748">
            <v>3025018</v>
          </cell>
          <cell r="D6748" t="str">
            <v>KOŚCI KARK.PBX EX</v>
          </cell>
        </row>
        <row r="6749">
          <cell r="C6749">
            <v>3014170</v>
          </cell>
          <cell r="D6749" t="str">
            <v>***KOŚCI KARK.OK20KG PB MR ST</v>
          </cell>
        </row>
        <row r="6750">
          <cell r="C6750">
            <v>4019776</v>
          </cell>
          <cell r="D6750" t="str">
            <v>PL KOŚCI KARK.15KGWOR KT MR VN</v>
          </cell>
        </row>
        <row r="6751">
          <cell r="C6751">
            <v>4016348</v>
          </cell>
          <cell r="D6751" t="str">
            <v>***PL KOŚCI KARK.15KGWOR KT MR EX</v>
          </cell>
        </row>
        <row r="6752">
          <cell r="C6752">
            <v>4007589</v>
          </cell>
          <cell r="D6752" t="str">
            <v>***KOŚCI WP.KARKOWE MR CH</v>
          </cell>
        </row>
        <row r="6753">
          <cell r="C6753">
            <v>4001849</v>
          </cell>
          <cell r="D6753" t="str">
            <v>***KOŚCI KARK.OK15KGWOR KT MR EX</v>
          </cell>
        </row>
        <row r="6754">
          <cell r="C6754">
            <v>4022790</v>
          </cell>
          <cell r="D6754" t="str">
            <v>PL KOŚCI KARK.10KGWOR KT MR EX</v>
          </cell>
        </row>
        <row r="6755">
          <cell r="C6755">
            <v>4023322</v>
          </cell>
          <cell r="D6755" t="str">
            <v>PP KOŚCI KARK.OK3KGMAP OK6KGKT BIED</v>
          </cell>
        </row>
        <row r="6756">
          <cell r="C6756">
            <v>4024580</v>
          </cell>
          <cell r="D6756" t="str">
            <v>PL KOŚCI KARK.OK3KGMAP OK9KGPJ</v>
          </cell>
        </row>
        <row r="6757">
          <cell r="C6757">
            <v>3039589</v>
          </cell>
          <cell r="D6757" t="str">
            <v>PL KOŚCI KARK.OK20KGWOR PJ ST</v>
          </cell>
        </row>
        <row r="6758">
          <cell r="C6758">
            <v>3022728</v>
          </cell>
          <cell r="D6758" t="str">
            <v>PL KOŚCI KARK.OK500KGWOR JBX EŁ</v>
          </cell>
        </row>
        <row r="6759">
          <cell r="C6759">
            <v>3043593</v>
          </cell>
          <cell r="D6759" t="str">
            <v>PL KOŚCI KARK.PBX K4</v>
          </cell>
        </row>
        <row r="6760">
          <cell r="C6760">
            <v>3045095</v>
          </cell>
          <cell r="D6760" t="str">
            <v>PL KOŚCI KARK.PBX SZ</v>
          </cell>
        </row>
        <row r="6761">
          <cell r="C6761">
            <v>3014180</v>
          </cell>
          <cell r="D6761" t="str">
            <v>***KOŚCI KARK.OK20KG PB DMR</v>
          </cell>
        </row>
        <row r="6762">
          <cell r="C6762">
            <v>3029714</v>
          </cell>
          <cell r="D6762" t="str">
            <v>PL KOŚCI KARK.15KGWOR KT DMR VN</v>
          </cell>
        </row>
        <row r="6763">
          <cell r="C6763">
            <v>3024858</v>
          </cell>
          <cell r="D6763" t="str">
            <v>***PL KOŚCI KARK.15KGWOR KT DMR EX</v>
          </cell>
        </row>
        <row r="6764">
          <cell r="C6764">
            <v>3008015</v>
          </cell>
          <cell r="D6764" t="str">
            <v>***K-CI KARK.15KG KT DMR CHIN</v>
          </cell>
        </row>
        <row r="6765">
          <cell r="C6765">
            <v>3008016</v>
          </cell>
          <cell r="D6765" t="str">
            <v>***KOŚCI KARK.OK15KGWOR KT DMR EX</v>
          </cell>
        </row>
        <row r="6766">
          <cell r="C6766">
            <v>3034021</v>
          </cell>
          <cell r="D6766" t="str">
            <v>PL KOŚCI KARK.10KGWOR KT DMR EX</v>
          </cell>
        </row>
        <row r="6767">
          <cell r="C6767">
            <v>3018105</v>
          </cell>
          <cell r="D6767" t="str">
            <v>EU KOŚCI KARK.CH</v>
          </cell>
        </row>
        <row r="6768">
          <cell r="C6768">
            <v>4016406</v>
          </cell>
          <cell r="D6768" t="str">
            <v>***EU KOŚCI KARK.15KGWOR KT MR EX</v>
          </cell>
        </row>
        <row r="6769">
          <cell r="C6769">
            <v>4022769</v>
          </cell>
          <cell r="D6769" t="str">
            <v>EU KOŚCI KARK.10KGWOR KT MR EX</v>
          </cell>
        </row>
        <row r="6770">
          <cell r="C6770">
            <v>3024857</v>
          </cell>
          <cell r="D6770" t="str">
            <v>***EU KOŚCI KARK.15KGWOR KT DMR EX</v>
          </cell>
        </row>
        <row r="6771">
          <cell r="C6771">
            <v>3034020</v>
          </cell>
          <cell r="D6771" t="str">
            <v>EU KOŚCI KARK.10KGWOR KT DMR EX</v>
          </cell>
        </row>
        <row r="6772">
          <cell r="C6772">
            <v>3005176</v>
          </cell>
          <cell r="D6772" t="str">
            <v>***KOŚCI KARKOWE EX.KOREA USR CH</v>
          </cell>
        </row>
        <row r="6773">
          <cell r="C6773">
            <v>3035272</v>
          </cell>
          <cell r="D6773" t="str">
            <v>CZ KOŚCI KARK.CH</v>
          </cell>
        </row>
        <row r="6774">
          <cell r="C6774">
            <v>4023901</v>
          </cell>
          <cell r="D6774" t="str">
            <v>***CZ KOŚCI KARK.15KGWOR KT MR EX</v>
          </cell>
        </row>
        <row r="6775">
          <cell r="C6775">
            <v>3035271</v>
          </cell>
          <cell r="D6775" t="str">
            <v>***CZ KOŚCI KARK.15KGWOR KT DMR EX</v>
          </cell>
        </row>
        <row r="6776">
          <cell r="C6776">
            <v>3009070</v>
          </cell>
          <cell r="D6776" t="str">
            <v>***KOŚCI KARK. PL UŚR</v>
          </cell>
        </row>
        <row r="6777">
          <cell r="C6777">
            <v>3016024</v>
          </cell>
          <cell r="D6777" t="str">
            <v>PL KOŚCI KARK.CH</v>
          </cell>
        </row>
        <row r="6778">
          <cell r="C6778">
            <v>3015330</v>
          </cell>
          <cell r="D6778" t="str">
            <v>***PL KOŚCI KARK.OK500KG PBX CH</v>
          </cell>
        </row>
        <row r="6779">
          <cell r="C6779">
            <v>4004036</v>
          </cell>
          <cell r="D6779" t="str">
            <v>PL KOŚCI KARK.OK15KGWOR KT</v>
          </cell>
        </row>
        <row r="6780">
          <cell r="C6780">
            <v>4012705</v>
          </cell>
          <cell r="D6780" t="str">
            <v>***KOŚCI WP.KARK.OK2KG WOR OK10KG KT</v>
          </cell>
        </row>
        <row r="6781">
          <cell r="C6781">
            <v>4016199</v>
          </cell>
          <cell r="D6781" t="str">
            <v>***KOŚCI KARK.OK15KGWOR KT EX</v>
          </cell>
        </row>
        <row r="6782">
          <cell r="C6782">
            <v>4004037</v>
          </cell>
          <cell r="D6782" t="str">
            <v>***KOŚCI KARK.OK2.5KGWOR PERF.OK10KGKT</v>
          </cell>
        </row>
        <row r="6783">
          <cell r="C6783">
            <v>4015797</v>
          </cell>
          <cell r="D6783" t="str">
            <v>***KOŚCI WP.KARK.OK2KG WOR 8KG KT POLM</v>
          </cell>
        </row>
        <row r="6784">
          <cell r="C6784">
            <v>3012360</v>
          </cell>
          <cell r="D6784" t="str">
            <v>***KOŚCI KARK.OK15KGWOR PJ ST</v>
          </cell>
        </row>
        <row r="6785">
          <cell r="C6785">
            <v>4012836</v>
          </cell>
          <cell r="D6785" t="str">
            <v>***KOŚCI KARK.OK500KGWOR OKT CH EX</v>
          </cell>
        </row>
        <row r="6786">
          <cell r="C6786">
            <v>4013040</v>
          </cell>
          <cell r="D6786" t="str">
            <v>PL KOŚCI KARK.OK500KG OKT EX</v>
          </cell>
        </row>
        <row r="6787">
          <cell r="C6787">
            <v>3042631</v>
          </cell>
          <cell r="D6787" t="str">
            <v>PL KOŚCI KARK.PBX EŁ</v>
          </cell>
        </row>
        <row r="6788">
          <cell r="C6788">
            <v>3045019</v>
          </cell>
          <cell r="D6788" t="str">
            <v>PL KOŚCI KARK.OK500KG OKT SZ</v>
          </cell>
        </row>
        <row r="6789">
          <cell r="C6789">
            <v>3025097</v>
          </cell>
          <cell r="D6789" t="str">
            <v>PL KOŚCI KARKOWE PBX CH2</v>
          </cell>
        </row>
        <row r="6790">
          <cell r="C6790">
            <v>3018096</v>
          </cell>
          <cell r="D6790" t="str">
            <v>EU KOŚCI KARK.PBX EŁ</v>
          </cell>
        </row>
        <row r="6791">
          <cell r="C6791">
            <v>3008018</v>
          </cell>
          <cell r="D6791" t="str">
            <v>***K-CI KARK.SPOŻ UŚR CH</v>
          </cell>
        </row>
        <row r="6792">
          <cell r="C6792">
            <v>3036051</v>
          </cell>
          <cell r="D6792" t="str">
            <v>PP KOŚCI KARK.CH</v>
          </cell>
        </row>
        <row r="6793">
          <cell r="C6793">
            <v>3045111</v>
          </cell>
          <cell r="D6793" t="str">
            <v>PP KOŚCI KARK.OK500KG OKT SZ</v>
          </cell>
        </row>
        <row r="6794">
          <cell r="C6794">
            <v>3035253</v>
          </cell>
          <cell r="D6794" t="str">
            <v>CZ KOŚCI KARK.TRYB.CH</v>
          </cell>
        </row>
        <row r="6795">
          <cell r="C6795">
            <v>3008019</v>
          </cell>
          <cell r="D6795" t="str">
            <v>KOŚCI SCH.CH</v>
          </cell>
        </row>
        <row r="6796">
          <cell r="C6796">
            <v>3025019</v>
          </cell>
          <cell r="D6796" t="str">
            <v>KOŚCI SCH.PBX</v>
          </cell>
        </row>
        <row r="6797">
          <cell r="C6797">
            <v>4004039</v>
          </cell>
          <cell r="D6797" t="str">
            <v>PL KOŚCI SCH.OK15KGWOR KT</v>
          </cell>
        </row>
        <row r="6798">
          <cell r="C6798">
            <v>4012225</v>
          </cell>
          <cell r="D6798" t="str">
            <v>***KOŚCI WP.SCH.WOR OK2.5KG PJ EC</v>
          </cell>
        </row>
        <row r="6799">
          <cell r="C6799">
            <v>4004040</v>
          </cell>
          <cell r="D6799" t="str">
            <v>***KOŚCI SCH.OK2.5KGWOR PERF.OK10KG KT</v>
          </cell>
        </row>
        <row r="6800">
          <cell r="C6800">
            <v>4009737</v>
          </cell>
          <cell r="D6800" t="str">
            <v>***K-CI SCHABOWE 15 KG KT MR CHINY</v>
          </cell>
        </row>
        <row r="6801">
          <cell r="C6801">
            <v>4009084</v>
          </cell>
          <cell r="D6801" t="str">
            <v>***PL K-CIWP.SPOŻ.OK1KG MAP OK4KG KT JMP</v>
          </cell>
        </row>
        <row r="6802">
          <cell r="C6802">
            <v>4015094</v>
          </cell>
          <cell r="D6802" t="str">
            <v>***KOŚCI SCH.OK3KGMAP OK10KGPJ ECS</v>
          </cell>
        </row>
        <row r="6803">
          <cell r="C6803">
            <v>4016068</v>
          </cell>
          <cell r="D6803" t="str">
            <v>KOŚCI SCH.OK2.5KGMAP OK10KGPJ ECS</v>
          </cell>
        </row>
        <row r="6804">
          <cell r="C6804">
            <v>4025546</v>
          </cell>
          <cell r="D6804" t="str">
            <v>KOŚCI SCH.MAX3.5KGMAP OK14KGPJ POLM</v>
          </cell>
        </row>
        <row r="6805">
          <cell r="C6805">
            <v>3008020</v>
          </cell>
          <cell r="D6805" t="str">
            <v>***KOŚCI SCH.OK15KGWOR PJ CH</v>
          </cell>
        </row>
        <row r="6806">
          <cell r="C6806">
            <v>4014243</v>
          </cell>
          <cell r="D6806" t="str">
            <v>PL KOŚCI SCH.OK500KG OKT EX</v>
          </cell>
        </row>
        <row r="6807">
          <cell r="C6807">
            <v>3012067</v>
          </cell>
          <cell r="D6807" t="str">
            <v>***KOŚCI SCH.OK15KGWOR KT DMR CN</v>
          </cell>
        </row>
        <row r="6808">
          <cell r="C6808">
            <v>3012045</v>
          </cell>
          <cell r="D6808" t="str">
            <v>***K-CI SCH.SPOŻ CH PL</v>
          </cell>
        </row>
        <row r="6809">
          <cell r="C6809">
            <v>3008021</v>
          </cell>
          <cell r="D6809" t="str">
            <v>***K-CI SCH.SPOŻ UŚR CH</v>
          </cell>
        </row>
        <row r="6810">
          <cell r="C6810">
            <v>3012048</v>
          </cell>
          <cell r="D6810" t="str">
            <v>***K-CI SCH.SPOŻ CH PL USR</v>
          </cell>
        </row>
        <row r="6811">
          <cell r="C6811">
            <v>1101071</v>
          </cell>
          <cell r="D6811" t="str">
            <v>UPPZ KAT.3-KOŚCI RURKI Z SZYN.PBX</v>
          </cell>
        </row>
        <row r="6812">
          <cell r="C6812">
            <v>1100040</v>
          </cell>
          <cell r="D6812" t="str">
            <v>KOŚCI WP.CH LUZ PJ-KAT.3</v>
          </cell>
        </row>
        <row r="6813">
          <cell r="C6813">
            <v>3008022</v>
          </cell>
          <cell r="D6813" t="str">
            <v>KOŚCI Z WYKR.GŁÓW CH</v>
          </cell>
        </row>
        <row r="6814">
          <cell r="C6814">
            <v>3008023</v>
          </cell>
          <cell r="D6814" t="str">
            <v>KOŚCI RÓŻNOK.SZYN.ŁOP.CH</v>
          </cell>
        </row>
        <row r="6815">
          <cell r="C6815">
            <v>4014964</v>
          </cell>
          <cell r="D6815" t="str">
            <v>PL KOŚCI RÓŻNOK.SZYN.ŁOP.OK500KG OKT</v>
          </cell>
        </row>
        <row r="6816">
          <cell r="C6816">
            <v>3016316</v>
          </cell>
          <cell r="D6816" t="str">
            <v>KOŚCI RÓŻNOK.SZYN.ŁOP.USR</v>
          </cell>
        </row>
        <row r="6817">
          <cell r="C6817">
            <v>3025020</v>
          </cell>
          <cell r="D6817" t="str">
            <v>KOŚCI RÓŻNOK.SZYN.ŁOP.PBX ST</v>
          </cell>
        </row>
        <row r="6818">
          <cell r="C6818">
            <v>3044632</v>
          </cell>
          <cell r="D6818" t="str">
            <v>PP KOŚCI RÓŻNOK.SZYN.ŁOP.CH</v>
          </cell>
        </row>
        <row r="6819">
          <cell r="C6819">
            <v>4029517</v>
          </cell>
          <cell r="D6819" t="str">
            <v>PP KOŚCI RÓŻNOK.SZYN.ŁOP.OK4KGWORKT BIED</v>
          </cell>
        </row>
        <row r="6820">
          <cell r="C6820">
            <v>3044624</v>
          </cell>
          <cell r="D6820" t="str">
            <v>PP KOŚCI RÓŻNOK.SZYN.ŁOP.USR</v>
          </cell>
        </row>
        <row r="6821">
          <cell r="C6821">
            <v>3016026</v>
          </cell>
          <cell r="D6821" t="str">
            <v>PL KOŚCI RÓŻNOK.I RUR.NISKOC.CH</v>
          </cell>
        </row>
        <row r="6822">
          <cell r="C6822">
            <v>4004045</v>
          </cell>
          <cell r="D6822" t="str">
            <v>***KOŚCI RURKOWE LUZ</v>
          </cell>
        </row>
        <row r="6823">
          <cell r="C6823">
            <v>4004046</v>
          </cell>
          <cell r="D6823" t="str">
            <v>***KOŚCI RURK.OK2KGWOR.PERF.OK8KGKT TESC</v>
          </cell>
        </row>
        <row r="6824">
          <cell r="C6824">
            <v>4016396</v>
          </cell>
          <cell r="D6824" t="str">
            <v>***PL KOŚCI RUR.SZYN.ŁOP.10KGWORKT MR EX</v>
          </cell>
        </row>
        <row r="6825">
          <cell r="C6825">
            <v>4007997</v>
          </cell>
          <cell r="D6825" t="str">
            <v>***PL KOŚCI RUR.SZYN.ŁOP.OK10KGFOLKTMREX</v>
          </cell>
        </row>
        <row r="6826">
          <cell r="C6826">
            <v>4004047</v>
          </cell>
          <cell r="D6826" t="str">
            <v>***PL KOŚCI RUR.SZYN.ŁOP.OK15KGWOR PJ</v>
          </cell>
        </row>
        <row r="6827">
          <cell r="C6827">
            <v>3024836</v>
          </cell>
          <cell r="D6827" t="str">
            <v>***PL KOŚCI RUR.SZYN.ŁOP.10KGWORKTDMR EX</v>
          </cell>
        </row>
        <row r="6828">
          <cell r="C6828">
            <v>3008026</v>
          </cell>
          <cell r="D6828" t="str">
            <v>***PLKOŚCI RUR.SZYN.ŁOP.OK10KGWORKTDMREX</v>
          </cell>
        </row>
        <row r="6829">
          <cell r="C6829">
            <v>3036055</v>
          </cell>
          <cell r="D6829" t="str">
            <v>EU KOŚCI RÓŻNOK.I RUR.NISKOC.CH</v>
          </cell>
        </row>
        <row r="6830">
          <cell r="C6830">
            <v>3044809</v>
          </cell>
          <cell r="D6830" t="str">
            <v>EU KOŚCI RUR.SZYN.ŁOP.PBX</v>
          </cell>
        </row>
        <row r="6831">
          <cell r="C6831">
            <v>4016395</v>
          </cell>
          <cell r="D6831" t="str">
            <v>***EU KOŚCI RUR.SZYN.ŁOP.10KGWORKT MR EX</v>
          </cell>
        </row>
        <row r="6832">
          <cell r="C6832">
            <v>3024835</v>
          </cell>
          <cell r="D6832" t="str">
            <v>***EU KOŚCI RUR.SZYN.ŁOP.10KGWORKTDMR EX</v>
          </cell>
        </row>
        <row r="6833">
          <cell r="C6833">
            <v>3016303</v>
          </cell>
          <cell r="D6833" t="str">
            <v>PL KOŚCI RUR.SZYN.ŁOP.USR</v>
          </cell>
        </row>
        <row r="6834">
          <cell r="C6834">
            <v>3025021</v>
          </cell>
          <cell r="D6834" t="str">
            <v>PL KOŚCI RUR.SZYN.ŁOP.PBX</v>
          </cell>
        </row>
        <row r="6835">
          <cell r="C6835">
            <v>3038623</v>
          </cell>
          <cell r="D6835" t="str">
            <v>CZ KOŚCI RÓŻNOK.I RUR.NISKOC.CH</v>
          </cell>
        </row>
        <row r="6836">
          <cell r="C6836">
            <v>4009701</v>
          </cell>
          <cell r="D6836" t="str">
            <v>***PL KOŚCI MIX OK0.7KGMAPOK3.2KGKT BIED</v>
          </cell>
        </row>
        <row r="6837">
          <cell r="C6837">
            <v>4014266</v>
          </cell>
          <cell r="D6837" t="str">
            <v>***KOŚCI MIX OK0.7KG MAP 4.2KG KT MOR</v>
          </cell>
        </row>
        <row r="6838">
          <cell r="C6838">
            <v>4015544</v>
          </cell>
          <cell r="D6838" t="str">
            <v>***PL KOŚCI MIX OK0.5KGMAPOK4.2KGKT LIDL</v>
          </cell>
        </row>
        <row r="6839">
          <cell r="C6839">
            <v>3012434</v>
          </cell>
          <cell r="D6839" t="str">
            <v>KOŚCI KARK.CIĘ.CH</v>
          </cell>
        </row>
        <row r="6840">
          <cell r="C6840">
            <v>3025022</v>
          </cell>
          <cell r="D6840" t="str">
            <v>***KOŚCI KARK.CIĘ.OK500KG PBX CH</v>
          </cell>
        </row>
        <row r="6841">
          <cell r="C6841">
            <v>4015457</v>
          </cell>
          <cell r="D6841" t="str">
            <v>***KOŚCI WP.KARK.SPOŻ.4STMAPOK8KGKT SEL</v>
          </cell>
        </row>
        <row r="6842">
          <cell r="C6842">
            <v>3013550</v>
          </cell>
          <cell r="D6842" t="str">
            <v>***KOŚCI KARK.CIĘ.1/2ST OK20KGWORPJCH ST</v>
          </cell>
        </row>
        <row r="6843">
          <cell r="C6843">
            <v>3012433</v>
          </cell>
          <cell r="D6843" t="str">
            <v>***KOŚCI KARK.SPOŻ.CIĘ.USR</v>
          </cell>
        </row>
        <row r="6844">
          <cell r="C6844">
            <v>3012492</v>
          </cell>
          <cell r="D6844" t="str">
            <v>***KOŚCI KARK.SPOŻ.CIĘ.1/2 CH</v>
          </cell>
        </row>
        <row r="6845">
          <cell r="C6845">
            <v>3013481</v>
          </cell>
          <cell r="D6845" t="str">
            <v>***K-CI WP.KARK.SPOŻ.CIĘTE 1/2 CH USR</v>
          </cell>
        </row>
        <row r="6846">
          <cell r="C6846">
            <v>3008823</v>
          </cell>
          <cell r="D6846" t="str">
            <v>***K-CI SCH.EXTRA CH</v>
          </cell>
        </row>
        <row r="6847">
          <cell r="C6847">
            <v>4007590</v>
          </cell>
          <cell r="D6847" t="str">
            <v>***KOŚCI WP.SCHABOWE EXTRA MR CH</v>
          </cell>
        </row>
        <row r="6848">
          <cell r="C6848">
            <v>4007998</v>
          </cell>
          <cell r="D6848" t="str">
            <v>***K-CI SCH.EXTRA OK 15KG KT MR EX</v>
          </cell>
        </row>
        <row r="6849">
          <cell r="C6849">
            <v>3008027</v>
          </cell>
          <cell r="D6849" t="str">
            <v>***K-CI SCH.EXTRA 15KG KT DMR CHIN</v>
          </cell>
        </row>
        <row r="6850">
          <cell r="C6850">
            <v>3008028</v>
          </cell>
          <cell r="D6850" t="str">
            <v>***K-CI SCH.EXTRA OK 15KG KT DMR EX</v>
          </cell>
        </row>
        <row r="6851">
          <cell r="C6851">
            <v>3009071</v>
          </cell>
          <cell r="D6851" t="str">
            <v>***KOŚCI SCH.EXTRA PL</v>
          </cell>
        </row>
        <row r="6852">
          <cell r="C6852">
            <v>3009072</v>
          </cell>
          <cell r="D6852" t="str">
            <v>***KOŚCI SCH.EXTRA PL UŚR</v>
          </cell>
        </row>
        <row r="6853">
          <cell r="C6853">
            <v>3008824</v>
          </cell>
          <cell r="D6853" t="str">
            <v>PL KOŚCI BOCZ.CH</v>
          </cell>
        </row>
        <row r="6854">
          <cell r="C6854">
            <v>3025023</v>
          </cell>
          <cell r="D6854" t="str">
            <v>PL KOŚCI BOCZ.PBX</v>
          </cell>
        </row>
        <row r="6855">
          <cell r="C6855">
            <v>4016430</v>
          </cell>
          <cell r="D6855" t="str">
            <v>PL KOŚCI BOCZ.OK10KGWOR KT MR EX</v>
          </cell>
        </row>
        <row r="6856">
          <cell r="C6856">
            <v>4007802</v>
          </cell>
          <cell r="D6856" t="str">
            <v>***KOŚCI BOCZKOWE MR CH EX</v>
          </cell>
        </row>
        <row r="6857">
          <cell r="C6857">
            <v>4023633</v>
          </cell>
          <cell r="D6857" t="str">
            <v>PL KOŚCI BOCZ.OK800KG OKT</v>
          </cell>
        </row>
        <row r="6858">
          <cell r="C6858">
            <v>3025087</v>
          </cell>
          <cell r="D6858" t="str">
            <v>PL KOŚCI BOCZ.10KGWOR KT DMR EX</v>
          </cell>
        </row>
        <row r="6859">
          <cell r="C6859">
            <v>3008972</v>
          </cell>
          <cell r="D6859" t="str">
            <v>***PL KOŚCI BOCZ.WOR KT DMR</v>
          </cell>
        </row>
        <row r="6860">
          <cell r="C6860">
            <v>3009073</v>
          </cell>
          <cell r="D6860" t="str">
            <v>EU KOŚCI BOCZ.CH</v>
          </cell>
        </row>
        <row r="6861">
          <cell r="C6861">
            <v>4016379</v>
          </cell>
          <cell r="D6861" t="str">
            <v>***EU KOŚCI BOCZ.OK10KGWOR KT MR EX</v>
          </cell>
        </row>
        <row r="6862">
          <cell r="C6862">
            <v>3025085</v>
          </cell>
          <cell r="D6862" t="str">
            <v>***EU KOŚCI BOCZ.10KGWOR KT DMR EX</v>
          </cell>
        </row>
        <row r="6863">
          <cell r="C6863">
            <v>3009149</v>
          </cell>
          <cell r="D6863" t="str">
            <v>***K-CI BOCZ.PALUSZKI USR</v>
          </cell>
        </row>
        <row r="6864">
          <cell r="C6864">
            <v>3009074</v>
          </cell>
          <cell r="D6864" t="str">
            <v>***KOŚCI BOCZ."PALUSZKI" PL UŚR</v>
          </cell>
        </row>
        <row r="6865">
          <cell r="C6865">
            <v>3008029</v>
          </cell>
          <cell r="D6865" t="str">
            <v>PL KOŚCI RUR.SZYN.Z/RZ.CH</v>
          </cell>
        </row>
        <row r="6866">
          <cell r="C6866">
            <v>3025024</v>
          </cell>
          <cell r="D6866" t="str">
            <v>PL KOŚCI RUR.SZYN.Z/RZ.PBX</v>
          </cell>
        </row>
        <row r="6867">
          <cell r="C6867">
            <v>4019769</v>
          </cell>
          <cell r="D6867" t="str">
            <v>PL KOŚCI RUR.SZYN.10KGWOR KT MR VN</v>
          </cell>
        </row>
        <row r="6868">
          <cell r="C6868">
            <v>4016426</v>
          </cell>
          <cell r="D6868" t="str">
            <v>PL KOŚCI RUR.SZYN.Z/RZ.10KGWOR KT MR EX</v>
          </cell>
        </row>
        <row r="6869">
          <cell r="C6869">
            <v>4008156</v>
          </cell>
          <cell r="D6869" t="str">
            <v>***PLKOŚCI RUR.SZYN.Z/RZ.OK10KGWORKTMREX</v>
          </cell>
        </row>
        <row r="6870">
          <cell r="C6870">
            <v>4001851</v>
          </cell>
          <cell r="D6870" t="str">
            <v>***KOŚCI WP.RURKOWE EXP.LUZ MRŻ.</v>
          </cell>
        </row>
        <row r="6871">
          <cell r="C6871">
            <v>4025968</v>
          </cell>
          <cell r="D6871" t="str">
            <v>PL KOŚCI RUR.SZYN.Z/RZ.PBX</v>
          </cell>
        </row>
        <row r="6872">
          <cell r="C6872">
            <v>4016646</v>
          </cell>
          <cell r="D6872" t="str">
            <v>PL KOŚCI RUR.SZYN.Z/RZ.OK500KG OKT</v>
          </cell>
        </row>
        <row r="6873">
          <cell r="C6873">
            <v>3029686</v>
          </cell>
          <cell r="D6873" t="str">
            <v>PL KOŚCI RUR.SZYN.10KGWOR KT DMR VN</v>
          </cell>
        </row>
        <row r="6874">
          <cell r="C6874">
            <v>3024834</v>
          </cell>
          <cell r="D6874" t="str">
            <v>PL KOŚCI RUR.SZYN.Z/RZ.10KGWOR KT DMR EX</v>
          </cell>
        </row>
        <row r="6875">
          <cell r="C6875">
            <v>3008919</v>
          </cell>
          <cell r="D6875" t="str">
            <v>***PLKOŚCIRUR.SZYN.Z/RZ.OK10KGWORKTDMREX</v>
          </cell>
        </row>
        <row r="6876">
          <cell r="C6876">
            <v>3008030</v>
          </cell>
          <cell r="D6876" t="str">
            <v>***K-CI RURK. B/RZEP. OK 10KG KT DMR EX</v>
          </cell>
        </row>
        <row r="6877">
          <cell r="C6877">
            <v>3009075</v>
          </cell>
          <cell r="D6877" t="str">
            <v>EU KOŚCI RUR.SZYN.Z/RZ.</v>
          </cell>
        </row>
        <row r="6878">
          <cell r="C6878">
            <v>4016394</v>
          </cell>
          <cell r="D6878" t="str">
            <v>EU KOŚCI RUR.SZYN.Z/RZ.10KGWOR KT MR EX</v>
          </cell>
        </row>
        <row r="6879">
          <cell r="C6879">
            <v>3024833</v>
          </cell>
          <cell r="D6879" t="str">
            <v>EU KOŚCI RUR.SZYN.Z/RZ.10KGWOR KT DMR EX</v>
          </cell>
        </row>
        <row r="6880">
          <cell r="C6880">
            <v>3016317</v>
          </cell>
          <cell r="D6880" t="str">
            <v>PL KOŚCI RUR.SZYN.Z/RZ.USR</v>
          </cell>
        </row>
        <row r="6881">
          <cell r="C6881">
            <v>3035263</v>
          </cell>
          <cell r="D6881" t="str">
            <v>CZ KOŚCI RUR.SZYN.Z/RZ.CH</v>
          </cell>
        </row>
        <row r="6882">
          <cell r="C6882">
            <v>4023864</v>
          </cell>
          <cell r="D6882" t="str">
            <v>CZ KOŚCI RUR.SZYN.Z/RZ.10KGWOR KT MR EX</v>
          </cell>
        </row>
        <row r="6883">
          <cell r="C6883">
            <v>3035273</v>
          </cell>
          <cell r="D6883" t="str">
            <v>CZ KOŚCI RUR.SZYN.Z/RZ.10KGWOR KT DMR EX</v>
          </cell>
        </row>
        <row r="6884">
          <cell r="C6884">
            <v>3009076</v>
          </cell>
          <cell r="D6884" t="str">
            <v>***KOŚCI RURK. B/RZEP. PL UŚR</v>
          </cell>
        </row>
        <row r="6885">
          <cell r="C6885">
            <v>3008032</v>
          </cell>
          <cell r="D6885" t="str">
            <v>PL KOŚCI RUR.ŁOP.CH</v>
          </cell>
        </row>
        <row r="6886">
          <cell r="C6886">
            <v>4016398</v>
          </cell>
          <cell r="D6886" t="str">
            <v>PL KOŚCI RUR.ŁOP.10KGWOR KT MR EX</v>
          </cell>
        </row>
        <row r="6887">
          <cell r="C6887">
            <v>4007591</v>
          </cell>
          <cell r="D6887" t="str">
            <v>***PL KOŚCI RUR.ŁOP.OK10KGWOR KT MR EX</v>
          </cell>
        </row>
        <row r="6888">
          <cell r="C6888">
            <v>3024678</v>
          </cell>
          <cell r="D6888" t="str">
            <v>PL KOŚCI RUR.ŁOP.10KGWOR KT DMR EX</v>
          </cell>
        </row>
        <row r="6889">
          <cell r="C6889">
            <v>3008033</v>
          </cell>
          <cell r="D6889" t="str">
            <v>***PL KOŚCI RUR.ŁOP.OK10KGWOR KT DMR EX</v>
          </cell>
        </row>
        <row r="6890">
          <cell r="C6890">
            <v>3009077</v>
          </cell>
          <cell r="D6890" t="str">
            <v>EU KOŚCI RUR.ŁOP.CH</v>
          </cell>
        </row>
        <row r="6891">
          <cell r="C6891">
            <v>4016397</v>
          </cell>
          <cell r="D6891" t="str">
            <v>***EU KOŚCI RUR.ŁOP.10KGWOR KT MR EX</v>
          </cell>
        </row>
        <row r="6892">
          <cell r="C6892">
            <v>3024679</v>
          </cell>
          <cell r="D6892" t="str">
            <v>***EU KOŚCI RUR.ŁOP.10KGWOR KT DMR EX</v>
          </cell>
        </row>
        <row r="6893">
          <cell r="C6893">
            <v>3008034</v>
          </cell>
          <cell r="D6893" t="str">
            <v>***K-CI ŁOP. UŚR CH</v>
          </cell>
        </row>
        <row r="6894">
          <cell r="C6894">
            <v>3009078</v>
          </cell>
          <cell r="D6894" t="str">
            <v>***KOŚCI ŁOP. PL UŚR</v>
          </cell>
        </row>
        <row r="6895">
          <cell r="C6895">
            <v>3015305</v>
          </cell>
          <cell r="D6895" t="str">
            <v>PL KOŚCI OGON.CH</v>
          </cell>
        </row>
        <row r="6896">
          <cell r="C6896">
            <v>4016162</v>
          </cell>
          <cell r="D6896" t="str">
            <v>PL KOŚCI OGON.OK20KGWOR KT</v>
          </cell>
        </row>
        <row r="6897">
          <cell r="C6897">
            <v>4019777</v>
          </cell>
          <cell r="D6897" t="str">
            <v>PL KOŚCI OGON.10KGWOR KT MR VN</v>
          </cell>
        </row>
        <row r="6898">
          <cell r="C6898">
            <v>4016049</v>
          </cell>
          <cell r="D6898" t="str">
            <v>***PL KOŚCI OGON.OK10KGWOR KT MR EX</v>
          </cell>
        </row>
        <row r="6899">
          <cell r="C6899">
            <v>4016377</v>
          </cell>
          <cell r="D6899" t="str">
            <v>PL KOŚCI OGON.10KGWOR KT MR EX</v>
          </cell>
        </row>
        <row r="6900">
          <cell r="C6900">
            <v>4023550</v>
          </cell>
          <cell r="D6900" t="str">
            <v>KOŚCI OGON.OK3.5KGMAP 2STKT STO</v>
          </cell>
        </row>
        <row r="6901">
          <cell r="C6901">
            <v>3039588</v>
          </cell>
          <cell r="D6901" t="str">
            <v>PL KOŚCI OGON.OK20KGWOR PJ ST</v>
          </cell>
        </row>
        <row r="6902">
          <cell r="C6902">
            <v>4018886</v>
          </cell>
          <cell r="D6902" t="str">
            <v>***PL KOŚCI OGON.OK500KG OKT CH EX</v>
          </cell>
        </row>
        <row r="6903">
          <cell r="C6903">
            <v>3033650</v>
          </cell>
          <cell r="D6903" t="str">
            <v>PL KOŚCI OGON.PBX K4</v>
          </cell>
        </row>
        <row r="6904">
          <cell r="C6904">
            <v>3029715</v>
          </cell>
          <cell r="D6904" t="str">
            <v>PL KOŚCI OGON.10KGWOR KT DMR VN</v>
          </cell>
        </row>
        <row r="6905">
          <cell r="C6905">
            <v>3024360</v>
          </cell>
          <cell r="D6905" t="str">
            <v>***PL KOŚCI OGON.OK10KGWOR KT DMR EX</v>
          </cell>
        </row>
        <row r="6906">
          <cell r="C6906">
            <v>3025074</v>
          </cell>
          <cell r="D6906" t="str">
            <v>PL KOŚCI OGON.10KGWOR KT DMR</v>
          </cell>
        </row>
        <row r="6907">
          <cell r="C6907">
            <v>3029469</v>
          </cell>
          <cell r="D6907" t="str">
            <v>***PL KOŚCI OGON.RO1</v>
          </cell>
        </row>
        <row r="6908">
          <cell r="C6908">
            <v>3029498</v>
          </cell>
          <cell r="D6908" t="str">
            <v>***PL KOŚCI OGON.RO2</v>
          </cell>
        </row>
        <row r="6909">
          <cell r="C6909">
            <v>3017896</v>
          </cell>
          <cell r="D6909" t="str">
            <v>EU KOŚCI OGON.CH</v>
          </cell>
        </row>
        <row r="6910">
          <cell r="C6910">
            <v>4016378</v>
          </cell>
          <cell r="D6910" t="str">
            <v>EU KOŚCI OGON.10KGWOR KT MR EX</v>
          </cell>
        </row>
        <row r="6911">
          <cell r="C6911">
            <v>3024459</v>
          </cell>
          <cell r="D6911" t="str">
            <v>EU KOŚCI OGON.10KGWOR KT DMR</v>
          </cell>
        </row>
        <row r="6912">
          <cell r="C6912">
            <v>3018001</v>
          </cell>
          <cell r="D6912" t="str">
            <v>PL KOŚCI OGON.USR</v>
          </cell>
        </row>
        <row r="6913">
          <cell r="C6913">
            <v>3025025</v>
          </cell>
          <cell r="D6913" t="str">
            <v>PL KOŚCI OGON.PBX ST</v>
          </cell>
        </row>
        <row r="6914">
          <cell r="C6914">
            <v>3035254</v>
          </cell>
          <cell r="D6914" t="str">
            <v>CZ KOŚCI OGON.CH</v>
          </cell>
        </row>
        <row r="6915">
          <cell r="C6915">
            <v>4023892</v>
          </cell>
          <cell r="D6915" t="str">
            <v>CZ KOŚCI OGON.10KGWOR KT MR EX</v>
          </cell>
        </row>
        <row r="6916">
          <cell r="C6916">
            <v>3035255</v>
          </cell>
          <cell r="D6916" t="str">
            <v>CZ KOŚCI OGON.10KGWOR KT DMR</v>
          </cell>
        </row>
        <row r="6917">
          <cell r="C6917">
            <v>3017941</v>
          </cell>
          <cell r="D6917" t="str">
            <v>EU KOŚCI OGON.USR</v>
          </cell>
        </row>
        <row r="6918">
          <cell r="C6918">
            <v>3025026</v>
          </cell>
          <cell r="D6918" t="str">
            <v>***EU KOŚCI OGON.OK500KG PBX USR CH</v>
          </cell>
        </row>
        <row r="6919">
          <cell r="C6919">
            <v>3006462</v>
          </cell>
          <cell r="D6919" t="str">
            <v>***CHRZĄSTKI Z ŁOPATKI</v>
          </cell>
        </row>
        <row r="6920">
          <cell r="C6920">
            <v>4001852</v>
          </cell>
          <cell r="D6920" t="str">
            <v>***CHRZĄSTKI Z ŁOPATKI WP. MR EX</v>
          </cell>
        </row>
        <row r="6921">
          <cell r="C6921">
            <v>3008036</v>
          </cell>
          <cell r="D6921" t="str">
            <v>***CH-TKI.Z ŁOP. OK 10KG KT DMR EX</v>
          </cell>
        </row>
        <row r="6922">
          <cell r="C6922">
            <v>3008037</v>
          </cell>
          <cell r="D6922" t="str">
            <v>***CH-TKI.Z ŁOP. CH</v>
          </cell>
        </row>
        <row r="6923">
          <cell r="C6923">
            <v>3016029</v>
          </cell>
          <cell r="D6923" t="str">
            <v>PL CHRZ.BOCZ.CH</v>
          </cell>
        </row>
        <row r="6924">
          <cell r="C6924">
            <v>3025027</v>
          </cell>
          <cell r="D6924" t="str">
            <v>CHRZ.BOCZ.PBX</v>
          </cell>
        </row>
        <row r="6925">
          <cell r="C6925">
            <v>4004048</v>
          </cell>
          <cell r="D6925" t="str">
            <v>***CHRZĄSTKI BOCZKOWE LUZ KARTON</v>
          </cell>
        </row>
        <row r="6926">
          <cell r="C6926">
            <v>4021327</v>
          </cell>
          <cell r="D6926" t="str">
            <v>PL CHRZ.WP.SOFTBONES 10KGWOR KT MR EX</v>
          </cell>
        </row>
        <row r="6927">
          <cell r="C6927">
            <v>3036556</v>
          </cell>
          <cell r="D6927" t="str">
            <v>PL CHRZ.BOCZ.OK20KGWOR PJ ST</v>
          </cell>
        </row>
        <row r="6928">
          <cell r="C6928">
            <v>3032018</v>
          </cell>
          <cell r="D6928" t="str">
            <v>PL CHRZ.WP.SOFTBONES 10KGWOR KT DMR</v>
          </cell>
        </row>
        <row r="6929">
          <cell r="C6929">
            <v>3035665</v>
          </cell>
          <cell r="D6929" t="str">
            <v>EU CHRZ.BOCZ.CH</v>
          </cell>
        </row>
        <row r="6930">
          <cell r="C6930">
            <v>3015336</v>
          </cell>
          <cell r="D6930" t="str">
            <v>CHRZĘŚCI BOCZKOWE USR CH</v>
          </cell>
        </row>
        <row r="6931">
          <cell r="C6931">
            <v>3016041</v>
          </cell>
          <cell r="D6931" t="str">
            <v>PL CHRZ.MOST.CH</v>
          </cell>
        </row>
        <row r="6932">
          <cell r="C6932">
            <v>3008038</v>
          </cell>
          <cell r="D6932" t="str">
            <v>PL SCH.CZ.ODK.B/TŁ.CH1</v>
          </cell>
        </row>
        <row r="6933">
          <cell r="C6933">
            <v>3025028</v>
          </cell>
          <cell r="D6933" t="str">
            <v>***PL SCH.CZ.ODK.B/TŁ.PBX CH1</v>
          </cell>
        </row>
        <row r="6934">
          <cell r="C6934">
            <v>4029076</v>
          </cell>
          <cell r="D6934" t="str">
            <v>PL SCH.CZ.ODK.B/TŁ.1STMAP OK15KGKT AUCH</v>
          </cell>
        </row>
        <row r="6935">
          <cell r="C6935">
            <v>4029309</v>
          </cell>
          <cell r="D6935" t="str">
            <v>PL SCH.CZ.ODK.B/TŁ.1STMAP MAX20KGPJ STO</v>
          </cell>
        </row>
        <row r="6936">
          <cell r="C6936">
            <v>3020351</v>
          </cell>
          <cell r="D6936" t="str">
            <v>PL SCH.CZ.ODK.B/TŁ.CH2</v>
          </cell>
        </row>
        <row r="6937">
          <cell r="C6937">
            <v>3025288</v>
          </cell>
          <cell r="D6937" t="str">
            <v>***PL SCH.CZ.ODK.B/TŁ.PBX CH2</v>
          </cell>
        </row>
        <row r="6938">
          <cell r="C6938">
            <v>3017414</v>
          </cell>
          <cell r="D6938" t="str">
            <v>EU SCH.CZ.ODK.B/TŁ.CH1</v>
          </cell>
        </row>
        <row r="6939">
          <cell r="C6939">
            <v>3025029</v>
          </cell>
          <cell r="D6939" t="str">
            <v>***EU SCH.CZ.ODK.B/TŁ.PBX CH</v>
          </cell>
        </row>
        <row r="6940">
          <cell r="C6940">
            <v>3020352</v>
          </cell>
          <cell r="D6940" t="str">
            <v>EU SCH.CZ.ODK.B/TŁ.CH2</v>
          </cell>
        </row>
        <row r="6941">
          <cell r="C6941">
            <v>3044314</v>
          </cell>
          <cell r="D6941" t="str">
            <v>PP SCH.CZ.ODK.B/TŁ.CH</v>
          </cell>
        </row>
        <row r="6942">
          <cell r="C6942">
            <v>4029372</v>
          </cell>
          <cell r="D6942" t="str">
            <v>PP SCH.CZ.ODK.B/TŁ.1/2STMAP OK6KGKT BIED</v>
          </cell>
        </row>
        <row r="6943">
          <cell r="C6943">
            <v>3008039</v>
          </cell>
          <cell r="D6943" t="str">
            <v>***SCH.CZ.ODK.B/TŁ KL.U CH</v>
          </cell>
        </row>
        <row r="6944">
          <cell r="C6944">
            <v>1100481</v>
          </cell>
          <cell r="D6944" t="str">
            <v>ODPAD CHRZĘSTNY KAT.3</v>
          </cell>
        </row>
        <row r="6945">
          <cell r="C6945">
            <v>3008040</v>
          </cell>
          <cell r="D6945" t="str">
            <v>***SCH.CZ.ODK.B/TŁ KL.S CH</v>
          </cell>
        </row>
        <row r="6946">
          <cell r="C6946">
            <v>3025751</v>
          </cell>
          <cell r="D6946" t="str">
            <v>PL ŻEB.POZ.PŁAT.CIĘ.WĄS.CH</v>
          </cell>
        </row>
        <row r="6947">
          <cell r="C6947">
            <v>3044252</v>
          </cell>
          <cell r="D6947" t="str">
            <v>PL ŻEB.POZ.PŁAT.CIĘ.WĄS.OK20KG PB MR ST</v>
          </cell>
        </row>
        <row r="6948">
          <cell r="C6948">
            <v>4016891</v>
          </cell>
          <cell r="D6948" t="str">
            <v>PL ŻEB.POZ.PŁAT.CIĘ.WĄS.10KGWOR KT MR</v>
          </cell>
        </row>
        <row r="6949">
          <cell r="C6949">
            <v>4019943</v>
          </cell>
          <cell r="D6949" t="str">
            <v>PL ŻEB.POZ.PŁAT.OK20KGWOR PJ</v>
          </cell>
        </row>
        <row r="6950">
          <cell r="C6950">
            <v>3044251</v>
          </cell>
          <cell r="D6950" t="str">
            <v>PL ŻEB.POZ.PŁAT.CIĘ.WĄS.OK20KG PB DMR</v>
          </cell>
        </row>
        <row r="6951">
          <cell r="C6951">
            <v>3025753</v>
          </cell>
          <cell r="D6951" t="str">
            <v>PL ŻEB.POZ.PŁAT.CIĘ.WĄS.10KGWOR KT DMR</v>
          </cell>
        </row>
        <row r="6952">
          <cell r="C6952">
            <v>3025752</v>
          </cell>
          <cell r="D6952" t="str">
            <v>EU ŻEB.POZ.PŁAT.CIĘ.WĄS.CH</v>
          </cell>
        </row>
        <row r="6953">
          <cell r="C6953">
            <v>4016890</v>
          </cell>
          <cell r="D6953" t="str">
            <v>EU ŻEB.POZ.PŁAT.CIĘ.WĄS.10KGWOR KT MR</v>
          </cell>
        </row>
        <row r="6954">
          <cell r="C6954">
            <v>3025754</v>
          </cell>
          <cell r="D6954" t="str">
            <v>EU ŻEB.POZ.PŁAT.CIĘ.WĄS.10KGWOR KT DMR</v>
          </cell>
        </row>
        <row r="6955">
          <cell r="C6955">
            <v>3043919</v>
          </cell>
          <cell r="D6955" t="str">
            <v>PP ŻEB.POZ.PŁAT.CIĘ.WĄS.CH</v>
          </cell>
        </row>
        <row r="6956">
          <cell r="C6956">
            <v>4028828</v>
          </cell>
          <cell r="D6956" t="str">
            <v>PP ŻEB.POZ.PŁAT.OK10KGWOR KT BIED</v>
          </cell>
        </row>
        <row r="6957">
          <cell r="C6957">
            <v>4029058</v>
          </cell>
          <cell r="D6957" t="str">
            <v>PP ŻEB.POZ.PŁAT.OK5KGMAP OK10KGKT BIED</v>
          </cell>
        </row>
        <row r="6958">
          <cell r="C6958">
            <v>3026403</v>
          </cell>
          <cell r="D6958" t="str">
            <v>CHRZ.KSIĘŻYCOWE CH</v>
          </cell>
        </row>
        <row r="6959">
          <cell r="C6959">
            <v>4017985</v>
          </cell>
          <cell r="D6959" t="str">
            <v>***CHRZ.KSIĘŻYCOWE OK15KG PB MR</v>
          </cell>
        </row>
        <row r="6960">
          <cell r="C6960">
            <v>3026406</v>
          </cell>
          <cell r="D6960" t="str">
            <v>CHRZ.KSIĘŻYCOWE OK15KG WOR DMR</v>
          </cell>
        </row>
        <row r="6961">
          <cell r="C6961">
            <v>3026399</v>
          </cell>
          <cell r="D6961" t="str">
            <v>CHRZ.KSIĘŻYCOWE USR</v>
          </cell>
        </row>
        <row r="6962">
          <cell r="C6962">
            <v>3008041</v>
          </cell>
          <cell r="D6962" t="str">
            <v>CH-TKI.SOFTBONES CH</v>
          </cell>
        </row>
        <row r="6963">
          <cell r="C6963">
            <v>3025030</v>
          </cell>
          <cell r="D6963" t="str">
            <v>CHRZ.SOFTBONES PBX CH</v>
          </cell>
        </row>
        <row r="6964">
          <cell r="C6964">
            <v>4016351</v>
          </cell>
          <cell r="D6964" t="str">
            <v>PL CHRZ.WP.SOFTBONES 10KGWOR KT MR EX</v>
          </cell>
        </row>
        <row r="6965">
          <cell r="C6965">
            <v>4007592</v>
          </cell>
          <cell r="D6965" t="str">
            <v>***CHRZĄSTKI SOFTBONES MR CH</v>
          </cell>
        </row>
        <row r="6966">
          <cell r="C6966">
            <v>4001853</v>
          </cell>
          <cell r="D6966" t="str">
            <v>***CHRZĄSTKI SOFTBONES MRŻ.EXP.</v>
          </cell>
        </row>
        <row r="6967">
          <cell r="C6967">
            <v>3024776</v>
          </cell>
          <cell r="D6967" t="str">
            <v>PL CHRZ.WP.SOFTBONES 10KGWOR KT DMR</v>
          </cell>
        </row>
        <row r="6968">
          <cell r="C6968">
            <v>3008042</v>
          </cell>
          <cell r="D6968" t="str">
            <v>***CH-TKI.SOFTBONES 10KG KT DMR CHIN</v>
          </cell>
        </row>
        <row r="6969">
          <cell r="C6969">
            <v>3008043</v>
          </cell>
          <cell r="D6969" t="str">
            <v>***CH-TKI.SOFTBONES 10KG KT DMR EX</v>
          </cell>
        </row>
        <row r="6970">
          <cell r="C6970">
            <v>3024698</v>
          </cell>
          <cell r="D6970" t="str">
            <v>EU CH-TKI.SOFTBONES CH</v>
          </cell>
        </row>
        <row r="6971">
          <cell r="C6971">
            <v>4016363</v>
          </cell>
          <cell r="D6971" t="str">
            <v>***EU CHRZ.WP.SOFTBONES 10KG KT MR EX</v>
          </cell>
        </row>
        <row r="6972">
          <cell r="C6972">
            <v>3024785</v>
          </cell>
          <cell r="D6972" t="str">
            <v>***EU CHRZ.WP.SOFTBONES 10KG KT DMR</v>
          </cell>
        </row>
        <row r="6973">
          <cell r="C6973">
            <v>3008044</v>
          </cell>
          <cell r="D6973" t="str">
            <v>***CH-TKI.SOFTBONES UŚR CH</v>
          </cell>
        </row>
        <row r="6974">
          <cell r="C6974">
            <v>3009080</v>
          </cell>
          <cell r="D6974" t="str">
            <v>***CH-TKI SOFTBONES PL UŚR</v>
          </cell>
        </row>
        <row r="6975">
          <cell r="C6975">
            <v>3008045</v>
          </cell>
          <cell r="D6975" t="str">
            <v>***K-CI RURK.CIĘTE 1/2 CH</v>
          </cell>
        </row>
        <row r="6976">
          <cell r="C6976">
            <v>4001854</v>
          </cell>
          <cell r="D6976" t="str">
            <v>***KOŚCI WP. RURK.CIĘTE 1/2 MR EX</v>
          </cell>
        </row>
        <row r="6977">
          <cell r="C6977">
            <v>3008046</v>
          </cell>
          <cell r="D6977" t="str">
            <v>***K-CI RURK.CIĘTE 1/2 OK.10KG KT DMR</v>
          </cell>
        </row>
        <row r="6978">
          <cell r="C6978">
            <v>3008047</v>
          </cell>
          <cell r="D6978" t="str">
            <v>***K-CI RURK.CIĘTE 1/2 UŚR CH</v>
          </cell>
        </row>
        <row r="6979">
          <cell r="C6979">
            <v>3008048</v>
          </cell>
          <cell r="D6979" t="str">
            <v>KOŚCI SCH.LĘDŹW.CH</v>
          </cell>
        </row>
        <row r="6980">
          <cell r="C6980">
            <v>3025031</v>
          </cell>
          <cell r="D6980" t="str">
            <v>***KOŚCI SCH.LĘDŹW.OK500KG PBX CH EX</v>
          </cell>
        </row>
        <row r="6981">
          <cell r="C6981">
            <v>4004050</v>
          </cell>
          <cell r="D6981" t="str">
            <v>PL KOŚĆI SCH.LĘDŹW.OK15KGLUZ KT</v>
          </cell>
        </row>
        <row r="6982">
          <cell r="C6982">
            <v>4012894</v>
          </cell>
          <cell r="D6982" t="str">
            <v>***KOŚĆ KULINARNA LUZ OK15KG KT CH EX</v>
          </cell>
        </row>
        <row r="6983">
          <cell r="C6983">
            <v>4016160</v>
          </cell>
          <cell r="D6983" t="str">
            <v>***KOŚCI SCH.LĘDŹW.OK10KGWOR KT MR EX</v>
          </cell>
        </row>
        <row r="6984">
          <cell r="C6984">
            <v>4016587</v>
          </cell>
          <cell r="D6984" t="str">
            <v>***PL KOŚCI SCH.LĘDŹW.10KGWOR KT MR EX</v>
          </cell>
        </row>
        <row r="6985">
          <cell r="C6985">
            <v>4013041</v>
          </cell>
          <cell r="D6985" t="str">
            <v>***KOŚCI SCH.LĘDŹW.OK500KG PBX</v>
          </cell>
        </row>
        <row r="6986">
          <cell r="C6986">
            <v>3021960</v>
          </cell>
          <cell r="D6986" t="str">
            <v>PL KOŚCI SCH.LĘDŹW.OK10KGWOR PJ EŁ</v>
          </cell>
        </row>
        <row r="6987">
          <cell r="C6987">
            <v>3024358</v>
          </cell>
          <cell r="D6987" t="str">
            <v>***KOŚCI SCH.LĘDŹW.OK10KGWOR KT DMR EX</v>
          </cell>
        </row>
        <row r="6988">
          <cell r="C6988">
            <v>3025527</v>
          </cell>
          <cell r="D6988" t="str">
            <v>***PL KOŚCI SCH.LĘDŹW.10KGWOR KT DMR EX</v>
          </cell>
        </row>
        <row r="6989">
          <cell r="C6989">
            <v>3025529</v>
          </cell>
          <cell r="D6989" t="str">
            <v>***EU KOŚCI SCH.LĘDŹW.CH</v>
          </cell>
        </row>
        <row r="6990">
          <cell r="C6990">
            <v>4016586</v>
          </cell>
          <cell r="D6990" t="str">
            <v>***EU KOŚCI SCH.LĘDŹW.10KGWOR KT MR EX</v>
          </cell>
        </row>
        <row r="6991">
          <cell r="C6991">
            <v>3025526</v>
          </cell>
          <cell r="D6991" t="str">
            <v>***EU KOŚCI SCH.LĘDŹW.10KGWOR KT DMR EX</v>
          </cell>
        </row>
        <row r="6992">
          <cell r="C6992">
            <v>3008049</v>
          </cell>
          <cell r="D6992" t="str">
            <v>KOŚCI SCH.LĘDŹW.USR</v>
          </cell>
        </row>
        <row r="6993">
          <cell r="C6993">
            <v>3016034</v>
          </cell>
          <cell r="D6993" t="str">
            <v>PL KOŚCI RUR.ŁOP.CH</v>
          </cell>
        </row>
        <row r="6994">
          <cell r="C6994">
            <v>4019459</v>
          </cell>
          <cell r="D6994" t="str">
            <v>PL KOŚCI RUR.ŁOP.OK15KGWOR KT</v>
          </cell>
        </row>
        <row r="6995">
          <cell r="C6995">
            <v>4001855</v>
          </cell>
          <cell r="D6995" t="str">
            <v>***KOŚCI WP.RURKOWE Z ŁPT. MR EX</v>
          </cell>
        </row>
        <row r="6996">
          <cell r="C6996">
            <v>3008050</v>
          </cell>
          <cell r="D6996" t="str">
            <v>***K-CI RURK. Z.ŁOP OK.15KG KT DMR EX</v>
          </cell>
        </row>
        <row r="6997">
          <cell r="C6997">
            <v>3016318</v>
          </cell>
          <cell r="D6997" t="str">
            <v>***K-CI RURK. Z.ŁOP CH</v>
          </cell>
        </row>
        <row r="6998">
          <cell r="C6998">
            <v>3009171</v>
          </cell>
          <cell r="D6998" t="str">
            <v>***KOŚCI WP.KLC,D</v>
          </cell>
        </row>
        <row r="6999">
          <cell r="C6999">
            <v>3008899</v>
          </cell>
          <cell r="D6999" t="str">
            <v>***KOŚCI WP. KL.C,D USR</v>
          </cell>
        </row>
        <row r="7000">
          <cell r="C7000">
            <v>3027497</v>
          </cell>
          <cell r="D7000" t="str">
            <v>KOŚCI RÓŻNOK.POZ.SCH.CH</v>
          </cell>
        </row>
        <row r="7001">
          <cell r="C7001">
            <v>3027499</v>
          </cell>
          <cell r="D7001" t="str">
            <v>***KOŚCI RÓŻNOKSZT.POZ.SCH.OK500KG PBX</v>
          </cell>
        </row>
        <row r="7002">
          <cell r="C7002">
            <v>4018230</v>
          </cell>
          <cell r="D7002" t="str">
            <v>***KOŚCI RÓŻNOKSZT.POZ.SCH.OK700KGOKT EX</v>
          </cell>
        </row>
        <row r="7003">
          <cell r="C7003">
            <v>3008052</v>
          </cell>
          <cell r="D7003" t="str">
            <v>CHRZ.MOST.CH</v>
          </cell>
        </row>
        <row r="7004">
          <cell r="C7004">
            <v>4005864</v>
          </cell>
          <cell r="D7004" t="str">
            <v>***CHRZĄSTKI MOSTKOWE LUZ KARTON</v>
          </cell>
        </row>
        <row r="7005">
          <cell r="C7005">
            <v>3015346</v>
          </cell>
          <cell r="D7005" t="str">
            <v>PL CHRZ.MOST.USR CH</v>
          </cell>
        </row>
        <row r="7006">
          <cell r="C7006">
            <v>1200074</v>
          </cell>
          <cell r="D7006" t="str">
            <v>MIAZGA KOSTNA CH</v>
          </cell>
        </row>
        <row r="7007">
          <cell r="C7007">
            <v>3046172</v>
          </cell>
          <cell r="D7007" t="str">
            <v>KOŚCI MIX OK600KGWOR OKT ST</v>
          </cell>
        </row>
        <row r="7008">
          <cell r="C7008">
            <v>3046552</v>
          </cell>
          <cell r="D7008" t="str">
            <v>KOŚCI MIX PBX ST</v>
          </cell>
        </row>
        <row r="7009">
          <cell r="C7009">
            <v>3008053</v>
          </cell>
          <cell r="D7009" t="str">
            <v>***K-CI RURK.CIĘTE Z SZYN. 1/2 CH</v>
          </cell>
        </row>
        <row r="7010">
          <cell r="C7010">
            <v>4006073</v>
          </cell>
          <cell r="D7010" t="str">
            <v>***KOŚCI WP.RURK.Z RZEPKĄ CIĘTE1/2STMREX</v>
          </cell>
        </row>
        <row r="7011">
          <cell r="C7011">
            <v>3008054</v>
          </cell>
          <cell r="D7011" t="str">
            <v>***K-CI RURK.CIĘTE Z SZYN.1/2 OK10KG DMR</v>
          </cell>
        </row>
        <row r="7012">
          <cell r="C7012">
            <v>3008055</v>
          </cell>
          <cell r="D7012" t="str">
            <v>***K-CI RURK.CIĘTE Z SZYN. 1/2 UŚR CH</v>
          </cell>
        </row>
        <row r="7013">
          <cell r="C7013">
            <v>3008056</v>
          </cell>
          <cell r="D7013" t="str">
            <v>CH-TKI. Z MOSTK. CH</v>
          </cell>
        </row>
        <row r="7014">
          <cell r="C7014">
            <v>3025032</v>
          </cell>
          <cell r="D7014" t="str">
            <v>CHRZ.MOST.PBX</v>
          </cell>
        </row>
        <row r="7015">
          <cell r="C7015">
            <v>4019767</v>
          </cell>
          <cell r="D7015" t="str">
            <v>PL CHRZ.MOST.10KGWOR KT MR VN</v>
          </cell>
        </row>
        <row r="7016">
          <cell r="C7016">
            <v>4016354</v>
          </cell>
          <cell r="D7016" t="str">
            <v>PL CHRZ.MOST.10KGWOR KT MR EX</v>
          </cell>
        </row>
        <row r="7017">
          <cell r="C7017">
            <v>4007593</v>
          </cell>
          <cell r="D7017" t="str">
            <v>***CHRZĄSTKI WP.Z MOSTKA MR CH</v>
          </cell>
        </row>
        <row r="7018">
          <cell r="C7018">
            <v>4006945</v>
          </cell>
          <cell r="D7018" t="str">
            <v>***CHRZĄSTKI WP.Z MOSTKA MR EX</v>
          </cell>
        </row>
        <row r="7019">
          <cell r="C7019">
            <v>3029683</v>
          </cell>
          <cell r="D7019" t="str">
            <v>PL CHRZ.MOST.10KGWOR KT DMR VN</v>
          </cell>
        </row>
        <row r="7020">
          <cell r="C7020">
            <v>3024778</v>
          </cell>
          <cell r="D7020" t="str">
            <v>PL CHRZ.MOST.10KGWOR KT DMR EX</v>
          </cell>
        </row>
        <row r="7021">
          <cell r="C7021">
            <v>3008057</v>
          </cell>
          <cell r="D7021" t="str">
            <v>***CH-TKI. Z MOSTK. 10KG DMR CHIN</v>
          </cell>
        </row>
        <row r="7022">
          <cell r="C7022">
            <v>3008058</v>
          </cell>
          <cell r="D7022" t="str">
            <v>***CH-TKI. Z MOSTK. 10KG DMR  EX</v>
          </cell>
        </row>
        <row r="7023">
          <cell r="C7023">
            <v>3035666</v>
          </cell>
          <cell r="D7023" t="str">
            <v>EU CHRZ.MOST.CH</v>
          </cell>
        </row>
        <row r="7024">
          <cell r="C7024">
            <v>4016355</v>
          </cell>
          <cell r="D7024" t="str">
            <v>EU CHRZ. MOST.10KGWOR KT MR EX</v>
          </cell>
        </row>
        <row r="7025">
          <cell r="C7025">
            <v>3024779</v>
          </cell>
          <cell r="D7025" t="str">
            <v>EU CHRZ.MOST.10KGWOR KT DMR EX</v>
          </cell>
        </row>
        <row r="7026">
          <cell r="C7026">
            <v>3016319</v>
          </cell>
          <cell r="D7026" t="str">
            <v>***CH-TKI. Z MOSTK. UŚR CH</v>
          </cell>
        </row>
        <row r="7027">
          <cell r="C7027">
            <v>3035256</v>
          </cell>
          <cell r="D7027" t="str">
            <v>CZ CHRZ.MOST.CH</v>
          </cell>
        </row>
        <row r="7028">
          <cell r="C7028">
            <v>4023893</v>
          </cell>
          <cell r="D7028" t="str">
            <v>CZ CHRZ.MOST.10KGWOR KT MR EX</v>
          </cell>
        </row>
        <row r="7029">
          <cell r="C7029">
            <v>3035257</v>
          </cell>
          <cell r="D7029" t="str">
            <v>CZ CHRZ.MOST.10KGWOR KT DMR EX</v>
          </cell>
        </row>
        <row r="7030">
          <cell r="C7030">
            <v>3009064</v>
          </cell>
          <cell r="D7030" t="str">
            <v>***CH-TKI Z MOSTKA PL UŚR</v>
          </cell>
        </row>
        <row r="7031">
          <cell r="C7031">
            <v>3016030</v>
          </cell>
          <cell r="D7031" t="str">
            <v>KOŚCI RÓŻNOK.CH</v>
          </cell>
        </row>
        <row r="7032">
          <cell r="C7032">
            <v>3016032</v>
          </cell>
          <cell r="D7032" t="str">
            <v>PL KOŚCI RÓŻNOK.I PŁASKIE CH</v>
          </cell>
        </row>
        <row r="7033">
          <cell r="C7033">
            <v>3035643</v>
          </cell>
          <cell r="D7033" t="str">
            <v>EU KOŚCI RÓŻNOK.I PŁASKIE CH</v>
          </cell>
        </row>
        <row r="7034">
          <cell r="C7034">
            <v>1101061</v>
          </cell>
          <cell r="D7034" t="str">
            <v>UPPZ KAT.3-HYDROLIZAT BIAŁKA ZWIER.</v>
          </cell>
        </row>
        <row r="7035">
          <cell r="C7035">
            <v>1100960</v>
          </cell>
          <cell r="D7035" t="str">
            <v>UPPZ KAT.3-SOL.Z JELIT BECZ.</v>
          </cell>
        </row>
        <row r="7036">
          <cell r="C7036">
            <v>3041959</v>
          </cell>
          <cell r="D7036" t="str">
            <v>HEPARYNA CRUDE LUZ WOR</v>
          </cell>
        </row>
        <row r="7037">
          <cell r="C7037">
            <v>4027786</v>
          </cell>
          <cell r="D7037" t="str">
            <v>HEPARYNA CRUD LUZ WOR BECZ</v>
          </cell>
        </row>
        <row r="7038">
          <cell r="C7038">
            <v>1100891</v>
          </cell>
          <cell r="D7038" t="str">
            <v>UPPZ KAT.3-ODPAD POZ.M-SO Z/K.PBX</v>
          </cell>
        </row>
        <row r="7039">
          <cell r="C7039">
            <v>1100822</v>
          </cell>
          <cell r="D7039" t="str">
            <v>UPPZ KAT.3-MIAZGA Z MOM</v>
          </cell>
        </row>
        <row r="7040">
          <cell r="C7040">
            <v>3046088</v>
          </cell>
          <cell r="D7040" t="str">
            <v>MIAZGA KOSTNA OK500KG OKT</v>
          </cell>
        </row>
        <row r="7041">
          <cell r="C7041">
            <v>3046620</v>
          </cell>
          <cell r="D7041" t="str">
            <v>MIAZGA KOSTNA PBX ST</v>
          </cell>
        </row>
        <row r="7042">
          <cell r="C7042">
            <v>1100823</v>
          </cell>
          <cell r="D7042" t="str">
            <v>MOM - MAT.KAT.3</v>
          </cell>
        </row>
        <row r="7043">
          <cell r="C7043">
            <v>1100793</v>
          </cell>
          <cell r="D7043" t="str">
            <v>UPPZ KAT.3-NOGA</v>
          </cell>
        </row>
        <row r="7044">
          <cell r="C7044">
            <v>1100792</v>
          </cell>
          <cell r="D7044" t="str">
            <v>UPPZ KAT.3-JELITO PRO.</v>
          </cell>
        </row>
        <row r="7045">
          <cell r="C7045">
            <v>1100791</v>
          </cell>
          <cell r="D7045" t="str">
            <v>UPPZ KAT.3-KRZYŻÓWKA</v>
          </cell>
        </row>
        <row r="7046">
          <cell r="C7046">
            <v>1100790</v>
          </cell>
          <cell r="D7046" t="str">
            <v>UPPZ KAT.3-JELITO GRU.</v>
          </cell>
        </row>
        <row r="7047">
          <cell r="C7047">
            <v>1100781</v>
          </cell>
          <cell r="D7047" t="str">
            <v>UPPZ.KAT.3-ŻOŁĄDEK</v>
          </cell>
        </row>
        <row r="7048">
          <cell r="C7048">
            <v>1100772</v>
          </cell>
          <cell r="D7048" t="str">
            <v>MAT.Z/MAC.-MAT.KAT.3</v>
          </cell>
        </row>
        <row r="7049">
          <cell r="C7049">
            <v>1100084</v>
          </cell>
          <cell r="D7049" t="str">
            <v>UPPZ KAT.3-MIĘKKIE</v>
          </cell>
        </row>
        <row r="7050">
          <cell r="C7050">
            <v>1100892</v>
          </cell>
          <cell r="D7050" t="str">
            <v>UPPZ KAT.3-ODPAD MIĘKKI PBX</v>
          </cell>
        </row>
        <row r="7051">
          <cell r="C7051">
            <v>1100165</v>
          </cell>
          <cell r="D7051" t="str">
            <v>UPPZ KAT.3-SERCE LUZ PJ</v>
          </cell>
        </row>
        <row r="7052">
          <cell r="C7052">
            <v>1100166</v>
          </cell>
          <cell r="D7052" t="str">
            <v>***SKÓRKI WP.PJ CH -MAT.KAT.3</v>
          </cell>
        </row>
        <row r="7053">
          <cell r="C7053">
            <v>1100890</v>
          </cell>
          <cell r="D7053" t="str">
            <v>UPPZ KAT.3-ODPAD POZ.FARSZ PBX</v>
          </cell>
        </row>
        <row r="7054">
          <cell r="C7054">
            <v>1100060</v>
          </cell>
          <cell r="D7054" t="str">
            <v>ODPAD PRODUKCYJNY CH -MAT.KAT.3</v>
          </cell>
        </row>
        <row r="7055">
          <cell r="C7055">
            <v>1200040</v>
          </cell>
          <cell r="D7055" t="str">
            <v>ODPAD Z PODCZYSZCZALNI</v>
          </cell>
        </row>
        <row r="7056">
          <cell r="C7056">
            <v>1100174</v>
          </cell>
          <cell r="D7056" t="str">
            <v>***ODPAD Z PODCZYSZCZALNI</v>
          </cell>
        </row>
        <row r="7057">
          <cell r="C7057">
            <v>1200240</v>
          </cell>
          <cell r="D7057" t="str">
            <v>OSAD Z PODCZYSZCZALNI</v>
          </cell>
        </row>
        <row r="7058">
          <cell r="C7058">
            <v>1100173</v>
          </cell>
          <cell r="D7058" t="str">
            <v>***OSAD Z PODCZYSZCZALNI</v>
          </cell>
        </row>
        <row r="7059">
          <cell r="C7059">
            <v>1100170</v>
          </cell>
          <cell r="D7059" t="str">
            <v>UPPZ KAT.3-ODPAD MIĘKKI ZE ŚLUZU</v>
          </cell>
        </row>
        <row r="7060">
          <cell r="C7060">
            <v>1200014</v>
          </cell>
          <cell r="D7060" t="str">
            <v>MIERZWA MAT.KAT.2</v>
          </cell>
        </row>
        <row r="7061">
          <cell r="C7061">
            <v>1100780</v>
          </cell>
          <cell r="D7061" t="str">
            <v>MAT.ROZB.ŚCIĘG.CHRZ.-MAT.KAT.3</v>
          </cell>
        </row>
        <row r="7062">
          <cell r="C7062">
            <v>1100601</v>
          </cell>
          <cell r="D7062" t="str">
            <v>ODPAD ROZBIOROWY CH-MAT.KAT.3</v>
          </cell>
        </row>
        <row r="7063">
          <cell r="C7063">
            <v>1100320</v>
          </cell>
          <cell r="D7063" t="str">
            <v>ŻÓŁĆ CH MAT.KAT.3</v>
          </cell>
        </row>
        <row r="7064">
          <cell r="C7064">
            <v>1100321</v>
          </cell>
          <cell r="D7064" t="str">
            <v>ODPAD - ŻÓŁĆ CH MAT.KAT.3</v>
          </cell>
        </row>
        <row r="7065">
          <cell r="C7065">
            <v>1200075</v>
          </cell>
          <cell r="D7065" t="str">
            <v>KONFISKATA CH-MAT.KAT.2</v>
          </cell>
        </row>
        <row r="7066">
          <cell r="C7066">
            <v>1200281</v>
          </cell>
          <cell r="D7066" t="str">
            <v>UPPZ KAT.2-ODPAD KONFISKATA</v>
          </cell>
        </row>
        <row r="7067">
          <cell r="C7067">
            <v>1200043</v>
          </cell>
          <cell r="D7067" t="str">
            <v>UPPZ KAT.2-JELITO KPL.KONF.</v>
          </cell>
        </row>
        <row r="7068">
          <cell r="C7068">
            <v>1100169</v>
          </cell>
          <cell r="D7068" t="str">
            <v>ODPAD KATEGORII 2 BAR LUZ PJ -MAT.KAT2</v>
          </cell>
        </row>
        <row r="7069">
          <cell r="C7069">
            <v>1200079</v>
          </cell>
          <cell r="D7069" t="str">
            <v>ODPAD MIESZ.KONF.-MAT.KAT.2</v>
          </cell>
        </row>
        <row r="7070">
          <cell r="C7070">
            <v>1100089</v>
          </cell>
          <cell r="D7070" t="str">
            <v>KONFISKATA III -NISKIE RYZYKO -MAT.KAT.3</v>
          </cell>
        </row>
        <row r="7071">
          <cell r="C7071">
            <v>1100158</v>
          </cell>
          <cell r="D7071" t="str">
            <v>UPPZ KAT.3-ODPAD MIESZ.KONF.</v>
          </cell>
        </row>
        <row r="7072">
          <cell r="C7072">
            <v>1100044</v>
          </cell>
          <cell r="D7072" t="str">
            <v>ODPAD-SZCZECINA -MAT.KAT.3</v>
          </cell>
        </row>
        <row r="7073">
          <cell r="C7073">
            <v>1101030</v>
          </cell>
          <cell r="D7073" t="str">
            <v>UPPZ KAT.3-SZCZECINA PBX</v>
          </cell>
        </row>
        <row r="7074">
          <cell r="C7074">
            <v>1100152</v>
          </cell>
          <cell r="D7074" t="str">
            <v>***RDZEŃ KRĘG. CH -MAT.KAT.3</v>
          </cell>
        </row>
        <row r="7075">
          <cell r="C7075">
            <v>1100061</v>
          </cell>
          <cell r="D7075" t="str">
            <v>***ODPAD-RDZEŃ KRĘGOWY CH -MAT.KAT.3</v>
          </cell>
        </row>
        <row r="7076">
          <cell r="C7076">
            <v>1100153</v>
          </cell>
          <cell r="D7076" t="str">
            <v>***PRÓBKI TRICHINOSK. CH -MAT.KAT.3</v>
          </cell>
        </row>
        <row r="7077">
          <cell r="C7077">
            <v>4009558</v>
          </cell>
          <cell r="D7077" t="str">
            <v>***ŚLUZ ZAKONS.LUZ PJ</v>
          </cell>
        </row>
        <row r="7078">
          <cell r="C7078">
            <v>3041906</v>
          </cell>
          <cell r="D7078" t="str">
            <v>SUR.HEPARYNA NA ŻYWICY OK150KGLUZBECZ.ST</v>
          </cell>
        </row>
        <row r="7079">
          <cell r="C7079">
            <v>4006920</v>
          </cell>
          <cell r="D7079" t="str">
            <v>***SUROWA HEPARYNA NA ŻYWICY LUZ PJ</v>
          </cell>
        </row>
        <row r="7080">
          <cell r="C7080">
            <v>4021441</v>
          </cell>
          <cell r="D7080" t="str">
            <v>SUROWA HEPARYNA NA ŻYWICY LUZ BECZ.</v>
          </cell>
        </row>
        <row r="7081">
          <cell r="C7081">
            <v>3043826</v>
          </cell>
          <cell r="D7081" t="str">
            <v>SUR.HEPARYNA NA ŻYWICYOK150KGLUZBECZ.ZAK</v>
          </cell>
        </row>
        <row r="7082">
          <cell r="C7082">
            <v>1100330</v>
          </cell>
          <cell r="D7082" t="str">
            <v>UPPZ KAT.3-OZORY LUZ PJ</v>
          </cell>
        </row>
        <row r="7083">
          <cell r="C7083">
            <v>1200077</v>
          </cell>
          <cell r="D7083" t="str">
            <v>***KONFISKATA Z HEPARYNY CH -MAT.KAT.2</v>
          </cell>
        </row>
        <row r="7084">
          <cell r="C7084">
            <v>3018789</v>
          </cell>
          <cell r="D7084" t="str">
            <v>PL SZYN.RED.V-CUT TŁ.0.5CM+ CH</v>
          </cell>
        </row>
        <row r="7085">
          <cell r="C7085">
            <v>4019330</v>
          </cell>
          <cell r="D7085" t="str">
            <v>PL SZYN.V-CUT TŁ.POW.0.5CM CHOIN.CH EX</v>
          </cell>
        </row>
        <row r="7086">
          <cell r="C7086">
            <v>3018812</v>
          </cell>
          <cell r="D7086" t="str">
            <v>PL SZYN.RED.V-CUT TŁ.1CM+ CH</v>
          </cell>
        </row>
        <row r="7087">
          <cell r="C7087">
            <v>4019331</v>
          </cell>
          <cell r="D7087" t="str">
            <v>PL SZYN.V-CUT TŁ.POW.1CM CHOIN.CH EX</v>
          </cell>
        </row>
        <row r="7088">
          <cell r="C7088">
            <v>4019332</v>
          </cell>
          <cell r="D7088" t="str">
            <v>PL SZYN.V-CUT TŁ.POW.1.5CM CHOIN.CH EX</v>
          </cell>
        </row>
        <row r="7089">
          <cell r="C7089">
            <v>3008061</v>
          </cell>
          <cell r="D7089" t="str">
            <v>***BOCZ.Z/ŻEB.WĄSK.ODTŁ KL.E CH</v>
          </cell>
        </row>
        <row r="7090">
          <cell r="C7090">
            <v>3010075</v>
          </cell>
          <cell r="D7090" t="str">
            <v>MŚ.PÓŁBŁ.USR</v>
          </cell>
        </row>
        <row r="7091">
          <cell r="C7091">
            <v>4009119</v>
          </cell>
          <cell r="D7091" t="str">
            <v>PL MŚ.PÓŁBŁ.SMUK.OK15KGWOR KT</v>
          </cell>
        </row>
        <row r="7092">
          <cell r="C7092">
            <v>4031359</v>
          </cell>
          <cell r="D7092" t="str">
            <v>PL MŚ.PÓŁBŁ.SMUK.OK5KGAC OK20KGPJ</v>
          </cell>
        </row>
        <row r="7093">
          <cell r="C7093">
            <v>4010563</v>
          </cell>
          <cell r="D7093" t="str">
            <v>***PL MŚ.PÓŁBŁ.OK10KG TRM EX</v>
          </cell>
        </row>
        <row r="7094">
          <cell r="C7094">
            <v>4010557</v>
          </cell>
          <cell r="D7094" t="str">
            <v>***PL MŚ.PÓŁBŁ.Z/SMUK.6-8KGTRMOK21KGKTGB</v>
          </cell>
        </row>
        <row r="7095">
          <cell r="C7095">
            <v>4012956</v>
          </cell>
          <cell r="D7095" t="str">
            <v>***PLMŚ.PÓŁBŁ.Z/SM.6-8KGTRMOK21KGKTMRSFL</v>
          </cell>
        </row>
        <row r="7096">
          <cell r="C7096">
            <v>4009951</v>
          </cell>
          <cell r="D7096" t="str">
            <v>PL MŚ.PÓŁBŁ.SMUK.OK15KG PJ</v>
          </cell>
        </row>
        <row r="7097">
          <cell r="C7097">
            <v>3032571</v>
          </cell>
          <cell r="D7097" t="str">
            <v>PL MŚ.PÓŁBŁ.SMUK.OK20KGWOR PJ ST</v>
          </cell>
        </row>
        <row r="7098">
          <cell r="C7098">
            <v>4022654</v>
          </cell>
          <cell r="D7098" t="str">
            <v>PL MŚ.PÓŁBŁ.SMUK.OK15KGWOR PJ JBB</v>
          </cell>
        </row>
        <row r="7099">
          <cell r="C7099">
            <v>3018644</v>
          </cell>
          <cell r="D7099" t="str">
            <v>***PLMŚ.PÓŁBŁ.Z/SM6-8KGTRMOK21KGKTDMRSFL</v>
          </cell>
        </row>
        <row r="7100">
          <cell r="C7100">
            <v>4011886</v>
          </cell>
          <cell r="D7100" t="str">
            <v>***EU ZR.GÓRNA Z/SMUK.LUZ OK15KG KT CH</v>
          </cell>
        </row>
        <row r="7101">
          <cell r="C7101">
            <v>4012057</v>
          </cell>
          <cell r="D7101" t="str">
            <v>***EU MŚ.PÓŁBŁ.OK10KG TRM EX</v>
          </cell>
        </row>
        <row r="7102">
          <cell r="C7102">
            <v>4012054</v>
          </cell>
          <cell r="D7102" t="str">
            <v>***EU MŚ.PÓŁBŁ.Z/SMUK.6-8KGTRMOK21KGKTGB</v>
          </cell>
        </row>
        <row r="7103">
          <cell r="C7103">
            <v>4012957</v>
          </cell>
          <cell r="D7103" t="str">
            <v>***EUMŚ.PÓŁBŁ.Z/SM.6-8KGTRMOK21KGKTMRSFL</v>
          </cell>
        </row>
        <row r="7104">
          <cell r="C7104">
            <v>4012006</v>
          </cell>
          <cell r="D7104" t="str">
            <v>***EU ZR.GÓRNA Z/SMUK.OK15KG PJ CH</v>
          </cell>
        </row>
        <row r="7105">
          <cell r="C7105">
            <v>3018645</v>
          </cell>
          <cell r="D7105" t="str">
            <v>***EUMŚ.PÓŁBŁ.Z/SM6-8KGTRMOK21KGKTDMRSFL</v>
          </cell>
        </row>
        <row r="7106">
          <cell r="C7106">
            <v>3036438</v>
          </cell>
          <cell r="D7106" t="str">
            <v>PP MŚ.PÓŁBŁ.SMUK.OK20KGWOR PJ ST</v>
          </cell>
        </row>
        <row r="7107">
          <cell r="C7107">
            <v>3011816</v>
          </cell>
          <cell r="D7107" t="str">
            <v>***M-Ń BIODROWY N/OBR UŚR</v>
          </cell>
        </row>
        <row r="7108">
          <cell r="C7108">
            <v>4010562</v>
          </cell>
          <cell r="D7108" t="str">
            <v>***PL MŚ.BIODR.OK10KG TRM CH EX</v>
          </cell>
        </row>
        <row r="7109">
          <cell r="C7109">
            <v>4010559</v>
          </cell>
          <cell r="D7109" t="str">
            <v>***PL MŚ.BIODR.6-8KG TRM OK21KG KT CH GB</v>
          </cell>
        </row>
        <row r="7110">
          <cell r="C7110">
            <v>4012946</v>
          </cell>
          <cell r="D7110" t="str">
            <v>***PLMŚ.BIODR.6-8KG TRM OK21KG KT MR SFL</v>
          </cell>
        </row>
        <row r="7111">
          <cell r="C7111">
            <v>3018639</v>
          </cell>
          <cell r="D7111" t="str">
            <v>***PL MŚ.BIODR.6-8KG TRMOK21KGKT DMR SFL</v>
          </cell>
        </row>
        <row r="7112">
          <cell r="C7112">
            <v>4012056</v>
          </cell>
          <cell r="D7112" t="str">
            <v>***EU MŚ.BIODR.OK10KG TRM CH EX</v>
          </cell>
        </row>
        <row r="7113">
          <cell r="C7113">
            <v>4012055</v>
          </cell>
          <cell r="D7113" t="str">
            <v>***EU MŚ.BIODR.6-8KG TRM OK21KG KT CH GB</v>
          </cell>
        </row>
        <row r="7114">
          <cell r="C7114">
            <v>4012947</v>
          </cell>
          <cell r="D7114" t="str">
            <v>***EU MŚ.BIODR.6-8KGTRM OK21KGKT MR SFL</v>
          </cell>
        </row>
        <row r="7115">
          <cell r="C7115">
            <v>3018640</v>
          </cell>
          <cell r="D7115" t="str">
            <v>***EU MŚ.BIODR.6-8KGTRM OK21KGKT DMR SFL</v>
          </cell>
        </row>
        <row r="7116">
          <cell r="C7116">
            <v>3000057</v>
          </cell>
          <cell r="D7116" t="str">
            <v>***MŚ.WP.DWUGŁ.Z/LIGAWĄ B/TŁ.PJ CH ZAK</v>
          </cell>
        </row>
        <row r="7117">
          <cell r="C7117">
            <v>3008062</v>
          </cell>
          <cell r="D7117" t="str">
            <v>***MŚ. DWUGŁ. B/TŁ NIEM MR ZAK</v>
          </cell>
        </row>
        <row r="7118">
          <cell r="C7118">
            <v>3010053</v>
          </cell>
          <cell r="D7118" t="str">
            <v>***M-Ń CZTEROGŁOWY NIEODBŁONIONY USR</v>
          </cell>
        </row>
        <row r="7119">
          <cell r="C7119">
            <v>3044362</v>
          </cell>
          <cell r="D7119" t="str">
            <v>PL MŚ.CZTEROG.Z/NAP.OK20KG NB MR ST</v>
          </cell>
        </row>
        <row r="7120">
          <cell r="C7120">
            <v>4009110</v>
          </cell>
          <cell r="D7120" t="str">
            <v>PL MŚ.CZTEROG.Z/NAP.OK15KGWOR KT</v>
          </cell>
        </row>
        <row r="7121">
          <cell r="C7121">
            <v>4009839</v>
          </cell>
          <cell r="D7121" t="str">
            <v>***PL MŚ.CZTEROG.Z/NAP.LUZ OK15KGKT</v>
          </cell>
        </row>
        <row r="7122">
          <cell r="C7122">
            <v>4009747</v>
          </cell>
          <cell r="D7122" t="str">
            <v>***PL MŚ.CZTEROG.Z/NAP.LUZ OK15KG KT MR</v>
          </cell>
        </row>
        <row r="7123">
          <cell r="C7123">
            <v>4009716</v>
          </cell>
          <cell r="D7123" t="str">
            <v>PL MŚ.CZTEROG.Z/NAP.OK3KGVAC OK18KGPJ</v>
          </cell>
        </row>
        <row r="7124">
          <cell r="C7124">
            <v>4012785</v>
          </cell>
          <cell r="D7124" t="str">
            <v>PL MŚ.CZTEROG.Z/NAP.2STVAC OK10KGKT PIP</v>
          </cell>
        </row>
        <row r="7125">
          <cell r="C7125">
            <v>4009969</v>
          </cell>
          <cell r="D7125" t="str">
            <v>***PL MŚ.CZTE.Z/NAP.2STTRM OK15KGKT STO</v>
          </cell>
        </row>
        <row r="7126">
          <cell r="C7126">
            <v>4010010</v>
          </cell>
          <cell r="D7126" t="str">
            <v>PL MŚ.CZTEROG.Z/NAP.2STVAC OK8KGKTMOR EX</v>
          </cell>
        </row>
        <row r="7127">
          <cell r="C7127">
            <v>4015274</v>
          </cell>
          <cell r="D7127" t="str">
            <v>***PL MŚ.CZTEROG.Z/NAP.2STVAC OK15KGPJ</v>
          </cell>
        </row>
        <row r="7128">
          <cell r="C7128">
            <v>4024963</v>
          </cell>
          <cell r="D7128" t="str">
            <v>PL MŚ.CZTEROG.Z/NAP.2STVOK12KGKT MORE EX</v>
          </cell>
        </row>
        <row r="7129">
          <cell r="C7129">
            <v>4009746</v>
          </cell>
          <cell r="D7129" t="str">
            <v>***PL MŚ.CZTEROG.Z/NAP.VAC OK15KG KT MR</v>
          </cell>
        </row>
        <row r="7130">
          <cell r="C7130">
            <v>4009949</v>
          </cell>
          <cell r="D7130" t="str">
            <v>PL MŚ.CZTEROG.Z/NAP.OK20KGWOR  PJ</v>
          </cell>
        </row>
        <row r="7131">
          <cell r="C7131">
            <v>3014329</v>
          </cell>
          <cell r="D7131" t="str">
            <v>***MŚ.CZTEROGŁ.NAPINACZ OK20KG PJ CH ST</v>
          </cell>
        </row>
        <row r="7132">
          <cell r="C7132">
            <v>3032572</v>
          </cell>
          <cell r="D7132" t="str">
            <v>PL MŚ.CZTEROG.Z/NAP.OK20KGWOR PJ ST</v>
          </cell>
        </row>
        <row r="7133">
          <cell r="C7133">
            <v>3043405</v>
          </cell>
          <cell r="D7133" t="str">
            <v>PL MŚ.CZTEROG.Z/NAP.PBX ST</v>
          </cell>
        </row>
        <row r="7134">
          <cell r="C7134">
            <v>3044351</v>
          </cell>
          <cell r="D7134" t="str">
            <v>PL MŚ.CZTEROG.Z/NAP.OK20KG NB DMR</v>
          </cell>
        </row>
        <row r="7135">
          <cell r="C7135">
            <v>3012102</v>
          </cell>
          <cell r="D7135" t="str">
            <v>***PL MŚ.CZTEROG.Z/NAP.LUZ OK15KGKT DMR</v>
          </cell>
        </row>
        <row r="7136">
          <cell r="C7136">
            <v>3012101</v>
          </cell>
          <cell r="D7136" t="str">
            <v>***PL MŚ.CZTEROG.Z/NAP.VAC OK15KG KT DMR</v>
          </cell>
        </row>
        <row r="7137">
          <cell r="C7137">
            <v>3042973</v>
          </cell>
          <cell r="D7137" t="str">
            <v>EU MŚ.CZTEROG.Z/NAP.OK20KG NB MR ST</v>
          </cell>
        </row>
        <row r="7138">
          <cell r="C7138">
            <v>4011885</v>
          </cell>
          <cell r="D7138" t="str">
            <v>EU MŚ.CZTEROG.Z/NAP.OK15KGWOR KT</v>
          </cell>
        </row>
        <row r="7139">
          <cell r="C7139">
            <v>4011972</v>
          </cell>
          <cell r="D7139" t="str">
            <v>***EU MŚ.CZTEROG.Z/NAP.LUZ OK15KGKT</v>
          </cell>
        </row>
        <row r="7140">
          <cell r="C7140">
            <v>4011966</v>
          </cell>
          <cell r="D7140" t="str">
            <v>***EU MŚ.CZTEROG.Z/NAP.LUZ OK15KG KT MR</v>
          </cell>
        </row>
        <row r="7141">
          <cell r="C7141">
            <v>4011961</v>
          </cell>
          <cell r="D7141" t="str">
            <v>EU MŚ.CZTEROG.Z/NAP.OK3KGVAC OK18KGPJ</v>
          </cell>
        </row>
        <row r="7142">
          <cell r="C7142">
            <v>4012786</v>
          </cell>
          <cell r="D7142" t="str">
            <v>***EU MŚ.CZTEROG.Z/NAP.2STVAC OK10KGKT</v>
          </cell>
        </row>
        <row r="7143">
          <cell r="C7143">
            <v>4012008</v>
          </cell>
          <cell r="D7143" t="str">
            <v>***EU MŚ.CZTE.Z/NAP.2ST TRM OK15KGKT STO</v>
          </cell>
        </row>
        <row r="7144">
          <cell r="C7144">
            <v>4012018</v>
          </cell>
          <cell r="D7144" t="str">
            <v>***EU SZYN.B/K.1ST TRM OK8KG KT MOR EX</v>
          </cell>
        </row>
        <row r="7145">
          <cell r="C7145">
            <v>4011965</v>
          </cell>
          <cell r="D7145" t="str">
            <v>***EU MŚ.CZTEROG.Z/NAP.VAC OK15KG KT MR</v>
          </cell>
        </row>
        <row r="7146">
          <cell r="C7146">
            <v>4012005</v>
          </cell>
          <cell r="D7146" t="str">
            <v>***EU MŚ.CZTEROG.Z/NAP.CH OK15KG PJ</v>
          </cell>
        </row>
        <row r="7147">
          <cell r="C7147">
            <v>3043008</v>
          </cell>
          <cell r="D7147" t="str">
            <v>EU MŚ.CZTEROG.Z/NAP.OK20KGWOR PJ ST</v>
          </cell>
        </row>
        <row r="7148">
          <cell r="C7148">
            <v>3042992</v>
          </cell>
          <cell r="D7148" t="str">
            <v>EU MŚ.CZTEROG.Z/NAP.OK20KG NB DMR</v>
          </cell>
        </row>
        <row r="7149">
          <cell r="C7149">
            <v>3017502</v>
          </cell>
          <cell r="D7149" t="str">
            <v>***EU MŚ.CZTEROG.Z/NAP.LUZ OK15KG KT DMR</v>
          </cell>
        </row>
        <row r="7150">
          <cell r="C7150">
            <v>3017501</v>
          </cell>
          <cell r="D7150" t="str">
            <v>***EU MŚ.CZTEROG.Z/NAP.VAC OK15KG KT DMR</v>
          </cell>
        </row>
        <row r="7151">
          <cell r="C7151">
            <v>3042974</v>
          </cell>
          <cell r="D7151" t="str">
            <v>PP MŚ.CZTEROG.Z/NAP.OK20KG NB MR ST</v>
          </cell>
        </row>
        <row r="7152">
          <cell r="C7152">
            <v>4028203</v>
          </cell>
          <cell r="D7152" t="str">
            <v>PP MŚ.CZTEROG.Z/NAP.OK4.5KGWOR 1STKTBIED</v>
          </cell>
        </row>
        <row r="7153">
          <cell r="C7153">
            <v>4024709</v>
          </cell>
          <cell r="D7153" t="str">
            <v>PP MŚ.CZTEROG.Z/NAP.1STVAC OK5.6KGKTBIED</v>
          </cell>
        </row>
        <row r="7154">
          <cell r="C7154">
            <v>4028246</v>
          </cell>
          <cell r="D7154" t="str">
            <v>PP MŚ.CZTEROG.Z/NAP.OK4.5KGVAC 1STKTBIED</v>
          </cell>
        </row>
        <row r="7155">
          <cell r="C7155">
            <v>3035882</v>
          </cell>
          <cell r="D7155" t="str">
            <v>PP MŚ.CZTEROG.Z/NAP.OK20KGWOR PJ ST</v>
          </cell>
        </row>
        <row r="7156">
          <cell r="C7156">
            <v>3042972</v>
          </cell>
          <cell r="D7156" t="str">
            <v>PP MŚ.CZTEROG.Z/NAP.OK20KG NB DMR</v>
          </cell>
        </row>
        <row r="7157">
          <cell r="C7157">
            <v>3010072</v>
          </cell>
          <cell r="D7157" t="str">
            <v>***M-Ń DWUGŁOWY N/OBR USR</v>
          </cell>
        </row>
        <row r="7158">
          <cell r="C7158">
            <v>4009104</v>
          </cell>
          <cell r="D7158" t="str">
            <v>PL MŚ.DWUG.OK15KGWOR KT</v>
          </cell>
        </row>
        <row r="7159">
          <cell r="C7159">
            <v>4011884</v>
          </cell>
          <cell r="D7159" t="str">
            <v>***EU ZR.DOLNA LUZ OK15KG KT CH</v>
          </cell>
        </row>
        <row r="7160">
          <cell r="C7160">
            <v>3015901</v>
          </cell>
          <cell r="D7160" t="str">
            <v>PL MŚ.PÓŁBŁ.CH</v>
          </cell>
        </row>
        <row r="7161">
          <cell r="C7161">
            <v>3017733</v>
          </cell>
          <cell r="D7161" t="str">
            <v>EU MŚ.PÓŁBŁ.CH</v>
          </cell>
        </row>
        <row r="7162">
          <cell r="C7162">
            <v>3031849</v>
          </cell>
          <cell r="D7162" t="str">
            <v>PL MŚ.SZYN.CH</v>
          </cell>
        </row>
        <row r="7163">
          <cell r="C7163">
            <v>4021269</v>
          </cell>
          <cell r="D7163" t="str">
            <v>PL MŚ.SZYN.GOL.ZEW.PBX EX</v>
          </cell>
        </row>
        <row r="7164">
          <cell r="C7164">
            <v>4021223</v>
          </cell>
          <cell r="D7164" t="str">
            <v>PL MŚ.SZYN.DR.PBX EX</v>
          </cell>
        </row>
        <row r="7165">
          <cell r="C7165">
            <v>4021224</v>
          </cell>
          <cell r="D7165" t="str">
            <v>PL MŚ.SZYN.GOL.WEW.PBX EX</v>
          </cell>
        </row>
        <row r="7166">
          <cell r="C7166">
            <v>4021225</v>
          </cell>
          <cell r="D7166" t="str">
            <v>PL MŚ.SZYN.BIODR.PBX EX</v>
          </cell>
        </row>
        <row r="7167">
          <cell r="C7167">
            <v>4021241</v>
          </cell>
          <cell r="D7167" t="str">
            <v>PL MŚ.SZYN.PÓŁBŁ.PBX EX</v>
          </cell>
        </row>
        <row r="7168">
          <cell r="C7168">
            <v>4021226</v>
          </cell>
          <cell r="D7168" t="str">
            <v>PL MŚ.SZYN.DWUG.PBX</v>
          </cell>
        </row>
        <row r="7169">
          <cell r="C7169">
            <v>4021227</v>
          </cell>
          <cell r="D7169" t="str">
            <v>PL MŚ.SZYN.CZTEROG.PBX EX</v>
          </cell>
        </row>
        <row r="7170">
          <cell r="C7170">
            <v>3032102</v>
          </cell>
          <cell r="D7170" t="str">
            <v>SZYN.B/K/DWU/PÓŁB.Z/MG.CH</v>
          </cell>
        </row>
        <row r="7171">
          <cell r="C7171">
            <v>3032103</v>
          </cell>
          <cell r="D7171" t="str">
            <v>SZYN.B/K/DWU/PÓŁB.Z/MG.PBX</v>
          </cell>
        </row>
        <row r="7172">
          <cell r="C7172">
            <v>3032104</v>
          </cell>
          <cell r="D7172" t="str">
            <v>PL SZYN.B/K/S/MŚ.PÓŁBŁ/DWUG.OK500KGPBXST</v>
          </cell>
        </row>
        <row r="7173">
          <cell r="C7173">
            <v>3036158</v>
          </cell>
          <cell r="D7173" t="str">
            <v>PP SZYN.B/K/DWU/PÓŁB.Z/MG.CH</v>
          </cell>
        </row>
        <row r="7174">
          <cell r="C7174">
            <v>3036159</v>
          </cell>
          <cell r="D7174" t="str">
            <v>PP SZYN.B/K/S/MŚ.PÓŁBŁ/DWUG.PBX ST</v>
          </cell>
        </row>
        <row r="7175">
          <cell r="C7175">
            <v>3032714</v>
          </cell>
          <cell r="D7175" t="str">
            <v>***PL MŚ.SZYN.CH</v>
          </cell>
        </row>
        <row r="7176">
          <cell r="C7176">
            <v>3032868</v>
          </cell>
          <cell r="D7176" t="str">
            <v>PL MŚ.SZYN.OK20KG NB MR ST</v>
          </cell>
        </row>
        <row r="7177">
          <cell r="C7177">
            <v>3032741</v>
          </cell>
          <cell r="D7177" t="str">
            <v>PL MŚ.SZYN.PBX ST1</v>
          </cell>
        </row>
        <row r="7178">
          <cell r="C7178">
            <v>3032715</v>
          </cell>
          <cell r="D7178" t="str">
            <v>PL MŚ.SZYN.OK15KGLUZ PJ ST</v>
          </cell>
        </row>
        <row r="7179">
          <cell r="C7179">
            <v>3032867</v>
          </cell>
          <cell r="D7179" t="str">
            <v>PL MŚ.SZYN.OK20KG NB DMR</v>
          </cell>
        </row>
        <row r="7180">
          <cell r="C7180">
            <v>3033005</v>
          </cell>
          <cell r="D7180" t="str">
            <v>PL MŚ.SZYN.RO1</v>
          </cell>
        </row>
        <row r="7181">
          <cell r="C7181">
            <v>3032985</v>
          </cell>
          <cell r="D7181" t="str">
            <v>PL MŚ.SZYN.RO2</v>
          </cell>
        </row>
        <row r="7182">
          <cell r="C7182">
            <v>3032745</v>
          </cell>
          <cell r="D7182" t="str">
            <v>PL MŚ.SZYN.PBX ST2</v>
          </cell>
        </row>
        <row r="7183">
          <cell r="C7183">
            <v>3041129</v>
          </cell>
          <cell r="D7183" t="str">
            <v>PP MŚ.SZYN.CH</v>
          </cell>
        </row>
        <row r="7184">
          <cell r="C7184">
            <v>3041150</v>
          </cell>
          <cell r="D7184" t="str">
            <v>PP MŚ.SZYN.PBX1</v>
          </cell>
        </row>
        <row r="7185">
          <cell r="C7185">
            <v>3043185</v>
          </cell>
          <cell r="D7185" t="str">
            <v>PP MŚ.SZYN.PBX ST</v>
          </cell>
        </row>
        <row r="7186">
          <cell r="C7186">
            <v>3041137</v>
          </cell>
          <cell r="D7186" t="str">
            <v>PP MŚ.SZYN.PBX2</v>
          </cell>
        </row>
        <row r="7187">
          <cell r="C7187">
            <v>3008063</v>
          </cell>
          <cell r="D7187" t="str">
            <v>***ŁOP.Z/K/GOL/SK B/M.PODŁ KL.E CH</v>
          </cell>
        </row>
        <row r="7188">
          <cell r="C7188">
            <v>3008064</v>
          </cell>
          <cell r="D7188" t="str">
            <v>***ŁOP.Z/K/GOL/SK B/M.PODŁ KL.U CH</v>
          </cell>
        </row>
        <row r="7189">
          <cell r="C7189">
            <v>3027566</v>
          </cell>
          <cell r="D7189" t="str">
            <v>PL MŚ.BIODR.B/SZARP.CH</v>
          </cell>
        </row>
        <row r="7190">
          <cell r="C7190">
            <v>3035510</v>
          </cell>
          <cell r="D7190" t="str">
            <v>***PL MŚ.BIODR.B/SZARP.OK20KG NB MR ST</v>
          </cell>
        </row>
        <row r="7191">
          <cell r="C7191">
            <v>3027567</v>
          </cell>
          <cell r="D7191" t="str">
            <v>PL MŚ.BIODR.B/SZARP.PBX ST</v>
          </cell>
        </row>
        <row r="7192">
          <cell r="C7192">
            <v>3035500</v>
          </cell>
          <cell r="D7192" t="str">
            <v>***PL MŚ.BIODR.B/SZARP.OK20KG NB DMR</v>
          </cell>
        </row>
        <row r="7193">
          <cell r="C7193">
            <v>3039530</v>
          </cell>
          <cell r="D7193" t="str">
            <v>***PP MŚ.BIODR.B/SZARP.CH</v>
          </cell>
        </row>
        <row r="7194">
          <cell r="C7194">
            <v>3039531</v>
          </cell>
          <cell r="D7194" t="str">
            <v>***PP MŚ.BIODR.B/SZARP.PBX ST</v>
          </cell>
        </row>
        <row r="7195">
          <cell r="C7195">
            <v>3015897</v>
          </cell>
          <cell r="D7195" t="str">
            <v>PL MŚ.DWUG.CH</v>
          </cell>
        </row>
        <row r="7196">
          <cell r="C7196">
            <v>3025033</v>
          </cell>
          <cell r="D7196" t="str">
            <v>***PL MŚ.DWUG.N/OBR.11020 PBX CH HILT1</v>
          </cell>
        </row>
        <row r="7197">
          <cell r="C7197">
            <v>4015778</v>
          </cell>
          <cell r="D7197" t="str">
            <v>***PL MŚ.DWUGŁ.N/OBR.LUZ OK15KG KT CH</v>
          </cell>
        </row>
        <row r="7198">
          <cell r="C7198">
            <v>3025293</v>
          </cell>
          <cell r="D7198" t="str">
            <v>***PL MŚ.DWUG.N/OBR.11020 PBX CH HILT2</v>
          </cell>
        </row>
        <row r="7199">
          <cell r="C7199">
            <v>3021449</v>
          </cell>
          <cell r="D7199" t="str">
            <v>EU MŚ.DWUG.CH</v>
          </cell>
        </row>
        <row r="7200">
          <cell r="C7200">
            <v>3025034</v>
          </cell>
          <cell r="D7200" t="str">
            <v>***EU MŚ.DWUG.N/OBR.11020 PBX CH HILT1</v>
          </cell>
        </row>
        <row r="7201">
          <cell r="C7201">
            <v>4015779</v>
          </cell>
          <cell r="D7201" t="str">
            <v>***EU MŚ.DWUGŁ.N/OBR.LUZ OK15KG KT CH</v>
          </cell>
        </row>
        <row r="7202">
          <cell r="C7202">
            <v>3025294</v>
          </cell>
          <cell r="D7202" t="str">
            <v>***EU MŚ.DWUG.N/OBR.11020 PBX CH HILT2</v>
          </cell>
        </row>
        <row r="7203">
          <cell r="C7203">
            <v>3041221</v>
          </cell>
          <cell r="D7203" t="str">
            <v>PP MŚ.DWUG.CH</v>
          </cell>
        </row>
        <row r="7204">
          <cell r="C7204">
            <v>3015973</v>
          </cell>
          <cell r="D7204" t="str">
            <v>PL MŚ.PÓŁBŁ.SMUK.CH1</v>
          </cell>
        </row>
        <row r="7205">
          <cell r="C7205">
            <v>3025035</v>
          </cell>
          <cell r="D7205" t="str">
            <v>***PL MŚ.PÓŁBŁ.Z/SMUK.PBX CH1</v>
          </cell>
        </row>
        <row r="7206">
          <cell r="C7206">
            <v>3020353</v>
          </cell>
          <cell r="D7206" t="str">
            <v>PL MŚ.PÓŁBŁ.SMUK.CH2</v>
          </cell>
        </row>
        <row r="7207">
          <cell r="C7207">
            <v>3025295</v>
          </cell>
          <cell r="D7207" t="str">
            <v>***PL MŚ.PÓŁBŁ.Z/SMUK.PBX CH2</v>
          </cell>
        </row>
        <row r="7208">
          <cell r="C7208">
            <v>3017797</v>
          </cell>
          <cell r="D7208" t="str">
            <v>EU MŚ.PÓŁBŁ.SMUK.CH</v>
          </cell>
        </row>
        <row r="7209">
          <cell r="C7209">
            <v>3025036</v>
          </cell>
          <cell r="D7209" t="str">
            <v>***EU MŚ.PÓŁBŁ.Z/SMUK.PBX CH1</v>
          </cell>
        </row>
        <row r="7210">
          <cell r="C7210">
            <v>3025296</v>
          </cell>
          <cell r="D7210" t="str">
            <v>***EU MŚ.PÓŁBŁ.Z/SMUK.PBX CH2</v>
          </cell>
        </row>
        <row r="7211">
          <cell r="C7211">
            <v>3035829</v>
          </cell>
          <cell r="D7211" t="str">
            <v>PP MŚ.PÓŁBŁ.SMUK.CH</v>
          </cell>
        </row>
        <row r="7212">
          <cell r="C7212">
            <v>3010069</v>
          </cell>
          <cell r="D7212" t="str">
            <v>***M-Ń PÓŁBŁONIASTY NIEOBROBIONY KL.U CH</v>
          </cell>
        </row>
        <row r="7213">
          <cell r="C7213">
            <v>3010068</v>
          </cell>
          <cell r="D7213" t="str">
            <v>***M-Ń PÓŁBŁONIASTY NIEOBROBIONY KL.S CH</v>
          </cell>
        </row>
        <row r="7214">
          <cell r="C7214">
            <v>3010067</v>
          </cell>
          <cell r="D7214" t="str">
            <v>***PL MŚ.DWUG.N/OBR.CH</v>
          </cell>
        </row>
        <row r="7215">
          <cell r="C7215">
            <v>3017457</v>
          </cell>
          <cell r="D7215" t="str">
            <v>***EU MŚ.DWUG.N/OBR.CH</v>
          </cell>
        </row>
        <row r="7216">
          <cell r="C7216">
            <v>3010073</v>
          </cell>
          <cell r="D7216" t="str">
            <v>***M-Ń DWUGŁOWY N/OBR KL.U CH</v>
          </cell>
        </row>
        <row r="7217">
          <cell r="C7217">
            <v>3010074</v>
          </cell>
          <cell r="D7217" t="str">
            <v>***M-Ń DWUGŁOWY N/OBR KL.S CH</v>
          </cell>
        </row>
        <row r="7218">
          <cell r="C7218">
            <v>3011808</v>
          </cell>
          <cell r="D7218" t="str">
            <v>PL MŚ.BIODR.CH1</v>
          </cell>
        </row>
        <row r="7219">
          <cell r="C7219">
            <v>3019851</v>
          </cell>
          <cell r="D7219" t="str">
            <v>***PL MŚ.BIODR.N/OBR.B MR</v>
          </cell>
        </row>
        <row r="7220">
          <cell r="C7220">
            <v>3025037</v>
          </cell>
          <cell r="D7220" t="str">
            <v>PL MŚ.BIODR.PBX ST1</v>
          </cell>
        </row>
        <row r="7221">
          <cell r="C7221">
            <v>3019156</v>
          </cell>
          <cell r="D7221" t="str">
            <v>***PL MŚ.BIODR.N/OBR.NB DMR</v>
          </cell>
        </row>
        <row r="7222">
          <cell r="C7222">
            <v>3019852</v>
          </cell>
          <cell r="D7222" t="str">
            <v>***PL MŚ.BIODR.N/OBR.NB RO1</v>
          </cell>
        </row>
        <row r="7223">
          <cell r="C7223">
            <v>3020354</v>
          </cell>
          <cell r="D7223" t="str">
            <v>PL MŚ.BIODR.CH2</v>
          </cell>
        </row>
        <row r="7224">
          <cell r="C7224">
            <v>3021201</v>
          </cell>
          <cell r="D7224" t="str">
            <v>***PL MŚ.BIODR.N/OBR.NB RO2</v>
          </cell>
        </row>
        <row r="7225">
          <cell r="C7225">
            <v>3025297</v>
          </cell>
          <cell r="D7225" t="str">
            <v>PL MŚ.BIODR.PBX ST2</v>
          </cell>
        </row>
        <row r="7226">
          <cell r="C7226">
            <v>3017479</v>
          </cell>
          <cell r="D7226" t="str">
            <v>EU MŚ.BIODR.CH1</v>
          </cell>
        </row>
        <row r="7227">
          <cell r="C7227">
            <v>3025038</v>
          </cell>
          <cell r="D7227" t="str">
            <v>***EU MŚ.BIODR.N/OBR.PBX CH1</v>
          </cell>
        </row>
        <row r="7228">
          <cell r="C7228">
            <v>3020355</v>
          </cell>
          <cell r="D7228" t="str">
            <v>EU MŚ.BIODR.CH2</v>
          </cell>
        </row>
        <row r="7229">
          <cell r="C7229">
            <v>3025298</v>
          </cell>
          <cell r="D7229" t="str">
            <v>***EU MŚ.BIODR.N/OBR.PBX CH2</v>
          </cell>
        </row>
        <row r="7230">
          <cell r="C7230">
            <v>3011818</v>
          </cell>
          <cell r="D7230" t="str">
            <v>***M-Ń BIODROWY N/OBR.KL.U CH</v>
          </cell>
        </row>
        <row r="7231">
          <cell r="C7231">
            <v>3011819</v>
          </cell>
          <cell r="D7231" t="str">
            <v>***M-Ń BIODROWY N/OBR.KL.S CH</v>
          </cell>
        </row>
        <row r="7232">
          <cell r="C7232">
            <v>3015913</v>
          </cell>
          <cell r="D7232" t="str">
            <v>PL MŚ.CZTEROG.Z/NAP.CH</v>
          </cell>
        </row>
        <row r="7233">
          <cell r="C7233">
            <v>3011315</v>
          </cell>
          <cell r="D7233" t="str">
            <v>PL MŚ.CZTEROG.Z/NAP.PBX1</v>
          </cell>
        </row>
        <row r="7234">
          <cell r="C7234">
            <v>3025096</v>
          </cell>
          <cell r="D7234" t="str">
            <v>PL MŚ.CZTEROG.Z/NAP.PBX2</v>
          </cell>
        </row>
        <row r="7235">
          <cell r="C7235">
            <v>3017746</v>
          </cell>
          <cell r="D7235" t="str">
            <v>EU MŚ.CZTEROG.Z/NAP.CH</v>
          </cell>
        </row>
        <row r="7236">
          <cell r="C7236">
            <v>3017472</v>
          </cell>
          <cell r="D7236" t="str">
            <v>EU MŚ.CZTEROG.Z/NAP.PBX1</v>
          </cell>
        </row>
        <row r="7237">
          <cell r="C7237">
            <v>3044728</v>
          </cell>
          <cell r="D7237" t="str">
            <v>EU MŚ.CZTEROG.Z/NAP.PBX2</v>
          </cell>
        </row>
        <row r="7238">
          <cell r="C7238">
            <v>3035828</v>
          </cell>
          <cell r="D7238" t="str">
            <v>PP MŚ.CZTEROG.Z/NAP.CH</v>
          </cell>
        </row>
        <row r="7239">
          <cell r="C7239">
            <v>3035803</v>
          </cell>
          <cell r="D7239" t="str">
            <v>PP MŚ.CZTEROG.Z/NAP.PBX1</v>
          </cell>
        </row>
        <row r="7240">
          <cell r="C7240">
            <v>3044068</v>
          </cell>
          <cell r="D7240" t="str">
            <v>PP MŚ.CZTEROG.Z/NAP.PBX2</v>
          </cell>
        </row>
        <row r="7241">
          <cell r="C7241">
            <v>3044027</v>
          </cell>
          <cell r="D7241" t="str">
            <v>MŚ.CZTEROG.Z/NAP.ROZP1</v>
          </cell>
        </row>
        <row r="7242">
          <cell r="C7242">
            <v>3044028</v>
          </cell>
          <cell r="D7242" t="str">
            <v>MŚ.CZTEROG.Z/NAP.ROZP2</v>
          </cell>
        </row>
        <row r="7243">
          <cell r="C7243">
            <v>3010055</v>
          </cell>
          <cell r="D7243" t="str">
            <v>***M-Ń CZTEROGŁOWY NIEODBŁONIONY KL.U CH</v>
          </cell>
        </row>
        <row r="7244">
          <cell r="C7244">
            <v>3010056</v>
          </cell>
          <cell r="D7244" t="str">
            <v>***M-Ń CZTEROGŁOWY NIEODBŁONIONY KL.S CH</v>
          </cell>
        </row>
        <row r="7245">
          <cell r="C7245">
            <v>3006303</v>
          </cell>
          <cell r="D7245" t="str">
            <v>MŚ.SMUKŁY</v>
          </cell>
        </row>
        <row r="7246">
          <cell r="C7246">
            <v>3006310</v>
          </cell>
          <cell r="D7246" t="str">
            <v>***M-N SMUKLY USR</v>
          </cell>
        </row>
        <row r="7247">
          <cell r="C7247">
            <v>3011814</v>
          </cell>
          <cell r="D7247" t="str">
            <v>***M-Ń DWUGŁOWY N/OBR.KL.R CH</v>
          </cell>
        </row>
        <row r="7248">
          <cell r="C7248">
            <v>3046693</v>
          </cell>
          <cell r="D7248" t="str">
            <v>PL EL.NA WYBORNA CH</v>
          </cell>
        </row>
        <row r="7249">
          <cell r="C7249">
            <v>3046694</v>
          </cell>
          <cell r="D7249" t="str">
            <v>PL EL.NA WYBORNA PBX1</v>
          </cell>
        </row>
        <row r="7250">
          <cell r="C7250">
            <v>3046709</v>
          </cell>
          <cell r="D7250" t="str">
            <v>PL EL.NA WYBORNA PBX2</v>
          </cell>
        </row>
        <row r="7251">
          <cell r="C7251">
            <v>3006285</v>
          </cell>
          <cell r="D7251" t="str">
            <v>MŚ.NAPINACZ</v>
          </cell>
        </row>
        <row r="7252">
          <cell r="C7252">
            <v>3006297</v>
          </cell>
          <cell r="D7252" t="str">
            <v>***M-N NAPINACZ USR</v>
          </cell>
        </row>
        <row r="7253">
          <cell r="C7253">
            <v>3011812</v>
          </cell>
          <cell r="D7253" t="str">
            <v>***M-Ń PÓŁBŁONIASTY N/OBR.KL.R CH</v>
          </cell>
        </row>
        <row r="7254">
          <cell r="C7254">
            <v>3011811</v>
          </cell>
          <cell r="D7254" t="str">
            <v>***M-Ń PÓŁBŁONIASTY N/OBR.KL.A CH</v>
          </cell>
        </row>
        <row r="7255">
          <cell r="C7255">
            <v>3023511</v>
          </cell>
          <cell r="D7255" t="str">
            <v>EL.SZYN.SZWAGRA CIĘ.CH</v>
          </cell>
        </row>
        <row r="7256">
          <cell r="C7256">
            <v>3036319</v>
          </cell>
          <cell r="D7256" t="str">
            <v>EL.SZYN.SZWAGRA CIĘ.OK20KG NB MR</v>
          </cell>
        </row>
        <row r="7257">
          <cell r="C7257">
            <v>3023510</v>
          </cell>
          <cell r="D7257" t="str">
            <v>EL.SZYN.SZWAGRA CIĘ.PBX1</v>
          </cell>
        </row>
        <row r="7258">
          <cell r="C7258">
            <v>3033912</v>
          </cell>
          <cell r="D7258" t="str">
            <v>PL EL.SZYN.SZWAGRA PBX K4</v>
          </cell>
        </row>
        <row r="7259">
          <cell r="C7259">
            <v>3036318</v>
          </cell>
          <cell r="D7259" t="str">
            <v>EL.SZYN.SZWAGRA CIĘ.OK20KG NB DMR</v>
          </cell>
        </row>
        <row r="7260">
          <cell r="C7260">
            <v>3036306</v>
          </cell>
          <cell r="D7260" t="str">
            <v>EL.SZYN.SZWAGRA CIĘ.RO1</v>
          </cell>
        </row>
        <row r="7261">
          <cell r="C7261">
            <v>3036377</v>
          </cell>
          <cell r="D7261" t="str">
            <v>EL.SZYN.SZWAGRA CIĘ.RO2</v>
          </cell>
        </row>
        <row r="7262">
          <cell r="C7262">
            <v>3023588</v>
          </cell>
          <cell r="D7262" t="str">
            <v>EL.SZYN.SZWAGRA CIĘ.PBX2</v>
          </cell>
        </row>
        <row r="7263">
          <cell r="C7263">
            <v>3004561</v>
          </cell>
          <cell r="D7263" t="str">
            <v>***ELEM.SZYN.SZWAGRA USR CH</v>
          </cell>
        </row>
        <row r="7264">
          <cell r="C7264">
            <v>3016162</v>
          </cell>
          <cell r="D7264" t="str">
            <v>EL.SZYN.SZWAGRA OK20KG NB MR ST</v>
          </cell>
        </row>
        <row r="7265">
          <cell r="C7265">
            <v>4010561</v>
          </cell>
          <cell r="D7265" t="str">
            <v>***M-Ń DWUGŁOWY OK.10KG TRM EX</v>
          </cell>
        </row>
        <row r="7266">
          <cell r="C7266">
            <v>3011364</v>
          </cell>
          <cell r="D7266" t="str">
            <v>EL.SZYN.SZWAGRA OK20KGLUZ PJ ST</v>
          </cell>
        </row>
        <row r="7267">
          <cell r="C7267">
            <v>3040284</v>
          </cell>
          <cell r="D7267" t="str">
            <v>EL.SZYN.MAZURSKA DOJRZ.OK20KG NB MR EŁ</v>
          </cell>
        </row>
        <row r="7268">
          <cell r="C7268">
            <v>3016161</v>
          </cell>
          <cell r="D7268" t="str">
            <v>PL EL.SZYN.SZWAGRA OK20KG NB DMR</v>
          </cell>
        </row>
        <row r="7269">
          <cell r="C7269">
            <v>3015182</v>
          </cell>
          <cell r="D7269" t="str">
            <v>EL.SZYN.SZWAGRA RO1</v>
          </cell>
        </row>
        <row r="7270">
          <cell r="C7270">
            <v>3020562</v>
          </cell>
          <cell r="D7270" t="str">
            <v>EL.SZYN.SZWAGRA RO2</v>
          </cell>
        </row>
        <row r="7271">
          <cell r="C7271">
            <v>3044705</v>
          </cell>
          <cell r="D7271" t="str">
            <v>EU EL.SZYN.SZWAGRA OK20KG NB MR ST</v>
          </cell>
        </row>
        <row r="7272">
          <cell r="C7272">
            <v>3044696</v>
          </cell>
          <cell r="D7272" t="str">
            <v>EU EL.SZYN.SZWAGRA OK20KG NB DMR</v>
          </cell>
        </row>
        <row r="7273">
          <cell r="C7273">
            <v>3044706</v>
          </cell>
          <cell r="D7273" t="str">
            <v>EU EL.SZYN.SZWAGRA RO1</v>
          </cell>
        </row>
        <row r="7274">
          <cell r="C7274">
            <v>3044715</v>
          </cell>
          <cell r="D7274" t="str">
            <v>EU EL.SZYN.SZWAGRA RO2</v>
          </cell>
        </row>
        <row r="7275">
          <cell r="C7275">
            <v>3039831</v>
          </cell>
          <cell r="D7275" t="str">
            <v>PP EL.SZYN.SZWAGRA OK20KG NB MR ST</v>
          </cell>
        </row>
        <row r="7276">
          <cell r="C7276">
            <v>3035871</v>
          </cell>
          <cell r="D7276" t="str">
            <v>PP EL.SZYN.SZWAGRA OK20KGLUZ PJ ST</v>
          </cell>
        </row>
        <row r="7277">
          <cell r="C7277">
            <v>3038880</v>
          </cell>
          <cell r="D7277" t="str">
            <v>PP EL.SZYN.SZWAGRA OK20KG NB DMR</v>
          </cell>
        </row>
        <row r="7278">
          <cell r="C7278">
            <v>3038578</v>
          </cell>
          <cell r="D7278" t="str">
            <v>PP EL.SZYN.SZWAGRA RO1</v>
          </cell>
        </row>
        <row r="7279">
          <cell r="C7279">
            <v>3038621</v>
          </cell>
          <cell r="D7279" t="str">
            <v>PP EL.SZYN.SZWAGRA RO2</v>
          </cell>
        </row>
        <row r="7280">
          <cell r="C7280">
            <v>3004554</v>
          </cell>
          <cell r="D7280" t="str">
            <v>***ELEM.SZYN.SZWAGRA KL.S CH</v>
          </cell>
        </row>
        <row r="7281">
          <cell r="C7281">
            <v>3015968</v>
          </cell>
          <cell r="D7281" t="str">
            <v>EL.SZYN.SZWAGRA CH1</v>
          </cell>
        </row>
        <row r="7282">
          <cell r="C7282">
            <v>3024723</v>
          </cell>
          <cell r="D7282" t="str">
            <v>EL.SZYN.SZWAGRA PBX1</v>
          </cell>
        </row>
        <row r="7283">
          <cell r="C7283">
            <v>4028834</v>
          </cell>
          <cell r="D7283" t="str">
            <v>PL EL.SZYN.SZWAGRA OK20KGWOR KT</v>
          </cell>
        </row>
        <row r="7284">
          <cell r="C7284">
            <v>4028849</v>
          </cell>
          <cell r="D7284" t="str">
            <v>PL EL.SZYN.SZWAGRA OK20KGWOR KT MR</v>
          </cell>
        </row>
        <row r="7285">
          <cell r="C7285">
            <v>3025452</v>
          </cell>
          <cell r="D7285" t="str">
            <v>***PL ELEM.SZYN.SZWAGRA PBX CH ST</v>
          </cell>
        </row>
        <row r="7286">
          <cell r="C7286">
            <v>3019889</v>
          </cell>
          <cell r="D7286" t="str">
            <v>EL.SZYN.SZWAGRA OK15KG NB MR SZ</v>
          </cell>
        </row>
        <row r="7287">
          <cell r="C7287">
            <v>3024787</v>
          </cell>
          <cell r="D7287" t="str">
            <v>EL.SZYN.SZWAGRA PBX SZ</v>
          </cell>
        </row>
        <row r="7288">
          <cell r="C7288">
            <v>3043860</v>
          </cell>
          <cell r="D7288" t="str">
            <v>PL EL.SZYN.SZWAGRA OK20KGWOR KT DMR</v>
          </cell>
        </row>
        <row r="7289">
          <cell r="C7289">
            <v>3020357</v>
          </cell>
          <cell r="D7289" t="str">
            <v>EL.SZYN.SZWAGRA CH2</v>
          </cell>
        </row>
        <row r="7290">
          <cell r="C7290">
            <v>3025111</v>
          </cell>
          <cell r="D7290" t="str">
            <v>EL.SZYN.SZWAGRA PBX2</v>
          </cell>
        </row>
        <row r="7291">
          <cell r="C7291">
            <v>3044697</v>
          </cell>
          <cell r="D7291" t="str">
            <v>EU EL.SZYN.SZWAGRA CH</v>
          </cell>
        </row>
        <row r="7292">
          <cell r="C7292">
            <v>3036149</v>
          </cell>
          <cell r="D7292" t="str">
            <v>PP EL.SZYN.SZWAGRA CH</v>
          </cell>
        </row>
        <row r="7293">
          <cell r="C7293">
            <v>3039067</v>
          </cell>
          <cell r="D7293" t="str">
            <v>PP EL.SZYN.SZWAGRA PBX ST1</v>
          </cell>
        </row>
        <row r="7294">
          <cell r="C7294">
            <v>3039073</v>
          </cell>
          <cell r="D7294" t="str">
            <v>PP EL.SZYN.SZWAGRA PBX ST2</v>
          </cell>
        </row>
        <row r="7295">
          <cell r="C7295">
            <v>3019063</v>
          </cell>
          <cell r="D7295" t="str">
            <v>EL.SZYN.SZWAGRA ROZP1</v>
          </cell>
        </row>
        <row r="7296">
          <cell r="C7296">
            <v>3020358</v>
          </cell>
          <cell r="D7296" t="str">
            <v>EL.SZYN.SZWAGRA ROZP2</v>
          </cell>
        </row>
        <row r="7297">
          <cell r="C7297">
            <v>3004562</v>
          </cell>
          <cell r="D7297" t="str">
            <v>***ELEM.SZYN.SZWAGRA KL.U CH</v>
          </cell>
        </row>
        <row r="7298">
          <cell r="C7298">
            <v>3008067</v>
          </cell>
          <cell r="D7298" t="str">
            <v>***PL BOCZ.ŁUS.SZER.Z/SK.B/CHRZ.CH</v>
          </cell>
        </row>
        <row r="7299">
          <cell r="C7299">
            <v>3017415</v>
          </cell>
          <cell r="D7299" t="str">
            <v>***EU BOCZ.ŁUS.SZER.Z/SK.B/CHRZ.CH</v>
          </cell>
        </row>
        <row r="7300">
          <cell r="C7300">
            <v>3008068</v>
          </cell>
          <cell r="D7300" t="str">
            <v>***BOCZ.C ŁUS.SZER.Z/S.B/CH.B.CHŁOP.1</v>
          </cell>
        </row>
        <row r="7301">
          <cell r="C7301">
            <v>3025039</v>
          </cell>
          <cell r="D7301" t="str">
            <v>***BOCZ.C ŁUS.SZ.Z/S.B/CH.B.CHŁOP.PBXCH1</v>
          </cell>
        </row>
        <row r="7302">
          <cell r="C7302">
            <v>3020359</v>
          </cell>
          <cell r="D7302" t="str">
            <v>***BOCZ.C ŁUS.SZER.Z/S.B/CH.B.CHŁOP.2</v>
          </cell>
        </row>
        <row r="7303">
          <cell r="C7303">
            <v>3025299</v>
          </cell>
          <cell r="D7303" t="str">
            <v>***BOCZ.C ŁUS.SZ.Z/S.B/CH.B.CHŁOP.PBXCH2</v>
          </cell>
        </row>
        <row r="7304">
          <cell r="C7304">
            <v>3009104</v>
          </cell>
          <cell r="D7304" t="str">
            <v>***BOCZ.ŁUS.SZER.Z/SK.B/CHRZ. KL.U PL</v>
          </cell>
        </row>
        <row r="7305">
          <cell r="C7305">
            <v>3016102</v>
          </cell>
          <cell r="D7305" t="str">
            <v>***BOCZ.ŁUS.SZER.Z/SK.B/CHRZ USR</v>
          </cell>
        </row>
        <row r="7306">
          <cell r="C7306">
            <v>3026194</v>
          </cell>
          <cell r="D7306" t="str">
            <v>***PL BOCZ.BL.B B/S.MC.CH</v>
          </cell>
        </row>
        <row r="7307">
          <cell r="C7307">
            <v>3026193</v>
          </cell>
          <cell r="D7307" t="str">
            <v>PLBOCZB BLATSZERB/SK.Z/PACH/MŚ.SCH.PBXST</v>
          </cell>
        </row>
        <row r="7308">
          <cell r="C7308">
            <v>3026174</v>
          </cell>
          <cell r="D7308" t="str">
            <v>***PLBOCZ.B BLAT.SZER.B/S.Z/P/M.SCH.WOST</v>
          </cell>
        </row>
        <row r="7309">
          <cell r="C7309">
            <v>3040479</v>
          </cell>
          <cell r="D7309" t="str">
            <v>***PL BOCZ.BL.B B/S.MC.PBX ST</v>
          </cell>
        </row>
        <row r="7310">
          <cell r="C7310">
            <v>3026203</v>
          </cell>
          <cell r="D7310" t="str">
            <v>PLBOCZB BLATSZERB/SKZ/PACH/MŚ.SCH.PBXST2</v>
          </cell>
        </row>
        <row r="7311">
          <cell r="C7311">
            <v>3026190</v>
          </cell>
          <cell r="D7311" t="str">
            <v>***EU BOCZ.BL.B B/S.MC.CH</v>
          </cell>
        </row>
        <row r="7312">
          <cell r="C7312">
            <v>3038773</v>
          </cell>
          <cell r="D7312" t="str">
            <v>PP BOCZ.BL.B B/S.MC.CH</v>
          </cell>
        </row>
        <row r="7313">
          <cell r="C7313">
            <v>3040511</v>
          </cell>
          <cell r="D7313" t="str">
            <v>PP BOCZ.BL.B B/S.MC.PBX ST</v>
          </cell>
        </row>
        <row r="7314">
          <cell r="C7314">
            <v>3024151</v>
          </cell>
          <cell r="D7314" t="str">
            <v>PL BOCZ.BL.A B/S.MC.CH1</v>
          </cell>
        </row>
        <row r="7315">
          <cell r="C7315">
            <v>3045458</v>
          </cell>
          <cell r="D7315" t="str">
            <v>PL BOCZ.BL.A B/S.MC.OK20KG NB MR ST</v>
          </cell>
        </row>
        <row r="7316">
          <cell r="C7316">
            <v>3045456</v>
          </cell>
          <cell r="D7316" t="str">
            <v>PL BOCZ.BL.A B/S.MC.PBX1</v>
          </cell>
        </row>
        <row r="7317">
          <cell r="C7317">
            <v>3040522</v>
          </cell>
          <cell r="D7317" t="str">
            <v>PL BOCZ.BL.A B/S.MC.PBX ST</v>
          </cell>
        </row>
        <row r="7318">
          <cell r="C7318">
            <v>3039423</v>
          </cell>
          <cell r="D7318" t="str">
            <v>PL BOCZ.BL.A B/S.MC.PBX K4</v>
          </cell>
        </row>
        <row r="7319">
          <cell r="C7319">
            <v>3045457</v>
          </cell>
          <cell r="D7319" t="str">
            <v>PL BOCZ.BL.A B/S.MC.OK20KGNB DMR</v>
          </cell>
        </row>
        <row r="7320">
          <cell r="C7320">
            <v>3045459</v>
          </cell>
          <cell r="D7320" t="str">
            <v>PL BOCZ.BL.A B/S.MC.RO1</v>
          </cell>
        </row>
        <row r="7321">
          <cell r="C7321">
            <v>3045434</v>
          </cell>
          <cell r="D7321" t="str">
            <v>PL BOCZ.BL.A B/S.MC.RO2</v>
          </cell>
        </row>
        <row r="7322">
          <cell r="C7322">
            <v>3045433</v>
          </cell>
          <cell r="D7322" t="str">
            <v>PL BOCZ.BL.A B/S.MC.PBX2</v>
          </cell>
        </row>
        <row r="7323">
          <cell r="C7323">
            <v>3038801</v>
          </cell>
          <cell r="D7323" t="str">
            <v>PP BOCZ.BL.A B/S.MC.CH</v>
          </cell>
        </row>
        <row r="7324">
          <cell r="C7324">
            <v>3040521</v>
          </cell>
          <cell r="D7324" t="str">
            <v>PP BOCZ.BL.A B/S.MC.PBX ST</v>
          </cell>
        </row>
        <row r="7325">
          <cell r="C7325">
            <v>3011820</v>
          </cell>
          <cell r="D7325" t="str">
            <v>***M-Ń BIODROWY NIEOBROBIONY KL.R CH</v>
          </cell>
        </row>
        <row r="7326">
          <cell r="C7326">
            <v>3011821</v>
          </cell>
          <cell r="D7326" t="str">
            <v>***M-Ń BIODROWY N/OBR.KL.A CH</v>
          </cell>
        </row>
        <row r="7327">
          <cell r="C7327">
            <v>3010756</v>
          </cell>
          <cell r="D7327" t="str">
            <v>***M-Ń PÓŁŚCIĘG.N/OBR11285HILTON KL.S CH</v>
          </cell>
        </row>
        <row r="7328">
          <cell r="C7328">
            <v>3026174</v>
          </cell>
          <cell r="D7328" t="str">
            <v>PLBOCZ.B BLAT.SZER.B/SK.Z/PACH/MŚ.SCH.WO</v>
          </cell>
        </row>
        <row r="7329">
          <cell r="C7329">
            <v>3015911</v>
          </cell>
          <cell r="D7329" t="str">
            <v>EL.SZYN.BANKIET.CH</v>
          </cell>
        </row>
        <row r="7330">
          <cell r="C7330">
            <v>3046295</v>
          </cell>
          <cell r="D7330" t="str">
            <v>PL EL.SZYN.BANKIET.PBX ST</v>
          </cell>
        </row>
        <row r="7331">
          <cell r="C7331">
            <v>3031734</v>
          </cell>
          <cell r="D7331" t="str">
            <v>EL.SZYN.KLASYCZNA CH</v>
          </cell>
        </row>
        <row r="7332">
          <cell r="C7332">
            <v>3032385</v>
          </cell>
          <cell r="D7332" t="str">
            <v>EL.SZYN.KLASYCZNA OK20KG NB MR ST</v>
          </cell>
        </row>
        <row r="7333">
          <cell r="C7333">
            <v>3031735</v>
          </cell>
          <cell r="D7333" t="str">
            <v>EL.SZYN.KLASYCZNA PBX ST1</v>
          </cell>
        </row>
        <row r="7334">
          <cell r="C7334">
            <v>3034743</v>
          </cell>
          <cell r="D7334" t="str">
            <v>EL.SZYN.KLASYCZNA PBX SZ</v>
          </cell>
        </row>
        <row r="7335">
          <cell r="C7335">
            <v>3042264</v>
          </cell>
          <cell r="D7335" t="str">
            <v>EL.SZYN.KLASYCZNA PBX K4</v>
          </cell>
        </row>
        <row r="7336">
          <cell r="C7336">
            <v>3032384</v>
          </cell>
          <cell r="D7336" t="str">
            <v>EL.SZYN.KLASYCZNA OK20KG NB DMR</v>
          </cell>
        </row>
        <row r="7337">
          <cell r="C7337">
            <v>3032387</v>
          </cell>
          <cell r="D7337" t="str">
            <v>EL.SZYN.KLASYCZNA RO1</v>
          </cell>
        </row>
        <row r="7338">
          <cell r="C7338">
            <v>3032393</v>
          </cell>
          <cell r="D7338" t="str">
            <v>EL.SZYN.KLASYCZNA RO2</v>
          </cell>
        </row>
        <row r="7339">
          <cell r="C7339">
            <v>3031738</v>
          </cell>
          <cell r="D7339" t="str">
            <v>EL.SZYN.KLASYCZNA PBX ST2</v>
          </cell>
        </row>
        <row r="7340">
          <cell r="C7340">
            <v>3008069</v>
          </cell>
          <cell r="D7340" t="str">
            <v>***GŁOWA Z MACIOR CH</v>
          </cell>
        </row>
        <row r="7341">
          <cell r="C7341">
            <v>3028074</v>
          </cell>
          <cell r="D7341" t="str">
            <v>EL.SZYN.SZWAGRA LOG</v>
          </cell>
        </row>
        <row r="7342">
          <cell r="C7342">
            <v>3028427</v>
          </cell>
          <cell r="D7342" t="str">
            <v>EL.SZYN.SZWAGRA LOG OK15KGPJ ST</v>
          </cell>
        </row>
        <row r="7343">
          <cell r="C7343">
            <v>3029408</v>
          </cell>
          <cell r="D7343" t="str">
            <v>EL.SZYN.SZWAGRA LOG PBX ST</v>
          </cell>
        </row>
        <row r="7344">
          <cell r="C7344">
            <v>3004478</v>
          </cell>
          <cell r="D7344" t="str">
            <v>***BOCZ.Z/ŻEB.SZER.B/SK KL.E CH KOREA</v>
          </cell>
        </row>
        <row r="7345">
          <cell r="C7345">
            <v>4006746</v>
          </cell>
          <cell r="D7345" t="str">
            <v>***BOCZEK Z ŻEB.B/SKÓRY KLE MRŻ EXPKOREA</v>
          </cell>
        </row>
        <row r="7346">
          <cell r="C7346">
            <v>3008070</v>
          </cell>
          <cell r="D7346" t="str">
            <v>***BOCZ.Z/ŻE.SZ.B/S KLE OK15KG KT DMRKOR</v>
          </cell>
        </row>
        <row r="7347">
          <cell r="C7347">
            <v>3014128</v>
          </cell>
          <cell r="D7347" t="str">
            <v>***BOCZ.Z ŻEB. B/SK KL.E LUZ KT RO</v>
          </cell>
        </row>
        <row r="7348">
          <cell r="C7348">
            <v>3009262</v>
          </cell>
          <cell r="D7348" t="str">
            <v>***BOCZ.Z/ŻEB.B/SK KL.E PL</v>
          </cell>
        </row>
        <row r="7349">
          <cell r="C7349">
            <v>3009213</v>
          </cell>
          <cell r="D7349" t="str">
            <v>***BOCZ.Z/ŻEB.B/SK. UŚR</v>
          </cell>
        </row>
        <row r="7350">
          <cell r="C7350">
            <v>3004481</v>
          </cell>
          <cell r="D7350" t="str">
            <v>***BOCZ.Z/ŻEB.SZER.B/SK KL.U CH KOREA</v>
          </cell>
        </row>
        <row r="7351">
          <cell r="C7351">
            <v>4006747</v>
          </cell>
          <cell r="D7351" t="str">
            <v>***BOC Z ŻEB. B/SKÓRY KL.U MRŻ EXP KOREA</v>
          </cell>
        </row>
        <row r="7352">
          <cell r="C7352">
            <v>3008071</v>
          </cell>
          <cell r="D7352" t="str">
            <v>***BOCZ.Z/ŻE.SZ.B/SKL.UOK.15KGKT DMR KOR</v>
          </cell>
        </row>
        <row r="7353">
          <cell r="C7353">
            <v>3010588</v>
          </cell>
          <cell r="D7353" t="str">
            <v>***BOCZ.Z ŻEB. B/SK KL.U EXP KOREA RO</v>
          </cell>
        </row>
        <row r="7354">
          <cell r="C7354">
            <v>3009264</v>
          </cell>
          <cell r="D7354" t="str">
            <v>***BOCZ.Z/ŻEB.B/SK KL.U PL</v>
          </cell>
        </row>
        <row r="7355">
          <cell r="C7355">
            <v>3009297</v>
          </cell>
          <cell r="D7355" t="str">
            <v>***BOCZ.Z/ŻEB.B/SK. PL UŚR</v>
          </cell>
        </row>
        <row r="7356">
          <cell r="C7356">
            <v>3012141</v>
          </cell>
          <cell r="D7356" t="str">
            <v>***MŚ.ZRAZOWA DOLNA B/LIGAWY N/ODBRKLSCH</v>
          </cell>
        </row>
        <row r="7357">
          <cell r="C7357">
            <v>3012142</v>
          </cell>
          <cell r="D7357" t="str">
            <v>***MŚ.ZRAZOWA DOLNA B/LIGAWY N/ODBRKLECH</v>
          </cell>
        </row>
        <row r="7358">
          <cell r="C7358">
            <v>3012143</v>
          </cell>
          <cell r="D7358" t="str">
            <v>***MŚ.ZRAZOWA DOLNA B/LIGAWY N/ODBRKLUCH</v>
          </cell>
        </row>
        <row r="7359">
          <cell r="C7359">
            <v>3028561</v>
          </cell>
          <cell r="D7359" t="str">
            <v>***PLBOCZ.A BLAT.SZER.B/S.Z/PACH/MŚ.SCH.</v>
          </cell>
        </row>
        <row r="7360">
          <cell r="C7360">
            <v>4018951</v>
          </cell>
          <cell r="D7360" t="str">
            <v>***PLBOCZ.ABLAT.SZER.B/S.Z/P/M.SCHOK15KG</v>
          </cell>
        </row>
        <row r="7361">
          <cell r="C7361">
            <v>3028162</v>
          </cell>
          <cell r="D7361" t="str">
            <v>PL BOCZ.BL.A B/S/CZP.MC.30X52 CH</v>
          </cell>
        </row>
        <row r="7362">
          <cell r="C7362">
            <v>3029001</v>
          </cell>
          <cell r="D7362" t="str">
            <v>***PL BOCZ.A BLAT.B/S.30X52 PBX CH ST</v>
          </cell>
        </row>
        <row r="7363">
          <cell r="C7363">
            <v>3008072</v>
          </cell>
          <cell r="D7363" t="str">
            <v>***BOCZ.ŁUS.WĄSK.Z/SK.B/CHRZ KL.S CH</v>
          </cell>
        </row>
        <row r="7364">
          <cell r="C7364">
            <v>3008888</v>
          </cell>
          <cell r="D7364" t="str">
            <v>***BOCZ.ŁUS. B/SK KL.S CH</v>
          </cell>
        </row>
        <row r="7365">
          <cell r="C7365">
            <v>3012146</v>
          </cell>
          <cell r="D7365" t="str">
            <v>***MŚ.WP.ZRAZ.GÓR.B/SMUK.N/ODBR.KL.S CH</v>
          </cell>
        </row>
        <row r="7366">
          <cell r="C7366">
            <v>3012114</v>
          </cell>
          <cell r="D7366" t="str">
            <v>PL MŚ.PÓŁBŁ.CH1</v>
          </cell>
        </row>
        <row r="7367">
          <cell r="C7367">
            <v>3025040</v>
          </cell>
          <cell r="D7367" t="str">
            <v>PL MŚ.PÓŁBŁ.PBX1</v>
          </cell>
        </row>
        <row r="7368">
          <cell r="C7368">
            <v>4024684</v>
          </cell>
          <cell r="D7368" t="str">
            <v>PL MŚ.PÓŁBŁ.OK20KGWOR KT</v>
          </cell>
        </row>
        <row r="7369">
          <cell r="C7369">
            <v>4028848</v>
          </cell>
          <cell r="D7369" t="str">
            <v>PL MŚ.PÓŁBŁ.OK20KGWOR KT MR</v>
          </cell>
        </row>
        <row r="7370">
          <cell r="C7370">
            <v>4031664</v>
          </cell>
          <cell r="D7370" t="str">
            <v>PL MŚ.PÓŁBŁ.1STVAC OK5KGKT AUCH</v>
          </cell>
        </row>
        <row r="7371">
          <cell r="C7371">
            <v>3027003</v>
          </cell>
          <cell r="D7371" t="str">
            <v>PL MŚ.PÓŁBŁ.OK15KGWOR PJ ST</v>
          </cell>
        </row>
        <row r="7372">
          <cell r="C7372">
            <v>3012693</v>
          </cell>
          <cell r="D7372" t="str">
            <v>PL MŚ.PÓŁBŁ.BONDA OK15KGWOR PJ EŁ1</v>
          </cell>
        </row>
        <row r="7373">
          <cell r="C7373">
            <v>3012107</v>
          </cell>
          <cell r="D7373" t="str">
            <v>PL MŚ.PÓŁBŁ.OK20KG PB MR EŁ</v>
          </cell>
        </row>
        <row r="7374">
          <cell r="C7374">
            <v>3034802</v>
          </cell>
          <cell r="D7374" t="str">
            <v>PL MŚ.PÓŁBŁ.PBX SZ</v>
          </cell>
        </row>
        <row r="7375">
          <cell r="C7375">
            <v>3043817</v>
          </cell>
          <cell r="D7375" t="str">
            <v>PL MŚ.PÓŁBŁ.OK20KGWOR KT DMR</v>
          </cell>
        </row>
        <row r="7376">
          <cell r="C7376">
            <v>3032056</v>
          </cell>
          <cell r="D7376" t="str">
            <v>***PL MŚ.PÓŁBŁ.RO</v>
          </cell>
        </row>
        <row r="7377">
          <cell r="C7377">
            <v>3020360</v>
          </cell>
          <cell r="D7377" t="str">
            <v>PL MŚ.PÓŁBŁ.CH2</v>
          </cell>
        </row>
        <row r="7378">
          <cell r="C7378">
            <v>3025300</v>
          </cell>
          <cell r="D7378" t="str">
            <v>PL MŚ.PÓŁBŁ.PBX2</v>
          </cell>
        </row>
        <row r="7379">
          <cell r="C7379">
            <v>3017506</v>
          </cell>
          <cell r="D7379" t="str">
            <v>EU MŚ.PÓŁBŁ.CH1</v>
          </cell>
        </row>
        <row r="7380">
          <cell r="C7380">
            <v>3025041</v>
          </cell>
          <cell r="D7380" t="str">
            <v>EU MŚ.PÓŁBŁ.PBX1</v>
          </cell>
        </row>
        <row r="7381">
          <cell r="C7381">
            <v>3044734</v>
          </cell>
          <cell r="D7381" t="str">
            <v>EU MŚ.PÓŁBŁ.OK15KGWOR PJ ST</v>
          </cell>
        </row>
        <row r="7382">
          <cell r="C7382">
            <v>3017504</v>
          </cell>
          <cell r="D7382" t="str">
            <v>EU MŚ.PÓŁBŁ.N/ODBŁ.OK20KG PB MR EŁ</v>
          </cell>
        </row>
        <row r="7383">
          <cell r="C7383">
            <v>3020361</v>
          </cell>
          <cell r="D7383" t="str">
            <v>EU MŚ.PÓŁBŁ.CH2</v>
          </cell>
        </row>
        <row r="7384">
          <cell r="C7384">
            <v>3025301</v>
          </cell>
          <cell r="D7384" t="str">
            <v>EU MŚ.PÓŁBŁ.PBX2</v>
          </cell>
        </row>
        <row r="7385">
          <cell r="C7385">
            <v>3038907</v>
          </cell>
          <cell r="D7385" t="str">
            <v>PP MŚ.PÓŁBŁ.CH</v>
          </cell>
        </row>
        <row r="7386">
          <cell r="C7386">
            <v>3039055</v>
          </cell>
          <cell r="D7386" t="str">
            <v>PP MŚ.PÓŁBŁ.PBX ST1</v>
          </cell>
        </row>
        <row r="7387">
          <cell r="C7387">
            <v>3039306</v>
          </cell>
          <cell r="D7387" t="str">
            <v>PP MŚ.PÓŁBŁ.OK15KGWOR PJ ST</v>
          </cell>
        </row>
        <row r="7388">
          <cell r="C7388">
            <v>3039070</v>
          </cell>
          <cell r="D7388" t="str">
            <v>PP MŚ.PÓŁBŁ.PBX ST2</v>
          </cell>
        </row>
        <row r="7389">
          <cell r="C7389">
            <v>3036770</v>
          </cell>
          <cell r="D7389" t="str">
            <v>MŚ.PÓŁBŁ.ROZP1</v>
          </cell>
        </row>
        <row r="7390">
          <cell r="C7390">
            <v>3036771</v>
          </cell>
          <cell r="D7390" t="str">
            <v>MŚ.PÓŁBŁ.ROZP2</v>
          </cell>
        </row>
        <row r="7391">
          <cell r="C7391">
            <v>3012113</v>
          </cell>
          <cell r="D7391" t="str">
            <v>***MŚ.WP.ZRAZOWA GÓR.B/SMUK.N/ODBR.KLUCH</v>
          </cell>
        </row>
        <row r="7392">
          <cell r="C7392">
            <v>3026112</v>
          </cell>
          <cell r="D7392" t="str">
            <v>PL BOCZ.A B/CZP.CH</v>
          </cell>
        </row>
        <row r="7393">
          <cell r="C7393">
            <v>4017382</v>
          </cell>
          <cell r="D7393" t="str">
            <v>***PL BOCZ.A Z/Ż/SK.B/CZ.PACH.OK15KGKTMR</v>
          </cell>
        </row>
        <row r="7394">
          <cell r="C7394">
            <v>3026115</v>
          </cell>
          <cell r="D7394" t="str">
            <v>PL BOCZ.A Z/Ż/SK.B/CZ.PACH.OK15KG KT DMR</v>
          </cell>
        </row>
        <row r="7395">
          <cell r="C7395">
            <v>3026113</v>
          </cell>
          <cell r="D7395" t="str">
            <v>EU BOCZ.A B/CZP.CH</v>
          </cell>
        </row>
        <row r="7396">
          <cell r="C7396">
            <v>4017383</v>
          </cell>
          <cell r="D7396" t="str">
            <v>***EU BOCZ.A Z/Ż/SK.B/CZ.PACH.OK15KGKTMR</v>
          </cell>
        </row>
        <row r="7397">
          <cell r="C7397">
            <v>3026116</v>
          </cell>
          <cell r="D7397" t="str">
            <v>EU BOCZ.A Z/Ż/SK.B/CZ.PACH.OK15KG KT DMR</v>
          </cell>
        </row>
        <row r="7398">
          <cell r="C7398">
            <v>3026986</v>
          </cell>
          <cell r="D7398" t="str">
            <v>PL MŚ.PÓŁBŁ.CIĘ.3CZ.CH</v>
          </cell>
        </row>
        <row r="7399">
          <cell r="C7399">
            <v>3029955</v>
          </cell>
          <cell r="D7399" t="str">
            <v>PL MŚ.PÓŁBŁ.CIĘ.3CZ.OK15KG NB MR</v>
          </cell>
        </row>
        <row r="7400">
          <cell r="C7400">
            <v>3027011</v>
          </cell>
          <cell r="D7400" t="str">
            <v>PL MŚ.PÓŁBŁ.CIĘ.3CZ.PBX1</v>
          </cell>
        </row>
        <row r="7401">
          <cell r="C7401">
            <v>3029956</v>
          </cell>
          <cell r="D7401" t="str">
            <v>PL MŚ.PÓŁBŁ.CIĘ.3CZ.OK15KG NB DMR</v>
          </cell>
        </row>
        <row r="7402">
          <cell r="C7402">
            <v>3030111</v>
          </cell>
          <cell r="D7402" t="str">
            <v>MŚ.PÓŁBŁ.CIĘ.3CZ.RO1</v>
          </cell>
        </row>
        <row r="7403">
          <cell r="C7403">
            <v>3030115</v>
          </cell>
          <cell r="D7403" t="str">
            <v>MŚ.PÓŁBŁ.CIĘ.3CZ.RO2</v>
          </cell>
        </row>
        <row r="7404">
          <cell r="C7404">
            <v>3027068</v>
          </cell>
          <cell r="D7404" t="str">
            <v>PL MŚ.PÓŁBŁ.CIĘ.3CZ.PBX2</v>
          </cell>
        </row>
        <row r="7405">
          <cell r="C7405">
            <v>3026987</v>
          </cell>
          <cell r="D7405" t="str">
            <v>EU MŚ.PÓŁBŁ.CIĘ.3CZ.CH</v>
          </cell>
        </row>
        <row r="7406">
          <cell r="C7406">
            <v>3027012</v>
          </cell>
          <cell r="D7406" t="str">
            <v>***EUMŚPÓŁBŁB/M.SMUK.N/ODBŁCIĘ3CZ.PBXCH1</v>
          </cell>
        </row>
        <row r="7407">
          <cell r="C7407">
            <v>3027067</v>
          </cell>
          <cell r="D7407" t="str">
            <v>***EUMŚPÓŁBŁB/M.SMUK.N/ODBŁCIĘ3CZ.PBXCH2</v>
          </cell>
        </row>
        <row r="7408">
          <cell r="C7408">
            <v>3040994</v>
          </cell>
          <cell r="D7408" t="str">
            <v>PP MŚ.PÓŁBŁ.CIĘ.3CZ.CH</v>
          </cell>
        </row>
        <row r="7409">
          <cell r="C7409">
            <v>3040995</v>
          </cell>
          <cell r="D7409" t="str">
            <v>PP MŚ.PÓŁBŁ.CIĘ.3CZ.PBX1</v>
          </cell>
        </row>
        <row r="7410">
          <cell r="C7410">
            <v>3040996</v>
          </cell>
          <cell r="D7410" t="str">
            <v>PP MŚ.PÓŁBŁ.CIĘ.3CZ.PBX2</v>
          </cell>
        </row>
        <row r="7411">
          <cell r="C7411">
            <v>3027253</v>
          </cell>
          <cell r="D7411" t="str">
            <v>PL BOCZ.BL.A B/S.MC.34CM CH</v>
          </cell>
        </row>
        <row r="7412">
          <cell r="C7412">
            <v>3027254</v>
          </cell>
          <cell r="D7412" t="str">
            <v>EU BOCZ.BL.A B/S.MC.34CM CH</v>
          </cell>
        </row>
        <row r="7413">
          <cell r="C7413">
            <v>3027256</v>
          </cell>
          <cell r="D7413" t="str">
            <v>PL BOCZ.BL.B B/S.MC.34CM CH</v>
          </cell>
        </row>
        <row r="7414">
          <cell r="C7414">
            <v>3027255</v>
          </cell>
          <cell r="D7414" t="str">
            <v>EU BOCZ.BL.B B/S.MC.34CM CH</v>
          </cell>
        </row>
        <row r="7415">
          <cell r="C7415">
            <v>3027257</v>
          </cell>
          <cell r="D7415" t="str">
            <v>PL BOCZ.BL.C B/S.MC.34CM CH</v>
          </cell>
        </row>
        <row r="7416">
          <cell r="C7416">
            <v>3027258</v>
          </cell>
          <cell r="D7416" t="str">
            <v>EU BOCZ.BL.C B/S.MC.34CM CH</v>
          </cell>
        </row>
        <row r="7417">
          <cell r="C7417">
            <v>3027259</v>
          </cell>
          <cell r="D7417" t="str">
            <v>PL BOCZ.BL.ABC B/S.MC.34CM USR</v>
          </cell>
        </row>
        <row r="7418">
          <cell r="C7418">
            <v>4018141</v>
          </cell>
          <cell r="D7418" t="str">
            <v>***PLBOCZ.BL.ABCB/S.MC.34CMOK20KGFKTMREX</v>
          </cell>
        </row>
        <row r="7419">
          <cell r="C7419">
            <v>4019293</v>
          </cell>
          <cell r="D7419" t="str">
            <v>***PLBOCZABCBLAT.B/S.Z/P/M.SCH34CMKTMREX</v>
          </cell>
        </row>
        <row r="7420">
          <cell r="C7420">
            <v>3027291</v>
          </cell>
          <cell r="D7420" t="str">
            <v>PL BOCZ.BL.ABC B/S.MC.34CM OK20KGF KTDMR</v>
          </cell>
        </row>
        <row r="7421">
          <cell r="C7421">
            <v>3029143</v>
          </cell>
          <cell r="D7421" t="str">
            <v>***PLBOCZ.ABCBLAT.B/S.Z/P/M.SCH34CMKTDMR</v>
          </cell>
        </row>
        <row r="7422">
          <cell r="C7422">
            <v>3027290</v>
          </cell>
          <cell r="D7422" t="str">
            <v>EU BOCZ.BL.ABC B/S.MC.34CM USR</v>
          </cell>
        </row>
        <row r="7423">
          <cell r="C7423">
            <v>4018140</v>
          </cell>
          <cell r="D7423" t="str">
            <v>***EUBOCZABCBLAT.B/S.Z/P/M.SCH34CMKTMREX</v>
          </cell>
        </row>
        <row r="7424">
          <cell r="C7424">
            <v>3027292</v>
          </cell>
          <cell r="D7424" t="str">
            <v>EU BOCZ.ABC BLAT.B/S.Z/P/M.SCH.34CMKTDMR</v>
          </cell>
        </row>
        <row r="7425">
          <cell r="C7425">
            <v>3024748</v>
          </cell>
          <cell r="D7425" t="str">
            <v>***PL BOCZ.BL.B CH</v>
          </cell>
        </row>
        <row r="7426">
          <cell r="C7426">
            <v>4017797</v>
          </cell>
          <cell r="D7426" t="str">
            <v>***PL BOCZ.BL.B OK20KGFOL KT MR EX</v>
          </cell>
        </row>
        <row r="7427">
          <cell r="C7427">
            <v>4027250</v>
          </cell>
          <cell r="D7427" t="str">
            <v>***PL BOCZ.BL.B OK20KGWOR PJ EX</v>
          </cell>
        </row>
        <row r="7428">
          <cell r="C7428">
            <v>4026023</v>
          </cell>
          <cell r="D7428" t="str">
            <v>***PL BOCZ.BL.B OK500KG OKT</v>
          </cell>
        </row>
        <row r="7429">
          <cell r="C7429">
            <v>3026823</v>
          </cell>
          <cell r="D7429" t="str">
            <v>***PL BOCZ.BL.B OK20KGFOL KT DMR</v>
          </cell>
        </row>
        <row r="7430">
          <cell r="C7430">
            <v>3026696</v>
          </cell>
          <cell r="D7430" t="str">
            <v>***PL BOCZ.A B/Ż/SK/PACH.PORCJA</v>
          </cell>
        </row>
        <row r="7431">
          <cell r="C7431">
            <v>4017695</v>
          </cell>
          <cell r="D7431" t="str">
            <v>***PLBOCZ.A B/Ż/S/P.POKR1.5VACOK15KTMR</v>
          </cell>
        </row>
        <row r="7432">
          <cell r="C7432">
            <v>3026619</v>
          </cell>
          <cell r="D7432" t="str">
            <v>***PLBOCZ.A B/Ż/S/P.POKR1.5VACOK15KTDMR</v>
          </cell>
        </row>
        <row r="7433">
          <cell r="C7433">
            <v>3008825</v>
          </cell>
          <cell r="D7433" t="str">
            <v>***ELEM.BOCZ.MARYNATA KL.S</v>
          </cell>
        </row>
        <row r="7434">
          <cell r="C7434">
            <v>3008826</v>
          </cell>
          <cell r="D7434" t="str">
            <v>***ELEM.BOCZ.A KLASYCZNY</v>
          </cell>
        </row>
        <row r="7435">
          <cell r="C7435">
            <v>3027988</v>
          </cell>
          <cell r="D7435" t="str">
            <v>***PL BOCZ.BL.A CH</v>
          </cell>
        </row>
        <row r="7436">
          <cell r="C7436">
            <v>3008827</v>
          </cell>
          <cell r="D7436" t="str">
            <v>***BOCZ.ŁUS.SZER.B/SK/CHRZ JAPONIA</v>
          </cell>
        </row>
        <row r="7437">
          <cell r="C7437">
            <v>4001857</v>
          </cell>
          <cell r="D7437" t="str">
            <v>***PL BOCZ.ŁUS.B/SK.MR JP</v>
          </cell>
        </row>
        <row r="7438">
          <cell r="C7438">
            <v>4010671</v>
          </cell>
          <cell r="D7438" t="str">
            <v>***PLBOCZ.ŁUS.SZER.B/SK/CHRZ.VACKTMR EX</v>
          </cell>
        </row>
        <row r="7439">
          <cell r="C7439">
            <v>3009128</v>
          </cell>
          <cell r="D7439" t="str">
            <v>***BOCZ.ŁUSK.B/S JAPONIA DMR</v>
          </cell>
        </row>
        <row r="7440">
          <cell r="C7440">
            <v>3014510</v>
          </cell>
          <cell r="D7440" t="str">
            <v>***BOCZ.ŁUSK.B/SK/CHRZ. VAC KT DMR EX</v>
          </cell>
        </row>
        <row r="7441">
          <cell r="C7441">
            <v>4011479</v>
          </cell>
          <cell r="D7441" t="str">
            <v>***EU BOCZ.ŁUS.B/SK.MR JP</v>
          </cell>
        </row>
        <row r="7442">
          <cell r="C7442">
            <v>4012067</v>
          </cell>
          <cell r="D7442" t="str">
            <v>***EUBOCZŁUS.SZER.B/SK/CHRZ.VAC KT MR EX</v>
          </cell>
        </row>
        <row r="7443">
          <cell r="C7443">
            <v>3015947</v>
          </cell>
          <cell r="D7443" t="str">
            <v>PL BOCZ.A ŁUS.B/SK/CH.CH JP</v>
          </cell>
        </row>
        <row r="7444">
          <cell r="C7444">
            <v>3017780</v>
          </cell>
          <cell r="D7444" t="str">
            <v>EU BOCZ.A ŁUS.B/SK/CH.CH JP</v>
          </cell>
        </row>
        <row r="7445">
          <cell r="C7445">
            <v>3028040</v>
          </cell>
          <cell r="D7445" t="str">
            <v>***PL BOCZ.BL.AB USR</v>
          </cell>
        </row>
        <row r="7446">
          <cell r="C7446">
            <v>3008828</v>
          </cell>
          <cell r="D7446" t="str">
            <v>***BOCZ.A BLAT.WĄS.B/S.</v>
          </cell>
        </row>
        <row r="7447">
          <cell r="C7447">
            <v>4007594</v>
          </cell>
          <cell r="D7447" t="str">
            <v>***PL BOCZ.A BLAT.B/SK.MR CN</v>
          </cell>
        </row>
        <row r="7448">
          <cell r="C7448">
            <v>3008073</v>
          </cell>
          <cell r="D7448" t="str">
            <v>***PL BOCZ.A BLAT.WĄS.B/S.10KGKT DMR CN</v>
          </cell>
        </row>
        <row r="7449">
          <cell r="C7449">
            <v>3009090</v>
          </cell>
          <cell r="D7449" t="str">
            <v>***BOCZ.BLAT.WĄS.B/SK PL</v>
          </cell>
        </row>
        <row r="7450">
          <cell r="C7450">
            <v>4011752</v>
          </cell>
          <cell r="D7450" t="str">
            <v>***EU BOCZ.A BLAT.B/SK.MR CN</v>
          </cell>
        </row>
        <row r="7451">
          <cell r="C7451">
            <v>3017416</v>
          </cell>
          <cell r="D7451" t="str">
            <v>***EU BOCZ.A BLAT.WĄS.B/SK.10KGKT DMR CN</v>
          </cell>
        </row>
        <row r="7452">
          <cell r="C7452">
            <v>3009091</v>
          </cell>
          <cell r="D7452" t="str">
            <v>***BOCZ.BLAT.WĄS.B/SK. PL UŚR</v>
          </cell>
        </row>
        <row r="7453">
          <cell r="C7453">
            <v>3015936</v>
          </cell>
          <cell r="D7453" t="str">
            <v>PL BOCZ.BL.A B/S/P.CH</v>
          </cell>
        </row>
        <row r="7454">
          <cell r="C7454">
            <v>3025042</v>
          </cell>
          <cell r="D7454" t="str">
            <v>PL BOCZ.BL.A B/S/P.PBX1</v>
          </cell>
        </row>
        <row r="7455">
          <cell r="C7455">
            <v>4011421</v>
          </cell>
          <cell r="D7455" t="str">
            <v>***PL BOCZ.A BLAT.WĄS.B/SK.PB MR EX</v>
          </cell>
        </row>
        <row r="7456">
          <cell r="C7456">
            <v>4012605</v>
          </cell>
          <cell r="D7456" t="str">
            <v>PL BOCZ.BL.A B/S/P.OK15KGWOR KT</v>
          </cell>
        </row>
        <row r="7457">
          <cell r="C7457">
            <v>4015260</v>
          </cell>
          <cell r="D7457" t="str">
            <v>PL BOCZ.BL.A B/S/P.1STFOL 4-5STKT MR NZ</v>
          </cell>
        </row>
        <row r="7458">
          <cell r="C7458">
            <v>4013652</v>
          </cell>
          <cell r="D7458" t="str">
            <v>***PLBOCZ.A BLAT.B/S.OK1KGVACOK4KGKTBIED</v>
          </cell>
        </row>
        <row r="7459">
          <cell r="C7459">
            <v>4012708</v>
          </cell>
          <cell r="D7459" t="str">
            <v>***PLBOCZ.A BLAT.WĄS.B/SK.1STTRMOK12KGKT</v>
          </cell>
        </row>
        <row r="7460">
          <cell r="C7460">
            <v>4012804</v>
          </cell>
          <cell r="D7460" t="str">
            <v>***PL BOCZ.A BLAT.WĄS.B/S.1STTRMOK10KGKT</v>
          </cell>
        </row>
        <row r="7461">
          <cell r="C7461">
            <v>4012325</v>
          </cell>
          <cell r="D7461" t="str">
            <v>***PL BOCZ.A BLAT.WĄS.B/SK.LUZ WOR PJEX</v>
          </cell>
        </row>
        <row r="7462">
          <cell r="C7462">
            <v>3040500</v>
          </cell>
          <cell r="D7462" t="str">
            <v>PL BOCZ.BL.A B/S/P.PBX ST</v>
          </cell>
        </row>
        <row r="7463">
          <cell r="C7463">
            <v>3017268</v>
          </cell>
          <cell r="D7463" t="str">
            <v>***PL BOCZ.A BLAT.WĄS.B/SK.PB DMR</v>
          </cell>
        </row>
        <row r="7464">
          <cell r="C7464">
            <v>3022499</v>
          </cell>
          <cell r="D7464" t="str">
            <v>PL BOCZ.BL.A B/S/P.1STFOL 4-5STKT DMR NZ</v>
          </cell>
        </row>
        <row r="7465">
          <cell r="C7465">
            <v>3026700</v>
          </cell>
          <cell r="D7465" t="str">
            <v>***PLBOCZA B/Ż1811AACIĘOK1.5VACOK15KTDMR</v>
          </cell>
        </row>
        <row r="7466">
          <cell r="C7466">
            <v>3025302</v>
          </cell>
          <cell r="D7466" t="str">
            <v>PL BOCZ.BL.A B/S/P.PBX2</v>
          </cell>
        </row>
        <row r="7467">
          <cell r="C7467">
            <v>3017772</v>
          </cell>
          <cell r="D7467" t="str">
            <v>EU BOCZ.BL.A B/S/P.CH</v>
          </cell>
        </row>
        <row r="7468">
          <cell r="C7468">
            <v>3025043</v>
          </cell>
          <cell r="D7468" t="str">
            <v>***EU BOCZ.A BLAT.B/SK.PBX CH JP1</v>
          </cell>
        </row>
        <row r="7469">
          <cell r="C7469">
            <v>4011430</v>
          </cell>
          <cell r="D7469" t="str">
            <v>***EU BOCZ.A BLAT.WĄS.B/SK.PB MR EX</v>
          </cell>
        </row>
        <row r="7470">
          <cell r="C7470">
            <v>4012709</v>
          </cell>
          <cell r="D7470" t="str">
            <v>***EUBOCZ.A BLAT.WĄS.B/SK.1STTRMOK12KGKT</v>
          </cell>
        </row>
        <row r="7471">
          <cell r="C7471">
            <v>4012805</v>
          </cell>
          <cell r="D7471" t="str">
            <v>***EU BOCZ.A BLAT.WĄS.B/S.1STTRMOK10KGKT</v>
          </cell>
        </row>
        <row r="7472">
          <cell r="C7472">
            <v>4012324</v>
          </cell>
          <cell r="D7472" t="str">
            <v>***EU BOCZ.A BLAT.WĄS.B/S.CH LUZWORPJ EX</v>
          </cell>
        </row>
        <row r="7473">
          <cell r="C7473">
            <v>3017296</v>
          </cell>
          <cell r="D7473" t="str">
            <v>***EU BOCZ.A BLAT.WĄS.B/SK.PB DMR</v>
          </cell>
        </row>
        <row r="7474">
          <cell r="C7474">
            <v>3025303</v>
          </cell>
          <cell r="D7474" t="str">
            <v>***EU BOCZ.A BLAT.B/SK.PBX CH JP2</v>
          </cell>
        </row>
        <row r="7475">
          <cell r="C7475">
            <v>3008842</v>
          </cell>
          <cell r="D7475" t="str">
            <v>***BOCZ.BLAT.WĄSKI B/SK KL.U CH JAPONIA</v>
          </cell>
        </row>
        <row r="7476">
          <cell r="C7476">
            <v>3009106</v>
          </cell>
          <cell r="D7476" t="str">
            <v>***BOCZ.BLAT.WĄS.B/SK. KL.U PL</v>
          </cell>
        </row>
        <row r="7477">
          <cell r="C7477">
            <v>3008074</v>
          </cell>
          <cell r="D7477" t="str">
            <v>ŁOP.B/K/SK.Z/TŁ 1313 CH</v>
          </cell>
        </row>
        <row r="7478">
          <cell r="C7478">
            <v>3008075</v>
          </cell>
          <cell r="D7478" t="str">
            <v>***ŁOP.B/K/SK.Z/TŁ 1313 NB MR</v>
          </cell>
        </row>
        <row r="7479">
          <cell r="C7479">
            <v>4007537</v>
          </cell>
          <cell r="D7479" t="str">
            <v>PL ŁOP.3D OK15KGWOR KT</v>
          </cell>
        </row>
        <row r="7480">
          <cell r="C7480">
            <v>4028000</v>
          </cell>
          <cell r="D7480" t="str">
            <v>PL ŁOP.3D 1STVAC OK20KGLUZ KT EX</v>
          </cell>
        </row>
        <row r="7481">
          <cell r="C7481">
            <v>4007760</v>
          </cell>
          <cell r="D7481" t="str">
            <v>***PL ŁOP.WP.B/K.1313 1STVAC OK15KGKT</v>
          </cell>
        </row>
        <row r="7482">
          <cell r="C7482">
            <v>4008824</v>
          </cell>
          <cell r="D7482" t="str">
            <v>PL ŁOP.3D 1STVAC OK18KGPJ</v>
          </cell>
        </row>
        <row r="7483">
          <cell r="C7483">
            <v>4015413</v>
          </cell>
          <cell r="D7483" t="str">
            <v>***PL ŁOP.WP.B/K.1313 1STVACOK10KGKT SEL</v>
          </cell>
        </row>
        <row r="7484">
          <cell r="C7484">
            <v>4030521</v>
          </cell>
          <cell r="D7484" t="str">
            <v>PL ŁOP.3D 1STVAC OK20KGKT MET CZ</v>
          </cell>
        </row>
        <row r="7485">
          <cell r="C7485">
            <v>4010129</v>
          </cell>
          <cell r="D7485" t="str">
            <v>***PL ŁOP.B/K.1313 1ST VAC OK15KG PJ CH</v>
          </cell>
        </row>
        <row r="7486">
          <cell r="C7486">
            <v>4030478</v>
          </cell>
          <cell r="D7486" t="str">
            <v>PL ŁOP.3D 1STVAC 4STKT PREM.SEL</v>
          </cell>
        </row>
        <row r="7487">
          <cell r="C7487">
            <v>4019396</v>
          </cell>
          <cell r="D7487" t="str">
            <v>PL ŁOP.3D 1STVAC OK18KGKT SEL</v>
          </cell>
        </row>
        <row r="7488">
          <cell r="C7488">
            <v>4015344</v>
          </cell>
          <cell r="D7488" t="str">
            <v>***PL ŁOP.B/K.3D PROMOCJA MAX.21KG PJ</v>
          </cell>
        </row>
        <row r="7489">
          <cell r="C7489">
            <v>3008076</v>
          </cell>
          <cell r="D7489" t="str">
            <v>***ŁOP.B/K/SK.Z/TŁ 1313 NB DMR</v>
          </cell>
        </row>
        <row r="7490">
          <cell r="C7490">
            <v>3008077</v>
          </cell>
          <cell r="D7490" t="str">
            <v>***ŁOP.B/K/SK.Z/TŁ 1313 NB RO</v>
          </cell>
        </row>
        <row r="7491">
          <cell r="C7491">
            <v>4011743</v>
          </cell>
          <cell r="D7491" t="str">
            <v>***EU ŁOP.B/K.1313 LUZ KT CH</v>
          </cell>
        </row>
        <row r="7492">
          <cell r="C7492">
            <v>4011754</v>
          </cell>
          <cell r="D7492" t="str">
            <v>EU ŁOP.3D 1STVAC OK20KGKT</v>
          </cell>
        </row>
        <row r="7493">
          <cell r="C7493">
            <v>4011850</v>
          </cell>
          <cell r="D7493" t="str">
            <v>EU ŁOP.3D 1STVAC OK18KGPJ</v>
          </cell>
        </row>
        <row r="7494">
          <cell r="C7494">
            <v>4012029</v>
          </cell>
          <cell r="D7494" t="str">
            <v>***EU ŁOP.B/K.1313 1ST VAC OK15KG PJ CH</v>
          </cell>
        </row>
        <row r="7495">
          <cell r="C7495">
            <v>4015347</v>
          </cell>
          <cell r="D7495" t="str">
            <v>***EU ŁOP.B/K.3D PROMOCJA MAX.21KG PJ</v>
          </cell>
        </row>
        <row r="7496">
          <cell r="C7496">
            <v>3008078</v>
          </cell>
          <cell r="D7496" t="str">
            <v>***ŁOP.B/K/SK.Z/TŁ 1313 KL.S CH</v>
          </cell>
        </row>
        <row r="7497">
          <cell r="C7497">
            <v>3008079</v>
          </cell>
          <cell r="D7497" t="str">
            <v>***ŁOP.B/K/SK.Z/TŁ 1313 KL.S NB MR</v>
          </cell>
        </row>
        <row r="7498">
          <cell r="C7498">
            <v>3008080</v>
          </cell>
          <cell r="D7498" t="str">
            <v>***ŁOP.B/K/SK.Z/TŁ 1313 KL.S NB DMR</v>
          </cell>
        </row>
        <row r="7499">
          <cell r="C7499">
            <v>3008081</v>
          </cell>
          <cell r="D7499" t="str">
            <v>***PL ŁOP.B/K/SK.Z/TŁ.1313 CH1</v>
          </cell>
        </row>
        <row r="7500">
          <cell r="C7500">
            <v>3008082</v>
          </cell>
          <cell r="D7500" t="str">
            <v>ŁOP.B/K/SK.Z/TŁ.1313 KL.E NB MR</v>
          </cell>
        </row>
        <row r="7501">
          <cell r="C7501">
            <v>3015185</v>
          </cell>
          <cell r="D7501" t="str">
            <v>PL ŁOP.3D OK15KG PJ EŁ1</v>
          </cell>
        </row>
        <row r="7502">
          <cell r="C7502">
            <v>3008083</v>
          </cell>
          <cell r="D7502" t="str">
            <v>***ŁOP.B/K/SK.Z/TŁ.1313 KL.E NB DMR</v>
          </cell>
        </row>
        <row r="7503">
          <cell r="C7503">
            <v>3020879</v>
          </cell>
          <cell r="D7503" t="str">
            <v>***PL ŁOP.B/K/SK.Z/TŁ.1313 CH2</v>
          </cell>
        </row>
        <row r="7504">
          <cell r="C7504">
            <v>3017417</v>
          </cell>
          <cell r="D7504" t="str">
            <v>***EU ŁOP.B/K/SK.Z/TŁ.1313 CH1</v>
          </cell>
        </row>
        <row r="7505">
          <cell r="C7505">
            <v>3020880</v>
          </cell>
          <cell r="D7505" t="str">
            <v>***EU ŁOP.B/K/SK.Z/TŁ.1313 CH2</v>
          </cell>
        </row>
        <row r="7506">
          <cell r="C7506">
            <v>3008084</v>
          </cell>
          <cell r="D7506" t="str">
            <v>***ŁOP.B/K/SK.Z/TŁ 1313 KL.U CH</v>
          </cell>
        </row>
        <row r="7507">
          <cell r="C7507">
            <v>3008085</v>
          </cell>
          <cell r="D7507" t="str">
            <v>***ŁOP.B/K/SK.Z/TŁ 1313 KL.U NB MR</v>
          </cell>
        </row>
        <row r="7508">
          <cell r="C7508">
            <v>3008086</v>
          </cell>
          <cell r="D7508" t="str">
            <v>***ŁOP.B/K/SK.Z/TŁ 1313 KL.U NB DMR</v>
          </cell>
        </row>
        <row r="7509">
          <cell r="C7509">
            <v>3008087</v>
          </cell>
          <cell r="D7509" t="str">
            <v>KARK.B/K.Z/KOR/WAR 1320 CH</v>
          </cell>
        </row>
        <row r="7510">
          <cell r="C7510">
            <v>3008088</v>
          </cell>
          <cell r="D7510" t="str">
            <v>***KARK.B/K.Z/KOR/WAR 1320 NB MR ST</v>
          </cell>
        </row>
        <row r="7511">
          <cell r="C7511">
            <v>4007538</v>
          </cell>
          <cell r="D7511" t="str">
            <v>PL KARK.B/K.Z/KOR/W.OK.15KGWOR KT</v>
          </cell>
        </row>
        <row r="7512">
          <cell r="C7512">
            <v>4010515</v>
          </cell>
          <cell r="D7512" t="str">
            <v>PL KARK.B/K.Z/KOR/WAR.1320OK15KG KT EX</v>
          </cell>
        </row>
        <row r="7513">
          <cell r="C7513">
            <v>4012221</v>
          </cell>
          <cell r="D7513" t="str">
            <v>***PL KARK.B/K.Z/KOR/WAR.WOR OK15KGPJ EC</v>
          </cell>
        </row>
        <row r="7514">
          <cell r="C7514">
            <v>3033391</v>
          </cell>
          <cell r="D7514" t="str">
            <v>KARK.B/K.Z/KOR/WAR.OK20KG PB MR ST</v>
          </cell>
        </row>
        <row r="7515">
          <cell r="C7515">
            <v>4027519</v>
          </cell>
          <cell r="D7515" t="str">
            <v>PL KARK.B/K.1320 1STVAC OK15KGKT SEL</v>
          </cell>
        </row>
        <row r="7516">
          <cell r="C7516">
            <v>4007761</v>
          </cell>
          <cell r="D7516" t="str">
            <v>PL KARK.B/K.1STVAC OK18KGPJ</v>
          </cell>
        </row>
        <row r="7517">
          <cell r="C7517">
            <v>4009862</v>
          </cell>
          <cell r="D7517" t="str">
            <v>***PLKARK.B/K.Z/KOR/W1320VACOK15KGKTMRES</v>
          </cell>
        </row>
        <row r="7518">
          <cell r="C7518">
            <v>4015300</v>
          </cell>
          <cell r="D7518" t="str">
            <v>***PL KARK.B/K.1320 1STVAC OK10KGKT</v>
          </cell>
        </row>
        <row r="7519">
          <cell r="C7519">
            <v>4031670</v>
          </cell>
          <cell r="D7519" t="str">
            <v>PL KARK.B/K.Z/KOR.1STVAC OK10KGKT AUCH</v>
          </cell>
        </row>
        <row r="7520">
          <cell r="C7520">
            <v>4009896</v>
          </cell>
          <cell r="D7520" t="str">
            <v>***PL KARK.B/K.1STVAC OK15KGKT EX</v>
          </cell>
        </row>
        <row r="7521">
          <cell r="C7521">
            <v>4010130</v>
          </cell>
          <cell r="D7521" t="str">
            <v>***PL KARK.B/K.Z/KOR/WAR.1320 1STVAC PJ</v>
          </cell>
        </row>
        <row r="7522">
          <cell r="C7522">
            <v>4010774</v>
          </cell>
          <cell r="D7522" t="str">
            <v>***PLKAR.B/K.Z/KOR/WAR.1STTRMOK15KGPJECS</v>
          </cell>
        </row>
        <row r="7523">
          <cell r="C7523">
            <v>4017137</v>
          </cell>
          <cell r="D7523" t="str">
            <v>PL KARK.B/K.1320 1STVAC OK20KGKT MR EX</v>
          </cell>
        </row>
        <row r="7524">
          <cell r="C7524">
            <v>4017167</v>
          </cell>
          <cell r="D7524" t="str">
            <v>PL KARK.B/K.1STVAC 20KGKT EX</v>
          </cell>
        </row>
        <row r="7525">
          <cell r="C7525">
            <v>3011402</v>
          </cell>
          <cell r="D7525" t="str">
            <v>***KARK.B/K.Z/KOR/WAR. 1320 VAC MR ST</v>
          </cell>
        </row>
        <row r="7526">
          <cell r="C7526">
            <v>4015954</v>
          </cell>
          <cell r="D7526" t="str">
            <v>***PL KARK.B/K.1320 2STVACOK16KGKTMR USA</v>
          </cell>
        </row>
        <row r="7527">
          <cell r="C7527">
            <v>4016094</v>
          </cell>
          <cell r="D7527" t="str">
            <v>***PL KARK.B/K.1320 1STVACOK15KGKT MR EX</v>
          </cell>
        </row>
        <row r="7528">
          <cell r="C7528">
            <v>3012388</v>
          </cell>
          <cell r="D7528" t="str">
            <v>***KARK.WP.B/K.Z/KOR/WAR.1320 PJ ST</v>
          </cell>
        </row>
        <row r="7529">
          <cell r="C7529">
            <v>4013271</v>
          </cell>
          <cell r="D7529" t="str">
            <v>***PL KARK.B/K.Z/KOR/WAR.OK15KGWORPJ EX</v>
          </cell>
        </row>
        <row r="7530">
          <cell r="C7530">
            <v>4015246</v>
          </cell>
          <cell r="D7530" t="str">
            <v>***PL KARK.B/K.Z/KOR/WAR.MAX.21KG PJ</v>
          </cell>
        </row>
        <row r="7531">
          <cell r="C7531">
            <v>3033451</v>
          </cell>
          <cell r="D7531" t="str">
            <v>PL KARK.B/K.Z/KOR/WAR.OK20KGWOR PJ AF ST</v>
          </cell>
        </row>
        <row r="7532">
          <cell r="C7532">
            <v>3031769</v>
          </cell>
          <cell r="D7532" t="str">
            <v>PL KARK.B/K.Z/KOR/WAR.OK500KG PBX ST</v>
          </cell>
        </row>
        <row r="7533">
          <cell r="C7533">
            <v>3014716</v>
          </cell>
          <cell r="D7533" t="str">
            <v>***KARK.B/K.B/KOR ZAW KT MR JAP DO ST SZ</v>
          </cell>
        </row>
        <row r="7534">
          <cell r="C7534">
            <v>3011344</v>
          </cell>
          <cell r="D7534" t="str">
            <v>***KARK.B/K Z/KOR/CAŁ/WAR.2STVACMR EŁ PL</v>
          </cell>
        </row>
        <row r="7535">
          <cell r="C7535">
            <v>3014814</v>
          </cell>
          <cell r="D7535" t="str">
            <v>PL KARK.B/K.Z/KOR.1STVAC OK20KGKT MR EŁ</v>
          </cell>
        </row>
        <row r="7536">
          <cell r="C7536">
            <v>3010696</v>
          </cell>
          <cell r="D7536" t="str">
            <v>PL KARK.B/K.1320 OK15KGLUZ PJ SZ</v>
          </cell>
        </row>
        <row r="7537">
          <cell r="C7537">
            <v>3032426</v>
          </cell>
          <cell r="D7537" t="str">
            <v>***KARK.B/K.Z/KOR/WAR.OK500KG PBX K4 ZAK</v>
          </cell>
        </row>
        <row r="7538">
          <cell r="C7538">
            <v>3011815</v>
          </cell>
          <cell r="D7538" t="str">
            <v>PL KARK.B/K.Z/KOR/W.1STVAC OK20KGKT MREŁ</v>
          </cell>
        </row>
        <row r="7539">
          <cell r="C7539">
            <v>3010788</v>
          </cell>
          <cell r="D7539" t="str">
            <v>PL KARK.B/K.Z/KOR/W.OK20KG PB MR EŁ</v>
          </cell>
        </row>
        <row r="7540">
          <cell r="C7540">
            <v>3011997</v>
          </cell>
          <cell r="D7540" t="str">
            <v>PL KARK.B/K.1320 OK15KG PB MR SZ</v>
          </cell>
        </row>
        <row r="7541">
          <cell r="C7541">
            <v>3015085</v>
          </cell>
          <cell r="D7541" t="str">
            <v>PL KARK.B/K.Z/KOR/W.OK15KGWOR PJ EŁ1</v>
          </cell>
        </row>
        <row r="7542">
          <cell r="C7542">
            <v>3008089</v>
          </cell>
          <cell r="D7542" t="str">
            <v>***KARK.B/K.Z/KOR/WAR 1320 NB DMR</v>
          </cell>
        </row>
        <row r="7543">
          <cell r="C7543">
            <v>3033390</v>
          </cell>
          <cell r="D7543" t="str">
            <v>PL KARK.B/K.Z/KOR/WAR.OK20KG PB DMR</v>
          </cell>
        </row>
        <row r="7544">
          <cell r="C7544">
            <v>3012291</v>
          </cell>
          <cell r="D7544" t="str">
            <v>***PL KARK.B/K.Z/KOR/WAR.1320 VAC DMR ES</v>
          </cell>
        </row>
        <row r="7545">
          <cell r="C7545">
            <v>3024128</v>
          </cell>
          <cell r="D7545" t="str">
            <v>PL KARK.B/K.1320 1ST VAC OK20KGKT DMR EX</v>
          </cell>
        </row>
        <row r="7546">
          <cell r="C7546">
            <v>3011401</v>
          </cell>
          <cell r="D7546" t="str">
            <v>***PL KARK.B/K.Z/KOR/WAR.1320 VAC DMR</v>
          </cell>
        </row>
        <row r="7547">
          <cell r="C7547">
            <v>3024089</v>
          </cell>
          <cell r="D7547" t="str">
            <v>***PL KARK.B/K.1320 2STVACOK16KGKTDMRUSA</v>
          </cell>
        </row>
        <row r="7548">
          <cell r="C7548">
            <v>3024256</v>
          </cell>
          <cell r="D7548" t="str">
            <v>***PLKARK.B/K.Z/KOR/WAR.1320 1STVACDMREX</v>
          </cell>
        </row>
        <row r="7549">
          <cell r="C7549">
            <v>3008090</v>
          </cell>
          <cell r="D7549" t="str">
            <v>***KARK.B/K.Z/KOR/WAR 1320 NB RO1</v>
          </cell>
        </row>
        <row r="7550">
          <cell r="C7550">
            <v>3012100</v>
          </cell>
          <cell r="D7550" t="str">
            <v>***KARK.WP.B/K.1320 PB RO1</v>
          </cell>
        </row>
        <row r="7551">
          <cell r="C7551">
            <v>3011403</v>
          </cell>
          <cell r="D7551" t="str">
            <v>***KARK.B/K Z/KOR/WAR 1320 VAC RO1</v>
          </cell>
        </row>
        <row r="7552">
          <cell r="C7552">
            <v>3020362</v>
          </cell>
          <cell r="D7552" t="str">
            <v>***KARK.B/K.Z/KOR/WAR 1320 NB RO2</v>
          </cell>
        </row>
        <row r="7553">
          <cell r="C7553">
            <v>3020363</v>
          </cell>
          <cell r="D7553" t="str">
            <v>***KARK.WP.B/K.1320 PB RO2</v>
          </cell>
        </row>
        <row r="7554">
          <cell r="C7554">
            <v>3020364</v>
          </cell>
          <cell r="D7554" t="str">
            <v>***KARK.B/K Z/KOR/WAR 1320 VAC RO2</v>
          </cell>
        </row>
        <row r="7555">
          <cell r="C7555">
            <v>4011744</v>
          </cell>
          <cell r="D7555" t="str">
            <v>***EU KARK.B/K.1320 LUZ KT</v>
          </cell>
        </row>
        <row r="7556">
          <cell r="C7556">
            <v>4012040</v>
          </cell>
          <cell r="D7556" t="str">
            <v>***KARK.B/K.Z/KOR/WAR.1320 OK15KG KT EX</v>
          </cell>
        </row>
        <row r="7557">
          <cell r="C7557">
            <v>4012222</v>
          </cell>
          <cell r="D7557" t="str">
            <v>***EU KARK.B/K.Z/KOR/WAR.WOR OK15KGPJ EC</v>
          </cell>
        </row>
        <row r="7558">
          <cell r="C7558">
            <v>4011755</v>
          </cell>
          <cell r="D7558" t="str">
            <v>***EU KARK.B/K.1STVAC OK15KGKT</v>
          </cell>
        </row>
        <row r="7559">
          <cell r="C7559">
            <v>4011976</v>
          </cell>
          <cell r="D7559" t="str">
            <v>***EU KARK.B/K.Z/KOR/W1320VACOK15KGKTMRC</v>
          </cell>
        </row>
        <row r="7560">
          <cell r="C7560">
            <v>4015352</v>
          </cell>
          <cell r="D7560" t="str">
            <v>***EU KARK.B/K.1320 1STVAC OK10KGKT</v>
          </cell>
        </row>
        <row r="7561">
          <cell r="C7561">
            <v>4011988</v>
          </cell>
          <cell r="D7561" t="str">
            <v>***EU KARK.B/K.1STVAC OK15KGKT EX</v>
          </cell>
        </row>
        <row r="7562">
          <cell r="C7562">
            <v>4012030</v>
          </cell>
          <cell r="D7562" t="str">
            <v>***EU KARK.B/K.Z/KOR/WAR.1320 1STVAC PJ</v>
          </cell>
        </row>
        <row r="7563">
          <cell r="C7563">
            <v>4012103</v>
          </cell>
          <cell r="D7563" t="str">
            <v>***EUKAR.B/K.Z/KOR/WAR.1STTRMOK15KGPJECS</v>
          </cell>
        </row>
        <row r="7564">
          <cell r="C7564">
            <v>4016175</v>
          </cell>
          <cell r="D7564" t="str">
            <v>***U KARK.B/K.1320 1STVACOK15KGKT MR EX</v>
          </cell>
        </row>
        <row r="7565">
          <cell r="C7565">
            <v>4013272</v>
          </cell>
          <cell r="D7565" t="str">
            <v>***EU KARK.B/K.Z/KOR/WAR.OK15KGWOR PJ EX</v>
          </cell>
        </row>
        <row r="7566">
          <cell r="C7566">
            <v>3017515</v>
          </cell>
          <cell r="D7566" t="str">
            <v>***EU KARK.B/K.Z/KOR/WAR.1320 VACDMR CZ</v>
          </cell>
        </row>
        <row r="7567">
          <cell r="C7567">
            <v>3017475</v>
          </cell>
          <cell r="D7567" t="str">
            <v>***EU KARK.B/K.Z/KOR/WAR.1320 VAC DMR</v>
          </cell>
        </row>
        <row r="7568">
          <cell r="C7568">
            <v>3024417</v>
          </cell>
          <cell r="D7568" t="str">
            <v>***EUKARK.B/K.Z/KOR/WAR.1320 1STVACDMREX</v>
          </cell>
        </row>
        <row r="7569">
          <cell r="C7569">
            <v>3035458</v>
          </cell>
          <cell r="D7569" t="str">
            <v>PP KARK.B/K.Z/KOR/WAR.PBX ST</v>
          </cell>
        </row>
        <row r="7570">
          <cell r="C7570">
            <v>3039471</v>
          </cell>
          <cell r="D7570" t="str">
            <v>PP KARK.B/K.Z.KOR/TŁ.3MM OK20KG NB MR K4</v>
          </cell>
        </row>
        <row r="7571">
          <cell r="C7571">
            <v>3008091</v>
          </cell>
          <cell r="D7571" t="str">
            <v>***KARK.B/K.Z/KOR/WAR 1320 KL.S CH</v>
          </cell>
        </row>
        <row r="7572">
          <cell r="C7572">
            <v>3008092</v>
          </cell>
          <cell r="D7572" t="str">
            <v>***KARK.B/K.Z/KOR/WAR 1320 KL.S NB MR</v>
          </cell>
        </row>
        <row r="7573">
          <cell r="C7573">
            <v>3008093</v>
          </cell>
          <cell r="D7573" t="str">
            <v>***KARK.B/K.Z/KOR/WAR 1320 KL.S NB DMR</v>
          </cell>
        </row>
        <row r="7574">
          <cell r="C7574">
            <v>3015924</v>
          </cell>
          <cell r="D7574" t="str">
            <v>PL KARK.B/K.Z/KOR/W.CH1</v>
          </cell>
        </row>
        <row r="7575">
          <cell r="C7575">
            <v>3008095</v>
          </cell>
          <cell r="D7575" t="str">
            <v>KARK.B/K.Z/KOR/WAR.1320 KL.E NB MR</v>
          </cell>
        </row>
        <row r="7576">
          <cell r="C7576">
            <v>3011986</v>
          </cell>
          <cell r="D7576" t="str">
            <v>PL KARK.B/K.Z/KOR/W.PBX1</v>
          </cell>
        </row>
        <row r="7577">
          <cell r="C7577">
            <v>3008096</v>
          </cell>
          <cell r="D7577" t="str">
            <v>PL KARK.B/K.Z/KOR/WAR.OK20KG NB DMR</v>
          </cell>
        </row>
        <row r="7578">
          <cell r="C7578">
            <v>3020365</v>
          </cell>
          <cell r="D7578" t="str">
            <v>PL KARK.B/K.Z/KOR/W.CH2</v>
          </cell>
        </row>
        <row r="7579">
          <cell r="C7579">
            <v>3020519</v>
          </cell>
          <cell r="D7579" t="str">
            <v>PL KARK.B/K.Z/KOR/W.PBX2</v>
          </cell>
        </row>
        <row r="7580">
          <cell r="C7580">
            <v>3017760</v>
          </cell>
          <cell r="D7580" t="str">
            <v>EU KARK.B/K.Z/KOR/WAR.CH1</v>
          </cell>
        </row>
        <row r="7581">
          <cell r="C7581">
            <v>3017492</v>
          </cell>
          <cell r="D7581" t="str">
            <v>EU KARK.B/K.Z/KOR/WAR.PBX CH1</v>
          </cell>
        </row>
        <row r="7582">
          <cell r="C7582">
            <v>3020366</v>
          </cell>
          <cell r="D7582" t="str">
            <v>EU KARK.B/K.Z/KOR/WAR.CH2</v>
          </cell>
        </row>
        <row r="7583">
          <cell r="C7583">
            <v>3020524</v>
          </cell>
          <cell r="D7583" t="str">
            <v>EU KARK.B/K.Z/KOR/WAR.PBX CH2</v>
          </cell>
        </row>
        <row r="7584">
          <cell r="C7584">
            <v>3035455</v>
          </cell>
          <cell r="D7584" t="str">
            <v>PP KARK.B/K.Z/KOR/WAR.</v>
          </cell>
        </row>
        <row r="7585">
          <cell r="C7585">
            <v>3027671</v>
          </cell>
          <cell r="D7585" t="str">
            <v>PL KARK.B/K.Z/KOR/WAR.ROZP1</v>
          </cell>
        </row>
        <row r="7586">
          <cell r="C7586">
            <v>3027644</v>
          </cell>
          <cell r="D7586" t="str">
            <v>PL KARK.B/K.Z/KOR/WAR.ROZP2</v>
          </cell>
        </row>
        <row r="7587">
          <cell r="C7587">
            <v>3008097</v>
          </cell>
          <cell r="D7587" t="str">
            <v>***KARK.B/K.Z/KOR/WAR 1320 KL.U CH</v>
          </cell>
        </row>
        <row r="7588">
          <cell r="C7588">
            <v>3008098</v>
          </cell>
          <cell r="D7588" t="str">
            <v>***KARK.B/K.Z/KOR/WAR 1320 KL.U NB MR</v>
          </cell>
        </row>
        <row r="7589">
          <cell r="C7589">
            <v>3008099</v>
          </cell>
          <cell r="D7589" t="str">
            <v>***KARK.B/K.Z/KOR/WAR 1320 KL.U NB DMR</v>
          </cell>
        </row>
        <row r="7590">
          <cell r="C7590">
            <v>3028037</v>
          </cell>
          <cell r="D7590" t="str">
            <v>***PL BOCZ.BL.A B/S.MC.37CM CH</v>
          </cell>
        </row>
        <row r="7591">
          <cell r="C7591">
            <v>4018749</v>
          </cell>
          <cell r="D7591" t="str">
            <v>***PLBOCZ.ABLAT.B/S.Z/P./M.SC.37CMKTMREX</v>
          </cell>
        </row>
        <row r="7592">
          <cell r="C7592">
            <v>3028035</v>
          </cell>
          <cell r="D7592" t="str">
            <v>***PLBOCZ.BL.A B/S.MC.37CM OK15KGWORPJST</v>
          </cell>
        </row>
        <row r="7593">
          <cell r="C7593">
            <v>3028377</v>
          </cell>
          <cell r="D7593" t="str">
            <v>***PLBOCZ.ABLAT.B/S.Z/P/MŚ.SCH.37CMKTDMR</v>
          </cell>
        </row>
        <row r="7594">
          <cell r="C7594">
            <v>3030713</v>
          </cell>
          <cell r="D7594" t="str">
            <v>***PL BOCZ.BL.A B/S.MC.37CM GAP CH</v>
          </cell>
        </row>
        <row r="7595">
          <cell r="C7595">
            <v>3028495</v>
          </cell>
          <cell r="D7595" t="str">
            <v>KARK.B/K.Z/KOR/WAR.KAW.</v>
          </cell>
        </row>
        <row r="7596">
          <cell r="C7596">
            <v>4026527</v>
          </cell>
          <cell r="D7596" t="str">
            <v>KARK.B/K.Z/KOR.OK1KGVAC OK10KGKT NETTO</v>
          </cell>
        </row>
        <row r="7597">
          <cell r="C7597">
            <v>4031669</v>
          </cell>
          <cell r="D7597" t="str">
            <v>PL KARK.B/K.Z/KOR.OK1KGVAC OK10KGKT AUCH</v>
          </cell>
        </row>
        <row r="7598">
          <cell r="C7598">
            <v>3028499</v>
          </cell>
          <cell r="D7598" t="str">
            <v>***PLKARK.WP.B/K.Z/KOR/WAR.KAWOK15KGPJST</v>
          </cell>
        </row>
        <row r="7599">
          <cell r="C7599">
            <v>3004745</v>
          </cell>
          <cell r="D7599" t="str">
            <v>***SCHB/K.Z/TŁ3 PRZYC2ST VAC KT MR JAPEŁ</v>
          </cell>
        </row>
        <row r="7600">
          <cell r="C7600">
            <v>4006791</v>
          </cell>
          <cell r="D7600" t="str">
            <v>***OKO SCH. 25/26-28  L  VAC KT MR JAP</v>
          </cell>
        </row>
        <row r="7601">
          <cell r="C7601">
            <v>3027256</v>
          </cell>
          <cell r="D7601" t="str">
            <v>PL BOCZ.BL.B B/S.MC.34CM CH</v>
          </cell>
        </row>
        <row r="7602">
          <cell r="C7602">
            <v>4018768</v>
          </cell>
          <cell r="D7602" t="str">
            <v>PL BOCZ.BL.B B/S.MC.34CM OK20KGFOL KT MR</v>
          </cell>
        </row>
        <row r="7603">
          <cell r="C7603">
            <v>3028203</v>
          </cell>
          <cell r="D7603" t="str">
            <v>***PL BOCZ.B BL.B/S.Z/P/M.SCH.OK15KGPJST</v>
          </cell>
        </row>
        <row r="7604">
          <cell r="C7604">
            <v>3028379</v>
          </cell>
          <cell r="D7604" t="str">
            <v>PL BOCZ.BL.B B/S.MC.34CM OK20KGFOL KTDMR</v>
          </cell>
        </row>
        <row r="7605">
          <cell r="C7605">
            <v>3030714</v>
          </cell>
          <cell r="D7605" t="str">
            <v>***PL BOCZ.BL.B B/S.MC.37CM GAP CH</v>
          </cell>
        </row>
        <row r="7606">
          <cell r="C7606">
            <v>3029262</v>
          </cell>
          <cell r="D7606" t="str">
            <v>PL SZYN.B/K/S.SPECK 7.2-8KG CH</v>
          </cell>
        </row>
        <row r="7607">
          <cell r="C7607">
            <v>4019431</v>
          </cell>
          <cell r="D7607" t="str">
            <v>***PLSZYN.SPECK 7.2-8KG1STVACOK20KGKTEXI</v>
          </cell>
        </row>
        <row r="7608">
          <cell r="C7608">
            <v>4019475</v>
          </cell>
          <cell r="D7608" t="str">
            <v>PL SZYN.SPECK7.2-8KG 1STVACOK20KGKTEX II</v>
          </cell>
        </row>
        <row r="7609">
          <cell r="C7609">
            <v>3029263</v>
          </cell>
          <cell r="D7609" t="str">
            <v>PL SZYN.B/K/S.SPECK &gt;8KG CH</v>
          </cell>
        </row>
        <row r="7610">
          <cell r="C7610">
            <v>4019432</v>
          </cell>
          <cell r="D7610" t="str">
            <v>***PL SZYN.SPECK &gt;8KG1STVACOK20KGKTEX I</v>
          </cell>
        </row>
        <row r="7611">
          <cell r="C7611">
            <v>4019457</v>
          </cell>
          <cell r="D7611" t="str">
            <v>PL SZYN.SPECK &gt;8KG 1STVAC OK20KGKT EX II</v>
          </cell>
        </row>
        <row r="7612">
          <cell r="C7612">
            <v>3030715</v>
          </cell>
          <cell r="D7612" t="str">
            <v>***PL BOCZ.BL.AB B/S.MC.37CM GAP USR</v>
          </cell>
        </row>
        <row r="7613">
          <cell r="C7613">
            <v>4020541</v>
          </cell>
          <cell r="D7613" t="str">
            <v>***PLBOCZ.ABBLAT.B/S.Z/P./M.SCH.37CMKTMR</v>
          </cell>
        </row>
        <row r="7614">
          <cell r="C7614">
            <v>3030716</v>
          </cell>
          <cell r="D7614" t="str">
            <v>***PLBOCZ.AB BLAT.B/S.Z/P/M.SCH37CMKTDMR</v>
          </cell>
        </row>
        <row r="7615">
          <cell r="C7615">
            <v>3032091</v>
          </cell>
          <cell r="D7615" t="str">
            <v>***BOCZ.B BLAT.Z/S/CZ.PACH.PBX K4 ZAK</v>
          </cell>
        </row>
        <row r="7616">
          <cell r="C7616">
            <v>3034737</v>
          </cell>
          <cell r="D7616" t="str">
            <v>PL SZYN.Z/NG/POL/SK.B/PACH.CH</v>
          </cell>
        </row>
        <row r="7617">
          <cell r="C7617">
            <v>4023395</v>
          </cell>
          <cell r="D7617" t="str">
            <v>PL SZYN.WP.Z/NG/POL/SK.B/PACH.LUZ CHO.EX</v>
          </cell>
        </row>
        <row r="7618">
          <cell r="C7618">
            <v>3036857</v>
          </cell>
          <cell r="D7618" t="str">
            <v>MŚ.DWUG.TŁ.OKR.2MM CIĘ.CH</v>
          </cell>
        </row>
        <row r="7619">
          <cell r="C7619">
            <v>3036864</v>
          </cell>
          <cell r="D7619" t="str">
            <v>MŚ.DWUG.TŁ.OKR.2MM CIĘ.OK20KG NB MR ST</v>
          </cell>
        </row>
        <row r="7620">
          <cell r="C7620">
            <v>3036858</v>
          </cell>
          <cell r="D7620" t="str">
            <v>MŚ.DWUG.TŁ.OKR.2MM CIĘ.PBX1</v>
          </cell>
        </row>
        <row r="7621">
          <cell r="C7621">
            <v>3036865</v>
          </cell>
          <cell r="D7621" t="str">
            <v>PL MŚ.DWUG.TŁ.OKR.2MM CIĘ.PBX K4</v>
          </cell>
        </row>
        <row r="7622">
          <cell r="C7622">
            <v>3036859</v>
          </cell>
          <cell r="D7622" t="str">
            <v>MŚ.DWUG.TŁ.OKR.2MM CIĘ.OK20KG NB DMR</v>
          </cell>
        </row>
        <row r="7623">
          <cell r="C7623">
            <v>3036860</v>
          </cell>
          <cell r="D7623" t="str">
            <v>MŚ.DWUG.TŁ.OKR.2MM CIĘ.RO1</v>
          </cell>
        </row>
        <row r="7624">
          <cell r="C7624">
            <v>3036768</v>
          </cell>
          <cell r="D7624" t="str">
            <v>MŚ.DWUG.TŁ.OKR.2MM CIĘ.RO2</v>
          </cell>
        </row>
        <row r="7625">
          <cell r="C7625">
            <v>3036867</v>
          </cell>
          <cell r="D7625" t="str">
            <v>MŚ.DWUG.TŁ.OKR.2MM CIĘ.PBX2</v>
          </cell>
        </row>
        <row r="7626">
          <cell r="C7626">
            <v>3041598</v>
          </cell>
          <cell r="D7626" t="str">
            <v>PL BOCZ.BL.B B/CZP.OK20KG NB MR K4</v>
          </cell>
        </row>
        <row r="7627">
          <cell r="C7627">
            <v>3045809</v>
          </cell>
          <cell r="D7627" t="str">
            <v>BOCZ.BL.B B/CZP.RO1</v>
          </cell>
        </row>
        <row r="7628">
          <cell r="C7628">
            <v>3045811</v>
          </cell>
          <cell r="D7628" t="str">
            <v>BOCZ.BL.B B/CZP.RO2</v>
          </cell>
        </row>
        <row r="7629">
          <cell r="C7629">
            <v>3010747</v>
          </cell>
          <cell r="D7629" t="str">
            <v>***BOCZ.ŁUSK.SZER.B/SK/CHRZ KLSCHJAPONIA</v>
          </cell>
        </row>
        <row r="7630">
          <cell r="C7630">
            <v>3030833</v>
          </cell>
          <cell r="D7630" t="str">
            <v>***PL BOCZ.ŁU.B B/S/P/CHB.20X50 CH</v>
          </cell>
        </row>
        <row r="7631">
          <cell r="C7631">
            <v>4021721</v>
          </cell>
          <cell r="D7631" t="str">
            <v>***PLBOCZ.ŁU.BB/S/P/CHB.20X50OK20KGWKTEX</v>
          </cell>
        </row>
        <row r="7632">
          <cell r="C7632">
            <v>3032695</v>
          </cell>
          <cell r="D7632" t="str">
            <v>***PL BOCZ.BL.C B/S.CH</v>
          </cell>
        </row>
        <row r="7633">
          <cell r="C7633">
            <v>4021735</v>
          </cell>
          <cell r="D7633" t="str">
            <v>***PL BOCZ.BL.C B/S.OK800KG OKT EX</v>
          </cell>
        </row>
        <row r="7634">
          <cell r="C7634">
            <v>3040692</v>
          </cell>
          <cell r="D7634" t="str">
            <v>***PL BOCZ.BL.C B/S.PBX ST</v>
          </cell>
        </row>
        <row r="7635">
          <cell r="C7635">
            <v>3032879</v>
          </cell>
          <cell r="D7635" t="str">
            <v>PL BOCZ.BL.A B/S/CZPF.26CM CH</v>
          </cell>
        </row>
        <row r="7636">
          <cell r="C7636">
            <v>4021873</v>
          </cell>
          <cell r="D7636" t="str">
            <v>PL BOCZ.BL.A B/S/CZPF.26CM OK20KGFKTMRNZ</v>
          </cell>
        </row>
        <row r="7637">
          <cell r="C7637">
            <v>3033713</v>
          </cell>
          <cell r="D7637" t="str">
            <v>PL BOCZ.BL.A B/S/CZPF.26CM OK800KG OKTST</v>
          </cell>
        </row>
        <row r="7638">
          <cell r="C7638">
            <v>3032880</v>
          </cell>
          <cell r="D7638" t="str">
            <v>PL BOCZ.BL.A B/S/CZPF.26CMOK20KGFKTDMRNZ</v>
          </cell>
        </row>
        <row r="7639">
          <cell r="C7639">
            <v>3034011</v>
          </cell>
          <cell r="D7639" t="str">
            <v>EU BOCZ.BL.A B/S/CZPF.25CM CH</v>
          </cell>
        </row>
        <row r="7640">
          <cell r="C7640">
            <v>4022782</v>
          </cell>
          <cell r="D7640" t="str">
            <v>EU BOCZ.BL.A B/S/CZPF.26CM OK20KGWKTMRNZ</v>
          </cell>
        </row>
        <row r="7641">
          <cell r="C7641">
            <v>3034015</v>
          </cell>
          <cell r="D7641" t="str">
            <v>EU BOCZ.BL.A B/S/CZPF.26CMOK20KGWKTDMRNZ</v>
          </cell>
        </row>
        <row r="7642">
          <cell r="C7642">
            <v>3035232</v>
          </cell>
          <cell r="D7642" t="str">
            <v>CZ BOCZ.BL.A B/S/CZPF.26CM CH</v>
          </cell>
        </row>
        <row r="7643">
          <cell r="C7643">
            <v>4023853</v>
          </cell>
          <cell r="D7643" t="str">
            <v>CZ BOCZ.BL.A B/S/CZPF.26CM OK20KGWKTMRNZ</v>
          </cell>
        </row>
        <row r="7644">
          <cell r="C7644">
            <v>3035226</v>
          </cell>
          <cell r="D7644" t="str">
            <v>CZ BOCZ.BL.A B/S/CZPF.26CMOK20KGWKTDMRNZ</v>
          </cell>
        </row>
        <row r="7645">
          <cell r="C7645">
            <v>3044596</v>
          </cell>
          <cell r="D7645" t="str">
            <v>PL BOCZ.BL.A B/S/P.ROL.27CM CH</v>
          </cell>
        </row>
        <row r="7646">
          <cell r="C7646">
            <v>3032906</v>
          </cell>
          <cell r="D7646" t="str">
            <v>***BOCZ.B BLAT.Z/S/CZ.PACH.PBX K4 ZAK</v>
          </cell>
        </row>
        <row r="7647">
          <cell r="C7647">
            <v>3036629</v>
          </cell>
          <cell r="D7647" t="str">
            <v>PL BOCZ.BL.A B/S/P.20X50 CH</v>
          </cell>
        </row>
        <row r="7648">
          <cell r="C7648">
            <v>4029800</v>
          </cell>
          <cell r="D7648" t="str">
            <v>PLBOCZ.BL.A B/S/P20X50 1/2STOK500KGOKTEX</v>
          </cell>
        </row>
        <row r="7649">
          <cell r="C7649">
            <v>3015934</v>
          </cell>
          <cell r="D7649" t="str">
            <v>***PL BOCZ.BL.C B/S.CH</v>
          </cell>
        </row>
        <row r="7650">
          <cell r="C7650">
            <v>3015940</v>
          </cell>
          <cell r="D7650" t="str">
            <v>***EU BOCZ.BL.C B/S.CH</v>
          </cell>
        </row>
        <row r="7651">
          <cell r="C7651">
            <v>4021906</v>
          </cell>
          <cell r="D7651" t="str">
            <v>***PL BOCZ.BL.BC B/S.OK20KGWOR KT</v>
          </cell>
        </row>
        <row r="7652">
          <cell r="C7652">
            <v>4021859</v>
          </cell>
          <cell r="D7652" t="str">
            <v>***PL BOCZ.BL.BC B/S.OK800KG OKT</v>
          </cell>
        </row>
        <row r="7653">
          <cell r="C7653">
            <v>3040585</v>
          </cell>
          <cell r="D7653" t="str">
            <v>***PL BOCZ.BL.BC B/S.PBX ST</v>
          </cell>
        </row>
        <row r="7654">
          <cell r="C7654">
            <v>4022737</v>
          </cell>
          <cell r="D7654" t="str">
            <v>***EU BOCZ.BL.BC B/S.OK800KG OKT</v>
          </cell>
        </row>
        <row r="7655">
          <cell r="C7655">
            <v>3032907</v>
          </cell>
          <cell r="D7655" t="str">
            <v>PL BOCZ.BL.BC B/S.USR</v>
          </cell>
        </row>
        <row r="7656">
          <cell r="C7656">
            <v>3033924</v>
          </cell>
          <cell r="D7656" t="str">
            <v>***EU BOCZ.BL.BC B/S.USR</v>
          </cell>
        </row>
        <row r="7657">
          <cell r="C7657">
            <v>3030405</v>
          </cell>
          <cell r="D7657" t="str">
            <v>PL BOCZ.BL.B B/S/P.20X50 CH</v>
          </cell>
        </row>
        <row r="7658">
          <cell r="C7658">
            <v>4022671</v>
          </cell>
          <cell r="D7658" t="str">
            <v>PL BOCZ.BL.B B/S/P.20X50 OK500KG OKT EX</v>
          </cell>
        </row>
        <row r="7659">
          <cell r="C7659">
            <v>3033379</v>
          </cell>
          <cell r="D7659" t="str">
            <v>PL BOCZ.BL.B B/S/P.20X50 PBX ST</v>
          </cell>
        </row>
        <row r="7660">
          <cell r="C7660">
            <v>3030406</v>
          </cell>
          <cell r="D7660" t="str">
            <v>EU BOCZ.BL.B B/S/P.20X50 CH</v>
          </cell>
        </row>
        <row r="7661">
          <cell r="C7661">
            <v>3033925</v>
          </cell>
          <cell r="D7661" t="str">
            <v>EU BOCZ.BL.B B/S/P.20X50 PBX ST</v>
          </cell>
        </row>
        <row r="7662">
          <cell r="C7662">
            <v>3028485</v>
          </cell>
          <cell r="D7662" t="str">
            <v>PL BOCZ.ŁU.B B/CZP.28X55 CH</v>
          </cell>
        </row>
        <row r="7663">
          <cell r="C7663">
            <v>4019566</v>
          </cell>
          <cell r="D7663" t="str">
            <v>PL BOCZ.ŁU.B B/CZP.28X55 OK20KGFOL KT MR</v>
          </cell>
        </row>
        <row r="7664">
          <cell r="C7664">
            <v>3028563</v>
          </cell>
          <cell r="D7664" t="str">
            <v>PL BOCZ.ŁU.B B/CZP.28X55 OK20KGFOL KTDMR</v>
          </cell>
        </row>
        <row r="7665">
          <cell r="C7665">
            <v>3028562</v>
          </cell>
          <cell r="D7665" t="str">
            <v>EU BOCZ.ŁU.B B/CZP.28X55 CH</v>
          </cell>
        </row>
        <row r="7666">
          <cell r="C7666">
            <v>4022783</v>
          </cell>
          <cell r="D7666" t="str">
            <v>***EUBOCZ.ŁU.B B/CZP.28X55 OK20KGFOLKTMR</v>
          </cell>
        </row>
        <row r="7667">
          <cell r="C7667">
            <v>3028564</v>
          </cell>
          <cell r="D7667" t="str">
            <v>EU BOCZ.ŁU.B B/CZP.28X55 OK20KGFOL KTDMR</v>
          </cell>
        </row>
        <row r="7668">
          <cell r="C7668">
            <v>3015966</v>
          </cell>
          <cell r="D7668" t="str">
            <v>PL BOCZ.ŁU.B B/CZP/M.CH</v>
          </cell>
        </row>
        <row r="7669">
          <cell r="C7669">
            <v>4019601</v>
          </cell>
          <cell r="D7669" t="str">
            <v>PL BOCZ.ŁU.B B/CZP/M.OK20KGWOR KT MR</v>
          </cell>
        </row>
        <row r="7670">
          <cell r="C7670">
            <v>4026152</v>
          </cell>
          <cell r="D7670" t="str">
            <v>PL BOCZ.ŁU.B B/CZP/M.OK20KGWOR PJ</v>
          </cell>
        </row>
        <row r="7671">
          <cell r="C7671">
            <v>3016819</v>
          </cell>
          <cell r="D7671" t="str">
            <v>PL BOCZ.ŁU.B B/CZP/M.1STFOL OK20KGKT DMR</v>
          </cell>
        </row>
        <row r="7672">
          <cell r="C7672">
            <v>3034009</v>
          </cell>
          <cell r="D7672" t="str">
            <v>EU BOCZ.ŁU.B B/CZP/M.CH</v>
          </cell>
        </row>
        <row r="7673">
          <cell r="C7673">
            <v>4022779</v>
          </cell>
          <cell r="D7673" t="str">
            <v>EU BOCZ.ŁU.B B/CZP/M.1STFOL OK20KGKT MR</v>
          </cell>
        </row>
        <row r="7674">
          <cell r="C7674">
            <v>3034013</v>
          </cell>
          <cell r="D7674" t="str">
            <v>EU BOCZ.ŁU.B B/CZP/M.1STFOL OK20KGKT DMR</v>
          </cell>
        </row>
        <row r="7675">
          <cell r="C7675">
            <v>3029657</v>
          </cell>
          <cell r="D7675" t="str">
            <v>***PL BOCZ.BL.C B/S.CH</v>
          </cell>
        </row>
        <row r="7676">
          <cell r="C7676">
            <v>4019679</v>
          </cell>
          <cell r="D7676" t="str">
            <v>***PL BOCZ.BL.C B/S.CHOIN.EX CZ</v>
          </cell>
        </row>
        <row r="7677">
          <cell r="C7677">
            <v>3029626</v>
          </cell>
          <cell r="D7677" t="str">
            <v>PL BOCZ.ŁU.B B/CHB.24X52 CH</v>
          </cell>
        </row>
        <row r="7678">
          <cell r="C7678">
            <v>4019832</v>
          </cell>
          <cell r="D7678" t="str">
            <v>***PL BOCZ.B ŁUS.Z/S.B/CH.2STRMM 2STKT</v>
          </cell>
        </row>
        <row r="7679">
          <cell r="C7679">
            <v>3029629</v>
          </cell>
          <cell r="D7679" t="str">
            <v>PL BOCZ.B ŁUS.Z/S.B/CH.B.20X50OK20KGWDMR</v>
          </cell>
        </row>
        <row r="7680">
          <cell r="C7680">
            <v>3029627</v>
          </cell>
          <cell r="D7680" t="str">
            <v>***EU BOCZ.ŁU.B B/CHB.24X52 CH</v>
          </cell>
        </row>
        <row r="7681">
          <cell r="C7681">
            <v>3029628</v>
          </cell>
          <cell r="D7681" t="str">
            <v>EU BOCZ.B ŁUS.Z/S.B/CH.B.20X50OK20KGWDMR</v>
          </cell>
        </row>
        <row r="7682">
          <cell r="C7682">
            <v>3026518</v>
          </cell>
          <cell r="D7682" t="str">
            <v>PL BOCZ.ŁU.B B/S/CZP/M.CH</v>
          </cell>
        </row>
        <row r="7683">
          <cell r="C7683">
            <v>4020594</v>
          </cell>
          <cell r="D7683" t="str">
            <v>PL BOCZ.ŁU.B B/S/CZP/M.OK20KGFOL KT MR</v>
          </cell>
        </row>
        <row r="7684">
          <cell r="C7684">
            <v>4029798</v>
          </cell>
          <cell r="D7684" t="str">
            <v>PL BOCZ.ŁU.B B/S/CZP/M.OK20KGLUZPJ AGRO</v>
          </cell>
        </row>
        <row r="7685">
          <cell r="C7685">
            <v>3026517</v>
          </cell>
          <cell r="D7685" t="str">
            <v>PL BOCZ.ŁU.B B/S/CZP/M.OK20KGFOL KT DMR</v>
          </cell>
        </row>
        <row r="7686">
          <cell r="C7686">
            <v>3030475</v>
          </cell>
          <cell r="D7686" t="str">
            <v>PL BOCZ.BL.A B/S/CZP.MC.CH</v>
          </cell>
        </row>
        <row r="7687">
          <cell r="C7687">
            <v>3031133</v>
          </cell>
          <cell r="D7687" t="str">
            <v>***PL BOCZ.BL.A B/S/CZP.MC.OK15KGNBMR ST</v>
          </cell>
        </row>
        <row r="7688">
          <cell r="C7688">
            <v>3031023</v>
          </cell>
          <cell r="D7688" t="str">
            <v>***PL BOCZ.BL.A B/S/CZP.MC.PBX ST</v>
          </cell>
        </row>
        <row r="7689">
          <cell r="C7689">
            <v>3033130</v>
          </cell>
          <cell r="D7689" t="str">
            <v>***BOCZ.A BLAT.B/S.34CM PBX K4 ZAK</v>
          </cell>
        </row>
        <row r="7690">
          <cell r="C7690">
            <v>3031130</v>
          </cell>
          <cell r="D7690" t="str">
            <v>***PL BOCZ.BL.A B/S/CZP.MC.OK15KG NB DMR</v>
          </cell>
        </row>
        <row r="7691">
          <cell r="C7691">
            <v>3030453</v>
          </cell>
          <cell r="D7691" t="str">
            <v>PL BOCZ.BL.B B/S/CZP.24X52 CH</v>
          </cell>
        </row>
        <row r="7692">
          <cell r="C7692">
            <v>3047385</v>
          </cell>
          <cell r="D7692" t="str">
            <v>PL BOCZ.BL.B B/S/CZP.24X52 OK20KGNBMR ST</v>
          </cell>
        </row>
        <row r="7693">
          <cell r="C7693">
            <v>4027846</v>
          </cell>
          <cell r="D7693" t="str">
            <v>PL BOCZ.BL.B B/S/CZP.24X52 1STV OK20KGKT</v>
          </cell>
        </row>
        <row r="7694">
          <cell r="C7694">
            <v>4021432</v>
          </cell>
          <cell r="D7694" t="str">
            <v>PL BOCZ.BL.B B/S/CZP.24X52 OK700KG OKT</v>
          </cell>
        </row>
        <row r="7695">
          <cell r="C7695">
            <v>3031187</v>
          </cell>
          <cell r="D7695" t="str">
            <v>PL BOCZ.BL.B B/S/CZP.24X52 PBX ST</v>
          </cell>
        </row>
        <row r="7696">
          <cell r="C7696">
            <v>3035200</v>
          </cell>
          <cell r="D7696" t="str">
            <v>PL BOCZ.BL.B B/S/CZP.24X52 OK20KG NB DMR</v>
          </cell>
        </row>
        <row r="7697">
          <cell r="C7697">
            <v>3029450</v>
          </cell>
          <cell r="D7697" t="str">
            <v>PL BOCZ.ŁU.B B/CZP/CHB.CH</v>
          </cell>
        </row>
        <row r="7698">
          <cell r="C7698">
            <v>4021284</v>
          </cell>
          <cell r="D7698" t="str">
            <v>***PL BOCZ.ŁU.B B/CZP/CHB.OK20KGFOLKT MR</v>
          </cell>
        </row>
        <row r="7699">
          <cell r="C7699">
            <v>3029453</v>
          </cell>
          <cell r="D7699" t="str">
            <v>PL BOCZ.ŁU.B B/CZP/CHB.OK20KGFOL KT DMR</v>
          </cell>
        </row>
        <row r="7700">
          <cell r="C7700">
            <v>3035055</v>
          </cell>
          <cell r="D7700" t="str">
            <v>PL BOCZ.BL.A B/S/CZP.24X52 CH</v>
          </cell>
        </row>
        <row r="7701">
          <cell r="C7701">
            <v>3041522</v>
          </cell>
          <cell r="D7701" t="str">
            <v>PL BOCZ.BL.A B/S/CZP.24X52 OK20KGL PJ ST</v>
          </cell>
        </row>
        <row r="7702">
          <cell r="C7702">
            <v>3041479</v>
          </cell>
          <cell r="D7702" t="str">
            <v>PL BOCZ.BL.A B/S/CZP.24X52 PBX ST</v>
          </cell>
        </row>
        <row r="7703">
          <cell r="C7703">
            <v>3040565</v>
          </cell>
          <cell r="D7703" t="str">
            <v>PP BOCZ.BL.A B/S/CZP.24X52 CH</v>
          </cell>
        </row>
        <row r="7704">
          <cell r="C7704">
            <v>3041496</v>
          </cell>
          <cell r="D7704" t="str">
            <v>PP BOCZ.BL.A B/S/CZP.24X52 OK20KGL PJ ST</v>
          </cell>
        </row>
        <row r="7705">
          <cell r="C7705">
            <v>3041520</v>
          </cell>
          <cell r="D7705" t="str">
            <v>PP BOCZ.BL.A B/S/CZP.24X52 PBX ST</v>
          </cell>
        </row>
        <row r="7706">
          <cell r="C7706">
            <v>3046560</v>
          </cell>
          <cell r="D7706" t="str">
            <v>PP BOCZ.BL.A B/S/CZP.24X52 GAP CH</v>
          </cell>
        </row>
        <row r="7707">
          <cell r="C7707">
            <v>3046558</v>
          </cell>
          <cell r="D7707" t="str">
            <v>PP BOCZ.BL.A B/S/CZP.24X52 PBX GAP ST</v>
          </cell>
        </row>
        <row r="7708">
          <cell r="C7708">
            <v>3027913</v>
          </cell>
          <cell r="D7708" t="str">
            <v>PL BOCZ.BL.B B/S.CH</v>
          </cell>
        </row>
        <row r="7709">
          <cell r="C7709">
            <v>4019509</v>
          </cell>
          <cell r="D7709" t="str">
            <v>***PL BOCZ.B B/Ż/S/CH/MPP OK20KGKT MR EX</v>
          </cell>
        </row>
        <row r="7710">
          <cell r="C7710">
            <v>3040691</v>
          </cell>
          <cell r="D7710" t="str">
            <v>PL BOCZ.BL.B B/S.PBX ST</v>
          </cell>
        </row>
        <row r="7711">
          <cell r="C7711">
            <v>3027915</v>
          </cell>
          <cell r="D7711" t="str">
            <v>PL BOCZ.B B/Ż/SK/CH/MPP OK20KGKT DMR</v>
          </cell>
        </row>
        <row r="7712">
          <cell r="C7712">
            <v>3029394</v>
          </cell>
          <cell r="D7712" t="str">
            <v>***PL BOCZ.BL.A MC.CH</v>
          </cell>
        </row>
        <row r="7713">
          <cell r="C7713">
            <v>4019513</v>
          </cell>
          <cell r="D7713" t="str">
            <v>***PLBOCZ.A B/Ż.Z/S/MPP/M.S.OK20KGKTMREX</v>
          </cell>
        </row>
        <row r="7714">
          <cell r="C7714">
            <v>3029395</v>
          </cell>
          <cell r="D7714" t="str">
            <v>***PL BOCZ.A B/Ż.Z/S/MPP/M.SCH.DMR</v>
          </cell>
        </row>
        <row r="7715">
          <cell r="C7715">
            <v>3015930</v>
          </cell>
          <cell r="D7715" t="str">
            <v>PL BOCZ.B ŁUS.Z/SK/CH.CH</v>
          </cell>
        </row>
        <row r="7716">
          <cell r="C7716">
            <v>4017769</v>
          </cell>
          <cell r="D7716" t="str">
            <v>***PL BOCZ.B ŁUS.Z/SK/CH.OK15KG PB MR EX</v>
          </cell>
        </row>
        <row r="7717">
          <cell r="C7717">
            <v>3027024</v>
          </cell>
          <cell r="D7717" t="str">
            <v>***PL BOCZ.B ŁUS.Z/SK/CH.OK15KGPB DMR EX</v>
          </cell>
        </row>
        <row r="7718">
          <cell r="C7718">
            <v>3026973</v>
          </cell>
          <cell r="D7718" t="str">
            <v>***EU BOCZ.B ŁUS.Z/SK/CH.CH</v>
          </cell>
        </row>
        <row r="7719">
          <cell r="C7719">
            <v>4017768</v>
          </cell>
          <cell r="D7719" t="str">
            <v>***EU BOCZ.B ŁUS.Z/SK/CH.OK15KG PB MR EX</v>
          </cell>
        </row>
        <row r="7720">
          <cell r="C7720">
            <v>3027013</v>
          </cell>
          <cell r="D7720" t="str">
            <v>EU BOCZ.B ŁUS.Z/SK/CH.OK15KG PB DMR EX</v>
          </cell>
        </row>
        <row r="7721">
          <cell r="C7721">
            <v>3026972</v>
          </cell>
          <cell r="D7721" t="str">
            <v>PL BOCZ.C ŁUS.Z/SK/CH.CH</v>
          </cell>
        </row>
        <row r="7722">
          <cell r="C7722">
            <v>4017908</v>
          </cell>
          <cell r="D7722" t="str">
            <v>***PL BOCZ.C ŁUS.Z/SK/CH.OK15KG PB MR EX</v>
          </cell>
        </row>
        <row r="7723">
          <cell r="C7723">
            <v>3027002</v>
          </cell>
          <cell r="D7723" t="str">
            <v>***PL BOCZ.C ŁUS.Z/SK/CH.OK15KGPB DMR EX</v>
          </cell>
        </row>
        <row r="7724">
          <cell r="C7724">
            <v>3026971</v>
          </cell>
          <cell r="D7724" t="str">
            <v>EU BOCZ.C ŁUS.Z/SK/CH.CH</v>
          </cell>
        </row>
        <row r="7725">
          <cell r="C7725">
            <v>4017909</v>
          </cell>
          <cell r="D7725" t="str">
            <v>***EU BOCZ.C ŁUS.Z/SK/CH.OK15KG PB MR EX</v>
          </cell>
        </row>
        <row r="7726">
          <cell r="C7726">
            <v>3027001</v>
          </cell>
          <cell r="D7726" t="str">
            <v>***EU BOCZ.C ŁUS.Z/SK/CH.OK15KGPB DMR EX</v>
          </cell>
        </row>
        <row r="7727">
          <cell r="C7727">
            <v>3008100</v>
          </cell>
          <cell r="D7727" t="str">
            <v>***BOCZ.ŁUS.SZER.Z/SK.B/CHRZ CH USR</v>
          </cell>
        </row>
        <row r="7728">
          <cell r="C7728">
            <v>3009512</v>
          </cell>
          <cell r="D7728" t="str">
            <v>***BOCZ.ŁUS.SZER.Z/SK.B/CHRZ NB MR</v>
          </cell>
        </row>
        <row r="7729">
          <cell r="C7729">
            <v>4011090</v>
          </cell>
          <cell r="D7729" t="str">
            <v>***PL BOCZ.ŁUS.SZER.Z/SK.B/CHRZ.PB MR</v>
          </cell>
        </row>
        <row r="7730">
          <cell r="C7730">
            <v>4007595</v>
          </cell>
          <cell r="D7730" t="str">
            <v>***PL BOCZ.ŁUSKANY/SK.MR CH</v>
          </cell>
        </row>
        <row r="7731">
          <cell r="C7731">
            <v>4001859</v>
          </cell>
          <cell r="D7731" t="str">
            <v>***PL BOCZ.ŁUS.SZER.Z/SK.B/CH1STFOL KTMR</v>
          </cell>
        </row>
        <row r="7732">
          <cell r="C7732">
            <v>4007412</v>
          </cell>
          <cell r="D7732" t="str">
            <v>***PL BOCZ.ŁUS.Z/SK.B/CHRZ.1STVACKTMR EX</v>
          </cell>
        </row>
        <row r="7733">
          <cell r="C7733">
            <v>3009513</v>
          </cell>
          <cell r="D7733" t="str">
            <v>***BOCZ.ŁUS.SZER.Z/SK.B/CHRZ NB DMR</v>
          </cell>
        </row>
        <row r="7734">
          <cell r="C7734">
            <v>3016449</v>
          </cell>
          <cell r="D7734" t="str">
            <v>***PL BOCZ.ŁUS.SZER.Z/SK.B/CHRZ.PB DMR</v>
          </cell>
        </row>
        <row r="7735">
          <cell r="C7735">
            <v>3008101</v>
          </cell>
          <cell r="D7735" t="str">
            <v>***PL BOCZ.ŁUS.SZER.Z/SK.B/CH10KGKTDMRCN</v>
          </cell>
        </row>
        <row r="7736">
          <cell r="C7736">
            <v>3008102</v>
          </cell>
          <cell r="D7736" t="str">
            <v>***PL BOCZ.ŁUS.SZ.Z/SK.B/CH1STFOLKT DMR</v>
          </cell>
        </row>
        <row r="7737">
          <cell r="C7737">
            <v>3008103</v>
          </cell>
          <cell r="D7737" t="str">
            <v>***PL BOCZ.ŁUS.Z/SK.B/CHRZ.1STVACKTDMREX</v>
          </cell>
        </row>
        <row r="7738">
          <cell r="C7738">
            <v>3009511</v>
          </cell>
          <cell r="D7738" t="str">
            <v>***BOCZ.ŁUS.SZER.Z/SK.B/CHRZ NB RO</v>
          </cell>
        </row>
        <row r="7739">
          <cell r="C7739">
            <v>3014140</v>
          </cell>
          <cell r="D7739" t="str">
            <v>***BOCZ.ŁUSK.Z/SK LUZ KT  RO</v>
          </cell>
        </row>
        <row r="7740">
          <cell r="C7740">
            <v>3009089</v>
          </cell>
          <cell r="D7740" t="str">
            <v>***BOCZ.ŁUS.SZER.Z/SK B/CHRZ. PL</v>
          </cell>
        </row>
        <row r="7741">
          <cell r="C7741">
            <v>4012148</v>
          </cell>
          <cell r="D7741" t="str">
            <v>***EU BOCZ.ŁUS.SZER.Z/SK.B/CHRZ.PB MR</v>
          </cell>
        </row>
        <row r="7742">
          <cell r="C7742">
            <v>4011753</v>
          </cell>
          <cell r="D7742" t="str">
            <v>***EU BOCZ.ŁUSKANY/SK.MR CH</v>
          </cell>
        </row>
        <row r="7743">
          <cell r="C7743">
            <v>4011480</v>
          </cell>
          <cell r="D7743" t="str">
            <v>***EU BOCZ.ŁUS.SZER.Z/SK.B/CH.1STFOLKTMR</v>
          </cell>
        </row>
        <row r="7744">
          <cell r="C7744">
            <v>4011736</v>
          </cell>
          <cell r="D7744" t="str">
            <v>***EU BOCZ.ŁUS.Z/SK.B/CHRZ.1STVACKTMR EX</v>
          </cell>
        </row>
        <row r="7745">
          <cell r="C7745">
            <v>3017826</v>
          </cell>
          <cell r="D7745" t="str">
            <v>***EU BOCZ.ŁUS.SZER.Z/SK.B/CHRZ.PB DMR</v>
          </cell>
        </row>
        <row r="7746">
          <cell r="C7746">
            <v>3017418</v>
          </cell>
          <cell r="D7746" t="str">
            <v>***EU BOCZ.ŁUS.SZER.Z/SK.B/CH10KGKTDMRCN</v>
          </cell>
        </row>
        <row r="7747">
          <cell r="C7747">
            <v>3017419</v>
          </cell>
          <cell r="D7747" t="str">
            <v>***EU BOCZ.ŁUS.SZ.Z/SK.B/CH1STFOL KT DMR</v>
          </cell>
        </row>
        <row r="7748">
          <cell r="C7748">
            <v>3017420</v>
          </cell>
          <cell r="D7748" t="str">
            <v>***EU BOCZ.ŁUS.Z/SK.B/CHRZ.1STVACKTDMREX</v>
          </cell>
        </row>
        <row r="7749">
          <cell r="C7749">
            <v>3009088</v>
          </cell>
          <cell r="D7749" t="str">
            <v>***BOCZ.ŁUS.SZE.Z/SK B/CHRZ.  PL UŚR</v>
          </cell>
        </row>
        <row r="7750">
          <cell r="C7750">
            <v>3034772</v>
          </cell>
          <cell r="D7750" t="str">
            <v>PL BOCZ.BL.A B/S/CZPF.23X49 CH</v>
          </cell>
        </row>
        <row r="7751">
          <cell r="C7751">
            <v>4026240</v>
          </cell>
          <cell r="D7751" t="str">
            <v>PL BOCZ.BL.A B/S/CZPF.23X49 OK20KGF KTMR</v>
          </cell>
        </row>
        <row r="7752">
          <cell r="C7752">
            <v>3039850</v>
          </cell>
          <cell r="D7752" t="str">
            <v>PL BOCZ.BL.A B/S/CZPF.23X49 PBX ST</v>
          </cell>
        </row>
        <row r="7753">
          <cell r="C7753">
            <v>3039248</v>
          </cell>
          <cell r="D7753" t="str">
            <v>PL BOCZ.BL.A B/S/CZPF.23X49 OK20KGFKTDMR</v>
          </cell>
        </row>
        <row r="7754">
          <cell r="C7754">
            <v>3035131</v>
          </cell>
          <cell r="D7754" t="str">
            <v>***PL BOCZ.BL.A B/S/CZPF.MAX50CM CH</v>
          </cell>
        </row>
        <row r="7755">
          <cell r="C7755">
            <v>4023771</v>
          </cell>
          <cell r="D7755" t="str">
            <v>***PLBO.BL.A B/S/CZPF.MAX50CMOK20KGWKTMR</v>
          </cell>
        </row>
        <row r="7756">
          <cell r="C7756">
            <v>3035132</v>
          </cell>
          <cell r="D7756" t="str">
            <v>***PLBOC.BL.AB/S/CZPFMAX50CMOK20KGWKTDMR</v>
          </cell>
        </row>
        <row r="7757">
          <cell r="C7757">
            <v>3035130</v>
          </cell>
          <cell r="D7757" t="str">
            <v>***EU BOCZ.BL.A B/S/CZPF.MAX50CM CH</v>
          </cell>
        </row>
        <row r="7758">
          <cell r="C7758">
            <v>4023772</v>
          </cell>
          <cell r="D7758" t="str">
            <v>***EUBO.BL.A B/S/CZPF.MAX50CMOK20KGWKTMR</v>
          </cell>
        </row>
        <row r="7759">
          <cell r="C7759">
            <v>3035133</v>
          </cell>
          <cell r="D7759" t="str">
            <v>***EUBOC.BL.AB/S/CZPFMAX50CMOK20KGWKTDMR</v>
          </cell>
        </row>
        <row r="7760">
          <cell r="C7760">
            <v>3024681</v>
          </cell>
          <cell r="D7760" t="str">
            <v>PL BOCZ.BL.B B/P.20X50 CH</v>
          </cell>
        </row>
        <row r="7761">
          <cell r="C7761">
            <v>4026238</v>
          </cell>
          <cell r="D7761" t="str">
            <v>PL BOCZ.BL.B B/P.20X50 1STVAC OK11KGKT</v>
          </cell>
        </row>
        <row r="7762">
          <cell r="C7762">
            <v>3008104</v>
          </cell>
          <cell r="D7762" t="str">
            <v>***BOCZ.ŁUS.WĄSK.B/SK/CHRZ KL.E CH</v>
          </cell>
        </row>
        <row r="7763">
          <cell r="C7763">
            <v>4007999</v>
          </cell>
          <cell r="D7763" t="str">
            <v>***BOCZ.ŁU.WĄ.B/S/CH.KLE OK15KG KT MR EX</v>
          </cell>
        </row>
        <row r="7764">
          <cell r="C7764">
            <v>3044224</v>
          </cell>
          <cell r="D7764" t="str">
            <v>PL BOCZ.BL.A B/CZP.OK20KG NB MR K4</v>
          </cell>
        </row>
        <row r="7765">
          <cell r="C7765">
            <v>3008105</v>
          </cell>
          <cell r="D7765" t="str">
            <v>***BOCZ.ŁU.WĄ.B/S/CH.KLE OK15KG KT DMREX</v>
          </cell>
        </row>
        <row r="7766">
          <cell r="C7766">
            <v>3045222</v>
          </cell>
          <cell r="D7766" t="str">
            <v>PL BOCZ.BL.A B/CZP.RO1</v>
          </cell>
        </row>
        <row r="7767">
          <cell r="C7767">
            <v>3045224</v>
          </cell>
          <cell r="D7767" t="str">
            <v>PL BOCZ.BL.A B/CZP.RO2</v>
          </cell>
        </row>
        <row r="7768">
          <cell r="C7768">
            <v>3008106</v>
          </cell>
          <cell r="D7768" t="str">
            <v>***BOCZ.ŁUS.WĄSK.B/SK/CHRZ KL.U CH</v>
          </cell>
        </row>
        <row r="7769">
          <cell r="C7769">
            <v>4008000</v>
          </cell>
          <cell r="D7769" t="str">
            <v>***BOCZ.ŁU.WĄ.B/S/CH.KLU OK15KG KT MR EX</v>
          </cell>
        </row>
        <row r="7770">
          <cell r="C7770">
            <v>3008107</v>
          </cell>
          <cell r="D7770" t="str">
            <v>***BOCZ.ŁU.WĄ.B/S/CH.KLU OK15KG KT DMREX</v>
          </cell>
        </row>
        <row r="7771">
          <cell r="C7771">
            <v>4001862</v>
          </cell>
          <cell r="D7771" t="str">
            <v>***BOCZ.ŁUSK.B/S SZER.KL.E VAC MR EX</v>
          </cell>
        </row>
        <row r="7772">
          <cell r="C7772">
            <v>3008108</v>
          </cell>
          <cell r="D7772" t="str">
            <v>***BO.ŁU.SZ.B/S/CH.KLE VAC OK15KG KT DMR</v>
          </cell>
        </row>
        <row r="7773">
          <cell r="C7773">
            <v>3033801</v>
          </cell>
          <cell r="D7773" t="str">
            <v>BOCZ.BL.A B/S/CZP.25CM CH</v>
          </cell>
        </row>
        <row r="7774">
          <cell r="C7774">
            <v>4001863</v>
          </cell>
          <cell r="D7774" t="str">
            <v>***BOCZ.ŁUSK.B/S SZER.KL.U VAC MR EX</v>
          </cell>
        </row>
        <row r="7775">
          <cell r="C7775">
            <v>3040490</v>
          </cell>
          <cell r="D7775" t="str">
            <v>***BOCZ.BL.A B/S/CZP.25CM PBX ST</v>
          </cell>
        </row>
        <row r="7776">
          <cell r="C7776">
            <v>3008109</v>
          </cell>
          <cell r="D7776" t="str">
            <v>***BO.ŁU.SZ.B/S/CH.KLU VAC OK15KG KT DMR</v>
          </cell>
        </row>
        <row r="7777">
          <cell r="C7777">
            <v>3039284</v>
          </cell>
          <cell r="D7777" t="str">
            <v>PP BOCZ.BL.A B/S/CZP.25CM CH</v>
          </cell>
        </row>
        <row r="7778">
          <cell r="C7778">
            <v>3040501</v>
          </cell>
          <cell r="D7778" t="str">
            <v>***PP BOCZ.BL.A B/S/CZP.25CM PBX ST</v>
          </cell>
        </row>
        <row r="7779">
          <cell r="C7779">
            <v>3016046</v>
          </cell>
          <cell r="D7779" t="str">
            <v>PL BOCZ.ŁU.B B/S/CZP/CHB.CH</v>
          </cell>
        </row>
        <row r="7780">
          <cell r="C7780">
            <v>4015398</v>
          </cell>
          <cell r="D7780" t="str">
            <v>***PLBOCZ.ŁU.B B/S/CZP/CHBOK20KGFKTMREX</v>
          </cell>
        </row>
        <row r="7781">
          <cell r="C7781">
            <v>4025294</v>
          </cell>
          <cell r="D7781" t="str">
            <v>PL BOCZ.ŁU.B B/S/CZP/CHB.MAX4KGVAC20KGPJ</v>
          </cell>
        </row>
        <row r="7782">
          <cell r="C7782">
            <v>4024760</v>
          </cell>
          <cell r="D7782" t="str">
            <v>PL BOCZ.ŁU.B B/S/CZP/CHB.1/2STOK20KGW PJ</v>
          </cell>
        </row>
        <row r="7783">
          <cell r="C7783">
            <v>3023273</v>
          </cell>
          <cell r="D7783" t="str">
            <v>***PLBO.ŁU.BB/S/CZP/CHB.MCOK20KGFKTDMREX</v>
          </cell>
        </row>
        <row r="7784">
          <cell r="C7784">
            <v>3009493</v>
          </cell>
          <cell r="D7784" t="str">
            <v>PL BOCZ.BL.B B/S/P.CH1</v>
          </cell>
        </row>
        <row r="7785">
          <cell r="C7785">
            <v>3021467</v>
          </cell>
          <cell r="D7785" t="str">
            <v>PL BOCZ.BL.B B/S/P.OK20KG NB MR ST</v>
          </cell>
        </row>
        <row r="7786">
          <cell r="C7786">
            <v>3025044</v>
          </cell>
          <cell r="D7786" t="str">
            <v>PL BOCZ.BL.B B/S/P.PBX1</v>
          </cell>
        </row>
        <row r="7787">
          <cell r="C7787">
            <v>3038723</v>
          </cell>
          <cell r="D7787" t="str">
            <v>PL BOCZ.BL.B B/S/P.OK20KGLUZ PJ ST</v>
          </cell>
        </row>
        <row r="7788">
          <cell r="C7788">
            <v>3023787</v>
          </cell>
          <cell r="D7788" t="str">
            <v>PL BOCZ.BL.B B/S/CZPF.22X56 OK15KGW PJEŁ</v>
          </cell>
        </row>
        <row r="7789">
          <cell r="C7789">
            <v>3022074</v>
          </cell>
          <cell r="D7789" t="str">
            <v>PL BOCZ.BL.B B/S/P.OK20KG NB DMR</v>
          </cell>
        </row>
        <row r="7790">
          <cell r="C7790">
            <v>3022080</v>
          </cell>
          <cell r="D7790" t="str">
            <v>PL BOCZ.BL.B B/S/P.RO1</v>
          </cell>
        </row>
        <row r="7791">
          <cell r="C7791">
            <v>3020367</v>
          </cell>
          <cell r="D7791" t="str">
            <v>PL BOCZ.BL.B B/S/P.CH2</v>
          </cell>
        </row>
        <row r="7792">
          <cell r="C7792">
            <v>3022082</v>
          </cell>
          <cell r="D7792" t="str">
            <v>PL BOCZ.BL.B B/S/P.RO2</v>
          </cell>
        </row>
        <row r="7793">
          <cell r="C7793">
            <v>3025304</v>
          </cell>
          <cell r="D7793" t="str">
            <v>PL BOCZ.BL.B B/S/P.PBX2</v>
          </cell>
        </row>
        <row r="7794">
          <cell r="C7794">
            <v>3017450</v>
          </cell>
          <cell r="D7794" t="str">
            <v>EU BOCZ.BL.B B/S/P.CH</v>
          </cell>
        </row>
        <row r="7795">
          <cell r="C7795">
            <v>3021468</v>
          </cell>
          <cell r="D7795" t="str">
            <v>***EU BOCZ.B BLAT.B/SK.MR</v>
          </cell>
        </row>
        <row r="7796">
          <cell r="C7796">
            <v>3025045</v>
          </cell>
          <cell r="D7796" t="str">
            <v>EU BOCZ.BL.B B/S/P.PBX1</v>
          </cell>
        </row>
        <row r="7797">
          <cell r="C7797">
            <v>3022075</v>
          </cell>
          <cell r="D7797" t="str">
            <v>***EU BOCZ.B BLAT.B/SK.NB DMR</v>
          </cell>
        </row>
        <row r="7798">
          <cell r="C7798">
            <v>3022081</v>
          </cell>
          <cell r="D7798" t="str">
            <v>***EU BOCZ.B BLAT.B/SK.RO1</v>
          </cell>
        </row>
        <row r="7799">
          <cell r="C7799">
            <v>3022083</v>
          </cell>
          <cell r="D7799" t="str">
            <v>***EU BOCZ.B BLAT.B/SK.RO2</v>
          </cell>
        </row>
        <row r="7800">
          <cell r="C7800">
            <v>3025305</v>
          </cell>
          <cell r="D7800" t="str">
            <v>EU BOCZ.BL.B B/S/P.PBX2</v>
          </cell>
        </row>
        <row r="7801">
          <cell r="C7801">
            <v>3039392</v>
          </cell>
          <cell r="D7801" t="str">
            <v>PP BOCZ.BL.B B/S/P.CH</v>
          </cell>
        </row>
        <row r="7802">
          <cell r="C7802">
            <v>3039388</v>
          </cell>
          <cell r="D7802" t="str">
            <v>PP BOCZ.BL.B B/S/P.PBX ST</v>
          </cell>
        </row>
        <row r="7803">
          <cell r="C7803">
            <v>3039389</v>
          </cell>
          <cell r="D7803" t="str">
            <v>PP BOCZ.BL.B B/S/P.OK20KGLUZ PJ ST</v>
          </cell>
        </row>
        <row r="7804">
          <cell r="C7804">
            <v>3009491</v>
          </cell>
          <cell r="D7804" t="str">
            <v>***BOCZ.SZER.BLAT.B/SK KL.U CH</v>
          </cell>
        </row>
        <row r="7805">
          <cell r="C7805">
            <v>3021916</v>
          </cell>
          <cell r="D7805" t="str">
            <v>***PL BOCZ.B BLAT.B/S.GRILL.CH BIED1</v>
          </cell>
        </row>
        <row r="7806">
          <cell r="C7806">
            <v>3027388</v>
          </cell>
          <cell r="D7806" t="str">
            <v>***PL BOCZ.B BLAT.B/SK.GRILL PBX CH BIED</v>
          </cell>
        </row>
        <row r="7807">
          <cell r="C7807">
            <v>3027410</v>
          </cell>
          <cell r="D7807" t="str">
            <v>***PLBOCZ.B BLAT.B/S.GRILLOK15WPJBIEDST</v>
          </cell>
        </row>
        <row r="7808">
          <cell r="C7808">
            <v>3021904</v>
          </cell>
          <cell r="D7808" t="str">
            <v>***PL BOCZ.B BLAT.B/S.GRILL.CH BIED2</v>
          </cell>
        </row>
        <row r="7809">
          <cell r="C7809">
            <v>3021917</v>
          </cell>
          <cell r="D7809" t="str">
            <v>***EU BOCZ.B BLAT.B/S.GRILL.CH BIED1</v>
          </cell>
        </row>
        <row r="7810">
          <cell r="C7810">
            <v>3021903</v>
          </cell>
          <cell r="D7810" t="str">
            <v>***EU BOCZ.B BLAT.B/S.GRILL.CH BIED2</v>
          </cell>
        </row>
        <row r="7811">
          <cell r="C7811">
            <v>3022124</v>
          </cell>
          <cell r="D7811" t="str">
            <v>PL BOCZ.A BLAT.B/S.GRILL.CH BIED1</v>
          </cell>
        </row>
        <row r="7812">
          <cell r="C7812">
            <v>3025434</v>
          </cell>
          <cell r="D7812" t="str">
            <v>***PL BOCZ.A BLAT.B/SK.GRILL NB MR</v>
          </cell>
        </row>
        <row r="7813">
          <cell r="C7813">
            <v>3025416</v>
          </cell>
          <cell r="D7813" t="str">
            <v>***PL BOCZ.A BLAT.B/S..GRILL.PBX BIED1</v>
          </cell>
        </row>
        <row r="7814">
          <cell r="C7814">
            <v>3028704</v>
          </cell>
          <cell r="D7814" t="str">
            <v>***PL BOCZ.A BLAT.B/S.OK15WOR PJ BIED ST</v>
          </cell>
        </row>
        <row r="7815">
          <cell r="C7815">
            <v>3029641</v>
          </cell>
          <cell r="D7815" t="str">
            <v>***PLBOCZ.ABLAT.B/S.GRILL.OK500KGPBXCHST</v>
          </cell>
        </row>
        <row r="7816">
          <cell r="C7816">
            <v>3025433</v>
          </cell>
          <cell r="D7816" t="str">
            <v>***PL BOCZ.A BLAT.B/SK.GRILL NB DMR</v>
          </cell>
        </row>
        <row r="7817">
          <cell r="C7817">
            <v>3025561</v>
          </cell>
          <cell r="D7817" t="str">
            <v>***PL BOCZ.A BLAT.B/SK.GRILL NB RO1</v>
          </cell>
        </row>
        <row r="7818">
          <cell r="C7818">
            <v>3022117</v>
          </cell>
          <cell r="D7818" t="str">
            <v>***PL BOCZ.A BLAT.B/S.GRILL.CH BIED2</v>
          </cell>
        </row>
        <row r="7819">
          <cell r="C7819">
            <v>3025568</v>
          </cell>
          <cell r="D7819" t="str">
            <v>***PL BOCZ.A BLAT.B/SK.GRILL NB RO2</v>
          </cell>
        </row>
        <row r="7820">
          <cell r="C7820">
            <v>3025418</v>
          </cell>
          <cell r="D7820" t="str">
            <v>***PL BOCZ.A BLAT.B/S..GRILL.PBX BIED2</v>
          </cell>
        </row>
        <row r="7821">
          <cell r="C7821">
            <v>3022125</v>
          </cell>
          <cell r="D7821" t="str">
            <v>EU BOCZ.A BLAT.B/S.GRILL.CH BIED1</v>
          </cell>
        </row>
        <row r="7822">
          <cell r="C7822">
            <v>3025417</v>
          </cell>
          <cell r="D7822" t="str">
            <v>***EU BOCZ.A BLAT.B/S.GRILL.PBX CH BIED1</v>
          </cell>
        </row>
        <row r="7823">
          <cell r="C7823">
            <v>3022118</v>
          </cell>
          <cell r="D7823" t="str">
            <v>***EU BOCZ.A BLAT.B/S.GRILL.CH BIED2</v>
          </cell>
        </row>
        <row r="7824">
          <cell r="C7824">
            <v>3025314</v>
          </cell>
          <cell r="D7824" t="str">
            <v>***EU BOCZ.A BLAT.B/S.GRILL.PBX CH BIED2</v>
          </cell>
        </row>
        <row r="7825">
          <cell r="C7825">
            <v>3022127</v>
          </cell>
          <cell r="D7825" t="str">
            <v>***PL BOCZ.A BLAT.B/SK.CH1</v>
          </cell>
        </row>
        <row r="7826">
          <cell r="C7826">
            <v>3022250</v>
          </cell>
          <cell r="D7826" t="str">
            <v>***PL BOCZ.A BLAT.B/SK.CH2</v>
          </cell>
        </row>
        <row r="7827">
          <cell r="C7827">
            <v>3022128</v>
          </cell>
          <cell r="D7827" t="str">
            <v>***EU BOCZ.A BLAT.B/SK.CH1</v>
          </cell>
        </row>
        <row r="7828">
          <cell r="C7828">
            <v>3022252</v>
          </cell>
          <cell r="D7828" t="str">
            <v>***EU BOCZ.A BLAT.B/SK.CH2</v>
          </cell>
        </row>
        <row r="7829">
          <cell r="C7829">
            <v>3021374</v>
          </cell>
          <cell r="D7829" t="str">
            <v>PL BOCZ.BL.B B/S/CZPF.22X56 CH</v>
          </cell>
        </row>
        <row r="7830">
          <cell r="C7830">
            <v>3025046</v>
          </cell>
          <cell r="D7830" t="str">
            <v>PL BOCZ.BL.B B/S/CZPF.22X56 PBX ST1</v>
          </cell>
        </row>
        <row r="7831">
          <cell r="C7831">
            <v>4015496</v>
          </cell>
          <cell r="D7831" t="str">
            <v>***PL BOCZ.B BLAT.B/SK.OK15KGKT MR EX</v>
          </cell>
        </row>
        <row r="7832">
          <cell r="C7832">
            <v>4015841</v>
          </cell>
          <cell r="D7832" t="str">
            <v>PLBOCZ.BLBB/S/CZPF22X56OK1KGVOK4KGKTBIED</v>
          </cell>
        </row>
        <row r="7833">
          <cell r="C7833">
            <v>4019589</v>
          </cell>
          <cell r="D7833" t="str">
            <v>***PL BOCZ.B BLAT.B/S.OK1KGVACOK4KGKT EX</v>
          </cell>
        </row>
        <row r="7834">
          <cell r="C7834">
            <v>4019605</v>
          </cell>
          <cell r="D7834" t="str">
            <v>***PPBO.BL.B B/S/CZPF22X56 1/2STVOK3KGKT</v>
          </cell>
        </row>
        <row r="7835">
          <cell r="C7835">
            <v>4026723</v>
          </cell>
          <cell r="D7835" t="str">
            <v>PLBOCZ.BLB B/S/CZPF22X56OK1KGVOK4KGKT3OB</v>
          </cell>
        </row>
        <row r="7836">
          <cell r="C7836">
            <v>3023425</v>
          </cell>
          <cell r="D7836" t="str">
            <v>***PL BOCZ.B BLAT.B/SK.OK 15KG KT DMR EX</v>
          </cell>
        </row>
        <row r="7837">
          <cell r="C7837">
            <v>3025306</v>
          </cell>
          <cell r="D7837" t="str">
            <v>PL BOCZ.BL.B B/S/CZPF.22X56 PBX ST2</v>
          </cell>
        </row>
        <row r="7838">
          <cell r="C7838">
            <v>3035626</v>
          </cell>
          <cell r="D7838" t="str">
            <v>PP BOCZ.BL.B B/S/CZPF.22X56 CH</v>
          </cell>
        </row>
        <row r="7839">
          <cell r="C7839">
            <v>3032813</v>
          </cell>
          <cell r="D7839" t="str">
            <v>PL BOCZ.BL.B B/S/CZPF.22X56 ROZP1</v>
          </cell>
        </row>
        <row r="7840">
          <cell r="C7840">
            <v>3032815</v>
          </cell>
          <cell r="D7840" t="str">
            <v>PL BOCZ.BL.B B/S/CZPF.22X56 ROZP2</v>
          </cell>
        </row>
        <row r="7841">
          <cell r="C7841">
            <v>3024850</v>
          </cell>
          <cell r="D7841" t="str">
            <v>PL BOCZ.BL.A B/CZP.MC.CH</v>
          </cell>
        </row>
        <row r="7842">
          <cell r="C7842">
            <v>3027886</v>
          </cell>
          <cell r="D7842" t="str">
            <v>PL BOCZ.BL.A B/CZP.MC.OK20KG NB MRBIEDST</v>
          </cell>
        </row>
        <row r="7843">
          <cell r="C7843">
            <v>3026045</v>
          </cell>
          <cell r="D7843" t="str">
            <v>PL BOCZ.BL.A B/CZP.MC.PBX ST1</v>
          </cell>
        </row>
        <row r="7844">
          <cell r="C7844">
            <v>3025328</v>
          </cell>
          <cell r="D7844" t="str">
            <v>PL BOCZ.BL.A B/CZP.MC.PBX EŁ</v>
          </cell>
        </row>
        <row r="7845">
          <cell r="C7845">
            <v>3033921</v>
          </cell>
          <cell r="D7845" t="str">
            <v>***PL BOCZ.A BL.Z/S.OK20KG NB MR K4 ZAK</v>
          </cell>
        </row>
        <row r="7846">
          <cell r="C7846">
            <v>3031836</v>
          </cell>
          <cell r="D7846" t="str">
            <v>***BOCZ.A BL.Z/S/MŚ.SCH.OK500KGPBXK4 ZAK</v>
          </cell>
        </row>
        <row r="7847">
          <cell r="C7847">
            <v>3033563</v>
          </cell>
          <cell r="D7847" t="str">
            <v>PL BOCZ.BL.A B/CZP.MC.OK20KG NB MR K4</v>
          </cell>
        </row>
        <row r="7848">
          <cell r="C7848">
            <v>3029583</v>
          </cell>
          <cell r="D7848" t="str">
            <v>PL BOCZ.BL.A B/CZP.MC.PBX SZ</v>
          </cell>
        </row>
        <row r="7849">
          <cell r="C7849">
            <v>3026556</v>
          </cell>
          <cell r="D7849" t="str">
            <v>PL BOCZ.BL.A B/CZP.MC.OK20KG NB MR EŁ</v>
          </cell>
        </row>
        <row r="7850">
          <cell r="C7850">
            <v>3033565</v>
          </cell>
          <cell r="D7850" t="str">
            <v>PL BOCZ.BL.A B/CZP.MC.PBX K4</v>
          </cell>
        </row>
        <row r="7851">
          <cell r="C7851">
            <v>3044338</v>
          </cell>
          <cell r="D7851" t="str">
            <v>PP BOCZ.BL.A B/CZP.MC.OK20KG NB MR SZ</v>
          </cell>
        </row>
        <row r="7852">
          <cell r="C7852">
            <v>3035901</v>
          </cell>
          <cell r="D7852" t="str">
            <v>PL BOCZ.BL.A B/CZP.MC.PBX 1OB K4</v>
          </cell>
        </row>
        <row r="7853">
          <cell r="C7853">
            <v>3025500</v>
          </cell>
          <cell r="D7853" t="str">
            <v>PL BOCZ.BL.A B/CZP.MC.OK15KGNBMR BIED SZ</v>
          </cell>
        </row>
        <row r="7854">
          <cell r="C7854">
            <v>3040288</v>
          </cell>
          <cell r="D7854" t="str">
            <v>PL BOCZ.BL.A B/CZP.MC.CVP PBX K4</v>
          </cell>
        </row>
        <row r="7855">
          <cell r="C7855">
            <v>3027879</v>
          </cell>
          <cell r="D7855" t="str">
            <v>PL BOCZ.BL.A B/CZP.MC.OK20KG NB DMR BIED</v>
          </cell>
        </row>
        <row r="7856">
          <cell r="C7856">
            <v>3025734</v>
          </cell>
          <cell r="D7856" t="str">
            <v>PL BOCZ.BL.A B/CZP.MC.RO1</v>
          </cell>
        </row>
        <row r="7857">
          <cell r="C7857">
            <v>3025735</v>
          </cell>
          <cell r="D7857" t="str">
            <v>PL BOCZ.BL.A B/CZP.MC.RO2</v>
          </cell>
        </row>
        <row r="7858">
          <cell r="C7858">
            <v>3026521</v>
          </cell>
          <cell r="D7858" t="str">
            <v>PL BOCZ.BL.A B/CZP.MC.PBX ST2</v>
          </cell>
        </row>
        <row r="7859">
          <cell r="C7859">
            <v>3040455</v>
          </cell>
          <cell r="D7859" t="str">
            <v>EU BOCZ.BL.A B/CZP.MC.CH</v>
          </cell>
        </row>
        <row r="7860">
          <cell r="C7860">
            <v>3043288</v>
          </cell>
          <cell r="D7860" t="str">
            <v>EU BOCZ.BL.A BL.B/CZP.MC.PBX1</v>
          </cell>
        </row>
        <row r="7861">
          <cell r="C7861">
            <v>3043289</v>
          </cell>
          <cell r="D7861" t="str">
            <v>EU BOCZ.BL.A BL.B/CZP.MC.PBX2</v>
          </cell>
        </row>
        <row r="7862">
          <cell r="C7862">
            <v>3037707</v>
          </cell>
          <cell r="D7862" t="str">
            <v>PP BOCZ.BL.A B/CZP.MC.CH</v>
          </cell>
        </row>
        <row r="7863">
          <cell r="C7863">
            <v>3039308</v>
          </cell>
          <cell r="D7863" t="str">
            <v>PP BOCZ.BL.A B/CZP.MC.OK20KG NB MRBIEDST</v>
          </cell>
        </row>
        <row r="7864">
          <cell r="C7864">
            <v>3037725</v>
          </cell>
          <cell r="D7864" t="str">
            <v>PP BOCZ.BL.A B/CZP.MC.PBX ST1</v>
          </cell>
        </row>
        <row r="7865">
          <cell r="C7865">
            <v>3043152</v>
          </cell>
          <cell r="D7865" t="str">
            <v>PP BOCZ.BL.A B/CZP.MC.PBX SZ</v>
          </cell>
        </row>
        <row r="7866">
          <cell r="C7866">
            <v>3035551</v>
          </cell>
          <cell r="D7866" t="str">
            <v>PP BOCZ.BL.A B/CZP.MC.PBX K4</v>
          </cell>
        </row>
        <row r="7867">
          <cell r="C7867">
            <v>3039309</v>
          </cell>
          <cell r="D7867" t="str">
            <v>PP BOCZ.BL.A B/CZP.MC.OK20KG NB DMR BIED</v>
          </cell>
        </row>
        <row r="7868">
          <cell r="C7868">
            <v>3039359</v>
          </cell>
          <cell r="D7868" t="str">
            <v>PP BOCZ.BL.A B/CZP.MC.RO1</v>
          </cell>
        </row>
        <row r="7869">
          <cell r="C7869">
            <v>3042011</v>
          </cell>
          <cell r="D7869" t="str">
            <v>PP BOCZ.BL.A B/CZP.MC.RO2</v>
          </cell>
        </row>
        <row r="7870">
          <cell r="C7870">
            <v>3037767</v>
          </cell>
          <cell r="D7870" t="str">
            <v>PP BOCZ.BL.A B/CZP.MC.PBX ST2</v>
          </cell>
        </row>
        <row r="7871">
          <cell r="C7871">
            <v>3031074</v>
          </cell>
          <cell r="D7871" t="str">
            <v>PL BOCZ.BL.A B/CZP.MC.ROZP1</v>
          </cell>
        </row>
        <row r="7872">
          <cell r="C7872">
            <v>3031075</v>
          </cell>
          <cell r="D7872" t="str">
            <v>PL BOCZ.BL.A B/CZP.MC.ROZP2</v>
          </cell>
        </row>
        <row r="7873">
          <cell r="C7873">
            <v>3025963</v>
          </cell>
          <cell r="D7873" t="str">
            <v>***PL BOCZ.BL.A B/S/CZPF.22X56 CH</v>
          </cell>
        </row>
        <row r="7874">
          <cell r="C7874">
            <v>3025988</v>
          </cell>
          <cell r="D7874" t="str">
            <v>***PL.BOCZ.A BLAT.B/SK/CH.PBX CH ST</v>
          </cell>
        </row>
        <row r="7875">
          <cell r="C7875">
            <v>3025964</v>
          </cell>
          <cell r="D7875" t="str">
            <v>***EU BOCZ.BL.A B/S/CZPF.22X56 CH</v>
          </cell>
        </row>
        <row r="7876">
          <cell r="C7876">
            <v>3026046</v>
          </cell>
          <cell r="D7876" t="str">
            <v>***EU BOCZ.A BLAT.B/SK.CH.PBX CH ST</v>
          </cell>
        </row>
        <row r="7877">
          <cell r="C7877">
            <v>3006284</v>
          </cell>
          <cell r="D7877" t="str">
            <v>MŚ.MARM.Z SZYN.CH1</v>
          </cell>
        </row>
        <row r="7878">
          <cell r="C7878">
            <v>3008110</v>
          </cell>
          <cell r="D7878" t="str">
            <v>***M-Ń WP MARMUR. Z SZYN. PB MR ST</v>
          </cell>
        </row>
        <row r="7879">
          <cell r="C7879">
            <v>3025047</v>
          </cell>
          <cell r="D7879" t="str">
            <v>MŚ.MARM.Z SZYN.PBX1</v>
          </cell>
        </row>
        <row r="7880">
          <cell r="C7880">
            <v>3008670</v>
          </cell>
          <cell r="D7880" t="str">
            <v>MŚ.MARM.Z SZYN.OK20KG NB MR ST</v>
          </cell>
        </row>
        <row r="7881">
          <cell r="C7881">
            <v>3010628</v>
          </cell>
          <cell r="D7881" t="str">
            <v>***M-SO WP.DR.KL1 Z SZYN.JAS.MARM.PBMRST</v>
          </cell>
        </row>
        <row r="7882">
          <cell r="C7882">
            <v>3010612</v>
          </cell>
          <cell r="D7882" t="str">
            <v>MŚ.MARM.Z SZYN.OK500KG OKT ST</v>
          </cell>
        </row>
        <row r="7883">
          <cell r="C7883">
            <v>3006292</v>
          </cell>
          <cell r="D7883" t="str">
            <v>***PL MŚ.MARMURK.DMR</v>
          </cell>
        </row>
        <row r="7884">
          <cell r="C7884">
            <v>3008946</v>
          </cell>
          <cell r="D7884" t="str">
            <v>PL MŚ.MARM.Z SZYN.OK20KG NB DMR</v>
          </cell>
        </row>
        <row r="7885">
          <cell r="C7885">
            <v>3008111</v>
          </cell>
          <cell r="D7885" t="str">
            <v>MŚ.MARM.Z SZYN.RO1</v>
          </cell>
        </row>
        <row r="7886">
          <cell r="C7886">
            <v>3020368</v>
          </cell>
          <cell r="D7886" t="str">
            <v>MŚ.MARM.Z SZYN.CH2</v>
          </cell>
        </row>
        <row r="7887">
          <cell r="C7887">
            <v>3020369</v>
          </cell>
          <cell r="D7887" t="str">
            <v>MŚ.MARM.Z SZYN.RO2</v>
          </cell>
        </row>
        <row r="7888">
          <cell r="C7888">
            <v>3025307</v>
          </cell>
          <cell r="D7888" t="str">
            <v>MŚ.MARM.Z SZYN.PBX2</v>
          </cell>
        </row>
        <row r="7889">
          <cell r="C7889">
            <v>3017366</v>
          </cell>
          <cell r="D7889" t="str">
            <v>***EU MŚ.MARMURK.DMR</v>
          </cell>
        </row>
        <row r="7890">
          <cell r="C7890">
            <v>3017429</v>
          </cell>
          <cell r="D7890" t="str">
            <v>***EU MŚ.MARMURK.LUZ DMR</v>
          </cell>
        </row>
        <row r="7891">
          <cell r="C7891">
            <v>3006296</v>
          </cell>
          <cell r="D7891" t="str">
            <v>MŚ.MARMURK.USR</v>
          </cell>
        </row>
        <row r="7892">
          <cell r="C7892">
            <v>3039040</v>
          </cell>
          <cell r="D7892" t="str">
            <v>PP MŚ.MARM.Z SZYN.CH</v>
          </cell>
        </row>
        <row r="7893">
          <cell r="C7893">
            <v>3040194</v>
          </cell>
          <cell r="D7893" t="str">
            <v>PP MŚ.MARM.Z SZYN.PBX ST1</v>
          </cell>
        </row>
        <row r="7894">
          <cell r="C7894">
            <v>3040260</v>
          </cell>
          <cell r="D7894" t="str">
            <v>PP MŚ.MARM.Z SZYN.PBX ST2</v>
          </cell>
        </row>
        <row r="7895">
          <cell r="C7895">
            <v>3023094</v>
          </cell>
          <cell r="D7895" t="str">
            <v>PL BOCZ.BL.B B/S/CZP.25CM CH</v>
          </cell>
        </row>
        <row r="7896">
          <cell r="C7896">
            <v>3040498</v>
          </cell>
          <cell r="D7896" t="str">
            <v>PL BOCZ.BL.B B/S/CZP.25CM PBX ST</v>
          </cell>
        </row>
        <row r="7897">
          <cell r="C7897">
            <v>3040477</v>
          </cell>
          <cell r="D7897" t="str">
            <v>PP BOCZ.BL.B B/S/CZP.25CM CH</v>
          </cell>
        </row>
        <row r="7898">
          <cell r="C7898">
            <v>3040478</v>
          </cell>
          <cell r="D7898" t="str">
            <v>PP BOCZ.BL.B B/S/CZP.25CM PBX ST</v>
          </cell>
        </row>
        <row r="7899">
          <cell r="C7899">
            <v>3041696</v>
          </cell>
          <cell r="D7899" t="str">
            <v>PL BOCZ.BL.A B/CZP.MC.KN CH</v>
          </cell>
        </row>
        <row r="7900">
          <cell r="C7900">
            <v>3041716</v>
          </cell>
          <cell r="D7900" t="str">
            <v>PL BOCZ.BL.A B/CZP.MC.KN PBX1</v>
          </cell>
        </row>
        <row r="7901">
          <cell r="C7901">
            <v>3045067</v>
          </cell>
          <cell r="D7901" t="str">
            <v>PL BOCZ.BL.A B/S.PBX ST</v>
          </cell>
        </row>
        <row r="7902">
          <cell r="C7902">
            <v>3040445</v>
          </cell>
          <cell r="D7902" t="str">
            <v>PP BOCZ.BL.A B/CZP.MC.PBX EŁ</v>
          </cell>
        </row>
        <row r="7903">
          <cell r="C7903">
            <v>3040449</v>
          </cell>
          <cell r="D7903" t="str">
            <v>PP BOCZ.BL.A B/CZP.MC.OK20KG NB MR EŁ</v>
          </cell>
        </row>
        <row r="7904">
          <cell r="C7904">
            <v>3041726</v>
          </cell>
          <cell r="D7904" t="str">
            <v>PL BOCZ.BL.A B/CZP.MC.KN PBX2</v>
          </cell>
        </row>
        <row r="7905">
          <cell r="C7905">
            <v>3041699</v>
          </cell>
          <cell r="D7905" t="str">
            <v>PP BOCZ.BL.A B/CZP.MC.KN CH</v>
          </cell>
        </row>
        <row r="7906">
          <cell r="C7906">
            <v>3041844</v>
          </cell>
          <cell r="D7906" t="str">
            <v>PP BOCZ.BL.A B/CZP.MC.OK20KG NB MR ST</v>
          </cell>
        </row>
        <row r="7907">
          <cell r="C7907">
            <v>3041715</v>
          </cell>
          <cell r="D7907" t="str">
            <v>PP BOCZ.BL.A B/CZP.MC.KN PBX1</v>
          </cell>
        </row>
        <row r="7908">
          <cell r="C7908">
            <v>3041956</v>
          </cell>
          <cell r="D7908" t="str">
            <v>PP BOCZ.BL.A B/CZP.MC.KN OK20KG NB DMR</v>
          </cell>
        </row>
        <row r="7909">
          <cell r="C7909">
            <v>3041819</v>
          </cell>
          <cell r="D7909" t="str">
            <v>PP BOCZ.BL.A B/CZP.MC.KN RO1</v>
          </cell>
        </row>
        <row r="7910">
          <cell r="C7910">
            <v>3041834</v>
          </cell>
          <cell r="D7910" t="str">
            <v>PP BOCZ.BL.A B/CZP.MC.KN RO2</v>
          </cell>
        </row>
        <row r="7911">
          <cell r="C7911">
            <v>3041725</v>
          </cell>
          <cell r="D7911" t="str">
            <v>PP BOCZ.BL.A B/CZP.MC.KN PBX2</v>
          </cell>
        </row>
        <row r="7912">
          <cell r="C7912">
            <v>3042765</v>
          </cell>
          <cell r="D7912" t="str">
            <v>PL BOCZ.BL.C B/P.MAC.CH</v>
          </cell>
        </row>
        <row r="7913">
          <cell r="C7913">
            <v>3042796</v>
          </cell>
          <cell r="D7913" t="str">
            <v>PL BOCZ.BL.C B/P.MAC.PBX1</v>
          </cell>
        </row>
        <row r="7914">
          <cell r="C7914">
            <v>3042890</v>
          </cell>
          <cell r="D7914" t="str">
            <v>PL BOCZ.BL.C B/P.MAC.PBX2</v>
          </cell>
        </row>
        <row r="7915">
          <cell r="C7915">
            <v>3042766</v>
          </cell>
          <cell r="D7915" t="str">
            <v>PP BOCZ.BL.C B/P.MAC.CH</v>
          </cell>
        </row>
        <row r="7916">
          <cell r="C7916">
            <v>3042797</v>
          </cell>
          <cell r="D7916" t="str">
            <v>PP BOCZ.BL.C B/P.MAC.PBX1</v>
          </cell>
        </row>
        <row r="7917">
          <cell r="C7917">
            <v>3042919</v>
          </cell>
          <cell r="D7917" t="str">
            <v>PP BOCZ.BL.C B/P.MAC.PBX2</v>
          </cell>
        </row>
        <row r="7918">
          <cell r="C7918">
            <v>3042767</v>
          </cell>
          <cell r="D7918" t="str">
            <v>PL BOCZ.BL.A B/P.MAC.20CM CH</v>
          </cell>
        </row>
        <row r="7919">
          <cell r="C7919">
            <v>3042798</v>
          </cell>
          <cell r="D7919" t="str">
            <v>PL BOCZ.BL.A B/P.MAC.20CM PBX1</v>
          </cell>
        </row>
        <row r="7920">
          <cell r="C7920">
            <v>3042883</v>
          </cell>
          <cell r="D7920" t="str">
            <v>PL BOCZ.BL.A B/P.MAC.20CM PBX2</v>
          </cell>
        </row>
        <row r="7921">
          <cell r="C7921">
            <v>3042768</v>
          </cell>
          <cell r="D7921" t="str">
            <v>PP BOCZ.BL.A B/P.MAC.20CM CH</v>
          </cell>
        </row>
        <row r="7922">
          <cell r="C7922">
            <v>3042799</v>
          </cell>
          <cell r="D7922" t="str">
            <v>PP BOCZ.BL.A B/P.MAC.20CM PBX1</v>
          </cell>
        </row>
        <row r="7923">
          <cell r="C7923">
            <v>3042920</v>
          </cell>
          <cell r="D7923" t="str">
            <v>PP BOCZ.BL.A B/P.MAC.20CM PBX2</v>
          </cell>
        </row>
        <row r="7924">
          <cell r="C7924">
            <v>3008980</v>
          </cell>
          <cell r="D7924" t="str">
            <v>***PL BOCZ.ŁUS.SZER.B/SK.CH</v>
          </cell>
        </row>
        <row r="7925">
          <cell r="C7925">
            <v>4004065</v>
          </cell>
          <cell r="D7925" t="str">
            <v>***PL BOCZ.ŁUS.SZER.B/SK.LUZ KT</v>
          </cell>
        </row>
        <row r="7926">
          <cell r="C7926">
            <v>4006892</v>
          </cell>
          <cell r="D7926" t="str">
            <v>***PL BOCZ.ŁUS.SZER.B/SK.VAC KT</v>
          </cell>
        </row>
        <row r="7927">
          <cell r="C7927">
            <v>3017344</v>
          </cell>
          <cell r="D7927" t="str">
            <v>EU BOCZ.B ŁUS.SZER.B/SK.CH</v>
          </cell>
        </row>
        <row r="7928">
          <cell r="C7928">
            <v>4011625</v>
          </cell>
          <cell r="D7928" t="str">
            <v>***EU BOCZ.ŁUS.SZER.B/SK.LUZ KT</v>
          </cell>
        </row>
        <row r="7929">
          <cell r="C7929">
            <v>4011676</v>
          </cell>
          <cell r="D7929" t="str">
            <v>***EU BOCZ.ŁUS.SZER.B/SK.VAC KT</v>
          </cell>
        </row>
        <row r="7930">
          <cell r="C7930">
            <v>4009544</v>
          </cell>
          <cell r="D7930" t="str">
            <v>***BOCZ.SZER.ŁUSK.Z/CH B/SK KLS PB MRROS</v>
          </cell>
        </row>
        <row r="7931">
          <cell r="C7931">
            <v>4009543</v>
          </cell>
          <cell r="D7931" t="str">
            <v>***BOCZ.SZER.ŁUSK.Z/CH B/SK KLS MR KTROS</v>
          </cell>
        </row>
        <row r="7932">
          <cell r="C7932">
            <v>3011803</v>
          </cell>
          <cell r="D7932" t="str">
            <v>***BOCZ.SZER.ŁUS.Z/CH B/SK KL.S PB DMR</v>
          </cell>
        </row>
        <row r="7933">
          <cell r="C7933">
            <v>3011795</v>
          </cell>
          <cell r="D7933" t="str">
            <v>***BOCZ.SZER.ŁUS.Z/CH B/SK KLS FOLSTRDMR</v>
          </cell>
        </row>
        <row r="7934">
          <cell r="C7934">
            <v>3011804</v>
          </cell>
          <cell r="D7934" t="str">
            <v>***BOCZ.SZER.ŁUSK. Z/CH B/SK KL.S PB RO</v>
          </cell>
        </row>
        <row r="7935">
          <cell r="C7935">
            <v>3011802</v>
          </cell>
          <cell r="D7935" t="str">
            <v>***BOCZ.SZER.ŁUSK. Z/CH B/SK KL.S KT RO</v>
          </cell>
        </row>
        <row r="7936">
          <cell r="C7936">
            <v>3011794</v>
          </cell>
          <cell r="D7936" t="str">
            <v>***BOCZ.SZER.ŁUSK. Z/CH B/SK KL.S</v>
          </cell>
        </row>
        <row r="7937">
          <cell r="C7937">
            <v>3011793</v>
          </cell>
          <cell r="D7937" t="str">
            <v>***BOCZ.SZER.ŁUSK.Z/CH B/SK KL.S USR</v>
          </cell>
        </row>
        <row r="7938">
          <cell r="C7938">
            <v>3042769</v>
          </cell>
          <cell r="D7938" t="str">
            <v>PL BOCZ.BL.A B/CZP.MC.MAC.CH</v>
          </cell>
        </row>
        <row r="7939">
          <cell r="C7939">
            <v>3042800</v>
          </cell>
          <cell r="D7939" t="str">
            <v>PL BOCZ.BL.A B/CZP.MC.MAC.PBX1</v>
          </cell>
        </row>
        <row r="7940">
          <cell r="C7940">
            <v>4004066</v>
          </cell>
          <cell r="D7940" t="str">
            <v>***BOCZEK Z/ŻEB. SZEROKI LUZ KT</v>
          </cell>
        </row>
        <row r="7941">
          <cell r="C7941">
            <v>3042891</v>
          </cell>
          <cell r="D7941" t="str">
            <v>PL BOCZ.BL.A B/CZP.MC.MAC.PBX2</v>
          </cell>
        </row>
        <row r="7942">
          <cell r="C7942">
            <v>3042770</v>
          </cell>
          <cell r="D7942" t="str">
            <v>PP BOCZ.BL.A B/CZP.MC.MAC.CH</v>
          </cell>
        </row>
        <row r="7943">
          <cell r="C7943">
            <v>3042792</v>
          </cell>
          <cell r="D7943" t="str">
            <v>PP BOCZ.BL.A B/CZP.MC.MAC.PBX1</v>
          </cell>
        </row>
        <row r="7944">
          <cell r="C7944">
            <v>3042930</v>
          </cell>
          <cell r="D7944" t="str">
            <v>PP BOCZ.BL.A B/CZP.MC.MAC.PBX2</v>
          </cell>
        </row>
        <row r="7945">
          <cell r="C7945">
            <v>3024686</v>
          </cell>
          <cell r="D7945" t="str">
            <v>PL BOCZ.BL.A MC.CH1</v>
          </cell>
        </row>
        <row r="7946">
          <cell r="C7946">
            <v>3024814</v>
          </cell>
          <cell r="D7946" t="str">
            <v>PL BOCZ.BL.A MC.CH2</v>
          </cell>
        </row>
        <row r="7947">
          <cell r="C7947">
            <v>3024687</v>
          </cell>
          <cell r="D7947" t="str">
            <v>EU BOCZ.BL.A MC.CH1</v>
          </cell>
        </row>
        <row r="7948">
          <cell r="C7948">
            <v>3024815</v>
          </cell>
          <cell r="D7948" t="str">
            <v>EU BOCZ.BL.A MC.CH2</v>
          </cell>
        </row>
        <row r="7949">
          <cell r="C7949">
            <v>3024688</v>
          </cell>
          <cell r="D7949" t="str">
            <v>PL BOCZ.BL.B MC.CH</v>
          </cell>
        </row>
        <row r="7950">
          <cell r="C7950">
            <v>3024689</v>
          </cell>
          <cell r="D7950" t="str">
            <v>EU BOCZ.BL.B MC.CH</v>
          </cell>
        </row>
        <row r="7951">
          <cell r="C7951">
            <v>3024710</v>
          </cell>
          <cell r="D7951" t="str">
            <v>PL BOCZ.BL.C MC.CH</v>
          </cell>
        </row>
        <row r="7952">
          <cell r="C7952">
            <v>3047475</v>
          </cell>
          <cell r="D7952" t="str">
            <v>PL BOCZ.BL.C MC.PBX ST</v>
          </cell>
        </row>
        <row r="7953">
          <cell r="C7953">
            <v>3024719</v>
          </cell>
          <cell r="D7953" t="str">
            <v>EU BOCZ.BL.C MC.CH</v>
          </cell>
        </row>
        <row r="7954">
          <cell r="C7954">
            <v>4016304</v>
          </cell>
          <cell r="D7954" t="str">
            <v>***PL BOCZ.BL.ABC MC.OK20KGWOR KT MR EX</v>
          </cell>
        </row>
        <row r="7955">
          <cell r="C7955">
            <v>4021682</v>
          </cell>
          <cell r="D7955" t="str">
            <v>***PL BOCZ.ABC OK20KGWOR KT MR ŻST EX</v>
          </cell>
        </row>
        <row r="7956">
          <cell r="C7956">
            <v>3024714</v>
          </cell>
          <cell r="D7956" t="str">
            <v>PL BOCZ.BL.ABC MC.1STFOL OK20KGKT DMR EX</v>
          </cell>
        </row>
        <row r="7957">
          <cell r="C7957">
            <v>3032627</v>
          </cell>
          <cell r="D7957" t="str">
            <v>***PL BOCZ.ABC OK20KGWOR KT DMR ŻST EX</v>
          </cell>
        </row>
        <row r="7958">
          <cell r="C7958">
            <v>4016303</v>
          </cell>
          <cell r="D7958" t="str">
            <v>***EU BOCZ.ABC 1823 OK20KG WOR KT MR EX</v>
          </cell>
        </row>
        <row r="7959">
          <cell r="C7959">
            <v>3024716</v>
          </cell>
          <cell r="D7959" t="str">
            <v>EU BOCZ.ABC 1823 OK20KG WOR KT DMR EX</v>
          </cell>
        </row>
        <row r="7960">
          <cell r="C7960">
            <v>3024712</v>
          </cell>
          <cell r="D7960" t="str">
            <v>PL BOCZ.BL.ABC MC.USR</v>
          </cell>
        </row>
        <row r="7961">
          <cell r="C7961">
            <v>3024713</v>
          </cell>
          <cell r="D7961" t="str">
            <v>EU BOCZ.BL.ABC MC.USR</v>
          </cell>
        </row>
        <row r="7962">
          <cell r="C7962">
            <v>3024717</v>
          </cell>
          <cell r="D7962" t="str">
            <v>PL BOCZ.BL.A MC.KAW.MAX12CM CH1</v>
          </cell>
        </row>
        <row r="7963">
          <cell r="C7963">
            <v>3027890</v>
          </cell>
          <cell r="D7963" t="str">
            <v>PL BOCZ.BL.A MC.KAW.MAX12CM OK15KGNBMRST</v>
          </cell>
        </row>
        <row r="7964">
          <cell r="C7964">
            <v>3025496</v>
          </cell>
          <cell r="D7964" t="str">
            <v>PL BOCZ.BL.A MC.KAW.MAX12CM PBX ST1</v>
          </cell>
        </row>
        <row r="7965">
          <cell r="C7965">
            <v>3030637</v>
          </cell>
          <cell r="D7965" t="str">
            <v>PL BOCZ.BL.A MC.KAW.MAX12CM PBX EŁ</v>
          </cell>
        </row>
        <row r="7966">
          <cell r="C7966">
            <v>3033561</v>
          </cell>
          <cell r="D7966" t="str">
            <v>PL BOCZ.BL.A MC.PBX K4</v>
          </cell>
        </row>
        <row r="7967">
          <cell r="C7967">
            <v>3027887</v>
          </cell>
          <cell r="D7967" t="str">
            <v>PL BOCZ.BL.A MC.KAW.MAX12CM OK15KGNBDMR</v>
          </cell>
        </row>
        <row r="7968">
          <cell r="C7968">
            <v>3028400</v>
          </cell>
          <cell r="D7968" t="str">
            <v>PL BOCZ.BL.A MC.KAW.MAX12CM RO1</v>
          </cell>
        </row>
        <row r="7969">
          <cell r="C7969">
            <v>3025326</v>
          </cell>
          <cell r="D7969" t="str">
            <v>PL BOCZ.BL.A MC.KAW.MAX12CM CH2</v>
          </cell>
        </row>
        <row r="7970">
          <cell r="C7970">
            <v>3028402</v>
          </cell>
          <cell r="D7970" t="str">
            <v>PL BOCZ.BL.A MC.KAW.MAX12CM RO2</v>
          </cell>
        </row>
        <row r="7971">
          <cell r="C7971">
            <v>3025498</v>
          </cell>
          <cell r="D7971" t="str">
            <v>PL BOCZ.BL.A MC.KAW.MAX12CM PBX ST2</v>
          </cell>
        </row>
        <row r="7972">
          <cell r="C7972">
            <v>3024715</v>
          </cell>
          <cell r="D7972" t="str">
            <v>***EU BOCZ.BL.A MC.KAW.MAX12CM CH</v>
          </cell>
        </row>
        <row r="7973">
          <cell r="C7973">
            <v>3018265</v>
          </cell>
          <cell r="D7973" t="str">
            <v>PL BOCZ.BL.B B/S/CZPF.24X52 CH</v>
          </cell>
        </row>
        <row r="7974">
          <cell r="C7974">
            <v>3026026</v>
          </cell>
          <cell r="D7974" t="str">
            <v>***PL BOCZ.BL.B B/S/CZPF.22X52 PBX ST</v>
          </cell>
        </row>
        <row r="7975">
          <cell r="C7975">
            <v>3027478</v>
          </cell>
          <cell r="D7975" t="str">
            <v>***PLBOCZ.BL.BB/S/CZPF.22X52OK700KGOKTST</v>
          </cell>
        </row>
        <row r="7976">
          <cell r="C7976">
            <v>3041305</v>
          </cell>
          <cell r="D7976" t="str">
            <v>***PP BOCZ.BL.B B/S/CZPF.24X45 CH</v>
          </cell>
        </row>
        <row r="7977">
          <cell r="C7977">
            <v>3041239</v>
          </cell>
          <cell r="D7977" t="str">
            <v>***PP BOCZ.BL.B B/S/CZPF.22X52 PBX ST</v>
          </cell>
        </row>
        <row r="7978">
          <cell r="C7978">
            <v>3012584</v>
          </cell>
          <cell r="D7978" t="str">
            <v>PL BOCZ.BL.B B/S.CH US</v>
          </cell>
        </row>
        <row r="7979">
          <cell r="C7979">
            <v>3026230</v>
          </cell>
          <cell r="D7979" t="str">
            <v>***EU BOCZ.BL.B B/S.CH US</v>
          </cell>
        </row>
        <row r="7980">
          <cell r="C7980">
            <v>3008891</v>
          </cell>
          <cell r="D7980" t="str">
            <v>***BOCZ.ŁUS. B/SK/CHRZ KL.E CH</v>
          </cell>
        </row>
        <row r="7981">
          <cell r="C7981">
            <v>4008157</v>
          </cell>
          <cell r="D7981" t="str">
            <v>***BOCZ.ŁUS.B/S CHRZ.KLE FOL4STKT MR KOR</v>
          </cell>
        </row>
        <row r="7982">
          <cell r="C7982">
            <v>3008962</v>
          </cell>
          <cell r="D7982" t="str">
            <v>***BOCZ.ŁUSK.B/S/CHRZ.KL.E KT DMR</v>
          </cell>
        </row>
        <row r="7983">
          <cell r="C7983">
            <v>3010589</v>
          </cell>
          <cell r="D7983" t="str">
            <v>***BOCZ.ŁUS.B/SCHRZ.KL.E FOL4ST KT KORRO</v>
          </cell>
        </row>
        <row r="7984">
          <cell r="C7984">
            <v>3009214</v>
          </cell>
          <cell r="D7984" t="str">
            <v>***BOCZ.ŁUSK.B/SK/CHRZ.KL.E PL</v>
          </cell>
        </row>
        <row r="7985">
          <cell r="C7985">
            <v>3008890</v>
          </cell>
          <cell r="D7985" t="str">
            <v>***BOCZ.ŁUS. B/SK/CHRZ KL.E USR CH</v>
          </cell>
        </row>
        <row r="7986">
          <cell r="C7986">
            <v>3009215</v>
          </cell>
          <cell r="D7986" t="str">
            <v>***BOCZ.ŁUSK.B/SK/CHRZ. UŚR</v>
          </cell>
        </row>
        <row r="7987">
          <cell r="C7987">
            <v>3008112</v>
          </cell>
          <cell r="D7987" t="str">
            <v>***M-Ń SZYN.ODBŁ.JASNE PL CH</v>
          </cell>
        </row>
        <row r="7988">
          <cell r="C7988">
            <v>3008113</v>
          </cell>
          <cell r="D7988" t="str">
            <v>***M-Ń SZYN.ODBŁ.JASNE PL NB MR</v>
          </cell>
        </row>
        <row r="7989">
          <cell r="C7989">
            <v>3008114</v>
          </cell>
          <cell r="D7989" t="str">
            <v>***M-Ń SZYN.ODBŁ.JASNE PL NB DMR</v>
          </cell>
        </row>
        <row r="7990">
          <cell r="C7990">
            <v>3008115</v>
          </cell>
          <cell r="D7990" t="str">
            <v>***M-Ń SZYN.ODBŁ.JASNE PL NB RO</v>
          </cell>
        </row>
        <row r="7991">
          <cell r="C7991">
            <v>3008116</v>
          </cell>
          <cell r="D7991" t="str">
            <v>***M-Ń SZYN.ODBŁ.CIEMNE PL CH</v>
          </cell>
        </row>
        <row r="7992">
          <cell r="C7992">
            <v>3008117</v>
          </cell>
          <cell r="D7992" t="str">
            <v>***M-Ń SZYN.ODBŁ.CIEMNE PL NB MR</v>
          </cell>
        </row>
        <row r="7993">
          <cell r="C7993">
            <v>3008118</v>
          </cell>
          <cell r="D7993" t="str">
            <v>***M-Ń SZYN.ODBŁ.CIEMNE PL NB DMR</v>
          </cell>
        </row>
        <row r="7994">
          <cell r="C7994">
            <v>3008119</v>
          </cell>
          <cell r="D7994" t="str">
            <v>***M-Ń SZYN.ODBŁ.CIEMNE PL NB RO</v>
          </cell>
        </row>
        <row r="7995">
          <cell r="C7995">
            <v>3027504</v>
          </cell>
          <cell r="D7995" t="str">
            <v>***PL BOCZ.BL.A B/S/CZPF.24X45 CH</v>
          </cell>
        </row>
        <row r="7996">
          <cell r="C7996">
            <v>3027505</v>
          </cell>
          <cell r="D7996" t="str">
            <v>***PL BOCZ.BL.A B/S/CZPF.24X45 PBX</v>
          </cell>
        </row>
        <row r="7997">
          <cell r="C7997">
            <v>4021448</v>
          </cell>
          <cell r="D7997" t="str">
            <v>***PL BOCZ.BL.A B/S/CZPF.24X45OK700KGOKT</v>
          </cell>
        </row>
        <row r="7998">
          <cell r="C7998">
            <v>3027507</v>
          </cell>
          <cell r="D7998" t="str">
            <v>***PL BOCZ.BL.A B/S/CZPF.24X45 PBX ST</v>
          </cell>
        </row>
        <row r="7999">
          <cell r="C7999">
            <v>3028103</v>
          </cell>
          <cell r="D7999" t="str">
            <v>PL BOCZ.ŁU.A B/P/M.20X52 CH</v>
          </cell>
        </row>
        <row r="8000">
          <cell r="C8000">
            <v>4026239</v>
          </cell>
          <cell r="D8000" t="str">
            <v>PL BOCZ.ŁU.A B/P/M.20X52 1STVAC OK12KGKT</v>
          </cell>
        </row>
        <row r="8001">
          <cell r="C8001">
            <v>4031162</v>
          </cell>
          <cell r="D8001" t="str">
            <v>PL BOCZ.ŁU.A B/P/M.20X52 1/2STV OK20KGKT</v>
          </cell>
        </row>
        <row r="8002">
          <cell r="C8002">
            <v>3028374</v>
          </cell>
          <cell r="D8002" t="str">
            <v>PL BOCZ.ŁU.A B/P/M.20X52 OK15KGWOR PJ ST</v>
          </cell>
        </row>
        <row r="8003">
          <cell r="C8003">
            <v>3008830</v>
          </cell>
          <cell r="D8003" t="str">
            <v>***BOCZ.BLAT.SZER.B/SK</v>
          </cell>
        </row>
        <row r="8004">
          <cell r="C8004">
            <v>3008120</v>
          </cell>
          <cell r="D8004" t="str">
            <v>***BOCZ.BLAT.WĄSKB/SK15KGWOR PJCH MORLST</v>
          </cell>
        </row>
        <row r="8005">
          <cell r="C8005">
            <v>3008831</v>
          </cell>
          <cell r="D8005" t="str">
            <v>***BOCZ.ŁUS.WĄSK.Z/SK/CHRZ BIED</v>
          </cell>
        </row>
        <row r="8006">
          <cell r="C8006">
            <v>3010575</v>
          </cell>
          <cell r="D8006" t="str">
            <v>***BOCZ.A ŁUS.WĄS.Z/SK/CH.BIED NB MR ST</v>
          </cell>
        </row>
        <row r="8007">
          <cell r="C8007">
            <v>4009771</v>
          </cell>
          <cell r="D8007" t="str">
            <v>***PL BOCZ.B/K.OK700G MAP OK5.6KG KT JMD</v>
          </cell>
        </row>
        <row r="8008">
          <cell r="C8008">
            <v>3009277</v>
          </cell>
          <cell r="D8008" t="str">
            <v>***PL BOCZ.ŁUS.Z/SK/CH.MDP MR BIED SZ</v>
          </cell>
        </row>
        <row r="8009">
          <cell r="C8009">
            <v>3021383</v>
          </cell>
          <cell r="D8009" t="str">
            <v>PL BOCZ.ŁU.A B/P/M.20CM OK20KGPBMRBIEDEŁ</v>
          </cell>
        </row>
        <row r="8010">
          <cell r="C8010">
            <v>3002592</v>
          </cell>
          <cell r="D8010" t="str">
            <v>BOCZEK ŁUSK.Z/S CHRZ. LUZ PJ BIEDR.OW ST</v>
          </cell>
        </row>
        <row r="8011">
          <cell r="C8011">
            <v>3010576</v>
          </cell>
          <cell r="D8011" t="str">
            <v>***BOCZ.A ŁUS.WĄS.Z/SK/CH.BIED NB DMR</v>
          </cell>
        </row>
        <row r="8012">
          <cell r="C8012">
            <v>3010574</v>
          </cell>
          <cell r="D8012" t="str">
            <v>***BOCZ.A ŁUS.WĄS.Z/SK/CH.BIED NB RO1</v>
          </cell>
        </row>
        <row r="8013">
          <cell r="C8013">
            <v>3013607</v>
          </cell>
          <cell r="D8013" t="str">
            <v>***BOCZ.ŁUS.Z/SK/CH OK.20KG WOR RO</v>
          </cell>
        </row>
        <row r="8014">
          <cell r="C8014">
            <v>3020370</v>
          </cell>
          <cell r="D8014" t="str">
            <v>***BOCZ.A ŁUS.WĄS.Z/SK/CH.BIED NB RO2</v>
          </cell>
        </row>
        <row r="8015">
          <cell r="C8015">
            <v>3026491</v>
          </cell>
          <cell r="D8015" t="str">
            <v>PL BOCZ.BL.B B/CZP.MC.1/3ST CH</v>
          </cell>
        </row>
        <row r="8016">
          <cell r="C8016">
            <v>4017600</v>
          </cell>
          <cell r="D8016" t="str">
            <v>***PL BOCZ.B BLAT.Z/S.OK5KGMAPOK10KGKT K</v>
          </cell>
        </row>
        <row r="8017">
          <cell r="C8017">
            <v>4017614</v>
          </cell>
          <cell r="D8017" t="str">
            <v>PL BOCZ.BL.B B/CZP.MC.MAX5KGVOK15KGPJSTO</v>
          </cell>
        </row>
        <row r="8018">
          <cell r="C8018">
            <v>4017613</v>
          </cell>
          <cell r="D8018" t="str">
            <v>PL BOCZ.BL.B B/CZP.MC.OK5KGV OK10KGKTPIP</v>
          </cell>
        </row>
        <row r="8019">
          <cell r="C8019">
            <v>4017651</v>
          </cell>
          <cell r="D8019" t="str">
            <v>***PLBOCZ.B BLAT.Z/S.OK5KGVACOK10KGKTSEL</v>
          </cell>
        </row>
        <row r="8020">
          <cell r="C8020">
            <v>3042537</v>
          </cell>
          <cell r="D8020" t="str">
            <v>PL BOCZ.BL.B B/CZP.MC.PBX EŁ</v>
          </cell>
        </row>
        <row r="8021">
          <cell r="C8021">
            <v>3026492</v>
          </cell>
          <cell r="D8021" t="str">
            <v>EU BOCZ.BL.B B/CZP.MC.1/3ST CH</v>
          </cell>
        </row>
        <row r="8022">
          <cell r="C8022">
            <v>4017439</v>
          </cell>
          <cell r="D8022" t="str">
            <v>***EU BOCZ.B BLAT.Z/S.OK5KGMAPOK10KGKT K</v>
          </cell>
        </row>
        <row r="8023">
          <cell r="C8023">
            <v>4017615</v>
          </cell>
          <cell r="D8023" t="str">
            <v>***EUBOCZ.B BLAT.Z/S.OK5KGVACOK15KGKTSTO</v>
          </cell>
        </row>
        <row r="8024">
          <cell r="C8024">
            <v>4017612</v>
          </cell>
          <cell r="D8024" t="str">
            <v>***EUBOCZ.B BLAT.Z/S.OK5KGVACOK10KGKTPIP</v>
          </cell>
        </row>
        <row r="8025">
          <cell r="C8025">
            <v>4017650</v>
          </cell>
          <cell r="D8025" t="str">
            <v>***EUBOCZ.B BLAT.Z/S.OK5KGVACOK10KGKTSEL</v>
          </cell>
        </row>
        <row r="8026">
          <cell r="C8026">
            <v>3015935</v>
          </cell>
          <cell r="D8026" t="str">
            <v>PL BOCZ.ŁU.B B/P/M.20CM CH1</v>
          </cell>
        </row>
        <row r="8027">
          <cell r="C8027">
            <v>3025048</v>
          </cell>
          <cell r="D8027" t="str">
            <v>**PL BOCZ.B ŁUS.Z/SK/CH.20+/-2CM PBX CH1</v>
          </cell>
        </row>
        <row r="8028">
          <cell r="C8028">
            <v>4026471</v>
          </cell>
          <cell r="D8028" t="str">
            <v>PL BOCZ.ŁU.B B/P/M.20CM OK15KGWOR KT</v>
          </cell>
        </row>
        <row r="8029">
          <cell r="C8029">
            <v>4015397</v>
          </cell>
          <cell r="D8029" t="str">
            <v>***PL BOCZ.B ŁUS.Z/SK/CH.OK20KG KT MR EX</v>
          </cell>
        </row>
        <row r="8030">
          <cell r="C8030">
            <v>4013485</v>
          </cell>
          <cell r="D8030" t="str">
            <v>PL BOCZ.ŁU.B B/P/M.20CM 2STMAP 2STKTKAUF</v>
          </cell>
        </row>
        <row r="8031">
          <cell r="C8031">
            <v>4013713</v>
          </cell>
          <cell r="D8031" t="str">
            <v>***PL BOCZ.B ŁUS.OK1KGVAC OK4.2KGKT MOR</v>
          </cell>
        </row>
        <row r="8032">
          <cell r="C8032">
            <v>4026447</v>
          </cell>
          <cell r="D8032" t="str">
            <v>PL BOCZ.ŁU.B B/P/M.20CM 1STVAC OK15KGKT</v>
          </cell>
        </row>
        <row r="8033">
          <cell r="C8033">
            <v>3014570</v>
          </cell>
          <cell r="D8033" t="str">
            <v>***BOCZ.A ŁUS.Z/SK/CH.16-22/45 PJ CH ST</v>
          </cell>
        </row>
        <row r="8034">
          <cell r="C8034">
            <v>3014820</v>
          </cell>
          <cell r="D8034" t="str">
            <v>PL BOCZ.ŁU.B B/P/M.OK20KG PB MR EŁ</v>
          </cell>
        </row>
        <row r="8035">
          <cell r="C8035">
            <v>3015127</v>
          </cell>
          <cell r="D8035" t="str">
            <v>PL BOCZ.ŁU.B B/P/M.20CM PBX BIED EŁ</v>
          </cell>
        </row>
        <row r="8036">
          <cell r="C8036">
            <v>3023274</v>
          </cell>
          <cell r="D8036" t="str">
            <v>**PL BOCZ.B ŁUS.Z/SK/CH.OK20KG KT DMR EX</v>
          </cell>
        </row>
        <row r="8037">
          <cell r="C8037">
            <v>3020371</v>
          </cell>
          <cell r="D8037" t="str">
            <v>PL BOCZ.ŁU.B B/P/M.20CM CH2</v>
          </cell>
        </row>
        <row r="8038">
          <cell r="C8038">
            <v>3025308</v>
          </cell>
          <cell r="D8038" t="str">
            <v>**PL BOCZ.B ŁUS.Z/SK/CH.20+/-2CM PBX CH2</v>
          </cell>
        </row>
        <row r="8039">
          <cell r="C8039">
            <v>3017770</v>
          </cell>
          <cell r="D8039" t="str">
            <v>EU BOCZ.ŁU.B B/P/M.20CM CH1</v>
          </cell>
        </row>
        <row r="8040">
          <cell r="C8040">
            <v>3025049</v>
          </cell>
          <cell r="D8040" t="str">
            <v>***EU BOCZ.B ŁUS.Z/SK/CH.20+/-2CM PBXCH1</v>
          </cell>
        </row>
        <row r="8041">
          <cell r="C8041">
            <v>4026472</v>
          </cell>
          <cell r="D8041" t="str">
            <v>EU BOCZ.ŁU.B B/P/M.20CM OK15KGWOR KT</v>
          </cell>
        </row>
        <row r="8042">
          <cell r="C8042">
            <v>4013486</v>
          </cell>
          <cell r="D8042" t="str">
            <v>***EUBOCZ.B ŁUS.Z/SK/CH.2STRMM2STKT KAUF</v>
          </cell>
        </row>
        <row r="8043">
          <cell r="C8043">
            <v>4013712</v>
          </cell>
          <cell r="D8043" t="str">
            <v>***EU BOCZ.B ŁUS.OK1KGVAC OK4.2KGKT MOR</v>
          </cell>
        </row>
        <row r="8044">
          <cell r="C8044">
            <v>4026448</v>
          </cell>
          <cell r="D8044" t="str">
            <v>EU BOCZ.ŁU.B B/P/M.20CM 1STVAC OK15KGKT</v>
          </cell>
        </row>
        <row r="8045">
          <cell r="C8045">
            <v>3020372</v>
          </cell>
          <cell r="D8045" t="str">
            <v>EU BOCZ.ŁU.B B/P/M.20CM CH2</v>
          </cell>
        </row>
        <row r="8046">
          <cell r="C8046">
            <v>3025309</v>
          </cell>
          <cell r="D8046" t="str">
            <v>***EU BOCZ.B ŁUS.Z/SK/CH.20+/-2CM PBXCH2</v>
          </cell>
        </row>
        <row r="8047">
          <cell r="C8047">
            <v>3019064</v>
          </cell>
          <cell r="D8047" t="str">
            <v>BOCZ.ŁU.B B/P/M.20CM ROZP1</v>
          </cell>
        </row>
        <row r="8048">
          <cell r="C8048">
            <v>3020373</v>
          </cell>
          <cell r="D8048" t="str">
            <v>BOCZ.ŁU.B B/P/M.20CM ROZP2</v>
          </cell>
        </row>
        <row r="8049">
          <cell r="C8049">
            <v>3009444</v>
          </cell>
          <cell r="D8049" t="str">
            <v>***BOCZ.BLAT.WĄS.Z/SK GRILL USR</v>
          </cell>
        </row>
        <row r="8050">
          <cell r="C8050">
            <v>3009446</v>
          </cell>
          <cell r="D8050" t="str">
            <v>***BOCZ.BLAT.WĄS.Z/SK GRILL NB MR</v>
          </cell>
        </row>
        <row r="8051">
          <cell r="C8051">
            <v>3008121</v>
          </cell>
          <cell r="D8051" t="str">
            <v>***BOCZ.BL.B B/P.ZAK</v>
          </cell>
        </row>
        <row r="8052">
          <cell r="C8052">
            <v>3009445</v>
          </cell>
          <cell r="D8052" t="str">
            <v>***BOCZ.BLAT.WĄS.Z/SK GRILL NB DMR</v>
          </cell>
        </row>
        <row r="8053">
          <cell r="C8053">
            <v>3009442</v>
          </cell>
          <cell r="D8053" t="str">
            <v>***BOCZ.BLAT.WĄS.Z/SK GRILL NB RO</v>
          </cell>
        </row>
        <row r="8054">
          <cell r="C8054">
            <v>3009443</v>
          </cell>
          <cell r="D8054" t="str">
            <v>***BOCZ.BLAT.WĄS.Z/SK GRILL KL.S CH</v>
          </cell>
        </row>
        <row r="8055">
          <cell r="C8055">
            <v>3008122</v>
          </cell>
          <cell r="D8055" t="str">
            <v>***PL BOCZ.BLAT.WĄS.Z/SK.GRILL CH</v>
          </cell>
        </row>
        <row r="8056">
          <cell r="C8056">
            <v>3017421</v>
          </cell>
          <cell r="D8056" t="str">
            <v>***EU BOCZ.BLAT.WĄS.Z/SK.GRILL CH</v>
          </cell>
        </row>
        <row r="8057">
          <cell r="C8057">
            <v>3008123</v>
          </cell>
          <cell r="D8057" t="str">
            <v>***BOCZ.BLAT.WĄS.Z/SK GRILL KROJ. CH</v>
          </cell>
        </row>
        <row r="8058">
          <cell r="C8058">
            <v>3008124</v>
          </cell>
          <cell r="D8058" t="str">
            <v>***BOCZ.BLAT.WĄS.Z/SK GRILL KR.FANTOM CH</v>
          </cell>
        </row>
        <row r="8059">
          <cell r="C8059">
            <v>4007271</v>
          </cell>
          <cell r="D8059" t="str">
            <v>***VEPROVA KYTA BEZ KOSTI-VCELKU1KGMAPL</v>
          </cell>
        </row>
        <row r="8060">
          <cell r="C8060">
            <v>4008166</v>
          </cell>
          <cell r="D8060" t="str">
            <v>***SZYNKA B/K MŚN/OBR1KG MAP6KG KTLIDLSK</v>
          </cell>
        </row>
        <row r="8061">
          <cell r="C8061">
            <v>3041555</v>
          </cell>
          <cell r="D8061" t="str">
            <v>PL BOCZ.BL.A B/S.CH</v>
          </cell>
        </row>
        <row r="8062">
          <cell r="C8062">
            <v>3046571</v>
          </cell>
          <cell r="D8062" t="str">
            <v>PL BOCZ.BL.A B/S.OK20KG NB MR</v>
          </cell>
        </row>
        <row r="8063">
          <cell r="C8063">
            <v>3046795</v>
          </cell>
          <cell r="D8063" t="str">
            <v>PL BOCZ.BL.A B/S.PBX1</v>
          </cell>
        </row>
        <row r="8064">
          <cell r="C8064">
            <v>3046588</v>
          </cell>
          <cell r="D8064" t="str">
            <v>PL BOCZ.BL.A B/S.OK20KG PB MR</v>
          </cell>
        </row>
        <row r="8065">
          <cell r="C8065">
            <v>4007272</v>
          </cell>
          <cell r="D8065" t="str">
            <v>***VEPROVA - RIZKY 450G MAP L</v>
          </cell>
        </row>
        <row r="8066">
          <cell r="C8066">
            <v>4008167</v>
          </cell>
          <cell r="D8066" t="str">
            <v>***SZNYCEL WP.PL450G MAP5.4KG KT LIDL SK</v>
          </cell>
        </row>
        <row r="8067">
          <cell r="C8067">
            <v>3045067</v>
          </cell>
          <cell r="D8067" t="str">
            <v>PL BOCZ.BL.A B/S.PBX ST</v>
          </cell>
        </row>
        <row r="8068">
          <cell r="C8068">
            <v>3041524</v>
          </cell>
          <cell r="D8068" t="str">
            <v>PL BOCZ.BL.A B/S.PBX K4</v>
          </cell>
        </row>
        <row r="8069">
          <cell r="C8069">
            <v>3046570</v>
          </cell>
          <cell r="D8069" t="str">
            <v>PL BOCZ.BL.A B/S.OK20KG NB DMR</v>
          </cell>
        </row>
        <row r="8070">
          <cell r="C8070">
            <v>3046589</v>
          </cell>
          <cell r="D8070" t="str">
            <v>PL BOCZ.BL.A B/S.OK20KG PB DMR</v>
          </cell>
        </row>
        <row r="8071">
          <cell r="C8071">
            <v>3046796</v>
          </cell>
          <cell r="D8071" t="str">
            <v>PL BOCZ.BL.A B/S.PBX2</v>
          </cell>
        </row>
        <row r="8072">
          <cell r="C8072">
            <v>4007273</v>
          </cell>
          <cell r="D8072" t="str">
            <v>***VEPR.KRKOVICE B/KOSTI PLATKY375GMAP L</v>
          </cell>
        </row>
        <row r="8073">
          <cell r="C8073">
            <v>4008169</v>
          </cell>
          <cell r="D8073" t="str">
            <v>***KARK.B/K PL375G MAP 2.25KG KT LIDL SK</v>
          </cell>
        </row>
        <row r="8074">
          <cell r="C8074">
            <v>4007274</v>
          </cell>
          <cell r="D8074" t="str">
            <v>***VEPROVA PLEC B/KOSTI-VCELKU 1KG MAP L</v>
          </cell>
        </row>
        <row r="8075">
          <cell r="C8075">
            <v>4008168</v>
          </cell>
          <cell r="D8075" t="str">
            <v>***ŁOPATKA4D B/K PC1KG MAP 6KGKT LIDL SK</v>
          </cell>
        </row>
        <row r="8076">
          <cell r="C8076">
            <v>4007275</v>
          </cell>
          <cell r="D8076" t="str">
            <v>**VEPR.KOSTKY NA GULAS Z KYTY500G MAP L</v>
          </cell>
        </row>
        <row r="8077">
          <cell r="C8077">
            <v>4008181</v>
          </cell>
          <cell r="D8077" t="str">
            <v>***GULASZ Z/SZYNKI 500G MAP 3KG KT LIDL</v>
          </cell>
        </row>
        <row r="8078">
          <cell r="C8078">
            <v>3030717</v>
          </cell>
          <cell r="D8078" t="str">
            <v>PL BOCZ.BL.B MC.KAW.MAX12CM CH</v>
          </cell>
        </row>
        <row r="8079">
          <cell r="C8079">
            <v>3030718</v>
          </cell>
          <cell r="D8079" t="str">
            <v>PL BOCZ.BL.B MC.KAW.MAX12CM PBX ST</v>
          </cell>
        </row>
        <row r="8080">
          <cell r="C8080">
            <v>3031960</v>
          </cell>
          <cell r="D8080" t="str">
            <v>***BOCZ.B BL.Z/S/P/M.SCH.10-12CMPBXK4ZAK</v>
          </cell>
        </row>
        <row r="8081">
          <cell r="C8081">
            <v>4007276</v>
          </cell>
          <cell r="D8081" t="str">
            <v>***VEPROVA PECENE S KOSTI PLATKY750GMAPL</v>
          </cell>
        </row>
        <row r="8082">
          <cell r="C8082">
            <v>4008182</v>
          </cell>
          <cell r="D8082" t="str">
            <v>***SCHAB  Z/K PL 750G MAP 3KG KT LIDL SK</v>
          </cell>
        </row>
        <row r="8083">
          <cell r="C8083">
            <v>4007277</v>
          </cell>
          <cell r="D8083" t="str">
            <v>***VEPR.KRKOVICE S KOSTI PLATKY750GMAP L</v>
          </cell>
        </row>
        <row r="8084">
          <cell r="C8084">
            <v>4008183</v>
          </cell>
          <cell r="D8084" t="str">
            <v>***KARK.WP.Z/K PL750G MAP 3KG KT LIDL S</v>
          </cell>
        </row>
        <row r="8085">
          <cell r="C8085">
            <v>4007278</v>
          </cell>
          <cell r="D8085" t="str">
            <v>***VEPR.KRKOVICE B/KOSTI-VCELKU750GMAP L</v>
          </cell>
        </row>
        <row r="8086">
          <cell r="C8086">
            <v>4008184</v>
          </cell>
          <cell r="D8086" t="str">
            <v>***KARK.WP.B/K PC 750G MAP 4.5KG KT LIDL</v>
          </cell>
        </row>
        <row r="8087">
          <cell r="C8087">
            <v>4007279</v>
          </cell>
          <cell r="D8087" t="str">
            <v>***VEPR.PECENE BEZ KOSTI PLATKY320GMAP L</v>
          </cell>
        </row>
        <row r="8088">
          <cell r="C8088">
            <v>4008165</v>
          </cell>
          <cell r="D8088" t="str">
            <v>***SCHAB WP.B/K PL320GMAP 3.84KG KT LIDL</v>
          </cell>
        </row>
        <row r="8089">
          <cell r="C8089">
            <v>4007311</v>
          </cell>
          <cell r="D8089" t="str">
            <v>***VEPROVY BOK S KOSTI 1KG MAP L</v>
          </cell>
        </row>
        <row r="8090">
          <cell r="C8090">
            <v>4008164</v>
          </cell>
          <cell r="D8090" t="str">
            <v>***BOCZEK WP.Z/Ż PC1KG MAP 4KGKT LIDL SK</v>
          </cell>
        </row>
        <row r="8091">
          <cell r="C8091">
            <v>4012745</v>
          </cell>
          <cell r="D8091" t="str">
            <v>***BOCZ.B SZER.Z/Ż/SK.B/TŁ.PACH.PB MR EX</v>
          </cell>
        </row>
        <row r="8092">
          <cell r="C8092">
            <v>4012706</v>
          </cell>
          <cell r="D8092" t="str">
            <v>***PL BOCZ.B SZER.Z/Ż/SK.1STTRMOK15KG KT</v>
          </cell>
        </row>
        <row r="8093">
          <cell r="C8093">
            <v>3008676</v>
          </cell>
          <cell r="D8093" t="str">
            <v>***PL BOCZ.B B/P.OK15KGWOR PJ ST</v>
          </cell>
        </row>
        <row r="8094">
          <cell r="C8094">
            <v>4009756</v>
          </cell>
          <cell r="D8094" t="str">
            <v>***PL BOCZ.B SZER.Z/Ż/S.B/TŁ.PACH.WOR PJ</v>
          </cell>
        </row>
        <row r="8095">
          <cell r="C8095">
            <v>4007361</v>
          </cell>
          <cell r="D8095" t="str">
            <v>***PL BOCZ.B SZER.Z/Ż/S.B/TŁ.PACHW.OKTCH</v>
          </cell>
        </row>
        <row r="8096">
          <cell r="C8096">
            <v>3018435</v>
          </cell>
          <cell r="D8096" t="str">
            <v>***BOCZ.B SZER.Z/Ż/S.B/TŁ.PACH.PBDMR EX</v>
          </cell>
        </row>
        <row r="8097">
          <cell r="C8097">
            <v>4012707</v>
          </cell>
          <cell r="D8097" t="str">
            <v>***EU BOCZ.B SZER.Z/Ż/SK.1STTRMOK15KG KT</v>
          </cell>
        </row>
        <row r="8098">
          <cell r="C8098">
            <v>4011967</v>
          </cell>
          <cell r="D8098" t="str">
            <v>***EU BOCZ.B SZER.Z/Ż/S.B/TŁ.PACH.WOR PJ</v>
          </cell>
        </row>
        <row r="8099">
          <cell r="C8099">
            <v>4011724</v>
          </cell>
          <cell r="D8099" t="str">
            <v>***EU BOCZ.B SZER.Z/Ż/S.B/TŁ.PACH.OKT CH</v>
          </cell>
        </row>
        <row r="8100">
          <cell r="C8100">
            <v>3008883</v>
          </cell>
          <cell r="D8100" t="str">
            <v>***BOCZ.ZŻEB.SZER.Z/SK.B/TŁ.PACH. USR CH</v>
          </cell>
        </row>
        <row r="8101">
          <cell r="C8101">
            <v>3008126</v>
          </cell>
          <cell r="D8101" t="str">
            <v>***M-Ń KRZYŻOWY CH</v>
          </cell>
        </row>
        <row r="8102">
          <cell r="C8102">
            <v>4007358</v>
          </cell>
          <cell r="D8102" t="str">
            <v>***MŚ. KRZYŻOWY LUZ H KL.S.E.U</v>
          </cell>
        </row>
        <row r="8103">
          <cell r="C8103">
            <v>3008127</v>
          </cell>
          <cell r="D8103" t="str">
            <v>***M-Ń CZTEROGŁOWY ODBŁ CH</v>
          </cell>
        </row>
        <row r="8104">
          <cell r="C8104">
            <v>4007370</v>
          </cell>
          <cell r="D8104" t="str">
            <v>***MŚ. CZTEROGŁOWY LUZ H KL.S.E.U</v>
          </cell>
        </row>
        <row r="8105">
          <cell r="C8105">
            <v>3015902</v>
          </cell>
          <cell r="D8105" t="str">
            <v>PL MŚ.PÓŁŚC.CH</v>
          </cell>
        </row>
        <row r="8106">
          <cell r="C8106">
            <v>3026909</v>
          </cell>
          <cell r="D8106" t="str">
            <v>PL MŚ.PÓŁŚC.PBX ST1</v>
          </cell>
        </row>
        <row r="8107">
          <cell r="C8107">
            <v>4015942</v>
          </cell>
          <cell r="D8107" t="str">
            <v>***PL MŚ.PÓŁŚC.N/OBR.LUZ OK15KG KT</v>
          </cell>
        </row>
        <row r="8108">
          <cell r="C8108">
            <v>4026548</v>
          </cell>
          <cell r="D8108" t="str">
            <v>PL MŚ.PÓŁŚC.OK2KGVAC OK4KGTK MAKR</v>
          </cell>
        </row>
        <row r="8109">
          <cell r="C8109">
            <v>4007372</v>
          </cell>
          <cell r="D8109" t="str">
            <v>***PL MŚ.PÓŁŚC.N/OBR.LUZWOROK15KGPJ HILT</v>
          </cell>
        </row>
        <row r="8110">
          <cell r="C8110">
            <v>3026952</v>
          </cell>
          <cell r="D8110" t="str">
            <v>PL MŚ.PÓŁŚC.OK15KGWOR PJ ST</v>
          </cell>
        </row>
        <row r="8111">
          <cell r="C8111">
            <v>3030504</v>
          </cell>
          <cell r="D8111" t="str">
            <v>PL MŚ.PÓŁŚC.PBX ST2</v>
          </cell>
        </row>
        <row r="8112">
          <cell r="C8112">
            <v>3017734</v>
          </cell>
          <cell r="D8112" t="str">
            <v>EU MŚ.PÓŁŚC.CH</v>
          </cell>
        </row>
        <row r="8113">
          <cell r="C8113">
            <v>4013214</v>
          </cell>
          <cell r="D8113" t="str">
            <v>***EU MŚ.PÓŁŚC.N/OBR.LUZWOROK15KGPJ HILT</v>
          </cell>
        </row>
        <row r="8114">
          <cell r="C8114">
            <v>3008129</v>
          </cell>
          <cell r="D8114" t="str">
            <v>***MŚ.WP.ZRAZOWA DOL.B/LIGAWY N/ODBRUSR</v>
          </cell>
        </row>
        <row r="8115">
          <cell r="C8115">
            <v>4010558</v>
          </cell>
          <cell r="D8115" t="str">
            <v>***MŚ.DWUG.OK6-8KGTRM OK21KGKT UK</v>
          </cell>
        </row>
        <row r="8116">
          <cell r="C8116">
            <v>4012954</v>
          </cell>
          <cell r="D8116" t="str">
            <v>***PL MŚ.DWUG.6-8KG TRM OK21KG KT MR SFL</v>
          </cell>
        </row>
        <row r="8117">
          <cell r="C8117">
            <v>4007374</v>
          </cell>
          <cell r="D8117" t="str">
            <v>***MŚ.WPZRAZOWA DOLNA B/LIGAWYPJ11021HIL</v>
          </cell>
        </row>
        <row r="8118">
          <cell r="C8118">
            <v>3018643</v>
          </cell>
          <cell r="D8118" t="str">
            <v>***PLMŚ.DWUG.6-8KG TRM OK21KGKTDMR SFL</v>
          </cell>
        </row>
        <row r="8119">
          <cell r="C8119">
            <v>4012955</v>
          </cell>
          <cell r="D8119" t="str">
            <v>***EU MŚ.DWUG.6-8KGTRM OK21KGKTMR SFL</v>
          </cell>
        </row>
        <row r="8120">
          <cell r="C8120">
            <v>3018646</v>
          </cell>
          <cell r="D8120" t="str">
            <v>***EU MŚ.DWUG.6-8KG TRMOK21KGKTDMR SFL</v>
          </cell>
        </row>
        <row r="8121">
          <cell r="C8121">
            <v>3008130</v>
          </cell>
          <cell r="D8121" t="str">
            <v>***MŚWP.ZRAZOWA GÓR.B/SMUK.N/ODBR.CH USR</v>
          </cell>
        </row>
        <row r="8122">
          <cell r="C8122">
            <v>3019120</v>
          </cell>
          <cell r="D8122" t="str">
            <v>PL MŚ.PÓŁBŁ.OK15KG NB MR</v>
          </cell>
        </row>
        <row r="8123">
          <cell r="C8123">
            <v>4011340</v>
          </cell>
          <cell r="D8123" t="str">
            <v>***PL MŚ.ZR.GÓRNA WOR LUZ OK20KGKT CH EX</v>
          </cell>
        </row>
        <row r="8124">
          <cell r="C8124">
            <v>4010986</v>
          </cell>
          <cell r="D8124" t="str">
            <v>***PL MŚ.ZR.GÓRNA OK10KG TRM KT CH EX</v>
          </cell>
        </row>
        <row r="8125">
          <cell r="C8125">
            <v>4007376</v>
          </cell>
          <cell r="D8125" t="str">
            <v>***PL MŚ.ZR.GÓRNA 11031 LUZ PJ CH HILT</v>
          </cell>
        </row>
        <row r="8126">
          <cell r="C8126">
            <v>3019119</v>
          </cell>
          <cell r="D8126" t="str">
            <v>PL MŚ.PÓŁBŁ.OK15KG NB DMR</v>
          </cell>
        </row>
        <row r="8127">
          <cell r="C8127">
            <v>3019121</v>
          </cell>
          <cell r="D8127" t="str">
            <v>MŚ.PÓŁBŁ.RO1</v>
          </cell>
        </row>
        <row r="8128">
          <cell r="C8128">
            <v>3020374</v>
          </cell>
          <cell r="D8128" t="str">
            <v>MŚ.PÓŁBŁ.RO2</v>
          </cell>
        </row>
        <row r="8129">
          <cell r="C8129">
            <v>4012184</v>
          </cell>
          <cell r="D8129" t="str">
            <v>***EU MŚ.ZR.GÓRNA WOR LUZ OK20KGKT CH EX</v>
          </cell>
        </row>
        <row r="8130">
          <cell r="C8130">
            <v>4012130</v>
          </cell>
          <cell r="D8130" t="str">
            <v>***EU MŚ.ZR.GÓRNA OK10KG TRM KT CH EX</v>
          </cell>
        </row>
        <row r="8131">
          <cell r="C8131">
            <v>4011725</v>
          </cell>
          <cell r="D8131" t="str">
            <v>***EU MŚ.ZR.GÓRNA 11031 LUZ PJ CH HILT</v>
          </cell>
        </row>
        <row r="8132">
          <cell r="C8132">
            <v>3008131</v>
          </cell>
          <cell r="D8132" t="str">
            <v>***ŻEB.PASKI CIĘTE CH</v>
          </cell>
        </row>
        <row r="8133">
          <cell r="C8133">
            <v>3008132</v>
          </cell>
          <cell r="D8133" t="str">
            <v>***ŻEB.PASKI CIĘTE UŚR CH</v>
          </cell>
        </row>
        <row r="8134">
          <cell r="C8134">
            <v>3008717</v>
          </cell>
          <cell r="D8134" t="str">
            <v>***BOCZ.ŁUS.SZER. Z/S /CHRZ CH</v>
          </cell>
        </row>
        <row r="8135">
          <cell r="C8135">
            <v>3008718</v>
          </cell>
          <cell r="D8135" t="str">
            <v>***BOCZ.ŁUS.SZER. Z/SK/CHRZ NB MR</v>
          </cell>
        </row>
        <row r="8136">
          <cell r="C8136">
            <v>3009024</v>
          </cell>
          <cell r="D8136" t="str">
            <v>***BOCZ.ŁUS.SZER. Z/S/CHRZ NB DMR</v>
          </cell>
        </row>
        <row r="8137">
          <cell r="C8137">
            <v>3012455</v>
          </cell>
          <cell r="D8137" t="str">
            <v>***BOCZ.ŁUS.SZER. Z/SK/CHRZ NB RO</v>
          </cell>
        </row>
        <row r="8138">
          <cell r="C8138">
            <v>3008719</v>
          </cell>
          <cell r="D8138" t="str">
            <v>***BOCZ.ŁUS.SZER. Z/S /CHRZ KL.S CH</v>
          </cell>
        </row>
        <row r="8139">
          <cell r="C8139">
            <v>3008721</v>
          </cell>
          <cell r="D8139" t="str">
            <v>***BOCZ.ŁUS.SZER. Z/S /CHRZ KL.E CH</v>
          </cell>
        </row>
        <row r="8140">
          <cell r="C8140">
            <v>3008723</v>
          </cell>
          <cell r="D8140" t="str">
            <v>***BOCZ.BLAT.SZER.B/SK CH</v>
          </cell>
        </row>
        <row r="8141">
          <cell r="C8141">
            <v>4007926</v>
          </cell>
          <cell r="D8141" t="str">
            <v>***BOCZEK BLAT.SZER B/S LUZ KT MR KOREA</v>
          </cell>
        </row>
        <row r="8142">
          <cell r="C8142">
            <v>4008014</v>
          </cell>
          <cell r="D8142" t="str">
            <v>***BOCZ.BLAT.SZER.B/SK VAC MR KOREA</v>
          </cell>
        </row>
        <row r="8143">
          <cell r="C8143">
            <v>3008930</v>
          </cell>
          <cell r="D8143" t="str">
            <v>***BOCZ.BLAT.B/SK DMR</v>
          </cell>
        </row>
        <row r="8144">
          <cell r="C8144">
            <v>3008725</v>
          </cell>
          <cell r="D8144" t="str">
            <v>***BOC.BLAT.SZ.B/SK VAC OK15KG KT DMR EX</v>
          </cell>
        </row>
        <row r="8145">
          <cell r="C8145">
            <v>3010694</v>
          </cell>
          <cell r="D8145" t="str">
            <v>***BOCZ.BLAT.B/SK RO</v>
          </cell>
        </row>
        <row r="8146">
          <cell r="C8146">
            <v>3014310</v>
          </cell>
          <cell r="D8146" t="str">
            <v>***BOCZ.BLAT.SZER.B/SK VAC RO</v>
          </cell>
        </row>
        <row r="8147">
          <cell r="C8147">
            <v>3009300</v>
          </cell>
          <cell r="D8147" t="str">
            <v>***BOCZ.BLAT.SZER. PL UŚR</v>
          </cell>
        </row>
        <row r="8148">
          <cell r="C8148">
            <v>3008726</v>
          </cell>
          <cell r="D8148" t="str">
            <v>***BOCZ.BLAT.SZER.B/SK KL E CH</v>
          </cell>
        </row>
        <row r="8149">
          <cell r="C8149">
            <v>3009217</v>
          </cell>
          <cell r="D8149" t="str">
            <v>***BOCZ.BLAT.SZER.B/SK KL.E PL</v>
          </cell>
        </row>
        <row r="8150">
          <cell r="C8150">
            <v>3008728</v>
          </cell>
          <cell r="D8150" t="str">
            <v>***BOCZ.BLAT.SZER.B/SK KL U CH</v>
          </cell>
        </row>
        <row r="8151">
          <cell r="C8151">
            <v>3009263</v>
          </cell>
          <cell r="D8151" t="str">
            <v>***BOCZ.BLAT.SZER.B/SK KL.U PL</v>
          </cell>
        </row>
        <row r="8152">
          <cell r="C8152">
            <v>3008730</v>
          </cell>
          <cell r="D8152" t="str">
            <v>***BOCZ.ŁUS.SZER.Z/SK.B/TŁ.PACH.CH</v>
          </cell>
        </row>
        <row r="8153">
          <cell r="C8153">
            <v>3008677</v>
          </cell>
          <cell r="D8153" t="str">
            <v>***PLBOCZ.B ŁUS.Z/S.B/TŁ.PACH.OK15KGKTST</v>
          </cell>
        </row>
        <row r="8154">
          <cell r="C8154">
            <v>4009469</v>
          </cell>
          <cell r="D8154" t="str">
            <v>***PL BOCZ.B ŁUS.Z/SK.B/TŁ.PACH.LUZOKTCH</v>
          </cell>
        </row>
        <row r="8155">
          <cell r="C8155">
            <v>3017422</v>
          </cell>
          <cell r="D8155" t="str">
            <v>***EUBOCZ.B ŁUS.Z/S.B/TŁ.PACH.OK15KGKTST</v>
          </cell>
        </row>
        <row r="8156">
          <cell r="C8156">
            <v>4011925</v>
          </cell>
          <cell r="D8156" t="str">
            <v>***EU BOCZ.B ŁUS.Z/S.B/TŁ.PACH.LUZOKT CH</v>
          </cell>
        </row>
        <row r="8157">
          <cell r="C8157">
            <v>3008732</v>
          </cell>
          <cell r="D8157" t="str">
            <v>***PL BOCZ.B ŁUS.SZER.Z/SK.B/TŁ.PACH.CH</v>
          </cell>
        </row>
        <row r="8158">
          <cell r="C8158">
            <v>3017423</v>
          </cell>
          <cell r="D8158" t="str">
            <v>***EU BOCZ.B ŁUS.SZER.Z/SK.B/TŁ.PACH.CH</v>
          </cell>
        </row>
        <row r="8159">
          <cell r="C8159">
            <v>3008734</v>
          </cell>
          <cell r="D8159" t="str">
            <v>***BOCZ.ŁUS.SZER.Z/SK.B/TŁ.PACH. KL U CH</v>
          </cell>
        </row>
        <row r="8160">
          <cell r="C8160">
            <v>3008736</v>
          </cell>
          <cell r="D8160" t="str">
            <v>***BOCZ.Z/ŻEB SZER.Z/SK.B/TŁ.PACH KLURCH</v>
          </cell>
        </row>
        <row r="8161">
          <cell r="C8161">
            <v>3008678</v>
          </cell>
          <cell r="D8161" t="str">
            <v>***BOCZEK KLUR B/TŁ.PACH.OK20KG PJ CH ST</v>
          </cell>
        </row>
        <row r="8162">
          <cell r="C8162">
            <v>3008737</v>
          </cell>
          <cell r="D8162" t="str">
            <v>***BOCZ.Z/ŻEB SZER.Z/SK.B/TŁ.PACH KLS CH</v>
          </cell>
        </row>
        <row r="8163">
          <cell r="C8163">
            <v>3008915</v>
          </cell>
          <cell r="D8163" t="str">
            <v>***M-SO WP.B/K (ŚRODEK CZ. Z/SK) KL.S CH</v>
          </cell>
        </row>
        <row r="8164">
          <cell r="C8164">
            <v>4008101</v>
          </cell>
          <cell r="D8164" t="str">
            <v>***M-SO WP. B/K KL.S PB MR ROS</v>
          </cell>
        </row>
        <row r="8165">
          <cell r="C8165">
            <v>3008931</v>
          </cell>
          <cell r="D8165" t="str">
            <v>***M-SO WP. B/K (ŚRODK.CZ.Z/SK) KL.S DMR</v>
          </cell>
        </row>
        <row r="8166">
          <cell r="C8166">
            <v>3010010</v>
          </cell>
          <cell r="D8166" t="str">
            <v>***M-SO WP.B/K(SRODEK CZ.Z/SK.)KLS PB RO</v>
          </cell>
        </row>
        <row r="8167">
          <cell r="C8167">
            <v>3009261</v>
          </cell>
          <cell r="D8167" t="str">
            <v>***M-SO WP.B/K(ŚRODK.CZ.Z/S) KL.S PL</v>
          </cell>
        </row>
        <row r="8168">
          <cell r="C8168">
            <v>3008907</v>
          </cell>
          <cell r="D8168" t="str">
            <v>***M-SO WP.B/K(ŚRODK.CZ.Z/SK) KLS USR CH</v>
          </cell>
        </row>
        <row r="8169">
          <cell r="C8169">
            <v>3009260</v>
          </cell>
          <cell r="D8169" t="str">
            <v>***M-SO WP.B/K(ŚRODK.CZ.Z/S) KL.S PL USR</v>
          </cell>
        </row>
        <row r="8170">
          <cell r="C8170">
            <v>3008916</v>
          </cell>
          <cell r="D8170" t="str">
            <v>***ŚRODEK WP.B/K (MIDLES) CH</v>
          </cell>
        </row>
        <row r="8171">
          <cell r="C8171">
            <v>4008102</v>
          </cell>
          <cell r="D8171" t="str">
            <v>***M-SO WP. B/K KL.E PB MR ROS</v>
          </cell>
        </row>
        <row r="8172">
          <cell r="C8172">
            <v>4012898</v>
          </cell>
          <cell r="D8172" t="str">
            <v>***ŚRODEK WP.B/K(MIDLES) LUZ CHOIN.CH EX</v>
          </cell>
        </row>
        <row r="8173">
          <cell r="C8173">
            <v>3008927</v>
          </cell>
          <cell r="D8173" t="str">
            <v>***M-SO WP. B/K (RODK.CZ. Z/S) KL E DMR</v>
          </cell>
        </row>
        <row r="8174">
          <cell r="C8174">
            <v>3009231</v>
          </cell>
          <cell r="D8174" t="str">
            <v>***M-SO WP.B/K(ŚRODK.CZ.Z/S) KL.E PL</v>
          </cell>
        </row>
        <row r="8175">
          <cell r="C8175">
            <v>3008908</v>
          </cell>
          <cell r="D8175" t="str">
            <v>***M-SO WP.B/K(ŚRODK.CZ.Z/SK) KLE USR CH</v>
          </cell>
        </row>
        <row r="8176">
          <cell r="C8176">
            <v>3009272</v>
          </cell>
          <cell r="D8176" t="str">
            <v>***M-SO WP.B/K(ŚRODK.CZ.Z/S) KL.E PL UŚR</v>
          </cell>
        </row>
        <row r="8177">
          <cell r="C8177">
            <v>3009001</v>
          </cell>
          <cell r="D8177" t="str">
            <v>***BOCZ.Z/K/SK NAT.CIĘCIE KL.R U CH</v>
          </cell>
        </row>
        <row r="8178">
          <cell r="C8178">
            <v>4008364</v>
          </cell>
          <cell r="D8178" t="str">
            <v>***BOCZ.Z/S/SK.NAT.CIĘCIE KLR U KT MR CH</v>
          </cell>
        </row>
        <row r="8179">
          <cell r="C8179">
            <v>3008989</v>
          </cell>
          <cell r="D8179" t="str">
            <v>***BOCZ.Z/K/SK NAT.CIĘCIE KL.R U KT DMR</v>
          </cell>
        </row>
        <row r="8180">
          <cell r="C8180">
            <v>3009087</v>
          </cell>
          <cell r="D8180" t="str">
            <v>***BOCZ.Z/ŻEB.SZER.Z/SK KL.R U PL</v>
          </cell>
        </row>
        <row r="8181">
          <cell r="C8181">
            <v>3009086</v>
          </cell>
          <cell r="D8181" t="str">
            <v>***BOCZ.Z/ŻEB.SZER.Z/SK KL.R U  PL UŚR</v>
          </cell>
        </row>
        <row r="8182">
          <cell r="C8182">
            <v>3009134</v>
          </cell>
          <cell r="D8182" t="str">
            <v>***BOCZ.ŁUS.Z/SK USR RUM</v>
          </cell>
        </row>
        <row r="8183">
          <cell r="C8183">
            <v>4008436</v>
          </cell>
          <cell r="D8183" t="str">
            <v>***BOCZ.ŁUSK.Z/SK. PB MR RUM</v>
          </cell>
        </row>
        <row r="8184">
          <cell r="C8184">
            <v>3009132</v>
          </cell>
          <cell r="D8184" t="str">
            <v>***BOCZ.ŁUSK.Z/SK PB DMR RUM</v>
          </cell>
        </row>
        <row r="8185">
          <cell r="C8185">
            <v>3009135</v>
          </cell>
          <cell r="D8185" t="str">
            <v>***BOCZ.ŁUS.Z/SK KL.S RUM</v>
          </cell>
        </row>
        <row r="8186">
          <cell r="C8186">
            <v>3039749</v>
          </cell>
          <cell r="D8186" t="str">
            <v>PP ŚRODEK B/K/SK/POL.KLA CH</v>
          </cell>
        </row>
        <row r="8187">
          <cell r="C8187">
            <v>3040325</v>
          </cell>
          <cell r="D8187" t="str">
            <v>PP ŚRODEK B/K/SK/POL.KLA PBX ST</v>
          </cell>
        </row>
        <row r="8188">
          <cell r="C8188">
            <v>3009136</v>
          </cell>
          <cell r="D8188" t="str">
            <v>***BOCZ.ŁUS.Z/SK KL.E RUM</v>
          </cell>
        </row>
        <row r="8189">
          <cell r="C8189">
            <v>3009361</v>
          </cell>
          <cell r="D8189" t="str">
            <v>***BOCZ.BLAT.B/SK KL.S</v>
          </cell>
        </row>
        <row r="8190">
          <cell r="C8190">
            <v>3009327</v>
          </cell>
          <cell r="D8190" t="str">
            <v>***BOCZ.BLAT.B/SK KL.S PL</v>
          </cell>
        </row>
        <row r="8191">
          <cell r="C8191">
            <v>3009328</v>
          </cell>
          <cell r="D8191" t="str">
            <v>***BOCZ.BLAT.B/SK KL.S PL USR</v>
          </cell>
        </row>
        <row r="8192">
          <cell r="C8192">
            <v>3009360</v>
          </cell>
          <cell r="D8192" t="str">
            <v>***BOCZ.ŁUS.SZER.Z/SK.B/CHRZ. KL.S CH</v>
          </cell>
        </row>
        <row r="8193">
          <cell r="C8193">
            <v>3009349</v>
          </cell>
          <cell r="D8193" t="str">
            <v>***BOCZ.ŁUS.SZER.Z/SK.B/CHRZ. KL.S PL</v>
          </cell>
        </row>
        <row r="8194">
          <cell r="C8194">
            <v>3009435</v>
          </cell>
          <cell r="D8194" t="str">
            <v>***BOCZ.ŁUSK.B/SK/CHRZ.KL.S CH</v>
          </cell>
        </row>
        <row r="8195">
          <cell r="C8195">
            <v>3009436</v>
          </cell>
          <cell r="D8195" t="str">
            <v>***BOCZ.ŁUSK.B/SK/CHRZ.KL.S PL</v>
          </cell>
        </row>
        <row r="8196">
          <cell r="C8196">
            <v>3009425</v>
          </cell>
          <cell r="D8196" t="str">
            <v>***BOCZ.ŁUSK.B/SK/CHRZ.KL.E CH PL KOR</v>
          </cell>
        </row>
        <row r="8197">
          <cell r="C8197">
            <v>3009424</v>
          </cell>
          <cell r="D8197" t="str">
            <v>***BOCZ.ŁUSK.B/SK/CHRZ.KL.E PL KOR</v>
          </cell>
        </row>
        <row r="8198">
          <cell r="C8198">
            <v>4008704</v>
          </cell>
          <cell r="D8198" t="str">
            <v>***BOCZ.ŁUSK.B/SK/CHRZ.KLSEVAC4ST KT MRK</v>
          </cell>
        </row>
        <row r="8199">
          <cell r="C8199">
            <v>3009000</v>
          </cell>
          <cell r="D8199" t="str">
            <v>***BOCZ.ŁUS.B/SK/CHRZ VAC KT MR KOREA EŁ</v>
          </cell>
        </row>
        <row r="8200">
          <cell r="C8200">
            <v>3009433</v>
          </cell>
          <cell r="D8200" t="str">
            <v>***BOCZ.ŁUSK.B/SK/CHRZ.KLSE VAC4STKTDMRK</v>
          </cell>
        </row>
        <row r="8201">
          <cell r="C8201">
            <v>3014435</v>
          </cell>
          <cell r="D8201" t="str">
            <v>***BOCZ.ŁUS.B/SK/CHRZ. VAC KT RO</v>
          </cell>
        </row>
        <row r="8202">
          <cell r="C8202">
            <v>3014129</v>
          </cell>
          <cell r="D8202" t="str">
            <v>***BOCZ.ŁUSK.B/SK.CHRZ.KL.S E  VAC KT RO</v>
          </cell>
        </row>
        <row r="8203">
          <cell r="C8203">
            <v>3009434</v>
          </cell>
          <cell r="D8203" t="str">
            <v>***BOCZ.ŁUSK.B/SK/CHRZ.KL.SE PL USR</v>
          </cell>
        </row>
        <row r="8204">
          <cell r="C8204">
            <v>3012303</v>
          </cell>
          <cell r="D8204" t="str">
            <v>***PL BOCZ.SZER.Z/Ż/SK.B/TŁ.PACHW.CH</v>
          </cell>
        </row>
        <row r="8205">
          <cell r="C8205">
            <v>3017516</v>
          </cell>
          <cell r="D8205" t="str">
            <v>***EU BOCZ.SZER.Z/Ż/SK.B/TŁ.PACHW.CH</v>
          </cell>
        </row>
        <row r="8206">
          <cell r="C8206">
            <v>3016187</v>
          </cell>
          <cell r="D8206" t="str">
            <v>POLICZKI WP.CH</v>
          </cell>
        </row>
        <row r="8207">
          <cell r="C8207">
            <v>3034451</v>
          </cell>
          <cell r="D8207" t="str">
            <v>***BOCZ.A ŁUS.Z/SK/CZ.PACH/MŚ.CIE.CH</v>
          </cell>
        </row>
        <row r="8208">
          <cell r="C8208">
            <v>3034483</v>
          </cell>
          <cell r="D8208" t="str">
            <v>***BOCZ.AŁUS.Z/S/CZ.P/M.C.PCOK20KGNBMRST</v>
          </cell>
        </row>
        <row r="8209">
          <cell r="C8209">
            <v>3034422</v>
          </cell>
          <cell r="D8209" t="str">
            <v>BOCZ.A ŁUS.Z/SK/CZ.PACH/MŚ.CIE.KAW.PBX1</v>
          </cell>
        </row>
        <row r="8210">
          <cell r="C8210">
            <v>3034482</v>
          </cell>
          <cell r="D8210" t="str">
            <v>***PLBOCZ.A ŁUS.Z/S/CZ.P/CIE.OK20KGNBDMR</v>
          </cell>
        </row>
        <row r="8211">
          <cell r="C8211">
            <v>3034484</v>
          </cell>
          <cell r="D8211" t="str">
            <v>***BOCZ.A ŁUS.Z/SK/CZ.P/MŚ.CIE.PC RO1</v>
          </cell>
        </row>
        <row r="8212">
          <cell r="C8212">
            <v>3034485</v>
          </cell>
          <cell r="D8212" t="str">
            <v>***BOCZ.A ŁUS.Z/SK/CZ.P/MŚ.CIE.PC RO2</v>
          </cell>
        </row>
        <row r="8213">
          <cell r="C8213">
            <v>3034430</v>
          </cell>
          <cell r="D8213" t="str">
            <v>BOCZ.A ŁUS.Z/SK/CZ.PACH/MŚ.CIE.KAW.PBX2</v>
          </cell>
        </row>
        <row r="8214">
          <cell r="C8214">
            <v>3030022</v>
          </cell>
          <cell r="D8214" t="str">
            <v>PL BOCZ.BL.B B/S/CZP.28X55 CH</v>
          </cell>
        </row>
        <row r="8215">
          <cell r="C8215">
            <v>4023298</v>
          </cell>
          <cell r="D8215" t="str">
            <v>***PLBOCZ.BL.B B/S/CZP.28X55 OK20KGFKTMR</v>
          </cell>
        </row>
        <row r="8216">
          <cell r="C8216">
            <v>3030025</v>
          </cell>
          <cell r="D8216" t="str">
            <v>PL BOCZ.BL.B B/S/CZP.28X55 OK20KGF KTDMR</v>
          </cell>
        </row>
        <row r="8217">
          <cell r="C8217">
            <v>3030021</v>
          </cell>
          <cell r="D8217" t="str">
            <v>EU BOCZ.BL.B B/S/CZP.28X55 CH</v>
          </cell>
        </row>
        <row r="8218">
          <cell r="C8218">
            <v>4023318</v>
          </cell>
          <cell r="D8218" t="str">
            <v>***EUBOCZ.BL.B B/S/CZP.28X55 OK20KGFKTMR</v>
          </cell>
        </row>
        <row r="8219">
          <cell r="C8219">
            <v>3030026</v>
          </cell>
          <cell r="D8219" t="str">
            <v>EU BOCZ.BL.B B/S/CZP.28X55 OK20KGF KTDMR</v>
          </cell>
        </row>
        <row r="8220">
          <cell r="C8220">
            <v>3008762</v>
          </cell>
          <cell r="D8220" t="str">
            <v>GŁ.WP.CAŁ.Z/USZ.CH1</v>
          </cell>
        </row>
        <row r="8221">
          <cell r="C8221">
            <v>3022913</v>
          </cell>
          <cell r="D8221" t="str">
            <v>GŁ.WP.CAŁ.Z/USZ.LUZ OKT MR</v>
          </cell>
        </row>
        <row r="8222">
          <cell r="C8222">
            <v>4009857</v>
          </cell>
          <cell r="D8222" t="str">
            <v>***GŁOWA WP.CAŁA Z/USZAMI OK15KGKT MR CH</v>
          </cell>
        </row>
        <row r="8223">
          <cell r="C8223">
            <v>4008226</v>
          </cell>
          <cell r="D8223" t="str">
            <v>***GŁOWA WP. CAŁA Z USZAMI OKT CH EX</v>
          </cell>
        </row>
        <row r="8224">
          <cell r="C8224">
            <v>3033643</v>
          </cell>
          <cell r="D8224" t="str">
            <v>GŁ.WP.CAŁ.Z/USZ.OK800KG OKT K4</v>
          </cell>
        </row>
        <row r="8225">
          <cell r="C8225">
            <v>3043895</v>
          </cell>
          <cell r="D8225" t="str">
            <v>PL GŁ.CAŁ.Z/USZ.OK20KG NB MR WE K4</v>
          </cell>
        </row>
        <row r="8226">
          <cell r="C8226">
            <v>3037579</v>
          </cell>
          <cell r="D8226" t="str">
            <v>PL GŁ.WP.CAŁ.Z/USZ.PBX K4</v>
          </cell>
        </row>
        <row r="8227">
          <cell r="C8227">
            <v>3037592</v>
          </cell>
          <cell r="D8227" t="str">
            <v>GŁ.WP.CAŁ.Z/USZ.ZEW.OK800KG OKT K4</v>
          </cell>
        </row>
        <row r="8228">
          <cell r="C8228">
            <v>3038590</v>
          </cell>
          <cell r="D8228" t="str">
            <v>GŁ.WP.CAŁ.Z/USZ.OK500KG OKT ZAK</v>
          </cell>
        </row>
        <row r="8229">
          <cell r="C8229">
            <v>3039032</v>
          </cell>
          <cell r="D8229" t="str">
            <v>GŁ.WP.CAŁ.Z/USZ.ZEW.PBX K4</v>
          </cell>
        </row>
        <row r="8230">
          <cell r="C8230">
            <v>3022912</v>
          </cell>
          <cell r="D8230" t="str">
            <v>GŁ.WP.CAŁ.Z/USZ.LUZ OKTDMR</v>
          </cell>
        </row>
        <row r="8231">
          <cell r="C8231">
            <v>3012278</v>
          </cell>
          <cell r="D8231" t="str">
            <v>***GŁ.WP.CAŁA Z/USZAMI OK15KGKT DMR CH</v>
          </cell>
        </row>
        <row r="8232">
          <cell r="C8232">
            <v>3022914</v>
          </cell>
          <cell r="D8232" t="str">
            <v>GŁ.WP.CAŁ.Z/USZ.RO1</v>
          </cell>
        </row>
        <row r="8233">
          <cell r="C8233">
            <v>3012529</v>
          </cell>
          <cell r="D8233" t="str">
            <v>***GŁOWA WP.CAŁA Z/USZAMI OK.15KG KT RO</v>
          </cell>
        </row>
        <row r="8234">
          <cell r="C8234">
            <v>3026655</v>
          </cell>
          <cell r="D8234" t="str">
            <v>GŁ.WP.CAŁA Z/USZAMI CH2</v>
          </cell>
        </row>
        <row r="8235">
          <cell r="C8235">
            <v>3023098</v>
          </cell>
          <cell r="D8235" t="str">
            <v>GŁ.WP.CAŁ.Z/USZ.RO2</v>
          </cell>
        </row>
        <row r="8236">
          <cell r="C8236">
            <v>3026655</v>
          </cell>
          <cell r="D8236" t="str">
            <v>GŁ.WP.CAŁ.Z/USZ.CH2</v>
          </cell>
        </row>
        <row r="8237">
          <cell r="C8237">
            <v>3012277</v>
          </cell>
          <cell r="D8237" t="str">
            <v>***GŁOWA WP.CAŁA Z/USZAMI PL CH</v>
          </cell>
        </row>
        <row r="8238">
          <cell r="C8238">
            <v>3008940</v>
          </cell>
          <cell r="D8238" t="str">
            <v>GŁ.WP.CAŁ.Z/USZ.CH USR</v>
          </cell>
        </row>
        <row r="8239">
          <cell r="C8239">
            <v>3012275</v>
          </cell>
          <cell r="D8239" t="str">
            <v>***GŁOWA WP.CAŁA Z/USZAMI PL USR</v>
          </cell>
        </row>
        <row r="8240">
          <cell r="C8240">
            <v>3008133</v>
          </cell>
          <cell r="D8240" t="str">
            <v>USZY KLB CH EX</v>
          </cell>
        </row>
        <row r="8241">
          <cell r="C8241">
            <v>4016414</v>
          </cell>
          <cell r="D8241" t="str">
            <v>PL USZY WP.KLB 10KGWOR KT MR EX</v>
          </cell>
        </row>
        <row r="8242">
          <cell r="C8242">
            <v>4001866</v>
          </cell>
          <cell r="D8242" t="str">
            <v>***USZY KL.B 10KG KT MR EX</v>
          </cell>
        </row>
        <row r="8243">
          <cell r="C8243">
            <v>3024846</v>
          </cell>
          <cell r="D8243" t="str">
            <v>PL USZY WP.KLB 10KGWOR KT DMR EX</v>
          </cell>
        </row>
        <row r="8244">
          <cell r="C8244">
            <v>3008134</v>
          </cell>
          <cell r="D8244" t="str">
            <v>***USZY KLB 10KG KT DMR EX</v>
          </cell>
        </row>
        <row r="8245">
          <cell r="C8245">
            <v>3024711</v>
          </cell>
          <cell r="D8245" t="str">
            <v>EU USZY WP.KLB CH</v>
          </cell>
        </row>
        <row r="8246">
          <cell r="C8246">
            <v>4016413</v>
          </cell>
          <cell r="D8246" t="str">
            <v>EU USZY WP.KLB 10KGWOR KT MR EX</v>
          </cell>
        </row>
        <row r="8247">
          <cell r="C8247">
            <v>3024816</v>
          </cell>
          <cell r="D8247" t="str">
            <v>EU USZY WP.KLB 10KGWOR KT DMR EX</v>
          </cell>
        </row>
        <row r="8248">
          <cell r="C8248">
            <v>3017985</v>
          </cell>
          <cell r="D8248" t="str">
            <v>USZY WP.KL2 USR</v>
          </cell>
        </row>
        <row r="8249">
          <cell r="C8249">
            <v>3025050</v>
          </cell>
          <cell r="D8249" t="str">
            <v>USZY WP.KL2 USR PBX</v>
          </cell>
        </row>
        <row r="8250">
          <cell r="C8250">
            <v>3035246</v>
          </cell>
          <cell r="D8250" t="str">
            <v>CZ USZY KLB CH EX</v>
          </cell>
        </row>
        <row r="8251">
          <cell r="C8251">
            <v>4023914</v>
          </cell>
          <cell r="D8251" t="str">
            <v>CZ USZY WP.KLB 10KGWOR KT MR EX</v>
          </cell>
        </row>
        <row r="8252">
          <cell r="C8252">
            <v>3035247</v>
          </cell>
          <cell r="D8252" t="str">
            <v>CZ USZY WP.KLB 10KGWOR KT DMR EX</v>
          </cell>
        </row>
        <row r="8253">
          <cell r="C8253">
            <v>3008135</v>
          </cell>
          <cell r="D8253" t="str">
            <v>GŁ.WP.CAŁ.B/USZ.CH1</v>
          </cell>
        </row>
        <row r="8254">
          <cell r="C8254">
            <v>4009856</v>
          </cell>
          <cell r="D8254" t="str">
            <v>***GŁOWA WP.CAŁA B/USZU OK15KG KT MR</v>
          </cell>
        </row>
        <row r="8255">
          <cell r="C8255">
            <v>4004068</v>
          </cell>
          <cell r="D8255" t="str">
            <v>GŁ.WP.CAŁ.B/USZ.OKT</v>
          </cell>
        </row>
        <row r="8256">
          <cell r="C8256">
            <v>4020745</v>
          </cell>
          <cell r="D8256" t="str">
            <v>GŁ.WP.CAŁ.B/USZ.OKT EX</v>
          </cell>
        </row>
        <row r="8257">
          <cell r="C8257">
            <v>4016595</v>
          </cell>
          <cell r="D8257" t="str">
            <v>***GŁOWA WP.CAŁA B/USZU CH PBX</v>
          </cell>
        </row>
        <row r="8258">
          <cell r="C8258">
            <v>3008644</v>
          </cell>
          <cell r="D8258" t="str">
            <v>***GŁOWA WP.CAŁA B/USZU CH OKT. ST</v>
          </cell>
        </row>
        <row r="8259">
          <cell r="C8259">
            <v>3008646</v>
          </cell>
          <cell r="D8259" t="str">
            <v>***GŁOWA WP.CAŁA B/USZU CH PBX ST</v>
          </cell>
        </row>
        <row r="8260">
          <cell r="C8260">
            <v>3014907</v>
          </cell>
          <cell r="D8260" t="str">
            <v>PL GŁ.WP.OK15KGWOR MR EŁ</v>
          </cell>
        </row>
        <row r="8261">
          <cell r="C8261">
            <v>3037360</v>
          </cell>
          <cell r="D8261" t="str">
            <v>GŁ.WP.CAŁ.B/USZ.OK800KG OKT SZ</v>
          </cell>
        </row>
        <row r="8262">
          <cell r="C8262">
            <v>3037406</v>
          </cell>
          <cell r="D8262" t="str">
            <v>PL GŁ.CAŁ.B/USZ.PBX K4</v>
          </cell>
        </row>
        <row r="8263">
          <cell r="C8263">
            <v>3042272</v>
          </cell>
          <cell r="D8263" t="str">
            <v>PL GŁ.WP.CAŁ.B/USZ.PBX 1OB K4</v>
          </cell>
        </row>
        <row r="8264">
          <cell r="C8264">
            <v>3012293</v>
          </cell>
          <cell r="D8264" t="str">
            <v>***GŁ.WP.CAŁA B/USZU OK15KGKT DMR CH</v>
          </cell>
        </row>
        <row r="8265">
          <cell r="C8265">
            <v>3012528</v>
          </cell>
          <cell r="D8265" t="str">
            <v>GŁ.WP.CAŁ.B/USZ.OK15KGKT RO</v>
          </cell>
        </row>
        <row r="8266">
          <cell r="C8266">
            <v>3020375</v>
          </cell>
          <cell r="D8266" t="str">
            <v>GŁ.WP.CAŁ.B/USZ.CH2</v>
          </cell>
        </row>
        <row r="8267">
          <cell r="C8267">
            <v>3012276</v>
          </cell>
          <cell r="D8267" t="str">
            <v>***GŁOWA WP.CAŁA B/USZU PL CH</v>
          </cell>
        </row>
        <row r="8268">
          <cell r="C8268">
            <v>3018000</v>
          </cell>
          <cell r="D8268" t="str">
            <v>GŁ.WP.CAŁ.B/USZ.USR1</v>
          </cell>
        </row>
        <row r="8269">
          <cell r="C8269">
            <v>3025051</v>
          </cell>
          <cell r="D8269" t="str">
            <v>GŁ.WP.CAŁ.B/USZ.USR PBX1</v>
          </cell>
        </row>
        <row r="8270">
          <cell r="C8270">
            <v>3020376</v>
          </cell>
          <cell r="D8270" t="str">
            <v>GŁ.WP.CAŁ.B/USZ.USR2</v>
          </cell>
        </row>
        <row r="8271">
          <cell r="C8271">
            <v>3025311</v>
          </cell>
          <cell r="D8271" t="str">
            <v>GŁ.WP.CAŁ.B/USZ.USR PBX2</v>
          </cell>
        </row>
        <row r="8272">
          <cell r="C8272">
            <v>3045584</v>
          </cell>
          <cell r="D8272" t="str">
            <v>PP GŁ.WP.CAŁ.B/USZ.PBX K4</v>
          </cell>
        </row>
        <row r="8273">
          <cell r="C8273">
            <v>3012274</v>
          </cell>
          <cell r="D8273" t="str">
            <v>***GŁOWA WP.CAŁA B/USZU PL USR</v>
          </cell>
        </row>
        <row r="8274">
          <cell r="C8274">
            <v>3008136</v>
          </cell>
          <cell r="D8274" t="str">
            <v>***NOGI PRZEDNIE KL.2 CH</v>
          </cell>
        </row>
        <row r="8275">
          <cell r="C8275">
            <v>4001867</v>
          </cell>
          <cell r="D8275" t="str">
            <v>***NOGI WP. KL.2 PRZED.MRŻ. EXP LUZ</v>
          </cell>
        </row>
        <row r="8276">
          <cell r="C8276">
            <v>3008137</v>
          </cell>
          <cell r="D8276" t="str">
            <v>***NOGI PRZEDNIE KL.2 OK.10KG KT DMR EX</v>
          </cell>
        </row>
        <row r="8277">
          <cell r="C8277">
            <v>3009236</v>
          </cell>
          <cell r="D8277" t="str">
            <v>***NOGI WP.KL.2 PRZEDNIE PL</v>
          </cell>
        </row>
        <row r="8278">
          <cell r="C8278">
            <v>3009216</v>
          </cell>
          <cell r="D8278" t="str">
            <v>***NOGI WP.KL.2 PRZEDNIE UŚR</v>
          </cell>
        </row>
        <row r="8279">
          <cell r="C8279">
            <v>3008138</v>
          </cell>
          <cell r="D8279" t="str">
            <v>***NOGI TYLNE KL.2 CH</v>
          </cell>
        </row>
        <row r="8280">
          <cell r="C8280">
            <v>4001868</v>
          </cell>
          <cell r="D8280" t="str">
            <v>***NOGI WP. KL.2 TYLNE LUZ MR  EX</v>
          </cell>
        </row>
        <row r="8281">
          <cell r="C8281">
            <v>3008139</v>
          </cell>
          <cell r="D8281" t="str">
            <v>***NOGI TYLNE KL.2 OK.10KG KT DMR EX</v>
          </cell>
        </row>
        <row r="8282">
          <cell r="C8282">
            <v>3009240</v>
          </cell>
          <cell r="D8282" t="str">
            <v>***NOGI WP.KL.2 TYLNE PL</v>
          </cell>
        </row>
        <row r="8283">
          <cell r="C8283">
            <v>3009242</v>
          </cell>
          <cell r="D8283" t="str">
            <v>***NOGI WP.KL.2 TYLNE UŚR</v>
          </cell>
        </row>
        <row r="8284">
          <cell r="C8284">
            <v>3008140</v>
          </cell>
          <cell r="D8284" t="str">
            <v>***M-SO DROBNE BD CH</v>
          </cell>
        </row>
        <row r="8285">
          <cell r="C8285">
            <v>3008141</v>
          </cell>
          <cell r="D8285" t="str">
            <v>***M-SO DROBNE BD NB MR</v>
          </cell>
        </row>
        <row r="8286">
          <cell r="C8286">
            <v>4008001</v>
          </cell>
          <cell r="D8286" t="str">
            <v>***M-SO DROBNE BD PB MR</v>
          </cell>
        </row>
        <row r="8287">
          <cell r="C8287">
            <v>3003192</v>
          </cell>
          <cell r="D8287" t="str">
            <v>***M-SO WP.DROBNE BD LUZ PJ ST</v>
          </cell>
        </row>
        <row r="8288">
          <cell r="C8288">
            <v>3008142</v>
          </cell>
          <cell r="D8288" t="str">
            <v>***M-SO DROBNE BD NB DMR</v>
          </cell>
        </row>
        <row r="8289">
          <cell r="C8289">
            <v>3008143</v>
          </cell>
          <cell r="D8289" t="str">
            <v>***M-SO DROBNE BD PB DMR</v>
          </cell>
        </row>
        <row r="8290">
          <cell r="C8290">
            <v>3008144</v>
          </cell>
          <cell r="D8290" t="str">
            <v>***M-SO DROBNE BD NB RO</v>
          </cell>
        </row>
        <row r="8291">
          <cell r="C8291">
            <v>3008145</v>
          </cell>
          <cell r="D8291" t="str">
            <v>***M-SO DROBNE BD PB RO</v>
          </cell>
        </row>
        <row r="8292">
          <cell r="C8292">
            <v>3008146</v>
          </cell>
          <cell r="D8292" t="str">
            <v>***M-SO DROBNE BD UŚR CH</v>
          </cell>
        </row>
        <row r="8293">
          <cell r="C8293">
            <v>3027204</v>
          </cell>
          <cell r="D8293" t="str">
            <v>USZY KLC CH</v>
          </cell>
        </row>
        <row r="8294">
          <cell r="C8294">
            <v>4018008</v>
          </cell>
          <cell r="D8294" t="str">
            <v>PL USZY WP.KLC OK15KG NB MR EX</v>
          </cell>
        </row>
        <row r="8295">
          <cell r="C8295">
            <v>3027203</v>
          </cell>
          <cell r="D8295" t="str">
            <v>PL USZY WP.KLC OK15KG NB DMR</v>
          </cell>
        </row>
        <row r="8296">
          <cell r="C8296">
            <v>3027262</v>
          </cell>
          <cell r="D8296" t="str">
            <v>PL USZY WP.KLC USR</v>
          </cell>
        </row>
        <row r="8297">
          <cell r="C8297">
            <v>3009047</v>
          </cell>
          <cell r="D8297" t="str">
            <v>***M-SO DO GOTOWANIA1</v>
          </cell>
        </row>
        <row r="8298">
          <cell r="C8298">
            <v>3009046</v>
          </cell>
          <cell r="D8298" t="str">
            <v>***M-SO DO GOTOWANIA MR ST</v>
          </cell>
        </row>
        <row r="8299">
          <cell r="C8299">
            <v>3009045</v>
          </cell>
          <cell r="D8299" t="str">
            <v>***M-SO DO GOTOWANIA DMR</v>
          </cell>
        </row>
        <row r="8300">
          <cell r="C8300">
            <v>3009044</v>
          </cell>
          <cell r="D8300" t="str">
            <v>***M-SO DO GOTOWANIA RO1</v>
          </cell>
        </row>
        <row r="8301">
          <cell r="C8301">
            <v>3020377</v>
          </cell>
          <cell r="D8301" t="str">
            <v>***M-SO DO GOTOWANIA2</v>
          </cell>
        </row>
        <row r="8302">
          <cell r="C8302">
            <v>3020378</v>
          </cell>
          <cell r="D8302" t="str">
            <v>***M-SO DO GOTOWANIA RO2</v>
          </cell>
        </row>
        <row r="8303">
          <cell r="C8303">
            <v>3019133</v>
          </cell>
          <cell r="D8303" t="str">
            <v>M-SO WP.DO GOTOWANIA ROZP1</v>
          </cell>
        </row>
        <row r="8304">
          <cell r="C8304">
            <v>3020379</v>
          </cell>
          <cell r="D8304" t="str">
            <v>M-SO WP.DO GOTOWANIA ROZP2</v>
          </cell>
        </row>
        <row r="8305">
          <cell r="C8305">
            <v>3018143</v>
          </cell>
          <cell r="D8305" t="str">
            <v>***M-SO WP.DO PEKL.CH1</v>
          </cell>
        </row>
        <row r="8306">
          <cell r="C8306">
            <v>3009042</v>
          </cell>
          <cell r="D8306" t="str">
            <v>***M-SO WP.DO PEKL.MR ST</v>
          </cell>
        </row>
        <row r="8307">
          <cell r="C8307">
            <v>3009041</v>
          </cell>
          <cell r="D8307" t="str">
            <v>***M-SO WP.DO PEKL.DMR</v>
          </cell>
        </row>
        <row r="8308">
          <cell r="C8308">
            <v>3009040</v>
          </cell>
          <cell r="D8308" t="str">
            <v>***M-SO WP.DO PEKL.RO1</v>
          </cell>
        </row>
        <row r="8309">
          <cell r="C8309">
            <v>3020380</v>
          </cell>
          <cell r="D8309" t="str">
            <v>***M-SO WP.DO PEKL.CH2</v>
          </cell>
        </row>
        <row r="8310">
          <cell r="C8310">
            <v>3020381</v>
          </cell>
          <cell r="D8310" t="str">
            <v>***M-SO WP.DO PEKL.RO2</v>
          </cell>
        </row>
        <row r="8311">
          <cell r="C8311">
            <v>3016320</v>
          </cell>
          <cell r="D8311" t="str">
            <v>M-SO DO WYKROJENIA</v>
          </cell>
        </row>
        <row r="8312">
          <cell r="C8312">
            <v>3009083</v>
          </cell>
          <cell r="D8312" t="str">
            <v>***M-SO DO WYKROJENIA MRŻ</v>
          </cell>
        </row>
        <row r="8313">
          <cell r="C8313">
            <v>3009085</v>
          </cell>
          <cell r="D8313" t="str">
            <v>***M-SO DO WYKROJENIA DMR</v>
          </cell>
        </row>
        <row r="8314">
          <cell r="C8314">
            <v>3009082</v>
          </cell>
          <cell r="D8314" t="str">
            <v>***M-SO DO WYKROJENIA RO</v>
          </cell>
        </row>
        <row r="8315">
          <cell r="C8315">
            <v>3011944</v>
          </cell>
          <cell r="D8315" t="str">
            <v>***M-SO WP.-WŁ. DO PEKL. CH</v>
          </cell>
        </row>
        <row r="8316">
          <cell r="C8316">
            <v>3011939</v>
          </cell>
          <cell r="D8316" t="str">
            <v>***M-SO WP.-WŁ.DO PEKL.MR</v>
          </cell>
        </row>
        <row r="8317">
          <cell r="C8317">
            <v>3011937</v>
          </cell>
          <cell r="D8317" t="str">
            <v>***M-SO WP.-WŁ.DO PEKL.DMR</v>
          </cell>
        </row>
        <row r="8318">
          <cell r="C8318">
            <v>3011943</v>
          </cell>
          <cell r="D8318" t="str">
            <v>***M-SO WP.-WŁ. DO PEKL. RO1</v>
          </cell>
        </row>
        <row r="8319">
          <cell r="C8319">
            <v>3020382</v>
          </cell>
          <cell r="D8319" t="str">
            <v>***M-SO WP.-WŁ. DO PEKL. RO2</v>
          </cell>
        </row>
        <row r="8320">
          <cell r="C8320">
            <v>3017046</v>
          </cell>
          <cell r="D8320" t="str">
            <v>***M-SO WP.-WŁ.DO PEKL.</v>
          </cell>
        </row>
        <row r="8321">
          <cell r="C8321">
            <v>3023824</v>
          </cell>
          <cell r="D8321" t="str">
            <v>***M-SO GARM.WP.-WŁ. DO PEKL.CH</v>
          </cell>
        </row>
        <row r="8322">
          <cell r="C8322">
            <v>1100081</v>
          </cell>
          <cell r="D8322" t="str">
            <v>KREW TECH.-KAT.3</v>
          </cell>
        </row>
        <row r="8323">
          <cell r="C8323">
            <v>1100167</v>
          </cell>
          <cell r="D8323" t="str">
            <v>ODPAD LUZ PJ CH -MAT.KAT.3</v>
          </cell>
        </row>
        <row r="8324">
          <cell r="C8324">
            <v>1100062</v>
          </cell>
          <cell r="D8324" t="str">
            <v>ODPAD -MAT.KAT.3</v>
          </cell>
        </row>
        <row r="8325">
          <cell r="C8325">
            <v>3027422</v>
          </cell>
          <cell r="D8325" t="str">
            <v>***KK M-SO PRZET.OK15KG PB MR</v>
          </cell>
        </row>
        <row r="8326">
          <cell r="C8326">
            <v>3022380</v>
          </cell>
          <cell r="D8326" t="str">
            <v>***KK M-SO DO PRZET.OK540KGFOLPJ OP</v>
          </cell>
        </row>
        <row r="8327">
          <cell r="C8327">
            <v>3013580</v>
          </cell>
          <cell r="D8327" t="str">
            <v>***KK M-SO DO PRZET.15KG PB MR OP1</v>
          </cell>
        </row>
        <row r="8328">
          <cell r="C8328">
            <v>3012109</v>
          </cell>
          <cell r="D8328" t="str">
            <v>KK M-SO DO PRZET.PB MR ZAK</v>
          </cell>
        </row>
        <row r="8329">
          <cell r="C8329">
            <v>3027421</v>
          </cell>
          <cell r="D8329" t="str">
            <v>***KK M-SO PRZET.OK15KG PB DMR</v>
          </cell>
        </row>
        <row r="8330">
          <cell r="C8330">
            <v>3027423</v>
          </cell>
          <cell r="D8330" t="str">
            <v>***KK M-SO PRZET.RO1</v>
          </cell>
        </row>
        <row r="8331">
          <cell r="C8331">
            <v>3027429</v>
          </cell>
          <cell r="D8331" t="str">
            <v>***KK M-SO PRZET.RO2</v>
          </cell>
        </row>
        <row r="8332">
          <cell r="C8332">
            <v>3016966</v>
          </cell>
          <cell r="D8332" t="str">
            <v>KK MDOM WYS.CIŚ.15KG NB MR OP1</v>
          </cell>
        </row>
        <row r="8333">
          <cell r="C8333">
            <v>3016968</v>
          </cell>
          <cell r="D8333" t="str">
            <v>KK MDOM NIS.CIŚ.15KG NB MR OP1</v>
          </cell>
        </row>
        <row r="8334">
          <cell r="C8334">
            <v>3020962</v>
          </cell>
          <cell r="D8334" t="str">
            <v>***KK MDOM OK15KG FOL MR DĘB1</v>
          </cell>
        </row>
        <row r="8335">
          <cell r="C8335">
            <v>3014279</v>
          </cell>
          <cell r="D8335" t="str">
            <v>KK MDOM OK7.5KG PB MR SU1</v>
          </cell>
        </row>
        <row r="8336">
          <cell r="C8336">
            <v>3031353</v>
          </cell>
          <cell r="D8336" t="str">
            <v>KK MDOM OK15KG NB MR K3</v>
          </cell>
        </row>
        <row r="8337">
          <cell r="C8337">
            <v>3034386</v>
          </cell>
          <cell r="D8337" t="str">
            <v>KK MDOM 10KG PB MR SU1</v>
          </cell>
        </row>
        <row r="8338">
          <cell r="C8338">
            <v>3034415</v>
          </cell>
          <cell r="D8338" t="str">
            <v>KK MDOM B/SZ.OK15KG NB MR K3</v>
          </cell>
        </row>
        <row r="8339">
          <cell r="C8339">
            <v>3036983</v>
          </cell>
          <cell r="D8339" t="str">
            <v>KK MDOM 10KG NB MR SU1</v>
          </cell>
        </row>
        <row r="8340">
          <cell r="C8340">
            <v>3038500</v>
          </cell>
          <cell r="D8340" t="str">
            <v>LT KK MDOM 10KG NB MR SU</v>
          </cell>
        </row>
        <row r="8341">
          <cell r="C8341">
            <v>3041515</v>
          </cell>
          <cell r="D8341" t="str">
            <v>KK MDOM PRZT.OK15KG NB MR K3</v>
          </cell>
        </row>
        <row r="8342">
          <cell r="C8342">
            <v>3026531</v>
          </cell>
          <cell r="D8342" t="str">
            <v>KK MDOM RO1</v>
          </cell>
        </row>
        <row r="8343">
          <cell r="C8343">
            <v>3026532</v>
          </cell>
          <cell r="D8343" t="str">
            <v>***KK MDOM RO2</v>
          </cell>
        </row>
        <row r="8344">
          <cell r="C8344">
            <v>3031461</v>
          </cell>
          <cell r="D8344" t="str">
            <v>KK FIL.OK15KGLUZ PJ K3</v>
          </cell>
        </row>
        <row r="8345">
          <cell r="C8345">
            <v>3014278</v>
          </cell>
          <cell r="D8345" t="str">
            <v>KK FIL.OK15KGFOL PJ SU</v>
          </cell>
        </row>
        <row r="8346">
          <cell r="C8346">
            <v>3038113</v>
          </cell>
          <cell r="D8346" t="str">
            <v>KK FIL.PRZT.OK15KGLUZ PJ K3</v>
          </cell>
        </row>
        <row r="8347">
          <cell r="C8347">
            <v>3038504</v>
          </cell>
          <cell r="D8347" t="str">
            <v>LT KK M-SO Z FIL.D6 15KG NB MR SU1</v>
          </cell>
        </row>
        <row r="8348">
          <cell r="C8348">
            <v>3030482</v>
          </cell>
          <cell r="D8348" t="str">
            <v>KK M-SO Z FIL.D3 PBX OP</v>
          </cell>
        </row>
        <row r="8349">
          <cell r="C8349">
            <v>3017262</v>
          </cell>
          <cell r="D8349" t="str">
            <v>KK M-SO Z FIL.D6 OK15KGWOR PJ SU</v>
          </cell>
        </row>
        <row r="8350">
          <cell r="C8350">
            <v>3031544</v>
          </cell>
          <cell r="D8350" t="str">
            <v>CZ KK M-SO Z FIL.D3 15KG NB MR OP1</v>
          </cell>
        </row>
        <row r="8351">
          <cell r="C8351">
            <v>3044445</v>
          </cell>
          <cell r="D8351" t="str">
            <v>KK M-SO Z FIL.D6 PBX SU</v>
          </cell>
        </row>
        <row r="8352">
          <cell r="C8352">
            <v>3017249</v>
          </cell>
          <cell r="D8352" t="str">
            <v>KK M-SO Z FIL.D6 OK15KG PB MR SU1</v>
          </cell>
        </row>
        <row r="8353">
          <cell r="C8353">
            <v>3032466</v>
          </cell>
          <cell r="D8353" t="str">
            <v>KK M-SO Z FIL.D6 OK15KG PB MR ZAK</v>
          </cell>
        </row>
        <row r="8354">
          <cell r="C8354">
            <v>3031336</v>
          </cell>
          <cell r="D8354" t="str">
            <v>KK M-SO Z FIL.D6 PBX K3</v>
          </cell>
        </row>
        <row r="8355">
          <cell r="C8355">
            <v>3012564</v>
          </cell>
          <cell r="D8355" t="str">
            <v>IKA UDO B/K.Z/S.ROZ.80% OK20KG PB MR IŁ</v>
          </cell>
        </row>
        <row r="8356">
          <cell r="C8356">
            <v>3029037</v>
          </cell>
          <cell r="D8356" t="str">
            <v>KK M-SO Z FIL.FOLPJ OK540KGPAL OP1</v>
          </cell>
        </row>
        <row r="8357">
          <cell r="C8357">
            <v>3029053</v>
          </cell>
          <cell r="D8357" t="str">
            <v>KK M-SO Z FIL.15KG PB MR OP1</v>
          </cell>
        </row>
        <row r="8358">
          <cell r="C8358">
            <v>3030401</v>
          </cell>
          <cell r="D8358" t="str">
            <v>KK M-SO Z FIL.D3 15KG PB MR OP1</v>
          </cell>
        </row>
        <row r="8359">
          <cell r="C8359">
            <v>3030963</v>
          </cell>
          <cell r="D8359" t="str">
            <v>KK M-SO Z FIL.D3 15KG NB MR OP</v>
          </cell>
        </row>
        <row r="8360">
          <cell r="C8360">
            <v>3017248</v>
          </cell>
          <cell r="D8360" t="str">
            <v>KK M-SO Z FIL.D6 OK15KG NB MR SU1</v>
          </cell>
        </row>
        <row r="8361">
          <cell r="C8361">
            <v>3031335</v>
          </cell>
          <cell r="D8361" t="str">
            <v>KK M-SO Z FIL.D6 LUZPJ OK540KG K3</v>
          </cell>
        </row>
        <row r="8362">
          <cell r="C8362">
            <v>3034955</v>
          </cell>
          <cell r="D8362" t="str">
            <v>KK M-SO Z FIL.D6 OK15KG PB MR K3</v>
          </cell>
        </row>
        <row r="8363">
          <cell r="C8363">
            <v>3031356</v>
          </cell>
          <cell r="D8363" t="str">
            <v>KK M-SO Z FIL.D6 OK15KG NB MR K3</v>
          </cell>
        </row>
        <row r="8364">
          <cell r="C8364">
            <v>3046287</v>
          </cell>
          <cell r="D8364" t="str">
            <v>KK M-SO MIX JAS.D6 OK15KGLUZ PJ ZAK</v>
          </cell>
        </row>
        <row r="8365">
          <cell r="C8365">
            <v>3043339</v>
          </cell>
          <cell r="D8365" t="str">
            <v>KK M-SO MIX JAS.D6 OK12KG PB MR ZAK</v>
          </cell>
        </row>
        <row r="8366">
          <cell r="C8366">
            <v>3018464</v>
          </cell>
          <cell r="D8366" t="str">
            <v>KK M-SO Z FIL.D6 RO1</v>
          </cell>
        </row>
        <row r="8367">
          <cell r="C8367">
            <v>3039365</v>
          </cell>
          <cell r="D8367" t="str">
            <v>LT KK M-SO Z FIL.D6 RO1</v>
          </cell>
        </row>
        <row r="8368">
          <cell r="C8368">
            <v>3035461</v>
          </cell>
          <cell r="D8368" t="str">
            <v>KK M-SO Z FIL.D6 RO2</v>
          </cell>
        </row>
        <row r="8369">
          <cell r="C8369">
            <v>3039413</v>
          </cell>
          <cell r="D8369" t="str">
            <v>LT KK M-SO Z FIL.D6 RO2</v>
          </cell>
        </row>
        <row r="8370">
          <cell r="C8370">
            <v>3014276</v>
          </cell>
          <cell r="D8370" t="str">
            <v>KK POL.OK15KGWOR PJ HAL SU</v>
          </cell>
        </row>
        <row r="8371">
          <cell r="C8371">
            <v>3012383</v>
          </cell>
          <cell r="D8371" t="str">
            <v>KK POL.OK15KGFOL PJ SU</v>
          </cell>
        </row>
        <row r="8372">
          <cell r="C8372">
            <v>3041293</v>
          </cell>
          <cell r="D8372" t="str">
            <v>KK POL.15KG NB HAL MR OP</v>
          </cell>
        </row>
        <row r="8373">
          <cell r="C8373">
            <v>3031939</v>
          </cell>
          <cell r="D8373" t="str">
            <v>***KK SKÓRY OK15KG NB MR</v>
          </cell>
        </row>
        <row r="8374">
          <cell r="C8374">
            <v>3032068</v>
          </cell>
          <cell r="D8374" t="str">
            <v>***KK SKÓRY ZAK</v>
          </cell>
        </row>
        <row r="8375">
          <cell r="C8375">
            <v>3031330</v>
          </cell>
          <cell r="D8375" t="str">
            <v>KK SKÓRY Z PIERSI OK15KGLUZ PJ K3</v>
          </cell>
        </row>
        <row r="8376">
          <cell r="C8376">
            <v>3018442</v>
          </cell>
          <cell r="D8376" t="str">
            <v>KK SKÓRY OK15KGWOR PJ SU</v>
          </cell>
        </row>
        <row r="8377">
          <cell r="C8377">
            <v>3017213</v>
          </cell>
          <cell r="D8377" t="str">
            <v>KK SKÓRY Z PIERSI OK15KGWOR PJ SU</v>
          </cell>
        </row>
        <row r="8378">
          <cell r="C8378">
            <v>3011458</v>
          </cell>
          <cell r="D8378" t="str">
            <v>KK SKÓRY OK20KG NB MR ZAK</v>
          </cell>
        </row>
        <row r="8379">
          <cell r="C8379">
            <v>3010894</v>
          </cell>
          <cell r="D8379" t="str">
            <v>KK SKÓRY 15KG PB MR OP1</v>
          </cell>
        </row>
        <row r="8380">
          <cell r="C8380">
            <v>3013515</v>
          </cell>
          <cell r="D8380" t="str">
            <v>KK SKÓRY OK15KG PB MR SU1</v>
          </cell>
        </row>
        <row r="8381">
          <cell r="C8381">
            <v>3023120</v>
          </cell>
          <cell r="D8381" t="str">
            <v>KK SKÓRY OK10KGFOL KT MR SU1</v>
          </cell>
        </row>
        <row r="8382">
          <cell r="C8382">
            <v>3028634</v>
          </cell>
          <cell r="D8382" t="str">
            <v>KK SKÓRY Z PIERSI 15KG PB MR OP1</v>
          </cell>
        </row>
        <row r="8383">
          <cell r="C8383">
            <v>3031326</v>
          </cell>
          <cell r="D8383" t="str">
            <v>KK SKÓRY OK15KG NB MR K3</v>
          </cell>
        </row>
        <row r="8384">
          <cell r="C8384">
            <v>3014355</v>
          </cell>
          <cell r="D8384" t="str">
            <v>KK SKÓRY OK15KG NB MR SU1</v>
          </cell>
        </row>
        <row r="8385">
          <cell r="C8385">
            <v>3034091</v>
          </cell>
          <cell r="D8385" t="str">
            <v>KK SKÓRY Z PIERSI OK15KG PB MR K3</v>
          </cell>
        </row>
        <row r="8386">
          <cell r="C8386">
            <v>3034089</v>
          </cell>
          <cell r="D8386" t="str">
            <v>KK SKÓRY OK15KG PB MR K3</v>
          </cell>
        </row>
        <row r="8387">
          <cell r="C8387">
            <v>3041329</v>
          </cell>
          <cell r="D8387" t="str">
            <v>KK SKÓRY 15KG NB HAL MR OP1</v>
          </cell>
        </row>
        <row r="8388">
          <cell r="C8388">
            <v>3030964</v>
          </cell>
          <cell r="D8388" t="str">
            <v>KK SKÓRY Z PIERSI 15KG NB MR OP1</v>
          </cell>
        </row>
        <row r="8389">
          <cell r="C8389">
            <v>3044443</v>
          </cell>
          <cell r="D8389" t="str">
            <v>KK SKÓRY Z PIERSI PBX SU</v>
          </cell>
        </row>
        <row r="8390">
          <cell r="C8390">
            <v>3036997</v>
          </cell>
          <cell r="D8390" t="str">
            <v>KK SKÓRY Z PIERSI 10KG NB MR SU1</v>
          </cell>
        </row>
        <row r="8391">
          <cell r="C8391">
            <v>3038476</v>
          </cell>
          <cell r="D8391" t="str">
            <v>LT KK SKÓRY 15KG NB MR SU</v>
          </cell>
        </row>
        <row r="8392">
          <cell r="C8392">
            <v>3031328</v>
          </cell>
          <cell r="D8392" t="str">
            <v>KK SKÓRY Z PIERSI OK15KG NB MR K3</v>
          </cell>
        </row>
        <row r="8393">
          <cell r="C8393">
            <v>3040141</v>
          </cell>
          <cell r="D8393" t="str">
            <v>KK SKÓRY Z PIERSI OK15KG NB MR K2</v>
          </cell>
        </row>
        <row r="8394">
          <cell r="C8394">
            <v>3031331</v>
          </cell>
          <cell r="D8394" t="str">
            <v>KK SKÓRY Z PIERSI PBX K3</v>
          </cell>
        </row>
        <row r="8395">
          <cell r="C8395">
            <v>3014352</v>
          </cell>
          <cell r="D8395" t="str">
            <v>KK SKÓRY OK15KG NB DMR</v>
          </cell>
        </row>
        <row r="8396">
          <cell r="C8396">
            <v>3031938</v>
          </cell>
          <cell r="D8396" t="str">
            <v>***KK SKÓRY RO</v>
          </cell>
        </row>
        <row r="8397">
          <cell r="C8397">
            <v>3025795</v>
          </cell>
          <cell r="D8397" t="str">
            <v>KK SKÓRY RO1</v>
          </cell>
        </row>
        <row r="8398">
          <cell r="C8398">
            <v>3025923</v>
          </cell>
          <cell r="D8398" t="str">
            <v>KK SKÓRY RO2</v>
          </cell>
        </row>
        <row r="8399">
          <cell r="C8399">
            <v>3022331</v>
          </cell>
          <cell r="D8399" t="str">
            <v>KK PODUD.B/K/S.15KG PB HAL MR OP</v>
          </cell>
        </row>
        <row r="8400">
          <cell r="C8400">
            <v>3025058</v>
          </cell>
          <cell r="D8400" t="str">
            <v>KK PODUD.B/K/S.FOLPJ OK480KG HAL OP</v>
          </cell>
        </row>
        <row r="8401">
          <cell r="C8401">
            <v>3012145</v>
          </cell>
          <cell r="D8401" t="str">
            <v>KK PODUD.B/K/S.10KG PB MR OP1</v>
          </cell>
        </row>
        <row r="8402">
          <cell r="C8402">
            <v>3027826</v>
          </cell>
          <cell r="D8402" t="str">
            <v>KK PODUD.B/K/S.FOLPJ OK540KG OP</v>
          </cell>
        </row>
        <row r="8403">
          <cell r="C8403">
            <v>3042084</v>
          </cell>
          <cell r="D8403" t="str">
            <v>KK PODUD.B/K/S.OK15KG NB MR K3</v>
          </cell>
        </row>
        <row r="8404">
          <cell r="C8404">
            <v>3023984</v>
          </cell>
          <cell r="D8404" t="str">
            <v>KK PODUD.B/K/S.OK15KGWOR PJ SU</v>
          </cell>
        </row>
        <row r="8405">
          <cell r="C8405">
            <v>3010218</v>
          </cell>
          <cell r="D8405" t="str">
            <v>KK PODUD.B/K/S.OK15KG PB MR SU</v>
          </cell>
        </row>
        <row r="8406">
          <cell r="C8406">
            <v>3027920</v>
          </cell>
          <cell r="D8406" t="str">
            <v>***KK PODUD.B/K/S.15KG 50MY PB MR IŁ</v>
          </cell>
        </row>
        <row r="8407">
          <cell r="C8407">
            <v>3029305</v>
          </cell>
          <cell r="D8407" t="str">
            <v>KK PODUD.B/K/S.DCZ.OK15KGWOR PJ SU</v>
          </cell>
        </row>
        <row r="8408">
          <cell r="C8408">
            <v>3031352</v>
          </cell>
          <cell r="D8408" t="str">
            <v>KK PODUD.B/K/S.OK15KG PB MR K3</v>
          </cell>
        </row>
        <row r="8409">
          <cell r="C8409">
            <v>3035579</v>
          </cell>
          <cell r="D8409" t="str">
            <v>KK PODUD.B/K/S.OK10KG PB WEG.MR K3</v>
          </cell>
        </row>
        <row r="8410">
          <cell r="C8410">
            <v>3037688</v>
          </cell>
          <cell r="D8410" t="str">
            <v>KK PODUD.B/K/S.15KG NB MR SU</v>
          </cell>
        </row>
        <row r="8411">
          <cell r="C8411">
            <v>3044444</v>
          </cell>
          <cell r="D8411" t="str">
            <v>KK PODUD.B/K/S.PBX SU</v>
          </cell>
        </row>
        <row r="8412">
          <cell r="C8412">
            <v>3038510</v>
          </cell>
          <cell r="D8412" t="str">
            <v>LT KK PODUD.B/K/S.15KG NB MR SU</v>
          </cell>
        </row>
        <row r="8413">
          <cell r="C8413">
            <v>3028468</v>
          </cell>
          <cell r="D8413" t="str">
            <v>KK PODUD.B/K/S.RO</v>
          </cell>
        </row>
        <row r="8414">
          <cell r="C8414">
            <v>3039911</v>
          </cell>
          <cell r="D8414" t="str">
            <v>LT KK PODUD.B/K/S.RO1</v>
          </cell>
        </row>
        <row r="8415">
          <cell r="C8415">
            <v>3010217</v>
          </cell>
          <cell r="D8415" t="str">
            <v>KK PODUD.B/K/S.RO1</v>
          </cell>
        </row>
        <row r="8416">
          <cell r="C8416">
            <v>3039912</v>
          </cell>
          <cell r="D8416" t="str">
            <v>LT KK PODUD.B/K/S.RO2</v>
          </cell>
        </row>
        <row r="8417">
          <cell r="C8417">
            <v>3032431</v>
          </cell>
          <cell r="D8417" t="str">
            <v>***KK UDO B/K/S.15KG PB MR</v>
          </cell>
        </row>
        <row r="8418">
          <cell r="C8418">
            <v>3037002</v>
          </cell>
          <cell r="D8418" t="str">
            <v>KK UDO B/K/S.DCZ.LUZPJ OK540KG K3</v>
          </cell>
        </row>
        <row r="8419">
          <cell r="C8419">
            <v>3045745</v>
          </cell>
          <cell r="D8419" t="str">
            <v>KK UDO B/K/S.10KGWOR KT MR OP</v>
          </cell>
        </row>
        <row r="8420">
          <cell r="C8420">
            <v>3038515</v>
          </cell>
          <cell r="D8420" t="str">
            <v>LT KK UDO B/K/S.12KG NB MR SU</v>
          </cell>
        </row>
        <row r="8421">
          <cell r="C8421">
            <v>3018829</v>
          </cell>
          <cell r="D8421" t="str">
            <v>KK UDO B/K/S.17.5KGFOL PJ OP</v>
          </cell>
        </row>
        <row r="8422">
          <cell r="C8422">
            <v>3012115</v>
          </cell>
          <cell r="D8422" t="str">
            <v>KK UDO B/K/S.10KG PB MR OP1</v>
          </cell>
        </row>
        <row r="8423">
          <cell r="C8423">
            <v>3031342</v>
          </cell>
          <cell r="D8423" t="str">
            <v>KK UDO B/K/S.OK15KGLUZ PJ K3</v>
          </cell>
        </row>
        <row r="8424">
          <cell r="C8424">
            <v>3029828</v>
          </cell>
          <cell r="D8424" t="str">
            <v>KK UDO B/K/S.15KG PB MR OP</v>
          </cell>
        </row>
        <row r="8425">
          <cell r="C8425">
            <v>3035066</v>
          </cell>
          <cell r="D8425" t="str">
            <v>KK UDO B/K/S.LUZPJ OK540KG OP</v>
          </cell>
        </row>
        <row r="8426">
          <cell r="C8426">
            <v>3031343</v>
          </cell>
          <cell r="D8426" t="str">
            <v>KK UDO B/K/S.OK15KG PB MR K3</v>
          </cell>
        </row>
        <row r="8427">
          <cell r="C8427">
            <v>3036295</v>
          </cell>
          <cell r="D8427" t="str">
            <v>KK UDO B/K/S.DCZ.LUZPJ OK630KG OP</v>
          </cell>
        </row>
        <row r="8428">
          <cell r="C8428">
            <v>3036990</v>
          </cell>
          <cell r="D8428" t="str">
            <v>KK UDO B/K/S.12KG NB MR SU</v>
          </cell>
        </row>
        <row r="8429">
          <cell r="C8429">
            <v>3045326</v>
          </cell>
          <cell r="D8429" t="str">
            <v>LT KK UDO B/K/S.KL1 PRZ.OK15KGWOR PJ SU</v>
          </cell>
        </row>
        <row r="8430">
          <cell r="C8430">
            <v>3010234</v>
          </cell>
          <cell r="D8430" t="str">
            <v>KK UDO B/K/S.OK15KG PB MR SU</v>
          </cell>
        </row>
        <row r="8431">
          <cell r="C8431">
            <v>3045327</v>
          </cell>
          <cell r="D8431" t="str">
            <v>KK UDO B/K/S.KL1 PRZ.PBX SU</v>
          </cell>
        </row>
        <row r="8432">
          <cell r="C8432">
            <v>3038593</v>
          </cell>
          <cell r="D8432" t="str">
            <v>KK UDO B/K/S.15KG NB MR EX OP</v>
          </cell>
        </row>
        <row r="8433">
          <cell r="C8433">
            <v>3045324</v>
          </cell>
          <cell r="D8433" t="str">
            <v>LT KK UDO B/K/S.KL1 PRZ.PBX SU</v>
          </cell>
        </row>
        <row r="8434">
          <cell r="C8434">
            <v>3038521</v>
          </cell>
          <cell r="D8434" t="str">
            <v>KK UDO B/K/S.15KG NB MR SU</v>
          </cell>
        </row>
        <row r="8435">
          <cell r="C8435">
            <v>3045325</v>
          </cell>
          <cell r="D8435" t="str">
            <v>KK UDO B/K/S.KL1 PRZ.OK15KGWOR PJ SU</v>
          </cell>
        </row>
        <row r="8436">
          <cell r="C8436">
            <v>3040025</v>
          </cell>
          <cell r="D8436" t="str">
            <v>KK UDO B/K/S.OK15KG NB MR K3</v>
          </cell>
        </row>
        <row r="8437">
          <cell r="C8437">
            <v>3034578</v>
          </cell>
          <cell r="D8437" t="str">
            <v>KK UDO B/K/S.OK15KG NB MR K2</v>
          </cell>
        </row>
        <row r="8438">
          <cell r="C8438">
            <v>3046203</v>
          </cell>
          <cell r="D8438" t="str">
            <v>CZ KK UDO B/K/S.15KG PB MR OP</v>
          </cell>
        </row>
        <row r="8439">
          <cell r="C8439">
            <v>3032432</v>
          </cell>
          <cell r="D8439" t="str">
            <v>***KK UDO B/K/S.15KG PB DMR</v>
          </cell>
        </row>
        <row r="8440">
          <cell r="C8440">
            <v>3010233</v>
          </cell>
          <cell r="D8440" t="str">
            <v>KK UDO B/K/S.RO1</v>
          </cell>
        </row>
        <row r="8441">
          <cell r="C8441">
            <v>3039046</v>
          </cell>
          <cell r="D8441" t="str">
            <v>LT KK UDO B/K/S.RO1</v>
          </cell>
        </row>
        <row r="8442">
          <cell r="C8442">
            <v>3020857</v>
          </cell>
          <cell r="D8442" t="str">
            <v>KK UDO B/K/S.RO2</v>
          </cell>
        </row>
        <row r="8443">
          <cell r="C8443">
            <v>3039100</v>
          </cell>
          <cell r="D8443" t="str">
            <v>LT KK UDO B/K/S.RO2</v>
          </cell>
        </row>
        <row r="8444">
          <cell r="C8444">
            <v>3032459</v>
          </cell>
          <cell r="D8444" t="str">
            <v>***KK NOGA B/K.OK15KG NB MR</v>
          </cell>
        </row>
        <row r="8445">
          <cell r="C8445">
            <v>3034956</v>
          </cell>
          <cell r="D8445" t="str">
            <v>KK M-SO Z NOGI D6 OK15KG PB MR K3</v>
          </cell>
        </row>
        <row r="8446">
          <cell r="C8446">
            <v>3017272</v>
          </cell>
          <cell r="D8446" t="str">
            <v>KK M-SO Z NOGI D6 OK15KG PB MR SU1</v>
          </cell>
        </row>
        <row r="8447">
          <cell r="C8447">
            <v>3038502</v>
          </cell>
          <cell r="D8447" t="str">
            <v>LT KK M-SO Z NOGI D6 15KG NB MR SU</v>
          </cell>
        </row>
        <row r="8448">
          <cell r="C8448">
            <v>3030655</v>
          </cell>
          <cell r="D8448" t="str">
            <v>KK NOGA B/K.OK15KGLUZ PJ K3</v>
          </cell>
        </row>
        <row r="8449">
          <cell r="C8449">
            <v>3029076</v>
          </cell>
          <cell r="D8449" t="str">
            <v>KK M-SO Z NOGI 15KG PB MR OP1</v>
          </cell>
        </row>
        <row r="8450">
          <cell r="C8450">
            <v>3031333</v>
          </cell>
          <cell r="D8450" t="str">
            <v>KK M-SO Z NOGI D6 LUZPJ OK540KG K3</v>
          </cell>
        </row>
        <row r="8451">
          <cell r="C8451">
            <v>3031332</v>
          </cell>
          <cell r="D8451" t="str">
            <v>KK M-SO Z NOGI D6 OK15KG NB MR K3</v>
          </cell>
        </row>
        <row r="8452">
          <cell r="C8452">
            <v>3042072</v>
          </cell>
          <cell r="D8452" t="str">
            <v>KK NOGA B/K.OK15KG NB MR K3</v>
          </cell>
        </row>
        <row r="8453">
          <cell r="C8453">
            <v>3031561</v>
          </cell>
          <cell r="D8453" t="str">
            <v>CZ KK M-SO Z NOGI D3 15KG NB MR OP1</v>
          </cell>
        </row>
        <row r="8454">
          <cell r="C8454">
            <v>3031334</v>
          </cell>
          <cell r="D8454" t="str">
            <v>KK M-SO Z NOGI D6 PBX K3</v>
          </cell>
        </row>
        <row r="8455">
          <cell r="C8455">
            <v>3032382</v>
          </cell>
          <cell r="D8455" t="str">
            <v>CZ KK M-SO Z NOGI D3 15KG PB MR OP1</v>
          </cell>
        </row>
        <row r="8456">
          <cell r="C8456">
            <v>3030266</v>
          </cell>
          <cell r="D8456" t="str">
            <v>KK M-SO Z NOGI D3 FOLPJ OK540KG HAL OP</v>
          </cell>
        </row>
        <row r="8457">
          <cell r="C8457">
            <v>3030965</v>
          </cell>
          <cell r="D8457" t="str">
            <v>KK M-SO Z NOGI D3 15KG NB MR OP1</v>
          </cell>
        </row>
        <row r="8458">
          <cell r="C8458">
            <v>3030461</v>
          </cell>
          <cell r="D8458" t="str">
            <v>KK M-SO Z NOGI D3 PBX OP1</v>
          </cell>
        </row>
        <row r="8459">
          <cell r="C8459">
            <v>3030400</v>
          </cell>
          <cell r="D8459" t="str">
            <v>KK M-SO Z NOGI D3 15KG PB MR OP1</v>
          </cell>
        </row>
        <row r="8460">
          <cell r="C8460">
            <v>3032510</v>
          </cell>
          <cell r="D8460" t="str">
            <v>KK NOGA B/K.OK15KG PB MR K3</v>
          </cell>
        </row>
        <row r="8461">
          <cell r="C8461">
            <v>3017271</v>
          </cell>
          <cell r="D8461" t="str">
            <v>KK M-SO Z NOGI D6 OK15KG NB MR SU1</v>
          </cell>
        </row>
        <row r="8462">
          <cell r="C8462">
            <v>3037979</v>
          </cell>
          <cell r="D8462" t="str">
            <v>KK NOGA B/K.PRZT.OK15KG NB MR K3</v>
          </cell>
        </row>
        <row r="8463">
          <cell r="C8463">
            <v>3041616</v>
          </cell>
          <cell r="D8463" t="str">
            <v>KK M-SO Z NOGI D3 OK15KG NB MR ZAK</v>
          </cell>
        </row>
        <row r="8464">
          <cell r="C8464">
            <v>3044438</v>
          </cell>
          <cell r="D8464" t="str">
            <v>KK NOGA B/K.PBX SU</v>
          </cell>
        </row>
        <row r="8465">
          <cell r="C8465">
            <v>3041353</v>
          </cell>
          <cell r="D8465" t="str">
            <v>KK M-SO Z NOGI D3 OK15KG NB MR IŁ</v>
          </cell>
        </row>
        <row r="8466">
          <cell r="C8466">
            <v>3043338</v>
          </cell>
          <cell r="D8466" t="str">
            <v>KK M-SO MIX CIE.D6 OK12KG PB MR ZAK</v>
          </cell>
        </row>
        <row r="8467">
          <cell r="C8467">
            <v>3018459</v>
          </cell>
          <cell r="D8467" t="str">
            <v>KK M-SO Z NOGI D6 OK15KGFOL PJ SU</v>
          </cell>
        </row>
        <row r="8468">
          <cell r="C8468">
            <v>3047312</v>
          </cell>
          <cell r="D8468" t="str">
            <v>KK M-SO Z NOGI D3 PRZT.PBX OP</v>
          </cell>
        </row>
        <row r="8469">
          <cell r="C8469">
            <v>3032457</v>
          </cell>
          <cell r="D8469" t="str">
            <v>***KK NOGA B/K.OK15KG NB DMR</v>
          </cell>
        </row>
        <row r="8470">
          <cell r="C8470">
            <v>3030250</v>
          </cell>
          <cell r="D8470" t="str">
            <v>***KK M-SO Z NOGI D6 RO</v>
          </cell>
        </row>
        <row r="8471">
          <cell r="C8471">
            <v>3043261</v>
          </cell>
          <cell r="D8471" t="str">
            <v>LT KK M-SO Z NOGI D6 RO</v>
          </cell>
        </row>
        <row r="8472">
          <cell r="C8472">
            <v>3025782</v>
          </cell>
          <cell r="D8472" t="str">
            <v>KK M-SO Z NOGI D6 RO1</v>
          </cell>
        </row>
        <row r="8473">
          <cell r="C8473">
            <v>3032461</v>
          </cell>
          <cell r="D8473" t="str">
            <v>***KK PODUD.B/K.OK15KG PB MR</v>
          </cell>
        </row>
        <row r="8474">
          <cell r="C8474">
            <v>3031617</v>
          </cell>
          <cell r="D8474" t="str">
            <v>CZ KK PODUD.B/K.10KG PB MR OP</v>
          </cell>
        </row>
        <row r="8475">
          <cell r="C8475">
            <v>3021192</v>
          </cell>
          <cell r="D8475" t="str">
            <v>KK PODUD.B/K.OK15KGFOL KT SU</v>
          </cell>
        </row>
        <row r="8476">
          <cell r="C8476">
            <v>3030661</v>
          </cell>
          <cell r="D8476" t="str">
            <v>KK PODUD.B/K.OK15KGWOR PJ K3</v>
          </cell>
        </row>
        <row r="8477">
          <cell r="C8477">
            <v>3002639</v>
          </cell>
          <cell r="D8477" t="str">
            <v>KK PODUD.B/K.OK15KG PB MR SU</v>
          </cell>
        </row>
        <row r="8478">
          <cell r="C8478">
            <v>3031347</v>
          </cell>
          <cell r="D8478" t="str">
            <v>KK PODUD.B/K.OK10KG PB MR K3</v>
          </cell>
        </row>
        <row r="8479">
          <cell r="C8479">
            <v>3018773</v>
          </cell>
          <cell r="D8479" t="str">
            <v>KK PODUD.B/K.10KG PB MR OP1</v>
          </cell>
        </row>
        <row r="8480">
          <cell r="C8480">
            <v>3036679</v>
          </cell>
          <cell r="D8480" t="str">
            <v>KK PODUD.B/K.OK15KG NB MR OP</v>
          </cell>
        </row>
        <row r="8481">
          <cell r="C8481">
            <v>3037686</v>
          </cell>
          <cell r="D8481" t="str">
            <v>KK PODUD.B/K.15KG NB MR SU</v>
          </cell>
        </row>
        <row r="8482">
          <cell r="C8482">
            <v>3038085</v>
          </cell>
          <cell r="D8482" t="str">
            <v>KK PODUD.B/K.PRZT.15KG PB HAL MR OP</v>
          </cell>
        </row>
        <row r="8483">
          <cell r="C8483">
            <v>3042085</v>
          </cell>
          <cell r="D8483" t="str">
            <v>KK PODUD.B/K.OK10KG NB MR K3</v>
          </cell>
        </row>
        <row r="8484">
          <cell r="C8484">
            <v>3038458</v>
          </cell>
          <cell r="D8484" t="str">
            <v>LT KK PODUD.B/K.15KG NB MR SU</v>
          </cell>
        </row>
        <row r="8485">
          <cell r="C8485">
            <v>3044640</v>
          </cell>
          <cell r="D8485" t="str">
            <v>KK PODUD.B/K.PBX SU</v>
          </cell>
        </row>
        <row r="8486">
          <cell r="C8486">
            <v>3038084</v>
          </cell>
          <cell r="D8486" t="str">
            <v>KK PODUD.B/K.PRZT.PBX HAL OP</v>
          </cell>
        </row>
        <row r="8487">
          <cell r="C8487">
            <v>3032456</v>
          </cell>
          <cell r="D8487" t="str">
            <v>***KK PODUD.B/K.OK15KG PB DMR</v>
          </cell>
        </row>
        <row r="8488">
          <cell r="C8488">
            <v>3010211</v>
          </cell>
          <cell r="D8488" t="str">
            <v>KK PODUD.B/K.RO1</v>
          </cell>
        </row>
        <row r="8489">
          <cell r="C8489">
            <v>3043291</v>
          </cell>
          <cell r="D8489" t="str">
            <v>CZ KK PODUD.B/K.OK15KG NB MR OP</v>
          </cell>
        </row>
        <row r="8490">
          <cell r="C8490">
            <v>3042786</v>
          </cell>
          <cell r="D8490" t="str">
            <v>CZ KK PODUD.B/K.PRZT.15KG PB HAL MR OP</v>
          </cell>
        </row>
        <row r="8491">
          <cell r="C8491">
            <v>3034124</v>
          </cell>
          <cell r="D8491" t="str">
            <v>CZ KK PODUD.B/K.RO1</v>
          </cell>
        </row>
        <row r="8492">
          <cell r="C8492">
            <v>3044220</v>
          </cell>
          <cell r="D8492" t="str">
            <v>CZ KK PODUD.B/K.RO2</v>
          </cell>
        </row>
        <row r="8493">
          <cell r="C8493">
            <v>3019974</v>
          </cell>
          <cell r="D8493" t="str">
            <v>KK UDO B/K/S.OK15KGWOR PJ SU</v>
          </cell>
        </row>
        <row r="8494">
          <cell r="C8494">
            <v>3031829</v>
          </cell>
          <cell r="D8494" t="str">
            <v>KK UDO B/K/S.PBX OP</v>
          </cell>
        </row>
        <row r="8495">
          <cell r="C8495">
            <v>3043337</v>
          </cell>
          <cell r="D8495" t="str">
            <v>SK KK UDO B/K.15KG NB MR OP</v>
          </cell>
        </row>
        <row r="8496">
          <cell r="C8496">
            <v>3041905</v>
          </cell>
          <cell r="D8496" t="str">
            <v>KK UDO B/K.180G- PBX OP</v>
          </cell>
        </row>
        <row r="8497">
          <cell r="C8497">
            <v>3018814</v>
          </cell>
          <cell r="D8497" t="str">
            <v>KK UDO B/K.15KG PB MR OP1</v>
          </cell>
        </row>
        <row r="8498">
          <cell r="C8498">
            <v>3035068</v>
          </cell>
          <cell r="D8498" t="str">
            <v>KK UDO B/K.LUZPJ OK630KG OP</v>
          </cell>
        </row>
        <row r="8499">
          <cell r="C8499">
            <v>3005603</v>
          </cell>
          <cell r="D8499" t="str">
            <v>KK UDO B/K.OK15KG PB MR SU</v>
          </cell>
        </row>
        <row r="8500">
          <cell r="C8500">
            <v>3034036</v>
          </cell>
          <cell r="D8500" t="str">
            <v>KK UDO B/K.OK15KGLUZ PJ HAL SU</v>
          </cell>
        </row>
        <row r="8501">
          <cell r="C8501">
            <v>3031340</v>
          </cell>
          <cell r="D8501" t="str">
            <v>KK UDO B/K.OK15KG PB MR K3</v>
          </cell>
        </row>
        <row r="8502">
          <cell r="C8502">
            <v>3031341</v>
          </cell>
          <cell r="D8502" t="str">
            <v>KK UDO B/K.PBX K3</v>
          </cell>
        </row>
        <row r="8503">
          <cell r="C8503">
            <v>3038519</v>
          </cell>
          <cell r="D8503" t="str">
            <v>KK UDO B/K.15KG NB MR SU</v>
          </cell>
        </row>
        <row r="8504">
          <cell r="C8504">
            <v>3030463</v>
          </cell>
          <cell r="D8504" t="str">
            <v>KK UDO B/K.PBX OP</v>
          </cell>
        </row>
        <row r="8505">
          <cell r="C8505">
            <v>3042074</v>
          </cell>
          <cell r="D8505" t="str">
            <v>KK UDO B/K.OK15KG NB MR K3</v>
          </cell>
        </row>
        <row r="8506">
          <cell r="C8506">
            <v>3031653</v>
          </cell>
          <cell r="D8506" t="str">
            <v>CZ KK UDO B/K.PBX OP</v>
          </cell>
        </row>
        <row r="8507">
          <cell r="C8507">
            <v>3041951</v>
          </cell>
          <cell r="D8507" t="str">
            <v>KK UDO B/K.180G- 15KG NB MR OP1</v>
          </cell>
        </row>
        <row r="8508">
          <cell r="C8508">
            <v>3041798</v>
          </cell>
          <cell r="D8508" t="str">
            <v>SK KK UDO B/K.PBX OP</v>
          </cell>
        </row>
        <row r="8509">
          <cell r="C8509">
            <v>3043335</v>
          </cell>
          <cell r="D8509" t="str">
            <v>KK UDO B/K.15KG NB MR OP</v>
          </cell>
        </row>
        <row r="8510">
          <cell r="C8510">
            <v>3031339</v>
          </cell>
          <cell r="D8510" t="str">
            <v>KK UDO B/K.OK15KGLUZ PJ K3</v>
          </cell>
        </row>
        <row r="8511">
          <cell r="C8511">
            <v>3038517</v>
          </cell>
          <cell r="D8511" t="str">
            <v>LT KK UDO B/K.15KG NB MR SU</v>
          </cell>
        </row>
        <row r="8512">
          <cell r="C8512">
            <v>3038442</v>
          </cell>
          <cell r="D8512" t="str">
            <v>LT KK UDO B/K.PBX SU</v>
          </cell>
        </row>
        <row r="8513">
          <cell r="C8513">
            <v>3038006</v>
          </cell>
          <cell r="D8513" t="str">
            <v>KK UDO B/K.PRZT.OK15KG NB MR K3</v>
          </cell>
        </row>
        <row r="8514">
          <cell r="C8514">
            <v>3037801</v>
          </cell>
          <cell r="D8514" t="str">
            <v>KK UDO B/K.PBX SU</v>
          </cell>
        </row>
        <row r="8515">
          <cell r="C8515">
            <v>3038069</v>
          </cell>
          <cell r="D8515" t="str">
            <v>KK UDO B/K.PRZT.PBX HAL OP</v>
          </cell>
        </row>
        <row r="8516">
          <cell r="C8516">
            <v>3010221</v>
          </cell>
          <cell r="D8516" t="str">
            <v>KK UDO B/K.RO1</v>
          </cell>
        </row>
        <row r="8517">
          <cell r="C8517">
            <v>3032453</v>
          </cell>
          <cell r="D8517" t="str">
            <v>***KK UDO B/K. Z/S 15KG PB RO</v>
          </cell>
        </row>
        <row r="8518">
          <cell r="C8518">
            <v>3042313</v>
          </cell>
          <cell r="D8518" t="str">
            <v>CZ KK UDO B/K.180G- 15KG NB MR OP1</v>
          </cell>
        </row>
        <row r="8519">
          <cell r="C8519">
            <v>3043336</v>
          </cell>
          <cell r="D8519" t="str">
            <v>CZ KK UDO B/K.15KG NB MR OP</v>
          </cell>
        </row>
        <row r="8520">
          <cell r="C8520">
            <v>3042790</v>
          </cell>
          <cell r="D8520" t="str">
            <v>CZ KK UDO B/K.PRZT.15KG PB HAL MR OP</v>
          </cell>
        </row>
        <row r="8521">
          <cell r="C8521">
            <v>3031338</v>
          </cell>
          <cell r="D8521" t="str">
            <v>KK NOGA B/K/S.OK15KGLUZ PJ K3</v>
          </cell>
        </row>
        <row r="8522">
          <cell r="C8522">
            <v>3031337</v>
          </cell>
          <cell r="D8522" t="str">
            <v>KK NOGA B/K/S.OK15KG PB MR K3</v>
          </cell>
        </row>
        <row r="8523">
          <cell r="C8523">
            <v>3035110</v>
          </cell>
          <cell r="D8523" t="str">
            <v>KK NOGA B/K/S.OK15KGFOL PJ SU</v>
          </cell>
        </row>
        <row r="8524">
          <cell r="C8524">
            <v>3028700</v>
          </cell>
          <cell r="D8524" t="str">
            <v>KK NOGA B/K/S.15KG PB MR OP1</v>
          </cell>
        </row>
        <row r="8525">
          <cell r="C8525">
            <v>3041763</v>
          </cell>
          <cell r="D8525" t="str">
            <v>KK NOGA B/K/S.OK15KG NB MR K3</v>
          </cell>
        </row>
        <row r="8526">
          <cell r="C8526">
            <v>3030786</v>
          </cell>
          <cell r="D8526" t="str">
            <v>KK NOGA B/K/S.OK15KG PB MR K2</v>
          </cell>
        </row>
        <row r="8527">
          <cell r="C8527">
            <v>3010142</v>
          </cell>
          <cell r="D8527" t="str">
            <v>KK NOGA B/K/S.OK15KG PB MR SU1</v>
          </cell>
        </row>
        <row r="8528">
          <cell r="C8528">
            <v>3036586</v>
          </cell>
          <cell r="D8528" t="str">
            <v>KK NOGA B/K/S.OK15KG PB TWH MR ZAK</v>
          </cell>
        </row>
        <row r="8529">
          <cell r="C8529">
            <v>3025834</v>
          </cell>
          <cell r="D8529" t="str">
            <v>KK NOGA B/K/S.RO1</v>
          </cell>
        </row>
        <row r="8530">
          <cell r="C8530">
            <v>3025972</v>
          </cell>
          <cell r="D8530" t="str">
            <v>KK NOGA B/K/S.RO2</v>
          </cell>
        </row>
        <row r="8531">
          <cell r="C8531">
            <v>3047264</v>
          </cell>
          <cell r="D8531" t="str">
            <v>KK NOGA B/K.OK15KG NB MR</v>
          </cell>
        </row>
        <row r="8532">
          <cell r="C8532">
            <v>3027519</v>
          </cell>
          <cell r="D8532" t="str">
            <v>KK NOGA B/K.OK15KGFOL PJ SU</v>
          </cell>
        </row>
        <row r="8533">
          <cell r="C8533">
            <v>3038030</v>
          </cell>
          <cell r="D8533" t="str">
            <v>KK NOGA B/K.PRZT.15KG NB MR SU</v>
          </cell>
        </row>
        <row r="8534">
          <cell r="C8534">
            <v>3044432</v>
          </cell>
          <cell r="D8534" t="str">
            <v>LT KK NOGA B/K.PBX SU</v>
          </cell>
        </row>
        <row r="8535">
          <cell r="C8535">
            <v>3045429</v>
          </cell>
          <cell r="D8535" t="str">
            <v>KK NOGA B/K.15KG NB MR SU</v>
          </cell>
        </row>
        <row r="8536">
          <cell r="C8536">
            <v>3037041</v>
          </cell>
          <cell r="D8536" t="str">
            <v>KK NOGA B/K.PBX K3</v>
          </cell>
        </row>
        <row r="8537">
          <cell r="C8537">
            <v>3041915</v>
          </cell>
          <cell r="D8537" t="str">
            <v>LT KK NOGA B/K.OK15KGLUZ PJ SU</v>
          </cell>
        </row>
        <row r="8538">
          <cell r="C8538">
            <v>3038512</v>
          </cell>
          <cell r="D8538" t="str">
            <v>LT KK NOGA B/K.15KG NB MR SU</v>
          </cell>
        </row>
        <row r="8539">
          <cell r="C8539">
            <v>3032493</v>
          </cell>
          <cell r="D8539" t="str">
            <v>KK NOGA B/K.10KG PB MR OP</v>
          </cell>
        </row>
        <row r="8540">
          <cell r="C8540">
            <v>3046221</v>
          </cell>
          <cell r="D8540" t="str">
            <v>KK NOGA B/K.OK15KGWOR PJ ZAK</v>
          </cell>
        </row>
        <row r="8541">
          <cell r="C8541">
            <v>3047349</v>
          </cell>
          <cell r="D8541" t="str">
            <v>KK NOGA B/K. OK20KG PB MR ZAK</v>
          </cell>
        </row>
        <row r="8542">
          <cell r="C8542">
            <v>3037988</v>
          </cell>
          <cell r="D8542" t="str">
            <v>KK NOGA B/K.PRZT.PBX K3</v>
          </cell>
        </row>
        <row r="8543">
          <cell r="C8543">
            <v>3042071</v>
          </cell>
          <cell r="D8543" t="str">
            <v>KK NOGA B/K.OK15KG NB DMR</v>
          </cell>
        </row>
        <row r="8544">
          <cell r="C8544">
            <v>3018409</v>
          </cell>
          <cell r="D8544" t="str">
            <v>KK NOGA B/K.RO1</v>
          </cell>
        </row>
        <row r="8545">
          <cell r="C8545">
            <v>3020803</v>
          </cell>
          <cell r="D8545" t="str">
            <v>KK NOGA B/K.RO2</v>
          </cell>
        </row>
        <row r="8546">
          <cell r="C8546">
            <v>3041565</v>
          </cell>
          <cell r="D8546" t="str">
            <v>KK M-SO Z FIL.D3 EXT.15KG NB MR OP</v>
          </cell>
        </row>
        <row r="8547">
          <cell r="C8547">
            <v>3041597</v>
          </cell>
          <cell r="D8547" t="str">
            <v>KK M-SO Z FIL.D6 EXT.15KG NB MR SU</v>
          </cell>
        </row>
        <row r="8548">
          <cell r="C8548">
            <v>3042456</v>
          </cell>
          <cell r="D8548" t="str">
            <v>KK M-SO Z FIL.D3 EXT.RO1</v>
          </cell>
        </row>
        <row r="8549">
          <cell r="C8549">
            <v>3042458</v>
          </cell>
          <cell r="D8549" t="str">
            <v>KK M-SO Z FIL.D3 EXT.RO2</v>
          </cell>
        </row>
        <row r="8550">
          <cell r="C8550">
            <v>3031128</v>
          </cell>
          <cell r="D8550" t="str">
            <v>KK PODUD.OK20KG PB MR K2</v>
          </cell>
        </row>
        <row r="8551">
          <cell r="C8551">
            <v>3011985</v>
          </cell>
          <cell r="D8551" t="str">
            <v>KK PODUD.RO1</v>
          </cell>
        </row>
        <row r="8552">
          <cell r="C8552">
            <v>3020810</v>
          </cell>
          <cell r="D8552" t="str">
            <v>KK PODUD.RO2</v>
          </cell>
        </row>
        <row r="8553">
          <cell r="C8553">
            <v>3044344</v>
          </cell>
          <cell r="D8553" t="str">
            <v>KK UDO B/K/S.DCZ.OK15KG NB MR</v>
          </cell>
        </row>
        <row r="8554">
          <cell r="C8554">
            <v>3046095</v>
          </cell>
          <cell r="D8554" t="str">
            <v>KK UDO B/K/S.DCZ.PBX OP</v>
          </cell>
        </row>
        <row r="8555">
          <cell r="C8555">
            <v>3044366</v>
          </cell>
          <cell r="D8555" t="str">
            <v>KK UDO B/K/S.DCZ.OK15KG NB DMR</v>
          </cell>
        </row>
        <row r="8556">
          <cell r="C8556">
            <v>3044345</v>
          </cell>
          <cell r="D8556" t="str">
            <v>KK UDO B/K/S.DCZ.RO1</v>
          </cell>
        </row>
        <row r="8557">
          <cell r="C8557">
            <v>3044604</v>
          </cell>
          <cell r="D8557" t="str">
            <v>KK UDO B/K/S.DCZ.RO2</v>
          </cell>
        </row>
        <row r="8558">
          <cell r="C8558">
            <v>3034878</v>
          </cell>
          <cell r="D8558" t="str">
            <v>IKA PODUD.B/K.Z/S.ROZ.100% OK20KG NBMRIŁ</v>
          </cell>
        </row>
        <row r="8559">
          <cell r="C8559">
            <v>3013190</v>
          </cell>
          <cell r="D8559" t="str">
            <v>IKA PODUD.B/K.Z/S.ROZ.100% RO1</v>
          </cell>
        </row>
        <row r="8560">
          <cell r="C8560">
            <v>3020679</v>
          </cell>
          <cell r="D8560" t="str">
            <v>IKA PODUD.B/K.Z/S.ROZ.100% RO2</v>
          </cell>
        </row>
        <row r="8561">
          <cell r="C8561">
            <v>3031454</v>
          </cell>
          <cell r="D8561" t="str">
            <v>KK FIL.B/P.PBX K3</v>
          </cell>
        </row>
        <row r="8562">
          <cell r="C8562">
            <v>3014556</v>
          </cell>
          <cell r="D8562" t="str">
            <v>GS BF B/S.OK15KG PB MR SU</v>
          </cell>
        </row>
        <row r="8563">
          <cell r="C8563">
            <v>3036676</v>
          </cell>
          <cell r="D8563" t="str">
            <v>GS NOGA B/K/S.RODZ.OK15KG PB MR IŁ</v>
          </cell>
        </row>
        <row r="8564">
          <cell r="C8564">
            <v>3009098</v>
          </cell>
          <cell r="D8564" t="str">
            <v>***M-SO WŁ. KL.2 NB MR ST</v>
          </cell>
        </row>
        <row r="8565">
          <cell r="C8565">
            <v>3016074</v>
          </cell>
          <cell r="D8565" t="str">
            <v>***M-SO WŁ.KL2 NB MR ST</v>
          </cell>
        </row>
        <row r="8566">
          <cell r="C8566">
            <v>4008256</v>
          </cell>
          <cell r="D8566" t="str">
            <v>***M-SO WŁ. KL.2 BP MR</v>
          </cell>
        </row>
        <row r="8567">
          <cell r="C8567">
            <v>3008679</v>
          </cell>
          <cell r="D8567" t="str">
            <v>***M-SO DR.WŁ.KL.2 OK.15KG LUZ KT CH ZAK</v>
          </cell>
        </row>
        <row r="8568">
          <cell r="C8568">
            <v>3012730</v>
          </cell>
          <cell r="D8568" t="str">
            <v>EU M-SO WŁ.DR.KL2 CH ZAK</v>
          </cell>
        </row>
        <row r="8569">
          <cell r="C8569">
            <v>3007221</v>
          </cell>
          <cell r="D8569" t="str">
            <v>M-SO WŁ. KL.2 CH ZAK</v>
          </cell>
        </row>
        <row r="8570">
          <cell r="C8570">
            <v>3009096</v>
          </cell>
          <cell r="D8570" t="str">
            <v>***M-SO WŁ.KL. 2 NB DMR</v>
          </cell>
        </row>
        <row r="8571">
          <cell r="C8571">
            <v>3016076</v>
          </cell>
          <cell r="D8571" t="str">
            <v>***M-SO WŁ.KL2 NB DMR</v>
          </cell>
        </row>
        <row r="8572">
          <cell r="C8572">
            <v>3009097</v>
          </cell>
          <cell r="D8572" t="str">
            <v>***M-SO WŁ.KL2 PB DMR</v>
          </cell>
        </row>
        <row r="8573">
          <cell r="C8573">
            <v>3009332</v>
          </cell>
          <cell r="D8573" t="str">
            <v>***M-SO WŁ.KL2 NB RO1</v>
          </cell>
        </row>
        <row r="8574">
          <cell r="C8574">
            <v>3020383</v>
          </cell>
          <cell r="D8574" t="str">
            <v>***M-SO WŁ.KL2 NB RO2</v>
          </cell>
        </row>
        <row r="8575">
          <cell r="C8575">
            <v>3008779</v>
          </cell>
          <cell r="D8575" t="str">
            <v>***M-SO DR.WŁ.KL.4 NB MR ZAK</v>
          </cell>
        </row>
        <row r="8576">
          <cell r="C8576">
            <v>3012407</v>
          </cell>
          <cell r="D8576" t="str">
            <v>***M-SO DR. WŁ.KL.4 NB RO</v>
          </cell>
        </row>
        <row r="8577">
          <cell r="C8577">
            <v>3035605</v>
          </cell>
          <cell r="D8577" t="str">
            <v>KONS.BOCZ.100K 300G 72ST PJ KRA SZ</v>
          </cell>
        </row>
        <row r="8578">
          <cell r="C8578">
            <v>3035606</v>
          </cell>
          <cell r="D8578" t="str">
            <v>KONS.GOL.WP.611PK 300G 72ST PJ KRA SZ</v>
          </cell>
        </row>
        <row r="8579">
          <cell r="C8579">
            <v>3035607</v>
          </cell>
          <cell r="D8579" t="str">
            <v>KONS.MIEL.LUKS.4112PK 300G 72STPJ KRA SZ</v>
          </cell>
        </row>
        <row r="8580">
          <cell r="C8580">
            <v>3035637</v>
          </cell>
          <cell r="D8580" t="str">
            <v>KONS.WP.W S.WŁ.404K 300G 72STPJ KRA SZ</v>
          </cell>
        </row>
        <row r="8581">
          <cell r="C8581">
            <v>3035655</v>
          </cell>
          <cell r="D8581" t="str">
            <v>KIEŁB.KRAKOWSKA 320GVAC 22ST PJ KRA SZ</v>
          </cell>
        </row>
        <row r="8582">
          <cell r="C8582">
            <v>3036334</v>
          </cell>
          <cell r="D8582" t="str">
            <v>KIEŁB.KRAK.Z PIERSI KUR.250GVAC30STPJKRA</v>
          </cell>
        </row>
        <row r="8583">
          <cell r="C8583">
            <v>3036430</v>
          </cell>
          <cell r="D8583" t="str">
            <v>KIEŁB.KRAK.SUCHA 250GVAC 30STPJ KRA SZ</v>
          </cell>
        </row>
        <row r="8584">
          <cell r="C8584">
            <v>3036431</v>
          </cell>
          <cell r="D8584" t="str">
            <v>KIEŁB.KRAK.SUCHA 250GVAC 24STPJ KRA SZ</v>
          </cell>
        </row>
        <row r="8585">
          <cell r="C8585">
            <v>3036558</v>
          </cell>
          <cell r="D8585" t="str">
            <v>KIEŁB.KRAK.SUCHA 250GVAC 36STPJ KRA SZ</v>
          </cell>
        </row>
        <row r="8586">
          <cell r="C8586">
            <v>3036663</v>
          </cell>
          <cell r="D8586" t="str">
            <v>KIEŁB.KRAK.Z PIERSI KUR.250GVAC60STPJKRA</v>
          </cell>
        </row>
        <row r="8587">
          <cell r="C8587">
            <v>3036665</v>
          </cell>
          <cell r="D8587" t="str">
            <v>K.KRAK.SUCHA 320GVAC 20STPJ GOLD KRA SZ</v>
          </cell>
        </row>
        <row r="8588">
          <cell r="C8588">
            <v>3036963</v>
          </cell>
          <cell r="D8588" t="str">
            <v>K.KRAK.SUCH.320GVAC 18STPJ GOLD KRA SZ</v>
          </cell>
        </row>
        <row r="8589">
          <cell r="C8589">
            <v>3037136</v>
          </cell>
          <cell r="D8589" t="str">
            <v>KIEŁB.KRAKOWSKA 250GVAC 18STPJ KRA SZ</v>
          </cell>
        </row>
        <row r="8590">
          <cell r="C8590">
            <v>3037260</v>
          </cell>
          <cell r="D8590" t="str">
            <v>KIEŁB.MYŚLIWSKA 270GVAC 44STPJ KRA EŁ</v>
          </cell>
        </row>
        <row r="8591">
          <cell r="C8591">
            <v>3037921</v>
          </cell>
          <cell r="D8591" t="str">
            <v>KIEŁB.KRAK.250GVAC 40ST PJ KRA SZ</v>
          </cell>
        </row>
        <row r="8592">
          <cell r="C8592">
            <v>3037925</v>
          </cell>
          <cell r="D8592" t="str">
            <v>SZYN.KONS.STE.SFS 455G 34STPJ KRA SZ</v>
          </cell>
        </row>
        <row r="8593">
          <cell r="C8593">
            <v>3038453</v>
          </cell>
          <cell r="D8593" t="str">
            <v>KIEŁB.KRAKOWSKA 250GVAC 54STPJ KRA SZ</v>
          </cell>
        </row>
        <row r="8594">
          <cell r="C8594">
            <v>3039167</v>
          </cell>
          <cell r="D8594" t="str">
            <v>KIEŁB.KRAK.SUCHA 250GVAC 60STPJ KRA SZ</v>
          </cell>
        </row>
        <row r="8595">
          <cell r="C8595">
            <v>3039875</v>
          </cell>
          <cell r="D8595" t="str">
            <v>KIEŁB.ŻYWIECKA 460GVAC 36STPJ KRA K1</v>
          </cell>
        </row>
        <row r="8596">
          <cell r="C8596">
            <v>3040199</v>
          </cell>
          <cell r="D8596" t="str">
            <v>K.KRAK.Z PIER.KUR.250GVAC 20STKT KRA K1</v>
          </cell>
        </row>
        <row r="8597">
          <cell r="C8597">
            <v>3040230</v>
          </cell>
          <cell r="D8597" t="str">
            <v>KIEŁB.ŻYWIECKA 460GVAC 12STKT KRA K1</v>
          </cell>
        </row>
        <row r="8598">
          <cell r="C8598">
            <v>3044306</v>
          </cell>
          <cell r="D8598" t="str">
            <v>PAPRYKARZ 077 300G 72STPJ KRA SZ</v>
          </cell>
        </row>
        <row r="8599">
          <cell r="C8599">
            <v>4006774</v>
          </cell>
          <cell r="D8599" t="str">
            <v>***KIEŁB.PARÓWKOWA OK1.5KG MAP</v>
          </cell>
        </row>
        <row r="8600">
          <cell r="C8600">
            <v>3012225</v>
          </cell>
          <cell r="D8600" t="str">
            <v>***M-SO WŁ.KL2 PEKL.2%</v>
          </cell>
        </row>
        <row r="8601">
          <cell r="C8601">
            <v>3016473</v>
          </cell>
          <cell r="D8601" t="str">
            <v>M-SO WP.KL1 CIE.PEKL.1.5%</v>
          </cell>
        </row>
        <row r="8602">
          <cell r="C8602">
            <v>3040309</v>
          </cell>
          <cell r="D8602" t="str">
            <v>PP M-SO WP.KL1 CIE.PEKL.1.5%</v>
          </cell>
        </row>
        <row r="8603">
          <cell r="C8603">
            <v>3016744</v>
          </cell>
          <cell r="D8603" t="str">
            <v>PRZEPONA KL2 PEKL.2%</v>
          </cell>
        </row>
        <row r="8604">
          <cell r="C8604">
            <v>3024289</v>
          </cell>
          <cell r="D8604" t="str">
            <v>***MŚ.BIODR.N/OBR.PEKL.2%</v>
          </cell>
        </row>
        <row r="8605">
          <cell r="C8605">
            <v>3016416</v>
          </cell>
          <cell r="D8605" t="str">
            <v>M-SO WP.KL1 JAS.PEKL.2%</v>
          </cell>
        </row>
        <row r="8606">
          <cell r="C8606">
            <v>3040381</v>
          </cell>
          <cell r="D8606" t="str">
            <v>PP M-SO WP.DR.KL1 JAS.PEKL.1.5%</v>
          </cell>
        </row>
        <row r="8607">
          <cell r="C8607">
            <v>3033054</v>
          </cell>
          <cell r="D8607" t="str">
            <v>***M-SO WP.DR.KL1 Z SZYN.CIE.PEKL.2%</v>
          </cell>
        </row>
        <row r="8608">
          <cell r="C8608">
            <v>3040340</v>
          </cell>
          <cell r="D8608" t="str">
            <v>***PP M-SO WP.DR.KL1CIE.Z SZYN.PEKL.1.5%</v>
          </cell>
        </row>
        <row r="8609">
          <cell r="C8609">
            <v>3016417</v>
          </cell>
          <cell r="D8609" t="str">
            <v>M-SO WP.KL2A PEKL.2%</v>
          </cell>
        </row>
        <row r="8610">
          <cell r="C8610">
            <v>3038322</v>
          </cell>
          <cell r="D8610" t="str">
            <v>PP M-SO WP.DR.KL2A PEKL.1.5%</v>
          </cell>
        </row>
        <row r="8611">
          <cell r="C8611">
            <v>3016418</v>
          </cell>
          <cell r="D8611" t="str">
            <v>M-SO WP.KL2B PEKL.2%</v>
          </cell>
        </row>
        <row r="8612">
          <cell r="C8612">
            <v>3040307</v>
          </cell>
          <cell r="D8612" t="str">
            <v>PP M-SO WP.KL2B PEKL.1.5%</v>
          </cell>
        </row>
        <row r="8613">
          <cell r="C8613">
            <v>3016474</v>
          </cell>
          <cell r="D8613" t="str">
            <v>***M-SO WP.KL2B PEKL.MOKRO 15%</v>
          </cell>
        </row>
        <row r="8614">
          <cell r="C8614">
            <v>3016419</v>
          </cell>
          <cell r="D8614" t="str">
            <v>M-SO WP.KL3A PEKL.1.5%</v>
          </cell>
        </row>
        <row r="8615">
          <cell r="C8615">
            <v>3040311</v>
          </cell>
          <cell r="D8615" t="str">
            <v>PP M-SO WP.KL3A PEKL.1.5%</v>
          </cell>
        </row>
        <row r="8616">
          <cell r="C8616">
            <v>3024239</v>
          </cell>
          <cell r="D8616" t="str">
            <v>***M-SO WP.MIEL.DO PROD.</v>
          </cell>
        </row>
        <row r="8617">
          <cell r="C8617">
            <v>3024241</v>
          </cell>
          <cell r="D8617" t="str">
            <v>***M-SO WP.MIEL.DO PROD.NB MR ST</v>
          </cell>
        </row>
        <row r="8618">
          <cell r="C8618">
            <v>3024240</v>
          </cell>
          <cell r="D8618" t="str">
            <v>***M-SO WP.MIEL.DO PROD.NB DMR</v>
          </cell>
        </row>
        <row r="8619">
          <cell r="C8619">
            <v>3025562</v>
          </cell>
          <cell r="D8619" t="str">
            <v>***M-SO WP.MIEL.DO PROD.RO</v>
          </cell>
        </row>
        <row r="8620">
          <cell r="C8620">
            <v>3024238</v>
          </cell>
          <cell r="D8620" t="str">
            <v>***M-SO WP.MIEL.DO PROD.ROZP.</v>
          </cell>
        </row>
        <row r="8621">
          <cell r="C8621">
            <v>3016471</v>
          </cell>
          <cell r="D8621" t="str">
            <v>M-SO WP.KL4 PEKL.2%</v>
          </cell>
        </row>
        <row r="8622">
          <cell r="C8622">
            <v>3016470</v>
          </cell>
          <cell r="D8622" t="str">
            <v>M-SO WP.KL3B PEKL.2%</v>
          </cell>
        </row>
        <row r="8623">
          <cell r="C8623">
            <v>3016798</v>
          </cell>
          <cell r="D8623" t="str">
            <v>***ŁOP.WP.2D PEKL.2%</v>
          </cell>
        </row>
        <row r="8624">
          <cell r="C8624">
            <v>3021452</v>
          </cell>
          <cell r="D8624" t="str">
            <v>***WT M-SO WP.DR.PROD.AS</v>
          </cell>
        </row>
        <row r="8625">
          <cell r="C8625">
            <v>3021461</v>
          </cell>
          <cell r="D8625" t="str">
            <v>***WT M-SO WP.DR.PROD.AS MR</v>
          </cell>
        </row>
        <row r="8626">
          <cell r="C8626">
            <v>3026356</v>
          </cell>
          <cell r="D8626" t="str">
            <v>M-SO WP.DR.PROD OK15KGWOR PJ MR K2</v>
          </cell>
        </row>
        <row r="8627">
          <cell r="C8627">
            <v>3034518</v>
          </cell>
          <cell r="D8627" t="str">
            <v>WT M-SO WP.DR.KARK.PEKL.OK20KG NB MR K2</v>
          </cell>
        </row>
        <row r="8628">
          <cell r="C8628">
            <v>3029776</v>
          </cell>
          <cell r="D8628" t="str">
            <v>M-SO WP.DR.PROD.OK15KG PB MR K2</v>
          </cell>
        </row>
        <row r="8629">
          <cell r="C8629">
            <v>3034677</v>
          </cell>
          <cell r="D8629" t="str">
            <v>WT M-SO WP.DR.PEKL.MAR.OK15KG NB MR K2</v>
          </cell>
        </row>
        <row r="8630">
          <cell r="C8630">
            <v>3034520</v>
          </cell>
          <cell r="D8630" t="str">
            <v>WT M-SO WP.DR.BOCZ.PEKL.OK20KG NB MR K2</v>
          </cell>
        </row>
        <row r="8631">
          <cell r="C8631">
            <v>3021460</v>
          </cell>
          <cell r="D8631" t="str">
            <v>***WT M-SO WP.DR.PROD.AS DMR</v>
          </cell>
        </row>
        <row r="8632">
          <cell r="C8632">
            <v>3021462</v>
          </cell>
          <cell r="D8632" t="str">
            <v>***WT M-SO WP.DR.PROD.AS RO</v>
          </cell>
        </row>
        <row r="8633">
          <cell r="C8633">
            <v>3021473</v>
          </cell>
          <cell r="D8633" t="str">
            <v>***WT M-SO WP.DR.PROD.ROZP</v>
          </cell>
        </row>
        <row r="8634">
          <cell r="C8634">
            <v>3023807</v>
          </cell>
          <cell r="D8634" t="str">
            <v>***M-SO GARM.WP-WŁ.CH DO PEKL.</v>
          </cell>
        </row>
        <row r="8635">
          <cell r="C8635">
            <v>3024005</v>
          </cell>
          <cell r="D8635" t="str">
            <v>***M-SO GARM.WP-WŁ.CH DO PEKL.MR ST</v>
          </cell>
        </row>
        <row r="8636">
          <cell r="C8636">
            <v>3024004</v>
          </cell>
          <cell r="D8636" t="str">
            <v>***M-SO GARM.WP-WŁ.CH DO PEKL.DMR</v>
          </cell>
        </row>
        <row r="8637">
          <cell r="C8637">
            <v>3024162</v>
          </cell>
          <cell r="D8637" t="str">
            <v>***M-SO GARM.WP-WŁ.CH DO PEKL.RO</v>
          </cell>
        </row>
        <row r="8638">
          <cell r="C8638">
            <v>3023808</v>
          </cell>
          <cell r="D8638" t="str">
            <v>***M-SO GARM.WP-WŁ.DO PEKL.ROZP.</v>
          </cell>
        </row>
        <row r="8639">
          <cell r="C8639">
            <v>3016475</v>
          </cell>
          <cell r="D8639" t="str">
            <v>MŚ.SZYN.ODBŁ.CIE.PEKL.SUCHE 2%</v>
          </cell>
        </row>
        <row r="8640">
          <cell r="C8640">
            <v>3040308</v>
          </cell>
          <cell r="D8640" t="str">
            <v>PP MŚ.SZYN.ODBŁ.CIE.PEKL.SUCHE 1.5%</v>
          </cell>
        </row>
        <row r="8641">
          <cell r="C8641">
            <v>3024036</v>
          </cell>
          <cell r="D8641" t="str">
            <v>***M-SO GARM.WP.DO PEKL.CH</v>
          </cell>
        </row>
        <row r="8642">
          <cell r="C8642">
            <v>3024039</v>
          </cell>
          <cell r="D8642" t="str">
            <v>***M-SO GARM.WP.DO PEKL.MR</v>
          </cell>
        </row>
        <row r="8643">
          <cell r="C8643">
            <v>3024038</v>
          </cell>
          <cell r="D8643" t="str">
            <v>***M-SO GARM.WP.DO PEKL.DMR</v>
          </cell>
        </row>
        <row r="8644">
          <cell r="C8644">
            <v>3024153</v>
          </cell>
          <cell r="D8644" t="str">
            <v>***M-SO GARM.WP.DO PEKL.RO</v>
          </cell>
        </row>
        <row r="8645">
          <cell r="C8645">
            <v>3024127</v>
          </cell>
          <cell r="D8645" t="str">
            <v>***M-SO GARM.WP.DO PEKL.ROZP.</v>
          </cell>
        </row>
        <row r="8646">
          <cell r="C8646">
            <v>3024243</v>
          </cell>
          <cell r="D8646" t="str">
            <v>***M-SO WP.-WŁ.MIEL.DO PROD.</v>
          </cell>
        </row>
        <row r="8647">
          <cell r="C8647">
            <v>3024245</v>
          </cell>
          <cell r="D8647" t="str">
            <v>***M-SO WP.-WŁ.MIEL.DO PROD.NB MR ST</v>
          </cell>
        </row>
        <row r="8648">
          <cell r="C8648">
            <v>3024244</v>
          </cell>
          <cell r="D8648" t="str">
            <v>***M-SO WP.-WŁ.MIEL.DO PROD.NB DMR</v>
          </cell>
        </row>
        <row r="8649">
          <cell r="C8649">
            <v>3025661</v>
          </cell>
          <cell r="D8649" t="str">
            <v>***M-SO WP.-WŁ.MIEL.DO PROD.ROZP.RO</v>
          </cell>
        </row>
        <row r="8650">
          <cell r="C8650">
            <v>3024242</v>
          </cell>
          <cell r="D8650" t="str">
            <v>***M-SO WP.-WŁ.MIEL.DO PROD.ROZP.</v>
          </cell>
        </row>
        <row r="8651">
          <cell r="C8651">
            <v>3016745</v>
          </cell>
          <cell r="D8651" t="str">
            <v>***MIESZ.WSTĘPNA PEKLOWANA DO PARÓWEK</v>
          </cell>
        </row>
        <row r="8652">
          <cell r="C8652">
            <v>3016791</v>
          </cell>
          <cell r="D8652" t="str">
            <v>***ŁOP.4D PEKL.10% DO SALCESONU</v>
          </cell>
        </row>
        <row r="8653">
          <cell r="C8653">
            <v>3021463</v>
          </cell>
          <cell r="D8653" t="str">
            <v>MIESZ.WSTĘPNA DO KABAN.WP.</v>
          </cell>
        </row>
        <row r="8654">
          <cell r="C8654">
            <v>3025663</v>
          </cell>
          <cell r="D8654" t="str">
            <v>***M-SA DO PROD.MIESZ.WSTĘPNEJ DO KABAN.</v>
          </cell>
        </row>
        <row r="8655">
          <cell r="C8655">
            <v>3028858</v>
          </cell>
          <cell r="D8655" t="str">
            <v>***MIESZ.WSTĘPNA DO KABANOSÓW PBX ST</v>
          </cell>
        </row>
        <row r="8656">
          <cell r="C8656">
            <v>3028975</v>
          </cell>
          <cell r="D8656" t="str">
            <v>MIESZ.WSTĘPNA DO KABAN.ROZP</v>
          </cell>
        </row>
        <row r="8657">
          <cell r="C8657">
            <v>3021897</v>
          </cell>
          <cell r="D8657" t="str">
            <v>MIESZ.WSTĘPNA DO KABAN.Z SZYN.</v>
          </cell>
        </row>
        <row r="8658">
          <cell r="C8658">
            <v>3016476</v>
          </cell>
          <cell r="D8658" t="str">
            <v>FARSZ SZYN.KONS. 7LBS PEKL.18%</v>
          </cell>
        </row>
        <row r="8659">
          <cell r="C8659">
            <v>3040339</v>
          </cell>
          <cell r="D8659" t="str">
            <v>SZYN.PEKL.1.5%</v>
          </cell>
        </row>
        <row r="8660">
          <cell r="C8660">
            <v>3027225</v>
          </cell>
          <cell r="D8660" t="str">
            <v>M-SO WP.DR.PROD.PEKL.OK20KG PJ K2</v>
          </cell>
        </row>
        <row r="8661">
          <cell r="C8661">
            <v>3040198</v>
          </cell>
          <cell r="D8661" t="str">
            <v>PP SZYN.PEKL.1.5%</v>
          </cell>
        </row>
        <row r="8662">
          <cell r="C8662">
            <v>3039575</v>
          </cell>
          <cell r="D8662" t="str">
            <v>***PP M-SO WP.KL1 CIE.PEKL.2%</v>
          </cell>
        </row>
        <row r="8663">
          <cell r="C8663">
            <v>3043094</v>
          </cell>
          <cell r="D8663" t="str">
            <v>MIESZ.WSTĘPNA DO KABAN.DR/WP.</v>
          </cell>
        </row>
        <row r="8664">
          <cell r="C8664">
            <v>3043954</v>
          </cell>
          <cell r="D8664" t="str">
            <v>M-SO WP.DR.KL3B PEKL.1.5%</v>
          </cell>
        </row>
        <row r="8665">
          <cell r="C8665">
            <v>3014196</v>
          </cell>
          <cell r="D8665" t="str">
            <v>***SUR.PEKL.POLĘDWICA SOPOCKA EXTRA S</v>
          </cell>
        </row>
        <row r="8666">
          <cell r="C8666">
            <v>3016750</v>
          </cell>
          <cell r="D8666" t="str">
            <v>POL.SOPOCKA PEKL.90%</v>
          </cell>
        </row>
        <row r="8667">
          <cell r="C8667">
            <v>3016477</v>
          </cell>
          <cell r="D8667" t="str">
            <v>***SUR.PEKL.POL.SOPOCKA 70%</v>
          </cell>
        </row>
        <row r="8668">
          <cell r="C8668">
            <v>3016478</v>
          </cell>
          <cell r="D8668" t="str">
            <v>***MŚ.Z GOL.PEKL.2%</v>
          </cell>
        </row>
        <row r="8669">
          <cell r="C8669">
            <v>3016479</v>
          </cell>
          <cell r="D8669" t="str">
            <v>POL.ŁOSOS.PEKL.26%</v>
          </cell>
        </row>
        <row r="8670">
          <cell r="C8670">
            <v>3016480</v>
          </cell>
          <cell r="D8670" t="str">
            <v>ŁOP.4D PEKL.2%</v>
          </cell>
        </row>
        <row r="8671">
          <cell r="C8671">
            <v>3016764</v>
          </cell>
          <cell r="D8671" t="str">
            <v>POL.WĘDZ.PEKL.26%</v>
          </cell>
        </row>
        <row r="8672">
          <cell r="C8672">
            <v>3016786</v>
          </cell>
          <cell r="D8672" t="str">
            <v>***SUR.PEKL.BOCZ. DO PIECZENIA</v>
          </cell>
        </row>
        <row r="8673">
          <cell r="C8673">
            <v>3016785</v>
          </cell>
          <cell r="D8673" t="str">
            <v>***SUR.PEKL.SCH.ZE ŚLIW. DO PIECZENIA</v>
          </cell>
        </row>
        <row r="8674">
          <cell r="C8674">
            <v>3016789</v>
          </cell>
          <cell r="D8674" t="str">
            <v>***SUR.PEKL.KARK. DO PIECZENIA</v>
          </cell>
        </row>
        <row r="8675">
          <cell r="C8675">
            <v>3016790</v>
          </cell>
          <cell r="D8675" t="str">
            <v>***SUR.PEKL.SZYN.DO PIECZENIA</v>
          </cell>
        </row>
        <row r="8676">
          <cell r="C8676">
            <v>3016481</v>
          </cell>
          <cell r="D8676" t="str">
            <v>BOCZ.WĘDZ.PARZ.EXT.PEKL.35%</v>
          </cell>
        </row>
        <row r="8677">
          <cell r="C8677">
            <v>3016704</v>
          </cell>
          <cell r="D8677" t="str">
            <v>BOCZ.OKOPC.PEKL.35%</v>
          </cell>
        </row>
        <row r="8678">
          <cell r="C8678">
            <v>3016794</v>
          </cell>
          <cell r="D8678" t="str">
            <v>SUR.PEKL.SZYN.KONS.50%</v>
          </cell>
        </row>
        <row r="8679">
          <cell r="C8679">
            <v>3012451</v>
          </cell>
          <cell r="D8679" t="str">
            <v>SUR.PEKL.SZYN.KONS. 18% 5.5LBS KRAKUS</v>
          </cell>
        </row>
        <row r="8680">
          <cell r="C8680">
            <v>3012478</v>
          </cell>
          <cell r="D8680" t="str">
            <v>SUR.PEKL.SZYN.KONS.40%</v>
          </cell>
        </row>
        <row r="8681">
          <cell r="C8681">
            <v>3016135</v>
          </cell>
          <cell r="D8681" t="str">
            <v>***OGONÓWKA PEKL.90%</v>
          </cell>
        </row>
        <row r="8682">
          <cell r="C8682">
            <v>3016225</v>
          </cell>
          <cell r="D8682" t="str">
            <v>POL.WĘDZ.PEKL.</v>
          </cell>
        </row>
        <row r="8683">
          <cell r="C8683">
            <v>3018889</v>
          </cell>
          <cell r="D8683" t="str">
            <v>***SUR.PEKL.BOCZ.KOPCONY 35%</v>
          </cell>
        </row>
        <row r="8684">
          <cell r="C8684">
            <v>3016713</v>
          </cell>
          <cell r="D8684" t="str">
            <v>***ŁOP. 3D PEKL.10% CH</v>
          </cell>
        </row>
        <row r="8685">
          <cell r="C8685">
            <v>3016714</v>
          </cell>
          <cell r="D8685" t="str">
            <v>KARK.B/K Z/KOR PEKL.10%</v>
          </cell>
        </row>
        <row r="8686">
          <cell r="C8686">
            <v>3016712</v>
          </cell>
          <cell r="D8686" t="str">
            <v>SCH.GARM PEKL.10%</v>
          </cell>
        </row>
        <row r="8687">
          <cell r="C8687">
            <v>3016710</v>
          </cell>
          <cell r="D8687" t="str">
            <v>SZYN.4D PEKL.10% CH</v>
          </cell>
        </row>
        <row r="8688">
          <cell r="C8688">
            <v>3016722</v>
          </cell>
          <cell r="D8688" t="str">
            <v>BOCZ.WĘDZ.PARZ.PEKL.MOR</v>
          </cell>
        </row>
        <row r="8689">
          <cell r="C8689">
            <v>3014299</v>
          </cell>
          <cell r="D8689" t="str">
            <v>***SUR.PEKL.BALERON WĘDZ.PARZ.40%</v>
          </cell>
        </row>
        <row r="8690">
          <cell r="C8690">
            <v>3016296</v>
          </cell>
          <cell r="D8690" t="str">
            <v>***SUR.PEKL.ŻEBERKA DO PIECZ. 15%</v>
          </cell>
        </row>
        <row r="8691">
          <cell r="C8691">
            <v>3016482</v>
          </cell>
          <cell r="D8691" t="str">
            <v>***SUR.PEKL.BALERON PEKL.70%</v>
          </cell>
        </row>
        <row r="8692">
          <cell r="C8692">
            <v>3016271</v>
          </cell>
          <cell r="D8692" t="str">
            <v>***SCH.Z/ŚLIW.MAR.15% PEKL.BIED</v>
          </cell>
        </row>
        <row r="8693">
          <cell r="C8693">
            <v>3016892</v>
          </cell>
          <cell r="D8693" t="str">
            <v>***SUR.PEKL.BOCZ.ROL.35%</v>
          </cell>
        </row>
        <row r="8694">
          <cell r="C8694">
            <v>3016891</v>
          </cell>
          <cell r="D8694" t="str">
            <v>SUR.PEKL.BOCZ.DO WĘDZ.15%</v>
          </cell>
        </row>
        <row r="8695">
          <cell r="C8695">
            <v>3016890</v>
          </cell>
          <cell r="D8695" t="str">
            <v>***SUR.PEKL.SZYN.DO WĘDZ.15%</v>
          </cell>
        </row>
        <row r="8696">
          <cell r="C8696">
            <v>3017061</v>
          </cell>
          <cell r="D8696" t="str">
            <v>***SUR.PEKL.PULLED PORK</v>
          </cell>
        </row>
        <row r="8697">
          <cell r="C8697">
            <v>3018532</v>
          </cell>
          <cell r="D8697" t="str">
            <v>***SUR.PEKL.WĘDZ.Z ŁOP. 50%</v>
          </cell>
        </row>
        <row r="8698">
          <cell r="C8698">
            <v>3020016</v>
          </cell>
          <cell r="D8698" t="str">
            <v>***SUR.PEKL.WĘDZ.KULINARNA. 30%</v>
          </cell>
        </row>
        <row r="8699">
          <cell r="C8699">
            <v>3020123</v>
          </cell>
          <cell r="D8699" t="str">
            <v>***SUR.PEKL.POLICZKI MEAL QUICK PORK</v>
          </cell>
        </row>
        <row r="8700">
          <cell r="C8700">
            <v>3020127</v>
          </cell>
          <cell r="D8700" t="str">
            <v>***SUR.PEKL.GOLONKA MEAL QUICK PORK</v>
          </cell>
        </row>
        <row r="8701">
          <cell r="C8701">
            <v>3020945</v>
          </cell>
          <cell r="D8701" t="str">
            <v>***SUR.PEKL.ŻEB.VORES SPARERIBS</v>
          </cell>
        </row>
        <row r="8702">
          <cell r="C8702">
            <v>3021048</v>
          </cell>
          <cell r="D8702" t="str">
            <v>BOCZ.WĘDZ.B/S.PEKL.20%</v>
          </cell>
        </row>
        <row r="8703">
          <cell r="C8703">
            <v>3021248</v>
          </cell>
          <cell r="D8703" t="str">
            <v>***SUR.PEKL.BOCZ.Z/S.FORM.35%</v>
          </cell>
        </row>
        <row r="8704">
          <cell r="C8704">
            <v>3016483</v>
          </cell>
          <cell r="D8704" t="str">
            <v>***ŻEB.MOST.PEKL.10%</v>
          </cell>
        </row>
        <row r="8705">
          <cell r="C8705">
            <v>3021890</v>
          </cell>
          <cell r="D8705" t="str">
            <v>***SUR.PEKL.SZYN.FORM.</v>
          </cell>
        </row>
        <row r="8706">
          <cell r="C8706">
            <v>3016484</v>
          </cell>
          <cell r="D8706" t="str">
            <v>OZORY PEKL.4%</v>
          </cell>
        </row>
        <row r="8707">
          <cell r="C8707">
            <v>3022780</v>
          </cell>
          <cell r="D8707" t="str">
            <v>***SUR.PEKL.SZYN.DO PIECZ.</v>
          </cell>
        </row>
        <row r="8708">
          <cell r="C8708">
            <v>3016472</v>
          </cell>
          <cell r="D8708" t="str">
            <v>PODG.WP.B/S.PEKL.2%</v>
          </cell>
        </row>
        <row r="8709">
          <cell r="C8709">
            <v>3022748</v>
          </cell>
          <cell r="D8709" t="str">
            <v>***SUR.PEKL.KARCZEK DO PIECZ.</v>
          </cell>
        </row>
        <row r="8710">
          <cell r="C8710">
            <v>3022749</v>
          </cell>
          <cell r="D8710" t="str">
            <v>***SUR.PEKL.SCH.ZE ŚLIWKĄ DO PIECZ.JMP</v>
          </cell>
        </row>
        <row r="8711">
          <cell r="C8711">
            <v>3007240</v>
          </cell>
          <cell r="D8711" t="str">
            <v>***EL.BOCZEK CARSKI PEKL.</v>
          </cell>
        </row>
        <row r="8712">
          <cell r="C8712">
            <v>3023391</v>
          </cell>
          <cell r="D8712" t="str">
            <v>***SCH.WĘDZ.PEKL.20%</v>
          </cell>
        </row>
        <row r="8713">
          <cell r="C8713">
            <v>3023392</v>
          </cell>
          <cell r="D8713" t="str">
            <v>***SUR.PEKL.KARCZEK WP.WĘDZONY 20% KG</v>
          </cell>
        </row>
        <row r="8714">
          <cell r="C8714">
            <v>3023393</v>
          </cell>
          <cell r="D8714" t="str">
            <v>***SZYN.WĘDZ.PEKL.20%</v>
          </cell>
        </row>
        <row r="8715">
          <cell r="C8715">
            <v>3023962</v>
          </cell>
          <cell r="D8715" t="str">
            <v>***SUR.PEKL.BOCZEK DO PIECZENIA JMP</v>
          </cell>
        </row>
        <row r="8716">
          <cell r="C8716">
            <v>3025106</v>
          </cell>
          <cell r="D8716" t="str">
            <v>***SZYN.WĘDZ.PEKL.90%</v>
          </cell>
        </row>
        <row r="8717">
          <cell r="C8717">
            <v>3040556</v>
          </cell>
          <cell r="D8717" t="str">
            <v>***POL.WĘDZ.O SMAKU TRUFLI PEKL.</v>
          </cell>
        </row>
        <row r="8718">
          <cell r="C8718">
            <v>3025439</v>
          </cell>
          <cell r="D8718" t="str">
            <v>***SUR.PEKL.WĘDZ.MOR 90%</v>
          </cell>
        </row>
        <row r="8719">
          <cell r="C8719">
            <v>3016716</v>
          </cell>
          <cell r="D8719" t="str">
            <v>***FARSZ NA SZYN.KONSERWOWĄ EXPORT</v>
          </cell>
        </row>
        <row r="8720">
          <cell r="C8720">
            <v>3041144</v>
          </cell>
          <cell r="D8720" t="str">
            <v>SZYN.MAGNACKA PEKL.</v>
          </cell>
        </row>
        <row r="8721">
          <cell r="C8721">
            <v>3046211</v>
          </cell>
          <cell r="D8721" t="str">
            <v>SCH.OD SZWAGRA PARZ.PEKL.</v>
          </cell>
        </row>
        <row r="8722">
          <cell r="C8722">
            <v>3016485</v>
          </cell>
          <cell r="D8722" t="str">
            <v>***SUR.PEKL.BOCZ.WĘDZONY 20%</v>
          </cell>
        </row>
        <row r="8723">
          <cell r="C8723">
            <v>3016486</v>
          </cell>
          <cell r="D8723" t="str">
            <v>***SUR.PEKL.SCH Z/ŚLIWKĄ/SZARO 15%</v>
          </cell>
        </row>
        <row r="8724">
          <cell r="C8724">
            <v>3012501</v>
          </cell>
          <cell r="D8724" t="str">
            <v>***SUR.PEKL.SCHAB Z/ŚL.SZARO 15% VAC MR</v>
          </cell>
        </row>
        <row r="8725">
          <cell r="C8725">
            <v>3012503</v>
          </cell>
          <cell r="D8725" t="str">
            <v>***SUR.PEKL.SCH.Z/ŚL.SZARO 15% VAC DMR</v>
          </cell>
        </row>
        <row r="8726">
          <cell r="C8726">
            <v>3012500</v>
          </cell>
          <cell r="D8726" t="str">
            <v>***SUR.PEKL.SCHAB Z/ŚL. SZARO 15% VAC RO</v>
          </cell>
        </row>
        <row r="8727">
          <cell r="C8727">
            <v>3016487</v>
          </cell>
          <cell r="D8727" t="str">
            <v>KIEŁB.KRAK.PARZ.FARSZ</v>
          </cell>
        </row>
        <row r="8728">
          <cell r="C8728">
            <v>3046798</v>
          </cell>
          <cell r="D8728" t="str">
            <v>KIEŁB.KRAK.PARZ.OK15KG NB MR FARSZ</v>
          </cell>
        </row>
        <row r="8729">
          <cell r="C8729">
            <v>3046797</v>
          </cell>
          <cell r="D8729" t="str">
            <v>KIEŁB.KRAK.PARZ.OK15KG NB DMR FARSZ</v>
          </cell>
        </row>
        <row r="8730">
          <cell r="C8730">
            <v>3046799</v>
          </cell>
          <cell r="D8730" t="str">
            <v>KIEŁB.KRAK.PARZ.RO FARSZ</v>
          </cell>
        </row>
        <row r="8731">
          <cell r="C8731">
            <v>3016816</v>
          </cell>
          <cell r="D8731" t="str">
            <v>***SUR.PEKL.SZYNECZKA I KLASA 25%</v>
          </cell>
        </row>
        <row r="8732">
          <cell r="C8732">
            <v>3016683</v>
          </cell>
          <cell r="D8732" t="str">
            <v>***SZYN.RYCERSKA PEKL.20%</v>
          </cell>
        </row>
        <row r="8733">
          <cell r="C8733">
            <v>3017937</v>
          </cell>
          <cell r="D8733" t="str">
            <v>SZYN.ZRAZOWA PEKL.25%</v>
          </cell>
        </row>
        <row r="8734">
          <cell r="C8734">
            <v>3027163</v>
          </cell>
          <cell r="D8734" t="str">
            <v>***SZYN.ZRAZOWA MAŁA 25% PEKL.</v>
          </cell>
        </row>
        <row r="8735">
          <cell r="C8735">
            <v>3016488</v>
          </cell>
          <cell r="D8735" t="str">
            <v>***SUR.PEKL.KARK/SZARO 15%</v>
          </cell>
        </row>
        <row r="8736">
          <cell r="C8736">
            <v>3012550</v>
          </cell>
          <cell r="D8736" t="str">
            <v>***SUR.PEKL.KARK/SZARO 15% VAC MR</v>
          </cell>
        </row>
        <row r="8737">
          <cell r="C8737">
            <v>3012526</v>
          </cell>
          <cell r="D8737" t="str">
            <v>***SUR.PEKL.KARK/SZARO 15% VAC DMR</v>
          </cell>
        </row>
        <row r="8738">
          <cell r="C8738">
            <v>3012525</v>
          </cell>
          <cell r="D8738" t="str">
            <v>***SUR.PEKL.KARK/SZARO 15% VAC RO</v>
          </cell>
        </row>
        <row r="8739">
          <cell r="C8739">
            <v>3008166</v>
          </cell>
          <cell r="D8739" t="str">
            <v>***SUR.PEKL.SZYNKA KARKUS 30%</v>
          </cell>
        </row>
        <row r="8740">
          <cell r="C8740">
            <v>3016489</v>
          </cell>
          <cell r="D8740" t="str">
            <v>FARSZ NA KIEŁ.SZYNKOWĄ</v>
          </cell>
        </row>
        <row r="8741">
          <cell r="C8741">
            <v>3016490</v>
          </cell>
          <cell r="D8741" t="str">
            <v>WĘDZ.KROTOSZ.PEKL.30%</v>
          </cell>
        </row>
        <row r="8742">
          <cell r="C8742">
            <v>3013602</v>
          </cell>
          <cell r="D8742" t="str">
            <v>***BOCZ.GRILL MAR.CONCERTO PEKL.</v>
          </cell>
        </row>
        <row r="8743">
          <cell r="C8743">
            <v>3013601</v>
          </cell>
          <cell r="D8743" t="str">
            <v>***BOCZ.GRILL MAR.CONCERTO Z MROŻ.PEKL.</v>
          </cell>
        </row>
        <row r="8744">
          <cell r="C8744">
            <v>3008169</v>
          </cell>
          <cell r="D8744" t="str">
            <v>***SUR.PEKL.BOCZ. ""JAK U MAMY" 15%"</v>
          </cell>
        </row>
        <row r="8745">
          <cell r="C8745">
            <v>3008170</v>
          </cell>
          <cell r="D8745" t="str">
            <v>***SUR.PEKL.ŁOP. ""JAK U MAMY" 15%"</v>
          </cell>
        </row>
        <row r="8746">
          <cell r="C8746">
            <v>3008171</v>
          </cell>
          <cell r="D8746" t="str">
            <v>***SUR.PEKL.KARK. ""JAK U MAMY" 15%"</v>
          </cell>
        </row>
        <row r="8747">
          <cell r="C8747">
            <v>3016822</v>
          </cell>
          <cell r="D8747" t="str">
            <v>SUR.PEKL.SZYN.USA 18%</v>
          </cell>
        </row>
        <row r="8748">
          <cell r="C8748">
            <v>3016491</v>
          </cell>
          <cell r="D8748" t="str">
            <v>***SUR.PEKL.BOCZ.GRILL.17% BIED</v>
          </cell>
        </row>
        <row r="8749">
          <cell r="C8749">
            <v>3016492</v>
          </cell>
          <cell r="D8749" t="str">
            <v>***SUR.PEKL.KARK.GRILL BIED</v>
          </cell>
        </row>
        <row r="8750">
          <cell r="C8750">
            <v>3009563</v>
          </cell>
          <cell r="D8750" t="str">
            <v>***BOCZ.PEKL.KOTL.BIED</v>
          </cell>
        </row>
        <row r="8751">
          <cell r="C8751">
            <v>3016493</v>
          </cell>
          <cell r="D8751" t="str">
            <v>SZYN.TRAD.PEKL.70%</v>
          </cell>
        </row>
        <row r="8752">
          <cell r="C8752">
            <v>3014133</v>
          </cell>
          <cell r="D8752" t="str">
            <v>***KARK.GRILL MAR.PEKL.</v>
          </cell>
        </row>
        <row r="8753">
          <cell r="C8753">
            <v>3018141</v>
          </cell>
          <cell r="D8753" t="str">
            <v>***KARK.GRILL MAR.RO CH PEKL.</v>
          </cell>
        </row>
        <row r="8754">
          <cell r="C8754">
            <v>3014134</v>
          </cell>
          <cell r="D8754" t="str">
            <v>***KARK.GRILL MAR.CONCERTO Z MROŻ.PEKL.</v>
          </cell>
        </row>
        <row r="8755">
          <cell r="C8755">
            <v>3008176</v>
          </cell>
          <cell r="D8755" t="str">
            <v>***SUR.PEKL.SCH. ""JAK U MAMY" 15%"</v>
          </cell>
        </row>
        <row r="8756">
          <cell r="C8756">
            <v>3016739</v>
          </cell>
          <cell r="D8756" t="str">
            <v>KARK.PEKL.KOTL.BIED</v>
          </cell>
        </row>
        <row r="8757">
          <cell r="C8757">
            <v>3009571</v>
          </cell>
          <cell r="D8757" t="str">
            <v>***BOCZ.PEKL.KOTL.</v>
          </cell>
        </row>
        <row r="8758">
          <cell r="C8758">
            <v>3016684</v>
          </cell>
          <cell r="D8758" t="str">
            <v>SUR.PEKL.BOCZ.WĘDZ.PARZ.SZER.35%</v>
          </cell>
        </row>
        <row r="8759">
          <cell r="C8759">
            <v>3009562</v>
          </cell>
          <cell r="D8759" t="str">
            <v>***KARK.PEKL.KOTL.</v>
          </cell>
        </row>
        <row r="8760">
          <cell r="C8760">
            <v>3016740</v>
          </cell>
          <cell r="D8760" t="str">
            <v>***SUR.PEKL.KARK.GRILL 20% - CHŁ. BIED</v>
          </cell>
        </row>
        <row r="8761">
          <cell r="C8761">
            <v>3016494</v>
          </cell>
          <cell r="D8761" t="str">
            <v>SZYN.BIAŁA KRÓLEWSKA FARSZ</v>
          </cell>
        </row>
        <row r="8762">
          <cell r="C8762">
            <v>3016742</v>
          </cell>
          <cell r="D8762" t="str">
            <v>***SUR.PEKL.BOCZ.GRILL 17% CH</v>
          </cell>
        </row>
        <row r="8763">
          <cell r="C8763">
            <v>3018133</v>
          </cell>
          <cell r="D8763" t="str">
            <v>***SUR.PEKL.BOCZ.GRILL 17% RO CH</v>
          </cell>
        </row>
        <row r="8764">
          <cell r="C8764">
            <v>3016880</v>
          </cell>
          <cell r="D8764" t="str">
            <v>***SUR.PEKL.SZYN.TEŚCIOWEJ MAŁA 70%</v>
          </cell>
        </row>
        <row r="8765">
          <cell r="C8765">
            <v>3016881</v>
          </cell>
          <cell r="D8765" t="str">
            <v>***SUR.PEKL.ŻEB.WP.MIĘSNE 35%</v>
          </cell>
        </row>
        <row r="8766">
          <cell r="C8766">
            <v>3021497</v>
          </cell>
          <cell r="D8766" t="str">
            <v>***SZYN.GRILL MAR.PORTO PEKL.</v>
          </cell>
        </row>
        <row r="8767">
          <cell r="C8767">
            <v>3021498</v>
          </cell>
          <cell r="D8767" t="str">
            <v>***KARK.GRILL MAR.PORTO PEKL.</v>
          </cell>
        </row>
        <row r="8768">
          <cell r="C8768">
            <v>3021499</v>
          </cell>
          <cell r="D8768" t="str">
            <v>***BOCZ.GRILL MAR.PORTO PEKL.</v>
          </cell>
        </row>
        <row r="8769">
          <cell r="C8769">
            <v>3016700</v>
          </cell>
          <cell r="D8769" t="str">
            <v>SUROW.PEKL.NA KIEŁB.PODWAWELSKĄ</v>
          </cell>
        </row>
        <row r="8770">
          <cell r="C8770">
            <v>3012495</v>
          </cell>
          <cell r="D8770" t="str">
            <v>***SUR.PEKL.NA KIEŁB.ŚLĄSKĄ</v>
          </cell>
        </row>
        <row r="8771">
          <cell r="C8771">
            <v>3014507</v>
          </cell>
          <cell r="D8771" t="str">
            <v>***SUR.PEKL.NA KIEŁB.KRUCHĄ</v>
          </cell>
        </row>
        <row r="8772">
          <cell r="C8772">
            <v>3016495</v>
          </cell>
          <cell r="D8772" t="str">
            <v>***SUR.PEKL.SCH KRÓTKI 70%</v>
          </cell>
        </row>
        <row r="8773">
          <cell r="C8773">
            <v>3025686</v>
          </cell>
          <cell r="D8773" t="str">
            <v>***SUR.PEKL.NA KIEŁB.PODW.W CELULOZIE</v>
          </cell>
        </row>
        <row r="8774">
          <cell r="C8774">
            <v>3047292</v>
          </cell>
          <cell r="D8774" t="str">
            <v>SZYN.SUR.WĘDZ.PEKL.</v>
          </cell>
        </row>
        <row r="8775">
          <cell r="C8775">
            <v>3045462</v>
          </cell>
          <cell r="D8775" t="str">
            <v>BOCZ.OD SZWAGRA PEKL.25%</v>
          </cell>
        </row>
        <row r="8776">
          <cell r="C8776">
            <v>3016496</v>
          </cell>
          <cell r="D8776" t="str">
            <v>***SUR.PEKL.WĘDZ.BOCZKOWA 60%</v>
          </cell>
        </row>
        <row r="8777">
          <cell r="C8777">
            <v>3046435</v>
          </cell>
          <cell r="D8777" t="str">
            <v>SKÓRY KUR.PEKL.2%</v>
          </cell>
        </row>
        <row r="8778">
          <cell r="C8778">
            <v>3016497</v>
          </cell>
          <cell r="D8778" t="str">
            <v>***SUR.PEKL.SZYN.KONS.KRAK.</v>
          </cell>
        </row>
        <row r="8779">
          <cell r="C8779">
            <v>3035466</v>
          </cell>
          <cell r="D8779" t="str">
            <v>PP ELEM.SZYN.PEKL.15%</v>
          </cell>
        </row>
        <row r="8780">
          <cell r="C8780">
            <v>3035464</v>
          </cell>
          <cell r="D8780" t="str">
            <v>PP ELEM.BOCZ.PEKL.15%</v>
          </cell>
        </row>
        <row r="8781">
          <cell r="C8781">
            <v>3035465</v>
          </cell>
          <cell r="D8781" t="str">
            <v>PP ELEM.SCH.PEKL.15%</v>
          </cell>
        </row>
        <row r="8782">
          <cell r="C8782">
            <v>3040086</v>
          </cell>
          <cell r="D8782" t="str">
            <v>***PP SZYN.ŚWIĘTOKRZ.PEKL.20%</v>
          </cell>
        </row>
        <row r="8783">
          <cell r="C8783">
            <v>3040088</v>
          </cell>
          <cell r="D8783" t="str">
            <v>***PP SCH.ŚWIĘTOKRZ.PEKL.20%</v>
          </cell>
        </row>
        <row r="8784">
          <cell r="C8784">
            <v>3046794</v>
          </cell>
          <cell r="D8784" t="str">
            <v>SKÓRY PEKL.2%</v>
          </cell>
        </row>
        <row r="8785">
          <cell r="C8785">
            <v>3027494</v>
          </cell>
          <cell r="D8785" t="str">
            <v>***SUR.PEKL.KARK.GRILL LIDL II</v>
          </cell>
        </row>
        <row r="8786">
          <cell r="C8786">
            <v>3027491</v>
          </cell>
          <cell r="D8786" t="str">
            <v>***SUR.PEKL.KARK.GRILLOK20KGPBMRLIDLIIST</v>
          </cell>
        </row>
        <row r="8787">
          <cell r="C8787">
            <v>3027490</v>
          </cell>
          <cell r="D8787" t="str">
            <v>***SUR.PEKL.KARK.GRILL DMR LIDL II</v>
          </cell>
        </row>
        <row r="8788">
          <cell r="C8788">
            <v>3025990</v>
          </cell>
          <cell r="D8788" t="str">
            <v>***BOCZ.GRILL.KOTL.PEKL.LIDL</v>
          </cell>
        </row>
        <row r="8789">
          <cell r="C8789">
            <v>3025943</v>
          </cell>
          <cell r="D8789" t="str">
            <v>***SUR.PEKL.BOCZEK.GRILL 10% LIDL</v>
          </cell>
        </row>
        <row r="8790">
          <cell r="C8790">
            <v>3025982</v>
          </cell>
          <cell r="D8790" t="str">
            <v>KARK.GRILL.PEKL.</v>
          </cell>
        </row>
        <row r="8791">
          <cell r="C8791">
            <v>3027374</v>
          </cell>
          <cell r="D8791" t="str">
            <v>***SUR.PEKL.KARK.GRILL.OK20KGPBMR ST</v>
          </cell>
        </row>
        <row r="8792">
          <cell r="C8792">
            <v>3027373</v>
          </cell>
          <cell r="D8792" t="str">
            <v>***SUR.PEKL.KARK.GRILL DMR</v>
          </cell>
        </row>
        <row r="8793">
          <cell r="C8793">
            <v>3025945</v>
          </cell>
          <cell r="D8793" t="str">
            <v>KARK.PEKL.KOTL.GRILL.LIDL</v>
          </cell>
        </row>
        <row r="8794">
          <cell r="C8794">
            <v>3008182</v>
          </cell>
          <cell r="D8794" t="str">
            <v>***FARSZ NA SZYN.DOMOWĄ</v>
          </cell>
        </row>
        <row r="8795">
          <cell r="C8795">
            <v>3016498</v>
          </cell>
          <cell r="D8795" t="str">
            <v>***SUR.PEKL.KARK.GRILL BIED</v>
          </cell>
        </row>
        <row r="8796">
          <cell r="C8796">
            <v>3009210</v>
          </cell>
          <cell r="D8796" t="str">
            <v>***SUR.PEKL.KARK.GRILL.OK20KGPBMRBIED ST</v>
          </cell>
        </row>
        <row r="8797">
          <cell r="C8797">
            <v>3009201</v>
          </cell>
          <cell r="D8797" t="str">
            <v>***SUR.PEKL.KARK.GRILL DMR BIED</v>
          </cell>
        </row>
        <row r="8798">
          <cell r="C8798">
            <v>3009200</v>
          </cell>
          <cell r="D8798" t="str">
            <v>***SUR.PEKL.KARK.GRILL RO BIED</v>
          </cell>
        </row>
        <row r="8799">
          <cell r="C8799">
            <v>3008184</v>
          </cell>
          <cell r="D8799" t="str">
            <v>***SUR.PEKL.SCH.MARN.15%</v>
          </cell>
        </row>
        <row r="8800">
          <cell r="C8800">
            <v>3008185</v>
          </cell>
          <cell r="D8800" t="str">
            <v>***SUR.PEKL.BOCZ.MARN.15%</v>
          </cell>
        </row>
        <row r="8801">
          <cell r="C8801">
            <v>3016499</v>
          </cell>
          <cell r="D8801" t="str">
            <v>***FARSZ NA PRZYSMAK SZYNKOWY</v>
          </cell>
        </row>
        <row r="8802">
          <cell r="C8802">
            <v>3008187</v>
          </cell>
          <cell r="D8802" t="str">
            <v>***MŚ.TRÓJGŁOWY PEKL.15%</v>
          </cell>
        </row>
        <row r="8803">
          <cell r="C8803">
            <v>3016500</v>
          </cell>
          <cell r="D8803" t="str">
            <v>***FARSZ NA KIEŁ.PODWAWELSKĄ PZ</v>
          </cell>
        </row>
        <row r="8804">
          <cell r="C8804">
            <v>3018560</v>
          </cell>
          <cell r="D8804" t="str">
            <v>***FARSZ SZYN.KONS.CZ/SŁ</v>
          </cell>
        </row>
        <row r="8805">
          <cell r="C8805">
            <v>3043300</v>
          </cell>
          <cell r="D8805" t="str">
            <v>SUR.MIĘS.75/25 PEKL.1.5%</v>
          </cell>
        </row>
        <row r="8806">
          <cell r="C8806">
            <v>3044964</v>
          </cell>
          <cell r="D8806" t="str">
            <v>SUR.MIĘS.70/30 USR</v>
          </cell>
        </row>
        <row r="8807">
          <cell r="C8807">
            <v>3044967</v>
          </cell>
          <cell r="D8807" t="str">
            <v>SUR.MIĘS.70/30 USR OK20KGNB MR ST</v>
          </cell>
        </row>
        <row r="8808">
          <cell r="C8808">
            <v>3044966</v>
          </cell>
          <cell r="D8808" t="str">
            <v>SUR.MIĘS.70/30 USR OK20KGNB DMR</v>
          </cell>
        </row>
        <row r="8809">
          <cell r="C8809">
            <v>3046143</v>
          </cell>
          <cell r="D8809" t="str">
            <v>SUR.MIĘS.70/30 USR RO</v>
          </cell>
        </row>
        <row r="8810">
          <cell r="C8810">
            <v>3045547</v>
          </cell>
          <cell r="D8810" t="str">
            <v>PP SUR.MIĘS.70/30 USR</v>
          </cell>
        </row>
        <row r="8811">
          <cell r="C8811">
            <v>3045559</v>
          </cell>
          <cell r="D8811" t="str">
            <v>PP SUR.MIĘS.70/30 USR OK20KG NB MR ST</v>
          </cell>
        </row>
        <row r="8812">
          <cell r="C8812">
            <v>3045556</v>
          </cell>
          <cell r="D8812" t="str">
            <v>PP SUR.MIĘS.70/30 USR OK20KG NB DMR</v>
          </cell>
        </row>
        <row r="8813">
          <cell r="C8813">
            <v>3036648</v>
          </cell>
          <cell r="D8813" t="str">
            <v>SUR.MIĘS.Z ŁOP.SZYN.TŁ.20%</v>
          </cell>
        </row>
        <row r="8814">
          <cell r="C8814">
            <v>3036563</v>
          </cell>
          <cell r="D8814" t="str">
            <v>SUR.MIĘS.Z ŁOP.PODG.TŁ.40%</v>
          </cell>
        </row>
        <row r="8815">
          <cell r="C8815">
            <v>3016501</v>
          </cell>
          <cell r="D8815" t="str">
            <v>FARSZ NA SZYN.KONSERWOWĄ BLOK</v>
          </cell>
        </row>
        <row r="8816">
          <cell r="C8816">
            <v>3037724</v>
          </cell>
          <cell r="D8816" t="str">
            <v>SUR.MIĘS.65/35 PEKL.1.5%</v>
          </cell>
        </row>
        <row r="8817">
          <cell r="C8817">
            <v>3042736</v>
          </cell>
          <cell r="D8817" t="str">
            <v>PP SUR.MIĘS.KL4 PEKL.1.5%</v>
          </cell>
        </row>
        <row r="8818">
          <cell r="C8818">
            <v>3016796</v>
          </cell>
          <cell r="D8818" t="str">
            <v>TŁ.DR.WP.PEKL.2%</v>
          </cell>
        </row>
        <row r="8819">
          <cell r="C8819">
            <v>3040240</v>
          </cell>
          <cell r="D8819" t="str">
            <v>SUR.MIĘS.80/20 PEKL.1.5%</v>
          </cell>
        </row>
        <row r="8820">
          <cell r="C8820">
            <v>3040925</v>
          </cell>
          <cell r="D8820" t="str">
            <v>PP SUR.MIĘS.80/20 PEKL.1.5%</v>
          </cell>
        </row>
        <row r="8821">
          <cell r="C8821">
            <v>3044841</v>
          </cell>
          <cell r="D8821" t="str">
            <v>PP SUR.MIĘS.80/20 PEKL.1.5% OK20KG NB MR</v>
          </cell>
        </row>
        <row r="8822">
          <cell r="C8822">
            <v>3044821</v>
          </cell>
          <cell r="D8822" t="str">
            <v>PP SUR.MIĘS.80/20 PEKL.1.5% OK20KGNB DMR</v>
          </cell>
        </row>
        <row r="8823">
          <cell r="C8823">
            <v>3044844</v>
          </cell>
          <cell r="D8823" t="str">
            <v>PP SUR.MIĘS.80/20 PEKL.1.5% RO</v>
          </cell>
        </row>
        <row r="8824">
          <cell r="C8824">
            <v>3040241</v>
          </cell>
          <cell r="D8824" t="str">
            <v>SUR.MIĘS.60/40 PEKL.1.5%</v>
          </cell>
        </row>
        <row r="8825">
          <cell r="C8825">
            <v>3040926</v>
          </cell>
          <cell r="D8825" t="str">
            <v>PP SUR.MIĘS.60/40 PEKL.1.5%</v>
          </cell>
        </row>
        <row r="8826">
          <cell r="C8826">
            <v>3044776</v>
          </cell>
          <cell r="D8826" t="str">
            <v>PP SUR.MIĘS.60/40 PEKL.1.5% OK20KG NB MR</v>
          </cell>
        </row>
        <row r="8827">
          <cell r="C8827">
            <v>3044775</v>
          </cell>
          <cell r="D8827" t="str">
            <v>PP SUR.MIĘS.60/40 PEKL.1.5% OK20KGNB DMR</v>
          </cell>
        </row>
        <row r="8828">
          <cell r="C8828">
            <v>3044845</v>
          </cell>
          <cell r="D8828" t="str">
            <v>PP SUR.MIĘS.60/40 PEKL.1.5% RO</v>
          </cell>
        </row>
        <row r="8829">
          <cell r="C8829">
            <v>3008855</v>
          </cell>
          <cell r="D8829" t="str">
            <v>***FARSZ NA KIEŁ. WIOSENNĄ</v>
          </cell>
        </row>
        <row r="8830">
          <cell r="C8830">
            <v>3042736</v>
          </cell>
          <cell r="D8830" t="str">
            <v>PP SUR.MIĘS.KL4 PEKL.1.5%</v>
          </cell>
        </row>
        <row r="8831">
          <cell r="C8831">
            <v>3008191</v>
          </cell>
          <cell r="D8831" t="str">
            <v>***FARSZ NA KIEŁ.GRILLOWĄ</v>
          </cell>
        </row>
        <row r="8832">
          <cell r="C8832">
            <v>3037404</v>
          </cell>
          <cell r="D8832" t="str">
            <v>***SUR.MIĘS.WP.60/40</v>
          </cell>
        </row>
        <row r="8833">
          <cell r="C8833">
            <v>3016725</v>
          </cell>
          <cell r="D8833" t="str">
            <v>***SUR.PEKL.BOCZ.GRILL 17%</v>
          </cell>
        </row>
        <row r="8834">
          <cell r="C8834">
            <v>3009419</v>
          </cell>
          <cell r="D8834" t="str">
            <v>***BOCZ.PEKL.17% GRILL MR</v>
          </cell>
        </row>
        <row r="8835">
          <cell r="C8835">
            <v>3009420</v>
          </cell>
          <cell r="D8835" t="str">
            <v>***BOCZ.PEKL.17% GRILL DMR</v>
          </cell>
        </row>
        <row r="8836">
          <cell r="C8836">
            <v>3009418</v>
          </cell>
          <cell r="D8836" t="str">
            <v>***BOCZ.PEKL.17% GRILL RO</v>
          </cell>
        </row>
        <row r="8837">
          <cell r="C8837">
            <v>3040287</v>
          </cell>
          <cell r="D8837" t="str">
            <v>SUR.MIĘS.80/20 PEKL.1.5% II</v>
          </cell>
        </row>
        <row r="8838">
          <cell r="C8838">
            <v>3040286</v>
          </cell>
          <cell r="D8838" t="str">
            <v>SUR.MIĘS.60/40 PEKL.1.5% II</v>
          </cell>
        </row>
        <row r="8839">
          <cell r="C8839">
            <v>3040376</v>
          </cell>
          <cell r="D8839" t="str">
            <v>EU SUR.MIĘS.90/10 PEKL.1.5%</v>
          </cell>
        </row>
        <row r="8840">
          <cell r="C8840">
            <v>3044767</v>
          </cell>
          <cell r="D8840" t="str">
            <v>EU SUR.MIĘS.90/10PEKL.1.5% OK20KG NB MR</v>
          </cell>
        </row>
        <row r="8841">
          <cell r="C8841">
            <v>3044742</v>
          </cell>
          <cell r="D8841" t="str">
            <v>EU SUR.MIĘS.90/10 PEKL.1.5% OK20KGNB DMR</v>
          </cell>
        </row>
        <row r="8842">
          <cell r="C8842">
            <v>3044752</v>
          </cell>
          <cell r="D8842" t="str">
            <v>EU SUR.MIĘS.90/10 PEKL.1.5% RO1</v>
          </cell>
        </row>
        <row r="8843">
          <cell r="C8843">
            <v>3045272</v>
          </cell>
          <cell r="D8843" t="str">
            <v>***EU SUR.MIĘS.90/10 PEKL.1.5% RO2</v>
          </cell>
        </row>
        <row r="8844">
          <cell r="C8844">
            <v>3041921</v>
          </cell>
          <cell r="D8844" t="str">
            <v>PP SUR.MIĘS.Z SZYN.90/10 PEKL.1.5%</v>
          </cell>
        </row>
        <row r="8845">
          <cell r="C8845">
            <v>3044777</v>
          </cell>
          <cell r="D8845" t="str">
            <v>PP SUR.MIĘS.90/10PEKL.1.5% OK20KG NB MR</v>
          </cell>
        </row>
        <row r="8846">
          <cell r="C8846">
            <v>3044842</v>
          </cell>
          <cell r="D8846" t="str">
            <v>PP SUR.MIĘS.90/10 PEKL.1.5% OK20KGNB DMR</v>
          </cell>
        </row>
        <row r="8847">
          <cell r="C8847">
            <v>3044778</v>
          </cell>
          <cell r="D8847" t="str">
            <v>PP SUR.MIĘS.90/10 PEKL.1.5% RO</v>
          </cell>
        </row>
        <row r="8848">
          <cell r="C8848">
            <v>3045789</v>
          </cell>
          <cell r="D8848" t="str">
            <v>PP TRYM.WP.80/20 FI3 PEKL.1.5%</v>
          </cell>
        </row>
        <row r="8849">
          <cell r="C8849">
            <v>3016502</v>
          </cell>
          <cell r="D8849" t="str">
            <v>***FARSZ NA KIEŁ.BIAŁĄ SUROWĄ MORL.</v>
          </cell>
        </row>
        <row r="8850">
          <cell r="C8850">
            <v>3016503</v>
          </cell>
          <cell r="D8850" t="str">
            <v>***SUR.PEKL.GOL.MARN.15%</v>
          </cell>
        </row>
        <row r="8851">
          <cell r="C8851">
            <v>3016504</v>
          </cell>
          <cell r="D8851" t="str">
            <v>GŁOWA PEKL.4%</v>
          </cell>
        </row>
        <row r="8852">
          <cell r="C8852">
            <v>3016505</v>
          </cell>
          <cell r="D8852" t="str">
            <v>***SKÓRY MOCZONE PEKL.45%</v>
          </cell>
        </row>
        <row r="8853">
          <cell r="C8853">
            <v>3040382</v>
          </cell>
          <cell r="D8853" t="str">
            <v>***PP SKÓRY MOCZONE PEKL.45%</v>
          </cell>
        </row>
        <row r="8854">
          <cell r="C8854">
            <v>3016506</v>
          </cell>
          <cell r="D8854" t="str">
            <v>***POSYPKA DO PASZTETU PIECZONEGO</v>
          </cell>
        </row>
        <row r="8855">
          <cell r="C8855">
            <v>3016507</v>
          </cell>
          <cell r="D8855" t="str">
            <v>M-SO Z GŁOW GOT.</v>
          </cell>
        </row>
        <row r="8856">
          <cell r="C8856">
            <v>3009329</v>
          </cell>
          <cell r="D8856" t="str">
            <v>M-SO Z GŁÓW GOT.NB MR</v>
          </cell>
        </row>
        <row r="8857">
          <cell r="C8857">
            <v>3009326</v>
          </cell>
          <cell r="D8857" t="str">
            <v>M-SO Z GŁÓW GOT.DMR</v>
          </cell>
        </row>
        <row r="8858">
          <cell r="C8858">
            <v>3009325</v>
          </cell>
          <cell r="D8858" t="str">
            <v>M-SO Z GŁOW GOT. NB RO</v>
          </cell>
        </row>
        <row r="8859">
          <cell r="C8859">
            <v>3016743</v>
          </cell>
          <cell r="D8859" t="str">
            <v>PRZEPONA GOT.KL2 PEKL.2%</v>
          </cell>
        </row>
        <row r="8860">
          <cell r="C8860">
            <v>3018249</v>
          </cell>
          <cell r="D8860" t="str">
            <v>M-SO WP.DR.KL4B GOT.</v>
          </cell>
        </row>
        <row r="8861">
          <cell r="C8861">
            <v>3018270</v>
          </cell>
          <cell r="D8861" t="str">
            <v>PRZEPONA GOT.</v>
          </cell>
        </row>
        <row r="8862">
          <cell r="C8862">
            <v>3026764</v>
          </cell>
          <cell r="D8862" t="str">
            <v>***PRZEPONA WP.GOT.MR</v>
          </cell>
        </row>
        <row r="8863">
          <cell r="C8863">
            <v>3026748</v>
          </cell>
          <cell r="D8863" t="str">
            <v>***PRZEPONA WP.GOT.DMR</v>
          </cell>
        </row>
        <row r="8864">
          <cell r="C8864">
            <v>3026782</v>
          </cell>
          <cell r="D8864" t="str">
            <v>***PRZEPONA WP.GOT.RO</v>
          </cell>
        </row>
        <row r="8865">
          <cell r="C8865">
            <v>3015419</v>
          </cell>
          <cell r="D8865" t="str">
            <v>TLUSZCZ WP.DROBNY PARZONY</v>
          </cell>
        </row>
        <row r="8866">
          <cell r="C8866">
            <v>3016508</v>
          </cell>
          <cell r="D8866" t="str">
            <v>OZORY GOT.</v>
          </cell>
        </row>
        <row r="8867">
          <cell r="C8867">
            <v>3026789</v>
          </cell>
          <cell r="D8867" t="str">
            <v>***OZORY WP.GOT MR</v>
          </cell>
        </row>
        <row r="8868">
          <cell r="C8868">
            <v>3026788</v>
          </cell>
          <cell r="D8868" t="str">
            <v>***OZORY WP.GOT.DMR</v>
          </cell>
        </row>
        <row r="8869">
          <cell r="C8869">
            <v>3026787</v>
          </cell>
          <cell r="D8869" t="str">
            <v>***OZORY WP.GOT.RO</v>
          </cell>
        </row>
        <row r="8870">
          <cell r="C8870">
            <v>3026796</v>
          </cell>
          <cell r="D8870" t="str">
            <v>***USZY WP.GOT.</v>
          </cell>
        </row>
        <row r="8871">
          <cell r="C8871">
            <v>3026798</v>
          </cell>
          <cell r="D8871" t="str">
            <v>***USZY WP.GOT MR</v>
          </cell>
        </row>
        <row r="8872">
          <cell r="C8872">
            <v>3026797</v>
          </cell>
          <cell r="D8872" t="str">
            <v>***USZY WP.GOT.DMR</v>
          </cell>
        </row>
        <row r="8873">
          <cell r="C8873">
            <v>3026799</v>
          </cell>
          <cell r="D8873" t="str">
            <v>***USZY WP.GOT.RO</v>
          </cell>
        </row>
        <row r="8874">
          <cell r="C8874">
            <v>3026800</v>
          </cell>
          <cell r="D8874" t="str">
            <v>***SERCA WP.GOT.</v>
          </cell>
        </row>
        <row r="8875">
          <cell r="C8875">
            <v>3026801</v>
          </cell>
          <cell r="D8875" t="str">
            <v>***SERCA WP.GOT.MR</v>
          </cell>
        </row>
        <row r="8876">
          <cell r="C8876">
            <v>3026777</v>
          </cell>
          <cell r="D8876" t="str">
            <v>***SERCA WP.GOT.DMR</v>
          </cell>
        </row>
        <row r="8877">
          <cell r="C8877">
            <v>3026795</v>
          </cell>
          <cell r="D8877" t="str">
            <v>***SERCA WP.GOT.RO</v>
          </cell>
        </row>
        <row r="8878">
          <cell r="C8878">
            <v>3016509</v>
          </cell>
          <cell r="D8878" t="str">
            <v>NERKI GOT.</v>
          </cell>
        </row>
        <row r="8879">
          <cell r="C8879">
            <v>3026791</v>
          </cell>
          <cell r="D8879" t="str">
            <v>***NERKI WP.GOT.MR</v>
          </cell>
        </row>
        <row r="8880">
          <cell r="C8880">
            <v>3026792</v>
          </cell>
          <cell r="D8880" t="str">
            <v>***NERKI WP.GOT.DMR</v>
          </cell>
        </row>
        <row r="8881">
          <cell r="C8881">
            <v>3026790</v>
          </cell>
          <cell r="D8881" t="str">
            <v>***NERKI WP.GOT.RO</v>
          </cell>
        </row>
        <row r="8882">
          <cell r="C8882">
            <v>3015415</v>
          </cell>
          <cell r="D8882" t="str">
            <v>SKÓRY GOT.</v>
          </cell>
        </row>
        <row r="8883">
          <cell r="C8883">
            <v>3026784</v>
          </cell>
          <cell r="D8883" t="str">
            <v>***SKÓRKI WP.B/TŁ.GOT.MR</v>
          </cell>
        </row>
        <row r="8884">
          <cell r="C8884">
            <v>3026785</v>
          </cell>
          <cell r="D8884" t="str">
            <v>***SKÓRKI WP.B/TŁ.GOT.DMR</v>
          </cell>
        </row>
        <row r="8885">
          <cell r="C8885">
            <v>3026786</v>
          </cell>
          <cell r="D8885" t="str">
            <v>***SKÓRKI WP.B/TŁ.GOT.RO</v>
          </cell>
        </row>
        <row r="8886">
          <cell r="C8886">
            <v>3016741</v>
          </cell>
          <cell r="D8886" t="str">
            <v>M-SO WP.KL1 CIE.KABAN.PEKL.GOT.</v>
          </cell>
        </row>
        <row r="8887">
          <cell r="C8887">
            <v>3016766</v>
          </cell>
          <cell r="D8887" t="str">
            <v>***WT M-SO GOT.DO WYR.PODR.AS</v>
          </cell>
        </row>
        <row r="8888">
          <cell r="C8888">
            <v>3016784</v>
          </cell>
          <cell r="D8888" t="str">
            <v>***ŁOP.4D PEKL.10% GOT.</v>
          </cell>
        </row>
        <row r="8889">
          <cell r="C8889">
            <v>3016510</v>
          </cell>
          <cell r="D8889" t="str">
            <v>KREW WP.SPOŻ.PARZ.</v>
          </cell>
        </row>
        <row r="8890">
          <cell r="C8890">
            <v>3016696</v>
          </cell>
          <cell r="D8890" t="str">
            <v>M-S Z GŁÓW MOCZONE</v>
          </cell>
        </row>
        <row r="8891">
          <cell r="C8891">
            <v>3016511</v>
          </cell>
          <cell r="D8891" t="str">
            <v>***ZALEWA DO EMULSJI</v>
          </cell>
        </row>
        <row r="8892">
          <cell r="C8892">
            <v>3016512</v>
          </cell>
          <cell r="D8892" t="str">
            <v>SKÓRY Z/TŁ.GOT.</v>
          </cell>
        </row>
        <row r="8893">
          <cell r="C8893">
            <v>3016731</v>
          </cell>
          <cell r="D8893" t="str">
            <v>PP KIEŁB.PODWAWELSKA FARSZ BAR</v>
          </cell>
        </row>
        <row r="8894">
          <cell r="C8894">
            <v>3016726</v>
          </cell>
          <cell r="D8894" t="str">
            <v>***SUROW.PEKL. KIEŁB. Z SZYNKI</v>
          </cell>
        </row>
        <row r="8895">
          <cell r="C8895">
            <v>3025865</v>
          </cell>
          <cell r="D8895" t="str">
            <v>***KIEŁB.SZASZŁYKOWA FARSZ</v>
          </cell>
        </row>
        <row r="8896">
          <cell r="C8896">
            <v>3025868</v>
          </cell>
          <cell r="D8896" t="str">
            <v>***KIEŁB.BBQ FARSZ</v>
          </cell>
        </row>
        <row r="8897">
          <cell r="C8897">
            <v>3026147</v>
          </cell>
          <cell r="D8897" t="str">
            <v>***KIEŁB.KEBAB FARSZ</v>
          </cell>
        </row>
        <row r="8898">
          <cell r="C8898">
            <v>3026180</v>
          </cell>
          <cell r="D8898" t="str">
            <v>***KIEŁB.CHORIZO FARSZ</v>
          </cell>
        </row>
        <row r="8899">
          <cell r="C8899">
            <v>3026431</v>
          </cell>
          <cell r="D8899" t="str">
            <v>***KIEŁB.BURSZTYN.FARSZ</v>
          </cell>
        </row>
        <row r="8900">
          <cell r="C8900">
            <v>3018912</v>
          </cell>
          <cell r="D8900" t="str">
            <v>***M-SO WP.DR.KL3A PEKL.4%</v>
          </cell>
        </row>
        <row r="8901">
          <cell r="C8901">
            <v>3018913</v>
          </cell>
          <cell r="D8901" t="str">
            <v>***M-SO WP.DR.KL3A GOT.PEKL.4%</v>
          </cell>
        </row>
        <row r="8902">
          <cell r="C8902">
            <v>3026288</v>
          </cell>
          <cell r="D8902" t="str">
            <v>M-SO WP.DR.DO PROD.WĘDLIN PODROB.GOT.</v>
          </cell>
        </row>
        <row r="8903">
          <cell r="C8903">
            <v>3026767</v>
          </cell>
          <cell r="D8903" t="str">
            <v>M-SO WP.DR.DO PROD.WĘDLIN PODROB.GOT MR</v>
          </cell>
        </row>
        <row r="8904">
          <cell r="C8904">
            <v>3026768</v>
          </cell>
          <cell r="D8904" t="str">
            <v>M-SO WP.DR.DO PROD.WĘDLIN PODROB.GOT.DMR</v>
          </cell>
        </row>
        <row r="8905">
          <cell r="C8905">
            <v>3026769</v>
          </cell>
          <cell r="D8905" t="str">
            <v>M-SO WP.DR.DO PROD.WĘDLIN PODROB.GOT.RO</v>
          </cell>
        </row>
        <row r="8906">
          <cell r="C8906">
            <v>3016513</v>
          </cell>
          <cell r="D8906" t="str">
            <v>***M-SO TŁ. Z GŁOW PKL.4%</v>
          </cell>
        </row>
        <row r="8907">
          <cell r="C8907">
            <v>3016514</v>
          </cell>
          <cell r="D8907" t="str">
            <v>***M-SO TŁ. Z GŁOW GOT.PKL.4%</v>
          </cell>
        </row>
        <row r="8908">
          <cell r="C8908">
            <v>3012254</v>
          </cell>
          <cell r="D8908" t="str">
            <v>***M-SO TŁ. Z GŁÓW GOT.PKL.4% NB MR</v>
          </cell>
        </row>
        <row r="8909">
          <cell r="C8909">
            <v>3012263</v>
          </cell>
          <cell r="D8909" t="str">
            <v>***M-SO TŁ.Z GŁÓW GOT.PKL.4% NB DMR</v>
          </cell>
        </row>
        <row r="8910">
          <cell r="C8910">
            <v>3012255</v>
          </cell>
          <cell r="D8910" t="str">
            <v>***M-SO TŁ. Z GŁÓW GOT.PKL.4% NB RO</v>
          </cell>
        </row>
        <row r="8911">
          <cell r="C8911">
            <v>3016515</v>
          </cell>
          <cell r="D8911" t="str">
            <v>SŁON.PARZ.</v>
          </cell>
        </row>
        <row r="8912">
          <cell r="C8912">
            <v>3014682</v>
          </cell>
          <cell r="D8912" t="str">
            <v>MASKI TŁ.Z/GŁ/S.PEKL.4%</v>
          </cell>
        </row>
        <row r="8913">
          <cell r="C8913">
            <v>3014681</v>
          </cell>
          <cell r="D8913" t="str">
            <v>MASKI TŁ.Z/GŁ/S.PEKL.4% GOT.</v>
          </cell>
        </row>
        <row r="8914">
          <cell r="C8914">
            <v>3017173</v>
          </cell>
          <cell r="D8914" t="str">
            <v>***MASKI I M-SO Z/GŁ.Z/SK.GOT.PEKL.NB MR</v>
          </cell>
        </row>
        <row r="8915">
          <cell r="C8915">
            <v>3017175</v>
          </cell>
          <cell r="D8915" t="str">
            <v>***MASKI I M-SO Z/GŁ.Z/SK.GOT.PEKL.NBDMR</v>
          </cell>
        </row>
        <row r="8916">
          <cell r="C8916">
            <v>3017172</v>
          </cell>
          <cell r="D8916" t="str">
            <v>***MASKI I M-SO Z/GŁ.Z/SK.GOT.PEKL.NB RO</v>
          </cell>
        </row>
        <row r="8917">
          <cell r="C8917">
            <v>3030123</v>
          </cell>
          <cell r="D8917" t="str">
            <v>FARSZ KUR.PEKL.OK15KG NB MR</v>
          </cell>
        </row>
        <row r="8918">
          <cell r="C8918">
            <v>3028125</v>
          </cell>
          <cell r="D8918" t="str">
            <v>FARSZ KUR.PEKL.PBX SU</v>
          </cell>
        </row>
        <row r="8919">
          <cell r="C8919">
            <v>3038377</v>
          </cell>
          <cell r="D8919" t="str">
            <v>LT FARSZ KUR.PEKL.PBX SU</v>
          </cell>
        </row>
        <row r="8920">
          <cell r="C8920">
            <v>3047525</v>
          </cell>
          <cell r="D8920" t="str">
            <v>FARSZ KUR.PEKL.OK15KGLUZ PJ SU</v>
          </cell>
        </row>
        <row r="8921">
          <cell r="C8921">
            <v>3047526</v>
          </cell>
          <cell r="D8921" t="str">
            <v>LT FARSZ KUR.PEKL.OK15KGLUZ PJ SU</v>
          </cell>
        </row>
        <row r="8922">
          <cell r="C8922">
            <v>3030122</v>
          </cell>
          <cell r="D8922" t="str">
            <v>FARSZ KUR.PEKL.OK15KG NB DMR</v>
          </cell>
        </row>
        <row r="8923">
          <cell r="C8923">
            <v>3030125</v>
          </cell>
          <cell r="D8923" t="str">
            <v>FARSZ KUR.PEKL.RO1</v>
          </cell>
        </row>
        <row r="8924">
          <cell r="C8924">
            <v>3045638</v>
          </cell>
          <cell r="D8924" t="str">
            <v>PP KIEŁB.PODWAW.WP/DROB.FARSZ KRA</v>
          </cell>
        </row>
        <row r="8925">
          <cell r="C8925">
            <v>3046270</v>
          </cell>
          <cell r="D8925" t="str">
            <v>SUR.MIĘS.DROB.PEKL.1.5%</v>
          </cell>
        </row>
        <row r="8926">
          <cell r="C8926">
            <v>3034384</v>
          </cell>
          <cell r="D8926" t="str">
            <v>ELEM.BOCZ.ŁUSK.Z/S.KAW.PEKL.22%</v>
          </cell>
        </row>
        <row r="8927">
          <cell r="C8927">
            <v>3034689</v>
          </cell>
          <cell r="D8927" t="str">
            <v>ŻEB.PASKI WĘDZ.PARZ.PEKL.</v>
          </cell>
        </row>
        <row r="8928">
          <cell r="C8928">
            <v>3037401</v>
          </cell>
          <cell r="D8928" t="str">
            <v>BOCZ.C WĘDZ.PARZ.SZER.Z/S.PEKL.22%</v>
          </cell>
        </row>
        <row r="8929">
          <cell r="C8929">
            <v>3039290</v>
          </cell>
          <cell r="D8929" t="str">
            <v>PP BOCZ.WĘDZ.PARZ.SZER.Z/S.PEKL.22%</v>
          </cell>
        </row>
        <row r="8930">
          <cell r="C8930">
            <v>3016516</v>
          </cell>
          <cell r="D8930" t="str">
            <v>***BOCZ.KLAS.PEKL.17% KRA</v>
          </cell>
        </row>
        <row r="8931">
          <cell r="C8931">
            <v>3024519</v>
          </cell>
          <cell r="D8931" t="str">
            <v>ŻEB.MOST.Z/CH/MP.PEKL.</v>
          </cell>
        </row>
        <row r="8932">
          <cell r="C8932">
            <v>3016517</v>
          </cell>
          <cell r="D8932" t="str">
            <v>BOCZ.WĘDZ.PEKL.20%</v>
          </cell>
        </row>
        <row r="8933">
          <cell r="C8933">
            <v>3024340</v>
          </cell>
          <cell r="D8933" t="str">
            <v>BOCZ.WĘDZ.PARZ.PEKL.20% LT</v>
          </cell>
        </row>
        <row r="8934">
          <cell r="C8934">
            <v>3024463</v>
          </cell>
          <cell r="D8934" t="str">
            <v>BOCZ.WĘDZ.PEKL.20%</v>
          </cell>
        </row>
        <row r="8935">
          <cell r="C8935">
            <v>3016518</v>
          </cell>
          <cell r="D8935" t="str">
            <v>***ŻEB.PASKI PEKL.ZAL.</v>
          </cell>
        </row>
        <row r="8936">
          <cell r="C8936">
            <v>3025614</v>
          </cell>
          <cell r="D8936" t="str">
            <v>ELEM.BOCZ.KRAJ PEKL.22%</v>
          </cell>
        </row>
        <row r="8937">
          <cell r="C8937">
            <v>3026553</v>
          </cell>
          <cell r="D8937" t="str">
            <v>SUR.SZYN.KROGER 12% PEKL.US</v>
          </cell>
        </row>
        <row r="8938">
          <cell r="C8938">
            <v>3026653</v>
          </cell>
          <cell r="D8938" t="str">
            <v>***POL.WĘDZ.SUR.PEKL.10% LIDL</v>
          </cell>
        </row>
        <row r="8939">
          <cell r="C8939">
            <v>3015372</v>
          </cell>
          <cell r="D8939" t="str">
            <v>SCH.WP.B/K.Z WAR.PEKL./5805*16%/</v>
          </cell>
        </row>
        <row r="8940">
          <cell r="C8940">
            <v>3026779</v>
          </cell>
          <cell r="D8940" t="str">
            <v>***BOCZ.B/SK.WĘDZ.PARZ.SUR.PEKL.22%</v>
          </cell>
        </row>
        <row r="8941">
          <cell r="C8941">
            <v>3026955</v>
          </cell>
          <cell r="D8941" t="str">
            <v>SCH.WP.DO ZAPIECZ.PEKL.15%</v>
          </cell>
        </row>
        <row r="8942">
          <cell r="C8942">
            <v>3026956</v>
          </cell>
          <cell r="D8942" t="str">
            <v>KARK.DO ZAPIECZ.PEKL.15%</v>
          </cell>
        </row>
        <row r="8943">
          <cell r="C8943">
            <v>3026957</v>
          </cell>
          <cell r="D8943" t="str">
            <v>SZYN.WP.DO ZAPIECZ.PEKL.15%</v>
          </cell>
        </row>
        <row r="8944">
          <cell r="C8944">
            <v>3026984</v>
          </cell>
          <cell r="D8944" t="str">
            <v>***SCH.WP.DO ZAPIECZ.NADZIEW.PEKL.</v>
          </cell>
        </row>
        <row r="8945">
          <cell r="C8945">
            <v>3027020</v>
          </cell>
          <cell r="D8945" t="str">
            <v>SZYN.WG PEKL.10% KRA</v>
          </cell>
        </row>
        <row r="8946">
          <cell r="C8946">
            <v>3027018</v>
          </cell>
          <cell r="D8946" t="str">
            <v>SCH.WG PEKL.15% KRA</v>
          </cell>
        </row>
        <row r="8947">
          <cell r="C8947">
            <v>3027015</v>
          </cell>
          <cell r="D8947" t="str">
            <v>***SCH.WG NADZIEW.PEKL.KRA</v>
          </cell>
        </row>
        <row r="8948">
          <cell r="C8948">
            <v>3029953</v>
          </cell>
          <cell r="D8948" t="str">
            <v>***BOCZ.WĘDZ.NA CIEMNO PEKL.12%</v>
          </cell>
        </row>
        <row r="8949">
          <cell r="C8949">
            <v>3034093</v>
          </cell>
          <cell r="D8949" t="str">
            <v>BAL.WĘDZ.PARZ.PEKL.</v>
          </cell>
        </row>
        <row r="8950">
          <cell r="C8950">
            <v>3008210</v>
          </cell>
          <cell r="D8950" t="str">
            <v>***SUR.PEKL.BOCZ.DO PIECZ.HC 15%</v>
          </cell>
        </row>
        <row r="8951">
          <cell r="C8951">
            <v>3008211</v>
          </cell>
          <cell r="D8951" t="str">
            <v>***SUR.PEKL.ŁOP.DO PIECZ.HC 15%</v>
          </cell>
        </row>
        <row r="8952">
          <cell r="C8952">
            <v>3026570</v>
          </cell>
          <cell r="D8952" t="str">
            <v>***ELEM.NA ŻEB.SCH.B/K.Z PRZYP.PEKL.</v>
          </cell>
        </row>
        <row r="8953">
          <cell r="C8953">
            <v>3026576</v>
          </cell>
          <cell r="D8953" t="str">
            <v>***ELEM.NA ŻEB.BOCZK.B/K.Z PRZYP.PEKL.</v>
          </cell>
        </row>
        <row r="8954">
          <cell r="C8954">
            <v>3032706</v>
          </cell>
          <cell r="D8954" t="str">
            <v>SZYN.POLSKA PEKL.</v>
          </cell>
        </row>
        <row r="8955">
          <cell r="C8955">
            <v>3016519</v>
          </cell>
          <cell r="D8955" t="str">
            <v>***ŁOP.5D PEKL.2%</v>
          </cell>
        </row>
        <row r="8956">
          <cell r="C8956">
            <v>3008213</v>
          </cell>
          <cell r="D8956" t="str">
            <v>***SUR.PEKL.KARK.DO PIECZ.HC 15%</v>
          </cell>
        </row>
        <row r="8957">
          <cell r="C8957">
            <v>3016520</v>
          </cell>
          <cell r="D8957" t="str">
            <v>***SZYN.DELIKATNA PEKL.50%</v>
          </cell>
        </row>
        <row r="8958">
          <cell r="C8958">
            <v>3008215</v>
          </cell>
          <cell r="D8958" t="str">
            <v>***SUR.PEKL.SCH.DO PIECZ.HC 15%</v>
          </cell>
        </row>
        <row r="8959">
          <cell r="C8959">
            <v>3026991</v>
          </cell>
          <cell r="D8959" t="str">
            <v>***BOCZ.WP.PEKL.22% KRA</v>
          </cell>
        </row>
        <row r="8960">
          <cell r="C8960">
            <v>3031602</v>
          </cell>
          <cell r="D8960" t="str">
            <v>SZYN.KLASYCZNA PEKL.</v>
          </cell>
        </row>
        <row r="8961">
          <cell r="C8961">
            <v>3016521</v>
          </cell>
          <cell r="D8961" t="str">
            <v>***FARSZ NA MIELONKE</v>
          </cell>
        </row>
        <row r="8962">
          <cell r="C8962">
            <v>3008217</v>
          </cell>
          <cell r="D8962" t="str">
            <v>***FARSZ NA KIEŁ.ZIELONOGÓRSKĄ</v>
          </cell>
        </row>
        <row r="8963">
          <cell r="C8963">
            <v>3030638</v>
          </cell>
          <cell r="D8963" t="str">
            <v>BOCZ.ROL.PEKL.</v>
          </cell>
        </row>
        <row r="8964">
          <cell r="C8964">
            <v>3016685</v>
          </cell>
          <cell r="D8964" t="str">
            <v>SUR.PEKL.SALCESON WOJSK.</v>
          </cell>
        </row>
        <row r="8965">
          <cell r="C8965">
            <v>3030172</v>
          </cell>
          <cell r="D8965" t="str">
            <v>***ŻEB.SCH.B/K.PEKL.SUBWAY</v>
          </cell>
        </row>
        <row r="8966">
          <cell r="C8966">
            <v>3030176</v>
          </cell>
          <cell r="D8966" t="str">
            <v>***ŻEB.BOCZ.B/K.PEKL.SUBWAY</v>
          </cell>
        </row>
        <row r="8967">
          <cell r="C8967">
            <v>3008218</v>
          </cell>
          <cell r="D8967" t="str">
            <v>***SUR.PEKL.SZYN.KONS.KRAK.30%</v>
          </cell>
        </row>
        <row r="8968">
          <cell r="C8968">
            <v>3016522</v>
          </cell>
          <cell r="D8968" t="str">
            <v>***SUR.PEKL.GOL.PRZED.DO PIECZ .7%.</v>
          </cell>
        </row>
        <row r="8969">
          <cell r="C8969">
            <v>3016523</v>
          </cell>
          <cell r="D8969" t="str">
            <v>SUR.PEKL.GOL.TYLNA DO PIECZ.12%</v>
          </cell>
        </row>
        <row r="8970">
          <cell r="C8970">
            <v>3016524</v>
          </cell>
          <cell r="D8970" t="str">
            <v>***KARK.DO PIECZ.15% PEKL.</v>
          </cell>
        </row>
        <row r="8971">
          <cell r="C8971">
            <v>3008222</v>
          </cell>
          <cell r="D8971" t="str">
            <v>***SUR.PEKL.SCH.DO PIECZ.15%</v>
          </cell>
        </row>
        <row r="8972">
          <cell r="C8972">
            <v>3016525</v>
          </cell>
          <cell r="D8972" t="str">
            <v>***SUR.PEKL.ŻEB.DO PIECZ.15%</v>
          </cell>
        </row>
        <row r="8973">
          <cell r="C8973">
            <v>3016526</v>
          </cell>
          <cell r="D8973" t="str">
            <v>***SUR.PEKL.BOCZ.CHŁOP.CIEM.WĘDZ.35%</v>
          </cell>
        </row>
        <row r="8974">
          <cell r="C8974">
            <v>3022443</v>
          </cell>
          <cell r="D8974" t="str">
            <v>KIEŁB.BIAŁA Z SZYNKI FARSZ</v>
          </cell>
        </row>
        <row r="8975">
          <cell r="C8975">
            <v>3015643</v>
          </cell>
          <cell r="D8975" t="str">
            <v>KIEŁB.BIAŁA PARZONA TESCO FARSZ</v>
          </cell>
        </row>
        <row r="8976">
          <cell r="C8976">
            <v>3025746</v>
          </cell>
          <cell r="D8976" t="str">
            <v>KABAN.SPICY FARSZ KRA</v>
          </cell>
        </row>
        <row r="8977">
          <cell r="C8977">
            <v>3026512</v>
          </cell>
          <cell r="D8977" t="str">
            <v>***KIEŁB.BIAŁA PARZ.FARSZ BIED</v>
          </cell>
        </row>
        <row r="8978">
          <cell r="C8978">
            <v>3008225</v>
          </cell>
          <cell r="D8978" t="str">
            <v>***ROZTWOR CHLORKU WAPNIA</v>
          </cell>
        </row>
        <row r="8979">
          <cell r="C8979">
            <v>3017069</v>
          </cell>
          <cell r="D8979" t="str">
            <v>***SUR.PEKL.KIEŁB.O SM.KEBEB</v>
          </cell>
        </row>
        <row r="8980">
          <cell r="C8980">
            <v>3017090</v>
          </cell>
          <cell r="D8980" t="str">
            <v>***SUR.PEKL.KIEŁB.BIAŁA HOT DOG</v>
          </cell>
        </row>
        <row r="8981">
          <cell r="C8981">
            <v>3017091</v>
          </cell>
          <cell r="D8981" t="str">
            <v>***SUR.PEKL.KABANOS HOT DOG</v>
          </cell>
        </row>
        <row r="8982">
          <cell r="C8982">
            <v>3017092</v>
          </cell>
          <cell r="D8982" t="str">
            <v>***SUR.PEKL.PARÓWKA HOT DOG</v>
          </cell>
        </row>
        <row r="8983">
          <cell r="C8983">
            <v>3017093</v>
          </cell>
          <cell r="D8983" t="str">
            <v>***SUR.PEKL.PARÓWKA XXL HOT DOG</v>
          </cell>
        </row>
        <row r="8984">
          <cell r="C8984">
            <v>3017094</v>
          </cell>
          <cell r="D8984" t="str">
            <v>***SUR.PEKL.PARÓWKA CHILI HOT DOG</v>
          </cell>
        </row>
        <row r="8985">
          <cell r="C8985">
            <v>3017916</v>
          </cell>
          <cell r="D8985" t="str">
            <v>KIEŁB.ZWYCZAJNA PEKL.</v>
          </cell>
        </row>
        <row r="8986">
          <cell r="C8986">
            <v>3019106</v>
          </cell>
          <cell r="D8986" t="str">
            <v>***FARSZ NA KABAN.LASSO BBQ</v>
          </cell>
        </row>
        <row r="8987">
          <cell r="C8987">
            <v>3019108</v>
          </cell>
          <cell r="D8987" t="str">
            <v>***FARSZ NA KABAN.LASSO HOT'N'SPICY</v>
          </cell>
        </row>
        <row r="8988">
          <cell r="C8988">
            <v>3020099</v>
          </cell>
          <cell r="D8988" t="str">
            <v>FARSZ NA KIEŁB.GŁOGOWSKĄ</v>
          </cell>
        </row>
        <row r="8989">
          <cell r="C8989">
            <v>3021420</v>
          </cell>
          <cell r="D8989" t="str">
            <v>***KABAN.MOR.Z SZYN.FARSZ</v>
          </cell>
        </row>
        <row r="8990">
          <cell r="C8990">
            <v>3021441</v>
          </cell>
          <cell r="D8990" t="str">
            <v>FARSZ NA KIEŁBASKI GRILLOWE ME</v>
          </cell>
        </row>
        <row r="8991">
          <cell r="C8991">
            <v>3021470</v>
          </cell>
          <cell r="D8991" t="str">
            <v>***FARSZ NA KIEŁB.GRILLOWE BIAŁE BIED</v>
          </cell>
        </row>
        <row r="8992">
          <cell r="C8992">
            <v>3021471</v>
          </cell>
          <cell r="D8992" t="str">
            <v>***FARSZ NA KIEŁB.GRILLOWE CZERWONE BIE</v>
          </cell>
        </row>
        <row r="8993">
          <cell r="C8993">
            <v>3021527</v>
          </cell>
          <cell r="D8993" t="str">
            <v>FARSZ NA KIEŁB.ŚLĄSKA NORM.BRAN.</v>
          </cell>
        </row>
        <row r="8994">
          <cell r="C8994">
            <v>3021976</v>
          </cell>
          <cell r="D8994" t="str">
            <v>KIEŁB.ŚLĄSKA MOR FARSZ</v>
          </cell>
        </row>
        <row r="8995">
          <cell r="C8995">
            <v>3017230</v>
          </cell>
          <cell r="D8995" t="str">
            <v>KIEŁB.MORLIŃSKA Z SZYN.FARSZ</v>
          </cell>
        </row>
        <row r="8996">
          <cell r="C8996">
            <v>3021205</v>
          </cell>
          <cell r="D8996" t="str">
            <v>KIEŁB.ŚLĄSKA TESCO FARSZ</v>
          </cell>
        </row>
        <row r="8997">
          <cell r="C8997">
            <v>3022538</v>
          </cell>
          <cell r="D8997" t="str">
            <v>FARSZ NA KIEŁB.GRILLOWĄ LIDL</v>
          </cell>
        </row>
        <row r="8998">
          <cell r="C8998">
            <v>3023394</v>
          </cell>
          <cell r="D8998" t="str">
            <v>***FARSZ NA KIEŁB.ZE SCH.</v>
          </cell>
        </row>
        <row r="8999">
          <cell r="C8999">
            <v>3023435</v>
          </cell>
          <cell r="D8999" t="str">
            <v>KIEŁB.BIAŁA SUR.M.92% FARSZ</v>
          </cell>
        </row>
        <row r="9000">
          <cell r="C9000">
            <v>3027100</v>
          </cell>
          <cell r="D9000" t="str">
            <v>***KABAN.Z ROZMARYNEM FARSZ</v>
          </cell>
        </row>
        <row r="9001">
          <cell r="C9001">
            <v>3027105</v>
          </cell>
          <cell r="D9001" t="str">
            <v>***KABAN.Z JAŁOWCEM FARSZ</v>
          </cell>
        </row>
        <row r="9002">
          <cell r="C9002">
            <v>3027147</v>
          </cell>
          <cell r="D9002" t="str">
            <v>KIEŁB.REGIONALNA FARSZ</v>
          </cell>
        </row>
        <row r="9003">
          <cell r="C9003">
            <v>3027308</v>
          </cell>
          <cell r="D9003" t="str">
            <v>MEATERS MIĘSNY FARSZ</v>
          </cell>
        </row>
        <row r="9004">
          <cell r="C9004">
            <v>3027367</v>
          </cell>
          <cell r="D9004" t="str">
            <v>MEATERS DROB.-WP.FARSZ</v>
          </cell>
        </row>
        <row r="9005">
          <cell r="C9005">
            <v>3027345</v>
          </cell>
          <cell r="D9005" t="str">
            <v>MEATERS CHILLI FARSZ</v>
          </cell>
        </row>
        <row r="9006">
          <cell r="C9006">
            <v>3027381</v>
          </cell>
          <cell r="D9006" t="str">
            <v>KIEŁB.OD SZWAGRA FARSZ</v>
          </cell>
        </row>
        <row r="9007">
          <cell r="C9007">
            <v>3027563</v>
          </cell>
          <cell r="D9007" t="str">
            <v>KIEŁB.ŚLĄSKA 90% FARSZ LIDL</v>
          </cell>
        </row>
        <row r="9008">
          <cell r="C9008">
            <v>3027569</v>
          </cell>
          <cell r="D9008" t="str">
            <v>PRZEKĄSKA WĘDZ.KRA FARSZ</v>
          </cell>
        </row>
        <row r="9009">
          <cell r="C9009">
            <v>3027584</v>
          </cell>
          <cell r="D9009" t="str">
            <v>KIEŁB.ZWYCZAJNA DROB/WP.FARSZ</v>
          </cell>
        </row>
        <row r="9010">
          <cell r="C9010">
            <v>3027557</v>
          </cell>
          <cell r="D9010" t="str">
            <v>***KIEŁB.ŚLĄSKA FARSZ ARO</v>
          </cell>
        </row>
        <row r="9011">
          <cell r="C9011">
            <v>3027595</v>
          </cell>
          <cell r="D9011" t="str">
            <v>KIEŁB.PAR.DROB/WP.FARSZ</v>
          </cell>
        </row>
        <row r="9012">
          <cell r="C9012">
            <v>3022517</v>
          </cell>
          <cell r="D9012" t="str">
            <v>KIEŁB.KRAK.KUR.400G FARSZ</v>
          </cell>
        </row>
        <row r="9013">
          <cell r="C9013">
            <v>3027793</v>
          </cell>
          <cell r="D9013" t="str">
            <v>***KIEŁB.TORUŃSKA WP.-DROB.FARSZ</v>
          </cell>
        </row>
        <row r="9014">
          <cell r="C9014">
            <v>3013261</v>
          </cell>
          <cell r="D9014" t="str">
            <v>FRANK.FARSZ</v>
          </cell>
        </row>
        <row r="9015">
          <cell r="C9015">
            <v>3027984</v>
          </cell>
          <cell r="D9015" t="str">
            <v>KABAN.FARSZ KRA USA</v>
          </cell>
        </row>
        <row r="9016">
          <cell r="C9016">
            <v>3027947</v>
          </cell>
          <cell r="D9016" t="str">
            <v>***KIEŁB.TEKSAŃSKA FARSZ</v>
          </cell>
        </row>
        <row r="9017">
          <cell r="C9017">
            <v>3027991</v>
          </cell>
          <cell r="D9017" t="str">
            <v>***KIEŁB.GŁOGOWSKA Z GORCZYCĄ FARSZ</v>
          </cell>
        </row>
        <row r="9018">
          <cell r="C9018">
            <v>3028500</v>
          </cell>
          <cell r="D9018" t="str">
            <v>***KIEŁB.ŚLĄSKA 90% FARSZ LIDL EX</v>
          </cell>
        </row>
        <row r="9019">
          <cell r="C9019">
            <v>3029403</v>
          </cell>
          <cell r="D9019" t="str">
            <v>***KIEŁB.SWOJSKA FARSZ</v>
          </cell>
        </row>
        <row r="9020">
          <cell r="C9020">
            <v>3029644</v>
          </cell>
          <cell r="D9020" t="str">
            <v>***FRANK.FARSZ LIDL</v>
          </cell>
        </row>
        <row r="9021">
          <cell r="C9021">
            <v>3029666</v>
          </cell>
          <cell r="D9021" t="str">
            <v>KIEŁB.KRUCHA OD SZWAGRA FARSZ</v>
          </cell>
        </row>
        <row r="9022">
          <cell r="C9022">
            <v>3029961</v>
          </cell>
          <cell r="D9022" t="str">
            <v>***KIEŁB.BIAŁA FARSZ LIDL</v>
          </cell>
        </row>
        <row r="9023">
          <cell r="C9023">
            <v>3029975</v>
          </cell>
          <cell r="D9023" t="str">
            <v>***KIEŁB.PODSUSZANA FARSZ</v>
          </cell>
        </row>
        <row r="9024">
          <cell r="C9024">
            <v>3029979</v>
          </cell>
          <cell r="D9024" t="str">
            <v>***KIEŁB.PODSUSZ.PIEPRZ/MAJER.FARSZ</v>
          </cell>
        </row>
        <row r="9025">
          <cell r="C9025">
            <v>3016768</v>
          </cell>
          <cell r="D9025" t="str">
            <v>***KABAN.MOR.Z PIEPRZ.FARSZ</v>
          </cell>
        </row>
        <row r="9026">
          <cell r="C9026">
            <v>3016769</v>
          </cell>
          <cell r="D9026" t="str">
            <v>***KABAN.MOR.CHILI FARSZ</v>
          </cell>
        </row>
        <row r="9027">
          <cell r="C9027">
            <v>3016770</v>
          </cell>
          <cell r="D9027" t="str">
            <v>KABAN.MOR.WYB.FARSZ</v>
          </cell>
        </row>
        <row r="9028">
          <cell r="C9028">
            <v>3016755</v>
          </cell>
          <cell r="D9028" t="str">
            <v>***FARSZ NA PASZTETOWĄ O SMAKU KURKOWYM</v>
          </cell>
        </row>
        <row r="9029">
          <cell r="C9029">
            <v>3016527</v>
          </cell>
          <cell r="D9029" t="str">
            <v>KIEŁB.ŻYWIECKA FARSZ</v>
          </cell>
        </row>
        <row r="9030">
          <cell r="C9030">
            <v>3039398</v>
          </cell>
          <cell r="D9030" t="str">
            <v>PP KIEŁB.ŻYWIECKA FARSZ</v>
          </cell>
        </row>
        <row r="9031">
          <cell r="C9031">
            <v>3008227</v>
          </cell>
          <cell r="D9031" t="str">
            <v>***FARSZ NA PARÓWKI HOT-DOG KRÓTKIE</v>
          </cell>
        </row>
        <row r="9032">
          <cell r="C9032">
            <v>3008228</v>
          </cell>
          <cell r="D9032" t="str">
            <v>***FARSZ NA KIEŁ.KRAK.572G KRAK</v>
          </cell>
        </row>
        <row r="9033">
          <cell r="C9033">
            <v>3023185</v>
          </cell>
          <cell r="D9033" t="str">
            <v>***KABAN.MINI BACON FARSZ</v>
          </cell>
        </row>
        <row r="9034">
          <cell r="C9034">
            <v>3016528</v>
          </cell>
          <cell r="D9034" t="str">
            <v>KIEŁB.BIAŁA SUR.MIĘSNOŚĆ 80% FARSZ</v>
          </cell>
        </row>
        <row r="9035">
          <cell r="C9035">
            <v>3016529</v>
          </cell>
          <cell r="D9035" t="str">
            <v>***FARSZ NA FRANKF.GRILLOWE PARZONE</v>
          </cell>
        </row>
        <row r="9036">
          <cell r="C9036">
            <v>3016530</v>
          </cell>
          <cell r="D9036" t="str">
            <v>***FARSZ NA FRANKF.GRILLOWE WĘDZONE</v>
          </cell>
        </row>
        <row r="9037">
          <cell r="C9037">
            <v>3016531</v>
          </cell>
          <cell r="D9037" t="str">
            <v>***FARSZ NA FRAN.GRILLOWE PARZ. Z SEREM</v>
          </cell>
        </row>
        <row r="9038">
          <cell r="C9038">
            <v>3018148</v>
          </cell>
          <cell r="D9038" t="str">
            <v>***FARSZ FRANK.GRILL.PARZ.CHILI</v>
          </cell>
        </row>
        <row r="9039">
          <cell r="C9039">
            <v>3008895</v>
          </cell>
          <cell r="D9039" t="str">
            <v>***FARSZ NA KIŁB.TATRZAŃSKĄ</v>
          </cell>
        </row>
        <row r="9040">
          <cell r="C9040">
            <v>3008234</v>
          </cell>
          <cell r="D9040" t="str">
            <v>***FARSZ NA KIEŁ.KRAK.SUCHĄ</v>
          </cell>
        </row>
        <row r="9041">
          <cell r="C9041">
            <v>3016532</v>
          </cell>
          <cell r="D9041" t="str">
            <v>KIEŁB.CZOSN.FARSZ</v>
          </cell>
        </row>
        <row r="9042">
          <cell r="C9042">
            <v>3024054</v>
          </cell>
          <cell r="D9042" t="str">
            <v>***KIEŁB.ŻYWIECKA BIED FARSZ</v>
          </cell>
        </row>
        <row r="9043">
          <cell r="C9043">
            <v>3024123</v>
          </cell>
          <cell r="D9043" t="str">
            <v>***KIEŁB.CZOSN.LT FARSZ</v>
          </cell>
        </row>
        <row r="9044">
          <cell r="C9044">
            <v>3016415</v>
          </cell>
          <cell r="D9044" t="str">
            <v>***PARÓWKI ŚNIADANIOWE WP.-WŁ.FARSZ</v>
          </cell>
        </row>
        <row r="9045">
          <cell r="C9045">
            <v>3008236</v>
          </cell>
          <cell r="D9045" t="str">
            <v>***FARSZ NA PARÓWKI HOT-DOG</v>
          </cell>
        </row>
        <row r="9046">
          <cell r="C9046">
            <v>3016761</v>
          </cell>
          <cell r="D9046" t="str">
            <v>***FARSZ NA OZORY W GALARECIE</v>
          </cell>
        </row>
        <row r="9047">
          <cell r="C9047">
            <v>3016759</v>
          </cell>
          <cell r="D9047" t="str">
            <v>***FARSZ NA MIĘSO W GALARECIE</v>
          </cell>
        </row>
        <row r="9048">
          <cell r="C9048">
            <v>3016533</v>
          </cell>
          <cell r="D9048" t="str">
            <v>FARSZ NA MORTADELĘ</v>
          </cell>
        </row>
        <row r="9049">
          <cell r="C9049">
            <v>3016534</v>
          </cell>
          <cell r="D9049" t="str">
            <v>***FARSZ NA SALCESON WŁOSKI</v>
          </cell>
        </row>
        <row r="9050">
          <cell r="C9050">
            <v>3016535</v>
          </cell>
          <cell r="D9050" t="str">
            <v>FARSZ NA SALCESON CZARNY</v>
          </cell>
        </row>
        <row r="9051">
          <cell r="C9051">
            <v>3024525</v>
          </cell>
          <cell r="D9051" t="str">
            <v>***FARSZ NA TUSZONKĘ</v>
          </cell>
        </row>
        <row r="9052">
          <cell r="C9052">
            <v>3016536</v>
          </cell>
          <cell r="D9052" t="str">
            <v>***FARSZ NA PASZTETOWĄ KREM.</v>
          </cell>
        </row>
        <row r="9053">
          <cell r="C9053">
            <v>3024253</v>
          </cell>
          <cell r="D9053" t="str">
            <v>***FARSZ NA KASZANKĘ JĘCZM.BIED</v>
          </cell>
        </row>
        <row r="9054">
          <cell r="C9054">
            <v>3024533</v>
          </cell>
          <cell r="D9054" t="str">
            <v>***FARSZ NA KIEŁB.SŁOIKOWĄ</v>
          </cell>
        </row>
        <row r="9055">
          <cell r="C9055">
            <v>3016539</v>
          </cell>
          <cell r="D9055" t="str">
            <v>***FARSZ NA KASZANKĘ JĘCZM.</v>
          </cell>
        </row>
        <row r="9056">
          <cell r="C9056">
            <v>3016540</v>
          </cell>
          <cell r="D9056" t="str">
            <v>***FARSZ NA PASZTET</v>
          </cell>
        </row>
        <row r="9057">
          <cell r="C9057">
            <v>3016541</v>
          </cell>
          <cell r="D9057" t="str">
            <v>KABAN.FARSZ KRA</v>
          </cell>
        </row>
        <row r="9058">
          <cell r="C9058">
            <v>3016542</v>
          </cell>
          <cell r="D9058" t="str">
            <v>FARSZ NA KIEŁ.KRAK.SUCHĄ KRAK.</v>
          </cell>
        </row>
        <row r="9059">
          <cell r="C9059">
            <v>3022615</v>
          </cell>
          <cell r="D9059" t="str">
            <v>***KABAN.Z SZYN.FARSZ KRA</v>
          </cell>
        </row>
        <row r="9060">
          <cell r="C9060">
            <v>3008248</v>
          </cell>
          <cell r="D9060" t="str">
            <v>***FARSZ NA KABANOSY BIED</v>
          </cell>
        </row>
        <row r="9061">
          <cell r="C9061">
            <v>3016543</v>
          </cell>
          <cell r="D9061" t="str">
            <v>***FARSZ NA KIEŁB.ŻYWIECKĄ BIED</v>
          </cell>
        </row>
        <row r="9062">
          <cell r="C9062">
            <v>3022752</v>
          </cell>
          <cell r="D9062" t="str">
            <v>***PIECZEŃ MIĘSNA FARSZ</v>
          </cell>
        </row>
        <row r="9063">
          <cell r="C9063">
            <v>3016544</v>
          </cell>
          <cell r="D9063" t="str">
            <v>***FARSZ NA LUKS.PRZEKĄSKĘ WĘDZ.KRAK</v>
          </cell>
        </row>
        <row r="9064">
          <cell r="C9064">
            <v>3016545</v>
          </cell>
          <cell r="D9064" t="str">
            <v>***FARSZ NA SALCESON TRADYCYJNY 700G</v>
          </cell>
        </row>
        <row r="9065">
          <cell r="C9065">
            <v>3025954</v>
          </cell>
          <cell r="D9065" t="str">
            <v>M-SO GARM.WP.-WŁ.ZAW TŁ.DO 20%</v>
          </cell>
        </row>
        <row r="9066">
          <cell r="C9066">
            <v>3025966</v>
          </cell>
          <cell r="D9066" t="str">
            <v>***SUR.MIĘSNE DO PROD.MIĘSA WP.5505 ST</v>
          </cell>
        </row>
        <row r="9067">
          <cell r="C9067">
            <v>4016970</v>
          </cell>
          <cell r="D9067" t="str">
            <v>***M-SO WP.-WŁ.GARM.1KGMAP 8KGKT LIDL LT</v>
          </cell>
        </row>
        <row r="9068">
          <cell r="C9068">
            <v>4016969</v>
          </cell>
          <cell r="D9068" t="str">
            <v>***M-SO WP.-WŁ.GARM.0.5KGMAP6KGKTLIDL LT</v>
          </cell>
        </row>
        <row r="9069">
          <cell r="C9069">
            <v>3027444</v>
          </cell>
          <cell r="D9069" t="str">
            <v>***SUR.MIĘSNE DO PROD.MIĘSA 5505 OKT ST</v>
          </cell>
        </row>
        <row r="9070">
          <cell r="C9070">
            <v>3026175</v>
          </cell>
          <cell r="D9070" t="str">
            <v>***SUR.MIĘSNE DO PROD.MIĘSA 5505 PBX ST</v>
          </cell>
        </row>
        <row r="9071">
          <cell r="C9071">
            <v>3016546</v>
          </cell>
          <cell r="D9071" t="str">
            <v>M-SO WP.-WŁ. GARMAŻ.</v>
          </cell>
        </row>
        <row r="9072">
          <cell r="C9072">
            <v>3026200</v>
          </cell>
          <cell r="D9072" t="str">
            <v>***SUR.MIĘSNE DO PROD.MIĘSA 5509</v>
          </cell>
        </row>
        <row r="9073">
          <cell r="C9073">
            <v>4001869</v>
          </cell>
          <cell r="D9073" t="str">
            <v>***MIĘSO WP-WŁ GARMAŻER.500GMAP 3KGKT N</v>
          </cell>
        </row>
        <row r="9074">
          <cell r="C9074">
            <v>4009963</v>
          </cell>
          <cell r="D9074" t="str">
            <v>***M-SO MIEL.WP.-WOŁ.GARM.500GMAP6KGKTPP</v>
          </cell>
        </row>
        <row r="9075">
          <cell r="C9075">
            <v>4010831</v>
          </cell>
          <cell r="D9075" t="str">
            <v>***M-SO WP.WŁ.GARMAŻER.500GMAP 6KG KT M.</v>
          </cell>
        </row>
        <row r="9076">
          <cell r="C9076">
            <v>4011041</v>
          </cell>
          <cell r="D9076" t="str">
            <v>***M-SO WP.-WŁ.GARMAŻER 500G MAP 3KG KT</v>
          </cell>
        </row>
        <row r="9077">
          <cell r="C9077">
            <v>4008010</v>
          </cell>
          <cell r="D9077" t="str">
            <v>***M-SO WP-WŁ GARMAŻER 6X750G MAP MAKR</v>
          </cell>
        </row>
        <row r="9078">
          <cell r="C9078">
            <v>4004091</v>
          </cell>
          <cell r="D9078" t="str">
            <v>M-SO WP.-WŁ.GARMAŻER. 750G MAP</v>
          </cell>
        </row>
        <row r="9079">
          <cell r="C9079">
            <v>4004092</v>
          </cell>
          <cell r="D9079" t="str">
            <v>***M-SO WP.-WŁ.GARMAŻER. 500G MAP L</v>
          </cell>
        </row>
        <row r="9080">
          <cell r="C9080">
            <v>4015815</v>
          </cell>
          <cell r="D9080" t="str">
            <v>***M-SO WP.-WŁ.GARM.1KGMAP 8KGKT LIDL</v>
          </cell>
        </row>
        <row r="9081">
          <cell r="C9081">
            <v>3027445</v>
          </cell>
          <cell r="D9081" t="str">
            <v>***SUR.MIĘSNE DO PROD.MIĘSA 5509 OKT ST</v>
          </cell>
        </row>
        <row r="9082">
          <cell r="C9082">
            <v>3026209</v>
          </cell>
          <cell r="D9082" t="str">
            <v>***SUR.MIĘSNE DO PROD.MIĘSA 5509 PBX ST</v>
          </cell>
        </row>
        <row r="9083">
          <cell r="C9083">
            <v>4007550</v>
          </cell>
          <cell r="D9083" t="str">
            <v>***M-SO WP-WOŁ.GARMAŻERYJNE 500G MAP BT</v>
          </cell>
        </row>
        <row r="9084">
          <cell r="C9084">
            <v>4009785</v>
          </cell>
          <cell r="D9084" t="str">
            <v>***M-SO MIEL.WP.-WOŁ.GARM.500GMAP3GKTECO</v>
          </cell>
        </row>
        <row r="9085">
          <cell r="C9085">
            <v>3008253</v>
          </cell>
          <cell r="D9085" t="str">
            <v>***MAR.ŁOP.PO STAROPOSLKU KRAK</v>
          </cell>
        </row>
        <row r="9086">
          <cell r="C9086">
            <v>4004095</v>
          </cell>
          <cell r="D9086" t="str">
            <v>***ŁOPAT.DO PIECZENIA R OK. 1KG VAC</v>
          </cell>
        </row>
        <row r="9087">
          <cell r="C9087">
            <v>3008254</v>
          </cell>
          <cell r="D9087" t="str">
            <v>***BL MAR.ŁOP.PO.ST.OK 1KG VAC OK 8KG KT</v>
          </cell>
        </row>
        <row r="9088">
          <cell r="C9088">
            <v>3016086</v>
          </cell>
          <cell r="D9088" t="str">
            <v>***M-SO GARMAŻERYJNE WP. JMP</v>
          </cell>
        </row>
        <row r="9089">
          <cell r="C9089">
            <v>4010960</v>
          </cell>
          <cell r="D9089" t="str">
            <v>***M-SO GARM.WP. 500G MAP 3KG KT JMP</v>
          </cell>
        </row>
        <row r="9090">
          <cell r="C9090">
            <v>4011144</v>
          </cell>
          <cell r="D9090" t="str">
            <v>***M-SO GARM.WP.500G MAP 3KG KT NETTO</v>
          </cell>
        </row>
        <row r="9091">
          <cell r="C9091">
            <v>4011366</v>
          </cell>
          <cell r="D9091" t="str">
            <v>***M-SO WP.GARMAŻ.750G MAP 4.5KG KT M.E.</v>
          </cell>
        </row>
        <row r="9092">
          <cell r="C9092">
            <v>3023291</v>
          </cell>
          <cell r="D9092" t="str">
            <v>***M-SO MIEL.WP.GARM.ZAW TŁ.DO 23%</v>
          </cell>
        </row>
        <row r="9093">
          <cell r="C9093">
            <v>4015384</v>
          </cell>
          <cell r="D9093" t="str">
            <v>***M-SO MIEL.WP.GARM.500G MAP 3KG KT JMP</v>
          </cell>
        </row>
        <row r="9094">
          <cell r="C9094">
            <v>3032352</v>
          </cell>
          <cell r="D9094" t="str">
            <v>***KABAN.Z SZYN.FARSZ KRA</v>
          </cell>
        </row>
        <row r="9095">
          <cell r="C9095">
            <v>3032344</v>
          </cell>
          <cell r="D9095" t="str">
            <v>KABAN.WP.FARSZ KRA</v>
          </cell>
        </row>
        <row r="9096">
          <cell r="C9096">
            <v>3032357</v>
          </cell>
          <cell r="D9096" t="str">
            <v>KABAN.DROB/WP.FARSZ KRA</v>
          </cell>
        </row>
        <row r="9097">
          <cell r="C9097">
            <v>3032523</v>
          </cell>
          <cell r="D9097" t="str">
            <v>KABAN.JEL.BAR.DROB/WP.FARSZ KRA</v>
          </cell>
        </row>
        <row r="9098">
          <cell r="C9098">
            <v>3032609</v>
          </cell>
          <cell r="D9098" t="str">
            <v>***KABAN.WP.300G FARSZ</v>
          </cell>
        </row>
        <row r="9099">
          <cell r="C9099">
            <v>3032751</v>
          </cell>
          <cell r="D9099" t="str">
            <v>SUROW.PEKL.NA KIEŁB.PODWAWELSKĄ BIED</v>
          </cell>
        </row>
        <row r="9100">
          <cell r="C9100">
            <v>3033356</v>
          </cell>
          <cell r="D9100" t="str">
            <v>KIEŁB.BIAŁE FARSZ</v>
          </cell>
        </row>
        <row r="9101">
          <cell r="C9101">
            <v>3034141</v>
          </cell>
          <cell r="D9101" t="str">
            <v>KIEŁB.ŚLĄSKA FES FARSZ MOR</v>
          </cell>
        </row>
        <row r="9102">
          <cell r="C9102">
            <v>3026630</v>
          </cell>
          <cell r="D9102" t="str">
            <v>KIEŁB.ŚLĄSKA 90% FARSZ</v>
          </cell>
        </row>
        <row r="9103">
          <cell r="C9103">
            <v>3016547</v>
          </cell>
          <cell r="D9103" t="str">
            <v>***M-SO WŁ.GARM.FARSZ</v>
          </cell>
        </row>
        <row r="9104">
          <cell r="C9104">
            <v>4006723</v>
          </cell>
          <cell r="D9104" t="str">
            <v>***M-SO WŁ.GARMAŻERYJNE 500G MAP L</v>
          </cell>
        </row>
        <row r="9105">
          <cell r="C9105">
            <v>3036946</v>
          </cell>
          <cell r="D9105" t="str">
            <v>FRANK.WĘDZ.FARSZ</v>
          </cell>
        </row>
        <row r="9106">
          <cell r="C9106">
            <v>3037031</v>
          </cell>
          <cell r="D9106" t="str">
            <v>***KIEŁBASKI PODWAW.FARSZ</v>
          </cell>
        </row>
        <row r="9107">
          <cell r="C9107">
            <v>3037275</v>
          </cell>
          <cell r="D9107" t="str">
            <v>KIEŁB.OD MASARZA FARSZ</v>
          </cell>
        </row>
        <row r="9108">
          <cell r="C9108">
            <v>3043327</v>
          </cell>
          <cell r="D9108" t="str">
            <v>KABAN.DROB/WP.CHED.FARSZ KRA</v>
          </cell>
        </row>
        <row r="9109">
          <cell r="C9109">
            <v>3043625</v>
          </cell>
          <cell r="D9109" t="str">
            <v>KABAN.DROB/WP.SALSA POMID.FARSZ KRA</v>
          </cell>
        </row>
        <row r="9110">
          <cell r="C9110">
            <v>3014376</v>
          </cell>
          <cell r="D9110" t="str">
            <v>***M.MIEL.WP-WŁ.GARM.FARSZ BIED</v>
          </cell>
        </row>
        <row r="9111">
          <cell r="C9111">
            <v>4010578</v>
          </cell>
          <cell r="D9111" t="str">
            <v>***M-SO MIEL.WP-WŁ GARM.500GMAP6KGKT JMD</v>
          </cell>
        </row>
        <row r="9112">
          <cell r="C9112">
            <v>4010682</v>
          </cell>
          <cell r="D9112" t="str">
            <v>M-SO GARM. WP.-WŁ. 750G MAP 6ST KT NETTO</v>
          </cell>
        </row>
        <row r="9113">
          <cell r="C9113">
            <v>4010802</v>
          </cell>
          <cell r="D9113" t="str">
            <v>***M-SO GARM.WP-WŁ 500GMAP 6KGKT C</v>
          </cell>
        </row>
        <row r="9114">
          <cell r="C9114">
            <v>4013531</v>
          </cell>
          <cell r="D9114" t="str">
            <v>***M-SO GARM.WP.-WŁ.500G MAP 3KGKT AUCH</v>
          </cell>
        </row>
        <row r="9115">
          <cell r="C9115">
            <v>3023292</v>
          </cell>
          <cell r="D9115" t="str">
            <v>M-SO GARM.WP.-WŁ.ZAW TŁ.DO 30%</v>
          </cell>
        </row>
        <row r="9116">
          <cell r="C9116">
            <v>3026396</v>
          </cell>
          <cell r="D9116" t="str">
            <v>***SUR.MIĘSNE DO PROD.MIĘSA 5541</v>
          </cell>
        </row>
        <row r="9117">
          <cell r="C9117">
            <v>4015385</v>
          </cell>
          <cell r="D9117" t="str">
            <v>***M-SO GARM.WP.-WŁ.500G MAP 3KG KT JMP</v>
          </cell>
        </row>
        <row r="9118">
          <cell r="C9118">
            <v>3027446</v>
          </cell>
          <cell r="D9118" t="str">
            <v>***SUR.MIĘSNE DO PROD.MIĘSA 5541 OKT ST</v>
          </cell>
        </row>
        <row r="9119">
          <cell r="C9119">
            <v>3026397</v>
          </cell>
          <cell r="D9119" t="str">
            <v>***SUR.MIĘSNE DO PROD.MIĘSA 5541 PBX ST</v>
          </cell>
        </row>
        <row r="9120">
          <cell r="C9120">
            <v>3034350</v>
          </cell>
          <cell r="D9120" t="str">
            <v>KIEŁB.CHILI/SER FARSZ</v>
          </cell>
        </row>
        <row r="9121">
          <cell r="C9121">
            <v>3034353</v>
          </cell>
          <cell r="D9121" t="str">
            <v>KIEŁB.BEK/CEB.FARSZ</v>
          </cell>
        </row>
        <row r="9122">
          <cell r="C9122">
            <v>3034628</v>
          </cell>
          <cell r="D9122" t="str">
            <v>KIEŁB.REGIONALNA FES FARSZ</v>
          </cell>
        </row>
        <row r="9123">
          <cell r="C9123">
            <v>3034395</v>
          </cell>
          <cell r="D9123" t="str">
            <v>KIEŁB.TORUŃS/PODW FES FARSZ</v>
          </cell>
        </row>
        <row r="9124">
          <cell r="C9124">
            <v>3034365</v>
          </cell>
          <cell r="D9124" t="str">
            <v>KIEŁB.PODWAWELSKA FES FARSZ BAR</v>
          </cell>
        </row>
        <row r="9125">
          <cell r="C9125">
            <v>3034411</v>
          </cell>
          <cell r="D9125" t="str">
            <v>KIEŁB.PODWAWELSKA FES FARSZ BIED</v>
          </cell>
        </row>
        <row r="9126">
          <cell r="C9126">
            <v>3034513</v>
          </cell>
          <cell r="D9126" t="str">
            <v>KIEŁB.ŚLĄSKA 90% FES FARSZ LIDL KRAJ</v>
          </cell>
        </row>
        <row r="9127">
          <cell r="C9127">
            <v>3034197</v>
          </cell>
          <cell r="D9127" t="str">
            <v>***KIEŁB.ŚLĄSKA 90% FES FARSZ</v>
          </cell>
        </row>
        <row r="9128">
          <cell r="C9128">
            <v>3034702</v>
          </cell>
          <cell r="D9128" t="str">
            <v>KIEŁB.ŚLĄSKA FES FARSZ LIDL EX</v>
          </cell>
        </row>
        <row r="9129">
          <cell r="C9129">
            <v>3035712</v>
          </cell>
          <cell r="D9129" t="str">
            <v>KABAN.JALAPENO FARSZ KRA</v>
          </cell>
        </row>
        <row r="9130">
          <cell r="C9130">
            <v>3036610</v>
          </cell>
          <cell r="D9130" t="str">
            <v>KABAN.SŁODKA PAPR.FARSZ KRA</v>
          </cell>
        </row>
        <row r="9131">
          <cell r="C9131">
            <v>3037818</v>
          </cell>
          <cell r="D9131" t="str">
            <v>KIEŁB.SUMMER SALAMI FARSZ</v>
          </cell>
        </row>
        <row r="9132">
          <cell r="C9132">
            <v>3038454</v>
          </cell>
          <cell r="D9132" t="str">
            <v>KABAN.ZIEL.CEB.FARSZ KRA</v>
          </cell>
        </row>
        <row r="9133">
          <cell r="C9133">
            <v>3038671</v>
          </cell>
          <cell r="D9133" t="str">
            <v>KIEŁB.SER/POMID.FARSZ</v>
          </cell>
        </row>
        <row r="9134">
          <cell r="C9134">
            <v>3039049</v>
          </cell>
          <cell r="D9134" t="str">
            <v>KIEŁB.ŚLĄSKA GRILL.FES FARSZ</v>
          </cell>
        </row>
        <row r="9135">
          <cell r="C9135">
            <v>3039938</v>
          </cell>
          <cell r="D9135" t="str">
            <v>***KABAN.DROB/WP.Z/SER.FARSZ KRA</v>
          </cell>
        </row>
        <row r="9136">
          <cell r="C9136">
            <v>3040495</v>
          </cell>
          <cell r="D9136" t="str">
            <v>KIEŁB.ŚLĄSKA GRILL.FARSZ</v>
          </cell>
        </row>
        <row r="9137">
          <cell r="C9137">
            <v>3040549</v>
          </cell>
          <cell r="D9137" t="str">
            <v>PP KIEŁB.PODWAW.FARSZ KRA</v>
          </cell>
        </row>
        <row r="9138">
          <cell r="C9138">
            <v>3040679</v>
          </cell>
          <cell r="D9138" t="str">
            <v>KIEŁB.ŚLĄSKA M.91% FES FARSZ</v>
          </cell>
        </row>
        <row r="9139">
          <cell r="C9139">
            <v>3042991</v>
          </cell>
          <cell r="D9139" t="str">
            <v>KABAN.Z/BEK.FARSZ KRA</v>
          </cell>
        </row>
        <row r="9140">
          <cell r="C9140">
            <v>3023433</v>
          </cell>
          <cell r="D9140" t="str">
            <v>KIEŁB.BIAŁA SUR.M.92% BS</v>
          </cell>
        </row>
        <row r="9141">
          <cell r="C9141">
            <v>4015478</v>
          </cell>
          <cell r="D9141" t="str">
            <v>***KIEŁB.BIAŁA SUROWA 500GMAP 6KGKT LIDL</v>
          </cell>
        </row>
        <row r="9142">
          <cell r="C9142">
            <v>4016986</v>
          </cell>
          <cell r="D9142" t="str">
            <v>***K.BIAŁA SUROWA 500GMAP6KGKT LIDL LT</v>
          </cell>
        </row>
        <row r="9143">
          <cell r="C9143">
            <v>3016548</v>
          </cell>
          <cell r="D9143" t="str">
            <v>***KIEŁB.BIAŁA SUROWA BIED.</v>
          </cell>
        </row>
        <row r="9144">
          <cell r="C9144">
            <v>4011361</v>
          </cell>
          <cell r="D9144" t="str">
            <v>***KIEŁB.BIAŁA SUR.500G MAP 4KG KT JMP</v>
          </cell>
        </row>
        <row r="9145">
          <cell r="C9145">
            <v>4011407</v>
          </cell>
          <cell r="D9145" t="str">
            <v>***KIEŁB.BIAŁA SUR.OK1KG MAP K4KG KT JMP</v>
          </cell>
        </row>
        <row r="9146">
          <cell r="C9146">
            <v>4004114</v>
          </cell>
          <cell r="D9146" t="str">
            <v>***KIEŁB.BIAŁA SUROWA 500G MAP JM</v>
          </cell>
        </row>
        <row r="9147">
          <cell r="C9147">
            <v>4004115</v>
          </cell>
          <cell r="D9147" t="str">
            <v>***KIEŁB.BIAŁA SUROWA OK1KG OK4KG KT MOR</v>
          </cell>
        </row>
        <row r="9148">
          <cell r="C9148">
            <v>4013900</v>
          </cell>
          <cell r="D9148" t="str">
            <v>***KIEŁB.BIAŁA SUR.500G MAP 3KG KT MAKR</v>
          </cell>
        </row>
        <row r="9149">
          <cell r="C9149">
            <v>3014600</v>
          </cell>
          <cell r="D9149" t="str">
            <v>KIEŁB.BIAŁA SUR.MIĘSNOŚĆ 80%</v>
          </cell>
        </row>
        <row r="9150">
          <cell r="C9150">
            <v>4010772</v>
          </cell>
          <cell r="D9150" t="str">
            <v>***K.BIAŁA.SUR.CIEN.400GMAP.4.8KGKT JMP</v>
          </cell>
        </row>
        <row r="9151">
          <cell r="C9151">
            <v>3017174</v>
          </cell>
          <cell r="D9151" t="str">
            <v>***KIEŁB.BIAŁA SUROWA JEL.BARANIE JMP</v>
          </cell>
        </row>
        <row r="9152">
          <cell r="C9152">
            <v>4011360</v>
          </cell>
          <cell r="D9152" t="str">
            <v>***KIEŁB.BIAŁA SUR.J.B.500GMAP 4KGKT JMP</v>
          </cell>
        </row>
        <row r="9153">
          <cell r="C9153">
            <v>3021442</v>
          </cell>
          <cell r="D9153" t="str">
            <v>***KIEŁB.GRILL.BS ME</v>
          </cell>
        </row>
        <row r="9154">
          <cell r="C9154">
            <v>4013969</v>
          </cell>
          <cell r="D9154" t="str">
            <v>***KIEŁB.GRILL 400G MAP 2.4KG KT ME</v>
          </cell>
        </row>
        <row r="9155">
          <cell r="C9155">
            <v>3021493</v>
          </cell>
          <cell r="D9155" t="str">
            <v>***KIEŁB.GRILL.BIAŁE BS BIED</v>
          </cell>
        </row>
        <row r="9156">
          <cell r="C9156">
            <v>3021494</v>
          </cell>
          <cell r="D9156" t="str">
            <v>***KIEŁB.GRILL.CZERWONE BS BIED</v>
          </cell>
        </row>
        <row r="9157">
          <cell r="C9157">
            <v>4014039</v>
          </cell>
          <cell r="D9157" t="str">
            <v>***KIEŁB.GRILL.ZAW.330GMAP 1.98KGKT BIED</v>
          </cell>
        </row>
        <row r="9158">
          <cell r="C9158">
            <v>3041485</v>
          </cell>
          <cell r="D9158" t="str">
            <v>PP KIEŁB.CZOSN.FARSZ LIDL</v>
          </cell>
        </row>
        <row r="9159">
          <cell r="C9159">
            <v>3041578</v>
          </cell>
          <cell r="D9159" t="str">
            <v>PP KIEŁB.TORUŃSKA FARSZ</v>
          </cell>
        </row>
        <row r="9160">
          <cell r="C9160">
            <v>3041685</v>
          </cell>
          <cell r="D9160" t="str">
            <v>KIEŁB.ŚLĄSKA M.91% FARSZ</v>
          </cell>
        </row>
        <row r="9161">
          <cell r="C9161">
            <v>3042336</v>
          </cell>
          <cell r="D9161" t="str">
            <v>***KIEŁB.BIAŁE FARSZ LIDL</v>
          </cell>
        </row>
        <row r="9162">
          <cell r="C9162">
            <v>3041838</v>
          </cell>
          <cell r="D9162" t="str">
            <v>ŚLĄZERKI SWEET JALAPENO FARSZ</v>
          </cell>
        </row>
        <row r="9163">
          <cell r="C9163">
            <v>3041891</v>
          </cell>
          <cell r="D9163" t="str">
            <v>ŚLĄZERKI FARSZ</v>
          </cell>
        </row>
        <row r="9164">
          <cell r="C9164">
            <v>3042417</v>
          </cell>
          <cell r="D9164" t="str">
            <v>***KIEŁB.PAPR.FARSZ</v>
          </cell>
        </row>
        <row r="9165">
          <cell r="C9165">
            <v>3008257</v>
          </cell>
          <cell r="D9165" t="str">
            <v>***GOL.PRZED.DO PIECZ.PEKL.</v>
          </cell>
        </row>
        <row r="9166">
          <cell r="C9166">
            <v>4004119</v>
          </cell>
          <cell r="D9166" t="str">
            <v>GOL.PRZ.DO PIECZ.GRILL750GVAC 6KGKT REAL</v>
          </cell>
        </row>
        <row r="9167">
          <cell r="C9167">
            <v>3008258</v>
          </cell>
          <cell r="D9167" t="str">
            <v>MAR.GOL.PRZ.DO PIECZ.4STVAC 6KG KT RQ BL</v>
          </cell>
        </row>
        <row r="9168">
          <cell r="C9168">
            <v>3008259</v>
          </cell>
          <cell r="D9168" t="str">
            <v>***KARK.DO PIECZ.PEKL.</v>
          </cell>
        </row>
        <row r="9169">
          <cell r="C9169">
            <v>4004123</v>
          </cell>
          <cell r="D9169" t="str">
            <v>***KARCZEK DO PIECZENIA OK.1KG VAC</v>
          </cell>
        </row>
        <row r="9170">
          <cell r="C9170">
            <v>4013347</v>
          </cell>
          <cell r="D9170" t="str">
            <v>***KARK.DO PIECZ.OK1KG VAC OK5KG KT TESC</v>
          </cell>
        </row>
        <row r="9171">
          <cell r="C9171">
            <v>4004124</v>
          </cell>
          <cell r="D9171" t="str">
            <v>KARCZ.DO PIECZ.GRILL REAL 2.5KG</v>
          </cell>
        </row>
        <row r="9172">
          <cell r="C9172">
            <v>4004125</v>
          </cell>
          <cell r="D9172" t="str">
            <v>***KARK.DO PIECZ.1.25KG VAC 5KG SK TESC</v>
          </cell>
        </row>
        <row r="9173">
          <cell r="C9173">
            <v>4008376</v>
          </cell>
          <cell r="D9173" t="str">
            <v>***KARK.DO PIECZENIA OK 1KG VAC MAKRO</v>
          </cell>
        </row>
        <row r="9174">
          <cell r="C9174">
            <v>4016270</v>
          </cell>
          <cell r="D9174" t="str">
            <v>***KARCZ.DO PIECZ.1.25KGVAC 5KG TESC</v>
          </cell>
        </row>
        <row r="9175">
          <cell r="C9175">
            <v>3008260</v>
          </cell>
          <cell r="D9175" t="str">
            <v>MAR.KARK.DO PIECZ.OK1KG VAC OK 5KG KT BL</v>
          </cell>
        </row>
        <row r="9176">
          <cell r="C9176">
            <v>3008261</v>
          </cell>
          <cell r="D9176" t="str">
            <v>MAR.KARK.DO PIECZ.5ST VAC 7.5KG KT RQ BL</v>
          </cell>
        </row>
        <row r="9177">
          <cell r="C9177">
            <v>3008262</v>
          </cell>
          <cell r="D9177" t="str">
            <v>MAR.KARK.DO PIECZ.5ST VAC 5KG KT TESC BL</v>
          </cell>
        </row>
        <row r="9178">
          <cell r="C9178">
            <v>3008263</v>
          </cell>
          <cell r="D9178" t="str">
            <v>***ŻEB.DO PIECZ.PEKL.</v>
          </cell>
        </row>
        <row r="9179">
          <cell r="C9179">
            <v>4004133</v>
          </cell>
          <cell r="D9179" t="str">
            <v>ŻEBER.DO PIECZ.GRILL350GVAC 2.8KGKT REAL</v>
          </cell>
        </row>
        <row r="9180">
          <cell r="C9180">
            <v>4004134</v>
          </cell>
          <cell r="D9180" t="str">
            <v>***ŻEBERKA DO PIECZ.VAC 1.4 KG T</v>
          </cell>
        </row>
        <row r="9181">
          <cell r="C9181">
            <v>3008264</v>
          </cell>
          <cell r="D9181" t="str">
            <v>MAR.ŻEB.DO PIECZ.5ST VAC 8.75KG KT RQ BL</v>
          </cell>
        </row>
        <row r="9182">
          <cell r="C9182">
            <v>3008265</v>
          </cell>
          <cell r="D9182" t="str">
            <v>MAR.ŻEB.DO PIECZ.4ST VAC 14KG KT TESC BL</v>
          </cell>
        </row>
        <row r="9183">
          <cell r="C9183">
            <v>3016549</v>
          </cell>
          <cell r="D9183" t="str">
            <v>M-SO WP.DR.KL1 CIE.Z SZYN.PEKL.2%</v>
          </cell>
        </row>
        <row r="9184">
          <cell r="C9184">
            <v>3040312</v>
          </cell>
          <cell r="D9184" t="str">
            <v>PP M-SO WP.DR.KL1 CIE.PEKL.1.5%</v>
          </cell>
        </row>
        <row r="9185">
          <cell r="C9185">
            <v>3044429</v>
          </cell>
          <cell r="D9185" t="str">
            <v>SNAKERSY PAPR.NADZ.KRA</v>
          </cell>
        </row>
        <row r="9186">
          <cell r="C9186">
            <v>3045161</v>
          </cell>
          <cell r="D9186" t="str">
            <v>SNAKERSY PAPR.NADZ.OK15KG NB MR</v>
          </cell>
        </row>
        <row r="9187">
          <cell r="C9187">
            <v>3045160</v>
          </cell>
          <cell r="D9187" t="str">
            <v>SNAKERSY PAPR.NADZ.OK15KG NB DMR</v>
          </cell>
        </row>
        <row r="9188">
          <cell r="C9188">
            <v>3045162</v>
          </cell>
          <cell r="D9188" t="str">
            <v>SNAKERSY PAPR.NADZ.RO</v>
          </cell>
        </row>
        <row r="9189">
          <cell r="C9189">
            <v>3044598</v>
          </cell>
          <cell r="D9189" t="str">
            <v>SERD.WP/DROB.FARSZ MOR</v>
          </cell>
        </row>
        <row r="9190">
          <cell r="C9190">
            <v>3044690</v>
          </cell>
          <cell r="D9190" t="str">
            <v>KIEŁB.ZWYCZAJNA DROB/WP.FES FARSZ</v>
          </cell>
        </row>
        <row r="9191">
          <cell r="C9191">
            <v>3044726</v>
          </cell>
          <cell r="D9191" t="str">
            <v>KIEŁB.BIWAKOWA WP/DROB.FES FARSZ</v>
          </cell>
        </row>
        <row r="9192">
          <cell r="C9192">
            <v>3044917</v>
          </cell>
          <cell r="D9192" t="str">
            <v>KIEŁB.KRUCHA PIE.FARSZ</v>
          </cell>
        </row>
        <row r="9193">
          <cell r="C9193">
            <v>3045009</v>
          </cell>
          <cell r="D9193" t="str">
            <v>KIEŁB.ŚLĄSKA WP/DROB.FES FARSZ MOR</v>
          </cell>
        </row>
        <row r="9194">
          <cell r="C9194">
            <v>3045356</v>
          </cell>
          <cell r="D9194" t="str">
            <v>KIEŁB.ŚLĄSKA WP/DROB.FARSZ MOR</v>
          </cell>
        </row>
        <row r="9195">
          <cell r="C9195">
            <v>3008267</v>
          </cell>
          <cell r="D9195" t="str">
            <v>GRIL.KARK.PEKL.</v>
          </cell>
        </row>
        <row r="9196">
          <cell r="C9196">
            <v>4012409</v>
          </cell>
          <cell r="D9196" t="str">
            <v>***KOTL.KARK.GRILL.OK600GMAP BIED</v>
          </cell>
        </row>
        <row r="9197">
          <cell r="C9197">
            <v>4001061</v>
          </cell>
          <cell r="D9197" t="str">
            <v>***KARK.GRILL.PL OK600GVACOK3.6KGKT BIED</v>
          </cell>
        </row>
        <row r="9198">
          <cell r="C9198">
            <v>4017027</v>
          </cell>
          <cell r="D9198" t="str">
            <v>***KARK.GRILL PL OK600GVACOK3.6KGKT BIED</v>
          </cell>
        </row>
        <row r="9199">
          <cell r="C9199">
            <v>3008268</v>
          </cell>
          <cell r="D9199" t="str">
            <v>***BLGR.KAR.PW.OK 600G VAC OK 6KG KT BIE</v>
          </cell>
        </row>
        <row r="9200">
          <cell r="C9200">
            <v>3025703</v>
          </cell>
          <cell r="D9200" t="str">
            <v>***KARK.GRILL.PL OK600GVAC BL BIED</v>
          </cell>
        </row>
        <row r="9201">
          <cell r="C9201">
            <v>3009543</v>
          </cell>
          <cell r="D9201" t="str">
            <v>***SURO.BOCZ.GRILL WINZER. BIEDR.</v>
          </cell>
        </row>
        <row r="9202">
          <cell r="C9202">
            <v>4014012</v>
          </cell>
          <cell r="D9202" t="str">
            <v>***BOCZ.GRILL.PL 300GMAP 2.4KG T BIED</v>
          </cell>
        </row>
        <row r="9203">
          <cell r="C9203">
            <v>4017023</v>
          </cell>
          <cell r="D9203" t="str">
            <v>***BOCZ.GRILL.PL 300G MAP 2.4KG KT BIED</v>
          </cell>
        </row>
        <row r="9204">
          <cell r="C9204">
            <v>4007117</v>
          </cell>
          <cell r="D9204" t="str">
            <v>***BOCZ.GRILLOWY PL OK500GVAC KT JMD</v>
          </cell>
        </row>
        <row r="9205">
          <cell r="C9205">
            <v>3025705</v>
          </cell>
          <cell r="D9205" t="str">
            <v>***BOCZ.GRILL.PL 300GMAP BL BIED</v>
          </cell>
        </row>
        <row r="9206">
          <cell r="C9206">
            <v>3008269</v>
          </cell>
          <cell r="D9206" t="str">
            <v>***BLGR.BOCPLW.OK 600G VAC OK 6KG KT BIE</v>
          </cell>
        </row>
        <row r="9207">
          <cell r="C9207">
            <v>4012430</v>
          </cell>
          <cell r="D9207" t="str">
            <v>***BOCZ.GRILLOWYPL OK500G VAC KT RO BIED</v>
          </cell>
        </row>
        <row r="9208">
          <cell r="C9208">
            <v>3016550</v>
          </cell>
          <cell r="D9208" t="str">
            <v>***M-SO WP.POP. KO</v>
          </cell>
        </row>
        <row r="9209">
          <cell r="C9209">
            <v>4004157</v>
          </cell>
          <cell r="D9209" t="str">
            <v>***MIĘSO WP.POPULAR.KOST.250GMR.SZT</v>
          </cell>
        </row>
        <row r="9210">
          <cell r="C9210">
            <v>4008386</v>
          </cell>
          <cell r="D9210" t="str">
            <v>***M-SO WP.POPULARNE KOST 250G MRŻ</v>
          </cell>
        </row>
        <row r="9211">
          <cell r="C9211">
            <v>4004158</v>
          </cell>
          <cell r="D9211" t="str">
            <v>***MIĘSO WP.POPULAR.KOST.250G MR KG</v>
          </cell>
        </row>
        <row r="9212">
          <cell r="C9212">
            <v>3008271</v>
          </cell>
          <cell r="D9212" t="str">
            <v>***M-SO WP.POPUL.250G KOST.11.5KG KT DMR</v>
          </cell>
        </row>
        <row r="9213">
          <cell r="C9213">
            <v>3008272</v>
          </cell>
          <cell r="D9213" t="str">
            <v>***M-SO WP.POP.250G KO 11.5KG KT DMR</v>
          </cell>
        </row>
        <row r="9214">
          <cell r="C9214">
            <v>3008854</v>
          </cell>
          <cell r="D9214" t="str">
            <v>***KARCZ. PO STAROPOLSKU NA SZARO</v>
          </cell>
        </row>
        <row r="9215">
          <cell r="C9215">
            <v>4006237</v>
          </cell>
          <cell r="D9215" t="str">
            <v>***KARKPSTAROP.NA/SZ.OK.1KG VAC 4KGKT JM</v>
          </cell>
        </row>
        <row r="9216">
          <cell r="C9216">
            <v>3008856</v>
          </cell>
          <cell r="D9216" t="str">
            <v>***BLKARCZPOSTAROP.NA SZARO OK1KG VACJMD</v>
          </cell>
        </row>
        <row r="9217">
          <cell r="C9217">
            <v>3008273</v>
          </cell>
          <cell r="D9217" t="str">
            <v>***SUR.PEKL.SCH.NA SZARO 15%</v>
          </cell>
        </row>
        <row r="9218">
          <cell r="C9218">
            <v>4006238</v>
          </cell>
          <cell r="D9218" t="str">
            <v>***SCH.ZE ŚLIWKĄ NA/SZ.OK.1KGVAC4KGKTJMD</v>
          </cell>
        </row>
        <row r="9219">
          <cell r="C9219">
            <v>4008228</v>
          </cell>
          <cell r="D9219" t="str">
            <v>***SCH ZE ŚLIWKĄ OK.1KG VAC 4KG KT KRA N</v>
          </cell>
        </row>
        <row r="9220">
          <cell r="C9220">
            <v>3008274</v>
          </cell>
          <cell r="D9220" t="str">
            <v>***BLMAR.SCH.ZE ŚL.SZA.OK1KGVAC 4KG KT B</v>
          </cell>
        </row>
        <row r="9221">
          <cell r="C9221">
            <v>3008275</v>
          </cell>
          <cell r="D9221" t="str">
            <v>***M-SO ZMIELONE WP-WOŁ</v>
          </cell>
        </row>
        <row r="9222">
          <cell r="C9222">
            <v>4006735</v>
          </cell>
          <cell r="D9222" t="str">
            <v>***M-SO WP.-WŁ.MIELONE 500G MAP T</v>
          </cell>
        </row>
        <row r="9223">
          <cell r="C9223">
            <v>3008276</v>
          </cell>
          <cell r="D9223" t="str">
            <v>***M-SO ZMIELONE WP</v>
          </cell>
        </row>
        <row r="9224">
          <cell r="C9224">
            <v>4006732</v>
          </cell>
          <cell r="D9224" t="str">
            <v>***M-SO MIELONE WP. 500G MAP T</v>
          </cell>
        </row>
        <row r="9225">
          <cell r="C9225">
            <v>3008277</v>
          </cell>
          <cell r="D9225" t="str">
            <v>***M-SO ZMIELONE Z.ŁOP.</v>
          </cell>
        </row>
        <row r="9226">
          <cell r="C9226">
            <v>3008278</v>
          </cell>
          <cell r="D9226" t="str">
            <v>***M-SO ZMIELONE Z.SZYN.</v>
          </cell>
        </row>
        <row r="9227">
          <cell r="C9227">
            <v>4006734</v>
          </cell>
          <cell r="D9227" t="str">
            <v>***M-SO MIEL.WP.Z SZYN.500G MAP T</v>
          </cell>
        </row>
        <row r="9228">
          <cell r="C9228">
            <v>3016736</v>
          </cell>
          <cell r="D9228" t="str">
            <v>***STEK Z KARK-GRILLW MAR.PROWANSALSKIEJ</v>
          </cell>
        </row>
        <row r="9229">
          <cell r="C9229">
            <v>4006878</v>
          </cell>
          <cell r="D9229" t="str">
            <v>***STEK.KARK.MAR.PROW.OK2KGVACOK10KGKT K</v>
          </cell>
        </row>
        <row r="9230">
          <cell r="C9230">
            <v>3022469</v>
          </cell>
          <cell r="D9230" t="str">
            <v>***STEK KARK.MARYN.PROW.OK2KG VAC BL</v>
          </cell>
        </row>
        <row r="9231">
          <cell r="C9231">
            <v>3016733</v>
          </cell>
          <cell r="D9231" t="str">
            <v>***STEK Z KARK.GRILL W MARYN.CHILI</v>
          </cell>
        </row>
        <row r="9232">
          <cell r="C9232">
            <v>4013987</v>
          </cell>
          <cell r="D9232" t="str">
            <v>***STEK KARK.MARYN.CHILI600GVAC4.8KGKT K</v>
          </cell>
        </row>
        <row r="9233">
          <cell r="C9233">
            <v>4013988</v>
          </cell>
          <cell r="D9233" t="str">
            <v>***STEK KARK.CHILI OK600GVAC OK4.8KGKT K</v>
          </cell>
        </row>
        <row r="9234">
          <cell r="C9234">
            <v>4006881</v>
          </cell>
          <cell r="D9234" t="str">
            <v>***STEK KARK.MAR.CHILI600GVAC 4.8KG KT K</v>
          </cell>
        </row>
        <row r="9235">
          <cell r="C9235">
            <v>3022030</v>
          </cell>
          <cell r="D9235" t="str">
            <v>***STEK KARK.CHILI OK600GVACOK4.8KGKT BL</v>
          </cell>
        </row>
        <row r="9236">
          <cell r="C9236">
            <v>3016738</v>
          </cell>
          <cell r="D9236" t="str">
            <v>***STEK Z KARK-GRILL W MARYN. BARBECUE</v>
          </cell>
        </row>
        <row r="9237">
          <cell r="C9237">
            <v>4006879</v>
          </cell>
          <cell r="D9237" t="str">
            <v>***STEK KARK-GRILL M.BBQOK2KGVACOK6KGKTK</v>
          </cell>
        </row>
        <row r="9238">
          <cell r="C9238">
            <v>4014015</v>
          </cell>
          <cell r="D9238" t="str">
            <v>***STEK KARK.BBQ OK2KG VAC OK10KG KT K</v>
          </cell>
        </row>
        <row r="9239">
          <cell r="C9239">
            <v>4013989</v>
          </cell>
          <cell r="D9239" t="str">
            <v>***STEK KARK.BBQ OK600GVAC OK4.8KGKTKAUF</v>
          </cell>
        </row>
        <row r="9240">
          <cell r="C9240">
            <v>3022467</v>
          </cell>
          <cell r="D9240" t="str">
            <v>***STEK KARK.BBQ OK600G VAC BL</v>
          </cell>
        </row>
        <row r="9241">
          <cell r="C9241">
            <v>3022470</v>
          </cell>
          <cell r="D9241" t="str">
            <v>***STEK KARK.BBQ OK2KG VAC BL</v>
          </cell>
        </row>
        <row r="9242">
          <cell r="C9242">
            <v>3016732</v>
          </cell>
          <cell r="D9242" t="str">
            <v>***BOCZ.GRILL W MARYN.WESTERN</v>
          </cell>
        </row>
        <row r="9243">
          <cell r="C9243">
            <v>4006882</v>
          </cell>
          <cell r="D9243" t="str">
            <v>***BOCZ.GRILL MAR.WESTERN 600GVACKT KAUF</v>
          </cell>
        </row>
        <row r="9244">
          <cell r="C9244">
            <v>3016735</v>
          </cell>
          <cell r="D9244" t="str">
            <v>***STEK ZE SCH.-GRILL W MARYN.CLASSIC</v>
          </cell>
        </row>
        <row r="9245">
          <cell r="C9245">
            <v>4006880</v>
          </cell>
          <cell r="D9245" t="str">
            <v>***STEK SCH.GRILL MAR.CLASS.OK2KGVACKAUF</v>
          </cell>
        </row>
        <row r="9246">
          <cell r="C9246">
            <v>3016734</v>
          </cell>
          <cell r="D9246" t="str">
            <v>***ŻEB.GRILL.MAR.MIOD.PEKL.</v>
          </cell>
        </row>
        <row r="9247">
          <cell r="C9247">
            <v>4006883</v>
          </cell>
          <cell r="D9247" t="str">
            <v>***ŻEB.GRILL MAR.MIOD.OK2KGVAC OK8KGKT K</v>
          </cell>
        </row>
        <row r="9248">
          <cell r="C9248">
            <v>3025340</v>
          </cell>
          <cell r="D9248" t="str">
            <v>***ŻEB.GRILL.MAR.MIOD.OK2KGVAC BL</v>
          </cell>
        </row>
        <row r="9249">
          <cell r="C9249">
            <v>3008279</v>
          </cell>
          <cell r="D9249" t="str">
            <v>***MAR.BOCZ. JAK U MAMY</v>
          </cell>
        </row>
        <row r="9250">
          <cell r="C9250">
            <v>4006884</v>
          </cell>
          <cell r="D9250" t="str">
            <v>***BOCZEK JAK U MAMY 1SZT VAC</v>
          </cell>
        </row>
        <row r="9251">
          <cell r="C9251">
            <v>4006885</v>
          </cell>
          <cell r="D9251" t="str">
            <v>***BOCZEK JAK U MAMY 1SZT VAC M</v>
          </cell>
        </row>
        <row r="9252">
          <cell r="C9252">
            <v>4006914</v>
          </cell>
          <cell r="D9252" t="str">
            <v>***BOCZEK JAK U MAMY 1SZT VAC N</v>
          </cell>
        </row>
        <row r="9253">
          <cell r="C9253">
            <v>3008280</v>
          </cell>
          <cell r="D9253" t="str">
            <v>***BL MAR.BOCZ. J.U.M OK1KG VAC OK5KG KT</v>
          </cell>
        </row>
        <row r="9254">
          <cell r="C9254">
            <v>3008281</v>
          </cell>
          <cell r="D9254" t="str">
            <v>***BL MAR.BOCZ.J.U.M OK1KG VAC OK8KG KT</v>
          </cell>
        </row>
        <row r="9255">
          <cell r="C9255">
            <v>3008282</v>
          </cell>
          <cell r="D9255" t="str">
            <v>***BL MAR.BOCZ.J.U.M OK1KG VAC 4KG KT</v>
          </cell>
        </row>
        <row r="9256">
          <cell r="C9256">
            <v>3008283</v>
          </cell>
          <cell r="D9256" t="str">
            <v>***MAR.ŁOP. JAK U MAMY</v>
          </cell>
        </row>
        <row r="9257">
          <cell r="C9257">
            <v>4006886</v>
          </cell>
          <cell r="D9257" t="str">
            <v>***OPATKA JAK U MAMY 1SZT VAC</v>
          </cell>
        </row>
        <row r="9258">
          <cell r="C9258">
            <v>4006887</v>
          </cell>
          <cell r="D9258" t="str">
            <v>***ŁOPATKA JAK U MAMY 1SZT VAC M</v>
          </cell>
        </row>
        <row r="9259">
          <cell r="C9259">
            <v>4006888</v>
          </cell>
          <cell r="D9259" t="str">
            <v>***ŁOPATKA JAK U MAMY 1SZT VAC R</v>
          </cell>
        </row>
        <row r="9260">
          <cell r="C9260">
            <v>4006889</v>
          </cell>
          <cell r="D9260" t="str">
            <v>***ŁOPATKA JAK U MAMY 1SZT VAC T</v>
          </cell>
        </row>
        <row r="9261">
          <cell r="C9261">
            <v>3008284</v>
          </cell>
          <cell r="D9261" t="str">
            <v>***BL MAR.ŁOP.J.U.M OK 1KG VAC OK 5KG KT</v>
          </cell>
        </row>
        <row r="9262">
          <cell r="C9262">
            <v>3008285</v>
          </cell>
          <cell r="D9262" t="str">
            <v>***BL MAR.ŁOP.J.U.M OK1KG VAC OK8KG KT M</v>
          </cell>
        </row>
        <row r="9263">
          <cell r="C9263">
            <v>3008286</v>
          </cell>
          <cell r="D9263" t="str">
            <v>***BL MAR.ŁOP.J.U.M OK1KG VAC OK5KG KT R</v>
          </cell>
        </row>
        <row r="9264">
          <cell r="C9264">
            <v>3008287</v>
          </cell>
          <cell r="D9264" t="str">
            <v>***BL MAR.ŁOP.J.U.M OK1KG VAC OK5KG KT T</v>
          </cell>
        </row>
        <row r="9265">
          <cell r="C9265">
            <v>3008288</v>
          </cell>
          <cell r="D9265" t="str">
            <v>***MAR.KARK. JAK U MAMY</v>
          </cell>
        </row>
        <row r="9266">
          <cell r="C9266">
            <v>4006890</v>
          </cell>
          <cell r="D9266" t="str">
            <v>***KARCZEK JAK U MAMY 1SZT VAC</v>
          </cell>
        </row>
        <row r="9267">
          <cell r="C9267">
            <v>4006891</v>
          </cell>
          <cell r="D9267" t="str">
            <v>***KARCZEK JAK U MAMY 1SZT VAC M</v>
          </cell>
        </row>
        <row r="9268">
          <cell r="C9268">
            <v>4006893</v>
          </cell>
          <cell r="D9268" t="str">
            <v>***KARCZEK JAK U MAMY 1SZT VAC R</v>
          </cell>
        </row>
        <row r="9269">
          <cell r="C9269">
            <v>4006894</v>
          </cell>
          <cell r="D9269" t="str">
            <v>***KARCZEK JAK U MAMY 1SZT VAC T</v>
          </cell>
        </row>
        <row r="9270">
          <cell r="C9270">
            <v>3008289</v>
          </cell>
          <cell r="D9270" t="str">
            <v>***BL MAR.KARK.J.U.M OK1KG VAC OK5KG KT</v>
          </cell>
        </row>
        <row r="9271">
          <cell r="C9271">
            <v>3008290</v>
          </cell>
          <cell r="D9271" t="str">
            <v>***BL MAR.KAR.J.U.M OK1KG VAC OK8KG KT M</v>
          </cell>
        </row>
        <row r="9272">
          <cell r="C9272">
            <v>3008291</v>
          </cell>
          <cell r="D9272" t="str">
            <v>***BL MAR.KAR.J.U.M OK1KG VAC OK5KG KT R</v>
          </cell>
        </row>
        <row r="9273">
          <cell r="C9273">
            <v>3008292</v>
          </cell>
          <cell r="D9273" t="str">
            <v>***BL MAR.KAR.J.U.M OK1KG VAC OK5KG KT T</v>
          </cell>
        </row>
        <row r="9274">
          <cell r="C9274">
            <v>3008293</v>
          </cell>
          <cell r="D9274" t="str">
            <v>***MAR.SCH. JAK U MAMY</v>
          </cell>
        </row>
        <row r="9275">
          <cell r="C9275">
            <v>4006895</v>
          </cell>
          <cell r="D9275" t="str">
            <v>***SCHAB ZE ŚLIWKĄ JAK U MAMY 1SZT VAC</v>
          </cell>
        </row>
        <row r="9276">
          <cell r="C9276">
            <v>4006896</v>
          </cell>
          <cell r="D9276" t="str">
            <v>***SCHAB ZE ŚLIWKĄ JAK U MAMY 1SZT VAC M</v>
          </cell>
        </row>
        <row r="9277">
          <cell r="C9277">
            <v>4006897</v>
          </cell>
          <cell r="D9277" t="str">
            <v>***SCHAB ZE ŚLIWKĄ JAK U MAMY 1SZT VAC R</v>
          </cell>
        </row>
        <row r="9278">
          <cell r="C9278">
            <v>4006898</v>
          </cell>
          <cell r="D9278" t="str">
            <v>***SCHAB ZE ŚLIWKĄ JAK U MAMY 1SZT VAC T</v>
          </cell>
        </row>
        <row r="9279">
          <cell r="C9279">
            <v>4006915</v>
          </cell>
          <cell r="D9279" t="str">
            <v>***SCHAB ZE ŚLIWKĄ JAK U MAMY 1SZT VAC N</v>
          </cell>
        </row>
        <row r="9280">
          <cell r="C9280">
            <v>3008294</v>
          </cell>
          <cell r="D9280" t="str">
            <v>***BL MAR.SCH. J.U.M OK 1KG VAC OK5KG KT</v>
          </cell>
        </row>
        <row r="9281">
          <cell r="C9281">
            <v>3008295</v>
          </cell>
          <cell r="D9281" t="str">
            <v>***BL MAR.SCH.J.U.M OK1KG VAC OK8KG KT M</v>
          </cell>
        </row>
        <row r="9282">
          <cell r="C9282">
            <v>3008296</v>
          </cell>
          <cell r="D9282" t="str">
            <v>***BL MAR.SCH.J.U.M OK1KG VAC OK5KG KT R</v>
          </cell>
        </row>
        <row r="9283">
          <cell r="C9283">
            <v>3008297</v>
          </cell>
          <cell r="D9283" t="str">
            <v>***BL MAR.SCH.J.U.M OK1KG VAC OK5KG KT T</v>
          </cell>
        </row>
        <row r="9284">
          <cell r="C9284">
            <v>3008298</v>
          </cell>
          <cell r="D9284" t="str">
            <v>***BL MAR.SCH. J.U.M OK 1KG VAC 4KG KT N</v>
          </cell>
        </row>
        <row r="9285">
          <cell r="C9285">
            <v>3016737</v>
          </cell>
          <cell r="D9285" t="str">
            <v>***BOCZ.B/K.GRILL.MAR.PROWANS.PEKL.</v>
          </cell>
        </row>
        <row r="9286">
          <cell r="C9286">
            <v>4006899</v>
          </cell>
          <cell r="D9286" t="str">
            <v>***BOCZ.GRILLMAR.PROW.OK2.5KGVACOK5KGKTK</v>
          </cell>
        </row>
        <row r="9287">
          <cell r="C9287">
            <v>3022596</v>
          </cell>
          <cell r="D9287" t="str">
            <v>***BOCZ.B/K.GRILL.MAR.PROW.OK2.5KGVAC BL</v>
          </cell>
        </row>
        <row r="9288">
          <cell r="C9288">
            <v>3016751</v>
          </cell>
          <cell r="D9288" t="str">
            <v>***STEK Z KARK.GRILL W MARYN.PROWANSALSK</v>
          </cell>
        </row>
        <row r="9289">
          <cell r="C9289">
            <v>4009170</v>
          </cell>
          <cell r="D9289" t="str">
            <v>***TEK Z KARK.MAR.PROWAN.600GVAC 8STKT K</v>
          </cell>
        </row>
        <row r="9290">
          <cell r="C9290">
            <v>4014864</v>
          </cell>
          <cell r="D9290" t="str">
            <v>***BOCZ.GRILLREDGAROK2.5KGVACOK5KGKTKAUF</v>
          </cell>
        </row>
        <row r="9291">
          <cell r="C9291">
            <v>3022597</v>
          </cell>
          <cell r="D9291" t="str">
            <v>***BOCZ.B/K.GRILMAR.RED GAR.OK2.5KGVACBL</v>
          </cell>
        </row>
        <row r="9292">
          <cell r="C9292">
            <v>3012523</v>
          </cell>
          <cell r="D9292" t="str">
            <v>***STEK Z KARK.GRILL W MAR. RED GARLIC</v>
          </cell>
        </row>
        <row r="9293">
          <cell r="C9293">
            <v>4010042</v>
          </cell>
          <cell r="D9293" t="str">
            <v>***STEKZ KAR.GRILLW MAR.REDGARLOK600GMAP</v>
          </cell>
        </row>
        <row r="9294">
          <cell r="C9294">
            <v>4013990</v>
          </cell>
          <cell r="D9294" t="str">
            <v>***STEK KARK.REDGAR.OK600GVACOK4.8KGKT K</v>
          </cell>
        </row>
        <row r="9295">
          <cell r="C9295">
            <v>3022468</v>
          </cell>
          <cell r="D9295" t="str">
            <v>***STEK KARK.RED GAR.OK600G VAC BL</v>
          </cell>
        </row>
        <row r="9296">
          <cell r="C9296">
            <v>3016551</v>
          </cell>
          <cell r="D9296" t="str">
            <v>***GRIL.KARK.</v>
          </cell>
        </row>
        <row r="9297">
          <cell r="C9297">
            <v>4006909</v>
          </cell>
          <cell r="D9297" t="str">
            <v>***KARK.GRILL PL OK600GVAC OK6 KG KT MOR</v>
          </cell>
        </row>
        <row r="9298">
          <cell r="C9298">
            <v>4006930</v>
          </cell>
          <cell r="D9298" t="str">
            <v>***KARK.GRILL PL OK600GVAC 4.2KGKT MOR N</v>
          </cell>
        </row>
        <row r="9299">
          <cell r="C9299">
            <v>4006931</v>
          </cell>
          <cell r="D9299" t="str">
            <v>***KARCZEK GRILLOWY OK600G VAC C</v>
          </cell>
        </row>
        <row r="9300">
          <cell r="C9300">
            <v>4006932</v>
          </cell>
          <cell r="D9300" t="str">
            <v>***KARK.GRILL PL OK600GVACOK3KGKTSK TESC</v>
          </cell>
        </row>
        <row r="9301">
          <cell r="C9301">
            <v>4006934</v>
          </cell>
          <cell r="D9301" t="str">
            <v>***KARCZEK GRILL 600G VAC N</v>
          </cell>
        </row>
        <row r="9302">
          <cell r="C9302">
            <v>4006933</v>
          </cell>
          <cell r="D9302" t="str">
            <v>***KARCZEK GRILL.OK2.5KGVAC OK5KG KT T</v>
          </cell>
        </row>
        <row r="9303">
          <cell r="C9303">
            <v>4006935</v>
          </cell>
          <cell r="D9303" t="str">
            <v>***KARK.GRILL.PL OK2.5KGVAC OK10KGKT MOR</v>
          </cell>
        </row>
        <row r="9304">
          <cell r="C9304">
            <v>4006936</v>
          </cell>
          <cell r="D9304" t="str">
            <v>***KARCZEK GRILLOWY OK2.5KG VAC C</v>
          </cell>
        </row>
        <row r="9305">
          <cell r="C9305">
            <v>4012438</v>
          </cell>
          <cell r="D9305" t="str">
            <v>***KARK.GRILLOWY OK600G VAC ECS</v>
          </cell>
        </row>
        <row r="9306">
          <cell r="C9306">
            <v>4012431</v>
          </cell>
          <cell r="D9306" t="str">
            <v>***KARK.GRILLOWY OK2.5KG VAC ECS</v>
          </cell>
        </row>
        <row r="9307">
          <cell r="C9307">
            <v>3008300</v>
          </cell>
          <cell r="D9307" t="str">
            <v>***BLGRIL.KAR.PLOK 600G VAC OK 5KG KT M</v>
          </cell>
        </row>
        <row r="9308">
          <cell r="C9308">
            <v>3008301</v>
          </cell>
          <cell r="D9308" t="str">
            <v>***BL GRIL.KAR.POK 600G VAC OK 5KG KT R</v>
          </cell>
        </row>
        <row r="9309">
          <cell r="C9309">
            <v>3008302</v>
          </cell>
          <cell r="D9309" t="str">
            <v>***BL GRIL.KAR.POK 600G VAC OK 5KG KT C</v>
          </cell>
        </row>
        <row r="9310">
          <cell r="C9310">
            <v>3008303</v>
          </cell>
          <cell r="D9310" t="str">
            <v>***BL GRIL.KAR.POK 600G VAC OK 3KG KT T</v>
          </cell>
        </row>
        <row r="9311">
          <cell r="C9311">
            <v>3008304</v>
          </cell>
          <cell r="D9311" t="str">
            <v>***BL GRIL.KAR.P600G VAC 3.6KG KT N</v>
          </cell>
        </row>
        <row r="9312">
          <cell r="C9312">
            <v>3008305</v>
          </cell>
          <cell r="D9312" t="str">
            <v>***BL GRIL.KAR.PLOK2,5KGVAC OK 10KG PJ T</v>
          </cell>
        </row>
        <row r="9313">
          <cell r="C9313">
            <v>3008306</v>
          </cell>
          <cell r="D9313" t="str">
            <v>***BLGRILKAR.PL.OK2,5KG VA OK 7,5KG KT C</v>
          </cell>
        </row>
        <row r="9314">
          <cell r="C9314">
            <v>3018142</v>
          </cell>
          <cell r="D9314" t="str">
            <v>***KARK.GRILL.RO CH</v>
          </cell>
        </row>
        <row r="9315">
          <cell r="C9315">
            <v>4012444</v>
          </cell>
          <cell r="D9315" t="str">
            <v>***KARK.GRILLOWY OK600G VAC RO MAKR</v>
          </cell>
        </row>
        <row r="9316">
          <cell r="C9316">
            <v>4012443</v>
          </cell>
          <cell r="D9316" t="str">
            <v>***KARK.GRILLOWY OK600G VAC RO REAL</v>
          </cell>
        </row>
        <row r="9317">
          <cell r="C9317">
            <v>4012442</v>
          </cell>
          <cell r="D9317" t="str">
            <v>***KARK.GRILLOWY OK600G VAC RO CARR</v>
          </cell>
        </row>
        <row r="9318">
          <cell r="C9318">
            <v>4012448</v>
          </cell>
          <cell r="D9318" t="str">
            <v>***KARK.GRILLOWY OK600G VAC RO TESC</v>
          </cell>
        </row>
        <row r="9319">
          <cell r="C9319">
            <v>4012447</v>
          </cell>
          <cell r="D9319" t="str">
            <v>***KARK.GRILLOWY 600G VAC RO NETTO</v>
          </cell>
        </row>
        <row r="9320">
          <cell r="C9320">
            <v>4012446</v>
          </cell>
          <cell r="D9320" t="str">
            <v>***KARK.GRILLOWY OK2.5KG VAC RO TESC</v>
          </cell>
        </row>
        <row r="9321">
          <cell r="C9321">
            <v>4012445</v>
          </cell>
          <cell r="D9321" t="str">
            <v>***KARK.GRILLOWY OK2.5KG VAC RO MAKR</v>
          </cell>
        </row>
        <row r="9322">
          <cell r="C9322">
            <v>4012449</v>
          </cell>
          <cell r="D9322" t="str">
            <v>***KARK.GRILLOWY OK2.5KG VAC RO CARR</v>
          </cell>
        </row>
        <row r="9323">
          <cell r="C9323">
            <v>4012436</v>
          </cell>
          <cell r="D9323" t="str">
            <v>***KARK.GRILLOWY OK600G VAC RO ECS</v>
          </cell>
        </row>
        <row r="9324">
          <cell r="C9324">
            <v>4012437</v>
          </cell>
          <cell r="D9324" t="str">
            <v>***KARK.GRILLOWY OK2.5KG VAC RO ECS</v>
          </cell>
        </row>
        <row r="9325">
          <cell r="C9325">
            <v>3016552</v>
          </cell>
          <cell r="D9325" t="str">
            <v>***GRIL.BOCZ.</v>
          </cell>
        </row>
        <row r="9326">
          <cell r="C9326">
            <v>4006937</v>
          </cell>
          <cell r="D9326" t="str">
            <v>***BOCZEK GRILLOWY OK600G VAC M</v>
          </cell>
        </row>
        <row r="9327">
          <cell r="C9327">
            <v>4006938</v>
          </cell>
          <cell r="D9327" t="str">
            <v>***BOCZEK GRILLOWY OK600G VAC R</v>
          </cell>
        </row>
        <row r="9328">
          <cell r="C9328">
            <v>4006939</v>
          </cell>
          <cell r="D9328" t="str">
            <v>***BOCZEK GRILLOWY OK600G VAC C</v>
          </cell>
        </row>
        <row r="9329">
          <cell r="C9329">
            <v>4006940</v>
          </cell>
          <cell r="D9329" t="str">
            <v>***BOCZEK GRILLOWY OK600G VAC T</v>
          </cell>
        </row>
        <row r="9330">
          <cell r="C9330">
            <v>4006941</v>
          </cell>
          <cell r="D9330" t="str">
            <v>***BOCZEK GRILLOWY 600G VAC N</v>
          </cell>
        </row>
        <row r="9331">
          <cell r="C9331">
            <v>4006942</v>
          </cell>
          <cell r="D9331" t="str">
            <v>***BOCZ.GRILLOWY OK2.5KG VAC OK5KG KT T</v>
          </cell>
        </row>
        <row r="9332">
          <cell r="C9332">
            <v>4006943</v>
          </cell>
          <cell r="D9332" t="str">
            <v>***BOCZ.GRILL.PL OK2.5KGVAC OK10KGKT MOR</v>
          </cell>
        </row>
        <row r="9333">
          <cell r="C9333">
            <v>4006944</v>
          </cell>
          <cell r="D9333" t="str">
            <v>***BOCZEK GRILLOWY OK2.5KG VAC C</v>
          </cell>
        </row>
        <row r="9334">
          <cell r="C9334">
            <v>4012435</v>
          </cell>
          <cell r="D9334" t="str">
            <v>***BOCZ.GRILLOWY OK600G VAC ECS</v>
          </cell>
        </row>
        <row r="9335">
          <cell r="C9335">
            <v>4012433</v>
          </cell>
          <cell r="D9335" t="str">
            <v>***BOCZ.GRILLOWY OK2.5KG VAC EC</v>
          </cell>
        </row>
        <row r="9336">
          <cell r="C9336">
            <v>4014003</v>
          </cell>
          <cell r="D9336" t="str">
            <v>***BOCZ.GRILL OK500G VAC OK6KG KT MOR</v>
          </cell>
        </row>
        <row r="9337">
          <cell r="C9337">
            <v>4014010</v>
          </cell>
          <cell r="D9337" t="str">
            <v>***BOCZ.GRILL OK500G VAC OK3KG KT TESC</v>
          </cell>
        </row>
        <row r="9338">
          <cell r="C9338">
            <v>4014011</v>
          </cell>
          <cell r="D9338" t="str">
            <v>***BOCZ.GRILL OK500GVAC 4KGKT MOR NETTO</v>
          </cell>
        </row>
        <row r="9339">
          <cell r="C9339">
            <v>4014183</v>
          </cell>
          <cell r="D9339" t="str">
            <v>***BOCZ.GRILL OK500G VAC OK6KG KT ECS</v>
          </cell>
        </row>
        <row r="9340">
          <cell r="C9340">
            <v>3008308</v>
          </cell>
          <cell r="D9340" t="str">
            <v>***BLGRIL.BOCZ.PLOK 600G VAC OK 5KG KT M</v>
          </cell>
        </row>
        <row r="9341">
          <cell r="C9341">
            <v>3008309</v>
          </cell>
          <cell r="D9341" t="str">
            <v>***BLGRIL.BOCZ.PLOK 600G VAC OK 5KG KT R</v>
          </cell>
        </row>
        <row r="9342">
          <cell r="C9342">
            <v>3008310</v>
          </cell>
          <cell r="D9342" t="str">
            <v>***BLGRIL.BOCZ.PLOK 600G VAC OK 5KG KT C</v>
          </cell>
        </row>
        <row r="9343">
          <cell r="C9343">
            <v>3008311</v>
          </cell>
          <cell r="D9343" t="str">
            <v>***BLGRIL.BOCZ.PLOK 600G VAC OK 5KG KT T</v>
          </cell>
        </row>
        <row r="9344">
          <cell r="C9344">
            <v>3008312</v>
          </cell>
          <cell r="D9344" t="str">
            <v>***BLGRIL.BOCZ.PL600G VAC 3.6KG KT N</v>
          </cell>
        </row>
        <row r="9345">
          <cell r="C9345">
            <v>3008313</v>
          </cell>
          <cell r="D9345" t="str">
            <v>***BLGR.BOCZ.POK 2,5KG VAC OK 10KG PJ T</v>
          </cell>
        </row>
        <row r="9346">
          <cell r="C9346">
            <v>3008314</v>
          </cell>
          <cell r="D9346" t="str">
            <v>***BLGR.BOCZPLOK 2,5KG VA OK 7,5KG KT C</v>
          </cell>
        </row>
        <row r="9347">
          <cell r="C9347">
            <v>4012419</v>
          </cell>
          <cell r="D9347" t="str">
            <v>***BOCZ.GRILLOWY OK600G VAC RO MAKR</v>
          </cell>
        </row>
        <row r="9348">
          <cell r="C9348">
            <v>4012418</v>
          </cell>
          <cell r="D9348" t="str">
            <v>***BOCZ.GRILLOWY OK600G VAC RO REAL</v>
          </cell>
        </row>
        <row r="9349">
          <cell r="C9349">
            <v>4012417</v>
          </cell>
          <cell r="D9349" t="str">
            <v>***BOCZ.GRILLOWY OK600G VAC RO CARR</v>
          </cell>
        </row>
        <row r="9350">
          <cell r="C9350">
            <v>4012416</v>
          </cell>
          <cell r="D9350" t="str">
            <v>***BOCZ.GRILLOWY OK600G VAC RO TESC</v>
          </cell>
        </row>
        <row r="9351">
          <cell r="C9351">
            <v>4012415</v>
          </cell>
          <cell r="D9351" t="str">
            <v>***BOCZ.GRILLOWY 600G VAC RO NETTO</v>
          </cell>
        </row>
        <row r="9352">
          <cell r="C9352">
            <v>4012414</v>
          </cell>
          <cell r="D9352" t="str">
            <v>***BOCZ.GRILLOWY OK2.5KG VAC RO TESC</v>
          </cell>
        </row>
        <row r="9353">
          <cell r="C9353">
            <v>4012412</v>
          </cell>
          <cell r="D9353" t="str">
            <v>***BOCZ.GRILLOWY OK2.5KG VAC RO MAKR</v>
          </cell>
        </row>
        <row r="9354">
          <cell r="C9354">
            <v>4012411</v>
          </cell>
          <cell r="D9354" t="str">
            <v>***BOCZ.GRILLOWY OK2.5KG VAC RO CARR</v>
          </cell>
        </row>
        <row r="9355">
          <cell r="C9355">
            <v>4012434</v>
          </cell>
          <cell r="D9355" t="str">
            <v>***BOCZ.GRILLOWY OK600G VAC RO ECS</v>
          </cell>
        </row>
        <row r="9356">
          <cell r="C9356">
            <v>4012432</v>
          </cell>
          <cell r="D9356" t="str">
            <v>***BOCZ.GRILLOWY OK2.5KG VAC RO ECS</v>
          </cell>
        </row>
        <row r="9357">
          <cell r="C9357">
            <v>3014760</v>
          </cell>
          <cell r="D9357" t="str">
            <v>***STEK Z KARK.GRILL W MARYN.CLASSIC</v>
          </cell>
        </row>
        <row r="9358">
          <cell r="C9358">
            <v>4010890</v>
          </cell>
          <cell r="D9358" t="str">
            <v>***STEK Z/KARK.GRILL BARBECOK2KGVAC KT K</v>
          </cell>
        </row>
        <row r="9359">
          <cell r="C9359">
            <v>3008860</v>
          </cell>
          <cell r="D9359" t="str">
            <v>***BS KIEŁB. WIOSENNA</v>
          </cell>
        </row>
        <row r="9360">
          <cell r="C9360">
            <v>4006981</v>
          </cell>
          <cell r="D9360" t="str">
            <v>***KIEŁB.WIOSENNA OK.800G MAP K</v>
          </cell>
        </row>
        <row r="9361">
          <cell r="C9361">
            <v>3008315</v>
          </cell>
          <cell r="D9361" t="str">
            <v>***KIEŁB.WŁOSKA</v>
          </cell>
        </row>
        <row r="9362">
          <cell r="C9362">
            <v>4006982</v>
          </cell>
          <cell r="D9362" t="str">
            <v>***KIEŁB.WŁOSKA OK.800G MAP K</v>
          </cell>
        </row>
        <row r="9363">
          <cell r="C9363">
            <v>3016553</v>
          </cell>
          <cell r="D9363" t="str">
            <v>***KIEŁB.BIAŁA SUROWA MORL</v>
          </cell>
        </row>
        <row r="9364">
          <cell r="C9364">
            <v>4013636</v>
          </cell>
          <cell r="D9364" t="str">
            <v>***KIEŁB.BIAŁA SUROWA LUZ PJ MR</v>
          </cell>
        </row>
        <row r="9365">
          <cell r="C9365">
            <v>4006983</v>
          </cell>
          <cell r="D9365" t="str">
            <v>***KIEŁB.BIAŁA SUROWA OK900G MAP</v>
          </cell>
        </row>
        <row r="9366">
          <cell r="C9366">
            <v>4006984</v>
          </cell>
          <cell r="D9366" t="str">
            <v>***KIEŁB.BIAŁA SUR.OK1KGMAP OK4KGKT MAKR</v>
          </cell>
        </row>
        <row r="9367">
          <cell r="C9367">
            <v>4006985</v>
          </cell>
          <cell r="D9367" t="str">
            <v>***KIEŁB.BIAŁA SUR.OK500GMAPOK4KGKT AUCH</v>
          </cell>
        </row>
        <row r="9368">
          <cell r="C9368">
            <v>4009933</v>
          </cell>
          <cell r="D9368" t="str">
            <v>***K.BIAŁA SUROWA OK.500G MAP OK4KGKT</v>
          </cell>
        </row>
        <row r="9369">
          <cell r="C9369">
            <v>4010936</v>
          </cell>
          <cell r="D9369" t="str">
            <v>***KIEŁB.BIAŁA SUR.OK1KG MAP OK.4KG KT M</v>
          </cell>
        </row>
        <row r="9370">
          <cell r="C9370">
            <v>4015938</v>
          </cell>
          <cell r="D9370" t="str">
            <v>***KIEŁB.BIAŁA SUROWA OK500GMAP OK3KG KT</v>
          </cell>
        </row>
        <row r="9371">
          <cell r="C9371">
            <v>3020088</v>
          </cell>
          <cell r="D9371" t="str">
            <v>***KIEŁB.BIAŁA SUROWA LUZ PJ DMR</v>
          </cell>
        </row>
        <row r="9372">
          <cell r="C9372">
            <v>3016701</v>
          </cell>
          <cell r="D9372" t="str">
            <v>***STEK Z KAR. CEBULOWY</v>
          </cell>
        </row>
        <row r="9373">
          <cell r="C9373">
            <v>3008861</v>
          </cell>
          <cell r="D9373" t="str">
            <v>***BL STEK Z KAR. CECULOWY OK.2KG VAC K</v>
          </cell>
        </row>
        <row r="9374">
          <cell r="C9374">
            <v>3008317</v>
          </cell>
          <cell r="D9374" t="str">
            <v>***KULKI WP.</v>
          </cell>
        </row>
        <row r="9375">
          <cell r="C9375">
            <v>4007569</v>
          </cell>
          <cell r="D9375" t="str">
            <v>***KULKI WP.290G MAP</v>
          </cell>
        </row>
        <row r="9376">
          <cell r="C9376">
            <v>4007570</v>
          </cell>
          <cell r="D9376" t="str">
            <v>***KULKI WP.290G MAP N</v>
          </cell>
        </row>
        <row r="9377">
          <cell r="C9377">
            <v>3008767</v>
          </cell>
          <cell r="D9377" t="str">
            <v>***MAR.SZYN.OPRÓSZ.</v>
          </cell>
        </row>
        <row r="9378">
          <cell r="C9378">
            <v>4008197</v>
          </cell>
          <cell r="D9378" t="str">
            <v>***SZYN.OPRÓSZ.PŁAT.CZOS.VACOK5KG KT KRA</v>
          </cell>
        </row>
        <row r="9379">
          <cell r="C9379">
            <v>4008196</v>
          </cell>
          <cell r="D9379" t="str">
            <v>***SZYN.OPRÓSZ.PŁAT.CZOS.VACOK5KGKTKRA M</v>
          </cell>
        </row>
        <row r="9380">
          <cell r="C9380">
            <v>4008195</v>
          </cell>
          <cell r="D9380" t="str">
            <v>***SZYN.OPRÓSZ.PŁAT.CZOS.VACOK5KGKT RA R</v>
          </cell>
        </row>
        <row r="9381">
          <cell r="C9381">
            <v>4008198</v>
          </cell>
          <cell r="D9381" t="str">
            <v>***SZYN.OPRÓSZ.PŁAT.CZOS.VACOK5KGKTKRA T</v>
          </cell>
        </row>
        <row r="9382">
          <cell r="C9382">
            <v>3008766</v>
          </cell>
          <cell r="D9382" t="str">
            <v>***MAR.KARK.OPRÓSZ.</v>
          </cell>
        </row>
        <row r="9383">
          <cell r="C9383">
            <v>4008211</v>
          </cell>
          <cell r="D9383" t="str">
            <v>***KARK.OPRÓSZ.MAJERAN.VAC OK5KG KT KRA</v>
          </cell>
        </row>
        <row r="9384">
          <cell r="C9384">
            <v>4008210</v>
          </cell>
          <cell r="D9384" t="str">
            <v>***KARK.OPRÓSZ.MAJERAN.VACOK5KGKTKRA M</v>
          </cell>
        </row>
        <row r="9385">
          <cell r="C9385">
            <v>4008199</v>
          </cell>
          <cell r="D9385" t="str">
            <v>***KARK.OPRÓSZ.MAJERAN.VAC OK5KGKT KRA R</v>
          </cell>
        </row>
        <row r="9386">
          <cell r="C9386">
            <v>4008212</v>
          </cell>
          <cell r="D9386" t="str">
            <v>***KARK.OPRÓSZ.MAJERAN.VACOK5KG KT KRA T</v>
          </cell>
        </row>
        <row r="9387">
          <cell r="C9387">
            <v>4008227</v>
          </cell>
          <cell r="D9387" t="str">
            <v>***KARK.OPRÓSZ.MAJERAN.VAC OK5KGKT KRA A</v>
          </cell>
        </row>
        <row r="9388">
          <cell r="C9388">
            <v>3008768</v>
          </cell>
          <cell r="D9388" t="str">
            <v>***MAR.SCHAB.OPRÓSZ.</v>
          </cell>
        </row>
        <row r="9389">
          <cell r="C9389">
            <v>4008214</v>
          </cell>
          <cell r="D9389" t="str">
            <v>***SCHAB OPRÓSZ.PŁAT.CZOS.VAC OK5KGKTKRA</v>
          </cell>
        </row>
        <row r="9390">
          <cell r="C9390">
            <v>4008213</v>
          </cell>
          <cell r="D9390" t="str">
            <v>***SCHAB OPRÓSZ.PŁAT.CZOS.VACOK5KGKTKRAM</v>
          </cell>
        </row>
        <row r="9391">
          <cell r="C9391">
            <v>4008215</v>
          </cell>
          <cell r="D9391" t="str">
            <v>***SCHAB.OPRÓSZ.PŁAT.CZOS.VACOK5KGKTKRAR</v>
          </cell>
        </row>
        <row r="9392">
          <cell r="C9392">
            <v>4008194</v>
          </cell>
          <cell r="D9392" t="str">
            <v>***SCH.OPRÓSZ.PŁAT.CZOS.VAC OK5KGKT KRAT</v>
          </cell>
        </row>
        <row r="9393">
          <cell r="C9393">
            <v>4008225</v>
          </cell>
          <cell r="D9393" t="str">
            <v>***SCHAB OPRÓSZ.PŁAT.CZOS.VACOK5KGKTKRAA</v>
          </cell>
        </row>
        <row r="9394">
          <cell r="C9394">
            <v>4008571</v>
          </cell>
          <cell r="D9394" t="str">
            <v>***SCH.OPRÓSZ.PŁAT.CZOS.VAC4SZTKTKRANETT</v>
          </cell>
        </row>
        <row r="9395">
          <cell r="C9395">
            <v>4008654</v>
          </cell>
          <cell r="D9395" t="str">
            <v>***SCH.OPRÓSZ.PŁAT.CZOS.VAC 5KGKTKRAKAUF</v>
          </cell>
        </row>
        <row r="9396">
          <cell r="C9396">
            <v>3009362</v>
          </cell>
          <cell r="D9396" t="str">
            <v>***BL SCHAB OPRÓSZ.PŁAT.CZOS.VAC</v>
          </cell>
        </row>
        <row r="9397">
          <cell r="C9397">
            <v>3008765</v>
          </cell>
          <cell r="D9397" t="str">
            <v>***MAR.BOCZ.OPRÓSZ.</v>
          </cell>
        </row>
        <row r="9398">
          <cell r="C9398">
            <v>4008219</v>
          </cell>
          <cell r="D9398" t="str">
            <v>***BOCZ.OPRÓSZ.KOL.PIEPRZ.VACOK5KGKT KRA</v>
          </cell>
        </row>
        <row r="9399">
          <cell r="C9399">
            <v>4008218</v>
          </cell>
          <cell r="D9399" t="str">
            <v>***BOCZ.OPRÓSZ.KOL.PIEPRZ.VACOK5KGKTKRAM</v>
          </cell>
        </row>
        <row r="9400">
          <cell r="C9400">
            <v>4008217</v>
          </cell>
          <cell r="D9400" t="str">
            <v>***BOCZ.OPRÓSZ.KOL.PIEPRZ.VACOK5KGKTKRAR</v>
          </cell>
        </row>
        <row r="9401">
          <cell r="C9401">
            <v>4008216</v>
          </cell>
          <cell r="D9401" t="str">
            <v>***BOCZ.OPRÓSZ.KOL.PIEPRZ.VACOK5KGKTKRAT</v>
          </cell>
        </row>
        <row r="9402">
          <cell r="C9402">
            <v>4008224</v>
          </cell>
          <cell r="D9402" t="str">
            <v>***BOCZ.OPRÓSZ.KOL.PIEPRZ.VAC4KG KTKRA N</v>
          </cell>
        </row>
        <row r="9403">
          <cell r="C9403">
            <v>3016709</v>
          </cell>
          <cell r="D9403" t="str">
            <v>***M-SO WP. GARMAŻ.</v>
          </cell>
        </row>
        <row r="9404">
          <cell r="C9404">
            <v>4008440</v>
          </cell>
          <cell r="D9404" t="str">
            <v>***M-SO WP.GARM. 500G MAP LIDL SŁO</v>
          </cell>
        </row>
        <row r="9405">
          <cell r="C9405">
            <v>4008429</v>
          </cell>
          <cell r="D9405" t="str">
            <v>***M-SO WP.GARM. 500G MAP LIDL CZ</v>
          </cell>
        </row>
        <row r="9406">
          <cell r="C9406">
            <v>3016715</v>
          </cell>
          <cell r="D9406" t="str">
            <v>***M-SO WP.-WŁ. GARM.</v>
          </cell>
        </row>
        <row r="9407">
          <cell r="C9407">
            <v>4008428</v>
          </cell>
          <cell r="D9407" t="str">
            <v>***M-SOWP.WŁ.GARM.500GMAP LIDL SŁO.</v>
          </cell>
        </row>
        <row r="9408">
          <cell r="C9408">
            <v>4008439</v>
          </cell>
          <cell r="D9408" t="str">
            <v>***M-SO WP.-WŁ. GARM. 500G MAP LIDL CZ</v>
          </cell>
        </row>
        <row r="9409">
          <cell r="C9409">
            <v>3017181</v>
          </cell>
          <cell r="D9409" t="str">
            <v>***BOCZ.DO PIECZENIA MARYN.</v>
          </cell>
        </row>
        <row r="9410">
          <cell r="C9410">
            <v>4009541</v>
          </cell>
          <cell r="D9410" t="str">
            <v>***BOCZ.DO PIECZENIA VAC 4KG KT NETTO</v>
          </cell>
        </row>
        <row r="9411">
          <cell r="C9411">
            <v>4009659</v>
          </cell>
          <cell r="D9411" t="str">
            <v>***BOCZ.DO PIECZENIA VAC OK.5KG KT</v>
          </cell>
        </row>
        <row r="9412">
          <cell r="C9412">
            <v>4009660</v>
          </cell>
          <cell r="D9412" t="str">
            <v>***BOCZ.GOTOWY DO PIECZ.OK5KGVAC KT TESC</v>
          </cell>
        </row>
        <row r="9413">
          <cell r="C9413">
            <v>4009666</v>
          </cell>
          <cell r="D9413" t="str">
            <v>***BOCZ.DO PIECZENIA VAC OK 5KG KT K</v>
          </cell>
        </row>
        <row r="9414">
          <cell r="C9414">
            <v>4009682</v>
          </cell>
          <cell r="D9414" t="str">
            <v>***BOCZ.DO PIECZENIA VAC OK.5KG KT R.M.</v>
          </cell>
        </row>
        <row r="9415">
          <cell r="C9415">
            <v>4009907</v>
          </cell>
          <cell r="D9415" t="str">
            <v>***BOCZ.DO PIECZENIA VAC OK.5KG KT JMP</v>
          </cell>
        </row>
        <row r="9416">
          <cell r="C9416">
            <v>4012229</v>
          </cell>
          <cell r="D9416" t="str">
            <v>***BOCZ.DO PIECZENIA VAC OK5KG KT EC</v>
          </cell>
        </row>
        <row r="9417">
          <cell r="C9417">
            <v>3017016</v>
          </cell>
          <cell r="D9417" t="str">
            <v>***BOCZ. DO PIECZENIA VAC MR ST</v>
          </cell>
        </row>
        <row r="9418">
          <cell r="C9418">
            <v>3017015</v>
          </cell>
          <cell r="D9418" t="str">
            <v>***BOCZ.DO PIECZENIA VAC DMR</v>
          </cell>
        </row>
        <row r="9419">
          <cell r="C9419">
            <v>3017017</v>
          </cell>
          <cell r="D9419" t="str">
            <v>***BOCZ.DO PIECZENIA VAC RO</v>
          </cell>
        </row>
        <row r="9420">
          <cell r="C9420">
            <v>3017182</v>
          </cell>
          <cell r="D9420" t="str">
            <v>***SCH.ZE ŚLIW.DO PIECZENIA MARYN.</v>
          </cell>
        </row>
        <row r="9421">
          <cell r="C9421">
            <v>4009542</v>
          </cell>
          <cell r="D9421" t="str">
            <v>***SCH.ZE ŚLIW.DO PIECZ.VAC 4KG KT N.A.</v>
          </cell>
        </row>
        <row r="9422">
          <cell r="C9422">
            <v>4009658</v>
          </cell>
          <cell r="D9422" t="str">
            <v>***SCH.ZE ŚLIW.DO PIECZENIA VAC OK5KG KT</v>
          </cell>
        </row>
        <row r="9423">
          <cell r="C9423">
            <v>4009657</v>
          </cell>
          <cell r="D9423" t="str">
            <v>***SCH.ZE ŚLIW.DO PIECZ.OK5KGVAC KT TESC</v>
          </cell>
        </row>
        <row r="9424">
          <cell r="C9424">
            <v>4009665</v>
          </cell>
          <cell r="D9424" t="str">
            <v>***SCH.ZE ŚLIW.DO PIECZ.VAC OK.5KG KT K</v>
          </cell>
        </row>
        <row r="9425">
          <cell r="C9425">
            <v>4009680</v>
          </cell>
          <cell r="D9425" t="str">
            <v>***SCH.ZE ŚLIW.DO PIECZ.VAC OK.5KG KT R</v>
          </cell>
        </row>
        <row r="9426">
          <cell r="C9426">
            <v>4009903</v>
          </cell>
          <cell r="D9426" t="str">
            <v>***SCH.ZE ŚLIW.DO PIECZ.VAC OK4KG KTJMP</v>
          </cell>
        </row>
        <row r="9427">
          <cell r="C9427">
            <v>4012241</v>
          </cell>
          <cell r="D9427" t="str">
            <v>***SCH.ZE ŚLIW.DO PIECZ.VAC OK5KGKT EC</v>
          </cell>
        </row>
        <row r="9428">
          <cell r="C9428">
            <v>3017010</v>
          </cell>
          <cell r="D9428" t="str">
            <v>***SCHAB ZE ŚLIWKĄ DO PIECZ.VAC MR ST</v>
          </cell>
        </row>
        <row r="9429">
          <cell r="C9429">
            <v>3017014</v>
          </cell>
          <cell r="D9429" t="str">
            <v>***SCH.ZE ŚLIWKĄ DO PIECZENIA VAC DMR</v>
          </cell>
        </row>
        <row r="9430">
          <cell r="C9430">
            <v>3017006</v>
          </cell>
          <cell r="D9430" t="str">
            <v>***SCH.ZE ŚLIWKĄ DO PIECZENIA VAC RO</v>
          </cell>
        </row>
        <row r="9431">
          <cell r="C9431">
            <v>4008491</v>
          </cell>
          <cell r="D9431" t="str">
            <v>***SCH.GARM.PEKL.10% VAC KT CH ROS</v>
          </cell>
        </row>
        <row r="9432">
          <cell r="C9432">
            <v>4008431</v>
          </cell>
          <cell r="D9432" t="str">
            <v>***SCH.GARM. PEKL.10% VAC KT MR ROS</v>
          </cell>
        </row>
        <row r="9433">
          <cell r="C9433">
            <v>3009144</v>
          </cell>
          <cell r="D9433" t="str">
            <v>***SCH.GARM.PEKL.10% VAC DMR</v>
          </cell>
        </row>
        <row r="9434">
          <cell r="C9434">
            <v>4008492</v>
          </cell>
          <cell r="D9434" t="str">
            <v>***SZYN.4D PEKL.10% VAC KT CH ROS</v>
          </cell>
        </row>
        <row r="9435">
          <cell r="C9435">
            <v>4008434</v>
          </cell>
          <cell r="D9435" t="str">
            <v>***SZYN.4D PEKL.10% VAC KT MR ROS</v>
          </cell>
        </row>
        <row r="9436">
          <cell r="C9436">
            <v>3009143</v>
          </cell>
          <cell r="D9436" t="str">
            <v>***SZYN.4D PEKL.10% VAC DMR</v>
          </cell>
        </row>
        <row r="9437">
          <cell r="C9437">
            <v>4008493</v>
          </cell>
          <cell r="D9437" t="str">
            <v>***ŁOP. 3D PEKL.10% VAC KT CH ROS</v>
          </cell>
        </row>
        <row r="9438">
          <cell r="C9438">
            <v>4008433</v>
          </cell>
          <cell r="D9438" t="str">
            <v>***ŁOP. 3D PEKL.10% VAC KT MR ROS</v>
          </cell>
        </row>
        <row r="9439">
          <cell r="C9439">
            <v>3009142</v>
          </cell>
          <cell r="D9439" t="str">
            <v>***ŁOP. 3D PEKL.10% VAC DMR</v>
          </cell>
        </row>
        <row r="9440">
          <cell r="C9440">
            <v>4008494</v>
          </cell>
          <cell r="D9440" t="str">
            <v>***KARK.B/K Z/KOR. PEKL.10%VAC KT CH ROS</v>
          </cell>
        </row>
        <row r="9441">
          <cell r="C9441">
            <v>4008432</v>
          </cell>
          <cell r="D9441" t="str">
            <v>***KARK.B/K.Z/KOR.PEKL.10% VAC KT MR ROS</v>
          </cell>
        </row>
        <row r="9442">
          <cell r="C9442">
            <v>3009148</v>
          </cell>
          <cell r="D9442" t="str">
            <v>***KARK.B/K Z/KOR. PEKL.10% VAC DMR</v>
          </cell>
        </row>
        <row r="9443">
          <cell r="C9443">
            <v>3017183</v>
          </cell>
          <cell r="D9443" t="str">
            <v>***KARK.DO PIECZENIA MARYN.</v>
          </cell>
        </row>
        <row r="9444">
          <cell r="C9444">
            <v>4009664</v>
          </cell>
          <cell r="D9444" t="str">
            <v>***KARK.DO PIECZENIA VAC 4KG KT</v>
          </cell>
        </row>
        <row r="9445">
          <cell r="C9445">
            <v>4009656</v>
          </cell>
          <cell r="D9445" t="str">
            <v>***KARK.DO PIECZENIA VAC OK.5KG KT</v>
          </cell>
        </row>
        <row r="9446">
          <cell r="C9446">
            <v>4009655</v>
          </cell>
          <cell r="D9446" t="str">
            <v>***KARK.DO PIECZ. OK5KG VAC KT TESC</v>
          </cell>
        </row>
        <row r="9447">
          <cell r="C9447">
            <v>4009667</v>
          </cell>
          <cell r="D9447" t="str">
            <v>***KARK.DO PIECZENIA VAC OK.5KG KT K</v>
          </cell>
        </row>
        <row r="9448">
          <cell r="C9448">
            <v>4009681</v>
          </cell>
          <cell r="D9448" t="str">
            <v>***KARK.DO PIECZENIA VAC OK.5KG KT R.M.</v>
          </cell>
        </row>
        <row r="9449">
          <cell r="C9449">
            <v>4009906</v>
          </cell>
          <cell r="D9449" t="str">
            <v>***KARK.DO PIECZENIA VAC OK4KG KT JMP</v>
          </cell>
        </row>
        <row r="9450">
          <cell r="C9450">
            <v>4012240</v>
          </cell>
          <cell r="D9450" t="str">
            <v>***KARK.DO PIECZENIA VAC OK5KG KT EC</v>
          </cell>
        </row>
        <row r="9451">
          <cell r="C9451">
            <v>3017009</v>
          </cell>
          <cell r="D9451" t="str">
            <v>***KARK. DO PIECZENIA VAC MR ST</v>
          </cell>
        </row>
        <row r="9452">
          <cell r="C9452">
            <v>3017013</v>
          </cell>
          <cell r="D9452" t="str">
            <v>***KARK.DO PIECZENIA VAC DMR</v>
          </cell>
        </row>
        <row r="9453">
          <cell r="C9453">
            <v>3017005</v>
          </cell>
          <cell r="D9453" t="str">
            <v>***KARK.DO PIECZENIA VAC RO</v>
          </cell>
        </row>
        <row r="9454">
          <cell r="C9454">
            <v>3017180</v>
          </cell>
          <cell r="D9454" t="str">
            <v>***SZYN.DO PIECZENIA MARYN.</v>
          </cell>
        </row>
        <row r="9455">
          <cell r="C9455">
            <v>4009654</v>
          </cell>
          <cell r="D9455" t="str">
            <v>***SZYN.DO PIECZENIA VAC OK.5KG KT</v>
          </cell>
        </row>
        <row r="9456">
          <cell r="C9456">
            <v>4009653</v>
          </cell>
          <cell r="D9456" t="str">
            <v>***SZYNKA DO PIECZ.OK5KG VAC KT TESC</v>
          </cell>
        </row>
        <row r="9457">
          <cell r="C9457">
            <v>4009669</v>
          </cell>
          <cell r="D9457" t="str">
            <v>***SZYN.DO PIECZENIA VAC OK.5KG KT R.M.</v>
          </cell>
        </row>
        <row r="9458">
          <cell r="C9458">
            <v>4009902</v>
          </cell>
          <cell r="D9458" t="str">
            <v>***SZYN.DO PIECZENIA VAC OK3KG KT JMP</v>
          </cell>
        </row>
        <row r="9459">
          <cell r="C9459">
            <v>4012242</v>
          </cell>
          <cell r="D9459" t="str">
            <v>***SZYN.DO PIECZENIA VAC OK5KGKT EC</v>
          </cell>
        </row>
        <row r="9460">
          <cell r="C9460">
            <v>3017008</v>
          </cell>
          <cell r="D9460" t="str">
            <v>***SZYN.DO PIECZENIA VAC MR ST</v>
          </cell>
        </row>
        <row r="9461">
          <cell r="C9461">
            <v>3017012</v>
          </cell>
          <cell r="D9461" t="str">
            <v>***SZYN.DO PIECZENIA VAC DMR</v>
          </cell>
        </row>
        <row r="9462">
          <cell r="C9462">
            <v>3017004</v>
          </cell>
          <cell r="D9462" t="str">
            <v>***SZYN.DO PIECZENIA VAC RO</v>
          </cell>
        </row>
        <row r="9463">
          <cell r="C9463">
            <v>3016797</v>
          </cell>
          <cell r="D9463" t="str">
            <v>M-SO WP. MIELONE GARMAŻERYJNE</v>
          </cell>
        </row>
        <row r="9464">
          <cell r="C9464">
            <v>3026207</v>
          </cell>
          <cell r="D9464" t="str">
            <v>***SUR.MIĘSNE DO PROD.MIĘSA 5658</v>
          </cell>
        </row>
        <row r="9465">
          <cell r="C9465">
            <v>4009767</v>
          </cell>
          <cell r="D9465" t="str">
            <v>***M-SO WP.GARM.500GMAP 6KGKT LIDL</v>
          </cell>
        </row>
        <row r="9466">
          <cell r="C9466">
            <v>4011105</v>
          </cell>
          <cell r="D9466" t="str">
            <v>***M-SO WP.GARM.500G MAP 12ST KT EC</v>
          </cell>
        </row>
        <row r="9467">
          <cell r="C9467">
            <v>4016965</v>
          </cell>
          <cell r="D9467" t="str">
            <v>***M-SO WP.GARMAŻ.500GMAP 6KGKT LIDL LT</v>
          </cell>
        </row>
        <row r="9468">
          <cell r="C9468">
            <v>3027470</v>
          </cell>
          <cell r="D9468" t="str">
            <v>***SUR.MIĘSNE DO PROD.MIĘSA 5658 OKT ST</v>
          </cell>
        </row>
        <row r="9469">
          <cell r="C9469">
            <v>3026208</v>
          </cell>
          <cell r="D9469" t="str">
            <v>***SUR.MIĘSNE DO PROD.MIĘSA 5658 PBX ST</v>
          </cell>
        </row>
        <row r="9470">
          <cell r="C9470">
            <v>4011071</v>
          </cell>
          <cell r="D9470" t="str">
            <v>***ŻEB. DO PIECZ.1ST VAC OK 2KG KT JMP</v>
          </cell>
        </row>
        <row r="9471">
          <cell r="C9471">
            <v>3017007</v>
          </cell>
          <cell r="D9471" t="str">
            <v>***ŻEBERKA DO PIECZENIA VAC MR ST</v>
          </cell>
        </row>
        <row r="9472">
          <cell r="C9472">
            <v>3017011</v>
          </cell>
          <cell r="D9472" t="str">
            <v>***ŻEBERKA DO PIECZENIA VAC DMR</v>
          </cell>
        </row>
        <row r="9473">
          <cell r="C9473">
            <v>3017003</v>
          </cell>
          <cell r="D9473" t="str">
            <v>***ŻEBERKA DO PIECZENIA VAC RO</v>
          </cell>
        </row>
        <row r="9474">
          <cell r="C9474">
            <v>4011055</v>
          </cell>
          <cell r="D9474" t="str">
            <v>***MARYN.MIX KARK-SCH.1STVAC OK4KGKT JMP</v>
          </cell>
        </row>
        <row r="9475">
          <cell r="C9475">
            <v>4011054</v>
          </cell>
          <cell r="D9475" t="str">
            <v>***MARYN.MIXSZYN-BOCZ 1STVAC OK4KGKT JMP</v>
          </cell>
        </row>
        <row r="9476">
          <cell r="C9476">
            <v>3016888</v>
          </cell>
          <cell r="D9476" t="str">
            <v>***KARK.DO WĘDZ.</v>
          </cell>
        </row>
        <row r="9477">
          <cell r="C9477">
            <v>4011149</v>
          </cell>
          <cell r="D9477" t="str">
            <v>***KARK.DO WĘDZ.1ST TRM OK.5KG KT MAK.</v>
          </cell>
        </row>
        <row r="9478">
          <cell r="C9478">
            <v>3016887</v>
          </cell>
          <cell r="D9478" t="str">
            <v>***BOCZ.DO WĘDZ.</v>
          </cell>
        </row>
        <row r="9479">
          <cell r="C9479">
            <v>4011151</v>
          </cell>
          <cell r="D9479" t="str">
            <v>***BOCZ.DO WĘDZ.1ST TRM OK.5KG KT MAK.</v>
          </cell>
        </row>
        <row r="9480">
          <cell r="C9480">
            <v>3016886</v>
          </cell>
          <cell r="D9480" t="str">
            <v>***SZYN.DO WĘDZ.</v>
          </cell>
        </row>
        <row r="9481">
          <cell r="C9481">
            <v>4011148</v>
          </cell>
          <cell r="D9481" t="str">
            <v>***SZYN.DO WĘDZ.1ST TRM OK.5KG KT MAK.</v>
          </cell>
        </row>
        <row r="9482">
          <cell r="C9482">
            <v>3016885</v>
          </cell>
          <cell r="D9482" t="str">
            <v>***SCH.DO WĘDZ.</v>
          </cell>
        </row>
        <row r="9483">
          <cell r="C9483">
            <v>4011150</v>
          </cell>
          <cell r="D9483" t="str">
            <v>***SCH.DO WĘDZ.1/2ST TRM OK.5KG KT MAK.</v>
          </cell>
        </row>
        <row r="9484">
          <cell r="C9484">
            <v>3018041</v>
          </cell>
          <cell r="D9484" t="str">
            <v>***ŻEB.GRILL.MAR.CHILLI PEKL.</v>
          </cell>
        </row>
        <row r="9485">
          <cell r="C9485">
            <v>4012379</v>
          </cell>
          <cell r="D9485" t="str">
            <v>***ŻEB.GRILL MAR.CHILLI OK2KGVAC KT KAUF</v>
          </cell>
        </row>
        <row r="9486">
          <cell r="C9486">
            <v>4014066</v>
          </cell>
          <cell r="D9486" t="str">
            <v>***ZESTAW GRILL OK700GMAP OK2.8KGKT JMP</v>
          </cell>
        </row>
        <row r="9487">
          <cell r="C9487">
            <v>3025704</v>
          </cell>
          <cell r="D9487" t="str">
            <v>***ZESTAW GRILL.OK700GMAP BL BIED</v>
          </cell>
        </row>
        <row r="9488">
          <cell r="C9488">
            <v>3022605</v>
          </cell>
          <cell r="D9488" t="str">
            <v>***BOCZ.B/K.GRILL.MAR.RED GAR.PEKL.</v>
          </cell>
        </row>
        <row r="9489">
          <cell r="C9489">
            <v>3022786</v>
          </cell>
          <cell r="D9489" t="str">
            <v>***SZYN.DO PIECZ.MARYN.JMP</v>
          </cell>
        </row>
        <row r="9490">
          <cell r="C9490">
            <v>4015038</v>
          </cell>
          <cell r="D9490" t="str">
            <v>***SZYN.DO PIECZ.OK1KGVAC OK4KGKT JMP</v>
          </cell>
        </row>
        <row r="9491">
          <cell r="C9491">
            <v>4015784</v>
          </cell>
          <cell r="D9491" t="str">
            <v>***SZYN.DO PIECZ.OK1KG VAC OK2KG KT JMP</v>
          </cell>
        </row>
        <row r="9492">
          <cell r="C9492">
            <v>3022787</v>
          </cell>
          <cell r="D9492" t="str">
            <v>***KARCZEK DO PIECZ.MARYN.JMP</v>
          </cell>
        </row>
        <row r="9493">
          <cell r="C9493">
            <v>4015050</v>
          </cell>
          <cell r="D9493" t="str">
            <v>***KARCZ.DO PIECZ.OK0.9KGVAC OK4KGKT JMP</v>
          </cell>
        </row>
        <row r="9494">
          <cell r="C9494">
            <v>4015682</v>
          </cell>
          <cell r="D9494" t="str">
            <v>***KARCZEK DO PIECZ.OK0.9KGVACOK2KGKTJMP</v>
          </cell>
        </row>
        <row r="9495">
          <cell r="C9495">
            <v>3022747</v>
          </cell>
          <cell r="D9495" t="str">
            <v>***SCH.ZE ŚLIWKĄ DO PIECZ.MARYN.JMP</v>
          </cell>
        </row>
        <row r="9496">
          <cell r="C9496">
            <v>4015051</v>
          </cell>
          <cell r="D9496" t="str">
            <v>***SCH.ZE ŚL.DO PIECZ.OK1KGVACOK4KGKTJMP</v>
          </cell>
        </row>
        <row r="9497">
          <cell r="C9497">
            <v>4015780</v>
          </cell>
          <cell r="D9497" t="str">
            <v>***SCH.ZE ŚL.DO PIECZ.OK1KGVACOK2KGKTJMP</v>
          </cell>
        </row>
        <row r="9498">
          <cell r="C9498">
            <v>4015925</v>
          </cell>
          <cell r="D9498" t="str">
            <v>***BOCZ.DO PIECZ.OK1KG VAC OK4KG KT JMP</v>
          </cell>
        </row>
        <row r="9499">
          <cell r="C9499">
            <v>3030242</v>
          </cell>
          <cell r="D9499" t="str">
            <v>***KIEŁB.MORLIŃSKA Z BOCZ.FARSZ I</v>
          </cell>
        </row>
        <row r="9500">
          <cell r="C9500">
            <v>3030445</v>
          </cell>
          <cell r="D9500" t="str">
            <v>FRANKI BIAŁE FARSZ</v>
          </cell>
        </row>
        <row r="9501">
          <cell r="C9501">
            <v>3030466</v>
          </cell>
          <cell r="D9501" t="str">
            <v>***FRANKI DROB.FARSZ</v>
          </cell>
        </row>
        <row r="9502">
          <cell r="C9502">
            <v>3030722</v>
          </cell>
          <cell r="D9502" t="str">
            <v>KIEŁB.PIEPRZOWE FARSZ</v>
          </cell>
        </row>
        <row r="9503">
          <cell r="C9503">
            <v>3015381</v>
          </cell>
          <cell r="D9503" t="str">
            <v>ŻEB.MOST.Z/CH.B/MP.PEKL.</v>
          </cell>
        </row>
        <row r="9504">
          <cell r="C9504">
            <v>3030950</v>
          </cell>
          <cell r="D9504" t="str">
            <v>***KIEŁB.CODZIENNA FARSZ</v>
          </cell>
        </row>
        <row r="9505">
          <cell r="C9505">
            <v>3030867</v>
          </cell>
          <cell r="D9505" t="str">
            <v>***KIEŁB.ŚLĄSKA Z SZYN.FARSZ BIED</v>
          </cell>
        </row>
        <row r="9506">
          <cell r="C9506">
            <v>3030919</v>
          </cell>
          <cell r="D9506" t="str">
            <v>KIEŁB.ŚLĄSKA 90% FARSZ LIDL KRAJ</v>
          </cell>
        </row>
        <row r="9507">
          <cell r="C9507">
            <v>3031554</v>
          </cell>
          <cell r="D9507" t="str">
            <v>KIEŁB.ŚLĄSKA FARSZ LIDL EX</v>
          </cell>
        </row>
        <row r="9508">
          <cell r="C9508">
            <v>3031660</v>
          </cell>
          <cell r="D9508" t="str">
            <v>***KABAN.DROB.-WP.300G FARSZ</v>
          </cell>
        </row>
        <row r="9509">
          <cell r="C9509">
            <v>3046231</v>
          </cell>
          <cell r="D9509" t="str">
            <v>KABAN.DROB/WP.CHILLI FARSZ</v>
          </cell>
        </row>
        <row r="9510">
          <cell r="C9510">
            <v>3046241</v>
          </cell>
          <cell r="D9510" t="str">
            <v>KABAN.DROB/WP.CLASS.FARSZ</v>
          </cell>
        </row>
        <row r="9511">
          <cell r="C9511">
            <v>3046236</v>
          </cell>
          <cell r="D9511" t="str">
            <v>KABAN.DROB.FARSZ</v>
          </cell>
        </row>
        <row r="9512">
          <cell r="C9512">
            <v>3045293</v>
          </cell>
          <cell r="D9512" t="str">
            <v>KIEŁB.BIWAKOWA WP/DROB.FARSZ</v>
          </cell>
        </row>
        <row r="9513">
          <cell r="C9513">
            <v>3046214</v>
          </cell>
          <cell r="D9513" t="str">
            <v>KABAN.DROB/WP.220G FARSZ</v>
          </cell>
        </row>
        <row r="9514">
          <cell r="C9514">
            <v>3046754</v>
          </cell>
          <cell r="D9514" t="str">
            <v>KIEŁB.KRUCHA KUR.FARSZ</v>
          </cell>
        </row>
        <row r="9515">
          <cell r="C9515">
            <v>3047389</v>
          </cell>
          <cell r="D9515" t="str">
            <v>KIEŁB.ŚLĄSKA Z PIER.KUR.FARSZ</v>
          </cell>
        </row>
        <row r="9516">
          <cell r="C9516">
            <v>3025946</v>
          </cell>
          <cell r="D9516" t="str">
            <v>***KARK.GRILL.CZOSN/ZIOŁ.OK600GVACBLLIDL</v>
          </cell>
        </row>
        <row r="9517">
          <cell r="C9517">
            <v>3025947</v>
          </cell>
          <cell r="D9517" t="str">
            <v>***KARK.GRILL.BAWARSKA OK600GVAC BL LIDL</v>
          </cell>
        </row>
        <row r="9518">
          <cell r="C9518">
            <v>3025948</v>
          </cell>
          <cell r="D9518" t="str">
            <v>***KARK.GRILL.CZOS/PIEP.OK600GVACBLLIDL</v>
          </cell>
        </row>
        <row r="9519">
          <cell r="C9519">
            <v>3025949</v>
          </cell>
          <cell r="D9519" t="str">
            <v>***KARK.GRILL.PAPR/PIEP.OK600GVAC BL LID</v>
          </cell>
        </row>
        <row r="9520">
          <cell r="C9520">
            <v>4016996</v>
          </cell>
          <cell r="D9520" t="str">
            <v>***KARK.GRILL.MIX OK600GVACOK12KGKT LIDL</v>
          </cell>
        </row>
        <row r="9521">
          <cell r="C9521">
            <v>3026018</v>
          </cell>
          <cell r="D9521" t="str">
            <v>***BOCZ.KRĘCIOŁKI PEKL.LIDL</v>
          </cell>
        </row>
        <row r="9522">
          <cell r="C9522">
            <v>4016998</v>
          </cell>
          <cell r="D9522" t="str">
            <v>***KRĘCIOŁKI Z BOCZ.300GMAP2.4KGKTLIDLLT</v>
          </cell>
        </row>
        <row r="9523">
          <cell r="C9523">
            <v>3016554</v>
          </cell>
          <cell r="D9523" t="str">
            <v>EMULSJA M</v>
          </cell>
        </row>
        <row r="9524">
          <cell r="C9524">
            <v>3040355</v>
          </cell>
          <cell r="D9524" t="str">
            <v>PP EMULSJA M</v>
          </cell>
        </row>
        <row r="9525">
          <cell r="C9525">
            <v>3031678</v>
          </cell>
          <cell r="D9525" t="str">
            <v>EMULSJA SKÓRY GOT.</v>
          </cell>
        </row>
        <row r="9526">
          <cell r="C9526">
            <v>3036469</v>
          </cell>
          <cell r="D9526" t="str">
            <v>WT KIEŁB.AS</v>
          </cell>
        </row>
        <row r="9527">
          <cell r="C9527">
            <v>3036481</v>
          </cell>
          <cell r="D9527" t="str">
            <v>WT KIEŁB.OK15KG NB MR ST</v>
          </cell>
        </row>
        <row r="9528">
          <cell r="C9528">
            <v>3036480</v>
          </cell>
          <cell r="D9528" t="str">
            <v>WT KIEŁB.OK15KG NB DMR</v>
          </cell>
        </row>
        <row r="9529">
          <cell r="C9529">
            <v>3036483</v>
          </cell>
          <cell r="D9529" t="str">
            <v>WT KIEŁB.RO</v>
          </cell>
        </row>
        <row r="9530">
          <cell r="C9530">
            <v>3000128</v>
          </cell>
          <cell r="D9530" t="str">
            <v>***MASA TŁ-BIAŁ.WP.OD.ME.OK15KG WOR MREŁ</v>
          </cell>
        </row>
        <row r="9531">
          <cell r="C9531">
            <v>3016555</v>
          </cell>
          <cell r="D9531" t="str">
            <v>SOL.NAST.Z60</v>
          </cell>
        </row>
        <row r="9532">
          <cell r="C9532">
            <v>3016556</v>
          </cell>
          <cell r="D9532" t="str">
            <v>SOL.NAST. G</v>
          </cell>
        </row>
        <row r="9533">
          <cell r="C9533">
            <v>3016557</v>
          </cell>
          <cell r="D9533" t="str">
            <v>SOL.NAS.35% K</v>
          </cell>
        </row>
        <row r="9534">
          <cell r="C9534">
            <v>3016795</v>
          </cell>
          <cell r="D9534" t="str">
            <v>SOL.NAST.50% NA SZYN.KONS. 2,5KG</v>
          </cell>
        </row>
        <row r="9535">
          <cell r="C9535">
            <v>3016558</v>
          </cell>
          <cell r="D9535" t="str">
            <v>***SOL.NAS.15% NA SZYN.W ŻURAWINIE</v>
          </cell>
        </row>
        <row r="9536">
          <cell r="C9536">
            <v>3016559</v>
          </cell>
          <cell r="D9536" t="str">
            <v>***SOL.NAS.15% NA MARYNATY NA SZARO</v>
          </cell>
        </row>
        <row r="9537">
          <cell r="C9537">
            <v>3016560</v>
          </cell>
          <cell r="D9537" t="str">
            <v>SOL.NAS.50% L</v>
          </cell>
        </row>
        <row r="9538">
          <cell r="C9538">
            <v>3012479</v>
          </cell>
          <cell r="D9538" t="str">
            <v>SOL.NAST.40% NA SZYN.KONS.2,5KG</v>
          </cell>
        </row>
        <row r="9539">
          <cell r="C9539">
            <v>3016561</v>
          </cell>
          <cell r="D9539" t="str">
            <v>SOL.NAS.20% NA BOCZ.WĘDZ.</v>
          </cell>
        </row>
        <row r="9540">
          <cell r="C9540">
            <v>3035503</v>
          </cell>
          <cell r="D9540" t="str">
            <v>SL NAS.15% DO WĘDZ.PIE.</v>
          </cell>
        </row>
        <row r="9541">
          <cell r="C9541">
            <v>3016562</v>
          </cell>
          <cell r="D9541" t="str">
            <v>SOL.NAS.35% N</v>
          </cell>
        </row>
        <row r="9542">
          <cell r="C9542">
            <v>3017042</v>
          </cell>
          <cell r="D9542" t="str">
            <v>SOL.NAS.18% PULLED PORK</v>
          </cell>
        </row>
        <row r="9543">
          <cell r="C9543">
            <v>3017936</v>
          </cell>
          <cell r="D9543" t="str">
            <v>SOL.NAS.25% SZYN.ZRAZOWA</v>
          </cell>
        </row>
        <row r="9544">
          <cell r="C9544">
            <v>3016686</v>
          </cell>
          <cell r="D9544" t="str">
            <v>***SOL.NAS.20% NA SZYN.RYCERSKĄ KRA</v>
          </cell>
        </row>
        <row r="9545">
          <cell r="C9545">
            <v>3016711</v>
          </cell>
          <cell r="D9545" t="str">
            <v>***SOL.NAS.10% ROSJA</v>
          </cell>
        </row>
        <row r="9546">
          <cell r="C9546">
            <v>3016563</v>
          </cell>
          <cell r="D9546" t="str">
            <v>SL ZAL.KIEŁB.PODWAWELSKA</v>
          </cell>
        </row>
        <row r="9547">
          <cell r="C9547">
            <v>3018535</v>
          </cell>
          <cell r="D9547" t="str">
            <v>***SOL.NAS.50% WĘDZ.Z ŁOP.</v>
          </cell>
        </row>
        <row r="9548">
          <cell r="C9548">
            <v>3018559</v>
          </cell>
          <cell r="D9548" t="str">
            <v>***SOL.NAS.80% SZYN.KONS.CZ/SŁ</v>
          </cell>
        </row>
        <row r="9549">
          <cell r="C9549">
            <v>3020204</v>
          </cell>
          <cell r="D9549" t="str">
            <v>***MAR.WODNA.MIX STEK E GRILL</v>
          </cell>
        </row>
        <row r="9550">
          <cell r="C9550">
            <v>3020957</v>
          </cell>
          <cell r="D9550" t="str">
            <v>***SOL.ZAL.ŻEB.VORES SPARERIBS</v>
          </cell>
        </row>
        <row r="9551">
          <cell r="C9551">
            <v>3021889</v>
          </cell>
          <cell r="D9551" t="str">
            <v>***SOL.NAST.12% SZYN.FORM.</v>
          </cell>
        </row>
        <row r="9552">
          <cell r="C9552">
            <v>3021979</v>
          </cell>
          <cell r="D9552" t="str">
            <v>SL ZAL.KIEŁB.ŚLĄSKA MOR</v>
          </cell>
        </row>
        <row r="9553">
          <cell r="C9553">
            <v>3021207</v>
          </cell>
          <cell r="D9553" t="str">
            <v>SOL.ZAL.50% PROZDR./DO ŁOP.4D DO 2B/</v>
          </cell>
        </row>
        <row r="9554">
          <cell r="C9554">
            <v>3016564</v>
          </cell>
          <cell r="D9554" t="str">
            <v>***SOL.NAS.15% B/NITRYTU</v>
          </cell>
        </row>
        <row r="9555">
          <cell r="C9555">
            <v>3016721</v>
          </cell>
          <cell r="D9555" t="str">
            <v>***SOL.BLOK EXPORT</v>
          </cell>
        </row>
        <row r="9556">
          <cell r="C9556">
            <v>3016565</v>
          </cell>
          <cell r="D9556" t="str">
            <v>***SOL.NAS.NA GRILLE</v>
          </cell>
        </row>
        <row r="9557">
          <cell r="C9557">
            <v>3016566</v>
          </cell>
          <cell r="D9557" t="str">
            <v>SL ZAL.KIEŁB.SZYNKOWA</v>
          </cell>
        </row>
        <row r="9558">
          <cell r="C9558">
            <v>3022781</v>
          </cell>
          <cell r="D9558" t="str">
            <v>SOL.NASTRZYK.15% MARYNATY</v>
          </cell>
        </row>
        <row r="9559">
          <cell r="C9559">
            <v>3016754</v>
          </cell>
          <cell r="D9559" t="str">
            <v>SOL.NAS.70% M70</v>
          </cell>
        </row>
        <row r="9560">
          <cell r="C9560">
            <v>3016567</v>
          </cell>
          <cell r="D9560" t="str">
            <v>***SOL.NAS.70% S57</v>
          </cell>
        </row>
        <row r="9561">
          <cell r="C9561">
            <v>3016752</v>
          </cell>
          <cell r="D9561" t="str">
            <v>SOL.NAS.DO POL.SOPOCKIEJ EXT.</v>
          </cell>
        </row>
        <row r="9562">
          <cell r="C9562">
            <v>3012241</v>
          </cell>
          <cell r="D9562" t="str">
            <v>***SOLANKA DO BOCZKU CARSKIEGO</v>
          </cell>
        </row>
        <row r="9563">
          <cell r="C9563">
            <v>3023390</v>
          </cell>
          <cell r="D9563" t="str">
            <v>***SOL.NAS.20% NA WĘDZONKI BIED</v>
          </cell>
        </row>
        <row r="9564">
          <cell r="C9564">
            <v>3025983</v>
          </cell>
          <cell r="D9564" t="str">
            <v>***SL NASTRZ.17% GRILL</v>
          </cell>
        </row>
        <row r="9565">
          <cell r="C9565">
            <v>3016568</v>
          </cell>
          <cell r="D9565" t="str">
            <v>***SOL.NAS.70% W</v>
          </cell>
        </row>
        <row r="9566">
          <cell r="C9566">
            <v>3016569</v>
          </cell>
          <cell r="D9566" t="str">
            <v>SL ZAL.R</v>
          </cell>
        </row>
        <row r="9567">
          <cell r="C9567">
            <v>3026954</v>
          </cell>
          <cell r="D9567" t="str">
            <v>SL NASTRZYK.15% PROD. ZIMOWE</v>
          </cell>
        </row>
        <row r="9568">
          <cell r="C9568">
            <v>3027014</v>
          </cell>
          <cell r="D9568" t="str">
            <v>SL NASTRZ.10% DO WG KRA</v>
          </cell>
        </row>
        <row r="9569">
          <cell r="C9569">
            <v>3026575</v>
          </cell>
          <cell r="D9569" t="str">
            <v>***SL ŻEB.Z PRZYP.</v>
          </cell>
        </row>
        <row r="9570">
          <cell r="C9570">
            <v>3027496</v>
          </cell>
          <cell r="D9570" t="str">
            <v>SL NAS.15% GRILL LIDL II</v>
          </cell>
        </row>
        <row r="9571">
          <cell r="C9571">
            <v>3006621</v>
          </cell>
          <cell r="D9571" t="str">
            <v>SL BOCZ.WĘDZ.20%</v>
          </cell>
        </row>
        <row r="9572">
          <cell r="C9572">
            <v>3044836</v>
          </cell>
          <cell r="D9572" t="str">
            <v>ZP OS.ŻELOWA CZER.</v>
          </cell>
        </row>
        <row r="9573">
          <cell r="C9573">
            <v>3008338</v>
          </cell>
          <cell r="D9573" t="str">
            <v>***ROZTWOR HEMOGLOBINY</v>
          </cell>
        </row>
        <row r="9574">
          <cell r="C9574">
            <v>3027761</v>
          </cell>
          <cell r="D9574" t="str">
            <v>ZP OS.ŻELOWA</v>
          </cell>
        </row>
        <row r="9575">
          <cell r="C9575">
            <v>3016818</v>
          </cell>
          <cell r="D9575" t="str">
            <v>***SOL.NAST.SZYNECZKA I KLASA 25%</v>
          </cell>
        </row>
        <row r="9576">
          <cell r="C9576">
            <v>3016570</v>
          </cell>
          <cell r="D9576" t="str">
            <v>***SOL.NAS.10% KLASYCZNA</v>
          </cell>
        </row>
        <row r="9577">
          <cell r="C9577">
            <v>3016571</v>
          </cell>
          <cell r="D9577" t="str">
            <v>SOL.NAS.30% NA POL.ŁOSOSIOWĄ</v>
          </cell>
        </row>
        <row r="9578">
          <cell r="C9578">
            <v>3016572</v>
          </cell>
          <cell r="D9578" t="str">
            <v>***SL ZAL.PRZYS.SZYNKOWY</v>
          </cell>
        </row>
        <row r="9579">
          <cell r="C9579">
            <v>3029973</v>
          </cell>
          <cell r="D9579" t="str">
            <v>***SL NASTRZ.2% BOCZ.</v>
          </cell>
        </row>
        <row r="9580">
          <cell r="C9580">
            <v>3029621</v>
          </cell>
          <cell r="D9580" t="str">
            <v>SL ZAL.16% DO ŻEB.</v>
          </cell>
        </row>
        <row r="9581">
          <cell r="C9581">
            <v>3018136</v>
          </cell>
          <cell r="D9581" t="str">
            <v>SOL.NAS.DO SCHABU OD SZWAGRA</v>
          </cell>
        </row>
        <row r="9582">
          <cell r="C9582">
            <v>3026656</v>
          </cell>
          <cell r="D9582" t="str">
            <v>SOL.POL.WĘDZ.LIDL</v>
          </cell>
        </row>
        <row r="9583">
          <cell r="C9583">
            <v>3026552</v>
          </cell>
          <cell r="D9583" t="str">
            <v>SOL.SZYN.KROGER 12% US</v>
          </cell>
        </row>
        <row r="9584">
          <cell r="C9584">
            <v>3025624</v>
          </cell>
          <cell r="D9584" t="str">
            <v>SL PELOMIX BOCZ.KRAJ 22%</v>
          </cell>
        </row>
        <row r="9585">
          <cell r="C9585">
            <v>3016573</v>
          </cell>
          <cell r="D9585" t="str">
            <v>SOL.NAS.20% AGRYF</v>
          </cell>
        </row>
        <row r="9586">
          <cell r="C9586">
            <v>3031582</v>
          </cell>
          <cell r="D9586" t="str">
            <v>SL NAS.25% SZYN.KLASYCZNA</v>
          </cell>
        </row>
        <row r="9587">
          <cell r="C9587">
            <v>3032707</v>
          </cell>
          <cell r="D9587" t="str">
            <v>SL NAS.66% SZYN.POLSKA</v>
          </cell>
        </row>
        <row r="9588">
          <cell r="C9588">
            <v>3041133</v>
          </cell>
          <cell r="D9588" t="str">
            <v>SL NAS.10% SZYN.MAGNACKA</v>
          </cell>
        </row>
        <row r="9589">
          <cell r="C9589">
            <v>3047293</v>
          </cell>
          <cell r="D9589" t="str">
            <v>SL NAS.30% SZYN.SUR.WĘDZ.</v>
          </cell>
        </row>
        <row r="9590">
          <cell r="C9590">
            <v>3016574</v>
          </cell>
          <cell r="D9590" t="str">
            <v>***SOL.NAS.30% NA SZYNKE KONS.KRAKUS</v>
          </cell>
        </row>
        <row r="9591">
          <cell r="C9591">
            <v>3025374</v>
          </cell>
          <cell r="D9591" t="str">
            <v>SL.NAS.70% BOCZ.PASEK</v>
          </cell>
        </row>
        <row r="9592">
          <cell r="C9592">
            <v>3015454</v>
          </cell>
          <cell r="D9592" t="str">
            <v>SL ZAL.50% DO ŁOP.4D/M-SA DR.KL2B</v>
          </cell>
        </row>
        <row r="9593">
          <cell r="C9593">
            <v>3016575</v>
          </cell>
          <cell r="D9593" t="str">
            <v>***POL.SOPOCKA AS</v>
          </cell>
        </row>
        <row r="9594">
          <cell r="C9594">
            <v>3016576</v>
          </cell>
          <cell r="D9594" t="str">
            <v>***POL.SOPOCKA BS</v>
          </cell>
        </row>
        <row r="9595">
          <cell r="C9595">
            <v>4004162</v>
          </cell>
          <cell r="D9595" t="str">
            <v>***POLĘDWICA SOPOCKA KL.1-OP. 0.5</v>
          </cell>
        </row>
        <row r="9596">
          <cell r="C9596">
            <v>4004163</v>
          </cell>
          <cell r="D9596" t="str">
            <v>***POLĘDWICA SOPOCKA 1 KG VAC</v>
          </cell>
        </row>
        <row r="9597">
          <cell r="C9597">
            <v>4001870</v>
          </cell>
          <cell r="D9597" t="str">
            <v>***SOPOCKA POLĘD.KL1-OP. 2.0</v>
          </cell>
        </row>
        <row r="9598">
          <cell r="C9598">
            <v>4010933</v>
          </cell>
          <cell r="D9598" t="str">
            <v>***POL.SOPOCKA OK500GVAC 4STKT EX</v>
          </cell>
        </row>
        <row r="9599">
          <cell r="C9599">
            <v>4010932</v>
          </cell>
          <cell r="D9599" t="str">
            <v>***SOPOCKA POLĘD.OK500G VAC OK10KG KT EX</v>
          </cell>
        </row>
        <row r="9600">
          <cell r="C9600">
            <v>4011252</v>
          </cell>
          <cell r="D9600" t="str">
            <v>***SOPOCKA POL.OK500G VAC OK5KG KT SŁO</v>
          </cell>
        </row>
        <row r="9601">
          <cell r="C9601">
            <v>4004164</v>
          </cell>
          <cell r="D9601" t="str">
            <v>***SOPOCKA POLĘD.VAC DO 2KG POL.PRZ</v>
          </cell>
        </row>
        <row r="9602">
          <cell r="C9602">
            <v>4004165</v>
          </cell>
          <cell r="D9602" t="str">
            <v>***POL.SOPOCKA OK500GVAC OK4KGKT TESC</v>
          </cell>
        </row>
        <row r="9603">
          <cell r="C9603">
            <v>4008551</v>
          </cell>
          <cell r="D9603" t="str">
            <v>***SOPOCKA POLĘD.PC OK0.5KG VAC KT UK</v>
          </cell>
        </row>
        <row r="9604">
          <cell r="C9604">
            <v>4008944</v>
          </cell>
          <cell r="D9604" t="str">
            <v>***SOPOCKA POLĘD. OK 500G VAC 4SZT.KT UK</v>
          </cell>
        </row>
        <row r="9605">
          <cell r="C9605">
            <v>4004166</v>
          </cell>
          <cell r="D9605" t="str">
            <v>***SOPOCKA POLĘDWICA VAC K</v>
          </cell>
        </row>
        <row r="9606">
          <cell r="C9606">
            <v>4004167</v>
          </cell>
          <cell r="D9606" t="str">
            <v>***SOPOCKA POLĘDWICA VAC OK.2KG M</v>
          </cell>
        </row>
        <row r="9607">
          <cell r="C9607">
            <v>4001871</v>
          </cell>
          <cell r="D9607" t="str">
            <v>***SOPOCKA POLĘDWICA 1/2SZT VAC</v>
          </cell>
        </row>
        <row r="9608">
          <cell r="C9608">
            <v>4001872</v>
          </cell>
          <cell r="D9608" t="str">
            <v>***SOPOCKA POLĘDWICA VAC EXPORT</v>
          </cell>
        </row>
        <row r="9609">
          <cell r="C9609">
            <v>4001873</v>
          </cell>
          <cell r="D9609" t="str">
            <v>***POL.SOPOCKA 1/2 STVAC EX</v>
          </cell>
        </row>
        <row r="9610">
          <cell r="C9610">
            <v>4001874</v>
          </cell>
          <cell r="D9610" t="str">
            <v>***SOPOCKA POLĘDWICA EXP. 1/2 VAC</v>
          </cell>
        </row>
        <row r="9611">
          <cell r="C9611">
            <v>4001875</v>
          </cell>
          <cell r="D9611" t="str">
            <v>***SOPOCKA POL.1/2 VAC EXPORT MK</v>
          </cell>
        </row>
        <row r="9612">
          <cell r="C9612">
            <v>4008641</v>
          </cell>
          <cell r="D9612" t="str">
            <v>***SOPOCKA POL.OK500G VAC OK10KG KT KAUF</v>
          </cell>
        </row>
        <row r="9613">
          <cell r="C9613">
            <v>4008674</v>
          </cell>
          <cell r="D9613" t="str">
            <v>***SOPOCKAPOLĘD. OK.500G VAC OK.5KG KT Y</v>
          </cell>
        </row>
        <row r="9614">
          <cell r="C9614">
            <v>4014258</v>
          </cell>
          <cell r="D9614" t="str">
            <v>***POL.SOPOCKA OK500GVAC 4STKT PROM UK</v>
          </cell>
        </row>
        <row r="9615">
          <cell r="C9615">
            <v>4005525</v>
          </cell>
          <cell r="D9615" t="str">
            <v>***SOPOCKA POLĘDWICA 1/2 VAC T</v>
          </cell>
        </row>
        <row r="9616">
          <cell r="C9616">
            <v>4006067</v>
          </cell>
          <cell r="D9616" t="str">
            <v>***SOPOCKA POLĘDWICA VAC N EX</v>
          </cell>
        </row>
        <row r="9617">
          <cell r="C9617">
            <v>4007715</v>
          </cell>
          <cell r="D9617" t="str">
            <v>***POL.SOPOCKA OK500GVACOK5KGKT EX CZ/SK</v>
          </cell>
        </row>
        <row r="9618">
          <cell r="C9618">
            <v>4007738</v>
          </cell>
          <cell r="D9618" t="str">
            <v>***SOPOCKA POLĘDWICA VAC EX</v>
          </cell>
        </row>
        <row r="9619">
          <cell r="C9619">
            <v>4008172</v>
          </cell>
          <cell r="D9619" t="str">
            <v>***SOP.POL.1/2ST TRM OK15KG KT YANO</v>
          </cell>
        </row>
        <row r="9620">
          <cell r="C9620">
            <v>4008296</v>
          </cell>
          <cell r="D9620" t="str">
            <v>***SOP.POLĘD. TRM PC KT</v>
          </cell>
        </row>
        <row r="9621">
          <cell r="C9621">
            <v>4008357</v>
          </cell>
          <cell r="D9621" t="str">
            <v>***SOPOCKA TRM VAC  OK.15KG KT KORONA</v>
          </cell>
        </row>
        <row r="9622">
          <cell r="C9622">
            <v>4008467</v>
          </cell>
          <cell r="D9622" t="str">
            <v>***SOP.POLĘD. VAC PC OK0.5KG KT 5KG NETT</v>
          </cell>
        </row>
        <row r="9623">
          <cell r="C9623">
            <v>3016687</v>
          </cell>
          <cell r="D9623" t="str">
            <v>***SOPOCKA POLEDWICA S</v>
          </cell>
        </row>
        <row r="9624">
          <cell r="C9624">
            <v>3016688</v>
          </cell>
          <cell r="D9624" t="str">
            <v>***BS SOPOCKA POLEDWICA S</v>
          </cell>
        </row>
        <row r="9625">
          <cell r="C9625">
            <v>4007471</v>
          </cell>
          <cell r="D9625" t="str">
            <v>***SOPOCKA POLĘDWICA SOK500GTRM OK5KGKTC</v>
          </cell>
        </row>
        <row r="9626">
          <cell r="C9626">
            <v>4010575</v>
          </cell>
          <cell r="D9626" t="str">
            <v>***POL.SOP.S OK500GVAC OKKKGKT WĘD.DOM.T</v>
          </cell>
        </row>
        <row r="9627">
          <cell r="C9627">
            <v>4007472</v>
          </cell>
          <cell r="D9627" t="str">
            <v>***SOPOCKA POL. S 1SZT TRM OK 10KG KT</v>
          </cell>
        </row>
        <row r="9628">
          <cell r="C9628">
            <v>4007702</v>
          </cell>
          <cell r="D9628" t="str">
            <v>***SOPOCKA POL. S OK500GTRM OK10KGKT R</v>
          </cell>
        </row>
        <row r="9629">
          <cell r="C9629">
            <v>4007817</v>
          </cell>
          <cell r="D9629" t="str">
            <v>***SOPOCKA POL.S OK500G TRM OK4KGKT T</v>
          </cell>
        </row>
        <row r="9630">
          <cell r="C9630">
            <v>4009765</v>
          </cell>
          <cell r="D9630" t="str">
            <v>***POLĘD.FARMERSKA S 1ST TRM OK10KG KT T</v>
          </cell>
        </row>
        <row r="9631">
          <cell r="C9631">
            <v>4010841</v>
          </cell>
          <cell r="D9631" t="str">
            <v>***POL.FARMERSKASOK.0,5KGVAC OK.4KGKT T</v>
          </cell>
        </row>
        <row r="9632">
          <cell r="C9632">
            <v>4010576</v>
          </cell>
          <cell r="D9632" t="str">
            <v>***POLSOPS1ST TRM OK 8KG KT WĘD.DOM.T</v>
          </cell>
        </row>
        <row r="9633">
          <cell r="C9633">
            <v>3016748</v>
          </cell>
          <cell r="D9633" t="str">
            <v>POL.SOPOCKA EXT.</v>
          </cell>
        </row>
        <row r="9634">
          <cell r="C9634">
            <v>3016749</v>
          </cell>
          <cell r="D9634" t="str">
            <v>POL.SOPOCKA EXT.BS</v>
          </cell>
        </row>
        <row r="9635">
          <cell r="C9635">
            <v>4009924</v>
          </cell>
          <cell r="D9635" t="str">
            <v>***POLĘ.FARMERSKA OK0.5KGVAC OK4KG KT T</v>
          </cell>
        </row>
        <row r="9636">
          <cell r="C9636">
            <v>4010038</v>
          </cell>
          <cell r="D9636" t="str">
            <v>***POL.SOPOCKA WD OK0.5KGVAC OK4KGKT T</v>
          </cell>
        </row>
        <row r="9637">
          <cell r="C9637">
            <v>4016165</v>
          </cell>
          <cell r="D9637" t="str">
            <v>***POL.SOPOCKA EXT.OK500GVACOK5KGKTEXRO</v>
          </cell>
        </row>
        <row r="9638">
          <cell r="C9638">
            <v>4018386</v>
          </cell>
          <cell r="D9638" t="str">
            <v>POL.SOPOCKA EXT.OK0.5KGVAC OK4KGKT EX LT</v>
          </cell>
        </row>
        <row r="9639">
          <cell r="C9639">
            <v>4024032</v>
          </cell>
          <cell r="D9639" t="str">
            <v>***POL.SOPOCKA OK500GVAC OK6KGKT MOR</v>
          </cell>
        </row>
        <row r="9640">
          <cell r="C9640">
            <v>4029179</v>
          </cell>
          <cell r="D9640" t="str">
            <v>POL.SOPOCKA EXT.OK500GVAC 5KGKT LIDL BG</v>
          </cell>
        </row>
        <row r="9641">
          <cell r="C9641">
            <v>4009130</v>
          </cell>
          <cell r="D9641" t="str">
            <v>***POL.SOPOCKA EXT.1/2STTRM OK15KGKT YAN</v>
          </cell>
        </row>
        <row r="9642">
          <cell r="C9642">
            <v>4009178</v>
          </cell>
          <cell r="D9642" t="str">
            <v>POL.SOPOCKA EXT.1/2STTRM OK10KGKT MOR</v>
          </cell>
        </row>
        <row r="9643">
          <cell r="C9643">
            <v>4009179</v>
          </cell>
          <cell r="D9643" t="str">
            <v>***POL.SOPOCKA 1/2STTRM OK15KGKT KOR</v>
          </cell>
        </row>
        <row r="9644">
          <cell r="C9644">
            <v>4009272</v>
          </cell>
          <cell r="D9644" t="str">
            <v>***POLĘD.SOPOCKA 1/2SZTTRM OK 10KGKT CAR</v>
          </cell>
        </row>
        <row r="9645">
          <cell r="C9645">
            <v>4009273</v>
          </cell>
          <cell r="D9645" t="str">
            <v>POL.SOPOCKA OK500GTRM OK5KGKT CAR</v>
          </cell>
        </row>
        <row r="9646">
          <cell r="C9646">
            <v>4009335</v>
          </cell>
          <cell r="D9646" t="str">
            <v>***POL.SOPOCKA EX.1/2STTRM OK15KGKT CZ</v>
          </cell>
        </row>
        <row r="9647">
          <cell r="C9647">
            <v>4009356</v>
          </cell>
          <cell r="D9647" t="str">
            <v>***POLĘD. SOPOCKA OK500G TRM OK10KGKT K</v>
          </cell>
        </row>
        <row r="9648">
          <cell r="C9648">
            <v>4009355</v>
          </cell>
          <cell r="D9648" t="str">
            <v>***POLĘD. SOP.EXTRA 1/2 TRM OK15KGKT SŁO</v>
          </cell>
        </row>
        <row r="9649">
          <cell r="C9649">
            <v>4009612</v>
          </cell>
          <cell r="D9649" t="str">
            <v>***POL.SOP.EXTRA 1/2ST TRM OK.15KGKT SŁO</v>
          </cell>
        </row>
        <row r="9650">
          <cell r="C9650">
            <v>4009621</v>
          </cell>
          <cell r="D9650" t="str">
            <v>POLĘD. SOP. EXTRA 1/2 TRM OK15KGKT S.LAB</v>
          </cell>
        </row>
        <row r="9651">
          <cell r="C9651">
            <v>4009644</v>
          </cell>
          <cell r="D9651" t="str">
            <v>***POL.SOPOCKA EXT.1/2STTRM OK15KGKT CZ</v>
          </cell>
        </row>
        <row r="9652">
          <cell r="C9652">
            <v>4009764</v>
          </cell>
          <cell r="D9652" t="str">
            <v>***POLĘD.FARMERSKA 1/2ST TRM OK8KG KT T</v>
          </cell>
        </row>
        <row r="9653">
          <cell r="C9653">
            <v>4009966</v>
          </cell>
          <cell r="D9653" t="str">
            <v>***POL.SOPOCKA EX.1/2STTRM OK15KG KT YAN</v>
          </cell>
        </row>
        <row r="9654">
          <cell r="C9654">
            <v>4010039</v>
          </cell>
          <cell r="D9654" t="str">
            <v>***POL.SOPOCKA WD 1/2STTRM OK8KGKT T</v>
          </cell>
        </row>
        <row r="9655">
          <cell r="C9655">
            <v>4011402</v>
          </cell>
          <cell r="D9655" t="str">
            <v>***POL.SOPOCKA EX 1/2ST TRM 3 ST KT MOR</v>
          </cell>
        </row>
        <row r="9656">
          <cell r="C9656">
            <v>4013428</v>
          </cell>
          <cell r="D9656" t="str">
            <v>***POL.SOPOCKA EXT.1/2STTRM OK10KGKT SP</v>
          </cell>
        </row>
        <row r="9657">
          <cell r="C9657">
            <v>4013701</v>
          </cell>
          <cell r="D9657" t="str">
            <v>***POL.SOPOCKA 1/2STTRM OK10KGKT PP</v>
          </cell>
        </row>
        <row r="9658">
          <cell r="C9658">
            <v>4018090</v>
          </cell>
          <cell r="D9658" t="str">
            <v>***POL.SOPOCKA EXT.MAX2KGTRMOK10KGKT MOR</v>
          </cell>
        </row>
        <row r="9659">
          <cell r="C9659">
            <v>3014197</v>
          </cell>
          <cell r="D9659" t="str">
            <v>***POLĘDWICA SPOCKA EXTRA S</v>
          </cell>
        </row>
        <row r="9660">
          <cell r="C9660">
            <v>3014210</v>
          </cell>
          <cell r="D9660" t="str">
            <v>***POLĘDWICA SOPOCKA EXTRA S BS</v>
          </cell>
        </row>
        <row r="9661">
          <cell r="C9661">
            <v>4010176</v>
          </cell>
          <cell r="D9661" t="str">
            <v>***POLĘSOPOCKA WD OK.0.5KG VAC OK.4KG KT</v>
          </cell>
        </row>
        <row r="9662">
          <cell r="C9662">
            <v>3023389</v>
          </cell>
          <cell r="D9662" t="str">
            <v>***SCH.WĘDZ.PARZ.AS</v>
          </cell>
        </row>
        <row r="9663">
          <cell r="C9663">
            <v>3023388</v>
          </cell>
          <cell r="D9663" t="str">
            <v>***SCH.WP.WĘDZ.PARZ.BS</v>
          </cell>
        </row>
        <row r="9664">
          <cell r="C9664">
            <v>4015469</v>
          </cell>
          <cell r="D9664" t="str">
            <v>***SCH.WP.WĘDZ.OK400GVAC BIED</v>
          </cell>
        </row>
        <row r="9665">
          <cell r="C9665">
            <v>4017862</v>
          </cell>
          <cell r="D9665" t="str">
            <v>***SCH.OD SZWAGRA 1/2STTRM OK15KGKT MOR</v>
          </cell>
        </row>
        <row r="9666">
          <cell r="C9666">
            <v>3024855</v>
          </cell>
          <cell r="D9666" t="str">
            <v>***SCH.MOCNO WĘDZ.PARZ.AS</v>
          </cell>
        </row>
        <row r="9667">
          <cell r="C9667">
            <v>3024854</v>
          </cell>
          <cell r="D9667" t="str">
            <v>***SCH.MOCNO WĘDZ.PARZ.BS</v>
          </cell>
        </row>
        <row r="9668">
          <cell r="C9668">
            <v>4016387</v>
          </cell>
          <cell r="D9668" t="str">
            <v>***SCH.MOCNO WĘDZ.1/2STTRM OK6KGKT MOR</v>
          </cell>
        </row>
        <row r="9669">
          <cell r="C9669">
            <v>3026688</v>
          </cell>
          <cell r="D9669" t="str">
            <v>***SCH.OD SZWAGRA AS</v>
          </cell>
        </row>
        <row r="9670">
          <cell r="C9670">
            <v>3015458</v>
          </cell>
          <cell r="D9670" t="str">
            <v>SCH.OD SZWAGRA BS</v>
          </cell>
        </row>
        <row r="9671">
          <cell r="C9671">
            <v>4017777</v>
          </cell>
          <cell r="D9671" t="str">
            <v>***SCH.OD SZWAGRA OK500GVAC OK5KGKT KRA</v>
          </cell>
        </row>
        <row r="9672">
          <cell r="C9672">
            <v>4024508</v>
          </cell>
          <cell r="D9672" t="str">
            <v>***SCH.OD SZWAGRA OK500GVAC OK4KGKT KRA</v>
          </cell>
        </row>
        <row r="9673">
          <cell r="C9673">
            <v>3029318</v>
          </cell>
          <cell r="D9673" t="str">
            <v>***SCH.MAJER/CZOSN.AS</v>
          </cell>
        </row>
        <row r="9674">
          <cell r="C9674">
            <v>3029317</v>
          </cell>
          <cell r="D9674" t="str">
            <v>***SCH.MAJER/CZOSN.BS</v>
          </cell>
        </row>
        <row r="9675">
          <cell r="C9675">
            <v>4019482</v>
          </cell>
          <cell r="D9675" t="str">
            <v>***SCH.MAJER/CZOSN.1STTRM OK10KGKT YAN</v>
          </cell>
        </row>
        <row r="9676">
          <cell r="C9676">
            <v>3008348</v>
          </cell>
          <cell r="D9676" t="str">
            <v>***SCHAB W PRZYPRAWACH</v>
          </cell>
        </row>
        <row r="9677">
          <cell r="C9677">
            <v>3008349</v>
          </cell>
          <cell r="D9677" t="str">
            <v>***BS SCHAB W PRZYPRAWACH</v>
          </cell>
        </row>
        <row r="9678">
          <cell r="C9678">
            <v>3008350</v>
          </cell>
          <cell r="D9678" t="str">
            <v>***SCHAB W POSYPCE CZOSN-PAPRYK</v>
          </cell>
        </row>
        <row r="9679">
          <cell r="C9679">
            <v>3008351</v>
          </cell>
          <cell r="D9679" t="str">
            <v>***BS SCHAB W POSYPCE CZOSN-PAPRYK</v>
          </cell>
        </row>
        <row r="9680">
          <cell r="C9680">
            <v>4005822</v>
          </cell>
          <cell r="D9680" t="str">
            <v>***SCHAB W POSYPCE CZOSNK.-PAPR.VAC 1SZT</v>
          </cell>
        </row>
        <row r="9681">
          <cell r="C9681">
            <v>4005825</v>
          </cell>
          <cell r="D9681" t="str">
            <v>***SCHAB W POSYPCE CZOSNK-PAPR.VAC1ST ET</v>
          </cell>
        </row>
        <row r="9682">
          <cell r="C9682">
            <v>3008352</v>
          </cell>
          <cell r="D9682" t="str">
            <v>***SCHAB W POSYPCE PIEPRZOWEJ</v>
          </cell>
        </row>
        <row r="9683">
          <cell r="C9683">
            <v>3008353</v>
          </cell>
          <cell r="D9683" t="str">
            <v>***BS SCHAB W POSYPCE PIEPRZOWEJ</v>
          </cell>
        </row>
        <row r="9684">
          <cell r="C9684">
            <v>4005823</v>
          </cell>
          <cell r="D9684" t="str">
            <v>***SCHAB W POSYPCE PIEPRZOWEJ VAC 1SZT</v>
          </cell>
        </row>
        <row r="9685">
          <cell r="C9685">
            <v>4005824</v>
          </cell>
          <cell r="D9685" t="str">
            <v>***SCHAB W POSYPCE PIEPRZOWEJ VAC1SZT ET</v>
          </cell>
        </row>
        <row r="9686">
          <cell r="C9686">
            <v>3016821</v>
          </cell>
          <cell r="D9686" t="str">
            <v>***SZYNECZKA I KLASA</v>
          </cell>
        </row>
        <row r="9687">
          <cell r="C9687">
            <v>3016817</v>
          </cell>
          <cell r="D9687" t="str">
            <v>***SZYNECZKA I KLASA BS</v>
          </cell>
        </row>
        <row r="9688">
          <cell r="C9688">
            <v>4011126</v>
          </cell>
          <cell r="D9688" t="str">
            <v>***SZYN.I KLASA 400G VAC 3.6KG KT</v>
          </cell>
        </row>
        <row r="9689">
          <cell r="C9689">
            <v>3016877</v>
          </cell>
          <cell r="D9689" t="str">
            <v>***SZYN.TEŚCIOWEJ MAŁA</v>
          </cell>
        </row>
        <row r="9690">
          <cell r="C9690">
            <v>3016876</v>
          </cell>
          <cell r="D9690" t="str">
            <v>***SZYN.TEŚCIOWEJ MAŁA BS</v>
          </cell>
        </row>
        <row r="9691">
          <cell r="C9691">
            <v>4011143</v>
          </cell>
          <cell r="D9691" t="str">
            <v>***SZYN.TEŚCIOWEJ MAŁA 1STTRM OK.5KGKT T</v>
          </cell>
        </row>
        <row r="9692">
          <cell r="C9692">
            <v>3021892</v>
          </cell>
          <cell r="D9692" t="str">
            <v>***SZYN.FORMOWANA</v>
          </cell>
        </row>
        <row r="9693">
          <cell r="C9693">
            <v>3021891</v>
          </cell>
          <cell r="D9693" t="str">
            <v>***SZYN.FORMOWANA BS</v>
          </cell>
        </row>
        <row r="9694">
          <cell r="C9694">
            <v>3022078</v>
          </cell>
          <cell r="D9694" t="str">
            <v>***SZYN.FORMOWANA 1ST VAC 6ST OKT ST</v>
          </cell>
        </row>
        <row r="9695">
          <cell r="C9695">
            <v>4015803</v>
          </cell>
          <cell r="D9695" t="str">
            <v>***SZYN.FORM.OK5KG TRM OK10KG KT KRA</v>
          </cell>
        </row>
        <row r="9696">
          <cell r="C9696">
            <v>3044554</v>
          </cell>
          <cell r="D9696" t="str">
            <v>SZYN.BIAŁA KRÓLEWSKA MAX2KG AS MOR</v>
          </cell>
        </row>
        <row r="9697">
          <cell r="C9697">
            <v>3044553</v>
          </cell>
          <cell r="D9697" t="str">
            <v>SZYN.BIAŁA KRÓLEWSKA MAX2KG BS MOR</v>
          </cell>
        </row>
        <row r="9698">
          <cell r="C9698">
            <v>4029477</v>
          </cell>
          <cell r="D9698" t="str">
            <v>SZYN.BIAŁA KRÓLEWSKA OK2KGLUZOK6KGKT MOR</v>
          </cell>
        </row>
        <row r="9699">
          <cell r="C9699">
            <v>3016577</v>
          </cell>
          <cell r="D9699" t="str">
            <v>***SZYN.ŚNIAD.AS</v>
          </cell>
        </row>
        <row r="9700">
          <cell r="C9700">
            <v>3016578</v>
          </cell>
          <cell r="D9700" t="str">
            <v>***SZYN.ŚNIAD.BS</v>
          </cell>
        </row>
        <row r="9701">
          <cell r="C9701">
            <v>4004172</v>
          </cell>
          <cell r="D9701" t="str">
            <v>***SZYN.ŚNIAD.1/2STVAC OK15KGKT</v>
          </cell>
        </row>
        <row r="9702">
          <cell r="C9702">
            <v>4004173</v>
          </cell>
          <cell r="D9702" t="str">
            <v>***SZYN.ŚNIAD.OK500GVAC OK5KGKT</v>
          </cell>
        </row>
        <row r="9703">
          <cell r="C9703">
            <v>4001070</v>
          </cell>
          <cell r="D9703" t="str">
            <v>***SZYN.ŚNIAD.1STVAC OK15KGKT</v>
          </cell>
        </row>
        <row r="9704">
          <cell r="C9704">
            <v>4016311</v>
          </cell>
          <cell r="D9704" t="str">
            <v>***SZYN.KANAPKOWA 1STVAC OK15KGKT KOR</v>
          </cell>
        </row>
        <row r="9705">
          <cell r="C9705">
            <v>4008526</v>
          </cell>
          <cell r="D9705" t="str">
            <v>***SZYTEŚCIOWEJ 1/6ST VAC OK.6KG KT TESC</v>
          </cell>
        </row>
        <row r="9706">
          <cell r="C9706">
            <v>4001878</v>
          </cell>
          <cell r="D9706" t="str">
            <v>***SZYN.ŚNIADANIOWA 1STVAC OK6KG KTEX</v>
          </cell>
        </row>
        <row r="9707">
          <cell r="C9707">
            <v>4004175</v>
          </cell>
          <cell r="D9707" t="str">
            <v>***SZYNKA TRADYCYJNA VAC 1SZT M</v>
          </cell>
        </row>
        <row r="9708">
          <cell r="C9708">
            <v>4004176</v>
          </cell>
          <cell r="D9708" t="str">
            <v>***SZYN.ŚNIADANIOWA1STVAC OK15KG KT SWO.</v>
          </cell>
        </row>
        <row r="9709">
          <cell r="C9709">
            <v>4008308</v>
          </cell>
          <cell r="D9709" t="str">
            <v>***SZYN.ŚNIADANIOWA 1ST TRM KT KORONA</v>
          </cell>
        </row>
        <row r="9710">
          <cell r="C9710">
            <v>4008438</v>
          </cell>
          <cell r="D9710" t="str">
            <v>***SZYN.ŚNIADANIOWA 1/6ST VAC KT LITWA</v>
          </cell>
        </row>
        <row r="9711">
          <cell r="C9711">
            <v>4008505</v>
          </cell>
          <cell r="D9711" t="str">
            <v>****SZYN.TEŚCIOWEJ1ST TRM OK6KG SIT.TESC</v>
          </cell>
        </row>
        <row r="9712">
          <cell r="C9712">
            <v>4009784</v>
          </cell>
          <cell r="D9712" t="str">
            <v>***SZYN.WĘDZ.GOT.1/6STVAC MOR OK4KGKT T</v>
          </cell>
        </row>
        <row r="9713">
          <cell r="C9713">
            <v>3034720</v>
          </cell>
          <cell r="D9713" t="str">
            <v>SZYN.BIAŁA KRÓLEWSKA AS MOR</v>
          </cell>
        </row>
        <row r="9714">
          <cell r="C9714">
            <v>3034730</v>
          </cell>
          <cell r="D9714" t="str">
            <v>SZYN.BIAŁA KRÓLEWSKA BS MOR</v>
          </cell>
        </row>
        <row r="9715">
          <cell r="C9715">
            <v>4023326</v>
          </cell>
          <cell r="D9715" t="str">
            <v>SZYN.BIAŁA KRÓLEWSKA OK6KGLUZ KT MOR</v>
          </cell>
        </row>
        <row r="9716">
          <cell r="C9716">
            <v>3016579</v>
          </cell>
          <cell r="D9716" t="str">
            <v>***SZYN.BIAŁA KRÓLEWSKA AS</v>
          </cell>
        </row>
        <row r="9717">
          <cell r="C9717">
            <v>3016580</v>
          </cell>
          <cell r="D9717" t="str">
            <v>***SZYN.BIAŁA KRÓLEWSKA BS</v>
          </cell>
        </row>
        <row r="9718">
          <cell r="C9718">
            <v>4004179</v>
          </cell>
          <cell r="D9718" t="str">
            <v>***SZYNKA BIAŁA KRÓLEWSKA LUZ</v>
          </cell>
        </row>
        <row r="9719">
          <cell r="C9719">
            <v>4008002</v>
          </cell>
          <cell r="D9719" t="str">
            <v>***SZYNKA BIAŁA KRÓLEWSKA OK15KG KT MAKR</v>
          </cell>
        </row>
        <row r="9720">
          <cell r="C9720">
            <v>3016792</v>
          </cell>
          <cell r="D9720" t="str">
            <v>SZYN.KONS.2.5KG</v>
          </cell>
        </row>
        <row r="9721">
          <cell r="C9721">
            <v>3016793</v>
          </cell>
          <cell r="D9721" t="str">
            <v>BS SZYNKA KONS. 2.5KG</v>
          </cell>
        </row>
        <row r="9722">
          <cell r="C9722">
            <v>4011136</v>
          </cell>
          <cell r="D9722" t="str">
            <v>SZYN.WP.KONS.OK2.5KG OK10KG KT</v>
          </cell>
        </row>
        <row r="9723">
          <cell r="C9723">
            <v>4009729</v>
          </cell>
          <cell r="D9723" t="str">
            <v>***SZYN.KON.2.5KG LUZ 4 ST.KT FUKS</v>
          </cell>
        </row>
        <row r="9724">
          <cell r="C9724">
            <v>4009740</v>
          </cell>
          <cell r="D9724" t="str">
            <v>***SZYN.KON.2.5KG LUZ 4 ST KT KORONA</v>
          </cell>
        </row>
        <row r="9725">
          <cell r="C9725">
            <v>4009742</v>
          </cell>
          <cell r="D9725" t="str">
            <v>SZYN.KONS.2.5KG LUZ 10KG KT MOR</v>
          </cell>
        </row>
        <row r="9726">
          <cell r="C9726">
            <v>4009743</v>
          </cell>
          <cell r="D9726" t="str">
            <v>SZYN.KON.2.5KG LUZ 4 ST KT POL.PRZYSM.</v>
          </cell>
        </row>
        <row r="9727">
          <cell r="C9727">
            <v>4009744</v>
          </cell>
          <cell r="D9727" t="str">
            <v>***SZYN.KON.2.5KG LUZ 4 ST KT MAZURY</v>
          </cell>
        </row>
        <row r="9728">
          <cell r="C9728">
            <v>4009741</v>
          </cell>
          <cell r="D9728" t="str">
            <v>***SZYN.KON.2.5KG LUZ 4STKT SWOJSCY</v>
          </cell>
        </row>
        <row r="9729">
          <cell r="C9729">
            <v>4009745</v>
          </cell>
          <cell r="D9729" t="str">
            <v>***SZYN.KON.2.5KLUZ 4 ST KT STAROP.WĘDL.</v>
          </cell>
        </row>
        <row r="9730">
          <cell r="C9730">
            <v>4009843</v>
          </cell>
          <cell r="D9730" t="str">
            <v>***SZYN.WP.KON.2.5KG 4ST KT MOR EX UK</v>
          </cell>
        </row>
        <row r="9731">
          <cell r="C9731">
            <v>4010937</v>
          </cell>
          <cell r="D9731" t="str">
            <v>***SZYN.KONSER.2.5KG LUZ 4ST KT DYSKĄCIK</v>
          </cell>
        </row>
        <row r="9732">
          <cell r="C9732">
            <v>4012422</v>
          </cell>
          <cell r="D9732" t="str">
            <v>***SZYN.WP.KON.2.5KG LUZ 4ST YANO</v>
          </cell>
        </row>
        <row r="9733">
          <cell r="C9733">
            <v>4012424</v>
          </cell>
          <cell r="D9733" t="str">
            <v>***SZYN.WP.KONSERWOWA OK2.5KG OK10KG KT</v>
          </cell>
        </row>
        <row r="9734">
          <cell r="C9734">
            <v>4013212</v>
          </cell>
          <cell r="D9734" t="str">
            <v>***SZYN.KONS.PANDA OK2.5KG OK 10KG KT</v>
          </cell>
        </row>
        <row r="9735">
          <cell r="C9735">
            <v>4013749</v>
          </cell>
          <cell r="D9735" t="str">
            <v>***SZYN.WP.KONS.65%2.5KGLUZ4STKTMOR ROEX</v>
          </cell>
        </row>
        <row r="9736">
          <cell r="C9736">
            <v>4016679</v>
          </cell>
          <cell r="D9736" t="str">
            <v>***SZYN.KONS.2.5KG LUZ 10KG KT</v>
          </cell>
        </row>
        <row r="9737">
          <cell r="C9737">
            <v>3012475</v>
          </cell>
          <cell r="D9737" t="str">
            <v>SZYNKA KONS. 40% 5,5LBS</v>
          </cell>
        </row>
        <row r="9738">
          <cell r="C9738">
            <v>3012477</v>
          </cell>
          <cell r="D9738" t="str">
            <v>3S SZYN.KONS. 40% 5,5LBS</v>
          </cell>
        </row>
        <row r="9739">
          <cell r="C9739">
            <v>4009976</v>
          </cell>
          <cell r="D9739" t="str">
            <v>***SZYN.WP.KON.5,5LBS LUZ 4ST KT ECS</v>
          </cell>
        </row>
        <row r="9740">
          <cell r="C9740">
            <v>4015122</v>
          </cell>
          <cell r="D9740" t="str">
            <v>***SZYN.WP.KON.5.5LBS LUZ 4ST KT MOR EX</v>
          </cell>
        </row>
        <row r="9741">
          <cell r="C9741">
            <v>4015210</v>
          </cell>
          <cell r="D9741" t="str">
            <v>***SZYN.WP.KON.OK5.5LBSLUZ 4ST KT MOR EX</v>
          </cell>
        </row>
        <row r="9742">
          <cell r="C9742">
            <v>4015866</v>
          </cell>
          <cell r="D9742" t="str">
            <v>***SZYN.WP.KON.5.5LBS 4STKT MOR POLM</v>
          </cell>
        </row>
        <row r="9743">
          <cell r="C9743">
            <v>3019897</v>
          </cell>
          <cell r="D9743" t="str">
            <v>SZYN.KONS.BIAŁA</v>
          </cell>
        </row>
        <row r="9744">
          <cell r="C9744">
            <v>3019896</v>
          </cell>
          <cell r="D9744" t="str">
            <v>SZYN.KONS.BIAŁA BS</v>
          </cell>
        </row>
        <row r="9745">
          <cell r="C9745">
            <v>4013367</v>
          </cell>
          <cell r="D9745" t="str">
            <v>***SZYN.KONS.WP.BIAŁA 7LBS LUZ 2STKT MOR</v>
          </cell>
        </row>
        <row r="9746">
          <cell r="C9746">
            <v>4013374</v>
          </cell>
          <cell r="D9746" t="str">
            <v>***SZYN.KONS.BIAŁA OK3KG OK6KG KT MOR</v>
          </cell>
        </row>
        <row r="9747">
          <cell r="C9747">
            <v>4013375</v>
          </cell>
          <cell r="D9747" t="str">
            <v>***SZYN.KONS.BIAŁA LUZOK3KGOK6KGKTMOR EX</v>
          </cell>
        </row>
        <row r="9748">
          <cell r="C9748">
            <v>4013970</v>
          </cell>
          <cell r="D9748" t="str">
            <v>***SZYN.KONS.BIAŁA OK3KGOK6KGKTMOR EX SK</v>
          </cell>
        </row>
        <row r="9749">
          <cell r="C9749">
            <v>3026555</v>
          </cell>
          <cell r="D9749" t="str">
            <v>SZYN.KROGER 7LBS US</v>
          </cell>
        </row>
        <row r="9750">
          <cell r="C9750">
            <v>3026554</v>
          </cell>
          <cell r="D9750" t="str">
            <v>SZYN.KROGER 7LBS BS US</v>
          </cell>
        </row>
        <row r="9751">
          <cell r="C9751">
            <v>4017438</v>
          </cell>
          <cell r="D9751" t="str">
            <v>***SZYN.KROGER 7LBS 4STKT EX US</v>
          </cell>
        </row>
        <row r="9752">
          <cell r="C9752">
            <v>3016581</v>
          </cell>
          <cell r="D9752" t="str">
            <v>***SZYNKA DOMOWA</v>
          </cell>
        </row>
        <row r="9753">
          <cell r="C9753">
            <v>3016582</v>
          </cell>
          <cell r="D9753" t="str">
            <v>***BS SZYNKA DOMOWA</v>
          </cell>
        </row>
        <row r="9754">
          <cell r="C9754">
            <v>4006744</v>
          </cell>
          <cell r="D9754" t="str">
            <v>***SZYNKA DOMOWA 400G T</v>
          </cell>
        </row>
        <row r="9755">
          <cell r="C9755">
            <v>3023385</v>
          </cell>
          <cell r="D9755" t="str">
            <v>***SZYN.WĘDZ.PARZ.AS</v>
          </cell>
        </row>
        <row r="9756">
          <cell r="C9756">
            <v>3023410</v>
          </cell>
          <cell r="D9756" t="str">
            <v>***SZYNKA WP.WĘDZ.PARZ.BS</v>
          </cell>
        </row>
        <row r="9757">
          <cell r="C9757">
            <v>4015466</v>
          </cell>
          <cell r="D9757" t="str">
            <v>***SZYN.WP.WĘDZ.OK400G MAP BIED</v>
          </cell>
        </row>
        <row r="9758">
          <cell r="C9758">
            <v>4018300</v>
          </cell>
          <cell r="D9758" t="str">
            <v>***SZYN.WP.WĘDZ.OK400GVAC OK5KGKT BIED</v>
          </cell>
        </row>
        <row r="9759">
          <cell r="C9759">
            <v>3016583</v>
          </cell>
          <cell r="D9759" t="str">
            <v>SZYN.MOC.WĘDZ.AS</v>
          </cell>
        </row>
        <row r="9760">
          <cell r="C9760">
            <v>3016584</v>
          </cell>
          <cell r="D9760" t="str">
            <v>SZYN.MOC.WĘDZ.BS</v>
          </cell>
        </row>
        <row r="9761">
          <cell r="C9761">
            <v>4004182</v>
          </cell>
          <cell r="D9761" t="str">
            <v>***SZYN.MOCNO WĘDZONA VAC 1/2ST</v>
          </cell>
        </row>
        <row r="9762">
          <cell r="C9762">
            <v>4016144</v>
          </cell>
          <cell r="D9762" t="str">
            <v>***SZYN.MOCNO WĘDZ.1/2STTRM OK6KGKT RO</v>
          </cell>
        </row>
        <row r="9763">
          <cell r="C9763">
            <v>4004183</v>
          </cell>
          <cell r="D9763" t="str">
            <v>***SZYN.MOC.WĘDZ.1STVAC OK6KGKT CON</v>
          </cell>
        </row>
        <row r="9764">
          <cell r="C9764">
            <v>4001880</v>
          </cell>
          <cell r="D9764" t="str">
            <v>***SZYN.MOC.WĘDZ.1STVAC</v>
          </cell>
        </row>
        <row r="9765">
          <cell r="C9765">
            <v>4004184</v>
          </cell>
          <cell r="D9765" t="str">
            <v>***SZYN.MOCNO WĘDZ.1STVAC MK</v>
          </cell>
        </row>
        <row r="9766">
          <cell r="C9766">
            <v>4001072</v>
          </cell>
          <cell r="D9766" t="str">
            <v>***SZYN.MOCNO WĘDZ.1STVAC</v>
          </cell>
        </row>
        <row r="9767">
          <cell r="C9767">
            <v>4004185</v>
          </cell>
          <cell r="D9767" t="str">
            <v>***SZYNKA MOCNO WĘDZ.1SZT VAC M</v>
          </cell>
        </row>
        <row r="9768">
          <cell r="C9768">
            <v>4004186</v>
          </cell>
          <cell r="D9768" t="str">
            <v>***SZYNKA CYGAŃSKA 1SZT VAC</v>
          </cell>
        </row>
        <row r="9769">
          <cell r="C9769">
            <v>4016521</v>
          </cell>
          <cell r="D9769" t="str">
            <v>***SZYN.MOC.WĘDZ.1STVAC OK6KGKT PP</v>
          </cell>
        </row>
        <row r="9770">
          <cell r="C9770">
            <v>4016310</v>
          </cell>
          <cell r="D9770" t="str">
            <v>***SZYN.OKOPCONA 1ST VAC OK15KG KT KOR</v>
          </cell>
        </row>
        <row r="9771">
          <cell r="C9771">
            <v>4008485</v>
          </cell>
          <cell r="D9771" t="str">
            <v>***SZYNKA MOCNO WĘDZ.1SZT TRM KT ROS</v>
          </cell>
        </row>
        <row r="9772">
          <cell r="C9772">
            <v>4009148</v>
          </cell>
          <cell r="D9772" t="str">
            <v>***SZYN.MOC.WĘDZ.1STTRM OK15KGKT UK</v>
          </cell>
        </row>
        <row r="9773">
          <cell r="C9773">
            <v>4001881</v>
          </cell>
          <cell r="D9773" t="str">
            <v>***SZYNKA MOCNO WĘDZ.EXP.1SZT VAC</v>
          </cell>
        </row>
        <row r="9774">
          <cell r="C9774">
            <v>4001882</v>
          </cell>
          <cell r="D9774" t="str">
            <v>***SZYNKA MOCNO WĘDZ.EXP.1SZT VAC</v>
          </cell>
        </row>
        <row r="9775">
          <cell r="C9775">
            <v>4001883</v>
          </cell>
          <cell r="D9775" t="str">
            <v>***SZ.MOCNO WĘDZ.EXP.VAC 1SZT.NIEM</v>
          </cell>
        </row>
        <row r="9776">
          <cell r="C9776">
            <v>4006324</v>
          </cell>
          <cell r="D9776" t="str">
            <v>***SZYN.CIE.1STTRM OK6KGKT MOR</v>
          </cell>
        </row>
        <row r="9777">
          <cell r="C9777">
            <v>4006742</v>
          </cell>
          <cell r="D9777" t="str">
            <v>***SZYNKA MOCNO WĘDZ.VAC EX P SŁ.</v>
          </cell>
        </row>
        <row r="9778">
          <cell r="C9778">
            <v>4007451</v>
          </cell>
          <cell r="D9778" t="str">
            <v>***SZYNKA MOCNO WĘDZONA 1SZT VAC EX E</v>
          </cell>
        </row>
        <row r="9779">
          <cell r="C9779">
            <v>4008281</v>
          </cell>
          <cell r="D9779" t="str">
            <v>***SZYN.MOCNO WĘDZ.1/6ST TERM KT EX MAX</v>
          </cell>
        </row>
        <row r="9780">
          <cell r="C9780">
            <v>4008307</v>
          </cell>
          <cell r="D9780" t="str">
            <v>***SZYN.MOCWĘDZONA TRM 1SZT KT KORONA</v>
          </cell>
        </row>
        <row r="9781">
          <cell r="C9781">
            <v>4008358</v>
          </cell>
          <cell r="D9781" t="str">
            <v>***SZYN.MOCNO WĘDZ.TRM 1ST OK15KG KT PP</v>
          </cell>
        </row>
        <row r="9782">
          <cell r="C9782">
            <v>3025108</v>
          </cell>
          <cell r="D9782" t="str">
            <v>***SZYN.WĘDZ.AS</v>
          </cell>
        </row>
        <row r="9783">
          <cell r="C9783">
            <v>3025107</v>
          </cell>
          <cell r="D9783" t="str">
            <v>***SZYN.WP.WĘDZ.BS</v>
          </cell>
        </row>
        <row r="9784">
          <cell r="C9784">
            <v>4016465</v>
          </cell>
          <cell r="D9784" t="str">
            <v>***SZYN.WĘDZ.1STVAC OK6KGKT MOR</v>
          </cell>
        </row>
        <row r="9785">
          <cell r="C9785">
            <v>3014513</v>
          </cell>
          <cell r="D9785" t="str">
            <v>***OGONÓWKA AS</v>
          </cell>
        </row>
        <row r="9786">
          <cell r="C9786">
            <v>3014514</v>
          </cell>
          <cell r="D9786" t="str">
            <v>***OGONÓWKA BS</v>
          </cell>
        </row>
        <row r="9787">
          <cell r="C9787">
            <v>4011009</v>
          </cell>
          <cell r="D9787" t="str">
            <v>***OGONÓWKA 1STTRM OK15KGKT YAN</v>
          </cell>
        </row>
        <row r="9788">
          <cell r="C9788">
            <v>4013060</v>
          </cell>
          <cell r="D9788" t="str">
            <v>***OGONÓWKA 1ST TRM OK 15KG KT YANO UK</v>
          </cell>
        </row>
        <row r="9789">
          <cell r="C9789">
            <v>4013427</v>
          </cell>
          <cell r="D9789" t="str">
            <v>***OGONÓWKA 1ST TRM OK10KG KT SP</v>
          </cell>
        </row>
        <row r="9790">
          <cell r="C9790">
            <v>3018534</v>
          </cell>
          <cell r="D9790" t="str">
            <v>***WĘDZ.Z ŁOP.</v>
          </cell>
        </row>
        <row r="9791">
          <cell r="C9791">
            <v>3018533</v>
          </cell>
          <cell r="D9791" t="str">
            <v>***WĘDZ.Z ŁOP.BS</v>
          </cell>
        </row>
        <row r="9792">
          <cell r="C9792">
            <v>4012849</v>
          </cell>
          <cell r="D9792" t="str">
            <v>***WĘDZ.Z ŁOP.1ST TRM OK 10KG KT KAUF</v>
          </cell>
        </row>
        <row r="9793">
          <cell r="C9793">
            <v>4012965</v>
          </cell>
          <cell r="D9793" t="str">
            <v>***WĘDZ.Z ŁOP1ST TRM OK10KG KT KAUF PROM</v>
          </cell>
        </row>
        <row r="9794">
          <cell r="C9794">
            <v>3025471</v>
          </cell>
          <cell r="D9794" t="str">
            <v>***WĘDZONKA MORLIŃSKA</v>
          </cell>
        </row>
        <row r="9795">
          <cell r="C9795">
            <v>3025470</v>
          </cell>
          <cell r="D9795" t="str">
            <v>***WĘDZ.MORLIŃSKA BS</v>
          </cell>
        </row>
        <row r="9796">
          <cell r="C9796">
            <v>4016534</v>
          </cell>
          <cell r="D9796" t="str">
            <v>***WĘDZ.MORLIŃSKA 1ST TRM OK10KG KT MOR</v>
          </cell>
        </row>
        <row r="9797">
          <cell r="C9797">
            <v>3016585</v>
          </cell>
          <cell r="D9797" t="str">
            <v>***BALERON GOT.AS</v>
          </cell>
        </row>
        <row r="9798">
          <cell r="C9798">
            <v>3016586</v>
          </cell>
          <cell r="D9798" t="str">
            <v>***BALERON GOT.S BS</v>
          </cell>
        </row>
        <row r="9799">
          <cell r="C9799">
            <v>4004198</v>
          </cell>
          <cell r="D9799" t="str">
            <v>***BALERON GOTOWANY S VAC 0.5KG</v>
          </cell>
        </row>
        <row r="9800">
          <cell r="C9800">
            <v>4009333</v>
          </cell>
          <cell r="D9800" t="str">
            <v>***BALERON GOT.OK.500G VAC OK.15KG KT K</v>
          </cell>
        </row>
        <row r="9801">
          <cell r="C9801">
            <v>4005423</v>
          </cell>
          <cell r="D9801" t="str">
            <v>***BALERON Z GOSPODY VAC PORCJA T</v>
          </cell>
        </row>
        <row r="9802">
          <cell r="C9802">
            <v>4006436</v>
          </cell>
          <cell r="D9802" t="str">
            <v>***BALERON GOTOWANY OK. 500G VAC KP</v>
          </cell>
        </row>
        <row r="9803">
          <cell r="C9803">
            <v>4007859</v>
          </cell>
          <cell r="D9803" t="str">
            <v>***BALERON GOT.OK.400-500G VAC EX L</v>
          </cell>
        </row>
        <row r="9804">
          <cell r="C9804">
            <v>4008250</v>
          </cell>
          <cell r="D9804" t="str">
            <v>***BAL.GOT.PC OK0.5KGVAC 4KGKT N</v>
          </cell>
        </row>
        <row r="9805">
          <cell r="C9805">
            <v>4008676</v>
          </cell>
          <cell r="D9805" t="str">
            <v>***BALERON GOT.OK.500G VAC OK.5KG KT Y</v>
          </cell>
        </row>
        <row r="9806">
          <cell r="C9806">
            <v>4008673</v>
          </cell>
          <cell r="D9806" t="str">
            <v>***BALERON GOT.OK500G VAC OK 5KG KT ANG</v>
          </cell>
        </row>
        <row r="9807">
          <cell r="C9807">
            <v>4004200</v>
          </cell>
          <cell r="D9807" t="str">
            <v>***BALERON GOTOWANY S VAC 1/2SZT</v>
          </cell>
        </row>
        <row r="9808">
          <cell r="C9808">
            <v>4001074</v>
          </cell>
          <cell r="D9808" t="str">
            <v>***BALERON GOT.1ST TRM OK.15KG KT</v>
          </cell>
        </row>
        <row r="9809">
          <cell r="C9809">
            <v>4004201</v>
          </cell>
          <cell r="D9809" t="str">
            <v>***BALERON GOT.1STTRM OK15KGKT MOR</v>
          </cell>
        </row>
        <row r="9810">
          <cell r="C9810">
            <v>4009334</v>
          </cell>
          <cell r="D9810" t="str">
            <v>***BALERON GOT.1ST TRM OK.15KG KT KAARLI</v>
          </cell>
        </row>
        <row r="9811">
          <cell r="C9811">
            <v>4009965</v>
          </cell>
          <cell r="D9811" t="str">
            <v>***BALERON GOTOW.1ST TRM OK.15KG KT PP</v>
          </cell>
        </row>
        <row r="9812">
          <cell r="C9812">
            <v>4004202</v>
          </cell>
          <cell r="D9812" t="str">
            <v>***BALERON GOTOWANY VAC 1SZT POL.PRZYSM.</v>
          </cell>
        </row>
        <row r="9813">
          <cell r="C9813">
            <v>4013426</v>
          </cell>
          <cell r="D9813" t="str">
            <v>***BALERON GOT.1STTRM OK10KGKT SP</v>
          </cell>
        </row>
        <row r="9814">
          <cell r="C9814">
            <v>4004203</v>
          </cell>
          <cell r="D9814" t="str">
            <v>***BALERON GOTOWANY VAC K</v>
          </cell>
        </row>
        <row r="9815">
          <cell r="C9815">
            <v>4008672</v>
          </cell>
          <cell r="D9815" t="str">
            <v>***BALERON GOT.1ST TRM OK15KG KT ŁO</v>
          </cell>
        </row>
        <row r="9816">
          <cell r="C9816">
            <v>4001891</v>
          </cell>
          <cell r="D9816" t="str">
            <v>***BALERON GOTOWANY 1SZT VAC</v>
          </cell>
        </row>
        <row r="9817">
          <cell r="C9817">
            <v>4001892</v>
          </cell>
          <cell r="D9817" t="str">
            <v>***BALERON GOT.1STVAC EX</v>
          </cell>
        </row>
        <row r="9818">
          <cell r="C9818">
            <v>4001893</v>
          </cell>
          <cell r="D9818" t="str">
            <v>***BALERON GOTOWANY D 1SZT VAC EX</v>
          </cell>
        </row>
        <row r="9819">
          <cell r="C9819">
            <v>4001894</v>
          </cell>
          <cell r="D9819" t="str">
            <v>***BALERON 1SZT VAC EX</v>
          </cell>
        </row>
        <row r="9820">
          <cell r="C9820">
            <v>4006203</v>
          </cell>
          <cell r="D9820" t="str">
            <v>***BALERON ARO OK.1KG VAC M</v>
          </cell>
        </row>
        <row r="9821">
          <cell r="C9821">
            <v>4007750</v>
          </cell>
          <cell r="D9821" t="str">
            <v>***BALERON 1SZT VAC P EX</v>
          </cell>
        </row>
        <row r="9822">
          <cell r="C9822">
            <v>4008171</v>
          </cell>
          <cell r="D9822" t="str">
            <v>***BALERON GOT.1STTRM OK15KGKT YANO</v>
          </cell>
        </row>
        <row r="9823">
          <cell r="C9823">
            <v>4008240</v>
          </cell>
          <cell r="D9823" t="str">
            <v>***BALERON GOT.1ST TRM OK15KT KOR</v>
          </cell>
        </row>
        <row r="9824">
          <cell r="C9824">
            <v>3014297</v>
          </cell>
          <cell r="D9824" t="str">
            <v>***BALERON WĘDZ.PARZ.AS</v>
          </cell>
        </row>
        <row r="9825">
          <cell r="C9825">
            <v>3014298</v>
          </cell>
          <cell r="D9825" t="str">
            <v>***BALERON WĘDZ.PARZ.BS</v>
          </cell>
        </row>
        <row r="9826">
          <cell r="C9826">
            <v>4010531</v>
          </cell>
          <cell r="D9826" t="str">
            <v>***BALERON OK.0.5KG VAC OK.8KG KT K</v>
          </cell>
        </row>
        <row r="9827">
          <cell r="C9827">
            <v>4010530</v>
          </cell>
          <cell r="D9827" t="str">
            <v>***BALERON OK0.5KGVAC OK8KGKT CON.</v>
          </cell>
        </row>
        <row r="9828">
          <cell r="C9828">
            <v>4010784</v>
          </cell>
          <cell r="D9828" t="str">
            <v>***BALERON 1/2STTRM OK6KGKT MOR</v>
          </cell>
        </row>
        <row r="9829">
          <cell r="C9829">
            <v>4016469</v>
          </cell>
          <cell r="D9829" t="str">
            <v>***BALERON 1ST TRM OK10KG KT MOR</v>
          </cell>
        </row>
        <row r="9830">
          <cell r="C9830">
            <v>3023411</v>
          </cell>
          <cell r="D9830" t="str">
            <v>***KARCZEK WP.WĘDZ.PARZ.</v>
          </cell>
        </row>
        <row r="9831">
          <cell r="C9831">
            <v>3023412</v>
          </cell>
          <cell r="D9831" t="str">
            <v>***KARCZEK WP.WĘDZ.PARZ.BS</v>
          </cell>
        </row>
        <row r="9832">
          <cell r="C9832">
            <v>4015468</v>
          </cell>
          <cell r="D9832" t="str">
            <v>***KARCZEK WP.WĘDZ.OK400G VAC JMP</v>
          </cell>
        </row>
        <row r="9833">
          <cell r="C9833">
            <v>3034096</v>
          </cell>
          <cell r="D9833" t="str">
            <v>BAL.WĘDZ.PARZ.AS</v>
          </cell>
        </row>
        <row r="9834">
          <cell r="C9834">
            <v>3034092</v>
          </cell>
          <cell r="D9834" t="str">
            <v>BAL.WĘDZ.PARZ.BS</v>
          </cell>
        </row>
        <row r="9835">
          <cell r="C9835">
            <v>4022841</v>
          </cell>
          <cell r="D9835" t="str">
            <v>***BAL.WĘDZ.PARZ.OK450GVAC OK6KGKT MOR</v>
          </cell>
        </row>
        <row r="9836">
          <cell r="C9836">
            <v>4027269</v>
          </cell>
          <cell r="D9836" t="str">
            <v>***BAL.WĘDZ.PARZ.OK450GVAC OK4.5KGKT MOR</v>
          </cell>
        </row>
        <row r="9837">
          <cell r="C9837">
            <v>4028697</v>
          </cell>
          <cell r="D9837" t="str">
            <v>***BAL.WĘDZ.PARZ.OK450GVAC 6KGKT MOR</v>
          </cell>
        </row>
        <row r="9838">
          <cell r="C9838">
            <v>4009859</v>
          </cell>
          <cell r="D9838" t="str">
            <v>***WYBORNA PRZEK.WĘDZ.180G MAP 14ST KT R</v>
          </cell>
        </row>
        <row r="9839">
          <cell r="C9839">
            <v>3016587</v>
          </cell>
          <cell r="D9839" t="str">
            <v>BOCZ.MOC.WĘDZ.AS</v>
          </cell>
        </row>
        <row r="9840">
          <cell r="C9840">
            <v>3016588</v>
          </cell>
          <cell r="D9840" t="str">
            <v>BOCZ.MOC.WĘDZ.BS</v>
          </cell>
        </row>
        <row r="9841">
          <cell r="C9841">
            <v>4004204</v>
          </cell>
          <cell r="D9841" t="str">
            <v>*BOCZ.MOCNO WĘDZ.OK.400G VAC OK.5KG KT Y</v>
          </cell>
        </row>
        <row r="9842">
          <cell r="C9842">
            <v>4009911</v>
          </cell>
          <cell r="D9842" t="str">
            <v>BOCZ.MOC.WĘDZ.OK400GVAC OK5KGKT R</v>
          </cell>
        </row>
        <row r="9843">
          <cell r="C9843">
            <v>4001895</v>
          </cell>
          <cell r="D9843" t="str">
            <v>***BOCZ.MOC.WĘDZ.1/2SZTVAC OK5KGKT CON</v>
          </cell>
        </row>
        <row r="9844">
          <cell r="C9844">
            <v>4001896</v>
          </cell>
          <cell r="D9844" t="str">
            <v>***BOCZEK MOCNO WĘDZ.VAC 400-500G</v>
          </cell>
        </row>
        <row r="9845">
          <cell r="C9845">
            <v>4001897</v>
          </cell>
          <cell r="D9845" t="str">
            <v>***BOCZ.NA KANAPKĘ OK450GVAC OK3KGKT MOR</v>
          </cell>
        </row>
        <row r="9846">
          <cell r="C9846">
            <v>4012494</v>
          </cell>
          <cell r="D9846" t="str">
            <v>BOCZ.Z KOMINA OK450GVAC OK3KGKT EX</v>
          </cell>
        </row>
        <row r="9847">
          <cell r="C9847">
            <v>4001898</v>
          </cell>
          <cell r="D9847" t="str">
            <v>***BOCZ.MOC.WĘDZ.1/2STTRMOK15KGKT CON EX</v>
          </cell>
        </row>
        <row r="9848">
          <cell r="C9848">
            <v>4001899</v>
          </cell>
          <cell r="D9848" t="str">
            <v>***BOCZEK MOCNO WĘDZONY 1/2SZT VAC D EX</v>
          </cell>
        </row>
        <row r="9849">
          <cell r="C9849">
            <v>4001900</v>
          </cell>
          <cell r="D9849" t="str">
            <v>***BOCZ.MOCNO WĘDZ.1/2STVAC MK EX</v>
          </cell>
        </row>
        <row r="9850">
          <cell r="C9850">
            <v>4004205</v>
          </cell>
          <cell r="D9850" t="str">
            <v>***BOCZ.MOCN.WĘDZ.1/2ST TRM OK5KG KT SŁO</v>
          </cell>
        </row>
        <row r="9851">
          <cell r="C9851">
            <v>4005692</v>
          </cell>
          <cell r="D9851" t="str">
            <v>***BOCZEK MOCNO WĘDZONY 1/2SZT VAC E EX</v>
          </cell>
        </row>
        <row r="9852">
          <cell r="C9852">
            <v>4006092</v>
          </cell>
          <cell r="D9852" t="str">
            <v>***BOCZ.MOC.WĘDZ.1/2STVAC OK15KGKT MOR</v>
          </cell>
        </row>
        <row r="9853">
          <cell r="C9853">
            <v>4006548</v>
          </cell>
          <cell r="D9853" t="str">
            <v>***BOCZEK MOCNO WĘDZONY 1/2SZT VAC CZ</v>
          </cell>
        </row>
        <row r="9854">
          <cell r="C9854">
            <v>4006550</v>
          </cell>
          <cell r="D9854" t="str">
            <v>***BOCZ.MOCNO WĘDZ.1/2ST VAC EXP</v>
          </cell>
        </row>
        <row r="9855">
          <cell r="C9855">
            <v>4007436</v>
          </cell>
          <cell r="D9855" t="str">
            <v>***BOCZ.MOCNO WĘDZ.1/2STVAC EX E</v>
          </cell>
        </row>
        <row r="9856">
          <cell r="C9856">
            <v>4007463</v>
          </cell>
          <cell r="D9856" t="str">
            <v>***BOCZ.MOCNO WĘDZ.1/2SZT VAC EX SŁ</v>
          </cell>
        </row>
        <row r="9857">
          <cell r="C9857">
            <v>4007571</v>
          </cell>
          <cell r="D9857" t="str">
            <v>***BOCZEK MOCNO WĘDZ.1/2SZT VAC EXP G</v>
          </cell>
        </row>
        <row r="9858">
          <cell r="C9858">
            <v>4007712</v>
          </cell>
          <cell r="D9858" t="str">
            <v>***BOCZEK MOCNO WĘDZ.1/2SZT VAC EXP EV</v>
          </cell>
        </row>
        <row r="9859">
          <cell r="C9859">
            <v>4007739</v>
          </cell>
          <cell r="D9859" t="str">
            <v>***BOCZEK MOCNO WĘDZONY VAC EX</v>
          </cell>
        </row>
        <row r="9860">
          <cell r="C9860">
            <v>4008891</v>
          </cell>
          <cell r="D9860" t="str">
            <v>***BOCZ.MOCNO WĘDZ.1/2 ST.TRMOK5KGKTANG</v>
          </cell>
        </row>
        <row r="9861">
          <cell r="C9861">
            <v>4009017</v>
          </cell>
          <cell r="D9861" t="str">
            <v>***BOCZ.MOCNO WĘDZ.1/2ST.TRM OK6KGKT ŁOT</v>
          </cell>
        </row>
        <row r="9862">
          <cell r="C9862">
            <v>4022709</v>
          </cell>
          <cell r="D9862" t="str">
            <v>BOCZ.MOC.WĘDZ.1/2STVAC OK10KGKT MOR</v>
          </cell>
        </row>
        <row r="9863">
          <cell r="C9863">
            <v>3016244</v>
          </cell>
          <cell r="D9863" t="str">
            <v>***BOCZ.ROLOWANY WĘDZ.PARZ.</v>
          </cell>
        </row>
        <row r="9864">
          <cell r="C9864">
            <v>3016889</v>
          </cell>
          <cell r="D9864" t="str">
            <v>***BOCZ.ROLOWANY WĘDZ.PARZ.BS</v>
          </cell>
        </row>
        <row r="9865">
          <cell r="C9865">
            <v>4011247</v>
          </cell>
          <cell r="D9865" t="str">
            <v>***BOCZ.ROLOWANY OK400G VAC OK5KG KT</v>
          </cell>
        </row>
        <row r="9866">
          <cell r="C9866">
            <v>4011246</v>
          </cell>
          <cell r="D9866" t="str">
            <v>***BOCZ.ROLOWANY 1ST TRM OK5KG KT</v>
          </cell>
        </row>
        <row r="9867">
          <cell r="C9867">
            <v>3018891</v>
          </cell>
          <cell r="D9867" t="str">
            <v>***BOCZ.KOPCONY AS</v>
          </cell>
        </row>
        <row r="9868">
          <cell r="C9868">
            <v>3018890</v>
          </cell>
          <cell r="D9868" t="str">
            <v>***BOCZ.KOPCONY BS</v>
          </cell>
        </row>
        <row r="9869">
          <cell r="C9869">
            <v>4013146</v>
          </cell>
          <cell r="D9869" t="str">
            <v>***BOCZ.KOPCONY OK400GVAC OK6KGKT MOR</v>
          </cell>
        </row>
        <row r="9870">
          <cell r="C9870">
            <v>4016324</v>
          </cell>
          <cell r="D9870" t="str">
            <v>***BOCZ.WĘDZ.PARZ.OK400G AC OK3KGKT MOR</v>
          </cell>
        </row>
        <row r="9871">
          <cell r="C9871">
            <v>4013147</v>
          </cell>
          <cell r="D9871" t="str">
            <v>***BOCZ.KOPCONY 1/2STTRM OK6KGKT MOR</v>
          </cell>
        </row>
        <row r="9872">
          <cell r="C9872">
            <v>3021005</v>
          </cell>
          <cell r="D9872" t="str">
            <v>***BOCZ.WEDZ.Z.SK.MOR</v>
          </cell>
        </row>
        <row r="9873">
          <cell r="C9873">
            <v>3021004</v>
          </cell>
          <cell r="D9873" t="str">
            <v>***BOCZ.WĘDZ.Z/SK.MOR BS</v>
          </cell>
        </row>
        <row r="9874">
          <cell r="C9874">
            <v>4013771</v>
          </cell>
          <cell r="D9874" t="str">
            <v>***BOCZ.WĘDZ.1ST MAP OK5KG KT MOR</v>
          </cell>
        </row>
        <row r="9875">
          <cell r="C9875">
            <v>3021007</v>
          </cell>
          <cell r="D9875" t="str">
            <v>BOCZ.WĘDZ.PARZ.MOR AS</v>
          </cell>
        </row>
        <row r="9876">
          <cell r="C9876">
            <v>3021006</v>
          </cell>
          <cell r="D9876" t="str">
            <v>BOCZ.WĘDZ.PARZ.MOR BS</v>
          </cell>
        </row>
        <row r="9877">
          <cell r="C9877">
            <v>4013772</v>
          </cell>
          <cell r="D9877" t="str">
            <v>***BOCZ.WĘDZ.PARZ.1ST MAP OK5KG KT MOR</v>
          </cell>
        </row>
        <row r="9878">
          <cell r="C9878">
            <v>4016405</v>
          </cell>
          <cell r="D9878" t="str">
            <v>***BOCZ.WĘDZ.PARZ.1STTRM OK15KGKT MOR</v>
          </cell>
        </row>
        <row r="9879">
          <cell r="C9879">
            <v>4016761</v>
          </cell>
          <cell r="D9879" t="str">
            <v>BOCZ.CARSKI MAX.1KGVAC OK10KGKT EX RO</v>
          </cell>
        </row>
        <row r="9880">
          <cell r="C9880">
            <v>4017108</v>
          </cell>
          <cell r="D9880" t="str">
            <v>***BOCZ.CARSKI 1STVAC OK10KGKT EX RO</v>
          </cell>
        </row>
        <row r="9881">
          <cell r="C9881">
            <v>4017734</v>
          </cell>
          <cell r="D9881" t="str">
            <v>BOCZ.CARSKI 1/2STVAC OK6KGKT MOR</v>
          </cell>
        </row>
        <row r="9882">
          <cell r="C9882">
            <v>4018339</v>
          </cell>
          <cell r="D9882" t="str">
            <v>***BOCZ.PS 1/2STVAC OK7KGKT BIED</v>
          </cell>
        </row>
        <row r="9883">
          <cell r="C9883">
            <v>4022073</v>
          </cell>
          <cell r="D9883" t="str">
            <v>BOCZ.CARSKI 1STVAC OK15KGKT MOR</v>
          </cell>
        </row>
        <row r="9884">
          <cell r="C9884">
            <v>4022708</v>
          </cell>
          <cell r="D9884" t="str">
            <v>***BOCZ.CARSKI 1STVAC OK10KGKT MOR</v>
          </cell>
        </row>
        <row r="9885">
          <cell r="C9885">
            <v>4023355</v>
          </cell>
          <cell r="D9885" t="str">
            <v>***BOCZ.CARSKI 1STVAC OK15KGKT MOR EX</v>
          </cell>
        </row>
        <row r="9886">
          <cell r="C9886">
            <v>4025296</v>
          </cell>
          <cell r="D9886" t="str">
            <v>***BOCZ.CARSKI OK500GVAC 7STKT ELIT</v>
          </cell>
        </row>
        <row r="9887">
          <cell r="C9887">
            <v>4025456</v>
          </cell>
          <cell r="D9887" t="str">
            <v>BOCZ.CARSKI OK500GVAC 7STKT ELIT II</v>
          </cell>
        </row>
        <row r="9888">
          <cell r="C9888">
            <v>4026056</v>
          </cell>
          <cell r="D9888" t="str">
            <v>BOCZ.CARSKI OK700GVAC 6KGKT MOR</v>
          </cell>
        </row>
        <row r="9889">
          <cell r="C9889">
            <v>4030860</v>
          </cell>
          <cell r="D9889" t="str">
            <v>BOCZ.CARSKI OK500GVAC 7STKT ELIT III</v>
          </cell>
        </row>
        <row r="9890">
          <cell r="C9890">
            <v>3016697</v>
          </cell>
          <cell r="D9890" t="str">
            <v>BOCZ.OKOPC.AS</v>
          </cell>
        </row>
        <row r="9891">
          <cell r="C9891">
            <v>3016703</v>
          </cell>
          <cell r="D9891" t="str">
            <v>BOCZ.OKOPC.BS</v>
          </cell>
        </row>
        <row r="9892">
          <cell r="C9892">
            <v>4013595</v>
          </cell>
          <cell r="D9892" t="str">
            <v>***BOCZ.OKOPCONY OK500GVACOK5KGKT MOR EX</v>
          </cell>
        </row>
        <row r="9893">
          <cell r="C9893">
            <v>4009354</v>
          </cell>
          <cell r="D9893" t="str">
            <v>BOCZ.OKOPC.OK500GVAC OK5KGKT EX</v>
          </cell>
        </row>
        <row r="9894">
          <cell r="C9894">
            <v>4009087</v>
          </cell>
          <cell r="D9894" t="str">
            <v>***BOCZ.OKOPCONY OK500G VACOK6KG KT TESC</v>
          </cell>
        </row>
        <row r="9895">
          <cell r="C9895">
            <v>4007530</v>
          </cell>
          <cell r="D9895" t="str">
            <v>***BOCZ.OKOPCONY GOT.OK0.5KGKT OK5KGKT K</v>
          </cell>
        </row>
        <row r="9896">
          <cell r="C9896">
            <v>4008549</v>
          </cell>
          <cell r="D9896" t="str">
            <v>***BOCZ.OKOPCONY OK500GVAC OK5KG KT AUCH</v>
          </cell>
        </row>
        <row r="9897">
          <cell r="C9897">
            <v>4008601</v>
          </cell>
          <cell r="D9897" t="str">
            <v>***BOCZ.OKOPCONY 500G VAC OK 6KG KT ROS</v>
          </cell>
        </row>
        <row r="9898">
          <cell r="C9898">
            <v>4012621</v>
          </cell>
          <cell r="D9898" t="str">
            <v>***BOCZ.OKOPC.OK500GVAC OK5KGKT MOR EX</v>
          </cell>
        </row>
        <row r="9899">
          <cell r="C9899">
            <v>4013338</v>
          </cell>
          <cell r="D9899" t="str">
            <v>***BOCZ.OKOPCONY OK500GVAC OK5KGKT LT</v>
          </cell>
        </row>
        <row r="9900">
          <cell r="C9900">
            <v>4013939</v>
          </cell>
          <cell r="D9900" t="str">
            <v>BOCZ.OKOPC.OK500GVAC OK3KGKT MOR EX</v>
          </cell>
        </row>
        <row r="9901">
          <cell r="C9901">
            <v>4014336</v>
          </cell>
          <cell r="D9901" t="str">
            <v>***BOCZ.OKOPC.OK500GVAC 5STKT MOR EX GB</v>
          </cell>
        </row>
        <row r="9902">
          <cell r="C9902">
            <v>4015834</v>
          </cell>
          <cell r="D9902" t="str">
            <v>***BOCZ.OKOPC.OK500GVAC 5STKT MOR EX</v>
          </cell>
        </row>
        <row r="9903">
          <cell r="C9903">
            <v>4019079</v>
          </cell>
          <cell r="D9903" t="str">
            <v>***BOCZ.OKOPCONY OK500GVAC OK5KGKT EX LT</v>
          </cell>
        </row>
        <row r="9904">
          <cell r="C9904">
            <v>4019522</v>
          </cell>
          <cell r="D9904" t="str">
            <v>***BOCZ.OKOPC.OK500GVAC OK5KGKT EX LV/EE</v>
          </cell>
        </row>
        <row r="9905">
          <cell r="C9905">
            <v>4009633</v>
          </cell>
          <cell r="D9905" t="str">
            <v>***BOCZ.OKOPCONY GOT.1/2STTRM OK6KGKT SŁ</v>
          </cell>
        </row>
        <row r="9906">
          <cell r="C9906">
            <v>4011010</v>
          </cell>
          <cell r="D9906" t="str">
            <v>***BOCZ.OKOPCONY 1/2STTRM OK15KGKT EX</v>
          </cell>
        </row>
        <row r="9907">
          <cell r="C9907">
            <v>4007651</v>
          </cell>
          <cell r="D9907" t="str">
            <v>BOCZ.OKOPC.GOT.1/2STTRM 15KG KT CZ</v>
          </cell>
        </row>
        <row r="9908">
          <cell r="C9908">
            <v>4008036</v>
          </cell>
          <cell r="D9908" t="str">
            <v>***BOCZ.OKOPCONY 1/2ST TRM OK15KG KT YAN</v>
          </cell>
        </row>
        <row r="9909">
          <cell r="C9909">
            <v>4008073</v>
          </cell>
          <cell r="D9909" t="str">
            <v>***BOCZ.OKOPCONY GOTOWANY 1/2 VAC EX MC</v>
          </cell>
        </row>
        <row r="9910">
          <cell r="C9910">
            <v>4008555</v>
          </cell>
          <cell r="D9910" t="str">
            <v>***BOCZ.OKOPCONY 1/2ST.TRM KT OK6KG ECO</v>
          </cell>
        </row>
        <row r="9911">
          <cell r="C9911">
            <v>4008600</v>
          </cell>
          <cell r="D9911" t="str">
            <v>***BOCZ.OKOPCONY 1/2ST.TRM OK 6KG KT ROS</v>
          </cell>
        </row>
        <row r="9912">
          <cell r="C9912">
            <v>4014226</v>
          </cell>
          <cell r="D9912" t="str">
            <v>***BOCZ.CYGAŃSKI 1/2STTRM OK15KGKT BT</v>
          </cell>
        </row>
        <row r="9913">
          <cell r="C9913">
            <v>3021246</v>
          </cell>
          <cell r="D9913" t="str">
            <v>***BOCZ.Z/SK.FORMOWANY</v>
          </cell>
        </row>
        <row r="9914">
          <cell r="C9914">
            <v>3021245</v>
          </cell>
          <cell r="D9914" t="str">
            <v>***BOCZ.Z/SK.FORMOWANY BS</v>
          </cell>
        </row>
        <row r="9915">
          <cell r="C9915">
            <v>4013913</v>
          </cell>
          <cell r="D9915" t="str">
            <v>***BOCZ.MORLIŃSKI 1/2STTRM OK15KGKT MOR</v>
          </cell>
        </row>
        <row r="9916">
          <cell r="C9916">
            <v>4014833</v>
          </cell>
          <cell r="D9916" t="str">
            <v>***BOCZ.MOR.1/2ST TRM OK15KGKT MOR EX</v>
          </cell>
        </row>
        <row r="9917">
          <cell r="C9917">
            <v>4015002</v>
          </cell>
          <cell r="D9917" t="str">
            <v>***BOCZ.MORL.1/2STTRM OK5KGKT MOR CARR</v>
          </cell>
        </row>
        <row r="9918">
          <cell r="C9918">
            <v>4016330</v>
          </cell>
          <cell r="D9918" t="str">
            <v>***BOCZ.FORM.1/2ST TRM OK15KG KT KOR</v>
          </cell>
        </row>
        <row r="9919">
          <cell r="C9919">
            <v>4016538</v>
          </cell>
          <cell r="D9919" t="str">
            <v>***BOCZ.WĘDZ.PARZ.1/2ST TRM OK10KG KT</v>
          </cell>
        </row>
        <row r="9920">
          <cell r="C9920">
            <v>3016589</v>
          </cell>
          <cell r="D9920" t="str">
            <v>BOCZ.WĘDZ.PARZ.EXT.AS</v>
          </cell>
        </row>
        <row r="9921">
          <cell r="C9921">
            <v>3016590</v>
          </cell>
          <cell r="D9921" t="str">
            <v>BOCZ.WĘDZ.PARZ.EXTRA BS</v>
          </cell>
        </row>
        <row r="9922">
          <cell r="C9922">
            <v>4006297</v>
          </cell>
          <cell r="D9922" t="str">
            <v>***BOCZ.WĘDZ.PARZ.EXTRA LUZ KT</v>
          </cell>
        </row>
        <row r="9923">
          <cell r="C9923">
            <v>4004207</v>
          </cell>
          <cell r="D9923" t="str">
            <v>***BOCZ.WĘDZ.PARZ.EXT.OK0.5KGKT OK5KGKT</v>
          </cell>
        </row>
        <row r="9924">
          <cell r="C9924">
            <v>4001076</v>
          </cell>
          <cell r="D9924" t="str">
            <v>***BOCZEK ŁUSKANY WĘDZONY GOTOWANY</v>
          </cell>
        </row>
        <row r="9925">
          <cell r="C9925">
            <v>4004208</v>
          </cell>
          <cell r="D9925" t="str">
            <v>***BOCZ.WĘDZ.PARZ.EX1/2STVACOK15KG KTCON</v>
          </cell>
        </row>
        <row r="9926">
          <cell r="C9926">
            <v>4004209</v>
          </cell>
          <cell r="D9926" t="str">
            <v>***BOCZ.WĘDZ.PARZ.EX.OK350GVAC OK5KG KT</v>
          </cell>
        </row>
        <row r="9927">
          <cell r="C9927">
            <v>4006804</v>
          </cell>
          <cell r="D9927" t="str">
            <v>***BOCZ.WĘDZ.PARZ.EXTRA OK500GVAC KTEXW</v>
          </cell>
        </row>
        <row r="9928">
          <cell r="C9928">
            <v>4007478</v>
          </cell>
          <cell r="D9928" t="str">
            <v>***BOCZ.WĘDZ.PARZ.EXTRA PC VAC KT EX E</v>
          </cell>
        </row>
        <row r="9929">
          <cell r="C9929">
            <v>4007815</v>
          </cell>
          <cell r="D9929" t="str">
            <v>***BOCZ.WĘDZ.PARZ.EXTRA OK.500GTRM KT EX</v>
          </cell>
        </row>
        <row r="9930">
          <cell r="C9930">
            <v>4008675</v>
          </cell>
          <cell r="D9930" t="str">
            <v>***BOCZ.ŁUSK.WĘDZ.GOT.EXT500GVAC10KGKT Y</v>
          </cell>
        </row>
        <row r="9931">
          <cell r="C9931">
            <v>4009016</v>
          </cell>
          <cell r="D9931" t="str">
            <v>***BOCZ.WĘDZ.PARZ.EXTRA OK350GVAC5KGKT Ł</v>
          </cell>
        </row>
        <row r="9932">
          <cell r="C9932">
            <v>4009066</v>
          </cell>
          <cell r="D9932" t="str">
            <v>***BOCZ.WĘDZ.P.EXTRA OK.350G VAC 5KGKT L</v>
          </cell>
        </row>
        <row r="9933">
          <cell r="C9933">
            <v>4004210</v>
          </cell>
          <cell r="D9933" t="str">
            <v>***BOCZ.WĘDZ.PARZ.EXT.1/2STTRM MK</v>
          </cell>
        </row>
        <row r="9934">
          <cell r="C9934">
            <v>4004211</v>
          </cell>
          <cell r="D9934" t="str">
            <v>***BOCZ.WĘDZ.PARZ.EXT.1/2STTRM KT PP</v>
          </cell>
        </row>
        <row r="9935">
          <cell r="C9935">
            <v>4010939</v>
          </cell>
          <cell r="D9935" t="str">
            <v>***BOCZ.WĘDZ.PARZ.EXTAR 1/2STTRMKTDYSK.</v>
          </cell>
        </row>
        <row r="9936">
          <cell r="C9936">
            <v>4004213</v>
          </cell>
          <cell r="D9936" t="str">
            <v>***BOCZ.WĘDZ.PARZ.EXT.1/2STTRM KT</v>
          </cell>
        </row>
        <row r="9937">
          <cell r="C9937">
            <v>4004214</v>
          </cell>
          <cell r="D9937" t="str">
            <v>***BOCZ.WĘDZ.PARZ.EXT.1/2STTRM OK5GKT UK</v>
          </cell>
        </row>
        <row r="9938">
          <cell r="C9938">
            <v>4001903</v>
          </cell>
          <cell r="D9938" t="str">
            <v>***BOCZ.WĘDZ.PARZ.EXTRA1/2STTRM OK15KGKT</v>
          </cell>
        </row>
        <row r="9939">
          <cell r="C9939">
            <v>4001904</v>
          </cell>
          <cell r="D9939" t="str">
            <v>***BOCZ.WĘDZ.PARZ.EXT1/2STTRMOK15KGKT EP</v>
          </cell>
        </row>
        <row r="9940">
          <cell r="C9940">
            <v>4005424</v>
          </cell>
          <cell r="D9940" t="str">
            <v>***BOCZ.WĘDZ.PARZ.EXT.OK0.8KGTRM KT ARO</v>
          </cell>
        </row>
        <row r="9941">
          <cell r="C9941">
            <v>4006254</v>
          </cell>
          <cell r="D9941" t="str">
            <v>***BOCZ.WĘDZ.PARZ.EXTRA1/2STTRMKTSWOJSCY</v>
          </cell>
        </row>
        <row r="9942">
          <cell r="C9942">
            <v>4009312</v>
          </cell>
          <cell r="D9942" t="str">
            <v>***BOCZ.WĘDZ.PARZ.EXTRA1/2ST TRM OK15KGL</v>
          </cell>
        </row>
        <row r="9943">
          <cell r="C9943">
            <v>4004215</v>
          </cell>
          <cell r="D9943" t="str">
            <v>***BOCZ.WĘDZ.PARZ.EXT.OK0.5KGVAC T</v>
          </cell>
        </row>
        <row r="9944">
          <cell r="C9944">
            <v>4006001</v>
          </cell>
          <cell r="D9944" t="str">
            <v>BOCZ.WĘDZ.PARZ.EXT.OK0.35KGVAC KT EX</v>
          </cell>
        </row>
        <row r="9945">
          <cell r="C9945">
            <v>4006069</v>
          </cell>
          <cell r="D9945" t="str">
            <v>***BOCZ.WĘDZ.PARZ.EXTRA OK0.3KGVAC KT EX</v>
          </cell>
        </row>
        <row r="9946">
          <cell r="C9946">
            <v>4006126</v>
          </cell>
          <cell r="D9946" t="str">
            <v>***BOCZ.WĘDZ.PARZ.EXTRA OK350GVAC KT EX</v>
          </cell>
        </row>
        <row r="9947">
          <cell r="C9947">
            <v>4006266</v>
          </cell>
          <cell r="D9947" t="str">
            <v>***BOCZ.WĘDZ.PARZ.EXTRA OK300GVAC KTEX D</v>
          </cell>
        </row>
        <row r="9948">
          <cell r="C9948">
            <v>4006298</v>
          </cell>
          <cell r="D9948" t="str">
            <v>***BOCZ.WĘDZ.PARZ.EXTRAOK500G VACKT EX L</v>
          </cell>
        </row>
        <row r="9949">
          <cell r="C9949">
            <v>4006379</v>
          </cell>
          <cell r="D9949" t="str">
            <v>***BOCZ.WĘDZ.PARZ.EXTRA OK350GVAC KTEXPP</v>
          </cell>
        </row>
        <row r="9950">
          <cell r="C9950">
            <v>4006442</v>
          </cell>
          <cell r="D9950" t="str">
            <v>***BOCZ.WĘDZ.PARZ.EXT.OK 350GVACKT EXP S</v>
          </cell>
        </row>
        <row r="9951">
          <cell r="C9951">
            <v>4005818</v>
          </cell>
          <cell r="D9951" t="str">
            <v>***BOCZ.WĘDZ.PARZ.EXTRA 1/2ST VAC KT MK</v>
          </cell>
        </row>
        <row r="9952">
          <cell r="C9952">
            <v>4006223</v>
          </cell>
          <cell r="D9952" t="str">
            <v>***BOCZ.WĘDZ.PARZ.EXTRA 1/2STTRM KT EX G</v>
          </cell>
        </row>
        <row r="9953">
          <cell r="C9953">
            <v>4006225</v>
          </cell>
          <cell r="D9953" t="str">
            <v>***BOCZ.WĘDZ.PARZ.EXT.1/2STTRM KT EX GR</v>
          </cell>
        </row>
        <row r="9954">
          <cell r="C9954">
            <v>4006269</v>
          </cell>
          <cell r="D9954" t="str">
            <v>***BOCZ.WĘDZ.PARZ.EXTRA 1/2ST TRM KTEX D</v>
          </cell>
        </row>
        <row r="9955">
          <cell r="C9955">
            <v>4006571</v>
          </cell>
          <cell r="D9955" t="str">
            <v>***BOCZ.WĘDZ.PARZ.EXT.1/2ST TRMKT KORONA</v>
          </cell>
        </row>
        <row r="9956">
          <cell r="C9956">
            <v>4007452</v>
          </cell>
          <cell r="D9956" t="str">
            <v>***BOCZ.WĘDZ.PARZ.EXTRAOK2KG VAC KT EX E</v>
          </cell>
        </row>
        <row r="9957">
          <cell r="C9957">
            <v>4007479</v>
          </cell>
          <cell r="D9957" t="str">
            <v>***BOCZ.WĘDZ.PARZ.EXTRA 1/2STTRM KT EX E</v>
          </cell>
        </row>
        <row r="9958">
          <cell r="C9958">
            <v>4008653</v>
          </cell>
          <cell r="D9958" t="str">
            <v>***BOCZ.WĘDZ.PARZ.EXTRA 1/2ST TRM KT ANG</v>
          </cell>
        </row>
        <row r="9959">
          <cell r="C9959">
            <v>4008656</v>
          </cell>
          <cell r="D9959" t="str">
            <v>***BOCZ.WĘDZ.PARZ.EXTRA 1/2ST TRM KT YAN</v>
          </cell>
        </row>
        <row r="9960">
          <cell r="C9960">
            <v>4022720</v>
          </cell>
          <cell r="D9960" t="str">
            <v>***BOCZ.WĘDZ.PARZ.EXT1/2STTRMOK10KGKTMOR</v>
          </cell>
        </row>
        <row r="9961">
          <cell r="C9961">
            <v>4029078</v>
          </cell>
          <cell r="D9961" t="str">
            <v>BOCZ.MORL.WĘDZ.PARZ.1/2STVAC OK15KGKT</v>
          </cell>
        </row>
        <row r="9962">
          <cell r="C9962">
            <v>3034418</v>
          </cell>
          <cell r="D9962" t="str">
            <v>BOCZ.PARZ.CIE.WĘDZ.</v>
          </cell>
        </row>
        <row r="9963">
          <cell r="C9963">
            <v>3034383</v>
          </cell>
          <cell r="D9963" t="str">
            <v>BOCZ.CIE.WĘDZ.PARZ.BS</v>
          </cell>
        </row>
        <row r="9964">
          <cell r="C9964">
            <v>4023141</v>
          </cell>
          <cell r="D9964" t="str">
            <v>***BOCZ.MORL.WĘDZ.PARZ.1STVAC OK10KGKT</v>
          </cell>
        </row>
        <row r="9965">
          <cell r="C9965">
            <v>3016591</v>
          </cell>
          <cell r="D9965" t="str">
            <v>BOCZ.Z/S.WĘDZ.AS</v>
          </cell>
        </row>
        <row r="9966">
          <cell r="C9966">
            <v>3016592</v>
          </cell>
          <cell r="D9966" t="str">
            <v>BOCZ.WĘDZ.Z/SK.BS</v>
          </cell>
        </row>
        <row r="9967">
          <cell r="C9967">
            <v>4006295</v>
          </cell>
          <cell r="D9967" t="str">
            <v>***BOCZ.WĘDZ. LUZ KT</v>
          </cell>
        </row>
        <row r="9968">
          <cell r="C9968">
            <v>4010028</v>
          </cell>
          <cell r="D9968" t="str">
            <v>***BOCZ.WĘDZ.OK1KG VAC OK5KG K</v>
          </cell>
        </row>
        <row r="9969">
          <cell r="C9969">
            <v>4010626</v>
          </cell>
          <cell r="D9969" t="str">
            <v>***BOCZ.WĘDZ.OK.450G VAC 6KG KT LIDL</v>
          </cell>
        </row>
        <row r="9970">
          <cell r="C9970">
            <v>4006574</v>
          </cell>
          <cell r="D9970" t="str">
            <v>***BOCZ.WĘDZ.VAC KP</v>
          </cell>
        </row>
        <row r="9971">
          <cell r="C9971">
            <v>4004216</v>
          </cell>
          <cell r="D9971" t="str">
            <v>***BOCZ.WĘDZ.1/2STTRM OK5KGKT</v>
          </cell>
        </row>
        <row r="9972">
          <cell r="C9972">
            <v>4004217</v>
          </cell>
          <cell r="D9972" t="str">
            <v>***BOCZ.WĘDZ.VAC OK.5KG KT K</v>
          </cell>
        </row>
        <row r="9973">
          <cell r="C9973">
            <v>4011065</v>
          </cell>
          <cell r="D9973" t="str">
            <v>***BOCZ.WĘDZ.1/2STTRM OK5KGKT ECS</v>
          </cell>
        </row>
        <row r="9974">
          <cell r="C9974">
            <v>4004218</v>
          </cell>
          <cell r="D9974" t="str">
            <v>***BOCZ.WĘDZ.1/2ST TRM OK15KG KT M</v>
          </cell>
        </row>
        <row r="9975">
          <cell r="C9975">
            <v>4005425</v>
          </cell>
          <cell r="D9975" t="str">
            <v>***BOCZ.WĘDZ.1/2ST TRM OK10KG KT SWOJ</v>
          </cell>
        </row>
        <row r="9976">
          <cell r="C9976">
            <v>4006424</v>
          </cell>
          <cell r="D9976" t="str">
            <v>***BOCZ.WĘDZ. 1/2ST TRM OK 5KG KT DYS.</v>
          </cell>
        </row>
        <row r="9977">
          <cell r="C9977">
            <v>4006572</v>
          </cell>
          <cell r="D9977" t="str">
            <v>***BOCZ.WĘDZ.1/2 ST TRM OK 5KG KT KORONA</v>
          </cell>
        </row>
        <row r="9978">
          <cell r="C9978">
            <v>4013685</v>
          </cell>
          <cell r="D9978" t="str">
            <v>***BOCZ.WĘDZ.1/2STTRM OK10KGKT SP</v>
          </cell>
        </row>
        <row r="9979">
          <cell r="C9979">
            <v>4024212</v>
          </cell>
          <cell r="D9979" t="str">
            <v>***BOCZ.WĘDZ.OK450GVAC OK6KGKT BIED</v>
          </cell>
        </row>
        <row r="9980">
          <cell r="C9980">
            <v>4024213</v>
          </cell>
          <cell r="D9980" t="str">
            <v>***BOCZ.WĘDZ.OK400GVAC  5KGKT MOR</v>
          </cell>
        </row>
        <row r="9981">
          <cell r="C9981">
            <v>4024327</v>
          </cell>
          <cell r="D9981" t="str">
            <v>BOCZ.WĘDZ.OK2KGVAC OK10KGKT MOR</v>
          </cell>
        </row>
        <row r="9982">
          <cell r="C9982">
            <v>4024798</v>
          </cell>
          <cell r="D9982" t="str">
            <v>***BOCZ.WĘDZ.OK2KGVAC OK10KGKT GOB</v>
          </cell>
        </row>
        <row r="9983">
          <cell r="C9983">
            <v>3012535</v>
          </cell>
          <cell r="D9983" t="str">
            <v>***BOCZ.WĘDZ.PARZ.Z/SK.</v>
          </cell>
        </row>
        <row r="9984">
          <cell r="C9984">
            <v>3012534</v>
          </cell>
          <cell r="D9984" t="str">
            <v>***BOCZ.WĘDZ.PARZ.Z/SK.BS</v>
          </cell>
        </row>
        <row r="9985">
          <cell r="C9985">
            <v>4010040</v>
          </cell>
          <cell r="D9985" t="str">
            <v>***BOCZ.WĘDZ.PARZ.1/2ST TRM OK15KG KT</v>
          </cell>
        </row>
        <row r="9986">
          <cell r="C9986">
            <v>4010990</v>
          </cell>
          <cell r="D9986" t="str">
            <v>***BOCZ.WĘDZ.PARZ.1/2ST TRM OK9KGKTKAUF</v>
          </cell>
        </row>
        <row r="9987">
          <cell r="C9987">
            <v>3021044</v>
          </cell>
          <cell r="D9987" t="str">
            <v>BOCZ.B/S.WĘDZ.AS</v>
          </cell>
        </row>
        <row r="9988">
          <cell r="C9988">
            <v>3021045</v>
          </cell>
          <cell r="D9988" t="str">
            <v>BOCZ.WĘDZ.B/S.BS</v>
          </cell>
        </row>
        <row r="9989">
          <cell r="C9989">
            <v>3021047</v>
          </cell>
          <cell r="D9989" t="str">
            <v>BOCZ.WĘDZ.B/S OK20KG PJ ST</v>
          </cell>
        </row>
        <row r="9990">
          <cell r="C9990">
            <v>3007288</v>
          </cell>
          <cell r="D9990" t="str">
            <v>BOCZEK CARSKI</v>
          </cell>
        </row>
        <row r="9991">
          <cell r="C9991">
            <v>3007289</v>
          </cell>
          <cell r="D9991" t="str">
            <v>BOCZ.CARSKI BS</v>
          </cell>
        </row>
        <row r="9992">
          <cell r="C9992">
            <v>4015411</v>
          </cell>
          <cell r="D9992" t="str">
            <v>***BOCZEK CARSKI 1ST VAC OK10KG KT</v>
          </cell>
        </row>
        <row r="9993">
          <cell r="C9993">
            <v>4016108</v>
          </cell>
          <cell r="D9993" t="str">
            <v>***BOCZ.CARSKI 1ST VAC OK10KG KT EX RO</v>
          </cell>
        </row>
        <row r="9994">
          <cell r="C9994">
            <v>3016593</v>
          </cell>
          <cell r="D9994" t="str">
            <v>***WĘDZONKA BOCZ.AS</v>
          </cell>
        </row>
        <row r="9995">
          <cell r="C9995">
            <v>3016594</v>
          </cell>
          <cell r="D9995" t="str">
            <v>***BS WEDZONKA BOCZKOWA</v>
          </cell>
        </row>
        <row r="9996">
          <cell r="C9996">
            <v>4004219</v>
          </cell>
          <cell r="D9996" t="str">
            <v>***WĘDZONKA STAROPOL.VAC OK.0.6KG T</v>
          </cell>
        </row>
        <row r="9997">
          <cell r="C9997">
            <v>4004221</v>
          </cell>
          <cell r="D9997" t="str">
            <v>***WĘDZONKA Z BECZKI VAC OK.0.5KGR</v>
          </cell>
        </row>
        <row r="9998">
          <cell r="C9998">
            <v>4006271</v>
          </cell>
          <cell r="D9998" t="str">
            <v>***WĘDZONKA WIEJSKA OK0.5KGVAC T</v>
          </cell>
        </row>
        <row r="9999">
          <cell r="C9999">
            <v>4006592</v>
          </cell>
          <cell r="D9999" t="str">
            <v>***WĘDZONKA RODZINNA PORCJE 0.5KG VAC T</v>
          </cell>
        </row>
        <row r="10000">
          <cell r="C10000">
            <v>4007500</v>
          </cell>
          <cell r="D10000" t="str">
            <v>***WĘDZONKA BOCZKOWA OK.500G VAC EX E</v>
          </cell>
        </row>
        <row r="10001">
          <cell r="C10001">
            <v>4007501</v>
          </cell>
          <cell r="D10001" t="str">
            <v>***WĘDZONKA BOCZKOWA OK.500G VAC EX G</v>
          </cell>
        </row>
        <row r="10002">
          <cell r="C10002">
            <v>4007536</v>
          </cell>
          <cell r="D10002" t="str">
            <v>***WĘDZONKA BOCZKOWA OK.500G VAC EXP. P</v>
          </cell>
        </row>
        <row r="10003">
          <cell r="C10003">
            <v>4007644</v>
          </cell>
          <cell r="D10003" t="str">
            <v>***WĘDZONKA BOCZKOWA OK.500G VAC EX S</v>
          </cell>
        </row>
        <row r="10004">
          <cell r="C10004">
            <v>4008154</v>
          </cell>
          <cell r="D10004" t="str">
            <v>***WĘDZONKA BOCZKOWA TRM</v>
          </cell>
        </row>
        <row r="10005">
          <cell r="C10005">
            <v>4008295</v>
          </cell>
          <cell r="D10005" t="str">
            <v>***WĘDZ.DELIKATNA TRM PC KT TESC</v>
          </cell>
        </row>
        <row r="10006">
          <cell r="C10006">
            <v>4008294</v>
          </cell>
          <cell r="D10006" t="str">
            <v>***WĘDZ.DELIK. 1ST VAC OK12KG KT TESC</v>
          </cell>
        </row>
        <row r="10007">
          <cell r="C10007">
            <v>4009015</v>
          </cell>
          <cell r="D10007" t="str">
            <v>***WĘDZONKA BOCZK.OK0.5KGVAC OK5KGKT ŁOT</v>
          </cell>
        </row>
        <row r="10008">
          <cell r="C10008">
            <v>4004222</v>
          </cell>
          <cell r="D10008" t="str">
            <v>***WĘDZONKA BOCZKOWA MW VAC 1/2SZT</v>
          </cell>
        </row>
        <row r="10009">
          <cell r="C10009">
            <v>4001077</v>
          </cell>
          <cell r="D10009" t="str">
            <v>***WĘDZONKA BOCZKOWA VAC 3.0KG</v>
          </cell>
        </row>
        <row r="10010">
          <cell r="C10010">
            <v>4004224</v>
          </cell>
          <cell r="D10010" t="str">
            <v>***WĘDZ.STAROP.1STVAC OK6KG KT CON CARR</v>
          </cell>
        </row>
        <row r="10011">
          <cell r="C10011">
            <v>4001905</v>
          </cell>
          <cell r="D10011" t="str">
            <v>***WĘDZONKA BECZKOWA VAC 1SZT</v>
          </cell>
        </row>
        <row r="10012">
          <cell r="C10012">
            <v>4007503</v>
          </cell>
          <cell r="D10012" t="str">
            <v>***WĘDZONKA BOCZKOWA 1SZT VAC EX E</v>
          </cell>
        </row>
        <row r="10013">
          <cell r="C10013">
            <v>4007502</v>
          </cell>
          <cell r="D10013" t="str">
            <v>***WĘDZONKA BOCZKOWA 1SZT VAC EX G</v>
          </cell>
        </row>
        <row r="10014">
          <cell r="C10014">
            <v>4009001</v>
          </cell>
          <cell r="D10014" t="str">
            <v>***WĘDZ.BOCZ.OK0,5KGTRM OK5KGKT ANG</v>
          </cell>
        </row>
        <row r="10015">
          <cell r="C10015">
            <v>4004226</v>
          </cell>
          <cell r="D10015" t="str">
            <v>***WĘDZONKA BECZKOWA VAC M</v>
          </cell>
        </row>
        <row r="10016">
          <cell r="C10016">
            <v>4004227</v>
          </cell>
          <cell r="D10016" t="str">
            <v>***WĘDZONKA BOCZKOWA VAC OK.500G</v>
          </cell>
        </row>
        <row r="10017">
          <cell r="C10017">
            <v>4001906</v>
          </cell>
          <cell r="D10017" t="str">
            <v>***WĘDZONKA BECZKOWA VAC 1SZT</v>
          </cell>
        </row>
        <row r="10018">
          <cell r="C10018">
            <v>4004229</v>
          </cell>
          <cell r="D10018" t="str">
            <v>***WĘDZONKA BOCZKOWA VAC E.L.</v>
          </cell>
        </row>
        <row r="10019">
          <cell r="C10019">
            <v>4001907</v>
          </cell>
          <cell r="D10019" t="str">
            <v>***WĘDZONKA BOCZKOWA VAC 1SZT EXP</v>
          </cell>
        </row>
        <row r="10020">
          <cell r="C10020">
            <v>4005531</v>
          </cell>
          <cell r="D10020" t="str">
            <v>***WĘDZONKA BOCZKOWA VAC 1SZT EXP P</v>
          </cell>
        </row>
        <row r="10021">
          <cell r="C10021">
            <v>3024342</v>
          </cell>
          <cell r="D10021" t="str">
            <v>BOCZ.Z/S.WĘDZ.PARZ.AS LT</v>
          </cell>
        </row>
        <row r="10022">
          <cell r="C10022">
            <v>3024341</v>
          </cell>
          <cell r="D10022" t="str">
            <v>BOCZ.WĘDZ.PARZ.Z/SK.BS LT</v>
          </cell>
        </row>
        <row r="10023">
          <cell r="C10023">
            <v>4016119</v>
          </cell>
          <cell r="D10023" t="str">
            <v>BOCZ.WĘDZ.PARZ.Z/S.OK400GVAC OK6KGKT LT</v>
          </cell>
        </row>
        <row r="10024">
          <cell r="C10024">
            <v>4024726</v>
          </cell>
          <cell r="D10024" t="str">
            <v>***BOCZ.WĘDZ.PARZ.OK400GVACOK5KGKT LV/EE</v>
          </cell>
        </row>
        <row r="10025">
          <cell r="C10025">
            <v>4029709</v>
          </cell>
          <cell r="D10025" t="str">
            <v>BOCZ.WĘDZ.PARZ.Z/S.OK400GVAC OK5KGKT ARO</v>
          </cell>
        </row>
        <row r="10026">
          <cell r="C10026">
            <v>3025620</v>
          </cell>
          <cell r="D10026" t="str">
            <v>BOCZ.WĘDZ.PARZ.Z/S.SZER.</v>
          </cell>
        </row>
        <row r="10027">
          <cell r="C10027">
            <v>3025619</v>
          </cell>
          <cell r="D10027" t="str">
            <v>BOCZ.WĘDZ.PARZ.SZER.Z/SK.BS</v>
          </cell>
        </row>
        <row r="10028">
          <cell r="C10028">
            <v>4017518</v>
          </cell>
          <cell r="D10028" t="str">
            <v>***BOCZ.WĘDZ.PARZ.OK450GVAC 5KGKT LIDL</v>
          </cell>
        </row>
        <row r="10029">
          <cell r="C10029">
            <v>4018250</v>
          </cell>
          <cell r="D10029" t="str">
            <v>BOCZ.KAW.OK450GVAC OK6KGKT MOR</v>
          </cell>
        </row>
        <row r="10030">
          <cell r="C10030">
            <v>4019244</v>
          </cell>
          <cell r="D10030" t="str">
            <v>***BOCZ.KAW.OK450GVAC OK5KGKT KRA</v>
          </cell>
        </row>
        <row r="10031">
          <cell r="C10031">
            <v>4019758</v>
          </cell>
          <cell r="D10031" t="str">
            <v>***BOCZ.WĘDZ.PARZ.OK450GVAC OK5KGKT BIED</v>
          </cell>
        </row>
        <row r="10032">
          <cell r="C10032">
            <v>4020425</v>
          </cell>
          <cell r="D10032" t="str">
            <v>BOCZ.WĘDZ.PARZ.OK450GVAC OK4KGKT BIED</v>
          </cell>
        </row>
        <row r="10033">
          <cell r="C10033">
            <v>4023658</v>
          </cell>
          <cell r="D10033" t="str">
            <v>***BOCZ.MOR.WĘDZ.PARZ.OK450GVAC 4KGKT</v>
          </cell>
        </row>
        <row r="10034">
          <cell r="C10034">
            <v>4024049</v>
          </cell>
          <cell r="D10034" t="str">
            <v>BOCZ.WĘDZ.PARZ.OK450GVAC 4KGKT ALDI</v>
          </cell>
        </row>
        <row r="10035">
          <cell r="C10035">
            <v>4024119</v>
          </cell>
          <cell r="D10035" t="str">
            <v>BOCZ.MOR.WĘDZ.PARZ.OK2KGVAC OK10KGKT</v>
          </cell>
        </row>
        <row r="10036">
          <cell r="C10036">
            <v>4024335</v>
          </cell>
          <cell r="D10036" t="str">
            <v>***BOCZ.WĘDZ.PARZ.OK400GVAC 4.2KGKT MOR</v>
          </cell>
        </row>
        <row r="10037">
          <cell r="C10037">
            <v>4022761</v>
          </cell>
          <cell r="D10037" t="str">
            <v>***BOCZ.MORL.OKOP.1/3STVAC OK7KGKT MOR</v>
          </cell>
        </row>
        <row r="10038">
          <cell r="C10038">
            <v>4022817</v>
          </cell>
          <cell r="D10038" t="str">
            <v>***BOCZ.MORL.OKOP.1/3STVAC OK15KGKT MOR</v>
          </cell>
        </row>
        <row r="10039">
          <cell r="C10039">
            <v>4028359</v>
          </cell>
          <cell r="D10039" t="str">
            <v>***BOCZ.WĘDZ.PARZ.OK450GVAC 4KGKT NETTO</v>
          </cell>
        </row>
        <row r="10040">
          <cell r="C10040">
            <v>3043046</v>
          </cell>
          <cell r="D10040" t="str">
            <v>***WT BOCZ.WĘDZ.PARZ.Z/S.SZER.</v>
          </cell>
        </row>
        <row r="10041">
          <cell r="C10041">
            <v>3026821</v>
          </cell>
          <cell r="D10041" t="str">
            <v>***BOCZ.B/S.WĘDZ.PARZ.AS</v>
          </cell>
        </row>
        <row r="10042">
          <cell r="C10042">
            <v>3026820</v>
          </cell>
          <cell r="D10042" t="str">
            <v>***BOCZ.B/SK.WEDZ.PARZ.BS</v>
          </cell>
        </row>
        <row r="10043">
          <cell r="C10043">
            <v>4017820</v>
          </cell>
          <cell r="D10043" t="str">
            <v>***BOCZ.B/S.WĘD.PARZ.OK2KGTRMOK15KGKTYAN</v>
          </cell>
        </row>
        <row r="10044">
          <cell r="C10044">
            <v>3027288</v>
          </cell>
          <cell r="D10044" t="str">
            <v>***BOCZ.B/S.WĘDZ.PARZ.OK15KGVAC KT MR ST</v>
          </cell>
        </row>
        <row r="10045">
          <cell r="C10045">
            <v>3027287</v>
          </cell>
          <cell r="D10045" t="str">
            <v>***BOCZ.B/SK.WĘDZ.PARZ.OK15KGVACKT DMR</v>
          </cell>
        </row>
        <row r="10046">
          <cell r="C10046">
            <v>4017854</v>
          </cell>
          <cell r="D10046" t="str">
            <v>***BOCZ.B/S.WĘD.PARZ.OK2KGTRMOK15KGKTKOR</v>
          </cell>
        </row>
        <row r="10047">
          <cell r="C10047">
            <v>4017874</v>
          </cell>
          <cell r="D10047" t="str">
            <v>***BOCZ.B/S.WĘD.PARZ.OK2KGTRMOK15KGKT BT</v>
          </cell>
        </row>
        <row r="10048">
          <cell r="C10048">
            <v>3026892</v>
          </cell>
          <cell r="D10048" t="str">
            <v>***BOCZ.Z/S.WĘDZ.PARZ.SZER.AS CZ</v>
          </cell>
        </row>
        <row r="10049">
          <cell r="C10049">
            <v>3026920</v>
          </cell>
          <cell r="D10049" t="str">
            <v>***BOCZ.WĘDZ.PARZ.SZER.Z/SK.BS CZ</v>
          </cell>
        </row>
        <row r="10050">
          <cell r="C10050">
            <v>4017845</v>
          </cell>
          <cell r="D10050" t="str">
            <v>***BOCZ.WĘDZ.PARZ.OK450GVAC5KGKT EX CZ</v>
          </cell>
        </row>
        <row r="10051">
          <cell r="C10051">
            <v>3037395</v>
          </cell>
          <cell r="D10051" t="str">
            <v>BOCZ.C WĘDZ.PARZ.Z/S.SZER.AS</v>
          </cell>
        </row>
        <row r="10052">
          <cell r="C10052">
            <v>3037394</v>
          </cell>
          <cell r="D10052" t="str">
            <v>BOCZ.C WĘDZ.PARZ.SZER.Z/S.BS</v>
          </cell>
        </row>
        <row r="10053">
          <cell r="C10053">
            <v>3016595</v>
          </cell>
          <cell r="D10053" t="str">
            <v>***BOCZEK  WEDZONY</v>
          </cell>
        </row>
        <row r="10054">
          <cell r="C10054">
            <v>3008373</v>
          </cell>
          <cell r="D10054" t="str">
            <v>***BS BOCZEK  WEDZONY</v>
          </cell>
        </row>
        <row r="10055">
          <cell r="C10055">
            <v>3008374</v>
          </cell>
          <cell r="D10055" t="str">
            <v>***BOCZEK Z KOMINA</v>
          </cell>
        </row>
        <row r="10056">
          <cell r="C10056">
            <v>3008375</v>
          </cell>
          <cell r="D10056" t="str">
            <v>***BS BOCZEK  Z KOMINA</v>
          </cell>
        </row>
        <row r="10057">
          <cell r="C10057">
            <v>3016689</v>
          </cell>
          <cell r="D10057" t="str">
            <v>BOCZ.WĘDZ.PARZ.SZER.AS</v>
          </cell>
        </row>
        <row r="10058">
          <cell r="C10058">
            <v>3016690</v>
          </cell>
          <cell r="D10058" t="str">
            <v>BOCZ.WĘDZ.PARZ.SZER.BS</v>
          </cell>
        </row>
        <row r="10059">
          <cell r="C10059">
            <v>4016352</v>
          </cell>
          <cell r="D10059" t="str">
            <v>***BOCZ.WĘDZ.PARZ.LUZ OK15KG KT</v>
          </cell>
        </row>
        <row r="10060">
          <cell r="C10060">
            <v>4007818</v>
          </cell>
          <cell r="D10060" t="str">
            <v>***BOCZ.WĘDZ.PA.SZER.1/2SZTSZT 15KGKT CZ</v>
          </cell>
        </row>
        <row r="10061">
          <cell r="C10061">
            <v>4007819</v>
          </cell>
          <cell r="D10061" t="str">
            <v>***BOCZ.WĘDZ.PARZ.SZER1/2ST OK15KG KT UK</v>
          </cell>
        </row>
        <row r="10062">
          <cell r="C10062">
            <v>4008170</v>
          </cell>
          <cell r="D10062" t="str">
            <v>***BOCZ.WĘDZ.PARZ.SZER.1/2STTRMOK15KGKTY</v>
          </cell>
        </row>
        <row r="10063">
          <cell r="C10063">
            <v>4009613</v>
          </cell>
          <cell r="D10063" t="str">
            <v>***BOCZ.WĘDZ.PARZ.SZR.OK2KGTRMOK15KGKTMK</v>
          </cell>
        </row>
        <row r="10064">
          <cell r="C10064">
            <v>4009672</v>
          </cell>
          <cell r="D10064" t="str">
            <v>***BOCZ.WĘDZ.PASZER.1/2ST TRM OK.15KG KT</v>
          </cell>
        </row>
        <row r="10065">
          <cell r="C10065">
            <v>4010113</v>
          </cell>
          <cell r="D10065" t="str">
            <v>***BOCZ.WĘDZ.PARZ.SZER1/2STTRMOK15KGKTBT</v>
          </cell>
        </row>
        <row r="10066">
          <cell r="C10066">
            <v>4013425</v>
          </cell>
          <cell r="D10066" t="str">
            <v>***BOCZ.WĘDZ.PARZ.SZER 1/2ST OK10KGKT SP</v>
          </cell>
        </row>
        <row r="10067">
          <cell r="C10067">
            <v>4013805</v>
          </cell>
          <cell r="D10067" t="str">
            <v>***BOCZ.WĘDZ.PARZ.SZER1/2STOK10KGKT SWOJ</v>
          </cell>
        </row>
        <row r="10068">
          <cell r="C10068">
            <v>4024799</v>
          </cell>
          <cell r="D10068" t="str">
            <v>***BOCZ.WĘDZ.PARZ.OK3KGVAC OK15KGKT GOB</v>
          </cell>
        </row>
        <row r="10069">
          <cell r="C10069">
            <v>3029974</v>
          </cell>
          <cell r="D10069" t="str">
            <v>***BOCZ.WĘDZ.NA CIEMNO AS</v>
          </cell>
        </row>
        <row r="10070">
          <cell r="C10070">
            <v>3029954</v>
          </cell>
          <cell r="D10070" t="str">
            <v>***BOCZ.WĘDZ.NA CIEMNO BS</v>
          </cell>
        </row>
        <row r="10071">
          <cell r="C10071">
            <v>4019956</v>
          </cell>
          <cell r="D10071" t="str">
            <v>***BOCZ.WĘDZ.NACIEM.OK350GVACOK5KGKTBIED</v>
          </cell>
        </row>
        <row r="10072">
          <cell r="C10072">
            <v>3039292</v>
          </cell>
          <cell r="D10072" t="str">
            <v>PP BOCZ.WĘDZ.PARZ.SZER.Z/S.AS</v>
          </cell>
        </row>
        <row r="10073">
          <cell r="C10073">
            <v>3039291</v>
          </cell>
          <cell r="D10073" t="str">
            <v>PP BOCZ.WĘDZ.PARZ.SZER.Z/S.BS</v>
          </cell>
        </row>
        <row r="10074">
          <cell r="C10074">
            <v>4026242</v>
          </cell>
          <cell r="D10074" t="str">
            <v>PP BOCZ.WĘDZ.PARZ.OK450GVAC 5KGKT LIDL</v>
          </cell>
        </row>
        <row r="10075">
          <cell r="C10075">
            <v>4026243</v>
          </cell>
          <cell r="D10075" t="str">
            <v>PP BOCZ.KAW.OK450GVAC OK5KGKT KRA</v>
          </cell>
        </row>
        <row r="10076">
          <cell r="C10076">
            <v>4028854</v>
          </cell>
          <cell r="D10076" t="str">
            <v>***PPBOCZ.WĘDZ.PARZOK1KGVACOK5KGKTLIDLLT</v>
          </cell>
        </row>
        <row r="10077">
          <cell r="C10077">
            <v>3016596</v>
          </cell>
          <cell r="D10077" t="str">
            <v>***BOCZ.CHŁOPSKI CIEMNO-WĘDZONY</v>
          </cell>
        </row>
        <row r="10078">
          <cell r="C10078">
            <v>3016597</v>
          </cell>
          <cell r="D10078" t="str">
            <v>***BS BOCZ.CHŁOPSKI CIEMNO-WĘDZONY</v>
          </cell>
        </row>
        <row r="10079">
          <cell r="C10079">
            <v>4004231</v>
          </cell>
          <cell r="D10079" t="str">
            <v>***BOCZEK CHŁOPSKI CIEMNO WĘDZ.VAC</v>
          </cell>
        </row>
        <row r="10080">
          <cell r="C10080">
            <v>4007346</v>
          </cell>
          <cell r="D10080" t="str">
            <v>**BOCZ.CIEMN.WĘDZ.2ST VAC OK.15KG KT MAZ</v>
          </cell>
        </row>
        <row r="10081">
          <cell r="C10081">
            <v>4007453</v>
          </cell>
          <cell r="D10081" t="str">
            <v>***BOCZ.CHŁOPSKI CIEMNO WĘDZONY VAC EX E</v>
          </cell>
        </row>
        <row r="10082">
          <cell r="C10082">
            <v>4008343</v>
          </cell>
          <cell r="D10082" t="str">
            <v>***BOCZ.CHŁOPSKI 1ST TRM OK 15KG KT MOR</v>
          </cell>
        </row>
        <row r="10083">
          <cell r="C10083">
            <v>4008427</v>
          </cell>
          <cell r="D10083" t="str">
            <v>***BOCZ.CHŁ.CIEM.WĘDZ. VAC KT ROS</v>
          </cell>
        </row>
        <row r="10084">
          <cell r="C10084">
            <v>3016717</v>
          </cell>
          <cell r="D10084" t="str">
            <v>***BOCZ.NIEOKOPCONY AS</v>
          </cell>
        </row>
        <row r="10085">
          <cell r="C10085">
            <v>3016718</v>
          </cell>
          <cell r="D10085" t="str">
            <v>***BOCZ.NIEOKOPCONY BS</v>
          </cell>
        </row>
        <row r="10086">
          <cell r="C10086">
            <v>4008465</v>
          </cell>
          <cell r="D10086" t="str">
            <v>***BOCZ.NIEOKOPCONY OK0.5KGVACOK5KGKT LT</v>
          </cell>
        </row>
        <row r="10087">
          <cell r="C10087">
            <v>3016724</v>
          </cell>
          <cell r="D10087" t="str">
            <v>***BOCZ.WĘDZ.GOT.ŁUSK.B/CHRZ.</v>
          </cell>
        </row>
        <row r="10088">
          <cell r="C10088">
            <v>3016723</v>
          </cell>
          <cell r="D10088" t="str">
            <v>***BS BOCZ.WĘDZ.GOT.ŁUSK.B/CHRZ.</v>
          </cell>
        </row>
        <row r="10089">
          <cell r="C10089">
            <v>4008552</v>
          </cell>
          <cell r="D10089" t="str">
            <v>***BOCZ.WĘDZ.GOT.ŁUS.B/CHRZ.1/2STTRMCZ.S</v>
          </cell>
        </row>
        <row r="10090">
          <cell r="C10090">
            <v>3016719</v>
          </cell>
          <cell r="D10090" t="str">
            <v>***BOCZ.MOCN.WĘDZ.B/CHRZ.</v>
          </cell>
        </row>
        <row r="10091">
          <cell r="C10091">
            <v>3016720</v>
          </cell>
          <cell r="D10091" t="str">
            <v>***BS BOCZ.MOCN.WĘDZ.B/CHRZ.</v>
          </cell>
        </row>
        <row r="10092">
          <cell r="C10092">
            <v>4008473</v>
          </cell>
          <cell r="D10092" t="str">
            <v>***BOCZ.MOCN.WĘDZ.B/CHRZVAC 1/2SZT KT EX</v>
          </cell>
        </row>
        <row r="10093">
          <cell r="C10093">
            <v>3020018</v>
          </cell>
          <cell r="D10093" t="str">
            <v>***WĘDZ.KULINARNA</v>
          </cell>
        </row>
        <row r="10094">
          <cell r="C10094">
            <v>3020017</v>
          </cell>
          <cell r="D10094" t="str">
            <v>***WĘDZ.KULINARNA BS</v>
          </cell>
        </row>
        <row r="10095">
          <cell r="C10095">
            <v>4013530</v>
          </cell>
          <cell r="D10095" t="str">
            <v>***WĘDZ.KULINARNA 1ST TRM OK5KG KT MOR</v>
          </cell>
        </row>
        <row r="10096">
          <cell r="C10096">
            <v>4013686</v>
          </cell>
          <cell r="D10096" t="str">
            <v>***WĘDZ.KULINARNA 1ST TRM OK8KG KT MOR</v>
          </cell>
        </row>
        <row r="10097">
          <cell r="C10097">
            <v>3016598</v>
          </cell>
          <cell r="D10097" t="str">
            <v>***SZYN.DELIKATNA AS</v>
          </cell>
        </row>
        <row r="10098">
          <cell r="C10098">
            <v>3016599</v>
          </cell>
          <cell r="D10098" t="str">
            <v>***SZYN.DELIKATNA BS</v>
          </cell>
        </row>
        <row r="10099">
          <cell r="C10099">
            <v>4004242</v>
          </cell>
          <cell r="D10099" t="str">
            <v>***SZYNKA DELIKATNA VAC 1SZT 1.5KG</v>
          </cell>
        </row>
        <row r="10100">
          <cell r="C10100">
            <v>3008380</v>
          </cell>
          <cell r="D10100" t="str">
            <v>***SZYN.DELIKATNA 1ST TRM BL</v>
          </cell>
        </row>
        <row r="10101">
          <cell r="C10101">
            <v>4001078</v>
          </cell>
          <cell r="D10101" t="str">
            <v>***SZYN.DELIK.1/2STVAC OK5KGKT</v>
          </cell>
        </row>
        <row r="10102">
          <cell r="C10102">
            <v>3008381</v>
          </cell>
          <cell r="D10102" t="str">
            <v>***SZYN.DELIKATNA 1/2ST TRM BL</v>
          </cell>
        </row>
        <row r="10103">
          <cell r="C10103">
            <v>4004243</v>
          </cell>
          <cell r="D10103" t="str">
            <v>***SZYN.POLSKA 1/2STVAC OK6KGKT MOR</v>
          </cell>
        </row>
        <row r="10104">
          <cell r="C10104">
            <v>4004244</v>
          </cell>
          <cell r="D10104" t="str">
            <v>***SZYN.SMAKOWITA 1/2ST OK5KG KT CARR</v>
          </cell>
        </row>
        <row r="10105">
          <cell r="C10105">
            <v>4004245</v>
          </cell>
          <cell r="D10105" t="str">
            <v>***SZYNKA DELIKATNA VAC 1/2 SZT. T</v>
          </cell>
        </row>
        <row r="10106">
          <cell r="C10106">
            <v>4009625</v>
          </cell>
          <cell r="D10106" t="str">
            <v>***SZYN.DELIKATNA 1/2ST VAC OK5KG KT K</v>
          </cell>
        </row>
        <row r="10107">
          <cell r="C10107">
            <v>4012583</v>
          </cell>
          <cell r="D10107" t="str">
            <v>***SZYN.POLSKA 1/2STVAC OK5KGKT EX</v>
          </cell>
        </row>
        <row r="10108">
          <cell r="C10108">
            <v>4012572</v>
          </cell>
          <cell r="D10108" t="str">
            <v>***SZYN.POLSKA 1/2STVAC OK3KGKT EX</v>
          </cell>
        </row>
        <row r="10109">
          <cell r="C10109">
            <v>4018242</v>
          </cell>
          <cell r="D10109" t="str">
            <v>***SZYN.POLSKA 1/2STVAC OK6KGKT MOR BIED</v>
          </cell>
        </row>
        <row r="10110">
          <cell r="C10110">
            <v>3035792</v>
          </cell>
          <cell r="D10110" t="str">
            <v>KIEŁB.SZYN.WP.AS MOR</v>
          </cell>
        </row>
        <row r="10111">
          <cell r="C10111">
            <v>3035793</v>
          </cell>
          <cell r="D10111" t="str">
            <v>KIEŁB.SZYN.WP.BS MOR</v>
          </cell>
        </row>
        <row r="10112">
          <cell r="C10112">
            <v>4024192</v>
          </cell>
          <cell r="D10112" t="str">
            <v>KIEŁB.SZYNKOWA 1STVAC OK5KGKT MOR</v>
          </cell>
        </row>
        <row r="10113">
          <cell r="C10113">
            <v>4025358</v>
          </cell>
          <cell r="D10113" t="str">
            <v>***KIEŁB.SZYNKOWA 1STVAC OK5KGKT MOR EX</v>
          </cell>
        </row>
        <row r="10114">
          <cell r="C10114">
            <v>3016600</v>
          </cell>
          <cell r="D10114" t="str">
            <v>***KIEŁB.SZYN.WP.AS</v>
          </cell>
        </row>
        <row r="10115">
          <cell r="C10115">
            <v>3016601</v>
          </cell>
          <cell r="D10115" t="str">
            <v>***KIEŁB.SZYN.WP.BS</v>
          </cell>
        </row>
        <row r="10116">
          <cell r="C10116">
            <v>4010943</v>
          </cell>
          <cell r="D10116" t="str">
            <v>***KIEŁB.SZYNKOWA WP.1STVAC OK12KGKT</v>
          </cell>
        </row>
        <row r="10117">
          <cell r="C10117">
            <v>4008339</v>
          </cell>
          <cell r="D10117" t="str">
            <v>***KIEŁ.SZYNKOWA MAP KT EX ROSJA</v>
          </cell>
        </row>
        <row r="10118">
          <cell r="C10118">
            <v>4001080</v>
          </cell>
          <cell r="D10118" t="str">
            <v>***SZYNKOWA WP.MAP 3SZT</v>
          </cell>
        </row>
        <row r="10119">
          <cell r="C10119">
            <v>4004255</v>
          </cell>
          <cell r="D10119" t="str">
            <v>***KIEŁB.SZYNKOWA OK2.6KGVAC OK5KGKT CON</v>
          </cell>
        </row>
        <row r="10120">
          <cell r="C10120">
            <v>4004259</v>
          </cell>
          <cell r="D10120" t="str">
            <v>***SZYNKOWA WP.VAC KORONA</v>
          </cell>
        </row>
        <row r="10121">
          <cell r="C10121">
            <v>3016782</v>
          </cell>
          <cell r="D10121" t="str">
            <v>KIEŁB. KRAKOWSKA PARZONA MORLINY</v>
          </cell>
        </row>
        <row r="10122">
          <cell r="C10122">
            <v>3016783</v>
          </cell>
          <cell r="D10122" t="str">
            <v>KIEŁB.KRAKOWSKA PARZONA MORLINY BS</v>
          </cell>
        </row>
        <row r="10123">
          <cell r="C10123">
            <v>4009453</v>
          </cell>
          <cell r="D10123" t="str">
            <v>***KIEŁB.KRAK.PARZ.MOR.1SZT VAC OK10.5KG</v>
          </cell>
        </row>
        <row r="10124">
          <cell r="C10124">
            <v>3016602</v>
          </cell>
          <cell r="D10124" t="str">
            <v>KIEŁB.KRAKOWSKA PARZ.AS</v>
          </cell>
        </row>
        <row r="10125">
          <cell r="C10125">
            <v>3016603</v>
          </cell>
          <cell r="D10125" t="str">
            <v>KIEŁB.KRAKOWSKA PARZ.BS</v>
          </cell>
        </row>
        <row r="10126">
          <cell r="C10126">
            <v>4004260</v>
          </cell>
          <cell r="D10126" t="str">
            <v>***KIEŁB.KRAKOWSKA PARZ.1STVAC</v>
          </cell>
        </row>
        <row r="10127">
          <cell r="C10127">
            <v>4006962</v>
          </cell>
          <cell r="D10127" t="str">
            <v>***KRAKOWSKA PARZONA VAC ET</v>
          </cell>
        </row>
        <row r="10128">
          <cell r="C10128">
            <v>4008338</v>
          </cell>
          <cell r="D10128" t="str">
            <v>***KIEŁB.KARAK.PARZONA MAP KT EX ROSJA</v>
          </cell>
        </row>
        <row r="10129">
          <cell r="C10129">
            <v>4008725</v>
          </cell>
          <cell r="D10129" t="str">
            <v>***KIEŁB.KARAK.PARZONA 1SZTMAP KT ROS2</v>
          </cell>
        </row>
        <row r="10130">
          <cell r="C10130">
            <v>4004261</v>
          </cell>
          <cell r="D10130" t="str">
            <v>***KRAKOWSKA PARZONA VAC 1ST M</v>
          </cell>
        </row>
        <row r="10131">
          <cell r="C10131">
            <v>3027792</v>
          </cell>
          <cell r="D10131" t="str">
            <v>KIEŁB.KRAK.KUR.400G AD</v>
          </cell>
        </row>
        <row r="10132">
          <cell r="C10132">
            <v>3027762</v>
          </cell>
          <cell r="D10132" t="str">
            <v>KIEŁB.KRAK.KUR.400G BS</v>
          </cell>
        </row>
        <row r="10133">
          <cell r="C10133">
            <v>3027791</v>
          </cell>
          <cell r="D10133" t="str">
            <v>KIEŁB.KRAK.KUR.400G AS</v>
          </cell>
        </row>
        <row r="10134">
          <cell r="C10134">
            <v>4018461</v>
          </cell>
          <cell r="D10134" t="str">
            <v>***KIEŁB.KRAK.Z KUR.400GVAC 18STKT MOR</v>
          </cell>
        </row>
        <row r="10135">
          <cell r="C10135">
            <v>4019747</v>
          </cell>
          <cell r="D10135" t="str">
            <v>***K.KRAK.Z KURCZ.OK400GVAC OK7KGKT MOR</v>
          </cell>
        </row>
        <row r="10136">
          <cell r="C10136">
            <v>4021143</v>
          </cell>
          <cell r="D10136" t="str">
            <v>***K.KRAK.Z KURCZ.400GVAC 18STKT MOR EX</v>
          </cell>
        </row>
        <row r="10137">
          <cell r="C10137">
            <v>4021273</v>
          </cell>
          <cell r="D10137" t="str">
            <v>KIEŁB.KRAK.Z KUR.400GVAC 12STKT MOR EX</v>
          </cell>
        </row>
        <row r="10138">
          <cell r="C10138">
            <v>3045002</v>
          </cell>
          <cell r="D10138" t="str">
            <v>WT KIEŁB.KRAK.KUR.KAW.AS</v>
          </cell>
        </row>
        <row r="10139">
          <cell r="C10139">
            <v>3045001</v>
          </cell>
          <cell r="D10139" t="str">
            <v>WT KIEŁB.KRAK.KUR.KAW OK15KG NB MR</v>
          </cell>
        </row>
        <row r="10140">
          <cell r="C10140">
            <v>3045004</v>
          </cell>
          <cell r="D10140" t="str">
            <v>WT KIEŁB.KRAK.KUR.KAW OK15KG NB DMR</v>
          </cell>
        </row>
        <row r="10141">
          <cell r="C10141">
            <v>3045003</v>
          </cell>
          <cell r="D10141" t="str">
            <v>***WT KIEŁB.KRAK.KUR.KAW RO</v>
          </cell>
        </row>
        <row r="10142">
          <cell r="C10142">
            <v>3027797</v>
          </cell>
          <cell r="D10142" t="str">
            <v>***KIEŁB.ŻYWIECKA DROB.</v>
          </cell>
        </row>
        <row r="10143">
          <cell r="C10143">
            <v>3022518</v>
          </cell>
          <cell r="D10143" t="str">
            <v>***KIEŁB.ŻYWIECKA DROB.BS</v>
          </cell>
        </row>
        <row r="10144">
          <cell r="C10144">
            <v>3022519</v>
          </cell>
          <cell r="D10144" t="str">
            <v>***KIEŁB.ŻYWIECKA DROB.AS</v>
          </cell>
        </row>
        <row r="10145">
          <cell r="C10145">
            <v>4018467</v>
          </cell>
          <cell r="D10145" t="str">
            <v>***KIEŁ.ŻYWIECKA Z KURCZ.800GVAC9STKTMOR</v>
          </cell>
        </row>
        <row r="10146">
          <cell r="C10146">
            <v>4018493</v>
          </cell>
          <cell r="D10146" t="str">
            <v>***K.ŻYW.Z KURCZ.OK800GVACOK7.2KGKTMOR</v>
          </cell>
        </row>
        <row r="10147">
          <cell r="C10147">
            <v>3029928</v>
          </cell>
          <cell r="D10147" t="str">
            <v>KIEŁB.ŻYWIECKA AD LIDL</v>
          </cell>
        </row>
        <row r="10148">
          <cell r="C10148">
            <v>3029927</v>
          </cell>
          <cell r="D10148" t="str">
            <v>KIEŁB.ŻYWIECKA BS LIDL</v>
          </cell>
        </row>
        <row r="10149">
          <cell r="C10149">
            <v>3029926</v>
          </cell>
          <cell r="D10149" t="str">
            <v>KIEŁB.ŻYWIECKA AS LIDL</v>
          </cell>
        </row>
        <row r="10150">
          <cell r="C10150">
            <v>4019953</v>
          </cell>
          <cell r="D10150" t="str">
            <v>***KIEŁB.ŻYWIECKA 286GVAC 24STKT LIDL</v>
          </cell>
        </row>
        <row r="10151">
          <cell r="C10151">
            <v>4021126</v>
          </cell>
          <cell r="D10151" t="str">
            <v>***K.ŻYWIECKA 286GVAC 24STKT LIDL EX LT</v>
          </cell>
        </row>
        <row r="10152">
          <cell r="C10152">
            <v>4021564</v>
          </cell>
          <cell r="D10152" t="str">
            <v>***KIEŁB.ŻYWIECKA 572GVAC 12STKT LIDL BG</v>
          </cell>
        </row>
        <row r="10153">
          <cell r="C10153">
            <v>3030075</v>
          </cell>
          <cell r="D10153" t="str">
            <v>KIEŁB.KRAKOWSKA DROB.AD</v>
          </cell>
        </row>
        <row r="10154">
          <cell r="C10154">
            <v>3030074</v>
          </cell>
          <cell r="D10154" t="str">
            <v>KIEŁB.KRAKOWSKA DROB.BS</v>
          </cell>
        </row>
        <row r="10155">
          <cell r="C10155">
            <v>3030073</v>
          </cell>
          <cell r="D10155" t="str">
            <v>***KIEŁB.KRAKOWSKA DROB.AS</v>
          </cell>
        </row>
        <row r="10156">
          <cell r="C10156">
            <v>4020020</v>
          </cell>
          <cell r="D10156" t="str">
            <v>***KIEŁB.KRAKOWSKA DROB.300GVAC18STKTMOR</v>
          </cell>
        </row>
        <row r="10157">
          <cell r="C10157">
            <v>3035795</v>
          </cell>
          <cell r="D10157" t="str">
            <v>KIEŁB.KRAK.PARZ.AS MOR</v>
          </cell>
        </row>
        <row r="10158">
          <cell r="C10158">
            <v>3035794</v>
          </cell>
          <cell r="D10158" t="str">
            <v>KIEŁB.KRAK.PARZ.BS MOR</v>
          </cell>
        </row>
        <row r="10159">
          <cell r="C10159">
            <v>4024169</v>
          </cell>
          <cell r="D10159" t="str">
            <v>KRAKOWSKA PARZONA 1STVAC OK10.5KGKT MOR</v>
          </cell>
        </row>
        <row r="10160">
          <cell r="C10160">
            <v>4025360</v>
          </cell>
          <cell r="D10160" t="str">
            <v>***KRAK.PARZ.1STVACOK10.5KGKTMOR EX</v>
          </cell>
        </row>
        <row r="10161">
          <cell r="C10161">
            <v>4029491</v>
          </cell>
          <cell r="D10161" t="str">
            <v>KRAKOWSKA PARZONA 1STVAC OK7.5KGKT MOR</v>
          </cell>
        </row>
        <row r="10162">
          <cell r="C10162">
            <v>3008386</v>
          </cell>
          <cell r="D10162" t="str">
            <v>***KIEŁB.KRAKOWSKA SUCHA</v>
          </cell>
        </row>
        <row r="10163">
          <cell r="C10163">
            <v>3008387</v>
          </cell>
          <cell r="D10163" t="str">
            <v>***BS KIEŁ.KRAKOWSKA SUCHA</v>
          </cell>
        </row>
        <row r="10164">
          <cell r="C10164">
            <v>3016604</v>
          </cell>
          <cell r="D10164" t="str">
            <v>***AS KIEŁ.KRAKOWSKA SUCHA</v>
          </cell>
        </row>
        <row r="10165">
          <cell r="C10165">
            <v>4004266</v>
          </cell>
          <cell r="D10165" t="str">
            <v>***KRAKOWSKA SUCHA VAC 275G</v>
          </cell>
        </row>
        <row r="10166">
          <cell r="C10166">
            <v>4007608</v>
          </cell>
          <cell r="D10166" t="str">
            <v>***KRAKOWSKA SUCHA VAC 1SZT</v>
          </cell>
        </row>
        <row r="10167">
          <cell r="C10167">
            <v>3008389</v>
          </cell>
          <cell r="D10167" t="str">
            <v>***KIEŁB.ZIELONOGÓRSKA</v>
          </cell>
        </row>
        <row r="10168">
          <cell r="C10168">
            <v>3008390</v>
          </cell>
          <cell r="D10168" t="str">
            <v>***BS KIEŁ.ZIELONOGÓRSKA</v>
          </cell>
        </row>
        <row r="10169">
          <cell r="C10169">
            <v>4001082</v>
          </cell>
          <cell r="D10169" t="str">
            <v>***KIEŁB.ZIELONOGÓRSKA LUZ KT</v>
          </cell>
        </row>
        <row r="10170">
          <cell r="C10170">
            <v>4004269</v>
          </cell>
          <cell r="D10170" t="str">
            <v>***KIEŁB.ZIELONOGÓRSKA LUZ KT M</v>
          </cell>
        </row>
        <row r="10171">
          <cell r="C10171">
            <v>3008391</v>
          </cell>
          <cell r="D10171" t="str">
            <v>***KIEŁB.SZYNKOWA WP. DO PLASTRÓW</v>
          </cell>
        </row>
        <row r="10172">
          <cell r="C10172">
            <v>3008392</v>
          </cell>
          <cell r="D10172" t="str">
            <v>***BS KIEŁ.SZYNKOWA WP. DO PLASTRÓW</v>
          </cell>
        </row>
        <row r="10173">
          <cell r="C10173">
            <v>4007939</v>
          </cell>
          <cell r="D10173" t="str">
            <v>***KIEŁB.ŻYWIECKA 600G VAC BIED.</v>
          </cell>
        </row>
        <row r="10174">
          <cell r="C10174">
            <v>3008941</v>
          </cell>
          <cell r="D10174" t="str">
            <v>***KIEŁB.ŻYWIECKA EXTRA</v>
          </cell>
        </row>
        <row r="10175">
          <cell r="C10175">
            <v>3016706</v>
          </cell>
          <cell r="D10175" t="str">
            <v>***BS KIEŁ. ŻYWIECKA EXTRA</v>
          </cell>
        </row>
        <row r="10176">
          <cell r="C10176">
            <v>3016705</v>
          </cell>
          <cell r="D10176" t="str">
            <v>***AS KIEŁ. ŻYWIECKA EXTRA</v>
          </cell>
        </row>
        <row r="10177">
          <cell r="C10177">
            <v>4008076</v>
          </cell>
          <cell r="D10177" t="str">
            <v>***KIEŁB.ŻYWIECKA 1SZT MAP</v>
          </cell>
        </row>
        <row r="10178">
          <cell r="C10178">
            <v>4008077</v>
          </cell>
          <cell r="D10178" t="str">
            <v>***KIEŁB.ŻYWIECKA EXTRA 1SZT TRM</v>
          </cell>
        </row>
        <row r="10179">
          <cell r="C10179">
            <v>4008643</v>
          </cell>
          <cell r="D10179" t="str">
            <v>***KIEŁB.ŻYW. EX. 1SZT TRM OK6KGKT KRAK</v>
          </cell>
        </row>
        <row r="10180">
          <cell r="C10180">
            <v>4009580</v>
          </cell>
          <cell r="D10180" t="str">
            <v>***KIEŁB.ŻYWIECKA EX.1STTRM OK6KG KT ROS</v>
          </cell>
        </row>
        <row r="10181">
          <cell r="C10181">
            <v>3016707</v>
          </cell>
          <cell r="D10181" t="str">
            <v>***KIEŁ. CZOSNKOWA ROSJA</v>
          </cell>
        </row>
        <row r="10182">
          <cell r="C10182">
            <v>3016708</v>
          </cell>
          <cell r="D10182" t="str">
            <v>***BS KIEŁB. CZOSNKOWA ROSJA</v>
          </cell>
        </row>
        <row r="10183">
          <cell r="C10183">
            <v>4008329</v>
          </cell>
          <cell r="D10183" t="str">
            <v>***KIEŁB.CZOSNKOWA 350G VAC KT EX ROSJA</v>
          </cell>
        </row>
        <row r="10184">
          <cell r="C10184">
            <v>3026514</v>
          </cell>
          <cell r="D10184" t="str">
            <v>***KIEŁB.BIAŁA PARZ.BIED AS</v>
          </cell>
        </row>
        <row r="10185">
          <cell r="C10185">
            <v>3026513</v>
          </cell>
          <cell r="D10185" t="str">
            <v>***KIEŁB.BIAŁA PARZ.BS BIED</v>
          </cell>
        </row>
        <row r="10186">
          <cell r="C10186">
            <v>4017517</v>
          </cell>
          <cell r="D10186" t="str">
            <v>***KIEŁB.BIAŁA PARZ.OK1KGMAPOK5KGKT BIED</v>
          </cell>
        </row>
        <row r="10187">
          <cell r="C10187">
            <v>3026228</v>
          </cell>
          <cell r="D10187" t="str">
            <v>***KIEŁB.PODW.W CELULOZIE</v>
          </cell>
        </row>
        <row r="10188">
          <cell r="C10188">
            <v>3026229</v>
          </cell>
          <cell r="D10188" t="str">
            <v>***KIEŁB.PODW.W CELULOZIE BS</v>
          </cell>
        </row>
        <row r="10189">
          <cell r="C10189">
            <v>4017268</v>
          </cell>
          <cell r="D10189" t="str">
            <v>***KIEŁB.PODW.B/OSŁ.VACOK500GOK6KGKT MOR</v>
          </cell>
        </row>
        <row r="10190">
          <cell r="C10190">
            <v>3025431</v>
          </cell>
          <cell r="D10190" t="str">
            <v>***KIEŁB.BIAŁA PARZ.AS</v>
          </cell>
        </row>
        <row r="10191">
          <cell r="C10191">
            <v>3015644</v>
          </cell>
          <cell r="D10191" t="str">
            <v>KIEŁB.BIAŁA PARZONA TESC BS</v>
          </cell>
        </row>
        <row r="10192">
          <cell r="C10192">
            <v>4016449</v>
          </cell>
          <cell r="D10192" t="str">
            <v>***KIEŁB.BIAŁA PARZ.600G MAP KT MOR</v>
          </cell>
        </row>
        <row r="10193">
          <cell r="C10193">
            <v>4023019</v>
          </cell>
          <cell r="D10193" t="str">
            <v>***KIEŁB.BIAŁA PARZ.OK1KGMAP OK10KGKT</v>
          </cell>
        </row>
        <row r="10194">
          <cell r="C10194">
            <v>3025103</v>
          </cell>
          <cell r="D10194" t="str">
            <v>KIEŁB.BIAŁA Z SZYN.AS</v>
          </cell>
        </row>
        <row r="10195">
          <cell r="C10195">
            <v>3022444</v>
          </cell>
          <cell r="D10195" t="str">
            <v>KIEŁB.BIAŁA Z SZYNKI BS</v>
          </cell>
        </row>
        <row r="10196">
          <cell r="C10196">
            <v>4016464</v>
          </cell>
          <cell r="D10196" t="str">
            <v>***KIEŁB.BIAŁA Z SZYN.500GMAP12STKT BIED</v>
          </cell>
        </row>
        <row r="10197">
          <cell r="C10197">
            <v>4019550</v>
          </cell>
          <cell r="D10197" t="str">
            <v>***K.BIAŁA Z SZYN.500GMAP 12STKT BIED I</v>
          </cell>
        </row>
        <row r="10198">
          <cell r="C10198">
            <v>4020760</v>
          </cell>
          <cell r="D10198" t="str">
            <v>***KIEŁB.BIAŁA Z SZYN.500GMAP10STKT BIED</v>
          </cell>
        </row>
        <row r="10199">
          <cell r="C10199">
            <v>4024505</v>
          </cell>
          <cell r="D10199" t="str">
            <v>***KIEŁB.BIAŁA Z SZYN.500GMAP 7STKT BIED</v>
          </cell>
        </row>
        <row r="10200">
          <cell r="C10200">
            <v>4025158</v>
          </cell>
          <cell r="D10200" t="str">
            <v>***KIEŁB.BIAŁA Z SZYN.OK1KGMAPOK6KGKTMAZ</v>
          </cell>
        </row>
        <row r="10201">
          <cell r="C10201">
            <v>4025274</v>
          </cell>
          <cell r="D10201" t="str">
            <v>***KIEŁB.BIAŁA Z SZYN.500GMAP 10STKT MAZ</v>
          </cell>
        </row>
        <row r="10202">
          <cell r="C10202">
            <v>4025906</v>
          </cell>
          <cell r="D10202" t="str">
            <v>KIEŁB.BIAŁA Z SZYN.500GMAP 8STKT BIED</v>
          </cell>
        </row>
        <row r="10203">
          <cell r="C10203">
            <v>4027926</v>
          </cell>
          <cell r="D10203" t="str">
            <v>***K.BIAŁA Z SZYN.OK1KGMAP OK6KGKT MOR</v>
          </cell>
        </row>
        <row r="10204">
          <cell r="C10204">
            <v>3039149</v>
          </cell>
          <cell r="D10204" t="str">
            <v>WT KIEŁB.BIAŁA Z SZYN.KAW.AS</v>
          </cell>
        </row>
        <row r="10205">
          <cell r="C10205">
            <v>3042489</v>
          </cell>
          <cell r="D10205" t="str">
            <v>WT KIEŁB.BIAŁA Z SZYN.KAW.OK15KG NB MR</v>
          </cell>
        </row>
        <row r="10206">
          <cell r="C10206">
            <v>3042500</v>
          </cell>
          <cell r="D10206" t="str">
            <v>WT KIEŁB.BIAŁA Z SZYN.KAW.OK15KG NB DMR</v>
          </cell>
        </row>
        <row r="10207">
          <cell r="C10207">
            <v>3042501</v>
          </cell>
          <cell r="D10207" t="str">
            <v>WT KIEŁB.BIAŁA Z SZYN.KAW.RO</v>
          </cell>
        </row>
        <row r="10208">
          <cell r="C10208">
            <v>3016605</v>
          </cell>
          <cell r="D10208" t="str">
            <v>KIEŁB.PODWAWELSKA AS</v>
          </cell>
        </row>
        <row r="10209">
          <cell r="C10209">
            <v>3016606</v>
          </cell>
          <cell r="D10209" t="str">
            <v>KIEŁB.PODWAWELSKA BS</v>
          </cell>
        </row>
        <row r="10210">
          <cell r="C10210">
            <v>4004270</v>
          </cell>
          <cell r="D10210" t="str">
            <v>***KIEŁB.PODWAWELSKA 1.5KGMAPOK5KGKT MK</v>
          </cell>
        </row>
        <row r="10211">
          <cell r="C10211">
            <v>4018100</v>
          </cell>
          <cell r="D10211" t="str">
            <v>***KIEŁB.TORUŃSKA OK800GMAP OK5KGKT BIED</v>
          </cell>
        </row>
        <row r="10212">
          <cell r="C10212">
            <v>4009730</v>
          </cell>
          <cell r="D10212" t="str">
            <v>***KIEŁB.PODWAWEL.520GVAC 5.2KG KT MAKRO</v>
          </cell>
        </row>
        <row r="10213">
          <cell r="C10213">
            <v>4010977</v>
          </cell>
          <cell r="D10213" t="str">
            <v>***KIEŁB.MAZURSKA 520GVAC 10STKT MOR EX</v>
          </cell>
        </row>
        <row r="10214">
          <cell r="C10214">
            <v>4011204</v>
          </cell>
          <cell r="D10214" t="str">
            <v>KIEŁB.PODWAWELSKA 520GVAC 5.2KGKT DE</v>
          </cell>
        </row>
        <row r="10215">
          <cell r="C10215">
            <v>4004271</v>
          </cell>
          <cell r="D10215" t="str">
            <v>***KIEŁB.PODWAW.OK0.5KG VAC OK5KG KT MOR</v>
          </cell>
        </row>
        <row r="10216">
          <cell r="C10216">
            <v>4004272</v>
          </cell>
          <cell r="D10216" t="str">
            <v>***K.PODWAW.EXT.OK0.5KGVAC OK3KGKT MOR</v>
          </cell>
        </row>
        <row r="10217">
          <cell r="C10217">
            <v>4004273</v>
          </cell>
          <cell r="D10217" t="str">
            <v>***KIEŁB.PODWAWELSKA 520GVAC 5.2KGKT MOR</v>
          </cell>
        </row>
        <row r="10218">
          <cell r="C10218">
            <v>4006987</v>
          </cell>
          <cell r="D10218" t="str">
            <v>***KIEŁB.PODWAWELSKA 520GVAC 12STKT POLM</v>
          </cell>
        </row>
        <row r="10219">
          <cell r="C10219">
            <v>4012582</v>
          </cell>
          <cell r="D10219" t="str">
            <v>***KIEŁB.PODWAWELSKA EXTRA OK0.5KGVAC EX</v>
          </cell>
        </row>
        <row r="10220">
          <cell r="C10220">
            <v>4012495</v>
          </cell>
          <cell r="D10220" t="str">
            <v>***KIEŁB.PODWAWELSKA EXT.OK500GVACMOR EX</v>
          </cell>
        </row>
        <row r="10221">
          <cell r="C10221">
            <v>4016000</v>
          </cell>
          <cell r="D10221" t="str">
            <v>KIEŁB.MAZURSKA 520GMAP 10STKT MOR GB</v>
          </cell>
        </row>
        <row r="10222">
          <cell r="C10222">
            <v>4001083</v>
          </cell>
          <cell r="D10222" t="str">
            <v>***KIEŁB.PODWAW. OK1,2KG MAP OK12KGKT</v>
          </cell>
        </row>
        <row r="10223">
          <cell r="C10223">
            <v>4004274</v>
          </cell>
          <cell r="D10223" t="str">
            <v>***KIEŁB.PODWAWELSKA 4.0KG MAP R</v>
          </cell>
        </row>
        <row r="10224">
          <cell r="C10224">
            <v>4018630</v>
          </cell>
          <cell r="D10224" t="str">
            <v>***KIEŁB.PODWAWELSKA 780GMAP 8STKT MOR</v>
          </cell>
        </row>
        <row r="10225">
          <cell r="C10225">
            <v>4020521</v>
          </cell>
          <cell r="D10225" t="str">
            <v>***KIEŁB.PODWAWELSKA OK1KGMAPOK4KGKT MOR</v>
          </cell>
        </row>
        <row r="10226">
          <cell r="C10226">
            <v>4001084</v>
          </cell>
          <cell r="D10226" t="str">
            <v>KIEŁB.PODWAWELSKA OK1KGMAP OK11KGKT M</v>
          </cell>
        </row>
        <row r="10227">
          <cell r="C10227">
            <v>4012581</v>
          </cell>
          <cell r="D10227" t="str">
            <v>***K.PODWAWELSKA OK1.2KGMAP OK5KGKT EX</v>
          </cell>
        </row>
        <row r="10228">
          <cell r="C10228">
            <v>4004276</v>
          </cell>
          <cell r="D10228" t="str">
            <v>***KIEŁB.PODWAWELSKA 0.5KG VAC MW</v>
          </cell>
        </row>
        <row r="10229">
          <cell r="C10229">
            <v>4004277</v>
          </cell>
          <cell r="D10229" t="str">
            <v>***KIEŁB.PODWAWELSKA OK0.4KG VAC</v>
          </cell>
        </row>
        <row r="10230">
          <cell r="C10230">
            <v>4012549</v>
          </cell>
          <cell r="D10230" t="str">
            <v>KIEŁB.PODWAWELSKA 520GVAC 6.24KGKT</v>
          </cell>
        </row>
        <row r="10231">
          <cell r="C10231">
            <v>4020278</v>
          </cell>
          <cell r="D10231" t="str">
            <v>***K.PODWAWELSKA 520GVAC 5.2KGKT DE II</v>
          </cell>
        </row>
        <row r="10232">
          <cell r="C10232">
            <v>4021611</v>
          </cell>
          <cell r="D10232" t="str">
            <v>K.PODWAWELSKA OK1KGMAP OK10KGKT MAKR</v>
          </cell>
        </row>
        <row r="10233">
          <cell r="C10233">
            <v>4004278</v>
          </cell>
          <cell r="D10233" t="str">
            <v>***KIEŁB.PODWAWELSKA MAKTON MAP M</v>
          </cell>
        </row>
        <row r="10234">
          <cell r="C10234">
            <v>4004279</v>
          </cell>
          <cell r="D10234" t="str">
            <v>***KIEŁB.PODWAWELSKA MAP</v>
          </cell>
        </row>
        <row r="10235">
          <cell r="C10235">
            <v>4004280</v>
          </cell>
          <cell r="D10235" t="str">
            <v>***KIEŁB.PODWAWELSKA 6KG MAP MR</v>
          </cell>
        </row>
        <row r="10236">
          <cell r="C10236">
            <v>4006197</v>
          </cell>
          <cell r="D10236" t="str">
            <v>***KIEŁB.TORUŃSKA OK1.5KG MAP M</v>
          </cell>
        </row>
        <row r="10237">
          <cell r="C10237">
            <v>4007792</v>
          </cell>
          <cell r="D10237" t="str">
            <v>***KIEŁB.PODWAWELSKA OK1KGMAP 5KGKT MOR</v>
          </cell>
        </row>
        <row r="10238">
          <cell r="C10238">
            <v>4008695</v>
          </cell>
          <cell r="D10238" t="str">
            <v>***KIEŁB.PODWAWE.520G VAC5.2KG KT TESC</v>
          </cell>
        </row>
        <row r="10239">
          <cell r="C10239">
            <v>3016729</v>
          </cell>
          <cell r="D10239" t="str">
            <v>PP KIEŁB.PODWAWELSKA AS BAR</v>
          </cell>
        </row>
        <row r="10240">
          <cell r="C10240">
            <v>3016730</v>
          </cell>
          <cell r="D10240" t="str">
            <v>PP KIEŁB.PODWAWELSKA BS BAR</v>
          </cell>
        </row>
        <row r="10241">
          <cell r="C10241">
            <v>4008685</v>
          </cell>
          <cell r="D10241" t="str">
            <v>***K.PODWAWELSKA 500GVAC 6KGKT LIDL</v>
          </cell>
        </row>
        <row r="10242">
          <cell r="C10242">
            <v>4008977</v>
          </cell>
          <cell r="D10242" t="str">
            <v>***KIEŁB.PODW.95% OK500GVAC 6KGKT NETTO</v>
          </cell>
        </row>
        <row r="10243">
          <cell r="C10243">
            <v>4013436</v>
          </cell>
          <cell r="D10243" t="str">
            <v>***K.PODWAWELSKA 95% 500GVAC 6KGKT MOR</v>
          </cell>
        </row>
        <row r="10244">
          <cell r="C10244">
            <v>4015842</v>
          </cell>
          <cell r="D10244" t="str">
            <v>***KIEŁB.PODWAW.500GVAC 6KGKT LIDL EX LT</v>
          </cell>
        </row>
        <row r="10245">
          <cell r="C10245">
            <v>4020355</v>
          </cell>
          <cell r="D10245" t="str">
            <v>***KIEŁB.PODWAWELSKA 500GVAC 5KGKT KRA</v>
          </cell>
        </row>
        <row r="10246">
          <cell r="C10246">
            <v>4020605</v>
          </cell>
          <cell r="D10246" t="str">
            <v>***KIEŁB.PODWAWELSKA OK500GVAC7KGKT LIDL</v>
          </cell>
        </row>
        <row r="10247">
          <cell r="C10247">
            <v>4022332</v>
          </cell>
          <cell r="D10247" t="str">
            <v>KIEŁB.PODWAWEL.OK500GVAC 7.5KGKT LIDL I</v>
          </cell>
        </row>
        <row r="10248">
          <cell r="C10248">
            <v>4022333</v>
          </cell>
          <cell r="D10248" t="str">
            <v>KIEŁB.PODW.500GVAC 7.5KGKT LIDL LT</v>
          </cell>
        </row>
        <row r="10249">
          <cell r="C10249">
            <v>4024387</v>
          </cell>
          <cell r="D10249" t="str">
            <v>KIEŁB.PODW.500GVAC 7.5KGKT LIDL SK I</v>
          </cell>
        </row>
        <row r="10250">
          <cell r="C10250">
            <v>4008876</v>
          </cell>
          <cell r="D10250" t="str">
            <v>***KIEŁB.PODWAW.94% OK1KG MAP OK10KGKT</v>
          </cell>
        </row>
        <row r="10251">
          <cell r="C10251">
            <v>4030599</v>
          </cell>
          <cell r="D10251" t="str">
            <v>KIEŁB.PODWAWEL.OK500GVAC 6KGKT LIDL</v>
          </cell>
        </row>
        <row r="10252">
          <cell r="C10252">
            <v>3016727</v>
          </cell>
          <cell r="D10252" t="str">
            <v>***KIEŁB.Z SZYNKI</v>
          </cell>
        </row>
        <row r="10253">
          <cell r="C10253">
            <v>3016728</v>
          </cell>
          <cell r="D10253" t="str">
            <v>***BS KIEŁB.Z SZYNKI</v>
          </cell>
        </row>
        <row r="10254">
          <cell r="C10254">
            <v>4008713</v>
          </cell>
          <cell r="D10254" t="str">
            <v>***KIEŁB.Z SZYN.500G MAP 4KG KT TESC</v>
          </cell>
        </row>
        <row r="10255">
          <cell r="C10255">
            <v>4008720</v>
          </cell>
          <cell r="D10255" t="str">
            <v>***KIEŁB.Z SZYN.OK1.5KGMAP OK6KG KT TESC</v>
          </cell>
        </row>
        <row r="10256">
          <cell r="C10256">
            <v>3009457</v>
          </cell>
          <cell r="D10256" t="str">
            <v>***KIEŁB. ŻYWIECKA S</v>
          </cell>
        </row>
        <row r="10257">
          <cell r="C10257">
            <v>3009458</v>
          </cell>
          <cell r="D10257" t="str">
            <v>***BS KIEŁB. ŻYWIECKA S</v>
          </cell>
        </row>
        <row r="10258">
          <cell r="C10258">
            <v>4008712</v>
          </cell>
          <cell r="D10258" t="str">
            <v>***KIEŁB.ŻYWIECKA S 320G MAP3.2KG KTTESC</v>
          </cell>
        </row>
        <row r="10259">
          <cell r="C10259">
            <v>3012719</v>
          </cell>
          <cell r="D10259" t="str">
            <v>***KIEŁB.ŚLĄSKA GRILL</v>
          </cell>
        </row>
        <row r="10260">
          <cell r="C10260">
            <v>3012718</v>
          </cell>
          <cell r="D10260" t="str">
            <v>***KIEŁB.ŚLĄSKA GRILL BS</v>
          </cell>
        </row>
        <row r="10261">
          <cell r="C10261">
            <v>4004281</v>
          </cell>
          <cell r="D10261" t="str">
            <v>***MIX FRANKF.PARZONE+ SEROWE VAC 450G T</v>
          </cell>
        </row>
        <row r="10262">
          <cell r="C10262">
            <v>4010085</v>
          </cell>
          <cell r="D10262" t="str">
            <v>***MIX GRILLOWY 1.1KG MAP 5.5KG KT</v>
          </cell>
        </row>
        <row r="10263">
          <cell r="C10263">
            <v>3014508</v>
          </cell>
          <cell r="D10263" t="str">
            <v>***KIEŁB.KRUCHA SUCHA AS</v>
          </cell>
        </row>
        <row r="10264">
          <cell r="C10264">
            <v>3014506</v>
          </cell>
          <cell r="D10264" t="str">
            <v>***KIEŁB.KRUCHA BS</v>
          </cell>
        </row>
        <row r="10265">
          <cell r="C10265">
            <v>4010670</v>
          </cell>
          <cell r="D10265" t="str">
            <v>***KIEŁB.KRUCHA OK.400G MAP 5.6KG KT JMD</v>
          </cell>
        </row>
        <row r="10266">
          <cell r="C10266">
            <v>4010763</v>
          </cell>
          <cell r="D10266" t="str">
            <v>***KIEŁB.KRUCHA OK.400G MAP OK.8KG KT</v>
          </cell>
        </row>
        <row r="10267">
          <cell r="C10267">
            <v>4011209</v>
          </cell>
          <cell r="D10267" t="str">
            <v>***KIEŁB.KRUCHA 400GMAP 4.8KGKT KRA</v>
          </cell>
        </row>
        <row r="10268">
          <cell r="C10268">
            <v>4014071</v>
          </cell>
          <cell r="D10268" t="str">
            <v>***KIEŁB.KRUCHA 400G MAP 4.8KG KS KRA</v>
          </cell>
        </row>
        <row r="10269">
          <cell r="C10269">
            <v>3020120</v>
          </cell>
          <cell r="D10269" t="str">
            <v>KIEŁB.GŁOGOWSKA AS</v>
          </cell>
        </row>
        <row r="10270">
          <cell r="C10270">
            <v>3020098</v>
          </cell>
          <cell r="D10270" t="str">
            <v>KIEŁB.GŁOGOWSKA BS</v>
          </cell>
        </row>
        <row r="10271">
          <cell r="C10271">
            <v>4013850</v>
          </cell>
          <cell r="D10271" t="str">
            <v>***KIEŁB.GŁOGOWSKA 540GMAP 5.4KGKT MOR</v>
          </cell>
        </row>
        <row r="10272">
          <cell r="C10272">
            <v>4013853</v>
          </cell>
          <cell r="D10272" t="str">
            <v>***KIEŁB.GŁOG.OK1.1KG FPK OK5.5KG KT MOR</v>
          </cell>
        </row>
        <row r="10273">
          <cell r="C10273">
            <v>4013854</v>
          </cell>
          <cell r="D10273" t="str">
            <v>***KIEŁB.BURSZT.OK1.1KGFPK OK5.5KGKT MOR</v>
          </cell>
        </row>
        <row r="10274">
          <cell r="C10274">
            <v>4014180</v>
          </cell>
          <cell r="D10274" t="str">
            <v>KIEŁB.GŁOGOWSKA 540GVAC 5.4KGKT MOR</v>
          </cell>
        </row>
        <row r="10275">
          <cell r="C10275">
            <v>4014972</v>
          </cell>
          <cell r="D10275" t="str">
            <v>***KIEŁB.Z SZYN.OK1.1KGMAP OK5.5KGKT DC</v>
          </cell>
        </row>
        <row r="10276">
          <cell r="C10276">
            <v>4016460</v>
          </cell>
          <cell r="D10276" t="str">
            <v>***KIEŁB.GŁOGOWSKA 540GMAP 8STKT KRA</v>
          </cell>
        </row>
        <row r="10277">
          <cell r="C10277">
            <v>4020136</v>
          </cell>
          <cell r="D10277" t="str">
            <v>***KIEŁB.PODWAW.Z SZYN.270GMAP12STKT MOR</v>
          </cell>
        </row>
        <row r="10278">
          <cell r="C10278">
            <v>4013651</v>
          </cell>
          <cell r="D10278" t="str">
            <v>***KIEŁB.GŁOG.OK 0.8KG MAP OK5KG KT MOR</v>
          </cell>
        </row>
        <row r="10279">
          <cell r="C10279">
            <v>4020190</v>
          </cell>
          <cell r="D10279" t="str">
            <v>***PODWAW.Z SZYN.OK1.1KGMAPOK5.5KGKTMOR</v>
          </cell>
        </row>
        <row r="10280">
          <cell r="C10280">
            <v>4020176</v>
          </cell>
          <cell r="D10280" t="str">
            <v>***KIEŁB.PODWAW.Z SZYN.270GMAP20STKT MOR</v>
          </cell>
        </row>
        <row r="10281">
          <cell r="C10281">
            <v>4021034</v>
          </cell>
          <cell r="D10281" t="str">
            <v>***K.PODWAW.Z SZYN.270GMAP12STKT MOR EX</v>
          </cell>
        </row>
        <row r="10282">
          <cell r="C10282">
            <v>3016607</v>
          </cell>
          <cell r="D10282" t="str">
            <v>***KIEŁB.PODLASKA</v>
          </cell>
        </row>
        <row r="10283">
          <cell r="C10283">
            <v>3016608</v>
          </cell>
          <cell r="D10283" t="str">
            <v>***BS KIEŁ.PODLASKA</v>
          </cell>
        </row>
        <row r="10284">
          <cell r="C10284">
            <v>4004282</v>
          </cell>
          <cell r="D10284" t="str">
            <v>***PODLASKA KIEŁBASA MAP 2.0KG</v>
          </cell>
        </row>
        <row r="10285">
          <cell r="C10285">
            <v>3017098</v>
          </cell>
          <cell r="D10285" t="str">
            <v>***KIEŁB.O SMAKU KEBAB</v>
          </cell>
        </row>
        <row r="10286">
          <cell r="C10286">
            <v>3017096</v>
          </cell>
          <cell r="D10286" t="str">
            <v>***KIEŁB.O SMAKU KEBAB BS</v>
          </cell>
        </row>
        <row r="10287">
          <cell r="C10287">
            <v>4011305</v>
          </cell>
          <cell r="D10287" t="str">
            <v>***KIEŁB.OSMAKUKEBAB700G VAC 5.6KG KT MR</v>
          </cell>
        </row>
        <row r="10288">
          <cell r="C10288">
            <v>3017103</v>
          </cell>
          <cell r="D10288" t="str">
            <v>***KIEŁB.O SMAKU KEBAB700G VAC5.6KGKTDMR</v>
          </cell>
        </row>
        <row r="10289">
          <cell r="C10289">
            <v>3017099</v>
          </cell>
          <cell r="D10289" t="str">
            <v>***KIEŁB.BIAŁA HOT DOG</v>
          </cell>
        </row>
        <row r="10290">
          <cell r="C10290">
            <v>3017095</v>
          </cell>
          <cell r="D10290" t="str">
            <v>***KIEŁB.BIAŁA HOT DOG BS</v>
          </cell>
        </row>
        <row r="10291">
          <cell r="C10291">
            <v>4011309</v>
          </cell>
          <cell r="D10291" t="str">
            <v>KIEŁB.BIAŁA HOT DOG 700G VAC 5.6KG KT MR</v>
          </cell>
        </row>
        <row r="10292">
          <cell r="C10292">
            <v>3017104</v>
          </cell>
          <cell r="D10292" t="str">
            <v>***KIEŁB.BIAŁA HOT DOG700G VAC5.6KGKTDMR</v>
          </cell>
        </row>
        <row r="10293">
          <cell r="C10293">
            <v>3017100</v>
          </cell>
          <cell r="D10293" t="str">
            <v>***KABANOS HOT DOG</v>
          </cell>
        </row>
        <row r="10294">
          <cell r="C10294">
            <v>3012909</v>
          </cell>
          <cell r="D10294" t="str">
            <v>KABANOSY DO HOT DOGA BS</v>
          </cell>
        </row>
        <row r="10295">
          <cell r="C10295">
            <v>4011308</v>
          </cell>
          <cell r="D10295" t="str">
            <v>***KABANOS HOT DOG 700G VAC 5.6KG KT MR</v>
          </cell>
        </row>
        <row r="10296">
          <cell r="C10296">
            <v>3017105</v>
          </cell>
          <cell r="D10296" t="str">
            <v>***KABANOS HOT DOG700G VAC 5.6KGKT DMR</v>
          </cell>
        </row>
        <row r="10297">
          <cell r="C10297">
            <v>3017915</v>
          </cell>
          <cell r="D10297" t="str">
            <v>KIEŁB.ZWYCZAJNA AS</v>
          </cell>
        </row>
        <row r="10298">
          <cell r="C10298">
            <v>3017914</v>
          </cell>
          <cell r="D10298" t="str">
            <v>KIEŁB. ZWYCZAJNA BS</v>
          </cell>
        </row>
        <row r="10299">
          <cell r="C10299">
            <v>4012272</v>
          </cell>
          <cell r="D10299" t="str">
            <v>***KIEŁB.ZWYCZAJNA OK700GMAP OK5KGKT</v>
          </cell>
        </row>
        <row r="10300">
          <cell r="C10300">
            <v>4012478</v>
          </cell>
          <cell r="D10300" t="str">
            <v>***KIEŁB.WYBORCZA GRILL.OK700GMAPOK5KGKT</v>
          </cell>
        </row>
        <row r="10301">
          <cell r="C10301">
            <v>4012501</v>
          </cell>
          <cell r="D10301" t="str">
            <v>***KIEŁB.WYBORNA OK1.5KGMAP OK6KGKT MOR</v>
          </cell>
        </row>
        <row r="10302">
          <cell r="C10302">
            <v>4012534</v>
          </cell>
          <cell r="D10302" t="str">
            <v>***KIEŁB.ZWYCZAJNA 700GMAP 6.3KGKT</v>
          </cell>
        </row>
        <row r="10303">
          <cell r="C10303">
            <v>4012559</v>
          </cell>
          <cell r="D10303" t="str">
            <v>KIEŁB.ZWYCZAJNA OK700GMAP OK5KGKT E</v>
          </cell>
        </row>
        <row r="10304">
          <cell r="C10304">
            <v>4013227</v>
          </cell>
          <cell r="D10304" t="str">
            <v>***KIEŁB.WYBORCZA700G MAP5.6KG KT JMP</v>
          </cell>
        </row>
        <row r="10305">
          <cell r="C10305">
            <v>4014777</v>
          </cell>
          <cell r="D10305" t="str">
            <v>***KIEŁB.WYBORNA 700GMAP 4.9KGKT MOR</v>
          </cell>
        </row>
        <row r="10306">
          <cell r="C10306">
            <v>4014967</v>
          </cell>
          <cell r="D10306" t="str">
            <v>KIEŁB.ZWYCZAJNA 700GMAP 4.9KGKT MOR</v>
          </cell>
        </row>
        <row r="10307">
          <cell r="C10307">
            <v>4016403</v>
          </cell>
          <cell r="D10307" t="str">
            <v>***KIEŁB.DOBRA 700G MAP 4.9KG KT MOR</v>
          </cell>
        </row>
        <row r="10308">
          <cell r="C10308">
            <v>4016404</v>
          </cell>
          <cell r="D10308" t="str">
            <v>***KIEŁB.DOBRA OK1.5 KG MAP OK6KG KT MOR</v>
          </cell>
        </row>
        <row r="10309">
          <cell r="C10309">
            <v>4021064</v>
          </cell>
          <cell r="D10309" t="str">
            <v>***K.MORLIŃSKA GRILL.600GMAP 8STKT MOR</v>
          </cell>
        </row>
        <row r="10310">
          <cell r="C10310">
            <v>3035197</v>
          </cell>
          <cell r="D10310" t="str">
            <v>WT KIEŁB.ZWYCZAJNA KAW.AS</v>
          </cell>
        </row>
        <row r="10311">
          <cell r="C10311">
            <v>3035194</v>
          </cell>
          <cell r="D10311" t="str">
            <v>WT KIEŁB.ZWYCZAJNA KAW.OK15KG NB MR</v>
          </cell>
        </row>
        <row r="10312">
          <cell r="C10312">
            <v>3035193</v>
          </cell>
          <cell r="D10312" t="str">
            <v>WT KIEŁB.ZWYCZAJNA KAW.OK15KG NB DMR</v>
          </cell>
        </row>
        <row r="10313">
          <cell r="C10313">
            <v>3035213</v>
          </cell>
          <cell r="D10313" t="str">
            <v>***WT KIEŁB.ZWYCZAJNA KAW.RO</v>
          </cell>
        </row>
        <row r="10314">
          <cell r="C10314">
            <v>3021977</v>
          </cell>
          <cell r="D10314" t="str">
            <v>KIEŁB.ŚLĄSKA MOR AS</v>
          </cell>
        </row>
        <row r="10315">
          <cell r="C10315">
            <v>3015734</v>
          </cell>
          <cell r="D10315" t="str">
            <v>KIEŁB.ŚLĄSKA BS MOR</v>
          </cell>
        </row>
        <row r="10316">
          <cell r="C10316">
            <v>4014253</v>
          </cell>
          <cell r="D10316" t="str">
            <v>***KIEŁB.ŚLĄSKA 550GMAP 5.5KGKT MOR</v>
          </cell>
        </row>
        <row r="10317">
          <cell r="C10317">
            <v>4014264</v>
          </cell>
          <cell r="D10317" t="str">
            <v>***KIEŁB.ŚLĄSKA OK1KGMAP OK7KGKT MOR</v>
          </cell>
        </row>
        <row r="10318">
          <cell r="C10318">
            <v>4014325</v>
          </cell>
          <cell r="D10318" t="str">
            <v>***KIEŁB.ŚLĄSKA OK0.7KGMAP 10STKT MOR</v>
          </cell>
        </row>
        <row r="10319">
          <cell r="C10319">
            <v>4014831</v>
          </cell>
          <cell r="D10319" t="str">
            <v>***KIEŁB.ŚLĄSKA MP OK1.2KGMAPOK5KGKT MOR</v>
          </cell>
        </row>
        <row r="10320">
          <cell r="C10320">
            <v>4014832</v>
          </cell>
          <cell r="D10320" t="str">
            <v>***KIEŁB.ŚLĄSKA MP OK1.2KGMAPOK10KGKTMOR</v>
          </cell>
        </row>
        <row r="10321">
          <cell r="C10321">
            <v>4014979</v>
          </cell>
          <cell r="D10321" t="str">
            <v>***KIEŁB.ŚLĄSKA 550GMAP 12STKT MOR</v>
          </cell>
        </row>
        <row r="10322">
          <cell r="C10322">
            <v>4015526</v>
          </cell>
          <cell r="D10322" t="str">
            <v>***K.ŚLĄSKA MP1.1KGMAP9.9KGKT MOR AUCH</v>
          </cell>
        </row>
        <row r="10323">
          <cell r="C10323">
            <v>4016510</v>
          </cell>
          <cell r="D10323" t="str">
            <v>***KIEŁB.ŚLĄSKA 550GMAP 8STKT MOR</v>
          </cell>
        </row>
        <row r="10324">
          <cell r="C10324">
            <v>4021045</v>
          </cell>
          <cell r="D10324" t="str">
            <v>***KIEŁB.CODZIENNA OK1KGMAP4KGKT LIDL II</v>
          </cell>
        </row>
        <row r="10325">
          <cell r="C10325">
            <v>4021480</v>
          </cell>
          <cell r="D10325" t="str">
            <v>***KIEŁB.ŚLĄSKA OK1.2KGMAP OK7KGKT MOR</v>
          </cell>
        </row>
        <row r="10326">
          <cell r="C10326">
            <v>4028356</v>
          </cell>
          <cell r="D10326" t="str">
            <v>***KIEŁB.ŚLĄSKA OK1.2KGMAP OK7.2KGKT EX</v>
          </cell>
        </row>
        <row r="10327">
          <cell r="C10327">
            <v>3022068</v>
          </cell>
          <cell r="D10327" t="str">
            <v>KIEŁB.MORLIŃSKA Z SZYN.KRÓTKA AS</v>
          </cell>
        </row>
        <row r="10328">
          <cell r="C10328">
            <v>3021294</v>
          </cell>
          <cell r="D10328" t="str">
            <v>KIEŁB.MORLIŃSKA Z SZYN.KRÓTKA BS</v>
          </cell>
        </row>
        <row r="10329">
          <cell r="C10329">
            <v>4014343</v>
          </cell>
          <cell r="D10329" t="str">
            <v>***K.MORLIŃSKA Z SZYN.550GMAP 12STKT MOR</v>
          </cell>
        </row>
        <row r="10330">
          <cell r="C10330">
            <v>4016530</v>
          </cell>
          <cell r="D10330" t="str">
            <v>***K.ŚLĄSKA Z SZYN.OK1KGMAP OK6KGKT MOR</v>
          </cell>
        </row>
        <row r="10331">
          <cell r="C10331">
            <v>3022337</v>
          </cell>
          <cell r="D10331" t="str">
            <v>***KIEŁB.ŚLĄSKA TESCO</v>
          </cell>
        </row>
        <row r="10332">
          <cell r="C10332">
            <v>3021208</v>
          </cell>
          <cell r="D10332" t="str">
            <v>KIEŁB.ŚLĄSKA BS TESC</v>
          </cell>
        </row>
        <row r="10333">
          <cell r="C10333">
            <v>4014728</v>
          </cell>
          <cell r="D10333" t="str">
            <v>***KIEŁB.ŚLĄSKA 550G MAP 10ST KT TESC</v>
          </cell>
        </row>
        <row r="10334">
          <cell r="C10334">
            <v>4014729</v>
          </cell>
          <cell r="D10334" t="str">
            <v>***KIEŁB.ŚLĄSKA OK700G MAP OK5KG KT TESC</v>
          </cell>
        </row>
        <row r="10335">
          <cell r="C10335">
            <v>3022536</v>
          </cell>
          <cell r="D10335" t="str">
            <v>KIEŁB.GRILL.LIDL AS</v>
          </cell>
        </row>
        <row r="10336">
          <cell r="C10336">
            <v>3022537</v>
          </cell>
          <cell r="D10336" t="str">
            <v>KIEŁB.GRILLOWA BS LIDL</v>
          </cell>
        </row>
        <row r="10337">
          <cell r="C10337">
            <v>4014861</v>
          </cell>
          <cell r="D10337" t="str">
            <v>***KIEŁB.GRILLOWA 550G MAP 6.6KG KT LIDL</v>
          </cell>
        </row>
        <row r="10338">
          <cell r="C10338">
            <v>4015426</v>
          </cell>
          <cell r="D10338" t="str">
            <v>***KIEŁB.ŚLĄSKA 550GMAP 4.4KGKT LIDL</v>
          </cell>
        </row>
        <row r="10339">
          <cell r="C10339">
            <v>4016501</v>
          </cell>
          <cell r="D10339" t="str">
            <v>***KIEŁB.ŚLĄSKA OK1KG MAP OK7KG KT KRA</v>
          </cell>
        </row>
        <row r="10340">
          <cell r="C10340">
            <v>4016511</v>
          </cell>
          <cell r="D10340" t="str">
            <v>***KIEŁB.ŚLĄSKA 550GMAP 10STKT LIDL</v>
          </cell>
        </row>
        <row r="10341">
          <cell r="C10341">
            <v>4016582</v>
          </cell>
          <cell r="D10341" t="str">
            <v>***KIEŁB.ŚLĄSKA 550GMAP 9STKT KRA</v>
          </cell>
        </row>
        <row r="10342">
          <cell r="C10342">
            <v>4016549</v>
          </cell>
          <cell r="D10342" t="str">
            <v>***KIEŁB.ŚLĄSKA 270GMAP 6STKT KRA</v>
          </cell>
        </row>
        <row r="10343">
          <cell r="C10343">
            <v>4017330</v>
          </cell>
          <cell r="D10343" t="str">
            <v>***KIEŁB.ŚLĄSKA OK1KGMAPOK7KGKT KRA KAUF</v>
          </cell>
        </row>
        <row r="10344">
          <cell r="C10344">
            <v>4018843</v>
          </cell>
          <cell r="D10344" t="str">
            <v>***KIEŁB.ŚLĄSKA 550GMAP 10STKT PIK LIDL</v>
          </cell>
        </row>
        <row r="10345">
          <cell r="C10345">
            <v>4019302</v>
          </cell>
          <cell r="D10345" t="str">
            <v>***KIEŁB.ŚLĄSKA 550GMAP10STKT LIDL EX LT</v>
          </cell>
        </row>
        <row r="10346">
          <cell r="C10346">
            <v>4019442</v>
          </cell>
          <cell r="D10346" t="str">
            <v>***KIEŁB.ŚLĄSKA 550GMAP 12STKT KRA I</v>
          </cell>
        </row>
        <row r="10347">
          <cell r="C10347">
            <v>4020180</v>
          </cell>
          <cell r="D10347" t="str">
            <v>***KIEŁB.ŚLĄSKA 550GMAP 12STKT KRA II</v>
          </cell>
        </row>
        <row r="10348">
          <cell r="C10348">
            <v>4025520</v>
          </cell>
          <cell r="D10348" t="str">
            <v>KIEŁB.ŚLĄSKA 550GMAP 6STKT KRA EX</v>
          </cell>
        </row>
        <row r="10349">
          <cell r="C10349">
            <v>3023387</v>
          </cell>
          <cell r="D10349" t="str">
            <v>***KIEŁB.ZE SCH.AS</v>
          </cell>
        </row>
        <row r="10350">
          <cell r="C10350">
            <v>3023386</v>
          </cell>
          <cell r="D10350" t="str">
            <v>***KIEŁB.ZE SCH.BS</v>
          </cell>
        </row>
        <row r="10351">
          <cell r="C10351">
            <v>4015467</v>
          </cell>
          <cell r="D10351" t="str">
            <v>***KIEŁB.ZE SCHABU 260GMAP 5.2KGKT BIED</v>
          </cell>
        </row>
        <row r="10352">
          <cell r="C10352">
            <v>3025585</v>
          </cell>
          <cell r="D10352" t="str">
            <v>***KIEŁB.ŚLĄSKA MP AS</v>
          </cell>
        </row>
        <row r="10353">
          <cell r="C10353">
            <v>3025584</v>
          </cell>
          <cell r="D10353" t="str">
            <v>***KIEŁB.ŚLĄSKA MP BS</v>
          </cell>
        </row>
        <row r="10354">
          <cell r="C10354">
            <v>4016633</v>
          </cell>
          <cell r="D10354" t="str">
            <v>***KIEŁB.ŚLĄSKA MP OK1.5KGMAPOK6KGKT MOR</v>
          </cell>
        </row>
        <row r="10355">
          <cell r="C10355">
            <v>3025867</v>
          </cell>
          <cell r="D10355" t="str">
            <v>***KIEŁB.SZASZŁYKOWA</v>
          </cell>
        </row>
        <row r="10356">
          <cell r="C10356">
            <v>3025866</v>
          </cell>
          <cell r="D10356" t="str">
            <v>***KIEŁB.SZASZŁYKOWA BS</v>
          </cell>
        </row>
        <row r="10357">
          <cell r="C10357">
            <v>3026002</v>
          </cell>
          <cell r="D10357" t="str">
            <v>***KIEŁB.SZASZŁYKOWA 550G MAP BL</v>
          </cell>
        </row>
        <row r="10358">
          <cell r="C10358">
            <v>3025910</v>
          </cell>
          <cell r="D10358" t="str">
            <v>***KIEŁB.BBQ.</v>
          </cell>
        </row>
        <row r="10359">
          <cell r="C10359">
            <v>3025869</v>
          </cell>
          <cell r="D10359" t="str">
            <v>***KIEŁB.BBQ BS</v>
          </cell>
        </row>
        <row r="10360">
          <cell r="C10360">
            <v>3026001</v>
          </cell>
          <cell r="D10360" t="str">
            <v>***KIEŁB.BBQ 550G MAP BL</v>
          </cell>
        </row>
        <row r="10361">
          <cell r="C10361">
            <v>4016949</v>
          </cell>
          <cell r="D10361" t="str">
            <v>***MIX KIEŁB.SZASZŁ+BBQ550GMAP12STKT MOR</v>
          </cell>
        </row>
        <row r="10362">
          <cell r="C10362">
            <v>3026144</v>
          </cell>
          <cell r="D10362" t="str">
            <v>***KIEŁB.KEBAB</v>
          </cell>
        </row>
        <row r="10363">
          <cell r="C10363">
            <v>3026145</v>
          </cell>
          <cell r="D10363" t="str">
            <v>***KIEŁB.KEBAB BS</v>
          </cell>
        </row>
        <row r="10364">
          <cell r="C10364">
            <v>3026149</v>
          </cell>
          <cell r="D10364" t="str">
            <v>***KIEŁB.KEBAB 270G MAP BL</v>
          </cell>
        </row>
        <row r="10365">
          <cell r="C10365">
            <v>3026183</v>
          </cell>
          <cell r="D10365" t="str">
            <v>***KIEŁB.CHORIZO</v>
          </cell>
        </row>
        <row r="10366">
          <cell r="C10366">
            <v>3026181</v>
          </cell>
          <cell r="D10366" t="str">
            <v>***KIEŁB.CHORIZO BS</v>
          </cell>
        </row>
        <row r="10367">
          <cell r="C10367">
            <v>3026182</v>
          </cell>
          <cell r="D10367" t="str">
            <v>***KIEŁB.CHORIZO 270G MAP BL</v>
          </cell>
        </row>
        <row r="10368">
          <cell r="C10368">
            <v>4017161</v>
          </cell>
          <cell r="D10368" t="str">
            <v>***MIX KIEŁB.KEB+CHOR 270GMAP 24STKTMOR</v>
          </cell>
        </row>
        <row r="10369">
          <cell r="C10369">
            <v>3026433</v>
          </cell>
          <cell r="D10369" t="str">
            <v>***KIEŁB.BURSZTYN.AS</v>
          </cell>
        </row>
        <row r="10370">
          <cell r="C10370">
            <v>3026432</v>
          </cell>
          <cell r="D10370" t="str">
            <v>***KIEŁB.BURSZTYN.BS</v>
          </cell>
        </row>
        <row r="10371">
          <cell r="C10371">
            <v>4017433</v>
          </cell>
          <cell r="D10371" t="str">
            <v>***KIEŁB.BURSZT.OK1.2KGMAP OK5KGKT MOR</v>
          </cell>
        </row>
        <row r="10372">
          <cell r="C10372">
            <v>4017432</v>
          </cell>
          <cell r="D10372" t="str">
            <v>***KIEŁB.BURSZT.OK1KG MAP OK6KG KT MOR</v>
          </cell>
        </row>
        <row r="10373">
          <cell r="C10373">
            <v>3027094</v>
          </cell>
          <cell r="D10373" t="str">
            <v>KIEŁB.REGIONALNA AS</v>
          </cell>
        </row>
        <row r="10374">
          <cell r="C10374">
            <v>3027093</v>
          </cell>
          <cell r="D10374" t="str">
            <v>KIEŁB.REGIONALNA BS</v>
          </cell>
        </row>
        <row r="10375">
          <cell r="C10375">
            <v>4017984</v>
          </cell>
          <cell r="D10375" t="str">
            <v>KIEŁB.ZWYCZAJNA 500GMAP 12STKT YAN</v>
          </cell>
        </row>
        <row r="10376">
          <cell r="C10376">
            <v>4017982</v>
          </cell>
          <cell r="D10376" t="str">
            <v>***KIEŁB.REGIONALNA OK1KGMAP 6KGKT BIED</v>
          </cell>
        </row>
        <row r="10377">
          <cell r="C10377">
            <v>4018268</v>
          </cell>
          <cell r="D10377" t="str">
            <v>***K.BIWAKOWA OK600GMAP OK12KGKT YAN EX</v>
          </cell>
        </row>
        <row r="10378">
          <cell r="C10378">
            <v>4018269</v>
          </cell>
          <cell r="D10378" t="str">
            <v>***KIEŁB.BIWAKOWA OK600GMAP OK6KGKT YAN</v>
          </cell>
        </row>
        <row r="10379">
          <cell r="C10379">
            <v>4018295</v>
          </cell>
          <cell r="D10379" t="str">
            <v>***KIEŁB.BIWAKOWA OK600GMAP OK12KGKT YAN</v>
          </cell>
        </row>
        <row r="10380">
          <cell r="C10380">
            <v>4018852</v>
          </cell>
          <cell r="D10380" t="str">
            <v>***KIEŁB.ZWYKŁA OK1KGMAP OK10KGKT MAKR</v>
          </cell>
        </row>
        <row r="10381">
          <cell r="C10381">
            <v>4020680</v>
          </cell>
          <cell r="D10381" t="str">
            <v>***KIEŁB.BIWAKOWA OK1KGMAP 4KGKT LIDL</v>
          </cell>
        </row>
        <row r="10382">
          <cell r="C10382">
            <v>4020793</v>
          </cell>
          <cell r="D10382" t="str">
            <v>***KIEŁB.BIWAKOWA OK1KGMAP 6KGKT LIDL</v>
          </cell>
        </row>
        <row r="10383">
          <cell r="C10383">
            <v>4021563</v>
          </cell>
          <cell r="D10383" t="str">
            <v>***KIEŁB.BIESIADNA 600GMAP 10STKT YAN</v>
          </cell>
        </row>
        <row r="10384">
          <cell r="C10384">
            <v>4022707</v>
          </cell>
          <cell r="D10384" t="str">
            <v>***K.BIWAKOWA OK1.3KGMAP 7.8KGKT LIDL</v>
          </cell>
        </row>
        <row r="10385">
          <cell r="C10385">
            <v>4023822</v>
          </cell>
          <cell r="D10385" t="str">
            <v>***KIEŁB.ZWYCZAJNA OK1KGMAP 6KGKT YAN</v>
          </cell>
        </row>
        <row r="10386">
          <cell r="C10386">
            <v>4024908</v>
          </cell>
          <cell r="D10386" t="str">
            <v>KIEŁB.ZWYCZAJNA 500GMAP 6STKT ELIT</v>
          </cell>
        </row>
        <row r="10387">
          <cell r="C10387">
            <v>4025148</v>
          </cell>
          <cell r="D10387" t="str">
            <v>***K.BIWAKOWA OK1.3KGMAP7.8KGKT LIDL RO</v>
          </cell>
        </row>
        <row r="10388">
          <cell r="C10388">
            <v>4027600</v>
          </cell>
          <cell r="D10388" t="str">
            <v>***KIEŁB.ZWYCZAJNA OK1.2KGMAP 6KGKT ALDI</v>
          </cell>
        </row>
        <row r="10389">
          <cell r="C10389">
            <v>3030902</v>
          </cell>
          <cell r="D10389" t="str">
            <v>***KIEŁB.ŚLĄSKA Z SZYN.AS BIED</v>
          </cell>
        </row>
        <row r="10390">
          <cell r="C10390">
            <v>3030901</v>
          </cell>
          <cell r="D10390" t="str">
            <v>***KIEŁB.ŚLĄSKA Z SZYN.BS BIED</v>
          </cell>
        </row>
        <row r="10391">
          <cell r="C10391">
            <v>4020636</v>
          </cell>
          <cell r="D10391" t="str">
            <v>***KIEŁB.ŚLĄSKA Z SZYN.500GMAP12STKTBIED</v>
          </cell>
        </row>
        <row r="10392">
          <cell r="C10392">
            <v>3030916</v>
          </cell>
          <cell r="D10392" t="str">
            <v>***KIEŁB.ŚLĄSKA 500G AS LIDL</v>
          </cell>
        </row>
        <row r="10393">
          <cell r="C10393">
            <v>3030917</v>
          </cell>
          <cell r="D10393" t="str">
            <v>***KIEŁB.ŚLĄSKA 500G BS LIDL</v>
          </cell>
        </row>
        <row r="10394">
          <cell r="C10394">
            <v>4020650</v>
          </cell>
          <cell r="D10394" t="str">
            <v>***KIEŁB.ŚLĄSKA 500GMAP 7STKT LIDL</v>
          </cell>
        </row>
        <row r="10395">
          <cell r="C10395">
            <v>3030952</v>
          </cell>
          <cell r="D10395" t="str">
            <v>***KIEŁB.CODZIENNA AS</v>
          </cell>
        </row>
        <row r="10396">
          <cell r="C10396">
            <v>3030951</v>
          </cell>
          <cell r="D10396" t="str">
            <v>***KIEŁB.CODZIENNA BS</v>
          </cell>
        </row>
        <row r="10397">
          <cell r="C10397">
            <v>4020679</v>
          </cell>
          <cell r="D10397" t="str">
            <v>***KIEŁB.CODZIENNA OK1KGMAP 4KGKT LIDL I</v>
          </cell>
        </row>
        <row r="10398">
          <cell r="C10398">
            <v>3026631</v>
          </cell>
          <cell r="D10398" t="str">
            <v>KIEŁB.ŚLĄSKA 90% AS</v>
          </cell>
        </row>
        <row r="10399">
          <cell r="C10399">
            <v>3026612</v>
          </cell>
          <cell r="D10399" t="str">
            <v>KIEŁB.ŚLĄSKA 90% BS</v>
          </cell>
        </row>
        <row r="10400">
          <cell r="C10400">
            <v>4022837</v>
          </cell>
          <cell r="D10400" t="str">
            <v>***KIEŁB.ŚLĄSKA 90% 550GMAP12STKT BIED I</v>
          </cell>
        </row>
        <row r="10401">
          <cell r="C10401">
            <v>4022909</v>
          </cell>
          <cell r="D10401" t="str">
            <v>***KIEŁB.ŚLĄSKA 90% OK1KGMAPOK7KGKT BIED</v>
          </cell>
        </row>
        <row r="10402">
          <cell r="C10402">
            <v>3034198</v>
          </cell>
          <cell r="D10402" t="str">
            <v>***KIEŁB.ŚLĄSKA 90% FES AS</v>
          </cell>
        </row>
        <row r="10403">
          <cell r="C10403">
            <v>4024560</v>
          </cell>
          <cell r="D10403" t="str">
            <v>***K.ŚLĄSKA 90% 550GMAP 12STKT BIED II</v>
          </cell>
        </row>
        <row r="10404">
          <cell r="C10404">
            <v>4022920</v>
          </cell>
          <cell r="D10404" t="str">
            <v>***K.ŚLĄSKA 90% OK1KGMAPOK7KGKT BIED II</v>
          </cell>
        </row>
        <row r="10405">
          <cell r="C10405">
            <v>3042101</v>
          </cell>
          <cell r="D10405" t="str">
            <v>ŚLĄZERKI BIAŁE AS</v>
          </cell>
        </row>
        <row r="10406">
          <cell r="C10406">
            <v>3042100</v>
          </cell>
          <cell r="D10406" t="str">
            <v>ŚLĄZERKI BIAŁE BS</v>
          </cell>
        </row>
        <row r="10407">
          <cell r="C10407">
            <v>4027837</v>
          </cell>
          <cell r="D10407" t="str">
            <v>***ŚLĄZERKI BIAŁE 240GMAP 11STKT MOR</v>
          </cell>
        </row>
        <row r="10408">
          <cell r="C10408">
            <v>3034352</v>
          </cell>
          <cell r="D10408" t="str">
            <v>KIEŁB.CHILI/SER AS</v>
          </cell>
        </row>
        <row r="10409">
          <cell r="C10409">
            <v>3034351</v>
          </cell>
          <cell r="D10409" t="str">
            <v>KIEŁB.CHILI/SER BS</v>
          </cell>
        </row>
        <row r="10410">
          <cell r="C10410">
            <v>4022941</v>
          </cell>
          <cell r="D10410" t="str">
            <v>***KIEŁB.CHILI/SER 300GMAP 18STKT LIDL</v>
          </cell>
        </row>
        <row r="10411">
          <cell r="C10411">
            <v>3042095</v>
          </cell>
          <cell r="D10411" t="str">
            <v>KIEŁB.CHILI/SER 300GMAP BL</v>
          </cell>
        </row>
        <row r="10412">
          <cell r="C10412">
            <v>4025494</v>
          </cell>
          <cell r="D10412" t="str">
            <v>***KIEŁB.CHILI/SER 300GMAP 18STKT MOR EX</v>
          </cell>
        </row>
        <row r="10413">
          <cell r="C10413">
            <v>4026059</v>
          </cell>
          <cell r="D10413" t="str">
            <v>***KIEŁB.CHILI/SER 240GMAP 11STKT MOR EX</v>
          </cell>
        </row>
        <row r="10414">
          <cell r="C10414">
            <v>4028153</v>
          </cell>
          <cell r="D10414" t="str">
            <v>***KIEŁB.CHILI/SER 300GMAP 20STKT LIDL</v>
          </cell>
        </row>
        <row r="10415">
          <cell r="C10415">
            <v>3034355</v>
          </cell>
          <cell r="D10415" t="str">
            <v>KIEŁB.BEK/CEB.AS</v>
          </cell>
        </row>
        <row r="10416">
          <cell r="C10416">
            <v>3034354</v>
          </cell>
          <cell r="D10416" t="str">
            <v>KIEŁB.BEK/CEB.BS</v>
          </cell>
        </row>
        <row r="10417">
          <cell r="C10417">
            <v>4022942</v>
          </cell>
          <cell r="D10417" t="str">
            <v>***KIEŁB.BEK/CEB.300GMAP 18STKT LIDL</v>
          </cell>
        </row>
        <row r="10418">
          <cell r="C10418">
            <v>3042094</v>
          </cell>
          <cell r="D10418" t="str">
            <v>KIEŁB.BEK/CEB.300GMAP BL</v>
          </cell>
        </row>
        <row r="10419">
          <cell r="C10419">
            <v>3034397</v>
          </cell>
          <cell r="D10419" t="str">
            <v>KIEŁB.PODWAWELSKA FES AS</v>
          </cell>
        </row>
        <row r="10420">
          <cell r="C10420">
            <v>3039754</v>
          </cell>
          <cell r="D10420" t="str">
            <v>WT KIEŁB.TOR/PODW.KAW.RO FES</v>
          </cell>
        </row>
        <row r="10421">
          <cell r="C10421">
            <v>3034661</v>
          </cell>
          <cell r="D10421" t="str">
            <v>WT KIEŁB.TORUŃSKA/PODWAW.KAW.AS</v>
          </cell>
        </row>
        <row r="10422">
          <cell r="C10422">
            <v>3039753</v>
          </cell>
          <cell r="D10422" t="str">
            <v>WT KIEŁB.TOR/PODW.KAW.OK15KG NB MR</v>
          </cell>
        </row>
        <row r="10423">
          <cell r="C10423">
            <v>3039747</v>
          </cell>
          <cell r="D10423" t="str">
            <v>WT KIEŁB.TOR/PODW.KAW.OK15KG NB DMR</v>
          </cell>
        </row>
        <row r="10424">
          <cell r="C10424">
            <v>3039754</v>
          </cell>
          <cell r="D10424" t="str">
            <v>WT KIEŁB.TOR/PODW.KAW.RO</v>
          </cell>
        </row>
        <row r="10425">
          <cell r="C10425">
            <v>3034414</v>
          </cell>
          <cell r="D10425" t="str">
            <v>KIEŁB.PODWAWELSKA FES AS BAR</v>
          </cell>
        </row>
        <row r="10426">
          <cell r="C10426">
            <v>4023063</v>
          </cell>
          <cell r="D10426" t="str">
            <v>***K.PODWAWEL.OK500GVAC 7.5KGKT LIDL II</v>
          </cell>
        </row>
        <row r="10427">
          <cell r="C10427">
            <v>4023090</v>
          </cell>
          <cell r="D10427" t="str">
            <v>***KIEŁB.PODW.500GVAC 7.5KGKT LIDL LT II</v>
          </cell>
        </row>
        <row r="10428">
          <cell r="C10428">
            <v>4024427</v>
          </cell>
          <cell r="D10428" t="str">
            <v>***KIEŁB.PODW.500GVAC 7.5KGKT LIDL SK II</v>
          </cell>
        </row>
        <row r="10429">
          <cell r="C10429">
            <v>3034663</v>
          </cell>
          <cell r="D10429" t="str">
            <v>WT KIEŁB.PODWAWELSKA KAW.AS BAR</v>
          </cell>
        </row>
        <row r="10430">
          <cell r="C10430">
            <v>3034412</v>
          </cell>
          <cell r="D10430" t="str">
            <v>KIEŁB.PODWAWELSKA FES AS BIED</v>
          </cell>
        </row>
        <row r="10431">
          <cell r="C10431">
            <v>4023041</v>
          </cell>
          <cell r="D10431" t="str">
            <v>***K.PODWAWELSKA OK500GVACOK7KGKTBIEDII</v>
          </cell>
        </row>
        <row r="10432">
          <cell r="C10432">
            <v>3035080</v>
          </cell>
          <cell r="D10432" t="str">
            <v>***WT KIEŁB.PODWAWELSKA KAW.FES BIED</v>
          </cell>
        </row>
        <row r="10433">
          <cell r="C10433">
            <v>3034480</v>
          </cell>
          <cell r="D10433" t="str">
            <v>KIEŁB.TORUŃSKA 67% FES AS</v>
          </cell>
        </row>
        <row r="10434">
          <cell r="C10434">
            <v>4023083</v>
          </cell>
          <cell r="D10434" t="str">
            <v>***K.TORUŃSKA 67% 520GVAC 12STKT MOR</v>
          </cell>
        </row>
        <row r="10435">
          <cell r="C10435">
            <v>3034514</v>
          </cell>
          <cell r="D10435" t="str">
            <v>KIEŁB.ŚLĄSKA 90% MP FES AS LIDL</v>
          </cell>
        </row>
        <row r="10436">
          <cell r="C10436">
            <v>3034629</v>
          </cell>
          <cell r="D10436" t="str">
            <v>KIEŁB.REGIONALNA FES AS</v>
          </cell>
        </row>
        <row r="10437">
          <cell r="C10437">
            <v>4023290</v>
          </cell>
          <cell r="D10437" t="str">
            <v>***K.REGIONALNA OK1KGMAP 6KGKT BIED II</v>
          </cell>
        </row>
        <row r="10438">
          <cell r="C10438">
            <v>4025424</v>
          </cell>
          <cell r="D10438" t="str">
            <v>***KIEŁB.BIWAKOWA OK1.2KGMAP7.2KGKT LIDL</v>
          </cell>
        </row>
        <row r="10439">
          <cell r="C10439">
            <v>4027281</v>
          </cell>
          <cell r="D10439" t="str">
            <v>KIEŁB.REGIONALNA OK1.2KGMAPOK7.2KGKTBIED</v>
          </cell>
        </row>
        <row r="10440">
          <cell r="C10440">
            <v>4028275</v>
          </cell>
          <cell r="D10440" t="str">
            <v>***K.REGIONALNA OK1.2KGMAP OK7.2KGKT EX</v>
          </cell>
        </row>
        <row r="10441">
          <cell r="C10441">
            <v>4029834</v>
          </cell>
          <cell r="D10441" t="str">
            <v>KIEŁB.ZWYCZAJNA OK1.2KGMAP 6KGKT ALDI</v>
          </cell>
        </row>
        <row r="10442">
          <cell r="C10442">
            <v>3034698</v>
          </cell>
          <cell r="D10442" t="str">
            <v>WT KIEŁB.REGIONALNA DROB/WP.KAW.AS</v>
          </cell>
        </row>
        <row r="10443">
          <cell r="C10443">
            <v>3034697</v>
          </cell>
          <cell r="D10443" t="str">
            <v>WT K.REGIONALNA DROB/WP.KAW.OK15KGNB MR</v>
          </cell>
        </row>
        <row r="10444">
          <cell r="C10444">
            <v>3034696</v>
          </cell>
          <cell r="D10444" t="str">
            <v>WT K.REGIONALNA DROB/WP.KAW.OK15KGNB DMR</v>
          </cell>
        </row>
        <row r="10445">
          <cell r="C10445">
            <v>3036215</v>
          </cell>
          <cell r="D10445" t="str">
            <v>WT KIEŁB.REGIONALNA DROB/WP.KAW.RO</v>
          </cell>
        </row>
        <row r="10446">
          <cell r="C10446">
            <v>3034703</v>
          </cell>
          <cell r="D10446" t="str">
            <v>KIEŁB.ŚLĄSKA FES AS LIDL EX</v>
          </cell>
        </row>
        <row r="10447">
          <cell r="C10447">
            <v>4023310</v>
          </cell>
          <cell r="D10447" t="str">
            <v>KIEŁB.ŚLĄSKA 550GMAP 7STKT LIDL SK II</v>
          </cell>
        </row>
        <row r="10448">
          <cell r="C10448">
            <v>4023311</v>
          </cell>
          <cell r="D10448" t="str">
            <v>KIEŁB.ŚLĄSKA 550GMAP 7STKT LIDL RO II</v>
          </cell>
        </row>
        <row r="10449">
          <cell r="C10449">
            <v>4023312</v>
          </cell>
          <cell r="D10449" t="str">
            <v>KIEŁB.ŚLĄSKA 550GMAP 7STKT LIDL HR II</v>
          </cell>
        </row>
        <row r="10450">
          <cell r="C10450">
            <v>4023313</v>
          </cell>
          <cell r="D10450" t="str">
            <v>KIEŁB.ŚLĄSKA 550GMAP 7STKT LIDL GB II</v>
          </cell>
        </row>
        <row r="10451">
          <cell r="C10451">
            <v>4024428</v>
          </cell>
          <cell r="D10451" t="str">
            <v>KIEŁB.ŚLĄSKA 550GMAP 7STKT LIDL BG II</v>
          </cell>
        </row>
        <row r="10452">
          <cell r="C10452">
            <v>4030391</v>
          </cell>
          <cell r="D10452" t="str">
            <v>KIEŁB.ŚLĄSKA 550GMAP 7STKT LIDL LV/EE</v>
          </cell>
        </row>
        <row r="10453">
          <cell r="C10453">
            <v>4030913</v>
          </cell>
          <cell r="D10453" t="str">
            <v>KIEŁB.ŚLĄSKA 550GMAP 7STKT LIDL DE</v>
          </cell>
        </row>
        <row r="10454">
          <cell r="C10454">
            <v>3036662</v>
          </cell>
          <cell r="D10454" t="str">
            <v>KIEŁB.TORUŃSKA FES AS</v>
          </cell>
        </row>
        <row r="10455">
          <cell r="C10455">
            <v>3039110</v>
          </cell>
          <cell r="D10455" t="str">
            <v>KIEŁB.ŚLĄSKA GRILL.FES AS</v>
          </cell>
        </row>
        <row r="10456">
          <cell r="C10456">
            <v>4026154</v>
          </cell>
          <cell r="D10456" t="str">
            <v>K.ŚLĄSKA GRILL.OK1KGMAP OK7.2KGKT BIED</v>
          </cell>
        </row>
        <row r="10457">
          <cell r="C10457">
            <v>4026570</v>
          </cell>
          <cell r="D10457" t="str">
            <v>***K.ŚLĄSKA CODZIENNA OK1KGMAP OK7.2KGKT</v>
          </cell>
        </row>
        <row r="10458">
          <cell r="C10458">
            <v>3040811</v>
          </cell>
          <cell r="D10458" t="str">
            <v>***WT KIEŁB.ŚLĄSKA GRILL.KAW.FES</v>
          </cell>
        </row>
        <row r="10459">
          <cell r="C10459">
            <v>3040813</v>
          </cell>
          <cell r="D10459" t="str">
            <v>***WT K.ŚLĄSKA GRILL.KAW.OK15KGNB MR FES</v>
          </cell>
        </row>
        <row r="10460">
          <cell r="C10460">
            <v>3040812</v>
          </cell>
          <cell r="D10460" t="str">
            <v>***WT K.ŚLĄSKA GRILL.KAW.OK15KGNBDMR FES</v>
          </cell>
        </row>
        <row r="10461">
          <cell r="C10461">
            <v>3040814</v>
          </cell>
          <cell r="D10461" t="str">
            <v>***WT KIEŁB.ŚLĄSKA GRILL.KAW.FES RO</v>
          </cell>
        </row>
        <row r="10462">
          <cell r="C10462">
            <v>3024125</v>
          </cell>
          <cell r="D10462" t="str">
            <v>***KIEŁB.CZOSN.LT</v>
          </cell>
        </row>
        <row r="10463">
          <cell r="C10463">
            <v>3024124</v>
          </cell>
          <cell r="D10463" t="str">
            <v>***KIEŁB.CZOSN.LT BS</v>
          </cell>
        </row>
        <row r="10464">
          <cell r="C10464">
            <v>4015994</v>
          </cell>
          <cell r="D10464" t="str">
            <v>***KIEŁB.CZOSNKOWA 400G VAC 16KG KT LT</v>
          </cell>
        </row>
        <row r="10465">
          <cell r="C10465">
            <v>3040197</v>
          </cell>
          <cell r="D10465" t="str">
            <v>KIEŁB.Z/PIEP.AS</v>
          </cell>
        </row>
        <row r="10466">
          <cell r="C10466">
            <v>3040196</v>
          </cell>
          <cell r="D10466" t="str">
            <v>KIEŁB.Z/PIEP.BS</v>
          </cell>
        </row>
        <row r="10467">
          <cell r="C10467">
            <v>4026656</v>
          </cell>
          <cell r="D10467" t="str">
            <v>***KIEŁB.Z/PIEP.240GMAP 10STKT MOR</v>
          </cell>
        </row>
        <row r="10468">
          <cell r="C10468">
            <v>3016609</v>
          </cell>
          <cell r="D10468" t="str">
            <v>KIEŁB.CZOSN.AS</v>
          </cell>
        </row>
        <row r="10469">
          <cell r="C10469">
            <v>3016610</v>
          </cell>
          <cell r="D10469" t="str">
            <v>KIEŁB.CZOSN.BS</v>
          </cell>
        </row>
        <row r="10470">
          <cell r="C10470">
            <v>4009470</v>
          </cell>
          <cell r="D10470" t="str">
            <v>***KIEŁ.CZOSN.OK.400GVACOK4,8KGKTROSOPTI</v>
          </cell>
        </row>
        <row r="10471">
          <cell r="C10471">
            <v>4009531</v>
          </cell>
          <cell r="D10471" t="str">
            <v>***KIEŁB.CZOSN.400GVAC 4.8KGKT EX CZ</v>
          </cell>
        </row>
        <row r="10472">
          <cell r="C10472">
            <v>4004288</v>
          </cell>
          <cell r="D10472" t="str">
            <v>***KIEŁB.CZOSNKOWA 400GVAC 4.8KGKT CON</v>
          </cell>
        </row>
        <row r="10473">
          <cell r="C10473">
            <v>4001926</v>
          </cell>
          <cell r="D10473" t="str">
            <v>***KIEŁB.CZOSNKOWA 400G VAC</v>
          </cell>
        </row>
        <row r="10474">
          <cell r="C10474">
            <v>4004289</v>
          </cell>
          <cell r="D10474" t="str">
            <v>***KIEŁB.KANAPKOWA 400G VAC 3.6KGKT MK</v>
          </cell>
        </row>
        <row r="10475">
          <cell r="C10475">
            <v>4011113</v>
          </cell>
          <cell r="D10475" t="str">
            <v>***KIEŁB.CZOSNKOWA 400GVAC 12STKT MAZ</v>
          </cell>
        </row>
        <row r="10476">
          <cell r="C10476">
            <v>4001927</v>
          </cell>
          <cell r="D10476" t="str">
            <v>***KIEŁB.CZOSNKOWA 400GVAC 12ST KT MAKRO</v>
          </cell>
        </row>
        <row r="10477">
          <cell r="C10477">
            <v>4001928</v>
          </cell>
          <cell r="D10477" t="str">
            <v>***682005 CESNAKOVA SALAMA 400G</v>
          </cell>
        </row>
        <row r="10478">
          <cell r="C10478">
            <v>4007807</v>
          </cell>
          <cell r="D10478" t="str">
            <v>***KIEŁB.CZOSNKOWA OK1.6KG 2SZT MAP EX E</v>
          </cell>
        </row>
        <row r="10479">
          <cell r="C10479">
            <v>4007808</v>
          </cell>
          <cell r="D10479" t="str">
            <v>***KIEŁB.CZOSNKOWA OK1.6KG 2SZT MAP EX D</v>
          </cell>
        </row>
        <row r="10480">
          <cell r="C10480">
            <v>4005647</v>
          </cell>
          <cell r="D10480" t="str">
            <v>***KIEŁB.CZOSNKOWA 1/2SZT VAC EX S</v>
          </cell>
        </row>
        <row r="10481">
          <cell r="C10481">
            <v>4006127</v>
          </cell>
          <cell r="D10481" t="str">
            <v>***KIEŁB.CZOSNKOWA 400G VAC EX D</v>
          </cell>
        </row>
        <row r="10482">
          <cell r="C10482">
            <v>4006444</v>
          </cell>
          <cell r="D10482" t="str">
            <v>***KIEŁB.CZOSNKOWA 400G VAC EX</v>
          </cell>
        </row>
        <row r="10483">
          <cell r="C10483">
            <v>4006537</v>
          </cell>
          <cell r="D10483" t="str">
            <v>***KIEŁB.CZOSNKOWA 400G VAC EX P</v>
          </cell>
        </row>
        <row r="10484">
          <cell r="C10484">
            <v>4006805</v>
          </cell>
          <cell r="D10484" t="str">
            <v>KIEŁB.CZOSNKOWA 400GVAC 9STKT EX L</v>
          </cell>
        </row>
        <row r="10485">
          <cell r="C10485">
            <v>4008539</v>
          </cell>
          <cell r="D10485" t="str">
            <v>***KIEŁ.CZOSNKOWA 400G VAC ROS</v>
          </cell>
        </row>
        <row r="10486">
          <cell r="C10486">
            <v>4008842</v>
          </cell>
          <cell r="D10486" t="str">
            <v>KIEŁB.CZOSNKOWA 400GVAC 9.6KG KT EST</v>
          </cell>
        </row>
        <row r="10487">
          <cell r="C10487">
            <v>4013131</v>
          </cell>
          <cell r="D10487" t="str">
            <v>***KIEŁ.CZOSNKOWA 400G VAC 16KG KT LITWA</v>
          </cell>
        </row>
        <row r="10488">
          <cell r="C10488">
            <v>4029166</v>
          </cell>
          <cell r="D10488" t="str">
            <v>KIEŁB.CZOSNKOWA 400GVAC 9STKT MOR</v>
          </cell>
        </row>
        <row r="10489">
          <cell r="C10489">
            <v>3008896</v>
          </cell>
          <cell r="D10489" t="str">
            <v>***KIEŁB.TATRZAŃSKA</v>
          </cell>
        </row>
        <row r="10490">
          <cell r="C10490">
            <v>3008894</v>
          </cell>
          <cell r="D10490" t="str">
            <v>***BS KIEŁB.TATRZAŃSKA</v>
          </cell>
        </row>
        <row r="10491">
          <cell r="C10491">
            <v>3008893</v>
          </cell>
          <cell r="D10491" t="str">
            <v>***AS KIEŁB.TATRZAŃSKA</v>
          </cell>
        </row>
        <row r="10492">
          <cell r="C10492">
            <v>4008082</v>
          </cell>
          <cell r="D10492" t="str">
            <v>***KIEŁB.TATRZAŃSKA OK.1KG MAP</v>
          </cell>
        </row>
        <row r="10493">
          <cell r="C10493">
            <v>3037850</v>
          </cell>
          <cell r="D10493" t="str">
            <v>KIEŁB.SUMMER SALAMI AS</v>
          </cell>
        </row>
        <row r="10494">
          <cell r="C10494">
            <v>3037819</v>
          </cell>
          <cell r="D10494" t="str">
            <v>KIEŁB.SUMMER SALAMI BS</v>
          </cell>
        </row>
        <row r="10495">
          <cell r="C10495">
            <v>4025459</v>
          </cell>
          <cell r="D10495" t="str">
            <v>KIEŁB.SUMMER SALAMI 400GVAC 10STKT ELIT</v>
          </cell>
        </row>
        <row r="10496">
          <cell r="C10496">
            <v>3041508</v>
          </cell>
          <cell r="D10496" t="str">
            <v>PP KIEŁB.CZOSN.AS LIDL</v>
          </cell>
        </row>
        <row r="10497">
          <cell r="C10497">
            <v>3041629</v>
          </cell>
          <cell r="D10497" t="str">
            <v>WT PP KIEŁB.CZOSN.KAW.OK15KG NB MR</v>
          </cell>
        </row>
        <row r="10498">
          <cell r="C10498">
            <v>3041486</v>
          </cell>
          <cell r="D10498" t="str">
            <v>PP KIEŁB.CZOSN.BS LIDL</v>
          </cell>
        </row>
        <row r="10499">
          <cell r="C10499">
            <v>3041628</v>
          </cell>
          <cell r="D10499" t="str">
            <v>WT PP KIEŁB.CZOSN.KAW.OK15KG NB DMR</v>
          </cell>
        </row>
        <row r="10500">
          <cell r="C10500">
            <v>3041660</v>
          </cell>
          <cell r="D10500" t="str">
            <v>WT PP KIEŁB.CZOSN.KAW.RO</v>
          </cell>
        </row>
        <row r="10501">
          <cell r="C10501">
            <v>4027427</v>
          </cell>
          <cell r="D10501" t="str">
            <v>PP KIEŁB.CZOSN.400GVAC 16STKT LIDL EX</v>
          </cell>
        </row>
        <row r="10502">
          <cell r="C10502">
            <v>3038682</v>
          </cell>
          <cell r="D10502" t="str">
            <v>KIEŁB.SER/POMID.AS</v>
          </cell>
        </row>
        <row r="10503">
          <cell r="C10503">
            <v>3038595</v>
          </cell>
          <cell r="D10503" t="str">
            <v>KIEŁB.SER/POMID.BS</v>
          </cell>
        </row>
        <row r="10504">
          <cell r="C10504">
            <v>4025897</v>
          </cell>
          <cell r="D10504" t="str">
            <v>***KIEŁB.SER/POMID.300GMAP 20STKT MOR</v>
          </cell>
        </row>
        <row r="10505">
          <cell r="C10505">
            <v>3045804</v>
          </cell>
          <cell r="D10505" t="str">
            <v>KIEŁB.SER/POMID.300GMAP BL</v>
          </cell>
        </row>
        <row r="10506">
          <cell r="C10506">
            <v>4028033</v>
          </cell>
          <cell r="D10506" t="str">
            <v>***KIEŁB.SER/POMID.300GMAP 20STKT LIDL</v>
          </cell>
        </row>
        <row r="10507">
          <cell r="C10507">
            <v>3041010</v>
          </cell>
          <cell r="D10507" t="str">
            <v>FRANK.Z SER/POMID.AS BP</v>
          </cell>
        </row>
        <row r="10508">
          <cell r="C10508">
            <v>3041003</v>
          </cell>
          <cell r="D10508" t="str">
            <v>FRANK.Z SER/POMID.BS BP</v>
          </cell>
        </row>
        <row r="10509">
          <cell r="C10509">
            <v>4027134</v>
          </cell>
          <cell r="D10509" t="str">
            <v>FRANK.Z SER/POMID.480GMAP 20STKT MR BP</v>
          </cell>
        </row>
        <row r="10510">
          <cell r="C10510">
            <v>3041011</v>
          </cell>
          <cell r="D10510" t="str">
            <v>FRANK.Z SER/POMID.480GMAP 20STKT DMR BP</v>
          </cell>
        </row>
        <row r="10511">
          <cell r="C10511">
            <v>3040680</v>
          </cell>
          <cell r="D10511" t="str">
            <v>KIEŁB.ŚLĄSKA M.91% FES AS</v>
          </cell>
        </row>
        <row r="10512">
          <cell r="C10512">
            <v>4026989</v>
          </cell>
          <cell r="D10512" t="str">
            <v>KIEŁB.ŚLĄSKA M.91% 550GMAP 12STKT BIED</v>
          </cell>
        </row>
        <row r="10513">
          <cell r="C10513">
            <v>4027010</v>
          </cell>
          <cell r="D10513" t="str">
            <v>KIEŁB.ŚLĄSKA M.91% OK1KGMAPOK7KGKT BIED</v>
          </cell>
        </row>
        <row r="10514">
          <cell r="C10514">
            <v>3041687</v>
          </cell>
          <cell r="D10514" t="str">
            <v>KIEŁB.ŚLĄSKA M.91% AS</v>
          </cell>
        </row>
        <row r="10515">
          <cell r="C10515">
            <v>3041686</v>
          </cell>
          <cell r="D10515" t="str">
            <v>KIEŁB.ŚLĄSKA M.91% BS</v>
          </cell>
        </row>
        <row r="10516">
          <cell r="C10516">
            <v>4027547</v>
          </cell>
          <cell r="D10516" t="str">
            <v>****K.ŚLĄSKA 91% 550GMAP 12STKT BIED II</v>
          </cell>
        </row>
        <row r="10517">
          <cell r="C10517">
            <v>4027546</v>
          </cell>
          <cell r="D10517" t="str">
            <v>***K.ŚLĄSKA 91% OK1KGMAPOK7KGKT BIED II</v>
          </cell>
        </row>
        <row r="10518">
          <cell r="C10518">
            <v>4030692</v>
          </cell>
          <cell r="D10518" t="str">
            <v>KIEŁB.ŚLĄSKA 550GMAP 6STKT KRA EX</v>
          </cell>
        </row>
        <row r="10519">
          <cell r="C10519">
            <v>4030693</v>
          </cell>
          <cell r="D10519" t="str">
            <v>KIEŁB.ŚLĄSKA 550GMAP 9STKT KRA</v>
          </cell>
        </row>
        <row r="10520">
          <cell r="C10520">
            <v>3041837</v>
          </cell>
          <cell r="D10520" t="str">
            <v>ŚLĄZERKI SER/POMID.AS</v>
          </cell>
        </row>
        <row r="10521">
          <cell r="C10521">
            <v>3041836</v>
          </cell>
          <cell r="D10521" t="str">
            <v>ŚLĄZERKI SER/POMID.BS</v>
          </cell>
        </row>
        <row r="10522">
          <cell r="C10522">
            <v>4027655</v>
          </cell>
          <cell r="D10522" t="str">
            <v>***ŚLĄZERKI SER/POMID.240GMAP 11STKT MOR</v>
          </cell>
        </row>
        <row r="10523">
          <cell r="C10523">
            <v>3041916</v>
          </cell>
          <cell r="D10523" t="str">
            <v>ŚLĄZERKI SER/POMID.240GMAP BL</v>
          </cell>
        </row>
        <row r="10524">
          <cell r="C10524">
            <v>4028272</v>
          </cell>
          <cell r="D10524" t="str">
            <v>***ŚLĄZERKISER/POM240GM11STKTMORCZ/SK/HU</v>
          </cell>
        </row>
        <row r="10525">
          <cell r="C10525">
            <v>3041890</v>
          </cell>
          <cell r="D10525" t="str">
            <v>ŚLĄZERKI SWEET JALAPENO AS</v>
          </cell>
        </row>
        <row r="10526">
          <cell r="C10526">
            <v>3041839</v>
          </cell>
          <cell r="D10526" t="str">
            <v>ŚLĄZERKI SWEET JALAPENO BS</v>
          </cell>
        </row>
        <row r="10527">
          <cell r="C10527">
            <v>4027656</v>
          </cell>
          <cell r="D10527" t="str">
            <v>***ŚLĄZERKI SWEET JALAP.240GMAP11STKTMOR</v>
          </cell>
        </row>
        <row r="10528">
          <cell r="C10528">
            <v>3041934</v>
          </cell>
          <cell r="D10528" t="str">
            <v>ŚLĄZERKI SWEET JALAPENO 240GMAP BL</v>
          </cell>
        </row>
        <row r="10529">
          <cell r="C10529">
            <v>4028258</v>
          </cell>
          <cell r="D10529" t="str">
            <v>***ŚLĄZERKIJALAP240GMAP11STKTMORCZ/SK/HU</v>
          </cell>
        </row>
        <row r="10530">
          <cell r="C10530">
            <v>3041893</v>
          </cell>
          <cell r="D10530" t="str">
            <v>ŚLĄZERKI AS</v>
          </cell>
        </row>
        <row r="10531">
          <cell r="C10531">
            <v>3041892</v>
          </cell>
          <cell r="D10531" t="str">
            <v>ŚLĄZERKI BS</v>
          </cell>
        </row>
        <row r="10532">
          <cell r="C10532">
            <v>4027657</v>
          </cell>
          <cell r="D10532" t="str">
            <v>ŚLĄZERKI 240GMAP 12STKT MOR</v>
          </cell>
        </row>
        <row r="10533">
          <cell r="C10533">
            <v>3045805</v>
          </cell>
          <cell r="D10533" t="str">
            <v>***ŚLĄZERKI 300GMAP BL</v>
          </cell>
        </row>
        <row r="10534">
          <cell r="C10534">
            <v>4028325</v>
          </cell>
          <cell r="D10534" t="str">
            <v>ŚLĄZERKI 240GMAP 8STKT MOR</v>
          </cell>
        </row>
        <row r="10535">
          <cell r="C10535">
            <v>4028755</v>
          </cell>
          <cell r="D10535" t="str">
            <v>***KIEŁB.ŚLĄSKIE OK500GMAP OK5KGKT POLO</v>
          </cell>
        </row>
        <row r="10536">
          <cell r="C10536">
            <v>4030124</v>
          </cell>
          <cell r="D10536" t="str">
            <v>***ŚLĄZERKI 240GMAP 12STKT MOR II</v>
          </cell>
        </row>
        <row r="10537">
          <cell r="C10537">
            <v>4030683</v>
          </cell>
          <cell r="D10537" t="str">
            <v>ŚLĄZERKI 240GMAP 12STKT MOR EX</v>
          </cell>
        </row>
        <row r="10538">
          <cell r="C10538">
            <v>3043047</v>
          </cell>
          <cell r="D10538" t="str">
            <v>WT ŚLĄZERKI KAW.AS</v>
          </cell>
        </row>
        <row r="10539">
          <cell r="C10539">
            <v>3016611</v>
          </cell>
          <cell r="D10539" t="str">
            <v>***FRANK.GRILLOWE PARZONE</v>
          </cell>
        </row>
        <row r="10540">
          <cell r="C10540">
            <v>3016612</v>
          </cell>
          <cell r="D10540" t="str">
            <v>***BS FRANK.GRILLOWE PARZONE</v>
          </cell>
        </row>
        <row r="10541">
          <cell r="C10541">
            <v>4001086</v>
          </cell>
          <cell r="D10541" t="str">
            <v>***FRANKFURTERKI GRILL.CLASSIC 450G VAC</v>
          </cell>
        </row>
        <row r="10542">
          <cell r="C10542">
            <v>4006580</v>
          </cell>
          <cell r="D10542" t="str">
            <v>***FRANKFURTERKI GRILL.PARZ.225GVACMR EX</v>
          </cell>
        </row>
        <row r="10543">
          <cell r="C10543">
            <v>4008908</v>
          </cell>
          <cell r="D10543" t="str">
            <v>***FRANKF.PARZ.225GVAC 7,875KGKT MR JAP</v>
          </cell>
        </row>
        <row r="10544">
          <cell r="C10544">
            <v>3009644</v>
          </cell>
          <cell r="D10544" t="str">
            <v>***FRANPARZONE 225GVAC 7,875KGKT JAP DMR</v>
          </cell>
        </row>
        <row r="10545">
          <cell r="C10545">
            <v>4008910</v>
          </cell>
          <cell r="D10545" t="str">
            <v>***FRANKF.PARZONE 900GMAP 7,2KGKT MR JAP</v>
          </cell>
        </row>
        <row r="10546">
          <cell r="C10546">
            <v>3009643</v>
          </cell>
          <cell r="D10546" t="str">
            <v>***FRANK.PARZONE 900GMAP 7.2KGKT JAP DMR</v>
          </cell>
        </row>
        <row r="10547">
          <cell r="C10547">
            <v>3016613</v>
          </cell>
          <cell r="D10547" t="str">
            <v>***FRANK.GRILLOWE WĘDZONE</v>
          </cell>
        </row>
        <row r="10548">
          <cell r="C10548">
            <v>3016614</v>
          </cell>
          <cell r="D10548" t="str">
            <v>***BS FRANK.GRILLOWE WĘDZONE</v>
          </cell>
        </row>
        <row r="10549">
          <cell r="C10549">
            <v>4006581</v>
          </cell>
          <cell r="D10549" t="str">
            <v>***FRANKFURTERKI GRILL.WĘDZ.225GVACMR EX</v>
          </cell>
        </row>
        <row r="10550">
          <cell r="C10550">
            <v>4008906</v>
          </cell>
          <cell r="D10550" t="str">
            <v>***FRANKF.WĘDZ.225GVAC 7.875KGKT MR JAP</v>
          </cell>
        </row>
        <row r="10551">
          <cell r="C10551">
            <v>3009642</v>
          </cell>
          <cell r="D10551" t="str">
            <v>***FRANKF.WĘDZONE225GVAC7.875KGKTJAP DMR</v>
          </cell>
        </row>
        <row r="10552">
          <cell r="C10552">
            <v>4008909</v>
          </cell>
          <cell r="D10552" t="str">
            <v>***FRANKF.WĘDZ.900GMAP 7,2KGKT MR JAP</v>
          </cell>
        </row>
        <row r="10553">
          <cell r="C10553">
            <v>3009641</v>
          </cell>
          <cell r="D10553" t="str">
            <v>***FRANKF.WĘDZONE 900GMAP7,2KGKT JAP DMR</v>
          </cell>
        </row>
        <row r="10554">
          <cell r="C10554">
            <v>3016615</v>
          </cell>
          <cell r="D10554" t="str">
            <v>***FRANK.GRILLOWE PARZONE Z SEREM</v>
          </cell>
        </row>
        <row r="10555">
          <cell r="C10555">
            <v>3016616</v>
          </cell>
          <cell r="D10555" t="str">
            <v>***BS FRANK.GRILLOWE PARZONE Z SEREM</v>
          </cell>
        </row>
        <row r="10556">
          <cell r="C10556">
            <v>4001088</v>
          </cell>
          <cell r="D10556" t="str">
            <v>***FRANKFURTER.GRILL.PARZ.SER V450G</v>
          </cell>
        </row>
        <row r="10557">
          <cell r="C10557">
            <v>4027787</v>
          </cell>
          <cell r="D10557" t="str">
            <v>***ŚLĄZERKI MIX 240GMAP 16STKT MOR</v>
          </cell>
        </row>
        <row r="10558">
          <cell r="C10558">
            <v>4028152</v>
          </cell>
          <cell r="D10558" t="str">
            <v>***ŚLĄZERKI MIX 240GMAP 12STKT MOR</v>
          </cell>
        </row>
        <row r="10559">
          <cell r="C10559">
            <v>4027880</v>
          </cell>
          <cell r="D10559" t="str">
            <v>***KIEŁB.MIX 300GMAP 20STKT LIDL</v>
          </cell>
        </row>
        <row r="10560">
          <cell r="C10560">
            <v>4030362</v>
          </cell>
          <cell r="D10560" t="str">
            <v>KIEŁB.MIX 300GMAP 20STKT LIDL BG</v>
          </cell>
        </row>
        <row r="10561">
          <cell r="C10561">
            <v>3042419</v>
          </cell>
          <cell r="D10561" t="str">
            <v>***KIEŁB.PAPR.AS</v>
          </cell>
        </row>
        <row r="10562">
          <cell r="C10562">
            <v>3042418</v>
          </cell>
          <cell r="D10562" t="str">
            <v>***KIEŁB.PAPR.BS</v>
          </cell>
        </row>
        <row r="10563">
          <cell r="C10563">
            <v>4028020</v>
          </cell>
          <cell r="D10563" t="str">
            <v>***KIEŁB.PAPR.300GMAP 20STKT LIDL</v>
          </cell>
        </row>
        <row r="10564">
          <cell r="C10564">
            <v>3042338</v>
          </cell>
          <cell r="D10564" t="str">
            <v>***KIEŁB.BIAŁE AS LIDL</v>
          </cell>
        </row>
        <row r="10565">
          <cell r="C10565">
            <v>3042337</v>
          </cell>
          <cell r="D10565" t="str">
            <v>***KIEŁB.BIAŁE BS LIDL</v>
          </cell>
        </row>
        <row r="10566">
          <cell r="C10566">
            <v>4027946</v>
          </cell>
          <cell r="D10566" t="str">
            <v>***KIEŁB.BIAŁE 300GMAP 20STKT LIDL</v>
          </cell>
        </row>
        <row r="10567">
          <cell r="C10567">
            <v>3042938</v>
          </cell>
          <cell r="D10567" t="str">
            <v>ŚLĄZERKI KOL.18 AS</v>
          </cell>
        </row>
        <row r="10568">
          <cell r="C10568">
            <v>3042936</v>
          </cell>
          <cell r="D10568" t="str">
            <v>ŚLĄZERKI KOL.18 BS</v>
          </cell>
        </row>
        <row r="10569">
          <cell r="C10569">
            <v>4028310</v>
          </cell>
          <cell r="D10569" t="str">
            <v>***ŚLĄZERKI KOL.240GMAP 12STKT MOR</v>
          </cell>
        </row>
        <row r="10570">
          <cell r="C10570">
            <v>4008921</v>
          </cell>
          <cell r="D10570" t="str">
            <v>***KABAN.WYBORNE 210G MAP 2,94KG KT</v>
          </cell>
        </row>
        <row r="10571">
          <cell r="C10571">
            <v>4009067</v>
          </cell>
          <cell r="D10571" t="str">
            <v>***KABAN.WYBORNE OK 500G MAP OK 3KG KT</v>
          </cell>
        </row>
        <row r="10572">
          <cell r="C10572">
            <v>3044727</v>
          </cell>
          <cell r="D10572" t="str">
            <v>KIEŁB.BIWAKOWA WP/DROB.FES AS</v>
          </cell>
        </row>
        <row r="10573">
          <cell r="C10573">
            <v>4029608</v>
          </cell>
          <cell r="D10573" t="str">
            <v>KIEŁB.BIWAKOWA OK1.3KGMAP7.8KGKT LIDL II</v>
          </cell>
        </row>
        <row r="10574">
          <cell r="C10574">
            <v>4029734</v>
          </cell>
          <cell r="D10574" t="str">
            <v>KIEŁB.BIWAKOWA OK1.3KGMAP OK7.8KGKT MOR</v>
          </cell>
        </row>
        <row r="10575">
          <cell r="C10575">
            <v>4029735</v>
          </cell>
          <cell r="D10575" t="str">
            <v>K.ŚLĄSKA OK1.3KGMAP OK7.8KGKT YAN</v>
          </cell>
        </row>
        <row r="10576">
          <cell r="C10576">
            <v>4029931</v>
          </cell>
          <cell r="D10576" t="str">
            <v>K.ŚLĄSKA OK1.3KGMAP OK7.8KGKT YAN EX</v>
          </cell>
        </row>
        <row r="10577">
          <cell r="C10577">
            <v>4030089</v>
          </cell>
          <cell r="D10577" t="str">
            <v>KIEŁB.BIWAKOWA OK1.3KGMAP 7.8KGKT NETTO</v>
          </cell>
        </row>
        <row r="10578">
          <cell r="C10578">
            <v>4030434</v>
          </cell>
          <cell r="D10578" t="str">
            <v>KIEŁB.ZWYCZAJNA OK1.3KGMAP 7.8KGKT LIDL</v>
          </cell>
        </row>
        <row r="10579">
          <cell r="C10579">
            <v>4031502</v>
          </cell>
          <cell r="D10579" t="str">
            <v>KIEŁB.BIWAKOWA OK1KGMAP 6KGKT LIDL BG</v>
          </cell>
        </row>
        <row r="10580">
          <cell r="C10580">
            <v>4031606</v>
          </cell>
          <cell r="D10580" t="str">
            <v>K.BIWAKOWA OK1.3KGMAP 7.8KGKT LIDL HU</v>
          </cell>
        </row>
        <row r="10581">
          <cell r="C10581">
            <v>3031555</v>
          </cell>
          <cell r="D10581" t="str">
            <v>KIEŁB.ŚLĄSKA AS LIDL EX</v>
          </cell>
        </row>
        <row r="10582">
          <cell r="C10582">
            <v>3031556</v>
          </cell>
          <cell r="D10582" t="str">
            <v>KIEŁB.ŚLĄSKA BS LIDL EX</v>
          </cell>
        </row>
        <row r="10583">
          <cell r="C10583">
            <v>4021091</v>
          </cell>
          <cell r="D10583" t="str">
            <v>***KIEŁB.ŚLĄSKA 550GMAP 7STKT LIDL EX SK</v>
          </cell>
        </row>
        <row r="10584">
          <cell r="C10584">
            <v>4021090</v>
          </cell>
          <cell r="D10584" t="str">
            <v>***KIEŁB.ŚLĄSKA 550GMAP 7STKT LIDL EX RO</v>
          </cell>
        </row>
        <row r="10585">
          <cell r="C10585">
            <v>4021059</v>
          </cell>
          <cell r="D10585" t="str">
            <v>***KIEŁB.ŚLĄSKA 550GMAP 7STKT LIDL EX HR</v>
          </cell>
        </row>
        <row r="10586">
          <cell r="C10586">
            <v>4021058</v>
          </cell>
          <cell r="D10586" t="str">
            <v>***K.ŚLĄSKA 550GMAP7STKT LIDL EX GB/IRL</v>
          </cell>
        </row>
        <row r="10587">
          <cell r="C10587">
            <v>4024388</v>
          </cell>
          <cell r="D10587" t="str">
            <v>***KIEŁB.ŚLĄSKA 550GMAP 7STKT LIDL BG I</v>
          </cell>
        </row>
        <row r="10588">
          <cell r="C10588">
            <v>3031663</v>
          </cell>
          <cell r="D10588" t="str">
            <v>***KABAN.DROB.-WP.300G AD</v>
          </cell>
        </row>
        <row r="10589">
          <cell r="C10589">
            <v>3031661</v>
          </cell>
          <cell r="D10589" t="str">
            <v>***KABAN.DROB.-WP.300G BS</v>
          </cell>
        </row>
        <row r="10590">
          <cell r="C10590">
            <v>3031662</v>
          </cell>
          <cell r="D10590" t="str">
            <v>***KABAN.DROB.-WP.300G AS</v>
          </cell>
        </row>
        <row r="10591">
          <cell r="C10591">
            <v>4021144</v>
          </cell>
          <cell r="D10591" t="str">
            <v>***KABAN.DROB.-WP.300GMAP 12STKT MOR</v>
          </cell>
        </row>
        <row r="10592">
          <cell r="C10592">
            <v>3031877</v>
          </cell>
          <cell r="D10592" t="str">
            <v>***KIEŁBASKI PODWAW.AS</v>
          </cell>
        </row>
        <row r="10593">
          <cell r="C10593">
            <v>3031878</v>
          </cell>
          <cell r="D10593" t="str">
            <v>***KIEŁBASKI PODWAW.BS</v>
          </cell>
        </row>
        <row r="10594">
          <cell r="C10594">
            <v>4021300</v>
          </cell>
          <cell r="D10594" t="str">
            <v>***KIEŁBASKI MORLIŃSKIE 360GMAP16STKTMOR</v>
          </cell>
        </row>
        <row r="10595">
          <cell r="C10595">
            <v>4025046</v>
          </cell>
          <cell r="D10595" t="str">
            <v>***KIEŁB.PODWAW.300GMAP 16STKT MOR</v>
          </cell>
        </row>
        <row r="10596">
          <cell r="C10596">
            <v>3032612</v>
          </cell>
          <cell r="D10596" t="str">
            <v>***KABAN.WP.300G AD</v>
          </cell>
        </row>
        <row r="10597">
          <cell r="C10597">
            <v>3032610</v>
          </cell>
          <cell r="D10597" t="str">
            <v>***KABAN.WP.300G BS</v>
          </cell>
        </row>
        <row r="10598">
          <cell r="C10598">
            <v>3032611</v>
          </cell>
          <cell r="D10598" t="str">
            <v>***KABAN.WP.300G AS</v>
          </cell>
        </row>
        <row r="10599">
          <cell r="C10599">
            <v>4021675</v>
          </cell>
          <cell r="D10599" t="str">
            <v>***KABAN.WP.300GMAP 12STKT MOR</v>
          </cell>
        </row>
        <row r="10600">
          <cell r="C10600">
            <v>3018151</v>
          </cell>
          <cell r="D10600" t="str">
            <v>***FRANK.GRILL.PARZ.CHILI</v>
          </cell>
        </row>
        <row r="10601">
          <cell r="C10601">
            <v>3018150</v>
          </cell>
          <cell r="D10601" t="str">
            <v>***FRANK.GRILL.PARZ.CHILI BS</v>
          </cell>
        </row>
        <row r="10602">
          <cell r="C10602">
            <v>4001090</v>
          </cell>
          <cell r="D10602" t="str">
            <v>***FRANKFURT.GRILLPARZ.CHILI450GVAC7STKT</v>
          </cell>
        </row>
        <row r="10603">
          <cell r="C10603">
            <v>3032752</v>
          </cell>
          <cell r="D10603" t="str">
            <v>KIEŁB.PODWAWELSKA AS BIED</v>
          </cell>
        </row>
        <row r="10604">
          <cell r="C10604">
            <v>3032750</v>
          </cell>
          <cell r="D10604" t="str">
            <v>KIEŁB.PODWAWELSKA BS BIED</v>
          </cell>
        </row>
        <row r="10605">
          <cell r="C10605">
            <v>4021783</v>
          </cell>
          <cell r="D10605" t="str">
            <v>KIEŁB.PODWAWELSKA OK500GVAC OK7KGKT BIED</v>
          </cell>
        </row>
        <row r="10606">
          <cell r="C10606">
            <v>3044691</v>
          </cell>
          <cell r="D10606" t="str">
            <v>KIEŁB.ZWYCZAJNA DROB/WP.FES AS</v>
          </cell>
        </row>
        <row r="10607">
          <cell r="C10607">
            <v>4029600</v>
          </cell>
          <cell r="D10607" t="str">
            <v>KIEŁB.ZWYCZAJNA OK1KGMAP 6KGKT NETTO II</v>
          </cell>
        </row>
        <row r="10608">
          <cell r="C10608">
            <v>4029594</v>
          </cell>
          <cell r="D10608" t="str">
            <v>KIEŁB.BIESIADNA 1KGMAP 8STKT YAN II</v>
          </cell>
        </row>
        <row r="10609">
          <cell r="C10609">
            <v>3027860</v>
          </cell>
          <cell r="D10609" t="str">
            <v>KIEŁB.ŚLĄSKA 90% MP AS LIDL</v>
          </cell>
        </row>
        <row r="10610">
          <cell r="C10610">
            <v>3027839</v>
          </cell>
          <cell r="D10610" t="str">
            <v>KIEŁB.ŚLĄSKA 90% MP BS LIDL</v>
          </cell>
        </row>
        <row r="10611">
          <cell r="C10611">
            <v>4018494</v>
          </cell>
          <cell r="D10611" t="str">
            <v>***KIEŁB.ŚLĄSKA MP 1.3KGMAP 4STKT LIDL</v>
          </cell>
        </row>
        <row r="10612">
          <cell r="C10612">
            <v>4019514</v>
          </cell>
          <cell r="D10612" t="str">
            <v>***KIEŁB.ŚLĄSKA 90% OK1KGMAP OK6KGKT MOR</v>
          </cell>
        </row>
        <row r="10613">
          <cell r="C10613">
            <v>4020772</v>
          </cell>
          <cell r="D10613" t="str">
            <v>***K.ŚLĄSKA OK1.3KGMAP 5.2KGKT LIDL</v>
          </cell>
        </row>
        <row r="10614">
          <cell r="C10614">
            <v>4023087</v>
          </cell>
          <cell r="D10614" t="str">
            <v>***KIEŁB.ŚLĄSKA OK1.3KGMAP 7.8KGKT LIDL</v>
          </cell>
        </row>
        <row r="10615">
          <cell r="C10615">
            <v>4023185</v>
          </cell>
          <cell r="D10615" t="str">
            <v>***KIEŁB.ŚLĄSKA OK1.3KGMAP 7.7KGKT LIDL</v>
          </cell>
        </row>
        <row r="10616">
          <cell r="C10616">
            <v>3016617</v>
          </cell>
          <cell r="D10616" t="str">
            <v>***KIEŁB.PODWAWELSKA PZ AS</v>
          </cell>
        </row>
        <row r="10617">
          <cell r="C10617">
            <v>3016618</v>
          </cell>
          <cell r="D10617" t="str">
            <v>***KIEŁB.PODWAWELSKA PZ BS</v>
          </cell>
        </row>
        <row r="10618">
          <cell r="C10618">
            <v>4004303</v>
          </cell>
          <cell r="D10618" t="str">
            <v>***K.PODWAW.PZ OK500GVACOK6KGKT TESC</v>
          </cell>
        </row>
        <row r="10619">
          <cell r="C10619">
            <v>4004304</v>
          </cell>
          <cell r="D10619" t="str">
            <v>***K.PODWAWELSKA PZ 520GVAC 12STKT TESC</v>
          </cell>
        </row>
        <row r="10620">
          <cell r="C10620">
            <v>4006041</v>
          </cell>
          <cell r="D10620" t="str">
            <v>***KIEŁB.PODWAWELSKA PZ 520GVAC A</v>
          </cell>
        </row>
        <row r="10621">
          <cell r="C10621">
            <v>4018603</v>
          </cell>
          <cell r="D10621" t="str">
            <v>***K.PODWAWELSKA GRILL.520GVAC12STKTTESC</v>
          </cell>
        </row>
        <row r="10622">
          <cell r="C10622">
            <v>4004307</v>
          </cell>
          <cell r="D10622" t="str">
            <v>***K.PODWAWELSKA PZ OK1KGMAP OK4KGKT T</v>
          </cell>
        </row>
        <row r="10623">
          <cell r="C10623">
            <v>4018715</v>
          </cell>
          <cell r="D10623" t="str">
            <v>***K.PODWA.GRILL.OK1KGMAPOK4KGKTTESC</v>
          </cell>
        </row>
        <row r="10624">
          <cell r="C10624">
            <v>3027565</v>
          </cell>
          <cell r="D10624" t="str">
            <v>***KIEŁB.ŚLĄSKA 90% AS</v>
          </cell>
        </row>
        <row r="10625">
          <cell r="C10625">
            <v>3027564</v>
          </cell>
          <cell r="D10625" t="str">
            <v>***KIEŁB.ŚLĄSKA 90% BS</v>
          </cell>
        </row>
        <row r="10626">
          <cell r="C10626">
            <v>4018280</v>
          </cell>
          <cell r="D10626" t="str">
            <v>***KIEŁB.ŚLĄSKA 500GMAP 10STKT LIDL</v>
          </cell>
        </row>
        <row r="10627">
          <cell r="C10627">
            <v>3027587</v>
          </cell>
          <cell r="D10627" t="str">
            <v>KIEŁB.ZWYCZAJNA DROB.-WP.AS</v>
          </cell>
        </row>
        <row r="10628">
          <cell r="C10628">
            <v>3027585</v>
          </cell>
          <cell r="D10628" t="str">
            <v>KIEŁB.ZWYCZAJNA DROB.-WP.BS</v>
          </cell>
        </row>
        <row r="10629">
          <cell r="C10629">
            <v>4018283</v>
          </cell>
          <cell r="D10629" t="str">
            <v>***KIEŁB.ZWYCZAJNA OK1KGMAP 6KGKT NETTO</v>
          </cell>
        </row>
        <row r="10630">
          <cell r="C10630">
            <v>4018284</v>
          </cell>
          <cell r="D10630" t="str">
            <v>***KIEŁB.ZWYCZ.DOMOWA OK1KGMAP OK10KGKTY</v>
          </cell>
        </row>
        <row r="10631">
          <cell r="C10631">
            <v>4018263</v>
          </cell>
          <cell r="D10631" t="str">
            <v>***KIEŁ.BIESIADNA 1KGMAP 8STKT YAN</v>
          </cell>
        </row>
        <row r="10632">
          <cell r="C10632">
            <v>4021483</v>
          </cell>
          <cell r="D10632" t="str">
            <v>***KIEŁB.BIESIADNA OK1KGMAP OK8KGKT YAN</v>
          </cell>
        </row>
        <row r="10633">
          <cell r="C10633">
            <v>3038193</v>
          </cell>
          <cell r="D10633" t="str">
            <v>WT KIEŁB.ZWYCZ.DROB/WP.KAW.AS</v>
          </cell>
        </row>
        <row r="10634">
          <cell r="C10634">
            <v>3038190</v>
          </cell>
          <cell r="D10634" t="str">
            <v>WT KIEŁB.ZWYCZ.DROB/WP.KAW.OK15KG NB MR</v>
          </cell>
        </row>
        <row r="10635">
          <cell r="C10635">
            <v>3038191</v>
          </cell>
          <cell r="D10635" t="str">
            <v>WT KIEŁB.ZWYCZ.DROB/WP.KAW.OK15KG NB DMR</v>
          </cell>
        </row>
        <row r="10636">
          <cell r="C10636">
            <v>3038192</v>
          </cell>
          <cell r="D10636" t="str">
            <v>***WT K.ZWYCZ.DROB/WP.KAW.FES RO</v>
          </cell>
        </row>
        <row r="10637">
          <cell r="C10637">
            <v>3027556</v>
          </cell>
          <cell r="D10637" t="str">
            <v>***KIEŁB.BIESIADNA</v>
          </cell>
        </row>
        <row r="10638">
          <cell r="C10638">
            <v>3011685</v>
          </cell>
          <cell r="D10638" t="str">
            <v>***KIEŁB.BIESIADNA BS</v>
          </cell>
        </row>
        <row r="10639">
          <cell r="C10639">
            <v>3027559</v>
          </cell>
          <cell r="D10639" t="str">
            <v>***KIEŁB.ŚLĄSKA AS ARO</v>
          </cell>
        </row>
        <row r="10640">
          <cell r="C10640">
            <v>3027558</v>
          </cell>
          <cell r="D10640" t="str">
            <v>***KIEŁB.ŚLĄSKA BS ARO</v>
          </cell>
        </row>
        <row r="10641">
          <cell r="C10641">
            <v>4018261</v>
          </cell>
          <cell r="D10641" t="str">
            <v>***KIEŁB.ŚLĄSKA OK1KG MAP OK10KG KT ARO</v>
          </cell>
        </row>
        <row r="10642">
          <cell r="C10642">
            <v>3008410</v>
          </cell>
          <cell r="D10642" t="str">
            <v>***FRANK.GRILLOWE PARZONE KRÓTKIE</v>
          </cell>
        </row>
        <row r="10643">
          <cell r="C10643">
            <v>3008411</v>
          </cell>
          <cell r="D10643" t="str">
            <v>***BS FRANK.GRILLOWE PARZONE KRÓTKIE</v>
          </cell>
        </row>
        <row r="10644">
          <cell r="C10644">
            <v>3027796</v>
          </cell>
          <cell r="D10644" t="str">
            <v>***KIEŁB.TORUŃSKA WP.-DROB.</v>
          </cell>
        </row>
        <row r="10645">
          <cell r="C10645">
            <v>3027795</v>
          </cell>
          <cell r="D10645" t="str">
            <v>***KIEŁB.TORUŃSKA WP.-DROB.BS</v>
          </cell>
        </row>
        <row r="10646">
          <cell r="C10646">
            <v>4018462</v>
          </cell>
          <cell r="D10646" t="str">
            <v>***KIEŁB.TORUŃSKA OK1KGMAPOK5KGKT MOR</v>
          </cell>
        </row>
        <row r="10647">
          <cell r="C10647">
            <v>3046132</v>
          </cell>
          <cell r="D10647" t="str">
            <v>ŚLĄZERKI 300G AS</v>
          </cell>
        </row>
        <row r="10648">
          <cell r="C10648">
            <v>3046130</v>
          </cell>
          <cell r="D10648" t="str">
            <v>ŚLĄZERKI 300G BS</v>
          </cell>
        </row>
        <row r="10649">
          <cell r="C10649">
            <v>3046152</v>
          </cell>
          <cell r="D10649" t="str">
            <v>ŚLĄZERKI 300GMAP BL</v>
          </cell>
        </row>
        <row r="10650">
          <cell r="C10650">
            <v>3013004</v>
          </cell>
          <cell r="D10650" t="str">
            <v>FRANK.AS</v>
          </cell>
        </row>
        <row r="10651">
          <cell r="C10651">
            <v>3013284</v>
          </cell>
          <cell r="D10651" t="str">
            <v>FRANK.BS</v>
          </cell>
        </row>
        <row r="10652">
          <cell r="C10652">
            <v>4018470</v>
          </cell>
          <cell r="D10652" t="str">
            <v>***FRANK.300GMAP 20STKT KRA</v>
          </cell>
        </row>
        <row r="10653">
          <cell r="C10653">
            <v>4019751</v>
          </cell>
          <cell r="D10653" t="str">
            <v>***FRANK.OK1.5KGMAP OK9KGKT MOR</v>
          </cell>
        </row>
        <row r="10654">
          <cell r="C10654">
            <v>4019757</v>
          </cell>
          <cell r="D10654" t="str">
            <v>***FRANK.350MAP 18STKT LIDL</v>
          </cell>
        </row>
        <row r="10655">
          <cell r="C10655">
            <v>4020137</v>
          </cell>
          <cell r="D10655" t="str">
            <v>***FRANK.220GMAP 27STKT KRA</v>
          </cell>
        </row>
        <row r="10656">
          <cell r="C10656">
            <v>4020214</v>
          </cell>
          <cell r="D10656" t="str">
            <v>***FRANK.OK1.2KGMAP OK7KGKT KRA</v>
          </cell>
        </row>
        <row r="10657">
          <cell r="C10657">
            <v>4023792</v>
          </cell>
          <cell r="D10657" t="str">
            <v>FRANK.OK800GMAP OK7.2KGKT MOR</v>
          </cell>
        </row>
        <row r="10658">
          <cell r="C10658">
            <v>4023793</v>
          </cell>
          <cell r="D10658" t="str">
            <v>FRANK.240GMAP 11STKT MOR</v>
          </cell>
        </row>
        <row r="10659">
          <cell r="C10659">
            <v>4023812</v>
          </cell>
          <cell r="D10659" t="str">
            <v>***FRANK.OK2KGMAP OK8KG KT MOR</v>
          </cell>
        </row>
        <row r="10660">
          <cell r="C10660">
            <v>4023813</v>
          </cell>
          <cell r="D10660" t="str">
            <v>***FRANK.240GMAP 8STKT MOR</v>
          </cell>
        </row>
        <row r="10661">
          <cell r="C10661">
            <v>4023860</v>
          </cell>
          <cell r="D10661" t="str">
            <v>***FRANK.240GMAP 11STKT MOR EX</v>
          </cell>
        </row>
        <row r="10662">
          <cell r="C10662">
            <v>4024376</v>
          </cell>
          <cell r="D10662" t="str">
            <v>***FRANK.OK800GMAP OK7.2KGKT MOR EX</v>
          </cell>
        </row>
        <row r="10663">
          <cell r="C10663">
            <v>4025267</v>
          </cell>
          <cell r="D10663" t="str">
            <v>***FRANK.OK800GMAP OK3.2KGKT MOR EX</v>
          </cell>
        </row>
        <row r="10664">
          <cell r="C10664">
            <v>4026058</v>
          </cell>
          <cell r="D10664" t="str">
            <v>FRANK.240GMAP 11STKT MOR EX II</v>
          </cell>
        </row>
        <row r="10665">
          <cell r="C10665">
            <v>3039147</v>
          </cell>
          <cell r="D10665" t="str">
            <v>***WT FRANK.KAW.</v>
          </cell>
        </row>
        <row r="10666">
          <cell r="C10666">
            <v>3027949</v>
          </cell>
          <cell r="D10666" t="str">
            <v>***KIEŁB.TEKSAŃSKA AS</v>
          </cell>
        </row>
        <row r="10667">
          <cell r="C10667">
            <v>3027948</v>
          </cell>
          <cell r="D10667" t="str">
            <v>***KIEŁB.TEKSAŃSKA BS</v>
          </cell>
        </row>
        <row r="10668">
          <cell r="C10668">
            <v>4018591</v>
          </cell>
          <cell r="D10668" t="str">
            <v>***KIEŁB.TEKSAŃSKA 540GMAP 8STKT MOR</v>
          </cell>
        </row>
        <row r="10669">
          <cell r="C10669">
            <v>4018592</v>
          </cell>
          <cell r="D10669" t="str">
            <v>***KIEŁB.TEKSAŃSKA 270GMAP 10STKT MOR</v>
          </cell>
        </row>
        <row r="10670">
          <cell r="C10670">
            <v>4019069</v>
          </cell>
          <cell r="D10670" t="str">
            <v>***KIEŁB.TEKSAŃSKA 540GMAP 8STKT MOR EX</v>
          </cell>
        </row>
        <row r="10671">
          <cell r="C10671">
            <v>3027993</v>
          </cell>
          <cell r="D10671" t="str">
            <v>***KIEŁB.GŁOGOWSKA Z GORCZYCĄ AS</v>
          </cell>
        </row>
        <row r="10672">
          <cell r="C10672">
            <v>3027992</v>
          </cell>
          <cell r="D10672" t="str">
            <v>***KIEŁB.GŁOGOWSKA Z GORCZYCĄ BS</v>
          </cell>
        </row>
        <row r="10673">
          <cell r="C10673">
            <v>4018611</v>
          </cell>
          <cell r="D10673" t="str">
            <v>***KIEŁB.GŁOGOWSKA 500G VAC 12ST KT MOR</v>
          </cell>
        </row>
        <row r="10674">
          <cell r="C10674">
            <v>3034142</v>
          </cell>
          <cell r="D10674" t="str">
            <v>KIEŁB.ŚLĄSKA FES AS MOR</v>
          </cell>
        </row>
        <row r="10675">
          <cell r="C10675">
            <v>4022871</v>
          </cell>
          <cell r="D10675" t="str">
            <v>KIEŁB.ŚLĄSKA OK1KGMAP OK7KGKT MOR II</v>
          </cell>
        </row>
        <row r="10676">
          <cell r="C10676">
            <v>4023354</v>
          </cell>
          <cell r="D10676" t="str">
            <v>KIEŁB.CODZIENNA OK1.2KGMAP 7.2KGKT LIDL</v>
          </cell>
        </row>
        <row r="10677">
          <cell r="C10677">
            <v>4024753</v>
          </cell>
          <cell r="D10677" t="str">
            <v>***K.CODZIENNA OK1.2KGMAP7.2KGKTLIDL RO</v>
          </cell>
        </row>
        <row r="10678">
          <cell r="C10678">
            <v>4030252</v>
          </cell>
          <cell r="D10678" t="str">
            <v>KIEŁB.CODZIENNA 500GMAP 7STKT LIDL</v>
          </cell>
        </row>
        <row r="10679">
          <cell r="C10679">
            <v>4030427</v>
          </cell>
          <cell r="D10679" t="str">
            <v>KIEŁB.CODZIENNA OK1.2KGMAP7.2KGKTLIDL LT</v>
          </cell>
        </row>
        <row r="10680">
          <cell r="C10680">
            <v>4031425</v>
          </cell>
          <cell r="D10680" t="str">
            <v>KIEŁB.ŚLĄSKA OK1KGMAP OK4KGKT ALDI</v>
          </cell>
        </row>
        <row r="10681">
          <cell r="C10681">
            <v>3034662</v>
          </cell>
          <cell r="D10681" t="str">
            <v>WT KIEŁB.ŚLĄSKA KAW.AS</v>
          </cell>
        </row>
        <row r="10682">
          <cell r="C10682">
            <v>3034666</v>
          </cell>
          <cell r="D10682" t="str">
            <v>WT KIEŁB.ŚLĄSKA KAW.OK15KG NB MR</v>
          </cell>
        </row>
        <row r="10683">
          <cell r="C10683">
            <v>3034667</v>
          </cell>
          <cell r="D10683" t="str">
            <v>WT KIEŁB.ŚLĄSKA KAW.OK15KG NB DMR</v>
          </cell>
        </row>
        <row r="10684">
          <cell r="C10684">
            <v>3034709</v>
          </cell>
          <cell r="D10684" t="str">
            <v>WT KIEŁB.ŚLĄSKA KAW.FES RO</v>
          </cell>
        </row>
        <row r="10685">
          <cell r="C10685">
            <v>3046756</v>
          </cell>
          <cell r="D10685" t="str">
            <v>KIEŁB.KRUCHA KUR.AS</v>
          </cell>
        </row>
        <row r="10686">
          <cell r="C10686">
            <v>3046755</v>
          </cell>
          <cell r="D10686" t="str">
            <v>KIEŁB.KRUCHA KUR.BS</v>
          </cell>
        </row>
        <row r="10687">
          <cell r="C10687">
            <v>4031102</v>
          </cell>
          <cell r="D10687" t="str">
            <v>KIEŁB.KRUCHA KUR.250GVAC 10STKT BIED</v>
          </cell>
        </row>
        <row r="10688">
          <cell r="C10688">
            <v>3047388</v>
          </cell>
          <cell r="D10688" t="str">
            <v>KIEŁB.ŚLĄSKA Z PIER.KUR.AS</v>
          </cell>
        </row>
        <row r="10689">
          <cell r="C10689">
            <v>3047450</v>
          </cell>
          <cell r="D10689" t="str">
            <v>KIEŁB.ŚLĄSKA Z PIER.KUR.BS</v>
          </cell>
        </row>
        <row r="10690">
          <cell r="C10690">
            <v>4031504</v>
          </cell>
          <cell r="D10690" t="str">
            <v>K.ŚLĄSKA Z PIER.KUR.OK1KGMAP OK6KGKT MOR</v>
          </cell>
        </row>
        <row r="10691">
          <cell r="C10691">
            <v>3028199</v>
          </cell>
          <cell r="D10691" t="str">
            <v>***KIEŁB.ŚLĄSKA 80% AS</v>
          </cell>
        </row>
        <row r="10692">
          <cell r="C10692">
            <v>3028198</v>
          </cell>
          <cell r="D10692" t="str">
            <v>***KIEŁB.ŚLĄSKA 80% BS</v>
          </cell>
        </row>
        <row r="10693">
          <cell r="C10693">
            <v>4018807</v>
          </cell>
          <cell r="D10693" t="str">
            <v>***KIEŁB.ŚLĄSKA 80% 550GMAP 10STKT MOR</v>
          </cell>
        </row>
        <row r="10694">
          <cell r="C10694">
            <v>3028231</v>
          </cell>
          <cell r="D10694" t="str">
            <v>***KIEŁB.ŚLĄSKA 80% PZ AS</v>
          </cell>
        </row>
        <row r="10695">
          <cell r="C10695">
            <v>3028230</v>
          </cell>
          <cell r="D10695" t="str">
            <v>***KIEŁB.ŚLĄSKA 80% PZ BS</v>
          </cell>
        </row>
        <row r="10696">
          <cell r="C10696">
            <v>4018808</v>
          </cell>
          <cell r="D10696" t="str">
            <v>***K.ŚLĄSKA 80% PZ 550GMAP10STKT TESC</v>
          </cell>
        </row>
        <row r="10697">
          <cell r="C10697">
            <v>4018809</v>
          </cell>
          <cell r="D10697" t="str">
            <v>***K.ŚLĄSKA 80%PZ OK1KGMAPOK5KGKT TESC</v>
          </cell>
        </row>
        <row r="10698">
          <cell r="C10698">
            <v>3028529</v>
          </cell>
          <cell r="D10698" t="str">
            <v>KIEŁB.ŚLĄSKA 90% MP AS LIDL EX</v>
          </cell>
        </row>
        <row r="10699">
          <cell r="C10699">
            <v>3028528</v>
          </cell>
          <cell r="D10699" t="str">
            <v>KIEŁB.ŚLĄSKA 90% MP BS LIDL EX</v>
          </cell>
        </row>
        <row r="10700">
          <cell r="C10700">
            <v>4018903</v>
          </cell>
          <cell r="D10700" t="str">
            <v>***K.ŚLĄSKA MP 1.3KGMAP4STKT LIDL EX LT</v>
          </cell>
        </row>
        <row r="10701">
          <cell r="C10701">
            <v>4019089</v>
          </cell>
          <cell r="D10701" t="str">
            <v>***KIEŁB.ŚLĄSKA MP 1.3KGMAP 4STKT MR</v>
          </cell>
        </row>
        <row r="10702">
          <cell r="C10702">
            <v>3028849</v>
          </cell>
          <cell r="D10702" t="str">
            <v>***KIEŁB.ŚLĄSKA MP 1.3KGMAP 4STKT DMR</v>
          </cell>
        </row>
        <row r="10703">
          <cell r="C10703">
            <v>4018991</v>
          </cell>
          <cell r="D10703" t="str">
            <v>***K.ŚLĄSKA MP 1.3KGMAP4STKT LIDL EX CZ</v>
          </cell>
        </row>
        <row r="10704">
          <cell r="C10704">
            <v>4019114</v>
          </cell>
          <cell r="D10704" t="str">
            <v>***K.ŚLĄSKA MP 1.3KGMAP4STKT LIDL EX SK</v>
          </cell>
        </row>
        <row r="10705">
          <cell r="C10705">
            <v>4019210</v>
          </cell>
          <cell r="D10705" t="str">
            <v>***KIEŁB.ŚLĄSKA OK1KGMAP OK10KGKT</v>
          </cell>
        </row>
        <row r="10706">
          <cell r="C10706">
            <v>4019182</v>
          </cell>
          <cell r="D10706" t="str">
            <v>***KIEŁB.ŚLĄSKA MP 1.3KGMAP4STKT LIDL HU</v>
          </cell>
        </row>
        <row r="10707">
          <cell r="C10707">
            <v>4020711</v>
          </cell>
          <cell r="D10707" t="str">
            <v>***K.ŚLĄSKA MP 1.3KGMAP4STKT LIDL EX BG</v>
          </cell>
        </row>
        <row r="10708">
          <cell r="C10708">
            <v>4020712</v>
          </cell>
          <cell r="D10708" t="str">
            <v>***K.ŚLĄSKA MP 1.3KGMAP4STKT LIDL EX AT</v>
          </cell>
        </row>
        <row r="10709">
          <cell r="C10709">
            <v>4020771</v>
          </cell>
          <cell r="D10709" t="str">
            <v>***KIEŁB.ŚLĄSKA OK1.3KGMAP 5.2KGKT LIDL</v>
          </cell>
        </row>
        <row r="10710">
          <cell r="C10710">
            <v>4020699</v>
          </cell>
          <cell r="D10710" t="str">
            <v>***K.ŚLĄSKA MP 1.3KGMAP4STKT LIDL EX HR</v>
          </cell>
        </row>
        <row r="10711">
          <cell r="C10711">
            <v>4021315</v>
          </cell>
          <cell r="D10711" t="str">
            <v>***KIEŁB.ŚLĄSKA MP 1.3KGMAP 4STKT LIDL</v>
          </cell>
        </row>
        <row r="10712">
          <cell r="C10712">
            <v>4021591</v>
          </cell>
          <cell r="D10712" t="str">
            <v>***K.ŚLĄSKA MP 1.3KGMAP4STKT LIDL EX RO</v>
          </cell>
        </row>
        <row r="10713">
          <cell r="C10713">
            <v>4022999</v>
          </cell>
          <cell r="D10713" t="str">
            <v>KIEŁB.ŚLĄSKA MP 1.3KGMAP 6STKT LIDL CZ</v>
          </cell>
        </row>
        <row r="10714">
          <cell r="C10714">
            <v>4023010</v>
          </cell>
          <cell r="D10714" t="str">
            <v>KIEŁB.ŚLĄSKA MP 1.3KGMAP 6STKT LIDL SK</v>
          </cell>
        </row>
        <row r="10715">
          <cell r="C10715">
            <v>4023011</v>
          </cell>
          <cell r="D10715" t="str">
            <v>KIEŁB.ŚLĄSKA MP 1.3KGMAP 6STKT LIDL HU</v>
          </cell>
        </row>
        <row r="10716">
          <cell r="C10716">
            <v>4023034</v>
          </cell>
          <cell r="D10716" t="str">
            <v>KIEŁB.ŚLĄSKA MP 1.3KGMAP 6STKT LIDL BG</v>
          </cell>
        </row>
        <row r="10717">
          <cell r="C10717">
            <v>4023033</v>
          </cell>
          <cell r="D10717" t="str">
            <v>***K.ŚLĄSKA MP 1.3KGMAP 6STKT LIDL RO</v>
          </cell>
        </row>
        <row r="10718">
          <cell r="C10718">
            <v>4023028</v>
          </cell>
          <cell r="D10718" t="str">
            <v>***KIEŁB.ŚLĄSKA MP 1.3KGMAP6STKT LIDL AT</v>
          </cell>
        </row>
        <row r="10719">
          <cell r="C10719">
            <v>4023029</v>
          </cell>
          <cell r="D10719" t="str">
            <v>KIEŁB.ŚLĄSKA MP 1.3KGMAP 6STKT LIDL HR</v>
          </cell>
        </row>
        <row r="10720">
          <cell r="C10720">
            <v>4026099</v>
          </cell>
          <cell r="D10720" t="str">
            <v>KIEŁB.ŚLĄSKA MP 1.3KGMAP 6STKT LIDL DK</v>
          </cell>
        </row>
        <row r="10721">
          <cell r="C10721">
            <v>4028971</v>
          </cell>
          <cell r="D10721" t="str">
            <v>***KIEŁB.ŚLĄSKA MP 1.3KGMAP6STKT LIDL GB</v>
          </cell>
        </row>
        <row r="10722">
          <cell r="C10722">
            <v>4030450</v>
          </cell>
          <cell r="D10722" t="str">
            <v>KIEŁB.ŚLĄSKA MP 1.3KGMAP 6STKT LIDL SE</v>
          </cell>
        </row>
        <row r="10723">
          <cell r="C10723">
            <v>3028781</v>
          </cell>
          <cell r="D10723" t="str">
            <v>KIEŁB.TORUŃSKA.AS BIED</v>
          </cell>
        </row>
        <row r="10724">
          <cell r="C10724">
            <v>3028782</v>
          </cell>
          <cell r="D10724" t="str">
            <v>KIEŁB.TORUŃSKA BS BIED</v>
          </cell>
        </row>
        <row r="10725">
          <cell r="C10725">
            <v>4019054</v>
          </cell>
          <cell r="D10725" t="str">
            <v>KIEŁB.TORUŃSKA OK800GMAP OK5KGKT BIED</v>
          </cell>
        </row>
        <row r="10726">
          <cell r="C10726">
            <v>4020678</v>
          </cell>
          <cell r="D10726" t="str">
            <v>***KIEŁB.TORUŃSKA OK500GVAC 7KGKT LIDL</v>
          </cell>
        </row>
        <row r="10727">
          <cell r="C10727">
            <v>4022213</v>
          </cell>
          <cell r="D10727" t="str">
            <v>***KIEŁB.TORUŃSKA 520GVAC 12STKT MOR</v>
          </cell>
        </row>
        <row r="10728">
          <cell r="C10728">
            <v>4022331</v>
          </cell>
          <cell r="D10728" t="str">
            <v>***KIEŁB.TORUŃSKA OK520GVAC 7.2KGKT LIDL</v>
          </cell>
        </row>
        <row r="10729">
          <cell r="C10729">
            <v>4027334</v>
          </cell>
          <cell r="D10729" t="str">
            <v>PP KIEŁB.MAZURSKA 520GMAP 10STKT LIDL</v>
          </cell>
        </row>
        <row r="10730">
          <cell r="C10730">
            <v>3028798</v>
          </cell>
          <cell r="D10730" t="str">
            <v>***KIEŁB.ŚLĄSKA 90% AS LIDL EX</v>
          </cell>
        </row>
        <row r="10731">
          <cell r="C10731">
            <v>3028797</v>
          </cell>
          <cell r="D10731" t="str">
            <v>***KIEŁB.ŚLĄSKA 90% BS LIDL EX</v>
          </cell>
        </row>
        <row r="10732">
          <cell r="C10732">
            <v>4019065</v>
          </cell>
          <cell r="D10732" t="str">
            <v>***KIEŁB.ŚLĄSKA 500GMAP10STKT LIDL EX SK</v>
          </cell>
        </row>
        <row r="10733">
          <cell r="C10733">
            <v>4019111</v>
          </cell>
          <cell r="D10733" t="str">
            <v>***KIEŁB.ŚLĄSKA 500GMAP10STKT LIDL EX RO</v>
          </cell>
        </row>
        <row r="10734">
          <cell r="C10734">
            <v>4019112</v>
          </cell>
          <cell r="D10734" t="str">
            <v>***KIEŁB.ŚLĄSKA 500GMAP10STKT LIDL EX HR</v>
          </cell>
        </row>
        <row r="10735">
          <cell r="C10735">
            <v>4019113</v>
          </cell>
          <cell r="D10735" t="str">
            <v>***KIEŁB.ŚLĄSKA 500GMAP10STKT LIDL EX GB</v>
          </cell>
        </row>
        <row r="10736">
          <cell r="C10736">
            <v>4019117</v>
          </cell>
          <cell r="D10736" t="str">
            <v>***KIEŁB.ŚLĄSKA 500GMAP10STKT LIDL EX SI</v>
          </cell>
        </row>
        <row r="10737">
          <cell r="C10737">
            <v>3029643</v>
          </cell>
          <cell r="D10737" t="str">
            <v>***FRANKI AS</v>
          </cell>
        </row>
        <row r="10738">
          <cell r="C10738">
            <v>3029642</v>
          </cell>
          <cell r="D10738" t="str">
            <v>***FRANKI BS</v>
          </cell>
        </row>
        <row r="10739">
          <cell r="C10739">
            <v>4019756</v>
          </cell>
          <cell r="D10739" t="str">
            <v>***FRANKI 240GMAP 20STKT MOR</v>
          </cell>
        </row>
        <row r="10740">
          <cell r="C10740">
            <v>3030627</v>
          </cell>
          <cell r="D10740" t="str">
            <v>***FRANKI 240G MAP BL</v>
          </cell>
        </row>
        <row r="10741">
          <cell r="C10741">
            <v>4020283</v>
          </cell>
          <cell r="D10741" t="str">
            <v>***FRANKI 240GMAP 16STKT MOR</v>
          </cell>
        </row>
        <row r="10742">
          <cell r="C10742">
            <v>4020384</v>
          </cell>
          <cell r="D10742" t="str">
            <v>***FRANKI 240GMAP 9STKT MOR</v>
          </cell>
        </row>
        <row r="10743">
          <cell r="C10743">
            <v>4020361</v>
          </cell>
          <cell r="D10743" t="str">
            <v>***FRANKI 1KGMAP 10STKT MOR FS</v>
          </cell>
        </row>
        <row r="10744">
          <cell r="C10744">
            <v>4021191</v>
          </cell>
          <cell r="D10744" t="str">
            <v>***FRANKI 1KGMAP 10STKT MR MOR FS</v>
          </cell>
        </row>
        <row r="10745">
          <cell r="C10745">
            <v>3031698</v>
          </cell>
          <cell r="D10745" t="str">
            <v>***FRANKI 1KGMAP 10STKT MOR DMR FS</v>
          </cell>
        </row>
        <row r="10746">
          <cell r="C10746">
            <v>4020359</v>
          </cell>
          <cell r="D10746" t="str">
            <v>***FRANKI 240GMAP 16STKT MOR EX CZ/SK</v>
          </cell>
        </row>
        <row r="10747">
          <cell r="C10747">
            <v>4020375</v>
          </cell>
          <cell r="D10747" t="str">
            <v>***FRANKI 240GMAP 20STKT MOR EX</v>
          </cell>
        </row>
        <row r="10748">
          <cell r="C10748">
            <v>4021051</v>
          </cell>
          <cell r="D10748" t="str">
            <v>***FRANKI 240GMAP 16STKT MOR EX</v>
          </cell>
        </row>
        <row r="10749">
          <cell r="C10749">
            <v>3029646</v>
          </cell>
          <cell r="D10749" t="str">
            <v>***FRANK.AS LIDL</v>
          </cell>
        </row>
        <row r="10750">
          <cell r="C10750">
            <v>3029645</v>
          </cell>
          <cell r="D10750" t="str">
            <v>***FRANK.BS LIDL</v>
          </cell>
        </row>
        <row r="10751">
          <cell r="C10751">
            <v>3029963</v>
          </cell>
          <cell r="D10751" t="str">
            <v>***KIEŁB.BIAŁA AS LIDL</v>
          </cell>
        </row>
        <row r="10752">
          <cell r="C10752">
            <v>4020332</v>
          </cell>
          <cell r="D10752" t="str">
            <v>***KIEŁB.BIAŁA OK15KGWOR PJ MR</v>
          </cell>
        </row>
        <row r="10753">
          <cell r="C10753">
            <v>3029962</v>
          </cell>
          <cell r="D10753" t="str">
            <v>***KIEŁB.BIAŁA BS LIDL</v>
          </cell>
        </row>
        <row r="10754">
          <cell r="C10754">
            <v>3030425</v>
          </cell>
          <cell r="D10754" t="str">
            <v>***KIEŁB.BIAŁA OK15KGWOR PJ DMR</v>
          </cell>
        </row>
        <row r="10755">
          <cell r="C10755">
            <v>4020333</v>
          </cell>
          <cell r="D10755" t="str">
            <v>***KIEŁB.BIAŁA OK15KGWOR PJ</v>
          </cell>
        </row>
        <row r="10756">
          <cell r="C10756">
            <v>4019942</v>
          </cell>
          <cell r="D10756" t="str">
            <v>***KIEŁB.BIAŁA 500GMAP 12STKT LIDL</v>
          </cell>
        </row>
        <row r="10757">
          <cell r="C10757">
            <v>3029977</v>
          </cell>
          <cell r="D10757" t="str">
            <v>***KIEŁB.PODSUSZANA AD</v>
          </cell>
        </row>
        <row r="10758">
          <cell r="C10758">
            <v>3029976</v>
          </cell>
          <cell r="D10758" t="str">
            <v>***KIEŁB.PODSUSZANA BS</v>
          </cell>
        </row>
        <row r="10759">
          <cell r="C10759">
            <v>3029978</v>
          </cell>
          <cell r="D10759" t="str">
            <v>***KIEŁB.PODSUSZANA AS</v>
          </cell>
        </row>
        <row r="10760">
          <cell r="C10760">
            <v>3030002</v>
          </cell>
          <cell r="D10760" t="str">
            <v>***KIEŁB.PODSUSZANA 350GMAP BL</v>
          </cell>
        </row>
        <row r="10761">
          <cell r="C10761">
            <v>3030003</v>
          </cell>
          <cell r="D10761" t="str">
            <v>***KIEŁB.PODSUSZ.PIEPRZ/MAJER.AD</v>
          </cell>
        </row>
        <row r="10762">
          <cell r="C10762">
            <v>3030000</v>
          </cell>
          <cell r="D10762" t="str">
            <v>***KIEŁB.PODSUSZ.PIEPRZ/MAJER.BS</v>
          </cell>
        </row>
        <row r="10763">
          <cell r="C10763">
            <v>3030001</v>
          </cell>
          <cell r="D10763" t="str">
            <v>***KIEŁB.PODSUSZ.PIEPRZ/MAJER.AS</v>
          </cell>
        </row>
        <row r="10764">
          <cell r="C10764">
            <v>3030004</v>
          </cell>
          <cell r="D10764" t="str">
            <v>***KIEŁB.PODSUSZ.PIEPRZ/MAJER.350GMAP BL</v>
          </cell>
        </row>
        <row r="10765">
          <cell r="C10765">
            <v>3043791</v>
          </cell>
          <cell r="D10765" t="str">
            <v>KIEŁB.TORUŃSKA AS</v>
          </cell>
        </row>
        <row r="10766">
          <cell r="C10766">
            <v>3043792</v>
          </cell>
          <cell r="D10766" t="str">
            <v>KIEŁB.TORUŃSKA BS</v>
          </cell>
        </row>
        <row r="10767">
          <cell r="C10767">
            <v>4019964</v>
          </cell>
          <cell r="D10767" t="str">
            <v>***MIX KIEŁB.PODSUSZ.350GMAP 12STKT BIED</v>
          </cell>
        </row>
        <row r="10768">
          <cell r="C10768">
            <v>4010117</v>
          </cell>
          <cell r="D10768" t="str">
            <v>***WYBORNA PRZEK.WĘDZ. 180G MAP14ST KT Y</v>
          </cell>
        </row>
        <row r="10769">
          <cell r="C10769">
            <v>3019124</v>
          </cell>
          <cell r="D10769" t="str">
            <v>***LUKSUSOWA PRZEKASKA WEDZ.PIKOK</v>
          </cell>
        </row>
        <row r="10770">
          <cell r="C10770">
            <v>3019131</v>
          </cell>
          <cell r="D10770" t="str">
            <v>***LUKSUSOWA PRZEKASKA WĘDZ.PIKOK BS</v>
          </cell>
        </row>
        <row r="10771">
          <cell r="C10771">
            <v>4007843</v>
          </cell>
          <cell r="D10771" t="str">
            <v>***LUKSUS.PRZEKĄS.WĘDZ.180G MAP</v>
          </cell>
        </row>
        <row r="10772">
          <cell r="C10772">
            <v>4008422</v>
          </cell>
          <cell r="D10772" t="str">
            <v>***LUKSUSOWA PRZEKĄS.WĘDZ.180GMAP PIK R</v>
          </cell>
        </row>
        <row r="10773">
          <cell r="C10773">
            <v>4009019</v>
          </cell>
          <cell r="D10773" t="str">
            <v>***LUKSUS.PRZEK.WĘDZ.180GMAP 14ST KT CHR</v>
          </cell>
        </row>
        <row r="10774">
          <cell r="C10774">
            <v>3011219</v>
          </cell>
          <cell r="D10774" t="str">
            <v>KABAN.MOR.WYB.</v>
          </cell>
        </row>
        <row r="10775">
          <cell r="C10775">
            <v>3016771</v>
          </cell>
          <cell r="D10775" t="str">
            <v>KABAN.MOR.WYB.BS</v>
          </cell>
        </row>
        <row r="10776">
          <cell r="C10776">
            <v>3016773</v>
          </cell>
          <cell r="D10776" t="str">
            <v>KABAN.MOR.WYB.AS</v>
          </cell>
        </row>
        <row r="10777">
          <cell r="C10777">
            <v>4009386</v>
          </cell>
          <cell r="D10777" t="str">
            <v>***KABAN.MOR.WYBORNE 105G MAP 14 ST KT</v>
          </cell>
        </row>
        <row r="10778">
          <cell r="C10778">
            <v>4009551</v>
          </cell>
          <cell r="D10778" t="str">
            <v>***KABAN.MOR.WYB.105GMAP 20STKT UK</v>
          </cell>
        </row>
        <row r="10779">
          <cell r="C10779">
            <v>4011205</v>
          </cell>
          <cell r="D10779" t="str">
            <v>***KABAN.MOR.WYB.105GMAP 14STKT DE</v>
          </cell>
        </row>
        <row r="10780">
          <cell r="C10780">
            <v>4011432</v>
          </cell>
          <cell r="D10780" t="str">
            <v>***KABAN.MORLIN.WYBORNE 1.47KG KT</v>
          </cell>
        </row>
        <row r="10781">
          <cell r="C10781">
            <v>4012776</v>
          </cell>
          <cell r="D10781" t="str">
            <v>***KAB.MOR WYBORNE105GMAP2.1KGKTĆW.P.</v>
          </cell>
        </row>
        <row r="10782">
          <cell r="C10782">
            <v>4013467</v>
          </cell>
          <cell r="D10782" t="str">
            <v>***KABAN.MOR.WYB.1.47KGMAP 14STKT EX SE</v>
          </cell>
        </row>
        <row r="10783">
          <cell r="C10783">
            <v>4013538</v>
          </cell>
          <cell r="D10783" t="str">
            <v>***KABAN.MOR.WYB.105GMAP 14STKT EX RO</v>
          </cell>
        </row>
        <row r="10784">
          <cell r="C10784">
            <v>4014867</v>
          </cell>
          <cell r="D10784" t="str">
            <v>***KAB.MOR.WYB.105G MAP 22.05KG KT SEL</v>
          </cell>
        </row>
        <row r="10785">
          <cell r="C10785">
            <v>4013737</v>
          </cell>
          <cell r="D10785" t="str">
            <v>***KABAN.MOR.WYB.105GMAP 20STKT MOR</v>
          </cell>
        </row>
        <row r="10786">
          <cell r="C10786">
            <v>4014252</v>
          </cell>
          <cell r="D10786" t="str">
            <v>***KAB.MOR.WYBORNE 105G MAP 20ST EX CZ</v>
          </cell>
        </row>
        <row r="10787">
          <cell r="C10787">
            <v>4015187</v>
          </cell>
          <cell r="D10787" t="str">
            <v>***KABAN.MOR.105GMAP 18STKT KAUF EX CZ</v>
          </cell>
        </row>
        <row r="10788">
          <cell r="C10788">
            <v>4015753</v>
          </cell>
          <cell r="D10788" t="str">
            <v>***KABAN.MOR.WYB.105G MAP 18ST KT EX HU</v>
          </cell>
        </row>
        <row r="10789">
          <cell r="C10789">
            <v>4021168</v>
          </cell>
          <cell r="D10789" t="str">
            <v>***KABAN.MOR.WYB.105GMAP 10STKT MOR</v>
          </cell>
        </row>
        <row r="10790">
          <cell r="C10790">
            <v>3011215</v>
          </cell>
          <cell r="D10790" t="str">
            <v>***KABAN.MOR.Z PIEPRZ.AD</v>
          </cell>
        </row>
        <row r="10791">
          <cell r="C10791">
            <v>3016778</v>
          </cell>
          <cell r="D10791" t="str">
            <v>***KABAN.MOR.Z PIEPRZ.BS</v>
          </cell>
        </row>
        <row r="10792">
          <cell r="C10792">
            <v>3016777</v>
          </cell>
          <cell r="D10792" t="str">
            <v>***KABAN.MOR.Z PIEPRZ.AS</v>
          </cell>
        </row>
        <row r="10793">
          <cell r="C10793">
            <v>4009385</v>
          </cell>
          <cell r="D10793" t="str">
            <v>***KABAN.MOR.Z PIEPRZ.105G MAP 14 ST KT</v>
          </cell>
        </row>
        <row r="10794">
          <cell r="C10794">
            <v>4009550</v>
          </cell>
          <cell r="D10794" t="str">
            <v>***KABAN.MOR.Z PIEPRZ.105GMAP 20ST KT UK</v>
          </cell>
        </row>
        <row r="10795">
          <cell r="C10795">
            <v>4011207</v>
          </cell>
          <cell r="D10795" t="str">
            <v>***KABAN.MOR.Z PIEPRZ.105GMAP 14STKT DE</v>
          </cell>
        </row>
        <row r="10796">
          <cell r="C10796">
            <v>4011433</v>
          </cell>
          <cell r="D10796" t="str">
            <v>***KABAN.MORLIN.Z/PIEPRZ.1.47KG KT</v>
          </cell>
        </row>
        <row r="10797">
          <cell r="C10797">
            <v>4012777</v>
          </cell>
          <cell r="D10797" t="str">
            <v>***KAB.MOR Z/PIEPRZ.105GMAP2.1KGKT ĆW.P.</v>
          </cell>
        </row>
        <row r="10798">
          <cell r="C10798">
            <v>4013468</v>
          </cell>
          <cell r="D10798" t="str">
            <v>***KABAN.MOR.ZPIEPRZ.1.47KGMAP14STKTEXSE</v>
          </cell>
        </row>
        <row r="10799">
          <cell r="C10799">
            <v>4013539</v>
          </cell>
          <cell r="D10799" t="str">
            <v>***KABAN.MOR.Z PIEPRZ.105GMAP14STKTEX RO</v>
          </cell>
        </row>
        <row r="10800">
          <cell r="C10800">
            <v>4015757</v>
          </cell>
          <cell r="D10800" t="str">
            <v>***KABAN.MOR.Z PIEPRZ.105GMAP18STKTEX HU</v>
          </cell>
        </row>
        <row r="10801">
          <cell r="C10801">
            <v>4013738</v>
          </cell>
          <cell r="D10801" t="str">
            <v>***KABAN.MOR.Z PIEPRZ.105GMAP 20STKT</v>
          </cell>
        </row>
        <row r="10802">
          <cell r="C10802">
            <v>3011188</v>
          </cell>
          <cell r="D10802" t="str">
            <v>***KABAN.MOR.CHILLI AD</v>
          </cell>
        </row>
        <row r="10803">
          <cell r="C10803">
            <v>3016775</v>
          </cell>
          <cell r="D10803" t="str">
            <v>***KABAN.MOR.CHILI BS</v>
          </cell>
        </row>
        <row r="10804">
          <cell r="C10804">
            <v>3016772</v>
          </cell>
          <cell r="D10804" t="str">
            <v>***KABAN.MOR.CHILI AS</v>
          </cell>
        </row>
        <row r="10805">
          <cell r="C10805">
            <v>4009384</v>
          </cell>
          <cell r="D10805" t="str">
            <v>***KABAN.MOR.CHILI 105G MAP 14 ST KT</v>
          </cell>
        </row>
        <row r="10806">
          <cell r="C10806">
            <v>4009547</v>
          </cell>
          <cell r="D10806" t="str">
            <v>***KABAN.MOR.CHILI 105G MAP 20ST KT UK</v>
          </cell>
        </row>
        <row r="10807">
          <cell r="C10807">
            <v>4011206</v>
          </cell>
          <cell r="D10807" t="str">
            <v>***KABAN.MOR.CHILI 105GMAP 14STKT DE</v>
          </cell>
        </row>
        <row r="10808">
          <cell r="C10808">
            <v>4011275</v>
          </cell>
          <cell r="D10808" t="str">
            <v>***KABAN.MORLIN.CHILI 105GMAP14ST KT MOR</v>
          </cell>
        </row>
        <row r="10809">
          <cell r="C10809">
            <v>4011431</v>
          </cell>
          <cell r="D10809" t="str">
            <v>***KABAN.MORLIN.CHILI 1.47KG KT</v>
          </cell>
        </row>
        <row r="10810">
          <cell r="C10810">
            <v>4012778</v>
          </cell>
          <cell r="D10810" t="str">
            <v>***KAB.MOR.CHILI105GMAP 2.1KG KT ĆW.PAL</v>
          </cell>
        </row>
        <row r="10811">
          <cell r="C10811">
            <v>4013469</v>
          </cell>
          <cell r="D10811" t="str">
            <v>***KABAN.MOR.CHILLI 105GMAP 14STKT EX SE</v>
          </cell>
        </row>
        <row r="10812">
          <cell r="C10812">
            <v>4013540</v>
          </cell>
          <cell r="D10812" t="str">
            <v>***KABAN.MOR CHILLI 105GMAP 14STKT EX RO</v>
          </cell>
        </row>
        <row r="10813">
          <cell r="C10813">
            <v>4013739</v>
          </cell>
          <cell r="D10813" t="str">
            <v>***KABAN.MOR.CHILLI 105GMAP 20STKT</v>
          </cell>
        </row>
        <row r="10814">
          <cell r="C10814">
            <v>4014255</v>
          </cell>
          <cell r="D10814" t="str">
            <v>***KABAN.MOR.CHILI 105G MAP 20ST EX CZ</v>
          </cell>
        </row>
        <row r="10815">
          <cell r="C10815">
            <v>4015758</v>
          </cell>
          <cell r="D10815" t="str">
            <v>***KABAN.MOR.CHILLI 105GMAP 18STKT EX HU</v>
          </cell>
        </row>
        <row r="10816">
          <cell r="C10816">
            <v>3011217</v>
          </cell>
          <cell r="D10816" t="str">
            <v>***KABAN.PART.CLASSIC</v>
          </cell>
        </row>
        <row r="10817">
          <cell r="C10817">
            <v>3016774</v>
          </cell>
          <cell r="D10817" t="str">
            <v>***KABAN.PART.CLASSIC BS</v>
          </cell>
        </row>
        <row r="10818">
          <cell r="C10818">
            <v>3016776</v>
          </cell>
          <cell r="D10818" t="str">
            <v>***KABAN.PART.CLASSIC AS</v>
          </cell>
        </row>
        <row r="10819">
          <cell r="C10819">
            <v>4009421</v>
          </cell>
          <cell r="D10819" t="str">
            <v>***KABAN.PARTYCZAKI CLAS.60G MAP 24ST KT</v>
          </cell>
        </row>
        <row r="10820">
          <cell r="C10820">
            <v>4009725</v>
          </cell>
          <cell r="D10820" t="str">
            <v>***KABAN.PART.CLASSIC 60GMAP 10ST KT UK</v>
          </cell>
        </row>
        <row r="10821">
          <cell r="C10821">
            <v>4010988</v>
          </cell>
          <cell r="D10821" t="str">
            <v>***KABAN.PART.CLASSIC OK750G MAP KT</v>
          </cell>
        </row>
        <row r="10822">
          <cell r="C10822">
            <v>4011258</v>
          </cell>
          <cell r="D10822" t="str">
            <v>***KABAN.PARTYCZAKI CLAS.60GMAP 20STKTEX</v>
          </cell>
        </row>
        <row r="10823">
          <cell r="C10823">
            <v>4012594</v>
          </cell>
          <cell r="D10823" t="str">
            <v>***KAB.PARTYCZAKI CLASSIK60G MAP 18ST KT</v>
          </cell>
        </row>
        <row r="10824">
          <cell r="C10824">
            <v>4012774</v>
          </cell>
          <cell r="D10824" t="str">
            <v>***KABAN.PART.CLAS.60G MAP20ST KT ĆW.PAL</v>
          </cell>
        </row>
        <row r="10825">
          <cell r="C10825">
            <v>4013439</v>
          </cell>
          <cell r="D10825" t="str">
            <v>***KABAN.PARTY.CLASSIC 1.44KG KT SE EX</v>
          </cell>
        </row>
        <row r="10826">
          <cell r="C10826">
            <v>4013914</v>
          </cell>
          <cell r="D10826" t="str">
            <v>***KABAN.PART.CLASSIC 60GMAP 10STKT MOR</v>
          </cell>
        </row>
        <row r="10827">
          <cell r="C10827">
            <v>4014802</v>
          </cell>
          <cell r="D10827" t="str">
            <v>***KABAN.PART.CLASSIC 60GMAP 10STKTMOREX</v>
          </cell>
        </row>
        <row r="10828">
          <cell r="C10828">
            <v>3011220</v>
          </cell>
          <cell r="D10828" t="str">
            <v>***KABAN.PART.Z PIEPRZ.</v>
          </cell>
        </row>
        <row r="10829">
          <cell r="C10829">
            <v>3016780</v>
          </cell>
          <cell r="D10829" t="str">
            <v>***KABAN.PART.Z PIEPRZ.BS</v>
          </cell>
        </row>
        <row r="10830">
          <cell r="C10830">
            <v>3016779</v>
          </cell>
          <cell r="D10830" t="str">
            <v>***KABAN.PART.Z PIEPRZ.AS</v>
          </cell>
        </row>
        <row r="10831">
          <cell r="C10831">
            <v>4009420</v>
          </cell>
          <cell r="D10831" t="str">
            <v>***KABAN.PART Z PIEPRZ.60GMAP 24ST KT</v>
          </cell>
        </row>
        <row r="10832">
          <cell r="C10832">
            <v>4009724</v>
          </cell>
          <cell r="D10832" t="str">
            <v>***KABAN.PART.Z PIEPRZ.60GMAP 10ST KT UK</v>
          </cell>
        </row>
        <row r="10833">
          <cell r="C10833">
            <v>4011045</v>
          </cell>
          <cell r="D10833" t="str">
            <v>***KABAN.PART.Z/PIEPRZ. OK.750G MAP KT</v>
          </cell>
        </row>
        <row r="10834">
          <cell r="C10834">
            <v>4012775</v>
          </cell>
          <cell r="D10834" t="str">
            <v>***KABA.PART.Z/PIEPRZ.60GMAP20STKTĆW.PAL</v>
          </cell>
        </row>
        <row r="10835">
          <cell r="C10835">
            <v>4013460</v>
          </cell>
          <cell r="D10835" t="str">
            <v>***KABA.PARTY.Z PIEPRZEM 1.44KG KT SE EX</v>
          </cell>
        </row>
        <row r="10836">
          <cell r="C10836">
            <v>4015242</v>
          </cell>
          <cell r="D10836" t="str">
            <v>***KABAN.PART.Z PIEP.0.6KGMAP10STKTEXSE</v>
          </cell>
        </row>
        <row r="10837">
          <cell r="C10837">
            <v>4013915</v>
          </cell>
          <cell r="D10837" t="str">
            <v>***KABAN.PART.Z PIEPRZ.60G MAP 10STKTMOR</v>
          </cell>
        </row>
        <row r="10838">
          <cell r="C10838">
            <v>3011178</v>
          </cell>
          <cell r="D10838" t="str">
            <v>***KABAN.PART.CHILI</v>
          </cell>
        </row>
        <row r="10839">
          <cell r="C10839">
            <v>3016781</v>
          </cell>
          <cell r="D10839" t="str">
            <v>***KABAN.PART.CHILI BS</v>
          </cell>
        </row>
        <row r="10840">
          <cell r="C10840">
            <v>3016767</v>
          </cell>
          <cell r="D10840" t="str">
            <v>***KABAN.PART.CHILI AS</v>
          </cell>
        </row>
        <row r="10841">
          <cell r="C10841">
            <v>4009359</v>
          </cell>
          <cell r="D10841" t="str">
            <v>***KABAN.PARTYCZAKI CHILI60G MAP24ST KT</v>
          </cell>
        </row>
        <row r="10842">
          <cell r="C10842">
            <v>4009718</v>
          </cell>
          <cell r="D10842" t="str">
            <v>***KABAN.PART.CHILI 60G MAP 10ST KT UK</v>
          </cell>
        </row>
        <row r="10843">
          <cell r="C10843">
            <v>4010987</v>
          </cell>
          <cell r="D10843" t="str">
            <v>***KABAN.PART.CHILI OK750G MAP KT</v>
          </cell>
        </row>
        <row r="10844">
          <cell r="C10844">
            <v>4012799</v>
          </cell>
          <cell r="D10844" t="str">
            <v>***KABA.PART.CHILI 60G MAP 20STKT ĆW.PAL</v>
          </cell>
        </row>
        <row r="10845">
          <cell r="C10845">
            <v>4013465</v>
          </cell>
          <cell r="D10845" t="str">
            <v>***KABAN.PARTY.CHILI 1.44KG KT SE EX</v>
          </cell>
        </row>
        <row r="10846">
          <cell r="C10846">
            <v>4015243</v>
          </cell>
          <cell r="D10846" t="str">
            <v>***KABAN.PART.CHILI 0.6KGMAP10STKT EX SE</v>
          </cell>
        </row>
        <row r="10847">
          <cell r="C10847">
            <v>4013916</v>
          </cell>
          <cell r="D10847" t="str">
            <v>***KABAN.PART.CHILI 60G MAP 10ST KT MOR</v>
          </cell>
        </row>
        <row r="10848">
          <cell r="C10848">
            <v>4009847</v>
          </cell>
          <cell r="D10848" t="str">
            <v>***KABAN.PART.MIX 60G MAP 45ST KT</v>
          </cell>
        </row>
        <row r="10849">
          <cell r="C10849">
            <v>4012790</v>
          </cell>
          <cell r="D10849" t="str">
            <v>***KABAN.PART.MIX 60GMAP 1.8KGKT ĆW.PAL</v>
          </cell>
        </row>
        <row r="10850">
          <cell r="C10850">
            <v>4013023</v>
          </cell>
          <cell r="D10850" t="str">
            <v>***KABA.PARTYCZAKI MIX 60G MAP 2.7KGKT</v>
          </cell>
        </row>
        <row r="10851">
          <cell r="C10851">
            <v>4013466</v>
          </cell>
          <cell r="D10851" t="str">
            <v>***KABAN.PARTY.MIX 2.7KG KT SE EX</v>
          </cell>
        </row>
        <row r="10852">
          <cell r="C10852">
            <v>4014283</v>
          </cell>
          <cell r="D10852" t="str">
            <v>***KABAN.PART.MIX 60G MAP 10ST KT MOR</v>
          </cell>
        </row>
        <row r="10853">
          <cell r="C10853">
            <v>4012555</v>
          </cell>
          <cell r="D10853" t="str">
            <v>***KAB.MORLIŃSKIE MIX 105GMAP 2.205KG KT</v>
          </cell>
        </row>
        <row r="10854">
          <cell r="C10854">
            <v>4012779</v>
          </cell>
          <cell r="D10854" t="str">
            <v>***KABA.MOR.MIX 105GMAP 2.205KGKT ĆW.PAL</v>
          </cell>
        </row>
        <row r="10855">
          <cell r="C10855">
            <v>4014741</v>
          </cell>
          <cell r="D10855" t="str">
            <v>***KABAN.MOR.MIX 105G MAP 20ST KT ĆW.PAL</v>
          </cell>
        </row>
        <row r="10856">
          <cell r="C10856">
            <v>4015750</v>
          </cell>
          <cell r="D10856" t="str">
            <v>***KABAN.MOR MIX 105GMAP18STKT PENNYHUEX</v>
          </cell>
        </row>
        <row r="10857">
          <cell r="C10857">
            <v>4015751</v>
          </cell>
          <cell r="D10857" t="str">
            <v>***KABAN.MOR MIX105GMAP18STKTPENNY RO EX</v>
          </cell>
        </row>
        <row r="10858">
          <cell r="C10858">
            <v>4015752</v>
          </cell>
          <cell r="D10858" t="str">
            <v>***KABAN.MOR MIX 105GMAP18STKTPENNY CZEX</v>
          </cell>
        </row>
        <row r="10859">
          <cell r="C10859">
            <v>4016280</v>
          </cell>
          <cell r="D10859" t="str">
            <v>***KAB.MOR MIX 12.6KG KT MOR TESCO</v>
          </cell>
        </row>
        <row r="10860">
          <cell r="C10860">
            <v>3019093</v>
          </cell>
          <cell r="D10860" t="str">
            <v>***KABAN.LASSO ORIGINAL</v>
          </cell>
        </row>
        <row r="10861">
          <cell r="C10861">
            <v>3019087</v>
          </cell>
          <cell r="D10861" t="str">
            <v>***KABAN.LASSO ORIGINAL BS</v>
          </cell>
        </row>
        <row r="10862">
          <cell r="C10862">
            <v>3019092</v>
          </cell>
          <cell r="D10862" t="str">
            <v>***KABAN.LASSO ORIGINAL AS</v>
          </cell>
        </row>
        <row r="10863">
          <cell r="C10863">
            <v>4013283</v>
          </cell>
          <cell r="D10863" t="str">
            <v>***KABAN.LASSO ORIGINAL60G MAP16ST KT EX</v>
          </cell>
        </row>
        <row r="10864">
          <cell r="C10864">
            <v>3019091</v>
          </cell>
          <cell r="D10864" t="str">
            <v>***KABAN.LASSO BBQ</v>
          </cell>
        </row>
        <row r="10865">
          <cell r="C10865">
            <v>3019089</v>
          </cell>
          <cell r="D10865" t="str">
            <v>***KABAN.LASSO BBQ BS</v>
          </cell>
        </row>
        <row r="10866">
          <cell r="C10866">
            <v>3019090</v>
          </cell>
          <cell r="D10866" t="str">
            <v>***KABAN.LASSO BBQ AS</v>
          </cell>
        </row>
        <row r="10867">
          <cell r="C10867">
            <v>4013282</v>
          </cell>
          <cell r="D10867" t="str">
            <v>***KABAN.LASSO BBQ 60G MAP 16ST KT EX</v>
          </cell>
        </row>
        <row r="10868">
          <cell r="C10868">
            <v>3019101</v>
          </cell>
          <cell r="D10868" t="str">
            <v>***KABAN.LASSO HOT'N'SPICY</v>
          </cell>
        </row>
        <row r="10869">
          <cell r="C10869">
            <v>3019099</v>
          </cell>
          <cell r="D10869" t="str">
            <v>***KABAN.LASSO HOT'N'SPICY BS</v>
          </cell>
        </row>
        <row r="10870">
          <cell r="C10870">
            <v>3019100</v>
          </cell>
          <cell r="D10870" t="str">
            <v>***KABAN.LASSO HOT'N'SPICY AS</v>
          </cell>
        </row>
        <row r="10871">
          <cell r="C10871">
            <v>4013284</v>
          </cell>
          <cell r="D10871" t="str">
            <v>***KABAN.LASSO HOT'N'SPICY60GMAP16STKTEX</v>
          </cell>
        </row>
        <row r="10872">
          <cell r="C10872">
            <v>3021423</v>
          </cell>
          <cell r="D10872" t="str">
            <v>***KABAN.MOR.Z SZYN.AD</v>
          </cell>
        </row>
        <row r="10873">
          <cell r="C10873">
            <v>3021421</v>
          </cell>
          <cell r="D10873" t="str">
            <v>***KABAN.MOR.Z SZYN.BS</v>
          </cell>
        </row>
        <row r="10874">
          <cell r="C10874">
            <v>3021422</v>
          </cell>
          <cell r="D10874" t="str">
            <v>***KABAN.MOR.Z SZYN.AS</v>
          </cell>
        </row>
        <row r="10875">
          <cell r="C10875">
            <v>4014002</v>
          </cell>
          <cell r="D10875" t="str">
            <v>***KABAN.MOR.Z SZYN.105GFPK 20STKT MOR</v>
          </cell>
        </row>
        <row r="10876">
          <cell r="C10876">
            <v>4014805</v>
          </cell>
          <cell r="D10876" t="str">
            <v>***KABAN.MOR.Z SZYN.105GFPK 14STKT</v>
          </cell>
        </row>
        <row r="10877">
          <cell r="C10877">
            <v>4015146</v>
          </cell>
          <cell r="D10877" t="str">
            <v>***KABAN.MOR.Z SZYN.120GFPK210STKTNETTO</v>
          </cell>
        </row>
        <row r="10878">
          <cell r="C10878">
            <v>4016164</v>
          </cell>
          <cell r="D10878" t="str">
            <v>***KABAN.MOR.Z SZYN.105GFPK 20STKT EX RO</v>
          </cell>
        </row>
        <row r="10879">
          <cell r="C10879">
            <v>4021169</v>
          </cell>
          <cell r="D10879" t="str">
            <v>***KABAN.MOR.Z SZYN.105GMAP 10STKT MOR</v>
          </cell>
        </row>
        <row r="10880">
          <cell r="C10880">
            <v>3023125</v>
          </cell>
          <cell r="D10880" t="str">
            <v>***KABAN.MINI Z SZYN.AD</v>
          </cell>
        </row>
        <row r="10881">
          <cell r="C10881">
            <v>3023123</v>
          </cell>
          <cell r="D10881" t="str">
            <v>***KABAN.MINI Z SZYN.BS</v>
          </cell>
        </row>
        <row r="10882">
          <cell r="C10882">
            <v>3023124</v>
          </cell>
          <cell r="D10882" t="str">
            <v>***KABAN.MINI Z SZYN.AS</v>
          </cell>
        </row>
        <row r="10883">
          <cell r="C10883">
            <v>4015269</v>
          </cell>
          <cell r="D10883" t="str">
            <v>***KABAN.MINI Z SZYN.60G MAP 10ST KT ŻAB</v>
          </cell>
        </row>
        <row r="10884">
          <cell r="C10884">
            <v>3030225</v>
          </cell>
          <cell r="D10884" t="str">
            <v>***KIEŁB.MORLIŃSKA Z BOCZ.AS</v>
          </cell>
        </row>
        <row r="10885">
          <cell r="C10885">
            <v>3030243</v>
          </cell>
          <cell r="D10885" t="str">
            <v>***KIEŁB.MORLIŃSKA Z BOCZ.BS I</v>
          </cell>
        </row>
        <row r="10886">
          <cell r="C10886">
            <v>4020174</v>
          </cell>
          <cell r="D10886" t="str">
            <v>***K.MORLIŃSKA Z BOCZ.540GMAP 8STKT MOR</v>
          </cell>
        </row>
        <row r="10887">
          <cell r="C10887">
            <v>4020175</v>
          </cell>
          <cell r="D10887" t="str">
            <v>***K.MORLIŃSKA Z BOCZ.OK1KGMAPOK6KGKTMOR</v>
          </cell>
        </row>
        <row r="10888">
          <cell r="C10888">
            <v>3030465</v>
          </cell>
          <cell r="D10888" t="str">
            <v>***FRANKI BIAŁE AS</v>
          </cell>
        </row>
        <row r="10889">
          <cell r="C10889">
            <v>3030464</v>
          </cell>
          <cell r="D10889" t="str">
            <v>***FRANKI BIAŁE BS</v>
          </cell>
        </row>
        <row r="10890">
          <cell r="C10890">
            <v>4020350</v>
          </cell>
          <cell r="D10890" t="str">
            <v>***FRANKI BIAŁE 240GMAP 20STKT MOR</v>
          </cell>
        </row>
        <row r="10891">
          <cell r="C10891">
            <v>4020360</v>
          </cell>
          <cell r="D10891" t="str">
            <v>***FRANKI BIAŁE 240GMAP 16STKT MOR</v>
          </cell>
        </row>
        <row r="10892">
          <cell r="C10892">
            <v>4020382</v>
          </cell>
          <cell r="D10892" t="str">
            <v>***FRANKI BIAŁE 240GMAP 9STKT MOR</v>
          </cell>
        </row>
        <row r="10893">
          <cell r="C10893">
            <v>4020663</v>
          </cell>
          <cell r="D10893" t="str">
            <v>***FRANKI BIAŁE 1KGMAP 10STKT MOR FS</v>
          </cell>
        </row>
        <row r="10894">
          <cell r="C10894">
            <v>4021052</v>
          </cell>
          <cell r="D10894" t="str">
            <v>***FRANKI BIAŁE 240GMAP 16STKT MOR EX</v>
          </cell>
        </row>
        <row r="10895">
          <cell r="C10895">
            <v>3030468</v>
          </cell>
          <cell r="D10895" t="str">
            <v>***FRANKI DROB.AS</v>
          </cell>
        </row>
        <row r="10896">
          <cell r="C10896">
            <v>3030467</v>
          </cell>
          <cell r="D10896" t="str">
            <v>***FRANKI DROB.BS</v>
          </cell>
        </row>
        <row r="10897">
          <cell r="C10897">
            <v>4020352</v>
          </cell>
          <cell r="D10897" t="str">
            <v>***FRANKI DROB.240GMAP 20STKT MOR</v>
          </cell>
        </row>
        <row r="10898">
          <cell r="C10898">
            <v>3030628</v>
          </cell>
          <cell r="D10898" t="str">
            <v>***FRANKI DROB.240G MAP BL</v>
          </cell>
        </row>
        <row r="10899">
          <cell r="C10899">
            <v>4020351</v>
          </cell>
          <cell r="D10899" t="str">
            <v>***FRANKI DROB.240GMAP 16STKT MOR</v>
          </cell>
        </row>
        <row r="10900">
          <cell r="C10900">
            <v>4020381</v>
          </cell>
          <cell r="D10900" t="str">
            <v>***FRANKI DROB.240GMAP 9STKT MOR</v>
          </cell>
        </row>
        <row r="10901">
          <cell r="C10901">
            <v>4021053</v>
          </cell>
          <cell r="D10901" t="str">
            <v>***FRANKI DROB.240GMAP 16STKT MOR EX</v>
          </cell>
        </row>
        <row r="10902">
          <cell r="C10902">
            <v>4020510</v>
          </cell>
          <cell r="D10902" t="str">
            <v>***MIX FRANKI 240GMAP 16STKT MOR</v>
          </cell>
        </row>
        <row r="10903">
          <cell r="C10903">
            <v>3021064</v>
          </cell>
          <cell r="D10903" t="str">
            <v>***KABAN.MOR.WYB.155G AD</v>
          </cell>
        </row>
        <row r="10904">
          <cell r="C10904">
            <v>3021065</v>
          </cell>
          <cell r="D10904" t="str">
            <v>***KABAN.MOR.WYB.155G BS</v>
          </cell>
        </row>
        <row r="10905">
          <cell r="C10905">
            <v>3021073</v>
          </cell>
          <cell r="D10905" t="str">
            <v>***KABAN.MOR.WYB.155G AS</v>
          </cell>
        </row>
        <row r="10906">
          <cell r="C10906">
            <v>4017371</v>
          </cell>
          <cell r="D10906" t="str">
            <v>***KABAN.MOR WYB.155G MAP 24ST KT BIED</v>
          </cell>
        </row>
        <row r="10907">
          <cell r="C10907">
            <v>3021066</v>
          </cell>
          <cell r="D10907" t="str">
            <v>***KABAN.MOR.Z PIEPRZ.155G AD</v>
          </cell>
        </row>
        <row r="10908">
          <cell r="C10908">
            <v>3021076</v>
          </cell>
          <cell r="D10908" t="str">
            <v>***KABAN.MOR.Z PIEPRZ.155G BS</v>
          </cell>
        </row>
        <row r="10909">
          <cell r="C10909">
            <v>3021074</v>
          </cell>
          <cell r="D10909" t="str">
            <v>***KABAN.MOR.Z PIEPRZ.155G AS</v>
          </cell>
        </row>
        <row r="10910">
          <cell r="C10910">
            <v>3021067</v>
          </cell>
          <cell r="D10910" t="str">
            <v>***KABAN.MOR.CHILLI 155G AD</v>
          </cell>
        </row>
        <row r="10911">
          <cell r="C10911">
            <v>3021068</v>
          </cell>
          <cell r="D10911" t="str">
            <v>***KABAN.MOR.CHILI 155G BS</v>
          </cell>
        </row>
        <row r="10912">
          <cell r="C10912">
            <v>3021075</v>
          </cell>
          <cell r="D10912" t="str">
            <v>***KABAN.MOR.CHILI 155G AS</v>
          </cell>
        </row>
        <row r="10913">
          <cell r="C10913">
            <v>4013787</v>
          </cell>
          <cell r="D10913" t="str">
            <v>***KABAN.MOR.155GMAP 32.55KG 210STKTBIED</v>
          </cell>
        </row>
        <row r="10914">
          <cell r="C10914">
            <v>3027331</v>
          </cell>
          <cell r="D10914" t="str">
            <v>MEATERS MIĘSNY</v>
          </cell>
        </row>
        <row r="10915">
          <cell r="C10915">
            <v>3027309</v>
          </cell>
          <cell r="D10915" t="str">
            <v>MEATERS MIĘSNY BS</v>
          </cell>
        </row>
        <row r="10916">
          <cell r="C10916">
            <v>3027330</v>
          </cell>
          <cell r="D10916" t="str">
            <v>MEATERS M-SNY AS</v>
          </cell>
        </row>
        <row r="10917">
          <cell r="C10917">
            <v>4018096</v>
          </cell>
          <cell r="D10917" t="str">
            <v>***MEATERS MIĘSNY 82GMAP 20STKT MOR</v>
          </cell>
        </row>
        <row r="10918">
          <cell r="C10918">
            <v>4018820</v>
          </cell>
          <cell r="D10918" t="str">
            <v>***MEATERS MIĘSNY 82GMAP 9STKT MOR</v>
          </cell>
        </row>
        <row r="10919">
          <cell r="C10919">
            <v>4018842</v>
          </cell>
          <cell r="D10919" t="str">
            <v>***MEATERS MIĘSNY 82GMAP 20STKT MOR EX</v>
          </cell>
        </row>
        <row r="10920">
          <cell r="C10920">
            <v>4021121</v>
          </cell>
          <cell r="D10920" t="str">
            <v>***MEATERS MIĘSNY 82GMAP 10STKT MOR</v>
          </cell>
        </row>
        <row r="10921">
          <cell r="C10921">
            <v>3027370</v>
          </cell>
          <cell r="D10921" t="str">
            <v>MEATERS DROB.-WP.</v>
          </cell>
        </row>
        <row r="10922">
          <cell r="C10922">
            <v>3027368</v>
          </cell>
          <cell r="D10922" t="str">
            <v>MEATERS DROB.-WP.BS</v>
          </cell>
        </row>
        <row r="10923">
          <cell r="C10923">
            <v>3027369</v>
          </cell>
          <cell r="D10923" t="str">
            <v>MEATERS DROB.-WP.AS</v>
          </cell>
        </row>
        <row r="10924">
          <cell r="C10924">
            <v>4018139</v>
          </cell>
          <cell r="D10924" t="str">
            <v>***MEATERS DROB.-WP.82GMAP 20STKT MOR</v>
          </cell>
        </row>
        <row r="10925">
          <cell r="C10925">
            <v>4018770</v>
          </cell>
          <cell r="D10925" t="str">
            <v>***MEATERS DROB.-WP.82GMAP 9STKT MOR</v>
          </cell>
        </row>
        <row r="10926">
          <cell r="C10926">
            <v>4018841</v>
          </cell>
          <cell r="D10926" t="str">
            <v>***MEATERS DROB.-WP.82GMAP 20STKT MOR EX</v>
          </cell>
        </row>
        <row r="10927">
          <cell r="C10927">
            <v>4021122</v>
          </cell>
          <cell r="D10927" t="str">
            <v>***MEATERS DROB.-WP.82GMAP 10STKT MOR</v>
          </cell>
        </row>
        <row r="10928">
          <cell r="C10928">
            <v>3027344</v>
          </cell>
          <cell r="D10928" t="str">
            <v>MEATERS CHILLI</v>
          </cell>
        </row>
        <row r="10929">
          <cell r="C10929">
            <v>3027342</v>
          </cell>
          <cell r="D10929" t="str">
            <v>MEATERS CHILLI BS</v>
          </cell>
        </row>
        <row r="10930">
          <cell r="C10930">
            <v>3027343</v>
          </cell>
          <cell r="D10930" t="str">
            <v>MEATERS CHILLI AS</v>
          </cell>
        </row>
        <row r="10931">
          <cell r="C10931">
            <v>4018133</v>
          </cell>
          <cell r="D10931" t="str">
            <v>***MEATERS CHILLI 82GMAP 20STKT MOR</v>
          </cell>
        </row>
        <row r="10932">
          <cell r="C10932">
            <v>4018771</v>
          </cell>
          <cell r="D10932" t="str">
            <v>***MEATERS CHILLI 82GMAP 9STKT MOR</v>
          </cell>
        </row>
        <row r="10933">
          <cell r="C10933">
            <v>4018840</v>
          </cell>
          <cell r="D10933" t="str">
            <v>***MEATERS CHILLI 82GMAP 20STKT MOR EX</v>
          </cell>
        </row>
        <row r="10934">
          <cell r="C10934">
            <v>4021123</v>
          </cell>
          <cell r="D10934" t="str">
            <v>***MEATERS CHILLI 82GMAP 10STKT MOR</v>
          </cell>
        </row>
        <row r="10935">
          <cell r="C10935">
            <v>4018738</v>
          </cell>
          <cell r="D10935" t="str">
            <v>***MEATERS MIX 82GMAP 20STKT MOR EX</v>
          </cell>
        </row>
        <row r="10936">
          <cell r="C10936">
            <v>4019326</v>
          </cell>
          <cell r="D10936" t="str">
            <v>***MEATERS STAND MIX 82GMAP 180STKT MOR</v>
          </cell>
        </row>
        <row r="10937">
          <cell r="C10937">
            <v>4019395</v>
          </cell>
          <cell r="D10937" t="str">
            <v>***MEATERS MIX 82GMAP 20STKT MOR</v>
          </cell>
        </row>
        <row r="10938">
          <cell r="C10938">
            <v>4019614</v>
          </cell>
          <cell r="D10938" t="str">
            <v>***MEATERS MIX 82GMAP 60STSTD MOR</v>
          </cell>
        </row>
        <row r="10939">
          <cell r="C10939">
            <v>3036947</v>
          </cell>
          <cell r="D10939" t="str">
            <v>FRANK.WĘDZ.AS</v>
          </cell>
        </row>
        <row r="10940">
          <cell r="C10940">
            <v>3036945</v>
          </cell>
          <cell r="D10940" t="str">
            <v>FRANK.WĘDZ.BS</v>
          </cell>
        </row>
        <row r="10941">
          <cell r="C10941">
            <v>4025133</v>
          </cell>
          <cell r="D10941" t="str">
            <v>FRANK.WĘDZ.420GMAP 18STKT MR BP</v>
          </cell>
        </row>
        <row r="10942">
          <cell r="C10942">
            <v>3036994</v>
          </cell>
          <cell r="D10942" t="str">
            <v>FRANK.WĘDZ.420GMAP 18STKT DMR BP</v>
          </cell>
        </row>
        <row r="10943">
          <cell r="C10943">
            <v>3037543</v>
          </cell>
          <cell r="D10943" t="str">
            <v>KIEŁB.WP.PARZ.AS</v>
          </cell>
        </row>
        <row r="10944">
          <cell r="C10944">
            <v>3037542</v>
          </cell>
          <cell r="D10944" t="str">
            <v>KIEŁB.WP.PARZ.BS</v>
          </cell>
        </row>
        <row r="10945">
          <cell r="C10945">
            <v>4025391</v>
          </cell>
          <cell r="D10945" t="str">
            <v>***KIEŁB.WP.PARZ.420GMAP 18STKT MR BP</v>
          </cell>
        </row>
        <row r="10946">
          <cell r="C10946">
            <v>3037544</v>
          </cell>
          <cell r="D10946" t="str">
            <v>KIEŁB.WP.PARZ.420GMAP 18STKT DMR BP</v>
          </cell>
        </row>
        <row r="10947">
          <cell r="C10947">
            <v>3040497</v>
          </cell>
          <cell r="D10947" t="str">
            <v>KIEŁB.ŚLĄSKA GRILL.AS</v>
          </cell>
        </row>
        <row r="10948">
          <cell r="C10948">
            <v>3040496</v>
          </cell>
          <cell r="D10948" t="str">
            <v>KIEŁB.ŚLĄSKA GRILL.BS</v>
          </cell>
        </row>
        <row r="10949">
          <cell r="C10949">
            <v>3045277</v>
          </cell>
          <cell r="D10949" t="str">
            <v>KIEŁB.BIWAKOWA WP/DROB.AS</v>
          </cell>
        </row>
        <row r="10950">
          <cell r="C10950">
            <v>3045276</v>
          </cell>
          <cell r="D10950" t="str">
            <v>KIEŁB.BIWAKOWA WP/DROB.BS</v>
          </cell>
        </row>
        <row r="10951">
          <cell r="C10951">
            <v>4030295</v>
          </cell>
          <cell r="D10951" t="str">
            <v>KIEŁB.BIWAKOWA 700GMAP 7STKT</v>
          </cell>
        </row>
        <row r="10952">
          <cell r="C10952">
            <v>3045030</v>
          </cell>
          <cell r="D10952" t="str">
            <v>KIEŁB.ŚLĄSKA WP/DROB.FES AS MOR</v>
          </cell>
        </row>
        <row r="10953">
          <cell r="C10953">
            <v>4029862</v>
          </cell>
          <cell r="D10953" t="str">
            <v>***K.ŚLĄSKA WP/DR.OK1.2KGMAPOK7.2KGKTMOR</v>
          </cell>
        </row>
        <row r="10954">
          <cell r="C10954">
            <v>4030099</v>
          </cell>
          <cell r="D10954" t="str">
            <v>KIEŁB.ŚLĄSKA 550GMAP 12STKT MOR</v>
          </cell>
        </row>
        <row r="10955">
          <cell r="C10955">
            <v>4030250</v>
          </cell>
          <cell r="D10955" t="str">
            <v>KIEŁB.ŚLĄSKA 550GMAP 7STKT MOR EX</v>
          </cell>
        </row>
        <row r="10956">
          <cell r="C10956">
            <v>4030508</v>
          </cell>
          <cell r="D10956" t="str">
            <v>KIEŁB.ŚLĄSKA OK1.3KGMAP OK7.8KGKT MOR</v>
          </cell>
        </row>
        <row r="10957">
          <cell r="C10957">
            <v>4030700</v>
          </cell>
          <cell r="D10957" t="str">
            <v>KIEŁB.ŚLĄSKA 550GMAP 12STKT MOR EX</v>
          </cell>
        </row>
        <row r="10958">
          <cell r="C10958">
            <v>4030285</v>
          </cell>
          <cell r="D10958" t="str">
            <v>KIEŁB.ŚLĄSKA OK1KGMAP OK7KGKT MOR III</v>
          </cell>
        </row>
        <row r="10959">
          <cell r="C10959">
            <v>4025973</v>
          </cell>
          <cell r="D10959" t="str">
            <v>KIEŁB.ŚLĄSKA OK1.2KGMAP 7.2KGKT MOR</v>
          </cell>
        </row>
        <row r="10960">
          <cell r="C10960">
            <v>4031403</v>
          </cell>
          <cell r="D10960" t="str">
            <v>KIEŁB.ŚLĄSKA OK1.2KGMAP OK7.2KGKT MOR DE</v>
          </cell>
        </row>
        <row r="10961">
          <cell r="C10961">
            <v>3045453</v>
          </cell>
          <cell r="D10961" t="str">
            <v>WT KIEŁB.ŚLĄSKA WP/DROB.KAW.AS FES MOR</v>
          </cell>
        </row>
        <row r="10962">
          <cell r="C10962">
            <v>3016746</v>
          </cell>
          <cell r="D10962" t="str">
            <v>***PARÓWKI ŚNIADANIOWE WP.-WŁ.</v>
          </cell>
        </row>
        <row r="10963">
          <cell r="C10963">
            <v>3016414</v>
          </cell>
          <cell r="D10963" t="str">
            <v>***PARÓWKI ŚNIADANIOWE WP.-WŁ.BS</v>
          </cell>
        </row>
        <row r="10964">
          <cell r="C10964">
            <v>4004310</v>
          </cell>
          <cell r="D10964" t="str">
            <v>***PAR.ŚNIADANIOWE OK1,5KGMAP OK12KGKT</v>
          </cell>
        </row>
        <row r="10965">
          <cell r="C10965">
            <v>3016619</v>
          </cell>
          <cell r="D10965" t="str">
            <v>***PARÓWKA HOT DOG</v>
          </cell>
        </row>
        <row r="10966">
          <cell r="C10966">
            <v>3016620</v>
          </cell>
          <cell r="D10966" t="str">
            <v>***BS PARÓWKA HOT DOG</v>
          </cell>
        </row>
        <row r="10967">
          <cell r="C10967">
            <v>4001929</v>
          </cell>
          <cell r="D10967" t="str">
            <v>***PARÓWKA HOT DOG VAC 225G MRŻ.</v>
          </cell>
        </row>
        <row r="10968">
          <cell r="C10968">
            <v>3008416</v>
          </cell>
          <cell r="D10968" t="str">
            <v>***PARÓWKA HOT DOG 225GVAC 7,875KG KTDMR</v>
          </cell>
        </row>
        <row r="10969">
          <cell r="C10969">
            <v>4006584</v>
          </cell>
          <cell r="D10969" t="str">
            <v>***PARÓWKA HOT DOG 225G VAC MR EX</v>
          </cell>
        </row>
        <row r="10970">
          <cell r="C10970">
            <v>3008746</v>
          </cell>
          <cell r="D10970" t="str">
            <v>***PAR.HOT DOG 225GVAC 7,87KG KT DMR EXP</v>
          </cell>
        </row>
        <row r="10971">
          <cell r="C10971">
            <v>4001930</v>
          </cell>
          <cell r="D10971" t="str">
            <v>***PARÓWKA HOT DOG MAP 2.25KG MRŻ.</v>
          </cell>
        </row>
        <row r="10972">
          <cell r="C10972">
            <v>3008417</v>
          </cell>
          <cell r="D10972" t="str">
            <v>***PARÓWKA HOT DOG 2,25 MAP 9KG KT DMR.</v>
          </cell>
        </row>
        <row r="10973">
          <cell r="C10973">
            <v>3017115</v>
          </cell>
          <cell r="D10973" t="str">
            <v>***PARÓWKI HOT DOG</v>
          </cell>
        </row>
        <row r="10974">
          <cell r="C10974">
            <v>3010510</v>
          </cell>
          <cell r="D10974" t="str">
            <v>PARÓWKI HOT DOG BS</v>
          </cell>
        </row>
        <row r="10975">
          <cell r="C10975">
            <v>4011307</v>
          </cell>
          <cell r="D10975" t="str">
            <v>***PARÓWKA HOTDOG700GVAC 5.6KG KT MR</v>
          </cell>
        </row>
        <row r="10976">
          <cell r="C10976">
            <v>3017106</v>
          </cell>
          <cell r="D10976" t="str">
            <v>***PARÓWKA HOT DOG 700G VAC 5.6KGKT DMR</v>
          </cell>
        </row>
        <row r="10977">
          <cell r="C10977">
            <v>3017101</v>
          </cell>
          <cell r="D10977" t="str">
            <v>***PARÓWKA XXL HOT DOG</v>
          </cell>
        </row>
        <row r="10978">
          <cell r="C10978">
            <v>3013093</v>
          </cell>
          <cell r="D10978" t="str">
            <v>PARÓWKA XXL BS</v>
          </cell>
        </row>
        <row r="10979">
          <cell r="C10979">
            <v>4011306</v>
          </cell>
          <cell r="D10979" t="str">
            <v>***PARÓWKA XXLHOTDOG900GVAC 10.8KG KT MR</v>
          </cell>
        </row>
        <row r="10980">
          <cell r="C10980">
            <v>3017108</v>
          </cell>
          <cell r="D10980" t="str">
            <v>***PAR.XXL HOT DOG900G VAC 10.8KGKT DMR</v>
          </cell>
        </row>
        <row r="10981">
          <cell r="C10981">
            <v>3017102</v>
          </cell>
          <cell r="D10981" t="str">
            <v>***PARÓWKA CHILLI HOT DOG</v>
          </cell>
        </row>
        <row r="10982">
          <cell r="C10982">
            <v>3017097</v>
          </cell>
          <cell r="D10982" t="str">
            <v>***PARÓWKA CHILLI HOT DOG BS</v>
          </cell>
        </row>
        <row r="10983">
          <cell r="C10983">
            <v>4011320</v>
          </cell>
          <cell r="D10983" t="str">
            <v>***PARÓWKA CHILI HOT DOG700GVAC5.6KGKTMR</v>
          </cell>
        </row>
        <row r="10984">
          <cell r="C10984">
            <v>3017107</v>
          </cell>
          <cell r="D10984" t="str">
            <v>***PAR.CHILLI HOT DOG700GVAC 5.6KGKTDMR</v>
          </cell>
        </row>
        <row r="10985">
          <cell r="C10985">
            <v>3018051</v>
          </cell>
          <cell r="D10985" t="str">
            <v>***MEGA PARÓWKA HOT DOG</v>
          </cell>
        </row>
        <row r="10986">
          <cell r="C10986">
            <v>3018050</v>
          </cell>
          <cell r="D10986" t="str">
            <v>***MEGA PARÓWKA HOT DOG BS</v>
          </cell>
        </row>
        <row r="10987">
          <cell r="C10987">
            <v>4012392</v>
          </cell>
          <cell r="D10987" t="str">
            <v>***MEGA PARÓWHOT DOG 770GVAC 6.16KGKT MR</v>
          </cell>
        </row>
        <row r="10988">
          <cell r="C10988">
            <v>3018044</v>
          </cell>
          <cell r="D10988" t="str">
            <v>***MEGA PAR.HODOG 770G VAC 6.16KG KT DMR</v>
          </cell>
        </row>
        <row r="10989">
          <cell r="C10989">
            <v>3008418</v>
          </cell>
          <cell r="D10989" t="str">
            <v>***PARÓWKA HOT DOG KRÓTKA</v>
          </cell>
        </row>
        <row r="10990">
          <cell r="C10990">
            <v>3008419</v>
          </cell>
          <cell r="D10990" t="str">
            <v>***BS PARÓWKA HOT DOG KRÓTKA</v>
          </cell>
        </row>
        <row r="10991">
          <cell r="C10991">
            <v>3046380</v>
          </cell>
          <cell r="D10991" t="str">
            <v>MORT.AS MOR</v>
          </cell>
        </row>
        <row r="10992">
          <cell r="C10992">
            <v>3046381</v>
          </cell>
          <cell r="D10992" t="str">
            <v>MORT.BS MOR</v>
          </cell>
        </row>
        <row r="10993">
          <cell r="C10993">
            <v>4030755</v>
          </cell>
          <cell r="D10993" t="str">
            <v>MORT.OK2.2KGLUZ OK6.5KGKT MOR</v>
          </cell>
        </row>
        <row r="10994">
          <cell r="C10994">
            <v>3016621</v>
          </cell>
          <cell r="D10994" t="str">
            <v>***MORT.AS</v>
          </cell>
        </row>
        <row r="10995">
          <cell r="C10995">
            <v>3016622</v>
          </cell>
          <cell r="D10995" t="str">
            <v>***MORT.BS</v>
          </cell>
        </row>
        <row r="10996">
          <cell r="C10996">
            <v>4004320</v>
          </cell>
          <cell r="D10996" t="str">
            <v>***MORTADELA</v>
          </cell>
        </row>
        <row r="10997">
          <cell r="C10997">
            <v>4004321</v>
          </cell>
          <cell r="D10997" t="str">
            <v>***MORTADELA ET.</v>
          </cell>
        </row>
        <row r="10998">
          <cell r="C10998">
            <v>4004322</v>
          </cell>
          <cell r="D10998" t="str">
            <v>***MORT.OK2.2KGLUZ OK6.5KGKT CON</v>
          </cell>
        </row>
        <row r="10999">
          <cell r="C10999">
            <v>4004323</v>
          </cell>
          <cell r="D10999" t="str">
            <v>***MORTADELA LUZ M</v>
          </cell>
        </row>
        <row r="11000">
          <cell r="C11000">
            <v>3027590</v>
          </cell>
          <cell r="D11000" t="str">
            <v>KIEŁB.PAR.DROB/WP.AS</v>
          </cell>
        </row>
        <row r="11001">
          <cell r="C11001">
            <v>3027596</v>
          </cell>
          <cell r="D11001" t="str">
            <v>KIEŁB.PAR.DROB/WP.BS</v>
          </cell>
        </row>
        <row r="11002">
          <cell r="C11002">
            <v>4018262</v>
          </cell>
          <cell r="D11002" t="str">
            <v>KIEŁB.PAR.OK700GMAP OK12KGKT MOR EX</v>
          </cell>
        </row>
        <row r="11003">
          <cell r="C11003">
            <v>3044627</v>
          </cell>
          <cell r="D11003" t="str">
            <v>SERD.WP/DROB.AS MOR</v>
          </cell>
        </row>
        <row r="11004">
          <cell r="C11004">
            <v>3044597</v>
          </cell>
          <cell r="D11004" t="str">
            <v>SERD.WP/DROB.BS MOR</v>
          </cell>
        </row>
        <row r="11005">
          <cell r="C11005">
            <v>4029561</v>
          </cell>
          <cell r="D11005" t="str">
            <v>SERD.WP/DROB.OK900GMAP OK7.2KGKT MOR</v>
          </cell>
        </row>
        <row r="11006">
          <cell r="C11006">
            <v>3046117</v>
          </cell>
          <cell r="D11006" t="str">
            <v>KIEŁB.PAR.WP.M.45% AS</v>
          </cell>
        </row>
        <row r="11007">
          <cell r="C11007">
            <v>3046112</v>
          </cell>
          <cell r="D11007" t="str">
            <v>KIEŁB.PAR.WP.M.45% BS</v>
          </cell>
        </row>
        <row r="11008">
          <cell r="C11008">
            <v>4030544</v>
          </cell>
          <cell r="D11008" t="str">
            <v>KIEŁB.PAR.WP.M.45% OK900GMAPOK7.2KGKTMOR</v>
          </cell>
        </row>
        <row r="11009">
          <cell r="C11009">
            <v>3045358</v>
          </cell>
          <cell r="D11009" t="str">
            <v>KIEŁB.ŚLĄSKA WP/DROB.AS MOR</v>
          </cell>
        </row>
        <row r="11010">
          <cell r="C11010">
            <v>3045357</v>
          </cell>
          <cell r="D11010" t="str">
            <v>KIEŁB.ŚLĄSKA WP/DROB.BS MOR</v>
          </cell>
        </row>
        <row r="11011">
          <cell r="C11011">
            <v>4030100</v>
          </cell>
          <cell r="D11011" t="str">
            <v>KIEŁB.ŚLĄSKA 735GMAP 10STKT MOR</v>
          </cell>
        </row>
        <row r="11012">
          <cell r="C11012">
            <v>4030251</v>
          </cell>
          <cell r="D11012" t="str">
            <v>KIEŁB.ŚLĄSKA 735GMAP 10STKT MOR LT/LV/EE</v>
          </cell>
        </row>
        <row r="11013">
          <cell r="C11013">
            <v>4030224</v>
          </cell>
          <cell r="D11013" t="str">
            <v>KIEŁB.ŚLĄSKA 735GMAP 10STKT MOR GB/DE</v>
          </cell>
        </row>
        <row r="11014">
          <cell r="C11014">
            <v>3016623</v>
          </cell>
          <cell r="D11014" t="str">
            <v>***SALCESON WŁOSKI AS</v>
          </cell>
        </row>
        <row r="11015">
          <cell r="C11015">
            <v>3016624</v>
          </cell>
          <cell r="D11015" t="str">
            <v>***SALCESON WŁOSKI BS</v>
          </cell>
        </row>
        <row r="11016">
          <cell r="C11016">
            <v>4004328</v>
          </cell>
          <cell r="D11016" t="str">
            <v>***SALCESON WŁOSKI KL.1</v>
          </cell>
        </row>
        <row r="11017">
          <cell r="C11017">
            <v>4006775</v>
          </cell>
          <cell r="D11017" t="str">
            <v>***SALCESON WŁOSKI LUZ ET</v>
          </cell>
        </row>
        <row r="11018">
          <cell r="C11018">
            <v>4001937</v>
          </cell>
          <cell r="D11018" t="str">
            <v>***SALCESON WŁOSKI LUZ CA 2KG</v>
          </cell>
        </row>
        <row r="11019">
          <cell r="C11019">
            <v>4004329</v>
          </cell>
          <cell r="D11019" t="str">
            <v>***SALCESON WŁOSKI LUZ M.</v>
          </cell>
        </row>
        <row r="11020">
          <cell r="C11020">
            <v>3016760</v>
          </cell>
          <cell r="D11020" t="str">
            <v>***OZORY W GALARECIE</v>
          </cell>
        </row>
        <row r="11021">
          <cell r="C11021">
            <v>3016762</v>
          </cell>
          <cell r="D11021" t="str">
            <v>***OZORY W GALARECIE BS</v>
          </cell>
        </row>
        <row r="11022">
          <cell r="C11022">
            <v>4009302</v>
          </cell>
          <cell r="D11022" t="str">
            <v>***OZORY W GALARECIE LUZ OK 15KGKT ROS</v>
          </cell>
        </row>
        <row r="11023">
          <cell r="C11023">
            <v>3016757</v>
          </cell>
          <cell r="D11023" t="str">
            <v>***M-SO W GALARECIE</v>
          </cell>
        </row>
        <row r="11024">
          <cell r="C11024">
            <v>3016758</v>
          </cell>
          <cell r="D11024" t="str">
            <v>***M-SO W GALARECIE BS</v>
          </cell>
        </row>
        <row r="11025">
          <cell r="C11025">
            <v>4009301</v>
          </cell>
          <cell r="D11025" t="str">
            <v>***M-SO W GALARECIE LUZ OK.15KG KT ROS</v>
          </cell>
        </row>
        <row r="11026">
          <cell r="C11026">
            <v>4009581</v>
          </cell>
          <cell r="D11026" t="str">
            <v>***WIEPRZOW.W GALAR.LUZ OK15KGKT VM ROS</v>
          </cell>
        </row>
        <row r="11027">
          <cell r="C11027">
            <v>4009858</v>
          </cell>
          <cell r="D11027" t="str">
            <v>***M-SO W GALARECIE LUZ OK15KG KT HURT</v>
          </cell>
        </row>
        <row r="11028">
          <cell r="C11028">
            <v>3016787</v>
          </cell>
          <cell r="D11028" t="str">
            <v>***OZORY W GALARECIE MORLINY</v>
          </cell>
        </row>
        <row r="11029">
          <cell r="C11029">
            <v>3016788</v>
          </cell>
          <cell r="D11029" t="str">
            <v>***OZORY W GALARECIE MORLINY BS</v>
          </cell>
        </row>
        <row r="11030">
          <cell r="C11030">
            <v>4009594</v>
          </cell>
          <cell r="D11030" t="str">
            <v>***OZORY W GALARECIE MORLINY LUZOK15KGKT</v>
          </cell>
        </row>
        <row r="11031">
          <cell r="C11031">
            <v>3024526</v>
          </cell>
          <cell r="D11031" t="str">
            <v>***KIEŁB.SŁOIKOWA</v>
          </cell>
        </row>
        <row r="11032">
          <cell r="C11032">
            <v>3024532</v>
          </cell>
          <cell r="D11032" t="str">
            <v>***KIEŁB.SŁOIKOWA BS</v>
          </cell>
        </row>
        <row r="11033">
          <cell r="C11033">
            <v>4016237</v>
          </cell>
          <cell r="D11033" t="str">
            <v>***KIEŁB.SŁOIKOWA OK400G 21ST KT CON</v>
          </cell>
        </row>
        <row r="11034">
          <cell r="C11034">
            <v>3024523</v>
          </cell>
          <cell r="D11034" t="str">
            <v>***TUSZONKA</v>
          </cell>
        </row>
        <row r="11035">
          <cell r="C11035">
            <v>3024524</v>
          </cell>
          <cell r="D11035" t="str">
            <v>***TUSZONKA BS</v>
          </cell>
        </row>
        <row r="11036">
          <cell r="C11036">
            <v>4016238</v>
          </cell>
          <cell r="D11036" t="str">
            <v>***TUSZONKA OK600G 12ST KT CON</v>
          </cell>
        </row>
        <row r="11037">
          <cell r="C11037">
            <v>3016625</v>
          </cell>
          <cell r="D11037" t="str">
            <v>SALCESON CZARNY AS</v>
          </cell>
        </row>
        <row r="11038">
          <cell r="C11038">
            <v>3016626</v>
          </cell>
          <cell r="D11038" t="str">
            <v>SALCESON CZARNY BS</v>
          </cell>
        </row>
        <row r="11039">
          <cell r="C11039">
            <v>4001091</v>
          </cell>
          <cell r="D11039" t="str">
            <v>SALCESON CZARNY OK14.5KG LUZ KT</v>
          </cell>
        </row>
        <row r="11040">
          <cell r="C11040">
            <v>4012728</v>
          </cell>
          <cell r="D11040" t="str">
            <v>***SALCESON CZARNY LUZ OK8KGKT CON</v>
          </cell>
        </row>
        <row r="11041">
          <cell r="C11041">
            <v>4005999</v>
          </cell>
          <cell r="D11041" t="str">
            <v>***SALCESON CZARNY LUZ OK6KGKT</v>
          </cell>
        </row>
        <row r="11042">
          <cell r="C11042">
            <v>4004330</v>
          </cell>
          <cell r="D11042" t="str">
            <v>***SALCESON CZARNY LUZ OK8KGKT</v>
          </cell>
        </row>
        <row r="11043">
          <cell r="C11043">
            <v>3012253</v>
          </cell>
          <cell r="D11043" t="str">
            <v>***SALCESON CZARNY MORLINY</v>
          </cell>
        </row>
        <row r="11044">
          <cell r="C11044">
            <v>3012252</v>
          </cell>
          <cell r="D11044" t="str">
            <v>***SALCESON CZARNY MORLINY BS</v>
          </cell>
        </row>
        <row r="11045">
          <cell r="C11045">
            <v>4009850</v>
          </cell>
          <cell r="D11045" t="str">
            <v>***SALCESON CZARNY MORLINY OK6 KG KT CAR</v>
          </cell>
        </row>
        <row r="11046">
          <cell r="C11046">
            <v>3016627</v>
          </cell>
          <cell r="D11046" t="str">
            <v>***SALCESON AS</v>
          </cell>
        </row>
        <row r="11047">
          <cell r="C11047">
            <v>3016628</v>
          </cell>
          <cell r="D11047" t="str">
            <v>***SALCESON BS</v>
          </cell>
        </row>
        <row r="11048">
          <cell r="C11048">
            <v>4005426</v>
          </cell>
          <cell r="D11048" t="str">
            <v>***SALCESON 360G 4.32KG KT MOR TESC</v>
          </cell>
        </row>
        <row r="11049">
          <cell r="C11049">
            <v>4005922</v>
          </cell>
          <cell r="D11049" t="str">
            <v>***SALCESON 360G 3.24KG KT MOR</v>
          </cell>
        </row>
        <row r="11050">
          <cell r="C11050">
            <v>4006299</v>
          </cell>
          <cell r="D11050" t="str">
            <v>***SALCESON 360G 12ST KT EX L</v>
          </cell>
        </row>
        <row r="11051">
          <cell r="C11051">
            <v>4006724</v>
          </cell>
          <cell r="D11051" t="str">
            <v>***SALCESON 360G LUZ 9ST KT EX</v>
          </cell>
        </row>
        <row r="11052">
          <cell r="C11052">
            <v>4006738</v>
          </cell>
          <cell r="D11052" t="str">
            <v>***SALCESON 360G 9ST KT M</v>
          </cell>
        </row>
        <row r="11053">
          <cell r="C11053">
            <v>4007062</v>
          </cell>
          <cell r="D11053" t="str">
            <v>***SALCESON 360G 9ST KT EX A</v>
          </cell>
        </row>
        <row r="11054">
          <cell r="C11054">
            <v>4008133</v>
          </cell>
          <cell r="D11054" t="str">
            <v>***SALCESON 360G 12ST KT RKW EX</v>
          </cell>
        </row>
        <row r="11055">
          <cell r="C11055">
            <v>4008495</v>
          </cell>
          <cell r="D11055" t="str">
            <v>***SALCESON DOMOWY 360G LUZ KT BIED</v>
          </cell>
        </row>
        <row r="11056">
          <cell r="C11056">
            <v>4010579</v>
          </cell>
          <cell r="D11056" t="str">
            <v>***SALCESON OK 360G OK 3,2KG KT MOR</v>
          </cell>
        </row>
        <row r="11057">
          <cell r="C11057">
            <v>3016629</v>
          </cell>
          <cell r="D11057" t="str">
            <v>***SALCESON WŁOSKI AS MOR</v>
          </cell>
        </row>
        <row r="11058">
          <cell r="C11058">
            <v>3016630</v>
          </cell>
          <cell r="D11058" t="str">
            <v>***SALCESON WŁOSKI BS MOR</v>
          </cell>
        </row>
        <row r="11059">
          <cell r="C11059">
            <v>4007116</v>
          </cell>
          <cell r="D11059" t="str">
            <v>***SALCESON WŁOSKI LUZ MOR</v>
          </cell>
        </row>
        <row r="11060">
          <cell r="C11060">
            <v>4007793</v>
          </cell>
          <cell r="D11060" t="str">
            <v>***SALCESON WŁOSKI OK2.2KG OK7KG KT MOR</v>
          </cell>
        </row>
        <row r="11061">
          <cell r="C11061">
            <v>4007809</v>
          </cell>
          <cell r="D11061" t="str">
            <v>***SALCESON WŁOSKI LUZ MORLINY EX E</v>
          </cell>
        </row>
        <row r="11062">
          <cell r="C11062">
            <v>4008135</v>
          </cell>
          <cell r="D11062" t="str">
            <v>***SALCESON WŁOSKI MORLINY KT.EX.GRANT</v>
          </cell>
        </row>
        <row r="11063">
          <cell r="C11063">
            <v>4009018</v>
          </cell>
          <cell r="D11063" t="str">
            <v>***SALCESON WŁOSKI MOR.LUZ OK16KGKT ŁOT</v>
          </cell>
        </row>
        <row r="11064">
          <cell r="C11064">
            <v>4015323</v>
          </cell>
          <cell r="D11064" t="str">
            <v>***SALCESON WŁOSKI LUZ OK15KG KT MOR EX</v>
          </cell>
        </row>
        <row r="11065">
          <cell r="C11065">
            <v>3016691</v>
          </cell>
          <cell r="D11065" t="str">
            <v>***SALCESON WOJSKOWY</v>
          </cell>
        </row>
        <row r="11066">
          <cell r="C11066">
            <v>3016692</v>
          </cell>
          <cell r="D11066" t="str">
            <v>***BS SALCESON WOJSKOWY</v>
          </cell>
        </row>
        <row r="11067">
          <cell r="C11067">
            <v>4007928</v>
          </cell>
          <cell r="D11067" t="str">
            <v>***SALCESON WOJSKOWY LUZ SWOJ</v>
          </cell>
        </row>
        <row r="11068">
          <cell r="C11068">
            <v>3016631</v>
          </cell>
          <cell r="D11068" t="str">
            <v>***PASZTETOWA KREMOWA</v>
          </cell>
        </row>
        <row r="11069">
          <cell r="C11069">
            <v>3016632</v>
          </cell>
          <cell r="D11069" t="str">
            <v>***BS PASZTETOWA KREMOWA</v>
          </cell>
        </row>
        <row r="11070">
          <cell r="C11070">
            <v>4001938</v>
          </cell>
          <cell r="D11070" t="str">
            <v>***PASZTETOWA KREMOWA LUZ</v>
          </cell>
        </row>
        <row r="11071">
          <cell r="C11071">
            <v>4001939</v>
          </cell>
          <cell r="D11071" t="str">
            <v>***PASZTETOWA KREMOWA LUZ OK. 1.2KG</v>
          </cell>
        </row>
        <row r="11072">
          <cell r="C11072">
            <v>4006781</v>
          </cell>
          <cell r="D11072" t="str">
            <v>***PASZTETOWA KREMOWA LUZ E.L.</v>
          </cell>
        </row>
        <row r="11073">
          <cell r="C11073">
            <v>3016633</v>
          </cell>
          <cell r="D11073" t="str">
            <v>***PASZTETOWA KANAPKOWA MAŁA AS</v>
          </cell>
        </row>
        <row r="11074">
          <cell r="C11074">
            <v>3016634</v>
          </cell>
          <cell r="D11074" t="str">
            <v>***PASZTETOWA KANAPKOWA MAŁA BS</v>
          </cell>
        </row>
        <row r="11075">
          <cell r="C11075">
            <v>4001092</v>
          </cell>
          <cell r="D11075" t="str">
            <v>***PASZTETOWA KANAPKOWA MAŁA ST 300G</v>
          </cell>
        </row>
        <row r="11076">
          <cell r="C11076">
            <v>4001941</v>
          </cell>
          <cell r="D11076" t="str">
            <v>***PASZTETOWA KANAPK. MAŁA 300G EXP</v>
          </cell>
        </row>
        <row r="11077">
          <cell r="C11077">
            <v>4001942</v>
          </cell>
          <cell r="D11077" t="str">
            <v>***PASZTET.KANAPKOWA 300G 2.1KG KT SŁO.</v>
          </cell>
        </row>
        <row r="11078">
          <cell r="C11078">
            <v>4001943</v>
          </cell>
          <cell r="D11078" t="str">
            <v>***PASZTET.KANAPK.MAŁA300G EXP.LUZ</v>
          </cell>
        </row>
        <row r="11079">
          <cell r="C11079">
            <v>4006128</v>
          </cell>
          <cell r="D11079" t="str">
            <v>***PASZTETOWA KANAPKOWA MAŁA 300G EX P</v>
          </cell>
        </row>
        <row r="11080">
          <cell r="C11080">
            <v>4006806</v>
          </cell>
          <cell r="D11080" t="str">
            <v>***PASZTETOWA KANAPKOWA MAŁA 300G EXP.L</v>
          </cell>
        </row>
        <row r="11081">
          <cell r="C11081">
            <v>4007816</v>
          </cell>
          <cell r="D11081" t="str">
            <v>***PASZTETOWA KANAP.MAŁA 300G 14STKTEX T</v>
          </cell>
        </row>
        <row r="11082">
          <cell r="C11082">
            <v>4008841</v>
          </cell>
          <cell r="D11082" t="str">
            <v>***PASZTETOWA KANAPK.MAŁA300G 2.1KGKTEST</v>
          </cell>
        </row>
        <row r="11083">
          <cell r="C11083">
            <v>4009124</v>
          </cell>
          <cell r="D11083" t="str">
            <v>***PASZT.KAN.300GLUZ 7ST KT MOR RO EX</v>
          </cell>
        </row>
        <row r="11084">
          <cell r="C11084">
            <v>4009908</v>
          </cell>
          <cell r="D11084" t="str">
            <v>PASZTETOWA KANAP.MAŁA 300G 2.1KGKT LT</v>
          </cell>
        </row>
        <row r="11085">
          <cell r="C11085">
            <v>3016635</v>
          </cell>
          <cell r="D11085" t="str">
            <v>***PASZTETOWA KREMOWA MORL</v>
          </cell>
        </row>
        <row r="11086">
          <cell r="C11086">
            <v>3016636</v>
          </cell>
          <cell r="D11086" t="str">
            <v>***BS PASZTETOWA KREMOWA MORL</v>
          </cell>
        </row>
        <row r="11087">
          <cell r="C11087">
            <v>4006048</v>
          </cell>
          <cell r="D11087" t="str">
            <v>***PASZTETOWA KREMOWA M LUZ EX</v>
          </cell>
        </row>
        <row r="11088">
          <cell r="C11088">
            <v>4006445</v>
          </cell>
          <cell r="D11088" t="str">
            <v>***PASZTETOWA KREMOWA M LUZ EXP. S</v>
          </cell>
        </row>
        <row r="11089">
          <cell r="C11089">
            <v>4006551</v>
          </cell>
          <cell r="D11089" t="str">
            <v>***PASZTETOWA KREMOWA M EXP. G</v>
          </cell>
        </row>
        <row r="11090">
          <cell r="C11090">
            <v>4007347</v>
          </cell>
          <cell r="D11090" t="str">
            <v>***PASZTETOWA KREMOWA M LUZ OK.10KG KT</v>
          </cell>
        </row>
        <row r="11091">
          <cell r="C11091">
            <v>4009643</v>
          </cell>
          <cell r="D11091" t="str">
            <v>***PASZT.KREMOWA LUZ OK.10KG KT SŁO.</v>
          </cell>
        </row>
        <row r="11092">
          <cell r="C11092">
            <v>4010672</v>
          </cell>
          <cell r="D11092" t="str">
            <v>***PASZTET.KREMOWA 800GLUZ 12KGKT EX</v>
          </cell>
        </row>
        <row r="11093">
          <cell r="C11093">
            <v>3016753</v>
          </cell>
          <cell r="D11093" t="str">
            <v>***PASZTETOWA O SMAKU KURKOWYM</v>
          </cell>
        </row>
        <row r="11094">
          <cell r="C11094">
            <v>3016756</v>
          </cell>
          <cell r="D11094" t="str">
            <v>***BS PASZTETOWA O SMAKU KURKOWYM</v>
          </cell>
        </row>
        <row r="11095">
          <cell r="C11095">
            <v>4009255</v>
          </cell>
          <cell r="D11095" t="str">
            <v>***PASZTETOWA 140G 2.1KG KT MOR</v>
          </cell>
        </row>
        <row r="11096">
          <cell r="C11096">
            <v>4009642</v>
          </cell>
          <cell r="D11096" t="str">
            <v>***PASZTETOWA 140G 2.1KG KT SŁOW.</v>
          </cell>
        </row>
        <row r="11097">
          <cell r="C11097">
            <v>3016637</v>
          </cell>
          <cell r="D11097" t="str">
            <v>***KASZANKA JĘCZMIENNA AS</v>
          </cell>
        </row>
        <row r="11098">
          <cell r="C11098">
            <v>3016638</v>
          </cell>
          <cell r="D11098" t="str">
            <v>***KASZANKA JECZMIENNA BS</v>
          </cell>
        </row>
        <row r="11099">
          <cell r="C11099">
            <v>4001093</v>
          </cell>
          <cell r="D11099" t="str">
            <v>***KASZANKA TEŚCIOWEJ VAC 300G</v>
          </cell>
        </row>
        <row r="11100">
          <cell r="C11100">
            <v>4004336</v>
          </cell>
          <cell r="D11100" t="str">
            <v>***KASZANKA OK 0.6KG MAP 4.8KG KT JMD</v>
          </cell>
        </row>
        <row r="11101">
          <cell r="C11101">
            <v>4004337</v>
          </cell>
          <cell r="D11101" t="str">
            <v>***KASZANKA 600G MAP 4.8KG KT JMP</v>
          </cell>
        </row>
        <row r="11102">
          <cell r="C11102">
            <v>4010840</v>
          </cell>
          <cell r="D11102" t="str">
            <v>***KASZANKA 600G MAP Z KECZUPEM 5ST KT T</v>
          </cell>
        </row>
        <row r="11103">
          <cell r="C11103">
            <v>4001094</v>
          </cell>
          <cell r="D11103" t="str">
            <v>***KASZANKA TEŚCIOWEJ 600GMAP 6KGKT MOR</v>
          </cell>
        </row>
        <row r="11104">
          <cell r="C11104">
            <v>4004338</v>
          </cell>
          <cell r="D11104" t="str">
            <v>***KASZANKA TEŚCIOWEJ MAP C OK800G</v>
          </cell>
        </row>
        <row r="11105">
          <cell r="C11105">
            <v>4001095</v>
          </cell>
          <cell r="D11105" t="str">
            <v>***KASZANKA 600GMAP 4.8KGKT GRILL T</v>
          </cell>
        </row>
        <row r="11106">
          <cell r="C11106">
            <v>4004340</v>
          </cell>
          <cell r="D11106" t="str">
            <v>***KASZANKA TEŚCIOWEJ 600GMAP 4.8KGKT</v>
          </cell>
        </row>
        <row r="11107">
          <cell r="C11107">
            <v>4006753</v>
          </cell>
          <cell r="D11107" t="str">
            <v>***KASZANKA TEŚCIOWEJ OK12KGMAP P</v>
          </cell>
        </row>
        <row r="11108">
          <cell r="C11108">
            <v>4004341</v>
          </cell>
          <cell r="D11108" t="str">
            <v>***KASZANKA TEŚCIOWEJ VAC 300G R</v>
          </cell>
        </row>
        <row r="11109">
          <cell r="C11109">
            <v>4007421</v>
          </cell>
          <cell r="D11109" t="str">
            <v>KASZANKA TEŚCIOWEJ OK.1.5KG MAP M</v>
          </cell>
        </row>
        <row r="11110">
          <cell r="C11110">
            <v>4008581</v>
          </cell>
          <cell r="D11110" t="str">
            <v>***KASZANKA 600G MAP 7.2KG KT GRILL BIED</v>
          </cell>
        </row>
        <row r="11111">
          <cell r="C11111">
            <v>4012280</v>
          </cell>
          <cell r="D11111" t="str">
            <v>***KASZANKA 480GMAP 3.84KGKT T</v>
          </cell>
        </row>
        <row r="11112">
          <cell r="C11112">
            <v>4012580</v>
          </cell>
          <cell r="D11112" t="str">
            <v>***KASZANKA TEŚCIOWEJ 600GMAP 4.8KGKT EX</v>
          </cell>
        </row>
        <row r="11113">
          <cell r="C11113">
            <v>4012751</v>
          </cell>
          <cell r="D11113" t="str">
            <v>***KASZANKA OK600GMAP OK6KGKT</v>
          </cell>
        </row>
        <row r="11114">
          <cell r="C11114">
            <v>3024252</v>
          </cell>
          <cell r="D11114" t="str">
            <v>***KASZANKA JĘCZMIENNA AS BIED</v>
          </cell>
        </row>
        <row r="11115">
          <cell r="C11115">
            <v>3024251</v>
          </cell>
          <cell r="D11115" t="str">
            <v>***KASZANKA JĘCZMIENNA BS BIED</v>
          </cell>
        </row>
        <row r="11116">
          <cell r="C11116">
            <v>4016090</v>
          </cell>
          <cell r="D11116" t="str">
            <v>***KASZANKA 600G MAP 4.8KG KT BIED</v>
          </cell>
        </row>
        <row r="11117">
          <cell r="C11117">
            <v>4016314</v>
          </cell>
          <cell r="D11117" t="str">
            <v>***KASZANKA 600GMAP 7.2KGKT GRILL BIED</v>
          </cell>
        </row>
        <row r="11118">
          <cell r="C11118">
            <v>4017677</v>
          </cell>
          <cell r="D11118" t="str">
            <v>***KASZANKA 600GMAP 10STKT BIED</v>
          </cell>
        </row>
        <row r="11119">
          <cell r="C11119">
            <v>3016639</v>
          </cell>
          <cell r="D11119" t="str">
            <v>***SZYN.KONSERWOWA BLOK YANO</v>
          </cell>
        </row>
        <row r="11120">
          <cell r="C11120">
            <v>3016640</v>
          </cell>
          <cell r="D11120" t="str">
            <v>***BS SZYNKA KONSERWOWA BLOK YANO</v>
          </cell>
        </row>
        <row r="11121">
          <cell r="C11121">
            <v>4001096</v>
          </cell>
          <cell r="D11121" t="str">
            <v>***SZYNKA KONSERWOWA BLOK LUZ</v>
          </cell>
        </row>
        <row r="11122">
          <cell r="C11122">
            <v>4004342</v>
          </cell>
          <cell r="D11122" t="str">
            <v>***SZYNKA KONSERWOWA BLOK LUZ ET</v>
          </cell>
        </row>
        <row r="11123">
          <cell r="C11123">
            <v>4008344</v>
          </cell>
          <cell r="D11123" t="str">
            <v>***SZYN.KONS.BLOK LUZ KT MK.KOD</v>
          </cell>
        </row>
        <row r="11124">
          <cell r="C11124">
            <v>4004343</v>
          </cell>
          <cell r="D11124" t="str">
            <v>***SZYN.KONSERWOWA BLOK LUZ 3ST KT YANO</v>
          </cell>
        </row>
        <row r="11125">
          <cell r="C11125">
            <v>4004344</v>
          </cell>
          <cell r="D11125" t="str">
            <v>***SZYNKA KONSERWOWA BLOK LUZ M</v>
          </cell>
        </row>
        <row r="11126">
          <cell r="C11126">
            <v>3018562</v>
          </cell>
          <cell r="D11126" t="str">
            <v>***SZYN.KONSER.CZ/SŁ</v>
          </cell>
        </row>
        <row r="11127">
          <cell r="C11127">
            <v>3018561</v>
          </cell>
          <cell r="D11127" t="str">
            <v>***SZYN.KONSER.BS CZ/SŁ</v>
          </cell>
        </row>
        <row r="11128">
          <cell r="C11128">
            <v>4012876</v>
          </cell>
          <cell r="D11128" t="str">
            <v>***SZYN.KONSER.LUZ OK15KG KT EX CZ/SŁ</v>
          </cell>
        </row>
        <row r="11129">
          <cell r="C11129">
            <v>4004345</v>
          </cell>
          <cell r="D11129" t="str">
            <v>***SZYN.ŚNIADANIOWA W</v>
          </cell>
        </row>
        <row r="11130">
          <cell r="C11130">
            <v>4008542</v>
          </cell>
          <cell r="D11130" t="str">
            <v>***SZYN.ŚNIADANIOWA LUZ W</v>
          </cell>
        </row>
        <row r="11131">
          <cell r="C11131">
            <v>3016641</v>
          </cell>
          <cell r="D11131" t="str">
            <v>SZYNKA BLOK</v>
          </cell>
        </row>
        <row r="11132">
          <cell r="C11132">
            <v>3016642</v>
          </cell>
          <cell r="D11132" t="str">
            <v>BS SZYNKA BLOK</v>
          </cell>
        </row>
        <row r="11133">
          <cell r="C11133">
            <v>4001097</v>
          </cell>
          <cell r="D11133" t="str">
            <v>***SZYN.KONSERWOWA BLOK LUZ OK.9KG KT</v>
          </cell>
        </row>
        <row r="11134">
          <cell r="C11134">
            <v>4006251</v>
          </cell>
          <cell r="D11134" t="str">
            <v>***SZYN.KONS.BLOK LUZ OK.15KG KT ROS M</v>
          </cell>
        </row>
        <row r="11135">
          <cell r="C11135">
            <v>4004348</v>
          </cell>
          <cell r="D11135" t="str">
            <v>***SZYN.BLOK OK3KG LUZ OK9KG KT MOR</v>
          </cell>
        </row>
        <row r="11136">
          <cell r="C11136">
            <v>4004349</v>
          </cell>
          <cell r="D11136" t="str">
            <v>***SZYNKA BLOK LUZ MORLINY M</v>
          </cell>
        </row>
        <row r="11137">
          <cell r="C11137">
            <v>4001098</v>
          </cell>
          <cell r="D11137" t="str">
            <v>***SZYNKA BLOK LUZ MK A</v>
          </cell>
        </row>
        <row r="11138">
          <cell r="C11138">
            <v>4004350</v>
          </cell>
          <cell r="D11138" t="str">
            <v>***SZYNKA FOOD GARDEN LUZ</v>
          </cell>
        </row>
        <row r="11139">
          <cell r="C11139">
            <v>4005487</v>
          </cell>
          <cell r="D11139" t="str">
            <v>***SZYNKA BLOK LUZ EXPORT LUZ L</v>
          </cell>
        </row>
        <row r="11140">
          <cell r="C11140">
            <v>4008098</v>
          </cell>
          <cell r="D11140" t="str">
            <v>***SZYNKA BLOK KT EX KRL</v>
          </cell>
        </row>
        <row r="11141">
          <cell r="C11141">
            <v>4008361</v>
          </cell>
          <cell r="D11141" t="str">
            <v>***SZYNKA BLOK OK.15KG KT ROSJA</v>
          </cell>
        </row>
        <row r="11142">
          <cell r="C11142">
            <v>4008966</v>
          </cell>
          <cell r="D11142" t="str">
            <v>***SZYN.KONS.BLOK LUZ OK 9KG KT EC</v>
          </cell>
        </row>
        <row r="11143">
          <cell r="C11143">
            <v>3016747</v>
          </cell>
          <cell r="D11143" t="str">
            <v>***SZYNKA GOTOWANA</v>
          </cell>
        </row>
        <row r="11144">
          <cell r="C11144">
            <v>3013432</v>
          </cell>
          <cell r="D11144" t="str">
            <v>SZYNKA GOTOWANA BS</v>
          </cell>
        </row>
        <row r="11145">
          <cell r="C11145">
            <v>4009109</v>
          </cell>
          <cell r="D11145" t="str">
            <v>SZYN.GOTOWANA LUZ OK 15KG KT</v>
          </cell>
        </row>
        <row r="11146">
          <cell r="C11146">
            <v>3016643</v>
          </cell>
          <cell r="D11146" t="str">
            <v>***SZYNKA KONSERW.WP</v>
          </cell>
        </row>
        <row r="11147">
          <cell r="C11147">
            <v>3016698</v>
          </cell>
          <cell r="D11147" t="str">
            <v>***BS SZYNKA KONSERW. WP</v>
          </cell>
        </row>
        <row r="11148">
          <cell r="C11148">
            <v>4004353</v>
          </cell>
          <cell r="D11148" t="str">
            <v>***SZYN.KONS.OK3KG OK9KG KT MOR TESC</v>
          </cell>
        </row>
        <row r="11149">
          <cell r="C11149">
            <v>3016644</v>
          </cell>
          <cell r="D11149" t="str">
            <v>***SZYNKA KONSERW.WP 500G</v>
          </cell>
        </row>
        <row r="11150">
          <cell r="C11150">
            <v>3016645</v>
          </cell>
          <cell r="D11150" t="str">
            <v>***BS SZYNKA KONSERW.WP 500G</v>
          </cell>
        </row>
        <row r="11151">
          <cell r="C11151">
            <v>4004354</v>
          </cell>
          <cell r="D11151" t="str">
            <v>***SZYN.KONS.500G LUZ 5KG KT MOR</v>
          </cell>
        </row>
        <row r="11152">
          <cell r="C11152">
            <v>4001099</v>
          </cell>
          <cell r="D11152" t="str">
            <v>***SZYNKA KONSER.WIEPRZ.500G 1SZT</v>
          </cell>
        </row>
        <row r="11153">
          <cell r="C11153">
            <v>4004355</v>
          </cell>
          <cell r="D11153" t="str">
            <v>***SZYN. KONSERW.WP. 500G 6ST KT UK</v>
          </cell>
        </row>
        <row r="11154">
          <cell r="C11154">
            <v>4014326</v>
          </cell>
          <cell r="D11154" t="str">
            <v>***SZYN.KONS.WP.500G LUZ 5KG KT MOR EX</v>
          </cell>
        </row>
        <row r="11155">
          <cell r="C11155">
            <v>4014335</v>
          </cell>
          <cell r="D11155" t="str">
            <v>***SZYN.KONS.WP.500G 4ST KT MOR EX UK</v>
          </cell>
        </row>
        <row r="11156">
          <cell r="C11156">
            <v>3016646</v>
          </cell>
          <cell r="D11156" t="str">
            <v>VEPROVA SUNKA STANDARD</v>
          </cell>
        </row>
        <row r="11157">
          <cell r="C11157">
            <v>3016647</v>
          </cell>
          <cell r="D11157" t="str">
            <v>BS VEPROVA SUNKA STANDARD</v>
          </cell>
        </row>
        <row r="11158">
          <cell r="C11158">
            <v>4001950</v>
          </cell>
          <cell r="D11158" t="str">
            <v>***VEPROVA SUNKA STAND.LUZ EXP K</v>
          </cell>
        </row>
        <row r="11159">
          <cell r="C11159">
            <v>4001954</v>
          </cell>
          <cell r="D11159" t="str">
            <v>***VEPROVA SUNKA STAND. EXP.IMPAR</v>
          </cell>
        </row>
        <row r="11160">
          <cell r="C11160">
            <v>4004356</v>
          </cell>
          <cell r="D11160" t="str">
            <v>***VEPROVA SUNKA STANDARD EXP. N</v>
          </cell>
        </row>
        <row r="11161">
          <cell r="C11161">
            <v>4006158</v>
          </cell>
          <cell r="D11161" t="str">
            <v>***SZYNKA KONSERWOWA BLOK LUZ KT EX P</v>
          </cell>
        </row>
        <row r="11162">
          <cell r="C11162">
            <v>4006845</v>
          </cell>
          <cell r="D11162" t="str">
            <v>***VEPROVA SUNKA STANDARD EXP.D</v>
          </cell>
        </row>
        <row r="11163">
          <cell r="C11163">
            <v>4007416</v>
          </cell>
          <cell r="D11163" t="str">
            <v>***SZYNKA KONSERWOWA BLOK LUZ EXP M</v>
          </cell>
        </row>
        <row r="11164">
          <cell r="C11164">
            <v>3016648</v>
          </cell>
          <cell r="D11164" t="str">
            <v>***SZYNKA KONSERWOWA BLOK P</v>
          </cell>
        </row>
        <row r="11165">
          <cell r="C11165">
            <v>3016649</v>
          </cell>
          <cell r="D11165" t="str">
            <v>***BS SZYNKA KONSERWOWA BLOK P</v>
          </cell>
        </row>
        <row r="11166">
          <cell r="C11166">
            <v>4001955</v>
          </cell>
          <cell r="D11166" t="str">
            <v>***SZYNKA KONSERWOWA BLOK P EXP.LUZ</v>
          </cell>
        </row>
        <row r="11167">
          <cell r="C11167">
            <v>4009147</v>
          </cell>
          <cell r="D11167" t="str">
            <v>***SZYN.KONSERWOWA P. LUZ OK.15KG KT CZ</v>
          </cell>
        </row>
        <row r="11168">
          <cell r="C11168">
            <v>4009634</v>
          </cell>
          <cell r="D11168" t="str">
            <v>***SZYNKA FOOD GARDEN LUZ OK.9KG KT</v>
          </cell>
        </row>
        <row r="11169">
          <cell r="C11169">
            <v>3016650</v>
          </cell>
          <cell r="D11169" t="str">
            <v>SZYNKA BLOK S</v>
          </cell>
        </row>
        <row r="11170">
          <cell r="C11170">
            <v>3016651</v>
          </cell>
          <cell r="D11170" t="str">
            <v>***BS SZYNKA BLOK S</v>
          </cell>
        </row>
        <row r="11171">
          <cell r="C11171">
            <v>3017043</v>
          </cell>
          <cell r="D11171" t="str">
            <v>***PULLED PORK</v>
          </cell>
        </row>
        <row r="11172">
          <cell r="C11172">
            <v>3017062</v>
          </cell>
          <cell r="D11172" t="str">
            <v>***PULLED PORK BS</v>
          </cell>
        </row>
        <row r="11173">
          <cell r="C11173">
            <v>4011293</v>
          </cell>
          <cell r="D11173" t="str">
            <v>***PULLED PORK 550G 3.3KG KT EX</v>
          </cell>
        </row>
        <row r="11174">
          <cell r="C11174">
            <v>4011403</v>
          </cell>
          <cell r="D11174" t="str">
            <v>***PULLED PORK 550G 2.2KG KT EX</v>
          </cell>
        </row>
        <row r="11175">
          <cell r="C11175">
            <v>3020125</v>
          </cell>
          <cell r="D11175" t="str">
            <v>***POLICZKI MEAL QUICK PORK</v>
          </cell>
        </row>
        <row r="11176">
          <cell r="C11176">
            <v>3020124</v>
          </cell>
          <cell r="D11176" t="str">
            <v>***POLICZKI MEAL QUICK PORK BS</v>
          </cell>
        </row>
        <row r="11177">
          <cell r="C11177">
            <v>4013653</v>
          </cell>
          <cell r="D11177" t="str">
            <v>***POLICZKI MEAL QUICK PORK 500G 2KG KT</v>
          </cell>
        </row>
        <row r="11178">
          <cell r="C11178">
            <v>4013941</v>
          </cell>
          <cell r="D11178" t="str">
            <v>***POLICZKI VORES SVINEKABER 500G3KGKTEX</v>
          </cell>
        </row>
        <row r="11179">
          <cell r="C11179">
            <v>3020128</v>
          </cell>
          <cell r="D11179" t="str">
            <v>***GOLONKA MEAL QUICK PORK</v>
          </cell>
        </row>
        <row r="11180">
          <cell r="C11180">
            <v>3020129</v>
          </cell>
          <cell r="D11180" t="str">
            <v>***GOLONKA MEAL QUICK PORK BS</v>
          </cell>
        </row>
        <row r="11181">
          <cell r="C11181">
            <v>4013656</v>
          </cell>
          <cell r="D11181" t="str">
            <v>***GOLONKA MEAL QUICK PORK 550G 2.2KG KT</v>
          </cell>
        </row>
        <row r="11182">
          <cell r="C11182">
            <v>3020946</v>
          </cell>
          <cell r="D11182" t="str">
            <v>***ŻEB.VORES SPARERIBS</v>
          </cell>
        </row>
        <row r="11183">
          <cell r="C11183">
            <v>3020947</v>
          </cell>
          <cell r="D11183" t="str">
            <v>***ŻEB.VORES SPARERIBS BS</v>
          </cell>
        </row>
        <row r="11184">
          <cell r="C11184">
            <v>4013722</v>
          </cell>
          <cell r="D11184" t="str">
            <v>***MEALQUICK SPARE.550G MAP 1.65KG KT EX</v>
          </cell>
        </row>
        <row r="11185">
          <cell r="C11185">
            <v>4013868</v>
          </cell>
          <cell r="D11185" t="str">
            <v>***ŻEB.VORES SPARE.550G MAP 3.3KG KT EX</v>
          </cell>
        </row>
        <row r="11186">
          <cell r="C11186">
            <v>4014299</v>
          </cell>
          <cell r="D11186" t="str">
            <v>***ŻEB.MEAL QUICK 550G MAP 3.3KGKT NETTO</v>
          </cell>
        </row>
        <row r="11187">
          <cell r="C11187">
            <v>3026945</v>
          </cell>
          <cell r="D11187" t="str">
            <v>SCH.DO ZAPIECZ.BIED</v>
          </cell>
        </row>
        <row r="11188">
          <cell r="C11188">
            <v>3026958</v>
          </cell>
          <cell r="D11188" t="str">
            <v>SCH.DO ZAPIECZ.BS BIED</v>
          </cell>
        </row>
        <row r="11189">
          <cell r="C11189">
            <v>4017892</v>
          </cell>
          <cell r="D11189" t="str">
            <v>***SCH.DO ZAPIECZ.OK1KGVAC OK4KG KT BIED</v>
          </cell>
        </row>
        <row r="11190">
          <cell r="C11190">
            <v>3026946</v>
          </cell>
          <cell r="D11190" t="str">
            <v>KARK.DO ZAPIECZ.BIED</v>
          </cell>
        </row>
        <row r="11191">
          <cell r="C11191">
            <v>3026959</v>
          </cell>
          <cell r="D11191" t="str">
            <v>KARK.WP.DO ZAPIECZ.BS BIED</v>
          </cell>
        </row>
        <row r="11192">
          <cell r="C11192">
            <v>4017890</v>
          </cell>
          <cell r="D11192" t="str">
            <v>***KARK.DO ZAPIECZ.OK1KGVAC OK4KGKT BIED</v>
          </cell>
        </row>
        <row r="11193">
          <cell r="C11193">
            <v>4018002</v>
          </cell>
          <cell r="D11193" t="str">
            <v>***KARK.DO ZAPIECZ.OK1KGVAC OK4KG KT CON</v>
          </cell>
        </row>
        <row r="11194">
          <cell r="C11194">
            <v>3026983</v>
          </cell>
          <cell r="D11194" t="str">
            <v>SZYN.DO ZAPIECZ.BIED</v>
          </cell>
        </row>
        <row r="11195">
          <cell r="C11195">
            <v>3026960</v>
          </cell>
          <cell r="D11195" t="str">
            <v>SZYN.WP.DO ZAPIECZ.BS BIED</v>
          </cell>
        </row>
        <row r="11196">
          <cell r="C11196">
            <v>4017891</v>
          </cell>
          <cell r="D11196" t="str">
            <v>***SZYN.DO ZAPIECZ.OK1KGVAC OK4KGKT BIED</v>
          </cell>
        </row>
        <row r="11197">
          <cell r="C11197">
            <v>3027492</v>
          </cell>
          <cell r="D11197" t="str">
            <v>***ŻEB.SCH.B/K.Z PRZYP.AS</v>
          </cell>
        </row>
        <row r="11198">
          <cell r="C11198">
            <v>4018231</v>
          </cell>
          <cell r="D11198" t="str">
            <v>***ŻEB.SCH.B/K.ZPRZYP.3STVACOK12KGKTMRUS</v>
          </cell>
        </row>
        <row r="11199">
          <cell r="C11199">
            <v>3027455</v>
          </cell>
          <cell r="D11199" t="str">
            <v>***ŻEB.SCH.B/K.Z PRZYP.BS</v>
          </cell>
        </row>
        <row r="11200">
          <cell r="C11200">
            <v>3027456</v>
          </cell>
          <cell r="D11200" t="str">
            <v>***ŻEB.SCH.B/K.Z PRZYP.AS</v>
          </cell>
        </row>
        <row r="11201">
          <cell r="C11201">
            <v>3027500</v>
          </cell>
          <cell r="D11201" t="str">
            <v>***ŻEB.SCH.B/K.Z PRZYP.3STVOK12KGKTDMRUS</v>
          </cell>
        </row>
        <row r="11202">
          <cell r="C11202">
            <v>3026578</v>
          </cell>
          <cell r="D11202" t="str">
            <v>***ŻEB.BOCZ.B/K.Z PRZYP.AS</v>
          </cell>
        </row>
        <row r="11203">
          <cell r="C11203">
            <v>4018460</v>
          </cell>
          <cell r="D11203" t="str">
            <v>***ŻEB.BOC.B/K.ZPRZYP.3STVACOK12KGKTMRUS</v>
          </cell>
        </row>
        <row r="11204">
          <cell r="C11204">
            <v>3026577</v>
          </cell>
          <cell r="D11204" t="str">
            <v>***ŻEB.BOCZ.B/K.Z PRZYP.BS</v>
          </cell>
        </row>
        <row r="11205">
          <cell r="C11205">
            <v>3027775</v>
          </cell>
          <cell r="D11205" t="str">
            <v>***ŻEB.BOCZ.B/K.ZPRZYP.3STVOK12KGKTDMRUS</v>
          </cell>
        </row>
        <row r="11206">
          <cell r="C11206">
            <v>3024521</v>
          </cell>
          <cell r="D11206" t="str">
            <v>ŻEB.MOST.WĘDZ.PARZ.Z/CH/MP.AS</v>
          </cell>
        </row>
        <row r="11207">
          <cell r="C11207">
            <v>3024520</v>
          </cell>
          <cell r="D11207" t="str">
            <v>ŻEB.MOST.WĘDZ.PARZ.Z/CH/MP.BS</v>
          </cell>
        </row>
        <row r="11208">
          <cell r="C11208">
            <v>4019748</v>
          </cell>
          <cell r="D11208" t="str">
            <v>***ŻEB.MOS.WĘD.PA.Z/CH/MP.OK1.5KGMAPKTEX</v>
          </cell>
        </row>
        <row r="11209">
          <cell r="C11209">
            <v>4021127</v>
          </cell>
          <cell r="D11209" t="str">
            <v>***ŻEB.MOST.WĘDZ.PARZOK1.5KGMAPOK9KGKTEX</v>
          </cell>
        </row>
        <row r="11210">
          <cell r="C11210">
            <v>3030161</v>
          </cell>
          <cell r="D11210" t="str">
            <v>***ŻEB.SCH.B/K.AS SUBWAY</v>
          </cell>
        </row>
        <row r="11211">
          <cell r="C11211">
            <v>4020100</v>
          </cell>
          <cell r="D11211" t="str">
            <v>***ŻEB.SCH.B/K.6STVACOK12KGKTMRSUBWAY US</v>
          </cell>
        </row>
        <row r="11212">
          <cell r="C11212">
            <v>3030171</v>
          </cell>
          <cell r="D11212" t="str">
            <v>***ŻEB.SCH.B/K.BS SUBWAY</v>
          </cell>
        </row>
        <row r="11213">
          <cell r="C11213">
            <v>3030173</v>
          </cell>
          <cell r="D11213" t="str">
            <v>***ŻEB.SCH.B/K.6STVACOK12KGKTDMRSUBWAYUS</v>
          </cell>
        </row>
        <row r="11214">
          <cell r="C11214">
            <v>3030174</v>
          </cell>
          <cell r="D11214" t="str">
            <v>***ŻEB.BOCZ.B/K.AS SUBWAY</v>
          </cell>
        </row>
        <row r="11215">
          <cell r="C11215">
            <v>4020111</v>
          </cell>
          <cell r="D11215" t="str">
            <v>***ŻE.BOCZ.B/K.6STVACOK12KGKTMRSUBWAY US</v>
          </cell>
        </row>
        <row r="11216">
          <cell r="C11216">
            <v>3030170</v>
          </cell>
          <cell r="D11216" t="str">
            <v>***ŻEB.BOCZ.B/K.BS SUBWAY</v>
          </cell>
        </row>
        <row r="11217">
          <cell r="C11217">
            <v>3030175</v>
          </cell>
          <cell r="D11217" t="str">
            <v>***ŻEB.BOCZ.B/K6STVACOK12KGKTDMRSUBWAYUS</v>
          </cell>
        </row>
        <row r="11218">
          <cell r="C11218">
            <v>3030639</v>
          </cell>
          <cell r="D11218" t="str">
            <v>BOCZ.ROL.AS</v>
          </cell>
        </row>
        <row r="11219">
          <cell r="C11219">
            <v>3030712</v>
          </cell>
          <cell r="D11219" t="str">
            <v>BOCZ.ROL.BS</v>
          </cell>
        </row>
        <row r="11220">
          <cell r="C11220">
            <v>4020449</v>
          </cell>
          <cell r="D11220" t="str">
            <v>***BOCZ.ROL.1/2STTRM OK15KGKT MOR EX</v>
          </cell>
        </row>
        <row r="11221">
          <cell r="C11221">
            <v>4021222</v>
          </cell>
          <cell r="D11221" t="str">
            <v>***BOCZ.ROL.1/2STTRM OK8KGKT MOR EX</v>
          </cell>
        </row>
        <row r="11222">
          <cell r="C11222">
            <v>3015580</v>
          </cell>
          <cell r="D11222" t="str">
            <v>ŻEB.MOST.Z/CH.B/MP.WĘDZ.AS</v>
          </cell>
        </row>
        <row r="11223">
          <cell r="C11223">
            <v>3015581</v>
          </cell>
          <cell r="D11223" t="str">
            <v>ŻEB.MOST.Z/CH.B/MP.WĘDZ.BS</v>
          </cell>
        </row>
        <row r="11224">
          <cell r="C11224">
            <v>4020553</v>
          </cell>
          <cell r="D11224" t="str">
            <v>***ŻEB.MOST.WĘDZ.OK500GMAP OK4KGKT BIED</v>
          </cell>
        </row>
        <row r="11225">
          <cell r="C11225">
            <v>3031601</v>
          </cell>
          <cell r="D11225" t="str">
            <v>SZYN.KLASYCZNA AS</v>
          </cell>
        </row>
        <row r="11226">
          <cell r="C11226">
            <v>3031600</v>
          </cell>
          <cell r="D11226" t="str">
            <v>SZYN.KLASYCZNA BS</v>
          </cell>
        </row>
        <row r="11227">
          <cell r="C11227">
            <v>4021120</v>
          </cell>
          <cell r="D11227" t="str">
            <v>SZYN.KLASYCZNA OK400GVAC OK5KGKT BIED</v>
          </cell>
        </row>
        <row r="11228">
          <cell r="C11228">
            <v>4024583</v>
          </cell>
          <cell r="D11228" t="str">
            <v>***SZYN.KLASYCZNA OK400GVAC 4KGKT ALDI</v>
          </cell>
        </row>
        <row r="11229">
          <cell r="C11229">
            <v>3032709</v>
          </cell>
          <cell r="D11229" t="str">
            <v>SZYN.POLSKA AS</v>
          </cell>
        </row>
        <row r="11230">
          <cell r="C11230">
            <v>3032708</v>
          </cell>
          <cell r="D11230" t="str">
            <v>SZYN.POLSKA BS</v>
          </cell>
        </row>
        <row r="11231">
          <cell r="C11231">
            <v>4021752</v>
          </cell>
          <cell r="D11231" t="str">
            <v>***SZYN.POLSKA OK700GVAC OK6KGKT MOR</v>
          </cell>
        </row>
        <row r="11232">
          <cell r="C11232">
            <v>4022678</v>
          </cell>
          <cell r="D11232" t="str">
            <v>***SZYN.POLSKA OK500GVAC OK5KGKT MOR</v>
          </cell>
        </row>
        <row r="11233">
          <cell r="C11233">
            <v>4023152</v>
          </cell>
          <cell r="D11233" t="str">
            <v>SZYN.DELIKATNA OK500GVAC OK5KGKT MOR</v>
          </cell>
        </row>
        <row r="11234">
          <cell r="C11234">
            <v>4023153</v>
          </cell>
          <cell r="D11234" t="str">
            <v>***SZYN.DELIKATNA OK500GVACOK3KGKTMOR EX</v>
          </cell>
        </row>
        <row r="11235">
          <cell r="C11235">
            <v>4024507</v>
          </cell>
          <cell r="D11235" t="str">
            <v>***SZYN.DELIKATNA OK500GVACOK3.5KGKT MOR</v>
          </cell>
        </row>
        <row r="11236">
          <cell r="C11236">
            <v>4026040</v>
          </cell>
          <cell r="D11236" t="str">
            <v>SZYN.DELIKATNA OK500GVAC 5KGKT MOR</v>
          </cell>
        </row>
        <row r="11237">
          <cell r="C11237">
            <v>4027029</v>
          </cell>
          <cell r="D11237" t="str">
            <v>SZYN.WP.M.70% OK500GVAC 5KGKT LIDL BG</v>
          </cell>
        </row>
        <row r="11238">
          <cell r="C11238">
            <v>3034722</v>
          </cell>
          <cell r="D11238" t="str">
            <v>ŻEB.PASKI WĘDZ.PARZ.AS</v>
          </cell>
        </row>
        <row r="11239">
          <cell r="C11239">
            <v>3034723</v>
          </cell>
          <cell r="D11239" t="str">
            <v>ŻEB.PASKI WĘDZ.PARZ.BS</v>
          </cell>
        </row>
        <row r="11240">
          <cell r="C11240">
            <v>4023364</v>
          </cell>
          <cell r="D11240" t="str">
            <v>***ŻEB.PS WĘDZ.PARZ.OK2KGMAPOK10KGKTMOR</v>
          </cell>
        </row>
        <row r="11241">
          <cell r="C11241">
            <v>4024184</v>
          </cell>
          <cell r="D11241" t="str">
            <v>***ŻEBPASKIWĘDZ.PARZ.OK2KGMOK10KGKTMOREX</v>
          </cell>
        </row>
        <row r="11242">
          <cell r="C11242">
            <v>4025945</v>
          </cell>
          <cell r="D11242" t="str">
            <v>***ŻEB.PASKI WĘDZ.PARZ.1STMAPOK5KGKT MOR</v>
          </cell>
        </row>
        <row r="11243">
          <cell r="C11243">
            <v>4027940</v>
          </cell>
          <cell r="D11243" t="str">
            <v>ŻEB.PASKI WĘDZ.PARZ1/2STMAPOK5KGKTLIDLEX</v>
          </cell>
        </row>
        <row r="11244">
          <cell r="C11244">
            <v>4028256</v>
          </cell>
          <cell r="D11244" t="str">
            <v>***ŻEB.WĘDZ.PARZ.1/2STMAP OK4KGKT MOR</v>
          </cell>
        </row>
        <row r="11245">
          <cell r="C11245">
            <v>4028996</v>
          </cell>
          <cell r="D11245" t="str">
            <v>ŻEB.PASKI WĘDZ.PARZ.1/2STMAPOK5KGKT LIDL</v>
          </cell>
        </row>
        <row r="11246">
          <cell r="C11246">
            <v>4030292</v>
          </cell>
          <cell r="D11246" t="str">
            <v>ŻEB.PASKI WĘDZ.PARZ1/2STMAPOK5KGKTLIDLEE</v>
          </cell>
        </row>
        <row r="11247">
          <cell r="C11247">
            <v>4030293</v>
          </cell>
          <cell r="D11247" t="str">
            <v>ŻEB.PASKI WĘDZ.PARZ1/2STMAPOK5KGKTLIDLLV</v>
          </cell>
        </row>
        <row r="11248">
          <cell r="C11248">
            <v>4031406</v>
          </cell>
          <cell r="D11248" t="str">
            <v>ŻEB.PASKI WĘDZ.PARZ.1/2STMAPOK5KGKT PORM</v>
          </cell>
        </row>
        <row r="11249">
          <cell r="C11249">
            <v>3047295</v>
          </cell>
          <cell r="D11249" t="str">
            <v>SZYN.SUR.WĘDZ.AS</v>
          </cell>
        </row>
        <row r="11250">
          <cell r="C11250">
            <v>3047294</v>
          </cell>
          <cell r="D11250" t="str">
            <v>SZYN.SUR.WĘDZ.BS</v>
          </cell>
        </row>
        <row r="11251">
          <cell r="C11251">
            <v>4031369</v>
          </cell>
          <cell r="D11251" t="str">
            <v>SZYN.SUR.WĘDZ.1/2STVAC OK5KGKT BIED</v>
          </cell>
        </row>
        <row r="11252">
          <cell r="C11252">
            <v>3016652</v>
          </cell>
          <cell r="D11252" t="str">
            <v>***FAWORYTKA</v>
          </cell>
        </row>
        <row r="11253">
          <cell r="C11253">
            <v>3016653</v>
          </cell>
          <cell r="D11253" t="str">
            <v>***BS FAWORYTKA</v>
          </cell>
        </row>
        <row r="11254">
          <cell r="C11254">
            <v>4006731</v>
          </cell>
          <cell r="D11254" t="str">
            <v>***FAWORYTKA LUZ 1.6KG</v>
          </cell>
        </row>
        <row r="11255">
          <cell r="C11255">
            <v>4001101</v>
          </cell>
          <cell r="D11255" t="str">
            <v>FAWORYTKA LUZ</v>
          </cell>
        </row>
        <row r="11256">
          <cell r="C11256">
            <v>4004363</v>
          </cell>
          <cell r="D11256" t="str">
            <v>***FAWORYTKA LUZ S</v>
          </cell>
        </row>
        <row r="11257">
          <cell r="C11257">
            <v>3016654</v>
          </cell>
          <cell r="D11257" t="str">
            <v>***PRZYSMAK SZYN.AS</v>
          </cell>
        </row>
        <row r="11258">
          <cell r="C11258">
            <v>3016655</v>
          </cell>
          <cell r="D11258" t="str">
            <v>***PRZYSMAK SZYN.BS</v>
          </cell>
        </row>
        <row r="11259">
          <cell r="C11259">
            <v>4006002</v>
          </cell>
          <cell r="D11259" t="str">
            <v>***PRZYSMAK SZYNKOWY 570G EX</v>
          </cell>
        </row>
        <row r="11260">
          <cell r="C11260">
            <v>4004366</v>
          </cell>
          <cell r="D11260" t="str">
            <v>***PRZYSMAK SZYNK.570G LUZ 4.56KG KT MOR</v>
          </cell>
        </row>
        <row r="11261">
          <cell r="C11261">
            <v>4001103</v>
          </cell>
          <cell r="D11261" t="str">
            <v>***PRZYSMAK SZYN.570G LUZ 8.55KG KT MOR</v>
          </cell>
        </row>
        <row r="11262">
          <cell r="C11262">
            <v>4006330</v>
          </cell>
          <cell r="D11262" t="str">
            <v>***PRZYSMAK SZYNKOWY 570G LUZ KT EX L</v>
          </cell>
        </row>
        <row r="11263">
          <cell r="C11263">
            <v>4006443</v>
          </cell>
          <cell r="D11263" t="str">
            <v>***PRZYSMAK SZYNKOWY 570G EXP S</v>
          </cell>
        </row>
        <row r="11264">
          <cell r="C11264">
            <v>4006538</v>
          </cell>
          <cell r="D11264" t="str">
            <v>***PRZYSMAK SZYNKOWY 570G EX P</v>
          </cell>
        </row>
        <row r="11265">
          <cell r="C11265">
            <v>4006665</v>
          </cell>
          <cell r="D11265" t="str">
            <v>***PRZYSMAK SZYNKOWY 570G  15ST KT M EX</v>
          </cell>
        </row>
        <row r="11266">
          <cell r="C11266">
            <v>4006773</v>
          </cell>
          <cell r="D11266" t="str">
            <v>***PRZYSMAK SZYNKOWY 570G EXP A</v>
          </cell>
        </row>
        <row r="11267">
          <cell r="C11267">
            <v>4008136</v>
          </cell>
          <cell r="D11267" t="str">
            <v>***PRZYSMAK SZYNKOWY 570G KT UK EX</v>
          </cell>
        </row>
        <row r="11268">
          <cell r="C11268">
            <v>4008375</v>
          </cell>
          <cell r="D11268" t="str">
            <v>***PRZYSMAK SZYNKOWY 570GLUZ EX MORRISON</v>
          </cell>
        </row>
        <row r="11269">
          <cell r="C11269">
            <v>3022757</v>
          </cell>
          <cell r="D11269" t="str">
            <v>***PIECZEŃ MIĘSNA</v>
          </cell>
        </row>
        <row r="11270">
          <cell r="C11270">
            <v>3022753</v>
          </cell>
          <cell r="D11270" t="str">
            <v>***PIECZEŃ MIĘSNA BS</v>
          </cell>
        </row>
        <row r="11271">
          <cell r="C11271">
            <v>4015054</v>
          </cell>
          <cell r="D11271" t="str">
            <v>***PIECZEŃ M-SNA OK500G VAC OK5KG KT MOR</v>
          </cell>
        </row>
        <row r="11272">
          <cell r="C11272">
            <v>3016656</v>
          </cell>
          <cell r="D11272" t="str">
            <v>***PASZTET WIEPRZOWY</v>
          </cell>
        </row>
        <row r="11273">
          <cell r="C11273">
            <v>3016657</v>
          </cell>
          <cell r="D11273" t="str">
            <v>***BS PASZTET WIEPRZOWY</v>
          </cell>
        </row>
        <row r="11274">
          <cell r="C11274">
            <v>4001107</v>
          </cell>
          <cell r="D11274" t="str">
            <v>***PASZTET WP.TAFLA OK2KGVAC OK4KGKT</v>
          </cell>
        </row>
        <row r="11275">
          <cell r="C11275">
            <v>4004369</v>
          </cell>
          <cell r="D11275" t="str">
            <v>***PASZTET WP.400G VAC 7.2KG KT MOR</v>
          </cell>
        </row>
        <row r="11276">
          <cell r="C11276">
            <v>4001108</v>
          </cell>
          <cell r="D11276" t="str">
            <v>***PASZTET WIEPRZOWY VAC 400G TM</v>
          </cell>
        </row>
        <row r="11277">
          <cell r="C11277">
            <v>4006807</v>
          </cell>
          <cell r="D11277" t="str">
            <v>***PASZTET WIEPRZOWY 400G VAC EXP.L</v>
          </cell>
        </row>
        <row r="11278">
          <cell r="C11278">
            <v>4007631</v>
          </cell>
          <cell r="D11278" t="str">
            <v>***PASZTET WIEPRZOWY 400G VAC EXP.K</v>
          </cell>
        </row>
        <row r="11279">
          <cell r="C11279">
            <v>4007844</v>
          </cell>
          <cell r="D11279" t="str">
            <v>***PASZTET WIEPRZOWY 400G VAC N</v>
          </cell>
        </row>
        <row r="11280">
          <cell r="C11280">
            <v>4008506</v>
          </cell>
          <cell r="D11280" t="str">
            <v>***PASZTET WP PC 0.4KG VAC KT BIED</v>
          </cell>
        </row>
        <row r="11281">
          <cell r="C11281">
            <v>4013061</v>
          </cell>
          <cell r="D11281" t="str">
            <v>***PASZTET WP.OK2KG VAC OK4KG KT MOR UK</v>
          </cell>
        </row>
        <row r="11282">
          <cell r="C11282">
            <v>4016233</v>
          </cell>
          <cell r="D11282" t="str">
            <v>***PASZTET WP.400G VAC 7.2KG KT MOR EX</v>
          </cell>
        </row>
        <row r="11283">
          <cell r="C11283">
            <v>3016658</v>
          </cell>
          <cell r="D11283" t="str">
            <v>***ŻEB.MOST.WĘDZONE</v>
          </cell>
        </row>
        <row r="11284">
          <cell r="C11284">
            <v>3016659</v>
          </cell>
          <cell r="D11284" t="str">
            <v>***BS ŻEB.MOST.WĘDZONE</v>
          </cell>
        </row>
        <row r="11285">
          <cell r="C11285">
            <v>4004371</v>
          </cell>
          <cell r="D11285" t="str">
            <v>***ŻEBERKA MOSTKI WĘDZONE MAP 3.5KG</v>
          </cell>
        </row>
        <row r="11286">
          <cell r="C11286">
            <v>4004372</v>
          </cell>
          <cell r="D11286" t="str">
            <v>***ŻEBERKA MOSTKI WĘDZONE MAP</v>
          </cell>
        </row>
        <row r="11287">
          <cell r="C11287">
            <v>4008360</v>
          </cell>
          <cell r="D11287" t="str">
            <v>***ŻEB.MOSTKI WĘDZ.OK1.5KGMAP KT KORONA</v>
          </cell>
        </row>
        <row r="11288">
          <cell r="C11288">
            <v>3016883</v>
          </cell>
          <cell r="D11288" t="str">
            <v>***ŻEB.WP.MIĘSNE WĘDZ.PARZ.</v>
          </cell>
        </row>
        <row r="11289">
          <cell r="C11289">
            <v>3016882</v>
          </cell>
          <cell r="D11289" t="str">
            <v>***ŻEB.WP.MIĘSNE WĘDZ.PARZ.BS</v>
          </cell>
        </row>
        <row r="11290">
          <cell r="C11290">
            <v>4011167</v>
          </cell>
          <cell r="D11290" t="str">
            <v>***ŻEB.MIĘS.WĘDZ.PARZ.1ST MAP OK.10KG KT</v>
          </cell>
        </row>
        <row r="11291">
          <cell r="C11291">
            <v>4011166</v>
          </cell>
          <cell r="D11291" t="str">
            <v>***ŻEB.MĘS.WĘDZ.PARZ.1/2ST MAP OK.5KG KT</v>
          </cell>
        </row>
        <row r="11292">
          <cell r="C11292">
            <v>3016699</v>
          </cell>
          <cell r="D11292" t="str">
            <v>***ŻEB.WĘDZONE PARZONE</v>
          </cell>
        </row>
        <row r="11293">
          <cell r="C11293">
            <v>3016702</v>
          </cell>
          <cell r="D11293" t="str">
            <v>***BS ŻEB.MOST.WĘDZONE PARZONE</v>
          </cell>
        </row>
        <row r="11294">
          <cell r="C11294">
            <v>4004373</v>
          </cell>
          <cell r="D11294" t="str">
            <v>***ŻEBERKA MOSTKI WĘDZ.PARZONE MAP</v>
          </cell>
        </row>
        <row r="11295">
          <cell r="C11295">
            <v>4007716</v>
          </cell>
          <cell r="D11295" t="str">
            <v>***ŻEB.MOSTKI WĘDZ.PARZ.OK1KG MAP EXP.MK</v>
          </cell>
        </row>
        <row r="11296">
          <cell r="C11296">
            <v>4007717</v>
          </cell>
          <cell r="D11296" t="str">
            <v>***ŻEB.MOSTKI WĘDZ.PARZ.OK1KG MAP EX.MAK</v>
          </cell>
        </row>
        <row r="11297">
          <cell r="C11297">
            <v>4007719</v>
          </cell>
          <cell r="D11297" t="str">
            <v>***ŻEB.MOSTKI WĘDZ.PARZ.OK1KG MAP EX.LAB</v>
          </cell>
        </row>
        <row r="11298">
          <cell r="C11298">
            <v>4007720</v>
          </cell>
          <cell r="D11298" t="str">
            <v>***ŻEB.MOSTKI WĘDZ.PARZ.OK1KG MAP EX.PAV</v>
          </cell>
        </row>
        <row r="11299">
          <cell r="C11299">
            <v>3046212</v>
          </cell>
          <cell r="D11299" t="str">
            <v>SCH.OD SZWAGRA PARZ.AS</v>
          </cell>
        </row>
        <row r="11300">
          <cell r="C11300">
            <v>3046213</v>
          </cell>
          <cell r="D11300" t="str">
            <v>SCH.OD SZWAGRA PARZ.BS</v>
          </cell>
        </row>
        <row r="11301">
          <cell r="C11301">
            <v>4031009</v>
          </cell>
          <cell r="D11301" t="str">
            <v>SCH.OD SZWAG.PARZ.OK500GVAC 5KGKT KRA</v>
          </cell>
        </row>
        <row r="11302">
          <cell r="C11302">
            <v>4030608</v>
          </cell>
          <cell r="D11302" t="str">
            <v>SCH.OD SZWAG.PARZ.1/2STVAC OK6KGKT KRA</v>
          </cell>
        </row>
        <row r="11303">
          <cell r="C11303">
            <v>3016660</v>
          </cell>
          <cell r="D11303" t="str">
            <v>WĘDZ.KROTOSZYŃSKA AS KRA</v>
          </cell>
        </row>
        <row r="11304">
          <cell r="C11304">
            <v>3016661</v>
          </cell>
          <cell r="D11304" t="str">
            <v>WĘDZ.KROTOSZYŃSKA BS KRA</v>
          </cell>
        </row>
        <row r="11305">
          <cell r="C11305">
            <v>4001109</v>
          </cell>
          <cell r="D11305" t="str">
            <v>WĘDZ.KROTOSZYŃSKA PC VAC OK5KGKT KRA</v>
          </cell>
        </row>
        <row r="11306">
          <cell r="C11306">
            <v>3008461</v>
          </cell>
          <cell r="D11306" t="str">
            <v>WĘDZ.KROT.OK400GVAC BL</v>
          </cell>
        </row>
        <row r="11307">
          <cell r="C11307">
            <v>4008280</v>
          </cell>
          <cell r="D11307" t="str">
            <v>***WĘDZ.KROTOSZ.KRAK OK.0.5KG VAC KT UK</v>
          </cell>
        </row>
        <row r="11308">
          <cell r="C11308">
            <v>4004375</v>
          </cell>
          <cell r="D11308" t="str">
            <v>***WĘDZONKA KROTOSZ.KRAKUS VAC PORCJA K</v>
          </cell>
        </row>
        <row r="11309">
          <cell r="C11309">
            <v>4004376</v>
          </cell>
          <cell r="D11309" t="str">
            <v>***WĘDZ.KROTOSZYŃSKA OK500GVACOK4KGKTKRA</v>
          </cell>
        </row>
        <row r="11310">
          <cell r="C11310">
            <v>4018104</v>
          </cell>
          <cell r="D11310" t="str">
            <v>***WĘDZ.KROTOSZYŃSKA OK500GVAC3.5KGKTKRA</v>
          </cell>
        </row>
        <row r="11311">
          <cell r="C11311">
            <v>4018356</v>
          </cell>
          <cell r="D11311" t="str">
            <v>POL.KROTOSZYŃSKA OK0.5KGVAC OK5KGKT KRA</v>
          </cell>
        </row>
        <row r="11312">
          <cell r="C11312">
            <v>4021156</v>
          </cell>
          <cell r="D11312" t="str">
            <v>***WĘDZ.KROTOSZ.OK500GVAC OK5KGKT KRA EX</v>
          </cell>
        </row>
        <row r="11313">
          <cell r="C11313">
            <v>4029531</v>
          </cell>
          <cell r="D11313" t="str">
            <v>WĘDZ.KROTOSZYŃSKA OK500GVAC 5KGKT KRA</v>
          </cell>
        </row>
        <row r="11314">
          <cell r="C11314">
            <v>4009617</v>
          </cell>
          <cell r="D11314" t="str">
            <v>***WĘDZ.KROT.KRAK.OK0.4KGTRM OK 5KGKT K</v>
          </cell>
        </row>
        <row r="11315">
          <cell r="C11315">
            <v>4010785</v>
          </cell>
          <cell r="D11315" t="str">
            <v>***WĘDZ.KROTOSZ.KRAK.1/2STTRM OK5KGKT K</v>
          </cell>
        </row>
        <row r="11316">
          <cell r="C11316">
            <v>3016998</v>
          </cell>
          <cell r="D11316" t="str">
            <v>WĘDZ.KROT.1/2ST TRM BL</v>
          </cell>
        </row>
        <row r="11317">
          <cell r="C11317">
            <v>3016662</v>
          </cell>
          <cell r="D11317" t="str">
            <v>POL.ŁOSOSIOWA AS KRA</v>
          </cell>
        </row>
        <row r="11318">
          <cell r="C11318">
            <v>3016663</v>
          </cell>
          <cell r="D11318" t="str">
            <v>POL.ŁOSOSIOWA BS KRA</v>
          </cell>
        </row>
        <row r="11319">
          <cell r="C11319">
            <v>3001189</v>
          </cell>
          <cell r="D11319" t="str">
            <v>***POLĘD.ŁOSOSIOWA LUZ OK 20KG POJ ST</v>
          </cell>
        </row>
        <row r="11320">
          <cell r="C11320">
            <v>3012590</v>
          </cell>
          <cell r="D11320" t="str">
            <v>***POLĘD.ŁOSOSIOWA LUZ OK 20KG POJ ST</v>
          </cell>
        </row>
        <row r="11321">
          <cell r="C11321">
            <v>4001110</v>
          </cell>
          <cell r="D11321" t="str">
            <v>***POLĘD.ŁOSOS.OK400G VAC OK5KG KT KRA</v>
          </cell>
        </row>
        <row r="11322">
          <cell r="C11322">
            <v>3008464</v>
          </cell>
          <cell r="D11322" t="str">
            <v>POL.ŁOSOSIOWA BL KRA</v>
          </cell>
        </row>
        <row r="11323">
          <cell r="C11323">
            <v>4021193</v>
          </cell>
          <cell r="D11323" t="str">
            <v>***POL.ŁOSOS.OK400GVAC OK5KGKT KRA</v>
          </cell>
        </row>
        <row r="11324">
          <cell r="C11324">
            <v>4004379</v>
          </cell>
          <cell r="D11324" t="str">
            <v>***POL.ŁOS.OK400GVAC4.7-5.5KGKT KAUF</v>
          </cell>
        </row>
        <row r="11325">
          <cell r="C11325">
            <v>4004380</v>
          </cell>
          <cell r="D11325" t="str">
            <v>***POL.ŁOSOSIOWA VAC OK05KG T KRA</v>
          </cell>
        </row>
        <row r="11326">
          <cell r="C11326">
            <v>4006876</v>
          </cell>
          <cell r="D11326" t="str">
            <v>***POL.ŁOSOS.300-400GVAC3KGKT KRAK NETTO</v>
          </cell>
        </row>
        <row r="11327">
          <cell r="C11327">
            <v>4027030</v>
          </cell>
          <cell r="D11327" t="str">
            <v>***POL.ŁOSOS.OK400GVAC 5KGKT KRA</v>
          </cell>
        </row>
        <row r="11328">
          <cell r="C11328">
            <v>4011322</v>
          </cell>
          <cell r="D11328" t="str">
            <v>POLĘ.ŁOSOSIOWA OK 500G VAC 4ST MAP PJ EX</v>
          </cell>
        </row>
        <row r="11329">
          <cell r="C11329">
            <v>4009624</v>
          </cell>
          <cell r="D11329" t="str">
            <v>***POL.ŁOSOSIOWA KRAKUS VAC PORCJA K</v>
          </cell>
        </row>
        <row r="11330">
          <cell r="C11330">
            <v>3012305</v>
          </cell>
          <cell r="D11330" t="str">
            <v>KABAN.AD KRA</v>
          </cell>
        </row>
        <row r="11331">
          <cell r="C11331">
            <v>3016799</v>
          </cell>
          <cell r="D11331" t="str">
            <v>KABAN.BS KRA</v>
          </cell>
        </row>
        <row r="11332">
          <cell r="C11332">
            <v>3016800</v>
          </cell>
          <cell r="D11332" t="str">
            <v>KABAN.AS KRA</v>
          </cell>
        </row>
        <row r="11333">
          <cell r="C11333">
            <v>4009887</v>
          </cell>
          <cell r="D11333" t="str">
            <v>***KABAN.180GVAC 24STKT KRA</v>
          </cell>
        </row>
        <row r="11334">
          <cell r="C11334">
            <v>3036432</v>
          </cell>
          <cell r="D11334" t="str">
            <v>KABAN.180GVAC BL ST</v>
          </cell>
        </row>
        <row r="11335">
          <cell r="C11335">
            <v>4009892</v>
          </cell>
          <cell r="D11335" t="str">
            <v>***KABAN.180GVAC 10STKT KRA EX</v>
          </cell>
        </row>
        <row r="11336">
          <cell r="C11336">
            <v>4009889</v>
          </cell>
          <cell r="D11336" t="str">
            <v>KABAN.180GVAC 10STKT KRA TESC</v>
          </cell>
        </row>
        <row r="11337">
          <cell r="C11337">
            <v>4009875</v>
          </cell>
          <cell r="D11337" t="str">
            <v>***KABAN.180GVAC 24STKT KRA ELAZAR</v>
          </cell>
        </row>
        <row r="11338">
          <cell r="C11338">
            <v>4010757</v>
          </cell>
          <cell r="D11338" t="str">
            <v>***KABAN.180GVAC 1.8KGKT KRA KAUF DE</v>
          </cell>
        </row>
        <row r="11339">
          <cell r="C11339">
            <v>4011405</v>
          </cell>
          <cell r="D11339" t="str">
            <v>***KABAN.180GVAC 10STKT KRA SE</v>
          </cell>
        </row>
        <row r="11340">
          <cell r="C11340">
            <v>4013350</v>
          </cell>
          <cell r="D11340" t="str">
            <v>***KABAN.180GVAC 10STKT KRA EX CZ</v>
          </cell>
        </row>
        <row r="11341">
          <cell r="C11341">
            <v>4013535</v>
          </cell>
          <cell r="D11341" t="str">
            <v>***KABAN.180GVAC 10STKT KRA EX RO</v>
          </cell>
        </row>
        <row r="11342">
          <cell r="C11342">
            <v>4019486</v>
          </cell>
          <cell r="D11342" t="str">
            <v>***KABAN.180GVAC 26STKT KRA</v>
          </cell>
        </row>
        <row r="11343">
          <cell r="C11343">
            <v>4009878</v>
          </cell>
          <cell r="D11343" t="str">
            <v>KABAN.OK0.8KGMAP OK5KGKT KRA</v>
          </cell>
        </row>
        <row r="11344">
          <cell r="C11344">
            <v>4009888</v>
          </cell>
          <cell r="D11344" t="str">
            <v>***KABAN.OK2KGMAP OK10KGKT KRA</v>
          </cell>
        </row>
        <row r="11345">
          <cell r="C11345">
            <v>4009891</v>
          </cell>
          <cell r="D11345" t="str">
            <v>KABANOSY KRAK 180G MAP 12ST KT</v>
          </cell>
        </row>
        <row r="11346">
          <cell r="C11346">
            <v>4009876</v>
          </cell>
          <cell r="D11346" t="str">
            <v>***KABAN.OK0.8KGMAP OK5KGKT KRA UK</v>
          </cell>
        </row>
        <row r="11347">
          <cell r="C11347">
            <v>4010601</v>
          </cell>
          <cell r="D11347" t="str">
            <v>KABANOSY KRAK 180G MAP 10STKT EX</v>
          </cell>
        </row>
        <row r="11348">
          <cell r="C11348">
            <v>4020212</v>
          </cell>
          <cell r="D11348" t="str">
            <v>***KABAN.OD SZWAGRA 150GMAP 33STKT KRA</v>
          </cell>
        </row>
        <row r="11349">
          <cell r="C11349">
            <v>3033002</v>
          </cell>
          <cell r="D11349" t="str">
            <v>***KABAN.OD SZWAGRA 150GMAP BL</v>
          </cell>
        </row>
        <row r="11350">
          <cell r="C11350">
            <v>4020213</v>
          </cell>
          <cell r="D11350" t="str">
            <v>***KABAN.OD SZWAGRA OK0.8KGMAPOK5KGKTKRA</v>
          </cell>
        </row>
        <row r="11351">
          <cell r="C11351">
            <v>4020424</v>
          </cell>
          <cell r="D11351" t="str">
            <v>***KABAN.OD SZWAGRA 150GMAP 9STKT KRA</v>
          </cell>
        </row>
        <row r="11352">
          <cell r="C11352">
            <v>4021568</v>
          </cell>
          <cell r="D11352" t="str">
            <v>***KABAN.OD SZWAGRA 150GMAP 60STPJ KRA</v>
          </cell>
        </row>
        <row r="11353">
          <cell r="C11353">
            <v>4009879</v>
          </cell>
          <cell r="D11353" t="str">
            <v>***KABAN.6X180GVAC 5STKT KRA</v>
          </cell>
        </row>
        <row r="11354">
          <cell r="C11354">
            <v>4009877</v>
          </cell>
          <cell r="D11354" t="str">
            <v>***KABANOSY KRAK180G VAC 1.08KG OZ PJ ED</v>
          </cell>
        </row>
        <row r="11355">
          <cell r="C11355">
            <v>4010087</v>
          </cell>
          <cell r="D11355" t="str">
            <v>***KABANO KRAK.180G VAC OZ 6X180G 5ST KT</v>
          </cell>
        </row>
        <row r="11356">
          <cell r="C11356">
            <v>4031503</v>
          </cell>
          <cell r="D11356" t="str">
            <v>KABAN.180GVAC 21STKT LIDL GB</v>
          </cell>
        </row>
        <row r="11357">
          <cell r="C11357">
            <v>4021608</v>
          </cell>
          <cell r="D11357" t="str">
            <v>KABAN.WP.150GMAP 14STKT KRA</v>
          </cell>
        </row>
        <row r="11358">
          <cell r="C11358">
            <v>3033351</v>
          </cell>
          <cell r="D11358" t="str">
            <v>KABAN.WP.150GMAP BL ST</v>
          </cell>
        </row>
        <row r="11359">
          <cell r="C11359">
            <v>4021641</v>
          </cell>
          <cell r="D11359" t="str">
            <v>KABAN.WP.150GMAP 8STKT KRA</v>
          </cell>
        </row>
        <row r="11360">
          <cell r="C11360">
            <v>4022854</v>
          </cell>
          <cell r="D11360" t="str">
            <v>KABAN.WP.150GMAP 54STPJ KRA</v>
          </cell>
        </row>
        <row r="11361">
          <cell r="C11361">
            <v>3040217</v>
          </cell>
          <cell r="D11361" t="str">
            <v>KABAN.WP.150GMAP 8STKT KRA</v>
          </cell>
        </row>
        <row r="11362">
          <cell r="C11362">
            <v>4028252</v>
          </cell>
          <cell r="D11362" t="str">
            <v>***KABAN.WP.150GMAP 27STPJ KRA</v>
          </cell>
        </row>
        <row r="11363">
          <cell r="C11363">
            <v>4030698</v>
          </cell>
          <cell r="D11363" t="str">
            <v>KABAN.180GVAC 40STPJ KRA</v>
          </cell>
        </row>
        <row r="11364">
          <cell r="C11364">
            <v>4031663</v>
          </cell>
          <cell r="D11364" t="str">
            <v>KABAN.WP.150GMAP 16STKT KRA</v>
          </cell>
        </row>
        <row r="11365">
          <cell r="C11365">
            <v>3008465</v>
          </cell>
          <cell r="D11365" t="str">
            <v>***KABANOSY KRAK</v>
          </cell>
        </row>
        <row r="11366">
          <cell r="C11366">
            <v>3016664</v>
          </cell>
          <cell r="D11366" t="str">
            <v>***BS KABANOSY KRAK</v>
          </cell>
        </row>
        <row r="11367">
          <cell r="C11367">
            <v>3016693</v>
          </cell>
          <cell r="D11367" t="str">
            <v>***AS KABANOSY KRAKUS</v>
          </cell>
        </row>
        <row r="11368">
          <cell r="C11368">
            <v>4001111</v>
          </cell>
          <cell r="D11368" t="str">
            <v>***KABANOSY KRAKUS MAP 1.0 MK</v>
          </cell>
        </row>
        <row r="11369">
          <cell r="C11369">
            <v>4004382</v>
          </cell>
          <cell r="D11369" t="str">
            <v>***KABANOSY KRAKUS MAP M</v>
          </cell>
        </row>
        <row r="11370">
          <cell r="C11370">
            <v>4008580</v>
          </cell>
          <cell r="D11370" t="str">
            <v>***KABANOS OK1KG MAP OK5KG KT Z DESKĄ KA</v>
          </cell>
        </row>
        <row r="11371">
          <cell r="C11371">
            <v>4009086</v>
          </cell>
          <cell r="D11371" t="str">
            <v>***KABANOSY KRAK.180G VAC 24ST KT MR JAP</v>
          </cell>
        </row>
        <row r="11372">
          <cell r="C11372">
            <v>3010040</v>
          </cell>
          <cell r="D11372" t="str">
            <v>***KABANOSYKRAK. 180GVAC 24SZTKT JAP DMR</v>
          </cell>
        </row>
        <row r="11373">
          <cell r="C11373">
            <v>3011892</v>
          </cell>
          <cell r="D11373" t="str">
            <v>***KABANOSY KRAKUS 180G BL</v>
          </cell>
        </row>
        <row r="11374">
          <cell r="C11374">
            <v>4001112</v>
          </cell>
          <cell r="D11374" t="str">
            <v>***KABANOSY KRAKUS VAC 0.18KG</v>
          </cell>
        </row>
        <row r="11375">
          <cell r="C11375">
            <v>4001962</v>
          </cell>
          <cell r="D11375" t="str">
            <v>***KABANOSY KRAKUS VAC 180G EX</v>
          </cell>
        </row>
        <row r="11376">
          <cell r="C11376">
            <v>4004383</v>
          </cell>
          <cell r="D11376" t="str">
            <v>***KABANOSY KRAKUS VAC 180G T</v>
          </cell>
        </row>
        <row r="11377">
          <cell r="C11377">
            <v>4004384</v>
          </cell>
          <cell r="D11377" t="str">
            <v>***KABANOSY KRAKUS MAP 1KG</v>
          </cell>
        </row>
        <row r="11378">
          <cell r="C11378">
            <v>4001113</v>
          </cell>
          <cell r="D11378" t="str">
            <v>***KABANOSY KRAKUS MAP 1.0</v>
          </cell>
        </row>
        <row r="11379">
          <cell r="C11379">
            <v>4004385</v>
          </cell>
          <cell r="D11379" t="str">
            <v>***KABANOSY KRAKUS MAP 2.0 ET.</v>
          </cell>
        </row>
        <row r="11380">
          <cell r="C11380">
            <v>4004386</v>
          </cell>
          <cell r="D11380" t="str">
            <v>***KABANOSY KRAKUS MAP 1.0  A</v>
          </cell>
        </row>
        <row r="11381">
          <cell r="C11381">
            <v>4004388</v>
          </cell>
          <cell r="D11381" t="str">
            <v>***KABANOSY KRAKUS 6X180 PDP.ZB.</v>
          </cell>
        </row>
        <row r="11382">
          <cell r="C11382">
            <v>4008553</v>
          </cell>
          <cell r="D11382" t="str">
            <v>***KABANOSYKRAKUS 180GVAC1.08KG OZ EDEKA</v>
          </cell>
        </row>
        <row r="11383">
          <cell r="C11383">
            <v>4006243</v>
          </cell>
          <cell r="D11383" t="str">
            <v>***KABANOSY KRAKUS 180G FP</v>
          </cell>
        </row>
        <row r="11384">
          <cell r="C11384">
            <v>4008359</v>
          </cell>
          <cell r="D11384" t="str">
            <v>***KABANOSY KRAKUS 180G TRM 4.32KT ROSJA</v>
          </cell>
        </row>
        <row r="11385">
          <cell r="C11385">
            <v>4008554</v>
          </cell>
          <cell r="D11385" t="str">
            <v>***KABANOSY 180G MAP 1SZT KT KRAKUS</v>
          </cell>
        </row>
        <row r="11386">
          <cell r="C11386">
            <v>4001963</v>
          </cell>
          <cell r="D11386" t="str">
            <v>***KABANOSY KRAKUS VAC 180G ELAZAR</v>
          </cell>
        </row>
        <row r="11387">
          <cell r="C11387">
            <v>4001964</v>
          </cell>
          <cell r="D11387" t="str">
            <v>***682006 KABANOSY 180G</v>
          </cell>
        </row>
        <row r="11388">
          <cell r="C11388">
            <v>4007263</v>
          </cell>
          <cell r="D11388" t="str">
            <v>***KABANOSY KRAKUS 180G EXP. LI</v>
          </cell>
        </row>
        <row r="11389">
          <cell r="C11389">
            <v>4007417</v>
          </cell>
          <cell r="D11389" t="str">
            <v>***KABANOSY KRAKUS 180G EXP M</v>
          </cell>
        </row>
        <row r="11390">
          <cell r="C11390">
            <v>4009473</v>
          </cell>
          <cell r="D11390" t="str">
            <v>***KABANOSY KRAK.180G VAC 1.8KGKTSZWECJA</v>
          </cell>
        </row>
        <row r="11391">
          <cell r="C11391">
            <v>4004390</v>
          </cell>
          <cell r="D11391" t="str">
            <v>***KABANOSY KRAKUS MAP OK. 1KG T</v>
          </cell>
        </row>
        <row r="11392">
          <cell r="C11392">
            <v>3014625</v>
          </cell>
          <cell r="D11392" t="str">
            <v>***KABAN.EXP.KRA</v>
          </cell>
        </row>
        <row r="11393">
          <cell r="C11393">
            <v>3014626</v>
          </cell>
          <cell r="D11393" t="str">
            <v>***KABAN.EXP.BS KRA</v>
          </cell>
        </row>
        <row r="11394">
          <cell r="C11394">
            <v>3014627</v>
          </cell>
          <cell r="D11394" t="str">
            <v>***KABAN.EXP.AS KRA</v>
          </cell>
        </row>
        <row r="11395">
          <cell r="C11395">
            <v>4013493</v>
          </cell>
          <cell r="D11395" t="str">
            <v>***KAB.EXPORTOWE 150G VAC 39ST KT KRA</v>
          </cell>
        </row>
        <row r="11396">
          <cell r="C11396">
            <v>4016401</v>
          </cell>
          <cell r="D11396" t="str">
            <v>***KABAN.EXP.150GVAC 20STKT KRA EX US</v>
          </cell>
        </row>
        <row r="11397">
          <cell r="C11397">
            <v>4010786</v>
          </cell>
          <cell r="D11397" t="str">
            <v>***KABAN.EXP.180G MAP 10ST KT</v>
          </cell>
        </row>
        <row r="11398">
          <cell r="C11398">
            <v>4010868</v>
          </cell>
          <cell r="D11398" t="str">
            <v>***KABAN.270GVAC 27ST KT KRA JMP</v>
          </cell>
        </row>
        <row r="11399">
          <cell r="C11399">
            <v>4012773</v>
          </cell>
          <cell r="D11399" t="str">
            <v>***KABAN.EXP.180G MAP 10ST KT KRA UK</v>
          </cell>
        </row>
        <row r="11400">
          <cell r="C11400">
            <v>4012903</v>
          </cell>
          <cell r="D11400" t="str">
            <v>***KABAN.180G+30G MAP 10ST KT KRA EX</v>
          </cell>
        </row>
        <row r="11401">
          <cell r="C11401">
            <v>4013536</v>
          </cell>
          <cell r="D11401" t="str">
            <v>***KAB.EXPORTOWE 180G MAP10ST KT EX RO</v>
          </cell>
        </row>
        <row r="11402">
          <cell r="C11402">
            <v>4013566</v>
          </cell>
          <cell r="D11402" t="str">
            <v>***KAB.EXPORTOWE 210G MAP 12ST KT KRA</v>
          </cell>
        </row>
        <row r="11403">
          <cell r="C11403">
            <v>4015525</v>
          </cell>
          <cell r="D11403" t="str">
            <v>***KABAN.EXP.180+60GMAP 10ST KT KRA TESC</v>
          </cell>
        </row>
        <row r="11404">
          <cell r="C11404">
            <v>3008467</v>
          </cell>
          <cell r="D11404" t="str">
            <v>***KIEŁB.KRAKOWSKA SUCHA KRAK</v>
          </cell>
        </row>
        <row r="11405">
          <cell r="C11405">
            <v>3008468</v>
          </cell>
          <cell r="D11405" t="str">
            <v>***BS KIEŁ.KRAKOWSKA SUCHA KRAK</v>
          </cell>
        </row>
        <row r="11406">
          <cell r="C11406">
            <v>3008469</v>
          </cell>
          <cell r="D11406" t="str">
            <v>***AS KIEŁ.KRAKOWSKA SUCHA KRAK</v>
          </cell>
        </row>
        <row r="11407">
          <cell r="C11407">
            <v>4001114</v>
          </cell>
          <cell r="D11407" t="str">
            <v>***KRAKOW.SUCHA KRAKUS MW MAP3.0 MK</v>
          </cell>
        </row>
        <row r="11408">
          <cell r="C11408">
            <v>4004391</v>
          </cell>
          <cell r="D11408" t="str">
            <v>***KIEŁB.KRAKOWSKA SUCHA KRAKUS MAP M</v>
          </cell>
        </row>
        <row r="11409">
          <cell r="C11409">
            <v>4004392</v>
          </cell>
          <cell r="D11409" t="str">
            <v>***KRAKOWSKA SUCHA KRAKUS OP 0.5</v>
          </cell>
        </row>
        <row r="11410">
          <cell r="C11410">
            <v>4028978</v>
          </cell>
          <cell r="D11410" t="str">
            <v>***KIEŁB.KRAK.250GVAC 40STPJ KRA LIDL II</v>
          </cell>
        </row>
        <row r="11411">
          <cell r="C11411">
            <v>3011890</v>
          </cell>
          <cell r="D11411" t="str">
            <v>***KIEŁ.KRAKOWSKA SUCHA KRAK. 320G BL</v>
          </cell>
        </row>
        <row r="11412">
          <cell r="C11412">
            <v>4029303</v>
          </cell>
          <cell r="D11412" t="str">
            <v>KIEŁB.KRAK.250GVAC 40STPJ KRA</v>
          </cell>
        </row>
        <row r="11413">
          <cell r="C11413">
            <v>4030211</v>
          </cell>
          <cell r="D11413" t="str">
            <v>KIEŁB.KRAK.250GVAC 40STPJ KRA II</v>
          </cell>
        </row>
        <row r="11414">
          <cell r="C11414">
            <v>4001115</v>
          </cell>
          <cell r="D11414" t="str">
            <v>***KIEŁB.KRAK.SUCHA KRAKUS 320G1/2STVAC</v>
          </cell>
        </row>
        <row r="11415">
          <cell r="C11415">
            <v>4030671</v>
          </cell>
          <cell r="D11415" t="str">
            <v>KIEŁB.KRAK.250GVAC 40STPJ KRA LIDL III</v>
          </cell>
        </row>
        <row r="11416">
          <cell r="C11416">
            <v>4001965</v>
          </cell>
          <cell r="D11416" t="str">
            <v>***KRAKOWSKA SU.KRAKUS VAC 320G EX</v>
          </cell>
        </row>
        <row r="11417">
          <cell r="C11417">
            <v>4004393</v>
          </cell>
          <cell r="D11417" t="str">
            <v>***KIEŁB.KRAK.SUCHA KRAKUS 3X300G P.ZB</v>
          </cell>
        </row>
        <row r="11418">
          <cell r="C11418">
            <v>4004394</v>
          </cell>
          <cell r="D11418" t="str">
            <v>***KRAKOWSKA SUCHA KRAKUS VAC 1SZT</v>
          </cell>
        </row>
        <row r="11419">
          <cell r="C11419">
            <v>4006367</v>
          </cell>
          <cell r="D11419" t="str">
            <v>***KIEŁB.KRAKOWSKA SUCHA 1SZT VAC NIEMCY</v>
          </cell>
        </row>
        <row r="11420">
          <cell r="C11420">
            <v>4006239</v>
          </cell>
          <cell r="D11420" t="str">
            <v>***KIEŁB.KRAK.SUCHA KRAKUS 320G VAC T</v>
          </cell>
        </row>
        <row r="11421">
          <cell r="C11421">
            <v>4001967</v>
          </cell>
          <cell r="D11421" t="str">
            <v>***KRAKOWSKA SUCHA KRAKUS V320G ELA</v>
          </cell>
        </row>
        <row r="11422">
          <cell r="C11422">
            <v>4001969</v>
          </cell>
          <cell r="D11422" t="str">
            <v>***682001 KRAKOVSKA SALAMA 320G</v>
          </cell>
        </row>
        <row r="11423">
          <cell r="C11423">
            <v>4001970</v>
          </cell>
          <cell r="D11423" t="str">
            <v>***KIEŁB.KRAK.SUCHA KRAKUS 320G EX T</v>
          </cell>
        </row>
        <row r="11424">
          <cell r="C11424">
            <v>4007418</v>
          </cell>
          <cell r="D11424" t="str">
            <v>***KIEŁB.KRAK.SUCHA KRAKUS 320G EX M</v>
          </cell>
        </row>
        <row r="11425">
          <cell r="C11425">
            <v>3008470</v>
          </cell>
          <cell r="D11425" t="str">
            <v>KIEŁB.ŻYWIECKA AD KRA</v>
          </cell>
        </row>
        <row r="11426">
          <cell r="C11426">
            <v>3016665</v>
          </cell>
          <cell r="D11426" t="str">
            <v>KIEŁB.ŻYWIECKA KRA BS</v>
          </cell>
        </row>
        <row r="11427">
          <cell r="C11427">
            <v>3016666</v>
          </cell>
          <cell r="D11427" t="str">
            <v>KIEŁB.ŻYWIECKA AS KRA</v>
          </cell>
        </row>
        <row r="11428">
          <cell r="C11428">
            <v>4001119</v>
          </cell>
          <cell r="D11428" t="str">
            <v>***KIEŁB.ŻYWIECKA OK1.7KGMAP OK5KGKT KRA</v>
          </cell>
        </row>
        <row r="11429">
          <cell r="C11429">
            <v>4001120</v>
          </cell>
          <cell r="D11429" t="str">
            <v>***KIEŁB.ŻYWIECKA KRAKUS MAP M</v>
          </cell>
        </row>
        <row r="11430">
          <cell r="C11430">
            <v>4004396</v>
          </cell>
          <cell r="D11430" t="str">
            <v>***KIEŁB.ŻYWIECKA KRAKUS 5.0KG MAP R</v>
          </cell>
        </row>
        <row r="11431">
          <cell r="C11431">
            <v>4004397</v>
          </cell>
          <cell r="D11431" t="str">
            <v>***KIEŁB.ŻYWIECKA KRAKUS 1/2SZT</v>
          </cell>
        </row>
        <row r="11432">
          <cell r="C11432">
            <v>4004398</v>
          </cell>
          <cell r="D11432" t="str">
            <v>***KIEŁB.ŻYWIECKA KRA1ST VAC OK 7KG KT T</v>
          </cell>
        </row>
        <row r="11433">
          <cell r="C11433">
            <v>4009358</v>
          </cell>
          <cell r="D11433" t="str">
            <v>KIEŁB.ŻYWIECKA 286G VAC 5.148KG KT ŁOT</v>
          </cell>
        </row>
        <row r="11434">
          <cell r="C11434">
            <v>4010680</v>
          </cell>
          <cell r="D11434" t="str">
            <v>***KIEŁB.ŻYWIECKA 1ST VAC OK6KG KT DYS.</v>
          </cell>
        </row>
        <row r="11435">
          <cell r="C11435">
            <v>4001971</v>
          </cell>
          <cell r="D11435" t="str">
            <v>***KIEŁB.ŻYWIECKA 286GVAC18STKT EX CZ/SK</v>
          </cell>
        </row>
        <row r="11436">
          <cell r="C11436">
            <v>4013072</v>
          </cell>
          <cell r="D11436" t="str">
            <v>***KIEŁB.ŻYWIECKA 572GVAC 12ST KT KRA UK</v>
          </cell>
        </row>
        <row r="11437">
          <cell r="C11437">
            <v>4004399</v>
          </cell>
          <cell r="D11437" t="str">
            <v>***KIEŁB.ŻYWIECKA 286GVAC 18STKT BIED</v>
          </cell>
        </row>
        <row r="11438">
          <cell r="C11438">
            <v>4017661</v>
          </cell>
          <cell r="D11438" t="str">
            <v>***KIEŁB.ŻYWIECKA 286GVAC 22STKT BIED</v>
          </cell>
        </row>
        <row r="11439">
          <cell r="C11439">
            <v>4001121</v>
          </cell>
          <cell r="D11439" t="str">
            <v>***KIEŁB.ŻYWIECKA 286G VAC5.148KG KT KRA</v>
          </cell>
        </row>
        <row r="11440">
          <cell r="C11440">
            <v>4004400</v>
          </cell>
          <cell r="D11440" t="str">
            <v>***KIEŁB.ŻYWIECKA KRAKUS 3X286G PDP.ZB.</v>
          </cell>
        </row>
        <row r="11441">
          <cell r="C11441">
            <v>4008322</v>
          </cell>
          <cell r="D11441" t="str">
            <v>***KIEŁB.ŻYWIECKA 286G VAC KT EX</v>
          </cell>
        </row>
        <row r="11442">
          <cell r="C11442">
            <v>4008437</v>
          </cell>
          <cell r="D11442" t="str">
            <v>***KIEŁB.KRAKOWSKA 286G VAC 18ST KT ROS</v>
          </cell>
        </row>
        <row r="11443">
          <cell r="C11443">
            <v>4008726</v>
          </cell>
          <cell r="D11443" t="str">
            <v>***KIEŁB.ŻYW.KRAK.286GVAC 5.14KGKT R2</v>
          </cell>
        </row>
        <row r="11444">
          <cell r="C11444">
            <v>4009506</v>
          </cell>
          <cell r="D11444" t="str">
            <v>***KIEŁB.ŻYWIEC.286GVAC 5,15KGKTROS OPTI</v>
          </cell>
        </row>
        <row r="11445">
          <cell r="C11445">
            <v>4014056</v>
          </cell>
          <cell r="D11445" t="str">
            <v>***KIEŁB.ŻYWIECKA 572GVAC 5.148KG KT KRA</v>
          </cell>
        </row>
        <row r="11446">
          <cell r="C11446">
            <v>4014057</v>
          </cell>
          <cell r="D11446" t="str">
            <v>***KIEŁB.ŻYWIECKA 572GVAC9STKT KRA EX GB</v>
          </cell>
        </row>
        <row r="11447">
          <cell r="C11447">
            <v>4014179</v>
          </cell>
          <cell r="D11447" t="str">
            <v>***KIEŁB.ŻYWIECKA 286GVAC 5.148KG KT KRA</v>
          </cell>
        </row>
        <row r="11448">
          <cell r="C11448">
            <v>4014250</v>
          </cell>
          <cell r="D11448" t="str">
            <v>***KIEŁB.ŻYWIECKA 1STVAC OK5KGKT KRA</v>
          </cell>
        </row>
        <row r="11449">
          <cell r="C11449">
            <v>4019564</v>
          </cell>
          <cell r="D11449" t="str">
            <v>***KIEŁB.ŻYWIECKA 286GVAC 22STKT BIED I</v>
          </cell>
        </row>
        <row r="11450">
          <cell r="C11450">
            <v>4001122</v>
          </cell>
          <cell r="D11450" t="str">
            <v>KIEŁB.ŻYWIECKA 572G VAC 6.864KG KT KRA</v>
          </cell>
        </row>
        <row r="11451">
          <cell r="C11451">
            <v>4004401</v>
          </cell>
          <cell r="D11451" t="str">
            <v>***KIEŁB.ŻYWIECKA 1ST VAC OK7 KG KT KRA</v>
          </cell>
        </row>
        <row r="11452">
          <cell r="C11452">
            <v>4006843</v>
          </cell>
          <cell r="D11452" t="str">
            <v>***KIEŁB.ŻYWIECKA KRAKUS 572G EX M</v>
          </cell>
        </row>
        <row r="11453">
          <cell r="C11453">
            <v>4001123</v>
          </cell>
          <cell r="D11453" t="str">
            <v>***KIEŁB.ŻYWIECKA 3ST MAP OK5KG KT KRA</v>
          </cell>
        </row>
        <row r="11454">
          <cell r="C11454">
            <v>4026088</v>
          </cell>
          <cell r="D11454" t="str">
            <v>***KIEŁB.ŻYWIECKA 286GVAC 14STKT BIED</v>
          </cell>
        </row>
        <row r="11455">
          <cell r="C11455">
            <v>4001972</v>
          </cell>
          <cell r="D11455" t="str">
            <v>***KIEŁB.ŻYWIECKA 286GVAC 12STKT MOR RO</v>
          </cell>
        </row>
        <row r="11456">
          <cell r="C11456">
            <v>4001975</v>
          </cell>
          <cell r="D11456" t="str">
            <v>KIEŁB.ŻYWIECKA 286GVAC 12STKT KRA TESCEX</v>
          </cell>
        </row>
        <row r="11457">
          <cell r="C11457">
            <v>4004403</v>
          </cell>
          <cell r="D11457" t="str">
            <v>***KIEŁB.ŻYWIECKA 286GVAC 2.574KGKT TESC</v>
          </cell>
        </row>
        <row r="11458">
          <cell r="C11458">
            <v>4004404</v>
          </cell>
          <cell r="D11458" t="str">
            <v>***KIEŁB.ŻYWIECKA572G VAC6.864KG KT TESC</v>
          </cell>
        </row>
        <row r="11459">
          <cell r="C11459">
            <v>4030538</v>
          </cell>
          <cell r="D11459" t="str">
            <v>KIEŁB.ŻYWIECKA 286GVAC 16STKT ROH</v>
          </cell>
        </row>
        <row r="11460">
          <cell r="C11460">
            <v>3018568</v>
          </cell>
          <cell r="D11460" t="str">
            <v>***KIEŁB.ŻYWIECKA MAŁA KRA</v>
          </cell>
        </row>
        <row r="11461">
          <cell r="C11461">
            <v>3018570</v>
          </cell>
          <cell r="D11461" t="str">
            <v>***KIEŁB.ŻYWIECKA MAŁA KRA BS</v>
          </cell>
        </row>
        <row r="11462">
          <cell r="C11462">
            <v>3018569</v>
          </cell>
          <cell r="D11462" t="str">
            <v>***KIEŁB.ŻYWIECKA MAŁA KRA AS</v>
          </cell>
        </row>
        <row r="11463">
          <cell r="C11463">
            <v>4012882</v>
          </cell>
          <cell r="D11463" t="str">
            <v>***KIEŁB.ŻYWIECKA 450G TRM 5.4KG KT KRA</v>
          </cell>
        </row>
        <row r="11464">
          <cell r="C11464">
            <v>3008473</v>
          </cell>
          <cell r="D11464" t="str">
            <v>***SZYNKA GOT.KRAK</v>
          </cell>
        </row>
        <row r="11465">
          <cell r="C11465">
            <v>3008474</v>
          </cell>
          <cell r="D11465" t="str">
            <v>***SZYNKA GOT.KRAK DP</v>
          </cell>
        </row>
        <row r="11466">
          <cell r="C11466">
            <v>3008475</v>
          </cell>
          <cell r="D11466" t="str">
            <v>***BS SZYNKA GOT.KRAK</v>
          </cell>
        </row>
        <row r="11467">
          <cell r="C11467">
            <v>4001125</v>
          </cell>
          <cell r="D11467" t="str">
            <v>***SZYN.WP.GOTOW.KRAK1/6ST TRM OK5KG KT</v>
          </cell>
        </row>
        <row r="11468">
          <cell r="C11468">
            <v>3008476</v>
          </cell>
          <cell r="D11468" t="str">
            <v>***BL SZYN.WP.GOT.KRAK PC</v>
          </cell>
        </row>
        <row r="11469">
          <cell r="C11469">
            <v>4001126</v>
          </cell>
          <cell r="D11469" t="str">
            <v>***SZYN.WP.GOTOW.KRAK 1/2ST TRM OK5KG KT</v>
          </cell>
        </row>
        <row r="11470">
          <cell r="C11470">
            <v>3008477</v>
          </cell>
          <cell r="D11470" t="str">
            <v>***BL SZYN.GOT. 1/2ST TRM OK 5KG KT KRAK</v>
          </cell>
        </row>
        <row r="11471">
          <cell r="C11471">
            <v>4001127</v>
          </cell>
          <cell r="D11471" t="str">
            <v>***SZYN.WP.GOTOW.KRAK 1ST TRM OK5KG KT</v>
          </cell>
        </row>
        <row r="11472">
          <cell r="C11472">
            <v>3008478</v>
          </cell>
          <cell r="D11472" t="str">
            <v>***BL SZYN.WP.GOT.KRAK 1SZT</v>
          </cell>
        </row>
        <row r="11473">
          <cell r="C11473">
            <v>4008316</v>
          </cell>
          <cell r="D11473" t="str">
            <v>***SZYN.WP. GOT. KRAKUS 1SZT VAC A</v>
          </cell>
        </row>
        <row r="11474">
          <cell r="C11474">
            <v>4006381</v>
          </cell>
          <cell r="D11474" t="str">
            <v>***SZYNKA WP.GOT.KRAKUS VAC PORCJA EXP L</v>
          </cell>
        </row>
        <row r="11475">
          <cell r="C11475">
            <v>4004405</v>
          </cell>
          <cell r="D11475" t="str">
            <v>***SZYNKA WP.GOT.KRAKUS VAC 1SZT M</v>
          </cell>
        </row>
        <row r="11476">
          <cell r="C11476">
            <v>4001977</v>
          </cell>
          <cell r="D11476" t="str">
            <v>***SZ.WP.GOT.KRAK.EXP.VAC 1SZT NIEM</v>
          </cell>
        </row>
        <row r="11477">
          <cell r="C11477">
            <v>4006725</v>
          </cell>
          <cell r="D11477" t="str">
            <v>***SZYNKA WP.GOT.KRAKUS 1SZT VAC EX</v>
          </cell>
        </row>
        <row r="11478">
          <cell r="C11478">
            <v>4007092</v>
          </cell>
          <cell r="D11478" t="str">
            <v>***SZYNKA WP.GOT.KRAKUS 1SZT VAC K EX</v>
          </cell>
        </row>
        <row r="11479">
          <cell r="C11479">
            <v>4008692</v>
          </cell>
          <cell r="D11479" t="str">
            <v>***SZYN.WP.GOT.OK500G TRMOK5KGKT KRAKANG</v>
          </cell>
        </row>
        <row r="11480">
          <cell r="C11480">
            <v>4008970</v>
          </cell>
          <cell r="D11480" t="str">
            <v>***SZYN.WP.GOT.OK500G TRM 8ST.KTKRAK ANG</v>
          </cell>
        </row>
        <row r="11481">
          <cell r="C11481">
            <v>3016227</v>
          </cell>
          <cell r="D11481" t="str">
            <v>POL.WĘDZ.AS</v>
          </cell>
        </row>
        <row r="11482">
          <cell r="C11482">
            <v>3016226</v>
          </cell>
          <cell r="D11482" t="str">
            <v>POL.WĘDZ.BS</v>
          </cell>
        </row>
        <row r="11483">
          <cell r="C11483">
            <v>4011046</v>
          </cell>
          <cell r="D11483" t="str">
            <v>***POL.WĘDZ.1STVAC OK4KGKT LIDL</v>
          </cell>
        </row>
        <row r="11484">
          <cell r="C11484">
            <v>4012267</v>
          </cell>
          <cell r="D11484" t="str">
            <v>***POLĘ.WĘDZ.1ST VAC 3KG KT LIDL</v>
          </cell>
        </row>
        <row r="11485">
          <cell r="C11485">
            <v>4013371</v>
          </cell>
          <cell r="D11485" t="str">
            <v>***POL.WĘDZ.OK500GVAC 4KGKT EX</v>
          </cell>
        </row>
        <row r="11486">
          <cell r="C11486">
            <v>4017702</v>
          </cell>
          <cell r="D11486" t="str">
            <v>***POL.WĘDZ.OK500GVAC 4KGKT EX AT</v>
          </cell>
        </row>
        <row r="11487">
          <cell r="C11487">
            <v>4022048</v>
          </cell>
          <cell r="D11487" t="str">
            <v>POL.WĘDZ.1STVAC OK6KGKT LIDL</v>
          </cell>
        </row>
        <row r="11488">
          <cell r="C11488">
            <v>4030915</v>
          </cell>
          <cell r="D11488" t="str">
            <v>POL.WĘDZ.1STVAC OK6KGKT LIDL CZ/SK</v>
          </cell>
        </row>
        <row r="11489">
          <cell r="C11489">
            <v>4030979</v>
          </cell>
          <cell r="D11489" t="str">
            <v>POL.WĘDZ.1STVAC OK6KGKT LIDL LT/LV</v>
          </cell>
        </row>
        <row r="11490">
          <cell r="C11490">
            <v>4030980</v>
          </cell>
          <cell r="D11490" t="str">
            <v>POL.WĘDZ.1STVAC OK6KGKT LIDL EE</v>
          </cell>
        </row>
        <row r="11491">
          <cell r="C11491">
            <v>3016763</v>
          </cell>
          <cell r="D11491" t="str">
            <v>POL.WĘDZ.AS KRA</v>
          </cell>
        </row>
        <row r="11492">
          <cell r="C11492">
            <v>3016765</v>
          </cell>
          <cell r="D11492" t="str">
            <v>POL.WĘDZ.BS KRA</v>
          </cell>
        </row>
        <row r="11493">
          <cell r="C11493">
            <v>4009330</v>
          </cell>
          <cell r="D11493" t="str">
            <v>***POLĘDWICZ WĘDZ.KRAK 1ST VAC OK3KG KT</v>
          </cell>
        </row>
        <row r="11494">
          <cell r="C11494">
            <v>3016999</v>
          </cell>
          <cell r="D11494" t="str">
            <v>POL.WĘDZ.1STVAC BL</v>
          </cell>
        </row>
        <row r="11495">
          <cell r="C11495">
            <v>4009640</v>
          </cell>
          <cell r="D11495" t="str">
            <v>***POL.WĘDZ.1STVAC OK4KGKT KRA BIED</v>
          </cell>
        </row>
        <row r="11496">
          <cell r="C11496">
            <v>4013567</v>
          </cell>
          <cell r="D11496" t="str">
            <v>***POL.WĘDZ.1STVAC 4KGKT KRA N</v>
          </cell>
        </row>
        <row r="11497">
          <cell r="C11497">
            <v>4024582</v>
          </cell>
          <cell r="D11497" t="str">
            <v>POL.WĘDZ.GOLD 1STVAC OK5KGKT KRA</v>
          </cell>
        </row>
        <row r="11498">
          <cell r="C11498">
            <v>4024670</v>
          </cell>
          <cell r="D11498" t="str">
            <v>POL.WĘDZ.OK500GVAC 5KGKT KRA</v>
          </cell>
        </row>
        <row r="11499">
          <cell r="C11499">
            <v>3040558</v>
          </cell>
          <cell r="D11499" t="str">
            <v>***POL.WĘDZ.O SMAKU TRUFLI AS</v>
          </cell>
        </row>
        <row r="11500">
          <cell r="C11500">
            <v>3040557</v>
          </cell>
          <cell r="D11500" t="str">
            <v>***POL.WĘDZ.O SMAKU TRUFLI BS</v>
          </cell>
        </row>
        <row r="11501">
          <cell r="C11501">
            <v>4026947</v>
          </cell>
          <cell r="D11501" t="str">
            <v>***POL.WĘDZ.O SM.TRUFLI 1STVACOK4KGKTKRA</v>
          </cell>
        </row>
        <row r="11502">
          <cell r="C11502">
            <v>3041058</v>
          </cell>
          <cell r="D11502" t="str">
            <v>***POL.WĘDZ.O SM.TRUFLI 1STVAC BL</v>
          </cell>
        </row>
        <row r="11503">
          <cell r="C11503">
            <v>3022462</v>
          </cell>
          <cell r="D11503" t="str">
            <v>***KABAN.Z SZYN.AD KRA</v>
          </cell>
        </row>
        <row r="11504">
          <cell r="C11504">
            <v>3022616</v>
          </cell>
          <cell r="D11504" t="str">
            <v>***KABAN.Z SZYN.BS KRA</v>
          </cell>
        </row>
        <row r="11505">
          <cell r="C11505">
            <v>3022614</v>
          </cell>
          <cell r="D11505" t="str">
            <v>***KABAN.Z SZYN.AS KRA</v>
          </cell>
        </row>
        <row r="11506">
          <cell r="C11506">
            <v>4014907</v>
          </cell>
          <cell r="D11506" t="str">
            <v>***KABAN.Z SZYN.150GVAC 39STKT KRA</v>
          </cell>
        </row>
        <row r="11507">
          <cell r="C11507">
            <v>3024040</v>
          </cell>
          <cell r="D11507" t="str">
            <v>***KIEŁB.ŻYWIECKA NOWA AD KRA</v>
          </cell>
        </row>
        <row r="11508">
          <cell r="C11508">
            <v>3024030</v>
          </cell>
          <cell r="D11508" t="str">
            <v>***KIEŁB.ŻYWIECKA NOWA BS KRA</v>
          </cell>
        </row>
        <row r="11509">
          <cell r="C11509">
            <v>3024055</v>
          </cell>
          <cell r="D11509" t="str">
            <v>***KIEŁB.ŻYWIECKA NOWA AS KRA</v>
          </cell>
        </row>
        <row r="11510">
          <cell r="C11510">
            <v>4016489</v>
          </cell>
          <cell r="D11510" t="str">
            <v>***KIEŁB.ŻYWIECKA 3STMAP OK5KGKT KRA</v>
          </cell>
        </row>
        <row r="11511">
          <cell r="C11511">
            <v>4015948</v>
          </cell>
          <cell r="D11511" t="str">
            <v>***KIEŁB.ŻYWIECKA 286G VAC 18ST KT BIED</v>
          </cell>
        </row>
        <row r="11512">
          <cell r="C11512">
            <v>4016550</v>
          </cell>
          <cell r="D11512" t="str">
            <v>***KIEŁB.ŻYWIECKA 260GVAC 18STKT KRA I</v>
          </cell>
        </row>
        <row r="11513">
          <cell r="C11513">
            <v>4016551</v>
          </cell>
          <cell r="D11513" t="str">
            <v>***KIEŁB.ŻYWIECKA 260GVAC 9STKT KRA</v>
          </cell>
        </row>
        <row r="11514">
          <cell r="C11514">
            <v>4016552</v>
          </cell>
          <cell r="D11514" t="str">
            <v>***KIEŁB.ŻYWIECKA 520GVAC 9STKT KRA I</v>
          </cell>
        </row>
        <row r="11515">
          <cell r="C11515">
            <v>3033004</v>
          </cell>
          <cell r="D11515" t="str">
            <v>***KIEŁB.ŻYWIECKA 520GVAC BL</v>
          </cell>
        </row>
        <row r="11516">
          <cell r="C11516">
            <v>4016553</v>
          </cell>
          <cell r="D11516" t="str">
            <v>***KIEŁB.ŻYWIECKA OK520GVAC OK5KGKT KRA</v>
          </cell>
        </row>
        <row r="11517">
          <cell r="C11517">
            <v>4020509</v>
          </cell>
          <cell r="D11517" t="str">
            <v>***KIEŁB.ŻYWIECKA 520GVAC 9STKT KRA II</v>
          </cell>
        </row>
        <row r="11518">
          <cell r="C11518">
            <v>4020550</v>
          </cell>
          <cell r="D11518" t="str">
            <v>***K.ŻYWIECKA 520GVAC 9STKT ĆW.PAL KRA</v>
          </cell>
        </row>
        <row r="11519">
          <cell r="C11519">
            <v>4020557</v>
          </cell>
          <cell r="D11519" t="str">
            <v>***KIEŁB.ŻYWIECKA 520GVAC 9STKT KRA III</v>
          </cell>
        </row>
        <row r="11520">
          <cell r="C11520">
            <v>4020571</v>
          </cell>
          <cell r="D11520" t="str">
            <v>***KIEŁB.ŻYWIECKA 260GVAC 18STKT KRA II</v>
          </cell>
        </row>
        <row r="11521">
          <cell r="C11521">
            <v>4021173</v>
          </cell>
          <cell r="D11521" t="str">
            <v>***KIEŁB.ŻYWIECKA 1STVAC OK5KGKT KRA EX</v>
          </cell>
        </row>
        <row r="11522">
          <cell r="C11522">
            <v>4022773</v>
          </cell>
          <cell r="D11522" t="str">
            <v>***K.ŻYWIECKA 520GVAC 9STKTĆW.PAL KRA II</v>
          </cell>
        </row>
        <row r="11523">
          <cell r="C11523">
            <v>4021569</v>
          </cell>
          <cell r="D11523" t="str">
            <v>***KIEŁB.ŻYWIECKA 260GVAC 47STPJ KRA</v>
          </cell>
        </row>
        <row r="11524">
          <cell r="C11524">
            <v>3009182</v>
          </cell>
          <cell r="D11524" t="str">
            <v>***SZYN.KONS.11LBS</v>
          </cell>
        </row>
        <row r="11525">
          <cell r="C11525">
            <v>3009183</v>
          </cell>
          <cell r="D11525" t="str">
            <v>***BS SZYN.KONS.11LBS</v>
          </cell>
        </row>
        <row r="11526">
          <cell r="C11526">
            <v>4008468</v>
          </cell>
          <cell r="D11526" t="str">
            <v>***SZYN.KONS.11LBS LUZ KT EX</v>
          </cell>
        </row>
        <row r="11527">
          <cell r="C11527">
            <v>3012432</v>
          </cell>
          <cell r="D11527" t="str">
            <v>SZYNKA WP.KONSERWOWA 5,5LBS KRAKUS</v>
          </cell>
        </row>
        <row r="11528">
          <cell r="C11528">
            <v>3012431</v>
          </cell>
          <cell r="D11528" t="str">
            <v>BS SZYNKA WP.KONSERWOWA 5,5LBS KRAKUS</v>
          </cell>
        </row>
        <row r="11529">
          <cell r="C11529">
            <v>4009967</v>
          </cell>
          <cell r="D11529" t="str">
            <v>**SZYN. WP.KON.2,5KG LUZ 4ST KT KRAKUS T</v>
          </cell>
        </row>
        <row r="11530">
          <cell r="C11530">
            <v>4009960</v>
          </cell>
          <cell r="D11530" t="str">
            <v>***SZYN.KONS.2.5KG LUZ 10KG KT KRA</v>
          </cell>
        </row>
        <row r="11531">
          <cell r="C11531">
            <v>4012423</v>
          </cell>
          <cell r="D11531" t="str">
            <v>***SZYN.WP.KON.2.5KG LUZ 4ST YANO</v>
          </cell>
        </row>
        <row r="11532">
          <cell r="C11532">
            <v>4013058</v>
          </cell>
          <cell r="D11532" t="str">
            <v>***SZYN.WP.KON.2.5KG LUZ 4ST KT KRA UK</v>
          </cell>
        </row>
        <row r="11533">
          <cell r="C11533">
            <v>4013748</v>
          </cell>
          <cell r="D11533" t="str">
            <v>***SZYN.WP.KONS.2.5KGLUZ 4STKT MOR RO EX</v>
          </cell>
        </row>
        <row r="11534">
          <cell r="C11534">
            <v>3016667</v>
          </cell>
          <cell r="D11534" t="str">
            <v>***SZYNKA KONSER.570G KRAK</v>
          </cell>
        </row>
        <row r="11535">
          <cell r="C11535">
            <v>3016668</v>
          </cell>
          <cell r="D11535" t="str">
            <v>***BS SZYNKA KONSER.570G KRAK</v>
          </cell>
        </row>
        <row r="11536">
          <cell r="C11536">
            <v>4001131</v>
          </cell>
          <cell r="D11536" t="str">
            <v>***SZYN.KONS.570G LUZ 8.55KG KT KRA</v>
          </cell>
        </row>
        <row r="11537">
          <cell r="C11537">
            <v>4013470</v>
          </cell>
          <cell r="D11537" t="str">
            <v>***SZYN.KONS.4.56KG KT KRA SE EX</v>
          </cell>
        </row>
        <row r="11538">
          <cell r="C11538">
            <v>3011891</v>
          </cell>
          <cell r="D11538" t="str">
            <v>***SZYN.KONSERWOWA KRAK. 570G BL</v>
          </cell>
        </row>
        <row r="11539">
          <cell r="C11539">
            <v>4001985</v>
          </cell>
          <cell r="D11539" t="str">
            <v>***SZYN.WP.KONS.KRAKUS 570G ELAZAR</v>
          </cell>
        </row>
        <row r="11540">
          <cell r="C11540">
            <v>4004412</v>
          </cell>
          <cell r="D11540" t="str">
            <v>***SZYN.WP.KONSERW. 570G 15ST KT RQ</v>
          </cell>
        </row>
        <row r="11541">
          <cell r="C11541">
            <v>4004413</v>
          </cell>
          <cell r="D11541" t="str">
            <v>***SZYN.KON.KRA 570G 1ST LUZ 15ST KT UK</v>
          </cell>
        </row>
        <row r="11542">
          <cell r="C11542">
            <v>4001987</v>
          </cell>
          <cell r="D11542" t="str">
            <v>***PRAZSKA SUNKA MINI 570G 15STKT SLO</v>
          </cell>
        </row>
        <row r="11543">
          <cell r="C11543">
            <v>4004414</v>
          </cell>
          <cell r="D11543" t="str">
            <v>***SZYN.WP.KONSER.KRAK 570G 4.56KG KT</v>
          </cell>
        </row>
        <row r="11544">
          <cell r="C11544">
            <v>4007264</v>
          </cell>
          <cell r="D11544" t="str">
            <v>***SZYN.KONS.570G LUZ 15ST KT MOR RO EX</v>
          </cell>
        </row>
        <row r="11545">
          <cell r="C11545">
            <v>4008967</v>
          </cell>
          <cell r="D11545" t="str">
            <v>***SZYN.WP.KONS.KRAKUS570KG LUZ 15STKT R</v>
          </cell>
        </row>
        <row r="11546">
          <cell r="C11546">
            <v>4013734</v>
          </cell>
          <cell r="D11546" t="str">
            <v>***SZYN.KONS.570G 5.13KG KT KRA</v>
          </cell>
        </row>
        <row r="11547">
          <cell r="C11547">
            <v>4016507</v>
          </cell>
          <cell r="D11547" t="str">
            <v>***SZYN.KONS.570G VAC 8ST KT KRA SE EX</v>
          </cell>
        </row>
        <row r="11548">
          <cell r="C11548">
            <v>4028980</v>
          </cell>
          <cell r="D11548" t="str">
            <v>SZYN.KONS.STE.SFS 455G 68STPJ KRA</v>
          </cell>
        </row>
        <row r="11549">
          <cell r="C11549">
            <v>3041134</v>
          </cell>
          <cell r="D11549" t="str">
            <v>SZYN.MAGNACKA AS</v>
          </cell>
        </row>
        <row r="11550">
          <cell r="C11550">
            <v>3041145</v>
          </cell>
          <cell r="D11550" t="str">
            <v>SZYN.MAGNACKA BS</v>
          </cell>
        </row>
        <row r="11551">
          <cell r="C11551">
            <v>4027167</v>
          </cell>
          <cell r="D11551" t="str">
            <v>SZYN.MAGNACKA 1/2STVAC OK8KGKT KRA</v>
          </cell>
        </row>
        <row r="11552">
          <cell r="C11552">
            <v>4028754</v>
          </cell>
          <cell r="D11552" t="str">
            <v>***SZYN.MAGNACKA 1/2STVAC OK8KGKT POLO</v>
          </cell>
        </row>
        <row r="11553">
          <cell r="C11553">
            <v>4029059</v>
          </cell>
          <cell r="D11553" t="str">
            <v>SZYN.MAGNACKA 1/2STVAC OK8KGKT KRA II</v>
          </cell>
        </row>
        <row r="11554">
          <cell r="C11554">
            <v>3023172</v>
          </cell>
          <cell r="D11554" t="str">
            <v>***KABAN.MINI CLASSIC AD</v>
          </cell>
        </row>
        <row r="11555">
          <cell r="C11555">
            <v>3023171</v>
          </cell>
          <cell r="D11555" t="str">
            <v>***KABAN.MINI CLASSIC BS</v>
          </cell>
        </row>
        <row r="11556">
          <cell r="C11556">
            <v>3023170</v>
          </cell>
          <cell r="D11556" t="str">
            <v>***KABAN.MINI CLASSIC AS</v>
          </cell>
        </row>
        <row r="11557">
          <cell r="C11557">
            <v>4015292</v>
          </cell>
          <cell r="D11557" t="str">
            <v>***KABAN.MINI CLASSIC 105GMAP9STKTKRA GB</v>
          </cell>
        </row>
        <row r="11558">
          <cell r="C11558">
            <v>4016154</v>
          </cell>
          <cell r="D11558" t="str">
            <v>***KAB.MINI CLASSIC 105GMAP 9STKT KRA EX</v>
          </cell>
        </row>
        <row r="11559">
          <cell r="C11559">
            <v>3023134</v>
          </cell>
          <cell r="D11559" t="str">
            <v>***KABAN.MINI BACON AD</v>
          </cell>
        </row>
        <row r="11560">
          <cell r="C11560">
            <v>3023183</v>
          </cell>
          <cell r="D11560" t="str">
            <v>***KABAN.MINI BACON BS</v>
          </cell>
        </row>
        <row r="11561">
          <cell r="C11561">
            <v>3023184</v>
          </cell>
          <cell r="D11561" t="str">
            <v>***KABAN.MINI BACON AS</v>
          </cell>
        </row>
        <row r="11562">
          <cell r="C11562">
            <v>4015293</v>
          </cell>
          <cell r="D11562" t="str">
            <v>***KABAN.MINI BACON 105GMAP 9STKT KRA GB</v>
          </cell>
        </row>
        <row r="11563">
          <cell r="C11563">
            <v>4016155</v>
          </cell>
          <cell r="D11563" t="str">
            <v>***KAB.MINI BACON 105G MAP 9STKT KRA EX</v>
          </cell>
        </row>
        <row r="11564">
          <cell r="C11564">
            <v>3025749</v>
          </cell>
          <cell r="D11564" t="str">
            <v>***KABAN.SPICY AD KRA</v>
          </cell>
        </row>
        <row r="11565">
          <cell r="C11565">
            <v>3025747</v>
          </cell>
          <cell r="D11565" t="str">
            <v>***KABAN.SPICY BS KRA</v>
          </cell>
        </row>
        <row r="11566">
          <cell r="C11566">
            <v>3025748</v>
          </cell>
          <cell r="D11566" t="str">
            <v>***KABAN.SPICY AS KRA</v>
          </cell>
        </row>
        <row r="11567">
          <cell r="C11567">
            <v>4016741</v>
          </cell>
          <cell r="D11567" t="str">
            <v>***KABAN.SPICY 150GVAC 20STKT KRA EX US</v>
          </cell>
        </row>
        <row r="11568">
          <cell r="C11568">
            <v>3027103</v>
          </cell>
          <cell r="D11568" t="str">
            <v>***KABAN.Z ROZMARYNEM</v>
          </cell>
        </row>
        <row r="11569">
          <cell r="C11569">
            <v>3027101</v>
          </cell>
          <cell r="D11569" t="str">
            <v>***KABAN.Z ROZMARYNEM BS</v>
          </cell>
        </row>
        <row r="11570">
          <cell r="C11570">
            <v>3027102</v>
          </cell>
          <cell r="D11570" t="str">
            <v>***KABAN.Z ROZMARYNEM AS</v>
          </cell>
        </row>
        <row r="11571">
          <cell r="C11571">
            <v>3027104</v>
          </cell>
          <cell r="D11571" t="str">
            <v>***KABAN.Z ROZMARYNEM 180G VAC BL</v>
          </cell>
        </row>
        <row r="11572">
          <cell r="C11572">
            <v>3027108</v>
          </cell>
          <cell r="D11572" t="str">
            <v>***KABAN.Z JAŁOWCEM</v>
          </cell>
        </row>
        <row r="11573">
          <cell r="C11573">
            <v>3027106</v>
          </cell>
          <cell r="D11573" t="str">
            <v>***KABAN.Z JAŁOWCEM BS</v>
          </cell>
        </row>
        <row r="11574">
          <cell r="C11574">
            <v>3027107</v>
          </cell>
          <cell r="D11574" t="str">
            <v>***KABAN.Z JAŁOWCEM AS</v>
          </cell>
        </row>
        <row r="11575">
          <cell r="C11575">
            <v>3027109</v>
          </cell>
          <cell r="D11575" t="str">
            <v>***KABAN.Z JAŁOWCEM 180G VAC BL</v>
          </cell>
        </row>
        <row r="11576">
          <cell r="C11576">
            <v>4029294</v>
          </cell>
          <cell r="D11576" t="str">
            <v>***KONS.MIEL.LUKS.+PAPRYKARZ 80STPJ KRA</v>
          </cell>
        </row>
        <row r="11577">
          <cell r="C11577">
            <v>4029636</v>
          </cell>
          <cell r="D11577" t="str">
            <v>KONS.MIEL.LUKS.+KONS.WP.W S.WŁ.80STPJKRA</v>
          </cell>
        </row>
        <row r="11578">
          <cell r="C11578">
            <v>4017971</v>
          </cell>
          <cell r="D11578" t="str">
            <v>***MIX KABAN.ROZM+JAŁOW.180GVAC 26ST KT</v>
          </cell>
        </row>
        <row r="11579">
          <cell r="C11579">
            <v>3027990</v>
          </cell>
          <cell r="D11579" t="str">
            <v>***KABAN.EXP.AD KRA US</v>
          </cell>
        </row>
        <row r="11580">
          <cell r="C11580">
            <v>3027982</v>
          </cell>
          <cell r="D11580" t="str">
            <v>***KABAN.EXP.BS KRA US</v>
          </cell>
        </row>
        <row r="11581">
          <cell r="C11581">
            <v>3027981</v>
          </cell>
          <cell r="D11581" t="str">
            <v>***KABAN.EXP.AS KRA US</v>
          </cell>
        </row>
        <row r="11582">
          <cell r="C11582">
            <v>4018594</v>
          </cell>
          <cell r="D11582" t="str">
            <v>***KABAN.EXP.150GVAC 20STKT KRA EX US</v>
          </cell>
        </row>
        <row r="11583">
          <cell r="C11583">
            <v>4019570</v>
          </cell>
          <cell r="D11583" t="str">
            <v>***KABAN.EXP.150GVAC 20STKT KRA EX US I</v>
          </cell>
        </row>
        <row r="11584">
          <cell r="C11584">
            <v>4020397</v>
          </cell>
          <cell r="D11584" t="str">
            <v>***KABAN.EXP.150GVAC 20STKT ALDI EX US</v>
          </cell>
        </row>
        <row r="11585">
          <cell r="C11585">
            <v>3029047</v>
          </cell>
          <cell r="D11585" t="str">
            <v>***KABAN.MINI DROB.-WP.AD</v>
          </cell>
        </row>
        <row r="11586">
          <cell r="C11586">
            <v>3029045</v>
          </cell>
          <cell r="D11586" t="str">
            <v>***KABAN.MINI DROB.-WP.BS</v>
          </cell>
        </row>
        <row r="11587">
          <cell r="C11587">
            <v>3029046</v>
          </cell>
          <cell r="D11587" t="str">
            <v>***KABAN.MINI DROB.-WP.AS</v>
          </cell>
        </row>
        <row r="11588">
          <cell r="C11588">
            <v>4019187</v>
          </cell>
          <cell r="D11588" t="str">
            <v>***KABAN.MINI DROB.WP.105GMAP9STKTKRA GB</v>
          </cell>
        </row>
        <row r="11589">
          <cell r="C11589">
            <v>3030724</v>
          </cell>
          <cell r="D11589" t="str">
            <v>KIEŁB.PIEPRZOWE AS</v>
          </cell>
        </row>
        <row r="11590">
          <cell r="C11590">
            <v>3030723</v>
          </cell>
          <cell r="D11590" t="str">
            <v>KIEŁB.PIEPRZOWE BS</v>
          </cell>
        </row>
        <row r="11591">
          <cell r="C11591">
            <v>4020522</v>
          </cell>
          <cell r="D11591" t="str">
            <v>***KIEŁB.PIEPRZOWE 300GMAP 20STKT KRA</v>
          </cell>
        </row>
        <row r="11592">
          <cell r="C11592">
            <v>3033355</v>
          </cell>
          <cell r="D11592" t="str">
            <v>***KIEŁB.PIEPRZOWE 300GMAP BL</v>
          </cell>
        </row>
        <row r="11593">
          <cell r="C11593">
            <v>4023363</v>
          </cell>
          <cell r="D11593" t="str">
            <v>***KIEŁB.PIEPRZOWE OK1KGMAP OK10KGKT KRA</v>
          </cell>
        </row>
        <row r="11594">
          <cell r="C11594">
            <v>4026320</v>
          </cell>
          <cell r="D11594" t="str">
            <v>***KIEŁB.PIEPRZOWE 300GMAP 10STKT KRA</v>
          </cell>
        </row>
        <row r="11595">
          <cell r="C11595">
            <v>4026331</v>
          </cell>
          <cell r="D11595" t="str">
            <v>***KIEŁB.Z/PIEP.240GMAP 10STKT MOR</v>
          </cell>
        </row>
        <row r="11596">
          <cell r="C11596">
            <v>3040480</v>
          </cell>
          <cell r="D11596" t="str">
            <v>***KIEŁB.PIEPRZOWE 250GMAP BL</v>
          </cell>
        </row>
        <row r="11597">
          <cell r="C11597">
            <v>3039146</v>
          </cell>
          <cell r="D11597" t="str">
            <v>***WT KIEŁB.PIEPRZOWE KAW.</v>
          </cell>
        </row>
        <row r="11598">
          <cell r="C11598">
            <v>3030808</v>
          </cell>
          <cell r="D11598" t="str">
            <v>***KIEŁB.SWOJSKA MAŁA AS</v>
          </cell>
        </row>
        <row r="11599">
          <cell r="C11599">
            <v>3030807</v>
          </cell>
          <cell r="D11599" t="str">
            <v>***KIEŁB.SWOJSKA MAŁA BS</v>
          </cell>
        </row>
        <row r="11600">
          <cell r="C11600">
            <v>4020586</v>
          </cell>
          <cell r="D11600" t="str">
            <v>***KIEŁB.SWOJSKA 300GMAP 16STKT KRA</v>
          </cell>
        </row>
        <row r="11601">
          <cell r="C11601">
            <v>3032343</v>
          </cell>
          <cell r="D11601" t="str">
            <v>***KABAN.Z SZYN.AD KRA</v>
          </cell>
        </row>
        <row r="11602">
          <cell r="C11602">
            <v>3032353</v>
          </cell>
          <cell r="D11602" t="str">
            <v>***KABAN.Z SZYN.BS KRA</v>
          </cell>
        </row>
        <row r="11603">
          <cell r="C11603">
            <v>3032342</v>
          </cell>
          <cell r="D11603" t="str">
            <v>***KABAN.Z SZYN.AS KRA</v>
          </cell>
        </row>
        <row r="11604">
          <cell r="C11604">
            <v>4021520</v>
          </cell>
          <cell r="D11604" t="str">
            <v>***KABAN.Z SZYN.95GMAP 14STKT KRA</v>
          </cell>
        </row>
        <row r="11605">
          <cell r="C11605">
            <v>4021521</v>
          </cell>
          <cell r="D11605" t="str">
            <v>***KABAN.Z SZYN.95GMAP 8STKT KRA</v>
          </cell>
        </row>
        <row r="11606">
          <cell r="C11606">
            <v>3032356</v>
          </cell>
          <cell r="D11606" t="str">
            <v>KABAN.WP.AD KRA</v>
          </cell>
        </row>
        <row r="11607">
          <cell r="C11607">
            <v>3032345</v>
          </cell>
          <cell r="D11607" t="str">
            <v>KABAN.WP.BS KRA</v>
          </cell>
        </row>
        <row r="11608">
          <cell r="C11608">
            <v>3032346</v>
          </cell>
          <cell r="D11608" t="str">
            <v>KABAN.WP.AS KRA</v>
          </cell>
        </row>
        <row r="11609">
          <cell r="C11609">
            <v>4021515</v>
          </cell>
          <cell r="D11609" t="str">
            <v>***KABAN.WP.95GMAP 14STKT KRA</v>
          </cell>
        </row>
        <row r="11610">
          <cell r="C11610">
            <v>3033352</v>
          </cell>
          <cell r="D11610" t="str">
            <v>KABAN.WP.95GMAP BL ST</v>
          </cell>
        </row>
        <row r="11611">
          <cell r="C11611">
            <v>4021516</v>
          </cell>
          <cell r="D11611" t="str">
            <v>***KABAN.WP.95GMAP 8STKT KRA</v>
          </cell>
        </row>
        <row r="11612">
          <cell r="C11612">
            <v>3045447</v>
          </cell>
          <cell r="D11612" t="str">
            <v>KABAN.WP.95GMAP BL EX</v>
          </cell>
        </row>
        <row r="11613">
          <cell r="C11613">
            <v>4021738</v>
          </cell>
          <cell r="D11613" t="str">
            <v>***KABAN.WP.95GMAP 14STKT KRA EX</v>
          </cell>
        </row>
        <row r="11614">
          <cell r="C11614">
            <v>4021739</v>
          </cell>
          <cell r="D11614" t="str">
            <v>KABAN.WP.95GMAP 8STKT KRA EX</v>
          </cell>
        </row>
        <row r="11615">
          <cell r="C11615">
            <v>4026091</v>
          </cell>
          <cell r="D11615" t="str">
            <v>KABAN.WP.95GMAP 60STPJ KRA I</v>
          </cell>
        </row>
        <row r="11616">
          <cell r="C11616">
            <v>4026319</v>
          </cell>
          <cell r="D11616" t="str">
            <v>KABAN.WP.NA KRAW.95GMAP 10STKT KRA EX</v>
          </cell>
        </row>
        <row r="11617">
          <cell r="C11617">
            <v>4028608</v>
          </cell>
          <cell r="D11617" t="str">
            <v>***KABAN.WP.NA KRAW.95GMAP 10STKT KRA</v>
          </cell>
        </row>
        <row r="11618">
          <cell r="C11618">
            <v>4028783</v>
          </cell>
          <cell r="D11618" t="str">
            <v>KABAN.WP.95GMAP 60STPJ KRA II</v>
          </cell>
        </row>
        <row r="11619">
          <cell r="C11619">
            <v>4030640</v>
          </cell>
          <cell r="D11619" t="str">
            <v>KABAN.WP.95GMAP 16STKT KRA</v>
          </cell>
        </row>
        <row r="11620">
          <cell r="C11620">
            <v>4030922</v>
          </cell>
          <cell r="D11620" t="str">
            <v>KABAN.WP.95GMAP 40STKT KRA</v>
          </cell>
        </row>
        <row r="11621">
          <cell r="C11621">
            <v>4031266</v>
          </cell>
          <cell r="D11621" t="str">
            <v>KABAN.WP.95GMAP 60STPJ KRA III</v>
          </cell>
        </row>
        <row r="11622">
          <cell r="C11622">
            <v>4031628</v>
          </cell>
          <cell r="D11622" t="str">
            <v>KABAN.WP.95GMAP 18STKT KRA</v>
          </cell>
        </row>
        <row r="11623">
          <cell r="C11623">
            <v>3032360</v>
          </cell>
          <cell r="D11623" t="str">
            <v>KABAN.DROB/WP.AD KRA</v>
          </cell>
        </row>
        <row r="11624">
          <cell r="C11624">
            <v>3032358</v>
          </cell>
          <cell r="D11624" t="str">
            <v>KABAN.DROB/WP.BS KRA</v>
          </cell>
        </row>
        <row r="11625">
          <cell r="C11625">
            <v>3032359</v>
          </cell>
          <cell r="D11625" t="str">
            <v>KABAN.DROB/WP.AS KRA</v>
          </cell>
        </row>
        <row r="11626">
          <cell r="C11626">
            <v>4021517</v>
          </cell>
          <cell r="D11626" t="str">
            <v>***KABAN.DROB/WP.95GMAP 14STKT KRA</v>
          </cell>
        </row>
        <row r="11627">
          <cell r="C11627">
            <v>3033003</v>
          </cell>
          <cell r="D11627" t="str">
            <v>KABAN.DROB/WP.95GMAP BL ST</v>
          </cell>
        </row>
        <row r="11628">
          <cell r="C11628">
            <v>4021518</v>
          </cell>
          <cell r="D11628" t="str">
            <v>***KABAN.DROB/WP.95GMAP 8STKT KRA</v>
          </cell>
        </row>
        <row r="11629">
          <cell r="C11629">
            <v>3045448</v>
          </cell>
          <cell r="D11629" t="str">
            <v>KABAN.DROB/WP.95GMAP BL EX</v>
          </cell>
        </row>
        <row r="11630">
          <cell r="C11630">
            <v>4021750</v>
          </cell>
          <cell r="D11630" t="str">
            <v>***KABAN.DROB/WP.95GMAP 14STKT KRA EX</v>
          </cell>
        </row>
        <row r="11631">
          <cell r="C11631">
            <v>4021751</v>
          </cell>
          <cell r="D11631" t="str">
            <v>KABAN.DROB/WP.95GMAP 8STKT KRA EX</v>
          </cell>
        </row>
        <row r="11632">
          <cell r="C11632">
            <v>4022852</v>
          </cell>
          <cell r="D11632" t="str">
            <v>KABAN.DROB/WP.95GMAP 60STPJ KRA</v>
          </cell>
        </row>
        <row r="11633">
          <cell r="C11633">
            <v>4028623</v>
          </cell>
          <cell r="D11633" t="str">
            <v>KABAN.DROB/WP.NA KRAW.95GMAP10STKTKRA</v>
          </cell>
        </row>
        <row r="11634">
          <cell r="C11634">
            <v>4028773</v>
          </cell>
          <cell r="D11634" t="str">
            <v>KABAN.DROB/WP.95GMAP 60STKT KRA II</v>
          </cell>
        </row>
        <row r="11635">
          <cell r="C11635">
            <v>4031246</v>
          </cell>
          <cell r="D11635" t="str">
            <v>KABAN.DROB/WP.95GMAP 60STPJ KRA III</v>
          </cell>
        </row>
        <row r="11636">
          <cell r="C11636">
            <v>4030645</v>
          </cell>
          <cell r="D11636" t="str">
            <v>KABAN.DROB/WP.95GMAP 16STKT KRA</v>
          </cell>
        </row>
        <row r="11637">
          <cell r="C11637">
            <v>4030923</v>
          </cell>
          <cell r="D11637" t="str">
            <v>KABAN.DROB/WP.95GMAP 40STKT KRA</v>
          </cell>
        </row>
        <row r="11638">
          <cell r="C11638">
            <v>4031656</v>
          </cell>
          <cell r="D11638" t="str">
            <v>KABAN.DROB/WP.95GMAP 18STKT KRA</v>
          </cell>
        </row>
        <row r="11639">
          <cell r="C11639">
            <v>3008481</v>
          </cell>
          <cell r="D11639" t="str">
            <v>***KABANOSY KRAK BIED</v>
          </cell>
        </row>
        <row r="11640">
          <cell r="C11640">
            <v>3008482</v>
          </cell>
          <cell r="D11640" t="str">
            <v>***BS KABANOSY KRAK BIED</v>
          </cell>
        </row>
        <row r="11641">
          <cell r="C11641">
            <v>3008750</v>
          </cell>
          <cell r="D11641" t="str">
            <v>***AS KABANOSY KRAKUS JMB</v>
          </cell>
        </row>
        <row r="11642">
          <cell r="C11642">
            <v>4004416</v>
          </cell>
          <cell r="D11642" t="str">
            <v>***KABANOS KRAKUS JM MAP 280G</v>
          </cell>
        </row>
        <row r="11643">
          <cell r="C11643">
            <v>4006133</v>
          </cell>
          <cell r="D11643" t="str">
            <v>***KABANOS KRAKUS 280G MAP EX L</v>
          </cell>
        </row>
        <row r="11644">
          <cell r="C11644">
            <v>3008483</v>
          </cell>
          <cell r="D11644" t="str">
            <v>KIEŁB.ŻYWIECKA 600G AD BIED</v>
          </cell>
        </row>
        <row r="11645">
          <cell r="C11645">
            <v>3016669</v>
          </cell>
          <cell r="D11645" t="str">
            <v>KIEŁB.ŻYWIECKA BIED BS</v>
          </cell>
        </row>
        <row r="11646">
          <cell r="C11646">
            <v>3016670</v>
          </cell>
          <cell r="D11646" t="str">
            <v>KIEŁB.ŻYWIECKA AS BIED</v>
          </cell>
        </row>
        <row r="11647">
          <cell r="C11647">
            <v>4007721</v>
          </cell>
          <cell r="D11647" t="str">
            <v>***KIEŁB.ŻYWIECKA 1SZT VAC</v>
          </cell>
        </row>
        <row r="11648">
          <cell r="C11648">
            <v>4014190</v>
          </cell>
          <cell r="D11648" t="str">
            <v>***KIEŁB.ŻYWIECKA 286GVAC 5.148KGKT BIED</v>
          </cell>
        </row>
        <row r="11649">
          <cell r="C11649">
            <v>4015253</v>
          </cell>
          <cell r="D11649" t="str">
            <v>***KIEŁB.ŻYWIECKA 600G VAC 9ST KT AUCH</v>
          </cell>
        </row>
        <row r="11650">
          <cell r="C11650">
            <v>4004417</v>
          </cell>
          <cell r="D11650" t="str">
            <v>***KIEŁB.ŻYWIECKA 600GVAC JM</v>
          </cell>
        </row>
        <row r="11651">
          <cell r="C11651">
            <v>4017635</v>
          </cell>
          <cell r="D11651" t="str">
            <v>KIEŁB.ŻYWIECKA 600GVAC 12STKT BIED</v>
          </cell>
        </row>
        <row r="11652">
          <cell r="C11652">
            <v>4019565</v>
          </cell>
          <cell r="D11652" t="str">
            <v>***KIEŁB.ŻYWIECKA 600GVAC 12STKT BIED I</v>
          </cell>
        </row>
        <row r="11653">
          <cell r="C11653">
            <v>4023502</v>
          </cell>
          <cell r="D11653" t="str">
            <v>***KIEŁB.ŻYWIECKA 600GVAC 11STKT LIDL</v>
          </cell>
        </row>
        <row r="11654">
          <cell r="C11654">
            <v>4024682</v>
          </cell>
          <cell r="D11654" t="str">
            <v>***KIEŁB.ŻYWIECKA 600GVAC 11STKT LIDL BG</v>
          </cell>
        </row>
        <row r="11655">
          <cell r="C11655">
            <v>4029273</v>
          </cell>
          <cell r="D11655" t="str">
            <v>***KIEŁB.ŻYWIECKA OK600GVAC 9STKT KRA</v>
          </cell>
        </row>
        <row r="11656">
          <cell r="C11656">
            <v>3032526</v>
          </cell>
          <cell r="D11656" t="str">
            <v>KABAN.JEL.BAR.DROB/WP.AD KRA</v>
          </cell>
        </row>
        <row r="11657">
          <cell r="C11657">
            <v>3032524</v>
          </cell>
          <cell r="D11657" t="str">
            <v>KABAN.JEL.BAR.DROB/WP.BS KRA</v>
          </cell>
        </row>
        <row r="11658">
          <cell r="C11658">
            <v>3032525</v>
          </cell>
          <cell r="D11658" t="str">
            <v>KABAN.JEL.BAR.DROB/WP.AS KRA</v>
          </cell>
        </row>
        <row r="11659">
          <cell r="C11659">
            <v>4021628</v>
          </cell>
          <cell r="D11659" t="str">
            <v>KABAN.DROB/WP.150GMAP 14STKT KRA</v>
          </cell>
        </row>
        <row r="11660">
          <cell r="C11660">
            <v>3033353</v>
          </cell>
          <cell r="D11660" t="str">
            <v>KABAN.DROB/WP.150GMAP BL ST</v>
          </cell>
        </row>
        <row r="11661">
          <cell r="C11661">
            <v>4021627</v>
          </cell>
          <cell r="D11661" t="str">
            <v>KABAN.DROB/WP.150GMAP 8STKT KRA</v>
          </cell>
        </row>
        <row r="11662">
          <cell r="C11662">
            <v>4022853</v>
          </cell>
          <cell r="D11662" t="str">
            <v>KABAN.DROB/WP.150GMAP 54STPJ KRA</v>
          </cell>
        </row>
        <row r="11663">
          <cell r="C11663">
            <v>3040216</v>
          </cell>
          <cell r="D11663" t="str">
            <v>KABAN.DROB/WP.150GMAP 8STKT KRA ST</v>
          </cell>
        </row>
        <row r="11664">
          <cell r="C11664">
            <v>4028251</v>
          </cell>
          <cell r="D11664" t="str">
            <v>KABAN.DROB/WP.150GMAP 27STPJ KRA</v>
          </cell>
        </row>
        <row r="11665">
          <cell r="C11665">
            <v>4031662</v>
          </cell>
          <cell r="D11665" t="str">
            <v>KABAN.DROB/WP.150GMAP 16STKT KRA</v>
          </cell>
        </row>
        <row r="11666">
          <cell r="C11666">
            <v>4021755</v>
          </cell>
          <cell r="D11666" t="str">
            <v>***MIX KABAN.95G 192ST STAND KRA</v>
          </cell>
        </row>
        <row r="11667">
          <cell r="C11667">
            <v>4024400</v>
          </cell>
          <cell r="D11667" t="str">
            <v>***KABAN.MIX 228ST STAND KRA</v>
          </cell>
        </row>
        <row r="11668">
          <cell r="C11668">
            <v>4024385</v>
          </cell>
          <cell r="D11668" t="str">
            <v>***KABAN.MIX 150GMAP 216ST STAND KRA</v>
          </cell>
        </row>
        <row r="11669">
          <cell r="C11669">
            <v>4021989</v>
          </cell>
          <cell r="D11669" t="str">
            <v>***KABAN.+KIEŁB.ŻYWIECKA 150ST STAND KRA</v>
          </cell>
        </row>
        <row r="11670">
          <cell r="C11670">
            <v>4024171</v>
          </cell>
          <cell r="D11670" t="str">
            <v>ZESTAW PROD.201ST STAND KRA</v>
          </cell>
        </row>
        <row r="11671">
          <cell r="C11671">
            <v>4024471</v>
          </cell>
          <cell r="D11671" t="str">
            <v>***ZESTAW PROD.250ST STAND KRA</v>
          </cell>
        </row>
        <row r="11672">
          <cell r="C11672">
            <v>4024510</v>
          </cell>
          <cell r="D11672" t="str">
            <v>***ZESTAW PROD.222ST STAND KRA</v>
          </cell>
        </row>
        <row r="11673">
          <cell r="C11673">
            <v>4024479</v>
          </cell>
          <cell r="D11673" t="str">
            <v>ZESTAW PROD.96ST STAND KRA</v>
          </cell>
        </row>
        <row r="11674">
          <cell r="C11674">
            <v>4024664</v>
          </cell>
          <cell r="D11674" t="str">
            <v>***ZESTAW PROD.234ST STAND KRA</v>
          </cell>
        </row>
        <row r="11675">
          <cell r="C11675">
            <v>4024719</v>
          </cell>
          <cell r="D11675" t="str">
            <v>***ZESTAW PROD.157ST STAND KRA</v>
          </cell>
        </row>
        <row r="11676">
          <cell r="C11676">
            <v>4025075</v>
          </cell>
          <cell r="D11676" t="str">
            <v>***ZESTAW PROD.226ST STAND KRA I</v>
          </cell>
        </row>
        <row r="11677">
          <cell r="C11677">
            <v>4025093</v>
          </cell>
          <cell r="D11677" t="str">
            <v>ZESTAW PROD.162ST STAND KRA</v>
          </cell>
        </row>
        <row r="11678">
          <cell r="C11678">
            <v>4025273</v>
          </cell>
          <cell r="D11678" t="str">
            <v>ZESTAW PROD.226ST STAND KRA</v>
          </cell>
        </row>
        <row r="11679">
          <cell r="C11679">
            <v>4025272</v>
          </cell>
          <cell r="D11679" t="str">
            <v>***ZESTAW PROD.266ST STAND KRA</v>
          </cell>
        </row>
        <row r="11680">
          <cell r="C11680">
            <v>4025362</v>
          </cell>
          <cell r="D11680" t="str">
            <v>ZESTAW PROD.168ST STAND KRA</v>
          </cell>
        </row>
        <row r="11681">
          <cell r="C11681">
            <v>4025757</v>
          </cell>
          <cell r="D11681" t="str">
            <v>***ZESTAW PROD.164ST STAND KRA</v>
          </cell>
        </row>
        <row r="11682">
          <cell r="C11682">
            <v>4025914</v>
          </cell>
          <cell r="D11682" t="str">
            <v>***ZESTAW PROD.240ST STAND KRA</v>
          </cell>
        </row>
        <row r="11683">
          <cell r="C11683">
            <v>4025966</v>
          </cell>
          <cell r="D11683" t="str">
            <v>ZESTAW PROD.171ST STAND KRA</v>
          </cell>
        </row>
        <row r="11684">
          <cell r="C11684">
            <v>4026030</v>
          </cell>
          <cell r="D11684" t="str">
            <v>***ZESTAW PROD.160ST STAND KRA</v>
          </cell>
        </row>
        <row r="11685">
          <cell r="C11685">
            <v>4026170</v>
          </cell>
          <cell r="D11685" t="str">
            <v>***ZESTAW PROD.216ST STAND KRA</v>
          </cell>
        </row>
        <row r="11686">
          <cell r="C11686">
            <v>4026230</v>
          </cell>
          <cell r="D11686" t="str">
            <v>***ZESTAW PROD.226ST STAND KRA II</v>
          </cell>
        </row>
        <row r="11687">
          <cell r="C11687">
            <v>4026473</v>
          </cell>
          <cell r="D11687" t="str">
            <v>***ZESTAW PROD.174ST STAND KRA</v>
          </cell>
        </row>
        <row r="11688">
          <cell r="C11688">
            <v>4026506</v>
          </cell>
          <cell r="D11688" t="str">
            <v>ZESTAW PROD.169ST STAND KRA</v>
          </cell>
        </row>
        <row r="11689">
          <cell r="C11689">
            <v>4026730</v>
          </cell>
          <cell r="D11689" t="str">
            <v>***ZESTAW PROD.164ST STAND KRA II</v>
          </cell>
        </row>
        <row r="11690">
          <cell r="C11690">
            <v>4026776</v>
          </cell>
          <cell r="D11690" t="str">
            <v>***ZESTAW PROD.180ST STAND KRA</v>
          </cell>
        </row>
        <row r="11691">
          <cell r="C11691">
            <v>4027120</v>
          </cell>
          <cell r="D11691" t="str">
            <v>***ZESTAW PROD.217ST STAND KRA</v>
          </cell>
        </row>
        <row r="11692">
          <cell r="C11692">
            <v>4027328</v>
          </cell>
          <cell r="D11692" t="str">
            <v>ZESTAW PROD.174ST STAND KRA II</v>
          </cell>
        </row>
        <row r="11693">
          <cell r="C11693">
            <v>4027426</v>
          </cell>
          <cell r="D11693" t="str">
            <v>***ZESTAW PROD.177ST STAND KRA</v>
          </cell>
        </row>
        <row r="11694">
          <cell r="C11694">
            <v>4027398</v>
          </cell>
          <cell r="D11694" t="str">
            <v>ZESTAW PROD.217ST STAND KRA II</v>
          </cell>
        </row>
        <row r="11695">
          <cell r="C11695">
            <v>4027835</v>
          </cell>
          <cell r="D11695" t="str">
            <v>***ZESTAW PROD.177ST STAND KRA II</v>
          </cell>
        </row>
        <row r="11696">
          <cell r="C11696">
            <v>4028343</v>
          </cell>
          <cell r="D11696" t="str">
            <v>***ZESTAW PROD.174ST STAND KRA III</v>
          </cell>
        </row>
        <row r="11697">
          <cell r="C11697">
            <v>4028441</v>
          </cell>
          <cell r="D11697" t="str">
            <v>***ZESTAW PROD.174ST STAND KRA IV</v>
          </cell>
        </row>
        <row r="11698">
          <cell r="C11698">
            <v>4028733</v>
          </cell>
          <cell r="D11698" t="str">
            <v>***ZESTAW PROD.175ST STAND KRA</v>
          </cell>
        </row>
        <row r="11699">
          <cell r="C11699">
            <v>4028962</v>
          </cell>
          <cell r="D11699" t="str">
            <v>***ZESTAW PROD.169ST STAND KRA II</v>
          </cell>
        </row>
        <row r="11700">
          <cell r="C11700">
            <v>4028956</v>
          </cell>
          <cell r="D11700" t="str">
            <v>***ZESTAW PROD.180ST STAND KRA II</v>
          </cell>
        </row>
        <row r="11701">
          <cell r="C11701">
            <v>4029126</v>
          </cell>
          <cell r="D11701" t="str">
            <v>ZESTAW PROD.174ST STAND KRA V</v>
          </cell>
        </row>
        <row r="11702">
          <cell r="C11702">
            <v>4029133</v>
          </cell>
          <cell r="D11702" t="str">
            <v>***ZESTAW PROD.175ST STAND KRA II</v>
          </cell>
        </row>
        <row r="11703">
          <cell r="C11703">
            <v>4029195</v>
          </cell>
          <cell r="D11703" t="str">
            <v>ZESTAW PROD.208ST STAND KRA</v>
          </cell>
        </row>
        <row r="11704">
          <cell r="C11704">
            <v>4029434</v>
          </cell>
          <cell r="D11704" t="str">
            <v>ZESTAW PROD.164ST STAND KRA III</v>
          </cell>
        </row>
        <row r="11705">
          <cell r="C11705">
            <v>4029528</v>
          </cell>
          <cell r="D11705" t="str">
            <v>***ZESTAW PROD.169ST STAND KRA III</v>
          </cell>
        </row>
        <row r="11706">
          <cell r="C11706">
            <v>4029552</v>
          </cell>
          <cell r="D11706" t="str">
            <v>***ZESTAW PROD.176ST STAND KRA</v>
          </cell>
        </row>
        <row r="11707">
          <cell r="C11707">
            <v>4029651</v>
          </cell>
          <cell r="D11707" t="str">
            <v>ZESTAW PROD.156ST STAND KRA</v>
          </cell>
        </row>
        <row r="11708">
          <cell r="C11708">
            <v>4029718</v>
          </cell>
          <cell r="D11708" t="str">
            <v>ZESTAW PROD.189ST STAND KRA</v>
          </cell>
        </row>
        <row r="11709">
          <cell r="C11709">
            <v>4030057</v>
          </cell>
          <cell r="D11709" t="str">
            <v>ZESTAW PROD.226ST STAND KRA III</v>
          </cell>
        </row>
        <row r="11710">
          <cell r="C11710">
            <v>4030088</v>
          </cell>
          <cell r="D11710" t="str">
            <v>ZESTAW PROD.198ST STAND KRA</v>
          </cell>
        </row>
        <row r="11711">
          <cell r="C11711">
            <v>4030087</v>
          </cell>
          <cell r="D11711" t="str">
            <v>ZESTAW PROD.194ST STAND KRA</v>
          </cell>
        </row>
        <row r="11712">
          <cell r="C11712">
            <v>4030190</v>
          </cell>
          <cell r="D11712" t="str">
            <v>ZESTAW PROD.185ST STAND KRA II</v>
          </cell>
        </row>
        <row r="11713">
          <cell r="C11713">
            <v>4030375</v>
          </cell>
          <cell r="D11713" t="str">
            <v>ZESTAW PROD.248ST STAND KRA II</v>
          </cell>
        </row>
        <row r="11714">
          <cell r="C11714">
            <v>4030376</v>
          </cell>
          <cell r="D11714" t="str">
            <v>ZESTAW PROD.182ST STAND KRA</v>
          </cell>
        </row>
        <row r="11715">
          <cell r="C11715">
            <v>4030426</v>
          </cell>
          <cell r="D11715" t="str">
            <v>ZESTAW PROD.176ST STAND KRA II</v>
          </cell>
        </row>
        <row r="11716">
          <cell r="C11716">
            <v>4030507</v>
          </cell>
          <cell r="D11716" t="str">
            <v>ZESTAW PROD.180ST STAND KRA III</v>
          </cell>
        </row>
        <row r="11717">
          <cell r="C11717">
            <v>4030532</v>
          </cell>
          <cell r="D11717" t="str">
            <v>ZESTAW PROD.160ST STAND KRA</v>
          </cell>
        </row>
        <row r="11718">
          <cell r="C11718">
            <v>4030627</v>
          </cell>
          <cell r="D11718" t="str">
            <v>ZESTAW PROD.180ST STAND KRA IV</v>
          </cell>
        </row>
        <row r="11719">
          <cell r="C11719">
            <v>4030717</v>
          </cell>
          <cell r="D11719" t="str">
            <v>ZESTAW PROD.223ST STAND KRA</v>
          </cell>
        </row>
        <row r="11720">
          <cell r="C11720">
            <v>4031207</v>
          </cell>
          <cell r="D11720" t="str">
            <v>ZESTAW PROD.254ST STAND KRA</v>
          </cell>
        </row>
        <row r="11721">
          <cell r="C11721">
            <v>4031457</v>
          </cell>
          <cell r="D11721" t="str">
            <v>ZESTAW PROD.254ST STAND KRA II</v>
          </cell>
        </row>
        <row r="11722">
          <cell r="C11722">
            <v>4031491</v>
          </cell>
          <cell r="D11722" t="str">
            <v>ZESTAW PROD.254ST STAND KRA III</v>
          </cell>
        </row>
        <row r="11723">
          <cell r="C11723">
            <v>4031483</v>
          </cell>
          <cell r="D11723" t="str">
            <v>ZESTAW PROD.180ST STAND KRA V</v>
          </cell>
        </row>
        <row r="11724">
          <cell r="C11724">
            <v>4031723</v>
          </cell>
          <cell r="D11724" t="str">
            <v>ZESTAW PROD.244ST STAND KRA</v>
          </cell>
        </row>
        <row r="11725">
          <cell r="C11725">
            <v>3033383</v>
          </cell>
          <cell r="D11725" t="str">
            <v>KIEŁB.BIAŁE AS</v>
          </cell>
        </row>
        <row r="11726">
          <cell r="C11726">
            <v>3033357</v>
          </cell>
          <cell r="D11726" t="str">
            <v>KIEŁB.BIAŁE BS</v>
          </cell>
        </row>
        <row r="11727">
          <cell r="C11727">
            <v>4022902</v>
          </cell>
          <cell r="D11727" t="str">
            <v>***KIEŁB.BIAŁE 300GMAP 20STKT KRA</v>
          </cell>
        </row>
        <row r="11728">
          <cell r="C11728">
            <v>3033384</v>
          </cell>
          <cell r="D11728" t="str">
            <v>KIEŁB.BIAŁE 300GMAP BL</v>
          </cell>
        </row>
        <row r="11729">
          <cell r="C11729">
            <v>4023362</v>
          </cell>
          <cell r="D11729" t="str">
            <v>***KIEŁB.BIAŁE OK1KGMAP OK10KGKT KRA</v>
          </cell>
        </row>
        <row r="11730">
          <cell r="C11730">
            <v>4026415</v>
          </cell>
          <cell r="D11730" t="str">
            <v>***KIEŁB.BIAŁE 300GMAP 10STKT KRA</v>
          </cell>
        </row>
        <row r="11731">
          <cell r="C11731">
            <v>3040481</v>
          </cell>
          <cell r="D11731" t="str">
            <v>KIEŁB.BIAŁE 250GMAP BL</v>
          </cell>
        </row>
        <row r="11732">
          <cell r="C11732">
            <v>3039148</v>
          </cell>
          <cell r="D11732" t="str">
            <v>***WT KIEŁB.BIAŁE KAW.</v>
          </cell>
        </row>
        <row r="11733">
          <cell r="C11733">
            <v>4022266</v>
          </cell>
          <cell r="D11733" t="str">
            <v>***K.MIX BIAŁE+PIEPRZ.300GMAP20STKT KRA</v>
          </cell>
        </row>
        <row r="11734">
          <cell r="C11734">
            <v>4026284</v>
          </cell>
          <cell r="D11734" t="str">
            <v>***K.MIX BIAŁE+PIEPRZ.300GMAP16STKT KRA</v>
          </cell>
        </row>
        <row r="11735">
          <cell r="C11735">
            <v>4026911</v>
          </cell>
          <cell r="D11735" t="str">
            <v>KIEŁB.BIAŁE+PIEPRZOWE 250GMAP 12STKT KRA</v>
          </cell>
        </row>
        <row r="11736">
          <cell r="C11736">
            <v>3037365</v>
          </cell>
          <cell r="D11736" t="str">
            <v>KABAN.WP.160G AD KRA</v>
          </cell>
        </row>
        <row r="11737">
          <cell r="C11737">
            <v>3037364</v>
          </cell>
          <cell r="D11737" t="str">
            <v>KABAN.WP.160G BS KRA</v>
          </cell>
        </row>
        <row r="11738">
          <cell r="C11738">
            <v>3037326</v>
          </cell>
          <cell r="D11738" t="str">
            <v>KABAN.WP.160G AS KRA</v>
          </cell>
        </row>
        <row r="11739">
          <cell r="C11739">
            <v>3037366</v>
          </cell>
          <cell r="D11739" t="str">
            <v>KABAN.WP.160GMAP BL KRA ST</v>
          </cell>
        </row>
        <row r="11740">
          <cell r="C11740">
            <v>4026617</v>
          </cell>
          <cell r="D11740" t="str">
            <v>***KABAN.WP.160GMAP 27STPJ KRA</v>
          </cell>
        </row>
        <row r="11741">
          <cell r="C11741">
            <v>3035741</v>
          </cell>
          <cell r="D11741" t="str">
            <v>KABAN.JALAPENO AD KRA</v>
          </cell>
        </row>
        <row r="11742">
          <cell r="C11742">
            <v>3035711</v>
          </cell>
          <cell r="D11742" t="str">
            <v>KABAN.JALAPENO BS KRA</v>
          </cell>
        </row>
        <row r="11743">
          <cell r="C11743">
            <v>3035740</v>
          </cell>
          <cell r="D11743" t="str">
            <v>KABAN.JALAPENO AS KRA</v>
          </cell>
        </row>
        <row r="11744">
          <cell r="C11744">
            <v>4024117</v>
          </cell>
          <cell r="D11744" t="str">
            <v>***KABAN.JALAPENO 95GMAP 14STKT KRA</v>
          </cell>
        </row>
        <row r="11745">
          <cell r="C11745">
            <v>3036433</v>
          </cell>
          <cell r="D11745" t="str">
            <v>KABAN.JALAPENO 95GMAP BL ST</v>
          </cell>
        </row>
        <row r="11746">
          <cell r="C11746">
            <v>4024325</v>
          </cell>
          <cell r="D11746" t="str">
            <v>***KABAN.JALAPENO 95GMAP 8STKT KRA</v>
          </cell>
        </row>
        <row r="11747">
          <cell r="C11747">
            <v>4026074</v>
          </cell>
          <cell r="D11747" t="str">
            <v>KABAN.JALAPENO 95GMAP 60STPJ KRA</v>
          </cell>
        </row>
        <row r="11748">
          <cell r="C11748">
            <v>4026615</v>
          </cell>
          <cell r="D11748" t="str">
            <v>***KABAN.JALAPENO 95GMAP 25STPJ KRA</v>
          </cell>
        </row>
        <row r="11749">
          <cell r="C11749">
            <v>4026915</v>
          </cell>
          <cell r="D11749" t="str">
            <v>***KABAN.JALAPENO 95GMAP 22STPJ KRA</v>
          </cell>
        </row>
        <row r="11750">
          <cell r="C11750">
            <v>4030578</v>
          </cell>
          <cell r="D11750" t="str">
            <v>KABAN.JALAPENO NA KRAW.95GMAP 10STKT KRA</v>
          </cell>
        </row>
        <row r="11751">
          <cell r="C11751">
            <v>4031624</v>
          </cell>
          <cell r="D11751" t="str">
            <v>KABAN.JALAPENO 95GMAP 18STKT KRA</v>
          </cell>
        </row>
        <row r="11752">
          <cell r="C11752">
            <v>4030644</v>
          </cell>
          <cell r="D11752" t="str">
            <v>KABAN.JALAPENO 95GMAP 16STKT KRA</v>
          </cell>
        </row>
        <row r="11753">
          <cell r="C11753">
            <v>4030924</v>
          </cell>
          <cell r="D11753" t="str">
            <v>KABAN.JALAPENO 95GMAP 20STKT KRA</v>
          </cell>
        </row>
        <row r="11754">
          <cell r="C11754">
            <v>3008486</v>
          </cell>
          <cell r="D11754" t="str">
            <v>***KIEŁB.KRAKOWSKA 572G KRAK</v>
          </cell>
        </row>
        <row r="11755">
          <cell r="C11755">
            <v>3008487</v>
          </cell>
          <cell r="D11755" t="str">
            <v>***BS KIEŁ.KRAKOWSKA 572G KRAK</v>
          </cell>
        </row>
        <row r="11756">
          <cell r="C11756">
            <v>3008488</v>
          </cell>
          <cell r="D11756" t="str">
            <v>***AS KIEŁ.KRAKOWSKA 572G KRAK</v>
          </cell>
        </row>
        <row r="11757">
          <cell r="C11757">
            <v>4004424</v>
          </cell>
          <cell r="D11757" t="str">
            <v>***KIEŁB.KRAKOWSKA KRAKUS 572G 1ST VAC</v>
          </cell>
        </row>
        <row r="11758">
          <cell r="C11758">
            <v>4005427</v>
          </cell>
          <cell r="D11758" t="str">
            <v>***KIEŁB.KRAKOWSKA KRAKUS VAC</v>
          </cell>
        </row>
        <row r="11759">
          <cell r="C11759">
            <v>3016694</v>
          </cell>
          <cell r="D11759" t="str">
            <v>***SZYN.RYCERSKA AS KRA</v>
          </cell>
        </row>
        <row r="11760">
          <cell r="C11760">
            <v>3016695</v>
          </cell>
          <cell r="D11760" t="str">
            <v>***SZYN.RYCERSKA BS KRA</v>
          </cell>
        </row>
        <row r="11761">
          <cell r="C11761">
            <v>4007877</v>
          </cell>
          <cell r="D11761" t="str">
            <v>***SZYN.B/KNST.1STTRM OK10KGKT KRA EX</v>
          </cell>
        </row>
        <row r="11762">
          <cell r="C11762">
            <v>4007878</v>
          </cell>
          <cell r="D11762" t="str">
            <v>***SZYN.RYCERSKA 1STVAC OK10KGKT KRA</v>
          </cell>
        </row>
        <row r="11763">
          <cell r="C11763">
            <v>4008173</v>
          </cell>
          <cell r="D11763" t="str">
            <v>***SZYN.B/KNST.1/2STTRM OK10KGKT KRA</v>
          </cell>
        </row>
        <row r="11764">
          <cell r="C11764">
            <v>4008174</v>
          </cell>
          <cell r="D11764" t="str">
            <v>***SZYN.B/KO.1/2ST TRM OK10KGKT KRAK KOD</v>
          </cell>
        </row>
        <row r="11765">
          <cell r="C11765">
            <v>4007916</v>
          </cell>
          <cell r="D11765" t="str">
            <v>***SZYN.RYCERSKA 1STVAC OK4KGKT KRA</v>
          </cell>
        </row>
        <row r="11766">
          <cell r="C11766">
            <v>4007917</v>
          </cell>
          <cell r="D11766" t="str">
            <v>***SZYN.B/KNST.1STTRM OK3KGKT KRA</v>
          </cell>
        </row>
        <row r="11767">
          <cell r="C11767">
            <v>4008190</v>
          </cell>
          <cell r="D11767" t="str">
            <v>***SZYN.B/KNST.1STTRM OK8KGKT KRA</v>
          </cell>
        </row>
        <row r="11768">
          <cell r="C11768">
            <v>4008222</v>
          </cell>
          <cell r="D11768" t="str">
            <v>***SZYN.B/KON. 1/2SZT TRM OK4KG KT KRAK</v>
          </cell>
        </row>
        <row r="11769">
          <cell r="C11769">
            <v>4008221</v>
          </cell>
          <cell r="D11769" t="str">
            <v>***SZYN.B/KNST.1/2STTRM OK4KGKT KRA</v>
          </cell>
        </row>
        <row r="11770">
          <cell r="C11770">
            <v>4021192</v>
          </cell>
          <cell r="D11770" t="str">
            <v>***SZYN.RYCERSKA 1/2STVAC OK5KGKT KRA</v>
          </cell>
        </row>
        <row r="11771">
          <cell r="C11771">
            <v>4021860</v>
          </cell>
          <cell r="D11771" t="str">
            <v>***SZYN.B/KNST.1/4STVAC OK5KGKT KRA II</v>
          </cell>
        </row>
        <row r="11772">
          <cell r="C11772">
            <v>4008374</v>
          </cell>
          <cell r="D11772" t="str">
            <v>***SZYN.B/KON. KRAK 1/2ST TRM 4KGKTNETO</v>
          </cell>
        </row>
        <row r="11773">
          <cell r="C11773">
            <v>4008568</v>
          </cell>
          <cell r="D11773" t="str">
            <v>***SZYN.B/KON 1SZT KT KRA INTER</v>
          </cell>
        </row>
        <row r="11774">
          <cell r="C11774">
            <v>4009200</v>
          </cell>
          <cell r="D11774" t="str">
            <v>***SZYN.B/KNST.1STVAC OK4KGKT KAUF</v>
          </cell>
        </row>
        <row r="11775">
          <cell r="C11775">
            <v>4009641</v>
          </cell>
          <cell r="D11775" t="str">
            <v>***SZYN.B/KONS.1/2SZTVAC OK10KGKT KRAK K</v>
          </cell>
        </row>
        <row r="11776">
          <cell r="C11776">
            <v>4009679</v>
          </cell>
          <cell r="D11776" t="str">
            <v>***SZYN.B/KON.1/2 STTRM OK.3KGKT KRA JMP</v>
          </cell>
        </row>
        <row r="11777">
          <cell r="C11777">
            <v>4014968</v>
          </cell>
          <cell r="D11777" t="str">
            <v>***SZYN.SZLACHECKA 1STTRMOK10KGKT MOR DC</v>
          </cell>
        </row>
        <row r="11778">
          <cell r="C11778">
            <v>4015491</v>
          </cell>
          <cell r="D11778" t="str">
            <v>***SZYN.B/KNST.1/2STVAC OK5KGKT BIED</v>
          </cell>
        </row>
        <row r="11779">
          <cell r="C11779">
            <v>4019739</v>
          </cell>
          <cell r="D11779" t="str">
            <v>***SZYN.B/KNST.1/4STVAC 5KGKT LIDL</v>
          </cell>
        </row>
        <row r="11780">
          <cell r="C11780">
            <v>4020573</v>
          </cell>
          <cell r="D11780" t="str">
            <v>***SZYN.RYCERSKA 1/4STVAC OK5KGKT KRA I</v>
          </cell>
        </row>
        <row r="11781">
          <cell r="C11781">
            <v>3017938</v>
          </cell>
          <cell r="D11781" t="str">
            <v>SZYN.ZRAZOWA AS</v>
          </cell>
        </row>
        <row r="11782">
          <cell r="C11782">
            <v>3017930</v>
          </cell>
          <cell r="D11782" t="str">
            <v>SZYN.ZRAZOWA BS</v>
          </cell>
        </row>
        <row r="11783">
          <cell r="C11783">
            <v>4012277</v>
          </cell>
          <cell r="D11783" t="str">
            <v>***SZYN.ZRAZOWA 1STTRM OK10KGKT KRA</v>
          </cell>
        </row>
        <row r="11784">
          <cell r="C11784">
            <v>4012880</v>
          </cell>
          <cell r="D11784" t="str">
            <v>***SZYN.ZRAZOWA 1STTRM OK5KGKT KRA</v>
          </cell>
        </row>
        <row r="11785">
          <cell r="C11785">
            <v>3018382</v>
          </cell>
          <cell r="D11785" t="str">
            <v>***SZYN.ZRAZOWA MAŁA AS</v>
          </cell>
        </row>
        <row r="11786">
          <cell r="C11786">
            <v>3018381</v>
          </cell>
          <cell r="D11786" t="str">
            <v>***SZYN.ZRAZOWA MAŁA BS</v>
          </cell>
        </row>
        <row r="11787">
          <cell r="C11787">
            <v>4013483</v>
          </cell>
          <cell r="D11787" t="str">
            <v>***SZYN.ZRAZ.MAŁA1ST VAC OK4KG KT KAUF P</v>
          </cell>
        </row>
        <row r="11788">
          <cell r="C11788">
            <v>4014337</v>
          </cell>
          <cell r="D11788" t="str">
            <v>***SZYN.ZRAZ.MAŁA 1STTRM 6STKT KRA EX UK</v>
          </cell>
        </row>
        <row r="11789">
          <cell r="C11789">
            <v>4012614</v>
          </cell>
          <cell r="D11789" t="str">
            <v>***SZYN.ZRAZOWA MAŁA 1STTRM OK4KGKT KRA</v>
          </cell>
        </row>
        <row r="11790">
          <cell r="C11790">
            <v>4013337</v>
          </cell>
          <cell r="D11790" t="str">
            <v>***SZYN.ZRAZOWA MAŁA1ST TRM 3KGKT KRAK N</v>
          </cell>
        </row>
        <row r="11791">
          <cell r="C11791">
            <v>4013614</v>
          </cell>
          <cell r="D11791" t="str">
            <v>***SZYN.ZRAZOWA MAŁA1ST TRM8ST KT KRA EX</v>
          </cell>
        </row>
        <row r="11792">
          <cell r="C11792">
            <v>4021070</v>
          </cell>
          <cell r="D11792" t="str">
            <v>***SZYN.ZRAZOWA MAŁA 1STVAC OK5KGKT KRA</v>
          </cell>
        </row>
        <row r="11793">
          <cell r="C11793">
            <v>4021310</v>
          </cell>
          <cell r="D11793" t="str">
            <v>***SZYN.ZRAZOWA MAŁAOK500GVACOK5KGKTKRA</v>
          </cell>
        </row>
        <row r="11794">
          <cell r="C11794">
            <v>3026993</v>
          </cell>
          <cell r="D11794" t="str">
            <v>***BOCZ.WP.Z CZOSN.KRA</v>
          </cell>
        </row>
        <row r="11795">
          <cell r="C11795">
            <v>3026992</v>
          </cell>
          <cell r="D11795" t="str">
            <v>***BOCZ.WP.Z CZOSN.KRA BS</v>
          </cell>
        </row>
        <row r="11796">
          <cell r="C11796">
            <v>4017885</v>
          </cell>
          <cell r="D11796" t="str">
            <v>***BOCZ.WP.Z CZOSN.OK500GVACOK5KGKT KRA</v>
          </cell>
        </row>
        <row r="11797">
          <cell r="C11797">
            <v>4022270</v>
          </cell>
          <cell r="D11797" t="str">
            <v>***KABAN.MIX 174ST STAND KRA</v>
          </cell>
        </row>
        <row r="11798">
          <cell r="C11798">
            <v>4022255</v>
          </cell>
          <cell r="D11798" t="str">
            <v>***KABAN.MIX 114ST STAND KRA</v>
          </cell>
        </row>
        <row r="11799">
          <cell r="C11799">
            <v>3029680</v>
          </cell>
          <cell r="D11799" t="str">
            <v>KIEŁB.KRUCHA OD SZWAGRA AD</v>
          </cell>
        </row>
        <row r="11800">
          <cell r="C11800">
            <v>3029673</v>
          </cell>
          <cell r="D11800" t="str">
            <v>KIEŁB.KRUCHA OD SZWAGRA BS</v>
          </cell>
        </row>
        <row r="11801">
          <cell r="C11801">
            <v>3029589</v>
          </cell>
          <cell r="D11801" t="str">
            <v>KIEŁB.KRUCHA OD SZWAGRA AS</v>
          </cell>
        </row>
        <row r="11802">
          <cell r="C11802">
            <v>4019763</v>
          </cell>
          <cell r="D11802" t="str">
            <v>***K.KRUCHA OD SZWAGRA 260GMAP18STKT KRA</v>
          </cell>
        </row>
        <row r="11803">
          <cell r="C11803">
            <v>4019858</v>
          </cell>
          <cell r="D11803" t="str">
            <v>***K.KRUCHA OD SZWAG.OK780GMAPOK5KGKTKRA</v>
          </cell>
        </row>
        <row r="11804">
          <cell r="C11804">
            <v>4021567</v>
          </cell>
          <cell r="D11804" t="str">
            <v>***K.KRUCHA OD SZWAGRA 260GMAP60STPJ KRA</v>
          </cell>
        </row>
        <row r="11805">
          <cell r="C11805">
            <v>4023673</v>
          </cell>
          <cell r="D11805" t="str">
            <v>***KIEŁB.PODSUSZ.260GMAP 18STKT KRA</v>
          </cell>
        </row>
        <row r="11806">
          <cell r="C11806">
            <v>4024581</v>
          </cell>
          <cell r="D11806" t="str">
            <v>***KIEŁB.PODSUSZ.GOLD 260GMAP 12STKT KRA</v>
          </cell>
        </row>
        <row r="11807">
          <cell r="C11807">
            <v>4025521</v>
          </cell>
          <cell r="D11807" t="str">
            <v>KIEŁB.PODSUSZ.260GMAP 12STKT KRA</v>
          </cell>
        </row>
        <row r="11808">
          <cell r="C11808">
            <v>3047043</v>
          </cell>
          <cell r="D11808" t="str">
            <v>KIEŁB.PODSUSZ.260GMAP BL</v>
          </cell>
        </row>
        <row r="11809">
          <cell r="C11809">
            <v>4027720</v>
          </cell>
          <cell r="D11809" t="str">
            <v>***KIEŁB.PODSUSZ.260GMAP12STKT KRA EX II</v>
          </cell>
        </row>
        <row r="11810">
          <cell r="C11810">
            <v>3034649</v>
          </cell>
          <cell r="D11810" t="str">
            <v>PP KIEŁB.ŻYWIECKA FI 50 AD KRA</v>
          </cell>
        </row>
        <row r="11811">
          <cell r="C11811">
            <v>3034648</v>
          </cell>
          <cell r="D11811" t="str">
            <v>PP KIEŁB.ŻYWIECKA FI 50 BS KRA</v>
          </cell>
        </row>
        <row r="11812">
          <cell r="C11812">
            <v>3034650</v>
          </cell>
          <cell r="D11812" t="str">
            <v>KIEŁB.ŻYWIECKA FI 50 AS KRA</v>
          </cell>
        </row>
        <row r="11813">
          <cell r="C11813">
            <v>4023282</v>
          </cell>
          <cell r="D11813" t="str">
            <v>***KIEŁB.ŻYWIECKA 460GVAC 12STKT KRA</v>
          </cell>
        </row>
        <row r="11814">
          <cell r="C11814">
            <v>3039157</v>
          </cell>
          <cell r="D11814" t="str">
            <v>KIEŁB.ŻYWIECKA 460GVAC BL ST</v>
          </cell>
        </row>
        <row r="11815">
          <cell r="C11815">
            <v>4023283</v>
          </cell>
          <cell r="D11815" t="str">
            <v>KIEŁB.ŻYWIECKA 230GVAC 20STKT KRA</v>
          </cell>
        </row>
        <row r="11816">
          <cell r="C11816">
            <v>3035611</v>
          </cell>
          <cell r="D11816" t="str">
            <v>KIEŁB.ŻYWIECKA 230GVAC BL ST</v>
          </cell>
        </row>
        <row r="11817">
          <cell r="C11817">
            <v>4023746</v>
          </cell>
          <cell r="D11817" t="str">
            <v>***K.ŻYWIECKA 460GVAC 12STKT ĆW.PAL KRA</v>
          </cell>
        </row>
        <row r="11818">
          <cell r="C11818">
            <v>4024136</v>
          </cell>
          <cell r="D11818" t="str">
            <v>***KIEŁB.ŻYWIECKA 460GVAC 6STKT KRA</v>
          </cell>
        </row>
        <row r="11819">
          <cell r="C11819">
            <v>4024481</v>
          </cell>
          <cell r="D11819" t="str">
            <v>KIEŁB.ŻYWIECKA 230GVAC 20STKT KRA DE</v>
          </cell>
        </row>
        <row r="11820">
          <cell r="C11820">
            <v>3046164</v>
          </cell>
          <cell r="D11820" t="str">
            <v>KIEŁB.ŻYWIECKA 230GVAC BL</v>
          </cell>
        </row>
        <row r="11821">
          <cell r="C11821">
            <v>4026281</v>
          </cell>
          <cell r="D11821" t="str">
            <v>***KIEŁB.ŻYWIECKA 230GVAC 60STPJ KRA</v>
          </cell>
        </row>
        <row r="11822">
          <cell r="C11822">
            <v>4026282</v>
          </cell>
          <cell r="D11822" t="str">
            <v>***KIEŁB.ŻYWIECKA 460GVAC 36STPJ KRA</v>
          </cell>
        </row>
        <row r="11823">
          <cell r="C11823">
            <v>4030246</v>
          </cell>
          <cell r="D11823" t="str">
            <v>KIEŁB.ŻYWIECKA 230GVAC 20STKT KRA GB</v>
          </cell>
        </row>
        <row r="11824">
          <cell r="C11824">
            <v>4023321</v>
          </cell>
          <cell r="D11824" t="str">
            <v>***KIEŁB.ŻYWIECKA 2STMAP OK5.5KGKT KRA</v>
          </cell>
        </row>
        <row r="11825">
          <cell r="C11825">
            <v>3036452</v>
          </cell>
          <cell r="D11825" t="str">
            <v>KABAN.DROB/WP.250G AD KRA</v>
          </cell>
        </row>
        <row r="11826">
          <cell r="C11826">
            <v>3036450</v>
          </cell>
          <cell r="D11826" t="str">
            <v>KABAN.DROB/WP.250G BS KRA</v>
          </cell>
        </row>
        <row r="11827">
          <cell r="C11827">
            <v>3036451</v>
          </cell>
          <cell r="D11827" t="str">
            <v>KABAN.DROB/WP.250G AS KRA</v>
          </cell>
        </row>
        <row r="11828">
          <cell r="C11828">
            <v>4024477</v>
          </cell>
          <cell r="D11828" t="str">
            <v>***KABAN.DROB/WP.250GMAP 14STKT KRA</v>
          </cell>
        </row>
        <row r="11829">
          <cell r="C11829">
            <v>3036453</v>
          </cell>
          <cell r="D11829" t="str">
            <v>KABAN.DROB/WP.250GMAP BL ST</v>
          </cell>
        </row>
        <row r="11830">
          <cell r="C11830">
            <v>4025221</v>
          </cell>
          <cell r="D11830" t="str">
            <v>KABAN.DROB/WP.250GMAP 10STKT KRA</v>
          </cell>
        </row>
        <row r="11831">
          <cell r="C11831">
            <v>4025339</v>
          </cell>
          <cell r="D11831" t="str">
            <v>***KABAN.DROB/WP.250GMAP10STKT KRA EX II</v>
          </cell>
        </row>
        <row r="11832">
          <cell r="C11832">
            <v>4026244</v>
          </cell>
          <cell r="D11832" t="str">
            <v>***KABAN.DROB/WP.250GMAP 43STPJ KRA</v>
          </cell>
        </row>
        <row r="11833">
          <cell r="C11833">
            <v>4026618</v>
          </cell>
          <cell r="D11833" t="str">
            <v>***KABAN.DROB/WP.250GMAP 39STPJ KRA</v>
          </cell>
        </row>
        <row r="11834">
          <cell r="C11834">
            <v>4028250</v>
          </cell>
          <cell r="D11834" t="str">
            <v>KABAN.DROB/WP.250GMAP 24STPJ KRA</v>
          </cell>
        </row>
        <row r="11835">
          <cell r="C11835">
            <v>4028977</v>
          </cell>
          <cell r="D11835" t="str">
            <v>KABAN.DROB/WP.250GMAP 43STPJ KRA II</v>
          </cell>
        </row>
        <row r="11836">
          <cell r="C11836">
            <v>4029293</v>
          </cell>
          <cell r="D11836" t="str">
            <v>KABAN.DROB/WP.250GMAP 86STPJ KRA</v>
          </cell>
        </row>
        <row r="11837">
          <cell r="C11837">
            <v>4030204</v>
          </cell>
          <cell r="D11837" t="str">
            <v>KABAN.DROB/WP.250GMAP 86STPJ KRA II</v>
          </cell>
        </row>
        <row r="11838">
          <cell r="C11838">
            <v>4030682</v>
          </cell>
          <cell r="D11838" t="str">
            <v>KABAN.DROB/WP.250GMAP 43STPJ KRA III</v>
          </cell>
        </row>
        <row r="11839">
          <cell r="C11839">
            <v>3036607</v>
          </cell>
          <cell r="D11839" t="str">
            <v>KABAN.SŁODKA PAPR.AD KRA</v>
          </cell>
        </row>
        <row r="11840">
          <cell r="C11840">
            <v>3036611</v>
          </cell>
          <cell r="D11840" t="str">
            <v>KABAN.SŁODKA PAPR.BS KRA</v>
          </cell>
        </row>
        <row r="11841">
          <cell r="C11841">
            <v>3036612</v>
          </cell>
          <cell r="D11841" t="str">
            <v>KABAN.SŁODKA PAPR.AS KRA</v>
          </cell>
        </row>
        <row r="11842">
          <cell r="C11842">
            <v>4025562</v>
          </cell>
          <cell r="D11842" t="str">
            <v>***KABAN.SŁODKA PAPR.95GMAP 14STKT KRA</v>
          </cell>
        </row>
        <row r="11843">
          <cell r="C11843">
            <v>3036627</v>
          </cell>
          <cell r="D11843" t="str">
            <v>KABAN.SŁODKA PAPR.95G MAP BL ST</v>
          </cell>
        </row>
        <row r="11844">
          <cell r="C11844">
            <v>4026613</v>
          </cell>
          <cell r="D11844" t="str">
            <v>***KABAN.SŁODKA PAPR.95GMAP 16STPJ KRA</v>
          </cell>
        </row>
        <row r="11845">
          <cell r="C11845">
            <v>3040214</v>
          </cell>
          <cell r="D11845" t="str">
            <v>***KABAN.SŁODKA PAPR.95GMAP14STKT KRA ST</v>
          </cell>
        </row>
        <row r="11846">
          <cell r="C11846">
            <v>4026735</v>
          </cell>
          <cell r="D11846" t="str">
            <v>KABAN.SŁODKA PAPR.95GMAP 60STPJ KRA</v>
          </cell>
        </row>
        <row r="11847">
          <cell r="C11847">
            <v>4026817</v>
          </cell>
          <cell r="D11847" t="str">
            <v>***KABAN.SŁODKA PAPR.95GMAP 8STKT KRA</v>
          </cell>
        </row>
        <row r="11848">
          <cell r="C11848">
            <v>4026914</v>
          </cell>
          <cell r="D11848" t="str">
            <v>***KABAN.SŁODKA PAPR.95GMAP 20STPJ KRA</v>
          </cell>
        </row>
        <row r="11849">
          <cell r="C11849">
            <v>4028772</v>
          </cell>
          <cell r="D11849" t="str">
            <v>KABAN.SŁODKA PAPR.95GMAP 30STPJ KRA</v>
          </cell>
        </row>
        <row r="11850">
          <cell r="C11850">
            <v>4030642</v>
          </cell>
          <cell r="D11850" t="str">
            <v>KABAN.SŁODKA PAPR.95GMAP 16STKT KRA</v>
          </cell>
        </row>
        <row r="11851">
          <cell r="C11851">
            <v>4030925</v>
          </cell>
          <cell r="D11851" t="str">
            <v>KABAN.SŁODKA PAPR.95GMAP 20STKT KRA</v>
          </cell>
        </row>
        <row r="11852">
          <cell r="C11852">
            <v>3037277</v>
          </cell>
          <cell r="D11852" t="str">
            <v>KIEŁB.OD MASARZA AS</v>
          </cell>
        </row>
        <row r="11853">
          <cell r="C11853">
            <v>3037276</v>
          </cell>
          <cell r="D11853" t="str">
            <v>KIEŁB.OD MASARZA BS</v>
          </cell>
        </row>
        <row r="11854">
          <cell r="C11854">
            <v>4025248</v>
          </cell>
          <cell r="D11854" t="str">
            <v>***KIEŁB.OD MASARZA 400GMAP 16STKT KRA</v>
          </cell>
        </row>
        <row r="11855">
          <cell r="C11855">
            <v>4025280</v>
          </cell>
          <cell r="D11855" t="str">
            <v>***K.OD MASARZA OK1.2KGMAPOK4.8KGKT KRA</v>
          </cell>
        </row>
        <row r="11856">
          <cell r="C11856">
            <v>3038457</v>
          </cell>
          <cell r="D11856" t="str">
            <v>KABAN.ZIEL.CEB.AD KRA</v>
          </cell>
        </row>
        <row r="11857">
          <cell r="C11857">
            <v>3038456</v>
          </cell>
          <cell r="D11857" t="str">
            <v>KABAN.ZIEL.CEB.BS KRA</v>
          </cell>
        </row>
        <row r="11858">
          <cell r="C11858">
            <v>3038455</v>
          </cell>
          <cell r="D11858" t="str">
            <v>KABAN.ZIEL.CEB.AS KRA</v>
          </cell>
        </row>
        <row r="11859">
          <cell r="C11859">
            <v>4025821</v>
          </cell>
          <cell r="D11859" t="str">
            <v>***KABAN.ZIEL.CEB.95GMAP 14STKT KRA</v>
          </cell>
        </row>
        <row r="11860">
          <cell r="C11860">
            <v>3038759</v>
          </cell>
          <cell r="D11860" t="str">
            <v>KABAN.ZIEL.CEB.95GMAP BL ST</v>
          </cell>
        </row>
        <row r="11861">
          <cell r="C11861">
            <v>4026616</v>
          </cell>
          <cell r="D11861" t="str">
            <v>***KABAN.ZIEL.CEB.95GMAP 15STPJ KRA</v>
          </cell>
        </row>
        <row r="11862">
          <cell r="C11862">
            <v>3040215</v>
          </cell>
          <cell r="D11862" t="str">
            <v>***KABAN.ZIEL.CEB.95GMAP 14STKT KRA ST</v>
          </cell>
        </row>
        <row r="11863">
          <cell r="C11863">
            <v>4026736</v>
          </cell>
          <cell r="D11863" t="str">
            <v>KABAN.ZIEL.CEB.95GMAP 60STPJ KRA</v>
          </cell>
        </row>
        <row r="11864">
          <cell r="C11864">
            <v>4028771</v>
          </cell>
          <cell r="D11864" t="str">
            <v>KABAN.ZIEL.CEB.95GMAP 30STPJ KRA</v>
          </cell>
        </row>
        <row r="11865">
          <cell r="C11865">
            <v>4030650</v>
          </cell>
          <cell r="D11865" t="str">
            <v>KABAN.ZIEL.CEB.95GMAP 16STKT KRA</v>
          </cell>
        </row>
        <row r="11866">
          <cell r="C11866">
            <v>4031655</v>
          </cell>
          <cell r="D11866" t="str">
            <v>KABAN.ZIEL.CEB.95GMAP 18STKT KRA</v>
          </cell>
        </row>
        <row r="11867">
          <cell r="C11867">
            <v>3039935</v>
          </cell>
          <cell r="D11867" t="str">
            <v>***KABAN.DROB/WP.Z/SER.AD KRA</v>
          </cell>
        </row>
        <row r="11868">
          <cell r="C11868">
            <v>3039939</v>
          </cell>
          <cell r="D11868" t="str">
            <v>***KABAN.DROB/WP.Z/SER.BS KRA</v>
          </cell>
        </row>
        <row r="11869">
          <cell r="C11869">
            <v>3039936</v>
          </cell>
          <cell r="D11869" t="str">
            <v>***KABAN.DROB/WP.Z/SER.AS KRA</v>
          </cell>
        </row>
        <row r="11870">
          <cell r="C11870">
            <v>4026619</v>
          </cell>
          <cell r="D11870" t="str">
            <v>**KABAN.DROB/WP.Z/SER.95G MAP 15STPJ KRA</v>
          </cell>
        </row>
        <row r="11871">
          <cell r="C11871">
            <v>3039937</v>
          </cell>
          <cell r="D11871" t="str">
            <v>***KABAN.DROB/WP.Z/SER.95GMAP BL ST</v>
          </cell>
        </row>
        <row r="11872">
          <cell r="C11872">
            <v>4026780</v>
          </cell>
          <cell r="D11872" t="str">
            <v>***KABAN.DROB/WP.Z/SER.95GMAP 14STKT KRA</v>
          </cell>
        </row>
        <row r="11873">
          <cell r="C11873">
            <v>4026916</v>
          </cell>
          <cell r="D11873" t="str">
            <v>***KABAN.DROB/WP.Z/SER.95GMAP 21STPJ KRA</v>
          </cell>
        </row>
        <row r="11874">
          <cell r="C11874">
            <v>4026642</v>
          </cell>
          <cell r="D11874" t="str">
            <v>***KABAN.DROB/WP.+WP.95GMAP 37STPJ KRA</v>
          </cell>
        </row>
        <row r="11875">
          <cell r="C11875">
            <v>4026917</v>
          </cell>
          <cell r="D11875" t="str">
            <v>***KABAN.DROB/WP.+WP.95GMAP 33STPJ KRA</v>
          </cell>
        </row>
        <row r="11876">
          <cell r="C11876">
            <v>3040563</v>
          </cell>
          <cell r="D11876" t="str">
            <v>PP KIEŁB.PODWAW.AS KRA</v>
          </cell>
        </row>
        <row r="11877">
          <cell r="C11877">
            <v>3040562</v>
          </cell>
          <cell r="D11877" t="str">
            <v>PP KIEŁB.PODWAW.BS KRA</v>
          </cell>
        </row>
        <row r="11878">
          <cell r="C11878">
            <v>4026936</v>
          </cell>
          <cell r="D11878" t="str">
            <v>PP KIEŁB.PODWAW.500GVAC 5KGKT KRA</v>
          </cell>
        </row>
        <row r="11879">
          <cell r="C11879">
            <v>3042996</v>
          </cell>
          <cell r="D11879" t="str">
            <v>KABAN.Z/BEK.AD KRA</v>
          </cell>
        </row>
        <row r="11880">
          <cell r="C11880">
            <v>3042990</v>
          </cell>
          <cell r="D11880" t="str">
            <v>KABAN.Z/BEK.BS KRA</v>
          </cell>
        </row>
        <row r="11881">
          <cell r="C11881">
            <v>3042995</v>
          </cell>
          <cell r="D11881" t="str">
            <v>KABAN.Z/BEK.AS KRA</v>
          </cell>
        </row>
        <row r="11882">
          <cell r="C11882">
            <v>4028332</v>
          </cell>
          <cell r="D11882" t="str">
            <v>***KABAN.Z/BEK.95GMAP 14STKT KRA</v>
          </cell>
        </row>
        <row r="11883">
          <cell r="C11883">
            <v>3042997</v>
          </cell>
          <cell r="D11883" t="str">
            <v>KABAN.Z/BEK.95GMAP BL ST</v>
          </cell>
        </row>
        <row r="11884">
          <cell r="C11884">
            <v>4028685</v>
          </cell>
          <cell r="D11884" t="str">
            <v>KABAN.Z/BEK.95GMAP 8STKT KRA</v>
          </cell>
        </row>
        <row r="11885">
          <cell r="C11885">
            <v>4028705</v>
          </cell>
          <cell r="D11885" t="str">
            <v>***KABAN.Z/BEK.95GMAP 60STPJ KRA</v>
          </cell>
        </row>
        <row r="11886">
          <cell r="C11886">
            <v>4028770</v>
          </cell>
          <cell r="D11886" t="str">
            <v>KABAN.Z/BEK.95GMAP 30STPJ KRA</v>
          </cell>
        </row>
        <row r="11887">
          <cell r="C11887">
            <v>4030641</v>
          </cell>
          <cell r="D11887" t="str">
            <v>KABAN.Z/BEK.95GMAP 16STKT KRA</v>
          </cell>
        </row>
        <row r="11888">
          <cell r="C11888">
            <v>4031627</v>
          </cell>
          <cell r="D11888" t="str">
            <v>KABAN.Z/BEK.95GMAP 18STKT KRA</v>
          </cell>
        </row>
        <row r="11889">
          <cell r="C11889">
            <v>3029405</v>
          </cell>
          <cell r="D11889" t="str">
            <v>***KIEŁB.SWOJSKA AS</v>
          </cell>
        </row>
        <row r="11890">
          <cell r="C11890">
            <v>3029404</v>
          </cell>
          <cell r="D11890" t="str">
            <v>***KIEŁB.SWOJSKA BS</v>
          </cell>
        </row>
        <row r="11891">
          <cell r="C11891">
            <v>4019595</v>
          </cell>
          <cell r="D11891" t="str">
            <v>***KIEŁB.SWOJSKA OK1.5KGMAP OK7KGKT KRA</v>
          </cell>
        </row>
        <row r="11892">
          <cell r="C11892">
            <v>3043410</v>
          </cell>
          <cell r="D11892" t="str">
            <v>KABAN.DROB/WP.CHED.AD KRA</v>
          </cell>
        </row>
        <row r="11893">
          <cell r="C11893">
            <v>3043328</v>
          </cell>
          <cell r="D11893" t="str">
            <v>KABAN.DROB/WP.CHED.BS KRA</v>
          </cell>
        </row>
        <row r="11894">
          <cell r="C11894">
            <v>3043329</v>
          </cell>
          <cell r="D11894" t="str">
            <v>KABAN.DROB/WP.CHED.AS KRA</v>
          </cell>
        </row>
        <row r="11895">
          <cell r="C11895">
            <v>4028695</v>
          </cell>
          <cell r="D11895" t="str">
            <v>***KABAN.DROB/WP.CHED.95GMAP 14STKT KRA</v>
          </cell>
        </row>
        <row r="11896">
          <cell r="C11896">
            <v>3043411</v>
          </cell>
          <cell r="D11896" t="str">
            <v>KABAN.DROB/WP.CHED.95GMAP BL ST</v>
          </cell>
        </row>
        <row r="11897">
          <cell r="C11897">
            <v>4028646</v>
          </cell>
          <cell r="D11897" t="str">
            <v>***KABAN.DROB/WP.CHED.95GMAP 8STKT KRA</v>
          </cell>
        </row>
        <row r="11898">
          <cell r="C11898">
            <v>4028703</v>
          </cell>
          <cell r="D11898" t="str">
            <v>***KABAN.DROB/WP.CHED.95GMAP 60STPJ KRA</v>
          </cell>
        </row>
        <row r="11899">
          <cell r="C11899">
            <v>4028739</v>
          </cell>
          <cell r="D11899" t="str">
            <v>KABAN.DROB/WP.CHED.95GMAP 30STPJ KRA</v>
          </cell>
        </row>
        <row r="11900">
          <cell r="C11900">
            <v>4029044</v>
          </cell>
          <cell r="D11900" t="str">
            <v>***KAB.DR/WP.CHED.NAKRAW.95GMAP10STKTKRA</v>
          </cell>
        </row>
        <row r="11901">
          <cell r="C11901">
            <v>4030651</v>
          </cell>
          <cell r="D11901" t="str">
            <v>KABAN.DROB/WP.CHED.95GMAP 16STKT KRA</v>
          </cell>
        </row>
        <row r="11902">
          <cell r="C11902">
            <v>4031654</v>
          </cell>
          <cell r="D11902" t="str">
            <v>KABAN.DROB/WP.CHED.95GMAP 18STKT KRA</v>
          </cell>
        </row>
        <row r="11903">
          <cell r="C11903">
            <v>3016671</v>
          </cell>
          <cell r="D11903" t="str">
            <v>***LUKSUSOWA PRZEKASKA WEDZ.KRAK</v>
          </cell>
        </row>
        <row r="11904">
          <cell r="C11904">
            <v>3016672</v>
          </cell>
          <cell r="D11904" t="str">
            <v>***BS LUKSUSOWA PRZEKASKA WEDZ.KRAK</v>
          </cell>
        </row>
        <row r="11905">
          <cell r="C11905">
            <v>4001135</v>
          </cell>
          <cell r="D11905" t="str">
            <v>LUKS.PRZEKĄS.WĘDZ.KRAKUS MAP180G</v>
          </cell>
        </row>
        <row r="11906">
          <cell r="C11906">
            <v>4001992</v>
          </cell>
          <cell r="D11906" t="str">
            <v>***LUKS.PRZEK.WĘDZ.KRAK 180G EXP.T</v>
          </cell>
        </row>
        <row r="11907">
          <cell r="C11907">
            <v>4004426</v>
          </cell>
          <cell r="D11907" t="str">
            <v>***LUKSUSOWA PRZEKĄS.WĘDZ.KRA MAP 180G T</v>
          </cell>
        </row>
        <row r="11908">
          <cell r="C11908">
            <v>4005476</v>
          </cell>
          <cell r="D11908" t="str">
            <v>***KABANOSIKI MAP 180G M</v>
          </cell>
        </row>
        <row r="11909">
          <cell r="C11909">
            <v>4005872</v>
          </cell>
          <cell r="D11909" t="str">
            <v>***LUKSUS.PRZEKĄS.WĘDZ.KRAKUS MAP1SZTJMD</v>
          </cell>
        </row>
        <row r="11910">
          <cell r="C11910">
            <v>4007115</v>
          </cell>
          <cell r="D11910" t="str">
            <v>***LUKS.PRZEKĄS.WĘDZ.KRAKUS180G+20GMAP</v>
          </cell>
        </row>
        <row r="11911">
          <cell r="C11911">
            <v>4008293</v>
          </cell>
          <cell r="D11911" t="str">
            <v>***LUKS.PRZEK.WĘDZ.OK1KG MAPOK3KGKT TESC</v>
          </cell>
        </row>
        <row r="11912">
          <cell r="C11912">
            <v>4009578</v>
          </cell>
          <cell r="D11912" t="str">
            <v>***LUKSUS.PRZEK.WĘDZ.180G MAP10ST KT ROS</v>
          </cell>
        </row>
        <row r="11913">
          <cell r="C11913">
            <v>3012545</v>
          </cell>
          <cell r="D11913" t="str">
            <v>PRZEKĄSKA WĘDZ.AD KRA</v>
          </cell>
        </row>
        <row r="11914">
          <cell r="C11914">
            <v>3012546</v>
          </cell>
          <cell r="D11914" t="str">
            <v>PRZEKĄSKA WĘDZ.KRA BS</v>
          </cell>
        </row>
        <row r="11915">
          <cell r="C11915">
            <v>3012547</v>
          </cell>
          <cell r="D11915" t="str">
            <v>PRZEKĄSKA WĘDZ.AS KRA</v>
          </cell>
        </row>
        <row r="11916">
          <cell r="C11916">
            <v>4010066</v>
          </cell>
          <cell r="D11916" t="str">
            <v>***LUKS.PRZEKĄS.WĘDZ.KRAK.180GMAP1.8KGKT</v>
          </cell>
        </row>
        <row r="11917">
          <cell r="C11917">
            <v>4010067</v>
          </cell>
          <cell r="D11917" t="str">
            <v>KABAN.180GMAP 10STKT KRA EX</v>
          </cell>
        </row>
        <row r="11918">
          <cell r="C11918">
            <v>4010068</v>
          </cell>
          <cell r="D11918" t="str">
            <v>***LUKS.PRZEK.WĘDZ.180G+20GMAP2.8KGKTKRA</v>
          </cell>
        </row>
        <row r="11919">
          <cell r="C11919">
            <v>4011404</v>
          </cell>
          <cell r="D11919" t="str">
            <v>***LUKS.PRZEK.WĘDZ.KRA180G MAP10STKTEX</v>
          </cell>
        </row>
        <row r="11920">
          <cell r="C11920">
            <v>4012791</v>
          </cell>
          <cell r="D11920" t="str">
            <v>***LUKS.PRZEKĄS.WĘDZ180GMAP1.8KGKTĆW.PAL</v>
          </cell>
        </row>
        <row r="11921">
          <cell r="C11921">
            <v>4014063</v>
          </cell>
          <cell r="D11921" t="str">
            <v>***LUKS.PRZEK.WĘDZ180G+20GMAP2.4KG KTKRA</v>
          </cell>
        </row>
        <row r="11922">
          <cell r="C11922">
            <v>4014951</v>
          </cell>
          <cell r="D11922" t="str">
            <v>***KABAN.180GMAP 10STKT KRA</v>
          </cell>
        </row>
        <row r="11923">
          <cell r="C11923">
            <v>3043622</v>
          </cell>
          <cell r="D11923" t="str">
            <v>KABAN.DROB/WP.SALSA POMID.AD KRA</v>
          </cell>
        </row>
        <row r="11924">
          <cell r="C11924">
            <v>3043624</v>
          </cell>
          <cell r="D11924" t="str">
            <v>KABAN.DROB/WP.SALSA POMID.BS KRA</v>
          </cell>
        </row>
        <row r="11925">
          <cell r="C11925">
            <v>3043623</v>
          </cell>
          <cell r="D11925" t="str">
            <v>KABAN.DROB/WP.SALSA POMID.AS KRA</v>
          </cell>
        </row>
        <row r="11926">
          <cell r="C11926">
            <v>4028728</v>
          </cell>
          <cell r="D11926" t="str">
            <v>***KABAN.DR.WP.SALSAPOMID95GMAP14STKTKRA</v>
          </cell>
        </row>
        <row r="11927">
          <cell r="C11927">
            <v>3043637</v>
          </cell>
          <cell r="D11927" t="str">
            <v>KABAN.DROB/WP.SALSA POMID.95GMAP BL ST</v>
          </cell>
        </row>
        <row r="11928">
          <cell r="C11928">
            <v>4030643</v>
          </cell>
          <cell r="D11928" t="str">
            <v>KABAN.DROB/WP.SALSA POMID95GMAP16STKTKRA</v>
          </cell>
        </row>
        <row r="11929">
          <cell r="C11929">
            <v>4031625</v>
          </cell>
          <cell r="D11929" t="str">
            <v>KABAN.DROB/WP.SALSA POMID95GMAP18STKTKRA</v>
          </cell>
        </row>
        <row r="11930">
          <cell r="C11930">
            <v>3043599</v>
          </cell>
          <cell r="D11930" t="str">
            <v>KABAN.Z/BEK.220G AD KRA</v>
          </cell>
        </row>
        <row r="11931">
          <cell r="C11931">
            <v>3043597</v>
          </cell>
          <cell r="D11931" t="str">
            <v>KABAN.Z/BEK.220G BS KRA</v>
          </cell>
        </row>
        <row r="11932">
          <cell r="C11932">
            <v>3043598</v>
          </cell>
          <cell r="D11932" t="str">
            <v>KABAN.Z/BEK.220G AS KRA</v>
          </cell>
        </row>
        <row r="11933">
          <cell r="C11933">
            <v>3043535</v>
          </cell>
          <cell r="D11933" t="str">
            <v>KABAN.Z/BEK.220GMAP BL ST</v>
          </cell>
        </row>
        <row r="11934">
          <cell r="C11934">
            <v>4006278</v>
          </cell>
          <cell r="D11934" t="str">
            <v>***ZESTAW ŚWIĄTECZNY KRAKUS</v>
          </cell>
        </row>
        <row r="11935">
          <cell r="C11935">
            <v>4009663</v>
          </cell>
          <cell r="D11935" t="str">
            <v>***ZESTAW ŚWIĄTECZNY KRAK</v>
          </cell>
        </row>
        <row r="11936">
          <cell r="C11936">
            <v>3012499</v>
          </cell>
          <cell r="D11936" t="str">
            <v>***KIEŁBASA ŚLĄSKA</v>
          </cell>
        </row>
        <row r="11937">
          <cell r="C11937">
            <v>3012496</v>
          </cell>
          <cell r="D11937" t="str">
            <v>***KIEŁBASA ŚLĄSKA BS</v>
          </cell>
        </row>
        <row r="11938">
          <cell r="C11938">
            <v>4009975</v>
          </cell>
          <cell r="D11938" t="str">
            <v>***KIEŁB.ŚLĄSKA KRAKUS OK700G MAP</v>
          </cell>
        </row>
        <row r="11939">
          <cell r="C11939">
            <v>4010137</v>
          </cell>
          <cell r="D11939" t="str">
            <v>***KIEŁB.ŚLĄSKA KRAKUS 700G MAP 4.9KG KT</v>
          </cell>
        </row>
        <row r="11940">
          <cell r="C11940">
            <v>4012533</v>
          </cell>
          <cell r="D11940" t="str">
            <v>***KIEŁB.ŚLĄSKA 460G MAP 12ST KT KRA</v>
          </cell>
        </row>
        <row r="11941">
          <cell r="C11941">
            <v>3021529</v>
          </cell>
          <cell r="D11941" t="str">
            <v>***KIEŁB.ŚLĄSKA NORM.BRAN.</v>
          </cell>
        </row>
        <row r="11942">
          <cell r="C11942">
            <v>3021528</v>
          </cell>
          <cell r="D11942" t="str">
            <v>***KIEŁB.ŚLĄSKA NORM.BRAN.BS</v>
          </cell>
        </row>
        <row r="11943">
          <cell r="C11943">
            <v>4014214</v>
          </cell>
          <cell r="D11943" t="str">
            <v>***KIEŁB.ŚLĄSKA N.B.550G MAP 4.95KGKTKRA</v>
          </cell>
        </row>
        <row r="11944">
          <cell r="C11944">
            <v>4014198</v>
          </cell>
          <cell r="D11944" t="str">
            <v>***KIEŁB.ŚLĄSKA N.B.OK1KG MAPOK7KGKTKRA</v>
          </cell>
        </row>
        <row r="11945">
          <cell r="C11945">
            <v>3027383</v>
          </cell>
          <cell r="D11945" t="str">
            <v>KIEŁB.OD SZWAGRA AS</v>
          </cell>
        </row>
        <row r="11946">
          <cell r="C11946">
            <v>3027382</v>
          </cell>
          <cell r="D11946" t="str">
            <v>KIEŁB.OD SZWAGRA BS</v>
          </cell>
        </row>
        <row r="11947">
          <cell r="C11947">
            <v>4018180</v>
          </cell>
          <cell r="D11947" t="str">
            <v>***KIEŁB.OD SZWAGRA 400GMAP 12STKT KRA</v>
          </cell>
        </row>
        <row r="11948">
          <cell r="C11948">
            <v>4018179</v>
          </cell>
          <cell r="D11948" t="str">
            <v>***KIEŁB.OD SZWAGRA OK1KGMAP OK9KGKT KRA</v>
          </cell>
        </row>
        <row r="11949">
          <cell r="C11949">
            <v>4019656</v>
          </cell>
          <cell r="D11949" t="str">
            <v>***K.OD SZWAGRA OK1.2KGMAPOK4.8KGKT KRA</v>
          </cell>
        </row>
        <row r="11950">
          <cell r="C11950">
            <v>4019686</v>
          </cell>
          <cell r="D11950" t="str">
            <v>***KIEŁB.OD SZWAGRA 400GMAP 16STKT KRA I</v>
          </cell>
        </row>
        <row r="11951">
          <cell r="C11951">
            <v>4019908</v>
          </cell>
          <cell r="D11951" t="str">
            <v>***KIEŁB.OD SZWAGRA 400GMAP16STKT KRA II</v>
          </cell>
        </row>
        <row r="11952">
          <cell r="C11952">
            <v>3027022</v>
          </cell>
          <cell r="D11952" t="str">
            <v>SZYN.WG KRA</v>
          </cell>
        </row>
        <row r="11953">
          <cell r="C11953">
            <v>3027021</v>
          </cell>
          <cell r="D11953" t="str">
            <v>SZYN.WG BS KRA</v>
          </cell>
        </row>
        <row r="11954">
          <cell r="C11954">
            <v>4017894</v>
          </cell>
          <cell r="D11954" t="str">
            <v>SZYN.WG OK1KG VAC OK4KG KT KRA</v>
          </cell>
        </row>
        <row r="11955">
          <cell r="C11955">
            <v>4017970</v>
          </cell>
          <cell r="D11955" t="str">
            <v>***SZYN.WG OK1KG VAC 3KG KT KRA</v>
          </cell>
        </row>
        <row r="11956">
          <cell r="C11956">
            <v>3027017</v>
          </cell>
          <cell r="D11956" t="str">
            <v>SCH.WG KRA</v>
          </cell>
        </row>
        <row r="11957">
          <cell r="C11957">
            <v>3027016</v>
          </cell>
          <cell r="D11957" t="str">
            <v>SCH.WG BS KRA</v>
          </cell>
        </row>
        <row r="11958">
          <cell r="C11958">
            <v>4017895</v>
          </cell>
          <cell r="D11958" t="str">
            <v>***SCH.WG.OK1KGVAC OK4KGKT KRA</v>
          </cell>
        </row>
        <row r="11959">
          <cell r="C11959">
            <v>4017919</v>
          </cell>
          <cell r="D11959" t="str">
            <v>***SCH.WG OK1KG VAC 3KG KT KRA</v>
          </cell>
        </row>
        <row r="11960">
          <cell r="C11960">
            <v>3035497</v>
          </cell>
          <cell r="D11960" t="str">
            <v>PP SZYN.OD KRAKUSA</v>
          </cell>
        </row>
        <row r="11961">
          <cell r="C11961">
            <v>3035509</v>
          </cell>
          <cell r="D11961" t="str">
            <v>PP SZYN.OD KRAKUSA BS</v>
          </cell>
        </row>
        <row r="11962">
          <cell r="C11962">
            <v>4024174</v>
          </cell>
          <cell r="D11962" t="str">
            <v>***SZYN.ZAPIE.OK400GVAC OK5KGKT KRA</v>
          </cell>
        </row>
        <row r="11963">
          <cell r="C11963">
            <v>4024639</v>
          </cell>
          <cell r="D11963" t="str">
            <v>***SZYN.ZAPIE.OK400GVAC 5KGKT KRA</v>
          </cell>
        </row>
        <row r="11964">
          <cell r="C11964">
            <v>4027708</v>
          </cell>
          <cell r="D11964" t="str">
            <v>***SZYN.ZAPIE.OK400GVAC OK5KGKT KRA EX</v>
          </cell>
        </row>
        <row r="11965">
          <cell r="C11965">
            <v>4031200</v>
          </cell>
          <cell r="D11965" t="str">
            <v>SZYN.ZAPIE.GOLD OK400GVAC OK5KGKT KRA</v>
          </cell>
        </row>
        <row r="11966">
          <cell r="C11966">
            <v>4024167</v>
          </cell>
          <cell r="D11966" t="str">
            <v>***SZYN.OD KRAKUSA 1STVAC OK5KGKT KRA</v>
          </cell>
        </row>
        <row r="11967">
          <cell r="C11967">
            <v>4024205</v>
          </cell>
          <cell r="D11967" t="str">
            <v>SZYN.OD KRAKUSA 1STVAC OK5KGKT KRA PROM.</v>
          </cell>
        </row>
        <row r="11968">
          <cell r="C11968">
            <v>3035499</v>
          </cell>
          <cell r="D11968" t="str">
            <v>PP BOCZ.OD KRAKUSA</v>
          </cell>
        </row>
        <row r="11969">
          <cell r="C11969">
            <v>3035515</v>
          </cell>
          <cell r="D11969" t="str">
            <v>PP BOCZ.OD KRAKUSA  BS</v>
          </cell>
        </row>
        <row r="11970">
          <cell r="C11970">
            <v>4024173</v>
          </cell>
          <cell r="D11970" t="str">
            <v>***BOCZ.ZAPIE.OK400GVAC OK5KGKT KRA</v>
          </cell>
        </row>
        <row r="11971">
          <cell r="C11971">
            <v>4024637</v>
          </cell>
          <cell r="D11971" t="str">
            <v>***BOCZ.ZAPIE.OK400GVAC 5KGKT KRA</v>
          </cell>
        </row>
        <row r="11972">
          <cell r="C11972">
            <v>4024659</v>
          </cell>
          <cell r="D11972" t="str">
            <v>BOCZ.ZAPIE.GOLD OK400GVAC OK5KGKT KRA</v>
          </cell>
        </row>
        <row r="11973">
          <cell r="C11973">
            <v>4027713</v>
          </cell>
          <cell r="D11973" t="str">
            <v>***BOCZ.ZAPIE.OK400GVAC OK5KGKT KRA EX</v>
          </cell>
        </row>
        <row r="11974">
          <cell r="C11974">
            <v>4024200</v>
          </cell>
          <cell r="D11974" t="str">
            <v>***BOCZ.OD KRAKUSA 1STVAC OK5KGKT KRA</v>
          </cell>
        </row>
        <row r="11975">
          <cell r="C11975">
            <v>4024207</v>
          </cell>
          <cell r="D11975" t="str">
            <v>***BOCZ.OD KRAKUSA 1STVACOK5KGKTKRAPROM.</v>
          </cell>
        </row>
        <row r="11976">
          <cell r="C11976">
            <v>3035498</v>
          </cell>
          <cell r="D11976" t="str">
            <v>SCH.OD KRAKUSA</v>
          </cell>
        </row>
        <row r="11977">
          <cell r="C11977">
            <v>3035488</v>
          </cell>
          <cell r="D11977" t="str">
            <v>SCH.OD KRAKUSA BS</v>
          </cell>
        </row>
        <row r="11978">
          <cell r="C11978">
            <v>4024175</v>
          </cell>
          <cell r="D11978" t="str">
            <v>***SCH.ZAPIE.OK400GVAC OK5KGKT KRA</v>
          </cell>
        </row>
        <row r="11979">
          <cell r="C11979">
            <v>4024638</v>
          </cell>
          <cell r="D11979" t="str">
            <v>***SCH.ZAPIE.OK400GVAC 5KGKT KRA</v>
          </cell>
        </row>
        <row r="11980">
          <cell r="C11980">
            <v>4027709</v>
          </cell>
          <cell r="D11980" t="str">
            <v>***SCH.ZAPIE.OK400GVAC OK5KGKT KRA EX</v>
          </cell>
        </row>
        <row r="11981">
          <cell r="C11981">
            <v>4024168</v>
          </cell>
          <cell r="D11981" t="str">
            <v>***SCH.OD KRAKUSA 1STVAC OK5KGKT KRA</v>
          </cell>
        </row>
        <row r="11982">
          <cell r="C11982">
            <v>4024206</v>
          </cell>
          <cell r="D11982" t="str">
            <v>***SCH.OD KRAKUSA 1STVACOK5KGKTKRA PROM.</v>
          </cell>
        </row>
        <row r="11983">
          <cell r="C11983">
            <v>3040111</v>
          </cell>
          <cell r="D11983" t="str">
            <v>***PP SZYN.ŚWIĘTOKRZ.AS</v>
          </cell>
        </row>
        <row r="11984">
          <cell r="C11984">
            <v>3040121</v>
          </cell>
          <cell r="D11984" t="str">
            <v>***PP SZYN.ŚWIĘTOKRZ.BS</v>
          </cell>
        </row>
        <row r="11985">
          <cell r="C11985">
            <v>4026571</v>
          </cell>
          <cell r="D11985" t="str">
            <v>***PP SZYN.ŚWIĘTOKRZ.OK450GVACOK5KGKTKRA</v>
          </cell>
        </row>
        <row r="11986">
          <cell r="C11986">
            <v>3040130</v>
          </cell>
          <cell r="D11986" t="str">
            <v>***PP SCH.ŚWIĘTOKRZ.AS</v>
          </cell>
        </row>
        <row r="11987">
          <cell r="C11987">
            <v>3040089</v>
          </cell>
          <cell r="D11987" t="str">
            <v>***PP SCH.ŚWIĘTOKRZ.BS</v>
          </cell>
        </row>
        <row r="11988">
          <cell r="C11988">
            <v>4026602</v>
          </cell>
          <cell r="D11988" t="str">
            <v>***PP SCH.ŚWIĘTOKRZ.OK450GVACOK5KGKT KRA</v>
          </cell>
        </row>
        <row r="11989">
          <cell r="C11989">
            <v>3044428</v>
          </cell>
          <cell r="D11989" t="str">
            <v>SNAKERSY CLASS.AD KRA</v>
          </cell>
        </row>
        <row r="11990">
          <cell r="C11990">
            <v>3044418</v>
          </cell>
          <cell r="D11990" t="str">
            <v>SNAKERSY CLASS.BS KRA</v>
          </cell>
        </row>
        <row r="11991">
          <cell r="C11991">
            <v>3044427</v>
          </cell>
          <cell r="D11991" t="str">
            <v>SNAKERSY CLASS.AS KRA</v>
          </cell>
        </row>
        <row r="11992">
          <cell r="C11992">
            <v>4029354</v>
          </cell>
          <cell r="D11992" t="str">
            <v>SNAKERSY CLASS.85GMAP 14STKT KRA</v>
          </cell>
        </row>
        <row r="11993">
          <cell r="C11993">
            <v>3044621</v>
          </cell>
          <cell r="D11993" t="str">
            <v>SNAKERSY CLASS.85GMAP BL</v>
          </cell>
        </row>
        <row r="11994">
          <cell r="C11994">
            <v>4030003</v>
          </cell>
          <cell r="D11994" t="str">
            <v>SNAKERSY CLASS.85GMAP 14STKT KRA EX</v>
          </cell>
        </row>
        <row r="11995">
          <cell r="C11995">
            <v>4031027</v>
          </cell>
          <cell r="D11995" t="str">
            <v>SNAKERSY CLASS.NA KRAW.85GMAP 20STKT KRA</v>
          </cell>
        </row>
        <row r="11996">
          <cell r="C11996">
            <v>4030926</v>
          </cell>
          <cell r="D11996" t="str">
            <v>SNAKERSY CLASS.85GMAP 20STKT KRA</v>
          </cell>
        </row>
        <row r="11997">
          <cell r="C11997">
            <v>3044442</v>
          </cell>
          <cell r="D11997" t="str">
            <v>SNAKERSY PAPR.AD KRA</v>
          </cell>
        </row>
        <row r="11998">
          <cell r="C11998">
            <v>3044440</v>
          </cell>
          <cell r="D11998" t="str">
            <v>SNAKERSY PAPR.BS KRA</v>
          </cell>
        </row>
        <row r="11999">
          <cell r="C11999">
            <v>3044441</v>
          </cell>
          <cell r="D11999" t="str">
            <v>SNAKERSY PAPR.AS KRA</v>
          </cell>
        </row>
        <row r="12000">
          <cell r="C12000">
            <v>4029353</v>
          </cell>
          <cell r="D12000" t="str">
            <v>SNAKERSY PAPR.85GMAP 14STKT KRA</v>
          </cell>
        </row>
        <row r="12001">
          <cell r="C12001">
            <v>3044622</v>
          </cell>
          <cell r="D12001" t="str">
            <v>SNAKERSY PAPR.85GMAP BL</v>
          </cell>
        </row>
        <row r="12002">
          <cell r="C12002">
            <v>4030002</v>
          </cell>
          <cell r="D12002" t="str">
            <v>SNAKERSY PAPR.85GMAP 14STKT KRA EX</v>
          </cell>
        </row>
        <row r="12003">
          <cell r="C12003">
            <v>4031026</v>
          </cell>
          <cell r="D12003" t="str">
            <v>SNAKERSY PAPR.NA KRAW.85GMAP 20STKT KRA</v>
          </cell>
        </row>
        <row r="12004">
          <cell r="C12004">
            <v>4030927</v>
          </cell>
          <cell r="D12004" t="str">
            <v>SNAKERSY PAPR.85GMAP 20STKT KRA</v>
          </cell>
        </row>
        <row r="12005">
          <cell r="C12005">
            <v>4029527</v>
          </cell>
          <cell r="D12005" t="str">
            <v>SNAKERSY MIX 85GMAP 14STKT KRA</v>
          </cell>
        </row>
        <row r="12006">
          <cell r="C12006">
            <v>4030131</v>
          </cell>
          <cell r="D12006" t="str">
            <v>SNAKERSY MIX 85GMAP 14STKT KRA EX</v>
          </cell>
        </row>
        <row r="12007">
          <cell r="C12007">
            <v>4030205</v>
          </cell>
          <cell r="D12007" t="str">
            <v>SNAKERSY MIX 85GMAP 40STPJ KRA</v>
          </cell>
        </row>
        <row r="12008">
          <cell r="C12008">
            <v>3044914</v>
          </cell>
          <cell r="D12008" t="str">
            <v>KIEŁB.KRUCHA PIE.AS</v>
          </cell>
        </row>
        <row r="12009">
          <cell r="C12009">
            <v>3044913</v>
          </cell>
          <cell r="D12009" t="str">
            <v>KIEŁB.KRUCHA PIE.BS</v>
          </cell>
        </row>
        <row r="12010">
          <cell r="C12010">
            <v>4029792</v>
          </cell>
          <cell r="D12010" t="str">
            <v>KIEŁB.KRUCHA PIE.OK1KGMAP OK6KGKT KRA</v>
          </cell>
        </row>
        <row r="12011">
          <cell r="C12011">
            <v>4031020</v>
          </cell>
          <cell r="D12011" t="str">
            <v>KIEŁB.KRUCHA PIE.OK500GMAP 3KGKT KRA</v>
          </cell>
        </row>
        <row r="12012">
          <cell r="C12012">
            <v>3046217</v>
          </cell>
          <cell r="D12012" t="str">
            <v>KABAN.DROB/WP.220G AD</v>
          </cell>
        </row>
        <row r="12013">
          <cell r="C12013">
            <v>3046215</v>
          </cell>
          <cell r="D12013" t="str">
            <v>KABAN.DROB/WP.220G BS</v>
          </cell>
        </row>
        <row r="12014">
          <cell r="C12014">
            <v>3046216</v>
          </cell>
          <cell r="D12014" t="str">
            <v>KABAN.DROB/WP.220G AS</v>
          </cell>
        </row>
        <row r="12015">
          <cell r="C12015">
            <v>4030609</v>
          </cell>
          <cell r="D12015" t="str">
            <v>KABAN.DROB/WP.220GMAP 10ST KT KRA</v>
          </cell>
        </row>
        <row r="12016">
          <cell r="C12016">
            <v>3046218</v>
          </cell>
          <cell r="D12016" t="str">
            <v>KABAN.DROB/WP.220GMAP BL</v>
          </cell>
        </row>
        <row r="12017">
          <cell r="C12017">
            <v>3045408</v>
          </cell>
          <cell r="D12017" t="str">
            <v>PP KIEŁB.PODWAW.450G AS KRA</v>
          </cell>
        </row>
        <row r="12018">
          <cell r="C12018">
            <v>3045407</v>
          </cell>
          <cell r="D12018" t="str">
            <v>PP KIEŁB.PODWAW.450G BS KRA</v>
          </cell>
        </row>
        <row r="12019">
          <cell r="C12019">
            <v>4030121</v>
          </cell>
          <cell r="D12019" t="str">
            <v>PP KIEŁB.PODWAW.450GVAC 10STKT KRA</v>
          </cell>
        </row>
        <row r="12020">
          <cell r="C12020">
            <v>4030775</v>
          </cell>
          <cell r="D12020" t="str">
            <v>PP KIEŁB.PODWAW.OK500GVAC OK6KGKT KRA</v>
          </cell>
        </row>
        <row r="12021">
          <cell r="C12021">
            <v>3045464</v>
          </cell>
          <cell r="D12021" t="str">
            <v>BOCZ.OD SZWAGRA AS KRA</v>
          </cell>
        </row>
        <row r="12022">
          <cell r="C12022">
            <v>3045463</v>
          </cell>
          <cell r="D12022" t="str">
            <v>BOCZ.OD SZWAGRA BS KRA</v>
          </cell>
        </row>
        <row r="12023">
          <cell r="C12023">
            <v>4031021</v>
          </cell>
          <cell r="D12023" t="str">
            <v>BOCZ.OD SZWAGRA OK500G 5KGKT KRA</v>
          </cell>
        </row>
        <row r="12024">
          <cell r="C12024">
            <v>4030162</v>
          </cell>
          <cell r="D12024" t="str">
            <v>BOCZ.OD SZWAGRA 1STVAC OK15KGKT KRA</v>
          </cell>
        </row>
        <row r="12025">
          <cell r="C12025">
            <v>4031122</v>
          </cell>
          <cell r="D12025" t="str">
            <v>BOCZ.OD SZWAGRA 1STVAC OK5KGKT KRA</v>
          </cell>
        </row>
        <row r="12026">
          <cell r="C12026">
            <v>3047344</v>
          </cell>
          <cell r="D12026" t="str">
            <v>BOCZ.OD SZW.DO PLAST.1STVAC OK15KGPJ ST</v>
          </cell>
        </row>
        <row r="12027">
          <cell r="C12027">
            <v>4030127</v>
          </cell>
          <cell r="D12027" t="str">
            <v>KABAN.MIX 95GMAP 14STKT KRA EX</v>
          </cell>
        </row>
        <row r="12028">
          <cell r="C12028">
            <v>4030203</v>
          </cell>
          <cell r="D12028" t="str">
            <v>KABAN.MIX 95GMAP 60STPJ KRA</v>
          </cell>
        </row>
        <row r="12029">
          <cell r="C12029">
            <v>4030672</v>
          </cell>
          <cell r="D12029" t="str">
            <v>KABAN.MIX 95GMAP 100STPJ KRA</v>
          </cell>
        </row>
        <row r="12030">
          <cell r="C12030">
            <v>4031660</v>
          </cell>
          <cell r="D12030" t="str">
            <v>KABAN.MIX 95GMAP 16STKT KRA EX</v>
          </cell>
        </row>
        <row r="12031">
          <cell r="C12031">
            <v>3016673</v>
          </cell>
          <cell r="D12031" t="str">
            <v>***BOCZ.WĘDZ.KLAS.AS KRA</v>
          </cell>
        </row>
        <row r="12032">
          <cell r="C12032">
            <v>3016674</v>
          </cell>
          <cell r="D12032" t="str">
            <v>***BOCZ.KLASYCZNY WĘDZ.BS KRA</v>
          </cell>
        </row>
        <row r="12033">
          <cell r="C12033">
            <v>4004429</v>
          </cell>
          <cell r="D12033" t="str">
            <v>***BOCZ.KLAS.WĘDZ.PC VAC OK5KG KT KRA</v>
          </cell>
        </row>
        <row r="12034">
          <cell r="C12034">
            <v>3008493</v>
          </cell>
          <cell r="D12034" t="str">
            <v>***BOCZ.KLAS.WĘDZ.PC VAC BL KRA</v>
          </cell>
        </row>
        <row r="12035">
          <cell r="C12035">
            <v>4004430</v>
          </cell>
          <cell r="D12035" t="str">
            <v>***BOCZ.KLAS.WĘDZ.OK0.4KGVAC4.7-5.5KGKTK</v>
          </cell>
        </row>
        <row r="12036">
          <cell r="C12036">
            <v>4004431</v>
          </cell>
          <cell r="D12036" t="str">
            <v>***BOCZ.KLAS.WĘDZ.OK0.4KGVACOK5KGKTKRAGB</v>
          </cell>
        </row>
        <row r="12037">
          <cell r="C12037">
            <v>4009622</v>
          </cell>
          <cell r="D12037" t="str">
            <v>***BOCZ.KLAS.WĘDZ.KRA OK0.4KGVACOK5KGKTK</v>
          </cell>
        </row>
        <row r="12038">
          <cell r="C12038">
            <v>4017735</v>
          </cell>
          <cell r="D12038" t="str">
            <v>***BOCZ.KLAS.WĘDZ.OK400GVAC OK4KGKT KRA</v>
          </cell>
        </row>
        <row r="12039">
          <cell r="C12039">
            <v>4021194</v>
          </cell>
          <cell r="D12039" t="str">
            <v>***BOCZ.KLAS.WĘDZ.OK400GVAC OK5KGKT KRA</v>
          </cell>
        </row>
        <row r="12040">
          <cell r="C12040">
            <v>4021155</v>
          </cell>
          <cell r="D12040" t="str">
            <v>***BOCZ.KLAS.WĘDZ.OK400GVACOK5KGKTKRA EX</v>
          </cell>
        </row>
        <row r="12041">
          <cell r="C12041">
            <v>4004432</v>
          </cell>
          <cell r="D12041" t="str">
            <v>***BOCZ.KLAS.WĘDZ.OK1KGVAC OK5KGKT KRA</v>
          </cell>
        </row>
        <row r="12042">
          <cell r="C12042">
            <v>3008494</v>
          </cell>
          <cell r="D12042" t="str">
            <v>***BOCZ.KLAS.WĘDZ.OK1KG BL KRA</v>
          </cell>
        </row>
        <row r="12043">
          <cell r="C12043">
            <v>4013537</v>
          </cell>
          <cell r="D12043" t="str">
            <v>***BOCZ.KLAS.WĘDZ 1/2STTRM OK5KGKT EX RO</v>
          </cell>
        </row>
        <row r="12044">
          <cell r="C12044">
            <v>3016675</v>
          </cell>
          <cell r="D12044" t="str">
            <v>***ŻEB.PARZ.WĘDZ.AS</v>
          </cell>
        </row>
        <row r="12045">
          <cell r="C12045">
            <v>3016676</v>
          </cell>
          <cell r="D12045" t="str">
            <v>***ŻEB.PARZ.WĘDZ.BS</v>
          </cell>
        </row>
        <row r="12046">
          <cell r="C12046">
            <v>4001995</v>
          </cell>
          <cell r="D12046" t="str">
            <v>***ŻEBERKA PARZONE WĘDZONE MAP 1KG</v>
          </cell>
        </row>
        <row r="12047">
          <cell r="C12047">
            <v>4004435</v>
          </cell>
          <cell r="D12047" t="str">
            <v>***ŻEBERKAPARZONEWĘDZONEMAP OK.1,8 KG M</v>
          </cell>
        </row>
        <row r="12048">
          <cell r="C12048">
            <v>4017811</v>
          </cell>
          <cell r="D12048" t="str">
            <v>***ŻEB.WĘDZ.PARZ.2ST MAP OK10KG KT MOR</v>
          </cell>
        </row>
        <row r="12049">
          <cell r="C12049">
            <v>3016677</v>
          </cell>
          <cell r="D12049" t="str">
            <v>***ŻEB.WĘDZONE</v>
          </cell>
        </row>
        <row r="12050">
          <cell r="C12050">
            <v>3016678</v>
          </cell>
          <cell r="D12050" t="str">
            <v>***BS ŻEB.WĘDZONE</v>
          </cell>
        </row>
        <row r="12051">
          <cell r="C12051">
            <v>4004436</v>
          </cell>
          <cell r="D12051" t="str">
            <v>***ŻEBERKA WĘDZONE MAP 3.5KG</v>
          </cell>
        </row>
        <row r="12052">
          <cell r="C12052">
            <v>3016679</v>
          </cell>
          <cell r="D12052" t="str">
            <v>SZYN.KONS.7LBS KRA</v>
          </cell>
        </row>
        <row r="12053">
          <cell r="C12053">
            <v>3016680</v>
          </cell>
          <cell r="D12053" t="str">
            <v>BS SZYNKA KONSER.7LBS KRAK</v>
          </cell>
        </row>
        <row r="12054">
          <cell r="C12054">
            <v>4001996</v>
          </cell>
          <cell r="D12054" t="str">
            <v>***SZYN.WP.KONS.7LB KRA EXP.1S</v>
          </cell>
        </row>
        <row r="12055">
          <cell r="C12055">
            <v>4006049</v>
          </cell>
          <cell r="D12055" t="str">
            <v>SZYNKA KRAKUS LUZ</v>
          </cell>
        </row>
        <row r="12056">
          <cell r="C12056">
            <v>4013129</v>
          </cell>
          <cell r="D12056" t="str">
            <v>SZYN.WP.KONS.7LBS LUZ OK 6KG KT MOR EX</v>
          </cell>
        </row>
        <row r="12057">
          <cell r="C12057">
            <v>4013148</v>
          </cell>
          <cell r="D12057" t="str">
            <v>***SZYN.KONS.BIAŁA 7LBS LUZ 2STKT MOR</v>
          </cell>
        </row>
        <row r="12058">
          <cell r="C12058">
            <v>4013252</v>
          </cell>
          <cell r="D12058" t="str">
            <v>***SZYN.WP.KONS.LUZ OK6KG KT MOR</v>
          </cell>
        </row>
        <row r="12059">
          <cell r="C12059">
            <v>3008501</v>
          </cell>
          <cell r="D12059" t="str">
            <v>***CZUJKI TERMOSTATY</v>
          </cell>
        </row>
        <row r="12060">
          <cell r="C12060">
            <v>4030292</v>
          </cell>
          <cell r="D12060" t="str">
            <v>ŻEB.PASKI WĘDZ.PARZ1/2STMAPOK5KGKTLIDLEE</v>
          </cell>
        </row>
        <row r="12061">
          <cell r="C12061">
            <v>3016681</v>
          </cell>
          <cell r="D12061" t="str">
            <v>***SALCESON TRADYCYJNY 700G</v>
          </cell>
        </row>
        <row r="12062">
          <cell r="C12062">
            <v>3016682</v>
          </cell>
          <cell r="D12062" t="str">
            <v>***BS SALCESON TRADYCYJNY 700G</v>
          </cell>
        </row>
        <row r="12063">
          <cell r="C12063">
            <v>4004449</v>
          </cell>
          <cell r="D12063" t="str">
            <v>***SALCESON TRADYCYJNY 700G</v>
          </cell>
        </row>
        <row r="12064">
          <cell r="C12064">
            <v>4004450</v>
          </cell>
          <cell r="D12064" t="str">
            <v>***SALCESON TRADYCYJNY 700G E.L.</v>
          </cell>
        </row>
        <row r="12065">
          <cell r="C12065">
            <v>4007820</v>
          </cell>
          <cell r="D12065" t="str">
            <v>***SALCESON TRADYCYJNY 700G EX E</v>
          </cell>
        </row>
        <row r="12066">
          <cell r="C12066">
            <v>4002003</v>
          </cell>
          <cell r="D12066" t="str">
            <v>***SALCESON TRADYCYJNY 700G LUZ</v>
          </cell>
        </row>
        <row r="12067">
          <cell r="C12067">
            <v>4002004</v>
          </cell>
          <cell r="D12067" t="str">
            <v>***SALCESON TRADYCYJNY 700G LUZ EXP</v>
          </cell>
        </row>
        <row r="12068">
          <cell r="C12068">
            <v>4002005</v>
          </cell>
          <cell r="D12068" t="str">
            <v>***SALCESON TRADYCYJNY 700G EXP.MAX</v>
          </cell>
        </row>
        <row r="12069">
          <cell r="C12069">
            <v>4002006</v>
          </cell>
          <cell r="D12069" t="str">
            <v>***SALCESON TRADYCYJNY 700G 1SZT EX</v>
          </cell>
        </row>
        <row r="12070">
          <cell r="C12070">
            <v>4006380</v>
          </cell>
          <cell r="D12070" t="str">
            <v>***SALCESON TRADYCYJNY 700G EXPORT P</v>
          </cell>
        </row>
        <row r="12071">
          <cell r="C12071">
            <v>4006664</v>
          </cell>
          <cell r="D12071" t="str">
            <v>***SALCESON TRADYCYJNY 700G 7KG KT M EX</v>
          </cell>
        </row>
        <row r="12072">
          <cell r="C12072">
            <v>4007360</v>
          </cell>
          <cell r="D12072" t="str">
            <v>***SALCESON TRADYCYJNY 700G EXP.B</v>
          </cell>
        </row>
        <row r="12073">
          <cell r="C12073">
            <v>4007572</v>
          </cell>
          <cell r="D12073" t="str">
            <v>***SALCESON TRADYCYJNY 1SZT EXP G</v>
          </cell>
        </row>
        <row r="12074">
          <cell r="C12074">
            <v>4008087</v>
          </cell>
          <cell r="D12074" t="str">
            <v>***SALCESON TRADYCYJNY 700G LUZ EX E</v>
          </cell>
        </row>
        <row r="12075">
          <cell r="C12075">
            <v>4008840</v>
          </cell>
          <cell r="D12075" t="str">
            <v>***SALCESON TRADYCYJNY 700G 7KGKT EST</v>
          </cell>
        </row>
        <row r="12076">
          <cell r="C12076">
            <v>4013130</v>
          </cell>
          <cell r="D12076" t="str">
            <v>***SALCESON TRADYCYJNY 700G 7KG KT LITWA</v>
          </cell>
        </row>
        <row r="12077">
          <cell r="C12077">
            <v>3046246</v>
          </cell>
          <cell r="D12077" t="str">
            <v>KABAN.DROB/WP.CLASS.AD</v>
          </cell>
        </row>
        <row r="12078">
          <cell r="C12078">
            <v>3046242</v>
          </cell>
          <cell r="D12078" t="str">
            <v>KABAN.DROB/WP.CLASS.BS</v>
          </cell>
        </row>
        <row r="12079">
          <cell r="C12079">
            <v>3046243</v>
          </cell>
          <cell r="D12079" t="str">
            <v>KABAN.DROB/WP.CLASS.AS</v>
          </cell>
        </row>
        <row r="12080">
          <cell r="C12080">
            <v>4030942</v>
          </cell>
          <cell r="D12080" t="str">
            <v>KABAN.DROB/WP.CLASS.85GMAP 18STKT BER GB</v>
          </cell>
        </row>
        <row r="12081">
          <cell r="C12081">
            <v>3046244</v>
          </cell>
          <cell r="D12081" t="str">
            <v>KABAN.DROB/WP.CLASS.85GMAP BL</v>
          </cell>
        </row>
        <row r="12082">
          <cell r="C12082">
            <v>4031063</v>
          </cell>
          <cell r="D12082" t="str">
            <v>KABAN.DROB/WP.CLASS.85GMAP 18STKT BER</v>
          </cell>
        </row>
        <row r="12083">
          <cell r="C12083">
            <v>4031270</v>
          </cell>
          <cell r="D12083" t="str">
            <v>KABAN.DROB/WP.CLASS.85GMAP 22STKT BER</v>
          </cell>
        </row>
        <row r="12084">
          <cell r="C12084">
            <v>3046234</v>
          </cell>
          <cell r="D12084" t="str">
            <v>KABAN.DROB/WP.CHILLI AD</v>
          </cell>
        </row>
        <row r="12085">
          <cell r="C12085">
            <v>3046232</v>
          </cell>
          <cell r="D12085" t="str">
            <v>KABAN.DROB/WP.CHILLI BS</v>
          </cell>
        </row>
        <row r="12086">
          <cell r="C12086">
            <v>3046233</v>
          </cell>
          <cell r="D12086" t="str">
            <v>KABAN.DROB/WP.CHILLI AS</v>
          </cell>
        </row>
        <row r="12087">
          <cell r="C12087">
            <v>4030906</v>
          </cell>
          <cell r="D12087" t="str">
            <v>KABAN.DROB/WP.CHILLI.85GMAP18STKT BER GB</v>
          </cell>
        </row>
        <row r="12088">
          <cell r="C12088">
            <v>3046235</v>
          </cell>
          <cell r="D12088" t="str">
            <v>KABAN.DROB/WP.CHILLI 85GMAP BL</v>
          </cell>
        </row>
        <row r="12089">
          <cell r="C12089">
            <v>4031019</v>
          </cell>
          <cell r="D12089" t="str">
            <v>KABAN.DROB/WP.CHILLI.85GMAP 18STKT BER</v>
          </cell>
        </row>
        <row r="12090">
          <cell r="C12090">
            <v>4031271</v>
          </cell>
          <cell r="D12090" t="str">
            <v>KABAN.DROB/WP.CHILLI 85GMAP 22STKT BER</v>
          </cell>
        </row>
        <row r="12091">
          <cell r="C12091">
            <v>3046239</v>
          </cell>
          <cell r="D12091" t="str">
            <v>KABAN.DROB.AD</v>
          </cell>
        </row>
        <row r="12092">
          <cell r="C12092">
            <v>3046237</v>
          </cell>
          <cell r="D12092" t="str">
            <v>KABAN.DROB.BS</v>
          </cell>
        </row>
        <row r="12093">
          <cell r="C12093">
            <v>3046238</v>
          </cell>
          <cell r="D12093" t="str">
            <v>KABAN.DROB.AS</v>
          </cell>
        </row>
        <row r="12094">
          <cell r="C12094">
            <v>3046240</v>
          </cell>
          <cell r="D12094" t="str">
            <v>KABAN.DROB.85GMAP BL</v>
          </cell>
        </row>
        <row r="12095">
          <cell r="C12095">
            <v>4031060</v>
          </cell>
          <cell r="D12095" t="str">
            <v>KABAN.DROB.85GMAP 18STKT BER</v>
          </cell>
        </row>
        <row r="12096">
          <cell r="C12096">
            <v>4031272</v>
          </cell>
          <cell r="D12096" t="str">
            <v>KABAN.DROB.85GMAP 22STKT BER</v>
          </cell>
        </row>
        <row r="12097">
          <cell r="C12097">
            <v>4008119</v>
          </cell>
          <cell r="D12097" t="str">
            <v>***SUNKOVE PARKY 200G VAC 4KT CZ/SK EX</v>
          </cell>
        </row>
        <row r="12098">
          <cell r="C12098">
            <v>4030632</v>
          </cell>
          <cell r="D12098" t="str">
            <v>KABAN.MIX 85GMAP 24STKT BER</v>
          </cell>
        </row>
        <row r="12099">
          <cell r="C12099">
            <v>4031311</v>
          </cell>
          <cell r="D12099" t="str">
            <v>KABAN.DR/WP.CLAS.X9+KAB.DRX9 85GMAP BER</v>
          </cell>
        </row>
        <row r="12100">
          <cell r="C12100">
            <v>4008825</v>
          </cell>
          <cell r="D12100" t="str">
            <v>***SUNKOVE PARKY 2*200G VAC.4KT CZ/SK EX</v>
          </cell>
        </row>
        <row r="12101">
          <cell r="C12101">
            <v>4008471</v>
          </cell>
          <cell r="D12101" t="str">
            <v>WĘDZ.CHŁOP.Z MAZUR 1STMAP OK10KGKT MORLI</v>
          </cell>
        </row>
        <row r="12102">
          <cell r="C12102">
            <v>4006778</v>
          </cell>
          <cell r="D12102" t="str">
            <v>***K.PAR.OK1.5KGMAPOK12KGKTEXCZ/SKMOR</v>
          </cell>
        </row>
        <row r="12103">
          <cell r="C12103">
            <v>4008488</v>
          </cell>
          <cell r="D12103" t="str">
            <v>***PARÓWKI Z SZYNKI B/O200G VAC4KT CZ EX</v>
          </cell>
        </row>
        <row r="12104">
          <cell r="C12104">
            <v>4008080</v>
          </cell>
          <cell r="D12104" t="str">
            <v>***KIEŁB.KRAK SUCHA320GVAC18ST KT CH EX</v>
          </cell>
        </row>
        <row r="12105">
          <cell r="C12105">
            <v>4008038</v>
          </cell>
          <cell r="D12105" t="str">
            <v>KIEŁB.KRAK.SUCHA 320G VAC 18ST KT EX</v>
          </cell>
        </row>
        <row r="12106">
          <cell r="C12106">
            <v>4000942</v>
          </cell>
          <cell r="D12106" t="str">
            <v>SZYNKA OD SZWAGRA 1/2ST TERM KT KRAK</v>
          </cell>
        </row>
        <row r="12107">
          <cell r="C12107">
            <v>4008021</v>
          </cell>
          <cell r="D12107" t="str">
            <v>K.KRAK.SUCHA KRAKUS 1/2SZT VAC 18KT CH</v>
          </cell>
        </row>
        <row r="12108">
          <cell r="C12108">
            <v>4007030</v>
          </cell>
          <cell r="D12108" t="str">
            <v>ŻEB.WP.MOST.WĘDZ.MAP KT EX MOR</v>
          </cell>
        </row>
        <row r="12109">
          <cell r="C12109">
            <v>4005642</v>
          </cell>
          <cell r="D12109" t="str">
            <v>***SERD.Z IND.TARIEL MAP OK12.0 KT EX Y</v>
          </cell>
        </row>
        <row r="12110">
          <cell r="C12110">
            <v>4007010</v>
          </cell>
          <cell r="D12110" t="str">
            <v>SZYN.OD SZWAGRA 1STTRM KT MOR EX</v>
          </cell>
        </row>
        <row r="12111">
          <cell r="C12111">
            <v>4006757</v>
          </cell>
          <cell r="D12111" t="str">
            <v>***PARÓWKI ŚNIADANIOWEOK.3KG MAP15KGKT</v>
          </cell>
        </row>
        <row r="12112">
          <cell r="C12112">
            <v>4006989</v>
          </cell>
          <cell r="D12112" t="str">
            <v>***PARÓWKI ŚNIADANIOWEOK.1.5KGMAP15KG KT</v>
          </cell>
        </row>
        <row r="12113">
          <cell r="C12113">
            <v>4000540</v>
          </cell>
          <cell r="D12113" t="str">
            <v>SZYNKA LITEWSKA 1ST TRM Z KOD KT</v>
          </cell>
        </row>
        <row r="12114">
          <cell r="C12114">
            <v>4003649</v>
          </cell>
          <cell r="D12114" t="str">
            <v>SZYN.KONS.SOG 11LB FKP2KT KRAKUS</v>
          </cell>
        </row>
        <row r="12115">
          <cell r="C12115">
            <v>4006908</v>
          </cell>
          <cell r="D12115" t="str">
            <v>SZYN.WP.SOG11LB FKP2KT YAN CZ/SL</v>
          </cell>
        </row>
        <row r="12116">
          <cell r="C12116">
            <v>4006202</v>
          </cell>
          <cell r="D12116" t="str">
            <v>***SZYN.KONS.SFG2.50KG F KP4KT KRAK</v>
          </cell>
        </row>
        <row r="12117">
          <cell r="C12117">
            <v>4006146</v>
          </cell>
          <cell r="D12117" t="str">
            <v>***KIEŁB.PARÓWKOWA OK1.5KG MAP KT CONS</v>
          </cell>
        </row>
        <row r="12118">
          <cell r="C12118">
            <v>4002213</v>
          </cell>
          <cell r="D12118" t="str">
            <v>SZYN.IND.W GALARECIE OK15KGKT EX YAN</v>
          </cell>
        </row>
        <row r="12119">
          <cell r="C12119">
            <v>4005312</v>
          </cell>
          <cell r="D12119" t="str">
            <v>***POLĘDWICA Z KURCZAKA 500G LUZ EX CZ</v>
          </cell>
        </row>
        <row r="12120">
          <cell r="C12120">
            <v>4007493</v>
          </cell>
          <cell r="D12120" t="str">
            <v>***POLĘD.FASZEROWANA VAC OK10.0 KT EX Y</v>
          </cell>
        </row>
        <row r="12121">
          <cell r="C12121">
            <v>4004451</v>
          </cell>
          <cell r="D12121" t="str">
            <v>***SCHAB B/K VAC</v>
          </cell>
        </row>
        <row r="12122">
          <cell r="C12122">
            <v>4002257</v>
          </cell>
          <cell r="D12122" t="str">
            <v>***KIEŁB.BIWAK.OK1.5KGMAPOK12KGKT EX MOR</v>
          </cell>
        </row>
        <row r="12123">
          <cell r="C12123">
            <v>4004731</v>
          </cell>
          <cell r="D12123" t="str">
            <v>***HYDINOVY NAREZSKAPIOU (SZYNKA PAPRYK)</v>
          </cell>
        </row>
        <row r="12124">
          <cell r="C12124">
            <v>4004453</v>
          </cell>
          <cell r="D12124" t="str">
            <v>***KOSICKY KURACI NAREZ (BLOK DROB.)</v>
          </cell>
        </row>
        <row r="12125">
          <cell r="C12125">
            <v>4002210</v>
          </cell>
          <cell r="D12125" t="str">
            <v>***POLĘDWICA ŁOSOS.IND.VAC OK5.0 KT EX Y</v>
          </cell>
        </row>
        <row r="12126">
          <cell r="C12126">
            <v>4002207</v>
          </cell>
          <cell r="D12126" t="str">
            <v>KOTL.IND.PANIER.1.0 MAP 14ST KT EX Y</v>
          </cell>
        </row>
        <row r="12127">
          <cell r="C12127">
            <v>4002684</v>
          </cell>
          <cell r="D12127" t="str">
            <v>***WBL DROBIOWA OK1KG LUZ 10ST KT Y EX</v>
          </cell>
        </row>
        <row r="12128">
          <cell r="C12128">
            <v>4005361</v>
          </cell>
          <cell r="D12128" t="str">
            <v>***HAMBURGER MEXICANA4X200GVAC EX YANO</v>
          </cell>
        </row>
        <row r="12129">
          <cell r="C12129">
            <v>4004459</v>
          </cell>
          <cell r="D12129" t="str">
            <v>***HAMB.DROB.4x250G VAC WOR 8ST KT Y EX</v>
          </cell>
        </row>
        <row r="12130">
          <cell r="C12130">
            <v>4002697</v>
          </cell>
          <cell r="D12130" t="str">
            <v>***PARÓWKI WĘDZONE 1KG MAP EX</v>
          </cell>
        </row>
        <row r="12131">
          <cell r="C12131">
            <v>4005354</v>
          </cell>
          <cell r="D12131" t="str">
            <v>***BRAVCOVY HAMB. 4X210G VAC EX YANO</v>
          </cell>
        </row>
        <row r="12132">
          <cell r="C12132">
            <v>4004463</v>
          </cell>
          <cell r="D12132" t="str">
            <v>BOCZEK ZAPIEKANY 1ST MAP KT EX MORL</v>
          </cell>
        </row>
        <row r="12133">
          <cell r="C12133">
            <v>4002693</v>
          </cell>
          <cell r="D12133" t="str">
            <v>SZYN.DROB.OK2.5KG LUZ 5ST KT MOR EX CZ</v>
          </cell>
        </row>
        <row r="12134">
          <cell r="C12134">
            <v>4001228</v>
          </cell>
          <cell r="D12134" t="str">
            <v>***BERLINKI CLASSIC B/OSŁ. 250VAC16KT EX</v>
          </cell>
        </row>
        <row r="12135">
          <cell r="C12135">
            <v>4000778</v>
          </cell>
          <cell r="D12135" t="str">
            <v>***BERLINKI CLASSIC 1.0 MAP 4.0 KT EX</v>
          </cell>
        </row>
        <row r="12136">
          <cell r="C12136">
            <v>4004717</v>
          </cell>
          <cell r="D12136" t="str">
            <v>***FILET WĘDZ.Z KURCZ250-420VAC4KG KTMOR</v>
          </cell>
        </row>
        <row r="12137">
          <cell r="C12137">
            <v>4005899</v>
          </cell>
          <cell r="D12137" t="str">
            <v>***SALAPEPPERONI PL.1.0 KG MAP 5.0 KT EX</v>
          </cell>
        </row>
        <row r="12138">
          <cell r="C12138">
            <v>4005819</v>
          </cell>
          <cell r="D12138" t="str">
            <v>BOCZEK ZAPIEKANY 1ST MAP KT EX MAKR</v>
          </cell>
        </row>
        <row r="12139">
          <cell r="C12139">
            <v>4000982</v>
          </cell>
          <cell r="D12139" t="str">
            <v>***KIEŁB.ŚLĄSKA OK.700G MAP KT MORL</v>
          </cell>
        </row>
        <row r="12140">
          <cell r="C12140">
            <v>3032971</v>
          </cell>
          <cell r="D12140" t="str">
            <v>WT KIEŁB.WĘDZ.PARZ.MIX AS</v>
          </cell>
        </row>
        <row r="12141">
          <cell r="C12141">
            <v>4021884</v>
          </cell>
          <cell r="D12141" t="str">
            <v>***WT KIEŁB.WĘDZ.PARZ.OK15KG PB MR</v>
          </cell>
        </row>
        <row r="12142">
          <cell r="C12142">
            <v>3032869</v>
          </cell>
          <cell r="D12142" t="str">
            <v>***WT KIEŁB.WĘDZ.PARZ.OK15KG PB DMR</v>
          </cell>
        </row>
        <row r="12143">
          <cell r="C12143">
            <v>3040366</v>
          </cell>
          <cell r="D12143" t="str">
            <v>WT KIEŁB.MIX AS KOBEX</v>
          </cell>
        </row>
        <row r="12144">
          <cell r="C12144">
            <v>4026810</v>
          </cell>
          <cell r="D12144" t="str">
            <v>WT KIEŁB.MIX OK1KGVAC OK5-15KGKTPJ KOBEX</v>
          </cell>
        </row>
        <row r="12145">
          <cell r="C12145">
            <v>3008504</v>
          </cell>
          <cell r="D12145" t="str">
            <v>***MIX PRODUKTOWY II AS</v>
          </cell>
        </row>
        <row r="12146">
          <cell r="C12146">
            <v>4004466</v>
          </cell>
          <cell r="D12146" t="str">
            <v>***MIX PRODUKTOWY II GRILL</v>
          </cell>
        </row>
        <row r="12147">
          <cell r="C12147">
            <v>3047202</v>
          </cell>
          <cell r="D12147" t="str">
            <v>WT KIEŁB.KRUCHA KUR.OK250GVAC 15KGPJ ST</v>
          </cell>
        </row>
        <row r="12148">
          <cell r="C12148">
            <v>4031363</v>
          </cell>
          <cell r="D12148" t="str">
            <v>WT KIEŁB.KRUCHA KUR.OK250GVAC 20KGPJ ST</v>
          </cell>
        </row>
        <row r="12149">
          <cell r="C12149">
            <v>4019142</v>
          </cell>
          <cell r="D12149" t="str">
            <v>***MIX PRODUKTOWY II P MR</v>
          </cell>
        </row>
        <row r="12150">
          <cell r="C12150">
            <v>3028933</v>
          </cell>
          <cell r="D12150" t="str">
            <v>***MIX PRODUKTOWY II P DMR</v>
          </cell>
        </row>
        <row r="12151">
          <cell r="C12151">
            <v>3008505</v>
          </cell>
          <cell r="D12151" t="str">
            <v>WT WĘDZ.MIX I AS</v>
          </cell>
        </row>
        <row r="12152">
          <cell r="C12152">
            <v>3017247</v>
          </cell>
          <cell r="D12152" t="str">
            <v>WT KIEŁB.ŻYWIECKA/KABAN.I AS</v>
          </cell>
        </row>
        <row r="12153">
          <cell r="C12153">
            <v>4004467</v>
          </cell>
          <cell r="D12153" t="str">
            <v>WT WĘDZ.MIX I OK1KGVAC OK5-15KGKT</v>
          </cell>
        </row>
        <row r="12154">
          <cell r="C12154">
            <v>4009537</v>
          </cell>
          <cell r="D12154" t="str">
            <v>WT K.ŻYWIECKA MIX I OK1KGVAC OK5-15KGKT</v>
          </cell>
        </row>
        <row r="12155">
          <cell r="C12155">
            <v>4018450</v>
          </cell>
          <cell r="D12155" t="str">
            <v>***MIX PRODUKTOWY I P -ŻEB.B/K.Z PRZYP.</v>
          </cell>
        </row>
        <row r="12156">
          <cell r="C12156">
            <v>4009536</v>
          </cell>
          <cell r="D12156" t="str">
            <v>***MIX PRODUKTOWY I P</v>
          </cell>
        </row>
        <row r="12157">
          <cell r="C12157">
            <v>3008506</v>
          </cell>
          <cell r="D12157" t="str">
            <v>WT KIEŁB.MIX II AS</v>
          </cell>
        </row>
        <row r="12158">
          <cell r="C12158">
            <v>4020403</v>
          </cell>
          <cell r="D12158" t="str">
            <v>WT KIEŁB.MIX II OK15KG NB MR</v>
          </cell>
        </row>
        <row r="12159">
          <cell r="C12159">
            <v>3030526</v>
          </cell>
          <cell r="D12159" t="str">
            <v>WT KIEŁB.MIX II OK15KGWOR PJ DMR</v>
          </cell>
        </row>
        <row r="12160">
          <cell r="C12160">
            <v>4004468</v>
          </cell>
          <cell r="D12160" t="str">
            <v>WT KIEŁB.MIX II OK1KGVAC OK5-15KGKT</v>
          </cell>
        </row>
        <row r="12161">
          <cell r="C12161">
            <v>4009535</v>
          </cell>
          <cell r="D12161" t="str">
            <v>***MIX PRODUKTOWY II P KIEŁ.ŻYWIECKA VAC</v>
          </cell>
        </row>
        <row r="12162">
          <cell r="C12162">
            <v>4024482</v>
          </cell>
          <cell r="D12162" t="str">
            <v>***WT BOCZ.WĘDZ.OK450GVAC OK10KGKT EX</v>
          </cell>
        </row>
        <row r="12163">
          <cell r="C12163">
            <v>3008507</v>
          </cell>
          <cell r="D12163" t="str">
            <v>WT KIEŁB.MIX III AS</v>
          </cell>
        </row>
        <row r="12164">
          <cell r="C12164">
            <v>4004469</v>
          </cell>
          <cell r="D12164" t="str">
            <v>WT KIEŁB.MIX III OK1KGVAC OK5-15KGKT</v>
          </cell>
        </row>
        <row r="12165">
          <cell r="C12165">
            <v>3030106</v>
          </cell>
          <cell r="D12165" t="str">
            <v>WT BOCZ.WĘDZ.PARZ.MIX II AS</v>
          </cell>
        </row>
        <row r="12166">
          <cell r="C12166">
            <v>4020068</v>
          </cell>
          <cell r="D12166" t="str">
            <v>WT BOCZ.WĘDZ.PARZ.MIXII OK1KGVOK5-15KGKT</v>
          </cell>
        </row>
        <row r="12167">
          <cell r="C12167">
            <v>4020197</v>
          </cell>
          <cell r="D12167" t="str">
            <v>WT BOCZ.WĘDZ.PARZ.OK450GVAC OK10KGKT EX</v>
          </cell>
        </row>
        <row r="12168">
          <cell r="C12168">
            <v>3009308</v>
          </cell>
          <cell r="D12168" t="str">
            <v>***MIX PRODUKTOWY V-WĘDL. SUCHA</v>
          </cell>
        </row>
        <row r="12169">
          <cell r="C12169">
            <v>4008557</v>
          </cell>
          <cell r="D12169" t="str">
            <v>***MIX PRODUKTOWY V</v>
          </cell>
        </row>
        <row r="12170">
          <cell r="C12170">
            <v>3009274</v>
          </cell>
          <cell r="D12170" t="str">
            <v>WT KABAN.MIX BAR.AD</v>
          </cell>
        </row>
        <row r="12171">
          <cell r="C12171">
            <v>3033323</v>
          </cell>
          <cell r="D12171" t="str">
            <v>WT KABAN.MIX ALG.AD</v>
          </cell>
        </row>
        <row r="12172">
          <cell r="C12172">
            <v>3043148</v>
          </cell>
          <cell r="D12172" t="str">
            <v>WT KABAN.MIX ALG.OK15KG NB MR</v>
          </cell>
        </row>
        <row r="12173">
          <cell r="C12173">
            <v>3043151</v>
          </cell>
          <cell r="D12173" t="str">
            <v>WT KABAN.Z/SER.OK15KG NB MR</v>
          </cell>
        </row>
        <row r="12174">
          <cell r="C12174">
            <v>3043149</v>
          </cell>
          <cell r="D12174" t="str">
            <v>WT KABAN.MIX ALG.OK15KG NB DMR</v>
          </cell>
        </row>
        <row r="12175">
          <cell r="C12175">
            <v>3043150</v>
          </cell>
          <cell r="D12175" t="str">
            <v>WT KABAN.Z/SER.OK15KG NB DMR</v>
          </cell>
        </row>
        <row r="12176">
          <cell r="C12176">
            <v>3043164</v>
          </cell>
          <cell r="D12176" t="str">
            <v>WT KABAN.MIX ALG.RO</v>
          </cell>
        </row>
        <row r="12177">
          <cell r="C12177">
            <v>3043163</v>
          </cell>
          <cell r="D12177" t="str">
            <v>WT KABAN.Z/SER.RO</v>
          </cell>
        </row>
        <row r="12178">
          <cell r="C12178">
            <v>4007650</v>
          </cell>
          <cell r="D12178" t="str">
            <v>WT KABAN.MIX OK1KGVAC KT</v>
          </cell>
        </row>
        <row r="12179">
          <cell r="C12179">
            <v>4022162</v>
          </cell>
          <cell r="D12179" t="str">
            <v>WT KABAN.MIX BAR.OK1KGVAC KT</v>
          </cell>
        </row>
        <row r="12180">
          <cell r="C12180">
            <v>3030107</v>
          </cell>
          <cell r="D12180" t="str">
            <v>WT BOCZ.WĘDZ.PARZ.IV AS</v>
          </cell>
        </row>
        <row r="12181">
          <cell r="C12181">
            <v>3030604</v>
          </cell>
          <cell r="D12181" t="str">
            <v>WT BOCZ.WĘDZ.PARZ.IV OK15KG NB MR</v>
          </cell>
        </row>
        <row r="12182">
          <cell r="C12182">
            <v>3037178</v>
          </cell>
          <cell r="D12182" t="str">
            <v>WT MIX DO PRZETW.OK20KGLUZPJ MR K1 II</v>
          </cell>
        </row>
        <row r="12183">
          <cell r="C12183">
            <v>3030603</v>
          </cell>
          <cell r="D12183" t="str">
            <v>WT BOCZ.WĘDZ.PARZ.IV OK15KG NB DMR</v>
          </cell>
        </row>
        <row r="12184">
          <cell r="C12184">
            <v>3030605</v>
          </cell>
          <cell r="D12184" t="str">
            <v>WT BOCZ.WĘDZ.PARZ.IV RO</v>
          </cell>
        </row>
        <row r="12185">
          <cell r="C12185">
            <v>3042181</v>
          </cell>
          <cell r="D12185" t="str">
            <v>WT PP BOCZ.WĘDZ.PARZ.IV AS</v>
          </cell>
        </row>
        <row r="12186">
          <cell r="C12186">
            <v>3042432</v>
          </cell>
          <cell r="D12186" t="str">
            <v>WT PP BOCZ.WĘDZ.PARZ.IV OK15KG NB MR</v>
          </cell>
        </row>
        <row r="12187">
          <cell r="C12187">
            <v>4020069</v>
          </cell>
          <cell r="D12187" t="str">
            <v>***WT BOCZ.IV WĘDZ.PARZ.MIX VAC</v>
          </cell>
        </row>
        <row r="12188">
          <cell r="C12188">
            <v>3042431</v>
          </cell>
          <cell r="D12188" t="str">
            <v>WT PP BOCZ.WĘDZ.PARZ.IV OK15KG NB DMR</v>
          </cell>
        </row>
        <row r="12189">
          <cell r="C12189">
            <v>3042433</v>
          </cell>
          <cell r="D12189" t="str">
            <v>WT PP BOCZ.WĘDZ.PARZ.IV RO</v>
          </cell>
        </row>
        <row r="12190">
          <cell r="C12190">
            <v>3008508</v>
          </cell>
          <cell r="D12190" t="str">
            <v>WT WĘDZ.MIX IV AS</v>
          </cell>
        </row>
        <row r="12191">
          <cell r="C12191">
            <v>3045247</v>
          </cell>
          <cell r="D12191" t="str">
            <v>WT WĘDLINY MIX IV OK12KG NB MR ST</v>
          </cell>
        </row>
        <row r="12192">
          <cell r="C12192">
            <v>4009139</v>
          </cell>
          <cell r="D12192" t="str">
            <v>***MIX PRODUKTOWY IV P MR</v>
          </cell>
        </row>
        <row r="12193">
          <cell r="C12193">
            <v>3045242</v>
          </cell>
          <cell r="D12193" t="str">
            <v>WT WĘDLINY MIX IV OK12KG NB DMR</v>
          </cell>
        </row>
        <row r="12194">
          <cell r="C12194">
            <v>4004470</v>
          </cell>
          <cell r="D12194" t="str">
            <v>WT WĘDZ.MIX IV OK1KGVAC OK5-15KGKT</v>
          </cell>
        </row>
        <row r="12195">
          <cell r="C12195">
            <v>3037195</v>
          </cell>
          <cell r="D12195" t="str">
            <v>PT WĘDZ.AS</v>
          </cell>
        </row>
        <row r="12196">
          <cell r="C12196">
            <v>4027085</v>
          </cell>
          <cell r="D12196" t="str">
            <v>PT WĘDLINY VAC MR</v>
          </cell>
        </row>
        <row r="12197">
          <cell r="C12197">
            <v>3016262</v>
          </cell>
          <cell r="D12197" t="str">
            <v>PT WĘDLINY BS</v>
          </cell>
        </row>
        <row r="12198">
          <cell r="C12198">
            <v>3016261</v>
          </cell>
          <cell r="D12198" t="str">
            <v>***PT M.MIEL.FARSZ</v>
          </cell>
        </row>
        <row r="12199">
          <cell r="C12199">
            <v>4009692</v>
          </cell>
          <cell r="D12199" t="str">
            <v>PT M-SO KT MR</v>
          </cell>
        </row>
        <row r="12200">
          <cell r="C12200">
            <v>3016862</v>
          </cell>
          <cell r="D12200" t="str">
            <v>***PRÓBY TECHN.M-SO LUZ KT MR ST</v>
          </cell>
        </row>
        <row r="12201">
          <cell r="C12201">
            <v>4008369</v>
          </cell>
          <cell r="D12201" t="str">
            <v>***PRÓBY TECHN.M-SO MAP KT</v>
          </cell>
        </row>
        <row r="12202">
          <cell r="C12202">
            <v>4011066</v>
          </cell>
          <cell r="D12202" t="str">
            <v>***PRÓBY TECH. M-SO MIEL. 500G MAP KT</v>
          </cell>
        </row>
        <row r="12203">
          <cell r="C12203">
            <v>4011067</v>
          </cell>
          <cell r="D12203" t="str">
            <v>PT M-SO VAC</v>
          </cell>
        </row>
        <row r="12204">
          <cell r="C12204">
            <v>3012355</v>
          </cell>
          <cell r="D12204" t="str">
            <v>PT M-SO LUZ PJ ST</v>
          </cell>
        </row>
        <row r="12205">
          <cell r="C12205">
            <v>3012471</v>
          </cell>
          <cell r="D12205" t="str">
            <v>PT M-SO MR SZ</v>
          </cell>
        </row>
        <row r="12206">
          <cell r="C12206">
            <v>3033814</v>
          </cell>
          <cell r="D12206" t="str">
            <v>PT IA M-SO WOR MR IŁ</v>
          </cell>
        </row>
        <row r="12207">
          <cell r="C12207">
            <v>3008647</v>
          </cell>
          <cell r="D12207" t="str">
            <v>PT M-SO PAK.SZ</v>
          </cell>
        </row>
        <row r="12208">
          <cell r="C12208">
            <v>3015430</v>
          </cell>
          <cell r="D12208" t="str">
            <v>PT EL.M-SO WP.PJ EŁ</v>
          </cell>
        </row>
        <row r="12209">
          <cell r="C12209">
            <v>3010198</v>
          </cell>
          <cell r="D12209" t="str">
            <v>PT KK M-SO KT SU</v>
          </cell>
        </row>
        <row r="12210">
          <cell r="C12210">
            <v>3013578</v>
          </cell>
          <cell r="D12210" t="str">
            <v>PT IKA M-SO PJ IŁ</v>
          </cell>
        </row>
        <row r="12211">
          <cell r="C12211">
            <v>3034377</v>
          </cell>
          <cell r="D12211" t="str">
            <v>PT M-SO WP.OK20KGLUZ KT MR K4</v>
          </cell>
        </row>
        <row r="12212">
          <cell r="C12212">
            <v>3034376</v>
          </cell>
          <cell r="D12212" t="str">
            <v>PT M-SO WP.OK20KGLUZ PJ K4</v>
          </cell>
        </row>
        <row r="12213">
          <cell r="C12213">
            <v>3032165</v>
          </cell>
          <cell r="D12213" t="str">
            <v>PT KK M-SO KT K3</v>
          </cell>
        </row>
        <row r="12214">
          <cell r="C12214">
            <v>3044000</v>
          </cell>
          <cell r="D12214" t="str">
            <v>PT ELEM.JELIT OK15KGLUZ PJ EŁ</v>
          </cell>
        </row>
        <row r="12215">
          <cell r="C12215">
            <v>3040911</v>
          </cell>
          <cell r="D12215" t="str">
            <v>PT WĘDLINY VAC DMR</v>
          </cell>
        </row>
        <row r="12216">
          <cell r="C12216">
            <v>3012005</v>
          </cell>
          <cell r="D12216" t="str">
            <v>PT M-SO KT DMR</v>
          </cell>
        </row>
        <row r="12217">
          <cell r="C12217">
            <v>3012131</v>
          </cell>
          <cell r="D12217" t="str">
            <v>***PRÓBY TECHN.M-SO KT RO</v>
          </cell>
        </row>
        <row r="12218">
          <cell r="C12218">
            <v>3016914</v>
          </cell>
          <cell r="D12218" t="str">
            <v>PT WĘDLINY AS</v>
          </cell>
        </row>
        <row r="12219">
          <cell r="C12219">
            <v>3016912</v>
          </cell>
          <cell r="D12219" t="str">
            <v>PT NADZIEWANIE</v>
          </cell>
        </row>
        <row r="12220">
          <cell r="C12220">
            <v>3016910</v>
          </cell>
          <cell r="D12220" t="str">
            <v>PT WĘDLINY FARSZ</v>
          </cell>
        </row>
        <row r="12221">
          <cell r="C12221">
            <v>3016913</v>
          </cell>
          <cell r="D12221" t="str">
            <v>PT PEKLOWANIE</v>
          </cell>
        </row>
        <row r="12222">
          <cell r="C12222">
            <v>3016915</v>
          </cell>
          <cell r="D12222" t="str">
            <v>PT SL</v>
          </cell>
        </row>
        <row r="12223">
          <cell r="C12223">
            <v>3009224</v>
          </cell>
          <cell r="D12223" t="str">
            <v>***PRÓBY - MIĘSO</v>
          </cell>
        </row>
        <row r="12224">
          <cell r="C12224">
            <v>3016911</v>
          </cell>
          <cell r="D12224" t="str">
            <v>PT WĘDLINY DOJRZEW.AD</v>
          </cell>
        </row>
        <row r="12225">
          <cell r="C12225">
            <v>4011068</v>
          </cell>
          <cell r="D12225" t="str">
            <v>***PRÓBY TECH.WĘDLINY LUZ</v>
          </cell>
        </row>
        <row r="12226">
          <cell r="C12226">
            <v>8500010</v>
          </cell>
          <cell r="D12226" t="str">
            <v>***PRÓBY TECHNOLOGICZNE</v>
          </cell>
        </row>
        <row r="12227">
          <cell r="C12227">
            <v>4008411</v>
          </cell>
          <cell r="D12227" t="str">
            <v>***PRÓBA LABORATORYJNA KT</v>
          </cell>
        </row>
        <row r="12228">
          <cell r="C12228">
            <v>4008404</v>
          </cell>
          <cell r="D12228" t="str">
            <v>PT WĘDLINY KT</v>
          </cell>
        </row>
        <row r="12229">
          <cell r="C12229">
            <v>8500014</v>
          </cell>
          <cell r="D12229" t="str">
            <v>***PRÓBA- PRODUKT TESTOWY KONSERWY 160G</v>
          </cell>
        </row>
        <row r="12230">
          <cell r="C12230">
            <v>3044254</v>
          </cell>
          <cell r="D12230" t="str">
            <v>WT KIEŁB.MIX V AS</v>
          </cell>
        </row>
        <row r="12231">
          <cell r="C12231">
            <v>4029207</v>
          </cell>
          <cell r="D12231" t="str">
            <v>WT KIEŁB.MIX V OK1KGVAC OK5-15KGKT</v>
          </cell>
        </row>
        <row r="12232">
          <cell r="C12232">
            <v>2100084</v>
          </cell>
          <cell r="D12232" t="str">
            <v>BIAŁKO IZOL.SOJ.SUPRO EX 33 IP</v>
          </cell>
        </row>
        <row r="12233">
          <cell r="C12233">
            <v>2100081</v>
          </cell>
          <cell r="D12233" t="str">
            <v>BIAŁKO KONC.SOJ.ALPHA 8 IP</v>
          </cell>
        </row>
        <row r="12234">
          <cell r="C12234">
            <v>2100130</v>
          </cell>
          <cell r="D12234" t="str">
            <v>BIAŁKO PROCON 2100</v>
          </cell>
        </row>
        <row r="12235">
          <cell r="C12235">
            <v>2100083</v>
          </cell>
          <cell r="D12235" t="str">
            <v>BIAŁKO IZOL.SOJ.SUPRO 595 IP</v>
          </cell>
        </row>
        <row r="12236">
          <cell r="C12236">
            <v>2100704</v>
          </cell>
          <cell r="D12236" t="str">
            <v>***BIAŁKO SERWATKI KONC.</v>
          </cell>
        </row>
        <row r="12237">
          <cell r="C12237">
            <v>2100596</v>
          </cell>
          <cell r="D12237" t="str">
            <v>HEMOGLOBIN</v>
          </cell>
        </row>
        <row r="12238">
          <cell r="C12238">
            <v>2100088</v>
          </cell>
          <cell r="D12238" t="str">
            <v>BIAŁKO ALPHA 11IP</v>
          </cell>
        </row>
        <row r="12239">
          <cell r="C12239">
            <v>2100087</v>
          </cell>
          <cell r="D12239" t="str">
            <v>BIAŁKO SCANPRO T95</v>
          </cell>
        </row>
        <row r="12240">
          <cell r="C12240">
            <v>2100693</v>
          </cell>
          <cell r="D12240" t="str">
            <v>BIAŁKO ARCON SM</v>
          </cell>
        </row>
        <row r="12241">
          <cell r="C12241">
            <v>2100089</v>
          </cell>
          <cell r="D12241" t="str">
            <v>BIAŁKO IZOL.SOJ.SUPRO 548 IP</v>
          </cell>
        </row>
        <row r="12242">
          <cell r="C12242">
            <v>2100561</v>
          </cell>
          <cell r="D12242" t="str">
            <v>SCANPRO TC 70</v>
          </cell>
        </row>
        <row r="12243">
          <cell r="C12243">
            <v>2100760</v>
          </cell>
          <cell r="D12243" t="str">
            <v>BIAŁKO SOPROTEX N MINCED</v>
          </cell>
        </row>
        <row r="12244">
          <cell r="C12244">
            <v>2100115</v>
          </cell>
          <cell r="D12244" t="str">
            <v>BŁONNIK ZIEMN.VITACEL KF 500</v>
          </cell>
        </row>
        <row r="12245">
          <cell r="C12245">
            <v>2100710</v>
          </cell>
          <cell r="D12245" t="str">
            <v>PROMASOL M512</v>
          </cell>
        </row>
        <row r="12246">
          <cell r="C12246">
            <v>2100811</v>
          </cell>
          <cell r="D12246" t="str">
            <v>FOS.PROTOSAL TP</v>
          </cell>
        </row>
        <row r="12247">
          <cell r="C12247">
            <v>2100292</v>
          </cell>
          <cell r="D12247" t="str">
            <v>MIESZ.PREPARAT ZAGĘSZCZ.DO PAR.BJ DFO135</v>
          </cell>
        </row>
        <row r="12248">
          <cell r="C12248">
            <v>2100290</v>
          </cell>
          <cell r="D12248" t="str">
            <v>MIESZ.SERDELKI E</v>
          </cell>
        </row>
        <row r="12249">
          <cell r="C12249">
            <v>2100837</v>
          </cell>
          <cell r="D12249" t="str">
            <v>BŁONNIK PROMACEL WF 90</v>
          </cell>
        </row>
        <row r="12250">
          <cell r="C12250">
            <v>2100932</v>
          </cell>
          <cell r="D12250" t="str">
            <v>COMBI  SF  PLUS</v>
          </cell>
        </row>
        <row r="12251">
          <cell r="C12251">
            <v>2100689</v>
          </cell>
          <cell r="D12251" t="str">
            <v>MIESZ.FOSFOSAL H</v>
          </cell>
        </row>
        <row r="12252">
          <cell r="C12252">
            <v>2100963</v>
          </cell>
          <cell r="D12252" t="str">
            <v>MIESZ.HAM-P-15-24 PLUS</v>
          </cell>
        </row>
        <row r="12253">
          <cell r="C12253">
            <v>2100962</v>
          </cell>
          <cell r="D12253" t="str">
            <v>MF HELABAC FLUESSIG</v>
          </cell>
        </row>
        <row r="12254">
          <cell r="C12254">
            <v>2101034</v>
          </cell>
          <cell r="D12254" t="str">
            <v>MARYNATA LAFINESS CLASSIK RED</v>
          </cell>
        </row>
        <row r="12255">
          <cell r="C12255">
            <v>2101051</v>
          </cell>
          <cell r="D12255" t="str">
            <v>MF SOVMIX F600 B</v>
          </cell>
        </row>
        <row r="12256">
          <cell r="C12256">
            <v>2101052</v>
          </cell>
          <cell r="D12256" t="str">
            <v>PREPARAT SL 10 III E</v>
          </cell>
        </row>
        <row r="12257">
          <cell r="C12257">
            <v>2100523</v>
          </cell>
          <cell r="D12257" t="str">
            <v>MIESZ.PROSCIUTTO COTTO</v>
          </cell>
        </row>
        <row r="12258">
          <cell r="C12258">
            <v>2100538</v>
          </cell>
          <cell r="D12258" t="str">
            <v>SKROBIA KUKURYDZIANA MODYF. E 1422</v>
          </cell>
        </row>
        <row r="12259">
          <cell r="C12259">
            <v>2100805</v>
          </cell>
          <cell r="D12259" t="str">
            <v>PEKLOSÓL 0.8-0.9%</v>
          </cell>
        </row>
        <row r="12260">
          <cell r="C12260">
            <v>2100990</v>
          </cell>
          <cell r="D12260" t="str">
            <v>PAPRYKA CZERWONA GRYS 3X3</v>
          </cell>
        </row>
        <row r="12261">
          <cell r="C12261">
            <v>2100103</v>
          </cell>
          <cell r="D12261" t="str">
            <v>MIESZ. KARAGEN EUROGEL MB-55</v>
          </cell>
        </row>
        <row r="12262">
          <cell r="C12262">
            <v>2100118</v>
          </cell>
          <cell r="D12262" t="str">
            <v>AROMAT FUMARO K</v>
          </cell>
        </row>
        <row r="12263">
          <cell r="C12263">
            <v>2101186</v>
          </cell>
          <cell r="D12263" t="str">
            <v>AVO ACTIVE PREPARAT DO MOCZENIA JELIT</v>
          </cell>
        </row>
        <row r="12264">
          <cell r="C12264">
            <v>2101176</v>
          </cell>
          <cell r="D12264" t="str">
            <v>MARYNATA CONCERTO E O SPRAY 03.14.023.01</v>
          </cell>
        </row>
        <row r="12265">
          <cell r="C12265">
            <v>2101190</v>
          </cell>
          <cell r="D12265" t="str">
            <v>MARYNATA LAFINESS RED GARLICNIE</v>
          </cell>
        </row>
        <row r="12266">
          <cell r="C12266">
            <v>2100401</v>
          </cell>
          <cell r="D12266" t="str">
            <v>BŁONNIK PSZEN.WF 200</v>
          </cell>
        </row>
        <row r="12267">
          <cell r="C12267">
            <v>2101322</v>
          </cell>
          <cell r="D12267" t="str">
            <v>KARAGEN PROTOGEL 400</v>
          </cell>
        </row>
        <row r="12268">
          <cell r="C12268">
            <v>2101352</v>
          </cell>
          <cell r="D12268" t="str">
            <v>MIESZ.DANSMAK KIEŁBASA SWOJSKA</v>
          </cell>
        </row>
        <row r="12269">
          <cell r="C12269">
            <v>2101412</v>
          </cell>
          <cell r="D12269" t="str">
            <v>MIESZ.BRATAROMAT OG 110399-31</v>
          </cell>
        </row>
        <row r="12270">
          <cell r="C12270">
            <v>2100086</v>
          </cell>
          <cell r="D12270" t="str">
            <v>BIAŁKO ZWIERZĘCE 95</v>
          </cell>
        </row>
        <row r="12271">
          <cell r="C12271">
            <v>2101462</v>
          </cell>
          <cell r="D12271" t="str">
            <v>AROMAT B-FLAVOUR SZYNKOWY RARYTAS</v>
          </cell>
        </row>
        <row r="12272">
          <cell r="C12272">
            <v>2100150</v>
          </cell>
          <cell r="D12272" t="str">
            <v>BŁONNIK PSZEN.WF 2000</v>
          </cell>
        </row>
        <row r="12273">
          <cell r="C12273">
            <v>2101482</v>
          </cell>
          <cell r="D12273" t="str">
            <v>MIESZ.BASIC MSG FREE 140369-14</v>
          </cell>
        </row>
        <row r="12274">
          <cell r="C12274">
            <v>2101481</v>
          </cell>
          <cell r="D12274" t="str">
            <v>MARYNATA  MIODOWA BBQ   A 110914</v>
          </cell>
        </row>
        <row r="12275">
          <cell r="C12275">
            <v>2101474</v>
          </cell>
          <cell r="D12275" t="str">
            <v>MS ECOROM WĘDZ.DOJRZEW.BG</v>
          </cell>
        </row>
        <row r="12276">
          <cell r="C12276">
            <v>2101496</v>
          </cell>
          <cell r="D12276" t="str">
            <v>MIESZ.SZYNKA PIECZENIOWA T</v>
          </cell>
        </row>
        <row r="12277">
          <cell r="C12277">
            <v>2101495</v>
          </cell>
          <cell r="D12277" t="str">
            <v>PRZYP.SCHAB PIECZENIOWY</v>
          </cell>
        </row>
        <row r="12278">
          <cell r="C12278">
            <v>2101494</v>
          </cell>
          <cell r="D12278" t="str">
            <v>MIESZ.KARKÓWKA PIECZENIOWA T</v>
          </cell>
        </row>
        <row r="12279">
          <cell r="C12279">
            <v>2101493</v>
          </cell>
          <cell r="D12279" t="str">
            <v>PRZYP.BOCZEK  PIECZENIOWY</v>
          </cell>
        </row>
        <row r="12280">
          <cell r="C12280">
            <v>2101498</v>
          </cell>
          <cell r="D12280" t="str">
            <v>MIESZ.PROMASOL DO WĘDZ.PC 130 R05</v>
          </cell>
        </row>
        <row r="12281">
          <cell r="C12281">
            <v>2101497</v>
          </cell>
          <cell r="D12281" t="str">
            <v>MIESZ.AMCOSOL G5 100 DS.4</v>
          </cell>
        </row>
        <row r="12282">
          <cell r="C12282">
            <v>2101479</v>
          </cell>
          <cell r="D12282" t="str">
            <v>MIESZ.SPS SZYNKA W-20F</v>
          </cell>
        </row>
        <row r="12283">
          <cell r="C12283">
            <v>2101501</v>
          </cell>
          <cell r="D12283" t="str">
            <v>HAM-P-15-61</v>
          </cell>
        </row>
        <row r="12284">
          <cell r="C12284">
            <v>2101526</v>
          </cell>
          <cell r="D12284" t="str">
            <v>MIESZ.SCHIADIT PP 0813</v>
          </cell>
        </row>
        <row r="12285">
          <cell r="C12285">
            <v>2101525</v>
          </cell>
          <cell r="D12285" t="str">
            <v>MIESZ.PERŁY ŚWIEŻOŚCI 078501</v>
          </cell>
        </row>
        <row r="12286">
          <cell r="C12286">
            <v>2101524</v>
          </cell>
          <cell r="D12286" t="str">
            <v>MIESZ.PULLED P 256513</v>
          </cell>
        </row>
        <row r="12287">
          <cell r="C12287">
            <v>2101530</v>
          </cell>
          <cell r="D12287" t="str">
            <v>MIESZ.AROMIX BRATFLEISCH 140480-21</v>
          </cell>
        </row>
        <row r="12288">
          <cell r="C12288">
            <v>2101540</v>
          </cell>
          <cell r="D12288" t="str">
            <v>SELCHFLEISCH 70 42-52125N/2</v>
          </cell>
        </row>
        <row r="12289">
          <cell r="C12289">
            <v>2100015</v>
          </cell>
          <cell r="D12289" t="str">
            <v>CHILI</v>
          </cell>
        </row>
        <row r="12290">
          <cell r="C12290">
            <v>2101470</v>
          </cell>
          <cell r="D12290" t="str">
            <v>MIESZ.ECOROM KIEŁBASKI KEBAB BG</v>
          </cell>
        </row>
        <row r="12291">
          <cell r="C12291">
            <v>2100162</v>
          </cell>
          <cell r="D12291" t="str">
            <v>MIESZ.ECOROM BIAŁA LUKSUSOWA</v>
          </cell>
        </row>
        <row r="12292">
          <cell r="C12292">
            <v>2100713</v>
          </cell>
          <cell r="D12292" t="str">
            <v>PROMASOL M002</v>
          </cell>
        </row>
        <row r="12293">
          <cell r="C12293">
            <v>2100570</v>
          </cell>
          <cell r="D12293" t="str">
            <v>B-HARMONY PARÓWKA TRAD. BJ MPR 565</v>
          </cell>
        </row>
        <row r="12294">
          <cell r="C12294">
            <v>2100577</v>
          </cell>
          <cell r="D12294" t="str">
            <v>FOS.PROMASOL M450</v>
          </cell>
        </row>
        <row r="12295">
          <cell r="C12295">
            <v>2100119</v>
          </cell>
          <cell r="D12295" t="str">
            <v>EMULGATOR GLICERYDOWY DAN</v>
          </cell>
        </row>
        <row r="12296">
          <cell r="C12296">
            <v>2100070</v>
          </cell>
          <cell r="D12296" t="str">
            <v>MIESZ.KNACKER COMBI</v>
          </cell>
        </row>
        <row r="12297">
          <cell r="C12297">
            <v>2100077</v>
          </cell>
          <cell r="D12297" t="str">
            <v>AROMAT PIEPRZ CZAR.GF</v>
          </cell>
        </row>
        <row r="12298">
          <cell r="C12298">
            <v>2100040</v>
          </cell>
          <cell r="D12298" t="str">
            <v>MIESZ.GRILLOWA PURE</v>
          </cell>
        </row>
        <row r="12299">
          <cell r="C12299">
            <v>2101541</v>
          </cell>
          <cell r="D12299" t="str">
            <v>MF WĘDZ.COMBI 70 PLUS 2</v>
          </cell>
        </row>
        <row r="12300">
          <cell r="C12300">
            <v>2101544</v>
          </cell>
          <cell r="D12300" t="str">
            <v>WODOROTLENEK SODU 50%</v>
          </cell>
        </row>
        <row r="12301">
          <cell r="C12301">
            <v>2101548</v>
          </cell>
          <cell r="D12301" t="str">
            <v>ROZTWÓR PIROSIARCZYNU SODU 2.5%</v>
          </cell>
        </row>
        <row r="12302">
          <cell r="C12302">
            <v>2101547</v>
          </cell>
          <cell r="D12302" t="str">
            <v>ROZTWÓR PIROSIARCZYNU SODU 38-40%</v>
          </cell>
        </row>
        <row r="12303">
          <cell r="C12303">
            <v>2101546</v>
          </cell>
          <cell r="D12303" t="str">
            <v>MF SAVINASE 16L</v>
          </cell>
        </row>
        <row r="12304">
          <cell r="C12304">
            <v>2101549</v>
          </cell>
          <cell r="D12304" t="str">
            <v>ŻYWICA AMBERLITE FPA 98CI</v>
          </cell>
        </row>
        <row r="12305">
          <cell r="C12305">
            <v>2101570</v>
          </cell>
          <cell r="D12305" t="str">
            <v>MIESZ.PROAROMA STEK OG</v>
          </cell>
        </row>
        <row r="12306">
          <cell r="C12306">
            <v>2101593</v>
          </cell>
          <cell r="D12306" t="str">
            <v>***MIESZ.VAN HESS PH OPTIMAL</v>
          </cell>
        </row>
        <row r="12307">
          <cell r="C12307">
            <v>2101611</v>
          </cell>
          <cell r="D12307" t="str">
            <v>VEROL N-90</v>
          </cell>
        </row>
        <row r="12308">
          <cell r="C12308">
            <v>2101631</v>
          </cell>
          <cell r="D12308" t="str">
            <v>MIESZ.MIX STEAK E SPRAY</v>
          </cell>
        </row>
        <row r="12309">
          <cell r="C12309">
            <v>2101597</v>
          </cell>
          <cell r="D12309" t="str">
            <v>MS GRIL.C</v>
          </cell>
        </row>
        <row r="12310">
          <cell r="C12310">
            <v>2101681</v>
          </cell>
          <cell r="D12310" t="str">
            <v>MIESZ.ALMI C720</v>
          </cell>
        </row>
        <row r="12311">
          <cell r="C12311">
            <v>2101680</v>
          </cell>
          <cell r="D12311" t="str">
            <v>MIESZ.ALMI DELIKAT 100-120-MOD</v>
          </cell>
        </row>
        <row r="12312">
          <cell r="C12312">
            <v>2101669</v>
          </cell>
          <cell r="D12312" t="str">
            <v>MIESZ.SZYNKA POLSKA (WT 1)</v>
          </cell>
        </row>
        <row r="12313">
          <cell r="C12313">
            <v>2101668</v>
          </cell>
          <cell r="D12313" t="str">
            <v>MIESZ.HAM P-15-105</v>
          </cell>
        </row>
        <row r="12314">
          <cell r="C12314">
            <v>2101595</v>
          </cell>
          <cell r="D12314" t="str">
            <v>***JAMBON SUP SN</v>
          </cell>
        </row>
        <row r="12315">
          <cell r="C12315">
            <v>2101690</v>
          </cell>
          <cell r="D12315" t="str">
            <v>MF PROMASOL PBC 120 R06</v>
          </cell>
        </row>
        <row r="12316">
          <cell r="C12316">
            <v>2101533</v>
          </cell>
          <cell r="D12316" t="str">
            <v>MIESZ.MARYNATA BBQ STH 1062900</v>
          </cell>
        </row>
        <row r="12317">
          <cell r="C12317">
            <v>2101532</v>
          </cell>
          <cell r="D12317" t="str">
            <v>MIESZ.MARYNATA PORK BBQ</v>
          </cell>
        </row>
        <row r="12318">
          <cell r="C12318">
            <v>2101693</v>
          </cell>
          <cell r="D12318" t="str">
            <v>MIESZ.SALCESON PL RO I</v>
          </cell>
        </row>
        <row r="12319">
          <cell r="C12319">
            <v>2101529</v>
          </cell>
          <cell r="D12319" t="str">
            <v>MIESZ.MARYNATA BBQ MK SASZETKA 50G</v>
          </cell>
        </row>
        <row r="12320">
          <cell r="C12320">
            <v>2101170</v>
          </cell>
          <cell r="D12320" t="str">
            <v>CZOSNEK MIELONY</v>
          </cell>
        </row>
        <row r="12321">
          <cell r="C12321">
            <v>2101078</v>
          </cell>
          <cell r="D12321" t="str">
            <v>PIETRUSZKA NATKA</v>
          </cell>
        </row>
        <row r="12322">
          <cell r="C12322">
            <v>2100503</v>
          </cell>
          <cell r="D12322" t="str">
            <v>AROMAT DROŻDŻY</v>
          </cell>
        </row>
        <row r="12323">
          <cell r="C12323">
            <v>2101742</v>
          </cell>
          <cell r="D12323" t="str">
            <v>MIESZ.KASZANKA MAZURSKA BRUNO TASSI 1209</v>
          </cell>
        </row>
        <row r="12324">
          <cell r="C12324">
            <v>2101741</v>
          </cell>
          <cell r="D12324" t="str">
            <v>MARYNATA BBQ MAR38196AB</v>
          </cell>
        </row>
        <row r="12325">
          <cell r="C12325">
            <v>2101740</v>
          </cell>
          <cell r="D12325" t="str">
            <v>MARYNATA FRANKS RED HOT MAR38238AB</v>
          </cell>
        </row>
        <row r="12326">
          <cell r="C12326">
            <v>2101756</v>
          </cell>
          <cell r="D12326" t="str">
            <v>FSK 100 (9083)</v>
          </cell>
        </row>
        <row r="12327">
          <cell r="C12327">
            <v>2101810</v>
          </cell>
          <cell r="D12327" t="str">
            <v>MS PODWAWELSKA NOWA FREE</v>
          </cell>
        </row>
        <row r="12328">
          <cell r="C12328">
            <v>2101820</v>
          </cell>
          <cell r="D12328" t="str">
            <v>MIESZ.PROMASOL DO BLOKÓW P110 R06</v>
          </cell>
        </row>
        <row r="12329">
          <cell r="C12329">
            <v>2101830</v>
          </cell>
          <cell r="D12329" t="str">
            <v>MIESZ.ERPU GOLD 6012 13</v>
          </cell>
        </row>
        <row r="12330">
          <cell r="C12330">
            <v>2101831</v>
          </cell>
          <cell r="D12330" t="str">
            <v>PRZYP.PIZZAGEWURZ 433200012DE</v>
          </cell>
        </row>
        <row r="12331">
          <cell r="C12331">
            <v>2101824</v>
          </cell>
          <cell r="D12331" t="str">
            <v>SOLANKA BT A50 3150 D</v>
          </cell>
        </row>
        <row r="12332">
          <cell r="C12332">
            <v>2101829</v>
          </cell>
          <cell r="D12332" t="str">
            <v>MIESZ.APRORED</v>
          </cell>
        </row>
        <row r="12333">
          <cell r="C12333">
            <v>2101862</v>
          </cell>
          <cell r="D12333" t="str">
            <v>MIESZ.KIEŁBASA WIEJSKA E</v>
          </cell>
        </row>
        <row r="12334">
          <cell r="C12334">
            <v>2101861</v>
          </cell>
          <cell r="D12334" t="str">
            <v>MIESZ.KIEŁBASA SUROWA PAPRYKOWA  F</v>
          </cell>
        </row>
        <row r="12335">
          <cell r="C12335">
            <v>2101860</v>
          </cell>
          <cell r="D12335" t="str">
            <v>MARYNATA PORTO AE 0  2202605</v>
          </cell>
        </row>
        <row r="12336">
          <cell r="C12336">
            <v>2101866</v>
          </cell>
          <cell r="D12336" t="str">
            <v>MIESZ.HAMSTAR C</v>
          </cell>
        </row>
        <row r="12337">
          <cell r="C12337">
            <v>2101750</v>
          </cell>
          <cell r="D12337" t="str">
            <v>***PROSMAK KRAK.SUCHA AROMA</v>
          </cell>
        </row>
        <row r="12338">
          <cell r="C12338">
            <v>2100421</v>
          </cell>
          <cell r="D12338" t="str">
            <v>DWUOCTAN SODU</v>
          </cell>
        </row>
        <row r="12339">
          <cell r="C12339">
            <v>2101878</v>
          </cell>
          <cell r="D12339" t="str">
            <v>PASTA  CZOSNKOWA</v>
          </cell>
        </row>
        <row r="12340">
          <cell r="C12340">
            <v>2101901</v>
          </cell>
          <cell r="D12340" t="str">
            <v>KWAS CYTRYNOWY JEDNOWODNY E330</v>
          </cell>
        </row>
        <row r="12341">
          <cell r="C12341">
            <v>2101555</v>
          </cell>
          <cell r="D12341" t="str">
            <v>MF VERDAD POWDER N6</v>
          </cell>
        </row>
        <row r="12342">
          <cell r="C12342">
            <v>2101891</v>
          </cell>
          <cell r="D12342" t="str">
            <v>POMIDOR  MIELONY</v>
          </cell>
        </row>
        <row r="12343">
          <cell r="C12343">
            <v>2100489</v>
          </cell>
          <cell r="D12343" t="str">
            <v>PN KOLENDRA MIEL.</v>
          </cell>
        </row>
        <row r="12344">
          <cell r="C12344">
            <v>2100225</v>
          </cell>
          <cell r="D12344" t="str">
            <v>AROMAT CZOSNEK W PŁYNIE</v>
          </cell>
        </row>
        <row r="12345">
          <cell r="C12345">
            <v>2101351</v>
          </cell>
          <cell r="D12345" t="str">
            <v>OPTI.FORM SD 4</v>
          </cell>
        </row>
        <row r="12346">
          <cell r="C12346">
            <v>2100297</v>
          </cell>
          <cell r="D12346" t="str">
            <v>MS AROM.SMR</v>
          </cell>
        </row>
        <row r="12347">
          <cell r="C12347">
            <v>2100366</v>
          </cell>
          <cell r="D12347" t="str">
            <v>MF PODWAWELSKA RO</v>
          </cell>
        </row>
        <row r="12348">
          <cell r="C12348">
            <v>2100391</v>
          </cell>
          <cell r="D12348" t="str">
            <v>MIESZ.TARI COLPUR 51</v>
          </cell>
        </row>
        <row r="12349">
          <cell r="C12349">
            <v>2100333</v>
          </cell>
          <cell r="D12349" t="str">
            <v>PRZYP.FIBRICOLOR</v>
          </cell>
        </row>
        <row r="12350">
          <cell r="C12350">
            <v>2100800</v>
          </cell>
          <cell r="D12350" t="str">
            <v>BIAŁKO KOLAGENOWE PROWICO II</v>
          </cell>
        </row>
        <row r="12351">
          <cell r="C12351">
            <v>2101913</v>
          </cell>
          <cell r="D12351" t="str">
            <v>MIESZ.SOS WĘGIERSKI Z NUTĄ PIECZ.EF</v>
          </cell>
        </row>
        <row r="12352">
          <cell r="C12352">
            <v>2101141</v>
          </cell>
          <cell r="D12352" t="str">
            <v>MIESZ.AROMEAT SZYNKA SŁOWIAŃSKA</v>
          </cell>
        </row>
        <row r="12353">
          <cell r="C12353">
            <v>2101556</v>
          </cell>
          <cell r="D12353" t="str">
            <v>MIESZ.AROMEAT-SZYNKA BLOKOWA</v>
          </cell>
        </row>
        <row r="12354">
          <cell r="C12354">
            <v>2101952</v>
          </cell>
          <cell r="D12354" t="str">
            <v>ALIT FB KS (5678)</v>
          </cell>
        </row>
        <row r="12355">
          <cell r="C12355">
            <v>2101965</v>
          </cell>
          <cell r="D12355" t="str">
            <v>BIAŁKO SUPRO EX 37 HG IP</v>
          </cell>
        </row>
        <row r="12356">
          <cell r="C12356">
            <v>2101969</v>
          </cell>
          <cell r="D12356" t="str">
            <v>MIESZ.PRIMAL KIEŁB.KRAK.SUCHA OG 247684</v>
          </cell>
        </row>
        <row r="12357">
          <cell r="C12357">
            <v>2101980</v>
          </cell>
          <cell r="D12357" t="str">
            <v>MIESZ.FRISCHZWIEBEL L 333118048</v>
          </cell>
        </row>
        <row r="12358">
          <cell r="C12358">
            <v>2101981</v>
          </cell>
          <cell r="D12358" t="str">
            <v>MIESZ.SMAK GOURMET OGAF 107235</v>
          </cell>
        </row>
        <row r="12359">
          <cell r="C12359">
            <v>2101972</v>
          </cell>
          <cell r="D12359" t="str">
            <v>MAJORAN THURINGER GEREBELT 411029023</v>
          </cell>
        </row>
        <row r="12360">
          <cell r="C12360">
            <v>2101973</v>
          </cell>
          <cell r="D12360" t="str">
            <v>MIESZ.AROMA C2 OG 242751</v>
          </cell>
        </row>
        <row r="12361">
          <cell r="C12361">
            <v>2101974</v>
          </cell>
          <cell r="D12361" t="str">
            <v>MIESZ.SOS AMERYKAŃSKI FINE OG 201163EU</v>
          </cell>
        </row>
        <row r="12362">
          <cell r="C12362">
            <v>2101975</v>
          </cell>
          <cell r="D12362" t="str">
            <v>MIESZ.AROMIX KNOBLAUCH LW 308745660</v>
          </cell>
        </row>
        <row r="12363">
          <cell r="C12363">
            <v>2101956</v>
          </cell>
          <cell r="D12363" t="str">
            <v>MIESZ.VAN HEES PH-OPTIMAL S2</v>
          </cell>
        </row>
        <row r="12364">
          <cell r="C12364">
            <v>2100473</v>
          </cell>
          <cell r="D12364" t="str">
            <v>PIETRUSZKA SUSZONA</v>
          </cell>
        </row>
        <row r="12365">
          <cell r="C12365">
            <v>2100440</v>
          </cell>
          <cell r="D12365" t="str">
            <v>BIAŁKO INWEX 950</v>
          </cell>
        </row>
        <row r="12366">
          <cell r="C12366">
            <v>2100208</v>
          </cell>
          <cell r="D12366" t="str">
            <v>PIEPRZ CZARNY ŁAMANY 630/1000</v>
          </cell>
        </row>
        <row r="12367">
          <cell r="C12367">
            <v>2101978</v>
          </cell>
          <cell r="D12367" t="str">
            <v>BRINEAID NEW LINE  6131PL</v>
          </cell>
        </row>
        <row r="12368">
          <cell r="C12368">
            <v>2101983</v>
          </cell>
          <cell r="D12368" t="str">
            <v>MIESZ.KABANOS WIEPRZOWY-BACON 4</v>
          </cell>
        </row>
        <row r="12369">
          <cell r="C12369">
            <v>2102042</v>
          </cell>
          <cell r="D12369" t="str">
            <v>MS SOVAROM KABAN.BGP II</v>
          </cell>
        </row>
        <row r="12370">
          <cell r="C12370">
            <v>2102039</v>
          </cell>
          <cell r="D12370" t="str">
            <v>***MIESZ.KABANOS WIEPRZOWY-BACON 3</v>
          </cell>
        </row>
        <row r="12371">
          <cell r="C12371">
            <v>2102057</v>
          </cell>
          <cell r="D12371" t="str">
            <v>MIESZ.BRINE ACTIWAGG BZ</v>
          </cell>
        </row>
        <row r="12372">
          <cell r="C12372">
            <v>2102070</v>
          </cell>
          <cell r="D12372" t="str">
            <v>ALMI FRISCH X</v>
          </cell>
        </row>
        <row r="12373">
          <cell r="C12373">
            <v>2101892</v>
          </cell>
          <cell r="D12373" t="str">
            <v>MIESZ.BIND P6 PROFIT</v>
          </cell>
        </row>
        <row r="12374">
          <cell r="C12374">
            <v>2100496</v>
          </cell>
          <cell r="D12374" t="str">
            <v>MIÓD LIPOWY</v>
          </cell>
        </row>
        <row r="12375">
          <cell r="C12375">
            <v>2101182</v>
          </cell>
          <cell r="D12375" t="str">
            <v>AMCOSTAT NATURAL</v>
          </cell>
        </row>
        <row r="12376">
          <cell r="C12376">
            <v>2102081</v>
          </cell>
          <cell r="D12376" t="str">
            <v>PROMIX B/A</v>
          </cell>
        </row>
        <row r="12377">
          <cell r="C12377">
            <v>2100429</v>
          </cell>
          <cell r="D12377" t="str">
            <v>MF SCHINKO SHULTER MIX NATUR</v>
          </cell>
        </row>
        <row r="12378">
          <cell r="C12378">
            <v>2102083</v>
          </cell>
          <cell r="D12378" t="str">
            <v>MIESZ.DOMOWA ZE WSI E-O EU</v>
          </cell>
        </row>
        <row r="12379">
          <cell r="C12379">
            <v>2101766</v>
          </cell>
          <cell r="D12379" t="str">
            <v>MIESZ.DOMOWA ZE WSI W PŁYNIE BG 27006</v>
          </cell>
        </row>
        <row r="12380">
          <cell r="C12380">
            <v>2102089</v>
          </cell>
          <cell r="D12380" t="str">
            <v>MIESZ.SMAK ROSOŁOWY 147864013 PL</v>
          </cell>
        </row>
        <row r="12381">
          <cell r="C12381">
            <v>2102088</v>
          </cell>
          <cell r="D12381" t="str">
            <v>MIESZ.AROMIX NATUR GARLIC 309412660PL</v>
          </cell>
        </row>
        <row r="12382">
          <cell r="C12382">
            <v>2102087</v>
          </cell>
          <cell r="D12382" t="str">
            <v>MIESZ.AROMIX NATUR ONION 309413130PL</v>
          </cell>
        </row>
        <row r="12383">
          <cell r="C12383">
            <v>2102086</v>
          </cell>
          <cell r="D12383" t="str">
            <v>MIESZ.VAN HEES STAB PH 147865023PL</v>
          </cell>
        </row>
        <row r="12384">
          <cell r="C12384">
            <v>2102084</v>
          </cell>
          <cell r="D12384" t="str">
            <v>MIESZ.SMAK MIX NATUR 247456013PL</v>
          </cell>
        </row>
        <row r="12385">
          <cell r="C12385">
            <v>2102135</v>
          </cell>
          <cell r="D12385" t="str">
            <v>MF PRK BELLY 65 S</v>
          </cell>
        </row>
        <row r="12386">
          <cell r="C12386">
            <v>2102136</v>
          </cell>
          <cell r="D12386" t="str">
            <v>AROMAT DYMU WĘDZ.051604</v>
          </cell>
        </row>
        <row r="12387">
          <cell r="C12387">
            <v>2102033</v>
          </cell>
          <cell r="D12387" t="str">
            <v>AROMAT AROMEAT-KOMPLEX-17</v>
          </cell>
        </row>
        <row r="12388">
          <cell r="C12388">
            <v>2102032</v>
          </cell>
          <cell r="D12388" t="str">
            <v>AROMAT AROMEAT-KOMPLEX-16</v>
          </cell>
        </row>
        <row r="12389">
          <cell r="C12389">
            <v>2102187</v>
          </cell>
          <cell r="D12389" t="str">
            <v>MIESZ.SOLANKA W50</v>
          </cell>
        </row>
        <row r="12390">
          <cell r="C12390">
            <v>2102211</v>
          </cell>
          <cell r="D12390" t="str">
            <v>***MIESZ.TARI COMBI KRAKAUER 05/17PL</v>
          </cell>
        </row>
        <row r="12391">
          <cell r="C12391">
            <v>2102134</v>
          </cell>
          <cell r="D12391" t="str">
            <v>AROMAT SMAK M-SA</v>
          </cell>
        </row>
        <row r="12392">
          <cell r="C12392">
            <v>2102230</v>
          </cell>
          <cell r="D12392" t="str">
            <v>MS DORAMIX KOMPLEX 01-54</v>
          </cell>
        </row>
        <row r="12393">
          <cell r="C12393">
            <v>2102216</v>
          </cell>
          <cell r="D12393" t="str">
            <v>MIESZ.DEKOR WIOSENNY</v>
          </cell>
        </row>
        <row r="12394">
          <cell r="C12394">
            <v>2102215</v>
          </cell>
          <cell r="D12394" t="str">
            <v>MIESZ.KIEŁBASA GÓRALSKA RO</v>
          </cell>
        </row>
        <row r="12395">
          <cell r="C12395">
            <v>2102234</v>
          </cell>
          <cell r="D12395" t="str">
            <v>MIESZ.PRZYPRAWA BARBECUE DO KARKÓWKI</v>
          </cell>
        </row>
        <row r="12396">
          <cell r="C12396">
            <v>2101197</v>
          </cell>
          <cell r="D12396" t="str">
            <v>MIESZ.GRILL.JALAPENO</v>
          </cell>
        </row>
        <row r="12397">
          <cell r="C12397">
            <v>2102235</v>
          </cell>
          <cell r="D12397" t="str">
            <v>MARYNATA KONCENTRAT PROVENCE R</v>
          </cell>
        </row>
        <row r="12398">
          <cell r="C12398">
            <v>2102236</v>
          </cell>
          <cell r="D12398" t="str">
            <v>MAR.CZOSN/ZIOŁ.</v>
          </cell>
        </row>
        <row r="12399">
          <cell r="C12399">
            <v>2102237</v>
          </cell>
          <cell r="D12399" t="str">
            <v>MARYNATA LAFINES PAPRYKA II</v>
          </cell>
        </row>
        <row r="12400">
          <cell r="C12400">
            <v>2102238</v>
          </cell>
          <cell r="D12400" t="str">
            <v>MARYNATA CZOSNKOWO-PIEPRZOWA L</v>
          </cell>
        </row>
        <row r="12401">
          <cell r="C12401">
            <v>2102239</v>
          </cell>
          <cell r="D12401" t="str">
            <v>MARYNATA ARIZONA-KONCENTRAT</v>
          </cell>
        </row>
        <row r="12402">
          <cell r="C12402">
            <v>2102280</v>
          </cell>
          <cell r="D12402" t="str">
            <v>MIESZ.MEAT BOOSTER</v>
          </cell>
        </row>
        <row r="12403">
          <cell r="C12403">
            <v>2102264</v>
          </cell>
          <cell r="D12403" t="str">
            <v>MIESZ.KEBAB BASIC E</v>
          </cell>
        </row>
        <row r="12404">
          <cell r="C12404">
            <v>2102263</v>
          </cell>
          <cell r="D12404" t="str">
            <v>MIESZ.MADRYCKA AE O 2</v>
          </cell>
        </row>
        <row r="12405">
          <cell r="C12405">
            <v>2102262</v>
          </cell>
          <cell r="D12405" t="str">
            <v>MIESZ.CHORIZO HSP NG</v>
          </cell>
        </row>
        <row r="12406">
          <cell r="C12406">
            <v>2101622</v>
          </cell>
          <cell r="D12406" t="str">
            <v>MIESZ.VAN HEES BASIC MSG FREE</v>
          </cell>
        </row>
        <row r="12407">
          <cell r="C12407">
            <v>2102201</v>
          </cell>
          <cell r="D12407" t="str">
            <v>MIESZ.PEKLOMIX 3.0FCB</v>
          </cell>
        </row>
        <row r="12408">
          <cell r="C12408">
            <v>2100300</v>
          </cell>
          <cell r="D12408" t="str">
            <v>MIESZ.GOLD FRESCH PLUS</v>
          </cell>
        </row>
        <row r="12409">
          <cell r="C12409">
            <v>2102295</v>
          </cell>
          <cell r="D12409" t="str">
            <v>MS BIANKA MIX</v>
          </cell>
        </row>
        <row r="12410">
          <cell r="C12410">
            <v>2102296</v>
          </cell>
          <cell r="D12410" t="str">
            <v>MS ORIENT MIX</v>
          </cell>
        </row>
        <row r="12411">
          <cell r="C12411">
            <v>2100402</v>
          </cell>
          <cell r="D12411" t="str">
            <v>MIESZ.VAN HEES BASIC</v>
          </cell>
        </row>
        <row r="12412">
          <cell r="C12412">
            <v>2102365</v>
          </cell>
          <cell r="D12412" t="str">
            <v>OPTI.FORM PD PLUS</v>
          </cell>
        </row>
        <row r="12413">
          <cell r="C12413">
            <v>2102379</v>
          </cell>
          <cell r="D12413" t="str">
            <v>MIESZ.MIX 2 KARK.AE</v>
          </cell>
        </row>
        <row r="12414">
          <cell r="C12414">
            <v>2102367</v>
          </cell>
          <cell r="D12414" t="str">
            <v>MIESZ.MIX 1 SZYNKA AE</v>
          </cell>
        </row>
        <row r="12415">
          <cell r="C12415">
            <v>2102368</v>
          </cell>
          <cell r="D12415" t="str">
            <v>MIESZ.MIX 1 SCHAB AE</v>
          </cell>
        </row>
        <row r="12416">
          <cell r="C12416">
            <v>2102369</v>
          </cell>
          <cell r="D12416" t="str">
            <v>MIESZ.AMCOSOL G8 15 PIECZEŃ AE</v>
          </cell>
        </row>
        <row r="12417">
          <cell r="C12417">
            <v>2102390</v>
          </cell>
          <cell r="D12417" t="str">
            <v>MIESZ.PROAROMA SOS GRZYBOWY EF</v>
          </cell>
        </row>
        <row r="12418">
          <cell r="C12418">
            <v>2102382</v>
          </cell>
          <cell r="D12418" t="str">
            <v>MIESZ.PROMASOL SOL.DO MIĘSA KULIN.EF R07</v>
          </cell>
        </row>
        <row r="12419">
          <cell r="C12419">
            <v>2102383</v>
          </cell>
          <cell r="D12419" t="str">
            <v>BOROWIK SUSZONY KROJONY</v>
          </cell>
        </row>
        <row r="12420">
          <cell r="C12420">
            <v>2102385</v>
          </cell>
          <cell r="D12420" t="str">
            <v>ŻURAWINA SUSZONA</v>
          </cell>
        </row>
        <row r="12421">
          <cell r="C12421">
            <v>2102388</v>
          </cell>
          <cell r="D12421" t="str">
            <v>MS SOVAROM KIEŁB.BIAŁA SUR.III</v>
          </cell>
        </row>
        <row r="12422">
          <cell r="C12422">
            <v>2102410</v>
          </cell>
          <cell r="D12422" t="str">
            <v>POSYPKA CZOSNKOWA</v>
          </cell>
        </row>
        <row r="12423">
          <cell r="C12423">
            <v>2102420</v>
          </cell>
          <cell r="D12423" t="str">
            <v>***MIESZ.KABANOS ROZMARYN ATL</v>
          </cell>
        </row>
        <row r="12424">
          <cell r="C12424">
            <v>2102421</v>
          </cell>
          <cell r="D12424" t="str">
            <v>***MIESZ.KABANOS JAŁOWIEC ATL</v>
          </cell>
        </row>
        <row r="12425">
          <cell r="C12425">
            <v>2102460</v>
          </cell>
          <cell r="D12425" t="str">
            <v>MF ZARTAVO L03</v>
          </cell>
        </row>
        <row r="12426">
          <cell r="C12426">
            <v>2102461</v>
          </cell>
          <cell r="D12426" t="str">
            <v>MS PALCÓWKA NAT-2</v>
          </cell>
        </row>
        <row r="12427">
          <cell r="C12427">
            <v>2102462</v>
          </cell>
          <cell r="D12427" t="str">
            <v>MS PEPP.</v>
          </cell>
        </row>
        <row r="12428">
          <cell r="C12428">
            <v>2102463</v>
          </cell>
          <cell r="D12428" t="str">
            <v>***MIESZ.PROAROMA KABANOS ORANGE</v>
          </cell>
        </row>
        <row r="12429">
          <cell r="C12429">
            <v>2102311</v>
          </cell>
          <cell r="D12429" t="str">
            <v>***MIESZ.PAPRYKOWA NASTRZYKOWA</v>
          </cell>
        </row>
        <row r="12430">
          <cell r="C12430">
            <v>2102312</v>
          </cell>
          <cell r="D12430" t="str">
            <v>PP OCET SPIRYTUS.10%</v>
          </cell>
        </row>
        <row r="12431">
          <cell r="C12431">
            <v>2102310</v>
          </cell>
          <cell r="D12431" t="str">
            <v>WITAFROL 7480 N</v>
          </cell>
        </row>
        <row r="12432">
          <cell r="C12432">
            <v>2100022</v>
          </cell>
          <cell r="D12432" t="str">
            <v>PN CEBULA MIEL.</v>
          </cell>
        </row>
        <row r="12433">
          <cell r="C12433">
            <v>2100831</v>
          </cell>
          <cell r="D12433" t="str">
            <v>TEKSTUROWANE BIAŁKO SOJOWE</v>
          </cell>
        </row>
        <row r="12434">
          <cell r="C12434">
            <v>2102472</v>
          </cell>
          <cell r="D12434" t="str">
            <v>MF PROSOL SOL.NF</v>
          </cell>
        </row>
        <row r="12435">
          <cell r="C12435">
            <v>2102481</v>
          </cell>
          <cell r="D12435" t="str">
            <v>***MIESZ.COMBI MIX-WĘDLINA BIS</v>
          </cell>
        </row>
        <row r="12436">
          <cell r="C12436">
            <v>2102482</v>
          </cell>
          <cell r="D12436" t="str">
            <v>***MIESZ.PODWAWELSKA RO FB</v>
          </cell>
        </row>
        <row r="12437">
          <cell r="C12437">
            <v>2102480</v>
          </cell>
          <cell r="D12437" t="str">
            <v>MIESZ.AROMAT BOCZKU FB</v>
          </cell>
        </row>
        <row r="12438">
          <cell r="C12438">
            <v>2100902</v>
          </cell>
          <cell r="D12438" t="str">
            <v>MF PREP.BIAŁKOWY</v>
          </cell>
        </row>
        <row r="12439">
          <cell r="C12439">
            <v>2101076</v>
          </cell>
          <cell r="D12439" t="str">
            <v>MF KUT MAXX P-4</v>
          </cell>
        </row>
        <row r="12440">
          <cell r="C12440">
            <v>2101100</v>
          </cell>
          <cell r="D12440" t="str">
            <v>MS WIEDEŃSKA</v>
          </cell>
        </row>
        <row r="12441">
          <cell r="C12441">
            <v>2100846</v>
          </cell>
          <cell r="D12441" t="str">
            <v>TARI P 31</v>
          </cell>
        </row>
        <row r="12442">
          <cell r="C12442">
            <v>2100970</v>
          </cell>
          <cell r="D12442" t="str">
            <v>MF BESTATE-P</v>
          </cell>
        </row>
        <row r="12443">
          <cell r="C12443">
            <v>2101046</v>
          </cell>
          <cell r="D12443" t="str">
            <v>MS KRAK.DROB.ES</v>
          </cell>
        </row>
        <row r="12444">
          <cell r="C12444">
            <v>2102520</v>
          </cell>
          <cell r="D12444" t="str">
            <v>***MIESZ.PEKLOMIX 3.0FKB5 SUPREME</v>
          </cell>
        </row>
        <row r="12445">
          <cell r="C12445">
            <v>2102479</v>
          </cell>
          <cell r="D12445" t="str">
            <v>***MIESZ.PRZYPRAWA TURYŃSKA</v>
          </cell>
        </row>
        <row r="12446">
          <cell r="C12446">
            <v>2102505</v>
          </cell>
          <cell r="D12446" t="str">
            <v>FOS.PROMASOL M451</v>
          </cell>
        </row>
        <row r="12447">
          <cell r="C12447">
            <v>2102523</v>
          </cell>
          <cell r="D12447" t="str">
            <v>MIESZ.AMCOSOL G5 GRILL</v>
          </cell>
        </row>
        <row r="12448">
          <cell r="C12448">
            <v>2102530</v>
          </cell>
          <cell r="D12448" t="str">
            <v>PIEPRZ CZARNY GRUBO MIELONY KRIO</v>
          </cell>
        </row>
        <row r="12449">
          <cell r="C12449">
            <v>2102593</v>
          </cell>
          <cell r="D12449" t="str">
            <v>***MI.CHILIE SMOKED GROUND(TYP CHIPOTLE)</v>
          </cell>
        </row>
        <row r="12450">
          <cell r="C12450">
            <v>2102600</v>
          </cell>
          <cell r="D12450" t="str">
            <v>MIESZ.INWEX HOME BINDER</v>
          </cell>
        </row>
        <row r="12451">
          <cell r="C12451">
            <v>2102597</v>
          </cell>
          <cell r="D12451" t="str">
            <v>MS DORAMIX KOMPLEX 01-58</v>
          </cell>
        </row>
        <row r="12452">
          <cell r="C12452">
            <v>2100381</v>
          </cell>
          <cell r="D12452" t="str">
            <v>MF ŚLĄSKA TRADYCYJNA BG/IN</v>
          </cell>
        </row>
        <row r="12453">
          <cell r="C12453">
            <v>2101088</v>
          </cell>
          <cell r="D12453" t="str">
            <v>MS ZWYCZAJNA EXT.BIAŁA</v>
          </cell>
        </row>
        <row r="12454">
          <cell r="C12454">
            <v>2102682</v>
          </cell>
          <cell r="D12454" t="str">
            <v>BŁONNIK PSZEN.VITACEL WF 300</v>
          </cell>
        </row>
        <row r="12455">
          <cell r="C12455">
            <v>2102363</v>
          </cell>
          <cell r="D12455" t="str">
            <v>AROMAMIX MAGIC S</v>
          </cell>
        </row>
        <row r="12456">
          <cell r="C12456">
            <v>2102676</v>
          </cell>
          <cell r="D12456" t="str">
            <v>***MIESZ.PROMASOL DO KIEŁBAS 20</v>
          </cell>
        </row>
        <row r="12457">
          <cell r="C12457">
            <v>2102730</v>
          </cell>
          <cell r="D12457" t="str">
            <v>AROMAT BASIC PAPRIKOSA</v>
          </cell>
        </row>
        <row r="12458">
          <cell r="C12458">
            <v>2102720</v>
          </cell>
          <cell r="D12458" t="str">
            <v>MF PEKLOMAS PM-30 BOCZ.-SOK-3</v>
          </cell>
        </row>
        <row r="12459">
          <cell r="C12459">
            <v>2102740</v>
          </cell>
          <cell r="D12459" t="str">
            <v>***MIESZ.PROMASOL STABILO 100</v>
          </cell>
        </row>
        <row r="12460">
          <cell r="C12460">
            <v>2102830</v>
          </cell>
          <cell r="D12460" t="str">
            <v>***MIESZ.POSYPKA MAJER/CZOSN.</v>
          </cell>
        </row>
        <row r="12461">
          <cell r="C12461">
            <v>2102812</v>
          </cell>
          <cell r="D12461" t="str">
            <v>MIESZ.MARYNATA SYROP KLONOWY&amp;BURBON</v>
          </cell>
        </row>
        <row r="12462">
          <cell r="C12462">
            <v>2102859</v>
          </cell>
          <cell r="D12462" t="str">
            <v>MS DOMOWA ZE WSI 0E-PIE.</v>
          </cell>
        </row>
        <row r="12463">
          <cell r="C12463">
            <v>2102910</v>
          </cell>
          <cell r="D12463" t="str">
            <v>MS PREP.SZYN.RZEŹ.RO FB</v>
          </cell>
        </row>
        <row r="12464">
          <cell r="C12464">
            <v>2102240</v>
          </cell>
          <cell r="D12464" t="str">
            <v>MARYNATA LAFINESS BAVARESE L</v>
          </cell>
        </row>
        <row r="12465">
          <cell r="C12465">
            <v>2102241</v>
          </cell>
          <cell r="D12465" t="str">
            <v>MIESZ.SOLANKA ZARTAVO 02</v>
          </cell>
        </row>
        <row r="12466">
          <cell r="C12466">
            <v>2102818</v>
          </cell>
          <cell r="D12466" t="str">
            <v>***AROMAT WOŁOWINY</v>
          </cell>
        </row>
        <row r="12467">
          <cell r="C12467">
            <v>2102819</v>
          </cell>
          <cell r="D12467" t="str">
            <v>***MIESZ.AROMEAT-KOMPLEX-52</v>
          </cell>
        </row>
        <row r="12468">
          <cell r="C12468">
            <v>2102817</v>
          </cell>
          <cell r="D12468" t="str">
            <v>MS SPICEMIX-28</v>
          </cell>
        </row>
        <row r="12469">
          <cell r="C12469">
            <v>2102882</v>
          </cell>
          <cell r="D12469" t="str">
            <v>***MIESZ.KIEŁBASA WIEJSKA FEIN FB</v>
          </cell>
        </row>
        <row r="12470">
          <cell r="C12470">
            <v>2102911</v>
          </cell>
          <cell r="D12470" t="str">
            <v>***MIESZ.KIEŁBASA GÓRALSKA RO FB</v>
          </cell>
        </row>
        <row r="12471">
          <cell r="C12471">
            <v>2102885</v>
          </cell>
          <cell r="D12471" t="str">
            <v>***MIESZ.TASTE GARLIC</v>
          </cell>
        </row>
        <row r="12472">
          <cell r="C12472">
            <v>2102941</v>
          </cell>
          <cell r="D12472" t="str">
            <v>MS AROMEAT-KOMPLEX-58</v>
          </cell>
        </row>
        <row r="12473">
          <cell r="C12473">
            <v>2102790</v>
          </cell>
          <cell r="D12473" t="str">
            <v>MS PROSMAK SPICE MIX</v>
          </cell>
        </row>
        <row r="12474">
          <cell r="C12474">
            <v>2102888</v>
          </cell>
          <cell r="D12474" t="str">
            <v>MIESZ.VAN HEES AROMIX BASIC</v>
          </cell>
        </row>
        <row r="12475">
          <cell r="C12475">
            <v>2101212</v>
          </cell>
          <cell r="D12475" t="str">
            <v>OPTI.FORM PPA PLUS</v>
          </cell>
        </row>
        <row r="12476">
          <cell r="C12476">
            <v>2102983</v>
          </cell>
          <cell r="D12476" t="str">
            <v>***MIESZ.FUNK.PODWAWELSKA RO NC</v>
          </cell>
        </row>
        <row r="12477">
          <cell r="C12477">
            <v>2103008</v>
          </cell>
          <cell r="D12477" t="str">
            <v>MF AMCOSYSTEM E SZYN.</v>
          </cell>
        </row>
        <row r="12478">
          <cell r="C12478">
            <v>2103024</v>
          </cell>
          <cell r="D12478" t="str">
            <v>MF PROMASOL DO KIEŁB.30</v>
          </cell>
        </row>
        <row r="12479">
          <cell r="C12479">
            <v>2102987</v>
          </cell>
          <cell r="D12479" t="str">
            <v>***MIESZ.SMAK.TASTE E 28</v>
          </cell>
        </row>
        <row r="12480">
          <cell r="C12480">
            <v>2103091</v>
          </cell>
          <cell r="D12480" t="str">
            <v>***MIESZ.FUNK.W 2500 PUR NEW</v>
          </cell>
        </row>
        <row r="12481">
          <cell r="C12481">
            <v>2103094</v>
          </cell>
          <cell r="D12481" t="str">
            <v>MS KABAN.DROB.II</v>
          </cell>
        </row>
        <row r="12482">
          <cell r="C12482">
            <v>2103092</v>
          </cell>
          <cell r="D12482" t="str">
            <v>***STABI FRESH MAX</v>
          </cell>
        </row>
        <row r="12483">
          <cell r="C12483">
            <v>2103116</v>
          </cell>
          <cell r="D12483" t="str">
            <v>MF PROSOL OPTIMAL S</v>
          </cell>
        </row>
        <row r="12484">
          <cell r="C12484">
            <v>2103117</v>
          </cell>
          <cell r="D12484" t="str">
            <v>MF PROSOL SOL.73</v>
          </cell>
        </row>
        <row r="12485">
          <cell r="C12485">
            <v>2103144</v>
          </cell>
          <cell r="D12485" t="str">
            <v>MF W 2500 PUR NEW OA</v>
          </cell>
        </row>
        <row r="12486">
          <cell r="C12486">
            <v>2103170</v>
          </cell>
          <cell r="D12486" t="str">
            <v>MF ACTIVKUT 78 AFT</v>
          </cell>
        </row>
        <row r="12487">
          <cell r="C12487">
            <v>2103200</v>
          </cell>
          <cell r="D12487" t="str">
            <v>MS AVO SMAKER</v>
          </cell>
        </row>
        <row r="12488">
          <cell r="C12488">
            <v>2103211</v>
          </cell>
          <cell r="D12488" t="str">
            <v>AROMAT PULLED BEEF</v>
          </cell>
        </row>
        <row r="12489">
          <cell r="C12489">
            <v>2103210</v>
          </cell>
          <cell r="D12489" t="str">
            <v>MS KABAN.WP.II</v>
          </cell>
        </row>
        <row r="12490">
          <cell r="C12490">
            <v>2103190</v>
          </cell>
          <cell r="D12490" t="str">
            <v>MS SOVAROM MIX AROM.BG</v>
          </cell>
        </row>
        <row r="12491">
          <cell r="C12491">
            <v>2103191</v>
          </cell>
          <cell r="D12491" t="str">
            <v>MS SOVAROM PRZYP.EXT.BG</v>
          </cell>
        </row>
        <row r="12492">
          <cell r="C12492">
            <v>2102971</v>
          </cell>
          <cell r="D12492" t="str">
            <v>BIAŁKO ZWIE.SANDIPRO IPP-95</v>
          </cell>
        </row>
        <row r="12493">
          <cell r="C12493">
            <v>2103050</v>
          </cell>
          <cell r="D12493" t="str">
            <v>BIAŁKO KONC.SOJ.UNICO SPC 200</v>
          </cell>
        </row>
        <row r="12494">
          <cell r="C12494">
            <v>2102503</v>
          </cell>
          <cell r="D12494" t="str">
            <v>VERDAD N4</v>
          </cell>
        </row>
        <row r="12495">
          <cell r="C12495">
            <v>2103212</v>
          </cell>
          <cell r="D12495" t="str">
            <v>***PURASAL XTEND 12</v>
          </cell>
        </row>
        <row r="12496">
          <cell r="C12496">
            <v>2103054</v>
          </cell>
          <cell r="D12496" t="str">
            <v>MF BIND 50 BS</v>
          </cell>
        </row>
        <row r="12497">
          <cell r="C12497">
            <v>2103250</v>
          </cell>
          <cell r="D12497" t="str">
            <v>MF HAM-P-15-197</v>
          </cell>
        </row>
        <row r="12498">
          <cell r="C12498">
            <v>2103348</v>
          </cell>
          <cell r="D12498" t="str">
            <v>MS PAPRYKA OSTRA WĘDZ.100 ASTA</v>
          </cell>
        </row>
        <row r="12499">
          <cell r="C12499">
            <v>2103316</v>
          </cell>
          <cell r="D12499" t="str">
            <v>MS PROAROMA BASIC D</v>
          </cell>
        </row>
        <row r="12500">
          <cell r="C12500">
            <v>2103380</v>
          </cell>
          <cell r="D12500" t="str">
            <v>MF BIND K30</v>
          </cell>
        </row>
        <row r="12501">
          <cell r="C12501">
            <v>2103383</v>
          </cell>
          <cell r="D12501" t="str">
            <v>MIESZ.SMAK.MAR.DO KIEŁBAS SWOJSKICH</v>
          </cell>
        </row>
        <row r="12502">
          <cell r="C12502">
            <v>2103381</v>
          </cell>
          <cell r="D12502" t="str">
            <v>MS KIEŁB.BEK/CEB.</v>
          </cell>
        </row>
        <row r="12503">
          <cell r="C12503">
            <v>2103370</v>
          </cell>
          <cell r="D12503" t="str">
            <v>PN PAPRYKA CHILI JALAPENO PŁAT.2-3MM</v>
          </cell>
        </row>
        <row r="12504">
          <cell r="C12504">
            <v>2103374</v>
          </cell>
          <cell r="D12504" t="str">
            <v>***MIESZ.FUNK.SM KHM ROT</v>
          </cell>
        </row>
        <row r="12505">
          <cell r="C12505">
            <v>2103371</v>
          </cell>
          <cell r="D12505" t="str">
            <v>***MIESZ.FUNK.SUPERFRISH INW</v>
          </cell>
        </row>
        <row r="12506">
          <cell r="C12506">
            <v>2103373</v>
          </cell>
          <cell r="D12506" t="str">
            <v>***MS VAN HEES PARÓWKI 2 FAMILI OG</v>
          </cell>
        </row>
        <row r="12507">
          <cell r="C12507">
            <v>2103372</v>
          </cell>
          <cell r="D12507" t="str">
            <v>***MIESZ.SMAK.VAN HEES WIENER GLUT OGAF</v>
          </cell>
        </row>
        <row r="12508">
          <cell r="C12508">
            <v>2102958</v>
          </cell>
          <cell r="D12508" t="str">
            <v>***MI PEPPERONI B FB</v>
          </cell>
        </row>
        <row r="12509">
          <cell r="C12509">
            <v>2103431</v>
          </cell>
          <cell r="D12509" t="str">
            <v>PN CHILLI GRYS 1-3MM</v>
          </cell>
        </row>
        <row r="12510">
          <cell r="C12510">
            <v>2103440</v>
          </cell>
          <cell r="D12510" t="str">
            <v>MS PROSMAK PAR.FAMILIADA OG</v>
          </cell>
        </row>
        <row r="12511">
          <cell r="C12511">
            <v>2103432</v>
          </cell>
          <cell r="D12511" t="str">
            <v>MS PROSMAK WIENER GOLD OGAF</v>
          </cell>
        </row>
        <row r="12512">
          <cell r="C12512">
            <v>2103485</v>
          </cell>
          <cell r="D12512" t="str">
            <v>***PAPRYKA CZERWONA OSTRA A 100 Z WĘDZ.</v>
          </cell>
        </row>
        <row r="12513">
          <cell r="C12513">
            <v>2103473</v>
          </cell>
          <cell r="D12513" t="str">
            <v>MS KABAN.WP.AN</v>
          </cell>
        </row>
        <row r="12514">
          <cell r="C12514">
            <v>2102476</v>
          </cell>
          <cell r="D12514" t="str">
            <v>BARWNIK ALMI KARMIN</v>
          </cell>
        </row>
        <row r="12515">
          <cell r="C12515">
            <v>2103462</v>
          </cell>
          <cell r="D12515" t="str">
            <v>MS PRZYP.DO SZYN.Z LASU</v>
          </cell>
        </row>
        <row r="12516">
          <cell r="C12516">
            <v>2103505</v>
          </cell>
          <cell r="D12516" t="str">
            <v>MS PROAROMA DO KABAN.SPICE</v>
          </cell>
        </row>
        <row r="12517">
          <cell r="C12517">
            <v>2103530</v>
          </cell>
          <cell r="D12517" t="str">
            <v>AROMAT SZYN.PIE.FB BD</v>
          </cell>
        </row>
        <row r="12518">
          <cell r="C12518">
            <v>2102731</v>
          </cell>
          <cell r="D12518" t="str">
            <v>MF PEKLOMAS PM-30 BEKON-2</v>
          </cell>
        </row>
        <row r="12519">
          <cell r="C12519">
            <v>2103551</v>
          </cell>
          <cell r="D12519" t="str">
            <v>BŁONNIK UNIFIT DRY</v>
          </cell>
        </row>
        <row r="12520">
          <cell r="C12520">
            <v>2103557</v>
          </cell>
          <cell r="D12520" t="str">
            <v>MS KABAN.O SMAKU PAPR.</v>
          </cell>
        </row>
        <row r="12521">
          <cell r="C12521">
            <v>2103613</v>
          </cell>
          <cell r="D12521" t="str">
            <v>***MIESZ.FUNK.PROSOL MIX NATUR</v>
          </cell>
        </row>
        <row r="12522">
          <cell r="C12522">
            <v>2101166</v>
          </cell>
          <cell r="D12522" t="str">
            <v>BIAŁKO KONC.SOJ.PROCON 2000</v>
          </cell>
        </row>
        <row r="12523">
          <cell r="C12523">
            <v>2103634</v>
          </cell>
          <cell r="D12523" t="str">
            <v>OLEJ SŁONECZNIK.5L</v>
          </cell>
        </row>
        <row r="12524">
          <cell r="C12524">
            <v>2103650</v>
          </cell>
          <cell r="D12524" t="str">
            <v>MS FRANK.RO.02</v>
          </cell>
        </row>
        <row r="12525">
          <cell r="C12525">
            <v>2103619</v>
          </cell>
          <cell r="D12525" t="str">
            <v>KULTURY START.ALMI 20</v>
          </cell>
        </row>
        <row r="12526">
          <cell r="C12526">
            <v>2103642</v>
          </cell>
          <cell r="D12526" t="str">
            <v>AROMAT UMAMI</v>
          </cell>
        </row>
        <row r="12527">
          <cell r="C12527">
            <v>2103638</v>
          </cell>
          <cell r="D12527" t="str">
            <v>MS SOVAROM PRZYP.LUX</v>
          </cell>
        </row>
        <row r="12528">
          <cell r="C12528">
            <v>2103663</v>
          </cell>
          <cell r="D12528" t="str">
            <v>MS PROSMAK-158</v>
          </cell>
        </row>
        <row r="12529">
          <cell r="C12529">
            <v>2103662</v>
          </cell>
          <cell r="D12529" t="str">
            <v>***MIESZ.PROSMAK-159</v>
          </cell>
        </row>
        <row r="12530">
          <cell r="C12530">
            <v>2102901</v>
          </cell>
          <cell r="D12530" t="str">
            <v>BARWNIK BASIC K79</v>
          </cell>
        </row>
        <row r="12531">
          <cell r="C12531">
            <v>2103647</v>
          </cell>
          <cell r="D12531" t="str">
            <v>MF PROMASOL DO KIEŁB.40</v>
          </cell>
        </row>
        <row r="12532">
          <cell r="C12532">
            <v>2103722</v>
          </cell>
          <cell r="D12532" t="str">
            <v>***MIESZ.FUNK.BASIC ULTRA FRESH</v>
          </cell>
        </row>
        <row r="12533">
          <cell r="C12533">
            <v>2103741</v>
          </cell>
          <cell r="D12533" t="str">
            <v>MS PROAROMA O SMAKU ZIEL.CEB.</v>
          </cell>
        </row>
        <row r="12534">
          <cell r="C12534">
            <v>2103734</v>
          </cell>
          <cell r="D12534" t="str">
            <v>PN POMIDOR SUSZ.GRYS 3-4</v>
          </cell>
        </row>
        <row r="12535">
          <cell r="C12535">
            <v>2103735</v>
          </cell>
          <cell r="D12535" t="str">
            <v>MF PROMASOL ŚRODEK DO KIEŁB.90%</v>
          </cell>
        </row>
        <row r="12536">
          <cell r="C12536">
            <v>2103736</v>
          </cell>
          <cell r="D12536" t="str">
            <v>PN POMIDOR PŁAT.Z/BAZYLIĄ I CZOSN.</v>
          </cell>
        </row>
        <row r="12537">
          <cell r="C12537">
            <v>2103738</v>
          </cell>
          <cell r="D12537" t="str">
            <v>SÓL SPOŻ.KAMIENNA 1.4-0.4 OS</v>
          </cell>
        </row>
        <row r="12538">
          <cell r="C12538">
            <v>2103785</v>
          </cell>
          <cell r="D12538" t="str">
            <v>MS PROSMAK K5 KOMBI 5866</v>
          </cell>
        </row>
        <row r="12539">
          <cell r="C12539">
            <v>2103775</v>
          </cell>
          <cell r="D12539" t="str">
            <v>MF AMCOSOL SUPER 50 NI</v>
          </cell>
        </row>
        <row r="12540">
          <cell r="C12540">
            <v>2103786</v>
          </cell>
          <cell r="D12540" t="str">
            <v>PIROSIARCZYN SODU SPOŻ.E223</v>
          </cell>
        </row>
        <row r="12541">
          <cell r="C12541">
            <v>2103861</v>
          </cell>
          <cell r="D12541" t="str">
            <v>MF SOL.ALLSOL W6A</v>
          </cell>
        </row>
        <row r="12542">
          <cell r="C12542">
            <v>2103860</v>
          </cell>
          <cell r="D12542" t="str">
            <v>***PROSZEK SEROWY 85% ID A0043</v>
          </cell>
        </row>
        <row r="12543">
          <cell r="C12543">
            <v>2103851</v>
          </cell>
          <cell r="D12543" t="str">
            <v>MS PRZYP.DO KABAN.O SMAKU SER.G</v>
          </cell>
        </row>
        <row r="12544">
          <cell r="C12544">
            <v>2103878</v>
          </cell>
          <cell r="D12544" t="str">
            <v>MS PROSMAK MIX PFEFFER</v>
          </cell>
        </row>
        <row r="12545">
          <cell r="C12545">
            <v>2103907</v>
          </cell>
          <cell r="D12545" t="str">
            <v>MS PRZYP.PODWAWELSKA KOMBI</v>
          </cell>
        </row>
        <row r="12546">
          <cell r="C12546">
            <v>2103920</v>
          </cell>
          <cell r="D12546" t="str">
            <v>MF POLSKA 02 B/COLOR I MSG</v>
          </cell>
        </row>
        <row r="12547">
          <cell r="C12547">
            <v>2103923</v>
          </cell>
          <cell r="D12547" t="str">
            <v>MS IBERIA BG III</v>
          </cell>
        </row>
        <row r="12548">
          <cell r="C12548">
            <v>2103922</v>
          </cell>
          <cell r="D12548" t="str">
            <v>***PIEPRZ CZARNY OTOCZKA 786201</v>
          </cell>
        </row>
        <row r="12549">
          <cell r="C12549">
            <v>2103921</v>
          </cell>
          <cell r="D12549" t="str">
            <v>***AROMAT TRUFLI 070501</v>
          </cell>
        </row>
        <row r="12550">
          <cell r="C12550">
            <v>2103924</v>
          </cell>
          <cell r="D12550" t="str">
            <v>MS DO KIEŁB.PIEPRZ.</v>
          </cell>
        </row>
        <row r="12551">
          <cell r="C12551">
            <v>2103982</v>
          </cell>
          <cell r="D12551" t="str">
            <v>MF SMAKOVITA VITASOL T2 D</v>
          </cell>
        </row>
        <row r="12552">
          <cell r="C12552">
            <v>2103996</v>
          </cell>
          <cell r="D12552" t="str">
            <v>METANOL SYNTETYCZNY</v>
          </cell>
        </row>
        <row r="12553">
          <cell r="C12553">
            <v>2103986</v>
          </cell>
          <cell r="D12553" t="str">
            <v>DYM WĘDZ.SMOKESTREAM RT-13</v>
          </cell>
        </row>
        <row r="12554">
          <cell r="C12554">
            <v>2103998</v>
          </cell>
          <cell r="D12554" t="str">
            <v>MF BASIC FUNKCJA KOL</v>
          </cell>
        </row>
        <row r="12555">
          <cell r="C12555">
            <v>2103252</v>
          </cell>
          <cell r="D12555" t="str">
            <v>TRANSGLUTAMINAZA BDF PROBIND</v>
          </cell>
        </row>
        <row r="12556">
          <cell r="C12556">
            <v>2104055</v>
          </cell>
          <cell r="D12556" t="str">
            <v>MS ECOROM ŚLĄSKA PREMIUM</v>
          </cell>
        </row>
        <row r="12557">
          <cell r="C12557">
            <v>2104090</v>
          </cell>
          <cell r="D12557" t="str">
            <v>MF BASIC KPL.K</v>
          </cell>
        </row>
        <row r="12558">
          <cell r="C12558">
            <v>2104091</v>
          </cell>
          <cell r="D12558" t="str">
            <v>MS PROSMAK KIEŁB.JALAPENO</v>
          </cell>
        </row>
        <row r="12559">
          <cell r="C12559">
            <v>2104069</v>
          </cell>
          <cell r="D12559" t="str">
            <v>PN PAPRYKA ZIEL.GRYS 3MM</v>
          </cell>
        </row>
        <row r="12560">
          <cell r="C12560">
            <v>2104133</v>
          </cell>
          <cell r="D12560" t="str">
            <v>***TEXTURECE 30000 GA SODIUM</v>
          </cell>
        </row>
        <row r="12561">
          <cell r="C12561">
            <v>2104103</v>
          </cell>
          <cell r="D12561" t="str">
            <v>SÓL SPOŻ.KAMIENNA 0.7-0.16</v>
          </cell>
        </row>
        <row r="12562">
          <cell r="C12562">
            <v>2104125</v>
          </cell>
          <cell r="D12562" t="str">
            <v>MF KIEŁB.REGIONALNA COMBI 2</v>
          </cell>
        </row>
        <row r="12563">
          <cell r="C12563">
            <v>2104105</v>
          </cell>
          <cell r="D12563" t="str">
            <v>MF SOL.W 501 AN</v>
          </cell>
        </row>
        <row r="12564">
          <cell r="C12564">
            <v>2103714</v>
          </cell>
          <cell r="D12564" t="str">
            <v>MIESZ.MAR.PAPRIKANA 28294</v>
          </cell>
        </row>
        <row r="12565">
          <cell r="C12565">
            <v>2104106</v>
          </cell>
          <cell r="D12565" t="str">
            <v>***PAPRYKA CZERWONA PŁATEK 3MM</v>
          </cell>
        </row>
        <row r="12566">
          <cell r="C12566">
            <v>2104108</v>
          </cell>
          <cell r="D12566" t="str">
            <v>***MIESZ.PEKLOMAS PZ-40 J2</v>
          </cell>
        </row>
        <row r="12567">
          <cell r="C12567">
            <v>1200260</v>
          </cell>
          <cell r="D12567" t="str">
            <v>UPPZ KAT.2-METANOL POPROD.SKAŻONY</v>
          </cell>
        </row>
        <row r="12568">
          <cell r="C12568">
            <v>2104107</v>
          </cell>
          <cell r="D12568" t="str">
            <v>***MIESZ.SMAK.BIAŁA LUX M B/MSG-2</v>
          </cell>
        </row>
        <row r="12569">
          <cell r="C12569">
            <v>2104243</v>
          </cell>
          <cell r="D12569" t="str">
            <v>AROMAT SMR FB</v>
          </cell>
        </row>
        <row r="12570">
          <cell r="C12570">
            <v>2104244</v>
          </cell>
          <cell r="D12570" t="str">
            <v>AROMAT BOCZ.FB NC</v>
          </cell>
        </row>
        <row r="12571">
          <cell r="C12571">
            <v>2104255</v>
          </cell>
          <cell r="D12571" t="str">
            <v>AROMAT ZAMIENNIK F</v>
          </cell>
        </row>
        <row r="12572">
          <cell r="C12572">
            <v>2104275</v>
          </cell>
          <cell r="D12572" t="str">
            <v>MS PROAROMA DO KABAN.Z SER.CHEDD.</v>
          </cell>
        </row>
        <row r="12573">
          <cell r="C12573">
            <v>2104288</v>
          </cell>
          <cell r="D12573" t="str">
            <v>MS PROAROMA DO KABAN.O SMAKU SALSA</v>
          </cell>
        </row>
        <row r="12574">
          <cell r="C12574">
            <v>2104112</v>
          </cell>
          <cell r="D12574" t="str">
            <v>MF INIECT P-BOCZ.</v>
          </cell>
        </row>
        <row r="12575">
          <cell r="C12575">
            <v>2103118</v>
          </cell>
          <cell r="D12575" t="str">
            <v>BIAŁKO IZOL.SOJ.JSP GS5100</v>
          </cell>
        </row>
        <row r="12576">
          <cell r="C12576">
            <v>2104430</v>
          </cell>
          <cell r="D12576" t="str">
            <v>MS PROAROMA COEX NADZ.TRINIDAD SCORPION</v>
          </cell>
        </row>
        <row r="12577">
          <cell r="C12577">
            <v>2104480</v>
          </cell>
          <cell r="D12577" t="str">
            <v>MF PAR.PIKAN.COMBI PL</v>
          </cell>
        </row>
        <row r="12578">
          <cell r="C12578">
            <v>2104481</v>
          </cell>
          <cell r="D12578" t="str">
            <v>MF ALMI GEL MIX</v>
          </cell>
        </row>
        <row r="12579">
          <cell r="C12579">
            <v>2104482</v>
          </cell>
          <cell r="D12579" t="str">
            <v>MA SMAK SZLACHECKI 01</v>
          </cell>
        </row>
        <row r="12580">
          <cell r="C12580">
            <v>2104157</v>
          </cell>
          <cell r="D12580" t="str">
            <v>MF STABEX 4789/2</v>
          </cell>
        </row>
        <row r="12581">
          <cell r="C12581">
            <v>2104520</v>
          </cell>
          <cell r="D12581" t="str">
            <v>BARWNIK DO ŻELU CZER.</v>
          </cell>
        </row>
        <row r="12582">
          <cell r="C12582">
            <v>2103962</v>
          </cell>
          <cell r="D12582" t="str">
            <v>MS INIECT ROLADA BOCZ.</v>
          </cell>
        </row>
        <row r="12583">
          <cell r="C12583">
            <v>2104492</v>
          </cell>
          <cell r="D12583" t="str">
            <v>AROMAT FUMARO OG 221659</v>
          </cell>
        </row>
        <row r="12584">
          <cell r="C12584">
            <v>2104493</v>
          </cell>
          <cell r="D12584" t="str">
            <v>MF AMCOFRESH G22 ATF</v>
          </cell>
        </row>
        <row r="12585">
          <cell r="C12585">
            <v>2104505</v>
          </cell>
          <cell r="D12585" t="str">
            <v>MS WIEJSKA Z/CZOSN.2-BK 2</v>
          </cell>
        </row>
        <row r="12586">
          <cell r="C12586">
            <v>2104506</v>
          </cell>
          <cell r="D12586" t="str">
            <v>MF SOFT L</v>
          </cell>
        </row>
        <row r="12587">
          <cell r="C12587">
            <v>2104498</v>
          </cell>
          <cell r="D12587" t="str">
            <v>MS DO KABAN.DROB.AN</v>
          </cell>
        </row>
        <row r="12588">
          <cell r="C12588">
            <v>2104499</v>
          </cell>
          <cell r="D12588" t="str">
            <v>MF PROMASOL STABACK</v>
          </cell>
        </row>
        <row r="12589">
          <cell r="C12589">
            <v>2104583</v>
          </cell>
          <cell r="D12589" t="str">
            <v>MF ŚLĄSKA 4920</v>
          </cell>
        </row>
        <row r="12590">
          <cell r="C12590">
            <v>2104590</v>
          </cell>
          <cell r="D12590" t="str">
            <v>MF BOCZ.GRUBA INTENSIV FB</v>
          </cell>
        </row>
        <row r="12591">
          <cell r="C12591">
            <v>2104600</v>
          </cell>
          <cell r="D12591" t="str">
            <v>TERMOX RC LIQUID</v>
          </cell>
        </row>
        <row r="12592">
          <cell r="C12592">
            <v>2104602</v>
          </cell>
          <cell r="D12592" t="str">
            <v>MF PODWAWELSKA 4921</v>
          </cell>
        </row>
        <row r="12593">
          <cell r="C12593">
            <v>2104603</v>
          </cell>
          <cell r="D12593" t="str">
            <v>FOS.PEKLOMEAT M450</v>
          </cell>
        </row>
        <row r="12594">
          <cell r="C12594">
            <v>2104660</v>
          </cell>
          <cell r="D12594" t="str">
            <v>MS KABAN.S2</v>
          </cell>
        </row>
        <row r="12595">
          <cell r="C12595">
            <v>2104658</v>
          </cell>
          <cell r="D12595" t="str">
            <v>MF AMCOSOL SUPER 50 NI NEW AN</v>
          </cell>
        </row>
        <row r="12596">
          <cell r="C12596">
            <v>2104001</v>
          </cell>
          <cell r="D12596" t="str">
            <v>KARAGEN E407</v>
          </cell>
        </row>
        <row r="12597">
          <cell r="C12597">
            <v>2100030</v>
          </cell>
          <cell r="D12597" t="str">
            <v>MS EURO EXT.BER.</v>
          </cell>
        </row>
        <row r="12598">
          <cell r="C12598">
            <v>2104531</v>
          </cell>
          <cell r="D12598" t="str">
            <v>MS BERLINER EXT.</v>
          </cell>
        </row>
        <row r="12599">
          <cell r="C12599">
            <v>2103969</v>
          </cell>
          <cell r="D12599" t="str">
            <v>MS KABAN.TEXAS 5 AE</v>
          </cell>
        </row>
        <row r="12600">
          <cell r="C12600">
            <v>2104683</v>
          </cell>
          <cell r="D12600" t="str">
            <v>MS POS.GRABINA  E</v>
          </cell>
        </row>
        <row r="12601">
          <cell r="C12601">
            <v>2103001</v>
          </cell>
          <cell r="D12601" t="str">
            <v>MIESZ.SMAK.SZYNKI AE</v>
          </cell>
        </row>
        <row r="12602">
          <cell r="C12602">
            <v>2104682</v>
          </cell>
          <cell r="D12602" t="str">
            <v>SAL CRUP KR LIQUID</v>
          </cell>
        </row>
        <row r="12603">
          <cell r="C12603">
            <v>2104710</v>
          </cell>
          <cell r="D12603" t="str">
            <v>MS MIX DO KABAN.B FB BC BDR</v>
          </cell>
        </row>
        <row r="12604">
          <cell r="C12604">
            <v>2104792</v>
          </cell>
          <cell r="D12604" t="str">
            <v>MS DORAMIX KOMPLEX 01-272</v>
          </cell>
        </row>
        <row r="12605">
          <cell r="C12605">
            <v>2104793</v>
          </cell>
          <cell r="D12605" t="str">
            <v>MF COMBIMIX-WĘDL.OPTI</v>
          </cell>
        </row>
        <row r="12606">
          <cell r="C12606">
            <v>2104803</v>
          </cell>
          <cell r="D12606" t="str">
            <v>BŁONNIK PSZEN.WF 100</v>
          </cell>
        </row>
        <row r="12607">
          <cell r="C12607">
            <v>2104842</v>
          </cell>
          <cell r="D12607" t="str">
            <v>MF SOL.SZYN.SUR.EX 3 AD JMP</v>
          </cell>
        </row>
        <row r="12608">
          <cell r="C12608">
            <v>2104841</v>
          </cell>
          <cell r="D12608" t="str">
            <v>MF RED PLUS</v>
          </cell>
        </row>
        <row r="12609">
          <cell r="C12609">
            <v>2104390</v>
          </cell>
          <cell r="D12609" t="str">
            <v>KULTURY START.M-CULTURE CF 10</v>
          </cell>
        </row>
        <row r="12610">
          <cell r="C12610">
            <v>2104873</v>
          </cell>
          <cell r="D12610" t="str">
            <v>MS PROSMAK SAUSAGE INTENSE</v>
          </cell>
        </row>
        <row r="12611">
          <cell r="C12611">
            <v>2102651</v>
          </cell>
          <cell r="D12611" t="str">
            <v>PN PAPRYKA SŁODKA ASTA 180</v>
          </cell>
        </row>
        <row r="12612">
          <cell r="C12612">
            <v>2102352</v>
          </cell>
          <cell r="D12612" t="str">
            <v>MIESZ.MARYNATA BBQ MK</v>
          </cell>
        </row>
        <row r="12613">
          <cell r="C12613">
            <v>2102373</v>
          </cell>
          <cell r="D12613" t="str">
            <v>AROMAT DC 02</v>
          </cell>
        </row>
        <row r="12614">
          <cell r="C12614">
            <v>2103535</v>
          </cell>
          <cell r="D12614" t="str">
            <v>MS ŻEB.PO POLSKU</v>
          </cell>
        </row>
        <row r="12615">
          <cell r="C12615">
            <v>2104921</v>
          </cell>
          <cell r="D12615" t="str">
            <v>BIAŁKO KONC.SOJ.BIOCON N NR 3301</v>
          </cell>
        </row>
        <row r="12616">
          <cell r="C12616">
            <v>2100597</v>
          </cell>
          <cell r="D12616" t="str">
            <v>KARAGEN BENGEL DX 10102</v>
          </cell>
        </row>
        <row r="12617">
          <cell r="C12617">
            <v>2100598</v>
          </cell>
          <cell r="D12617" t="str">
            <v>KARAGEN TYPA</v>
          </cell>
        </row>
        <row r="12618">
          <cell r="C12618">
            <v>2100599</v>
          </cell>
          <cell r="D12618" t="str">
            <v>CARRAGEL DS-14</v>
          </cell>
        </row>
        <row r="12619">
          <cell r="C12619">
            <v>2100351</v>
          </cell>
          <cell r="D12619" t="str">
            <v>MALTODEKSTRYNA</v>
          </cell>
        </row>
        <row r="12620">
          <cell r="C12620">
            <v>2100012</v>
          </cell>
          <cell r="D12620" t="str">
            <v>CUKIER BIA.</v>
          </cell>
        </row>
        <row r="12621">
          <cell r="C12621">
            <v>2100095</v>
          </cell>
          <cell r="D12621" t="str">
            <v>GLUKOZA KRYST.</v>
          </cell>
        </row>
        <row r="12622">
          <cell r="C12622">
            <v>2100094</v>
          </cell>
          <cell r="D12622" t="str">
            <v>SKROBIA NATYW.ZIEMN.</v>
          </cell>
        </row>
        <row r="12623">
          <cell r="C12623">
            <v>2100477</v>
          </cell>
          <cell r="D12623" t="str">
            <v>BŁONNIK VITALPROCEL WF400 PLUS</v>
          </cell>
        </row>
        <row r="12624">
          <cell r="C12624">
            <v>2100600</v>
          </cell>
          <cell r="D12624" t="str">
            <v>VITALPROCEL WF 650</v>
          </cell>
        </row>
        <row r="12625">
          <cell r="C12625">
            <v>2100430</v>
          </cell>
          <cell r="D12625" t="str">
            <v>BŁONNIK VITALPROCEL WF200 H</v>
          </cell>
        </row>
        <row r="12626">
          <cell r="C12626">
            <v>2100694</v>
          </cell>
          <cell r="D12626" t="str">
            <v>PRZYP.VH BASIC</v>
          </cell>
        </row>
        <row r="12627">
          <cell r="C12627">
            <v>2100601</v>
          </cell>
          <cell r="D12627" t="str">
            <v>MALTODEKSTRYNA ŚREDNIOSCUKRZONA</v>
          </cell>
        </row>
        <row r="12628">
          <cell r="C12628">
            <v>2100505</v>
          </cell>
          <cell r="D12628" t="str">
            <v>FOS.WIELOFOSORAN HAMINA S</v>
          </cell>
        </row>
        <row r="12629">
          <cell r="C12629">
            <v>2100602</v>
          </cell>
          <cell r="D12629" t="str">
            <v>MIESZ.SAUMAD SZYNKA 80NA</v>
          </cell>
        </row>
        <row r="12630">
          <cell r="C12630">
            <v>2100513</v>
          </cell>
          <cell r="D12630" t="str">
            <v>MIESZ.POLIVAL 2P</v>
          </cell>
        </row>
        <row r="12631">
          <cell r="C12631">
            <v>2100603</v>
          </cell>
          <cell r="D12631" t="str">
            <v>GLUTONI M25P</v>
          </cell>
        </row>
        <row r="12632">
          <cell r="C12632">
            <v>2100336</v>
          </cell>
          <cell r="D12632" t="str">
            <v>MIESZ.GLUTONI 60</v>
          </cell>
        </row>
        <row r="12633">
          <cell r="C12633">
            <v>2100046</v>
          </cell>
          <cell r="D12633" t="str">
            <v>PEKLOSÓL 0.5-0.6%</v>
          </cell>
        </row>
        <row r="12634">
          <cell r="C12634">
            <v>2100695</v>
          </cell>
          <cell r="D12634" t="str">
            <v>MIESZANKA STABILIZUJACA D</v>
          </cell>
        </row>
        <row r="12635">
          <cell r="C12635">
            <v>2100302</v>
          </cell>
          <cell r="D12635" t="str">
            <v>MIESZ.ZARTIN CDS 20</v>
          </cell>
        </row>
        <row r="12636">
          <cell r="C12636">
            <v>2100604</v>
          </cell>
          <cell r="D12636" t="str">
            <v>ŚRODEK DO NASTRZYKU</v>
          </cell>
        </row>
        <row r="12637">
          <cell r="C12637">
            <v>2100605</v>
          </cell>
          <cell r="D12637" t="str">
            <v>***PREPARAT B GEL PWP</v>
          </cell>
        </row>
        <row r="12638">
          <cell r="C12638">
            <v>2100666</v>
          </cell>
          <cell r="D12638" t="str">
            <v>***TEXEL NATURED LT</v>
          </cell>
        </row>
        <row r="12639">
          <cell r="C12639">
            <v>2100606</v>
          </cell>
          <cell r="D12639" t="str">
            <v>EMULGATOR A</v>
          </cell>
        </row>
        <row r="12640">
          <cell r="C12640">
            <v>2100258</v>
          </cell>
          <cell r="D12640" t="str">
            <v>SKROBIA MĄKA PSZEN.TYP 500</v>
          </cell>
        </row>
        <row r="12641">
          <cell r="C12641">
            <v>2100607</v>
          </cell>
          <cell r="D12641" t="str">
            <v>***KWAS MLEKOWY 80%</v>
          </cell>
        </row>
        <row r="12642">
          <cell r="C12642">
            <v>2100110</v>
          </cell>
          <cell r="D12642" t="str">
            <v>IZOASKORBINIAN SODU</v>
          </cell>
        </row>
        <row r="12643">
          <cell r="C12643">
            <v>2100109</v>
          </cell>
          <cell r="D12643" t="str">
            <v>CYTRYNIAN SODU</v>
          </cell>
        </row>
        <row r="12644">
          <cell r="C12644">
            <v>2100504</v>
          </cell>
          <cell r="D12644" t="str">
            <v>NITRYT (AZOTYN SODU)</v>
          </cell>
        </row>
        <row r="12645">
          <cell r="C12645">
            <v>2100112</v>
          </cell>
          <cell r="D12645" t="str">
            <v>GLUTAMINIAN SODU</v>
          </cell>
        </row>
        <row r="12646">
          <cell r="C12646">
            <v>2100090</v>
          </cell>
          <cell r="D12646" t="str">
            <v>MLECZAN SODU SPOŻ.E325</v>
          </cell>
        </row>
        <row r="12647">
          <cell r="C12647">
            <v>2100590</v>
          </cell>
          <cell r="D12647" t="str">
            <v>BŁONNIK VITACEL WF-200</v>
          </cell>
        </row>
        <row r="12648">
          <cell r="C12648">
            <v>2100608</v>
          </cell>
          <cell r="D12648" t="str">
            <v>***MIESZ.STABIL B STBIL ZALEWA 100%</v>
          </cell>
        </row>
        <row r="12649">
          <cell r="C12649">
            <v>2100093</v>
          </cell>
          <cell r="D12649" t="str">
            <v>KASZA MANNA</v>
          </cell>
        </row>
        <row r="12650">
          <cell r="C12650">
            <v>2100609</v>
          </cell>
          <cell r="D12650" t="str">
            <v>KASZA GRYCZANA PRAŻONA CAŁA</v>
          </cell>
        </row>
        <row r="12651">
          <cell r="C12651">
            <v>2100610</v>
          </cell>
          <cell r="D12651" t="str">
            <v>BUŁKA TARTA</v>
          </cell>
        </row>
        <row r="12652">
          <cell r="C12652">
            <v>2101664</v>
          </cell>
          <cell r="D12652" t="str">
            <v>KASZA JĘCZMIENNA ŚREDNIA</v>
          </cell>
        </row>
        <row r="12653">
          <cell r="C12653">
            <v>2100096</v>
          </cell>
          <cell r="D12653" t="str">
            <v>KASZA JĘCZMIEN.WIEJSKA</v>
          </cell>
        </row>
        <row r="12654">
          <cell r="C12654">
            <v>2100374</v>
          </cell>
          <cell r="D12654" t="str">
            <v>SER ŻÓŁ.LA MAAR</v>
          </cell>
        </row>
        <row r="12655">
          <cell r="C12655">
            <v>2100111</v>
          </cell>
          <cell r="D12655" t="str">
            <v>ASKORBINIAN SODU</v>
          </cell>
        </row>
        <row r="12656">
          <cell r="C12656">
            <v>2100707</v>
          </cell>
          <cell r="D12656" t="str">
            <v>BŁONNIK VITACEL WF 600 R</v>
          </cell>
        </row>
        <row r="12657">
          <cell r="C12657">
            <v>2100113</v>
          </cell>
          <cell r="D12657" t="str">
            <v>BŁONNIK VITACEL WF 400</v>
          </cell>
        </row>
        <row r="12658">
          <cell r="C12658">
            <v>2100123</v>
          </cell>
          <cell r="D12658" t="str">
            <v>CHLOREK POTASU</v>
          </cell>
        </row>
        <row r="12659">
          <cell r="C12659">
            <v>2100423</v>
          </cell>
          <cell r="D12659" t="str">
            <v>ŻELATYNA SPOŻ.280 BLOOM</v>
          </cell>
        </row>
        <row r="12660">
          <cell r="C12660">
            <v>2100291</v>
          </cell>
          <cell r="D12660" t="str">
            <v>MS PREP.PRZYP.AT</v>
          </cell>
        </row>
        <row r="12661">
          <cell r="C12661">
            <v>2100611</v>
          </cell>
          <cell r="D12661" t="str">
            <v>BŁONNIK VITACEL KF 500</v>
          </cell>
        </row>
        <row r="12662">
          <cell r="C12662">
            <v>2100612</v>
          </cell>
          <cell r="D12662" t="str">
            <v>CHLOREK WAPNIA</v>
          </cell>
        </row>
        <row r="12663">
          <cell r="C12663">
            <v>2100613</v>
          </cell>
          <cell r="D12663" t="str">
            <v>MLECZAN WAPNIA</v>
          </cell>
        </row>
        <row r="12664">
          <cell r="C12664">
            <v>2100116</v>
          </cell>
          <cell r="D12664" t="str">
            <v>BŁONNIK ZIEMN.VITACEL KF 200 PLUS</v>
          </cell>
        </row>
        <row r="12665">
          <cell r="C12665">
            <v>2100696</v>
          </cell>
          <cell r="D12665" t="str">
            <v>***WĘGLAN PH11.5 (KARBONAT)</v>
          </cell>
        </row>
        <row r="12666">
          <cell r="C12666">
            <v>2100509</v>
          </cell>
          <cell r="D12666" t="str">
            <v>BARWNIK ROSSO C</v>
          </cell>
        </row>
        <row r="12667">
          <cell r="C12667">
            <v>2100697</v>
          </cell>
          <cell r="D12667" t="str">
            <v>***SUPERIOR-BAZA-PREP. DO NASTRZYKU</v>
          </cell>
        </row>
        <row r="12668">
          <cell r="C12668">
            <v>2100614</v>
          </cell>
          <cell r="D12668" t="str">
            <v>KWAS CYTRYNOWY MONOHYDRAT</v>
          </cell>
        </row>
        <row r="12669">
          <cell r="C12669">
            <v>2100615</v>
          </cell>
          <cell r="D12669" t="str">
            <v>WITAMINA C B300</v>
          </cell>
        </row>
        <row r="12670">
          <cell r="C12670">
            <v>2100616</v>
          </cell>
          <cell r="D12670" t="str">
            <v>MIESZ.INWEX-STABIL</v>
          </cell>
        </row>
        <row r="12671">
          <cell r="C12671">
            <v>2100102</v>
          </cell>
          <cell r="D12671" t="str">
            <v>KARMIN</v>
          </cell>
        </row>
        <row r="12672">
          <cell r="C12672">
            <v>2100667</v>
          </cell>
          <cell r="D12672" t="str">
            <v>MIESZ.DANKOL BS</v>
          </cell>
        </row>
        <row r="12673">
          <cell r="C12673">
            <v>8200035</v>
          </cell>
          <cell r="D12673" t="str">
            <v>WODA</v>
          </cell>
        </row>
        <row r="12674">
          <cell r="C12674">
            <v>8200140</v>
          </cell>
          <cell r="D12674" t="str">
            <v>POJEMNIK TESCO BIA.</v>
          </cell>
        </row>
        <row r="12675">
          <cell r="C12675">
            <v>2100617</v>
          </cell>
          <cell r="D12675" t="str">
            <v>ALMONAT DO SZYNKI COMBI 16% FB I</v>
          </cell>
        </row>
        <row r="12676">
          <cell r="C12676">
            <v>2100552</v>
          </cell>
          <cell r="D12676" t="str">
            <v>PN PIEPRZ BIA.MIEL.</v>
          </cell>
        </row>
        <row r="12677">
          <cell r="C12677">
            <v>2100956</v>
          </cell>
          <cell r="D12677" t="str">
            <v>MS SOVAROM PIEPRZ.CZAR.B</v>
          </cell>
        </row>
        <row r="12678">
          <cell r="C12678">
            <v>2100955</v>
          </cell>
          <cell r="D12678" t="str">
            <v>***PROSMAK PRZYP.MEKSYKAŃSKA B/MSG</v>
          </cell>
        </row>
        <row r="12679">
          <cell r="C12679">
            <v>2100954</v>
          </cell>
          <cell r="D12679" t="str">
            <v>MS KABAN.TRAD.OF NEU</v>
          </cell>
        </row>
        <row r="12680">
          <cell r="C12680">
            <v>2100211</v>
          </cell>
          <cell r="D12680" t="str">
            <v>LIŚĆ LAUROWY</v>
          </cell>
        </row>
        <row r="12681">
          <cell r="C12681">
            <v>2100553</v>
          </cell>
          <cell r="D12681" t="str">
            <v>PN PIEPRZ CZAR.MIEL.</v>
          </cell>
        </row>
        <row r="12682">
          <cell r="C12682">
            <v>2100027</v>
          </cell>
          <cell r="D12682" t="str">
            <v>PN GAŁKA MUSZKAT.MIEL.</v>
          </cell>
        </row>
        <row r="12683">
          <cell r="C12683">
            <v>2100206</v>
          </cell>
          <cell r="D12683" t="str">
            <v>GORCZYCA BIAŁA ZIARNO</v>
          </cell>
        </row>
        <row r="12684">
          <cell r="C12684">
            <v>2100337</v>
          </cell>
          <cell r="D12684" t="str">
            <v>PN GORCZYCA BIA.MIEL.</v>
          </cell>
        </row>
        <row r="12685">
          <cell r="C12685">
            <v>2100024</v>
          </cell>
          <cell r="D12685" t="str">
            <v>PN KMINEK MIEL.</v>
          </cell>
        </row>
        <row r="12686">
          <cell r="C12686">
            <v>2100554</v>
          </cell>
          <cell r="D12686" t="str">
            <v>PN PIEPRZ ZIOŁ.</v>
          </cell>
        </row>
        <row r="12687">
          <cell r="C12687">
            <v>2013131</v>
          </cell>
          <cell r="D12687" t="str">
            <v>PALETA 1200X800 JEDNORAZ.FUMIG.LOG.</v>
          </cell>
        </row>
        <row r="12688">
          <cell r="C12688">
            <v>2014097</v>
          </cell>
          <cell r="D12688" t="str">
            <v>PALETA 1200X1000 FUMIG.LOG.</v>
          </cell>
        </row>
        <row r="12689">
          <cell r="C12689">
            <v>2016712</v>
          </cell>
          <cell r="D12689" t="str">
            <v>KAR.WA.269X179X187 3W DIS.GRAN.ŻYW.KW D</v>
          </cell>
        </row>
        <row r="12690">
          <cell r="C12690">
            <v>2016713</v>
          </cell>
          <cell r="D12690" t="str">
            <v>KAR.WA.270X183X191 3W SZAR.W</v>
          </cell>
        </row>
        <row r="12691">
          <cell r="C12691">
            <v>2100021</v>
          </cell>
          <cell r="D12691" t="str">
            <v>PIEPRZ ZIELONY ZIARNO</v>
          </cell>
        </row>
        <row r="12692">
          <cell r="C12692">
            <v>2100025</v>
          </cell>
          <cell r="D12692" t="str">
            <v>PIEPRZ CZARNY ZIARNO</v>
          </cell>
        </row>
        <row r="12693">
          <cell r="C12693">
            <v>2100017</v>
          </cell>
          <cell r="D12693" t="str">
            <v>PN ZIELE ANG.MIEL.</v>
          </cell>
        </row>
        <row r="12694">
          <cell r="C12694">
            <v>2100618</v>
          </cell>
          <cell r="D12694" t="str">
            <v>PN MAJERANEK SUSZ.STE.</v>
          </cell>
        </row>
        <row r="12695">
          <cell r="C12695">
            <v>2100698</v>
          </cell>
          <cell r="D12695" t="str">
            <v>PRZYP.PIEPRZ MIX</v>
          </cell>
        </row>
        <row r="12696">
          <cell r="C12696">
            <v>2100619</v>
          </cell>
          <cell r="D12696" t="str">
            <v>***PRZYP.BINTER PEPEFFER</v>
          </cell>
        </row>
        <row r="12697">
          <cell r="C12697">
            <v>2012356</v>
          </cell>
          <cell r="D12697" t="str">
            <v>KAR.WA.321X252X224 3W DIS.KOL.KRA D</v>
          </cell>
        </row>
        <row r="12698">
          <cell r="C12698">
            <v>2012393</v>
          </cell>
          <cell r="D12698" t="str">
            <v>KAR.WA.384X249X152 3W DIS.GRAN.MOR D</v>
          </cell>
        </row>
        <row r="12699">
          <cell r="C12699">
            <v>2012620</v>
          </cell>
          <cell r="D12699" t="str">
            <v>KAR.WR.192X159X300 3W DIS.BEŻ.D</v>
          </cell>
        </row>
        <row r="12700">
          <cell r="C12700">
            <v>2012621</v>
          </cell>
          <cell r="D12700" t="str">
            <v>KAR.WA.205X170X305 5W BEŻ.W</v>
          </cell>
        </row>
        <row r="12701">
          <cell r="C12701">
            <v>2012676</v>
          </cell>
          <cell r="D12701" t="str">
            <v>***KAR.W.321X252X224 K.ŚLASKA BIED D</v>
          </cell>
        </row>
        <row r="12702">
          <cell r="C12702">
            <v>2012709</v>
          </cell>
          <cell r="D12702" t="str">
            <v>***KTN.370X65X35BEŻ.FLT PRK DUL CZ/SK/HU</v>
          </cell>
        </row>
        <row r="12703">
          <cell r="C12703">
            <v>2012742</v>
          </cell>
          <cell r="D12703" t="str">
            <v>KAR.WA.379X130X206 2W CZAR.LIMITED D</v>
          </cell>
        </row>
        <row r="12704">
          <cell r="C12704">
            <v>2012687</v>
          </cell>
          <cell r="D12704" t="str">
            <v>KAR.WR.370X129X203 3W CZAR.W</v>
          </cell>
        </row>
        <row r="12705">
          <cell r="C12705">
            <v>2012752</v>
          </cell>
          <cell r="D12705" t="str">
            <v>KAR.WA.385X256X176 3W SZAR.W</v>
          </cell>
        </row>
        <row r="12706">
          <cell r="C12706">
            <v>2012771</v>
          </cell>
          <cell r="D12706" t="str">
            <v>KAR.WA.385X256X176 5W DIS.BRĄ.PODW.BIEDD</v>
          </cell>
        </row>
        <row r="12707">
          <cell r="C12707">
            <v>2012772</v>
          </cell>
          <cell r="D12707" t="str">
            <v>KAR.WA.288X254X150 3W DIS.7L CZAR.G&amp;F D</v>
          </cell>
        </row>
        <row r="12708">
          <cell r="C12708">
            <v>2012780</v>
          </cell>
          <cell r="D12708" t="str">
            <v>KAR.WA.288X254X150 3W SZAR.W</v>
          </cell>
        </row>
        <row r="12709">
          <cell r="C12709">
            <v>2012782</v>
          </cell>
          <cell r="D12709" t="str">
            <v>KAR.WA.393X289X135 3W SZAR.W</v>
          </cell>
        </row>
        <row r="12710">
          <cell r="C12710">
            <v>2012781</v>
          </cell>
          <cell r="D12710" t="str">
            <v>KAR.WA.393X289X135 3W DIS.6L CZAR.G&amp;F D</v>
          </cell>
        </row>
        <row r="12711">
          <cell r="C12711">
            <v>2003333</v>
          </cell>
          <cell r="D12711" t="str">
            <v>KAR.WR.235X220X140 3W DIS.CZER/CZA.BAR D</v>
          </cell>
        </row>
        <row r="12712">
          <cell r="C12712">
            <v>2003352</v>
          </cell>
          <cell r="D12712" t="str">
            <v>KAR.WA.235X220X140 3W CZER.W</v>
          </cell>
        </row>
        <row r="12713">
          <cell r="C12713">
            <v>2012908</v>
          </cell>
          <cell r="D12713" t="str">
            <v>KAR.WA.325X259X229 3W BRĄZ.BIAŁA.PA.KW D</v>
          </cell>
        </row>
        <row r="12714">
          <cell r="C12714">
            <v>2012879</v>
          </cell>
          <cell r="D12714" t="str">
            <v>KAR.WA.325X259X229 3W SZAR.W</v>
          </cell>
        </row>
        <row r="12715">
          <cell r="C12715">
            <v>2012985</v>
          </cell>
          <cell r="D12715" t="str">
            <v>***KAR.W.320X230X107 K.ŻYW.600G BIED D</v>
          </cell>
        </row>
        <row r="12716">
          <cell r="C12716">
            <v>2012987</v>
          </cell>
          <cell r="D12716" t="str">
            <v>***KAR.W.320X230X107 K.ŻYW.286G BIED D</v>
          </cell>
        </row>
        <row r="12717">
          <cell r="C12717">
            <v>2012986</v>
          </cell>
          <cell r="D12717" t="str">
            <v>***KAR.W.320X230X107 W</v>
          </cell>
        </row>
        <row r="12718">
          <cell r="C12718">
            <v>2012223</v>
          </cell>
          <cell r="D12718" t="str">
            <v>KAR.WA.279X86X253 3W SZAR.W</v>
          </cell>
        </row>
        <row r="12719">
          <cell r="C12719">
            <v>2012224</v>
          </cell>
          <cell r="D12719" t="str">
            <v>KAR.287X91X126 MEATERS CZARNY D</v>
          </cell>
        </row>
        <row r="12720">
          <cell r="C12720">
            <v>2012225</v>
          </cell>
          <cell r="D12720" t="str">
            <v>KAR.WA.287X91X126 3W DIS.CZER.MEAT.D</v>
          </cell>
        </row>
        <row r="12721">
          <cell r="C12721">
            <v>2012226</v>
          </cell>
          <cell r="D12721" t="str">
            <v>KAR.WA.287X91X126 3W DIS.NIEB.MEAT.D</v>
          </cell>
        </row>
        <row r="12722">
          <cell r="C12722">
            <v>2013119</v>
          </cell>
          <cell r="D12722" t="str">
            <v>KAR.WA.287X91X126 3W DIS.BIA.D</v>
          </cell>
        </row>
        <row r="12723">
          <cell r="C12723">
            <v>2013118</v>
          </cell>
          <cell r="D12723" t="str">
            <v>***KAR.W.287X91X126 BIAŁY W</v>
          </cell>
        </row>
        <row r="12724">
          <cell r="C12724">
            <v>2013139</v>
          </cell>
          <cell r="D12724" t="str">
            <v>WOR.TRMK 425X230 GR45 Z/TAŚ.</v>
          </cell>
        </row>
        <row r="12725">
          <cell r="C12725">
            <v>2013515</v>
          </cell>
          <cell r="D12725" t="str">
            <v>KAR.WA.288X254X150 3W DIS.7L DESKA D</v>
          </cell>
        </row>
        <row r="12726">
          <cell r="C12726">
            <v>2013516</v>
          </cell>
          <cell r="D12726" t="str">
            <v>KAR.WA.393X289X135 3W DIS.6L DESKA D</v>
          </cell>
        </row>
        <row r="12727">
          <cell r="C12727">
            <v>2013584</v>
          </cell>
          <cell r="D12727" t="str">
            <v>KAR.WA.348X85X119 3W DIS.KOL.KRA D</v>
          </cell>
        </row>
        <row r="12728">
          <cell r="C12728">
            <v>2013585</v>
          </cell>
          <cell r="D12728" t="str">
            <v>KAR.WA.344X84X124 3W SZAR.W</v>
          </cell>
        </row>
        <row r="12729">
          <cell r="C12729">
            <v>2013587</v>
          </cell>
          <cell r="D12729" t="str">
            <v>KAR.WA.290X175X245 3W KOL.KRA D</v>
          </cell>
        </row>
        <row r="12730">
          <cell r="C12730">
            <v>2013586</v>
          </cell>
          <cell r="D12730" t="str">
            <v>KAR.WA.290X175X245 3W SZAR.W</v>
          </cell>
        </row>
        <row r="12731">
          <cell r="C12731">
            <v>2013597</v>
          </cell>
          <cell r="D12731" t="str">
            <v>ST.TAC.562X360X260 3W KOL.KRA</v>
          </cell>
        </row>
        <row r="12732">
          <cell r="C12732">
            <v>2013598</v>
          </cell>
          <cell r="D12732" t="str">
            <v>***ST.TAC.562X360X189 3W KRA</v>
          </cell>
        </row>
        <row r="12733">
          <cell r="C12733">
            <v>2013595</v>
          </cell>
          <cell r="D12733" t="str">
            <v>***ST.CZAPA 595X396X956 SZARY</v>
          </cell>
        </row>
        <row r="12734">
          <cell r="C12734">
            <v>2013596</v>
          </cell>
          <cell r="D12734" t="str">
            <v>***ST.WKŁADKA 550X260</v>
          </cell>
        </row>
        <row r="12735">
          <cell r="C12735">
            <v>2013610</v>
          </cell>
          <cell r="D12735" t="str">
            <v>***ST.PODPORA 260X722</v>
          </cell>
        </row>
        <row r="12736">
          <cell r="C12736">
            <v>2013599</v>
          </cell>
          <cell r="D12736" t="str">
            <v>***ST.LISTWA CEN.39X580</v>
          </cell>
        </row>
        <row r="12737">
          <cell r="C12737">
            <v>2013740</v>
          </cell>
          <cell r="D12737" t="str">
            <v>***WOR.TRMK 180X200 GR45 Z/TAŚ.</v>
          </cell>
        </row>
        <row r="12738">
          <cell r="C12738">
            <v>2017237</v>
          </cell>
          <cell r="D12738" t="str">
            <v>PALETA 400X400 TEKT.LOG.</v>
          </cell>
        </row>
        <row r="12739">
          <cell r="C12739">
            <v>2013809</v>
          </cell>
          <cell r="D12739" t="str">
            <v>ST.LISTWA CEN.39X500</v>
          </cell>
        </row>
        <row r="12740">
          <cell r="C12740">
            <v>2013808</v>
          </cell>
          <cell r="D12740" t="str">
            <v>ST.CZAPA 595X395X950 3W SZAR.</v>
          </cell>
        </row>
        <row r="12741">
          <cell r="C12741">
            <v>2015834</v>
          </cell>
          <cell r="D12741" t="str">
            <v>KAR.KR.540X240X176 5W BIA.AX</v>
          </cell>
        </row>
        <row r="12742">
          <cell r="C12742">
            <v>2013807</v>
          </cell>
          <cell r="D12742" t="str">
            <v>ST.WKŁADKA 562X260 3W SZAR.</v>
          </cell>
        </row>
        <row r="12743">
          <cell r="C12743">
            <v>2013815</v>
          </cell>
          <cell r="D12743" t="str">
            <v>ST.PODPORA 359X260 3W</v>
          </cell>
        </row>
        <row r="12744">
          <cell r="C12744">
            <v>2013837</v>
          </cell>
          <cell r="D12744" t="str">
            <v>ST.COKÓŁ 581X384X117 3W KOL.KRA</v>
          </cell>
        </row>
        <row r="12745">
          <cell r="C12745">
            <v>2013841</v>
          </cell>
          <cell r="D12745" t="str">
            <v>KAR.WA.251X291X213 3W DIS.GRAN.APLA D</v>
          </cell>
        </row>
        <row r="12746">
          <cell r="C12746">
            <v>2013836</v>
          </cell>
          <cell r="D12746" t="str">
            <v>ST.KRATOWNICA 581X384X117 5W</v>
          </cell>
        </row>
        <row r="12747">
          <cell r="C12747">
            <v>2013873</v>
          </cell>
          <cell r="D12747" t="str">
            <v>KAR.WA.251X291X213 3W SZAR.W</v>
          </cell>
        </row>
        <row r="12748">
          <cell r="C12748">
            <v>2013893</v>
          </cell>
          <cell r="D12748" t="str">
            <v>KAR.WA.249X281X210 5W DIS.GRAN.KW D</v>
          </cell>
        </row>
        <row r="12749">
          <cell r="C12749">
            <v>2013894</v>
          </cell>
          <cell r="D12749" t="str">
            <v>KAR.WA.249X281X210 3W SZAR.W</v>
          </cell>
        </row>
        <row r="12750">
          <cell r="C12750">
            <v>2013892</v>
          </cell>
          <cell r="D12750" t="str">
            <v>KTN.WA.370X65X35 KOL.POL.LIDL</v>
          </cell>
        </row>
        <row r="12751">
          <cell r="C12751">
            <v>2013891</v>
          </cell>
          <cell r="D12751" t="str">
            <v>SEPARATOR 490X180 3W BIA.</v>
          </cell>
        </row>
        <row r="12752">
          <cell r="C12752">
            <v>2017388</v>
          </cell>
          <cell r="D12752" t="str">
            <v>KAR.WA.305X138X240 3W DIS.BIA.KRA D</v>
          </cell>
        </row>
        <row r="12753">
          <cell r="C12753">
            <v>2017420</v>
          </cell>
          <cell r="D12753" t="str">
            <v>KAR.WA.317X143X241 3W SZAR.W</v>
          </cell>
        </row>
        <row r="12754">
          <cell r="C12754">
            <v>2017478</v>
          </cell>
          <cell r="D12754" t="str">
            <v>KTN.WA.370X65X35 KOL.POL.TRUF.KRA</v>
          </cell>
        </row>
        <row r="12755">
          <cell r="C12755">
            <v>2014069</v>
          </cell>
          <cell r="D12755" t="str">
            <v>ST.COKÓŁ 582X384X391 3W KOL.KRA</v>
          </cell>
        </row>
        <row r="12756">
          <cell r="C12756">
            <v>2014131</v>
          </cell>
          <cell r="D12756" t="str">
            <v>KAR.WA.380X249X185 3W DIS.GRAN.TORUŃ.KWD</v>
          </cell>
        </row>
        <row r="12757">
          <cell r="C12757">
            <v>2014102</v>
          </cell>
          <cell r="D12757" t="str">
            <v>ST.KRATOWNICA 578X374X426 5W</v>
          </cell>
        </row>
        <row r="12758">
          <cell r="C12758">
            <v>2014133</v>
          </cell>
          <cell r="D12758" t="str">
            <v>KAR.WA.390X248X185 3W DIS.GRAN.PODW.KW D</v>
          </cell>
        </row>
        <row r="12759">
          <cell r="C12759">
            <v>2014132</v>
          </cell>
          <cell r="D12759" t="str">
            <v>KAR.WA.390X248X185 3W SZAR.W</v>
          </cell>
        </row>
        <row r="12760">
          <cell r="C12760">
            <v>2014212</v>
          </cell>
          <cell r="D12760" t="str">
            <v>KAR.WA.320X252X224 3W DIS.GRA.BIA.KW D</v>
          </cell>
        </row>
        <row r="12761">
          <cell r="C12761">
            <v>2014214</v>
          </cell>
          <cell r="D12761" t="str">
            <v>KAR.WA.247X282X207 3W DIS.GRAN.ŻYW.KW D</v>
          </cell>
        </row>
        <row r="12762">
          <cell r="C12762">
            <v>2014213</v>
          </cell>
          <cell r="D12762" t="str">
            <v>KAR.WA.380X249X185 3W GRAN.ŻYW.600G KW D</v>
          </cell>
        </row>
        <row r="12763">
          <cell r="C12763">
            <v>2013499</v>
          </cell>
          <cell r="D12763" t="str">
            <v>KAR.WS.320X246X222 5W DIS.F/KR.DESKA D</v>
          </cell>
        </row>
        <row r="12764">
          <cell r="C12764">
            <v>2014253</v>
          </cell>
          <cell r="D12764" t="str">
            <v>***OKT.1170X770X1500 7W SZAR.</v>
          </cell>
        </row>
        <row r="12765">
          <cell r="C12765">
            <v>2014261</v>
          </cell>
          <cell r="D12765" t="str">
            <v>KAR.WS.315X252X222 3W DIS.GRAN.MOR D</v>
          </cell>
        </row>
        <row r="12766">
          <cell r="C12766">
            <v>2014262</v>
          </cell>
          <cell r="D12766" t="str">
            <v>KAR.WA.315X252X222 3W SZAR.W</v>
          </cell>
        </row>
        <row r="12767">
          <cell r="C12767">
            <v>2014247</v>
          </cell>
          <cell r="D12767" t="str">
            <v>NAR.1700X200 3W SZAR.</v>
          </cell>
        </row>
        <row r="12768">
          <cell r="C12768">
            <v>2014195</v>
          </cell>
          <cell r="D12768" t="str">
            <v>KAR.WA.284X245X150 3W SZAR.W</v>
          </cell>
        </row>
        <row r="12769">
          <cell r="C12769">
            <v>2014280</v>
          </cell>
          <cell r="D12769" t="str">
            <v>KAR.WS.284X245X150 3W DIS.GRAN.D</v>
          </cell>
        </row>
        <row r="12770">
          <cell r="C12770">
            <v>2017477</v>
          </cell>
          <cell r="D12770" t="str">
            <v>ST.TOPER 576X415 5W BIA/GRA.ŚWIĄT.KRA</v>
          </cell>
        </row>
        <row r="12771">
          <cell r="C12771">
            <v>2009342</v>
          </cell>
          <cell r="D12771" t="str">
            <v>OKT.1180X780X1180 5W SZAR.B/D</v>
          </cell>
        </row>
        <row r="12772">
          <cell r="C12772">
            <v>2014313</v>
          </cell>
          <cell r="D12772" t="str">
            <v>ST.TOPER 580X315 5W KOL.KRA</v>
          </cell>
        </row>
        <row r="12773">
          <cell r="C12773">
            <v>2014318</v>
          </cell>
          <cell r="D12773" t="str">
            <v>KAR.WS.315X252X222 3W DIS.GRAN.ŚLĄS.KW D</v>
          </cell>
        </row>
        <row r="12774">
          <cell r="C12774">
            <v>2014297</v>
          </cell>
          <cell r="D12774" t="str">
            <v>KAR.WS.315X252X222 3W DIS.GRAN.KW D</v>
          </cell>
        </row>
        <row r="12775">
          <cell r="C12775">
            <v>2014299</v>
          </cell>
          <cell r="D12775" t="str">
            <v>KAR.WS.315X252X222 3W SZAR.W</v>
          </cell>
        </row>
        <row r="12776">
          <cell r="C12776">
            <v>2014396</v>
          </cell>
          <cell r="D12776" t="str">
            <v>KAR.WA.320X246X222 5W SZAR.W</v>
          </cell>
        </row>
        <row r="12777">
          <cell r="C12777">
            <v>2014373</v>
          </cell>
          <cell r="D12777" t="str">
            <v>KAR.WS.320X246X222 5W DIS.F/DŁ.DESKA D</v>
          </cell>
        </row>
        <row r="12778">
          <cell r="C12778">
            <v>2014388</v>
          </cell>
          <cell r="D12778" t="str">
            <v>KAR.WA.315X252X222 3W DIS.GRAN.D</v>
          </cell>
        </row>
        <row r="12779">
          <cell r="C12779">
            <v>2012521</v>
          </cell>
          <cell r="D12779" t="str">
            <v>OKT.1170X770X1000 7W SZAR.B/D</v>
          </cell>
        </row>
        <row r="12780">
          <cell r="C12780">
            <v>2000365</v>
          </cell>
          <cell r="D12780" t="str">
            <v>KAR.KR.380X240X159 5W SZAR.STRZ.</v>
          </cell>
        </row>
        <row r="12781">
          <cell r="C12781">
            <v>2010497</v>
          </cell>
          <cell r="D12781" t="str">
            <v>WOR.LDPE 1430X2340X2F535 GR60 NIEB.</v>
          </cell>
        </row>
        <row r="12782">
          <cell r="C12782">
            <v>2007016</v>
          </cell>
          <cell r="D12782" t="str">
            <v>KAR.WA.256X550 3W SZAR.W</v>
          </cell>
        </row>
        <row r="12783">
          <cell r="C12783">
            <v>2014571</v>
          </cell>
          <cell r="D12783" t="str">
            <v>***WOR.TRMK.PA/EVOH/PE230X500GR45 Z/TAŚ.</v>
          </cell>
        </row>
        <row r="12784">
          <cell r="C12784">
            <v>2014570</v>
          </cell>
          <cell r="D12784" t="str">
            <v>WOR.TRMK 450X300 GR45 Z/TAŚ.</v>
          </cell>
        </row>
        <row r="12785">
          <cell r="C12785">
            <v>2014572</v>
          </cell>
          <cell r="D12785" t="str">
            <v>***WOR.TRMK.PA/EVOH/PE180X350GR45 Z/TAŚ.</v>
          </cell>
        </row>
        <row r="12786">
          <cell r="C12786">
            <v>2007017</v>
          </cell>
          <cell r="D12786" t="str">
            <v>KAR.WA.282X147X208 3W DIS.GRAN.MOR D</v>
          </cell>
        </row>
        <row r="12787">
          <cell r="C12787">
            <v>2005072</v>
          </cell>
          <cell r="D12787" t="str">
            <v>KAR.WA.188X137X207 3W SZAR.W</v>
          </cell>
        </row>
        <row r="12788">
          <cell r="C12788">
            <v>2000378</v>
          </cell>
          <cell r="D12788" t="str">
            <v>KAR.KR.480X280X190 5W SZAR.</v>
          </cell>
        </row>
        <row r="12789">
          <cell r="C12789">
            <v>2006859</v>
          </cell>
          <cell r="D12789" t="str">
            <v>KAR.WA.195X144X212 3W DIS.GRAN.MOR D</v>
          </cell>
        </row>
        <row r="12790">
          <cell r="C12790">
            <v>2015119</v>
          </cell>
          <cell r="D12790" t="str">
            <v>KAR.WA.386X159X188 3W DIS.BIA.KRA D</v>
          </cell>
        </row>
        <row r="12791">
          <cell r="C12791">
            <v>2015130</v>
          </cell>
          <cell r="D12791" t="str">
            <v>KAR.WA.377X150X235 3W SZAR.W</v>
          </cell>
        </row>
        <row r="12792">
          <cell r="C12792">
            <v>2015135</v>
          </cell>
          <cell r="D12792" t="str">
            <v>KAR.WA.281X185X224 5W DIS.BIA.KRA D</v>
          </cell>
        </row>
        <row r="12793">
          <cell r="C12793">
            <v>2015136</v>
          </cell>
          <cell r="D12793" t="str">
            <v>KAR.WA.288X197X224 3W SZAR.W</v>
          </cell>
        </row>
        <row r="12794">
          <cell r="C12794">
            <v>2015187</v>
          </cell>
          <cell r="D12794" t="str">
            <v>KAR.WA.295X257X150 3W DIS.CZER.WĘDL.D</v>
          </cell>
        </row>
        <row r="12795">
          <cell r="C12795">
            <v>2015273</v>
          </cell>
          <cell r="D12795" t="str">
            <v>ST.PODPORA 260X831 5W</v>
          </cell>
        </row>
        <row r="12796">
          <cell r="C12796">
            <v>2015237</v>
          </cell>
          <cell r="D12796" t="str">
            <v>ST.COKÓŁ 582X384X117 3W BIA.KRA</v>
          </cell>
        </row>
        <row r="12797">
          <cell r="C12797">
            <v>2015271</v>
          </cell>
          <cell r="D12797" t="str">
            <v>ST.KRATOWNICA 578X121 5W DŁ.A WZM</v>
          </cell>
        </row>
        <row r="12798">
          <cell r="C12798">
            <v>2015209</v>
          </cell>
          <cell r="D12798" t="str">
            <v>ST.KRATOWNICA 375X152 5W KR.B WZM</v>
          </cell>
        </row>
        <row r="12799">
          <cell r="C12799">
            <v>2015270</v>
          </cell>
          <cell r="D12799" t="str">
            <v>ST.KRATOWNICA 375X152 5W KR.C WZM</v>
          </cell>
        </row>
        <row r="12800">
          <cell r="C12800">
            <v>2015272</v>
          </cell>
          <cell r="D12800" t="str">
            <v>ST.KRATOWNICA 375X127 5W KR.D WZM</v>
          </cell>
        </row>
        <row r="12801">
          <cell r="C12801">
            <v>2015238</v>
          </cell>
          <cell r="D12801" t="str">
            <v>ST.WKŁADKA 1071X218 5W SZAR.</v>
          </cell>
        </row>
        <row r="12802">
          <cell r="C12802">
            <v>2015239</v>
          </cell>
          <cell r="D12802" t="str">
            <v>ST.WKŁADKA 654X365 5W SZAR.</v>
          </cell>
        </row>
        <row r="12803">
          <cell r="C12803">
            <v>2015236</v>
          </cell>
          <cell r="D12803" t="str">
            <v>ST.WKŁADKA 550X436 5W SZAR.</v>
          </cell>
        </row>
        <row r="12804">
          <cell r="C12804">
            <v>2015262</v>
          </cell>
          <cell r="D12804" t="str">
            <v>ST.TOPER 356X580 3W BIA.KRA</v>
          </cell>
        </row>
        <row r="12805">
          <cell r="C12805">
            <v>2015263</v>
          </cell>
          <cell r="D12805" t="str">
            <v>ST.TAC.562X360X260 5W BIA.KRA</v>
          </cell>
        </row>
        <row r="12806">
          <cell r="C12806">
            <v>2015377</v>
          </cell>
          <cell r="D12806" t="str">
            <v>KAR.WS.315X252X242 3W DIS.GRAN.KW D</v>
          </cell>
        </row>
        <row r="12807">
          <cell r="C12807">
            <v>2015378</v>
          </cell>
          <cell r="D12807" t="str">
            <v>KAR.WS.315X252X242 3W DIS.GRAN.MOR D</v>
          </cell>
        </row>
        <row r="12808">
          <cell r="C12808">
            <v>2015376</v>
          </cell>
          <cell r="D12808" t="str">
            <v>KAR.WS.315X252X242 3W DIS.GRAN.ŚLĄS.KW D</v>
          </cell>
        </row>
        <row r="12809">
          <cell r="C12809">
            <v>2015379</v>
          </cell>
          <cell r="D12809" t="str">
            <v>KAR.WS.323X252X244 3W SZAR.W</v>
          </cell>
        </row>
        <row r="12810">
          <cell r="C12810">
            <v>2015092</v>
          </cell>
          <cell r="D12810" t="str">
            <v>KAR.WA.293X161X195 3W DIS.BIA.KRA.D</v>
          </cell>
        </row>
        <row r="12811">
          <cell r="C12811">
            <v>2015173</v>
          </cell>
          <cell r="D12811" t="str">
            <v>KAR.WA.286X154X193 3W SZAR.W</v>
          </cell>
        </row>
        <row r="12812">
          <cell r="C12812">
            <v>2015490</v>
          </cell>
          <cell r="D12812" t="str">
            <v>KAR.WS.284X245X150 5W DIS.7L DESKA D</v>
          </cell>
        </row>
        <row r="12813">
          <cell r="C12813">
            <v>2015489</v>
          </cell>
          <cell r="D12813" t="str">
            <v>KAR.WS.296X260X50 3W SZAR.W</v>
          </cell>
        </row>
        <row r="12814">
          <cell r="C12814">
            <v>2015506</v>
          </cell>
          <cell r="D12814" t="str">
            <v>KAR.WA.294X157X230 3W SZAR.W</v>
          </cell>
        </row>
        <row r="12815">
          <cell r="C12815">
            <v>2015541</v>
          </cell>
          <cell r="D12815" t="str">
            <v>KAR.WA.289X147X228 3W DIS.GRA.K.BIA.KW D</v>
          </cell>
        </row>
        <row r="12816">
          <cell r="C12816">
            <v>2015566</v>
          </cell>
          <cell r="D12816" t="str">
            <v>KAR.WA.285X151X195 3W DIS.GRAN.MOR D</v>
          </cell>
        </row>
        <row r="12817">
          <cell r="C12817">
            <v>2014257</v>
          </cell>
          <cell r="D12817" t="str">
            <v>KAR.WA.523X304X102 3W SZAR.D</v>
          </cell>
        </row>
        <row r="12818">
          <cell r="C12818">
            <v>2014258</v>
          </cell>
          <cell r="D12818" t="str">
            <v>KAR.WA.535X320X105 3W SZAR.AX W</v>
          </cell>
        </row>
        <row r="12819">
          <cell r="C12819">
            <v>2014002</v>
          </cell>
          <cell r="D12819" t="str">
            <v>KAR.WA.574X372X150 3W SZAR.D</v>
          </cell>
        </row>
        <row r="12820">
          <cell r="C12820">
            <v>2014256</v>
          </cell>
          <cell r="D12820" t="str">
            <v>KAR.WA.586X388X153 3W SZAR.AX W</v>
          </cell>
        </row>
        <row r="12821">
          <cell r="C12821">
            <v>2016854</v>
          </cell>
          <cell r="D12821" t="str">
            <v>KAR.WA.344X94X241 5W SZAR.</v>
          </cell>
        </row>
        <row r="12822">
          <cell r="C12822">
            <v>2016817</v>
          </cell>
          <cell r="D12822" t="str">
            <v>BECZKA PLAST.220L</v>
          </cell>
        </row>
        <row r="12823">
          <cell r="C12823">
            <v>2016716</v>
          </cell>
          <cell r="D12823" t="str">
            <v>KAR.WA.282X147X208 3W DIS.GRA/BIA.MOR D</v>
          </cell>
        </row>
        <row r="12824">
          <cell r="C12824">
            <v>2016869</v>
          </cell>
          <cell r="D12824" t="str">
            <v>KAR.WS.314X252X222 5W DIS.BEŻ.ŚLĄ.KW D</v>
          </cell>
        </row>
        <row r="12825">
          <cell r="C12825">
            <v>2015576</v>
          </cell>
          <cell r="D12825" t="str">
            <v>ST.COKÓŁ 386X386X397 3W BIA.KRA</v>
          </cell>
        </row>
        <row r="12826">
          <cell r="C12826">
            <v>2015575</v>
          </cell>
          <cell r="D12826" t="str">
            <v>ST.LISTWA CEN.39X370</v>
          </cell>
        </row>
        <row r="12827">
          <cell r="C12827">
            <v>2015599</v>
          </cell>
          <cell r="D12827" t="str">
            <v>ST.TOPER 392X292 3W BIA.KRA</v>
          </cell>
        </row>
        <row r="12828">
          <cell r="C12828">
            <v>2015627</v>
          </cell>
          <cell r="D12828" t="str">
            <v>ST.PODPORA 350X260 5W</v>
          </cell>
        </row>
        <row r="12829">
          <cell r="C12829">
            <v>2015598</v>
          </cell>
          <cell r="D12829" t="str">
            <v>ST.TAC.360X360X270 5W BIA.KRA</v>
          </cell>
        </row>
        <row r="12830">
          <cell r="C12830">
            <v>2015600</v>
          </cell>
          <cell r="D12830" t="str">
            <v>ST.KRATOWNICA 386X386X397 5W</v>
          </cell>
        </row>
        <row r="12831">
          <cell r="C12831">
            <v>2017032</v>
          </cell>
          <cell r="D12831" t="str">
            <v>KAR.WA.284X254X180 3W SZAR.W</v>
          </cell>
        </row>
        <row r="12832">
          <cell r="C12832">
            <v>2012820</v>
          </cell>
          <cell r="D12832" t="str">
            <v>NAR.1500X200 3W SZAR.</v>
          </cell>
        </row>
        <row r="12833">
          <cell r="C12833">
            <v>2017025</v>
          </cell>
          <cell r="D12833" t="str">
            <v>KAR.WA.283X250X188 5W DIS.BIA.KRA D</v>
          </cell>
        </row>
        <row r="12834">
          <cell r="C12834">
            <v>2015878</v>
          </cell>
          <cell r="D12834" t="str">
            <v>ST.MONOLIT 600X400 BIA.KRA</v>
          </cell>
        </row>
        <row r="12835">
          <cell r="C12835">
            <v>2015953</v>
          </cell>
          <cell r="D12835" t="str">
            <v>KAR.WA.321X252X224 3W DIS.BIA.KRA D</v>
          </cell>
        </row>
        <row r="12836">
          <cell r="C12836">
            <v>2015959</v>
          </cell>
          <cell r="D12836" t="str">
            <v>KAR.WA.375X182X188 3W SZAR.W</v>
          </cell>
        </row>
        <row r="12837">
          <cell r="C12837">
            <v>2015357</v>
          </cell>
          <cell r="D12837" t="str">
            <v>KAR.WA.562X250X193 3W SZAR.D</v>
          </cell>
        </row>
        <row r="12838">
          <cell r="C12838">
            <v>2015356</v>
          </cell>
          <cell r="D12838" t="str">
            <v>KAR.WA.550X250X190 3W SZAR.AX W</v>
          </cell>
        </row>
        <row r="12839">
          <cell r="C12839">
            <v>2014001</v>
          </cell>
          <cell r="D12839" t="str">
            <v>KAR.WA.574X333X150 3W SZAR.D</v>
          </cell>
        </row>
        <row r="12840">
          <cell r="C12840">
            <v>2014004</v>
          </cell>
          <cell r="D12840" t="str">
            <v>KAR.WA.586X349X153 3W SZAR.AX W</v>
          </cell>
        </row>
        <row r="12841">
          <cell r="C12841">
            <v>2017997</v>
          </cell>
          <cell r="D12841" t="str">
            <v>KAR.WA.383X248X182 5W DIS.POM.</v>
          </cell>
        </row>
        <row r="12842">
          <cell r="C12842">
            <v>2006411</v>
          </cell>
          <cell r="D12842" t="str">
            <v>KAR.WA.320X160X218 3W GRAN.MOR D</v>
          </cell>
        </row>
        <row r="12843">
          <cell r="C12843">
            <v>2006412</v>
          </cell>
          <cell r="D12843" t="str">
            <v>KAR.WA.326X166X231 3W SZAR.W</v>
          </cell>
        </row>
        <row r="12844">
          <cell r="C12844">
            <v>2018301</v>
          </cell>
          <cell r="D12844" t="str">
            <v>***KAR.WA.288X193X212 3W DIS.GRA/BIAMORD</v>
          </cell>
        </row>
        <row r="12845">
          <cell r="C12845">
            <v>2018588</v>
          </cell>
          <cell r="D12845" t="str">
            <v>KAR.WS.376X183X254 5W BIA.D</v>
          </cell>
        </row>
        <row r="12846">
          <cell r="C12846">
            <v>2018664</v>
          </cell>
          <cell r="D12846" t="str">
            <v>KAR.WS.376X183X254 5W BIA.STÓŁ SOŁ.D</v>
          </cell>
        </row>
        <row r="12847">
          <cell r="C12847">
            <v>2018801</v>
          </cell>
          <cell r="D12847" t="str">
            <v>KAR.WS.292X254X150 3W BIA.STÓŁ SOŁ.D</v>
          </cell>
        </row>
        <row r="12848">
          <cell r="C12848">
            <v>2005879</v>
          </cell>
          <cell r="D12848" t="str">
            <v>KAR.WS.587X373X71 5W TAC.KR.SZAR.</v>
          </cell>
        </row>
        <row r="12849">
          <cell r="C12849">
            <v>2018828</v>
          </cell>
          <cell r="D12849" t="str">
            <v>BECZKA PLAST.45L</v>
          </cell>
        </row>
        <row r="12850">
          <cell r="C12850">
            <v>2013102</v>
          </cell>
          <cell r="D12850" t="str">
            <v>KAR.WA.382X190X43 3W SZAR.W</v>
          </cell>
        </row>
        <row r="12851">
          <cell r="C12851">
            <v>2019176</v>
          </cell>
          <cell r="D12851" t="str">
            <v>ST.TOPER 576X415 3W BIA/GRA.MUNDIAL.KRA</v>
          </cell>
        </row>
        <row r="12852">
          <cell r="C12852">
            <v>2019690</v>
          </cell>
          <cell r="D12852" t="str">
            <v>KAR.WS.315X252X222 5W DIS.GRAN.MOR D</v>
          </cell>
        </row>
        <row r="12853">
          <cell r="C12853">
            <v>2019790</v>
          </cell>
          <cell r="D12853" t="str">
            <v>KAR.KR.580X385X160 5W SZAR.</v>
          </cell>
        </row>
        <row r="12854">
          <cell r="C12854">
            <v>2018300</v>
          </cell>
          <cell r="D12854" t="str">
            <v>***KAR.WA.294X198X218 3W SZAR.W</v>
          </cell>
        </row>
        <row r="12855">
          <cell r="C12855">
            <v>2019861</v>
          </cell>
          <cell r="D12855" t="str">
            <v>ST.WKŁADKA 354X429 3W BIA.</v>
          </cell>
        </row>
        <row r="12856">
          <cell r="C12856">
            <v>2019851</v>
          </cell>
          <cell r="D12856" t="str">
            <v>KAR.WA.296X196X129 3W KOL.SNAKERSY KRA C</v>
          </cell>
        </row>
        <row r="12857">
          <cell r="C12857">
            <v>2020084</v>
          </cell>
          <cell r="D12857" t="str">
            <v>KAR.KR.360X285X105 3W SZAR.</v>
          </cell>
        </row>
        <row r="12858">
          <cell r="C12858">
            <v>2005812</v>
          </cell>
          <cell r="D12858" t="str">
            <v>OKT.1170X770X800 7W SZAR.B/D</v>
          </cell>
        </row>
        <row r="12859">
          <cell r="C12859">
            <v>2002212</v>
          </cell>
          <cell r="D12859" t="str">
            <v>OS.NAT.JEL.BAR.22/24</v>
          </cell>
        </row>
        <row r="12860">
          <cell r="C12860">
            <v>2100620</v>
          </cell>
          <cell r="D12860" t="str">
            <v>MIESZANKA WARZYWNA</v>
          </cell>
        </row>
        <row r="12861">
          <cell r="C12861">
            <v>2100016</v>
          </cell>
          <cell r="D12861" t="str">
            <v>PAPRYKA SŁODKA MIELONA</v>
          </cell>
        </row>
        <row r="12862">
          <cell r="C12862">
            <v>2100487</v>
          </cell>
          <cell r="D12862" t="str">
            <v>PN CEBULA SMAŻ.PANIER.</v>
          </cell>
        </row>
        <row r="12863">
          <cell r="C12863">
            <v>2100732</v>
          </cell>
          <cell r="D12863" t="str">
            <v>POMIDORY SUSZONE INSTANT</v>
          </cell>
        </row>
        <row r="12864">
          <cell r="C12864">
            <v>2100361</v>
          </cell>
          <cell r="D12864" t="str">
            <v>MIESZ.PASZTET LUKSUSOWY</v>
          </cell>
        </row>
        <row r="12865">
          <cell r="C12865">
            <v>2100621</v>
          </cell>
          <cell r="D12865" t="str">
            <v>CZOSNEK SUSZONY PŁATKI</v>
          </cell>
        </row>
        <row r="12866">
          <cell r="C12866">
            <v>2100323</v>
          </cell>
          <cell r="D12866" t="str">
            <v>PN CZOSNEK SUSZ.MIEL.</v>
          </cell>
        </row>
        <row r="12867">
          <cell r="C12867">
            <v>2100780</v>
          </cell>
          <cell r="D12867" t="str">
            <v>MIESZ.FRESH PREMIUM</v>
          </cell>
        </row>
        <row r="12868">
          <cell r="C12868">
            <v>2100787</v>
          </cell>
          <cell r="D12868" t="str">
            <v>MIESZ..SOLANKA DO KIEŁBAS 30</v>
          </cell>
        </row>
        <row r="12869">
          <cell r="C12869">
            <v>2100622</v>
          </cell>
          <cell r="D12869" t="str">
            <v>PRZYP.ZWIBBEL GRANULAT</v>
          </cell>
        </row>
        <row r="12870">
          <cell r="C12870">
            <v>2100407</v>
          </cell>
          <cell r="D12870" t="str">
            <v>PAPRYKA CZERWONA GRANULAT 2-4MM</v>
          </cell>
        </row>
        <row r="12871">
          <cell r="C12871">
            <v>2100623</v>
          </cell>
          <cell r="D12871" t="str">
            <v>CEBULA PRAZONA PROSZEK</v>
          </cell>
        </row>
        <row r="12872">
          <cell r="C12872">
            <v>2100019</v>
          </cell>
          <cell r="D12872" t="str">
            <v>CEBULA SUSZONA PŁATEK</v>
          </cell>
        </row>
        <row r="12873">
          <cell r="C12873">
            <v>2100325</v>
          </cell>
          <cell r="D12873" t="str">
            <v>PK KONC.CZOSNEK PULPA KNOFI PUR</v>
          </cell>
        </row>
        <row r="12874">
          <cell r="C12874">
            <v>2100014</v>
          </cell>
          <cell r="D12874" t="str">
            <v>PAPRYKA CZERWONA PŁATEK 2-4MM</v>
          </cell>
        </row>
        <row r="12875">
          <cell r="C12875">
            <v>2100720</v>
          </cell>
          <cell r="D12875" t="str">
            <v>OREGANO MIELONE</v>
          </cell>
        </row>
        <row r="12876">
          <cell r="C12876">
            <v>2100010</v>
          </cell>
          <cell r="D12876" t="str">
            <v>SÓL SPOŻ.WARZONA</v>
          </cell>
        </row>
        <row r="12877">
          <cell r="C12877">
            <v>2100721</v>
          </cell>
          <cell r="D12877" t="str">
            <v>MIESZ.AROMEAT WĘD.OPTY B/GLUTAMINIANU</v>
          </cell>
        </row>
        <row r="12878">
          <cell r="C12878">
            <v>2100310</v>
          </cell>
          <cell r="D12878" t="str">
            <v>AROMAT DYMOWY</v>
          </cell>
        </row>
        <row r="12879">
          <cell r="C12879">
            <v>2100539</v>
          </cell>
          <cell r="D12879" t="str">
            <v>MS MAGGI</v>
          </cell>
        </row>
        <row r="12880">
          <cell r="C12880">
            <v>2100378</v>
          </cell>
          <cell r="D12880" t="str">
            <v>MS SPECJAL K1</v>
          </cell>
        </row>
        <row r="12881">
          <cell r="C12881">
            <v>2100624</v>
          </cell>
          <cell r="D12881" t="str">
            <v>PRZYP. SZYNKA WĘDZONA</v>
          </cell>
        </row>
        <row r="12882">
          <cell r="C12882">
            <v>2100625</v>
          </cell>
          <cell r="D12882" t="str">
            <v>MIESZ.PRO-MIX PLUS</v>
          </cell>
        </row>
        <row r="12883">
          <cell r="C12883">
            <v>2100062</v>
          </cell>
          <cell r="D12883" t="str">
            <v>MS MORT.COMBI</v>
          </cell>
        </row>
        <row r="12884">
          <cell r="C12884">
            <v>2100036</v>
          </cell>
          <cell r="D12884" t="str">
            <v>MIESZ.PRZYPRAW FRAN COMBI</v>
          </cell>
        </row>
        <row r="12885">
          <cell r="C12885">
            <v>2100626</v>
          </cell>
          <cell r="D12885" t="str">
            <v>BIAŁKO CENTEX 4130 IP</v>
          </cell>
        </row>
        <row r="12886">
          <cell r="C12886">
            <v>2100324</v>
          </cell>
          <cell r="D12886" t="str">
            <v>CZOSNEK GRANULOWANY</v>
          </cell>
        </row>
        <row r="12887">
          <cell r="C12887">
            <v>2100627</v>
          </cell>
          <cell r="D12887" t="str">
            <v>MIESZ.PASZTET DUŃSKI</v>
          </cell>
        </row>
        <row r="12888">
          <cell r="C12888">
            <v>2100628</v>
          </cell>
          <cell r="D12888" t="str">
            <v>ŚLIWKA KALIFORNIJSKA</v>
          </cell>
        </row>
        <row r="12889">
          <cell r="C12889">
            <v>2100629</v>
          </cell>
          <cell r="D12889" t="str">
            <v>***MIESZ.HARIMIX PP</v>
          </cell>
        </row>
        <row r="12890">
          <cell r="C12890">
            <v>2100480</v>
          </cell>
          <cell r="D12890" t="str">
            <v>MIESZ.HARIMIX C P</v>
          </cell>
        </row>
        <row r="12891">
          <cell r="C12891">
            <v>2100069</v>
          </cell>
          <cell r="D12891" t="str">
            <v>MF FRISCHEX</v>
          </cell>
        </row>
        <row r="12892">
          <cell r="C12892">
            <v>2100630</v>
          </cell>
          <cell r="D12892" t="str">
            <v>MS KRAK.PARZ.COMBI DA</v>
          </cell>
        </row>
        <row r="12893">
          <cell r="C12893">
            <v>2100311</v>
          </cell>
          <cell r="D12893" t="str">
            <v>AROMAT PIEPRZU M</v>
          </cell>
        </row>
        <row r="12894">
          <cell r="C12894">
            <v>2100699</v>
          </cell>
          <cell r="D12894" t="str">
            <v>PRZYP.MP-SZYNKOWA FA</v>
          </cell>
        </row>
        <row r="12895">
          <cell r="C12895">
            <v>2100631</v>
          </cell>
          <cell r="D12895" t="str">
            <v>BARWNIK KARMEL</v>
          </cell>
        </row>
        <row r="12896">
          <cell r="C12896">
            <v>2100632</v>
          </cell>
          <cell r="D12896" t="str">
            <v>***MIESZ.HAM-P-09 PLUS PREMIUM</v>
          </cell>
        </row>
        <row r="12897">
          <cell r="C12897">
            <v>2100633</v>
          </cell>
          <cell r="D12897" t="str">
            <v>MS PROSMAK WĘDZ.SMAK P</v>
          </cell>
        </row>
        <row r="12898">
          <cell r="C12898">
            <v>2100092</v>
          </cell>
          <cell r="D12898" t="str">
            <v>BRIFISOL 512 NEU</v>
          </cell>
        </row>
        <row r="12899">
          <cell r="C12899">
            <v>2100299</v>
          </cell>
          <cell r="D12899" t="str">
            <v>MIESZ.BULION W PROSZKU</v>
          </cell>
        </row>
        <row r="12900">
          <cell r="C12900">
            <v>2100634</v>
          </cell>
          <cell r="D12900" t="str">
            <v>***MIESZ.EMO-P-09 SUPER L3000</v>
          </cell>
        </row>
        <row r="12901">
          <cell r="C12901">
            <v>2100635</v>
          </cell>
          <cell r="D12901" t="str">
            <v>MIESZ.KIEŁBASA ZIELONOGÓRSKA</v>
          </cell>
        </row>
        <row r="12902">
          <cell r="C12902">
            <v>2100636</v>
          </cell>
          <cell r="D12902" t="str">
            <v>***MIESZ.PASZTET BESKIDZKI</v>
          </cell>
        </row>
        <row r="12903">
          <cell r="C12903">
            <v>2100637</v>
          </cell>
          <cell r="D12903" t="str">
            <v>***MIESZ.PATE MIX DD</v>
          </cell>
        </row>
        <row r="12904">
          <cell r="C12904">
            <v>2100638</v>
          </cell>
          <cell r="D12904" t="str">
            <v>***AROMAT B-FLAVOUR KONSERWA-MIELONKA</v>
          </cell>
        </row>
        <row r="12905">
          <cell r="C12905">
            <v>2100639</v>
          </cell>
          <cell r="D12905" t="str">
            <v>AROMAT CONDIMENT D</v>
          </cell>
        </row>
        <row r="12906">
          <cell r="C12906">
            <v>2100706</v>
          </cell>
          <cell r="D12906" t="str">
            <v>MIESZ.AMCOSOL EKO-AN</v>
          </cell>
        </row>
        <row r="12907">
          <cell r="C12907">
            <v>2100803</v>
          </cell>
          <cell r="D12907" t="str">
            <v>AROMAT DYMU OG</v>
          </cell>
        </row>
        <row r="12908">
          <cell r="C12908">
            <v>2100640</v>
          </cell>
          <cell r="D12908" t="str">
            <v>***MIESZ.SOVARUM LUNCHEON MET</v>
          </cell>
        </row>
        <row r="12909">
          <cell r="C12909">
            <v>2100050</v>
          </cell>
          <cell r="D12909" t="str">
            <v>MS KASZANKA MAZURSKA</v>
          </cell>
        </row>
        <row r="12910">
          <cell r="C12910">
            <v>2100397</v>
          </cell>
          <cell r="D12910" t="str">
            <v>MIESZ.WINZERSTEAK PRZYP. GRILOWA A</v>
          </cell>
        </row>
        <row r="12911">
          <cell r="C12911">
            <v>2100356</v>
          </cell>
          <cell r="D12911" t="str">
            <v>MIESZ.PROSMAK 1 PLUS</v>
          </cell>
        </row>
        <row r="12912">
          <cell r="C12912">
            <v>2100641</v>
          </cell>
          <cell r="D12912" t="str">
            <v>***MS AROMAT WĘDZ.</v>
          </cell>
        </row>
        <row r="12913">
          <cell r="C12913">
            <v>2100794</v>
          </cell>
          <cell r="D12913" t="str">
            <v>MARYNATA BRAVA K</v>
          </cell>
        </row>
        <row r="12914">
          <cell r="C12914">
            <v>2100793</v>
          </cell>
          <cell r="D12914" t="str">
            <v>***MARYNATA GRILSTEAK K</v>
          </cell>
        </row>
        <row r="12915">
          <cell r="C12915">
            <v>2100792</v>
          </cell>
          <cell r="D12915" t="str">
            <v>MARYNATA LAFINESS CLASSIK 8091 00</v>
          </cell>
        </row>
        <row r="12916">
          <cell r="C12916">
            <v>2100791</v>
          </cell>
          <cell r="D12916" t="str">
            <v>MARYNATA LAFINESS KRAUTER ZIOLOWA 5609 0</v>
          </cell>
        </row>
        <row r="12917">
          <cell r="C12917">
            <v>2100790</v>
          </cell>
          <cell r="D12917" t="str">
            <v>MARYNATA LAFINESS ARIZONA 8751 02</v>
          </cell>
        </row>
        <row r="12918">
          <cell r="C12918">
            <v>2100245</v>
          </cell>
          <cell r="D12918" t="str">
            <v>MS ITALIA</v>
          </cell>
        </row>
        <row r="12919">
          <cell r="C12919">
            <v>2100779</v>
          </cell>
          <cell r="D12919" t="str">
            <v>MARYNATA LAFINESS RED CHILLI 8088 00</v>
          </cell>
        </row>
        <row r="12920">
          <cell r="C12920">
            <v>2100778</v>
          </cell>
          <cell r="D12920" t="str">
            <v>MARYNATA HONEY 3549 00</v>
          </cell>
        </row>
        <row r="12921">
          <cell r="C12921">
            <v>2100122</v>
          </cell>
          <cell r="D12921" t="str">
            <v>EKSTRAKT DROŻDŻOWY MAXAROME SELECT P.</v>
          </cell>
        </row>
        <row r="12922">
          <cell r="C12922">
            <v>2100642</v>
          </cell>
          <cell r="D12922" t="str">
            <v>MF AMCOSOL SUPER 50 NI AN</v>
          </cell>
        </row>
        <row r="12923">
          <cell r="C12923">
            <v>2100643</v>
          </cell>
          <cell r="D12923" t="str">
            <v>BIAŁKO SCANPRO TC 70</v>
          </cell>
        </row>
        <row r="12924">
          <cell r="C12924">
            <v>2100644</v>
          </cell>
          <cell r="D12924" t="str">
            <v>AROMAT SZYN.KRUCH.</v>
          </cell>
        </row>
        <row r="12925">
          <cell r="C12925">
            <v>2100476</v>
          </cell>
          <cell r="D12925" t="str">
            <v>BŁONNIK VIP 100</v>
          </cell>
        </row>
        <row r="12926">
          <cell r="C12926">
            <v>2100266</v>
          </cell>
          <cell r="D12926" t="str">
            <v>PANIER RUSK DYR</v>
          </cell>
        </row>
        <row r="12927">
          <cell r="C12927">
            <v>2100645</v>
          </cell>
          <cell r="D12927" t="str">
            <v>MIESZ.HAMBURGER LS</v>
          </cell>
        </row>
        <row r="12928">
          <cell r="C12928">
            <v>2100646</v>
          </cell>
          <cell r="D12928" t="str">
            <v>MIESZ.LAFINESS STEAK ARIZONA</v>
          </cell>
        </row>
        <row r="12929">
          <cell r="C12929">
            <v>2100647</v>
          </cell>
          <cell r="D12929" t="str">
            <v>MIESZ.LAFINESS CLASSIC CHILI</v>
          </cell>
        </row>
        <row r="12930">
          <cell r="C12930">
            <v>2100648</v>
          </cell>
          <cell r="D12930" t="str">
            <v>MIESZ.LAFINESS KRAUTER - 560901</v>
          </cell>
        </row>
        <row r="12931">
          <cell r="C12931">
            <v>2100649</v>
          </cell>
          <cell r="D12931" t="str">
            <v>MIESZ.MARYNATA HONEY - 854106</v>
          </cell>
        </row>
        <row r="12932">
          <cell r="C12932">
            <v>2100650</v>
          </cell>
          <cell r="D12932" t="str">
            <v>MIESZ.BORDEUX GRILLGEWURTZ</v>
          </cell>
        </row>
        <row r="12933">
          <cell r="C12933">
            <v>2100651</v>
          </cell>
          <cell r="D12933" t="str">
            <v>MIESZ.MARYNATA MIX BRAWIA</v>
          </cell>
        </row>
        <row r="12934">
          <cell r="C12934">
            <v>2100652</v>
          </cell>
          <cell r="D12934" t="str">
            <v>MIESZ.MARYNATA GRILOWA</v>
          </cell>
        </row>
        <row r="12935">
          <cell r="C12935">
            <v>2100653</v>
          </cell>
          <cell r="D12935" t="str">
            <v>MIESZ.GRILL STEAK AEO</v>
          </cell>
        </row>
        <row r="12936">
          <cell r="C12936">
            <v>2100654</v>
          </cell>
          <cell r="D12936" t="str">
            <v>POSYPKA DEKORACYJNA DEKO</v>
          </cell>
        </row>
        <row r="12937">
          <cell r="C12937">
            <v>2100655</v>
          </cell>
          <cell r="D12937" t="str">
            <v>MIESZ.KIEŁBASA BIAŁA 364800</v>
          </cell>
        </row>
        <row r="12938">
          <cell r="C12938">
            <v>2100656</v>
          </cell>
          <cell r="D12938" t="str">
            <v>MIESZ. PRZYPRAWA DO PIZZY</v>
          </cell>
        </row>
        <row r="12939">
          <cell r="C12939">
            <v>2100286</v>
          </cell>
          <cell r="D12939" t="str">
            <v>POMIDORY SUSZONE, 10 MM</v>
          </cell>
        </row>
        <row r="12940">
          <cell r="C12940">
            <v>2100668</v>
          </cell>
          <cell r="D12940" t="str">
            <v>***PRZYP.AMCOSYSTEM EO SZYNKA</v>
          </cell>
        </row>
        <row r="12941">
          <cell r="C12941">
            <v>2100669</v>
          </cell>
          <cell r="D12941" t="str">
            <v>MARYNATA ZIELONA KOMBI-R676 CK</v>
          </cell>
        </row>
        <row r="12942">
          <cell r="C12942">
            <v>2100121</v>
          </cell>
          <cell r="D12942" t="str">
            <v>OLEJ RZEPAK.RAF.IBC</v>
          </cell>
        </row>
        <row r="12943">
          <cell r="C12943">
            <v>2100657</v>
          </cell>
          <cell r="D12943" t="str">
            <v>***MIESZ.KIEŁBASA SZYNKOWA 801387</v>
          </cell>
        </row>
        <row r="12944">
          <cell r="C12944">
            <v>2100368</v>
          </cell>
          <cell r="D12944" t="str">
            <v>MIESZ.SOVAROM-BIAŁA SUROWA NR 583</v>
          </cell>
        </row>
        <row r="12945">
          <cell r="C12945">
            <v>2100658</v>
          </cell>
          <cell r="D12945" t="str">
            <v>MIESZ.MARYNATA GRILOWA BIDA3</v>
          </cell>
        </row>
        <row r="12946">
          <cell r="C12946">
            <v>2100659</v>
          </cell>
          <cell r="D12946" t="str">
            <v>MF PLASTROLINE G3</v>
          </cell>
        </row>
        <row r="12947">
          <cell r="C12947">
            <v>2100660</v>
          </cell>
          <cell r="D12947" t="str">
            <v>BIAŁKO SCANCEL A95</v>
          </cell>
        </row>
        <row r="12948">
          <cell r="C12948">
            <v>2100035</v>
          </cell>
          <cell r="D12948" t="str">
            <v>MIESZ.SZYNKOWA D</v>
          </cell>
        </row>
        <row r="12949">
          <cell r="C12949">
            <v>2100661</v>
          </cell>
          <cell r="D12949" t="str">
            <v>MF ZARTIN RS</v>
          </cell>
        </row>
        <row r="12950">
          <cell r="C12950">
            <v>2100662</v>
          </cell>
          <cell r="D12950" t="str">
            <v>MIESZ.PROSMAK MEKSYKAŃSKA</v>
          </cell>
        </row>
        <row r="12951">
          <cell r="C12951">
            <v>2100663</v>
          </cell>
          <cell r="D12951" t="str">
            <v>MIESZ.LAFINESS ZWEBBEL KMO</v>
          </cell>
        </row>
        <row r="12952">
          <cell r="C12952">
            <v>2100700</v>
          </cell>
          <cell r="D12952" t="str">
            <v>PRZYP.MIX KULINARNY E</v>
          </cell>
        </row>
        <row r="12953">
          <cell r="C12953">
            <v>2100690</v>
          </cell>
          <cell r="D12953" t="str">
            <v>PRZYP.BRATZARTIN</v>
          </cell>
        </row>
        <row r="12954">
          <cell r="C12954">
            <v>2100701</v>
          </cell>
          <cell r="D12954" t="str">
            <v>PRZYP.DEKORACYJNA LIGURIA-13011</v>
          </cell>
        </row>
        <row r="12955">
          <cell r="C12955">
            <v>2100702</v>
          </cell>
          <cell r="D12955" t="str">
            <v>PRZYP.SZYNKOWA TOSTOWA</v>
          </cell>
        </row>
        <row r="12956">
          <cell r="C12956">
            <v>2100664</v>
          </cell>
          <cell r="D12956" t="str">
            <v>***MIESZ.ERPU GOLD PROFI 656602</v>
          </cell>
        </row>
        <row r="12957">
          <cell r="C12957">
            <v>2015257</v>
          </cell>
          <cell r="D12957" t="str">
            <v>TAŚMA MASZ.48X990 KAUCZUK PROM.</v>
          </cell>
        </row>
        <row r="12958">
          <cell r="C12958">
            <v>2015265</v>
          </cell>
          <cell r="D12958" t="str">
            <v>ET.OZDP.80X100 BOCZ.OD KRAK.KRA P</v>
          </cell>
        </row>
        <row r="12959">
          <cell r="C12959">
            <v>2020142</v>
          </cell>
          <cell r="D12959" t="str">
            <v>KAR.WA.305X138X245 3W DIS.GRA/BIA.MOR D</v>
          </cell>
        </row>
        <row r="12960">
          <cell r="C12960">
            <v>2020141</v>
          </cell>
          <cell r="D12960" t="str">
            <v>KAR.WA.311X142X45 3W SZAR.W</v>
          </cell>
        </row>
        <row r="12961">
          <cell r="C12961">
            <v>2020176</v>
          </cell>
          <cell r="D12961" t="str">
            <v>KAR.WS.315X252X222 5W DIS.GRAN.D</v>
          </cell>
        </row>
        <row r="12962">
          <cell r="C12962">
            <v>2020173</v>
          </cell>
          <cell r="D12962" t="str">
            <v>KAR.KR.534X319X103 5W SZAR.AX</v>
          </cell>
        </row>
        <row r="12963">
          <cell r="C12963">
            <v>2020172</v>
          </cell>
          <cell r="D12963" t="str">
            <v>KAR.KR.586X286X190 5W SZAR.AX</v>
          </cell>
        </row>
        <row r="12964">
          <cell r="C12964">
            <v>2020171</v>
          </cell>
          <cell r="D12964" t="str">
            <v>KAR.KR.540X240X176 5W SZAR.AX</v>
          </cell>
        </row>
        <row r="12965">
          <cell r="C12965">
            <v>2020255</v>
          </cell>
          <cell r="D12965" t="str">
            <v>KAR.WA.378X247X148 3W DIS.DESKA 4PKDA D</v>
          </cell>
        </row>
        <row r="12966">
          <cell r="C12966">
            <v>2020254</v>
          </cell>
          <cell r="D12966" t="str">
            <v>KAR.WR.369X239X149 5W SZAR.W</v>
          </cell>
        </row>
        <row r="12967">
          <cell r="C12967">
            <v>2020314</v>
          </cell>
          <cell r="D12967" t="str">
            <v>ST.WKŁADKA 1218X555 3W BIA.</v>
          </cell>
        </row>
        <row r="12968">
          <cell r="C12968">
            <v>2020469</v>
          </cell>
          <cell r="D12968" t="str">
            <v>ST.TAC.562X360X260 5W CZER.KRA</v>
          </cell>
        </row>
        <row r="12969">
          <cell r="C12969">
            <v>2020466</v>
          </cell>
          <cell r="D12969" t="str">
            <v>ST.COKÓŁ 582X384X117 3W CZER.KRA</v>
          </cell>
        </row>
        <row r="12970">
          <cell r="C12970">
            <v>2020431</v>
          </cell>
          <cell r="D12970" t="str">
            <v>KAR.WA.288X175X245 3W CZER.KRA D</v>
          </cell>
        </row>
        <row r="12971">
          <cell r="C12971">
            <v>2020474</v>
          </cell>
          <cell r="D12971" t="str">
            <v>KAR.WA.290X181X245 3W SZAR.W</v>
          </cell>
        </row>
        <row r="12972">
          <cell r="C12972">
            <v>2020558</v>
          </cell>
          <cell r="D12972" t="str">
            <v>KAR.WA.185X281X224 5W DIS.CZER.KRA D</v>
          </cell>
        </row>
        <row r="12973">
          <cell r="C12973">
            <v>2020318</v>
          </cell>
          <cell r="D12973" t="str">
            <v>KAR.WA.316X249X222 5W DIS.GRAN.MOR D</v>
          </cell>
        </row>
        <row r="12974">
          <cell r="C12974">
            <v>2020658</v>
          </cell>
          <cell r="D12974" t="str">
            <v>KAR.WS.292X254X150 3W BIA.D</v>
          </cell>
        </row>
        <row r="12975">
          <cell r="C12975">
            <v>2013085</v>
          </cell>
          <cell r="D12975" t="str">
            <v>KAR.WS.580X380X155 5W TAC.DŁ.SZAR.</v>
          </cell>
        </row>
        <row r="12976">
          <cell r="C12976">
            <v>2020722</v>
          </cell>
          <cell r="D12976" t="str">
            <v>KAR.WA.370X183X165 5W DIS.CZER.KRA D</v>
          </cell>
        </row>
        <row r="12977">
          <cell r="C12977">
            <v>2020723</v>
          </cell>
          <cell r="D12977" t="str">
            <v>KAR.WA.374X178X164 3W SZAR.W</v>
          </cell>
        </row>
        <row r="12978">
          <cell r="C12978">
            <v>2020739</v>
          </cell>
          <cell r="D12978" t="str">
            <v>ST.TAC.562X360X260 3W CZER.KRA</v>
          </cell>
        </row>
        <row r="12979">
          <cell r="C12979">
            <v>2020740</v>
          </cell>
          <cell r="D12979" t="str">
            <v>ST.TAC.562X360X120 3W CZER.KRA</v>
          </cell>
        </row>
        <row r="12980">
          <cell r="C12980">
            <v>2020774</v>
          </cell>
          <cell r="D12980" t="str">
            <v>KAR.WA.287X256X231 3W SZAR.W</v>
          </cell>
        </row>
        <row r="12981">
          <cell r="C12981">
            <v>2020775</v>
          </cell>
          <cell r="D12981" t="str">
            <v>KAR.WA.286X250X231 3W GRAN.BER.D</v>
          </cell>
        </row>
        <row r="12982">
          <cell r="C12982">
            <v>2007925</v>
          </cell>
          <cell r="D12982" t="str">
            <v>KAR.WA.285X153X244 3W SZAR.W</v>
          </cell>
        </row>
        <row r="12983">
          <cell r="C12983">
            <v>2020773</v>
          </cell>
          <cell r="D12983" t="str">
            <v>SEPARATOR 281X246X102 3W SZAR.</v>
          </cell>
        </row>
        <row r="12984">
          <cell r="C12984">
            <v>2020823</v>
          </cell>
          <cell r="D12984" t="str">
            <v>ST.TOPER 392X292 3W CZER.KRA</v>
          </cell>
        </row>
        <row r="12985">
          <cell r="C12985">
            <v>2020821</v>
          </cell>
          <cell r="D12985" t="str">
            <v>ST.COKÓŁ 386X386X397 3W CZER.KRA</v>
          </cell>
        </row>
        <row r="12986">
          <cell r="C12986">
            <v>2020822</v>
          </cell>
          <cell r="D12986" t="str">
            <v>ST.TAC.360X360X270 5W CZER.KRA</v>
          </cell>
        </row>
        <row r="12987">
          <cell r="C12987">
            <v>2020830</v>
          </cell>
          <cell r="D12987" t="str">
            <v>KAR.WA.282X250X188 5W DIS.CZER.KRA D</v>
          </cell>
        </row>
        <row r="12988">
          <cell r="C12988">
            <v>2020836</v>
          </cell>
          <cell r="D12988" t="str">
            <v>ST.TOPER 580X356 3W GRAN.URODZINY NETTO</v>
          </cell>
        </row>
        <row r="12989">
          <cell r="C12989">
            <v>2020861</v>
          </cell>
          <cell r="D12989" t="str">
            <v>KAR.WA.150X111X241 3W DIS.CZER.KRA C</v>
          </cell>
        </row>
        <row r="12990">
          <cell r="C12990">
            <v>2002678</v>
          </cell>
          <cell r="D12990" t="str">
            <v>TAŚMA RĘCZ.48X60M ŻÓŁ.AX</v>
          </cell>
        </row>
        <row r="12991">
          <cell r="C12991">
            <v>2001207</v>
          </cell>
          <cell r="D12991" t="str">
            <v>TAŚMA MASZ.48X900M</v>
          </cell>
        </row>
        <row r="12992">
          <cell r="C12992">
            <v>2020878</v>
          </cell>
          <cell r="D12992" t="str">
            <v>KAR.WA.281X79X217 3W SZAR.</v>
          </cell>
        </row>
        <row r="12993">
          <cell r="C12993">
            <v>2020940</v>
          </cell>
          <cell r="D12993" t="str">
            <v>KAR.WA.290X84X155 3W CZER.KRA D</v>
          </cell>
        </row>
        <row r="12994">
          <cell r="C12994">
            <v>2021001</v>
          </cell>
          <cell r="D12994" t="str">
            <v>KAR.WA.282X250X188 5W DIS.GRAN.D</v>
          </cell>
        </row>
        <row r="12995">
          <cell r="C12995">
            <v>2021000</v>
          </cell>
          <cell r="D12995" t="str">
            <v>KAR.WA.284X160X191 3W SZAR.W</v>
          </cell>
        </row>
        <row r="12996">
          <cell r="C12996">
            <v>2020992</v>
          </cell>
          <cell r="D12996" t="str">
            <v>KAR.WA.283X152X195 5W DIS.CZER.KRA.D</v>
          </cell>
        </row>
        <row r="12997">
          <cell r="C12997">
            <v>2021050</v>
          </cell>
          <cell r="D12997" t="str">
            <v>KAR.WA.286X164X289 3W BIA.D</v>
          </cell>
        </row>
        <row r="12998">
          <cell r="C12998">
            <v>2021051</v>
          </cell>
          <cell r="D12998" t="str">
            <v>KAR.WA.159X284X229 3W SZAR.W</v>
          </cell>
        </row>
        <row r="12999">
          <cell r="C12999">
            <v>2021053</v>
          </cell>
          <cell r="D12999" t="str">
            <v>KTN.WA.35X65X370 CZAR.POL.LIDL LT/LV/EE</v>
          </cell>
        </row>
        <row r="13000">
          <cell r="C13000">
            <v>2021052</v>
          </cell>
          <cell r="D13000" t="str">
            <v>KTN.WA.35X65X370 CZAR.POL.LIDL SK/CZ</v>
          </cell>
        </row>
        <row r="13001">
          <cell r="C13001">
            <v>2021071</v>
          </cell>
          <cell r="D13001" t="str">
            <v>KTN.WA.35X65X370 CZAR.POL.LIDL</v>
          </cell>
        </row>
        <row r="13002">
          <cell r="C13002">
            <v>2021098</v>
          </cell>
          <cell r="D13002" t="str">
            <v>OKT.1169X770X1180 5W SZAR.B/D</v>
          </cell>
        </row>
        <row r="13003">
          <cell r="C13003">
            <v>2021137</v>
          </cell>
          <cell r="D13003" t="str">
            <v>KAR.KR.383X288X227 5W SZAR.</v>
          </cell>
        </row>
        <row r="13004">
          <cell r="C13004">
            <v>2021097</v>
          </cell>
          <cell r="D13004" t="str">
            <v>KAR.WA.236X190X226 5W BEŻ.DESKA D</v>
          </cell>
        </row>
        <row r="13005">
          <cell r="C13005">
            <v>2021121</v>
          </cell>
          <cell r="D13005" t="str">
            <v>KAR.WA.188X246X229 3W SZAR.W</v>
          </cell>
        </row>
        <row r="13006">
          <cell r="C13006">
            <v>2021139</v>
          </cell>
          <cell r="D13006" t="str">
            <v>KAR.WA.283X159X228 3W GRAN.KABAN.BER D</v>
          </cell>
        </row>
        <row r="13007">
          <cell r="C13007">
            <v>2021138</v>
          </cell>
          <cell r="D13007" t="str">
            <v>KAR.WA.282X156X229 3W SZAR.W</v>
          </cell>
        </row>
        <row r="13008">
          <cell r="C13008">
            <v>2021189</v>
          </cell>
          <cell r="D13008" t="str">
            <v>KAR.KR.354X234X178 5W SZAR.</v>
          </cell>
        </row>
        <row r="13009">
          <cell r="C13009">
            <v>2021185</v>
          </cell>
          <cell r="D13009" t="str">
            <v>KAR.WA.285X151X195.5W.DIS.GRA.KRUCH.KW D</v>
          </cell>
        </row>
        <row r="13010">
          <cell r="C13010">
            <v>2021195</v>
          </cell>
          <cell r="D13010" t="str">
            <v>KAR.WS.375X182X252 5W BIA.STÓŁ SOŁ.D</v>
          </cell>
        </row>
        <row r="13011">
          <cell r="C13011">
            <v>2021248</v>
          </cell>
          <cell r="D13011" t="str">
            <v>ST.TAC.562X360X260 3W GRAN.BER</v>
          </cell>
        </row>
        <row r="13012">
          <cell r="C13012">
            <v>2021227</v>
          </cell>
          <cell r="D13012" t="str">
            <v>ST.COKÓŁ 582X384X117 3W GRAN.BER</v>
          </cell>
        </row>
        <row r="13013">
          <cell r="C13013">
            <v>2021306</v>
          </cell>
          <cell r="D13013" t="str">
            <v>ST.TAC.360X360X270 3W GRAN.KRA</v>
          </cell>
        </row>
        <row r="13014">
          <cell r="C13014">
            <v>2021366</v>
          </cell>
          <cell r="D13014" t="str">
            <v>KAR.WA.288X149X245 3W CZER.KRA D</v>
          </cell>
        </row>
        <row r="13015">
          <cell r="C13015">
            <v>2021367</v>
          </cell>
          <cell r="D13015" t="str">
            <v>KAR.WA.290X155X245 3W SZAR.W</v>
          </cell>
        </row>
        <row r="13016">
          <cell r="C13016">
            <v>3018365</v>
          </cell>
          <cell r="D13016" t="str">
            <v>***SUCHY LÓD PJ ST</v>
          </cell>
        </row>
        <row r="13017">
          <cell r="C13017">
            <v>8200236</v>
          </cell>
          <cell r="D13017" t="str">
            <v>LÓD TECHNOLOGICZNY</v>
          </cell>
        </row>
        <row r="13018">
          <cell r="C13018">
            <v>2102825</v>
          </cell>
          <cell r="D13018" t="str">
            <v>ZRĘBKI WĘDZ.BUK-OLCHA</v>
          </cell>
        </row>
        <row r="13019">
          <cell r="C13019">
            <v>2102829</v>
          </cell>
          <cell r="D13019" t="str">
            <v>***ZRĘBKI WĘDZ.BUK</v>
          </cell>
        </row>
        <row r="13020">
          <cell r="C13020">
            <v>2102826</v>
          </cell>
          <cell r="D13020" t="str">
            <v>DYM WĘDZ.SMOKE LFB SUPREME C</v>
          </cell>
        </row>
        <row r="13021">
          <cell r="C13021">
            <v>2102823</v>
          </cell>
          <cell r="D13021" t="str">
            <v>KLOCKI WĘDZ.8X8X90</v>
          </cell>
        </row>
        <row r="13022">
          <cell r="C13022">
            <v>2102844</v>
          </cell>
          <cell r="D13022" t="str">
            <v>KLOCKI WĘDZ.10X10X90</v>
          </cell>
        </row>
        <row r="13023">
          <cell r="C13023">
            <v>2100389</v>
          </cell>
          <cell r="D13023" t="str">
            <v>MF SOL.Z 45 AN</v>
          </cell>
        </row>
        <row r="13024">
          <cell r="C13024">
            <v>3047082</v>
          </cell>
          <cell r="D13024" t="str">
            <v>JEL.CIEN.36- PAS.SOL.15M VAC BL</v>
          </cell>
        </row>
        <row r="13025">
          <cell r="C13025">
            <v>3047083</v>
          </cell>
          <cell r="D13025" t="str">
            <v>JEL.CIEN.36+ SOL.15M VAC BL</v>
          </cell>
        </row>
        <row r="13026">
          <cell r="C13026">
            <v>3041976</v>
          </cell>
          <cell r="D13026" t="str">
            <v>JEL.CIEN.28/30 PAS.SOL.180M SIA.ST</v>
          </cell>
        </row>
        <row r="13027">
          <cell r="C13027">
            <v>3044760</v>
          </cell>
          <cell r="D13027" t="str">
            <v>***JEL.CIEN.28/30 LUZ SOL.90M PĘCZ.ST</v>
          </cell>
        </row>
        <row r="13028">
          <cell r="C13028">
            <v>3047560</v>
          </cell>
          <cell r="D13028" t="str">
            <v>JEL.CIEN.28/30 LUZ 90M PĘCZ.BECZ.ZAK</v>
          </cell>
        </row>
        <row r="13029">
          <cell r="C13029">
            <v>3047563</v>
          </cell>
          <cell r="D13029" t="str">
            <v>JEL.CIEN.41+ 5-12 90M PĘCZ.BECZ.ZAK</v>
          </cell>
        </row>
        <row r="13030">
          <cell r="C13030">
            <v>3047556</v>
          </cell>
          <cell r="D13030" t="str">
            <v>JEL.CIEN.41+ 12+ 90M PĘCZ.BECZ.ZAK</v>
          </cell>
        </row>
        <row r="13031">
          <cell r="C13031">
            <v>3047554</v>
          </cell>
          <cell r="D13031" t="str">
            <v>JEL.CIEN.36+ 15M VAC PĘCZ.ZAK</v>
          </cell>
        </row>
        <row r="13032">
          <cell r="C13032">
            <v>3047555</v>
          </cell>
          <cell r="D13032" t="str">
            <v>JEL.CIEN.36- 15M VAC PĘCZ.ZAK</v>
          </cell>
        </row>
        <row r="13033">
          <cell r="C13033">
            <v>3042057</v>
          </cell>
          <cell r="D13033" t="str">
            <v>***JEL.CIEN.ODW.30/32 PAS.SOL.91.4MPĘCZ.</v>
          </cell>
        </row>
        <row r="13034">
          <cell r="C13034">
            <v>3042331</v>
          </cell>
          <cell r="D13034" t="str">
            <v>JEL.CIEN.32/34 4-12 PAS.SOL.180M SIA.ST</v>
          </cell>
        </row>
        <row r="13035">
          <cell r="C13035">
            <v>3046597</v>
          </cell>
          <cell r="D13035" t="str">
            <v>JEL.CIEN.32/34 12+ PAS.SOL.180M SIA.ST</v>
          </cell>
        </row>
        <row r="13036">
          <cell r="C13036">
            <v>2000795</v>
          </cell>
          <cell r="D13036" t="str">
            <v>OS.NAT.JEL.WP.28/30 TUBA</v>
          </cell>
        </row>
        <row r="13037">
          <cell r="C13037">
            <v>3043744</v>
          </cell>
          <cell r="D13037" t="str">
            <v>***JEL.CIEN.34/36 PAS.SOL.180M SIA.ST</v>
          </cell>
        </row>
        <row r="13038">
          <cell r="C13038">
            <v>3043745</v>
          </cell>
          <cell r="D13038" t="str">
            <v>JEL.CIEN.36/38 4-12 PAS.SOL.180M SIA.ST</v>
          </cell>
        </row>
        <row r="13039">
          <cell r="C13039">
            <v>3046598</v>
          </cell>
          <cell r="D13039" t="str">
            <v>JEL.CIEN.36/38 12+ PAS.SOL.180M SIA.ST</v>
          </cell>
        </row>
        <row r="13040">
          <cell r="C13040">
            <v>3043748</v>
          </cell>
          <cell r="D13040" t="str">
            <v>JEL.CIEN.38/40 4-12 PAS.SOL.180M SIA.ST</v>
          </cell>
        </row>
        <row r="13041">
          <cell r="C13041">
            <v>3044761</v>
          </cell>
          <cell r="D13041" t="str">
            <v>JEL.CIEN.38/40 3-8 LUZ SOL.90M PĘCZ.ST</v>
          </cell>
        </row>
        <row r="13042">
          <cell r="C13042">
            <v>3045273</v>
          </cell>
          <cell r="D13042" t="str">
            <v>***JEL.CIEN.38/40 8+ LUZ SOL.90M PĘCZ.ST</v>
          </cell>
        </row>
        <row r="13043">
          <cell r="C13043">
            <v>3046599</v>
          </cell>
          <cell r="D13043" t="str">
            <v>JEL.CIEN.38/40 12+ PAS.SOL.180M SIA.ST</v>
          </cell>
        </row>
        <row r="13044">
          <cell r="C13044">
            <v>3043747</v>
          </cell>
          <cell r="D13044" t="str">
            <v>JEL.CIEN.40/42 8+ LUZ.SOL.90M PĘCZ.ST</v>
          </cell>
        </row>
        <row r="13045">
          <cell r="C13045">
            <v>3044758</v>
          </cell>
          <cell r="D13045" t="str">
            <v>JEL.CIEN.40/42 3-8 LUZ SOL.90M PĘCZ.ST</v>
          </cell>
        </row>
        <row r="13046">
          <cell r="C13046">
            <v>3045279</v>
          </cell>
          <cell r="D13046" t="str">
            <v>JEL.CIEN.40+ PAS.SOL.180M SIAT.ST</v>
          </cell>
        </row>
        <row r="13047">
          <cell r="C13047">
            <v>3043750</v>
          </cell>
          <cell r="D13047" t="str">
            <v>JEL.CIEN.40+ 8+ LUZ.SOL.90M PĘCZ.ST</v>
          </cell>
        </row>
        <row r="13048">
          <cell r="C13048">
            <v>3044759</v>
          </cell>
          <cell r="D13048" t="str">
            <v>JEL.CIEN.40+ 3-8 LUZ SOL.90M PĘCZ.ST</v>
          </cell>
        </row>
        <row r="13049">
          <cell r="C13049">
            <v>3043749</v>
          </cell>
          <cell r="D13049" t="str">
            <v>JEL.CIEN.28- PAS.SOL.180M SIA.ST</v>
          </cell>
        </row>
        <row r="13050">
          <cell r="C13050">
            <v>4031234</v>
          </cell>
          <cell r="D13050" t="str">
            <v>JEL.CIEN.36- SOL.15MVAC 20STKT</v>
          </cell>
        </row>
        <row r="13051">
          <cell r="C13051">
            <v>4031229</v>
          </cell>
          <cell r="D13051" t="str">
            <v>JEL.CIEN.36+ SOL.15MVAC 20STKT</v>
          </cell>
        </row>
        <row r="13052">
          <cell r="C13052">
            <v>3044762</v>
          </cell>
          <cell r="D13052" t="str">
            <v>***JEL.CIEN.26/28 LUZ SOL.90M PĘCZ.ST</v>
          </cell>
        </row>
        <row r="13053">
          <cell r="C13053">
            <v>3047273</v>
          </cell>
          <cell r="D13053" t="str">
            <v>JEL.CIEN.32/34 5-12 PAS.SOL.180M SIA.ST</v>
          </cell>
        </row>
        <row r="13054">
          <cell r="C13054">
            <v>3047274</v>
          </cell>
          <cell r="D13054" t="str">
            <v>JEL.CIEN.34/37 5-12 PAS.SOL.180M SIA.ST</v>
          </cell>
        </row>
        <row r="13055">
          <cell r="C13055">
            <v>3047275</v>
          </cell>
          <cell r="D13055" t="str">
            <v>JEL.CIEN.37/41 5-12 PAS.SOL.180M SIA.ST</v>
          </cell>
        </row>
        <row r="13056">
          <cell r="C13056">
            <v>3047276</v>
          </cell>
          <cell r="D13056" t="str">
            <v>JEL.CIEN.32/34 +12 PAS.SOL.360M SIA.ST</v>
          </cell>
        </row>
        <row r="13057">
          <cell r="C13057">
            <v>3047277</v>
          </cell>
          <cell r="D13057" t="str">
            <v>JEL.CIEN.34/37 +12 PAS.SOL.360M SIA.ST</v>
          </cell>
        </row>
        <row r="13058">
          <cell r="C13058">
            <v>3047278</v>
          </cell>
          <cell r="D13058" t="str">
            <v>JEL.CIEN.37/41 +12 PAS.SOL.360M SIA.ST</v>
          </cell>
        </row>
        <row r="13059">
          <cell r="C13059">
            <v>3043746</v>
          </cell>
          <cell r="D13059" t="str">
            <v>***JEL.CIEN.30/32 PAS.SOL.180M SIA.ST</v>
          </cell>
        </row>
        <row r="13060">
          <cell r="C13060">
            <v>2000797</v>
          </cell>
          <cell r="D13060" t="str">
            <v>JEL.BAR. 18/20 TUBA</v>
          </cell>
        </row>
        <row r="13061">
          <cell r="C13061">
            <v>2002809</v>
          </cell>
          <cell r="D13061" t="str">
            <v>OS.NAT.JEL.WP.30/32 10/+ 6/8-OD.PAS.ODW.</v>
          </cell>
        </row>
        <row r="13062">
          <cell r="C13062">
            <v>2003336</v>
          </cell>
          <cell r="D13062" t="str">
            <v>KAR.470X250X160 KOREA W BIAŁY</v>
          </cell>
        </row>
        <row r="13063">
          <cell r="C13063">
            <v>2101034</v>
          </cell>
          <cell r="D13063" t="str">
            <v>MARYNATA LAFINESS CLASSIK RED</v>
          </cell>
        </row>
        <row r="13064">
          <cell r="C13064">
            <v>2001803</v>
          </cell>
          <cell r="D13064" t="str">
            <v>JEL.WP 28-30 PASKI</v>
          </cell>
        </row>
        <row r="13065">
          <cell r="C13065">
            <v>2002208</v>
          </cell>
          <cell r="D13065" t="str">
            <v>OS.NAT.JEL.WP.30/32 10/+ 6/8-OD.PAS.</v>
          </cell>
        </row>
        <row r="13066">
          <cell r="C13066">
            <v>2003678</v>
          </cell>
          <cell r="D13066" t="str">
            <v>JEL.WP 30-32 PASKI RĘCZNE</v>
          </cell>
        </row>
        <row r="13067">
          <cell r="C13067">
            <v>2005547</v>
          </cell>
          <cell r="D13067" t="str">
            <v>OS.NAT.JEL.BAR.18/20 2/+ AB 14/18-OD.RUR</v>
          </cell>
        </row>
        <row r="13068">
          <cell r="C13068">
            <v>2006274</v>
          </cell>
          <cell r="D13068" t="str">
            <v>JEL.BAR.24/26 TUBA</v>
          </cell>
        </row>
        <row r="13069">
          <cell r="C13069">
            <v>2002054</v>
          </cell>
          <cell r="D13069" t="str">
            <v>OS.NAT.JEL.WP.28/30 14/+ 5-OD.PAS.</v>
          </cell>
        </row>
        <row r="13070">
          <cell r="C13070">
            <v>2009163</v>
          </cell>
          <cell r="D13070" t="str">
            <v>OS.NAT.JEL.WP.32/34 14/+ 5/6-OD.PAS.</v>
          </cell>
        </row>
        <row r="13071">
          <cell r="C13071">
            <v>2003391</v>
          </cell>
          <cell r="D13071" t="str">
            <v>OS.NAT.JEL.BAR.20/22 5/+ AA 10/12-OD.RUR</v>
          </cell>
        </row>
        <row r="13072">
          <cell r="C13072">
            <v>2011842</v>
          </cell>
          <cell r="D13072" t="str">
            <v>OS.NAT.JEL.BAR.16/18 TUBA</v>
          </cell>
        </row>
        <row r="13073">
          <cell r="C13073">
            <v>2011904</v>
          </cell>
          <cell r="D13073" t="str">
            <v>***OS.NAT.JEL.WP.34/36</v>
          </cell>
        </row>
        <row r="13074">
          <cell r="C13074">
            <v>2011319</v>
          </cell>
          <cell r="D13074" t="str">
            <v>OS.NAT.JEL.WP.28/30 14/+ 5/6-OD.PAS.</v>
          </cell>
        </row>
        <row r="13075">
          <cell r="C13075">
            <v>2002212</v>
          </cell>
          <cell r="D13075" t="str">
            <v>OS.NAT.JEL.BAR.22/24 AA 5/+ 10/12-OD.RUR</v>
          </cell>
        </row>
        <row r="13076">
          <cell r="C13076">
            <v>2014595</v>
          </cell>
          <cell r="D13076" t="str">
            <v>OS.FIB.FI50 NAT.</v>
          </cell>
        </row>
        <row r="13077">
          <cell r="C13077">
            <v>2014612</v>
          </cell>
          <cell r="D13077" t="str">
            <v>OS.POL.FI130 SZYN.BIAŁ.KRÓL.MOR</v>
          </cell>
        </row>
        <row r="13078">
          <cell r="C13078">
            <v>2015367</v>
          </cell>
          <cell r="D13078" t="str">
            <v>OS.PŁY.ŻEL.CZER.</v>
          </cell>
        </row>
        <row r="13079">
          <cell r="C13079">
            <v>2015602</v>
          </cell>
          <cell r="D13079" t="str">
            <v>OS.FIB.FI100 SZYN.MOR</v>
          </cell>
        </row>
        <row r="13080">
          <cell r="C13080">
            <v>2015586</v>
          </cell>
          <cell r="D13080" t="str">
            <v>OS.BIAŁ.FI80 KRAK.PARZ.MOR</v>
          </cell>
        </row>
        <row r="13081">
          <cell r="C13081">
            <v>2011144</v>
          </cell>
          <cell r="D13081" t="str">
            <v>OS.KOL.FI22 AFF</v>
          </cell>
        </row>
        <row r="13082">
          <cell r="C13082">
            <v>2016099</v>
          </cell>
          <cell r="D13082" t="str">
            <v>OS.NAT.JEL.WP.34/36 8/+ PAS.BRĄZ.</v>
          </cell>
        </row>
        <row r="13083">
          <cell r="C13083">
            <v>2018817</v>
          </cell>
          <cell r="D13083" t="str">
            <v>OS.NAT.JEL.BAR.18/20 2/+ AA 14/16-OD.RUR</v>
          </cell>
        </row>
        <row r="13084">
          <cell r="C13084">
            <v>2018152</v>
          </cell>
          <cell r="D13084" t="str">
            <v>CN OS.NAT.JEL.WP.40/44 6/10-OD.PAS.</v>
          </cell>
        </row>
        <row r="13085">
          <cell r="C13085">
            <v>2018154</v>
          </cell>
          <cell r="D13085" t="str">
            <v>CN OS.NAT.JEL.WP.40/42 2/16-OD.PAS.</v>
          </cell>
        </row>
        <row r="13086">
          <cell r="C13086">
            <v>2018153</v>
          </cell>
          <cell r="D13086" t="str">
            <v>CN OS.NAT.JEL.WP.40/44 2/16-OD.PAS.</v>
          </cell>
        </row>
        <row r="13087">
          <cell r="C13087">
            <v>2018230</v>
          </cell>
          <cell r="D13087" t="str">
            <v>CN OS.NAT.JEL.WP.40/42 5/12-OD.PAS.</v>
          </cell>
        </row>
        <row r="13088">
          <cell r="C13088">
            <v>2018465</v>
          </cell>
          <cell r="D13088" t="str">
            <v>CN OS.NAT.JEL.WP.40/44 8/8-OD.PAS.</v>
          </cell>
        </row>
        <row r="13089">
          <cell r="C13089">
            <v>2018586</v>
          </cell>
          <cell r="D13089" t="str">
            <v>CN OS.NAT.JEL.WP.34/38 8/8-OD.PAS.</v>
          </cell>
        </row>
        <row r="13090">
          <cell r="C13090">
            <v>2018593</v>
          </cell>
          <cell r="D13090" t="str">
            <v>CN OS.NAT.JEL.WP.36/40 8/8-OD.PAS.</v>
          </cell>
        </row>
        <row r="13091">
          <cell r="C13091">
            <v>2018594</v>
          </cell>
          <cell r="D13091" t="str">
            <v>CN OS.NAT.JEL.WP.38/43 8/8-OD.PAS.</v>
          </cell>
        </row>
        <row r="13092">
          <cell r="C13092">
            <v>2018595</v>
          </cell>
          <cell r="D13092" t="str">
            <v>CN OS.NAT.JEL.WP.40/45 8/8-OD.PAS.</v>
          </cell>
        </row>
        <row r="13093">
          <cell r="C13093">
            <v>2018596</v>
          </cell>
          <cell r="D13093" t="str">
            <v>CN OS.NAT.JEL.WP.42/47 8/8-OD.PAS.</v>
          </cell>
        </row>
        <row r="13094">
          <cell r="C13094">
            <v>2018602</v>
          </cell>
          <cell r="D13094" t="str">
            <v>CN OS.NAT.JEL.WP.47/+ 8/8-OD.PAS.</v>
          </cell>
        </row>
        <row r="13095">
          <cell r="C13095">
            <v>2018597</v>
          </cell>
          <cell r="D13095" t="str">
            <v>CN OS.NAT.JEL.WP.34/38 12/6-OD.PAS.</v>
          </cell>
        </row>
        <row r="13096">
          <cell r="C13096">
            <v>2018598</v>
          </cell>
          <cell r="D13096" t="str">
            <v>CN OS.NAT.JEL.WP.36/40 12/6-OD.PAS.</v>
          </cell>
        </row>
        <row r="13097">
          <cell r="C13097">
            <v>2018599</v>
          </cell>
          <cell r="D13097" t="str">
            <v>CN OS.NAT.JEL.WP.38/43 12/6-OD.PAS.</v>
          </cell>
        </row>
        <row r="13098">
          <cell r="C13098">
            <v>2019465</v>
          </cell>
          <cell r="D13098" t="str">
            <v>OS.NAT.JEL.WP.28/30 4/+ 6/10-OD.PAS.</v>
          </cell>
        </row>
        <row r="13099">
          <cell r="C13099">
            <v>2018600</v>
          </cell>
          <cell r="D13099" t="str">
            <v>CN OS.NAT.JEL.WP.40/45 12/6-OD.PAS.</v>
          </cell>
        </row>
        <row r="13100">
          <cell r="C13100">
            <v>2018601</v>
          </cell>
          <cell r="D13100" t="str">
            <v>CN OS.NAT.JEL.WP.42/47 12/6-OD.PAS.</v>
          </cell>
        </row>
        <row r="13101">
          <cell r="C13101">
            <v>2018313</v>
          </cell>
          <cell r="D13101" t="str">
            <v>OS.NAT.JEL.WP.30/32 14+ 4/6-OD.PAS.</v>
          </cell>
        </row>
        <row r="13102">
          <cell r="C13102">
            <v>2104223</v>
          </cell>
          <cell r="D13102" t="str">
            <v>SÓL SPOŻ.KAMIENNA 0.7-0.16 B/ANTYZBRYL.</v>
          </cell>
        </row>
        <row r="13103">
          <cell r="C13103">
            <v>2018432</v>
          </cell>
          <cell r="D13103" t="str">
            <v>OS.KOL.FI18 30FT</v>
          </cell>
        </row>
        <row r="13104">
          <cell r="C13104">
            <v>2019502</v>
          </cell>
          <cell r="D13104" t="str">
            <v>OS.NAT.JEL.WP.30/32 4/+ 6/10-OD.PAS.ODW.</v>
          </cell>
        </row>
        <row r="13105">
          <cell r="C13105">
            <v>2019504</v>
          </cell>
          <cell r="D13105" t="str">
            <v>OS.NAT.JEL.WP.32/34 4/+ 6/10-OD.PAS.</v>
          </cell>
        </row>
        <row r="13106">
          <cell r="C13106">
            <v>2019496</v>
          </cell>
          <cell r="D13106" t="str">
            <v>OS.NAT.JEL.WP.34/36 4/+ 6/10-OD.PAS.</v>
          </cell>
        </row>
        <row r="13107">
          <cell r="C13107">
            <v>2019503</v>
          </cell>
          <cell r="D13107" t="str">
            <v>OS.NAT.JEL.WP.36/38 4/+ 6/10-OD.PAS.</v>
          </cell>
        </row>
        <row r="13108">
          <cell r="C13108">
            <v>2019497</v>
          </cell>
          <cell r="D13108" t="str">
            <v>OS.NAT.JEL.WP.38/40 4/+ 6/10-OD.PAS.</v>
          </cell>
        </row>
        <row r="13109">
          <cell r="C13109">
            <v>2019498</v>
          </cell>
          <cell r="D13109" t="str">
            <v>OS.NAT.JEL.WP.40/42 4/+ 6/10-OD.PAS.</v>
          </cell>
        </row>
        <row r="13110">
          <cell r="C13110">
            <v>2019499</v>
          </cell>
          <cell r="D13110" t="str">
            <v>OS.NAT.JEL.WP.30/32 4/+ 6/10-OD.PAS.</v>
          </cell>
        </row>
        <row r="13111">
          <cell r="C13111">
            <v>2019500</v>
          </cell>
          <cell r="D13111" t="str">
            <v>OS.NAT.JEL.WP.42/+ .4/+ 6/10-OD.PAS.</v>
          </cell>
        </row>
        <row r="13112">
          <cell r="C13112">
            <v>2019501</v>
          </cell>
          <cell r="D13112" t="str">
            <v>OS.NAT.JEL.WP.28/- 4/+ 6/10-OD.PAS.</v>
          </cell>
        </row>
        <row r="13113">
          <cell r="C13113">
            <v>2019866</v>
          </cell>
          <cell r="D13113" t="str">
            <v>OS.NAT.JEL.WP.30/32 14/+ 5/6-OD.PAS.FES.</v>
          </cell>
        </row>
        <row r="13114">
          <cell r="C13114">
            <v>2019867</v>
          </cell>
          <cell r="D13114" t="str">
            <v>OS.NAT.JEL.WP.30/32 14+ 4/6-OD.PAS.FES.</v>
          </cell>
        </row>
        <row r="13115">
          <cell r="C13115">
            <v>2019673</v>
          </cell>
          <cell r="D13115" t="str">
            <v>OS.PŁY.ŻEL.ALG.ORANGE</v>
          </cell>
        </row>
        <row r="13116">
          <cell r="C13116">
            <v>2020132</v>
          </cell>
          <cell r="D13116" t="str">
            <v>OS.NAT.JEL.WP.30/32 8/+ PAS.BRĄZ.</v>
          </cell>
        </row>
        <row r="13117">
          <cell r="C13117">
            <v>2005123</v>
          </cell>
          <cell r="D13117" t="str">
            <v>OS.KOL.FI17 NAT.</v>
          </cell>
        </row>
        <row r="13118">
          <cell r="C13118">
            <v>2020618</v>
          </cell>
          <cell r="D13118" t="str">
            <v>OS.KOL.FI17 NATUR-LC</v>
          </cell>
        </row>
        <row r="13119">
          <cell r="C13119">
            <v>2020701</v>
          </cell>
          <cell r="D13119" t="str">
            <v>CN OS.NAT.JEL.WP.38/42 8/9-OD.PAS.88M</v>
          </cell>
        </row>
        <row r="13120">
          <cell r="C13120">
            <v>2020702</v>
          </cell>
          <cell r="D13120" t="str">
            <v>CN OS.NAT.JEL.WP.40/44 8/9-OD.PAS.88M</v>
          </cell>
        </row>
        <row r="13121">
          <cell r="C13121">
            <v>2020991</v>
          </cell>
          <cell r="D13121" t="str">
            <v>CN OS.NAT.JEL.WP.34/36 2/16-OD.PAS.90 EX</v>
          </cell>
        </row>
        <row r="13122">
          <cell r="C13122">
            <v>2020993</v>
          </cell>
          <cell r="D13122" t="str">
            <v>CN OS.NAT.JEL.WP.36/38 2/16-OD.PAS.90 EX</v>
          </cell>
        </row>
        <row r="13123">
          <cell r="C13123">
            <v>2020994</v>
          </cell>
          <cell r="D13123" t="str">
            <v>CN OS.NAT.JEL.WP.38/40 2/16-OD.PAS.90 EX</v>
          </cell>
        </row>
        <row r="13124">
          <cell r="C13124">
            <v>2020995</v>
          </cell>
          <cell r="D13124" t="str">
            <v>CN OS.NAT.JEL.WP.42/44 2/16-OD.PAS.90 EX</v>
          </cell>
        </row>
        <row r="13125">
          <cell r="C13125">
            <v>2020996</v>
          </cell>
          <cell r="D13125" t="str">
            <v>CN OS.NAT.JEL.WP.38/42 6/10-OD.PAS.90 EX</v>
          </cell>
        </row>
        <row r="13126">
          <cell r="C13126">
            <v>2021025</v>
          </cell>
          <cell r="D13126" t="str">
            <v>OS.NAT.JEL.WP.32/34 12/+ 5/6-OD.PAS.</v>
          </cell>
        </row>
        <row r="13127">
          <cell r="C13127">
            <v>2021026</v>
          </cell>
          <cell r="D13127" t="str">
            <v>OS.NAT.JEL.WP.38/40 12/+ 5/6-OD.PAS.</v>
          </cell>
        </row>
        <row r="13128">
          <cell r="C13128">
            <v>2021027</v>
          </cell>
          <cell r="D13128" t="str">
            <v>OS.NAT.JEL.WP.36/38 12/+ 5/6-OD.PAS.</v>
          </cell>
        </row>
        <row r="13129">
          <cell r="C13129">
            <v>2021330</v>
          </cell>
          <cell r="D13129" t="str">
            <v>CN OS.NAT.JEL.WP.40/42 2/16-OD.PAS.EX</v>
          </cell>
        </row>
        <row r="13130">
          <cell r="C13130">
            <v>2021347</v>
          </cell>
          <cell r="D13130" t="str">
            <v>OS.NAT.JEL.WP.36/- 1-4/ 10-OD.SOL.VAC</v>
          </cell>
        </row>
        <row r="13131">
          <cell r="C13131">
            <v>2021353</v>
          </cell>
          <cell r="D13131" t="str">
            <v>OS.NAT.JEL.WP.42/44 8/+ 5/6-OD.PAS.</v>
          </cell>
        </row>
        <row r="13132">
          <cell r="C13132">
            <v>2021352</v>
          </cell>
          <cell r="D13132" t="str">
            <v>OS.NAT.JEL.WP.42/44 4/+ 6/10-OD.PAS.</v>
          </cell>
        </row>
        <row r="13133">
          <cell r="C13133">
            <v>2021346</v>
          </cell>
          <cell r="D13133" t="str">
            <v>OS.NAT.JEL.WP.36/+ 1-4/ 10-OD.SOL.VAC</v>
          </cell>
        </row>
        <row r="13134">
          <cell r="C13134">
            <v>2021383</v>
          </cell>
          <cell r="D13134" t="str">
            <v>OS.NAT.JEL.WP.35/38 7/+ 4/12-OD.PAS.</v>
          </cell>
        </row>
        <row r="13135">
          <cell r="C13135">
            <v>2021387</v>
          </cell>
          <cell r="D13135" t="str">
            <v>OS.NAT.JEL.WP.35/38 12+ OD.PAS.</v>
          </cell>
        </row>
        <row r="13136">
          <cell r="C13136">
            <v>2021386</v>
          </cell>
          <cell r="D13136" t="str">
            <v>OS.NAT.JEL.WP.38/40 12+ OD.PAS.</v>
          </cell>
        </row>
        <row r="13137">
          <cell r="C13137">
            <v>2021385</v>
          </cell>
          <cell r="D13137" t="str">
            <v>OS.NAT.JEL.WP.40/43 12+ OD.PAS.</v>
          </cell>
        </row>
        <row r="13138">
          <cell r="C13138">
            <v>2021384</v>
          </cell>
          <cell r="D13138" t="str">
            <v>OS.NAT.JEL.WP.43+ 12+ OD.PAS.</v>
          </cell>
        </row>
        <row r="13139">
          <cell r="C13139">
            <v>2021382</v>
          </cell>
          <cell r="D13139" t="str">
            <v>OS.NAT.JEL.WP.38/40 7/+ 4/12-OD.PAS.</v>
          </cell>
        </row>
        <row r="13140">
          <cell r="C13140">
            <v>2021381</v>
          </cell>
          <cell r="D13140" t="str">
            <v>OS.NAT.JEL.WP.40/43 7/+ 4/12-OD.PAS.</v>
          </cell>
        </row>
        <row r="13141">
          <cell r="C13141">
            <v>2021388</v>
          </cell>
          <cell r="D13141" t="str">
            <v>OS.NAT.JEL.WP.43+ 7/+ 4/12-OD.PAS.</v>
          </cell>
        </row>
        <row r="13142">
          <cell r="C13142">
            <v>2021389</v>
          </cell>
          <cell r="D13142" t="str">
            <v>CN OS.NAT.JEL.WP.42/45 3/13-OD.PAS.</v>
          </cell>
        </row>
        <row r="13143">
          <cell r="C13143">
            <v>2021369</v>
          </cell>
          <cell r="D13143" t="str">
            <v>OS.NAT.JEL.WP.34/37 4/+ 5/12-OD.PAS.</v>
          </cell>
        </row>
        <row r="13144">
          <cell r="C13144">
            <v>2021440</v>
          </cell>
          <cell r="D13144" t="str">
            <v>OS.NAT.JEL.WP.37/41 4/+ 5/12-OD.PAS.</v>
          </cell>
        </row>
        <row r="13145">
          <cell r="C13145">
            <v>2021441</v>
          </cell>
          <cell r="D13145" t="str">
            <v>OS.NAT.JEL.WP.34/37 12/+ 5/6-OD.PAS.</v>
          </cell>
        </row>
        <row r="13146">
          <cell r="C13146">
            <v>2021442</v>
          </cell>
          <cell r="D13146" t="str">
            <v>OS.NAT.JEL.WP.37/41 12/+ 5/6-OD.PAS.</v>
          </cell>
        </row>
        <row r="13147">
          <cell r="C13147">
            <v>2021425</v>
          </cell>
          <cell r="D13147" t="str">
            <v>OS.NAT.JEL.WP.41/+ 4/+ 5/12-OD.PAS.</v>
          </cell>
        </row>
        <row r="13148">
          <cell r="C13148">
            <v>2021424</v>
          </cell>
          <cell r="D13148" t="str">
            <v>OS.NAT.JEL.WP.41/+ 12/+ 5/6-OD.PAS.</v>
          </cell>
        </row>
        <row r="13149">
          <cell r="C13149">
            <v>2021470</v>
          </cell>
          <cell r="D13149" t="str">
            <v>OS.NAT.JEL.WP.40/44 8/+ 5/6-OD.PAS.</v>
          </cell>
        </row>
        <row r="13150">
          <cell r="C13150">
            <v>2021471</v>
          </cell>
          <cell r="D13150" t="str">
            <v>OS.NAT.JEL.WP.40/44 3-8 6/12-OD.PAS.</v>
          </cell>
        </row>
        <row r="13151">
          <cell r="C13151">
            <v>2020873</v>
          </cell>
          <cell r="D13151" t="str">
            <v>OS.POL.FI105 BIA.MORT.MOR</v>
          </cell>
        </row>
        <row r="13152">
          <cell r="C13152">
            <v>2020366</v>
          </cell>
          <cell r="D13152" t="str">
            <v>JEL.CIEN.28/30 PAS.SOL.180M SIA.ST</v>
          </cell>
        </row>
        <row r="13153">
          <cell r="C13153">
            <v>2020367</v>
          </cell>
          <cell r="D13153" t="str">
            <v>JEL.CIEN.32/34 PAS.SOL.180M SIA.ST</v>
          </cell>
        </row>
        <row r="13154">
          <cell r="C13154">
            <v>2021022</v>
          </cell>
          <cell r="D13154" t="str">
            <v>JEL.CIEN.32/34 12+ PAS.SOL.180M SIA.ST</v>
          </cell>
        </row>
        <row r="13155">
          <cell r="C13155">
            <v>2020368</v>
          </cell>
          <cell r="D13155" t="str">
            <v>JEL.CIEN.36/38 PAS.SOL.180M SIA.ST</v>
          </cell>
        </row>
        <row r="13156">
          <cell r="C13156">
            <v>2021020</v>
          </cell>
          <cell r="D13156" t="str">
            <v>JEL.CIEN.36/38 12+ PAS.SOL.180M SIA.ST</v>
          </cell>
        </row>
        <row r="13157">
          <cell r="C13157">
            <v>2020369</v>
          </cell>
          <cell r="D13157" t="str">
            <v>JEL.CIEN.38/40 PAS.SOL.180M SIA.ST</v>
          </cell>
        </row>
        <row r="13158">
          <cell r="C13158">
            <v>2021021</v>
          </cell>
          <cell r="D13158" t="str">
            <v>JEL.CIEN.38/40 12+ PAS.SOL.180M SIA.ST</v>
          </cell>
        </row>
        <row r="13159">
          <cell r="C13159">
            <v>2020380</v>
          </cell>
          <cell r="D13159" t="str">
            <v>JEL.CIEN.40/42 8+ LUZ.SOL.90M PĘCZ.ST</v>
          </cell>
        </row>
        <row r="13160">
          <cell r="C13160">
            <v>2020339</v>
          </cell>
          <cell r="D13160" t="str">
            <v>JEL.CIEN.40/42 3-8 LUZ SOL.90M PĘCZ.ST</v>
          </cell>
        </row>
        <row r="13161">
          <cell r="C13161">
            <v>2020338</v>
          </cell>
          <cell r="D13161" t="str">
            <v>JEL.CIEN.40+ PAS.SOL.180M SIAT.ST</v>
          </cell>
        </row>
        <row r="13162">
          <cell r="C13162">
            <v>2020382</v>
          </cell>
          <cell r="D13162" t="str">
            <v>JEL.CIEN.40+ 8+ LUZ.SOL.90M PĘCZ.ST</v>
          </cell>
        </row>
        <row r="13163">
          <cell r="C13163">
            <v>2020381</v>
          </cell>
          <cell r="D13163" t="str">
            <v>JEL.CIEN.40+ 3-8 LUZ SOL.90M PĘCZ.ST</v>
          </cell>
        </row>
        <row r="13164">
          <cell r="C13164">
            <v>2020337</v>
          </cell>
          <cell r="D13164" t="str">
            <v>JEL.CIEN.28- PAS.SOL.180M SIA.ST</v>
          </cell>
        </row>
        <row r="13165">
          <cell r="C13165">
            <v>2021378</v>
          </cell>
          <cell r="D13165" t="str">
            <v>JEL.CIEN.32/34 5-12 PAS.SOL.180M SIA.ST</v>
          </cell>
        </row>
        <row r="13166">
          <cell r="C13166">
            <v>2021377</v>
          </cell>
          <cell r="D13166" t="str">
            <v>JEL.CIEN.34/37 5-12 PAS.SOL.180M SIA.ST</v>
          </cell>
        </row>
        <row r="13167">
          <cell r="C13167">
            <v>2021376</v>
          </cell>
          <cell r="D13167" t="str">
            <v>JEL.CIEN.37/41 5-12 PAS.SOL.180M SIA.ST</v>
          </cell>
        </row>
        <row r="13168">
          <cell r="C13168">
            <v>2021375</v>
          </cell>
          <cell r="D13168" t="str">
            <v>JEL.CIEN.32/34 +12 PAS.SOL.360M SIA.ST</v>
          </cell>
        </row>
        <row r="13169">
          <cell r="C13169">
            <v>2021374</v>
          </cell>
          <cell r="D13169" t="str">
            <v>JEL.CIEN.34/37 +12 PAS.SOL.360M SIA.ST</v>
          </cell>
        </row>
        <row r="13170">
          <cell r="C13170">
            <v>2021373</v>
          </cell>
          <cell r="D13170" t="str">
            <v>JEL.CIEN.37/41 +12 PAS.SOL.360M SIA.ST</v>
          </cell>
        </row>
        <row r="13171">
          <cell r="C13171">
            <v>2002810</v>
          </cell>
          <cell r="D13171" t="str">
            <v>OS.BIAŁ.FI80 KRAK.PARZ.CON</v>
          </cell>
        </row>
        <row r="13172">
          <cell r="C13172">
            <v>2003544</v>
          </cell>
          <cell r="D13172" t="str">
            <v>***OS.BIAŁ.FI 45 KARMEL MARSZCZONA</v>
          </cell>
        </row>
        <row r="13173">
          <cell r="C13173">
            <v>2003545</v>
          </cell>
          <cell r="D13173" t="str">
            <v>***OS.BIAŁ.FI85SPRL KAL CLEAR MARSZCZONA</v>
          </cell>
        </row>
        <row r="13174">
          <cell r="C13174">
            <v>2003410</v>
          </cell>
          <cell r="D13174" t="str">
            <v>***OS.BIAŁ.FI 80 CARMEL CONST KIEŁ.SCHAB</v>
          </cell>
        </row>
        <row r="13175">
          <cell r="C13175">
            <v>2002811</v>
          </cell>
          <cell r="D13175" t="str">
            <v>***OS.KOL.FI 19 CUTISIN DŁUGA</v>
          </cell>
        </row>
        <row r="13176">
          <cell r="C13176">
            <v>2002812</v>
          </cell>
          <cell r="D13176" t="str">
            <v>***OS.KOL.FI 22 CUTISIN</v>
          </cell>
        </row>
        <row r="13177">
          <cell r="C13177">
            <v>2002813</v>
          </cell>
          <cell r="D13177" t="str">
            <v>***OS.KOL.FI 22 EDICAS</v>
          </cell>
        </row>
        <row r="13178">
          <cell r="C13178">
            <v>2001078</v>
          </cell>
          <cell r="D13178" t="str">
            <v>FOL.CELULOZOWA 48</v>
          </cell>
        </row>
        <row r="13179">
          <cell r="C13179">
            <v>2000593</v>
          </cell>
          <cell r="D13179" t="str">
            <v>***FOL.KOLAGENOWA D-58</v>
          </cell>
        </row>
        <row r="13180">
          <cell r="C13180">
            <v>2003546</v>
          </cell>
          <cell r="D13180" t="str">
            <v>***FOL.KOLAG.R58X100 EDICOL MX BRWN</v>
          </cell>
        </row>
        <row r="13181">
          <cell r="C13181">
            <v>2002814</v>
          </cell>
          <cell r="D13181" t="str">
            <v>OS.POL.60/30 FLEX SMARSZCZ.</v>
          </cell>
        </row>
        <row r="13182">
          <cell r="C13182">
            <v>2002815</v>
          </cell>
          <cell r="D13182" t="str">
            <v>***OS.POL.FI 110 SZYN.KONSERWOWA</v>
          </cell>
        </row>
        <row r="13183">
          <cell r="C13183">
            <v>2002816</v>
          </cell>
          <cell r="D13183" t="str">
            <v>***OS.POL.FI40 PASZTETOWA KANAPKOWA MOR</v>
          </cell>
        </row>
        <row r="13184">
          <cell r="C13184">
            <v>2002817</v>
          </cell>
          <cell r="D13184" t="str">
            <v>OS.FIB.FI55 BUK</v>
          </cell>
        </row>
        <row r="13185">
          <cell r="C13185">
            <v>2002818</v>
          </cell>
          <cell r="D13185" t="str">
            <v>***OS.FIB.FI 60 MARSZCZONA</v>
          </cell>
        </row>
        <row r="13186">
          <cell r="C13186">
            <v>2002819</v>
          </cell>
          <cell r="D13186" t="str">
            <v>***OS.POL.FI 30 PASZT.KANAP.MARSZCZ.</v>
          </cell>
        </row>
        <row r="13187">
          <cell r="C13187">
            <v>2002820</v>
          </cell>
          <cell r="D13187" t="str">
            <v>OS.FIB.FI58 BRĄZ.JAS.</v>
          </cell>
        </row>
        <row r="13188">
          <cell r="C13188">
            <v>2002821</v>
          </cell>
          <cell r="D13188" t="str">
            <v>OS.POL.FI95 SUPER SMAK CON</v>
          </cell>
        </row>
        <row r="13189">
          <cell r="C13189">
            <v>2002822</v>
          </cell>
          <cell r="D13189" t="str">
            <v>OS.POL.FI95 ŻÓŁ.MORT.SUPER SMAK CON</v>
          </cell>
        </row>
        <row r="13190">
          <cell r="C13190">
            <v>2002823</v>
          </cell>
          <cell r="D13190" t="str">
            <v>OS.POL. FI73 KRATKA SALC.TRADYCYJNY</v>
          </cell>
        </row>
        <row r="13191">
          <cell r="C13191">
            <v>2002824</v>
          </cell>
          <cell r="D13191" t="str">
            <v>***OS.POL.FI80BARIER.CZRW.KRATKA MARSZCZ</v>
          </cell>
        </row>
        <row r="13192">
          <cell r="C13192">
            <v>2002825</v>
          </cell>
          <cell r="D13192" t="str">
            <v>***OS.POL.FI110 SZYNKA KONS MORLINYMARSZ</v>
          </cell>
        </row>
        <row r="13193">
          <cell r="C13193">
            <v>2002826</v>
          </cell>
          <cell r="D13193" t="str">
            <v>***OS.POL. FI100 KIEŁ.ZIELONOGÓRSKA CON</v>
          </cell>
        </row>
        <row r="13194">
          <cell r="C13194">
            <v>2002827</v>
          </cell>
          <cell r="D13194" t="str">
            <v>***OS.POL.FI 40 PASZT. KREM MARSZCZ</v>
          </cell>
        </row>
        <row r="13195">
          <cell r="C13195">
            <v>2002828</v>
          </cell>
          <cell r="D13195" t="str">
            <v>***OS.POLIAM.FI 45 BEZB. MARSZ</v>
          </cell>
        </row>
        <row r="13196">
          <cell r="C13196">
            <v>2003547</v>
          </cell>
          <cell r="D13196" t="str">
            <v>***OS.POLIAM.FI73MIELON.SNIADANI MARSZCZ</v>
          </cell>
        </row>
        <row r="13197">
          <cell r="C13197">
            <v>2002829</v>
          </cell>
          <cell r="D13197" t="str">
            <v>OS.POL.FI130 SZYN.BIAŁ.KRÓL.CON</v>
          </cell>
        </row>
        <row r="13198">
          <cell r="C13198">
            <v>2003548</v>
          </cell>
          <cell r="D13198" t="str">
            <v>***OS.POLIAMID FI 95 CZERWONA MARSZCZ</v>
          </cell>
        </row>
        <row r="13199">
          <cell r="C13199">
            <v>2003549</v>
          </cell>
          <cell r="D13199" t="str">
            <v>***OS.TEKSTYLNA SALCESON KRAKUS</v>
          </cell>
        </row>
        <row r="13200">
          <cell r="C13200">
            <v>2002830</v>
          </cell>
          <cell r="D13200" t="str">
            <v>***OS.POL.FI 110 SZYN. KONSER MARSZ CON</v>
          </cell>
        </row>
        <row r="13201">
          <cell r="C13201">
            <v>2002831</v>
          </cell>
          <cell r="D13201" t="str">
            <v>***OS.POLIAM.FI 60 ZŁOTA MARSZCZ PASZT.</v>
          </cell>
        </row>
        <row r="13202">
          <cell r="C13202">
            <v>2002832</v>
          </cell>
          <cell r="D13202" t="str">
            <v>***OS.POL.FI 95 MORLINY FAFORYT MARSZCZ</v>
          </cell>
        </row>
        <row r="13203">
          <cell r="C13203">
            <v>2002833</v>
          </cell>
          <cell r="D13203" t="str">
            <v>***OS.POLIAMID FI 95 MARSZCZ TYROLS</v>
          </cell>
        </row>
        <row r="13204">
          <cell r="C13204">
            <v>2002834</v>
          </cell>
          <cell r="D13204" t="str">
            <v>OS.PŁY.ROŚLINNA ŻELOWA</v>
          </cell>
        </row>
        <row r="13205">
          <cell r="C13205">
            <v>2002835</v>
          </cell>
          <cell r="D13205" t="str">
            <v>***OS.POLIAMID FI 110 MARSZCZ EXP</v>
          </cell>
        </row>
        <row r="13206">
          <cell r="C13206">
            <v>2003574</v>
          </cell>
          <cell r="D13206" t="str">
            <v>***OS.POL.FI 110 CZERWONA MARSZCZONA</v>
          </cell>
        </row>
        <row r="13207">
          <cell r="C13207">
            <v>2002836</v>
          </cell>
          <cell r="D13207" t="str">
            <v>OS.POL.FI 110 SZYN. KONSER MOR CZ-SŁ</v>
          </cell>
        </row>
        <row r="13208">
          <cell r="C13208">
            <v>2002837</v>
          </cell>
          <cell r="D13208" t="str">
            <v>OS.FIB.FI100</v>
          </cell>
        </row>
        <row r="13209">
          <cell r="C13209">
            <v>2002838</v>
          </cell>
          <cell r="D13209" t="str">
            <v>***OS.FIB.FI 55 FGO MARSZCZONA</v>
          </cell>
        </row>
        <row r="13210">
          <cell r="C13210">
            <v>2002839</v>
          </cell>
          <cell r="D13210" t="str">
            <v>OS.POL.FI 95 SALCESON MOR</v>
          </cell>
        </row>
        <row r="13211">
          <cell r="C13211">
            <v>2003550</v>
          </cell>
          <cell r="D13211" t="str">
            <v>***OS.POLI. FI 80 KASZANKA</v>
          </cell>
        </row>
        <row r="13212">
          <cell r="C13212">
            <v>2003411</v>
          </cell>
          <cell r="D13212" t="str">
            <v>OS.POLIAMID FI 110 SZYNKA KONSER.MORLINY</v>
          </cell>
        </row>
        <row r="13213">
          <cell r="C13213">
            <v>2003412</v>
          </cell>
          <cell r="D13213" t="str">
            <v>***OS.POLIAMID FI 95 SALCCESON WOJSKOWY</v>
          </cell>
        </row>
        <row r="13214">
          <cell r="C13214">
            <v>2003413</v>
          </cell>
          <cell r="D13214" t="str">
            <v>***OS.POLIAMID FI 80 SZYN.MORLINY 500G</v>
          </cell>
        </row>
        <row r="13215">
          <cell r="C13215">
            <v>2003414</v>
          </cell>
          <cell r="D13215" t="str">
            <v>***OS.FIBRUS FI 60 KRAKOWSKA  MARSZCZONA</v>
          </cell>
        </row>
        <row r="13216">
          <cell r="C13216">
            <v>2003415</v>
          </cell>
          <cell r="D13216" t="str">
            <v>***OS.FIBRUS FI45 MC98</v>
          </cell>
        </row>
        <row r="13217">
          <cell r="C13217">
            <v>2003416</v>
          </cell>
          <cell r="D13217" t="str">
            <v>***OS.FIBRUS FI 90 AMBER MASZCZONA</v>
          </cell>
        </row>
        <row r="13218">
          <cell r="C13218">
            <v>2003668</v>
          </cell>
          <cell r="D13218" t="str">
            <v>OS.POLIAM.FI 95 SALCESON CZARNY MORLINY</v>
          </cell>
        </row>
        <row r="13219">
          <cell r="C13219">
            <v>2003764</v>
          </cell>
          <cell r="D13219" t="str">
            <v>OS.COLFAN J FI 18/55 BEZBARW. FAM</v>
          </cell>
        </row>
        <row r="13220">
          <cell r="C13220">
            <v>2003778</v>
          </cell>
          <cell r="D13220" t="str">
            <v>***OSPOLIAM.FI10BIAŁY MAT PERŁA FI36/102</v>
          </cell>
        </row>
        <row r="13221">
          <cell r="C13221">
            <v>2004163</v>
          </cell>
          <cell r="D13221" t="str">
            <v>***OS.POL.PASZTETOWA MORLINY FI 36</v>
          </cell>
        </row>
        <row r="13222">
          <cell r="C13222">
            <v>2000962</v>
          </cell>
          <cell r="D13222" t="str">
            <v>***OS.CEL.FI23SMOKE Z/N CONSTAR PAR.ŚNIA</v>
          </cell>
        </row>
        <row r="13223">
          <cell r="C13223">
            <v>2004411</v>
          </cell>
          <cell r="D13223" t="str">
            <v>***OS.POL.FI 110 SZYNKA GOTOWANA</v>
          </cell>
        </row>
        <row r="13224">
          <cell r="C13224">
            <v>2000626</v>
          </cell>
          <cell r="D13224" t="str">
            <v>OS.FIB.FI 60 NALO BRĄZ</v>
          </cell>
        </row>
        <row r="13225">
          <cell r="C13225">
            <v>2004509</v>
          </cell>
          <cell r="D13225" t="str">
            <v>***OS.BIAŁ.FI 80 KRAK.PARZ. MARSZCZ. B/N</v>
          </cell>
        </row>
        <row r="13226">
          <cell r="C13226">
            <v>2005011</v>
          </cell>
          <cell r="D13226" t="str">
            <v>***OS.POL.FI100KIEŁZIELONOGÓRSKA MORLINY</v>
          </cell>
        </row>
        <row r="13227">
          <cell r="C13227">
            <v>2005084</v>
          </cell>
          <cell r="D13227" t="str">
            <v>***OS.POL.FI 90KRATKAMARSZCZ.STUDZIENINA</v>
          </cell>
        </row>
        <row r="13228">
          <cell r="C13228">
            <v>2005503</v>
          </cell>
          <cell r="D13228" t="str">
            <v>***OS.KOL.NDX FI18/50 BEZBARWNA Z KNOTEM</v>
          </cell>
        </row>
        <row r="13229">
          <cell r="C13229">
            <v>2006012</v>
          </cell>
          <cell r="D13229" t="str">
            <v>***SIATKA 12/24/3ER-4 BIAŁA</v>
          </cell>
        </row>
        <row r="13230">
          <cell r="C13230">
            <v>2004130</v>
          </cell>
          <cell r="D13230" t="str">
            <v>OS.CEL.FI 23 EP ORANGE</v>
          </cell>
        </row>
        <row r="13231">
          <cell r="C13231">
            <v>2006069</v>
          </cell>
          <cell r="D13231" t="str">
            <v>SIATKA20/3/EB SOFTx2 BIAŁA</v>
          </cell>
        </row>
        <row r="13232">
          <cell r="C13232">
            <v>2001690</v>
          </cell>
          <cell r="D13232" t="str">
            <v>SZNUREK BC-800 BIAŁY</v>
          </cell>
        </row>
        <row r="13233">
          <cell r="C13233">
            <v>2006435</v>
          </cell>
          <cell r="D13233" t="str">
            <v>SIATKA 26/3/EB SOFT BIAŁY</v>
          </cell>
        </row>
        <row r="13234">
          <cell r="C13234">
            <v>2006433</v>
          </cell>
          <cell r="D13234" t="str">
            <v>SZNUREK POLIPROPYLENOWY 3000 TEX BIA.</v>
          </cell>
        </row>
        <row r="13235">
          <cell r="C13235">
            <v>2004110</v>
          </cell>
          <cell r="D13235" t="str">
            <v>OS.CEL.FI 25 EP ORANGE</v>
          </cell>
        </row>
        <row r="13236">
          <cell r="C13236">
            <v>2006550</v>
          </cell>
          <cell r="D13236" t="str">
            <v>***OS.POLIAMID FI 110 SZYNKA KONS.YANO</v>
          </cell>
        </row>
        <row r="13237">
          <cell r="C13237">
            <v>2006936</v>
          </cell>
          <cell r="D13237" t="str">
            <v>OS.POL.FI 125 KRATKA CZERWONA</v>
          </cell>
        </row>
        <row r="13238">
          <cell r="C13238">
            <v>2007315</v>
          </cell>
          <cell r="D13238" t="str">
            <v>***OS.CEL.FI20/84FTREDORANGE Z/N CONSTAR</v>
          </cell>
        </row>
        <row r="13239">
          <cell r="C13239">
            <v>2007467</v>
          </cell>
          <cell r="D13239" t="str">
            <v>***OSŁONKA ROŚLINNA ŻELOWA CZERWONA</v>
          </cell>
        </row>
        <row r="13240">
          <cell r="C13240">
            <v>2007870</v>
          </cell>
          <cell r="D13240" t="str">
            <v>OS.NAT.JEL.WP.30/32 14/+ 5/6-OD.PAS.</v>
          </cell>
        </row>
        <row r="13241">
          <cell r="C13241">
            <v>2005045</v>
          </cell>
          <cell r="D13241" t="str">
            <v>OS.POL.FI 80 MULIBAR CZERWONA KRATKA</v>
          </cell>
        </row>
        <row r="13242">
          <cell r="C13242">
            <v>2008028</v>
          </cell>
          <cell r="D13242" t="str">
            <v>SIATKA 24/5/CB SOFT X2 BIAŁY</v>
          </cell>
        </row>
        <row r="13243">
          <cell r="C13243">
            <v>2008384</v>
          </cell>
          <cell r="D13243" t="str">
            <v>OS.POL.FI90 CZER.Z/KRAT.</v>
          </cell>
        </row>
        <row r="13244">
          <cell r="C13244">
            <v>2008606</v>
          </cell>
          <cell r="D13244" t="str">
            <v>SIATKA STRING 18/10/9 G3 JUTA</v>
          </cell>
        </row>
        <row r="13245">
          <cell r="C13245">
            <v>2008604</v>
          </cell>
          <cell r="D13245" t="str">
            <v>SIATKA STRING 22/10/3 1-G SOFT JUTA</v>
          </cell>
        </row>
        <row r="13246">
          <cell r="C13246">
            <v>2008997</v>
          </cell>
          <cell r="D13246" t="str">
            <v>***OS.FIB.FI 053 MARSZCZONA KOLOR 36</v>
          </cell>
        </row>
        <row r="13247">
          <cell r="C13247">
            <v>2009044</v>
          </cell>
          <cell r="D13247" t="str">
            <v>***OS.FIB.FL 053 MARSZCZONA KOLOR 36</v>
          </cell>
        </row>
        <row r="13248">
          <cell r="C13248">
            <v>2009294</v>
          </cell>
          <cell r="D13248" t="str">
            <v>***OS.CEL.FI 32 FT DARK SMOKE Z PASKAMI</v>
          </cell>
        </row>
        <row r="13249">
          <cell r="C13249">
            <v>2009333</v>
          </cell>
          <cell r="D13249" t="str">
            <v>OS.EUROGEL XEA 4750</v>
          </cell>
        </row>
        <row r="13250">
          <cell r="C13250">
            <v>2002735</v>
          </cell>
          <cell r="D13250" t="str">
            <v>SIATKA 200X36 EXTRA ŁATWOZDEJMOWALNA</v>
          </cell>
        </row>
        <row r="13251">
          <cell r="C13251">
            <v>2010410</v>
          </cell>
          <cell r="D13251" t="str">
            <v>OS.PŁY.ŻEL.ALG.PROM.</v>
          </cell>
        </row>
        <row r="13252">
          <cell r="C13252">
            <v>2010236</v>
          </cell>
          <cell r="D13252" t="str">
            <v>SIATKA 30/3/EB BIAŁY</v>
          </cell>
        </row>
        <row r="13253">
          <cell r="C13253">
            <v>2010593</v>
          </cell>
          <cell r="D13253" t="str">
            <v>OS.KOL.FI22 FINE</v>
          </cell>
        </row>
        <row r="13254">
          <cell r="C13254">
            <v>2009359</v>
          </cell>
          <cell r="D13254" t="str">
            <v>OS.KOL.FI18</v>
          </cell>
        </row>
        <row r="13255">
          <cell r="C13255">
            <v>2010956</v>
          </cell>
          <cell r="D13255" t="str">
            <v>OS.KOL.EDICAS FI 19 NC OE</v>
          </cell>
        </row>
        <row r="13256">
          <cell r="C13256">
            <v>2005448</v>
          </cell>
          <cell r="D13256" t="str">
            <v>OS.KOL.FI 22 RONDO</v>
          </cell>
        </row>
        <row r="13257">
          <cell r="C13257">
            <v>2011894</v>
          </cell>
          <cell r="D13257" t="str">
            <v>OS.PRO.ALG.</v>
          </cell>
        </row>
        <row r="13258">
          <cell r="C13258">
            <v>2012033</v>
          </cell>
          <cell r="D13258" t="str">
            <v>***OS.KOL.FI 20 FINE C CLR</v>
          </cell>
        </row>
        <row r="13259">
          <cell r="C13259">
            <v>2000638</v>
          </cell>
          <cell r="D13259" t="str">
            <v>OS.KOL.FI 23</v>
          </cell>
        </row>
        <row r="13260">
          <cell r="C13260">
            <v>2012753</v>
          </cell>
          <cell r="D13260" t="str">
            <v>OS.KOL.FI22</v>
          </cell>
        </row>
        <row r="13261">
          <cell r="C13261">
            <v>2013860</v>
          </cell>
          <cell r="D13261" t="str">
            <v>OS.PŁY.ŻEL.POM.</v>
          </cell>
        </row>
        <row r="13262">
          <cell r="C13262">
            <v>2002840</v>
          </cell>
          <cell r="D13262" t="str">
            <v>***FOL.OPALEN 75/555</v>
          </cell>
        </row>
        <row r="13263">
          <cell r="C13263">
            <v>2002841</v>
          </cell>
          <cell r="D13263" t="str">
            <v>***FOL.FLEX F 170X422</v>
          </cell>
        </row>
        <row r="13264">
          <cell r="C13264">
            <v>2002842</v>
          </cell>
          <cell r="D13264" t="str">
            <v>***FOL.PA/PE 200X565</v>
          </cell>
        </row>
        <row r="13265">
          <cell r="C13265">
            <v>2002843</v>
          </cell>
          <cell r="D13265" t="str">
            <v>***FOL.OPALEN 75X406</v>
          </cell>
        </row>
        <row r="13266">
          <cell r="C13266">
            <v>2002844</v>
          </cell>
          <cell r="D13266" t="str">
            <v>***FOL.FLEX F 170X565</v>
          </cell>
        </row>
        <row r="13267">
          <cell r="C13267">
            <v>2001075</v>
          </cell>
          <cell r="D13267" t="str">
            <v>FOL.FLEX F 200X422</v>
          </cell>
        </row>
        <row r="13268">
          <cell r="C13268">
            <v>2001076</v>
          </cell>
          <cell r="D13268" t="str">
            <v>FOL.PA/PE 75X415</v>
          </cell>
        </row>
        <row r="13269">
          <cell r="C13269">
            <v>2002845</v>
          </cell>
          <cell r="D13269" t="str">
            <v>***FOL.550/0,06 PÓŁREKAW</v>
          </cell>
        </row>
        <row r="13270">
          <cell r="C13270">
            <v>2002846</v>
          </cell>
          <cell r="D13270" t="str">
            <v>***FOL.MET.OPET/PE 72X422 ZŁOTY</v>
          </cell>
        </row>
        <row r="13271">
          <cell r="C13271">
            <v>2002783</v>
          </cell>
          <cell r="D13271" t="str">
            <v>FOL.PP/PA/PE 170X322 FLEX F</v>
          </cell>
        </row>
        <row r="13272">
          <cell r="C13272">
            <v>2002847</v>
          </cell>
          <cell r="D13272" t="str">
            <v>***FOL.OPET/PE 125X420 GRILL</v>
          </cell>
        </row>
        <row r="13273">
          <cell r="C13273">
            <v>2002848</v>
          </cell>
          <cell r="D13273" t="str">
            <v>***FOL.FLEX F 200X322</v>
          </cell>
        </row>
        <row r="13274">
          <cell r="C13274">
            <v>2001092</v>
          </cell>
          <cell r="D13274" t="str">
            <v>FOL.OPET 64X270 EOM</v>
          </cell>
        </row>
        <row r="13275">
          <cell r="C13275">
            <v>2003660</v>
          </cell>
          <cell r="D13275" t="str">
            <v>***FOL.LINTOP PP AC 270</v>
          </cell>
        </row>
        <row r="13276">
          <cell r="C13276">
            <v>2002849</v>
          </cell>
          <cell r="D13276" t="str">
            <v>***FOL.LINTOP PP DAN 230</v>
          </cell>
        </row>
        <row r="13277">
          <cell r="C13277">
            <v>2002850</v>
          </cell>
          <cell r="D13277" t="str">
            <v>***FOL.LINTOP PE/HB F30X580</v>
          </cell>
        </row>
        <row r="13278">
          <cell r="C13278">
            <v>2002851</v>
          </cell>
          <cell r="D13278" t="str">
            <v>***FOL.PET/EVOH/PE 80X425</v>
          </cell>
        </row>
        <row r="13279">
          <cell r="C13279">
            <v>2002852</v>
          </cell>
          <cell r="D13279" t="str">
            <v>***FOL.PA/EVOH/PE 180X444</v>
          </cell>
        </row>
        <row r="13280">
          <cell r="C13280">
            <v>2002853</v>
          </cell>
          <cell r="D13280" t="str">
            <v>***FOL.PE/HB 227X178S KRAINA MIĘSA</v>
          </cell>
        </row>
        <row r="13281">
          <cell r="C13281">
            <v>2001433</v>
          </cell>
          <cell r="D13281" t="str">
            <v>FOL.FS 50X525 NR3</v>
          </cell>
        </row>
        <row r="13282">
          <cell r="C13282">
            <v>2001524</v>
          </cell>
          <cell r="D13282" t="str">
            <v>FOL.FS 90X520 GR50</v>
          </cell>
        </row>
        <row r="13283">
          <cell r="C13283">
            <v>2003551</v>
          </cell>
          <cell r="D13283" t="str">
            <v>FOL.FS 90X520 GR70</v>
          </cell>
        </row>
        <row r="13284">
          <cell r="C13284">
            <v>2002854</v>
          </cell>
          <cell r="D13284" t="str">
            <v>FOL.PE ARK.22X600X600 PROD.OF POL.</v>
          </cell>
        </row>
        <row r="13285">
          <cell r="C13285">
            <v>2002855</v>
          </cell>
          <cell r="D13285" t="str">
            <v>FOL.OPET 64X406 EOM</v>
          </cell>
        </row>
        <row r="13286">
          <cell r="C13286">
            <v>2002856</v>
          </cell>
          <cell r="D13286" t="str">
            <v>***FOL.PE ARK.22X900X900 PROD.OF POL.</v>
          </cell>
        </row>
        <row r="13287">
          <cell r="C13287">
            <v>2002857</v>
          </cell>
          <cell r="D13287" t="str">
            <v>***FOL.HAMFORM 240X432</v>
          </cell>
        </row>
        <row r="13288">
          <cell r="C13288">
            <v>2002858</v>
          </cell>
          <cell r="D13288" t="str">
            <v>***FOL.HAMTOP 120X420</v>
          </cell>
        </row>
        <row r="13289">
          <cell r="C13289">
            <v>2002859</v>
          </cell>
          <cell r="D13289" t="str">
            <v>FOL.PAO/PEM 60X350 RND</v>
          </cell>
        </row>
        <row r="13290">
          <cell r="C13290">
            <v>2002860</v>
          </cell>
          <cell r="D13290" t="str">
            <v>FOL.PA/EVOH/PE 180X462</v>
          </cell>
        </row>
        <row r="13291">
          <cell r="C13291">
            <v>2002861</v>
          </cell>
          <cell r="D13291" t="str">
            <v>***FOL.PE/HB 230 187X137M KRAINA MIĘSA</v>
          </cell>
        </row>
        <row r="13292">
          <cell r="C13292">
            <v>2000535</v>
          </cell>
          <cell r="D13292" t="str">
            <v>FOL.PA/PE 80X420</v>
          </cell>
        </row>
        <row r="13293">
          <cell r="C13293">
            <v>2002862</v>
          </cell>
          <cell r="D13293" t="str">
            <v>***FOL.45/406 KASZANKA NASZE SMAKI</v>
          </cell>
        </row>
        <row r="13294">
          <cell r="C13294">
            <v>2001510</v>
          </cell>
          <cell r="D13294" t="str">
            <v>FOL.PA/PE 120/463</v>
          </cell>
        </row>
        <row r="13295">
          <cell r="C13295">
            <v>2002863</v>
          </cell>
          <cell r="D13295" t="str">
            <v>***FOL.STAR SL 580 KRAINA MIĘSA</v>
          </cell>
        </row>
        <row r="13296">
          <cell r="C13296">
            <v>2002864</v>
          </cell>
          <cell r="D13296" t="str">
            <v>***FOL.PET/EVEP PEEL 60X555 KRAK KAB</v>
          </cell>
        </row>
        <row r="13297">
          <cell r="C13297">
            <v>2002865</v>
          </cell>
          <cell r="D13297" t="str">
            <v>***FOL.PE/HB 230 187X137S KRAINA MIĘSA</v>
          </cell>
        </row>
        <row r="13298">
          <cell r="C13298">
            <v>2002866</v>
          </cell>
          <cell r="D13298" t="str">
            <v>***FOL.PE/HB 260 205X160S KRAINA MIĘSA</v>
          </cell>
        </row>
        <row r="13299">
          <cell r="C13299">
            <v>2002867</v>
          </cell>
          <cell r="D13299" t="str">
            <v>***FOL.KAUFLAND 227X178 S</v>
          </cell>
        </row>
        <row r="13300">
          <cell r="C13300">
            <v>2002868</v>
          </cell>
          <cell r="D13300" t="str">
            <v>***FOL.PA/PE 200/433</v>
          </cell>
        </row>
        <row r="13301">
          <cell r="C13301">
            <v>2002869</v>
          </cell>
          <cell r="D13301" t="str">
            <v>***FOL.FLEX F 170X356</v>
          </cell>
        </row>
        <row r="13302">
          <cell r="C13302">
            <v>2002870</v>
          </cell>
          <cell r="D13302" t="str">
            <v>***FOL.HBPE 270 205X160S KAUFLAND</v>
          </cell>
        </row>
        <row r="13303">
          <cell r="C13303">
            <v>2002168</v>
          </cell>
          <cell r="D13303" t="str">
            <v>***FOL.OPET 64X240 EOM</v>
          </cell>
        </row>
        <row r="13304">
          <cell r="C13304">
            <v>2002871</v>
          </cell>
          <cell r="D13304" t="str">
            <v>***FOL.PET/EVE 60X355 KRAKUS</v>
          </cell>
        </row>
        <row r="13305">
          <cell r="C13305">
            <v>2002872</v>
          </cell>
          <cell r="D13305" t="str">
            <v>FOL.PET/EVEP 60X355 RND</v>
          </cell>
        </row>
        <row r="13306">
          <cell r="C13306">
            <v>2002873</v>
          </cell>
          <cell r="D13306" t="str">
            <v>FOL.PE/EVE 80X445</v>
          </cell>
        </row>
        <row r="13307">
          <cell r="C13307">
            <v>2002874</v>
          </cell>
          <cell r="D13307" t="str">
            <v>***FOL.BIAXER PP/AF 55X230 LIDL</v>
          </cell>
        </row>
        <row r="13308">
          <cell r="C13308">
            <v>2002875</v>
          </cell>
          <cell r="D13308" t="str">
            <v>***FOL.BIAXER PPAF 55/270 LIDL</v>
          </cell>
        </row>
        <row r="13309">
          <cell r="C13309">
            <v>2002876</v>
          </cell>
          <cell r="D13309" t="str">
            <v>***FOL.KAUFLAND 187X137 M</v>
          </cell>
        </row>
        <row r="13310">
          <cell r="C13310">
            <v>2002877</v>
          </cell>
          <cell r="D13310" t="str">
            <v>***FOL.BIAXER PPAF 55/245 NIEBIESKA LIDL</v>
          </cell>
        </row>
        <row r="13311">
          <cell r="C13311">
            <v>2002878</v>
          </cell>
          <cell r="D13311" t="str">
            <v>***FOL.5PAO/PE 60/415 MORLINY RAD</v>
          </cell>
        </row>
        <row r="13312">
          <cell r="C13312">
            <v>2002879</v>
          </cell>
          <cell r="D13312" t="str">
            <v>***FOL.BOPA/PE 55X415 CONSTAR</v>
          </cell>
        </row>
        <row r="13313">
          <cell r="C13313">
            <v>2002880</v>
          </cell>
          <cell r="D13313" t="str">
            <v>***FOL.GRILL KARKÓWKA 187X178 S</v>
          </cell>
        </row>
        <row r="13314">
          <cell r="C13314">
            <v>2002881</v>
          </cell>
          <cell r="D13314" t="str">
            <v>***FOL.PET/EVEP 60X415 MORLINY RND</v>
          </cell>
        </row>
        <row r="13315">
          <cell r="C13315">
            <v>2001514</v>
          </cell>
          <cell r="D13315" t="str">
            <v>FOL.PA/PE 200MYX358</v>
          </cell>
        </row>
        <row r="13316">
          <cell r="C13316">
            <v>2002882</v>
          </cell>
          <cell r="D13316" t="str">
            <v>***FOL.OPET/PE 125X340 GRILL</v>
          </cell>
        </row>
        <row r="13317">
          <cell r="C13317">
            <v>2002883</v>
          </cell>
          <cell r="D13317" t="str">
            <v>***FOL.BIAXER 55/230 SD BLUA MUL</v>
          </cell>
        </row>
        <row r="13318">
          <cell r="C13318">
            <v>2002884</v>
          </cell>
          <cell r="D13318" t="str">
            <v>***FOL.12/45/415 LAMFILM  KASZANKA JMD</v>
          </cell>
        </row>
        <row r="13319">
          <cell r="C13319">
            <v>2002885</v>
          </cell>
          <cell r="D13319" t="str">
            <v>***ARKUSZ FOLIOWY PE5000X10000 NIEBIESKI</v>
          </cell>
        </row>
        <row r="13320">
          <cell r="C13320">
            <v>2003763</v>
          </cell>
          <cell r="D13320" t="str">
            <v>ARKUSZ FOL.130X110/0.06</v>
          </cell>
        </row>
        <row r="13321">
          <cell r="C13321">
            <v>2002886</v>
          </cell>
          <cell r="D13321" t="str">
            <v>***FOL.PE HB 50 230 KULKI 206X160S</v>
          </cell>
        </row>
        <row r="13322">
          <cell r="C13322">
            <v>2003606</v>
          </cell>
          <cell r="D13322" t="str">
            <v>***FOL.PE HB50 230HAMBURGERY 217X178 RND</v>
          </cell>
        </row>
        <row r="13323">
          <cell r="C13323">
            <v>2001915</v>
          </cell>
          <cell r="D13323" t="str">
            <v>***FOL.240 PERFOROWANA</v>
          </cell>
        </row>
        <row r="13324">
          <cell r="C13324">
            <v>2003607</v>
          </cell>
          <cell r="D13324" t="str">
            <v>***FOL.OPET/PE 72/340</v>
          </cell>
        </row>
        <row r="13325">
          <cell r="C13325">
            <v>2002887</v>
          </cell>
          <cell r="D13325" t="str">
            <v>***FOL.KOLAGENOWA D-95</v>
          </cell>
        </row>
        <row r="13326">
          <cell r="C13326">
            <v>2000588</v>
          </cell>
          <cell r="D13326" t="str">
            <v>***FOL.BIAXER 55/250 LIDL CZERWONY</v>
          </cell>
        </row>
        <row r="13327">
          <cell r="C13327">
            <v>2002888</v>
          </cell>
          <cell r="D13327" t="str">
            <v>***FOL.PPHB 227/178  GRILL SZASZŁYK</v>
          </cell>
        </row>
        <row r="13328">
          <cell r="C13328">
            <v>2002889</v>
          </cell>
          <cell r="D13328" t="str">
            <v>***FOL.FRANKFURTERKI GRILLOWE MORLINY</v>
          </cell>
        </row>
        <row r="13329">
          <cell r="C13329">
            <v>2002890</v>
          </cell>
          <cell r="D13329" t="str">
            <v>***FOL.PP HB 270 GRILL PARTY 227X178S</v>
          </cell>
        </row>
        <row r="13330">
          <cell r="C13330">
            <v>2002891</v>
          </cell>
          <cell r="D13330" t="str">
            <v>***FOL.BIAXER55/245ŚW POR BLAU CZ/SŁ LID</v>
          </cell>
        </row>
        <row r="13331">
          <cell r="C13331">
            <v>2002892</v>
          </cell>
          <cell r="D13331" t="str">
            <v>***FOL.BIAXER55/270W POR BLAU CZ/SŁLIDL</v>
          </cell>
        </row>
        <row r="13332">
          <cell r="C13332">
            <v>2002893</v>
          </cell>
          <cell r="D13332" t="str">
            <v>***FOL.PAO/PE 60X415 KIEŁBASA Z SZYNKI</v>
          </cell>
        </row>
        <row r="13333">
          <cell r="C13333">
            <v>2002894</v>
          </cell>
          <cell r="D13333" t="str">
            <v>***FOL.BIAXER PPAF 55X245 MM WOŁ. LIDL</v>
          </cell>
        </row>
        <row r="13334">
          <cell r="C13334">
            <v>2002895</v>
          </cell>
          <cell r="D13334" t="str">
            <v>***FOL.PE/HB 50/266 WIEPRZOWINA 205X160</v>
          </cell>
        </row>
        <row r="13335">
          <cell r="C13335">
            <v>2002896</v>
          </cell>
          <cell r="D13335" t="str">
            <v>***FOL.PE/HB 50/270 WIEPRZOWINA 227X178</v>
          </cell>
        </row>
        <row r="13336">
          <cell r="C13336">
            <v>2002897</v>
          </cell>
          <cell r="D13336" t="str">
            <v>***FOL.OPALEN 65X300</v>
          </cell>
        </row>
        <row r="13337">
          <cell r="C13337">
            <v>2002898</v>
          </cell>
          <cell r="D13337" t="str">
            <v>***FOL.60/415 KASZANKA ULMA</v>
          </cell>
        </row>
        <row r="13338">
          <cell r="C13338">
            <v>2002899</v>
          </cell>
          <cell r="D13338" t="str">
            <v>***FOL.BOPA/PE 15/50/400 CONSTAR</v>
          </cell>
        </row>
        <row r="13339">
          <cell r="C13339">
            <v>2003552</v>
          </cell>
          <cell r="D13339" t="str">
            <v>***FOL.GA 150X423 MULTIFOL</v>
          </cell>
        </row>
        <row r="13340">
          <cell r="C13340">
            <v>2002900</v>
          </cell>
          <cell r="D13340" t="str">
            <v>***FOL.MULTIFOL GA 170/423</v>
          </cell>
        </row>
        <row r="13341">
          <cell r="C13341">
            <v>2002901</v>
          </cell>
          <cell r="D13341" t="str">
            <v>***FOL.OPA/PE 15/50 PEEL KRAKUS/415</v>
          </cell>
        </row>
        <row r="13342">
          <cell r="C13342">
            <v>2002902</v>
          </cell>
          <cell r="D13342" t="str">
            <v>***FOL.OPA/PE15/50 PEEL LDL.PIKOK PR/415</v>
          </cell>
        </row>
        <row r="13343">
          <cell r="C13343">
            <v>2003417</v>
          </cell>
          <cell r="D13343" t="str">
            <v>***FOL.OPA/PE 15/50-355</v>
          </cell>
        </row>
        <row r="13344">
          <cell r="C13344">
            <v>2003418</v>
          </cell>
          <cell r="D13344" t="str">
            <v>***FOL.APET/PE 250X422</v>
          </cell>
        </row>
        <row r="13345">
          <cell r="C13345">
            <v>2003419</v>
          </cell>
          <cell r="D13345" t="str">
            <v>***FOL.205X160 LIDL BLUE CZECHY-245</v>
          </cell>
        </row>
        <row r="13346">
          <cell r="C13346">
            <v>2003420</v>
          </cell>
          <cell r="D13346" t="str">
            <v>***FOL.205X160 LIDL BLUE SŁOWACJA-245</v>
          </cell>
        </row>
        <row r="13347">
          <cell r="C13347">
            <v>2003421</v>
          </cell>
          <cell r="D13347" t="str">
            <v>***FOL.227X178 LIDL BLUE CZECHY-270</v>
          </cell>
        </row>
        <row r="13348">
          <cell r="C13348">
            <v>2003422</v>
          </cell>
          <cell r="D13348" t="str">
            <v>***FOL.227X178 LIDL BLUE SŁOWACJA-270</v>
          </cell>
        </row>
        <row r="13349">
          <cell r="C13349">
            <v>2003423</v>
          </cell>
          <cell r="D13349" t="str">
            <v>***FOL.PET/EVOH/PE 62X240 KABANOS KRAKUS</v>
          </cell>
        </row>
        <row r="13350">
          <cell r="C13350">
            <v>2003424</v>
          </cell>
          <cell r="D13350" t="str">
            <v>***FOL.LINTOP PE/HB 50AX270</v>
          </cell>
        </row>
        <row r="13351">
          <cell r="C13351">
            <v>2003510</v>
          </cell>
          <cell r="D13351" t="str">
            <v>***FOL.12/45/415 LAMFILM MAZURY</v>
          </cell>
        </row>
        <row r="13352">
          <cell r="C13352">
            <v>2003558</v>
          </cell>
          <cell r="D13352" t="str">
            <v>***FOL.OPA/PE 65X420 LIDL RUMUNIA</v>
          </cell>
        </row>
        <row r="13353">
          <cell r="C13353">
            <v>2003731</v>
          </cell>
          <cell r="D13353" t="str">
            <v>***FOL.5PAO/PE 60/415 KASZANKA MOR RND</v>
          </cell>
        </row>
        <row r="13354">
          <cell r="C13354">
            <v>2003752</v>
          </cell>
          <cell r="D13354" t="str">
            <v>***FOL.LAMF.57X415 KASZANKA DLA JMD</v>
          </cell>
        </row>
        <row r="13355">
          <cell r="C13355">
            <v>2003766</v>
          </cell>
          <cell r="D13355" t="str">
            <v>***FOL.PA/PE 200/423</v>
          </cell>
        </row>
        <row r="13356">
          <cell r="C13356">
            <v>2002683</v>
          </cell>
          <cell r="D13356" t="str">
            <v>FOL.PE 0,023X900 TERMOKURCZ.Z/N</v>
          </cell>
        </row>
        <row r="13357">
          <cell r="C13357">
            <v>2002682</v>
          </cell>
          <cell r="D13357" t="str">
            <v>FOL.PE 0,023X900 TERMOKURCZ.</v>
          </cell>
        </row>
        <row r="13358">
          <cell r="C13358">
            <v>2003852</v>
          </cell>
          <cell r="D13358" t="str">
            <v>***FOL.FS 50X525 NR3 LIDL BARONI</v>
          </cell>
        </row>
        <row r="13359">
          <cell r="C13359">
            <v>2003871</v>
          </cell>
          <cell r="D13359" t="str">
            <v>***FOL.EOM.64/540</v>
          </cell>
        </row>
        <row r="13360">
          <cell r="C13360">
            <v>2003882</v>
          </cell>
          <cell r="D13360" t="str">
            <v>***FOL.OPET/PE 72X405 ZŁOTA</v>
          </cell>
        </row>
        <row r="13361">
          <cell r="C13361">
            <v>2003880</v>
          </cell>
          <cell r="D13361" t="str">
            <v>FOL.PE TAŚMA 700X0.045</v>
          </cell>
        </row>
        <row r="13362">
          <cell r="C13362">
            <v>2003912</v>
          </cell>
          <cell r="D13362" t="str">
            <v>***WOR.MS40 400X700 GR.40</v>
          </cell>
        </row>
        <row r="13363">
          <cell r="C13363">
            <v>2003953</v>
          </cell>
          <cell r="D13363" t="str">
            <v>***FOL.TAŚMA 0.045X700 PRODUCT OF POLAND</v>
          </cell>
        </row>
        <row r="13364">
          <cell r="C13364">
            <v>2003947</v>
          </cell>
          <cell r="D13364" t="str">
            <v>***FOL.PET/PAPE 57X410 TIROMAT</v>
          </cell>
        </row>
        <row r="13365">
          <cell r="C13365">
            <v>2003946</v>
          </cell>
          <cell r="D13365" t="str">
            <v>***FOL.PET/PAPE 57X420 COMPACT</v>
          </cell>
        </row>
        <row r="13366">
          <cell r="C13366">
            <v>2001499</v>
          </cell>
          <cell r="D13366" t="str">
            <v>FOL.PE 0,045X800 TAŚMA</v>
          </cell>
        </row>
        <row r="13367">
          <cell r="C13367">
            <v>2003945</v>
          </cell>
          <cell r="D13367" t="str">
            <v>***FOL.OPA/PE 65X420 LIDL CHORWACJA</v>
          </cell>
        </row>
        <row r="13368">
          <cell r="C13368">
            <v>2003944</v>
          </cell>
          <cell r="D13368" t="str">
            <v>***FOL.BOPA/PE 65X420 PIKOK PRZEK LUX</v>
          </cell>
        </row>
        <row r="13369">
          <cell r="C13369">
            <v>2001458</v>
          </cell>
          <cell r="D13369" t="str">
            <v>***FOL.PAO/PEPC 60/415 ŚLĄSKA 4130019</v>
          </cell>
        </row>
        <row r="13370">
          <cell r="C13370">
            <v>2001460</v>
          </cell>
          <cell r="D13370" t="str">
            <v>***FOL.PAO/PE 60/415 EŁK RADOS 4131740</v>
          </cell>
        </row>
        <row r="13371">
          <cell r="C13371">
            <v>2003987</v>
          </cell>
          <cell r="D13371" t="str">
            <v>***FOL.65/340 OPALEN</v>
          </cell>
        </row>
        <row r="13372">
          <cell r="C13372">
            <v>2003988</v>
          </cell>
          <cell r="D13372" t="str">
            <v>***WOR.MS40 350X550 GR.40</v>
          </cell>
        </row>
        <row r="13373">
          <cell r="C13373">
            <v>2004003</v>
          </cell>
          <cell r="D13373" t="str">
            <v>***WOR.MS40 300X500GR 40</v>
          </cell>
        </row>
        <row r="13374">
          <cell r="C13374">
            <v>2004002</v>
          </cell>
          <cell r="D13374" t="str">
            <v>***WOR.MS40 300X400GR 40</v>
          </cell>
        </row>
        <row r="13375">
          <cell r="C13375">
            <v>2004010</v>
          </cell>
          <cell r="D13375" t="str">
            <v>***FOL.PET/PAPE 57X410 DIXI</v>
          </cell>
        </row>
        <row r="13376">
          <cell r="C13376">
            <v>2004024</v>
          </cell>
          <cell r="D13376" t="str">
            <v>***FOL.BOPA PE 65X420 PRZEKĄSKA</v>
          </cell>
        </row>
        <row r="13377">
          <cell r="C13377">
            <v>2004039</v>
          </cell>
          <cell r="D13377" t="str">
            <v>***FOL.444X12X45 PET/PAPE KASZANKAJMDR53</v>
          </cell>
        </row>
        <row r="13378">
          <cell r="C13378">
            <v>2004103</v>
          </cell>
          <cell r="D13378" t="str">
            <v>FOL.HB 55X420 ROSJA ULMA G</v>
          </cell>
        </row>
        <row r="13379">
          <cell r="C13379">
            <v>2004104</v>
          </cell>
          <cell r="D13379" t="str">
            <v>***FOL.HB 150X323 ROSJA DIXI D</v>
          </cell>
        </row>
        <row r="13380">
          <cell r="C13380">
            <v>2004105</v>
          </cell>
          <cell r="D13380" t="str">
            <v>FOL.HB 150X423 ROSJA ULNA D</v>
          </cell>
        </row>
        <row r="13381">
          <cell r="C13381">
            <v>2004106</v>
          </cell>
          <cell r="D13381" t="str">
            <v>***FOL.HB 55X305 ROSJA DIXI D</v>
          </cell>
        </row>
        <row r="13382">
          <cell r="C13382">
            <v>2004162</v>
          </cell>
          <cell r="D13382" t="str">
            <v>***WOR.MS40 230X300 GR 40</v>
          </cell>
        </row>
        <row r="13383">
          <cell r="C13383">
            <v>2004166</v>
          </cell>
          <cell r="D13383" t="str">
            <v>***WOR.MS40 300X450 GR 40</v>
          </cell>
        </row>
        <row r="13384">
          <cell r="C13384">
            <v>2004324</v>
          </cell>
          <cell r="D13384" t="str">
            <v>***WOR.MS40 250X700 GR 40</v>
          </cell>
        </row>
        <row r="13385">
          <cell r="C13385">
            <v>2004338</v>
          </cell>
          <cell r="D13385" t="str">
            <v>***WOR.MS40 250X400 GR 40</v>
          </cell>
        </row>
        <row r="13386">
          <cell r="C13386">
            <v>2004337</v>
          </cell>
          <cell r="D13386" t="str">
            <v>***WOR.MS40 150X250 GR 40</v>
          </cell>
        </row>
        <row r="13387">
          <cell r="C13387">
            <v>2004336</v>
          </cell>
          <cell r="D13387" t="str">
            <v>***WOR.MS40 230X400 GR 40</v>
          </cell>
        </row>
        <row r="13388">
          <cell r="C13388">
            <v>2004335</v>
          </cell>
          <cell r="D13388" t="str">
            <v>***WOR.MS40 180X550 GR 40</v>
          </cell>
        </row>
        <row r="13389">
          <cell r="C13389">
            <v>2004334</v>
          </cell>
          <cell r="D13389" t="str">
            <v>***WOR.MS40 180X350 GR 40</v>
          </cell>
        </row>
        <row r="13390">
          <cell r="C13390">
            <v>2004333</v>
          </cell>
          <cell r="D13390" t="str">
            <v>***WOR.MS40 150X350 GR 40</v>
          </cell>
        </row>
        <row r="13391">
          <cell r="C13391">
            <v>2004342</v>
          </cell>
          <cell r="D13391" t="str">
            <v>***WOR.MK 230X500 GR 70</v>
          </cell>
        </row>
        <row r="13392">
          <cell r="C13392">
            <v>2004350</v>
          </cell>
          <cell r="D13392" t="str">
            <v>***FOL.BOPA 415X0.065</v>
          </cell>
        </row>
        <row r="13393">
          <cell r="C13393">
            <v>2004353</v>
          </cell>
          <cell r="D13393" t="str">
            <v>***FOL.OP HB 65X420 ROSJA G</v>
          </cell>
        </row>
        <row r="13394">
          <cell r="C13394">
            <v>2004430</v>
          </cell>
          <cell r="D13394" t="str">
            <v>***WOR.MS40 230X550 GR 40</v>
          </cell>
        </row>
        <row r="13395">
          <cell r="C13395">
            <v>2004417</v>
          </cell>
          <cell r="D13395" t="str">
            <v>***FOL.CPP/BFCR 255X432 SZYNKOWA D</v>
          </cell>
        </row>
        <row r="13396">
          <cell r="C13396">
            <v>2004416</v>
          </cell>
          <cell r="D13396" t="str">
            <v>***FOL.OPET/T30 72X420 SZYNKOWA G</v>
          </cell>
        </row>
        <row r="13397">
          <cell r="C13397">
            <v>2004497</v>
          </cell>
          <cell r="D13397" t="str">
            <v>***WOR.ML40-MK 300X450 GR 70</v>
          </cell>
        </row>
        <row r="13398">
          <cell r="C13398">
            <v>2004496</v>
          </cell>
          <cell r="D13398" t="str">
            <v>***FOL.BOPA/PE 15/50 CONSTAR 415</v>
          </cell>
        </row>
        <row r="13399">
          <cell r="C13399">
            <v>2004499</v>
          </cell>
          <cell r="D13399" t="str">
            <v>***FOL.HB 150X356 ROSJA MULTIVAC D</v>
          </cell>
        </row>
        <row r="13400">
          <cell r="C13400">
            <v>2004498</v>
          </cell>
          <cell r="D13400" t="str">
            <v>***FOL.HB 55X340 ROSJA MULTIVAC G</v>
          </cell>
        </row>
        <row r="13401">
          <cell r="C13401">
            <v>2004501</v>
          </cell>
          <cell r="D13401" t="str">
            <v>***FOL.PET/PE/EVOH/PE/AF42X240 KAB.MORL.</v>
          </cell>
        </row>
        <row r="13402">
          <cell r="C13402">
            <v>2004489</v>
          </cell>
          <cell r="D13402" t="str">
            <v>***WOR.ML40-MI 300X450 GR 50</v>
          </cell>
        </row>
        <row r="13403">
          <cell r="C13403">
            <v>2004487</v>
          </cell>
          <cell r="D13403" t="str">
            <v>***FOL.PET/PE/EVOH/PE/AF 57X240 CLASIK</v>
          </cell>
        </row>
        <row r="13404">
          <cell r="C13404">
            <v>2004486</v>
          </cell>
          <cell r="D13404" t="str">
            <v>***FOL.PETPE/EVOH/PE/AF 57X240 CHILI</v>
          </cell>
        </row>
        <row r="13405">
          <cell r="C13405">
            <v>2004485</v>
          </cell>
          <cell r="D13405" t="str">
            <v>***FOL.PET/PE/EVOH/PE/AF 57X240 PIEPRZ</v>
          </cell>
        </row>
        <row r="13406">
          <cell r="C13406">
            <v>2004525</v>
          </cell>
          <cell r="D13406" t="str">
            <v>***WOR.ML40-MI 180X350 GR 50</v>
          </cell>
        </row>
        <row r="13407">
          <cell r="C13407">
            <v>2004774</v>
          </cell>
          <cell r="D13407" t="str">
            <v>FOL.COOK IN 200X423 D</v>
          </cell>
        </row>
        <row r="13408">
          <cell r="C13408">
            <v>2004773</v>
          </cell>
          <cell r="D13408" t="str">
            <v>FOL.COOK IN 40X420 G</v>
          </cell>
        </row>
        <row r="13409">
          <cell r="C13409">
            <v>2005006</v>
          </cell>
          <cell r="D13409" t="str">
            <v>***FOL.MF GVA 230X444 DO CZOSNKOWEJ</v>
          </cell>
        </row>
        <row r="13410">
          <cell r="C13410">
            <v>2005031</v>
          </cell>
          <cell r="D13410" t="str">
            <v>***FOL.PET/PVDC/PE12/25 KRAFT PAP.GR35/2</v>
          </cell>
        </row>
        <row r="13411">
          <cell r="C13411">
            <v>2005033</v>
          </cell>
          <cell r="D13411" t="str">
            <v>***FOL.PE/HB 50X270 DO NETTO</v>
          </cell>
        </row>
        <row r="13412">
          <cell r="C13412">
            <v>2005034</v>
          </cell>
          <cell r="D13412" t="str">
            <v>***FOL.PE/HB 50X266 DO NETTO</v>
          </cell>
        </row>
        <row r="13413">
          <cell r="C13413">
            <v>2005060</v>
          </cell>
          <cell r="D13413" t="str">
            <v>***FOL.PET/PE/EVOH AF 57X420 KRAK.ŚLĄSKA</v>
          </cell>
        </row>
        <row r="13414">
          <cell r="C13414">
            <v>2005092</v>
          </cell>
          <cell r="D13414" t="str">
            <v>***FOL.PET/PE/EVOH AF 55X245 LIDL MWP</v>
          </cell>
        </row>
        <row r="13415">
          <cell r="C13415">
            <v>2005132</v>
          </cell>
          <cell r="D13415" t="str">
            <v>***FOL.PET/PE/EVOH AF 55X270 LIDL</v>
          </cell>
        </row>
        <row r="13416">
          <cell r="C13416">
            <v>2005131</v>
          </cell>
          <cell r="D13416" t="str">
            <v>***FOL.PET/PE/EVOH AF 55X230 LIDL</v>
          </cell>
        </row>
        <row r="13417">
          <cell r="C13417">
            <v>2005150</v>
          </cell>
          <cell r="D13417" t="str">
            <v>***FOL.PET/PE/EVOH AF 55X245 LIDL MWPWŁ</v>
          </cell>
        </row>
        <row r="13418">
          <cell r="C13418">
            <v>2003519</v>
          </cell>
          <cell r="D13418" t="str">
            <v>WOR.ODA7005 350X500</v>
          </cell>
        </row>
        <row r="13419">
          <cell r="C13419">
            <v>2003518</v>
          </cell>
          <cell r="D13419" t="str">
            <v>WOR.XG800 230X750 CESB P400</v>
          </cell>
        </row>
        <row r="13420">
          <cell r="C13420">
            <v>2005156</v>
          </cell>
          <cell r="D13420" t="str">
            <v>***WOR.600(2X200)X850GR50MIKRONÓW NIEB.L</v>
          </cell>
        </row>
        <row r="13421">
          <cell r="C13421">
            <v>2005158</v>
          </cell>
          <cell r="D13421" t="str">
            <v>***WOR.MS40 100X450 GR40</v>
          </cell>
        </row>
        <row r="13422">
          <cell r="C13422">
            <v>2005272</v>
          </cell>
          <cell r="D13422" t="str">
            <v>WOR.PE 1800X800 GR80</v>
          </cell>
        </row>
        <row r="13423">
          <cell r="C13423">
            <v>2005257</v>
          </cell>
          <cell r="D13423" t="str">
            <v>***WOR. MS40 200X550 GR 40</v>
          </cell>
        </row>
        <row r="13424">
          <cell r="C13424">
            <v>2005283</v>
          </cell>
          <cell r="D13424" t="str">
            <v>***WOR.MS40 180X300 GR 40</v>
          </cell>
        </row>
        <row r="13425">
          <cell r="C13425">
            <v>2005282</v>
          </cell>
          <cell r="D13425" t="str">
            <v>***WOR.MS40 240X450 GR 40</v>
          </cell>
        </row>
        <row r="13426">
          <cell r="C13426">
            <v>2005281</v>
          </cell>
          <cell r="D13426" t="str">
            <v>***WOR.MS40 300X700 GR 40</v>
          </cell>
        </row>
        <row r="13427">
          <cell r="C13427">
            <v>2005280</v>
          </cell>
          <cell r="D13427" t="str">
            <v>***WOR.MS85 300X350GR 85</v>
          </cell>
        </row>
        <row r="13428">
          <cell r="C13428">
            <v>2005279</v>
          </cell>
          <cell r="D13428" t="str">
            <v>***WOR.MS85 300X700 GR 85</v>
          </cell>
        </row>
        <row r="13429">
          <cell r="C13429">
            <v>2002202</v>
          </cell>
          <cell r="D13429" t="str">
            <v>***WOR.LDPE 200X300 GR30</v>
          </cell>
        </row>
        <row r="13430">
          <cell r="C13430">
            <v>2005291</v>
          </cell>
          <cell r="D13430" t="str">
            <v>***FOL.COOL CKFPE 150X422 MYLAR D</v>
          </cell>
        </row>
        <row r="13431">
          <cell r="C13431">
            <v>2005286</v>
          </cell>
          <cell r="D13431" t="str">
            <v>***FOL.COOK CKFPE 50X420 MYLAR G</v>
          </cell>
        </row>
        <row r="13432">
          <cell r="C13432">
            <v>2005324</v>
          </cell>
          <cell r="D13432" t="str">
            <v>***FOL.PET/PAPE 57X444 KASZANKA MORLINY</v>
          </cell>
        </row>
        <row r="13433">
          <cell r="C13433">
            <v>2005342</v>
          </cell>
          <cell r="D13433" t="str">
            <v>***WOR.350X500 GR 68 BB6050</v>
          </cell>
        </row>
        <row r="13434">
          <cell r="C13434">
            <v>2005355</v>
          </cell>
          <cell r="D13434" t="str">
            <v>***WOR.MS40 250X700 GR 85</v>
          </cell>
        </row>
        <row r="13435">
          <cell r="C13435">
            <v>2005441</v>
          </cell>
          <cell r="D13435" t="str">
            <v>***FOL.PET/PE 250X422 SZTYWNA</v>
          </cell>
        </row>
        <row r="13436">
          <cell r="C13436">
            <v>2005455</v>
          </cell>
          <cell r="D13436" t="str">
            <v>***FOL.BOPA/PE PEEL KRAKUS KABAN. EXPORT</v>
          </cell>
        </row>
        <row r="13437">
          <cell r="C13437">
            <v>2005456</v>
          </cell>
          <cell r="D13437" t="str">
            <v>***FOL.BOPA LPDE 55X555</v>
          </cell>
        </row>
        <row r="13438">
          <cell r="C13438">
            <v>2005501</v>
          </cell>
          <cell r="D13438" t="str">
            <v>***FOL.HB/PE 205X252 KRAINA MIĘSA</v>
          </cell>
        </row>
        <row r="13439">
          <cell r="C13439">
            <v>2005513</v>
          </cell>
          <cell r="D13439" t="str">
            <v>***WOR.MS40 240X300 GR 40</v>
          </cell>
        </row>
        <row r="13440">
          <cell r="C13440">
            <v>2005269</v>
          </cell>
          <cell r="D13440" t="str">
            <v>FOL.STRETCH RĘCZ.17X500 PERF.</v>
          </cell>
        </row>
        <row r="13441">
          <cell r="C13441">
            <v>2005595</v>
          </cell>
          <cell r="D13441" t="str">
            <v>***FOL.PAO/PE 57X444 KIEŁB. Z SZYNKI R53</v>
          </cell>
        </row>
        <row r="13442">
          <cell r="C13442">
            <v>2005592</v>
          </cell>
          <cell r="D13442" t="str">
            <v>***FOL.TAŚMA 0.045X700 Z NUMEREM</v>
          </cell>
        </row>
        <row r="13443">
          <cell r="C13443">
            <v>2005699</v>
          </cell>
          <cell r="D13443" t="str">
            <v>***FOL.OPA/PE 65X444 KIEŁB.ŚLĄSKA R530</v>
          </cell>
        </row>
        <row r="13444">
          <cell r="C13444">
            <v>2005720</v>
          </cell>
          <cell r="D13444" t="str">
            <v>FOL.PET/PE/EVOH AF 55X330 TRANSP.</v>
          </cell>
        </row>
        <row r="13445">
          <cell r="C13445">
            <v>2005725</v>
          </cell>
          <cell r="D13445" t="str">
            <v>***FOL.PET/PE/EVOH AF 52X330 POLĘDW.LIDL</v>
          </cell>
        </row>
        <row r="13446">
          <cell r="C13446">
            <v>2005770</v>
          </cell>
          <cell r="D13446" t="str">
            <v>***FOL.BOPA/PE 65X420 KABANOSY JMD</v>
          </cell>
        </row>
        <row r="13447">
          <cell r="C13447">
            <v>2005876</v>
          </cell>
          <cell r="D13447" t="str">
            <v>***WOR.MS40 200X700 GR.40</v>
          </cell>
        </row>
        <row r="13448">
          <cell r="C13448">
            <v>2005875</v>
          </cell>
          <cell r="D13448" t="str">
            <v>***WOR.MS40 400X600 GR.40</v>
          </cell>
        </row>
        <row r="13449">
          <cell r="C13449">
            <v>2005874</v>
          </cell>
          <cell r="D13449" t="str">
            <v>***FOL.PEHB 205X160 MM KRAINA MIĘSA</v>
          </cell>
        </row>
        <row r="13450">
          <cell r="C13450">
            <v>2005873</v>
          </cell>
          <cell r="D13450" t="str">
            <v>***FOL.PET/PE/EVOCH/PE 12X45X420KRAK.KAR</v>
          </cell>
        </row>
        <row r="13451">
          <cell r="C13451">
            <v>2005872</v>
          </cell>
          <cell r="D13451" t="str">
            <v>***FOL.PET/PE/EVOCH/PE 12X45X420KR.SZYN</v>
          </cell>
        </row>
        <row r="13452">
          <cell r="C13452">
            <v>2005871</v>
          </cell>
          <cell r="D13452" t="str">
            <v>***FOL.PET/PE/EVOCH/PE 12X45X420 KR.BOCZ</v>
          </cell>
        </row>
        <row r="13453">
          <cell r="C13453">
            <v>2005870</v>
          </cell>
          <cell r="D13453" t="str">
            <v>***FOL.PET/PE/EVOCH/PE12X45X420KR.ŻEB.</v>
          </cell>
        </row>
        <row r="13454">
          <cell r="C13454">
            <v>2005839</v>
          </cell>
          <cell r="D13454" t="str">
            <v>***FOL.PET/PE/EVOCH/PE12X45X420SCHABZEŚL</v>
          </cell>
        </row>
        <row r="13455">
          <cell r="C13455">
            <v>2005881</v>
          </cell>
          <cell r="D13455" t="str">
            <v>***FOL.PET/PE EVOCH AF12X45X252LIDLWP.S</v>
          </cell>
        </row>
        <row r="13456">
          <cell r="C13456">
            <v>2005911</v>
          </cell>
          <cell r="D13456" t="str">
            <v>***FOL.PEHB45A230X187KMWP.MV/SP AS/PRJMD</v>
          </cell>
        </row>
        <row r="13457">
          <cell r="C13457">
            <v>2005910</v>
          </cell>
          <cell r="D13457" t="str">
            <v>***FOL.PEHB45A 265X205 KM MIEL.SP AS/KM</v>
          </cell>
        </row>
        <row r="13458">
          <cell r="C13458">
            <v>2005909</v>
          </cell>
          <cell r="D13458" t="str">
            <v>***FOL.PEHB45A 230X187KM WP.SP AS/KM JMD</v>
          </cell>
        </row>
        <row r="13459">
          <cell r="C13459">
            <v>2005908</v>
          </cell>
          <cell r="D13459" t="str">
            <v>***FOL.PEHB45A 265X205 KM W.SP AS/KM JMD</v>
          </cell>
        </row>
        <row r="13460">
          <cell r="C13460">
            <v>2005907</v>
          </cell>
          <cell r="D13460" t="str">
            <v>***FOL.PEHB45A 252X205 KM WP.SP/AS JMD</v>
          </cell>
        </row>
        <row r="13461">
          <cell r="C13461">
            <v>2005948</v>
          </cell>
          <cell r="D13461" t="str">
            <v>***FOL.PEHB45A 330X276 KM POLĘD.</v>
          </cell>
        </row>
        <row r="13462">
          <cell r="C13462">
            <v>2006001</v>
          </cell>
          <cell r="D13462" t="str">
            <v>***WOR.200X375 BB6050</v>
          </cell>
        </row>
        <row r="13463">
          <cell r="C13463">
            <v>2006014</v>
          </cell>
          <cell r="D13463" t="str">
            <v>***WOR.MS40 400X550 GR.40</v>
          </cell>
        </row>
        <row r="13464">
          <cell r="C13464">
            <v>2006020</v>
          </cell>
          <cell r="D13464" t="str">
            <v>***FOL.PET/EVEHPC 57X555 KR.KABAN.Z PEEL</v>
          </cell>
        </row>
        <row r="13465">
          <cell r="C13465">
            <v>2006028</v>
          </cell>
          <cell r="D13465" t="str">
            <v>FOL.TAŚMA 700X0.045 PROD.OF POL.</v>
          </cell>
        </row>
        <row r="13466">
          <cell r="C13466">
            <v>2006067</v>
          </cell>
          <cell r="D13466" t="str">
            <v>***FOL.PET/PE EVOH AF52X270 WŁ.LIDL ŚW.</v>
          </cell>
        </row>
        <row r="13467">
          <cell r="C13467">
            <v>2006098</v>
          </cell>
          <cell r="D13467" t="str">
            <v>FOL.PA/PE DD13B004 180X356 DO GOTOW.D</v>
          </cell>
        </row>
        <row r="13468">
          <cell r="C13468">
            <v>2006097</v>
          </cell>
          <cell r="D13468" t="str">
            <v>FOL.PA/PE TF06 100X340 DO GOTOWANIA G</v>
          </cell>
        </row>
        <row r="13469">
          <cell r="C13469">
            <v>2006156</v>
          </cell>
          <cell r="D13469" t="str">
            <v>***FOL.LAMF.57X410 JMD KASZ. PO SEZ.DIXI</v>
          </cell>
        </row>
        <row r="13470">
          <cell r="C13470">
            <v>2006235</v>
          </cell>
          <cell r="D13470" t="str">
            <v>***WOR.BIAXER 510X610 SREBRNY</v>
          </cell>
        </row>
        <row r="13471">
          <cell r="C13471">
            <v>2006255</v>
          </cell>
          <cell r="D13471" t="str">
            <v>***WOR.260X550 GR 68 BB6050</v>
          </cell>
        </row>
        <row r="13472">
          <cell r="C13472">
            <v>2006301</v>
          </cell>
          <cell r="D13472" t="str">
            <v>FOL.PET/PE 12X45X500 SZYN.KRA</v>
          </cell>
        </row>
        <row r="13473">
          <cell r="C13473">
            <v>2006300</v>
          </cell>
          <cell r="D13473" t="str">
            <v>***FOL.PET/PE 12X45X450 BOCZEK KRAKUS</v>
          </cell>
        </row>
        <row r="13474">
          <cell r="C13474">
            <v>2006289</v>
          </cell>
          <cell r="D13474" t="str">
            <v>***FOL.PET/PE 12X45X450 KARKÓWKA KRAKUS</v>
          </cell>
        </row>
        <row r="13475">
          <cell r="C13475">
            <v>2006288</v>
          </cell>
          <cell r="D13475" t="str">
            <v>***FOL. PET/PE 12X45X450SCHAB ZE ŚL.KRAK</v>
          </cell>
        </row>
        <row r="13476">
          <cell r="C13476">
            <v>2006394</v>
          </cell>
          <cell r="D13476" t="str">
            <v>***FOL.BOPA/PE 15X50X415 TIROMAT</v>
          </cell>
        </row>
        <row r="13477">
          <cell r="C13477">
            <v>2006393</v>
          </cell>
          <cell r="D13477" t="str">
            <v>***FOL.BOPA/PE 15X50X445 R530 MULTIVAC</v>
          </cell>
        </row>
        <row r="13478">
          <cell r="C13478">
            <v>2006426</v>
          </cell>
          <cell r="D13478" t="str">
            <v>***WOR. 600X900 GR 60 BEZB.</v>
          </cell>
        </row>
        <row r="13479">
          <cell r="C13479">
            <v>2006425</v>
          </cell>
          <cell r="D13479" t="str">
            <v>***WOR. 250X500 GR60 BEZB.</v>
          </cell>
        </row>
        <row r="13480">
          <cell r="C13480">
            <v>2006424</v>
          </cell>
          <cell r="D13480" t="str">
            <v>***WOR. 350X600 GR60 BEZB.</v>
          </cell>
        </row>
        <row r="13481">
          <cell r="C13481">
            <v>2005394</v>
          </cell>
          <cell r="D13481" t="str">
            <v>FOL.PA/PE 158X180 Z PIZZĄ GRIL</v>
          </cell>
        </row>
        <row r="13482">
          <cell r="C13482">
            <v>2006451</v>
          </cell>
          <cell r="D13482" t="str">
            <v>***FOL.65X420 PEEL LIDL PIKOK EXPORT</v>
          </cell>
        </row>
        <row r="13483">
          <cell r="C13483">
            <v>2006517</v>
          </cell>
          <cell r="D13483" t="str">
            <v>***FOL.APET/PE 350X422 BLACK</v>
          </cell>
        </row>
        <row r="13484">
          <cell r="C13484">
            <v>2006531</v>
          </cell>
          <cell r="D13484" t="str">
            <v>***FOL.PET/PA/PE 57X415 KASZ.GRILL COMP.</v>
          </cell>
        </row>
        <row r="13485">
          <cell r="C13485">
            <v>2006530</v>
          </cell>
          <cell r="D13485" t="str">
            <v>***FOL.PET/PA/PE57X415KASZ.GRILLTIROMAT</v>
          </cell>
        </row>
        <row r="13486">
          <cell r="C13486">
            <v>2004221</v>
          </cell>
          <cell r="D13486" t="str">
            <v>FOL.PET/PA/PE 60X420 KIEŁ.Z PIERSI MORLI</v>
          </cell>
        </row>
        <row r="13487">
          <cell r="C13487">
            <v>2006567</v>
          </cell>
          <cell r="D13487" t="str">
            <v>FOL.PET/PE/EVOH AF 52X270 TRANSP.</v>
          </cell>
        </row>
        <row r="13488">
          <cell r="C13488">
            <v>2006568</v>
          </cell>
          <cell r="D13488" t="str">
            <v>***FOL.PET/PE/EVOH AF 52X240 TRANSP.</v>
          </cell>
        </row>
        <row r="13489">
          <cell r="C13489">
            <v>2006554</v>
          </cell>
          <cell r="D13489" t="str">
            <v>***FOL.BOPA/PE AF 57X420 KASZ.GRILL R225</v>
          </cell>
        </row>
        <row r="13490">
          <cell r="C13490">
            <v>2006557</v>
          </cell>
          <cell r="D13490" t="str">
            <v>***WOR.300X450 GR 50 CLT52</v>
          </cell>
        </row>
        <row r="13491">
          <cell r="C13491">
            <v>2006558</v>
          </cell>
          <cell r="D13491" t="str">
            <v>WOR.TRMK 300X450 GR67</v>
          </cell>
        </row>
        <row r="13492">
          <cell r="C13492">
            <v>2006574</v>
          </cell>
          <cell r="D13492" t="str">
            <v>***FOL.BOPA/PE AF 57X450 KASZ.GRILL R530</v>
          </cell>
        </row>
        <row r="13493">
          <cell r="C13493">
            <v>2006596</v>
          </cell>
          <cell r="D13493" t="str">
            <v>***FOL. FS 50X525 NR3 BARONI GRILL LIDL</v>
          </cell>
        </row>
        <row r="13494">
          <cell r="C13494">
            <v>2006690</v>
          </cell>
          <cell r="D13494" t="str">
            <v>***FOL.PET/PE/EVOH/PE57X240KAB.MOR.CHIL</v>
          </cell>
        </row>
        <row r="13495">
          <cell r="C13495">
            <v>2006679</v>
          </cell>
          <cell r="D13495" t="str">
            <v>***FOL.PET/PE/EVOH/PE 57X240 KAB.MOR.CLA</v>
          </cell>
        </row>
        <row r="13496">
          <cell r="C13496">
            <v>2006678</v>
          </cell>
          <cell r="D13496" t="str">
            <v>***FOL.PET/PE/EVOH/PE57X240KAB.MOR.PIEP</v>
          </cell>
        </row>
        <row r="13497">
          <cell r="C13497">
            <v>2006707</v>
          </cell>
          <cell r="D13497" t="str">
            <v>***WOR.MS40 250X750 GR.85</v>
          </cell>
        </row>
        <row r="13498">
          <cell r="C13498">
            <v>2006716</v>
          </cell>
          <cell r="D13498" t="str">
            <v>***FOL.PET/PE/EVOH/PE 57X445 PART.CLASIC</v>
          </cell>
        </row>
        <row r="13499">
          <cell r="C13499">
            <v>2006715</v>
          </cell>
          <cell r="D13499" t="str">
            <v>***FOL.PET/PE/EVOH/PE 57X445 PART.PIEPRZ</v>
          </cell>
        </row>
        <row r="13500">
          <cell r="C13500">
            <v>2006732</v>
          </cell>
          <cell r="D13500" t="str">
            <v>***FOL.PET/PE/EVOH/PE 57X445 PART. CHILI</v>
          </cell>
        </row>
        <row r="13501">
          <cell r="C13501">
            <v>2006731</v>
          </cell>
          <cell r="D13501" t="str">
            <v>***FOL.PET/PE/EVOH/PE 57X445 PART. CHILI</v>
          </cell>
        </row>
        <row r="13502">
          <cell r="C13502">
            <v>2006735</v>
          </cell>
          <cell r="D13502" t="str">
            <v>FOL.PET/PA/EVOH/PE 57X415 KIEŁB.MOR</v>
          </cell>
        </row>
        <row r="13503">
          <cell r="C13503">
            <v>2006767</v>
          </cell>
          <cell r="D13503" t="str">
            <v>***WOR.200X500 GR 50 CLT52</v>
          </cell>
        </row>
        <row r="13504">
          <cell r="C13504">
            <v>2006766</v>
          </cell>
          <cell r="D13504" t="str">
            <v>***WOR.230X400 GR 50 CLT52</v>
          </cell>
        </row>
        <row r="13505">
          <cell r="C13505">
            <v>2006765</v>
          </cell>
          <cell r="D13505" t="str">
            <v>***WOR.180XX350 GR 50 CLT52</v>
          </cell>
        </row>
        <row r="13506">
          <cell r="C13506">
            <v>2006764</v>
          </cell>
          <cell r="D13506" t="str">
            <v>***WOR.230X550GR 50 CLT52</v>
          </cell>
        </row>
        <row r="13507">
          <cell r="C13507">
            <v>2006763</v>
          </cell>
          <cell r="D13507" t="str">
            <v>***WOR.200X375 GR 50 CLT52</v>
          </cell>
        </row>
        <row r="13508">
          <cell r="C13508">
            <v>2006762</v>
          </cell>
          <cell r="D13508" t="str">
            <v>***WOR.180X500 GR 50 CLT52</v>
          </cell>
        </row>
        <row r="13509">
          <cell r="C13509">
            <v>2006807</v>
          </cell>
          <cell r="D13509" t="str">
            <v>***FOL.BOPET/PAPE57X415KIEŁB.MORLINY TIR</v>
          </cell>
        </row>
        <row r="13510">
          <cell r="C13510">
            <v>2006812</v>
          </cell>
          <cell r="D13510" t="str">
            <v>***FOL.PET/PE/EVOH/PE57X240LAS.ORIGINAL</v>
          </cell>
        </row>
        <row r="13511">
          <cell r="C13511">
            <v>2006876</v>
          </cell>
          <cell r="D13511" t="str">
            <v>***FOL.PET/PE/EVOH/PE 57X240 LAS.RED HOT</v>
          </cell>
        </row>
        <row r="13512">
          <cell r="C13512">
            <v>2006874</v>
          </cell>
          <cell r="D13512" t="str">
            <v>***FOL.PET/PE/EVOH/PE57X240LAS.CLASS.BBQ</v>
          </cell>
        </row>
        <row r="13513">
          <cell r="C13513">
            <v>2006890</v>
          </cell>
          <cell r="D13513" t="str">
            <v>***FOL.ML80/OPAPE2060 80X620</v>
          </cell>
        </row>
        <row r="13514">
          <cell r="C13514">
            <v>2006889</v>
          </cell>
          <cell r="D13514" t="str">
            <v>***FOL.UPAPE90160 250X624</v>
          </cell>
        </row>
        <row r="13515">
          <cell r="C13515">
            <v>2006894</v>
          </cell>
          <cell r="D13515" t="str">
            <v>***WOR.100X350 B FME3050</v>
          </cell>
        </row>
        <row r="13516">
          <cell r="C13516">
            <v>2006953</v>
          </cell>
          <cell r="D13516" t="str">
            <v>WOR.180XX350 GR 50 CLT52 H</v>
          </cell>
        </row>
        <row r="13517">
          <cell r="C13517">
            <v>2006952</v>
          </cell>
          <cell r="D13517" t="str">
            <v>WOR.230X550GR 50 CLT52 H</v>
          </cell>
        </row>
        <row r="13518">
          <cell r="C13518">
            <v>2006951</v>
          </cell>
          <cell r="D13518" t="str">
            <v>WOR.TRMK 180X500 GR50</v>
          </cell>
        </row>
        <row r="13519">
          <cell r="C13519">
            <v>2006950</v>
          </cell>
          <cell r="D13519" t="str">
            <v>WOR.230X400 GR 50 CLT52 H</v>
          </cell>
        </row>
        <row r="13520">
          <cell r="C13520">
            <v>2006971</v>
          </cell>
          <cell r="D13520" t="str">
            <v>FOL.PET/EVOH/PE 60X350 PODWAW.</v>
          </cell>
        </row>
        <row r="13521">
          <cell r="C13521">
            <v>2006974</v>
          </cell>
          <cell r="D13521" t="str">
            <v>***FOL.BOPA LPDE 55X406</v>
          </cell>
        </row>
        <row r="13522">
          <cell r="C13522">
            <v>2006996</v>
          </cell>
          <cell r="D13522" t="str">
            <v>***FOL.PET/PE/EVOH/PE57X445PCHILI Z PEEL</v>
          </cell>
        </row>
        <row r="13523">
          <cell r="C13523">
            <v>2006995</v>
          </cell>
          <cell r="D13523" t="str">
            <v>***FOL.PET/PE/EVOH/PE57X445P.PIEP.Z PEEL</v>
          </cell>
        </row>
        <row r="13524">
          <cell r="C13524">
            <v>2006994</v>
          </cell>
          <cell r="D13524" t="str">
            <v>FOL.PET/EVOH/PE/PEEL 57X445 PAR.CLASSIC</v>
          </cell>
        </row>
        <row r="13525">
          <cell r="C13525">
            <v>2007036</v>
          </cell>
          <cell r="D13525" t="str">
            <v>***FOL.BLB42X415 KASZ.PO SEZ.TIROMAT</v>
          </cell>
        </row>
        <row r="13526">
          <cell r="C13526">
            <v>2007060</v>
          </cell>
          <cell r="D13526" t="str">
            <v>***FOL.PEHB A50X275 MAKRO T227</v>
          </cell>
        </row>
        <row r="13527">
          <cell r="C13527">
            <v>2007049</v>
          </cell>
          <cell r="D13527" t="str">
            <v>***FOL. PEHB A50X265 MAKRO T205</v>
          </cell>
        </row>
        <row r="13528">
          <cell r="C13528">
            <v>2007099</v>
          </cell>
          <cell r="D13528" t="str">
            <v>FOL.HB 60X620 G MULTIVAC 535</v>
          </cell>
        </row>
        <row r="13529">
          <cell r="C13529">
            <v>2007114</v>
          </cell>
          <cell r="D13529" t="str">
            <v>***FOL.HB 225X623 D MV 535</v>
          </cell>
        </row>
        <row r="13530">
          <cell r="C13530">
            <v>2007159</v>
          </cell>
          <cell r="D13530" t="str">
            <v>***FOL.PA/EVOH/PE 150X422 GEH150</v>
          </cell>
        </row>
        <row r="13531">
          <cell r="C13531">
            <v>2007290</v>
          </cell>
          <cell r="D13531" t="str">
            <v>***FOL.BLB 42X415 KASZ.PO SEZ.COMPACT</v>
          </cell>
        </row>
        <row r="13532">
          <cell r="C13532">
            <v>2007279</v>
          </cell>
          <cell r="D13532" t="str">
            <v>***FOL.PET/PE 12X45X500 KARKÓWKA KRA</v>
          </cell>
        </row>
        <row r="13533">
          <cell r="C13533">
            <v>2001745</v>
          </cell>
          <cell r="D13533" t="str">
            <v>WOR.TRMK 300X500 GR68</v>
          </cell>
        </row>
        <row r="13534">
          <cell r="C13534">
            <v>2007303</v>
          </cell>
          <cell r="D13534" t="str">
            <v>***FOL.PET/PE 12X45X500 SCHAB ZE ŚL.KRA</v>
          </cell>
        </row>
        <row r="13535">
          <cell r="C13535">
            <v>2007351</v>
          </cell>
          <cell r="D13535" t="str">
            <v>***FOL.PET PE EVOH 55X245 LIDL RZEŹNIK</v>
          </cell>
        </row>
        <row r="13536">
          <cell r="C13536">
            <v>2007337</v>
          </cell>
          <cell r="D13536" t="str">
            <v>***FOL.PA/PE DD13B004 220X356 DO GOT.</v>
          </cell>
        </row>
        <row r="13537">
          <cell r="C13537">
            <v>2007384</v>
          </cell>
          <cell r="D13537" t="str">
            <v>***FOL.PAPE 200X624 D MV535</v>
          </cell>
        </row>
        <row r="13538">
          <cell r="C13538">
            <v>2001428</v>
          </cell>
          <cell r="D13538" t="str">
            <v>FOL.APET/PE/PEEL 250X522 JUMBO</v>
          </cell>
        </row>
        <row r="13539">
          <cell r="C13539">
            <v>2007443</v>
          </cell>
          <cell r="D13539" t="str">
            <v>***FOL.PE ARK.15X800X1500</v>
          </cell>
        </row>
        <row r="13540">
          <cell r="C13540">
            <v>2007451</v>
          </cell>
          <cell r="D13540" t="str">
            <v>***FOL.PET/PE/EVOH/PE 57X500 TRANS.</v>
          </cell>
        </row>
        <row r="13541">
          <cell r="C13541">
            <v>2007457</v>
          </cell>
          <cell r="D13541" t="str">
            <v>***FOL.PET/PE/EVOH 52X330 LIDL RZEŹ POL.</v>
          </cell>
        </row>
        <row r="13542">
          <cell r="C13542">
            <v>2007456</v>
          </cell>
          <cell r="D13542" t="str">
            <v>FOL.PET/PE/EVOH 57X252 LIDL RZEŹNIK</v>
          </cell>
        </row>
        <row r="13543">
          <cell r="C13543">
            <v>2007465</v>
          </cell>
          <cell r="D13543" t="str">
            <v>FOL.PET/PE/EVOH/PE 60X406 TOPLEX</v>
          </cell>
        </row>
        <row r="13544">
          <cell r="C13544">
            <v>2007489</v>
          </cell>
          <cell r="D13544" t="str">
            <v>***FOL.PET/PE/EVOH/PE PEEL57X520K.ŚLĄSKA</v>
          </cell>
        </row>
        <row r="13545">
          <cell r="C13545">
            <v>2007500</v>
          </cell>
          <cell r="D13545" t="str">
            <v>***FOL.PE ARK.70X70</v>
          </cell>
        </row>
        <row r="13546">
          <cell r="C13546">
            <v>2007533</v>
          </cell>
          <cell r="D13546" t="str">
            <v>FOL.BOPP/EVOH/PE 45X280 227 GRILL</v>
          </cell>
        </row>
        <row r="13547">
          <cell r="C13547">
            <v>2007532</v>
          </cell>
          <cell r="D13547" t="str">
            <v>***FOL.BOPP/EVOH/PE 45X265 205 GRILL</v>
          </cell>
        </row>
        <row r="13548">
          <cell r="C13548">
            <v>2007524</v>
          </cell>
          <cell r="D13548" t="str">
            <v>***FOL.PET/PA/PE 50X525 NR3 BARONI GRILL</v>
          </cell>
        </row>
        <row r="13549">
          <cell r="C13549">
            <v>2007526</v>
          </cell>
          <cell r="D13549" t="str">
            <v>***FOL.BOPP/EVOH/PE 45X265 205 K.BIAŁE</v>
          </cell>
        </row>
        <row r="13550">
          <cell r="C13550">
            <v>2007561</v>
          </cell>
          <cell r="D13550" t="str">
            <v>***FOL.PET/PA/EVOH/PE 57X415 K.GRILL TIR</v>
          </cell>
        </row>
        <row r="13551">
          <cell r="C13551">
            <v>2007560</v>
          </cell>
          <cell r="D13551" t="str">
            <v>***FOL.PET/PA/EVOH/PE 57X445K.GRILL R530</v>
          </cell>
        </row>
        <row r="13552">
          <cell r="C13552">
            <v>2007559</v>
          </cell>
          <cell r="D13552" t="str">
            <v>***FOL.PET/PA/EVOH/PE 57X420K.GRILL R225</v>
          </cell>
        </row>
        <row r="13553">
          <cell r="C13553">
            <v>2007558</v>
          </cell>
          <cell r="D13553" t="str">
            <v>***FOL.PET/PA/EVOH/PE 57X415 K.GRILL COM</v>
          </cell>
        </row>
        <row r="13554">
          <cell r="C13554">
            <v>2007557</v>
          </cell>
          <cell r="D13554" t="str">
            <v>***FOL.PET/EVOH/PE57X240 KAB.MOR.Z SZYN.</v>
          </cell>
        </row>
        <row r="13555">
          <cell r="C13555">
            <v>2007666</v>
          </cell>
          <cell r="D13555" t="str">
            <v>FOL.PET/PE/EVOH/PE PEEL 57X420 PRZEKĄSKA</v>
          </cell>
        </row>
        <row r="13556">
          <cell r="C13556">
            <v>2007680</v>
          </cell>
          <cell r="D13556" t="str">
            <v>FOL.PE ARK.90X90</v>
          </cell>
        </row>
        <row r="13557">
          <cell r="C13557">
            <v>2007681</v>
          </cell>
          <cell r="D13557" t="str">
            <v>***FOL.PET/PA/EVOH/PE 57X445 P.CLASIK EU</v>
          </cell>
        </row>
        <row r="13558">
          <cell r="C13558">
            <v>2007682</v>
          </cell>
          <cell r="D13558" t="str">
            <v>***FOL.PET/PA/EVOH/PE 57X445 P.PIEPRZ EU</v>
          </cell>
        </row>
        <row r="13559">
          <cell r="C13559">
            <v>2007683</v>
          </cell>
          <cell r="D13559" t="str">
            <v>***FOL.PET/PA/EVOH/PE 57X445 P.CHILI EU</v>
          </cell>
        </row>
        <row r="13560">
          <cell r="C13560">
            <v>2007701</v>
          </cell>
          <cell r="D13560" t="str">
            <v>***FOL.PA/PE 130X420 CZARNA</v>
          </cell>
        </row>
        <row r="13561">
          <cell r="C13561">
            <v>2007711</v>
          </cell>
          <cell r="D13561" t="str">
            <v>***FOL.PET/PE/EVOH 57X270 LIDL RZEŹNIK</v>
          </cell>
        </row>
        <row r="13562">
          <cell r="C13562">
            <v>2002186</v>
          </cell>
          <cell r="D13562" t="str">
            <v>WOR.1180X500 HT3060</v>
          </cell>
        </row>
        <row r="13563">
          <cell r="C13563">
            <v>2007708</v>
          </cell>
          <cell r="D13563" t="str">
            <v>***FOL.PAO/EVOH/PEM 60X520 BIAŁY GRILL</v>
          </cell>
        </row>
        <row r="13564">
          <cell r="C13564">
            <v>2003732</v>
          </cell>
          <cell r="D13564" t="str">
            <v>FOL.PET/EVOH/PE/PEEL 60X520 ŚLĄSKA MOR</v>
          </cell>
        </row>
        <row r="13565">
          <cell r="C13565">
            <v>2006303</v>
          </cell>
          <cell r="D13565" t="str">
            <v>FOL.BOPA/PE 65X520 MORLIŃSKA Z SZYN.MOR</v>
          </cell>
        </row>
        <row r="13566">
          <cell r="C13566">
            <v>2007980</v>
          </cell>
          <cell r="D13566" t="str">
            <v>***FOL.PA/PE 130X406 CZARNA</v>
          </cell>
        </row>
        <row r="13567">
          <cell r="C13567">
            <v>2001740</v>
          </cell>
          <cell r="D13567" t="str">
            <v>WOR.PET/PE 294X357 GR120 SCHUR-LOCK MOR</v>
          </cell>
        </row>
        <row r="13568">
          <cell r="C13568">
            <v>2008021</v>
          </cell>
          <cell r="D13568" t="str">
            <v>FOL.PET/PE/EVOH/PE 57X240 K.MOR PIEPRZ</v>
          </cell>
        </row>
        <row r="13569">
          <cell r="C13569">
            <v>2008024</v>
          </cell>
          <cell r="D13569" t="str">
            <v>FOL.PET/PE/EVOH/PE 57X240 K.MORL.CHILI</v>
          </cell>
        </row>
        <row r="13570">
          <cell r="C13570">
            <v>2008025</v>
          </cell>
          <cell r="D13570" t="str">
            <v>FOL.PET/PE/EVOH/PE 57X240 K.MORL.CLASIK</v>
          </cell>
        </row>
        <row r="13571">
          <cell r="C13571">
            <v>2007496</v>
          </cell>
          <cell r="D13571" t="str">
            <v>FOL.PET/PA/EVOH/PE 42X520 ŚLĄS.GRILLTESC</v>
          </cell>
        </row>
        <row r="13572">
          <cell r="C13572">
            <v>2001523</v>
          </cell>
          <cell r="D13572" t="str">
            <v>FOL.PA/PE 160X524</v>
          </cell>
        </row>
        <row r="13573">
          <cell r="C13573">
            <v>2008036</v>
          </cell>
          <cell r="D13573" t="str">
            <v>***FOL.APET/PE 500X522 JUMBO</v>
          </cell>
        </row>
        <row r="13574">
          <cell r="C13574">
            <v>2001476</v>
          </cell>
          <cell r="D13574" t="str">
            <v>FOL.PA/PE 120X525</v>
          </cell>
        </row>
        <row r="13575">
          <cell r="C13575">
            <v>2008113</v>
          </cell>
          <cell r="D13575" t="str">
            <v>***FOL.PA/PE 60X520</v>
          </cell>
        </row>
        <row r="13576">
          <cell r="C13576">
            <v>2008116</v>
          </cell>
          <cell r="D13576" t="str">
            <v>***FOL.PET/PE/EVOH/PE57X420AFKAB.KRA UK</v>
          </cell>
        </row>
        <row r="13577">
          <cell r="C13577">
            <v>2008134</v>
          </cell>
          <cell r="D13577" t="str">
            <v>***FOL.PA/PE 120X406 CZARNA</v>
          </cell>
        </row>
        <row r="13578">
          <cell r="C13578">
            <v>2008144</v>
          </cell>
          <cell r="D13578" t="str">
            <v>***FOL.PET/EVOH/PEM 60X530 K.GŁOG</v>
          </cell>
        </row>
        <row r="13579">
          <cell r="C13579">
            <v>2008160</v>
          </cell>
          <cell r="D13579" t="str">
            <v>***FOL.PET/EVOH/PE PEEL 57X420 K.Z SZYN.</v>
          </cell>
        </row>
        <row r="13580">
          <cell r="C13580">
            <v>2008273</v>
          </cell>
          <cell r="D13580" t="str">
            <v>***FOL.PET/PE AF 57X500 KARKÓWKA</v>
          </cell>
        </row>
        <row r="13581">
          <cell r="C13581">
            <v>2008272</v>
          </cell>
          <cell r="D13581" t="str">
            <v>FOL.PET/PA/EVOH/PE 42X300 MAZUR/PODWAW.</v>
          </cell>
        </row>
        <row r="13582">
          <cell r="C13582">
            <v>2008280</v>
          </cell>
          <cell r="D13582" t="str">
            <v>***FOL.PET/PE AF 57X500 SZYNKA</v>
          </cell>
        </row>
        <row r="13583">
          <cell r="C13583">
            <v>2008259</v>
          </cell>
          <cell r="D13583" t="str">
            <v>***FOL.PET/PE AF 57X500 SCHAB ZE ŚLIWKĄ</v>
          </cell>
        </row>
        <row r="13584">
          <cell r="C13584">
            <v>2007093</v>
          </cell>
          <cell r="D13584" t="str">
            <v>FOL.APET/PE PEEL 400X423 CZARNA</v>
          </cell>
        </row>
        <row r="13585">
          <cell r="C13585">
            <v>2008328</v>
          </cell>
          <cell r="D13585" t="str">
            <v>FOL.APET/PE 450X422 BLACK</v>
          </cell>
        </row>
        <row r="13586">
          <cell r="C13586">
            <v>2008363</v>
          </cell>
          <cell r="D13586" t="str">
            <v>***FOL.PEHB 45X265 205 WP.NETTO</v>
          </cell>
        </row>
        <row r="13587">
          <cell r="C13587">
            <v>2008362</v>
          </cell>
          <cell r="D13587" t="str">
            <v>***FOL.PE/HB 55X345 276 POL.NETTO</v>
          </cell>
        </row>
        <row r="13588">
          <cell r="C13588">
            <v>2008361</v>
          </cell>
          <cell r="D13588" t="str">
            <v>***FOL.PEHB 45X270 227 WP.NETTO</v>
          </cell>
        </row>
        <row r="13589">
          <cell r="C13589">
            <v>2008381</v>
          </cell>
          <cell r="D13589" t="str">
            <v>FOL.PET/PE/EVOH/PE/PEEL 62X555 KABAN.KRA</v>
          </cell>
        </row>
        <row r="13590">
          <cell r="C13590">
            <v>2008387</v>
          </cell>
          <cell r="D13590" t="str">
            <v>FOL.PET/PE/EVOH/PE/PEEL 60X445 CLAS.PRK</v>
          </cell>
        </row>
        <row r="13591">
          <cell r="C13591">
            <v>2008398</v>
          </cell>
          <cell r="D13591" t="str">
            <v>***FOL.PET/PE/EVOH/PE 60X445 BAC.FLAVOUR</v>
          </cell>
        </row>
        <row r="13592">
          <cell r="C13592">
            <v>2008380</v>
          </cell>
          <cell r="D13592" t="str">
            <v>***FOL.PAO/EVOH/PEM 60X415 TAPETA</v>
          </cell>
        </row>
        <row r="13593">
          <cell r="C13593">
            <v>2008450</v>
          </cell>
          <cell r="D13593" t="str">
            <v>FOL.PEHB A 50X265 DO205 TRANSP.</v>
          </cell>
        </row>
        <row r="13594">
          <cell r="C13594">
            <v>2008524</v>
          </cell>
          <cell r="D13594" t="str">
            <v>FOL.PET/EVOH/PE/PEEL 57X420 KABAN.KRA UK</v>
          </cell>
        </row>
        <row r="13595">
          <cell r="C13595">
            <v>2011699</v>
          </cell>
          <cell r="D13595" t="str">
            <v>WOR.PE 1200X650 GR33</v>
          </cell>
        </row>
        <row r="13596">
          <cell r="C13596">
            <v>2002903</v>
          </cell>
          <cell r="D13596" t="str">
            <v>WOR.PE 900X600 GR33 ZIEL.</v>
          </cell>
        </row>
        <row r="13597">
          <cell r="C13597">
            <v>2001031</v>
          </cell>
          <cell r="D13597" t="str">
            <v>***WOR.LDPE 80X120 GR50 STRUN.</v>
          </cell>
        </row>
        <row r="13598">
          <cell r="C13598">
            <v>2002904</v>
          </cell>
          <cell r="D13598" t="str">
            <v>***WOR.350X600 GR40 PERFOROWANY BEZB.</v>
          </cell>
        </row>
        <row r="13599">
          <cell r="C13599">
            <v>2003629</v>
          </cell>
          <cell r="D13599" t="str">
            <v>***WOR.130X550 BB3050</v>
          </cell>
        </row>
        <row r="13600">
          <cell r="C13600">
            <v>2002905</v>
          </cell>
          <cell r="D13600" t="str">
            <v>***WOR.180X230 GR 50 KRAKUS KRATKA</v>
          </cell>
        </row>
        <row r="13601">
          <cell r="C13601">
            <v>2002906</v>
          </cell>
          <cell r="D13601" t="str">
            <v>***WOR.600X720 GR21 NA POJEMNIKI</v>
          </cell>
        </row>
        <row r="13602">
          <cell r="C13602">
            <v>2001765</v>
          </cell>
          <cell r="D13602" t="str">
            <v>WOR.700X1900 PE</v>
          </cell>
        </row>
        <row r="13603">
          <cell r="C13603">
            <v>2002907</v>
          </cell>
          <cell r="D13603" t="str">
            <v>WOR.PE 900X600 GR33 NIEB.</v>
          </cell>
        </row>
        <row r="13604">
          <cell r="C13604">
            <v>2001718</v>
          </cell>
          <cell r="D13604" t="str">
            <v>WOR.250X400 BB3050 RND MORLINY</v>
          </cell>
        </row>
        <row r="13605">
          <cell r="C13605">
            <v>2002908</v>
          </cell>
          <cell r="D13605" t="str">
            <v>***WOR.250X500 GR40 NIEB.</v>
          </cell>
        </row>
        <row r="13606">
          <cell r="C13606">
            <v>2002909</v>
          </cell>
          <cell r="D13606" t="str">
            <v>***WOR.300X800 GR 40 NIEBIESKI</v>
          </cell>
        </row>
        <row r="13607">
          <cell r="C13607">
            <v>2001731</v>
          </cell>
          <cell r="D13607" t="str">
            <v>WOR.200X500 BB6050</v>
          </cell>
        </row>
        <row r="13608">
          <cell r="C13608">
            <v>2002910</v>
          </cell>
          <cell r="D13608" t="str">
            <v>***WOR.230X550 GR.58 OSB 5050</v>
          </cell>
        </row>
        <row r="13609">
          <cell r="C13609">
            <v>2002911</v>
          </cell>
          <cell r="D13609" t="str">
            <v>***WOR.300X600 GR 50 BB 3050</v>
          </cell>
        </row>
        <row r="13610">
          <cell r="C13610">
            <v>2002912</v>
          </cell>
          <cell r="D13610" t="str">
            <v>***WOR.180X550 GR 68 BB6050</v>
          </cell>
        </row>
        <row r="13611">
          <cell r="C13611">
            <v>2002192</v>
          </cell>
          <cell r="D13611" t="str">
            <v>WOR.300X750 B BB905 TBG</v>
          </cell>
        </row>
        <row r="13612">
          <cell r="C13612">
            <v>2001723</v>
          </cell>
          <cell r="D13612" t="str">
            <v>WOR.230X400 OSB3050 KRAKUS</v>
          </cell>
        </row>
        <row r="13613">
          <cell r="C13613">
            <v>2002913</v>
          </cell>
          <cell r="D13613" t="str">
            <v>***WOR.150X350 GR 68 BB6050</v>
          </cell>
        </row>
        <row r="13614">
          <cell r="C13614">
            <v>2002914</v>
          </cell>
          <cell r="D13614" t="str">
            <v>***WOR.TRMK 300X450 GR68</v>
          </cell>
        </row>
        <row r="13615">
          <cell r="C13615">
            <v>2002915</v>
          </cell>
          <cell r="D13615" t="str">
            <v>WOR.100X450 GR 68 BB6050</v>
          </cell>
        </row>
        <row r="13616">
          <cell r="C13616">
            <v>2002916</v>
          </cell>
          <cell r="D13616" t="str">
            <v>WOR.TRMK 350X180 GR68</v>
          </cell>
        </row>
        <row r="13617">
          <cell r="C13617">
            <v>2002917</v>
          </cell>
          <cell r="D13617" t="str">
            <v>WOR.TRMK 230X550 GR68</v>
          </cell>
        </row>
        <row r="13618">
          <cell r="C13618">
            <v>2003591</v>
          </cell>
          <cell r="D13618" t="str">
            <v>***WOR.150x250 GR 68 BB6050</v>
          </cell>
        </row>
        <row r="13619">
          <cell r="C13619">
            <v>2002918</v>
          </cell>
          <cell r="D13619" t="str">
            <v>WOR.TRMK 230X400 GR68</v>
          </cell>
        </row>
        <row r="13620">
          <cell r="C13620">
            <v>2002919</v>
          </cell>
          <cell r="D13620" t="str">
            <v>***WOR.250X400 GR 68 BB6050</v>
          </cell>
        </row>
        <row r="13621">
          <cell r="C13621">
            <v>2002920</v>
          </cell>
          <cell r="D13621" t="str">
            <v>***WOR.325X500 GR 68 BB6050</v>
          </cell>
        </row>
        <row r="13622">
          <cell r="C13622">
            <v>2002921</v>
          </cell>
          <cell r="D13622" t="str">
            <v>WOR.LDPE 850X600X2F200 GR30 NIEB.</v>
          </cell>
        </row>
        <row r="13623">
          <cell r="C13623">
            <v>2002922</v>
          </cell>
          <cell r="D13623" t="str">
            <v>***WOR.200X640 GR45 LDPE 700/2F</v>
          </cell>
        </row>
        <row r="13624">
          <cell r="C13624">
            <v>2003531</v>
          </cell>
          <cell r="D13624" t="str">
            <v>***WOR.200X375 BB6050 SZYNKA B/KONSER</v>
          </cell>
        </row>
        <row r="13625">
          <cell r="C13625">
            <v>2010624</v>
          </cell>
          <cell r="D13625" t="str">
            <v>WOR.PE 850X600X2F200 GR30 NIEB.</v>
          </cell>
        </row>
        <row r="13626">
          <cell r="C13626">
            <v>2010741</v>
          </cell>
          <cell r="D13626" t="str">
            <v>WOR.PET/PE 357X294 SCHUR-LOCK G&amp;F</v>
          </cell>
        </row>
        <row r="13627">
          <cell r="C13627">
            <v>2010841</v>
          </cell>
          <cell r="D13627" t="str">
            <v>***WOR.MDPE 1200X600 GR33</v>
          </cell>
        </row>
        <row r="13628">
          <cell r="C13628">
            <v>2010903</v>
          </cell>
          <cell r="D13628" t="str">
            <v>WOR.PET/PE 294X357 SCHUR-L.GRILL FUN EX</v>
          </cell>
        </row>
        <row r="13629">
          <cell r="C13629">
            <v>2005998</v>
          </cell>
          <cell r="D13629" t="str">
            <v>***ET.52X60 PARTYCZAKI PIEPRZ  60G</v>
          </cell>
        </row>
        <row r="13630">
          <cell r="C13630">
            <v>2001939</v>
          </cell>
          <cell r="D13630" t="str">
            <v>***REKLAMÓWKA 24X45 NIEB.</v>
          </cell>
        </row>
        <row r="13631">
          <cell r="C13631">
            <v>2002923</v>
          </cell>
          <cell r="D13631" t="str">
            <v>WOR.PE 2400X1300X2F500 GR45 NIEB.</v>
          </cell>
        </row>
        <row r="13632">
          <cell r="C13632">
            <v>2002924</v>
          </cell>
          <cell r="D13632" t="str">
            <v>***WOR.250X300 GR 0.04 NIEB.</v>
          </cell>
        </row>
        <row r="13633">
          <cell r="C13633">
            <v>2001056</v>
          </cell>
          <cell r="D13633" t="str">
            <v>TAC.PP 187X137X50 BEZBARWNA</v>
          </cell>
        </row>
        <row r="13634">
          <cell r="C13634">
            <v>2003609</v>
          </cell>
          <cell r="D13634" t="str">
            <v>***TAC.PP 187X137X50 PF PAD</v>
          </cell>
        </row>
        <row r="13635">
          <cell r="C13635">
            <v>2002925</v>
          </cell>
          <cell r="D13635" t="str">
            <v>TAC.PET/PE 187X137X50</v>
          </cell>
        </row>
        <row r="13636">
          <cell r="C13636">
            <v>2002926</v>
          </cell>
          <cell r="D13636" t="str">
            <v>TAC.PET 205X160X50 CZARNA</v>
          </cell>
        </row>
        <row r="13637">
          <cell r="C13637">
            <v>2000762</v>
          </cell>
          <cell r="D13637" t="str">
            <v>TAC.PET 205X160X50</v>
          </cell>
        </row>
        <row r="13638">
          <cell r="C13638">
            <v>2000763</v>
          </cell>
          <cell r="D13638" t="str">
            <v>TAC.PET 205X160X60</v>
          </cell>
        </row>
        <row r="13639">
          <cell r="C13639">
            <v>2002927</v>
          </cell>
          <cell r="D13639" t="str">
            <v>TAC.PET 227X178X50</v>
          </cell>
        </row>
        <row r="13640">
          <cell r="C13640">
            <v>2002928</v>
          </cell>
          <cell r="D13640" t="str">
            <v>TAC.PET/PE 187X137X50 PAD</v>
          </cell>
        </row>
        <row r="13641">
          <cell r="C13641">
            <v>2001857</v>
          </cell>
          <cell r="D13641" t="str">
            <v>TAC.PET/PE 187X137X83 BEZBARWNA</v>
          </cell>
        </row>
        <row r="13642">
          <cell r="C13642">
            <v>2002929</v>
          </cell>
          <cell r="D13642" t="str">
            <v>TAC.PET/PE 227X178X80 PAD</v>
          </cell>
        </row>
        <row r="13643">
          <cell r="C13643">
            <v>2002930</v>
          </cell>
          <cell r="D13643" t="str">
            <v>TAC.PET/PE 227X178X50 PAD</v>
          </cell>
        </row>
        <row r="13644">
          <cell r="C13644">
            <v>2002931</v>
          </cell>
          <cell r="D13644" t="str">
            <v>TAC.PET/PE 187X137X63 PAD</v>
          </cell>
        </row>
        <row r="13645">
          <cell r="C13645">
            <v>2002932</v>
          </cell>
          <cell r="D13645" t="str">
            <v>TAC.PET/PE 205X160X100 PAD</v>
          </cell>
        </row>
        <row r="13646">
          <cell r="C13646">
            <v>2002933</v>
          </cell>
          <cell r="D13646" t="str">
            <v>TAC.PET 205X160X60 PAD</v>
          </cell>
        </row>
        <row r="13647">
          <cell r="C13647">
            <v>2003608</v>
          </cell>
          <cell r="D13647" t="str">
            <v>***TAC.PET/PE227X178X32 CZARNA HAMBURGER</v>
          </cell>
        </row>
        <row r="13648">
          <cell r="C13648">
            <v>2002934</v>
          </cell>
          <cell r="D13648" t="str">
            <v>***TAC.PET/PE 205X160X36 KULKI</v>
          </cell>
        </row>
        <row r="13649">
          <cell r="C13649">
            <v>2002935</v>
          </cell>
          <cell r="D13649" t="str">
            <v>TAC.PET/PE 227X178X60 PAD</v>
          </cell>
        </row>
        <row r="13650">
          <cell r="C13650">
            <v>2003898</v>
          </cell>
          <cell r="D13650" t="str">
            <v>TAC.PET/PE 205X160X50 LIDL</v>
          </cell>
        </row>
        <row r="13651">
          <cell r="C13651">
            <v>2003897</v>
          </cell>
          <cell r="D13651" t="str">
            <v>TAC.PET/PE 205X160X50 PAD LIDL</v>
          </cell>
        </row>
        <row r="13652">
          <cell r="C13652">
            <v>2003902</v>
          </cell>
          <cell r="D13652" t="str">
            <v>TAC.PET/PE 227X178X50 PAD LIDL</v>
          </cell>
        </row>
        <row r="13653">
          <cell r="C13653">
            <v>2003901</v>
          </cell>
          <cell r="D13653" t="str">
            <v>TAC.PET/PE 227X178X80 PAD LIDL</v>
          </cell>
        </row>
        <row r="13654">
          <cell r="C13654">
            <v>2002936</v>
          </cell>
          <cell r="D13654" t="str">
            <v>TAC.PET/PE 205X160X80 PAD</v>
          </cell>
        </row>
        <row r="13655">
          <cell r="C13655">
            <v>2002937</v>
          </cell>
          <cell r="D13655" t="str">
            <v>TAC.PET 187X137X83 PAD</v>
          </cell>
        </row>
        <row r="13656">
          <cell r="C13656">
            <v>2002938</v>
          </cell>
          <cell r="D13656" t="str">
            <v>***TAC.PP 227X178X50 DZIELONA</v>
          </cell>
        </row>
        <row r="13657">
          <cell r="C13657">
            <v>2002939</v>
          </cell>
          <cell r="D13657" t="str">
            <v>***TAC.PP 227X178X45 CZRNA DZIELONA</v>
          </cell>
        </row>
        <row r="13658">
          <cell r="C13658">
            <v>2002940</v>
          </cell>
          <cell r="D13658" t="str">
            <v>***TAC.KC 227X178X80 PAD BIAŁA</v>
          </cell>
        </row>
        <row r="13659">
          <cell r="C13659">
            <v>2003425</v>
          </cell>
          <cell r="D13659" t="str">
            <v>TAC.PET 187X137X50 Z WKŁ.MP 1700</v>
          </cell>
        </row>
        <row r="13660">
          <cell r="C13660">
            <v>2003900</v>
          </cell>
          <cell r="D13660" t="str">
            <v>TAC.PET 187X137X83 PAD 4000 ŚWIEŻA PORCJ</v>
          </cell>
        </row>
        <row r="13661">
          <cell r="C13661">
            <v>2003532</v>
          </cell>
          <cell r="D13661" t="str">
            <v>TAC.PET/PE 205X160X50 PAD</v>
          </cell>
        </row>
        <row r="13662">
          <cell r="C13662">
            <v>2003899</v>
          </cell>
          <cell r="D13662" t="str">
            <v>TAC.PET 187X137X50 PAD 4000 ŚWIEŻA PORCJ</v>
          </cell>
        </row>
        <row r="13663">
          <cell r="C13663">
            <v>2003994</v>
          </cell>
          <cell r="D13663" t="str">
            <v>***TAC.PP 205X160X90 PAD 4000</v>
          </cell>
        </row>
        <row r="13664">
          <cell r="C13664">
            <v>2005032</v>
          </cell>
          <cell r="D13664" t="str">
            <v>TAC.PET/PE 205X160X40 PAD LIDL</v>
          </cell>
        </row>
        <row r="13665">
          <cell r="C13665">
            <v>2005285</v>
          </cell>
          <cell r="D13665" t="str">
            <v>TAC.PET/PE 227X178X80</v>
          </cell>
        </row>
        <row r="13666">
          <cell r="C13666">
            <v>2005415</v>
          </cell>
          <cell r="D13666" t="str">
            <v>TAC.PET/PE 227X178X60</v>
          </cell>
        </row>
        <row r="13667">
          <cell r="C13667">
            <v>2005500</v>
          </cell>
          <cell r="D13667" t="str">
            <v>***TAC.PET/PE205X160X50PAD4000 ŚWIERZA P</v>
          </cell>
        </row>
        <row r="13668">
          <cell r="C13668">
            <v>2005516</v>
          </cell>
          <cell r="D13668" t="str">
            <v>***TAC.PET/PE 205X160X100PAD4000ŚWIERZA</v>
          </cell>
        </row>
        <row r="13669">
          <cell r="C13669">
            <v>2005693</v>
          </cell>
          <cell r="D13669" t="str">
            <v>TAC.PET/PE 276X88X75 PAD LIDL</v>
          </cell>
        </row>
        <row r="13670">
          <cell r="C13670">
            <v>2005711</v>
          </cell>
          <cell r="D13670" t="str">
            <v>TAC.PET/PE 276X88X75 Z PAD NA POL.</v>
          </cell>
        </row>
        <row r="13671">
          <cell r="C13671">
            <v>2005756</v>
          </cell>
          <cell r="D13671" t="str">
            <v>TAC.PET/PE 227X178X40</v>
          </cell>
        </row>
        <row r="13672">
          <cell r="C13672">
            <v>2005783</v>
          </cell>
          <cell r="D13672" t="str">
            <v>TAC.PET/PE 227X178X40 Z PAD</v>
          </cell>
        </row>
        <row r="13673">
          <cell r="C13673">
            <v>2005862</v>
          </cell>
          <cell r="D13673" t="str">
            <v>TAC.PET/PE 205X160X100 Z PAD MG75L</v>
          </cell>
        </row>
        <row r="13674">
          <cell r="C13674">
            <v>2005861</v>
          </cell>
          <cell r="D13674" t="str">
            <v>TAC.PET/PE 205X160X60 Z PAD MG75L</v>
          </cell>
        </row>
        <row r="13675">
          <cell r="C13675">
            <v>2005880</v>
          </cell>
          <cell r="D13675" t="str">
            <v>TAC.PET/PE 205X160X80 Z PAD MG75L</v>
          </cell>
        </row>
        <row r="13676">
          <cell r="C13676">
            <v>2005913</v>
          </cell>
          <cell r="D13676" t="str">
            <v>TAC.205X160X40 PAD</v>
          </cell>
        </row>
        <row r="13677">
          <cell r="C13677">
            <v>2006180</v>
          </cell>
          <cell r="D13677" t="str">
            <v>TAC.PET/PE 205X160X50 Z PAD MG75L</v>
          </cell>
        </row>
        <row r="13678">
          <cell r="C13678">
            <v>2006432</v>
          </cell>
          <cell r="D13678" t="str">
            <v>TAC.PET/PE 205X160X40</v>
          </cell>
        </row>
        <row r="13679">
          <cell r="C13679">
            <v>2006928</v>
          </cell>
          <cell r="D13679" t="str">
            <v>TAC.PET/PE 205X160X80 CZARNA</v>
          </cell>
        </row>
        <row r="13680">
          <cell r="C13680">
            <v>2007440</v>
          </cell>
          <cell r="D13680" t="str">
            <v>TAC.PET/PE 227X178X25 CZARNA</v>
          </cell>
        </row>
        <row r="13681">
          <cell r="C13681">
            <v>2007452</v>
          </cell>
          <cell r="D13681" t="str">
            <v>TAC.PET/PE 227X178X50 CZARNY</v>
          </cell>
        </row>
        <row r="13682">
          <cell r="C13682">
            <v>2007733</v>
          </cell>
          <cell r="D13682" t="str">
            <v>TAC.PET/PE 205X160X50 PAD CZARNA</v>
          </cell>
        </row>
        <row r="13683">
          <cell r="C13683">
            <v>2008137</v>
          </cell>
          <cell r="D13683" t="str">
            <v>TAC.PET/PE 227X178X40 CZARNA 2-KOMOROWA</v>
          </cell>
        </row>
        <row r="13684">
          <cell r="C13684">
            <v>2008688</v>
          </cell>
          <cell r="D13684" t="str">
            <v>TAC.PET/PE 205X160X60 PAD LIDL</v>
          </cell>
        </row>
        <row r="13685">
          <cell r="C13685">
            <v>2008687</v>
          </cell>
          <cell r="D13685" t="str">
            <v>TAC.PET/PE 227X178X60 PAD LIDL</v>
          </cell>
        </row>
        <row r="13686">
          <cell r="C13686">
            <v>2008743</v>
          </cell>
          <cell r="D13686" t="str">
            <v>TAC.PET/PE 227X178X60 LIDL M.MIEL.1KG</v>
          </cell>
        </row>
        <row r="13687">
          <cell r="C13687">
            <v>2008918</v>
          </cell>
          <cell r="D13687" t="str">
            <v>TAC.PET/PE 205X160X80 PAD LIDL</v>
          </cell>
        </row>
        <row r="13688">
          <cell r="C13688">
            <v>2002744</v>
          </cell>
          <cell r="D13688" t="str">
            <v>FOR.ALU.220X150X70</v>
          </cell>
        </row>
        <row r="13689">
          <cell r="C13689">
            <v>2002941</v>
          </cell>
          <cell r="D13689" t="str">
            <v>KLIPSY 18-07/5X1.75 L</v>
          </cell>
        </row>
        <row r="13690">
          <cell r="C13690">
            <v>2000987</v>
          </cell>
          <cell r="D13690" t="str">
            <v>KLIPS 18-09/5X2.00 L</v>
          </cell>
        </row>
        <row r="13691">
          <cell r="C13691">
            <v>2002942</v>
          </cell>
          <cell r="D13691" t="str">
            <v>KLIPS 18-12/5X2.20L</v>
          </cell>
        </row>
        <row r="13692">
          <cell r="C13692">
            <v>2002943</v>
          </cell>
          <cell r="D13692" t="str">
            <v>KLIPSY S8744 POLY CLIP</v>
          </cell>
        </row>
        <row r="13693">
          <cell r="C13693">
            <v>2002944</v>
          </cell>
          <cell r="D13693" t="str">
            <v>PETELKA TW.SZT.20-100 POLY CLIP</v>
          </cell>
        </row>
        <row r="13694">
          <cell r="C13694">
            <v>2003611</v>
          </cell>
          <cell r="D13694" t="str">
            <v>***KLIPSY Z321 SP</v>
          </cell>
        </row>
        <row r="13695">
          <cell r="C13695">
            <v>2000935</v>
          </cell>
          <cell r="D13695" t="str">
            <v>KLIPSY 18-09/5X1.75</v>
          </cell>
        </row>
        <row r="13696">
          <cell r="C13696">
            <v>2000769</v>
          </cell>
          <cell r="D13696" t="str">
            <v>KLIPSY 18-13/5X2.50 L</v>
          </cell>
        </row>
        <row r="13697">
          <cell r="C13697">
            <v>2000771</v>
          </cell>
          <cell r="D13697" t="str">
            <v>KLIPSY 18-09/5X2  PE</v>
          </cell>
        </row>
        <row r="13698">
          <cell r="C13698">
            <v>2004145</v>
          </cell>
          <cell r="D13698" t="str">
            <v>KLIPS 07-175L</v>
          </cell>
        </row>
        <row r="13699">
          <cell r="C13699">
            <v>2004143</v>
          </cell>
          <cell r="D13699" t="str">
            <v>KLIPS 12-200L</v>
          </cell>
        </row>
        <row r="13700">
          <cell r="C13700">
            <v>2004142</v>
          </cell>
          <cell r="D13700" t="str">
            <v>KLIPS 09-200L</v>
          </cell>
        </row>
        <row r="13701">
          <cell r="C13701">
            <v>2005274</v>
          </cell>
          <cell r="D13701" t="str">
            <v>KLIPSY 18-07/5X1,75 ALPINA</v>
          </cell>
        </row>
        <row r="13702">
          <cell r="C13702">
            <v>2001606</v>
          </cell>
          <cell r="D13702" t="str">
            <v>KLIPS 230 BT</v>
          </cell>
        </row>
        <row r="13703">
          <cell r="C13703">
            <v>2009424</v>
          </cell>
          <cell r="D13703" t="str">
            <v>WOR.180X350 OSB3050 GR 50</v>
          </cell>
        </row>
        <row r="13704">
          <cell r="C13704">
            <v>2002945</v>
          </cell>
          <cell r="D13704" t="str">
            <v>PĘTELKI BIAŁE ALPINA</v>
          </cell>
        </row>
        <row r="13705">
          <cell r="C13705">
            <v>2002946</v>
          </cell>
          <cell r="D13705" t="str">
            <v>PĘTELKA 20-100 POLY CLIP CZER.</v>
          </cell>
        </row>
        <row r="13706">
          <cell r="C13706">
            <v>2002947</v>
          </cell>
          <cell r="D13706" t="str">
            <v>PĘTELKA 20-100 POLY CLIP NIEB.</v>
          </cell>
        </row>
        <row r="13707">
          <cell r="C13707">
            <v>2002948</v>
          </cell>
          <cell r="D13707" t="str">
            <v>PĘTELKA 20-100 CZAR.E POLY CLIP</v>
          </cell>
        </row>
        <row r="13708">
          <cell r="C13708">
            <v>2008502</v>
          </cell>
          <cell r="D13708" t="str">
            <v>FOL.PET MET/PE 77X620 ZŁOTY</v>
          </cell>
        </row>
        <row r="13709">
          <cell r="C13709">
            <v>2008505</v>
          </cell>
          <cell r="D13709" t="str">
            <v>***WOR.200X700 PA/PE GR70</v>
          </cell>
        </row>
        <row r="13710">
          <cell r="C13710">
            <v>2008514</v>
          </cell>
          <cell r="D13710" t="str">
            <v>***WOR.400X550 PA/PE GR70</v>
          </cell>
        </row>
        <row r="13711">
          <cell r="C13711">
            <v>2008506</v>
          </cell>
          <cell r="D13711" t="str">
            <v>***WOR.250X700 PA/PE GR70</v>
          </cell>
        </row>
        <row r="13712">
          <cell r="C13712">
            <v>2008515</v>
          </cell>
          <cell r="D13712" t="str">
            <v>***WOR.240X450 PA/PE GR70</v>
          </cell>
        </row>
        <row r="13713">
          <cell r="C13713">
            <v>2008516</v>
          </cell>
          <cell r="D13713" t="str">
            <v>***WOR.350X400 PA/PE GR140</v>
          </cell>
        </row>
        <row r="13714">
          <cell r="C13714">
            <v>2008518</v>
          </cell>
          <cell r="D13714" t="str">
            <v>***WOR.300X700 PA/PE GR140</v>
          </cell>
        </row>
        <row r="13715">
          <cell r="C13715">
            <v>2008570</v>
          </cell>
          <cell r="D13715" t="str">
            <v>***FOL.PET/PE/EVOH/PE57X445PEEL KAB.MINI</v>
          </cell>
        </row>
        <row r="13716">
          <cell r="C13716">
            <v>2008539</v>
          </cell>
          <cell r="D13716" t="str">
            <v>***FOL.PEHB45A 265X205 KM GARMA.SP AS/KM</v>
          </cell>
        </row>
        <row r="13717">
          <cell r="C13717">
            <v>2008602</v>
          </cell>
          <cell r="D13717" t="str">
            <v>FOL.PET/EVOH/PE 52X350</v>
          </cell>
        </row>
        <row r="13718">
          <cell r="C13718">
            <v>2008603</v>
          </cell>
          <cell r="D13718" t="str">
            <v>***FOL.PET/PA/EVOH/PE 52X520 K.ŚL.PIK</v>
          </cell>
        </row>
        <row r="13719">
          <cell r="C13719">
            <v>2008662</v>
          </cell>
          <cell r="D13719" t="str">
            <v>***FOL.PET/PE/EVOH 52X260 LIDL</v>
          </cell>
        </row>
        <row r="13720">
          <cell r="C13720">
            <v>2008696</v>
          </cell>
          <cell r="D13720" t="str">
            <v>FOL.PA/EVOH/PE 200X623</v>
          </cell>
        </row>
        <row r="13721">
          <cell r="C13721">
            <v>2008702</v>
          </cell>
          <cell r="D13721" t="str">
            <v>FOL.PET/PE/EVOH 52X270 SCHAB RZ.XXL</v>
          </cell>
        </row>
        <row r="13722">
          <cell r="C13722">
            <v>2008703</v>
          </cell>
          <cell r="D13722" t="str">
            <v>FOL.PET/PE/EVOH 52X270 M.MIELONE RZ.XXL</v>
          </cell>
        </row>
        <row r="13723">
          <cell r="C13723">
            <v>2001474</v>
          </cell>
          <cell r="D13723" t="str">
            <v>FOL.PA/PE 200X425</v>
          </cell>
        </row>
        <row r="13724">
          <cell r="C13724">
            <v>2008735</v>
          </cell>
          <cell r="D13724" t="str">
            <v>FOL.PET/PE/EVOH/PE 52X265 M.M Z SZYNKI</v>
          </cell>
        </row>
        <row r="13725">
          <cell r="C13725">
            <v>2008732</v>
          </cell>
          <cell r="D13725" t="str">
            <v>FOL.PET/PE/EVOH 52X270 LIDL</v>
          </cell>
        </row>
        <row r="13726">
          <cell r="C13726">
            <v>2008731</v>
          </cell>
          <cell r="D13726" t="str">
            <v>FOL.PET/PE/EVOH/PE 52X265 M.M Z ŁOP.</v>
          </cell>
        </row>
        <row r="13727">
          <cell r="C13727">
            <v>2008712</v>
          </cell>
          <cell r="D13727" t="str">
            <v>FOL.PA/PE 100X420 GÓRA KRATKA SZYN.</v>
          </cell>
        </row>
        <row r="13728">
          <cell r="C13728">
            <v>2008711</v>
          </cell>
          <cell r="D13728" t="str">
            <v>FOL.PA/PE 240X432 DÓŁ KRATKA SZYN.</v>
          </cell>
        </row>
        <row r="13729">
          <cell r="C13729">
            <v>2008710</v>
          </cell>
          <cell r="D13729" t="str">
            <v>***FOL.PET/PE/EVOH/PE 42X445 KAB.KRA</v>
          </cell>
        </row>
        <row r="13730">
          <cell r="C13730">
            <v>2008779</v>
          </cell>
          <cell r="D13730" t="str">
            <v>***FOL.HB 60X520 GÓRA</v>
          </cell>
        </row>
        <row r="13731">
          <cell r="C13731">
            <v>2008778</v>
          </cell>
          <cell r="D13731" t="str">
            <v>***FOL.HB 200X523 DÓŁ</v>
          </cell>
        </row>
        <row r="13732">
          <cell r="C13732">
            <v>2008758</v>
          </cell>
          <cell r="D13732" t="str">
            <v>***FOL.PA/EVOH/PE 90X527 D</v>
          </cell>
        </row>
        <row r="13733">
          <cell r="C13733">
            <v>2008759</v>
          </cell>
          <cell r="D13733" t="str">
            <v>FOL.PET/EVOH/PE 50X530 G</v>
          </cell>
        </row>
        <row r="13734">
          <cell r="C13734">
            <v>2008860</v>
          </cell>
          <cell r="D13734" t="str">
            <v>***FOL.PET/PA/EVOH/PE 57X415 KASZ.COM.</v>
          </cell>
        </row>
        <row r="13735">
          <cell r="C13735">
            <v>2008819</v>
          </cell>
          <cell r="D13735" t="str">
            <v>FOL.PET/PA/EVOH/PE 57X445 KASZ.R530</v>
          </cell>
        </row>
        <row r="13736">
          <cell r="C13736">
            <v>2008864</v>
          </cell>
          <cell r="D13736" t="str">
            <v>FOL.APET/PE 350X522</v>
          </cell>
        </row>
        <row r="13737">
          <cell r="C13737">
            <v>2008855</v>
          </cell>
          <cell r="D13737" t="str">
            <v>FOL.PET/EVOH/PE 72X620</v>
          </cell>
        </row>
        <row r="13738">
          <cell r="C13738">
            <v>2008879</v>
          </cell>
          <cell r="D13738" t="str">
            <v>***FOL.PET/PE 52X500 BOCZEK JMD</v>
          </cell>
        </row>
        <row r="13739">
          <cell r="C13739">
            <v>2008890</v>
          </cell>
          <cell r="D13739" t="str">
            <v>FOL.PET/PE/EVOH 52X265 LIDL</v>
          </cell>
        </row>
        <row r="13740">
          <cell r="C13740">
            <v>2008920</v>
          </cell>
          <cell r="D13740" t="str">
            <v>FOL.PET/PE/EVOH  52X345 POL.LIDL</v>
          </cell>
        </row>
        <row r="13741">
          <cell r="C13741">
            <v>2008908</v>
          </cell>
          <cell r="D13741" t="str">
            <v>FOL.PET/PE/EVOH 52X390 LIDL</v>
          </cell>
        </row>
        <row r="13742">
          <cell r="C13742">
            <v>2008924</v>
          </cell>
          <cell r="D13742" t="str">
            <v>***FOL.PA/EVOH/PE 200X523</v>
          </cell>
        </row>
        <row r="13743">
          <cell r="C13743">
            <v>2008952</v>
          </cell>
          <cell r="D13743" t="str">
            <v>FOL.PE/HB 45X265 GARM.WP.-WŁ.B/ZŚ</v>
          </cell>
        </row>
        <row r="13744">
          <cell r="C13744">
            <v>2008951</v>
          </cell>
          <cell r="D13744" t="str">
            <v>FOL.PE/HB 45X265 ELEM.M-SA ZŚ</v>
          </cell>
        </row>
        <row r="13745">
          <cell r="C13745">
            <v>2008950</v>
          </cell>
          <cell r="D13745" t="str">
            <v>FOL.PE/HB 45X265 ZŚ+100% Z ŁOP.I WŁ.</v>
          </cell>
        </row>
        <row r="13746">
          <cell r="C13746">
            <v>2008929</v>
          </cell>
          <cell r="D13746" t="str">
            <v>FOL.PE/HB 45X265 GARM.WP.B/ZŚ</v>
          </cell>
        </row>
        <row r="13747">
          <cell r="C13747">
            <v>2008928</v>
          </cell>
          <cell r="D13747" t="str">
            <v>***FOL.PE/HB A 45X390 GARMAŻ.</v>
          </cell>
        </row>
        <row r="13748">
          <cell r="C13748">
            <v>2008927</v>
          </cell>
          <cell r="D13748" t="str">
            <v>FOL.PA/EVOH/PE 60X520</v>
          </cell>
        </row>
        <row r="13749">
          <cell r="C13749">
            <v>2008917</v>
          </cell>
          <cell r="D13749" t="str">
            <v>***FOL.PEHB A 45X390</v>
          </cell>
        </row>
        <row r="13750">
          <cell r="C13750">
            <v>2008945</v>
          </cell>
          <cell r="D13750" t="str">
            <v>***FOL.PET/EVOH/PE 72X520</v>
          </cell>
        </row>
        <row r="13751">
          <cell r="C13751">
            <v>2008237</v>
          </cell>
          <cell r="D13751" t="str">
            <v>FOL.PA/PE 80X415 DO GOTOWANIA</v>
          </cell>
        </row>
        <row r="13752">
          <cell r="C13752">
            <v>2008242</v>
          </cell>
          <cell r="D13752" t="str">
            <v>FOL.PA/PE 200X424 DO GOT.</v>
          </cell>
        </row>
        <row r="13753">
          <cell r="C13753">
            <v>2009011</v>
          </cell>
          <cell r="D13753" t="str">
            <v>FOL.PE/HB A 55X345 POL.ZŚ</v>
          </cell>
        </row>
        <row r="13754">
          <cell r="C13754">
            <v>2009004</v>
          </cell>
          <cell r="D13754" t="str">
            <v>FOL.PE/HB A 45X265X205 MM Z ŁOP.ZŚ+100%</v>
          </cell>
        </row>
        <row r="13755">
          <cell r="C13755">
            <v>2009003</v>
          </cell>
          <cell r="D13755" t="str">
            <v>FOL.PE/HB A 45X265 M.MIEL.GARM.B/ZŚ</v>
          </cell>
        </row>
        <row r="13756">
          <cell r="C13756">
            <v>2009000</v>
          </cell>
          <cell r="D13756" t="str">
            <v>FOL.PE/HB A 45X265X205 M.MIEL.ZŚ+100%</v>
          </cell>
        </row>
        <row r="13757">
          <cell r="C13757">
            <v>2009037</v>
          </cell>
          <cell r="D13757" t="str">
            <v>FOL.PE/HB A 45X230X187 ZŚ</v>
          </cell>
        </row>
        <row r="13758">
          <cell r="C13758">
            <v>2009036</v>
          </cell>
          <cell r="D13758" t="str">
            <v>FOL.PE/HB 45X390 MM Z ŁOP.I WŁ.ZŚ+100%MM</v>
          </cell>
        </row>
        <row r="13759">
          <cell r="C13759">
            <v>2009035</v>
          </cell>
          <cell r="D13759" t="str">
            <v>FOL.PE/HB 45X390M.MIEL.GARM.WP-WŁ.B/ZŚ</v>
          </cell>
        </row>
        <row r="13760">
          <cell r="C13760">
            <v>2009034</v>
          </cell>
          <cell r="D13760" t="str">
            <v>FOL.PE/HB 45X390 MM Z ŁOP.-SZYN.ZŚ+100%</v>
          </cell>
        </row>
        <row r="13761">
          <cell r="C13761">
            <v>2009033</v>
          </cell>
          <cell r="D13761" t="str">
            <v>FOL.PE/HB 45X390 M-SO WP.GARM. B/ZŚ</v>
          </cell>
        </row>
        <row r="13762">
          <cell r="C13762">
            <v>2009059</v>
          </cell>
          <cell r="D13762" t="str">
            <v>FOL.APET/PE 350X622 BLACK</v>
          </cell>
        </row>
        <row r="13763">
          <cell r="C13763">
            <v>2009081</v>
          </cell>
          <cell r="D13763" t="str">
            <v>FOL.PE/HB A 45X230X187 ZŚ MULTIVAC</v>
          </cell>
        </row>
        <row r="13764">
          <cell r="C13764">
            <v>2009062</v>
          </cell>
          <cell r="D13764" t="str">
            <v>FOL.PET/PE/EVOH/PE Z PEEL 60X520 K.280G</v>
          </cell>
        </row>
        <row r="13765">
          <cell r="C13765">
            <v>2009067</v>
          </cell>
          <cell r="D13765" t="str">
            <v>FOL.PET/PE/EVOH 52X390 MM Z SZYNKI</v>
          </cell>
        </row>
        <row r="13766">
          <cell r="C13766">
            <v>2009068</v>
          </cell>
          <cell r="D13766" t="str">
            <v>FOL.PET/PE/EVOH 52X390 M-SO Z ŁOP.</v>
          </cell>
        </row>
        <row r="13767">
          <cell r="C13767">
            <v>2009101</v>
          </cell>
          <cell r="D13767" t="str">
            <v>FOL.PE/HB 45X275 GRILL</v>
          </cell>
        </row>
        <row r="13768">
          <cell r="C13768">
            <v>2008065</v>
          </cell>
          <cell r="D13768" t="str">
            <v>FOL.PET/PA/EVOH/PE 42X520 BIAŁA Z SZ.NS</v>
          </cell>
        </row>
        <row r="13769">
          <cell r="C13769">
            <v>2009160</v>
          </cell>
          <cell r="D13769" t="str">
            <v>FOL.PET/PA/EVOH/PE PEEL 42X520 GRILL-FUN</v>
          </cell>
        </row>
        <row r="13770">
          <cell r="C13770">
            <v>2009299</v>
          </cell>
          <cell r="D13770" t="str">
            <v>FOL.PET/PA/EVOH/PE 42X420 BIAŁA Z MAJER.</v>
          </cell>
        </row>
        <row r="13771">
          <cell r="C13771">
            <v>2009300</v>
          </cell>
          <cell r="D13771" t="str">
            <v>FOL.TOPLEX/HB 60X525 DUŻA GILZA</v>
          </cell>
        </row>
        <row r="13772">
          <cell r="C13772">
            <v>2009373</v>
          </cell>
          <cell r="D13772" t="str">
            <v>FOL.PET/PA/EVOH/PE 42X415 KASZ.TEŚĆ.</v>
          </cell>
        </row>
        <row r="13773">
          <cell r="C13773">
            <v>2009410</v>
          </cell>
          <cell r="D13773" t="str">
            <v>FOL.PET/EVOH/PE 57X520 ŚLĄSKA.550G</v>
          </cell>
        </row>
        <row r="13774">
          <cell r="C13774">
            <v>2009346</v>
          </cell>
          <cell r="D13774" t="str">
            <v>WOR.TRMK 300X450 GR50</v>
          </cell>
        </row>
        <row r="13775">
          <cell r="C13775">
            <v>2009422</v>
          </cell>
          <cell r="D13775" t="str">
            <v>WOR.230X550 OSB3050 GR50</v>
          </cell>
        </row>
        <row r="13776">
          <cell r="C13776">
            <v>2011832</v>
          </cell>
          <cell r="D13776" t="str">
            <v>***ARK.LDPE 800X800 GR30 NIEB.</v>
          </cell>
        </row>
        <row r="13777">
          <cell r="C13777">
            <v>2009450</v>
          </cell>
          <cell r="D13777" t="str">
            <v>FOL.PET/PE/EVOH/PE 57X420 PRZEK.</v>
          </cell>
        </row>
        <row r="13778">
          <cell r="C13778">
            <v>2009727</v>
          </cell>
          <cell r="D13778" t="str">
            <v>FOL.PET/PA/EVOH/PE 45X420KAB.KRAKUS USA</v>
          </cell>
        </row>
        <row r="13779">
          <cell r="C13779">
            <v>2009621</v>
          </cell>
          <cell r="D13779" t="str">
            <v>WOR.230X400 OSB3050 GR 50</v>
          </cell>
        </row>
        <row r="13780">
          <cell r="C13780">
            <v>2007413</v>
          </cell>
          <cell r="D13780" t="str">
            <v>FOL.PA/EVOH/PE 150X422</v>
          </cell>
        </row>
        <row r="13781">
          <cell r="C13781">
            <v>2009798</v>
          </cell>
          <cell r="D13781" t="str">
            <v>WOR.TRMK 230X400 GR45</v>
          </cell>
        </row>
        <row r="13782">
          <cell r="C13782">
            <v>2009876</v>
          </cell>
          <cell r="D13782" t="str">
            <v>FOL.PET/PE/EVOH/PE 55X520 K.ŚL.PREMIUM</v>
          </cell>
        </row>
        <row r="13783">
          <cell r="C13783">
            <v>2009891</v>
          </cell>
          <cell r="D13783" t="str">
            <v>FOL.PET/PA/EVOH/PE 45X415 KASZ.JMD</v>
          </cell>
        </row>
        <row r="13784">
          <cell r="C13784">
            <v>2009892</v>
          </cell>
          <cell r="D13784" t="str">
            <v>FOL.PET/PA/EVOH/PE 45X445 KASZ.JMD</v>
          </cell>
        </row>
        <row r="13785">
          <cell r="C13785">
            <v>2009896</v>
          </cell>
          <cell r="D13785" t="str">
            <v>FOL.PET23/PE/EVOH/PE 7095X520 BIAŁ.Z SZ.</v>
          </cell>
        </row>
        <row r="13786">
          <cell r="C13786">
            <v>2009904</v>
          </cell>
          <cell r="D13786" t="str">
            <v>***FOL.PE ARK.70X80</v>
          </cell>
        </row>
        <row r="13787">
          <cell r="C13787">
            <v>2010079</v>
          </cell>
          <cell r="D13787" t="str">
            <v>FOL.PET/PA/EVOH/PE 42X415 SZYN.WĘDZ.</v>
          </cell>
        </row>
        <row r="13788">
          <cell r="C13788">
            <v>2004119</v>
          </cell>
          <cell r="D13788" t="str">
            <v>FOL.PA/EVOH/PE 60X445</v>
          </cell>
        </row>
        <row r="13789">
          <cell r="C13789">
            <v>2010143</v>
          </cell>
          <cell r="D13789" t="str">
            <v>FOL.PET/PE/EVOH/PE 57X220 K.MORL.PIEPRZ.</v>
          </cell>
        </row>
        <row r="13790">
          <cell r="C13790">
            <v>2010141</v>
          </cell>
          <cell r="D13790" t="str">
            <v>FOL.PET/PE/EVOH/PE 57X220 K.MORL.CHILI</v>
          </cell>
        </row>
        <row r="13791">
          <cell r="C13791">
            <v>2010142</v>
          </cell>
          <cell r="D13791" t="str">
            <v>FOL.PET/PE/EVOH/PE 57X220 K.MORL.CLASSIC</v>
          </cell>
        </row>
        <row r="13792">
          <cell r="C13792">
            <v>2010147</v>
          </cell>
          <cell r="D13792" t="str">
            <v>FOL.PET/PE/EVOH/PE 57X220 K.MORL.Z SZYN.</v>
          </cell>
        </row>
        <row r="13793">
          <cell r="C13793">
            <v>2010281</v>
          </cell>
          <cell r="D13793" t="str">
            <v>FOL.PET/PE 65X500 KARK.</v>
          </cell>
        </row>
        <row r="13794">
          <cell r="C13794">
            <v>2010280</v>
          </cell>
          <cell r="D13794" t="str">
            <v>FOL.PET/PE 65X500 SCH.ZE ŚLIWKĄ</v>
          </cell>
        </row>
        <row r="13795">
          <cell r="C13795">
            <v>2010249</v>
          </cell>
          <cell r="D13795" t="str">
            <v>FOL.PET/PE 65X500 SZYN.</v>
          </cell>
        </row>
        <row r="13796">
          <cell r="C13796">
            <v>2010290</v>
          </cell>
          <cell r="D13796" t="str">
            <v>FOL.PET/PE 65X500 WG KRA</v>
          </cell>
        </row>
        <row r="13797">
          <cell r="C13797">
            <v>2010267</v>
          </cell>
          <cell r="D13797" t="str">
            <v>FOL.ICE 100X420</v>
          </cell>
        </row>
        <row r="13798">
          <cell r="C13798">
            <v>2010268</v>
          </cell>
          <cell r="D13798" t="str">
            <v>FOL.ICE 200X422</v>
          </cell>
        </row>
        <row r="13799">
          <cell r="C13799">
            <v>2010302</v>
          </cell>
          <cell r="D13799" t="str">
            <v>FOL.PET/EVOH/PE 57X420 TRANSP.</v>
          </cell>
        </row>
        <row r="13800">
          <cell r="C13800">
            <v>2010303</v>
          </cell>
          <cell r="D13800" t="str">
            <v>FOL.PE TRMK 50X500</v>
          </cell>
        </row>
        <row r="13801">
          <cell r="C13801">
            <v>2010358</v>
          </cell>
          <cell r="D13801" t="str">
            <v>FOL.PA/PE B 100X420 DO GOTOWANIA G</v>
          </cell>
        </row>
        <row r="13802">
          <cell r="C13802">
            <v>2010359</v>
          </cell>
          <cell r="D13802" t="str">
            <v>FOL.PP/PA/PE PB 200X422 DO GOTOWANIA D</v>
          </cell>
        </row>
        <row r="13803">
          <cell r="C13803">
            <v>2010333</v>
          </cell>
          <cell r="D13803" t="str">
            <v>FOL.PET/PE/EVOH/PE 62X555 KAB.Z JAŁOWCEM</v>
          </cell>
        </row>
        <row r="13804">
          <cell r="C13804">
            <v>2010334</v>
          </cell>
          <cell r="D13804" t="str">
            <v>FOL.PET/PE/EVOH/PE 62X555 KAB.Z ROZMAR.</v>
          </cell>
        </row>
        <row r="13805">
          <cell r="C13805">
            <v>2010335</v>
          </cell>
          <cell r="D13805" t="str">
            <v>***FOL.PET/PE/EVOH/PE 62X555 KABAN.</v>
          </cell>
        </row>
        <row r="13806">
          <cell r="C13806">
            <v>2010434</v>
          </cell>
          <cell r="D13806" t="str">
            <v>FOL.PET/PA/EVOH/PE 42X520 REGIONALNA</v>
          </cell>
        </row>
        <row r="13807">
          <cell r="C13807">
            <v>2010466</v>
          </cell>
          <cell r="D13807" t="str">
            <v>FOL.PET/PE/EVOH/PE 57X555</v>
          </cell>
        </row>
        <row r="13808">
          <cell r="C13808">
            <v>2008004</v>
          </cell>
          <cell r="D13808" t="str">
            <v>FOL.LLDPE/TIE/PA/EVOH/PA/TIE 140X462 MIN</v>
          </cell>
        </row>
        <row r="13809">
          <cell r="C13809">
            <v>2009370</v>
          </cell>
          <cell r="D13809" t="str">
            <v>ARK.HDPE 450X650 GR15 NIEB.</v>
          </cell>
        </row>
        <row r="13810">
          <cell r="C13810">
            <v>2010611</v>
          </cell>
          <cell r="D13810" t="str">
            <v>FOL.PA/PE 100X445</v>
          </cell>
        </row>
        <row r="13811">
          <cell r="C13811">
            <v>2010632</v>
          </cell>
          <cell r="D13811" t="str">
            <v>FOL.CRYSTALPAK 85X520</v>
          </cell>
        </row>
        <row r="13812">
          <cell r="C13812">
            <v>2010609</v>
          </cell>
          <cell r="D13812" t="str">
            <v>FOL.PET/PE/EVOH 57X220 MEATERS CHILLI</v>
          </cell>
        </row>
        <row r="13813">
          <cell r="C13813">
            <v>2010630</v>
          </cell>
          <cell r="D13813" t="str">
            <v>FOL.PET/PE/EVOH 57X220 MEATERS DROB.-WP.</v>
          </cell>
        </row>
        <row r="13814">
          <cell r="C13814">
            <v>2010631</v>
          </cell>
          <cell r="D13814" t="str">
            <v>FOL.PET/PE/EVOH 57X220 MEATERS MIĘSNY</v>
          </cell>
        </row>
        <row r="13815">
          <cell r="C13815">
            <v>2010633</v>
          </cell>
          <cell r="D13815" t="str">
            <v>FOL.APET/PE 200X422 ZŁO.</v>
          </cell>
        </row>
        <row r="13816">
          <cell r="C13816">
            <v>2010634</v>
          </cell>
          <cell r="D13816" t="str">
            <v>FOL.PET/PE/EVOH/PE 42X520 K.ŚLĄSKA PREM.</v>
          </cell>
        </row>
        <row r="13817">
          <cell r="C13817">
            <v>2010635</v>
          </cell>
          <cell r="D13817" t="str">
            <v>FOL.CRYSTALPAK 150X523</v>
          </cell>
        </row>
        <row r="13818">
          <cell r="C13818">
            <v>2010725</v>
          </cell>
          <cell r="D13818" t="str">
            <v>FOL.PET/PE/EVOH/PE/AF 60X555 MASERO</v>
          </cell>
        </row>
        <row r="13819">
          <cell r="C13819">
            <v>2010699</v>
          </cell>
          <cell r="D13819" t="str">
            <v>FOL.PET/PE/EVOH/PE 42X520 K.ŚL.90% PIK</v>
          </cell>
        </row>
        <row r="13820">
          <cell r="C13820">
            <v>2010810</v>
          </cell>
          <cell r="D13820" t="str">
            <v>FOL.PET/PA/EVOH/PE/PEEL 42X520 MOR</v>
          </cell>
        </row>
        <row r="13821">
          <cell r="C13821">
            <v>2004843</v>
          </cell>
          <cell r="D13821" t="str">
            <v>***FOL.PET/PA/PE 190.5X270 K.REGIONALNA</v>
          </cell>
        </row>
        <row r="13822">
          <cell r="C13822">
            <v>2010837</v>
          </cell>
          <cell r="D13822" t="str">
            <v>FOL.PET/PE/EVOH/PE 42X420 K.TEKSAŃSKA</v>
          </cell>
        </row>
        <row r="13823">
          <cell r="C13823">
            <v>2010846</v>
          </cell>
          <cell r="D13823" t="str">
            <v>FOL.PET/PE/EVOH 57X220 MEATERS EXP.CHILI</v>
          </cell>
        </row>
        <row r="13824">
          <cell r="C13824">
            <v>2010845</v>
          </cell>
          <cell r="D13824" t="str">
            <v>FOL.PET/PE/EVOH 57X220 MEATERS EXP.PORK</v>
          </cell>
        </row>
        <row r="13825">
          <cell r="C13825">
            <v>2010851</v>
          </cell>
          <cell r="D13825" t="str">
            <v>FOL.PET/PE/EVOH 57X220 MEATERS EXP.CH&amp;P</v>
          </cell>
        </row>
        <row r="13826">
          <cell r="C13826">
            <v>2010881</v>
          </cell>
          <cell r="D13826" t="str">
            <v>***FOL.PET/PE/EVOH/PE 42X520 PIK EX</v>
          </cell>
        </row>
        <row r="13827">
          <cell r="C13827">
            <v>2010900</v>
          </cell>
          <cell r="D13827" t="str">
            <v>FOL.PET/PE/EVOH/PE 42X520 GRILL&amp;FUN</v>
          </cell>
        </row>
        <row r="13828">
          <cell r="C13828">
            <v>2010697</v>
          </cell>
          <cell r="D13828" t="str">
            <v>FOL.RS2000 50X450 TRMK</v>
          </cell>
        </row>
        <row r="13829">
          <cell r="C13829">
            <v>2011044</v>
          </cell>
          <cell r="D13829" t="str">
            <v>FOL.PET/PA/EVOH/PE 42X415 KASZ.BIED</v>
          </cell>
        </row>
        <row r="13830">
          <cell r="C13830">
            <v>2011043</v>
          </cell>
          <cell r="D13830" t="str">
            <v>FOL.PET/PA/EVOH/PE 42X520 KASZ.BIED</v>
          </cell>
        </row>
        <row r="13831">
          <cell r="C13831">
            <v>2011052</v>
          </cell>
          <cell r="D13831" t="str">
            <v>FOL.PA/EVOH/PE 57X520</v>
          </cell>
        </row>
        <row r="13832">
          <cell r="C13832">
            <v>2011046</v>
          </cell>
          <cell r="D13832" t="str">
            <v>FOL.PA/EVOH/PE 180X523</v>
          </cell>
        </row>
        <row r="13833">
          <cell r="C13833">
            <v>2011139</v>
          </cell>
          <cell r="D13833" t="str">
            <v>FOL.PA/EVOH/PE 57X620</v>
          </cell>
        </row>
        <row r="13834">
          <cell r="C13834">
            <v>2011138</v>
          </cell>
          <cell r="D13834" t="str">
            <v>***FOL.PA/EVOH/PE 180X623</v>
          </cell>
        </row>
        <row r="13835">
          <cell r="C13835">
            <v>2011210</v>
          </cell>
          <cell r="D13835" t="str">
            <v>***FOL.PE TAŚMA 700X0.028</v>
          </cell>
        </row>
        <row r="13836">
          <cell r="C13836">
            <v>2011213</v>
          </cell>
          <cell r="D13836" t="str">
            <v>***FOL.TAŚMA 700X0.028 PROD.OF POL.</v>
          </cell>
        </row>
        <row r="13837">
          <cell r="C13837">
            <v>2011211</v>
          </cell>
          <cell r="D13837" t="str">
            <v>***FOL.PET/PA/EVOH/PE 42X520 DULANO</v>
          </cell>
        </row>
        <row r="13838">
          <cell r="C13838">
            <v>2011403</v>
          </cell>
          <cell r="D13838" t="str">
            <v>FOL.PE TAŚ.28X700 PROD.OF POL.</v>
          </cell>
        </row>
        <row r="13839">
          <cell r="C13839">
            <v>2011350</v>
          </cell>
          <cell r="D13839" t="str">
            <v>FOL.PE TAŚ.28X700</v>
          </cell>
        </row>
        <row r="13840">
          <cell r="C13840">
            <v>2011522</v>
          </cell>
          <cell r="D13840" t="str">
            <v>***FOL.PET/PE/EVOH/PE/PEEL57X445 CHICKEN</v>
          </cell>
        </row>
        <row r="13841">
          <cell r="C13841">
            <v>2011635</v>
          </cell>
          <cell r="D13841" t="str">
            <v>***FOL.TRMK FS 50X325 GR40</v>
          </cell>
        </row>
        <row r="13842">
          <cell r="C13842">
            <v>2011636</v>
          </cell>
          <cell r="D13842" t="str">
            <v>***FOL.TRMK FS 90X325 GR70</v>
          </cell>
        </row>
        <row r="13843">
          <cell r="C13843">
            <v>2011639</v>
          </cell>
          <cell r="D13843" t="str">
            <v>***FOL.TRMK FS 90X325 GR90</v>
          </cell>
        </row>
        <row r="13844">
          <cell r="C13844">
            <v>2011772</v>
          </cell>
          <cell r="D13844" t="str">
            <v>FOL.PET/EVOH/PE 57X400 KRA</v>
          </cell>
        </row>
        <row r="13845">
          <cell r="C13845">
            <v>2011786</v>
          </cell>
          <cell r="D13845" t="str">
            <v>FOL.PET/PA/EVOH/PE 42X520 BIAŁA Z SZYN.</v>
          </cell>
        </row>
        <row r="13846">
          <cell r="C13846">
            <v>2011805</v>
          </cell>
          <cell r="D13846" t="str">
            <v>***FOL.OPET/PE/EVOH 57X300 K.TORUŃSKA</v>
          </cell>
        </row>
        <row r="13847">
          <cell r="C13847">
            <v>2011858</v>
          </cell>
          <cell r="D13847" t="str">
            <v>***FOL.FLEX F 170X565</v>
          </cell>
        </row>
        <row r="13848">
          <cell r="C13848">
            <v>2011863</v>
          </cell>
          <cell r="D13848" t="str">
            <v>FOL.PA/EVOH/PE 90X420</v>
          </cell>
        </row>
        <row r="13849">
          <cell r="C13849">
            <v>2011859</v>
          </cell>
          <cell r="D13849" t="str">
            <v>***FOL.PA/PE 160X565</v>
          </cell>
        </row>
        <row r="13850">
          <cell r="C13850">
            <v>2011860</v>
          </cell>
          <cell r="D13850" t="str">
            <v>FOL.PA/EVOH/PE 150X423</v>
          </cell>
        </row>
        <row r="13851">
          <cell r="C13851">
            <v>2011865</v>
          </cell>
          <cell r="D13851" t="str">
            <v>FOL.PA/EVOH/PE 90X620</v>
          </cell>
        </row>
        <row r="13852">
          <cell r="C13852">
            <v>2011864</v>
          </cell>
          <cell r="D13852" t="str">
            <v>FOL.PA/EVOH/PE 170X623</v>
          </cell>
        </row>
        <row r="13853">
          <cell r="C13853">
            <v>2011861</v>
          </cell>
          <cell r="D13853" t="str">
            <v>***FOL.PA/EVOH/PE 90X520</v>
          </cell>
        </row>
        <row r="13854">
          <cell r="C13854">
            <v>2011866</v>
          </cell>
          <cell r="D13854" t="str">
            <v>FOL.PA/EVOH/PE 170X523</v>
          </cell>
        </row>
        <row r="13855">
          <cell r="C13855">
            <v>2011862</v>
          </cell>
          <cell r="D13855" t="str">
            <v>FOL.PA/EVOH/PE 170X423</v>
          </cell>
        </row>
        <row r="13856">
          <cell r="C13856">
            <v>2011911</v>
          </cell>
          <cell r="D13856" t="str">
            <v>FOL.PET/PA/EVOH/PE 57X260 KIEŁB.SZW.KRA</v>
          </cell>
        </row>
        <row r="13857">
          <cell r="C13857">
            <v>2011947</v>
          </cell>
          <cell r="D13857" t="str">
            <v>FOL.PET/PA/EVOH/PE 42X520 FRANK.KRA</v>
          </cell>
        </row>
        <row r="13858">
          <cell r="C13858">
            <v>2011948</v>
          </cell>
          <cell r="D13858" t="str">
            <v>FOL.PET/PA/EVOH/PE 42X520 FRANK PREM350G</v>
          </cell>
        </row>
        <row r="13859">
          <cell r="C13859">
            <v>2012030</v>
          </cell>
          <cell r="D13859" t="str">
            <v>FOL.PET/PE/EVOH/PE/AF 52X270 KRUCHA SZW.</v>
          </cell>
        </row>
        <row r="13860">
          <cell r="C13860">
            <v>2012099</v>
          </cell>
          <cell r="D13860" t="str">
            <v>FOL.PET/EVOH/PE 42X520 FRANKI</v>
          </cell>
        </row>
        <row r="13861">
          <cell r="C13861">
            <v>2012205</v>
          </cell>
          <cell r="D13861" t="str">
            <v>FOL.PET/PE/EVOH 42X260 KIEŁB.PODSUSZANA</v>
          </cell>
        </row>
        <row r="13862">
          <cell r="C13862">
            <v>2012264</v>
          </cell>
          <cell r="D13862" t="str">
            <v>FOL.PET/PE/EVOH/PE/AF 52X220 PODW.Z SZYN</v>
          </cell>
        </row>
        <row r="13863">
          <cell r="C13863">
            <v>2012267</v>
          </cell>
          <cell r="D13863" t="str">
            <v>FOL.PET/EVOH/PE 42X520 FRANKI DROB.</v>
          </cell>
        </row>
        <row r="13864">
          <cell r="C13864">
            <v>2012291</v>
          </cell>
          <cell r="D13864" t="str">
            <v>FOL.PET/PA/EVOH/PE 52X520 FRANK.220G</v>
          </cell>
        </row>
        <row r="13865">
          <cell r="C13865">
            <v>2012333</v>
          </cell>
          <cell r="D13865" t="str">
            <v>FOL.PET/PA/EVOH/PE 62X520 KABAN.SZW.</v>
          </cell>
        </row>
        <row r="13866">
          <cell r="C13866">
            <v>2012334</v>
          </cell>
          <cell r="D13866" t="str">
            <v>FOL.PET/EVOH/PE 42X520 FRANKI BIAŁE</v>
          </cell>
        </row>
        <row r="13867">
          <cell r="C13867">
            <v>2012391</v>
          </cell>
          <cell r="D13867" t="str">
            <v>***FOL.PA/PE XFF 150X420 DO GOTOWANIA</v>
          </cell>
        </row>
        <row r="13868">
          <cell r="C13868">
            <v>2012390</v>
          </cell>
          <cell r="D13868" t="str">
            <v>***FOL.PA/PE XFF 200X422 DO GOTOWANIA</v>
          </cell>
        </row>
        <row r="13869">
          <cell r="C13869">
            <v>2012433</v>
          </cell>
          <cell r="D13869" t="str">
            <v>FOL.PET/PA/EVOH/PE 52X520 MORL.BOCZ.1KG</v>
          </cell>
        </row>
        <row r="13870">
          <cell r="C13870">
            <v>2012438</v>
          </cell>
          <cell r="D13870" t="str">
            <v>FOL.PET/PA/EVOH/PE 52X490 MORL.Z BOCZ.</v>
          </cell>
        </row>
        <row r="13871">
          <cell r="C13871">
            <v>2012496</v>
          </cell>
          <cell r="D13871" t="str">
            <v>***FOL.PA/EVOH/PE 170X626</v>
          </cell>
        </row>
        <row r="13872">
          <cell r="C13872">
            <v>2012530</v>
          </cell>
          <cell r="D13872" t="str">
            <v>FOL.PET/PE/EVOH/PE 57X420 KABAN.US</v>
          </cell>
        </row>
        <row r="13873">
          <cell r="C13873">
            <v>2012448</v>
          </cell>
          <cell r="D13873" t="str">
            <v>FOL.PET/PE/EVOH/PE 62X560 KABAN.NA LADĘ</v>
          </cell>
        </row>
        <row r="13874">
          <cell r="C13874">
            <v>2012544</v>
          </cell>
          <cell r="D13874" t="str">
            <v>FOL.PET/PA/EVOH/PE 42X520 ŚLĄSKA PRE500G</v>
          </cell>
        </row>
        <row r="13875">
          <cell r="C13875">
            <v>2012664</v>
          </cell>
          <cell r="D13875" t="str">
            <v>***FOL.PA/EVOH/PE 200X492</v>
          </cell>
        </row>
        <row r="13876">
          <cell r="C13876">
            <v>2012670</v>
          </cell>
          <cell r="D13876" t="str">
            <v>***FOL.PET/PA/EVOH/PE 52X490</v>
          </cell>
        </row>
        <row r="13877">
          <cell r="C13877">
            <v>2012697</v>
          </cell>
          <cell r="D13877" t="str">
            <v>SZNUREK DO WIĄZAŁKI BIA/CZER.</v>
          </cell>
        </row>
        <row r="13878">
          <cell r="C13878">
            <v>2012712</v>
          </cell>
          <cell r="D13878" t="str">
            <v>SIATKA TSN 16/4/8 G-3 BIAŁY</v>
          </cell>
        </row>
        <row r="13879">
          <cell r="C13879">
            <v>2001977</v>
          </cell>
          <cell r="D13879" t="str">
            <v>FOL.STRETCH RĘCZ.23X500</v>
          </cell>
        </row>
        <row r="13880">
          <cell r="C13880">
            <v>2012769</v>
          </cell>
          <cell r="D13880" t="str">
            <v>WKŁAD ABSORB.112X167 MG 75L</v>
          </cell>
        </row>
        <row r="13881">
          <cell r="C13881">
            <v>2012818</v>
          </cell>
          <cell r="D13881" t="str">
            <v>FOL.PE TRMK 45X300</v>
          </cell>
        </row>
        <row r="13882">
          <cell r="C13882">
            <v>2012845</v>
          </cell>
          <cell r="D13882" t="str">
            <v>***FOL.PET/PE/EVOH/PE42X520PR.CZAS NA GR</v>
          </cell>
        </row>
        <row r="13883">
          <cell r="C13883">
            <v>2012822</v>
          </cell>
          <cell r="D13883" t="str">
            <v>FOL.PET/PA/EVOH/PE 60X525</v>
          </cell>
        </row>
        <row r="13884">
          <cell r="C13884">
            <v>2012855</v>
          </cell>
          <cell r="D13884" t="str">
            <v>***FOL.PET/EVOH/PE 42X520 PIK EX N</v>
          </cell>
        </row>
        <row r="13885">
          <cell r="C13885">
            <v>2012807</v>
          </cell>
          <cell r="D13885" t="str">
            <v>WOR.PE 850X600X2F200 GR60 NIEB.</v>
          </cell>
        </row>
        <row r="13886">
          <cell r="C13886">
            <v>2012971</v>
          </cell>
          <cell r="D13886" t="str">
            <v>FOL.PET/EVOH/PE 42X520 FRANKI WP.EX</v>
          </cell>
        </row>
        <row r="13887">
          <cell r="C13887">
            <v>2012939</v>
          </cell>
          <cell r="D13887" t="str">
            <v>FOL.PET/EVOH/PE 42X520 FRANKI DROB.EX</v>
          </cell>
        </row>
        <row r="13888">
          <cell r="C13888">
            <v>2012970</v>
          </cell>
          <cell r="D13888" t="str">
            <v>FOL.PET/EVOH/PE 42X520 FRANKI BIAŁE EX</v>
          </cell>
        </row>
        <row r="13889">
          <cell r="C13889">
            <v>2013128</v>
          </cell>
          <cell r="D13889" t="str">
            <v>KLIPS 18-09/5X2 SZPULE</v>
          </cell>
        </row>
        <row r="13890">
          <cell r="C13890">
            <v>2013129</v>
          </cell>
          <cell r="D13890" t="str">
            <v>***KLIPSY 18-07/5X1.75 SZPULE</v>
          </cell>
        </row>
        <row r="13891">
          <cell r="C13891">
            <v>2013154</v>
          </cell>
          <cell r="D13891" t="str">
            <v>PĘTELKA 25-100 BIA.</v>
          </cell>
        </row>
        <row r="13892">
          <cell r="C13892">
            <v>2013189</v>
          </cell>
          <cell r="D13892" t="str">
            <v>FOL.OPET/EVOH/PE 52X260 K.MORLIŃSKIE</v>
          </cell>
        </row>
        <row r="13893">
          <cell r="C13893">
            <v>2008517</v>
          </cell>
          <cell r="D13893" t="str">
            <v>***WOR.350X400 PA/PE GR70</v>
          </cell>
        </row>
        <row r="13894">
          <cell r="C13894">
            <v>2011736</v>
          </cell>
          <cell r="D13894" t="str">
            <v>FOL.PA/PE 80X415</v>
          </cell>
        </row>
        <row r="13895">
          <cell r="C13895">
            <v>2001484</v>
          </cell>
          <cell r="D13895" t="str">
            <v>FOL.PAO/PE 72X415</v>
          </cell>
        </row>
        <row r="13896">
          <cell r="C13896">
            <v>2013274</v>
          </cell>
          <cell r="D13896" t="str">
            <v>FOL.PET/EVOH/PE 52X620 MP</v>
          </cell>
        </row>
        <row r="13897">
          <cell r="C13897">
            <v>2013299</v>
          </cell>
          <cell r="D13897" t="str">
            <v>FOL.PET/EVOH/PE 52X620 TAP.MOR</v>
          </cell>
        </row>
        <row r="13898">
          <cell r="C13898">
            <v>2013479</v>
          </cell>
          <cell r="D13898" t="str">
            <v>FOL.OPET/PE/EVOH 57X330 K.TORUŃSKA BIED</v>
          </cell>
        </row>
        <row r="13899">
          <cell r="C13899">
            <v>2013551</v>
          </cell>
          <cell r="D13899" t="str">
            <v>FOL.PET/EVOH/PE 42X230 KABAN.WP.KRA</v>
          </cell>
        </row>
        <row r="13900">
          <cell r="C13900">
            <v>2013550</v>
          </cell>
          <cell r="D13900" t="str">
            <v>FOL.PET/EVOH/PE 42X230 KABAN.DR/WP.KRA</v>
          </cell>
        </row>
        <row r="13901">
          <cell r="C13901">
            <v>2013593</v>
          </cell>
          <cell r="D13901" t="str">
            <v>FOL.PET/EVOH/PE 42X230 KABAN.SZYN.KRA</v>
          </cell>
        </row>
        <row r="13902">
          <cell r="C13902">
            <v>2013642</v>
          </cell>
          <cell r="D13902" t="str">
            <v>FOL.PET/EVOH/PE 42X230 KABAN.WP.EX</v>
          </cell>
        </row>
        <row r="13903">
          <cell r="C13903">
            <v>2013641</v>
          </cell>
          <cell r="D13903" t="str">
            <v>FOL.PET/EVOH/PE 42X230 KABAN.DR/WP.EX</v>
          </cell>
        </row>
        <row r="13904">
          <cell r="C13904">
            <v>2013697</v>
          </cell>
          <cell r="D13904" t="str">
            <v>FOL.PET/EVOH/PE 42X240 KABAN.WP.KLAS.KRA</v>
          </cell>
        </row>
        <row r="13905">
          <cell r="C13905">
            <v>2013696</v>
          </cell>
          <cell r="D13905" t="str">
            <v>FOL.PET/EVOH/PE 42X240 KABAN.DR/WP.KRA</v>
          </cell>
        </row>
        <row r="13906">
          <cell r="C13906">
            <v>2013695</v>
          </cell>
          <cell r="D13906" t="str">
            <v>FOL.PET/EVOH/PE 42X240 KABAN.WP.MOR</v>
          </cell>
        </row>
        <row r="13907">
          <cell r="C13907">
            <v>2013694</v>
          </cell>
          <cell r="D13907" t="str">
            <v>FOL.PET/EVOH/PE 42X240 KABAN.DR/WP.MOR</v>
          </cell>
        </row>
        <row r="13908">
          <cell r="C13908">
            <v>2013895</v>
          </cell>
          <cell r="D13908" t="str">
            <v>FOL.PET/PA/EVOH/PE 52X270 K.KRUCHA SZW.</v>
          </cell>
        </row>
        <row r="13909">
          <cell r="C13909">
            <v>2014022</v>
          </cell>
          <cell r="D13909" t="str">
            <v>FOL.PET/EVOH/PE 57X330 KIEŁB.TORUŃSKA</v>
          </cell>
        </row>
        <row r="13910">
          <cell r="C13910">
            <v>2014252</v>
          </cell>
          <cell r="D13910" t="str">
            <v>FOL.PET/EVOH/PE 52X520 ŚLĄSKA MP MOR</v>
          </cell>
        </row>
        <row r="13911">
          <cell r="C13911">
            <v>2001468</v>
          </cell>
          <cell r="D13911" t="str">
            <v>FOL.PET/PE/EVOH/PE 42X520 ŚLĄSKA BIED</v>
          </cell>
        </row>
        <row r="13912">
          <cell r="C13912">
            <v>2014341</v>
          </cell>
          <cell r="D13912" t="str">
            <v>FOL.PET/EVOH/PE 52X520 ŚLĄSKA 90% 550G</v>
          </cell>
        </row>
        <row r="13913">
          <cell r="C13913">
            <v>2014375</v>
          </cell>
          <cell r="D13913" t="str">
            <v>***FOL.PET/EVOH/PE 52X520 ŚLĄSKA MP KW</v>
          </cell>
        </row>
        <row r="13914">
          <cell r="C13914">
            <v>2010469</v>
          </cell>
          <cell r="D13914" t="str">
            <v>FOL.PA/EVOH/PE 120X525</v>
          </cell>
        </row>
        <row r="13915">
          <cell r="C13915">
            <v>2014573</v>
          </cell>
          <cell r="D13915" t="str">
            <v>FOL.PET/EVOH/PE 52X520 BIAŁA Z SZYN.</v>
          </cell>
        </row>
        <row r="13916">
          <cell r="C13916">
            <v>2014569</v>
          </cell>
          <cell r="D13916" t="str">
            <v>SZNUREK WĘDL.BIA/NIEB.</v>
          </cell>
        </row>
        <row r="13917">
          <cell r="C13917">
            <v>2012895</v>
          </cell>
          <cell r="D13917" t="str">
            <v>FOL.PET/PA/EVOH/PE 52X400 TAP.MOR</v>
          </cell>
        </row>
        <row r="13918">
          <cell r="C13918">
            <v>2014742</v>
          </cell>
          <cell r="D13918" t="str">
            <v>***FOL.PET/EVOH/PE 42X230KABAN.WP.95GKRA</v>
          </cell>
        </row>
        <row r="13919">
          <cell r="C13919">
            <v>2014731</v>
          </cell>
          <cell r="D13919" t="str">
            <v>***FOL.PET/EVOH/PE42X230KABA.DR/WP95GKRA</v>
          </cell>
        </row>
        <row r="13920">
          <cell r="C13920">
            <v>2014741</v>
          </cell>
          <cell r="D13920" t="str">
            <v>FOL.PET/EVOH/PE 42X230 KABAN.SZYN.95GKRA</v>
          </cell>
        </row>
        <row r="13921">
          <cell r="C13921">
            <v>2014733</v>
          </cell>
          <cell r="D13921" t="str">
            <v>FOL.PET/EVOH/PE 42X230 KABAN.DR/WP.KRAEX</v>
          </cell>
        </row>
        <row r="13922">
          <cell r="C13922">
            <v>2014740</v>
          </cell>
          <cell r="D13922" t="str">
            <v>FOL.PET/EVOH/PE 42X230 KABAN.WP.95GKRAEX</v>
          </cell>
        </row>
        <row r="13923">
          <cell r="C13923">
            <v>2014738</v>
          </cell>
          <cell r="D13923" t="str">
            <v>***FOL.PET/PE/EVOH/PE/PEEL62X560KABA.KRA</v>
          </cell>
        </row>
        <row r="13924">
          <cell r="C13924">
            <v>2014779</v>
          </cell>
          <cell r="D13924" t="str">
            <v>***FOL.PA/EVOH/PE 180X424</v>
          </cell>
        </row>
        <row r="13925">
          <cell r="C13925">
            <v>2014843</v>
          </cell>
          <cell r="D13925" t="str">
            <v>***FOL.PET/EVOH/PE/PEEL 57X520ŚLĄSKA KRA</v>
          </cell>
        </row>
        <row r="13926">
          <cell r="C13926">
            <v>2014827</v>
          </cell>
          <cell r="D13926" t="str">
            <v>FOL.PET/PE/EVOH/PE 42X240 KABAN.150G KRA</v>
          </cell>
        </row>
        <row r="13927">
          <cell r="C13927">
            <v>2014842</v>
          </cell>
          <cell r="D13927" t="str">
            <v>FOL.PET/PE/EVOH/PE 42X240 KABAN.DR/WPKRA</v>
          </cell>
        </row>
        <row r="13928">
          <cell r="C13928">
            <v>2014869</v>
          </cell>
          <cell r="D13928" t="str">
            <v>***WOR.TRMK 650X250 GR75 Z/TAŚ.</v>
          </cell>
        </row>
        <row r="13929">
          <cell r="C13929">
            <v>2014911</v>
          </cell>
          <cell r="D13929" t="str">
            <v>***FOL.PET/PE/EVOH/PE 57X300 K.PODSUSZ.</v>
          </cell>
        </row>
        <row r="13930">
          <cell r="C13930">
            <v>2014906</v>
          </cell>
          <cell r="D13930" t="str">
            <v>FOL.PET/PE/EVOH/PE 57X400 TAP.KRA</v>
          </cell>
        </row>
        <row r="13931">
          <cell r="C13931">
            <v>2012934</v>
          </cell>
          <cell r="D13931" t="str">
            <v>FOL.PET/PA/EVOH/PE 52X290</v>
          </cell>
        </row>
        <row r="13932">
          <cell r="C13932">
            <v>2006628</v>
          </cell>
          <cell r="D13932" t="str">
            <v>FOL.PET/EVOH/PE/PEEL 60X420 FRANK.</v>
          </cell>
        </row>
        <row r="13933">
          <cell r="C13933">
            <v>2000583</v>
          </cell>
          <cell r="D13933" t="str">
            <v>FOL.APET/PE 250X422</v>
          </cell>
        </row>
        <row r="13934">
          <cell r="C13934">
            <v>2015040</v>
          </cell>
          <cell r="D13934" t="str">
            <v>FOL.PA/EVOH/PE 60X520</v>
          </cell>
        </row>
        <row r="13935">
          <cell r="C13935">
            <v>2001757</v>
          </cell>
          <cell r="D13935" t="str">
            <v>WOR.PE 700X1150 GR30 NIEB.</v>
          </cell>
        </row>
        <row r="13936">
          <cell r="C13936">
            <v>2001516</v>
          </cell>
          <cell r="D13936" t="str">
            <v>FOL.PA/PE 180X565</v>
          </cell>
        </row>
        <row r="13937">
          <cell r="C13937">
            <v>2012119</v>
          </cell>
          <cell r="D13937" t="str">
            <v>WOR.TRMK 350X645 GR70 Z/TAŚ.</v>
          </cell>
        </row>
        <row r="13938">
          <cell r="C13938">
            <v>2013481</v>
          </cell>
          <cell r="D13938" t="str">
            <v>FOL.PET/EVOH/PE 52X520 ŚLĄSKA MOR</v>
          </cell>
        </row>
        <row r="13939">
          <cell r="C13939">
            <v>2015256</v>
          </cell>
          <cell r="D13939" t="str">
            <v>FOL.PET/EVOH/PE 42X230 KABAN.JALAP.</v>
          </cell>
        </row>
        <row r="13940">
          <cell r="C13940">
            <v>2015226</v>
          </cell>
          <cell r="D13940" t="str">
            <v>SIATKA WĘDL.30/10/6/S (1G) BIA.</v>
          </cell>
        </row>
        <row r="13941">
          <cell r="C13941">
            <v>2015445</v>
          </cell>
          <cell r="D13941" t="str">
            <v>***FOL.PET/PE/EVOH/PE52X520KAB.PARTY.KRA</v>
          </cell>
        </row>
        <row r="13942">
          <cell r="C13942">
            <v>2013482</v>
          </cell>
          <cell r="D13942" t="str">
            <v>FOL.PA/EVOH/PE 60X415</v>
          </cell>
        </row>
        <row r="13943">
          <cell r="C13943">
            <v>2015525</v>
          </cell>
          <cell r="D13943" t="str">
            <v>FOL.PET/PE/EVOH/PE 54X300 K.PODSUSZ.GOLD</v>
          </cell>
        </row>
        <row r="13944">
          <cell r="C13944">
            <v>2015536</v>
          </cell>
          <cell r="D13944" t="str">
            <v>FOL.PET/EVOH/PE 42X230 KABAN.PAPR.95GKRA</v>
          </cell>
        </row>
        <row r="13945">
          <cell r="C13945">
            <v>2014243</v>
          </cell>
          <cell r="D13945" t="str">
            <v>FOL.STRETCH MASZ.17X500 250%</v>
          </cell>
        </row>
        <row r="13946">
          <cell r="C13946">
            <v>2012003</v>
          </cell>
          <cell r="D13946" t="str">
            <v>FOL.PA/EVOH/PE 170X424</v>
          </cell>
        </row>
        <row r="13947">
          <cell r="C13947">
            <v>2015746</v>
          </cell>
          <cell r="D13947" t="str">
            <v>FOL.PET/PETM/PE/PA/PE 114X425 ZŁO/ZŁO.</v>
          </cell>
        </row>
        <row r="13948">
          <cell r="C13948">
            <v>2015971</v>
          </cell>
          <cell r="D13948" t="str">
            <v>***FOL.PET/PETM/PE/PA/PE 114X490ZŁO/ZŁO.</v>
          </cell>
        </row>
        <row r="13949">
          <cell r="C13949">
            <v>2015991</v>
          </cell>
          <cell r="D13949" t="str">
            <v>FOL.PET/EVOH/PE/PEEL 59X520 BIAŁA SZYN.</v>
          </cell>
        </row>
        <row r="13950">
          <cell r="C13950">
            <v>2000848</v>
          </cell>
          <cell r="D13950" t="str">
            <v>SZNUREK POLIPROPYLENOWY</v>
          </cell>
        </row>
        <row r="13951">
          <cell r="C13951">
            <v>2013763</v>
          </cell>
          <cell r="D13951" t="str">
            <v>FOL.PA/EVOH/PE 90X415</v>
          </cell>
        </row>
        <row r="13952">
          <cell r="C13952">
            <v>2002949</v>
          </cell>
          <cell r="D13952" t="str">
            <v>PRZĘDZA WĘDLINIARSKA BIA.</v>
          </cell>
        </row>
        <row r="13953">
          <cell r="C13953">
            <v>2002950</v>
          </cell>
          <cell r="D13953" t="str">
            <v>SZNUREK BAWEŁNIANY BIAŁO-CZERWONY</v>
          </cell>
        </row>
        <row r="13954">
          <cell r="C13954">
            <v>2000745</v>
          </cell>
          <cell r="D13954" t="str">
            <v>SZNUREK GUM.</v>
          </cell>
        </row>
        <row r="13955">
          <cell r="C13955">
            <v>2016034</v>
          </cell>
          <cell r="D13955" t="str">
            <v>***FOL.PET/EVOH/PE/PEEL59X520K.PIEPR.KRA</v>
          </cell>
        </row>
        <row r="13956">
          <cell r="C13956">
            <v>2016061</v>
          </cell>
          <cell r="D13956" t="str">
            <v>FOL.PA/EVOH/PE 180X420</v>
          </cell>
        </row>
        <row r="13957">
          <cell r="C13957">
            <v>2016017</v>
          </cell>
          <cell r="D13957" t="str">
            <v>FOL.PET/EVOH/PE/PEEL 59X420KABAN.180G GB</v>
          </cell>
        </row>
        <row r="13958">
          <cell r="C13958">
            <v>2016068</v>
          </cell>
          <cell r="D13958" t="str">
            <v>WOR.TRMK 475X230 GR45 Z/TAŚ.</v>
          </cell>
        </row>
        <row r="13959">
          <cell r="C13959">
            <v>2016108</v>
          </cell>
          <cell r="D13959" t="str">
            <v>FOL.PET/PE/EVOH/PE 42X280 KABAN.160G KRA</v>
          </cell>
        </row>
        <row r="13960">
          <cell r="C13960">
            <v>2016221</v>
          </cell>
          <cell r="D13960" t="str">
            <v>***FOL.PET/PE/EVOH/PE54X260 K.OD MASARZA</v>
          </cell>
        </row>
        <row r="13961">
          <cell r="C13961">
            <v>2016156</v>
          </cell>
          <cell r="D13961" t="str">
            <v>FOL.PET/EVOH/PE 52X260 PODWAW.300G MOR</v>
          </cell>
        </row>
        <row r="13962">
          <cell r="C13962">
            <v>2013899</v>
          </cell>
          <cell r="D13962" t="str">
            <v>FOL.STRETCH RĘCZ.23X500 NIEB.</v>
          </cell>
        </row>
        <row r="13963">
          <cell r="C13963">
            <v>2016236</v>
          </cell>
          <cell r="D13963" t="str">
            <v>***FOL.PET/PE/EVOH/PE/PEEL59X420FRAN.MOR</v>
          </cell>
        </row>
        <row r="13964">
          <cell r="C13964">
            <v>2016354</v>
          </cell>
          <cell r="D13964" t="str">
            <v>SIATKA 180/20 CLAS.MINUS EASY NET BI</v>
          </cell>
        </row>
        <row r="13965">
          <cell r="C13965">
            <v>2016358</v>
          </cell>
          <cell r="D13965" t="str">
            <v>FOL.PET/PE/EVOH/PE/PEEL 59X520 ŚL.DP MOR</v>
          </cell>
        </row>
        <row r="13966">
          <cell r="C13966">
            <v>2016357</v>
          </cell>
          <cell r="D13966" t="str">
            <v>***FOL.PET/PE/EVOH/PE/PEEL59X620ŚL.DPMOR</v>
          </cell>
        </row>
        <row r="13967">
          <cell r="C13967">
            <v>2019172</v>
          </cell>
          <cell r="D13967" t="str">
            <v>PRZĘDZA WĘDLINIARSKA BIA/ZIEL.</v>
          </cell>
        </row>
        <row r="13968">
          <cell r="C13968">
            <v>2019171</v>
          </cell>
          <cell r="D13968" t="str">
            <v>PRZĘDZA WĘDLINIARSKA BIA/ŻÓŁ.</v>
          </cell>
        </row>
        <row r="13969">
          <cell r="C13969">
            <v>2019170</v>
          </cell>
          <cell r="D13969" t="str">
            <v>PRZĘDZA WĘDLINIARSKA BIA/NIEB.</v>
          </cell>
        </row>
        <row r="13970">
          <cell r="C13970">
            <v>2019159</v>
          </cell>
          <cell r="D13970" t="str">
            <v>PRZĘDZA WĘDLINIARSKA CZER.</v>
          </cell>
        </row>
        <row r="13971">
          <cell r="C13971">
            <v>2020323</v>
          </cell>
          <cell r="D13971" t="str">
            <v>SZNUREK POLIPROP.BC 2000 800 TEX BIA.</v>
          </cell>
        </row>
        <row r="13972">
          <cell r="C13972">
            <v>2018055</v>
          </cell>
          <cell r="D13972" t="str">
            <v>PAD.CEL.ZAMK.87X132 2500</v>
          </cell>
        </row>
        <row r="13973">
          <cell r="C13973">
            <v>2020468</v>
          </cell>
          <cell r="D13973" t="str">
            <v>PAD.CEL.ZAMK.90X135 CIRCULAR</v>
          </cell>
        </row>
        <row r="13974">
          <cell r="C13974">
            <v>2021054</v>
          </cell>
          <cell r="D13974" t="str">
            <v>PAD CEL.ZAMK.100X150 CIRCULAR</v>
          </cell>
        </row>
        <row r="13975">
          <cell r="C13975">
            <v>2021507</v>
          </cell>
          <cell r="D13975" t="str">
            <v>PAD CEL.ZAMK.120X160 ECO 5000/50ML BIA.</v>
          </cell>
        </row>
        <row r="13976">
          <cell r="C13976">
            <v>2016359</v>
          </cell>
          <cell r="D13976" t="str">
            <v>***FOL.PET/PE/EVOH/PE/PEEL59X620ŚL.DP KW</v>
          </cell>
        </row>
        <row r="13977">
          <cell r="C13977">
            <v>2016647</v>
          </cell>
          <cell r="D13977" t="str">
            <v>***FOL.PET/PE/EVOH/PE54X300 MAZURSKA MOR</v>
          </cell>
        </row>
        <row r="13978">
          <cell r="C13978">
            <v>2016646</v>
          </cell>
          <cell r="D13978" t="str">
            <v>***FOL.PET/EVOH/PE/PEEL 57X420 MOR</v>
          </cell>
        </row>
        <row r="13979">
          <cell r="C13979">
            <v>2016694</v>
          </cell>
          <cell r="D13979" t="str">
            <v>SIATKA 46/29/8 BIA.</v>
          </cell>
        </row>
        <row r="13980">
          <cell r="C13980">
            <v>2016693</v>
          </cell>
          <cell r="D13980" t="str">
            <v>SIATKA 46/29/8 CZER.</v>
          </cell>
        </row>
        <row r="13981">
          <cell r="C13981">
            <v>2016657</v>
          </cell>
          <cell r="D13981" t="str">
            <v>SZNUREK WĘDL.NIEB.</v>
          </cell>
        </row>
        <row r="13982">
          <cell r="C13982">
            <v>2016656</v>
          </cell>
          <cell r="D13982" t="str">
            <v>SZNUREK WĘDL.ZIEL.</v>
          </cell>
        </row>
        <row r="13983">
          <cell r="C13983">
            <v>2016658</v>
          </cell>
          <cell r="D13983" t="str">
            <v>SZNUREK WĘDL.BIA.</v>
          </cell>
        </row>
        <row r="13984">
          <cell r="C13984">
            <v>2016655</v>
          </cell>
          <cell r="D13984" t="str">
            <v>SZNUREK WĘDL.ŻÓŁ.</v>
          </cell>
        </row>
        <row r="13985">
          <cell r="C13985">
            <v>2016733</v>
          </cell>
          <cell r="D13985" t="str">
            <v>FOL.PET/EVOH/PE/PEEL 57X420 MOR EX</v>
          </cell>
        </row>
        <row r="13986">
          <cell r="C13986">
            <v>2016741</v>
          </cell>
          <cell r="D13986" t="str">
            <v>SZNUREK WĘDLI.BIA/CZER.</v>
          </cell>
        </row>
        <row r="13987">
          <cell r="C13987">
            <v>2016708</v>
          </cell>
          <cell r="D13987" t="str">
            <v>FOL.PET/PE/EVOH/PE 42X230 KABAN.CEB.KRA</v>
          </cell>
        </row>
        <row r="13988">
          <cell r="C13988">
            <v>2016811</v>
          </cell>
          <cell r="D13988" t="str">
            <v>***FOL.PET/PE/EVOH/PE 59X520 MOR</v>
          </cell>
        </row>
        <row r="13989">
          <cell r="C13989">
            <v>2014323</v>
          </cell>
          <cell r="D13989" t="str">
            <v>FOL.PE TAŚ.28X900</v>
          </cell>
        </row>
        <row r="13990">
          <cell r="C13990">
            <v>2016793</v>
          </cell>
          <cell r="D13990" t="str">
            <v>SIATKA 46/29/8 NIEB.</v>
          </cell>
        </row>
        <row r="13991">
          <cell r="C13991">
            <v>2015683</v>
          </cell>
          <cell r="D13991" t="str">
            <v>FOL.APET/PE/PEEL 220X522 JUMBO</v>
          </cell>
        </row>
        <row r="13992">
          <cell r="C13992">
            <v>2016874</v>
          </cell>
          <cell r="D13992" t="str">
            <v>WOR.PE 1800X600X2F200 GR17 NIEB.</v>
          </cell>
        </row>
        <row r="13993">
          <cell r="C13993">
            <v>2016880</v>
          </cell>
          <cell r="D13993" t="str">
            <v>***FOL.PET/PA/EVOH/PE52X520ŚLĄSKA GRILL.</v>
          </cell>
        </row>
        <row r="13994">
          <cell r="C13994">
            <v>2016878</v>
          </cell>
          <cell r="D13994" t="str">
            <v>***FOLPET/EVOH/PE42X230KABAN.WP.KRAEXWZM</v>
          </cell>
        </row>
        <row r="13995">
          <cell r="C13995">
            <v>2017028</v>
          </cell>
          <cell r="D13995" t="str">
            <v>FOL.PET/EVOH/PE 55X420 MOR</v>
          </cell>
        </row>
        <row r="13996">
          <cell r="C13996">
            <v>2017198</v>
          </cell>
          <cell r="D13996" t="str">
            <v>***FOL.PET/PA/EVOH/PE 52X520 ŚLĄSKA 68%</v>
          </cell>
        </row>
        <row r="13997">
          <cell r="C13997">
            <v>2017197</v>
          </cell>
          <cell r="D13997" t="str">
            <v>FOL.PET/EVOH/PE 42X230 KABAN.SER.95G KRA</v>
          </cell>
        </row>
        <row r="13998">
          <cell r="C13998">
            <v>2017195</v>
          </cell>
          <cell r="D13998" t="str">
            <v>***FOL.PET/PE/EVOH/PE 52X520.REGIONALNA</v>
          </cell>
        </row>
        <row r="13999">
          <cell r="C13999">
            <v>2017312</v>
          </cell>
          <cell r="D13999" t="str">
            <v>***FOL.PA/PE 70X620</v>
          </cell>
        </row>
        <row r="14000">
          <cell r="C14000">
            <v>2017311</v>
          </cell>
          <cell r="D14000" t="str">
            <v>***FOL.PA/PE 120X626</v>
          </cell>
        </row>
        <row r="14001">
          <cell r="C14001">
            <v>2018122</v>
          </cell>
          <cell r="D14001" t="str">
            <v>PAD.CEL.ZAMK.112X167 3000 BIA.</v>
          </cell>
        </row>
        <row r="14002">
          <cell r="C14002">
            <v>2017844</v>
          </cell>
          <cell r="D14002" t="str">
            <v>SIATKA 180/9 BIG NET</v>
          </cell>
        </row>
        <row r="14003">
          <cell r="C14003">
            <v>2017879</v>
          </cell>
          <cell r="D14003" t="str">
            <v>***FOL.PET/EVOH/PE55X520KIEŁB.ŚLĄSKA DUL</v>
          </cell>
        </row>
        <row r="14004">
          <cell r="C14004">
            <v>2017893</v>
          </cell>
          <cell r="D14004" t="str">
            <v>***FOL.PET/PE/EVOH/PE 57X620K.REGIONALNA</v>
          </cell>
        </row>
        <row r="14005">
          <cell r="C14005">
            <v>2017904</v>
          </cell>
          <cell r="D14005" t="str">
            <v>***FOL.PETEVOHPEPEEL57X520K.ŚL.TŁ20G550G</v>
          </cell>
        </row>
        <row r="14006">
          <cell r="C14006">
            <v>2017923</v>
          </cell>
          <cell r="D14006" t="str">
            <v>***FOL.PETEVOHPE57X520K.ŚLĄS.TŁ.20GMP KW</v>
          </cell>
        </row>
        <row r="14007">
          <cell r="C14007">
            <v>2008722</v>
          </cell>
          <cell r="D14007" t="str">
            <v>FOL.STRETCH RĘCZ.23X500</v>
          </cell>
        </row>
        <row r="14008">
          <cell r="C14008">
            <v>2018064</v>
          </cell>
          <cell r="D14008" t="str">
            <v>FOL.OPA/PP/PE 105X525 TAPETA NIEB.MOR</v>
          </cell>
        </row>
        <row r="14009">
          <cell r="C14009">
            <v>2018065</v>
          </cell>
          <cell r="D14009" t="str">
            <v>***FOL.PET/EVOH/PE 55X300 K.MAZURSKA DUL</v>
          </cell>
        </row>
        <row r="14010">
          <cell r="C14010">
            <v>2018096</v>
          </cell>
          <cell r="D14010" t="str">
            <v>***FOL.PET/EVOH/PE/PEEL57X520ŚLĄSKA91%KW</v>
          </cell>
        </row>
        <row r="14011">
          <cell r="C14011">
            <v>2018123</v>
          </cell>
          <cell r="D14011" t="str">
            <v>PAD.CEL.ZAMK.120X80 2500 CZAR.</v>
          </cell>
        </row>
        <row r="14012">
          <cell r="C14012">
            <v>2018101</v>
          </cell>
          <cell r="D14012" t="str">
            <v>***FOL.PET/EVOH/PE 57X520K.ŚLĄSKA91%MPKW</v>
          </cell>
        </row>
        <row r="14013">
          <cell r="C14013">
            <v>2018201</v>
          </cell>
          <cell r="D14013" t="str">
            <v>FOL.PET/PE/EVOH/PE 59X520KABAN.PARTY KRA</v>
          </cell>
        </row>
        <row r="14014">
          <cell r="C14014">
            <v>2018184</v>
          </cell>
          <cell r="D14014" t="str">
            <v>***FOL.PET/EVOH/PE 42X230 KABAN.Z/CZOSN.</v>
          </cell>
        </row>
        <row r="14015">
          <cell r="C14015">
            <v>2018252</v>
          </cell>
          <cell r="D14015" t="str">
            <v>FOL.PET/EVOH/PE/PEEL 52X420 JALAPENO MOR</v>
          </cell>
        </row>
        <row r="14016">
          <cell r="C14016">
            <v>2018253</v>
          </cell>
          <cell r="D14016" t="str">
            <v>FOL.PET/EVOH/PE/PEEL 52X420 SER/POM.MOR</v>
          </cell>
        </row>
        <row r="14017">
          <cell r="C14017">
            <v>2018274</v>
          </cell>
          <cell r="D14017" t="str">
            <v>***FOL.PET/EVOH/PE57X62ŚLĄSKA91% MP KW</v>
          </cell>
        </row>
        <row r="14018">
          <cell r="C14018">
            <v>2016574</v>
          </cell>
          <cell r="D14018" t="str">
            <v>FOL.PA/PE 200X565</v>
          </cell>
        </row>
        <row r="14019">
          <cell r="C14019">
            <v>2018412</v>
          </cell>
          <cell r="D14019" t="str">
            <v>***FOL.PET/EVOH/PE 55X520ŚLĄZERKI240GMOR</v>
          </cell>
        </row>
        <row r="14020">
          <cell r="C14020">
            <v>2018416</v>
          </cell>
          <cell r="D14020" t="str">
            <v>FOL.PE 35X600 PAS.DO JELIT TYP S</v>
          </cell>
        </row>
        <row r="14021">
          <cell r="C14021">
            <v>2018673</v>
          </cell>
          <cell r="D14021" t="str">
            <v>PAD.CEL.ZAMK.110X165 5000 BIA.</v>
          </cell>
        </row>
        <row r="14022">
          <cell r="C14022">
            <v>2016957</v>
          </cell>
          <cell r="D14022" t="str">
            <v>FOL.PET/PETM/PE/PA/PE 114X420 ZŁO/ZŁO.</v>
          </cell>
        </row>
        <row r="14023">
          <cell r="C14023">
            <v>2016958</v>
          </cell>
          <cell r="D14023" t="str">
            <v>FOL.PET/PETM/PE/PA/PE 114X525 ZŁO/ZŁO.</v>
          </cell>
        </row>
        <row r="14024">
          <cell r="C14024">
            <v>2016966</v>
          </cell>
          <cell r="D14024" t="str">
            <v>KRAWAT BEZBARWNY</v>
          </cell>
        </row>
        <row r="14025">
          <cell r="C14025">
            <v>2018417</v>
          </cell>
          <cell r="D14025" t="str">
            <v>FOL.PE 32X600 PAS.DO JELIT TYP S</v>
          </cell>
        </row>
        <row r="14026">
          <cell r="C14026">
            <v>2018418</v>
          </cell>
          <cell r="D14026" t="str">
            <v>FOL.PE 30X600 PAS.DO JELIT TYP S</v>
          </cell>
        </row>
        <row r="14027">
          <cell r="C14027">
            <v>2018426</v>
          </cell>
          <cell r="D14027" t="str">
            <v>***FOL.PET/PE/EVOH/PE57X520ŚLĄSKA DP MOR</v>
          </cell>
        </row>
        <row r="14028">
          <cell r="C14028">
            <v>2018510</v>
          </cell>
          <cell r="D14028" t="str">
            <v>***FOL.PA/EVOH/PE 60X525</v>
          </cell>
        </row>
        <row r="14029">
          <cell r="C14029">
            <v>2018515</v>
          </cell>
          <cell r="D14029" t="str">
            <v>***WOR.PE 1000X560X2F250 GR60</v>
          </cell>
        </row>
        <row r="14030">
          <cell r="C14030">
            <v>2018543</v>
          </cell>
          <cell r="D14030" t="str">
            <v>WOR.TRMK 650X250 GR45 Z/TAŚ.</v>
          </cell>
        </row>
        <row r="14031">
          <cell r="C14031">
            <v>2018551</v>
          </cell>
          <cell r="D14031" t="str">
            <v>***FOL.PET/PVDC/PE 56X620 ŚLĄSKA DP MOR</v>
          </cell>
        </row>
        <row r="14032">
          <cell r="C14032">
            <v>2018571</v>
          </cell>
          <cell r="D14032" t="str">
            <v>FOL.PET/EVOH/PE 42X230 KABAN.Z/BEK.</v>
          </cell>
        </row>
        <row r="14033">
          <cell r="C14033">
            <v>2018680</v>
          </cell>
          <cell r="D14033" t="str">
            <v>***WOR.PE 1000X850 GR60</v>
          </cell>
        </row>
        <row r="14034">
          <cell r="C14034">
            <v>2018730</v>
          </cell>
          <cell r="D14034" t="str">
            <v>WOR.PE 1900X1300X2F500 GR30 NIEB.</v>
          </cell>
        </row>
        <row r="14035">
          <cell r="C14035">
            <v>2018826</v>
          </cell>
          <cell r="D14035" t="str">
            <v>FOL.PET/EVOH/PE 42X230 KABAN.SER CHED.</v>
          </cell>
        </row>
        <row r="14036">
          <cell r="C14036">
            <v>2018859</v>
          </cell>
          <cell r="D14036" t="str">
            <v>FOL.PET/EVOH/PE 42X230KABAN.SALSA POMID.</v>
          </cell>
        </row>
        <row r="14037">
          <cell r="C14037">
            <v>2018889</v>
          </cell>
          <cell r="D14037" t="str">
            <v>***FOL.PET/PE/EVOH/PE/PEEL52X520ŚLĄSKAEX</v>
          </cell>
        </row>
        <row r="14038">
          <cell r="C14038">
            <v>2018890</v>
          </cell>
          <cell r="D14038" t="str">
            <v>***FOL.PET/PVDC/PE/PEEL56X520ŚLĄZERKIMOR</v>
          </cell>
        </row>
        <row r="14039">
          <cell r="C14039">
            <v>2018943</v>
          </cell>
          <cell r="D14039" t="str">
            <v>***FOL.PET/EVOH/PE 55X490 MOR</v>
          </cell>
        </row>
        <row r="14040">
          <cell r="C14040">
            <v>2018949</v>
          </cell>
          <cell r="D14040" t="str">
            <v>FOL.PET/PVDC/PE/PEEL56X520KABAN.Z/BEK.DP</v>
          </cell>
        </row>
        <row r="14041">
          <cell r="C14041">
            <v>2018988</v>
          </cell>
          <cell r="D14041" t="str">
            <v>***FOL.PET/PE/EVOH/PE 57X525 TAP.MOR</v>
          </cell>
        </row>
        <row r="14042">
          <cell r="C14042">
            <v>2019125</v>
          </cell>
          <cell r="D14042" t="str">
            <v>***FOL.APET/PE/PEEL 250X522</v>
          </cell>
        </row>
        <row r="14043">
          <cell r="C14043">
            <v>2017888</v>
          </cell>
          <cell r="D14043" t="str">
            <v>WOR.PE 700X640X2F200 GR30 NIEB.</v>
          </cell>
        </row>
        <row r="14044">
          <cell r="C14044">
            <v>2018478</v>
          </cell>
          <cell r="D14044" t="str">
            <v>FOL.PA/PE 55X620</v>
          </cell>
        </row>
        <row r="14045">
          <cell r="C14045">
            <v>2014892</v>
          </cell>
          <cell r="D14045" t="str">
            <v>FOL.PE PIAN.80X85X700 ROL.</v>
          </cell>
        </row>
        <row r="14046">
          <cell r="C14046">
            <v>2019223</v>
          </cell>
          <cell r="D14046" t="str">
            <v>***FOL.PET/PVDC/PE/PEEL56X520KAB.250GKRA</v>
          </cell>
        </row>
        <row r="14047">
          <cell r="C14047">
            <v>2019351</v>
          </cell>
          <cell r="D14047" t="str">
            <v>FOL.PA/PE 90X520</v>
          </cell>
        </row>
        <row r="14048">
          <cell r="C14048">
            <v>2019352</v>
          </cell>
          <cell r="D14048" t="str">
            <v>FOL.PA/PE 170X523</v>
          </cell>
        </row>
        <row r="14049">
          <cell r="C14049">
            <v>2019353</v>
          </cell>
          <cell r="D14049" t="str">
            <v>***FOL.PA/PE 200X523</v>
          </cell>
        </row>
        <row r="14050">
          <cell r="C14050">
            <v>2019354</v>
          </cell>
          <cell r="D14050" t="str">
            <v>FOL.PA/PE 90X620</v>
          </cell>
        </row>
        <row r="14051">
          <cell r="C14051">
            <v>2019355</v>
          </cell>
          <cell r="D14051" t="str">
            <v>FOL.PA/PE 170X626</v>
          </cell>
        </row>
        <row r="14052">
          <cell r="C14052">
            <v>2019345</v>
          </cell>
          <cell r="D14052" t="str">
            <v>FOL.PA/PE 60X525</v>
          </cell>
        </row>
        <row r="14053">
          <cell r="C14053">
            <v>2009089</v>
          </cell>
          <cell r="D14053" t="str">
            <v>FOL.PA/PE 60X520</v>
          </cell>
        </row>
        <row r="14054">
          <cell r="C14054">
            <v>2018471</v>
          </cell>
          <cell r="D14054" t="str">
            <v>FOL.PA/PE 60X620</v>
          </cell>
        </row>
        <row r="14055">
          <cell r="C14055">
            <v>2019552</v>
          </cell>
          <cell r="D14055" t="str">
            <v>WOR.LDPE 1000X850 GR120</v>
          </cell>
        </row>
        <row r="14056">
          <cell r="C14056">
            <v>2019628</v>
          </cell>
          <cell r="D14056" t="str">
            <v>FOL.PET/EVOH/PE 62X252 SNAKERSY CLASSIC</v>
          </cell>
        </row>
        <row r="14057">
          <cell r="C14057">
            <v>2003624</v>
          </cell>
          <cell r="D14057" t="str">
            <v>***SIATKA DEKORACYJNA DO WĘDLIN</v>
          </cell>
        </row>
        <row r="14058">
          <cell r="C14058">
            <v>2019660</v>
          </cell>
          <cell r="D14058" t="str">
            <v>FOL.PET/EVOH/PE62X252 SNAK.Z/PAPR.SCORP.</v>
          </cell>
        </row>
        <row r="14059">
          <cell r="C14059">
            <v>2019753</v>
          </cell>
          <cell r="D14059" t="str">
            <v>WOR.PE 900X600 GR40</v>
          </cell>
        </row>
        <row r="14060">
          <cell r="C14060">
            <v>2017926</v>
          </cell>
          <cell r="D14060" t="str">
            <v>FOL.PA/EVOH/PE 80X415</v>
          </cell>
        </row>
        <row r="14061">
          <cell r="C14061">
            <v>2018213</v>
          </cell>
          <cell r="D14061" t="str">
            <v>FOL.PA/EVOH/PE 250X424</v>
          </cell>
        </row>
        <row r="14062">
          <cell r="C14062">
            <v>2019941</v>
          </cell>
          <cell r="D14062" t="str">
            <v>***FOL.PET/PE/PEEL55X520 ŚLĄSKA 550G DUL</v>
          </cell>
        </row>
        <row r="14063">
          <cell r="C14063">
            <v>2019985</v>
          </cell>
          <cell r="D14063" t="str">
            <v>***FOL.PET/PE/PEEL54X520ŚLĄZERKIMOR LOT.</v>
          </cell>
        </row>
        <row r="14064">
          <cell r="C14064">
            <v>2019978</v>
          </cell>
          <cell r="D14064" t="str">
            <v>***FOL.PET/PE/PEEL 54X420 FRANK.MOR LOT.</v>
          </cell>
        </row>
        <row r="14065">
          <cell r="C14065">
            <v>2019998</v>
          </cell>
          <cell r="D14065" t="str">
            <v>***FOL.PET/PE59X520 K.ŚLĄSKA DP MOR LOT.</v>
          </cell>
        </row>
        <row r="14066">
          <cell r="C14066">
            <v>2001010</v>
          </cell>
          <cell r="D14066" t="str">
            <v>***SIATKA STRING 220\10\9\CB KREMOW</v>
          </cell>
        </row>
        <row r="14067">
          <cell r="C14067">
            <v>2020022</v>
          </cell>
          <cell r="D14067" t="str">
            <v>FOL.PET/PE 59X620 ŚLĄSKA DP MOR LOT.</v>
          </cell>
        </row>
        <row r="14068">
          <cell r="C14068">
            <v>2003623</v>
          </cell>
          <cell r="D14068" t="str">
            <v>***SIATKA 180 HL2</v>
          </cell>
        </row>
        <row r="14069">
          <cell r="C14069">
            <v>2020037</v>
          </cell>
          <cell r="D14069" t="str">
            <v>FOL.PET/PE 59X520 KIEŁB.ŚLĄSKA GRILL.</v>
          </cell>
        </row>
        <row r="14070">
          <cell r="C14070">
            <v>2020074</v>
          </cell>
          <cell r="D14070" t="str">
            <v>FOL.PET/PE 59X520 MOR</v>
          </cell>
        </row>
        <row r="14071">
          <cell r="C14071">
            <v>2020095</v>
          </cell>
          <cell r="D14071" t="str">
            <v>FOL.PET/PE/PEEL 52X520 YAN</v>
          </cell>
        </row>
        <row r="14072">
          <cell r="C14072">
            <v>2020127</v>
          </cell>
          <cell r="D14072" t="str">
            <v>FOL.PET/PE/PEEL 52X520 KIEŁB.ŚLĄSKA EX</v>
          </cell>
        </row>
        <row r="14073">
          <cell r="C14073">
            <v>2020143</v>
          </cell>
          <cell r="D14073" t="str">
            <v>***FOL.PA/PE 90X415</v>
          </cell>
        </row>
        <row r="14074">
          <cell r="C14074">
            <v>2000743</v>
          </cell>
          <cell r="D14074" t="str">
            <v>***SIATKA 15 SQR-45 MR-RA 1 UK</v>
          </cell>
        </row>
        <row r="14075">
          <cell r="C14075">
            <v>2000742</v>
          </cell>
          <cell r="D14075" t="str">
            <v>SIATKA 220X32</v>
          </cell>
        </row>
        <row r="14076">
          <cell r="C14076">
            <v>2003426</v>
          </cell>
          <cell r="D14076" t="str">
            <v>SIATKA STRING 16/6/20G-2 BIAŁY</v>
          </cell>
        </row>
        <row r="14077">
          <cell r="C14077">
            <v>2020133</v>
          </cell>
          <cell r="D14077" t="str">
            <v>FOL.PA/PE 170X424</v>
          </cell>
        </row>
        <row r="14078">
          <cell r="C14078">
            <v>2004203</v>
          </cell>
          <cell r="D14078" t="str">
            <v>FOL.STRETCH RĘCZ.17X500</v>
          </cell>
        </row>
        <row r="14079">
          <cell r="C14079">
            <v>2019461</v>
          </cell>
          <cell r="D14079" t="str">
            <v>FOL.PA/PE 90X415</v>
          </cell>
        </row>
        <row r="14080">
          <cell r="C14080">
            <v>2020163</v>
          </cell>
          <cell r="D14080" t="str">
            <v>***FOL.PETEVOHPEPEEL52X520KAB.Z SZYN180G</v>
          </cell>
        </row>
        <row r="14081">
          <cell r="C14081">
            <v>2019263</v>
          </cell>
          <cell r="D14081" t="str">
            <v>FOL.STRETCH RĘCZ.17X500 NIEB.</v>
          </cell>
        </row>
        <row r="14082">
          <cell r="C14082">
            <v>2020128</v>
          </cell>
          <cell r="D14082" t="str">
            <v>FOL.PET/PE 54X300 KIEŁB.PODSUSZ.260G KRA</v>
          </cell>
        </row>
        <row r="14083">
          <cell r="C14083">
            <v>2020194</v>
          </cell>
          <cell r="D14083" t="str">
            <v>FOL.PET/PE 54X300 K.MAZURSKA 520G MOR</v>
          </cell>
        </row>
        <row r="14084">
          <cell r="C14084">
            <v>2020188</v>
          </cell>
          <cell r="D14084" t="str">
            <v>***FOL.PET/PE/PEEL52X520K.BIAŁAZ/SZYN.KW</v>
          </cell>
        </row>
        <row r="14085">
          <cell r="C14085">
            <v>2020224</v>
          </cell>
          <cell r="D14085" t="str">
            <v>FOL.PET/PE/PEEL57X520 ŚLĄSKA 91% 550G KW</v>
          </cell>
        </row>
        <row r="14086">
          <cell r="C14086">
            <v>2020226</v>
          </cell>
          <cell r="D14086" t="str">
            <v>FOL.PET/PE 57X520 ŚLĄSKA 91% MP KW</v>
          </cell>
        </row>
        <row r="14087">
          <cell r="C14087">
            <v>2020281</v>
          </cell>
          <cell r="D14087" t="str">
            <v>FOL.OPET/PE 57X330 KIEŁB.TORUŃSKA</v>
          </cell>
        </row>
        <row r="14088">
          <cell r="C14088">
            <v>2020256</v>
          </cell>
          <cell r="D14088" t="str">
            <v>FOL.PET/PE 55X300 MAZURSKA 520G DUL</v>
          </cell>
        </row>
        <row r="14089">
          <cell r="C14089">
            <v>2020273</v>
          </cell>
          <cell r="D14089" t="str">
            <v>FOL.PET/PE 55X520 KIEŁB.REGIONALNA</v>
          </cell>
        </row>
        <row r="14090">
          <cell r="C14090">
            <v>2020292</v>
          </cell>
          <cell r="D14090" t="str">
            <v>FOL.PET/PE 57X620 KIEŁB.REGIONALNA</v>
          </cell>
        </row>
        <row r="14091">
          <cell r="C14091">
            <v>2020295</v>
          </cell>
          <cell r="D14091" t="str">
            <v>FOL.PET/PE 54X490</v>
          </cell>
        </row>
        <row r="14092">
          <cell r="C14092">
            <v>2020301</v>
          </cell>
          <cell r="D14092" t="str">
            <v>***FOL.PA/PE 200X492</v>
          </cell>
        </row>
        <row r="14093">
          <cell r="C14093">
            <v>2019982</v>
          </cell>
          <cell r="D14093" t="str">
            <v>FOL.PET/PE 44X520 KIEŁB.ŚLĄSKA MOR</v>
          </cell>
        </row>
        <row r="14094">
          <cell r="C14094">
            <v>2020307</v>
          </cell>
          <cell r="D14094" t="str">
            <v>FOL.PET/PE 57X620 K.ŚLĄSKA 91% MP KW</v>
          </cell>
        </row>
        <row r="14095">
          <cell r="C14095">
            <v>2020331</v>
          </cell>
          <cell r="D14095" t="str">
            <v>FOL.PET/EVOH/PE/PEEL62X520KAB.Z SZYN180G</v>
          </cell>
        </row>
        <row r="14096">
          <cell r="C14096">
            <v>2020359</v>
          </cell>
          <cell r="D14096" t="str">
            <v>SIATKA 16/32/3/E BIA.</v>
          </cell>
        </row>
        <row r="14097">
          <cell r="C14097">
            <v>2020362</v>
          </cell>
          <cell r="D14097" t="str">
            <v>FOL.PET/PE 55X420 MOR</v>
          </cell>
        </row>
        <row r="14098">
          <cell r="C14098">
            <v>2020325</v>
          </cell>
          <cell r="D14098" t="str">
            <v>FOL.PET/PE 57X420 MOR EX</v>
          </cell>
        </row>
        <row r="14099">
          <cell r="C14099">
            <v>2016220</v>
          </cell>
          <cell r="D14099" t="str">
            <v>FOL.PET/EVOH/PE 42X520 KIEŁB.ŚLĄSKA MOR</v>
          </cell>
        </row>
        <row r="14100">
          <cell r="C14100">
            <v>2007299</v>
          </cell>
          <cell r="D14100" t="str">
            <v>FOL.STRETCH RĘCZ.17X475 PERF.</v>
          </cell>
        </row>
        <row r="14101">
          <cell r="C14101">
            <v>2020443</v>
          </cell>
          <cell r="D14101" t="str">
            <v>FOL.PET/PE 55X415 MOR</v>
          </cell>
        </row>
        <row r="14102">
          <cell r="C14102">
            <v>2020477</v>
          </cell>
          <cell r="D14102" t="str">
            <v>FOL.PET/EVOH/PE42X230KAB.DR/WP.95G KRA N</v>
          </cell>
        </row>
        <row r="14103">
          <cell r="C14103">
            <v>2020476</v>
          </cell>
          <cell r="D14103" t="str">
            <v>FOL.PET/EVOH/PE 42X230KABAN.WP.95G KRA N</v>
          </cell>
        </row>
        <row r="14104">
          <cell r="C14104">
            <v>2020230</v>
          </cell>
          <cell r="D14104" t="str">
            <v>SIATKA 85/86/7 90CM BIA.</v>
          </cell>
        </row>
        <row r="14105">
          <cell r="C14105">
            <v>2020516</v>
          </cell>
          <cell r="D14105" t="str">
            <v>ST.WKŁADKA 1018X48 3W BIA.</v>
          </cell>
        </row>
        <row r="14106">
          <cell r="C14106">
            <v>2005053</v>
          </cell>
          <cell r="D14106" t="str">
            <v>FOL.PA/PE 250X424</v>
          </cell>
        </row>
        <row r="14107">
          <cell r="C14107">
            <v>2017930</v>
          </cell>
          <cell r="D14107" t="str">
            <v>FOL.PA/PE 100X415</v>
          </cell>
        </row>
        <row r="14108">
          <cell r="C14108">
            <v>2017931</v>
          </cell>
          <cell r="D14108" t="str">
            <v>FOL.PA/EVOH/PE 230X420</v>
          </cell>
        </row>
        <row r="14109">
          <cell r="C14109">
            <v>2020603</v>
          </cell>
          <cell r="D14109" t="str">
            <v>FOL.PA/PE 120X626 JUMBO</v>
          </cell>
        </row>
        <row r="14110">
          <cell r="C14110">
            <v>2020604</v>
          </cell>
          <cell r="D14110" t="str">
            <v>FOL.PET/PE 59X520 ŚLĄSKA Z/SZYN.550G KRA</v>
          </cell>
        </row>
        <row r="14111">
          <cell r="C14111">
            <v>2020598</v>
          </cell>
          <cell r="D14111" t="str">
            <v>FOL.PET/PE/PEEL 54X420 FRANK.MOR</v>
          </cell>
        </row>
        <row r="14112">
          <cell r="C14112">
            <v>2020613</v>
          </cell>
          <cell r="D14112" t="str">
            <v>FOL.PET/PE 59X520 ŚLĄZERKI 240G MOR</v>
          </cell>
        </row>
        <row r="14113">
          <cell r="C14113">
            <v>2020614</v>
          </cell>
          <cell r="D14113" t="str">
            <v>FOL.PET/PE 59X520 ŚLĄSKA DP MOR</v>
          </cell>
        </row>
        <row r="14114">
          <cell r="C14114">
            <v>2020615</v>
          </cell>
          <cell r="D14114" t="str">
            <v>FOL.PET/PE 59X620 ŚLĄSKA DP MOR</v>
          </cell>
        </row>
        <row r="14115">
          <cell r="C14115">
            <v>2020626</v>
          </cell>
          <cell r="D14115" t="str">
            <v>FOL.PET/PE 55X520 ŚLĄSKA 550G DUL</v>
          </cell>
        </row>
        <row r="14116">
          <cell r="C14116">
            <v>2020675</v>
          </cell>
          <cell r="D14116" t="str">
            <v>FOL.PET/EVOH/PE/PEEL59X520 KABAN.180G EX</v>
          </cell>
        </row>
        <row r="14117">
          <cell r="C14117">
            <v>2020674</v>
          </cell>
          <cell r="D14117" t="str">
            <v>FOL.PET/PE 59X520 KABAN.250G KRA</v>
          </cell>
        </row>
        <row r="14118">
          <cell r="C14118">
            <v>2020680</v>
          </cell>
          <cell r="D14118" t="str">
            <v>FOL.PET/EVOH/PE 42X300 KABAN.MISTRZ.220G</v>
          </cell>
        </row>
        <row r="14119">
          <cell r="C14119">
            <v>2020690</v>
          </cell>
          <cell r="D14119" t="str">
            <v>FOL.PET/PE 55X520 KABAN.Z/BEK.220G DP</v>
          </cell>
        </row>
        <row r="14120">
          <cell r="C14120">
            <v>2020714</v>
          </cell>
          <cell r="D14120" t="str">
            <v>FOL.PET/PE 55X520 ŚLĄSKA 68% KW</v>
          </cell>
        </row>
        <row r="14121">
          <cell r="C14121">
            <v>2020803</v>
          </cell>
          <cell r="D14121" t="str">
            <v>FOL.PET/EVOH/PE 42X210 BER.CLASSIC</v>
          </cell>
        </row>
        <row r="14122">
          <cell r="C14122">
            <v>2020804</v>
          </cell>
          <cell r="D14122" t="str">
            <v>FOL.PET/EVOH/PE 42X210 BER.KUR.</v>
          </cell>
        </row>
        <row r="14123">
          <cell r="C14123">
            <v>2020815</v>
          </cell>
          <cell r="D14123" t="str">
            <v>FOL.PET/EVOH/PE 42X210 BER.CHILLI</v>
          </cell>
        </row>
        <row r="14124">
          <cell r="C14124">
            <v>2020895</v>
          </cell>
          <cell r="D14124" t="str">
            <v>FOL.PET/PE 77X415</v>
          </cell>
        </row>
        <row r="14125">
          <cell r="C14125">
            <v>2000542</v>
          </cell>
          <cell r="D14125" t="str">
            <v>FOL.PET/EVOH/PE 72X425</v>
          </cell>
        </row>
        <row r="14126">
          <cell r="C14126">
            <v>2020960</v>
          </cell>
          <cell r="D14126" t="str">
            <v>FOL.PA/PE 170X492</v>
          </cell>
        </row>
        <row r="14127">
          <cell r="C14127">
            <v>2021140</v>
          </cell>
          <cell r="D14127" t="str">
            <v>FOL.PET/PE 55X520 KIEŁB.ŚLĄSKA EX</v>
          </cell>
        </row>
        <row r="14128">
          <cell r="C14128">
            <v>2021180</v>
          </cell>
          <cell r="D14128" t="str">
            <v>FOL.PET/PE/EVOH/PE 59X520KAB.MISTRZ.LADA</v>
          </cell>
        </row>
        <row r="14129">
          <cell r="C14129">
            <v>2000986</v>
          </cell>
          <cell r="D14129" t="str">
            <v>KLIPS 18-12/5X2.20</v>
          </cell>
        </row>
        <row r="14130">
          <cell r="C14130">
            <v>2001050</v>
          </cell>
          <cell r="D14130" t="str">
            <v>WOR.PE 700X600X2F200 GR15 NIEB.</v>
          </cell>
        </row>
        <row r="14131">
          <cell r="C14131">
            <v>2021158</v>
          </cell>
          <cell r="D14131" t="str">
            <v>FOL.PA/EVOH/PE 170X492</v>
          </cell>
        </row>
        <row r="14132">
          <cell r="C14132">
            <v>2021193</v>
          </cell>
          <cell r="D14132" t="str">
            <v>FOL.PET/EVOH/PE/PEEL64X520KABAN.180G DUL</v>
          </cell>
        </row>
        <row r="14133">
          <cell r="C14133">
            <v>2021258</v>
          </cell>
          <cell r="D14133" t="str">
            <v>FOL.PET/PE 55X520 ŚLĄSKA 550G DUL DE</v>
          </cell>
        </row>
        <row r="14134">
          <cell r="C14134">
            <v>2018105</v>
          </cell>
          <cell r="D14134" t="str">
            <v>FOL.STRETCH RĘCZ.23X100</v>
          </cell>
        </row>
        <row r="14135">
          <cell r="C14135">
            <v>2021328</v>
          </cell>
          <cell r="D14135" t="str">
            <v>FOL.PET/PE/EVOH/PE/PEEL 59X520 BER.XXL</v>
          </cell>
        </row>
        <row r="14136">
          <cell r="C14136">
            <v>2020214</v>
          </cell>
          <cell r="D14136" t="str">
            <v>FOL.PET/PA/PE 92X420 DO GOT.HEAT W/F.</v>
          </cell>
        </row>
        <row r="14137">
          <cell r="C14137">
            <v>2021455</v>
          </cell>
          <cell r="D14137" t="str">
            <v>FOL.PET/EVOH/PE 54X490</v>
          </cell>
        </row>
        <row r="14138">
          <cell r="C14138">
            <v>2001636</v>
          </cell>
          <cell r="D14138" t="str">
            <v>PĘTELKA TW.SZT.BIAŁ.</v>
          </cell>
        </row>
        <row r="14139">
          <cell r="C14139">
            <v>2007090</v>
          </cell>
          <cell r="D14139" t="str">
            <v>WOR.PE 2400X1320X2F500 GR130</v>
          </cell>
        </row>
        <row r="14140">
          <cell r="C14140">
            <v>2021508</v>
          </cell>
          <cell r="D14140" t="str">
            <v>FOL.PET/EVOH/PE 42X290 BER.CLASS.150G</v>
          </cell>
        </row>
        <row r="14141">
          <cell r="C14141">
            <v>2021509</v>
          </cell>
          <cell r="D14141" t="str">
            <v>FOL.PET/EVOH/PE 42X290 BER.KUR.150G</v>
          </cell>
        </row>
        <row r="14142">
          <cell r="C14142">
            <v>2021525</v>
          </cell>
          <cell r="D14142" t="str">
            <v>FOL.PET/EVOH/PE 42X290 BER.CHILLI 150G</v>
          </cell>
        </row>
        <row r="14143">
          <cell r="C14143">
            <v>2021466</v>
          </cell>
          <cell r="D14143" t="str">
            <v>WOR.PA/PE 250X180 GR55</v>
          </cell>
        </row>
        <row r="14144">
          <cell r="C14144">
            <v>2020672</v>
          </cell>
          <cell r="D14144" t="str">
            <v>FOL.STRETCH MASZ.15X500 250%</v>
          </cell>
        </row>
        <row r="14145">
          <cell r="C14145">
            <v>2021309</v>
          </cell>
          <cell r="D14145" t="str">
            <v>FOL.STRETCH RĘCZ.15X500</v>
          </cell>
        </row>
        <row r="14146">
          <cell r="C14146">
            <v>2021561</v>
          </cell>
          <cell r="D14146" t="str">
            <v>KAR.WA.288X383X227 3W SZAR.W</v>
          </cell>
        </row>
        <row r="14147">
          <cell r="C14147">
            <v>2021562</v>
          </cell>
          <cell r="D14147" t="str">
            <v>KAR.WA.232X379X120 5W DIS.DESKA D</v>
          </cell>
        </row>
        <row r="14148">
          <cell r="C14148">
            <v>2002951</v>
          </cell>
          <cell r="D14148" t="str">
            <v>ET.TRMP.100X50 BIZ.BIA.U</v>
          </cell>
        </row>
        <row r="14149">
          <cell r="C14149">
            <v>2002952</v>
          </cell>
          <cell r="D14149" t="str">
            <v>ET.70X190 IW NUMER  WE</v>
          </cell>
        </row>
        <row r="14150">
          <cell r="C14150">
            <v>2002953</v>
          </cell>
          <cell r="D14150" t="str">
            <v>***ET.67X95 BIZERBA Z PERFORACJĄ KRA</v>
          </cell>
        </row>
        <row r="14151">
          <cell r="C14151">
            <v>2002954</v>
          </cell>
          <cell r="D14151" t="str">
            <v>ET.ZAW.80X120 BIA.</v>
          </cell>
        </row>
        <row r="14152">
          <cell r="C14152">
            <v>2002955</v>
          </cell>
          <cell r="D14152" t="str">
            <v>***ET.80X80 SZYNKA OWAL KRAKUS</v>
          </cell>
        </row>
        <row r="14153">
          <cell r="C14153">
            <v>2002956</v>
          </cell>
          <cell r="D14153" t="str">
            <v>***ET.80X80 ŁOSOSIOWA MAŁA KRA</v>
          </cell>
        </row>
        <row r="14154">
          <cell r="C14154">
            <v>2002957</v>
          </cell>
          <cell r="D14154" t="str">
            <v>ET.80X80 WĘDZONKA KROTOSZYŃSKA KRAKUS</v>
          </cell>
        </row>
        <row r="14155">
          <cell r="C14155">
            <v>2002958</v>
          </cell>
          <cell r="D14155" t="str">
            <v>ET.210X85 KIEŁ SUCHA KRAKOWSKA BANDEROLA</v>
          </cell>
        </row>
        <row r="14156">
          <cell r="C14156">
            <v>2002959</v>
          </cell>
          <cell r="D14156" t="str">
            <v>***ET.67X57 BIZERBA TESC</v>
          </cell>
        </row>
        <row r="14157">
          <cell r="C14157">
            <v>2002960</v>
          </cell>
          <cell r="D14157" t="str">
            <v>ET.175X75 KABANOS BANDEROLA KRAKUS</v>
          </cell>
        </row>
        <row r="14158">
          <cell r="C14158">
            <v>2003647</v>
          </cell>
          <cell r="D14158" t="str">
            <v>***ET.SP.80X80 TERMO FI 40</v>
          </cell>
        </row>
        <row r="14159">
          <cell r="C14159">
            <v>2003569</v>
          </cell>
          <cell r="D14159" t="str">
            <v>***ET.100X47 SCANVEG CZYSTA</v>
          </cell>
        </row>
        <row r="14160">
          <cell r="C14160">
            <v>2002961</v>
          </cell>
          <cell r="D14160" t="str">
            <v>***ET.210X94 ŻYWIECKA KRAKUS OWIJKA</v>
          </cell>
        </row>
        <row r="14161">
          <cell r="C14161">
            <v>2002962</v>
          </cell>
          <cell r="D14161" t="str">
            <v>***ET.68X68 BIZERBA</v>
          </cell>
        </row>
        <row r="14162">
          <cell r="C14162">
            <v>2002963</v>
          </cell>
          <cell r="D14162" t="str">
            <v>***ET.44X10 KODY ZABEZPIECZAJACE</v>
          </cell>
        </row>
        <row r="14163">
          <cell r="C14163">
            <v>2002964</v>
          </cell>
          <cell r="D14163" t="str">
            <v>ET.78X98 KOD KRESKOWY 7LBS</v>
          </cell>
        </row>
        <row r="14164">
          <cell r="C14164">
            <v>2002965</v>
          </cell>
          <cell r="D14164" t="str">
            <v>ET.100X138 7LBS KRA</v>
          </cell>
        </row>
        <row r="14165">
          <cell r="C14165">
            <v>2002966</v>
          </cell>
          <cell r="D14165" t="str">
            <v>***ET.90X80 KRAKUS KIEŁ.KRAK.SUCHA 320G</v>
          </cell>
        </row>
        <row r="14166">
          <cell r="C14166">
            <v>2002967</v>
          </cell>
          <cell r="D14166" t="str">
            <v>***ET.90X80 K.ŻYWIECKA SUCHA 286G KRA</v>
          </cell>
        </row>
        <row r="14167">
          <cell r="C14167">
            <v>2003568</v>
          </cell>
          <cell r="D14167" t="str">
            <v>***ET.104X40 KRAKUSKI 250G KRAKUS</v>
          </cell>
        </row>
        <row r="14168">
          <cell r="C14168">
            <v>2002968</v>
          </cell>
          <cell r="D14168" t="str">
            <v>***ET.72X34 KRAKUS SZYNKA TYŁ</v>
          </cell>
        </row>
        <row r="14169">
          <cell r="C14169">
            <v>2002969</v>
          </cell>
          <cell r="D14169" t="str">
            <v>***ET.72X34 WĘDZONKA KROTOSZ.KRAKUS TYŁ</v>
          </cell>
        </row>
        <row r="14170">
          <cell r="C14170">
            <v>2002970</v>
          </cell>
          <cell r="D14170" t="str">
            <v>ET.72X34 POLĘDWICZKA ŁOSOSIOWA KRAKUS TY</v>
          </cell>
        </row>
        <row r="14171">
          <cell r="C14171">
            <v>2002971</v>
          </cell>
          <cell r="D14171" t="str">
            <v>ET.90X79 KIEŁ. KRAKOW.ZMIENNOWAG. KRAKUS</v>
          </cell>
        </row>
        <row r="14172">
          <cell r="C14172">
            <v>2002972</v>
          </cell>
          <cell r="D14172" t="str">
            <v>***ET.90X79 KIEŁ.ŻYWIEC. ZMIENNOWAG.KRA</v>
          </cell>
        </row>
        <row r="14173">
          <cell r="C14173">
            <v>2002973</v>
          </cell>
          <cell r="D14173" t="str">
            <v>ET.80X120 BEZ NADRUKU</v>
          </cell>
        </row>
        <row r="14174">
          <cell r="C14174">
            <v>2003427</v>
          </cell>
          <cell r="D14174" t="str">
            <v>***ET.76X99 BIZERBA YAN SK</v>
          </cell>
        </row>
        <row r="14175">
          <cell r="C14175">
            <v>2002974</v>
          </cell>
          <cell r="D14175" t="str">
            <v>ET.100X100 TERMO</v>
          </cell>
        </row>
        <row r="14176">
          <cell r="C14176">
            <v>2002975</v>
          </cell>
          <cell r="D14176" t="str">
            <v>***ET.60X60 BIZERBA MIĘSO BIED</v>
          </cell>
        </row>
        <row r="14177">
          <cell r="C14177">
            <v>2002976</v>
          </cell>
          <cell r="D14177" t="str">
            <v>***ET.72X35 BOCZEK KLAS.WĘDZ.TYŁ KRAKUS</v>
          </cell>
        </row>
        <row r="14178">
          <cell r="C14178">
            <v>2002977</v>
          </cell>
          <cell r="D14178" t="str">
            <v>***ET.80X80 BOCZEK KLASYCZNY WĘDZONY KRA</v>
          </cell>
        </row>
        <row r="14179">
          <cell r="C14179">
            <v>2002978</v>
          </cell>
          <cell r="D14179" t="str">
            <v>ET.48X78 7LBS KRA T</v>
          </cell>
        </row>
        <row r="14180">
          <cell r="C14180">
            <v>2001155</v>
          </cell>
          <cell r="D14180" t="str">
            <v>ET.75X101 YANO UNIWERSALNA EXPORT</v>
          </cell>
        </row>
        <row r="14181">
          <cell r="C14181">
            <v>2002979</v>
          </cell>
          <cell r="D14181" t="str">
            <v>***ET.68X68 BIZERBA BEZ LOGO</v>
          </cell>
        </row>
        <row r="14182">
          <cell r="C14182">
            <v>2002980</v>
          </cell>
          <cell r="D14182" t="str">
            <v>ET.TRMP.66X95 BIZ.BIA.U</v>
          </cell>
        </row>
        <row r="14183">
          <cell r="C14183">
            <v>2002981</v>
          </cell>
          <cell r="D14183" t="str">
            <v>***ET.68X98 BIZERBA POSKIE PRZYSMAKI</v>
          </cell>
        </row>
        <row r="14184">
          <cell r="C14184">
            <v>2002982</v>
          </cell>
          <cell r="D14184" t="str">
            <v>***ET.66X95 POLĘDWICA SOP. SUPER SMAK</v>
          </cell>
        </row>
        <row r="14185">
          <cell r="C14185">
            <v>2003428</v>
          </cell>
          <cell r="D14185" t="str">
            <v>***ET.56X90 SZYN.DELIKATNA MOR RND</v>
          </cell>
        </row>
        <row r="14186">
          <cell r="C14186">
            <v>2002983</v>
          </cell>
          <cell r="D14186" t="str">
            <v>ET.80X100 SZYN.KONS.570G</v>
          </cell>
        </row>
        <row r="14187">
          <cell r="C14187">
            <v>2002984</v>
          </cell>
          <cell r="D14187" t="str">
            <v>ET.TRMP.50X30 BIZ.BIA.U</v>
          </cell>
        </row>
        <row r="14188">
          <cell r="C14188">
            <v>2002985</v>
          </cell>
          <cell r="D14188" t="str">
            <v>***ET.90X80 KIEŁ.KRAKOWS. 275 G JMD</v>
          </cell>
        </row>
        <row r="14189">
          <cell r="C14189">
            <v>2002986</v>
          </cell>
          <cell r="D14189" t="str">
            <v>***ET.70X98 KIEŁ CZOSNKOWA OPTIMA LITWA</v>
          </cell>
        </row>
        <row r="14190">
          <cell r="C14190">
            <v>2002987</v>
          </cell>
          <cell r="D14190" t="str">
            <v>***ET.88X94PODWAWELSKA JMD SZERSZA GILZA</v>
          </cell>
        </row>
        <row r="14191">
          <cell r="C14191">
            <v>2002988</v>
          </cell>
          <cell r="D14191" t="str">
            <v>***ET.60X90 KIEŁ.PODWAWELSKA MORLINY RND</v>
          </cell>
        </row>
        <row r="14192">
          <cell r="C14192">
            <v>2002989</v>
          </cell>
          <cell r="D14192" t="str">
            <v>***ET.90X80 KIEŁ.ŻYWIECKA 286 G JMD</v>
          </cell>
        </row>
        <row r="14193">
          <cell r="C14193">
            <v>2002990</v>
          </cell>
          <cell r="D14193" t="str">
            <v>***ET.65X55 BIZERBA MAP.</v>
          </cell>
        </row>
        <row r="14194">
          <cell r="C14194">
            <v>2002991</v>
          </cell>
          <cell r="D14194" t="str">
            <v>ET.67X80 BIZERBA KRAKUS</v>
          </cell>
        </row>
        <row r="14195">
          <cell r="C14195">
            <v>2002992</v>
          </cell>
          <cell r="D14195" t="str">
            <v>***ET.80X120 YANO LITWA</v>
          </cell>
        </row>
        <row r="14196">
          <cell r="C14196">
            <v>2003429</v>
          </cell>
          <cell r="D14196" t="str">
            <v>***ET.86X128 BALERON GOT.BT</v>
          </cell>
        </row>
        <row r="14197">
          <cell r="C14197">
            <v>2003652</v>
          </cell>
          <cell r="D14197" t="str">
            <v>***ET.86X128SZYNKA RUBINOWA  BRUMO TASSI</v>
          </cell>
        </row>
        <row r="14198">
          <cell r="C14198">
            <v>2002993</v>
          </cell>
          <cell r="D14198" t="str">
            <v>***ET.98X65 KIEŁBASA PODWAWELSKA MAP</v>
          </cell>
        </row>
        <row r="14199">
          <cell r="C14199">
            <v>2002994</v>
          </cell>
          <cell r="D14199" t="str">
            <v>***ET.67X94 BIZERBA MORLINY RND</v>
          </cell>
        </row>
        <row r="14200">
          <cell r="C14200">
            <v>2003573</v>
          </cell>
          <cell r="D14200" t="str">
            <v>***ET.71X97 BIZERBA MAZ</v>
          </cell>
        </row>
        <row r="14201">
          <cell r="C14201">
            <v>2002995</v>
          </cell>
          <cell r="D14201" t="str">
            <v>***ET.70X89 KAARLI EXPORT</v>
          </cell>
        </row>
        <row r="14202">
          <cell r="C14202">
            <v>2002996</v>
          </cell>
          <cell r="D14202" t="str">
            <v>***ET.60X90 SZYNKA AKSAMITNA MORLINY RND</v>
          </cell>
        </row>
        <row r="14203">
          <cell r="C14203">
            <v>2002997</v>
          </cell>
          <cell r="D14203" t="str">
            <v>***ET.85X127 BOCZ.WĘDZ.GOT.BT</v>
          </cell>
        </row>
        <row r="14204">
          <cell r="C14204">
            <v>2002998</v>
          </cell>
          <cell r="D14204" t="str">
            <v>***ET.66X110 POLĘDWICZKA WP. ŚWIEZA JMD</v>
          </cell>
        </row>
        <row r="14205">
          <cell r="C14205">
            <v>2002999</v>
          </cell>
          <cell r="D14205" t="str">
            <v>ET.90X80 KIEŁ.KRAKOWSKA SUCHA 320G NIEMC</v>
          </cell>
        </row>
        <row r="14206">
          <cell r="C14206">
            <v>2007507</v>
          </cell>
          <cell r="D14206" t="str">
            <v>***ET.80X110 KIEŁB.GRILL.BIED T</v>
          </cell>
        </row>
        <row r="14207">
          <cell r="C14207">
            <v>2003000</v>
          </cell>
          <cell r="D14207" t="str">
            <v>ET.65X90 BIZERBA SWOJSCY</v>
          </cell>
        </row>
        <row r="14208">
          <cell r="C14208">
            <v>2003001</v>
          </cell>
          <cell r="D14208" t="str">
            <v>ET.120X100 SWOJSCY OZDOBNA</v>
          </cell>
        </row>
        <row r="14209">
          <cell r="C14209">
            <v>2003430</v>
          </cell>
          <cell r="D14209" t="str">
            <v>***ET.56X90 SZYNKOWA WP.RND</v>
          </cell>
        </row>
        <row r="14210">
          <cell r="C14210">
            <v>2003431</v>
          </cell>
          <cell r="D14210" t="str">
            <v>***ET.360X80 SZYNKOWA WP.BANDEROLA</v>
          </cell>
        </row>
        <row r="14211">
          <cell r="C14211">
            <v>2003002</v>
          </cell>
          <cell r="D14211" t="str">
            <v>***ET.67X120 KABAN.180G KRA T</v>
          </cell>
        </row>
        <row r="14212">
          <cell r="C14212">
            <v>2003003</v>
          </cell>
          <cell r="D14212" t="str">
            <v>***ET67X90BIZERBA KABANOS 280GKRAKUS JMD</v>
          </cell>
        </row>
        <row r="14213">
          <cell r="C14213">
            <v>2003004</v>
          </cell>
          <cell r="D14213" t="str">
            <v>***ET175X75 KABANOS BANDEROLA KRAKUS JMD</v>
          </cell>
        </row>
        <row r="14214">
          <cell r="C14214">
            <v>2003005</v>
          </cell>
          <cell r="D14214" t="str">
            <v>***ET.60X88SZYNKA KONSER.500G MORL.TESCO</v>
          </cell>
        </row>
        <row r="14215">
          <cell r="C14215">
            <v>2003006</v>
          </cell>
          <cell r="D14215" t="str">
            <v>***ET.127X75KARCZEK DO PIECZ MORLINY RND</v>
          </cell>
        </row>
        <row r="14216">
          <cell r="C14216">
            <v>2003007</v>
          </cell>
          <cell r="D14216" t="str">
            <v>***ET.127X75ŁOPATKA DO PIECZ MORLINY RND</v>
          </cell>
        </row>
        <row r="14217">
          <cell r="C14217">
            <v>2003008</v>
          </cell>
          <cell r="D14217" t="str">
            <v>***ET94X78GOLONKA DO PIECZ MORLINYRND</v>
          </cell>
        </row>
        <row r="14218">
          <cell r="C14218">
            <v>2003601</v>
          </cell>
          <cell r="D14218" t="str">
            <v>ET.70X63 BIZERBA KAUF</v>
          </cell>
        </row>
        <row r="14219">
          <cell r="C14219">
            <v>2003009</v>
          </cell>
          <cell r="D14219" t="str">
            <v>***ET.63X70 BIZERBA KAUF</v>
          </cell>
        </row>
        <row r="14220">
          <cell r="C14220">
            <v>2003010</v>
          </cell>
          <cell r="D14220" t="str">
            <v>***ET.80X110 M.MIEL.Z ŁOP.WŁ.BIED T</v>
          </cell>
        </row>
        <row r="14221">
          <cell r="C14221">
            <v>2003011</v>
          </cell>
          <cell r="D14221" t="str">
            <v>***ET80X155MIĘSO MIEL.Z ŁOPATKI MORL.RND</v>
          </cell>
        </row>
        <row r="14222">
          <cell r="C14222">
            <v>2003012</v>
          </cell>
          <cell r="D14222" t="str">
            <v>***ET.85X54 KABAN.WYBORNE 210G</v>
          </cell>
        </row>
        <row r="14223">
          <cell r="C14223">
            <v>2003013</v>
          </cell>
          <cell r="D14223" t="str">
            <v>***ET90X50PRZEKĄSKA LUKS.WĘDZONA KRAKUS</v>
          </cell>
        </row>
        <row r="14224">
          <cell r="C14224">
            <v>2003014</v>
          </cell>
          <cell r="D14224" t="str">
            <v>***ET.80X110 M.MIEL.Z SZYN.WP.JM T</v>
          </cell>
        </row>
        <row r="14225">
          <cell r="C14225">
            <v>2003015</v>
          </cell>
          <cell r="D14225" t="str">
            <v>ET.58X90 PRZYSMAK SZYNKOWY 570G MORLINY</v>
          </cell>
        </row>
        <row r="14226">
          <cell r="C14226">
            <v>2003016</v>
          </cell>
          <cell r="D14226" t="str">
            <v>***ET.80X120 SZYNKA KULKA TYŁ JMD</v>
          </cell>
        </row>
        <row r="14227">
          <cell r="C14227">
            <v>2003017</v>
          </cell>
          <cell r="D14227" t="str">
            <v>***ET68X68SCHAB WP PLASTRY  PRZÓD JMD</v>
          </cell>
        </row>
        <row r="14228">
          <cell r="C14228">
            <v>2003018</v>
          </cell>
          <cell r="D14228" t="str">
            <v>***ET.80X110 SCH.B/K.KOTL.360G BIED T</v>
          </cell>
        </row>
        <row r="14229">
          <cell r="C14229">
            <v>2003019</v>
          </cell>
          <cell r="D14229" t="str">
            <v>***ET.80X110 KARK.B/K WP.JMP560G TYŁ</v>
          </cell>
        </row>
        <row r="14230">
          <cell r="C14230">
            <v>2003020</v>
          </cell>
          <cell r="D14230" t="str">
            <v>***ET.85X53KABANOSYWYBOR ZMIENNOWAG.MORL</v>
          </cell>
        </row>
        <row r="14231">
          <cell r="C14231">
            <v>2003021</v>
          </cell>
          <cell r="D14231" t="str">
            <v>***ET.60X120 ŻEBERKA MIĘSNE TYŁ JMD</v>
          </cell>
        </row>
        <row r="14232">
          <cell r="C14232">
            <v>2003022</v>
          </cell>
          <cell r="D14232" t="str">
            <v>***ET.80X110  ŁOP.WP.B/K.BIED T</v>
          </cell>
        </row>
        <row r="14233">
          <cell r="C14233">
            <v>2003023</v>
          </cell>
          <cell r="D14233" t="str">
            <v>***ET.80X100 SZYNKA KONS 570 G REAL</v>
          </cell>
        </row>
        <row r="14234">
          <cell r="C14234">
            <v>2003024</v>
          </cell>
          <cell r="D14234" t="str">
            <v>ET.75X91 TESC KIEŁ.PODWAWELSKA</v>
          </cell>
        </row>
        <row r="14235">
          <cell r="C14235">
            <v>2003025</v>
          </cell>
          <cell r="D14235" t="str">
            <v>***ET.75X120 MORLINY ŚWIAT MIĘS</v>
          </cell>
        </row>
        <row r="14236">
          <cell r="C14236">
            <v>2003026</v>
          </cell>
          <cell r="D14236" t="str">
            <v>***ET.68X101 TESCO UNIWERSALNA</v>
          </cell>
        </row>
        <row r="14237">
          <cell r="C14237">
            <v>2003027</v>
          </cell>
          <cell r="D14237" t="str">
            <v>ET.ZAW.80X120 KOL.</v>
          </cell>
        </row>
        <row r="14238">
          <cell r="C14238">
            <v>2003432</v>
          </cell>
          <cell r="D14238" t="str">
            <v>ET.90X130XŻEBERKA WĘDZONE PARZONE HORECA</v>
          </cell>
        </row>
        <row r="14239">
          <cell r="C14239">
            <v>2003028</v>
          </cell>
          <cell r="D14239" t="str">
            <v>ET.68X95 BIZERBA MORLINY EXPORT</v>
          </cell>
        </row>
        <row r="14240">
          <cell r="C14240">
            <v>2003029</v>
          </cell>
          <cell r="D14240" t="str">
            <v>***ET.65X42 SCHAB B/K WPLAST.360G - LIDL</v>
          </cell>
        </row>
        <row r="14241">
          <cell r="C14241">
            <v>2003030</v>
          </cell>
          <cell r="D14241" t="str">
            <v>***ET.77X50 KARK.B/K.1KG LIDL</v>
          </cell>
        </row>
        <row r="14242">
          <cell r="C14242">
            <v>2003031</v>
          </cell>
          <cell r="D14242" t="str">
            <v>***ET.77X50 KARK.B/K WPLAST. 560G - LIDL</v>
          </cell>
        </row>
        <row r="14243">
          <cell r="C14243">
            <v>2003032</v>
          </cell>
          <cell r="D14243" t="str">
            <v>***ET.68X80 KRAKUS EXPORT</v>
          </cell>
        </row>
        <row r="14244">
          <cell r="C14244">
            <v>2003033</v>
          </cell>
          <cell r="D14244" t="str">
            <v>***ET.80X100 KRAK SZYN.KONS.570G-EXPORT</v>
          </cell>
        </row>
        <row r="14245">
          <cell r="C14245">
            <v>2003034</v>
          </cell>
          <cell r="D14245" t="str">
            <v>***ET.60X68 PASZTETOWA KANAPKOWA 300G</v>
          </cell>
        </row>
        <row r="14246">
          <cell r="C14246">
            <v>2003554</v>
          </cell>
          <cell r="D14246" t="str">
            <v>***ET.68X95 PIKNIK UNIWERSALNA</v>
          </cell>
        </row>
        <row r="14247">
          <cell r="C14247">
            <v>2003035</v>
          </cell>
          <cell r="D14247" t="str">
            <v>***ET.77X50 M-SO WP.- WŁ.500 LIDL P</v>
          </cell>
        </row>
        <row r="14248">
          <cell r="C14248">
            <v>2003555</v>
          </cell>
          <cell r="D14248" t="str">
            <v>***ET.90X130 ŻEB.WĘDZ.PARZ.HORECA</v>
          </cell>
        </row>
        <row r="14249">
          <cell r="C14249">
            <v>2003036</v>
          </cell>
          <cell r="D14249" t="str">
            <v>***ET90X130PARÓWKI PREM250G-CHWILA SMAKU</v>
          </cell>
        </row>
        <row r="14250">
          <cell r="C14250">
            <v>2003037</v>
          </cell>
          <cell r="D14250" t="str">
            <v>***ET.84X129 KIEŁB.SZYN.KORONA T</v>
          </cell>
        </row>
        <row r="14251">
          <cell r="C14251">
            <v>2003038</v>
          </cell>
          <cell r="D14251" t="str">
            <v>***ET.350125 KIEŁB.SZYN-KORONA OWIJKA</v>
          </cell>
        </row>
        <row r="14252">
          <cell r="C14252">
            <v>2003039</v>
          </cell>
          <cell r="D14252" t="str">
            <v>***ET.77X50 POLĘDWICZKA WP - LIDL</v>
          </cell>
        </row>
        <row r="14253">
          <cell r="C14253">
            <v>2003040</v>
          </cell>
          <cell r="D14253" t="str">
            <v>***ET.77X55 MIĘSO MIEL Z ŁOATKI LIDL</v>
          </cell>
        </row>
        <row r="14254">
          <cell r="C14254">
            <v>2003041</v>
          </cell>
          <cell r="D14254" t="str">
            <v>***ET.77X50 ŁOPATKA WP - LIDL</v>
          </cell>
        </row>
        <row r="14255">
          <cell r="C14255">
            <v>2003042</v>
          </cell>
          <cell r="D14255" t="str">
            <v>***ET.60X90 KASZANKA GRILLOWA TESCO</v>
          </cell>
        </row>
        <row r="14256">
          <cell r="C14256">
            <v>2003043</v>
          </cell>
          <cell r="D14256" t="str">
            <v>***ET90X120KABANOSIKI FINE FOOD-MACRO</v>
          </cell>
        </row>
        <row r="14257">
          <cell r="C14257">
            <v>2003044</v>
          </cell>
          <cell r="D14257" t="str">
            <v>***ET.58X86 POLĘDWICA SOPCKA TESCO</v>
          </cell>
        </row>
        <row r="14258">
          <cell r="C14258">
            <v>2003045</v>
          </cell>
          <cell r="D14258" t="str">
            <v>***ET.75X120 GRILL BIEDRONKA KARCZEK</v>
          </cell>
        </row>
        <row r="14259">
          <cell r="C14259">
            <v>2003046</v>
          </cell>
          <cell r="D14259" t="str">
            <v>***ET.75X120 GRILL BIEDRONKA BOCZEK</v>
          </cell>
        </row>
        <row r="14260">
          <cell r="C14260">
            <v>2003047</v>
          </cell>
          <cell r="D14260" t="str">
            <v>***ET.50X90 PRZEKĄS.LUKSUS.KRAKUS UK</v>
          </cell>
        </row>
        <row r="14261">
          <cell r="C14261">
            <v>2003048</v>
          </cell>
          <cell r="D14261" t="str">
            <v>***ET.50X40 STIKER TESCO GRILL</v>
          </cell>
        </row>
        <row r="14262">
          <cell r="C14262">
            <v>2003049</v>
          </cell>
          <cell r="D14262" t="str">
            <v>***ET.90X80 KRAKUS KIEŁ.ŻYWIEC.286G-ANG.</v>
          </cell>
        </row>
        <row r="14263">
          <cell r="C14263">
            <v>2003050</v>
          </cell>
          <cell r="D14263" t="str">
            <v>***ET.90X80 KRAKUS KIEŁ.KRAK.320G-ANG.</v>
          </cell>
        </row>
        <row r="14264">
          <cell r="C14264">
            <v>2003051</v>
          </cell>
          <cell r="D14264" t="str">
            <v>***ET.58X86 KABANOS WIEPRZ 250G TESCO</v>
          </cell>
        </row>
        <row r="14265">
          <cell r="C14265">
            <v>2003052</v>
          </cell>
          <cell r="D14265" t="str">
            <v>***ET.58X86 KABANOSY WIEPRZ.450G TESCO</v>
          </cell>
        </row>
        <row r="14266">
          <cell r="C14266">
            <v>2003053</v>
          </cell>
          <cell r="D14266" t="str">
            <v>***ET.58X86 BALERON Z GOSPODY TESCO</v>
          </cell>
        </row>
        <row r="14267">
          <cell r="C14267">
            <v>2003054</v>
          </cell>
          <cell r="D14267" t="str">
            <v>***ET.67X90 SZYNKA DOMOWA TESCO</v>
          </cell>
        </row>
        <row r="14268">
          <cell r="C14268">
            <v>2003055</v>
          </cell>
          <cell r="D14268" t="str">
            <v>***ET.67X90 SALCESON TESCO</v>
          </cell>
        </row>
        <row r="14269">
          <cell r="C14269">
            <v>2003056</v>
          </cell>
          <cell r="D14269" t="str">
            <v>***ET.67X90 KIEŁB.KANAPKOWA TESC</v>
          </cell>
        </row>
        <row r="14270">
          <cell r="C14270">
            <v>2003057</v>
          </cell>
          <cell r="D14270" t="str">
            <v>***ET.73X109.5 BOCZ.WĘDZ.ARO</v>
          </cell>
        </row>
        <row r="14271">
          <cell r="C14271">
            <v>2003058</v>
          </cell>
          <cell r="D14271" t="str">
            <v>***ET.74X105 KASZANKA GRILL JMD</v>
          </cell>
        </row>
        <row r="14272">
          <cell r="C14272">
            <v>2003059</v>
          </cell>
          <cell r="D14272" t="str">
            <v>***ET.90X80 KRAKUS ŻYWIECKA 600G JMD</v>
          </cell>
        </row>
        <row r="14273">
          <cell r="C14273">
            <v>2003060</v>
          </cell>
          <cell r="D14273" t="str">
            <v>***ET.68X102 TESCO LIGHT CHOICES</v>
          </cell>
        </row>
        <row r="14274">
          <cell r="C14274">
            <v>2003061</v>
          </cell>
          <cell r="D14274" t="str">
            <v>***ET.68X102 TESCO JOINT (ELEMENT)</v>
          </cell>
        </row>
        <row r="14275">
          <cell r="C14275">
            <v>2003062</v>
          </cell>
          <cell r="D14275" t="str">
            <v>***ET.68X102 TESCO PORK (MIELONE)</v>
          </cell>
        </row>
        <row r="14276">
          <cell r="C14276">
            <v>2003063</v>
          </cell>
          <cell r="D14276" t="str">
            <v>***ET.68X102 TESCO PORK (PLASTRY)</v>
          </cell>
        </row>
        <row r="14277">
          <cell r="C14277">
            <v>2003064</v>
          </cell>
          <cell r="D14277" t="str">
            <v>ET.68X90 RAGNOS CZOSNEK</v>
          </cell>
        </row>
        <row r="14278">
          <cell r="C14278">
            <v>2003065</v>
          </cell>
          <cell r="D14278" t="str">
            <v>***ET.72X65 KULKA WP-WOŁ. 290G</v>
          </cell>
        </row>
        <row r="14279">
          <cell r="C14279">
            <v>2003066</v>
          </cell>
          <cell r="D14279" t="str">
            <v>***ET.60X90 KIEŁB.PODWAW.DROŻ.MOR RND</v>
          </cell>
        </row>
        <row r="14280">
          <cell r="C14280">
            <v>2003067</v>
          </cell>
          <cell r="D14280" t="str">
            <v>***ET.98X65 KIEŁBASA PODWAWELSKA MORLINY</v>
          </cell>
        </row>
        <row r="14281">
          <cell r="C14281">
            <v>2003068</v>
          </cell>
          <cell r="D14281" t="str">
            <v>***ET.68X90 SCH.B/K.KOTL.360G BIED P</v>
          </cell>
        </row>
        <row r="14282">
          <cell r="C14282">
            <v>2003069</v>
          </cell>
          <cell r="D14282" t="str">
            <v>***ET.68X110 SZYNKA KULKA JMD-PRZÓD</v>
          </cell>
        </row>
        <row r="14283">
          <cell r="C14283">
            <v>2003070</v>
          </cell>
          <cell r="D14283" t="str">
            <v>***ET.68X90 M.MIEL.ŁOP.WŁ.BIED P</v>
          </cell>
        </row>
        <row r="14284">
          <cell r="C14284">
            <v>2003071</v>
          </cell>
          <cell r="D14284" t="str">
            <v>***ET.68X90 M.MIEL.Z SZYN.WP.P J</v>
          </cell>
        </row>
        <row r="14285">
          <cell r="C14285">
            <v>2003072</v>
          </cell>
          <cell r="D14285" t="str">
            <v>***ET.68X90 ŁOP.WP.B/K.BIED P</v>
          </cell>
        </row>
        <row r="14286">
          <cell r="C14286">
            <v>2003073</v>
          </cell>
          <cell r="D14286" t="str">
            <v>***ET.84X93KIEŁ.PODWAWELSKA CHWILA SMAKU</v>
          </cell>
        </row>
        <row r="14287">
          <cell r="C14287">
            <v>2003074</v>
          </cell>
          <cell r="D14287" t="str">
            <v>ET.80X120 BALERON MAKRO ARO</v>
          </cell>
        </row>
        <row r="14288">
          <cell r="C14288">
            <v>2003075</v>
          </cell>
          <cell r="D14288" t="str">
            <v>***ET.68X93 BALERON KAUF</v>
          </cell>
        </row>
        <row r="14289">
          <cell r="C14289">
            <v>2003076</v>
          </cell>
          <cell r="D14289" t="str">
            <v>***ET.68X93 KAUFLAND BOCZEK</v>
          </cell>
        </row>
        <row r="14290">
          <cell r="C14290">
            <v>2003077</v>
          </cell>
          <cell r="D14290" t="str">
            <v>ET.60X90 MORLINY SALCESON</v>
          </cell>
        </row>
        <row r="14291">
          <cell r="C14291">
            <v>2003078</v>
          </cell>
          <cell r="D14291" t="str">
            <v>ET.80X60 PARÓWKI JAPONIA 2,25KG-DROŻDŻ.</v>
          </cell>
        </row>
        <row r="14292">
          <cell r="C14292">
            <v>2003079</v>
          </cell>
          <cell r="D14292" t="str">
            <v>ET.120X100 PARÓWKI JAPONIA 225G DROŻDŻE</v>
          </cell>
        </row>
        <row r="14293">
          <cell r="C14293">
            <v>2003080</v>
          </cell>
          <cell r="D14293" t="str">
            <v>ET.80X60 PARÓWKI JAPONIA 7,875KG-DROŻDŻ.</v>
          </cell>
        </row>
        <row r="14294">
          <cell r="C14294">
            <v>2003081</v>
          </cell>
          <cell r="D14294" t="str">
            <v>ET.80X60 PARÓWKI JAPONIA 9KG-DROŻDŻ.</v>
          </cell>
        </row>
        <row r="14295">
          <cell r="C14295">
            <v>2003082</v>
          </cell>
          <cell r="D14295" t="str">
            <v>***ET.80X120 TORUŃSKA HORECA SELECT</v>
          </cell>
        </row>
        <row r="14296">
          <cell r="C14296">
            <v>2003083</v>
          </cell>
          <cell r="D14296" t="str">
            <v>***ET.OZD.75X135 SCH.BIED</v>
          </cell>
        </row>
        <row r="14297">
          <cell r="C14297">
            <v>2003084</v>
          </cell>
          <cell r="D14297" t="str">
            <v>***ET.OZD.75X135  KARK.BIED</v>
          </cell>
        </row>
        <row r="14298">
          <cell r="C14298">
            <v>2003085</v>
          </cell>
          <cell r="D14298" t="str">
            <v>***ET.66X75 SCH.NA SZARO BIED T</v>
          </cell>
        </row>
        <row r="14299">
          <cell r="C14299">
            <v>2003086</v>
          </cell>
          <cell r="D14299" t="str">
            <v>***ET.66X75 KARK.NA SZARO BIED T</v>
          </cell>
        </row>
        <row r="14300">
          <cell r="C14300">
            <v>2003087</v>
          </cell>
          <cell r="D14300" t="str">
            <v>***ET.58X91 WĘDZONKA WIEJSKA MOR</v>
          </cell>
        </row>
        <row r="14301">
          <cell r="C14301">
            <v>2003088</v>
          </cell>
          <cell r="D14301" t="str">
            <v>***ET.68X90 KARK.WP.B/K.560G BIED P</v>
          </cell>
        </row>
        <row r="14302">
          <cell r="C14302">
            <v>2003435</v>
          </cell>
          <cell r="D14302" t="str">
            <v>***ET.65X120 SZYNKA DA GRASSO</v>
          </cell>
        </row>
        <row r="14303">
          <cell r="C14303">
            <v>2003089</v>
          </cell>
          <cell r="D14303" t="str">
            <v>***ET.35X45 PEWNIAK 7ZŁ TESCO</v>
          </cell>
        </row>
        <row r="14304">
          <cell r="C14304">
            <v>2003090</v>
          </cell>
          <cell r="D14304" t="str">
            <v>***ET.50X77 MIĘSO WOŁ. GARMAZERYJNE LIDL</v>
          </cell>
        </row>
        <row r="14305">
          <cell r="C14305">
            <v>2003091</v>
          </cell>
          <cell r="D14305" t="str">
            <v>***ET.120X210 THERMO</v>
          </cell>
        </row>
        <row r="14306">
          <cell r="C14306">
            <v>2003646</v>
          </cell>
          <cell r="D14306" t="str">
            <v>***ET.210X85 K.SUCHA ŻYWIECKA 320G BANDE</v>
          </cell>
        </row>
        <row r="14307">
          <cell r="C14307">
            <v>2003625</v>
          </cell>
          <cell r="D14307" t="str">
            <v>ET.80X120 TERMO</v>
          </cell>
        </row>
        <row r="14308">
          <cell r="C14308">
            <v>2003092</v>
          </cell>
          <cell r="D14308" t="str">
            <v>***ET.110X68 ŻEBERKA ""TRÓJKĄT"" JMD P</v>
          </cell>
        </row>
        <row r="14309">
          <cell r="C14309">
            <v>2003093</v>
          </cell>
          <cell r="D14309" t="str">
            <v>***ET.68X90 KRAKOWSKA CZ/SK 286G</v>
          </cell>
        </row>
        <row r="14310">
          <cell r="C14310">
            <v>2003094</v>
          </cell>
          <cell r="D14310" t="str">
            <v>***ET.68X90 KRAKOWSKA CZ/SK 572G</v>
          </cell>
        </row>
        <row r="14311">
          <cell r="C14311">
            <v>2003095</v>
          </cell>
          <cell r="D14311" t="str">
            <v>***ET.80X120 KIEŁ.BIAŁA SUROWA JMD</v>
          </cell>
        </row>
        <row r="14312">
          <cell r="C14312">
            <v>2003096</v>
          </cell>
          <cell r="D14312" t="str">
            <v>***ET.110X68 KIEŁB.BIAŁA SUROWA BIED P</v>
          </cell>
        </row>
        <row r="14313">
          <cell r="C14313">
            <v>2003097</v>
          </cell>
          <cell r="D14313" t="str">
            <v>***ET.75X25 STICER 100% MIĘSA Z ŁOPATKI</v>
          </cell>
        </row>
        <row r="14314">
          <cell r="C14314">
            <v>2003098</v>
          </cell>
          <cell r="D14314" t="str">
            <v>***ET.85X156 KRAKUS ŁOPATKA IUM</v>
          </cell>
        </row>
        <row r="14315">
          <cell r="C14315">
            <v>2003099</v>
          </cell>
          <cell r="D14315" t="str">
            <v>***ET.85X156 KRAKUS IUM SCHAB</v>
          </cell>
        </row>
        <row r="14316">
          <cell r="C14316">
            <v>2003100</v>
          </cell>
          <cell r="D14316" t="str">
            <v>***ET.85X156 KRAKUS IUM BOCZEK</v>
          </cell>
        </row>
        <row r="14317">
          <cell r="C14317">
            <v>2003101</v>
          </cell>
          <cell r="D14317" t="str">
            <v>***ET.85X156 KRAKUS IUM KARCZEK</v>
          </cell>
        </row>
        <row r="14318">
          <cell r="C14318">
            <v>2003102</v>
          </cell>
          <cell r="D14318" t="str">
            <v>***ET.SP.80X80 TERMO FI 76</v>
          </cell>
        </row>
        <row r="14319">
          <cell r="C14319">
            <v>2001409</v>
          </cell>
          <cell r="D14319" t="str">
            <v>ET.75X150 MORLINY ŚWIAT MIĘS</v>
          </cell>
        </row>
        <row r="14320">
          <cell r="C14320">
            <v>2003103</v>
          </cell>
          <cell r="D14320" t="str">
            <v>***ET.90X50 FRANKFUR.CLASSIC 450G GRILL</v>
          </cell>
        </row>
        <row r="14321">
          <cell r="C14321">
            <v>2003104</v>
          </cell>
          <cell r="D14321" t="str">
            <v>***ET.75X145 KARK.GRILL.W MAR.MOR</v>
          </cell>
        </row>
        <row r="14322">
          <cell r="C14322">
            <v>2003105</v>
          </cell>
          <cell r="D14322" t="str">
            <v>***ET.75X142 BOCZ.GRILL.W MAR.MOR</v>
          </cell>
        </row>
        <row r="14323">
          <cell r="C14323">
            <v>2003106</v>
          </cell>
          <cell r="D14323" t="str">
            <v>ET.TRMP.68X68 FI76 BIZ.BIA.U</v>
          </cell>
        </row>
        <row r="14324">
          <cell r="C14324">
            <v>2003107</v>
          </cell>
          <cell r="D14324" t="str">
            <v>***ET.55X90 FRANK.HOT CHILI 450G GRILL</v>
          </cell>
        </row>
        <row r="14325">
          <cell r="C14325">
            <v>2003108</v>
          </cell>
          <cell r="D14325" t="str">
            <v>***ET.55X90 FRANK.HOT CHILI 450G GRILL</v>
          </cell>
        </row>
        <row r="14326">
          <cell r="C14326">
            <v>2003109</v>
          </cell>
          <cell r="D14326" t="str">
            <v>***ET.55X90 FRANKFUR.Z SEREM 450G GRILL</v>
          </cell>
        </row>
        <row r="14327">
          <cell r="C14327">
            <v>2003110</v>
          </cell>
          <cell r="D14327" t="str">
            <v>ET.90X100 M.MIEL.Z ŁOP.KAUF</v>
          </cell>
        </row>
        <row r="14328">
          <cell r="C14328">
            <v>2003111</v>
          </cell>
          <cell r="D14328" t="str">
            <v>ET.90X100 M.MIEL.Z SZYN.KAUF</v>
          </cell>
        </row>
        <row r="14329">
          <cell r="C14329">
            <v>2003112</v>
          </cell>
          <cell r="D14329" t="str">
            <v>***ET.90X100 KAUFLAND BOCZEK GRILL 600 G</v>
          </cell>
        </row>
        <row r="14330">
          <cell r="C14330">
            <v>2003113</v>
          </cell>
          <cell r="D14330" t="str">
            <v>***ET.60X90 KAUF KARKÓWKA GRILL 600 G</v>
          </cell>
        </row>
        <row r="14331">
          <cell r="C14331">
            <v>2003114</v>
          </cell>
          <cell r="D14331" t="str">
            <v>***ET.78X148,5 MORLINY KIEŁBASA BIAŁA</v>
          </cell>
        </row>
        <row r="14332">
          <cell r="C14332">
            <v>2003115</v>
          </cell>
          <cell r="D14332" t="str">
            <v>***ET.58X68 MORLINY PASZTETOWA EKSPORT</v>
          </cell>
        </row>
        <row r="14333">
          <cell r="C14333">
            <v>2003116</v>
          </cell>
          <cell r="D14333" t="str">
            <v>***ET85X68,5MORLINY FRANK.HOT CHILI TESC</v>
          </cell>
        </row>
        <row r="14334">
          <cell r="C14334">
            <v>2003117</v>
          </cell>
          <cell r="D14334" t="str">
            <v>***ET85X68,5FRANK.CLASSIC TESCO(MORLINY)</v>
          </cell>
        </row>
        <row r="14335">
          <cell r="C14335">
            <v>2003118</v>
          </cell>
          <cell r="D14335" t="str">
            <v>***ET85X68,5FRANK.Z SEREM TESCO(MORLINY)</v>
          </cell>
        </row>
        <row r="14336">
          <cell r="C14336">
            <v>2003119</v>
          </cell>
          <cell r="D14336" t="str">
            <v>ET.58X91 SAUSAGE 400G MORL.RND GARLIC</v>
          </cell>
        </row>
        <row r="14337">
          <cell r="C14337">
            <v>2003120</v>
          </cell>
          <cell r="D14337" t="str">
            <v>***ET.45X79 BIZERBA NATURALNIE NETTO</v>
          </cell>
        </row>
        <row r="14338">
          <cell r="C14338">
            <v>2003121</v>
          </cell>
          <cell r="D14338" t="str">
            <v>***ET.94X54 PRZEKĄSKA 11% GRATIS MOR</v>
          </cell>
        </row>
        <row r="14339">
          <cell r="C14339">
            <v>2003122</v>
          </cell>
          <cell r="D14339" t="str">
            <v>***ET.68X102 TESCO VALUE</v>
          </cell>
        </row>
        <row r="14340">
          <cell r="C14340">
            <v>2003123</v>
          </cell>
          <cell r="D14340" t="str">
            <v>***ET.25X28 STIKER PRZEKĄSKA +11% GRATIS</v>
          </cell>
        </row>
        <row r="14341">
          <cell r="C14341">
            <v>2003124</v>
          </cell>
          <cell r="D14341" t="str">
            <v>***ET52X85FRANK.CLASSIC450G GRIL.Z TESCO</v>
          </cell>
        </row>
        <row r="14342">
          <cell r="C14342">
            <v>2003125</v>
          </cell>
          <cell r="D14342" t="str">
            <v>***ET.25X28 STIKER PRZEKĄSKA +10% GRATIS</v>
          </cell>
        </row>
        <row r="14343">
          <cell r="C14343">
            <v>2003126</v>
          </cell>
          <cell r="D14343" t="str">
            <v>***ET.68X90 BIZERBA NATURALNE</v>
          </cell>
        </row>
        <row r="14344">
          <cell r="C14344">
            <v>2003127</v>
          </cell>
          <cell r="D14344" t="str">
            <v>***ET.78X120 SALCESON 700G YAN</v>
          </cell>
        </row>
        <row r="14345">
          <cell r="C14345">
            <v>2003128</v>
          </cell>
          <cell r="D14345" t="str">
            <v>ET.TRMP.80X120 FI76 BIZ.BIA.U</v>
          </cell>
        </row>
        <row r="14346">
          <cell r="C14346">
            <v>2003129</v>
          </cell>
          <cell r="D14346" t="str">
            <v>***ET.43X43 STIKER PROD.NAJWYŻ.JAKOŚCI</v>
          </cell>
        </row>
        <row r="14347">
          <cell r="C14347">
            <v>2003130</v>
          </cell>
          <cell r="D14347" t="str">
            <v>***ET52X85FRAN.Z SEREM450G GRILL Z TESCO</v>
          </cell>
        </row>
        <row r="14348">
          <cell r="C14348">
            <v>2003131</v>
          </cell>
          <cell r="D14348" t="str">
            <v>***ET65X42 LIDL CZ/SK VEPR.PECE.B/K-320G</v>
          </cell>
        </row>
        <row r="14349">
          <cell r="C14349">
            <v>2003132</v>
          </cell>
          <cell r="D14349" t="str">
            <v>***ET.65X42 LIDL CZ/SK VEPR.KYTA B/K-1KG</v>
          </cell>
        </row>
        <row r="14350">
          <cell r="C14350">
            <v>2003133</v>
          </cell>
          <cell r="D14350" t="str">
            <v>***ET65X42LID.CZ/SK VP.KR.B/K750G VCELKU</v>
          </cell>
        </row>
        <row r="14351">
          <cell r="C14351">
            <v>2003134</v>
          </cell>
          <cell r="D14351" t="str">
            <v>***ET65X42LIDL CZ/SK VEPR.KRKOV.B/K-375G</v>
          </cell>
        </row>
        <row r="14352">
          <cell r="C14352">
            <v>2003135</v>
          </cell>
          <cell r="D14352" t="str">
            <v>***ET.65X42 LIDL CZ/SK VEPR.PLEC B/K-1KG</v>
          </cell>
        </row>
        <row r="14353">
          <cell r="C14353">
            <v>2003136</v>
          </cell>
          <cell r="D14353" t="str">
            <v>***ET.65X42 LIDL CZ/SK VEPR.KOSTKY-500G</v>
          </cell>
        </row>
        <row r="14354">
          <cell r="C14354">
            <v>2003137</v>
          </cell>
          <cell r="D14354" t="str">
            <v>***ET77X50LID.CZ/SK VEPR.KRK.750G PL.Z/K</v>
          </cell>
        </row>
        <row r="14355">
          <cell r="C14355">
            <v>2003138</v>
          </cell>
          <cell r="D14355" t="str">
            <v>***ET.77X50 LIDL CZ/SK VEPR.PECENE-750G</v>
          </cell>
        </row>
        <row r="14356">
          <cell r="C14356">
            <v>2003139</v>
          </cell>
          <cell r="D14356" t="str">
            <v>***ET.77X50LIDL CZ/SK VP.BOK S KOSTI 1KG</v>
          </cell>
        </row>
        <row r="14357">
          <cell r="C14357">
            <v>2003140</v>
          </cell>
          <cell r="D14357" t="str">
            <v>***ET.77X50LIDL CZ/SK VEPROVE RIZKY-450G</v>
          </cell>
        </row>
        <row r="14358">
          <cell r="C14358">
            <v>2003141</v>
          </cell>
          <cell r="D14358" t="str">
            <v>***ET.40X32 STIKER TESCO GRILL</v>
          </cell>
        </row>
        <row r="14359">
          <cell r="C14359">
            <v>2003142</v>
          </cell>
          <cell r="D14359" t="str">
            <v>***ET.50X77 SZYNKA WIEPRZ.LIDL</v>
          </cell>
        </row>
        <row r="14360">
          <cell r="C14360">
            <v>2003143</v>
          </cell>
          <cell r="D14360" t="str">
            <v>***ET.68X68  SZYNKA WIEPRZOWA - TYŁ LIDL</v>
          </cell>
        </row>
        <row r="14361">
          <cell r="C14361">
            <v>2003144</v>
          </cell>
          <cell r="D14361" t="str">
            <v>***ET.50X77SZYNKA WIEPRZOWA - PRZÓD LIDL</v>
          </cell>
        </row>
        <row r="14362">
          <cell r="C14362">
            <v>2003145</v>
          </cell>
          <cell r="D14362" t="str">
            <v>***ET.65X72 KULKI WIEPRZOWE MORLINY KOD</v>
          </cell>
        </row>
        <row r="14363">
          <cell r="C14363">
            <v>2003146</v>
          </cell>
          <cell r="D14363" t="str">
            <v>***ET.60X89  PRZEKĄSKA 180G LIDL PIKOK</v>
          </cell>
        </row>
        <row r="14364">
          <cell r="C14364">
            <v>2003147</v>
          </cell>
          <cell r="D14364" t="str">
            <v>***ET.95X110 BREASTBONES STERNUMS</v>
          </cell>
        </row>
        <row r="14365">
          <cell r="C14365">
            <v>2003148</v>
          </cell>
          <cell r="D14365" t="str">
            <v>***ET.95X110SOFTBONES-MR.CHRZ.Z BOCZ.WP.</v>
          </cell>
        </row>
        <row r="14366">
          <cell r="C14366">
            <v>2003149</v>
          </cell>
          <cell r="D14366" t="str">
            <v>***ET.95X110 FEMUR BONES</v>
          </cell>
        </row>
        <row r="14367">
          <cell r="C14367">
            <v>2003150</v>
          </cell>
          <cell r="D14367" t="str">
            <v>***ET.95X110 HIND FEET SHORT</v>
          </cell>
        </row>
        <row r="14368">
          <cell r="C14368">
            <v>2003151</v>
          </cell>
          <cell r="D14368" t="str">
            <v>***ET.95X110 HUMEROUS</v>
          </cell>
        </row>
        <row r="14369">
          <cell r="C14369">
            <v>2003152</v>
          </cell>
          <cell r="D14369" t="str">
            <v>***ET.95X110 NECK BONES-WP.KO.KARK.MR</v>
          </cell>
        </row>
        <row r="14370">
          <cell r="C14370">
            <v>2003153</v>
          </cell>
          <cell r="D14370" t="str">
            <v>***ET.95X110 FRONT FEET-MR.PRZ.NÓŻKI.WP.</v>
          </cell>
        </row>
        <row r="14371">
          <cell r="C14371">
            <v>2003154</v>
          </cell>
          <cell r="D14371" t="str">
            <v>***ET.95X110 HIND FEET STANDARD</v>
          </cell>
        </row>
        <row r="14372">
          <cell r="C14372">
            <v>2003155</v>
          </cell>
          <cell r="D14372" t="str">
            <v>***ET.95X110 TAILS-MR.OGONY.WP</v>
          </cell>
        </row>
        <row r="14373">
          <cell r="C14373">
            <v>2003156</v>
          </cell>
          <cell r="D14373" t="str">
            <v>***ET.95X110 EARFLAPS-MR.USZY WP.</v>
          </cell>
        </row>
        <row r="14374">
          <cell r="C14374">
            <v>2003157</v>
          </cell>
          <cell r="D14374" t="str">
            <v>***ET.95X110 RIB BONES MB.K.ŻEBERK.WP.</v>
          </cell>
        </row>
        <row r="14375">
          <cell r="C14375">
            <v>2003158</v>
          </cell>
          <cell r="D14375" t="str">
            <v>***ET.95X110 SPARERIBS WITH SOFTBONE</v>
          </cell>
        </row>
        <row r="14376">
          <cell r="C14376">
            <v>2003159</v>
          </cell>
          <cell r="D14376" t="str">
            <v>***ET.95X110 LOIN RIBS-MR.ŻEB.SCHAB.WP</v>
          </cell>
        </row>
        <row r="14377">
          <cell r="C14377">
            <v>2003160</v>
          </cell>
          <cell r="D14377" t="str">
            <v>***ET.95X110 FLAT BONES</v>
          </cell>
        </row>
        <row r="14378">
          <cell r="C14378">
            <v>2003161</v>
          </cell>
          <cell r="D14378" t="str">
            <v>***ET.95X110 SHEET BELLY SKINLESS</v>
          </cell>
        </row>
        <row r="14379">
          <cell r="C14379">
            <v>2003162</v>
          </cell>
          <cell r="D14379" t="str">
            <v>***ET.95X110 BELLY BONE-IN SKIN-ON</v>
          </cell>
        </row>
        <row r="14380">
          <cell r="C14380">
            <v>2003163</v>
          </cell>
          <cell r="D14380" t="str">
            <v>***ET.95X110 SHEET BELLY SKIN-ON</v>
          </cell>
        </row>
        <row r="14381">
          <cell r="C14381">
            <v>2003164</v>
          </cell>
          <cell r="D14381" t="str">
            <v>***ET.95X110 BELLY BONE-IN SKINLESS</v>
          </cell>
        </row>
        <row r="14382">
          <cell r="C14382">
            <v>2003165</v>
          </cell>
          <cell r="D14382" t="str">
            <v>***ET.95X110 SINGLE RIBBED BELLY SKIN-ON</v>
          </cell>
        </row>
        <row r="14383">
          <cell r="C14383">
            <v>2003166</v>
          </cell>
          <cell r="D14383" t="str">
            <v>***ET.95X110SINGLE RIBBED BELLY SKINLESS</v>
          </cell>
        </row>
        <row r="14384">
          <cell r="C14384">
            <v>2003167</v>
          </cell>
          <cell r="D14384" t="str">
            <v>***ET.95X110 COLLAR BONELESS-MR.KAR.B/K</v>
          </cell>
        </row>
        <row r="14385">
          <cell r="C14385">
            <v>2003168</v>
          </cell>
          <cell r="D14385" t="str">
            <v>***ET.75X120 BIZERBA M-SO PREMIUM BT</v>
          </cell>
        </row>
        <row r="14386">
          <cell r="C14386">
            <v>2003436</v>
          </cell>
          <cell r="D14386" t="str">
            <v>***ET.25X28 STIKER +25% GRATIS</v>
          </cell>
        </row>
        <row r="14387">
          <cell r="C14387">
            <v>2003437</v>
          </cell>
          <cell r="D14387" t="str">
            <v>***ET.65X90 PRZEK.WĘDZ-SMOKED PORK-EXP.</v>
          </cell>
        </row>
        <row r="14388">
          <cell r="C14388">
            <v>2003171</v>
          </cell>
          <cell r="D14388" t="str">
            <v>***ET.90X100  STEK Z KARK.750G KAUFLAND</v>
          </cell>
        </row>
        <row r="14389">
          <cell r="C14389">
            <v>2003439</v>
          </cell>
          <cell r="D14389" t="str">
            <v>***ET.90X100 KAUFLAND BOCZEK 750G</v>
          </cell>
        </row>
        <row r="14390">
          <cell r="C14390">
            <v>2003440</v>
          </cell>
          <cell r="D14390" t="str">
            <v>***ET.TRMP.109X153 BIZ.BIA.U</v>
          </cell>
        </row>
        <row r="14391">
          <cell r="C14391">
            <v>2003441</v>
          </cell>
          <cell r="D14391" t="str">
            <v>***ET.65X72 MORLINY KULKI WP.-BEZ KODU</v>
          </cell>
        </row>
        <row r="14392">
          <cell r="C14392">
            <v>2003442</v>
          </cell>
          <cell r="D14392" t="str">
            <v>ET.92X94 KIEŁB.ŻYWIECKA 600G JMD</v>
          </cell>
        </row>
        <row r="14393">
          <cell r="C14393">
            <v>2003443</v>
          </cell>
          <cell r="D14393" t="str">
            <v>***ET.30X45 STIKER + 25% GRATIS</v>
          </cell>
        </row>
        <row r="14394">
          <cell r="C14394">
            <v>2003444</v>
          </cell>
          <cell r="D14394" t="str">
            <v>ET.68X90 CZ/SK BOCZEK ŁUSKANY</v>
          </cell>
        </row>
        <row r="14395">
          <cell r="C14395">
            <v>2003445</v>
          </cell>
          <cell r="D14395" t="str">
            <v>ET.68X90 CZ/SK BALERON GOTOWANY</v>
          </cell>
        </row>
        <row r="14396">
          <cell r="C14396">
            <v>2003446</v>
          </cell>
          <cell r="D14396" t="str">
            <v>***ET.68X90 POL.SOPOCKA CZ/SK</v>
          </cell>
        </row>
        <row r="14397">
          <cell r="C14397">
            <v>2003447</v>
          </cell>
          <cell r="D14397" t="str">
            <v>***ET.68X90 CZ/SK WĘDZONKA BOCZKOWA</v>
          </cell>
        </row>
        <row r="14398">
          <cell r="C14398">
            <v>2003448</v>
          </cell>
          <cell r="D14398" t="str">
            <v>ET.68X90 CZ/SK SZYNKA MOCNO WĘDZONA</v>
          </cell>
        </row>
        <row r="14399">
          <cell r="C14399">
            <v>2003449</v>
          </cell>
          <cell r="D14399" t="str">
            <v>ET.68X90 BOCZ.MOCNO WĘDZ.CZ/SK</v>
          </cell>
        </row>
        <row r="14400">
          <cell r="C14400">
            <v>2003450</v>
          </cell>
          <cell r="D14400" t="str">
            <v>***ET.68X77 LUKSUS.PRZEKĄSKA WĘDZ.</v>
          </cell>
        </row>
        <row r="14401">
          <cell r="C14401">
            <v>2003451</v>
          </cell>
          <cell r="D14401" t="str">
            <v>***ET.55X80 SZYN.500G MOR P</v>
          </cell>
        </row>
        <row r="14402">
          <cell r="C14402">
            <v>2003452</v>
          </cell>
          <cell r="D14402" t="str">
            <v>***ET.60X60 SZYN.500G MOR T</v>
          </cell>
        </row>
        <row r="14403">
          <cell r="C14403">
            <v>2003453</v>
          </cell>
          <cell r="D14403" t="str">
            <v>ET.77X50 LIDL CZECHY VEPROVE RIZKY-450G</v>
          </cell>
        </row>
        <row r="14404">
          <cell r="C14404">
            <v>2003454</v>
          </cell>
          <cell r="D14404" t="str">
            <v>ET.77X50 LIDL CZECHY VEPROVE PECENE-750G</v>
          </cell>
        </row>
        <row r="14405">
          <cell r="C14405">
            <v>2003455</v>
          </cell>
          <cell r="D14405" t="str">
            <v>ET.77X50 LIDL CZECHY VP.BOK S KOSTI-1KG</v>
          </cell>
        </row>
        <row r="14406">
          <cell r="C14406">
            <v>2003456</v>
          </cell>
          <cell r="D14406" t="str">
            <v>ET.65X42 LIDL CZECHY VPR.KOSTKY-500G</v>
          </cell>
        </row>
        <row r="14407">
          <cell r="C14407">
            <v>2003457</v>
          </cell>
          <cell r="D14407" t="str">
            <v>***ET65X42 LIDL CZECHY VPR.PECE B/K-320G</v>
          </cell>
        </row>
        <row r="14408">
          <cell r="C14408">
            <v>2003458</v>
          </cell>
          <cell r="D14408" t="str">
            <v>ET.65X42 LIDL CZECHY VPR.KYTA B/K 1KG</v>
          </cell>
        </row>
        <row r="14409">
          <cell r="C14409">
            <v>2003459</v>
          </cell>
          <cell r="D14409" t="str">
            <v>ET.65X42 LIDL CZECHY VP.KR.B/K 750G V CE</v>
          </cell>
        </row>
        <row r="14410">
          <cell r="C14410">
            <v>2003460</v>
          </cell>
          <cell r="D14410" t="str">
            <v>***ET.65X42LIDL CZECHY VP.KRKOV B/K 375G</v>
          </cell>
        </row>
        <row r="14411">
          <cell r="C14411">
            <v>2003461</v>
          </cell>
          <cell r="D14411" t="str">
            <v>ET.65X42 LIDL CZECHY VPR.PLEC B/K 1KG</v>
          </cell>
        </row>
        <row r="14412">
          <cell r="C14412">
            <v>2003462</v>
          </cell>
          <cell r="D14412" t="str">
            <v>ET.77X50 LIDL CZECHY VP.KRK-750G PL.Z/K</v>
          </cell>
        </row>
        <row r="14413">
          <cell r="C14413">
            <v>2003463</v>
          </cell>
          <cell r="D14413" t="str">
            <v>***ET.77X50 LIDL CZECH VP KRK-750 PL.Z/K</v>
          </cell>
        </row>
        <row r="14414">
          <cell r="C14414">
            <v>2003464</v>
          </cell>
          <cell r="D14414" t="str">
            <v>***ET.77X50 LIDL CZECH VEPR PECENE -750G</v>
          </cell>
        </row>
        <row r="14415">
          <cell r="C14415">
            <v>2003465</v>
          </cell>
          <cell r="D14415" t="str">
            <v>***ET.77X50 LIDL CZECH VP.BOK S KOST-1KG</v>
          </cell>
        </row>
        <row r="14416">
          <cell r="C14416">
            <v>2003466</v>
          </cell>
          <cell r="D14416" t="str">
            <v>***ET77X50LIDL CZECH  VEPROVE RIZKY-450G</v>
          </cell>
        </row>
        <row r="14417">
          <cell r="C14417">
            <v>2003467</v>
          </cell>
          <cell r="D14417" t="str">
            <v>***ET77X50LIDL CZECH VEPROVE PECE B/K -3</v>
          </cell>
        </row>
        <row r="14418">
          <cell r="C14418">
            <v>2003468</v>
          </cell>
          <cell r="D14418" t="str">
            <v>***ET77X50LIDL CZECH VEPROVE KYTA B/K-1K</v>
          </cell>
        </row>
        <row r="14419">
          <cell r="C14419">
            <v>2003469</v>
          </cell>
          <cell r="D14419" t="str">
            <v>***ET77X50LIDL CZECH VP.KR B/K750GV CELK</v>
          </cell>
        </row>
        <row r="14420">
          <cell r="C14420">
            <v>2003470</v>
          </cell>
          <cell r="D14420" t="str">
            <v>ET.77X50 LIDL CZECH VEPR.KROKOV.B/K-375G</v>
          </cell>
        </row>
        <row r="14421">
          <cell r="C14421">
            <v>2003471</v>
          </cell>
          <cell r="D14421" t="str">
            <v>***ET.77X50 LIDL CZECH VEPR.PLEC B/K-1KG</v>
          </cell>
        </row>
        <row r="14422">
          <cell r="C14422">
            <v>2003472</v>
          </cell>
          <cell r="D14422" t="str">
            <v>***ET.77X50 LIDL CZECH VEPR.KOSTKY-500G</v>
          </cell>
        </row>
        <row r="14423">
          <cell r="C14423">
            <v>2003473</v>
          </cell>
          <cell r="D14423" t="str">
            <v>ET.65X42 LIDL SLOW.BRAV.PLIECKO-1KG</v>
          </cell>
        </row>
        <row r="14424">
          <cell r="C14424">
            <v>2003474</v>
          </cell>
          <cell r="D14424" t="str">
            <v>ET.65X42 LIDL SLOW.BRAV.KRKOV-750G V CEL</v>
          </cell>
        </row>
        <row r="14425">
          <cell r="C14425">
            <v>2003475</v>
          </cell>
          <cell r="D14425" t="str">
            <v>***ET.65X42 LIDL SLOW.BRAV.GULAS-500G</v>
          </cell>
        </row>
        <row r="14426">
          <cell r="C14426">
            <v>2003476</v>
          </cell>
          <cell r="D14426" t="str">
            <v>ET.65X42 LIDL SLOW.BRAV.KRKOV.-375G</v>
          </cell>
        </row>
        <row r="14427">
          <cell r="C14427">
            <v>2003477</v>
          </cell>
          <cell r="D14427" t="str">
            <v>ET.65X42 LIDL SLOW.BRAV.KARE-320G</v>
          </cell>
        </row>
        <row r="14428">
          <cell r="C14428">
            <v>2003478</v>
          </cell>
          <cell r="D14428" t="str">
            <v>ET.65X42 LIDL SLOW.BRAV.STEHNO-1KG</v>
          </cell>
        </row>
        <row r="14429">
          <cell r="C14429">
            <v>2003479</v>
          </cell>
          <cell r="D14429" t="str">
            <v>ET.77X50 LIDL SLOW.BRAV.REZNE-450G</v>
          </cell>
        </row>
        <row r="14430">
          <cell r="C14430">
            <v>2003480</v>
          </cell>
          <cell r="D14430" t="str">
            <v>ET.77X50 LIDL SLOW.BRAV.KARE-750G</v>
          </cell>
        </row>
        <row r="14431">
          <cell r="C14431">
            <v>2003481</v>
          </cell>
          <cell r="D14431" t="str">
            <v>ET.77X50 LIDL SL.BRV.KRKOV.-750G Z/K PLA</v>
          </cell>
        </row>
        <row r="14432">
          <cell r="C14432">
            <v>2003482</v>
          </cell>
          <cell r="D14432" t="str">
            <v>ET.77X50 LIDL SLOW.BRAV.BOK-1KG</v>
          </cell>
        </row>
        <row r="14433">
          <cell r="C14433">
            <v>2003483</v>
          </cell>
          <cell r="D14433" t="str">
            <v>***ET.68X45 KOLOR</v>
          </cell>
        </row>
        <row r="14434">
          <cell r="C14434">
            <v>2003557</v>
          </cell>
          <cell r="D14434" t="str">
            <v>***ET.95X110 FROZEN PORK HELF HEADS</v>
          </cell>
        </row>
        <row r="14435">
          <cell r="C14435">
            <v>2003503</v>
          </cell>
          <cell r="D14435" t="str">
            <v>***ET.55X330 ZWIESZ.NA WÓZKI WĘDZAR.KOL.</v>
          </cell>
        </row>
        <row r="14436">
          <cell r="C14436">
            <v>2003501</v>
          </cell>
          <cell r="D14436" t="str">
            <v>***ET.355X146 KARTONETKA KARCZEK KRAKUS</v>
          </cell>
        </row>
        <row r="14437">
          <cell r="C14437">
            <v>2003499</v>
          </cell>
          <cell r="D14437" t="str">
            <v>***ET.355X146 KARTONETKA BOCZEK KRAKUS</v>
          </cell>
        </row>
        <row r="14438">
          <cell r="C14438">
            <v>2003498</v>
          </cell>
          <cell r="D14438" t="str">
            <v>***ET.355X146 KARTONETKA SZYNKA KRAKUS</v>
          </cell>
        </row>
        <row r="14439">
          <cell r="C14439">
            <v>2003500</v>
          </cell>
          <cell r="D14439" t="str">
            <v>***ET.355X146 KARTONETKA SCHAB KRAKUS</v>
          </cell>
        </row>
        <row r="14440">
          <cell r="C14440">
            <v>2003504</v>
          </cell>
          <cell r="D14440" t="str">
            <v>ET.FI40 STIKER FOLIA</v>
          </cell>
        </row>
        <row r="14441">
          <cell r="C14441">
            <v>2003497</v>
          </cell>
          <cell r="D14441" t="str">
            <v>***ET.90X70 SZYN.B/KNST.KRA</v>
          </cell>
        </row>
        <row r="14442">
          <cell r="C14442">
            <v>2003502</v>
          </cell>
          <cell r="D14442" t="str">
            <v>ET.TRMP.100X50 BIZ.CWP BIA.U</v>
          </cell>
        </row>
        <row r="14443">
          <cell r="C14443">
            <v>2003610</v>
          </cell>
          <cell r="D14443" t="str">
            <v>***ET.152X67PRZEKĄSKA LUSUSOWA WĘDZ.KRA</v>
          </cell>
        </row>
        <row r="14444">
          <cell r="C14444">
            <v>2003617</v>
          </cell>
          <cell r="D14444" t="str">
            <v>***ET.119X69 SCH.WP.Z/K.PL 750G LIDLT</v>
          </cell>
        </row>
        <row r="14445">
          <cell r="C14445">
            <v>2003613</v>
          </cell>
          <cell r="D14445" t="str">
            <v>***ET.119X69 POL.WP.LIDL T</v>
          </cell>
        </row>
        <row r="14446">
          <cell r="C14446">
            <v>2003618</v>
          </cell>
          <cell r="D14446" t="str">
            <v>***ET.119X69 SCH.WP.B/K.560G LIDL T</v>
          </cell>
        </row>
        <row r="14447">
          <cell r="C14447">
            <v>2003619</v>
          </cell>
          <cell r="D14447" t="str">
            <v>***ET.119X69 SCH.WP.B/K.PL 360G LIDL T</v>
          </cell>
        </row>
        <row r="14448">
          <cell r="C14448">
            <v>2003620</v>
          </cell>
          <cell r="D14448" t="str">
            <v>***ET.119X69 M.MIEL.Z ŁOP.WP.500G LIDL T</v>
          </cell>
        </row>
        <row r="14449">
          <cell r="C14449">
            <v>2003615</v>
          </cell>
          <cell r="D14449" t="str">
            <v>***ET119X69LIDL MIĘSO GARM.WP-WŁ500G TYŁ</v>
          </cell>
        </row>
        <row r="14450">
          <cell r="C14450">
            <v>2003622</v>
          </cell>
          <cell r="D14450" t="str">
            <v>***ET.119X69 KARK.WP.B/K.1KG LIDL T</v>
          </cell>
        </row>
        <row r="14451">
          <cell r="C14451">
            <v>2003614</v>
          </cell>
          <cell r="D14451" t="str">
            <v>***ET.119X69 LIDL MIĘSO WOŁOWE 500G TYŁ</v>
          </cell>
        </row>
        <row r="14452">
          <cell r="C14452">
            <v>2003621</v>
          </cell>
          <cell r="D14452" t="str">
            <v>***ET.119X69 KARK.B/K.PL 500G LIDL T</v>
          </cell>
        </row>
        <row r="14453">
          <cell r="C14453">
            <v>2003616</v>
          </cell>
          <cell r="D14453" t="str">
            <v>***ET.119X69 ŁOP.WP.LIDL T</v>
          </cell>
        </row>
        <row r="14454">
          <cell r="C14454">
            <v>2003651</v>
          </cell>
          <cell r="D14454" t="str">
            <v>***ET.60X89 PRZEKĄSKA 180G PIK LIDL RO</v>
          </cell>
        </row>
        <row r="14455">
          <cell r="C14455">
            <v>2003661</v>
          </cell>
          <cell r="D14455" t="str">
            <v>***ET.50X77 VEPROVA SEKANA 500G LIDL CZ</v>
          </cell>
        </row>
        <row r="14456">
          <cell r="C14456">
            <v>2003663</v>
          </cell>
          <cell r="D14456" t="str">
            <v>***ET.50X77 BRAVCOVA SEKANA 500G LIDL SK</v>
          </cell>
        </row>
        <row r="14457">
          <cell r="C14457">
            <v>2003662</v>
          </cell>
          <cell r="D14457" t="str">
            <v>***ET.50X77 SEKANA MIX 500G LIDL CZ</v>
          </cell>
        </row>
        <row r="14458">
          <cell r="C14458">
            <v>2000033</v>
          </cell>
          <cell r="D14458" t="str">
            <v>ET.124X63 ZEBRA B/N</v>
          </cell>
        </row>
        <row r="14459">
          <cell r="C14459">
            <v>2003686</v>
          </cell>
          <cell r="D14459" t="str">
            <v>***ET.50X77SEKANA Z BRAVCOVEHO HOVA500G</v>
          </cell>
        </row>
        <row r="14460">
          <cell r="C14460">
            <v>2003692</v>
          </cell>
          <cell r="D14460" t="str">
            <v>***ET.77X50 KARK.WP.B/K.SCH 1KG LIDL</v>
          </cell>
        </row>
        <row r="14461">
          <cell r="C14461">
            <v>2003687</v>
          </cell>
          <cell r="D14461" t="str">
            <v>***ET.77X50 KARK.WP.B/K.W PL SCH 560G L</v>
          </cell>
        </row>
        <row r="14462">
          <cell r="C14462">
            <v>2003693</v>
          </cell>
          <cell r="D14462" t="str">
            <v>***ET.77X50 ŁOP.WP.B/K.SCH LIDL</v>
          </cell>
        </row>
        <row r="14463">
          <cell r="C14463">
            <v>2003691</v>
          </cell>
          <cell r="D14463" t="str">
            <v>***ET.65X42 MIĘSO GARMA WOŁ 500G LIDL</v>
          </cell>
        </row>
        <row r="14464">
          <cell r="C14464">
            <v>2003695</v>
          </cell>
          <cell r="D14464" t="str">
            <v>***ET.65X42 MIĘSO GARMA WP-WŁ 500G LIDL</v>
          </cell>
        </row>
        <row r="14465">
          <cell r="C14465">
            <v>2003694</v>
          </cell>
          <cell r="D14465" t="str">
            <v>***ET.77X50 M.MIEL.Z ŁOP.WP.SCH 500G</v>
          </cell>
        </row>
        <row r="14466">
          <cell r="C14466">
            <v>2003696</v>
          </cell>
          <cell r="D14466" t="str">
            <v>***ET.77X50 POL.WP.SCH LIDL G</v>
          </cell>
        </row>
        <row r="14467">
          <cell r="C14467">
            <v>2003688</v>
          </cell>
          <cell r="D14467" t="str">
            <v>***ET.65X42 SCH.WP.B/K.SCH.560G LIDL</v>
          </cell>
        </row>
        <row r="14468">
          <cell r="C14468">
            <v>2003690</v>
          </cell>
          <cell r="D14468" t="str">
            <v>***ET.65X42 SCH.WP.B/K.PL SCH 360G LIDL</v>
          </cell>
        </row>
        <row r="14469">
          <cell r="C14469">
            <v>2003689</v>
          </cell>
          <cell r="D14469" t="str">
            <v>***ET.77X50 SCH.WP.Z/K.PL SCH 750G LIDL</v>
          </cell>
        </row>
        <row r="14470">
          <cell r="C14470">
            <v>2003757</v>
          </cell>
          <cell r="D14470" t="str">
            <v>***ET.74X95 KASZANKA 600G BIED T</v>
          </cell>
        </row>
        <row r="14471">
          <cell r="C14471">
            <v>2003761</v>
          </cell>
          <cell r="D14471" t="str">
            <v>***ET.58X91 SZYNKA WIEJSKA MORLINY</v>
          </cell>
        </row>
        <row r="14472">
          <cell r="C14472">
            <v>2000352</v>
          </cell>
          <cell r="D14472" t="str">
            <v>ET.70X89 CZYSTA MORLINY RND</v>
          </cell>
        </row>
        <row r="14473">
          <cell r="C14473">
            <v>2003809</v>
          </cell>
          <cell r="D14473" t="str">
            <v>***ET.68X93 KAUFLAND POLĘDWICA SOPOCKA</v>
          </cell>
        </row>
        <row r="14474">
          <cell r="C14474">
            <v>2002710</v>
          </cell>
          <cell r="D14474" t="str">
            <v>ET.65X95 BIZERBA KRAJ RND</v>
          </cell>
        </row>
        <row r="14475">
          <cell r="C14475">
            <v>2003913</v>
          </cell>
          <cell r="D14475" t="str">
            <v>***ET.80X120 BOCZ.GRILL.PL PARTY MOR</v>
          </cell>
        </row>
        <row r="14476">
          <cell r="C14476">
            <v>2003917</v>
          </cell>
          <cell r="D14476" t="str">
            <v>***ET.80X120 KARK.GRILL.PL PARTY MOR</v>
          </cell>
        </row>
        <row r="14477">
          <cell r="C14477">
            <v>2003916</v>
          </cell>
          <cell r="D14477" t="str">
            <v>***ET.60X90 KIEŁB.PODWAWELSKA 500G BAR</v>
          </cell>
        </row>
        <row r="14478">
          <cell r="C14478">
            <v>2003956</v>
          </cell>
          <cell r="D14478" t="str">
            <v>***ET.95X125 BOCZEK GRILOWY JMD</v>
          </cell>
        </row>
        <row r="14479">
          <cell r="C14479">
            <v>2003740</v>
          </cell>
          <cell r="D14479" t="str">
            <v>***ET.92X94 K.ŻYWIECKA 600G WIELKA BIED</v>
          </cell>
        </row>
        <row r="14480">
          <cell r="C14480">
            <v>2003955</v>
          </cell>
          <cell r="D14480" t="str">
            <v>***ET.90X63 KIEŁBASA Z SZYNKI 500G</v>
          </cell>
        </row>
        <row r="14481">
          <cell r="C14481">
            <v>2003954</v>
          </cell>
          <cell r="D14481" t="str">
            <v>***ET.95X125 KARCZEK GRILOWY JMD</v>
          </cell>
        </row>
        <row r="14482">
          <cell r="C14482">
            <v>2004005</v>
          </cell>
          <cell r="D14482" t="str">
            <v>***ET.81X120 SALCESON 700 G YANO EST</v>
          </cell>
        </row>
        <row r="14483">
          <cell r="C14483">
            <v>2004004</v>
          </cell>
          <cell r="D14483" t="str">
            <v>***ET.58X68 PASZ.300G  SEALIHAPASTEET ES</v>
          </cell>
        </row>
        <row r="14484">
          <cell r="C14484">
            <v>2004009</v>
          </cell>
          <cell r="D14484" t="str">
            <v>ET.68X90 KIEŁ. CZOS POOLSUITSUVORST 400G</v>
          </cell>
        </row>
        <row r="14485">
          <cell r="C14485">
            <v>2004033</v>
          </cell>
          <cell r="D14485" t="str">
            <v>***ET.120X98 FRANFUR.WĘDZ.225G JAP</v>
          </cell>
        </row>
        <row r="14486">
          <cell r="C14486">
            <v>2004032</v>
          </cell>
          <cell r="D14486" t="str">
            <v>***ET.120X98 FRANFUR.7.875KG JAP</v>
          </cell>
        </row>
        <row r="14487">
          <cell r="C14487">
            <v>2004030</v>
          </cell>
          <cell r="D14487" t="str">
            <v>***ET.120X98 FRANFUR.225G JAP</v>
          </cell>
        </row>
        <row r="14488">
          <cell r="C14488">
            <v>2004031</v>
          </cell>
          <cell r="D14488" t="str">
            <v>***ET.80X60 FRANFUR.WĘDZ.900G JAP</v>
          </cell>
        </row>
        <row r="14489">
          <cell r="C14489">
            <v>2003719</v>
          </cell>
          <cell r="D14489" t="str">
            <v>***ET50X77MLETE MAS.Z PLIEC500G LIDL SŁO</v>
          </cell>
        </row>
        <row r="14490">
          <cell r="C14490">
            <v>2004029</v>
          </cell>
          <cell r="D14490" t="str">
            <v>***ET.80X60 FRANFUR.7.2KG JAP</v>
          </cell>
        </row>
        <row r="14491">
          <cell r="C14491">
            <v>2004028</v>
          </cell>
          <cell r="D14491" t="str">
            <v>***ET.120X98 FRANFUR.WĘDZ.7.875KG JAP</v>
          </cell>
        </row>
        <row r="14492">
          <cell r="C14492">
            <v>2004027</v>
          </cell>
          <cell r="D14492" t="str">
            <v>***ET.80X60 FRANFUR.900G JAP</v>
          </cell>
        </row>
        <row r="14493">
          <cell r="C14493">
            <v>2004026</v>
          </cell>
          <cell r="D14493" t="str">
            <v>***ET.80X60 FRANFUR.WĘDZ.7.2KG JP</v>
          </cell>
        </row>
        <row r="14494">
          <cell r="C14494">
            <v>2004012</v>
          </cell>
          <cell r="D14494" t="str">
            <v>***ET.80X100 PRZYSMAK SZYN.570G GB</v>
          </cell>
        </row>
        <row r="14495">
          <cell r="C14495">
            <v>2004079</v>
          </cell>
          <cell r="D14495" t="str">
            <v>***ET.75X83 KIEŁ. PODWAWEL. 94% MIĘS</v>
          </cell>
        </row>
        <row r="14496">
          <cell r="C14496">
            <v>2004087</v>
          </cell>
          <cell r="D14496" t="str">
            <v>***ET.90X60 LUKSUS. PRZEKĄSKA LIDL HR</v>
          </cell>
        </row>
        <row r="14497">
          <cell r="C14497">
            <v>2100740</v>
          </cell>
          <cell r="D14497" t="str">
            <v>MIESZ.PASZTET Z KURKAMI</v>
          </cell>
        </row>
        <row r="14498">
          <cell r="C14498">
            <v>2100575</v>
          </cell>
          <cell r="D14498" t="str">
            <v>BUŁKA TARTA</v>
          </cell>
        </row>
        <row r="14499">
          <cell r="C14499">
            <v>2004095</v>
          </cell>
          <cell r="D14499" t="str">
            <v>***ET.90X75 ET. LUKS PRZEKĄSKA WĘDZ KRA</v>
          </cell>
        </row>
        <row r="14500">
          <cell r="C14500">
            <v>2004124</v>
          </cell>
          <cell r="D14500" t="str">
            <v>***ET.90X95 KRAKUS KIEŁ.KRAK.SUCHA 275 G</v>
          </cell>
        </row>
        <row r="14501">
          <cell r="C14501">
            <v>2004125</v>
          </cell>
          <cell r="D14501" t="str">
            <v>***ET.80X120 ET.ELEMENTY CHŁODZO ROSJA</v>
          </cell>
        </row>
        <row r="14502">
          <cell r="C14502">
            <v>2004111</v>
          </cell>
          <cell r="D14502" t="str">
            <v>***ET.65X130 KIEŁ. PODWAWEL. 94% MIĘS</v>
          </cell>
        </row>
        <row r="14503">
          <cell r="C14503">
            <v>2004354</v>
          </cell>
          <cell r="D14503" t="str">
            <v>***ET.70X120 KABAN.180G KRA GB</v>
          </cell>
        </row>
        <row r="14504">
          <cell r="C14504">
            <v>2007694</v>
          </cell>
          <cell r="D14504" t="str">
            <v>***ET.120X70 ŁOP.RZEŹ T</v>
          </cell>
        </row>
        <row r="14505">
          <cell r="C14505">
            <v>2003679</v>
          </cell>
          <cell r="D14505" t="str">
            <v>***ET.90X75 SALCESON PEWNIAK 360G MOR</v>
          </cell>
        </row>
        <row r="14506">
          <cell r="C14506">
            <v>2003705</v>
          </cell>
          <cell r="D14506" t="str">
            <v>***ET.50X77 VEPROVA PLEC MLETA500GLIDLCZ</v>
          </cell>
        </row>
        <row r="14507">
          <cell r="C14507">
            <v>2003709</v>
          </cell>
          <cell r="D14507" t="str">
            <v>***ET.80X120 KIEŁ.BIA SUROWA JMD T GJ</v>
          </cell>
        </row>
        <row r="14508">
          <cell r="C14508">
            <v>2004362</v>
          </cell>
          <cell r="D14508" t="str">
            <v>***ET.90X170 SZYNKA GOTOWANA  MORLINY</v>
          </cell>
        </row>
        <row r="14509">
          <cell r="C14509">
            <v>2004361</v>
          </cell>
          <cell r="D14509" t="str">
            <v>***ET.72X35 SZYNKA GOTOWANA KRAKUS</v>
          </cell>
        </row>
        <row r="14510">
          <cell r="C14510">
            <v>2004363</v>
          </cell>
          <cell r="D14510" t="str">
            <v>***ET.80X120 FRANK. GRILL PARTY Z SEREM</v>
          </cell>
        </row>
        <row r="14511">
          <cell r="C14511">
            <v>2004344</v>
          </cell>
          <cell r="D14511" t="str">
            <v>***ET.60X90 KAUFLAND KARK. MARYNATA PROW</v>
          </cell>
        </row>
        <row r="14512">
          <cell r="C14512">
            <v>2004382</v>
          </cell>
          <cell r="D14512" t="str">
            <v>ET.29X52 STICKER EDEKA DE KABANOS</v>
          </cell>
        </row>
        <row r="14513">
          <cell r="C14513">
            <v>2004393</v>
          </cell>
          <cell r="D14513" t="str">
            <v>ET.TRMP.72X121 KABAN.180G KRA DE T</v>
          </cell>
        </row>
        <row r="14514">
          <cell r="C14514">
            <v>2004394</v>
          </cell>
          <cell r="D14514" t="str">
            <v>***ET95X110FROZEN PORK KIDNEYS  NERKI MR</v>
          </cell>
        </row>
        <row r="14515">
          <cell r="C14515">
            <v>2004395</v>
          </cell>
          <cell r="D14515" t="str">
            <v>***ET.95X110FROZEN PORK TONGUES OZORY MR</v>
          </cell>
        </row>
        <row r="14516">
          <cell r="C14516">
            <v>2004396</v>
          </cell>
          <cell r="D14516" t="str">
            <v>***ET.95X110 FROZEN LIVER WĄTROBA MR</v>
          </cell>
        </row>
        <row r="14517">
          <cell r="C14517">
            <v>2004403</v>
          </cell>
          <cell r="D14517" t="str">
            <v>***ET.75X175 LUKS.PRZEK.WĘDZ.KRA BAND.</v>
          </cell>
        </row>
        <row r="14518">
          <cell r="C14518">
            <v>2004425</v>
          </cell>
          <cell r="D14518" t="str">
            <v>***ET.52X40 PASZTETOWA KURKOWA 140G</v>
          </cell>
        </row>
        <row r="14519">
          <cell r="C14519">
            <v>2004476</v>
          </cell>
          <cell r="D14519" t="str">
            <v>***ET.55X90 POL.WĘDZ.KRAKUS VAC ZM.</v>
          </cell>
        </row>
        <row r="14520">
          <cell r="C14520">
            <v>2004484</v>
          </cell>
          <cell r="D14520" t="str">
            <v>***ET.280X60 KRAKOWSKA PARZONA BANDEROLA</v>
          </cell>
        </row>
        <row r="14521">
          <cell r="C14521">
            <v>2004520</v>
          </cell>
          <cell r="D14521" t="str">
            <v>***ET.100X80 FOOD GARDEN</v>
          </cell>
        </row>
        <row r="14522">
          <cell r="C14522">
            <v>2004524</v>
          </cell>
          <cell r="D14522" t="str">
            <v>***ET.52X40 KABANOSY CHILI MOR BIZERBA</v>
          </cell>
        </row>
        <row r="14523">
          <cell r="C14523">
            <v>2004523</v>
          </cell>
          <cell r="D14523" t="str">
            <v>***ET.52X40 KABANOSY PIEPRZ MOR BIZERBA</v>
          </cell>
        </row>
        <row r="14524">
          <cell r="C14524">
            <v>2004522</v>
          </cell>
          <cell r="D14524" t="str">
            <v>***ET.52X40 KABANOSY WYBORNE MOR BIZERBA</v>
          </cell>
        </row>
        <row r="14525">
          <cell r="C14525">
            <v>2004750</v>
          </cell>
          <cell r="D14525" t="str">
            <v>***ET.140X80KABAN.MORLINSKI WYBORNY BAND</v>
          </cell>
        </row>
        <row r="14526">
          <cell r="C14526">
            <v>2004751</v>
          </cell>
          <cell r="D14526" t="str">
            <v>***ET.140X80KABAN.MORLINSKI PIEPRZ BAND.</v>
          </cell>
        </row>
        <row r="14527">
          <cell r="C14527">
            <v>2004752</v>
          </cell>
          <cell r="D14527" t="str">
            <v>***T.140X80 KABAN.MORLINSKI CHILI BAND.</v>
          </cell>
        </row>
        <row r="14528">
          <cell r="C14528">
            <v>2004753</v>
          </cell>
          <cell r="D14528" t="str">
            <v>ET.40X40STICKER TESCO WIĘKSZ.OP.LEP.CENA</v>
          </cell>
        </row>
        <row r="14529">
          <cell r="C14529">
            <v>2003556</v>
          </cell>
          <cell r="D14529" t="str">
            <v>***ET.65X85 ŚWIAT MIĘS MOR</v>
          </cell>
        </row>
        <row r="14530">
          <cell r="C14530">
            <v>2004814</v>
          </cell>
          <cell r="D14530" t="str">
            <v>***ET.60X50 GULASZ WP Z ŁOP NETTO 450G</v>
          </cell>
        </row>
        <row r="14531">
          <cell r="C14531">
            <v>2004815</v>
          </cell>
          <cell r="D14531" t="str">
            <v>***ET.60X50 ŻEBERKA WP TRÓJKĄT NETTO</v>
          </cell>
        </row>
        <row r="14532">
          <cell r="C14532">
            <v>2004816</v>
          </cell>
          <cell r="D14532" t="str">
            <v>***ET.60X50 SCH.WP.Z/K.PL 750G NETTO</v>
          </cell>
        </row>
        <row r="14533">
          <cell r="C14533">
            <v>2004817</v>
          </cell>
          <cell r="D14533" t="str">
            <v>***ET.80X70 POLĘDWICZKA WIEPRZOWA NETTO</v>
          </cell>
        </row>
        <row r="14534">
          <cell r="C14534">
            <v>2004818</v>
          </cell>
          <cell r="D14534" t="str">
            <v>***ET.80X70 BIZERBA NETTO</v>
          </cell>
        </row>
        <row r="14535">
          <cell r="C14535">
            <v>2004779</v>
          </cell>
          <cell r="D14535" t="str">
            <v>***ET.52X40 PARTYCZAKI CHILI 60G</v>
          </cell>
        </row>
        <row r="14536">
          <cell r="C14536">
            <v>2005007</v>
          </cell>
          <cell r="D14536" t="str">
            <v>***ET.52X40 PARTYCZAKI CLASSIC 60G</v>
          </cell>
        </row>
        <row r="14537">
          <cell r="C14537">
            <v>2005010</v>
          </cell>
          <cell r="D14537" t="str">
            <v>***ET.52X40 PARTYCZAKI Z PIEPRZEM 60G</v>
          </cell>
        </row>
        <row r="14538">
          <cell r="C14538">
            <v>2005030</v>
          </cell>
          <cell r="D14538" t="str">
            <v>***ET.68X110 POL. ŚWIEŻA WP JMD MAP</v>
          </cell>
        </row>
        <row r="14539">
          <cell r="C14539">
            <v>2005043</v>
          </cell>
          <cell r="D14539" t="str">
            <v>***ET100X148BOCZEK ZKOLOROWYM PIEPRZEM K</v>
          </cell>
        </row>
        <row r="14540">
          <cell r="C14540">
            <v>2005044</v>
          </cell>
          <cell r="D14540" t="str">
            <v>***ET.100X148SCHAB ZE ŚLIWKĄ W PŁ.CZOSKR</v>
          </cell>
        </row>
        <row r="14541">
          <cell r="C14541">
            <v>2005061</v>
          </cell>
          <cell r="D14541" t="str">
            <v>***ET.80X100 SZYN.KONS.GIFTPACK570G TESC</v>
          </cell>
        </row>
        <row r="14542">
          <cell r="C14542">
            <v>2005058</v>
          </cell>
          <cell r="D14542" t="str">
            <v>***ET.67X120 KABAN.GIFTPACK 180G TESC</v>
          </cell>
        </row>
        <row r="14543">
          <cell r="C14543">
            <v>2005057</v>
          </cell>
          <cell r="D14543" t="str">
            <v>***ET.78X78 ZBIORCZA GIFTPACK TESC</v>
          </cell>
        </row>
        <row r="14544">
          <cell r="C14544">
            <v>2005080</v>
          </cell>
          <cell r="D14544" t="str">
            <v>***ET.150X98 BOCZEK DO PIECZENIA KRAKUS</v>
          </cell>
        </row>
        <row r="14545">
          <cell r="C14545">
            <v>2005081</v>
          </cell>
          <cell r="D14545" t="str">
            <v>***ET.150X98 SCHAB DO PIECZENIA KRAKUS</v>
          </cell>
        </row>
        <row r="14546">
          <cell r="C14546">
            <v>2005082</v>
          </cell>
          <cell r="D14546" t="str">
            <v>***ET.150X98 KARCZEK DO PIECZENIA KRAKUS</v>
          </cell>
        </row>
        <row r="14547">
          <cell r="C14547">
            <v>2005083</v>
          </cell>
          <cell r="D14547" t="str">
            <v>***ET.150X98 SZYNKA DO PIECZENIA KRAKUS</v>
          </cell>
        </row>
        <row r="14548">
          <cell r="C14548">
            <v>2005074</v>
          </cell>
          <cell r="D14548" t="str">
            <v>***ET.160X100KARCZEK Z MAJERANKIEM KRAKU</v>
          </cell>
        </row>
        <row r="14549">
          <cell r="C14549">
            <v>2005085</v>
          </cell>
          <cell r="D14549" t="str">
            <v>***ET.55X90 POL.WĘDZONA PROMO KRAKU</v>
          </cell>
        </row>
        <row r="14550">
          <cell r="C14550">
            <v>2005086</v>
          </cell>
          <cell r="D14550" t="str">
            <v>***ET.58X91 SZYN.DELIKATNA MORLINY PROMO</v>
          </cell>
        </row>
        <row r="14551">
          <cell r="C14551">
            <v>2005087</v>
          </cell>
          <cell r="D14551" t="str">
            <v>***ET.90X70 SZYN.B/KONSERWAN.KRAK PROMO</v>
          </cell>
        </row>
        <row r="14552">
          <cell r="C14552">
            <v>2005089</v>
          </cell>
          <cell r="D14552" t="str">
            <v>***ET.81X80 BOCZEK KLAS.WĘDZ.KRA PROMO</v>
          </cell>
        </row>
        <row r="14553">
          <cell r="C14553">
            <v>2005090</v>
          </cell>
          <cell r="D14553" t="str">
            <v>***ET.81X80 WĘDZONKA KROTOSZ.KRA PROMO</v>
          </cell>
        </row>
        <row r="14554">
          <cell r="C14554">
            <v>2005103</v>
          </cell>
          <cell r="D14554" t="str">
            <v>***ET.80X120 POL.WP.CH MAP BIED</v>
          </cell>
        </row>
        <row r="14555">
          <cell r="C14555">
            <v>2005104</v>
          </cell>
          <cell r="D14555" t="str">
            <v>***ET.85X95 KIEŁB.PODWAWELSKA 520G MAKR</v>
          </cell>
        </row>
        <row r="14556">
          <cell r="C14556">
            <v>2005108</v>
          </cell>
          <cell r="D14556" t="str">
            <v>***ET.95X110SPARERIBS WITH SOFTBONEPRÓBA</v>
          </cell>
        </row>
        <row r="14557">
          <cell r="C14557">
            <v>2005109</v>
          </cell>
          <cell r="D14557" t="str">
            <v>***ET.95X110 BELLY BONE-IN SKIN-ON PRÓBA</v>
          </cell>
        </row>
        <row r="14558">
          <cell r="C14558">
            <v>2005130</v>
          </cell>
          <cell r="D14558" t="str">
            <v>***ET.95X110 PORK LOIN BONE IN SKINL P</v>
          </cell>
        </row>
        <row r="14559">
          <cell r="C14559">
            <v>2005127</v>
          </cell>
          <cell r="D14559" t="str">
            <v>***ET.52X40 PASZTET KURKOWA SŁOWACJA 140</v>
          </cell>
        </row>
        <row r="14560">
          <cell r="C14560">
            <v>2005126</v>
          </cell>
          <cell r="D14560" t="str">
            <v>***ET.52X40 PASZTET KANAPKOWA SŁOWACJA 3</v>
          </cell>
        </row>
        <row r="14561">
          <cell r="C14561">
            <v>2005128</v>
          </cell>
          <cell r="D14561" t="str">
            <v>***ET.77X50 M-SO WP.GARMAŻ.500G LIDL P</v>
          </cell>
        </row>
        <row r="14562">
          <cell r="C14562">
            <v>2005141</v>
          </cell>
          <cell r="D14562" t="str">
            <v>***ET.70X120 M-SO WP.GARM.500G LIDL T</v>
          </cell>
        </row>
        <row r="14563">
          <cell r="C14563">
            <v>2005140</v>
          </cell>
          <cell r="D14563" t="str">
            <v>***ET.68X120 GULASZ WP.Z SZYN.LIDL500G T</v>
          </cell>
        </row>
        <row r="14564">
          <cell r="C14564">
            <v>2005129</v>
          </cell>
          <cell r="D14564" t="str">
            <v>***ET.77X50 GUL.Z SZYN.500G LIDL P</v>
          </cell>
        </row>
        <row r="14565">
          <cell r="C14565">
            <v>2005133</v>
          </cell>
          <cell r="D14565" t="str">
            <v>***ET.95X110 FROZEN PORK BACK BONES</v>
          </cell>
        </row>
        <row r="14566">
          <cell r="C14566">
            <v>2002514</v>
          </cell>
          <cell r="D14566" t="str">
            <v>***ET.85X250 SZYN.KONSERWOWA 2,5KG MOR</v>
          </cell>
        </row>
        <row r="14567">
          <cell r="C14567">
            <v>2002332</v>
          </cell>
          <cell r="D14567" t="str">
            <v>***ET.75X240SZYN.2.5KG POLSKIE PRZYSMAKI</v>
          </cell>
        </row>
        <row r="14568">
          <cell r="C14568">
            <v>2003872</v>
          </cell>
          <cell r="D14568" t="str">
            <v>ET.84X175 OZ.SZYN.KON.STAROPOL.WĘDLINY</v>
          </cell>
        </row>
        <row r="14569">
          <cell r="C14569">
            <v>2002517</v>
          </cell>
          <cell r="D14569" t="str">
            <v>ET.72X190 SZYN.KONS.2.5KG KOR</v>
          </cell>
        </row>
        <row r="14570">
          <cell r="C14570">
            <v>2002513</v>
          </cell>
          <cell r="D14570" t="str">
            <v>ET.70X67 SZYN.KONS.MAZ</v>
          </cell>
        </row>
        <row r="14571">
          <cell r="C14571">
            <v>2002515</v>
          </cell>
          <cell r="D14571" t="str">
            <v>***ET.65X100 BIZERBA FUKS</v>
          </cell>
        </row>
        <row r="14572">
          <cell r="C14572">
            <v>2003878</v>
          </cell>
          <cell r="D14572" t="str">
            <v>ET.74X97 BIZERBA STAROPOLSKIE WĘDLINY</v>
          </cell>
        </row>
        <row r="14573">
          <cell r="C14573">
            <v>2005181</v>
          </cell>
          <cell r="D14573" t="str">
            <v>***ET.68X89 KIEŁB.CZOSNKOWA CZ/SK 400G M</v>
          </cell>
        </row>
        <row r="14574">
          <cell r="C14574">
            <v>2005198</v>
          </cell>
          <cell r="D14574" t="str">
            <v>***ET.95X110 FROZEN PORK BACK RIND</v>
          </cell>
        </row>
        <row r="14575">
          <cell r="C14575">
            <v>2005219</v>
          </cell>
          <cell r="D14575" t="str">
            <v>ET.70X120 M.MIEL.Z SZYN.500G LIDL T</v>
          </cell>
        </row>
        <row r="14576">
          <cell r="C14576">
            <v>2005230</v>
          </cell>
          <cell r="D14576" t="str">
            <v>***ET.68X49 M.MIEL.Z.SZYN 500G LIDL P</v>
          </cell>
        </row>
        <row r="14577">
          <cell r="C14577">
            <v>2005231</v>
          </cell>
          <cell r="D14577" t="str">
            <v>**ET.70X120 M-SO WP.-WŁ.GARM.500G LIDL T</v>
          </cell>
        </row>
        <row r="14578">
          <cell r="C14578">
            <v>2005228</v>
          </cell>
          <cell r="D14578" t="str">
            <v>***ET.68X110 ŻEBERKA PASKI JMD 600G P</v>
          </cell>
        </row>
        <row r="14579">
          <cell r="C14579">
            <v>2005229</v>
          </cell>
          <cell r="D14579" t="str">
            <v>***ET.68X110 SZYN.WP.B/K.OK1KG BIED P</v>
          </cell>
        </row>
        <row r="14580">
          <cell r="C14580">
            <v>2005240</v>
          </cell>
          <cell r="D14580" t="str">
            <v>***ET.68X110 GOL.PRZED.700G JMD P</v>
          </cell>
        </row>
        <row r="14581">
          <cell r="C14581">
            <v>2005241</v>
          </cell>
          <cell r="D14581" t="str">
            <v>***ET.80X110 GOL.PRZED.700G JMD T</v>
          </cell>
        </row>
        <row r="14582">
          <cell r="C14582">
            <v>2005242</v>
          </cell>
          <cell r="D14582" t="str">
            <v>***ET.80X110 SŁONINA JMD 250G TYŁ</v>
          </cell>
        </row>
        <row r="14583">
          <cell r="C14583">
            <v>2005243</v>
          </cell>
          <cell r="D14583" t="str">
            <v>***ET.68X110 SŁONINA JMD 250G PRZÓD</v>
          </cell>
        </row>
        <row r="14584">
          <cell r="C14584">
            <v>2005244</v>
          </cell>
          <cell r="D14584" t="str">
            <v>***ET.80X110 KOŚCI WP.700G JMD T</v>
          </cell>
        </row>
        <row r="14585">
          <cell r="C14585">
            <v>2005245</v>
          </cell>
          <cell r="D14585" t="str">
            <v>***ET.80X110 ŻEBERKA PASKI JMD 600G TYŁ</v>
          </cell>
        </row>
        <row r="14586">
          <cell r="C14586">
            <v>2005246</v>
          </cell>
          <cell r="D14586" t="str">
            <v>***ET.80X110 SZYN.WP.B/K.OK1KG JMD T</v>
          </cell>
        </row>
        <row r="14587">
          <cell r="C14587">
            <v>2005247</v>
          </cell>
          <cell r="D14587" t="str">
            <v>***ET.80X110 BOCZEK ZE SKÓRĄ JMD700G T</v>
          </cell>
        </row>
        <row r="14588">
          <cell r="C14588">
            <v>2005248</v>
          </cell>
          <cell r="D14588" t="str">
            <v>***ET.68X110 BOCZ.ZE SKÓRĄ JMD 700G P</v>
          </cell>
        </row>
        <row r="14589">
          <cell r="C14589">
            <v>2005249</v>
          </cell>
          <cell r="D14589" t="str">
            <v>***ET.68X110 KOŚCI WP.700G JMD P</v>
          </cell>
        </row>
        <row r="14590">
          <cell r="C14590">
            <v>2005265</v>
          </cell>
          <cell r="D14590" t="str">
            <v>***ET.95X110 FROZEN PORK HEAD EAR OFF</v>
          </cell>
        </row>
        <row r="14591">
          <cell r="C14591">
            <v>2005264</v>
          </cell>
          <cell r="D14591" t="str">
            <v>***ET.68X95 BOCZEK WP.ŁUSKANY BARONI</v>
          </cell>
        </row>
        <row r="14592">
          <cell r="C14592">
            <v>2005263</v>
          </cell>
          <cell r="D14592" t="str">
            <v>***ET.95X110 FROZEN PORK HEAD EAR ON</v>
          </cell>
        </row>
        <row r="14593">
          <cell r="C14593">
            <v>2005259</v>
          </cell>
          <cell r="D14593" t="str">
            <v>***ET.67X89 KIEŁB.CZOSNKOWA MAKRO 400G</v>
          </cell>
        </row>
        <row r="14594">
          <cell r="C14594">
            <v>2005314</v>
          </cell>
          <cell r="D14594" t="str">
            <v>***ET.120X62.5 KIEŁB.BIAŁA SUROWA MOR</v>
          </cell>
        </row>
        <row r="14595">
          <cell r="C14595">
            <v>2005309</v>
          </cell>
          <cell r="D14595" t="str">
            <v>ET.72X170 SZYN.KONS.MIĘSNE SPECJAŁY EC 2</v>
          </cell>
        </row>
        <row r="14596">
          <cell r="C14596">
            <v>2005330</v>
          </cell>
          <cell r="D14596" t="str">
            <v>ET.60X97 POL.SOPOCKA WĘDZ.DOM.TESC</v>
          </cell>
        </row>
        <row r="14597">
          <cell r="C14597">
            <v>2005331</v>
          </cell>
          <cell r="D14597" t="str">
            <v>ET.85X250 SZYN.KONS.2.5KG KRA</v>
          </cell>
        </row>
        <row r="14598">
          <cell r="C14598">
            <v>2005351</v>
          </cell>
          <cell r="D14598" t="str">
            <v>***ET.60X140 POL.EKSPERT MOR</v>
          </cell>
        </row>
        <row r="14599">
          <cell r="C14599">
            <v>2005350</v>
          </cell>
          <cell r="D14599" t="str">
            <v>***ET.70X140 GOLONKA EKSPERT MORLINY</v>
          </cell>
        </row>
        <row r="14600">
          <cell r="C14600">
            <v>2005329</v>
          </cell>
          <cell r="D14600" t="str">
            <v>***ET.70X170SCH.KROJ.Z/K.EKSPERT MORLINY</v>
          </cell>
        </row>
        <row r="14601">
          <cell r="C14601">
            <v>2005328</v>
          </cell>
          <cell r="D14601" t="str">
            <v>***ET.100X180 ŁOP.MORE</v>
          </cell>
        </row>
        <row r="14602">
          <cell r="C14602">
            <v>2005327</v>
          </cell>
          <cell r="D14602" t="str">
            <v>***ET.70X140 SZYNKA EKSPERT MORLINY</v>
          </cell>
        </row>
        <row r="14603">
          <cell r="C14603">
            <v>2005326</v>
          </cell>
          <cell r="D14603" t="str">
            <v>***ET.60X170 MIĘSO MIEL.EKSPERT MORLINY</v>
          </cell>
        </row>
        <row r="14604">
          <cell r="C14604">
            <v>2005325</v>
          </cell>
          <cell r="D14604" t="str">
            <v>***ET.70X140 SCH.KARKOWY EKSPERT MORLINY</v>
          </cell>
        </row>
        <row r="14605">
          <cell r="C14605">
            <v>2005365</v>
          </cell>
          <cell r="D14605" t="str">
            <v>***ET.90X40 KIEŁBASA ŚLĄSKA KRAKUS</v>
          </cell>
        </row>
        <row r="14606">
          <cell r="C14606">
            <v>2005364</v>
          </cell>
          <cell r="D14606" t="str">
            <v>***ET.100X200 ŻEB.MORE</v>
          </cell>
        </row>
        <row r="14607">
          <cell r="C14607">
            <v>2005362</v>
          </cell>
          <cell r="D14607" t="str">
            <v>***ET.100X200 SCH.MORE</v>
          </cell>
        </row>
        <row r="14608">
          <cell r="C14608">
            <v>2005363</v>
          </cell>
          <cell r="D14608" t="str">
            <v>***ET.100X200 BOCZ.ŁUS.MORE</v>
          </cell>
        </row>
        <row r="14609">
          <cell r="C14609">
            <v>2005361</v>
          </cell>
          <cell r="D14609" t="str">
            <v>***ET.100X200 KARK.MORE</v>
          </cell>
        </row>
        <row r="14610">
          <cell r="C14610">
            <v>2005360</v>
          </cell>
          <cell r="D14610" t="str">
            <v>ET.68X80 BIZERBA MORLINY EXPERT</v>
          </cell>
        </row>
        <row r="14611">
          <cell r="C14611">
            <v>2005349</v>
          </cell>
          <cell r="D14611" t="str">
            <v>***ET.100X200 BOCZ.Z/K.EXPERT MORLINY</v>
          </cell>
        </row>
        <row r="14612">
          <cell r="C14612">
            <v>2005371</v>
          </cell>
          <cell r="D14612" t="str">
            <v>***ET.140X100 BOCZEK MARYNATY RETRO KRA</v>
          </cell>
        </row>
        <row r="14613">
          <cell r="C14613">
            <v>2005370</v>
          </cell>
          <cell r="D14613" t="str">
            <v>***ET.140X100 KARCZEK MARYNATY RETRO KRA</v>
          </cell>
        </row>
        <row r="14614">
          <cell r="C14614">
            <v>2005369</v>
          </cell>
          <cell r="D14614" t="str">
            <v>***ET.140X100 SCHAB MARYNATY RETRO KRA</v>
          </cell>
        </row>
        <row r="14615">
          <cell r="C14615">
            <v>2005368</v>
          </cell>
          <cell r="D14615" t="str">
            <v>***ET.140X100 SZYN.MARYNATY RETRO KRA</v>
          </cell>
        </row>
        <row r="14616">
          <cell r="C14616">
            <v>2005384</v>
          </cell>
          <cell r="D14616" t="str">
            <v>***ET.42X22 STICKER ZIOŁA KAUFLAND</v>
          </cell>
        </row>
        <row r="14617">
          <cell r="C14617">
            <v>2005388</v>
          </cell>
          <cell r="D14617" t="str">
            <v>***ET.42X22 STICKER CEBULA KAUFLAND</v>
          </cell>
        </row>
        <row r="14618">
          <cell r="C14618">
            <v>2005387</v>
          </cell>
          <cell r="D14618" t="str">
            <v>***ET.42X22 STICKER CHILI  KAUFLAND</v>
          </cell>
        </row>
        <row r="14619">
          <cell r="C14619">
            <v>2005385</v>
          </cell>
          <cell r="D14619" t="str">
            <v>***ET.42X22 STICKER CZOSNEK  KAUFLAND</v>
          </cell>
        </row>
        <row r="14620">
          <cell r="C14620">
            <v>2005417</v>
          </cell>
          <cell r="D14620" t="str">
            <v>***ET.78X150 FRANK.GRILL Z SEREM MOR RND</v>
          </cell>
        </row>
        <row r="14621">
          <cell r="C14621">
            <v>2005418</v>
          </cell>
          <cell r="D14621" t="str">
            <v>***ET.78X150 FRANK.PARZ.GRILLCLASSIC MOR</v>
          </cell>
        </row>
        <row r="14622">
          <cell r="C14622">
            <v>2005419</v>
          </cell>
          <cell r="D14622" t="str">
            <v>***ET.78X110 KASZANKA GRILL TESCO</v>
          </cell>
        </row>
        <row r="14623">
          <cell r="C14623">
            <v>2005416</v>
          </cell>
          <cell r="D14623" t="str">
            <v>***ET.78X150 FRANK.GRILLHOTCHILLI  MOR R</v>
          </cell>
        </row>
        <row r="14624">
          <cell r="C14624">
            <v>2005420</v>
          </cell>
          <cell r="D14624" t="str">
            <v>***ET.78X110 BOCZ.GRILL.TESC</v>
          </cell>
        </row>
        <row r="14625">
          <cell r="C14625">
            <v>2005424</v>
          </cell>
          <cell r="D14625" t="str">
            <v>***ET.78X110 KARK.GRILL.TESC</v>
          </cell>
        </row>
        <row r="14626">
          <cell r="C14626">
            <v>2005407</v>
          </cell>
          <cell r="D14626" t="str">
            <v>***ET.78X130 MIX GRILLOWY ŚL.KASZANKA</v>
          </cell>
        </row>
        <row r="14627">
          <cell r="C14627">
            <v>2005408</v>
          </cell>
          <cell r="D14627" t="str">
            <v>***ET.90X100 KARKÓWKA KAUF RED GARLIC</v>
          </cell>
        </row>
        <row r="14628">
          <cell r="C14628">
            <v>2005571</v>
          </cell>
          <cell r="D14628" t="str">
            <v>***ET.60X140 KARK.EKSPERT MAŁA PORCJA</v>
          </cell>
        </row>
        <row r="14629">
          <cell r="C14629">
            <v>2005572</v>
          </cell>
          <cell r="D14629" t="str">
            <v>**ET.70X140 BOCZ.ŁUS EKSPERT MAŁA PORCJA</v>
          </cell>
        </row>
        <row r="14630">
          <cell r="C14630">
            <v>2005573</v>
          </cell>
          <cell r="D14630" t="str">
            <v>***ET.60X170 ŻEBERKA EKSPERT MAŁA PORCJA</v>
          </cell>
        </row>
        <row r="14631">
          <cell r="C14631">
            <v>2005574</v>
          </cell>
          <cell r="D14631" t="str">
            <v>***ET.70X140 SCH.EKSPERT MAŁA PORCJA</v>
          </cell>
        </row>
        <row r="14632">
          <cell r="C14632">
            <v>2005575</v>
          </cell>
          <cell r="D14632" t="str">
            <v>***ET.70X140BOCZ.ŁUS B/S.EKSPERT MAŁA PO</v>
          </cell>
        </row>
        <row r="14633">
          <cell r="C14633">
            <v>2005591</v>
          </cell>
          <cell r="D14633" t="str">
            <v>***ET.80X36 STICKER 100% M-SO Z ŁOP.</v>
          </cell>
        </row>
        <row r="14634">
          <cell r="C14634">
            <v>2005606</v>
          </cell>
          <cell r="D14634" t="str">
            <v>***ET.60X100 KABANOS EKSPORT PRL 180G</v>
          </cell>
        </row>
        <row r="14635">
          <cell r="C14635">
            <v>2005622</v>
          </cell>
          <cell r="D14635" t="str">
            <v>***ET.75X149 ŚWIAT MIĘS 30%GRATIS MOR J</v>
          </cell>
        </row>
        <row r="14636">
          <cell r="C14636">
            <v>2005642</v>
          </cell>
          <cell r="D14636" t="str">
            <v>***ET.60X60STICKER KAB.MORLIŃSKI CLASSIC</v>
          </cell>
        </row>
        <row r="14637">
          <cell r="C14637">
            <v>2005641</v>
          </cell>
          <cell r="D14637" t="str">
            <v>***ET.60X60 STICKER KAB.MORLIŃSKI PIEPRZ</v>
          </cell>
        </row>
        <row r="14638">
          <cell r="C14638">
            <v>2005640</v>
          </cell>
          <cell r="D14638" t="str">
            <v>***ET.60X60STICKER KAB.MORLIŃSKI CHILLI</v>
          </cell>
        </row>
        <row r="14639">
          <cell r="C14639">
            <v>2005661</v>
          </cell>
          <cell r="D14639" t="str">
            <v>***ET.85X125 DYSKĄCIK BT</v>
          </cell>
        </row>
        <row r="14640">
          <cell r="C14640">
            <v>2005683</v>
          </cell>
          <cell r="D14640" t="str">
            <v>***ET.68X120 KIEŁB.KRUCHA MOR</v>
          </cell>
        </row>
        <row r="14641">
          <cell r="C14641">
            <v>2005714</v>
          </cell>
          <cell r="D14641" t="str">
            <v>***ET.140X90 PARTYCZAKI PIEPRZ OZDOBNA</v>
          </cell>
        </row>
        <row r="14642">
          <cell r="C14642">
            <v>2005713</v>
          </cell>
          <cell r="D14642" t="str">
            <v>***ET.140X90 PARTYCZAKI CLASSIC OZDOBNA</v>
          </cell>
        </row>
        <row r="14643">
          <cell r="C14643">
            <v>2005712</v>
          </cell>
          <cell r="D14643" t="str">
            <v>***ET.140X90 PARTYCZAKI CHILI OZDOBNA</v>
          </cell>
        </row>
        <row r="14644">
          <cell r="C14644">
            <v>2005489</v>
          </cell>
          <cell r="D14644" t="str">
            <v>ET. 70X98 MAKRO - WIEPRZOWINA</v>
          </cell>
        </row>
        <row r="14645">
          <cell r="C14645">
            <v>2005762</v>
          </cell>
          <cell r="D14645" t="str">
            <v>ET.73X70 POL.WP.BIED</v>
          </cell>
        </row>
        <row r="14646">
          <cell r="C14646">
            <v>2005763</v>
          </cell>
          <cell r="D14646" t="str">
            <v>***ET.40X145 POL.WP.JMD T</v>
          </cell>
        </row>
        <row r="14647">
          <cell r="C14647">
            <v>2005689</v>
          </cell>
          <cell r="D14647" t="str">
            <v>ET.70X120 SMAKTON</v>
          </cell>
        </row>
        <row r="14648">
          <cell r="C14648">
            <v>2005834</v>
          </cell>
          <cell r="D14648" t="str">
            <v>***ET.80X80 TERMO FI76 LAKIEROWANA</v>
          </cell>
        </row>
        <row r="14649">
          <cell r="C14649">
            <v>2005850</v>
          </cell>
          <cell r="D14649" t="str">
            <v>***ET.40X180 POL.WP.LIDL NOWA T.T</v>
          </cell>
        </row>
        <row r="14650">
          <cell r="C14650">
            <v>2005849</v>
          </cell>
          <cell r="D14650" t="str">
            <v>***ET.68X49 POL.WP.LIDL NOWA TACKA</v>
          </cell>
        </row>
        <row r="14651">
          <cell r="C14651">
            <v>2005838</v>
          </cell>
          <cell r="D14651" t="str">
            <v>***ET.80X110 M-SO GARM.WP.BIED T</v>
          </cell>
        </row>
        <row r="14652">
          <cell r="C14652">
            <v>2005837</v>
          </cell>
          <cell r="D14652" t="str">
            <v>***ET.68X110 M-S0 GARM.WP.BIED P</v>
          </cell>
        </row>
        <row r="14653">
          <cell r="C14653">
            <v>2005853</v>
          </cell>
          <cell r="D14653" t="str">
            <v>***ET.68X49 SZYN.WP.B/K.LIDL P</v>
          </cell>
        </row>
        <row r="14654">
          <cell r="C14654">
            <v>2005854</v>
          </cell>
          <cell r="D14654" t="str">
            <v>***ET.68X121 SZYN.WP.B/K.LIDL T</v>
          </cell>
        </row>
        <row r="14655">
          <cell r="C14655">
            <v>2005864</v>
          </cell>
          <cell r="D14655" t="str">
            <v>***ET.70X120 KARK.WP.B/K.1KG LIDL T</v>
          </cell>
        </row>
        <row r="14656">
          <cell r="C14656">
            <v>2005863</v>
          </cell>
          <cell r="D14656" t="str">
            <v>***ET.77X50 KARK.WP.B/K.1KG LIDL P</v>
          </cell>
        </row>
        <row r="14657">
          <cell r="C14657">
            <v>2005896</v>
          </cell>
          <cell r="D14657" t="str">
            <v>***ET.64X64 STICKER KUCHARZ LIDL</v>
          </cell>
        </row>
        <row r="14658">
          <cell r="C14658">
            <v>2005900</v>
          </cell>
          <cell r="D14658" t="str">
            <v>ET.70X103 BIZERBA RND MORLINY EKSPORT</v>
          </cell>
        </row>
        <row r="14659">
          <cell r="C14659">
            <v>2005887</v>
          </cell>
          <cell r="D14659" t="str">
            <v>***ET.82X115 BOCZ.WĘDZ.PARZ.MOR LT/LV/EE</v>
          </cell>
        </row>
        <row r="14660">
          <cell r="C14660">
            <v>2005885</v>
          </cell>
          <cell r="D14660" t="str">
            <v>ET.73X110 BOCZ.WĘDZ.MS EC</v>
          </cell>
        </row>
        <row r="14661">
          <cell r="C14661">
            <v>2005884</v>
          </cell>
          <cell r="D14661" t="str">
            <v>***ET.90X66 POL.SOPOCKA LION EX UK</v>
          </cell>
        </row>
        <row r="14662">
          <cell r="C14662">
            <v>2005906</v>
          </cell>
          <cell r="D14662" t="str">
            <v>***ET.60X170 BOCZ.PL EKSPERT MORLINY</v>
          </cell>
        </row>
        <row r="14663">
          <cell r="C14663">
            <v>2005905</v>
          </cell>
          <cell r="D14663" t="str">
            <v>***ET.60X170 SZN.Z SZYN.EKSPERT MOR</v>
          </cell>
        </row>
        <row r="14664">
          <cell r="C14664">
            <v>2005904</v>
          </cell>
          <cell r="D14664" t="str">
            <v>***ET.60X170 SCH.KOTL.EKSPERT MOR</v>
          </cell>
        </row>
        <row r="14665">
          <cell r="C14665">
            <v>2005903</v>
          </cell>
          <cell r="D14665" t="str">
            <v>***ET.60X170 KARK.KOTL. EKSPERT MOR</v>
          </cell>
        </row>
        <row r="14666">
          <cell r="C14666">
            <v>2005943</v>
          </cell>
          <cell r="D14666" t="str">
            <v>***ET.60X50 ŻEB.WP.PASKI NETTO</v>
          </cell>
        </row>
        <row r="14667">
          <cell r="C14667">
            <v>2005899</v>
          </cell>
          <cell r="D14667" t="str">
            <v>***ET.80X100 FRESH PORK SF</v>
          </cell>
        </row>
        <row r="14668">
          <cell r="C14668">
            <v>2005949</v>
          </cell>
          <cell r="D14668" t="str">
            <v>ET.70X103 BIZERBA RND KRAJ EKSPORT MOR</v>
          </cell>
        </row>
        <row r="14669">
          <cell r="C14669">
            <v>2005959</v>
          </cell>
          <cell r="D14669" t="str">
            <v>***ET.60X65 SCH.PIECZ.ZE ŚLIWKĄ KRA</v>
          </cell>
        </row>
        <row r="14670">
          <cell r="C14670">
            <v>2005962</v>
          </cell>
          <cell r="D14670" t="str">
            <v>***ET.60X65 ŻEBERKA PIECZENIOWE KRAKUS</v>
          </cell>
        </row>
        <row r="14671">
          <cell r="C14671">
            <v>2005958</v>
          </cell>
          <cell r="D14671" t="str">
            <v>***ET.60X65 BOCZ.PIECZENIOWY KRA</v>
          </cell>
        </row>
        <row r="14672">
          <cell r="C14672">
            <v>2005961</v>
          </cell>
          <cell r="D14672" t="str">
            <v>***ET.60X65 SZYN.PIECZ.KRA</v>
          </cell>
        </row>
        <row r="14673">
          <cell r="C14673">
            <v>2005960</v>
          </cell>
          <cell r="D14673" t="str">
            <v>***ET.60X65 KARK.PIECZ.KRA</v>
          </cell>
        </row>
        <row r="14674">
          <cell r="C14674">
            <v>2005938</v>
          </cell>
          <cell r="D14674" t="str">
            <v>***ET.260X50 SZYNECZKA I KLASA MORLINY</v>
          </cell>
        </row>
        <row r="14675">
          <cell r="C14675">
            <v>2005977</v>
          </cell>
          <cell r="D14675" t="str">
            <v>***ET.76X140 PARTYCZAKI BANDEROLA CHILI</v>
          </cell>
        </row>
        <row r="14676">
          <cell r="C14676">
            <v>2005976</v>
          </cell>
          <cell r="D14676" t="str">
            <v>***ET.76X140 PARTYCZAKI BANDEROLA PIEPRZ</v>
          </cell>
        </row>
        <row r="14677">
          <cell r="C14677">
            <v>2005975</v>
          </cell>
          <cell r="D14677" t="str">
            <v>***ET.76X140PARTYCZAKI BANDEROLA CLASSIC</v>
          </cell>
        </row>
        <row r="14678">
          <cell r="C14678">
            <v>2006000</v>
          </cell>
          <cell r="D14678" t="str">
            <v>***ET.52X60 PARTYCZAKI CHILI  60G</v>
          </cell>
        </row>
        <row r="14679">
          <cell r="C14679">
            <v>2005999</v>
          </cell>
          <cell r="D14679" t="str">
            <v>***ET.52X60 PARTYCZAKI CLASSIC 60G</v>
          </cell>
        </row>
        <row r="14680">
          <cell r="C14680">
            <v>2005997</v>
          </cell>
          <cell r="D14680" t="str">
            <v>***ET.52X60 KABANOMORLIŃSKIE PIEPRZ 105G</v>
          </cell>
        </row>
        <row r="14681">
          <cell r="C14681">
            <v>2005993</v>
          </cell>
          <cell r="D14681" t="str">
            <v>***ET.52X60 KABANOMORLIŃSKIE CHILI 105G</v>
          </cell>
        </row>
        <row r="14682">
          <cell r="C14682">
            <v>2005992</v>
          </cell>
          <cell r="D14682" t="str">
            <v>***ET.52X60KABANOSY MORLIŃSKIE CLASS105G</v>
          </cell>
        </row>
        <row r="14683">
          <cell r="C14683">
            <v>2006021</v>
          </cell>
          <cell r="D14683" t="str">
            <v>ET.55X100 POL.WĘDZ.PRL KRA</v>
          </cell>
        </row>
        <row r="14684">
          <cell r="C14684">
            <v>2006009</v>
          </cell>
          <cell r="D14684" t="str">
            <v>***ET.80X120 SCHAB B/K VAC JMP PRZÓD</v>
          </cell>
        </row>
        <row r="14685">
          <cell r="C14685">
            <v>2006008</v>
          </cell>
          <cell r="D14685" t="str">
            <v>***ET.80X110 MIĘSO NA ROLADY Z SZYNTYŁ</v>
          </cell>
        </row>
        <row r="14686">
          <cell r="C14686">
            <v>2006007</v>
          </cell>
          <cell r="D14686" t="str">
            <v>***ET.68X90 MIĘSO NA ROLADY Z SZYNKI PR</v>
          </cell>
        </row>
        <row r="14687">
          <cell r="C14687">
            <v>2006006</v>
          </cell>
          <cell r="D14687" t="str">
            <v>***ET.80X36 STICKER 100% M-SA Z SZYN.</v>
          </cell>
        </row>
        <row r="14688">
          <cell r="C14688">
            <v>2006024</v>
          </cell>
          <cell r="D14688" t="str">
            <v>***ET.70X120 MIĘSO MIEL.WŁ LIDL TYŁ 500G</v>
          </cell>
        </row>
        <row r="14689">
          <cell r="C14689">
            <v>2006023</v>
          </cell>
          <cell r="D14689" t="str">
            <v>***ET.68X49 MIĘSO MIEL.WŁLIDL PRZÓD 500G</v>
          </cell>
        </row>
        <row r="14690">
          <cell r="C14690">
            <v>2006042</v>
          </cell>
          <cell r="D14690" t="str">
            <v>ET.60X90 SZYN.B/KNST.PRL T</v>
          </cell>
        </row>
        <row r="14691">
          <cell r="C14691">
            <v>2006041</v>
          </cell>
          <cell r="D14691" t="str">
            <v>ET.60X90 SZYNKA BEZ KONSERWANTÓW PRL PRZ</v>
          </cell>
        </row>
        <row r="14692">
          <cell r="C14692">
            <v>2006057</v>
          </cell>
          <cell r="D14692" t="str">
            <v>ET.85X125 TESC WIEPRZOWINA BIZERBA</v>
          </cell>
        </row>
        <row r="14693">
          <cell r="C14693">
            <v>2006056</v>
          </cell>
          <cell r="D14693" t="str">
            <v>***ET.80X100 KIEŁB.ŻYWIECKA OZDOBNA KRA</v>
          </cell>
        </row>
        <row r="14694">
          <cell r="C14694">
            <v>2006055</v>
          </cell>
          <cell r="D14694" t="str">
            <v>***ET.92X104 KIEŁB.ŻYWIECKA 600G BIED</v>
          </cell>
        </row>
        <row r="14695">
          <cell r="C14695">
            <v>2006074</v>
          </cell>
          <cell r="D14695" t="str">
            <v>***ET.53X210 SMAKTON ŻYWIECKA OWIJKA</v>
          </cell>
        </row>
        <row r="14696">
          <cell r="C14696">
            <v>2006078</v>
          </cell>
          <cell r="D14696" t="str">
            <v>ET.60X80 POL.ŁOS.PRL KRA P</v>
          </cell>
        </row>
        <row r="14697">
          <cell r="C14697">
            <v>2006077</v>
          </cell>
          <cell r="D14697" t="str">
            <v>***ET.60X80 POL.ŁOS.PRL PROMO KRA</v>
          </cell>
        </row>
        <row r="14698">
          <cell r="C14698">
            <v>2006076</v>
          </cell>
          <cell r="D14698" t="str">
            <v>ET.80X50 POL.ŁOS.PRL KRA T</v>
          </cell>
        </row>
        <row r="14699">
          <cell r="C14699">
            <v>2006089</v>
          </cell>
          <cell r="D14699" t="str">
            <v>***ET.60X90 SZYNKA TEŚCIOWEJ MORLINY</v>
          </cell>
        </row>
        <row r="14700">
          <cell r="C14700">
            <v>2006095</v>
          </cell>
          <cell r="D14700" t="str">
            <v>***ET.68X90 BOCZ.Z/S.BIED P</v>
          </cell>
        </row>
        <row r="14701">
          <cell r="C14701">
            <v>2006093</v>
          </cell>
          <cell r="D14701" t="str">
            <v>***ET.80X110 BOCZ.Z/S.BIED T</v>
          </cell>
        </row>
        <row r="14702">
          <cell r="C14702">
            <v>2006103</v>
          </cell>
          <cell r="D14702" t="str">
            <v>***ET.100X140 BOCZEK DO WĘDZENIA MOR</v>
          </cell>
        </row>
        <row r="14703">
          <cell r="C14703">
            <v>2006102</v>
          </cell>
          <cell r="D14703" t="str">
            <v>***ET.100X140 KARCZEK DO WĘDZENIA MOR</v>
          </cell>
        </row>
        <row r="14704">
          <cell r="C14704">
            <v>2006101</v>
          </cell>
          <cell r="D14704" t="str">
            <v>***ET.100X140 SZYNKA DO WĘDZENIA MORLINY</v>
          </cell>
        </row>
        <row r="14705">
          <cell r="C14705">
            <v>2006100</v>
          </cell>
          <cell r="D14705" t="str">
            <v>***ET.100X140 SCHAB DO WĘDZENIA MORLINY</v>
          </cell>
        </row>
        <row r="14706">
          <cell r="C14706">
            <v>2006114</v>
          </cell>
          <cell r="D14706" t="str">
            <v>***ET.68X86 BIZERBA BEZ LOGO</v>
          </cell>
        </row>
        <row r="14707">
          <cell r="C14707">
            <v>2006137</v>
          </cell>
          <cell r="D14707" t="str">
            <v>ET.60X80 WĘDZONKA KROT.PRL KRA P</v>
          </cell>
        </row>
        <row r="14708">
          <cell r="C14708">
            <v>2006136</v>
          </cell>
          <cell r="D14708" t="str">
            <v>***ET.80X50 BOCZEK KLAS.WĘDZ.PRL KRATYŁ</v>
          </cell>
        </row>
        <row r="14709">
          <cell r="C14709">
            <v>2006135</v>
          </cell>
          <cell r="D14709" t="str">
            <v>***ET.TRMP.60X80 BOCZ.KLAS.PRL KRA P</v>
          </cell>
        </row>
        <row r="14710">
          <cell r="C14710">
            <v>2006134</v>
          </cell>
          <cell r="D14710" t="str">
            <v>ET.80X50 WĘDZONKA KROT.PRL KRA T</v>
          </cell>
        </row>
        <row r="14711">
          <cell r="C14711">
            <v>2006133</v>
          </cell>
          <cell r="D14711" t="str">
            <v>***ET.68X120 KIEŁB.KRUCHA PRL KRA</v>
          </cell>
        </row>
        <row r="14712">
          <cell r="C14712">
            <v>2006157</v>
          </cell>
          <cell r="D14712" t="str">
            <v>ET.TRMP.70X98 BIZ.CZER.WP.MAKR U</v>
          </cell>
        </row>
        <row r="14713">
          <cell r="C14713">
            <v>2006181</v>
          </cell>
          <cell r="D14713" t="str">
            <v>***ET.65X95 SZYNKA POLSKA MORLINY</v>
          </cell>
        </row>
        <row r="14714">
          <cell r="C14714">
            <v>2006184</v>
          </cell>
          <cell r="D14714" t="str">
            <v>***ET.65X90 BIZERBA PRL KRA</v>
          </cell>
        </row>
        <row r="14715">
          <cell r="C14715">
            <v>2006183</v>
          </cell>
          <cell r="D14715" t="str">
            <v>ET.75X75 BIZERBA MAP</v>
          </cell>
        </row>
        <row r="14716">
          <cell r="C14716">
            <v>2005490</v>
          </cell>
          <cell r="D14716" t="str">
            <v>ET.TRMP.85X116 YAN EX P</v>
          </cell>
        </row>
        <row r="14717">
          <cell r="C14717">
            <v>2003870</v>
          </cell>
          <cell r="D14717" t="str">
            <v>ET.70X121 RAGNOS SAN</v>
          </cell>
        </row>
        <row r="14718">
          <cell r="C14718">
            <v>2005936</v>
          </cell>
          <cell r="D14718" t="str">
            <v>ET.72X105 BIZERBA CZYSTA-KAARLI</v>
          </cell>
        </row>
        <row r="14719">
          <cell r="C14719">
            <v>2006178</v>
          </cell>
          <cell r="D14719" t="str">
            <v>***ET.85X125 POLSKIE PRZYSMAKI BIZERBA</v>
          </cell>
        </row>
        <row r="14720">
          <cell r="C14720">
            <v>2006186</v>
          </cell>
          <cell r="D14720" t="str">
            <v>***ET.60X80 BOCZEK KLAS.PRL KRAKUS PROMO</v>
          </cell>
        </row>
        <row r="14721">
          <cell r="C14721">
            <v>2006185</v>
          </cell>
          <cell r="D14721" t="str">
            <v>***ET.60X80 WĘDZONKA KROT.PRL KRA PROMO</v>
          </cell>
        </row>
        <row r="14722">
          <cell r="C14722">
            <v>2006195</v>
          </cell>
          <cell r="D14722" t="str">
            <v>ET.40X25 STICKER PULLED PORK DANIA</v>
          </cell>
        </row>
        <row r="14723">
          <cell r="C14723">
            <v>2006196</v>
          </cell>
          <cell r="D14723" t="str">
            <v>***ET.60X90 PRZEKĄSKA BUŁGARIA PIKOK</v>
          </cell>
        </row>
        <row r="14724">
          <cell r="C14724">
            <v>2006207</v>
          </cell>
          <cell r="D14724" t="str">
            <v>ET.80X115  BIZERBA MAZ POWIĘKSZONA</v>
          </cell>
        </row>
        <row r="14725">
          <cell r="C14725">
            <v>2006223</v>
          </cell>
          <cell r="D14725" t="str">
            <v>***ET.70X110 FOOD SERVICE ŚWIEŻE</v>
          </cell>
        </row>
        <row r="14726">
          <cell r="C14726">
            <v>2006222</v>
          </cell>
          <cell r="D14726" t="str">
            <v>***ET.70X110 FOOD SERVICE MR</v>
          </cell>
        </row>
        <row r="14727">
          <cell r="C14727">
            <v>2006217</v>
          </cell>
          <cell r="D14727" t="str">
            <v>***ET.60X80 KABANOSSI MIT PFEFFER 105G</v>
          </cell>
        </row>
        <row r="14728">
          <cell r="C14728">
            <v>2006216</v>
          </cell>
          <cell r="D14728" t="str">
            <v>***ET.60X80 KABANOSSI CHILLI 105G</v>
          </cell>
        </row>
        <row r="14729">
          <cell r="C14729">
            <v>2006215</v>
          </cell>
          <cell r="D14729" t="str">
            <v>***ET.60X80 KABANOSSI CLASSIK 105G</v>
          </cell>
        </row>
        <row r="14730">
          <cell r="C14730">
            <v>2006214</v>
          </cell>
          <cell r="D14730" t="str">
            <v>***ET.55X84,5 PODWAWELSKA WURST 520G</v>
          </cell>
        </row>
        <row r="14731">
          <cell r="C14731">
            <v>2006229</v>
          </cell>
          <cell r="D14731" t="str">
            <v>***ET.80X110 MIĘSO NA GUL.Z ŁOP.TYŁ JMP</v>
          </cell>
        </row>
        <row r="14732">
          <cell r="C14732">
            <v>2005669</v>
          </cell>
          <cell r="D14732" t="str">
            <v>ET.70X62 POLĘDWICA ŁOSOSIOWA NIEMCY</v>
          </cell>
        </row>
        <row r="14733">
          <cell r="C14733">
            <v>2006237</v>
          </cell>
          <cell r="D14733" t="str">
            <v>***ET.68X110 ŻEB.TRÓJKĄT BIED P</v>
          </cell>
        </row>
        <row r="14734">
          <cell r="C14734">
            <v>2006236</v>
          </cell>
          <cell r="D14734" t="str">
            <v>***ET.80X110 ŻEB.TRÓJKĄT BIED T</v>
          </cell>
        </row>
        <row r="14735">
          <cell r="C14735">
            <v>2006283</v>
          </cell>
          <cell r="D14735" t="str">
            <v>ET.60X212 ŻYWIECKA BANDEROLA PRL KRAKUS</v>
          </cell>
        </row>
        <row r="14736">
          <cell r="C14736">
            <v>2006287</v>
          </cell>
          <cell r="D14736" t="str">
            <v>***ET.68X95 KIEŁBASKI BIAŁE SUROWE PRZÓD</v>
          </cell>
        </row>
        <row r="14737">
          <cell r="C14737">
            <v>2006286</v>
          </cell>
          <cell r="D14737" t="str">
            <v>***ET.60X85 KIEŁBASKI BIAŁE SUROWE TYŁ</v>
          </cell>
        </row>
        <row r="14738">
          <cell r="C14738">
            <v>2006323</v>
          </cell>
          <cell r="D14738" t="str">
            <v>***ET.60X170 M.MIEL.Z SZYN.EKSPERT</v>
          </cell>
        </row>
        <row r="14739">
          <cell r="C14739">
            <v>2006360</v>
          </cell>
          <cell r="D14739" t="str">
            <v>***ET.80X110 KIEŁBASA BIAŁA SUR.TYŁ JMP</v>
          </cell>
        </row>
        <row r="14740">
          <cell r="C14740">
            <v>2006359</v>
          </cell>
          <cell r="D14740" t="str">
            <v>***ET.68X90 KIEŁBASA BIAŁA SUR.PRZÓD JMP</v>
          </cell>
        </row>
        <row r="14741">
          <cell r="C14741">
            <v>2001257</v>
          </cell>
          <cell r="D14741" t="str">
            <v>ET.70X110 CZYSTA FOOD SERVICE</v>
          </cell>
        </row>
        <row r="14742">
          <cell r="C14742">
            <v>2006416</v>
          </cell>
          <cell r="D14742" t="str">
            <v>***ET.83X113 SZYNKA ZRAZOWA KRAKUS PRL</v>
          </cell>
        </row>
        <row r="14743">
          <cell r="C14743">
            <v>2006440</v>
          </cell>
          <cell r="D14743" t="str">
            <v>***ET.260X50 SZYNECZKA I KLASA ŚWIĘTA</v>
          </cell>
        </row>
        <row r="14744">
          <cell r="C14744">
            <v>2006465</v>
          </cell>
          <cell r="D14744" t="str">
            <v>ET.70X110 BIZERBA YANO KONSERWOWA</v>
          </cell>
        </row>
        <row r="14745">
          <cell r="C14745">
            <v>2006464</v>
          </cell>
          <cell r="D14745" t="str">
            <v>ET.90X65 PRZEKĄSKA LUXUSNI SNACK CZ</v>
          </cell>
        </row>
        <row r="14746">
          <cell r="C14746">
            <v>2006453</v>
          </cell>
          <cell r="D14746" t="str">
            <v>***ET.70X100 ŻYWIECKA ZM.WAG PRL KRAKUS</v>
          </cell>
        </row>
        <row r="14747">
          <cell r="C14747">
            <v>2006473</v>
          </cell>
          <cell r="D14747" t="str">
            <v>***ET.80X45 STICKER LIDL HR PRZEKĄSKA</v>
          </cell>
        </row>
        <row r="14748">
          <cell r="C14748">
            <v>2006481</v>
          </cell>
          <cell r="D14748" t="str">
            <v>***ET.85X54 KIEŁBASA ZWYCZAJNA</v>
          </cell>
        </row>
        <row r="14749">
          <cell r="C14749">
            <v>2006492</v>
          </cell>
          <cell r="D14749" t="str">
            <v>***ET.75X100 KASZANKA MOR</v>
          </cell>
        </row>
        <row r="14750">
          <cell r="C14750">
            <v>2006515</v>
          </cell>
          <cell r="D14750" t="str">
            <v>***ET.80X110 BOCZ.GRILL.BIED T</v>
          </cell>
        </row>
        <row r="14751">
          <cell r="C14751">
            <v>2006514</v>
          </cell>
          <cell r="D14751" t="str">
            <v>***ET.80X120 BOCZEK GRILLOWY PRZÓD BIED.</v>
          </cell>
        </row>
        <row r="14752">
          <cell r="C14752">
            <v>2006513</v>
          </cell>
          <cell r="D14752" t="str">
            <v>***ET.68X89 BOCZEK KRAKUS WIĘKSZA PRL</v>
          </cell>
        </row>
        <row r="14753">
          <cell r="C14753">
            <v>2006512</v>
          </cell>
          <cell r="D14753" t="str">
            <v>***ET.68X89 BOCZEK KRAKUS WIĘKSZA PROMO</v>
          </cell>
        </row>
        <row r="14754">
          <cell r="C14754">
            <v>2006523</v>
          </cell>
          <cell r="D14754" t="str">
            <v>***ET.80X110 KARK.GRILL.BIED T</v>
          </cell>
        </row>
        <row r="14755">
          <cell r="C14755">
            <v>2006522</v>
          </cell>
          <cell r="D14755" t="str">
            <v>ET.70X90 KARCZEK GRILL.BIED P</v>
          </cell>
        </row>
        <row r="14756">
          <cell r="C14756">
            <v>2006532</v>
          </cell>
          <cell r="D14756" t="str">
            <v>ET.70X120 KABANOSY KRAKUS SZWECJA</v>
          </cell>
        </row>
        <row r="14757">
          <cell r="C14757">
            <v>2006543</v>
          </cell>
          <cell r="D14757" t="str">
            <v>***ET.68X90 TRM</v>
          </cell>
        </row>
        <row r="14758">
          <cell r="C14758">
            <v>2006564</v>
          </cell>
          <cell r="D14758" t="str">
            <v>***ET.STIC.80X45 PRZEKĄSKA LIDL RO</v>
          </cell>
        </row>
        <row r="14759">
          <cell r="C14759">
            <v>2005484</v>
          </cell>
          <cell r="D14759" t="str">
            <v>***ET.48X61 STIKER GRILUJEMY</v>
          </cell>
        </row>
        <row r="14760">
          <cell r="C14760">
            <v>2000172</v>
          </cell>
          <cell r="D14760" t="str">
            <v>ET.60X90 SZYNKA POLSKA RND</v>
          </cell>
        </row>
        <row r="14761">
          <cell r="C14761">
            <v>2000198</v>
          </cell>
          <cell r="D14761" t="str">
            <v>***ET.60X90 BOCZ.Z KOMINA RND</v>
          </cell>
        </row>
        <row r="14762">
          <cell r="C14762">
            <v>2000200</v>
          </cell>
          <cell r="D14762" t="str">
            <v>ET.60X90 K. PODWAWELSKA EXTRA RND</v>
          </cell>
        </row>
        <row r="14763">
          <cell r="C14763">
            <v>2006600</v>
          </cell>
          <cell r="D14763" t="str">
            <v>***ET.108X79 SCH.WP.PL NETTO T</v>
          </cell>
        </row>
        <row r="14764">
          <cell r="C14764">
            <v>2006559</v>
          </cell>
          <cell r="D14764" t="str">
            <v>***ET.108X79 ŻEB.PS NETTO T</v>
          </cell>
        </row>
        <row r="14765">
          <cell r="C14765">
            <v>2006613</v>
          </cell>
          <cell r="D14765" t="str">
            <v>***ET.100X65 STEK KARK.CHILLI KAUF T</v>
          </cell>
        </row>
        <row r="14766">
          <cell r="C14766">
            <v>2006612</v>
          </cell>
          <cell r="D14766" t="str">
            <v>ET.90X100 STEK CHILLI KAR.KAUF P</v>
          </cell>
        </row>
        <row r="14767">
          <cell r="C14767">
            <v>2006611</v>
          </cell>
          <cell r="D14767" t="str">
            <v>***ET.80X45 STICKER PRZEKĄSKA BUŁGARIA</v>
          </cell>
        </row>
        <row r="14768">
          <cell r="C14768">
            <v>2006466</v>
          </cell>
          <cell r="D14768" t="str">
            <v>ET.74X105 BIZERBA MORLINY</v>
          </cell>
        </row>
        <row r="14769">
          <cell r="C14769">
            <v>2006645</v>
          </cell>
          <cell r="D14769" t="str">
            <v>***ET.75X120 FRANKFURTERKI KLASYCZNE</v>
          </cell>
        </row>
        <row r="14770">
          <cell r="C14770">
            <v>2006646</v>
          </cell>
          <cell r="D14770" t="str">
            <v>***ET.75X120 FRANKFURTERKI Z CHILLI</v>
          </cell>
        </row>
        <row r="14771">
          <cell r="C14771">
            <v>2006647</v>
          </cell>
          <cell r="D14771" t="str">
            <v>***ET.75X120 FRANKFURTERKI Z SEREM</v>
          </cell>
        </row>
        <row r="14772">
          <cell r="C14772">
            <v>2006648</v>
          </cell>
          <cell r="D14772" t="str">
            <v>***ET.70X90 SZYNKA ZRAZOWA KRAKUS PRL</v>
          </cell>
        </row>
        <row r="14773">
          <cell r="C14773">
            <v>2006660</v>
          </cell>
          <cell r="D14773" t="str">
            <v>***ET.60X90 K.PODWAWELSKA GRILL&amp;FUN BAR</v>
          </cell>
        </row>
        <row r="14774">
          <cell r="C14774">
            <v>2006580</v>
          </cell>
          <cell r="D14774" t="str">
            <v>ET.70X90 BOCZEK GRILL.600G BIED P</v>
          </cell>
        </row>
        <row r="14775">
          <cell r="C14775">
            <v>2006667</v>
          </cell>
          <cell r="D14775" t="str">
            <v>***ET.90X130 KIEŁB.PODWAWELSKA MAP MOR</v>
          </cell>
        </row>
        <row r="14776">
          <cell r="C14776">
            <v>2001258</v>
          </cell>
          <cell r="D14776" t="str">
            <v>ET.70X110 CZYSTA FOOD SERVICE MROŻONE</v>
          </cell>
        </row>
        <row r="14777">
          <cell r="C14777">
            <v>2002328</v>
          </cell>
          <cell r="D14777" t="str">
            <v>ET.68X95 BOCZEK BARONI CZ</v>
          </cell>
        </row>
        <row r="14778">
          <cell r="C14778">
            <v>2006706</v>
          </cell>
          <cell r="D14778" t="str">
            <v>***ET.58X91 BOCZEK Z KOMINA MORLINYPRZÓD</v>
          </cell>
        </row>
        <row r="14779">
          <cell r="C14779">
            <v>2006705</v>
          </cell>
          <cell r="D14779" t="str">
            <v>***ET.58X91 SZYNKA POLSKA MORLINY PRZÓD</v>
          </cell>
        </row>
        <row r="14780">
          <cell r="C14780">
            <v>2006704</v>
          </cell>
          <cell r="D14780" t="str">
            <v>***ET.58X91 KIEŁB.PODWAWELSKA EXTRA P</v>
          </cell>
        </row>
        <row r="14781">
          <cell r="C14781">
            <v>2006711</v>
          </cell>
          <cell r="D14781" t="str">
            <v>ET.65X100 M.MIEL.Z SZYN.KAUF T</v>
          </cell>
        </row>
        <row r="14782">
          <cell r="C14782">
            <v>2006712</v>
          </cell>
          <cell r="D14782" t="str">
            <v>ET.65X100 M.MIEL.Z ŁOP.KAUF T</v>
          </cell>
        </row>
        <row r="14783">
          <cell r="C14783">
            <v>2006737</v>
          </cell>
          <cell r="D14783" t="str">
            <v>***ET.70X75 ŻYWIECKA ZM.WAG KRAKUS PRL</v>
          </cell>
        </row>
        <row r="14784">
          <cell r="C14784">
            <v>2006748</v>
          </cell>
          <cell r="D14784" t="str">
            <v>***ET.40X50 POLĘDWICZKA NETTO PRZÓD</v>
          </cell>
        </row>
        <row r="14785">
          <cell r="C14785">
            <v>2006747</v>
          </cell>
          <cell r="D14785" t="str">
            <v>***ET.40X130 POLĘDWICZKA NETTO TYŁ</v>
          </cell>
        </row>
        <row r="14786">
          <cell r="C14786">
            <v>2006785</v>
          </cell>
          <cell r="D14786" t="str">
            <v>***ET.40X145 TERMO</v>
          </cell>
        </row>
        <row r="14787">
          <cell r="C14787">
            <v>2006783</v>
          </cell>
          <cell r="D14787" t="str">
            <v>***ET.55X330 ZAWIESZKA DETEKCJA</v>
          </cell>
        </row>
        <row r="14788">
          <cell r="C14788">
            <v>2006784</v>
          </cell>
          <cell r="D14788" t="str">
            <v>ET.TRMP.80X80 FI76 BIZ.S2045N BIA.U</v>
          </cell>
        </row>
        <row r="14789">
          <cell r="C14789">
            <v>2006883</v>
          </cell>
          <cell r="D14789" t="str">
            <v>***ET.60X170 GUL.Z SZYN.EKSPERT</v>
          </cell>
        </row>
        <row r="14790">
          <cell r="C14790">
            <v>2006882</v>
          </cell>
          <cell r="D14790" t="str">
            <v>***ET.60X170 GUL.Z ŁOP.EKSPERT</v>
          </cell>
        </row>
        <row r="14791">
          <cell r="C14791">
            <v>2006886</v>
          </cell>
          <cell r="D14791" t="str">
            <v>***ET.47.7X131.5 BANDEROLA PODWAWELSKA</v>
          </cell>
        </row>
        <row r="14792">
          <cell r="C14792">
            <v>2006893</v>
          </cell>
          <cell r="D14792" t="str">
            <v>***ET.58X74 BOCZEK Z KOMINA TYŁ</v>
          </cell>
        </row>
        <row r="14793">
          <cell r="C14793">
            <v>2006892</v>
          </cell>
          <cell r="D14793" t="str">
            <v>***ET.58X74 KIEŁB.PODWAWELSKA EXTRA TYŁ</v>
          </cell>
        </row>
        <row r="14794">
          <cell r="C14794">
            <v>2006891</v>
          </cell>
          <cell r="D14794" t="str">
            <v>***ET.58X74 SZYNKA POLSKA TYŁ</v>
          </cell>
        </row>
        <row r="14795">
          <cell r="C14795">
            <v>2006900</v>
          </cell>
          <cell r="D14795" t="str">
            <v>***ET.FI 29.5 STICKER 30G WIĘCEJ</v>
          </cell>
        </row>
        <row r="14796">
          <cell r="C14796">
            <v>2006869</v>
          </cell>
          <cell r="D14796" t="str">
            <v>***ET.FI 50 STICKER 15% GRATIS</v>
          </cell>
        </row>
        <row r="14797">
          <cell r="C14797">
            <v>2006915</v>
          </cell>
          <cell r="D14797" t="str">
            <v>***ET.52X74 PARTYCZAKI CHILI 60G</v>
          </cell>
        </row>
        <row r="14798">
          <cell r="C14798">
            <v>2006914</v>
          </cell>
          <cell r="D14798" t="str">
            <v>ET.52X74 PARTYCZAKI CLASSIC 60G</v>
          </cell>
        </row>
        <row r="14799">
          <cell r="C14799">
            <v>2006913</v>
          </cell>
          <cell r="D14799" t="str">
            <v>***ET.52X74 PARTYCZAKI PIEPRZ  60G</v>
          </cell>
        </row>
        <row r="14800">
          <cell r="C14800">
            <v>2006912</v>
          </cell>
          <cell r="D14800" t="str">
            <v>***ET.52X74 KABAN.MOR.CHILI 105G T</v>
          </cell>
        </row>
        <row r="14801">
          <cell r="C14801">
            <v>2006911</v>
          </cell>
          <cell r="D14801" t="str">
            <v>***ET.52X74 KABAN.MOR.CLASSIC 105G T</v>
          </cell>
        </row>
        <row r="14802">
          <cell r="C14802">
            <v>2006910</v>
          </cell>
          <cell r="D14802" t="str">
            <v>***ET.52X74 KABAN.MOR.PIEPRZ 105G T</v>
          </cell>
        </row>
        <row r="14803">
          <cell r="C14803">
            <v>2006920</v>
          </cell>
          <cell r="D14803" t="str">
            <v>***ET.70X105 KIEŁB.PODWAWELSKA 80% MOR</v>
          </cell>
        </row>
        <row r="14804">
          <cell r="C14804">
            <v>2006931</v>
          </cell>
          <cell r="D14804" t="str">
            <v>***ET.45X30+25% WIĘCEJ STICKER KAUF</v>
          </cell>
        </row>
        <row r="14805">
          <cell r="C14805">
            <v>2006934</v>
          </cell>
          <cell r="D14805" t="str">
            <v>ET.70X104 KIEŁB.PODWAWELSKA 94% MORLINY</v>
          </cell>
        </row>
        <row r="14806">
          <cell r="C14806">
            <v>2006940</v>
          </cell>
          <cell r="D14806" t="str">
            <v>***ET.32X38 MEGA PACZKA STICKER 180G+90G</v>
          </cell>
        </row>
        <row r="14807">
          <cell r="C14807">
            <v>2006868</v>
          </cell>
          <cell r="D14807" t="str">
            <v>ET.FI40 STICKER PÓŁ CENY TESCO</v>
          </cell>
        </row>
        <row r="14808">
          <cell r="C14808">
            <v>2006962</v>
          </cell>
          <cell r="D14808" t="str">
            <v>***ET.68X92 CZOSNKOWA LANKUVOS LT</v>
          </cell>
        </row>
        <row r="14809">
          <cell r="C14809">
            <v>2006961</v>
          </cell>
          <cell r="D14809" t="str">
            <v>***ET.78X120 SALCESON LANKUVOS LT</v>
          </cell>
        </row>
        <row r="14810">
          <cell r="C14810">
            <v>2006963</v>
          </cell>
          <cell r="D14810" t="str">
            <v>***ET.90X99 MIEL.Z SZYN.PROMO KAUF P</v>
          </cell>
        </row>
        <row r="14811">
          <cell r="C14811">
            <v>2006964</v>
          </cell>
          <cell r="D14811" t="str">
            <v>***ET.65X98 MIEL.Z SZYN.PROMO KAUF T</v>
          </cell>
        </row>
        <row r="14812">
          <cell r="C14812">
            <v>2006970</v>
          </cell>
          <cell r="D14812" t="str">
            <v>ET.58X33 STICKER KOLOR EKSPEDYCJA</v>
          </cell>
        </row>
        <row r="14813">
          <cell r="C14813">
            <v>2006976</v>
          </cell>
          <cell r="D14813" t="str">
            <v>***ET.70X100 SALCESON Z PIETRUSZKĄ BIED</v>
          </cell>
        </row>
        <row r="14814">
          <cell r="C14814">
            <v>2007011</v>
          </cell>
          <cell r="D14814" t="str">
            <v>ET.90X130 SZYN.BIAŁA 7LBS MOR</v>
          </cell>
        </row>
        <row r="14815">
          <cell r="C14815">
            <v>2007006</v>
          </cell>
          <cell r="D14815" t="str">
            <v>***ET.80X85 KIEŁBASA WYBORCZA MORLINY</v>
          </cell>
        </row>
        <row r="14816">
          <cell r="C14816">
            <v>2007007</v>
          </cell>
          <cell r="D14816" t="str">
            <v>***ET.70X103 BOCZ.CHŁOPSKI 95% MOR</v>
          </cell>
        </row>
        <row r="14817">
          <cell r="C14817">
            <v>2007014</v>
          </cell>
          <cell r="D14817" t="str">
            <v>ET.90X110 SCH.PRZEPIS BIED T</v>
          </cell>
        </row>
        <row r="14818">
          <cell r="C14818">
            <v>2007013</v>
          </cell>
          <cell r="D14818" t="str">
            <v>ET.80X120 SZYN.KONS.2.5KG 5% MOR</v>
          </cell>
        </row>
        <row r="14819">
          <cell r="C14819">
            <v>2007012</v>
          </cell>
          <cell r="D14819" t="str">
            <v>***ET.65X100 SCHAB B/K PIECZEŃ PRZÓD JMP</v>
          </cell>
        </row>
        <row r="14820">
          <cell r="C14820">
            <v>2007020</v>
          </cell>
          <cell r="D14820" t="str">
            <v>***ET.80X110KIEŁB.ŻYWIECKA OZD.KRA STAM</v>
          </cell>
        </row>
        <row r="14821">
          <cell r="C14821">
            <v>2007051</v>
          </cell>
          <cell r="D14821" t="str">
            <v>***ET.40X40 STICKER 180+20G TESCO KARTON</v>
          </cell>
        </row>
        <row r="14822">
          <cell r="C14822">
            <v>2007057</v>
          </cell>
          <cell r="D14822" t="str">
            <v>***ET.85X65 KIEŁB.Z SZYN.500G MOR</v>
          </cell>
        </row>
        <row r="14823">
          <cell r="C14823">
            <v>2007058</v>
          </cell>
          <cell r="D14823" t="str">
            <v>***ET.85X81 KIEŁB.ZWYCZAJNA MOR</v>
          </cell>
        </row>
        <row r="14824">
          <cell r="C14824">
            <v>2007073</v>
          </cell>
          <cell r="D14824" t="str">
            <v>ET.68X105 BIZERBA MORLINY EKSPERT DŁUGA</v>
          </cell>
        </row>
        <row r="14825">
          <cell r="C14825">
            <v>2007088</v>
          </cell>
          <cell r="D14825" t="str">
            <v>***ET.65X100 ŁOP.B/K.PIECZEŃ JMP PRZÓD</v>
          </cell>
        </row>
        <row r="14826">
          <cell r="C14826">
            <v>2007097</v>
          </cell>
          <cell r="D14826" t="str">
            <v>***ET.65X100 SZYN.B/K.PIECZEŃ PRZÓD JMP</v>
          </cell>
        </row>
        <row r="14827">
          <cell r="C14827">
            <v>2007092</v>
          </cell>
          <cell r="D14827" t="str">
            <v>ET.78X120 BOCZ.LOUKUVOS LT</v>
          </cell>
        </row>
        <row r="14828">
          <cell r="C14828">
            <v>2007107</v>
          </cell>
          <cell r="D14828" t="str">
            <v>***ET.TRMP.70X90 BIZ.AUCH U</v>
          </cell>
        </row>
        <row r="14829">
          <cell r="C14829">
            <v>2007103</v>
          </cell>
          <cell r="D14829" t="str">
            <v>***ET.40X145 POL.MOR EXP.T.</v>
          </cell>
        </row>
        <row r="14830">
          <cell r="C14830">
            <v>2007109</v>
          </cell>
          <cell r="D14830" t="str">
            <v>***ET.119X73 KIEŁB.BIAŁA MOR</v>
          </cell>
        </row>
        <row r="14831">
          <cell r="C14831">
            <v>2007111</v>
          </cell>
          <cell r="D14831" t="str">
            <v>***ET.70X120 KABANOSY KRAKUS CZECHY 180G</v>
          </cell>
        </row>
        <row r="14832">
          <cell r="C14832">
            <v>2007125</v>
          </cell>
          <cell r="D14832" t="str">
            <v>ET.TRMP.80X130 ŚM MOR</v>
          </cell>
        </row>
        <row r="14833">
          <cell r="C14833">
            <v>2007144</v>
          </cell>
          <cell r="D14833" t="str">
            <v>***ET.145X40 POL.EKSPERT PL-UK T</v>
          </cell>
        </row>
        <row r="14834">
          <cell r="C14834">
            <v>2007176</v>
          </cell>
          <cell r="D14834" t="str">
            <v>***ET.70X105 SZYN.POLSKA MOR</v>
          </cell>
        </row>
        <row r="14835">
          <cell r="C14835">
            <v>2007175</v>
          </cell>
          <cell r="D14835" t="str">
            <v>ET.80X100 PRZYSMAK SZYNK.570G MOR</v>
          </cell>
        </row>
        <row r="14836">
          <cell r="C14836">
            <v>2007174</v>
          </cell>
          <cell r="D14836" t="str">
            <v>***ET.70X105 BOCZEK KOPCONY MOR</v>
          </cell>
        </row>
        <row r="14837">
          <cell r="C14837">
            <v>2007173</v>
          </cell>
          <cell r="D14837" t="str">
            <v>ET.70X105 SZYNKA DELIKATNA MOR</v>
          </cell>
        </row>
        <row r="14838">
          <cell r="C14838">
            <v>2007172</v>
          </cell>
          <cell r="D14838" t="str">
            <v>ET.TRMP.70X105 BOCZ.MOC.WĘDZ.MOR T</v>
          </cell>
        </row>
        <row r="14839">
          <cell r="C14839">
            <v>2007171</v>
          </cell>
          <cell r="D14839" t="str">
            <v>***ET.70X105 BOCZEK OKOPCONY MOR</v>
          </cell>
        </row>
        <row r="14840">
          <cell r="C14840">
            <v>2007190</v>
          </cell>
          <cell r="D14840" t="str">
            <v>***ET.80X55 KABAN.PIPER 105G RO</v>
          </cell>
        </row>
        <row r="14841">
          <cell r="C14841">
            <v>2007169</v>
          </cell>
          <cell r="D14841" t="str">
            <v>***ET.80X55 KABAN.CHILI 105G RO</v>
          </cell>
        </row>
        <row r="14842">
          <cell r="C14842">
            <v>2007168</v>
          </cell>
          <cell r="D14842" t="str">
            <v>***ET.80X55 KABAN.CLASSIC 105G RO</v>
          </cell>
        </row>
        <row r="14843">
          <cell r="C14843">
            <v>2007185</v>
          </cell>
          <cell r="D14843" t="str">
            <v>ET.70X96 BOCZ.WĘDZ.MOR</v>
          </cell>
        </row>
        <row r="14844">
          <cell r="C14844">
            <v>2007170</v>
          </cell>
          <cell r="D14844" t="str">
            <v>***ET.70X105 BOCZEK NA KANAPKĘ MOR</v>
          </cell>
        </row>
        <row r="14845">
          <cell r="C14845">
            <v>2007203</v>
          </cell>
          <cell r="D14845" t="str">
            <v>ET.80X100 RUMUNIA SUNCA PRAGA 570G</v>
          </cell>
        </row>
        <row r="14846">
          <cell r="C14846">
            <v>2007202</v>
          </cell>
          <cell r="D14846" t="str">
            <v>ET.70X90 RUMUNIA SALAM DE PORC 286G</v>
          </cell>
        </row>
        <row r="14847">
          <cell r="C14847">
            <v>2007201</v>
          </cell>
          <cell r="D14847" t="str">
            <v>***ET.74X90 BIZERBA STÓŁ POLSKI</v>
          </cell>
        </row>
        <row r="14848">
          <cell r="C14848">
            <v>2007205</v>
          </cell>
          <cell r="D14848" t="str">
            <v>***ET.70X90 SZYN.ZRAZOWA PROM KRA</v>
          </cell>
        </row>
        <row r="14849">
          <cell r="C14849">
            <v>2007227</v>
          </cell>
          <cell r="D14849" t="str">
            <v>***ET.65X100 KARK.B/K.PIECZEŃ BIED P</v>
          </cell>
        </row>
        <row r="14850">
          <cell r="C14850">
            <v>2007226</v>
          </cell>
          <cell r="D14850" t="str">
            <v>ET.80X100 SZYN.KONSER. 570G SE</v>
          </cell>
        </row>
        <row r="14851">
          <cell r="C14851">
            <v>2007225</v>
          </cell>
          <cell r="D14851" t="str">
            <v>***ET.STIC.48X16 100% M-SAZ ŁOP.BIED</v>
          </cell>
        </row>
        <row r="14852">
          <cell r="C14852">
            <v>2007224</v>
          </cell>
          <cell r="D14852" t="str">
            <v>***ET.STIC.48X16 100% M-SA Z SZYN.BIED</v>
          </cell>
        </row>
        <row r="14853">
          <cell r="C14853">
            <v>2007241</v>
          </cell>
          <cell r="D14853" t="str">
            <v>***ET.65X100 SZYN.B/K.PIECZEŃ BIED</v>
          </cell>
        </row>
        <row r="14854">
          <cell r="C14854">
            <v>2007240</v>
          </cell>
          <cell r="D14854" t="str">
            <v>***ET.65X100 SCH.B/K.PIECZEŃ BIED</v>
          </cell>
        </row>
        <row r="14855">
          <cell r="C14855">
            <v>2007229</v>
          </cell>
          <cell r="D14855" t="str">
            <v>***ET.65X100 ŁOP.B/K.PIECZEŃ BIED</v>
          </cell>
        </row>
        <row r="14856">
          <cell r="C14856">
            <v>2007260</v>
          </cell>
          <cell r="D14856" t="str">
            <v>***ET.90X130 GŁOGOWSKA Z SZYNKI</v>
          </cell>
        </row>
        <row r="14857">
          <cell r="C14857">
            <v>2007251</v>
          </cell>
          <cell r="D14857" t="str">
            <v>***ET.132X47 BANDEROLA GŁOGOWSKA</v>
          </cell>
        </row>
        <row r="14858">
          <cell r="C14858">
            <v>2007250</v>
          </cell>
          <cell r="D14858" t="str">
            <v>***ET.70X105 WĘDZ.KULINARNA MOR</v>
          </cell>
        </row>
        <row r="14859">
          <cell r="C14859">
            <v>2007280</v>
          </cell>
          <cell r="D14859" t="str">
            <v>***ET.70X105 BOCZ.BACON RUMUNIA</v>
          </cell>
        </row>
        <row r="14860">
          <cell r="C14860">
            <v>2007292</v>
          </cell>
          <cell r="D14860" t="str">
            <v>ET.152X111 TERMO</v>
          </cell>
        </row>
        <row r="14861">
          <cell r="C14861">
            <v>2007332</v>
          </cell>
          <cell r="D14861" t="str">
            <v>***ET.90X68 M.MIEL.Z ŁOP.BIED P</v>
          </cell>
        </row>
        <row r="14862">
          <cell r="C14862">
            <v>2007333</v>
          </cell>
          <cell r="D14862" t="str">
            <v>***ET.80X110 M.MIEL.Z ŁOP.BIED T</v>
          </cell>
        </row>
        <row r="14863">
          <cell r="C14863">
            <v>2007348</v>
          </cell>
          <cell r="D14863" t="str">
            <v>***ET.70X105 PASZTET MOR</v>
          </cell>
        </row>
        <row r="14864">
          <cell r="C14864">
            <v>2007347</v>
          </cell>
          <cell r="D14864" t="str">
            <v>***ET.70X105 PODWAWELSKA EXT. 80% MOR</v>
          </cell>
        </row>
        <row r="14865">
          <cell r="C14865">
            <v>2007373</v>
          </cell>
          <cell r="D14865" t="str">
            <v>***ET.65X100 KARK.B/K.PIECZEŃ BIED</v>
          </cell>
        </row>
        <row r="14866">
          <cell r="C14866">
            <v>2007367</v>
          </cell>
          <cell r="D14866" t="str">
            <v>***ET.52X74 KABAN.MOR.CLASSIC 155G PROM</v>
          </cell>
        </row>
        <row r="14867">
          <cell r="C14867">
            <v>2007366</v>
          </cell>
          <cell r="D14867" t="str">
            <v>***ET.52X74 KABAN.MOR.PIEPRZ 155G PROM</v>
          </cell>
        </row>
        <row r="14868">
          <cell r="C14868">
            <v>2007365</v>
          </cell>
          <cell r="D14868" t="str">
            <v>***ET.52X74 KABAN.MOR.CHILI 155G PROM</v>
          </cell>
        </row>
        <row r="14869">
          <cell r="C14869">
            <v>2007382</v>
          </cell>
          <cell r="D14869" t="str">
            <v>***ET.70X103 BOCZ.WĘDZ.PARZ.MOR</v>
          </cell>
        </row>
        <row r="14870">
          <cell r="C14870">
            <v>2007391</v>
          </cell>
          <cell r="D14870" t="str">
            <v>***ET.75X119.5 ŚWIAT MIĘS MOR NETTO</v>
          </cell>
        </row>
        <row r="14871">
          <cell r="C14871">
            <v>2007390</v>
          </cell>
          <cell r="D14871" t="str">
            <v>ET.80X110 KIEŁB.BIAŁA BIED T</v>
          </cell>
        </row>
        <row r="14872">
          <cell r="C14872">
            <v>2007379</v>
          </cell>
          <cell r="D14872" t="str">
            <v>***ET.60X90 KIEŁB.BIAŁA BIED P</v>
          </cell>
        </row>
        <row r="14873">
          <cell r="C14873">
            <v>2007695</v>
          </cell>
          <cell r="D14873" t="str">
            <v>ET.50X45 SZYN.B/K.RZEŹ P</v>
          </cell>
        </row>
        <row r="14874">
          <cell r="C14874">
            <v>2007696</v>
          </cell>
          <cell r="D14874" t="str">
            <v>ET.120X70 SZYN.B/K.RZEŹ T</v>
          </cell>
        </row>
        <row r="14875">
          <cell r="C14875">
            <v>2007697</v>
          </cell>
          <cell r="D14875" t="str">
            <v>***ET.56X50 KARK.B/K.RZEŹ P</v>
          </cell>
        </row>
        <row r="14876">
          <cell r="C14876">
            <v>2007698</v>
          </cell>
          <cell r="D14876" t="str">
            <v>***ET.120X70 KARK.B/K.RZEŹ T</v>
          </cell>
        </row>
        <row r="14877">
          <cell r="C14877">
            <v>2007699</v>
          </cell>
          <cell r="D14877" t="str">
            <v>ET.120X70 GULASZ WP.RZEŹ T</v>
          </cell>
        </row>
        <row r="14878">
          <cell r="C14878">
            <v>2007700</v>
          </cell>
          <cell r="D14878" t="str">
            <v>ET.50X45 GULASZ WP.RZEŹ P</v>
          </cell>
        </row>
        <row r="14879">
          <cell r="C14879">
            <v>2007703</v>
          </cell>
          <cell r="D14879" t="str">
            <v>***ET.90X50 KIEŁB.ŚLĄSKA 550G KRA</v>
          </cell>
        </row>
        <row r="14880">
          <cell r="C14880">
            <v>2007704</v>
          </cell>
          <cell r="D14880" t="str">
            <v>ET.50X45 M-SO GARMAŻ.WP.RZEŹ P</v>
          </cell>
        </row>
        <row r="14881">
          <cell r="C14881">
            <v>2007282</v>
          </cell>
          <cell r="D14881" t="str">
            <v>***ET.70X115 SZYNKA DELIKATNA PROMOCJA</v>
          </cell>
        </row>
        <row r="14882">
          <cell r="C14882">
            <v>2007403</v>
          </cell>
          <cell r="D14882" t="str">
            <v>***ET.45X45 STICKER MEGA PACZKA KABANOSY</v>
          </cell>
        </row>
        <row r="14883">
          <cell r="C14883">
            <v>2007705</v>
          </cell>
          <cell r="D14883" t="str">
            <v>***ET.120X70 GARMAŻ.WP.RZEŹ T</v>
          </cell>
        </row>
        <row r="14884">
          <cell r="C14884">
            <v>2007716</v>
          </cell>
          <cell r="D14884" t="str">
            <v>ET.50X45 M.MIEL.Z ŁOP.RZEŹ P</v>
          </cell>
        </row>
        <row r="14885">
          <cell r="C14885">
            <v>2007715</v>
          </cell>
          <cell r="D14885" t="str">
            <v>ET.70X120 M.MIEL.Z ŁOP.RZEŹ T</v>
          </cell>
        </row>
        <row r="14886">
          <cell r="C14886">
            <v>2007729</v>
          </cell>
          <cell r="D14886" t="str">
            <v>ET.50X45 M-SO GARM.WP.-WŁ.RZEŹ P</v>
          </cell>
        </row>
        <row r="14887">
          <cell r="C14887">
            <v>2007692</v>
          </cell>
          <cell r="D14887" t="str">
            <v>ET.FI 40 STICKER CZAS NA GRILL.BIED</v>
          </cell>
        </row>
        <row r="14888">
          <cell r="C14888">
            <v>2007747</v>
          </cell>
          <cell r="D14888" t="str">
            <v>***ET.11X7.5 BOCZ.MORLIŃSKI OZDOBNA</v>
          </cell>
        </row>
        <row r="14889">
          <cell r="C14889">
            <v>2007874</v>
          </cell>
          <cell r="D14889" t="str">
            <v>ET.70X120 M-SO GARM WP.-WŁ.RZEŹ T</v>
          </cell>
        </row>
        <row r="14890">
          <cell r="C14890">
            <v>2007409</v>
          </cell>
          <cell r="D14890" t="str">
            <v>***ET.80X110 M-SO NA GUL.Z SZYN.BIED T</v>
          </cell>
        </row>
        <row r="14891">
          <cell r="C14891">
            <v>2007861</v>
          </cell>
          <cell r="D14891" t="str">
            <v>ET.120X70 KARK.PL RZEŹ T</v>
          </cell>
        </row>
        <row r="14892">
          <cell r="C14892">
            <v>2007867</v>
          </cell>
          <cell r="D14892" t="str">
            <v>***ET.80X120 KIEŁB.ZAWIJANE 330G JMP P</v>
          </cell>
        </row>
        <row r="14893">
          <cell r="C14893">
            <v>2007866</v>
          </cell>
          <cell r="D14893" t="str">
            <v>***ET.79X110 KIEŁB.ZAWIJANE 330G JMP TYŁ</v>
          </cell>
        </row>
        <row r="14894">
          <cell r="C14894">
            <v>2007878</v>
          </cell>
          <cell r="D14894" t="str">
            <v>***ET.BOCZ.CYGAŃSKI P.PRZYSMAKI OZDOBNA</v>
          </cell>
        </row>
        <row r="14895">
          <cell r="C14895">
            <v>2007879</v>
          </cell>
          <cell r="D14895" t="str">
            <v>ET.80X100 BIZERBA POLSKIE PRZYSMAKI</v>
          </cell>
        </row>
        <row r="14896">
          <cell r="C14896">
            <v>2007892</v>
          </cell>
          <cell r="D14896" t="str">
            <v>ET.70X105 KIEŁB.ŚLĄSKA 550G</v>
          </cell>
        </row>
        <row r="14897">
          <cell r="C14897">
            <v>2007929</v>
          </cell>
          <cell r="D14897" t="str">
            <v>***ET.30X30 STICKER SAVE 2 PER KG</v>
          </cell>
        </row>
        <row r="14898">
          <cell r="C14898">
            <v>2007937</v>
          </cell>
          <cell r="D14898" t="str">
            <v>***ET.52X52 SZTUKA MIĘSA ŁOPATKA MOR</v>
          </cell>
        </row>
        <row r="14899">
          <cell r="C14899">
            <v>2007945</v>
          </cell>
          <cell r="D14899" t="str">
            <v>***ET.90X90 FARTUCH W ŚRODKU KARTON</v>
          </cell>
        </row>
        <row r="14900">
          <cell r="C14900">
            <v>2007408</v>
          </cell>
          <cell r="D14900" t="str">
            <v>***ET.68X90 M-SO NA GUL.Z SZYN.BIED P</v>
          </cell>
        </row>
        <row r="14901">
          <cell r="C14901">
            <v>2007407</v>
          </cell>
          <cell r="D14901" t="str">
            <v>***ET.65X99 BOCZ.WP.BIED P</v>
          </cell>
        </row>
        <row r="14902">
          <cell r="C14902">
            <v>2007410</v>
          </cell>
          <cell r="D14902" t="str">
            <v>ET.58X68 PASZTETOWA MORLINY LV</v>
          </cell>
        </row>
        <row r="14903">
          <cell r="C14903">
            <v>2007398</v>
          </cell>
          <cell r="D14903" t="str">
            <v>***ET.85X180 SUNCA DIN PORC 5% MOR CZ</v>
          </cell>
        </row>
        <row r="14904">
          <cell r="C14904">
            <v>2007399</v>
          </cell>
          <cell r="D14904" t="str">
            <v>***ET.85X180 SUNCA PRAGA PREM.2.5KGMORRO</v>
          </cell>
        </row>
        <row r="14905">
          <cell r="C14905">
            <v>2007414</v>
          </cell>
          <cell r="D14905" t="str">
            <v>***ET.90X130 BURSZTYNOWA Z SZYN.MOR</v>
          </cell>
        </row>
        <row r="14906">
          <cell r="C14906">
            <v>2007415</v>
          </cell>
          <cell r="D14906" t="str">
            <v>***ET.132X47 BURSZTYNOWA BANDEROLA MOR</v>
          </cell>
        </row>
        <row r="14907">
          <cell r="C14907">
            <v>2007435</v>
          </cell>
          <cell r="D14907" t="str">
            <v>ET.TRMP.80X65 BIZ.BIA.U</v>
          </cell>
        </row>
        <row r="14908">
          <cell r="C14908">
            <v>2007470</v>
          </cell>
          <cell r="D14908" t="str">
            <v>***ET.32X38 TERAZ WIĘKSZ.OPAK 180+90G</v>
          </cell>
        </row>
        <row r="14909">
          <cell r="C14909">
            <v>2007728</v>
          </cell>
          <cell r="D14909" t="str">
            <v>ET.57X54 KARK.PL RZEŹ P</v>
          </cell>
        </row>
        <row r="14910">
          <cell r="C14910">
            <v>2007460</v>
          </cell>
          <cell r="D14910" t="str">
            <v>ET.80X110 KASZANKA 600G TESC</v>
          </cell>
        </row>
        <row r="14911">
          <cell r="C14911">
            <v>2007988</v>
          </cell>
          <cell r="D14911" t="str">
            <v>***ET.80X55 KABAN.CLASSIC 105G CZ</v>
          </cell>
        </row>
        <row r="14912">
          <cell r="C14912">
            <v>2007959</v>
          </cell>
          <cell r="D14912" t="str">
            <v>***ET.80X55 KABAN.CHILLI 105G CZ</v>
          </cell>
        </row>
        <row r="14913">
          <cell r="C14913">
            <v>2008017</v>
          </cell>
          <cell r="D14913" t="str">
            <v>***ET.58X91 BIZERBA AUCHAN ZÓŁTE LOGO</v>
          </cell>
        </row>
        <row r="14914">
          <cell r="C14914">
            <v>2008007</v>
          </cell>
          <cell r="D14914" t="str">
            <v>ET.74X70 K.MORLIŃSKA Z SZYNKI 550G ST</v>
          </cell>
        </row>
        <row r="14915">
          <cell r="C14915">
            <v>2008033</v>
          </cell>
          <cell r="D14915" t="str">
            <v>***ET.75X79 KIEŁB.ŚLĄSKA MP</v>
          </cell>
        </row>
        <row r="14916">
          <cell r="C14916">
            <v>2008051</v>
          </cell>
          <cell r="D14916" t="str">
            <v>***ET.74X95 KIEŁB.ŚLĄSKA GRILL TESC</v>
          </cell>
        </row>
        <row r="14917">
          <cell r="C14917">
            <v>2008056</v>
          </cell>
          <cell r="D14917" t="str">
            <v>***ET.60X90 KIEŁB.GRILLOWA 550G T LIDL</v>
          </cell>
        </row>
        <row r="14918">
          <cell r="C14918">
            <v>2008057</v>
          </cell>
          <cell r="D14918" t="str">
            <v>***ET.60X90 KIEŁB.GRILLOWA 550G P LIDL</v>
          </cell>
        </row>
        <row r="14919">
          <cell r="C14919">
            <v>2008118</v>
          </cell>
          <cell r="D14919" t="str">
            <v>***ET.65X85 KIEŁB.WYBORNA MORLINY</v>
          </cell>
        </row>
        <row r="14920">
          <cell r="C14920">
            <v>2007511</v>
          </cell>
          <cell r="D14920" t="str">
            <v>ET.50X45 SCH.PL 360G RZEŹ P</v>
          </cell>
        </row>
        <row r="14921">
          <cell r="C14921">
            <v>2008119</v>
          </cell>
          <cell r="D14921" t="str">
            <v>ET.58X68 PASZTETOWA ESTONIA MORLINY 300G</v>
          </cell>
        </row>
        <row r="14922">
          <cell r="C14922">
            <v>2008206</v>
          </cell>
          <cell r="D14922" t="str">
            <v>***ET.52X80 KABAN.Z SZYN.150G KRA</v>
          </cell>
        </row>
        <row r="14923">
          <cell r="C14923">
            <v>2008194</v>
          </cell>
          <cell r="D14923" t="str">
            <v>ET.TRM.60X98 KABAN.CLASSIC 180G KRA</v>
          </cell>
        </row>
        <row r="14924">
          <cell r="C14924">
            <v>2008221</v>
          </cell>
          <cell r="D14924" t="str">
            <v>***ET.52X80 KABAN.Z SZYN.105G MOR N</v>
          </cell>
        </row>
        <row r="14925">
          <cell r="C14925">
            <v>2008193</v>
          </cell>
          <cell r="D14925" t="str">
            <v>ET.70X75 PRZEKĄSKA KABAN.180G T</v>
          </cell>
        </row>
        <row r="14926">
          <cell r="C14926">
            <v>2008208</v>
          </cell>
          <cell r="D14926" t="str">
            <v>ET.68X99 CZ/SK S.MOCNO WĘDZONA MOR</v>
          </cell>
        </row>
        <row r="14927">
          <cell r="C14927">
            <v>2008262</v>
          </cell>
          <cell r="D14927" t="str">
            <v>ET.70X90 ŻYWIECKA KRAKUS UK 286G</v>
          </cell>
        </row>
        <row r="14928">
          <cell r="C14928">
            <v>2008261</v>
          </cell>
          <cell r="D14928" t="str">
            <v>ET.80X99 SCH.VAC KAUF</v>
          </cell>
        </row>
        <row r="14929">
          <cell r="C14929">
            <v>2008260</v>
          </cell>
          <cell r="D14929" t="str">
            <v>***ET.60X90 SZYN.SZLACHECKA P</v>
          </cell>
        </row>
        <row r="14930">
          <cell r="C14930">
            <v>2007510</v>
          </cell>
          <cell r="D14930" t="str">
            <v>ET.120X70 SCH.PL 360G RZEŹ T</v>
          </cell>
        </row>
        <row r="14931">
          <cell r="C14931">
            <v>2007491</v>
          </cell>
          <cell r="D14931" t="str">
            <v>***ET.80X130 POLIPROPYLEN MOR ŚWIAT MIĘS</v>
          </cell>
        </row>
        <row r="14932">
          <cell r="C14932">
            <v>2007518</v>
          </cell>
          <cell r="D14932" t="str">
            <v>ET.75X125 BIZERBA SWOJSCY</v>
          </cell>
        </row>
        <row r="14933">
          <cell r="C14933">
            <v>2007517</v>
          </cell>
          <cell r="D14933" t="str">
            <v>ET.80X115 OZD. SWOJSCY</v>
          </cell>
        </row>
        <row r="14934">
          <cell r="C14934">
            <v>2007508</v>
          </cell>
          <cell r="D14934" t="str">
            <v>***ET.120X80 KIEŁBASKI GRILL JMP PRZÓD</v>
          </cell>
        </row>
        <row r="14935">
          <cell r="C14935">
            <v>2007505</v>
          </cell>
          <cell r="D14935" t="str">
            <v>***ET.80X110 ZESTAW GRILL.BIED T</v>
          </cell>
        </row>
        <row r="14936">
          <cell r="C14936">
            <v>2007504</v>
          </cell>
          <cell r="D14936" t="str">
            <v>ET.120X80 ZESTAW GRILLOWY BIED P</v>
          </cell>
        </row>
        <row r="14937">
          <cell r="C14937">
            <v>2007522</v>
          </cell>
          <cell r="D14937" t="str">
            <v>***ET.90X90 STICKER Z KOSZULKA KARTON</v>
          </cell>
        </row>
        <row r="14938">
          <cell r="C14938">
            <v>2007566</v>
          </cell>
          <cell r="D14938" t="str">
            <v>***ET.70X105 PODWAWELSKA OPISOWA</v>
          </cell>
        </row>
        <row r="14939">
          <cell r="C14939">
            <v>2008229</v>
          </cell>
          <cell r="D14939" t="str">
            <v>ET.80X99 KARK.VAC KAUF</v>
          </cell>
        </row>
        <row r="14940">
          <cell r="C14940">
            <v>2008228</v>
          </cell>
          <cell r="D14940" t="str">
            <v>ET.80X99 SZYN.VAC KAUF</v>
          </cell>
        </row>
        <row r="14941">
          <cell r="C14941">
            <v>2008236</v>
          </cell>
          <cell r="D14941" t="str">
            <v>***ET.70X75 KABAN.180G CZ</v>
          </cell>
        </row>
        <row r="14942">
          <cell r="C14942">
            <v>2008195</v>
          </cell>
          <cell r="D14942" t="str">
            <v>***ET.60X90 SZYN.SZLACHECKA D.CENTRUM</v>
          </cell>
        </row>
        <row r="14943">
          <cell r="C14943">
            <v>2008253</v>
          </cell>
          <cell r="D14943" t="str">
            <v>***ET.70X103 KIEŁB.Z SZYN.DC OPISOWA</v>
          </cell>
        </row>
        <row r="14944">
          <cell r="C14944">
            <v>2008254</v>
          </cell>
          <cell r="D14944" t="str">
            <v>***ET.BAND.47.5X31.5 KIEŁB.Z SZYN.DC</v>
          </cell>
        </row>
        <row r="14945">
          <cell r="C14945">
            <v>2008270</v>
          </cell>
          <cell r="D14945" t="str">
            <v>ET.80X99 ŁOP.VAC KAUF</v>
          </cell>
        </row>
        <row r="14946">
          <cell r="C14946">
            <v>2008235</v>
          </cell>
          <cell r="D14946" t="str">
            <v>ET.60X80 PODWAWELSKA MORLINY UK 520G</v>
          </cell>
        </row>
        <row r="14947">
          <cell r="C14947">
            <v>2008197</v>
          </cell>
          <cell r="D14947" t="str">
            <v>***ET.70X103 KIEŁB.Z SZYNKI LOGO MORLINY</v>
          </cell>
        </row>
        <row r="14948">
          <cell r="C14948">
            <v>2007565</v>
          </cell>
          <cell r="D14948" t="str">
            <v>***ET.70X105 BURSZTYNOWA Z SZYN.OPISOWA</v>
          </cell>
        </row>
        <row r="14949">
          <cell r="C14949">
            <v>2008196</v>
          </cell>
          <cell r="D14949" t="str">
            <v>***ET.132X47 OWIJKA K.Z SZYNKI 94%</v>
          </cell>
        </row>
        <row r="14950">
          <cell r="C14950">
            <v>2008264</v>
          </cell>
          <cell r="D14950" t="str">
            <v>***ET.52X80 KABAN.Z SZYN.120G T</v>
          </cell>
        </row>
        <row r="14951">
          <cell r="C14951">
            <v>2008351</v>
          </cell>
          <cell r="D14951" t="str">
            <v>***ET.75X100 BOCZ.360G PL NETTO P</v>
          </cell>
        </row>
        <row r="14952">
          <cell r="C14952">
            <v>2008337</v>
          </cell>
          <cell r="D14952" t="str">
            <v>***ET.100X60 BOCZ.PL 360G NETTO T</v>
          </cell>
        </row>
        <row r="14953">
          <cell r="C14953">
            <v>2008352</v>
          </cell>
          <cell r="D14953" t="str">
            <v>***ET.75X100 SCH.Z/K.750G NETTO P</v>
          </cell>
        </row>
        <row r="14954">
          <cell r="C14954">
            <v>2008338</v>
          </cell>
          <cell r="D14954" t="str">
            <v>***ET.100X60 SCH.Z/K.750G NETTO T</v>
          </cell>
        </row>
        <row r="14955">
          <cell r="C14955">
            <v>2008350</v>
          </cell>
          <cell r="D14955" t="str">
            <v>ET.50X50 POL.NETTO P</v>
          </cell>
        </row>
        <row r="14956">
          <cell r="C14956">
            <v>2008339</v>
          </cell>
          <cell r="D14956" t="str">
            <v>ET.145X40 POL.NETTO T</v>
          </cell>
        </row>
        <row r="14957">
          <cell r="C14957">
            <v>2008309</v>
          </cell>
          <cell r="D14957" t="str">
            <v>***ET.65X80 POL.SOPOCKA LOIN MOR</v>
          </cell>
        </row>
        <row r="14958">
          <cell r="C14958">
            <v>2007564</v>
          </cell>
          <cell r="D14958" t="str">
            <v>ET.70X105 GŁOGOWSKA Z SZYNKI OPISOWA</v>
          </cell>
        </row>
        <row r="14959">
          <cell r="C14959">
            <v>2008427</v>
          </cell>
          <cell r="D14959" t="str">
            <v>ET.78X105 BIZERBA MOR IKONKOWA</v>
          </cell>
        </row>
        <row r="14960">
          <cell r="C14960">
            <v>2008444</v>
          </cell>
          <cell r="D14960" t="str">
            <v>***ET.80X110 K.BIAŁA PO SEZONIE BIED T</v>
          </cell>
        </row>
        <row r="14961">
          <cell r="C14961">
            <v>2008443</v>
          </cell>
          <cell r="D14961" t="str">
            <v>***ET.60X90 K.BIAŁA PO SEZONIE BIED P</v>
          </cell>
        </row>
        <row r="14962">
          <cell r="C14962">
            <v>2008446</v>
          </cell>
          <cell r="D14962" t="str">
            <v>ET.70X95 BIZERBA KRA PRL</v>
          </cell>
        </row>
        <row r="14963">
          <cell r="C14963">
            <v>2007868</v>
          </cell>
          <cell r="D14963" t="str">
            <v>***ET.70X103GŁOGOWSKA DELIKATESY CENTRUM</v>
          </cell>
        </row>
        <row r="14964">
          <cell r="C14964">
            <v>2008191</v>
          </cell>
          <cell r="D14964" t="str">
            <v>ET.50X90 PRZEKĄSKA EXPORT 180G</v>
          </cell>
        </row>
        <row r="14965">
          <cell r="C14965">
            <v>2008441</v>
          </cell>
          <cell r="D14965" t="str">
            <v>***ET.35X130 BANDEROLA ŚLĄSKA KRAKUS</v>
          </cell>
        </row>
        <row r="14966">
          <cell r="C14966">
            <v>2008481</v>
          </cell>
          <cell r="D14966" t="str">
            <v>ET.55X80 KABAN.CLASSIC 105G KRA GB</v>
          </cell>
        </row>
        <row r="14967">
          <cell r="C14967">
            <v>2008473</v>
          </cell>
          <cell r="D14967" t="str">
            <v>***ET.55X80 KABAN.BACON 105G KRA GB</v>
          </cell>
        </row>
        <row r="14968">
          <cell r="C14968">
            <v>2007584</v>
          </cell>
          <cell r="D14968" t="str">
            <v>***ET.80X110SZYN.B/K.1KGFOL.POLIP.BIED T</v>
          </cell>
        </row>
        <row r="14969">
          <cell r="C14969">
            <v>2008494</v>
          </cell>
          <cell r="D14969" t="str">
            <v>ET.60X98 KABANOS KLASYCZNY KRAKUS 180G</v>
          </cell>
        </row>
        <row r="14970">
          <cell r="C14970">
            <v>2008493</v>
          </cell>
          <cell r="D14970" t="str">
            <v>***ET.176X53 OWIJKA KABANOSY KLASYCZNE</v>
          </cell>
        </row>
        <row r="14971">
          <cell r="C14971">
            <v>2008523</v>
          </cell>
          <cell r="D14971" t="str">
            <v>***ET.80X100 ŻYWIECKA 600G KRAKUS</v>
          </cell>
        </row>
        <row r="14972">
          <cell r="C14972">
            <v>2008527</v>
          </cell>
          <cell r="D14972" t="str">
            <v>ET.70X100 SCH.VAC LIDL P</v>
          </cell>
        </row>
        <row r="14973">
          <cell r="C14973">
            <v>2008526</v>
          </cell>
          <cell r="D14973" t="str">
            <v>ET.80X100 SCH.VAC LIDL T</v>
          </cell>
        </row>
        <row r="14974">
          <cell r="C14974">
            <v>2008545</v>
          </cell>
          <cell r="D14974" t="str">
            <v>***ET.52X74 KABANOSY Z SZYNKI MINI 60G</v>
          </cell>
        </row>
        <row r="14975">
          <cell r="C14975">
            <v>2008530</v>
          </cell>
          <cell r="D14975" t="str">
            <v>***ET.60X90 PODWAWELSKA 500G PIK LIDL  P</v>
          </cell>
        </row>
        <row r="14976">
          <cell r="C14976">
            <v>2008529</v>
          </cell>
          <cell r="D14976" t="str">
            <v>***ET.60X90 PODWAWELSKA 500G PIK LIDL T</v>
          </cell>
        </row>
        <row r="14977">
          <cell r="C14977">
            <v>2008563</v>
          </cell>
          <cell r="D14977" t="str">
            <v>ET.TRMP.90X90 BIZ.BIA.U</v>
          </cell>
        </row>
        <row r="14978">
          <cell r="C14978">
            <v>2007578</v>
          </cell>
          <cell r="D14978" t="str">
            <v>***ET.80X110ŻEB.TRÓJKĄT FOL.POLIP.BIED T</v>
          </cell>
        </row>
        <row r="14979">
          <cell r="C14979">
            <v>2008537</v>
          </cell>
          <cell r="D14979" t="str">
            <v>***ET.70X105 PIECZEŃ MIĘSNA MOR</v>
          </cell>
        </row>
        <row r="14980">
          <cell r="C14980">
            <v>2008579</v>
          </cell>
          <cell r="D14980" t="str">
            <v>***ET.60X65 BOCZ.MAR.KRA</v>
          </cell>
        </row>
        <row r="14981">
          <cell r="C14981">
            <v>2008580</v>
          </cell>
          <cell r="D14981" t="str">
            <v>***ET.60X65 KARK.MAR.KRA</v>
          </cell>
        </row>
        <row r="14982">
          <cell r="C14982">
            <v>2008581</v>
          </cell>
          <cell r="D14982" t="str">
            <v>ET.120X70 KIEŁB.BIAŁA LIDL T</v>
          </cell>
        </row>
        <row r="14983">
          <cell r="C14983">
            <v>2008587</v>
          </cell>
          <cell r="D14983" t="str">
            <v>***ET.60X65 SZYN.MAR.KRA</v>
          </cell>
        </row>
        <row r="14984">
          <cell r="C14984">
            <v>2008586</v>
          </cell>
          <cell r="D14984" t="str">
            <v>***ET.60X65 SCH.MAR.KRA</v>
          </cell>
        </row>
        <row r="14985">
          <cell r="C14985">
            <v>2008585</v>
          </cell>
          <cell r="D14985" t="str">
            <v>ET.50X45 GOL.LIDL P</v>
          </cell>
        </row>
        <row r="14986">
          <cell r="C14986">
            <v>2008584</v>
          </cell>
          <cell r="D14986" t="str">
            <v>ET.120X70 GOL.LIDL T</v>
          </cell>
        </row>
        <row r="14987">
          <cell r="C14987">
            <v>2008583</v>
          </cell>
          <cell r="D14987" t="str">
            <v>ET.45X50 KIEŁB.BIAŁA WP.LIDL P</v>
          </cell>
        </row>
        <row r="14988">
          <cell r="C14988">
            <v>2007576</v>
          </cell>
          <cell r="D14988" t="str">
            <v>ET.80X110 M-SO GARM.FOL.POLIP.BIED T</v>
          </cell>
        </row>
        <row r="14989">
          <cell r="C14989">
            <v>2008567</v>
          </cell>
          <cell r="D14989" t="str">
            <v>ET.60X90 KIEŁB.ŚLĄSKA LIDL PIK P</v>
          </cell>
        </row>
        <row r="14990">
          <cell r="C14990">
            <v>2008618</v>
          </cell>
          <cell r="D14990" t="str">
            <v>***ET.60X90 KIEŁB.ŚLĄSKA LIDL PIK T</v>
          </cell>
        </row>
        <row r="14991">
          <cell r="C14991">
            <v>2008641</v>
          </cell>
          <cell r="D14991" t="str">
            <v>***ET.60X90 KARCZEK ŚWIĘTA JMD T</v>
          </cell>
        </row>
        <row r="14992">
          <cell r="C14992">
            <v>2008640</v>
          </cell>
          <cell r="D14992" t="str">
            <v>***ET.60X90 SZYN.ŚWIĘTA JMD T</v>
          </cell>
        </row>
        <row r="14993">
          <cell r="C14993">
            <v>2008609</v>
          </cell>
          <cell r="D14993" t="str">
            <v>***ET.60X90 SCH.ŚWIĘTA JMD T</v>
          </cell>
        </row>
        <row r="14994">
          <cell r="C14994">
            <v>2008608</v>
          </cell>
          <cell r="D14994" t="str">
            <v>***ET.60X71 SZYN.ŚWIĘTA  JMD P</v>
          </cell>
        </row>
        <row r="14995">
          <cell r="C14995">
            <v>2008607</v>
          </cell>
          <cell r="D14995" t="str">
            <v>***ET.60X71 SCH.ŚWIĘTA JMD P</v>
          </cell>
        </row>
        <row r="14996">
          <cell r="C14996">
            <v>2008605</v>
          </cell>
          <cell r="D14996" t="str">
            <v>***ET.60X71 KAR.ŚWIĘTA JMD P</v>
          </cell>
        </row>
        <row r="14997">
          <cell r="C14997">
            <v>2008646</v>
          </cell>
          <cell r="D14997" t="str">
            <v>***ET.68X90 M-SO GARM.BIED P</v>
          </cell>
        </row>
        <row r="14998">
          <cell r="C14998">
            <v>2007577</v>
          </cell>
          <cell r="D14998" t="str">
            <v>***ET.80X110 GUL.Z ŁOP.FOL.POLIP.BIED T</v>
          </cell>
        </row>
        <row r="14999">
          <cell r="C14999">
            <v>2008647</v>
          </cell>
          <cell r="D14999" t="str">
            <v>***ET.68X90 M-SO GARM.WP.-WŁ.BIED P</v>
          </cell>
        </row>
        <row r="15000">
          <cell r="C15000">
            <v>2008648</v>
          </cell>
          <cell r="D15000" t="str">
            <v>***ET.80X110 M-SO GARM.WP.WŁ.F.POL.BIEDT</v>
          </cell>
        </row>
        <row r="15001">
          <cell r="C15001">
            <v>2008634</v>
          </cell>
          <cell r="D15001" t="str">
            <v>ET.120X70 ŻEB.MOST.LIDL T</v>
          </cell>
        </row>
        <row r="15002">
          <cell r="C15002">
            <v>2008635</v>
          </cell>
          <cell r="D15002" t="str">
            <v>ET.80X100 SZYN.VAC XXL LIDL T</v>
          </cell>
        </row>
        <row r="15003">
          <cell r="C15003">
            <v>2008636</v>
          </cell>
          <cell r="D15003" t="str">
            <v>ET.70X100 SZYN.VAC XXL LIDL P</v>
          </cell>
        </row>
        <row r="15004">
          <cell r="C15004">
            <v>2008637</v>
          </cell>
          <cell r="D15004" t="str">
            <v>ET.50X45 BOCZ.PL LIDL P</v>
          </cell>
        </row>
        <row r="15005">
          <cell r="C15005">
            <v>2008638</v>
          </cell>
          <cell r="D15005" t="str">
            <v>ET.120X70 BOCZ.PL LIDL T</v>
          </cell>
        </row>
        <row r="15006">
          <cell r="C15006">
            <v>2008639</v>
          </cell>
          <cell r="D15006" t="str">
            <v>ET.50X45 KOŚCI LIDL P</v>
          </cell>
        </row>
        <row r="15007">
          <cell r="C15007">
            <v>2008650</v>
          </cell>
          <cell r="D15007" t="str">
            <v>ET.120X70 KOŚCI LIDL T</v>
          </cell>
        </row>
        <row r="15008">
          <cell r="C15008">
            <v>2007590</v>
          </cell>
          <cell r="D15008" t="str">
            <v>***ET.80X110 KARK.B/K.560G F.POL.BIED T</v>
          </cell>
        </row>
        <row r="15009">
          <cell r="C15009">
            <v>2008651</v>
          </cell>
          <cell r="D15009" t="str">
            <v>ET.50X45 ŻEB.TRÓJKĄT LIDL P</v>
          </cell>
        </row>
        <row r="15010">
          <cell r="C15010">
            <v>2008652</v>
          </cell>
          <cell r="D15010" t="str">
            <v>***ET.70X100 ŁOP.VAC XXL LIDL  P</v>
          </cell>
        </row>
        <row r="15011">
          <cell r="C15011">
            <v>2008653</v>
          </cell>
          <cell r="D15011" t="str">
            <v>***ET.80X100 ŁOPATKA VAC XXL LIDL</v>
          </cell>
        </row>
        <row r="15012">
          <cell r="C15012">
            <v>2008654</v>
          </cell>
          <cell r="D15012" t="str">
            <v>ET.120X70 SCH.ZK.LIDL T</v>
          </cell>
        </row>
        <row r="15013">
          <cell r="C15013">
            <v>2008655</v>
          </cell>
          <cell r="D15013" t="str">
            <v>ET.56X50 SCH.Z/K.LIDL P</v>
          </cell>
        </row>
        <row r="15014">
          <cell r="C15014">
            <v>2008656</v>
          </cell>
          <cell r="D15014" t="str">
            <v>***ET.80X110M-SO GARM.FOL.POLIP.NW BIEDT</v>
          </cell>
        </row>
        <row r="15015">
          <cell r="C15015">
            <v>2008659</v>
          </cell>
          <cell r="D15015" t="str">
            <v>***ET.60X90 KIEŁB.ZE SCH.260G JMD T</v>
          </cell>
        </row>
        <row r="15016">
          <cell r="C15016">
            <v>2008661</v>
          </cell>
          <cell r="D15016" t="str">
            <v>***ET.60X90 KIEŁB.ZE SCH.260G JMD P</v>
          </cell>
        </row>
        <row r="15017">
          <cell r="C15017">
            <v>2008668</v>
          </cell>
          <cell r="D15017" t="str">
            <v>***ET.38X38 STICKER 180+60G TESCO</v>
          </cell>
        </row>
        <row r="15018">
          <cell r="C15018">
            <v>2007589</v>
          </cell>
          <cell r="D15018" t="str">
            <v>***ET.80X110 SCH.KOTL.360G F.POL.BIED T</v>
          </cell>
        </row>
        <row r="15019">
          <cell r="C15019">
            <v>2008717</v>
          </cell>
          <cell r="D15019" t="str">
            <v>***ET.FI42 WYPRODUKOWANO Z SZYNKI</v>
          </cell>
        </row>
        <row r="15020">
          <cell r="C15020">
            <v>2008715</v>
          </cell>
          <cell r="D15020" t="str">
            <v>***ET.80X100 KARK.VAC XXL LIDL T</v>
          </cell>
        </row>
        <row r="15021">
          <cell r="C15021">
            <v>2008714</v>
          </cell>
          <cell r="D15021" t="str">
            <v>***ET.70X100 KAR.VAC XXL LIDL P</v>
          </cell>
        </row>
        <row r="15022">
          <cell r="C15022">
            <v>2008713</v>
          </cell>
          <cell r="D15022" t="str">
            <v>***ET.75X79 KIEŁB.ŚLĄSKA 1KG +100G GRA</v>
          </cell>
        </row>
        <row r="15023">
          <cell r="C15023">
            <v>2008705</v>
          </cell>
          <cell r="D15023" t="str">
            <v>ET.56X50 SCH.KOTL.LIDL 700G</v>
          </cell>
        </row>
        <row r="15024">
          <cell r="C15024">
            <v>2008704</v>
          </cell>
          <cell r="D15024" t="str">
            <v>ET.120X70 SCH.KOTL.700G LIDL T</v>
          </cell>
        </row>
        <row r="15025">
          <cell r="C15025">
            <v>2008736</v>
          </cell>
          <cell r="D15025" t="str">
            <v>***ET.55X80 PRZEKĄSKA KABAN.60G T</v>
          </cell>
        </row>
        <row r="15026">
          <cell r="C15026">
            <v>2008744</v>
          </cell>
          <cell r="D15026" t="str">
            <v>***ET.70X140 ŻEB.MOST.M-SNE EKSPERT</v>
          </cell>
        </row>
        <row r="15027">
          <cell r="C15027">
            <v>2008806</v>
          </cell>
          <cell r="D15027" t="str">
            <v>***ET.TRMP.80X110 BIZ.WIK U</v>
          </cell>
        </row>
        <row r="15028">
          <cell r="C15028">
            <v>2007588</v>
          </cell>
          <cell r="D15028" t="str">
            <v>***ET.80X110 M.MIEL.Z SZYN.F.POL.BIED T</v>
          </cell>
        </row>
        <row r="15029">
          <cell r="C15029">
            <v>2008796</v>
          </cell>
          <cell r="D15029" t="str">
            <v>ET.56X50 M.MIEL.Z ŁOP.1KG RZEŹ P</v>
          </cell>
        </row>
        <row r="15030">
          <cell r="C15030">
            <v>2008795</v>
          </cell>
          <cell r="D15030" t="str">
            <v>ET.120X70 M.MIEL.Z ŁOP.1KG RZEŹ T</v>
          </cell>
        </row>
        <row r="15031">
          <cell r="C15031">
            <v>2008783</v>
          </cell>
          <cell r="D15031" t="str">
            <v>***ET.60X90 KARK.WĘDZ.BIED T</v>
          </cell>
        </row>
        <row r="15032">
          <cell r="C15032">
            <v>2008784</v>
          </cell>
          <cell r="D15032" t="str">
            <v>***ET.60X71 KARK.WĘDZ.BIED P</v>
          </cell>
        </row>
        <row r="15033">
          <cell r="C15033">
            <v>2008831</v>
          </cell>
          <cell r="D15033" t="str">
            <v>***ET.148X210 ZBIORCZA STAND</v>
          </cell>
        </row>
        <row r="15034">
          <cell r="C15034">
            <v>2008843</v>
          </cell>
          <cell r="D15034" t="str">
            <v>ET.120X70 M-SO GARM.WP.-WŁ.1KG RZEŹ T</v>
          </cell>
        </row>
        <row r="15035">
          <cell r="C15035">
            <v>2008844</v>
          </cell>
          <cell r="D15035" t="str">
            <v>ET.56X50 M-SO GARM.WP.-WŁ.1KG RZEŹ P</v>
          </cell>
        </row>
        <row r="15036">
          <cell r="C15036">
            <v>2008845</v>
          </cell>
          <cell r="D15036" t="str">
            <v>ET.120X70 M-SO GARM.90% RZEŹ T</v>
          </cell>
        </row>
        <row r="15037">
          <cell r="C15037">
            <v>2008846</v>
          </cell>
          <cell r="D15037" t="str">
            <v>***ET.60X90 K.PODWAWELSKA LIDL LT T</v>
          </cell>
        </row>
        <row r="15038">
          <cell r="C15038">
            <v>2007587</v>
          </cell>
          <cell r="D15038" t="str">
            <v>***ET.80X110 M.MIEL.ŁOP.WŁ.F.POL.BIED T</v>
          </cell>
        </row>
        <row r="15039">
          <cell r="C15039">
            <v>2008847</v>
          </cell>
          <cell r="D15039" t="str">
            <v>***ET.60X90 K.PODWAWELSKA LIDL LT P</v>
          </cell>
        </row>
        <row r="15040">
          <cell r="C15040">
            <v>2008861</v>
          </cell>
          <cell r="D15040" t="str">
            <v>***ET.80X110 GARM.WP.-WŁ.FOLIA BIED T</v>
          </cell>
        </row>
        <row r="15041">
          <cell r="C15041">
            <v>2008871</v>
          </cell>
          <cell r="D15041" t="str">
            <v>***ET.70X100 BIZERBA TESCO CZECHY</v>
          </cell>
        </row>
        <row r="15042">
          <cell r="C15042">
            <v>2008872</v>
          </cell>
          <cell r="D15042" t="str">
            <v>ET.80X110 KIEŁB.BIAŁA MOR-EKSPERT</v>
          </cell>
        </row>
        <row r="15043">
          <cell r="C15043">
            <v>2008873</v>
          </cell>
          <cell r="D15043" t="str">
            <v>ET.TRMP.70X110 BIZ.BIA.MSP U</v>
          </cell>
        </row>
        <row r="15044">
          <cell r="C15044">
            <v>2008859</v>
          </cell>
          <cell r="D15044" t="str">
            <v>ET.80X55 KABAN.Z PIEPRZ.105G HU</v>
          </cell>
        </row>
        <row r="15045">
          <cell r="C15045">
            <v>2008858</v>
          </cell>
          <cell r="D15045" t="str">
            <v>ET.TESTOWA PRÓBY</v>
          </cell>
        </row>
        <row r="15046">
          <cell r="C15046">
            <v>2008857</v>
          </cell>
          <cell r="D15046" t="str">
            <v>ET.80X55 KABAN.CHILI 105G HU</v>
          </cell>
        </row>
        <row r="15047">
          <cell r="C15047">
            <v>2008856</v>
          </cell>
          <cell r="D15047" t="str">
            <v>ET.80X55 KABANOSY KLASYCZNE 105G WĘGRY</v>
          </cell>
        </row>
        <row r="15048">
          <cell r="C15048">
            <v>2007586</v>
          </cell>
          <cell r="D15048" t="str">
            <v>***ET.80X110 KOŚCI 700G FOL.POLIP.BIED T</v>
          </cell>
        </row>
        <row r="15049">
          <cell r="C15049">
            <v>2008930</v>
          </cell>
          <cell r="D15049" t="str">
            <v>ET.80X55 KABAN.CHILI MIX 105G RO</v>
          </cell>
        </row>
        <row r="15050">
          <cell r="C15050">
            <v>2008931</v>
          </cell>
          <cell r="D15050" t="str">
            <v>ET.80X55 KAB.CLASSIC MIX 105G RO</v>
          </cell>
        </row>
        <row r="15051">
          <cell r="C15051">
            <v>2009027</v>
          </cell>
          <cell r="D15051" t="str">
            <v>***ET.80X100 SCH.VAC FOL POL LIDL T</v>
          </cell>
        </row>
        <row r="15052">
          <cell r="C15052">
            <v>2009026</v>
          </cell>
          <cell r="D15052" t="str">
            <v>***ET.80X100 SZYN.VAC FOL POL LIDL T</v>
          </cell>
        </row>
        <row r="15053">
          <cell r="C15053">
            <v>2009025</v>
          </cell>
          <cell r="D15053" t="str">
            <v>***ET.80X100 ŁOP.VAC FOL POL LIDL T</v>
          </cell>
        </row>
        <row r="15054">
          <cell r="C15054">
            <v>2009024</v>
          </cell>
          <cell r="D15054" t="str">
            <v>***ET.80X100 KAR.VAC FOL POL LIDL T</v>
          </cell>
        </row>
        <row r="15055">
          <cell r="C15055">
            <v>2009023</v>
          </cell>
          <cell r="D15055" t="str">
            <v>***ET.700X100 SCH.VAC FOL POL LIDL P</v>
          </cell>
        </row>
        <row r="15056">
          <cell r="C15056">
            <v>2009022</v>
          </cell>
          <cell r="D15056" t="str">
            <v>***ET.700X100 SZYN.VAC FOL POL LIDL P</v>
          </cell>
        </row>
        <row r="15057">
          <cell r="C15057">
            <v>2009021</v>
          </cell>
          <cell r="D15057" t="str">
            <v>***ET.700X100 ŁOP.VAC FOL POL LIDL P</v>
          </cell>
        </row>
        <row r="15058">
          <cell r="C15058">
            <v>2007592</v>
          </cell>
          <cell r="D15058" t="str">
            <v>***ET.80X110 GOL.700G FOL.POLIP.BIED T</v>
          </cell>
        </row>
        <row r="15059">
          <cell r="C15059">
            <v>2009020</v>
          </cell>
          <cell r="D15059" t="str">
            <v>***ET.700X100 KARK.VAC FOL POL LIDL P</v>
          </cell>
        </row>
        <row r="15060">
          <cell r="C15060">
            <v>2009052</v>
          </cell>
          <cell r="D15060" t="str">
            <v>***ET.60X98 KAB.MINI CLASSIC CZ/SK 105G</v>
          </cell>
        </row>
        <row r="15061">
          <cell r="C15061">
            <v>2009051</v>
          </cell>
          <cell r="D15061" t="str">
            <v>***ET.60X98 KABAN.MINI BACON 105G CZ/SK</v>
          </cell>
        </row>
        <row r="15062">
          <cell r="C15062">
            <v>2009058</v>
          </cell>
          <cell r="D15062" t="str">
            <v>ET.90X50 KIEŁB.ŚLĄSKA KRAKUS ZM.WAG</v>
          </cell>
        </row>
        <row r="15063">
          <cell r="C15063">
            <v>2009078</v>
          </cell>
          <cell r="D15063" t="str">
            <v>***ET.TRMF.100X80 SZYN.VAC BIED PWE</v>
          </cell>
        </row>
        <row r="15064">
          <cell r="C15064">
            <v>2009077</v>
          </cell>
          <cell r="D15064" t="str">
            <v>ET.TRMF.100X80 BOCZ.VAC BIED P</v>
          </cell>
        </row>
        <row r="15065">
          <cell r="C15065">
            <v>2009076</v>
          </cell>
          <cell r="D15065" t="str">
            <v>ET.70X55 M.MIEL.Z ŁOP.BIED P</v>
          </cell>
        </row>
        <row r="15066">
          <cell r="C15066">
            <v>2009075</v>
          </cell>
          <cell r="D15066" t="str">
            <v>ET.70X55 ŻEB.TRÓJKĄT BIED P</v>
          </cell>
        </row>
        <row r="15067">
          <cell r="C15067">
            <v>2009074</v>
          </cell>
          <cell r="D15067" t="str">
            <v>ET.70X55 KOŚCI BIED P</v>
          </cell>
        </row>
        <row r="15068">
          <cell r="C15068">
            <v>2007591</v>
          </cell>
          <cell r="D15068" t="str">
            <v>***ET.80X110 ŁOP.B/K.FOL.POLIP.BIED T</v>
          </cell>
        </row>
        <row r="15069">
          <cell r="C15069">
            <v>2009073</v>
          </cell>
          <cell r="D15069" t="str">
            <v>ET.70X55 KARCZEK 560G BIED P</v>
          </cell>
        </row>
        <row r="15070">
          <cell r="C15070">
            <v>2009072</v>
          </cell>
          <cell r="D15070" t="str">
            <v>ET.70X55 M.MIEL.Z SZYN.500G BIED P</v>
          </cell>
        </row>
        <row r="15071">
          <cell r="C15071">
            <v>2009071</v>
          </cell>
          <cell r="D15071" t="str">
            <v>ET.70X55 M.MIEL.Z ŁOP.WŁ.500G BIED P</v>
          </cell>
        </row>
        <row r="15072">
          <cell r="C15072">
            <v>2009066</v>
          </cell>
          <cell r="D15072" t="str">
            <v>ET.70X55 SCH.KOTL.360G BIED P</v>
          </cell>
        </row>
        <row r="15073">
          <cell r="C15073">
            <v>2009065</v>
          </cell>
          <cell r="D15073" t="str">
            <v>ET.TRMF.100X80 KARK.VAC BIED P</v>
          </cell>
        </row>
        <row r="15074">
          <cell r="C15074">
            <v>2009064</v>
          </cell>
          <cell r="D15074" t="str">
            <v>ET.70X55 GOL.BIED P</v>
          </cell>
        </row>
        <row r="15075">
          <cell r="C15075">
            <v>2009079</v>
          </cell>
          <cell r="D15075" t="str">
            <v>ET.TRMF.100X80 ŁOP.VAC BIED P</v>
          </cell>
        </row>
        <row r="15076">
          <cell r="C15076">
            <v>2009090</v>
          </cell>
          <cell r="D15076" t="str">
            <v>ET.TRMF.100X80 SCH.VAC BIED P</v>
          </cell>
        </row>
        <row r="15077">
          <cell r="C15077">
            <v>2009091</v>
          </cell>
          <cell r="D15077" t="str">
            <v>ET.70X55 GULASZ Z SZYN.BIED P</v>
          </cell>
        </row>
        <row r="15078">
          <cell r="C15078">
            <v>2007626</v>
          </cell>
          <cell r="D15078" t="str">
            <v>***ET.52X74 KABAN.Z SZYN.MOR</v>
          </cell>
        </row>
        <row r="15079">
          <cell r="C15079">
            <v>2009092</v>
          </cell>
          <cell r="D15079" t="str">
            <v>ET.70X55 M-SO GARM.WP.-WŁ.BIED P</v>
          </cell>
        </row>
        <row r="15080">
          <cell r="C15080">
            <v>2009093</v>
          </cell>
          <cell r="D15080" t="str">
            <v>ET.70X55 M-SO GARM.WP.BIED P</v>
          </cell>
        </row>
        <row r="15081">
          <cell r="C15081">
            <v>2009094</v>
          </cell>
          <cell r="D15081" t="str">
            <v>ET.70X55 GULASZ Z ŁOP.BIED P</v>
          </cell>
        </row>
        <row r="15082">
          <cell r="C15082">
            <v>2009095</v>
          </cell>
          <cell r="D15082" t="str">
            <v>ET.70X55 KIEŁB.BIAŁA BIED P</v>
          </cell>
        </row>
        <row r="15083">
          <cell r="C15083">
            <v>2006050</v>
          </cell>
          <cell r="D15083" t="str">
            <v>ET.85X125 TESCO-WIEPRZOWINA</v>
          </cell>
        </row>
        <row r="15084">
          <cell r="C15084">
            <v>2009192</v>
          </cell>
          <cell r="D15084" t="str">
            <v>***ET.68X105 M.MIEL.Z ŁOP.MOR EKSP</v>
          </cell>
        </row>
        <row r="15085">
          <cell r="C15085">
            <v>2009190</v>
          </cell>
          <cell r="D15085" t="str">
            <v>***ET.BAN.70X90 KIEŁB.ŻYWIECKA 260G KRA</v>
          </cell>
        </row>
        <row r="15086">
          <cell r="C15086">
            <v>2009119</v>
          </cell>
          <cell r="D15086" t="str">
            <v>ET.TRMP.70X90 PERF.BIA.U</v>
          </cell>
        </row>
        <row r="15087">
          <cell r="C15087">
            <v>2009273</v>
          </cell>
          <cell r="D15087" t="str">
            <v>ET.70X105 KIEŁB.GŁOGOWSKA Z SZYNKI</v>
          </cell>
        </row>
        <row r="15088">
          <cell r="C15088">
            <v>2007539</v>
          </cell>
          <cell r="D15088" t="str">
            <v>***ET.40X145 POL.FOL.POLIP.BIED T</v>
          </cell>
        </row>
        <row r="15089">
          <cell r="C15089">
            <v>2009274</v>
          </cell>
          <cell r="D15089" t="str">
            <v>ET.50X27 STICKER BIAŁY LIDL</v>
          </cell>
        </row>
        <row r="15090">
          <cell r="C15090">
            <v>2009156</v>
          </cell>
          <cell r="D15090" t="str">
            <v>ET.70X89 GŁOGOWSKA Z SZYN.540G T</v>
          </cell>
        </row>
        <row r="15091">
          <cell r="C15091">
            <v>2009298</v>
          </cell>
          <cell r="D15091" t="str">
            <v>ET.60X90 KIEŁB.ŚLĄSKA G&amp;F LIDL T</v>
          </cell>
        </row>
        <row r="15092">
          <cell r="C15092">
            <v>2009315</v>
          </cell>
          <cell r="D15092" t="str">
            <v>ET.75X100 K.BIAŁA Z MAJER.600G BIED T</v>
          </cell>
        </row>
        <row r="15093">
          <cell r="C15093">
            <v>2009282</v>
          </cell>
          <cell r="D15093" t="str">
            <v>ET.74X105 K.BIAŁA Z SZYN.500G BIED T ST</v>
          </cell>
        </row>
        <row r="15094">
          <cell r="C15094">
            <v>2009264</v>
          </cell>
          <cell r="D15094" t="str">
            <v>ET.80X110 BOCZEK GRILL MOR</v>
          </cell>
        </row>
        <row r="15095">
          <cell r="C15095">
            <v>2009263</v>
          </cell>
          <cell r="D15095" t="str">
            <v>ET.80X110 KARCZEK GRILL MOR</v>
          </cell>
        </row>
        <row r="15096">
          <cell r="C15096">
            <v>2009266</v>
          </cell>
          <cell r="D15096" t="str">
            <v>ET.90X145 SZYNKA WĘDZONA P.PRZYSMAKI</v>
          </cell>
        </row>
        <row r="15097">
          <cell r="C15097">
            <v>2007659</v>
          </cell>
          <cell r="D15097" t="str">
            <v>ET.35X48 STICKER GRILLUJEMY NETTO</v>
          </cell>
        </row>
        <row r="15098">
          <cell r="C15098">
            <v>2009265</v>
          </cell>
          <cell r="D15098" t="str">
            <v>ET.80X110 BIZERBA GRILL MOR</v>
          </cell>
        </row>
        <row r="15099">
          <cell r="C15099">
            <v>2009352</v>
          </cell>
          <cell r="D15099" t="str">
            <v>***ET.78X105 BIZERBA KSIĘŻY MŁYN</v>
          </cell>
        </row>
        <row r="15100">
          <cell r="C15100">
            <v>2009354</v>
          </cell>
          <cell r="D15100" t="str">
            <v>***ET.70X105 ŚLĄSKA MORLINY NS</v>
          </cell>
        </row>
        <row r="15101">
          <cell r="C15101">
            <v>2009325</v>
          </cell>
          <cell r="D15101" t="str">
            <v>ET.70X103 PODWAWELSKA OPISOWA ZM.OSŁ.</v>
          </cell>
        </row>
        <row r="15102">
          <cell r="C15102">
            <v>2009327</v>
          </cell>
          <cell r="D15102" t="str">
            <v>ET.TRMP.55X84.5 PODWAW.T</v>
          </cell>
        </row>
        <row r="15103">
          <cell r="C15103">
            <v>2009326</v>
          </cell>
          <cell r="D15103" t="str">
            <v>ET.70X103 PODWAWELSKA 80% ZM.OSŁ.</v>
          </cell>
        </row>
        <row r="15104">
          <cell r="C15104">
            <v>2009328</v>
          </cell>
          <cell r="D15104" t="str">
            <v>ET.60X80 PODWAWELSKA MORLINY UK ZM.OSŁ.</v>
          </cell>
        </row>
        <row r="15105">
          <cell r="C15105">
            <v>2009329</v>
          </cell>
          <cell r="D15105" t="str">
            <v>***ET.120X80 TERMO FI 76 PAK.WĘDLIN</v>
          </cell>
        </row>
        <row r="15106">
          <cell r="C15106">
            <v>2009324</v>
          </cell>
          <cell r="D15106" t="str">
            <v>ET.70X105 ŚLĄSKA Z SZYNKI OZDOBNA</v>
          </cell>
        </row>
        <row r="15107">
          <cell r="C15107">
            <v>2007670</v>
          </cell>
          <cell r="D15107" t="str">
            <v>ET.90X100 STEK KARK.BBQ KAUF P</v>
          </cell>
        </row>
        <row r="15108">
          <cell r="C15108">
            <v>2009323</v>
          </cell>
          <cell r="D15108" t="str">
            <v>ET.70X105 ŚLĄSKA Z SZYNKI OPISOWA</v>
          </cell>
        </row>
        <row r="15109">
          <cell r="C15109">
            <v>2009426</v>
          </cell>
          <cell r="D15109" t="str">
            <v>ET.75X79 ŚLĄSKA MEGA PAKA N.SKŁ.</v>
          </cell>
        </row>
        <row r="15110">
          <cell r="C15110">
            <v>2009368</v>
          </cell>
          <cell r="D15110" t="str">
            <v>ET.70X73 LUKSUSOWA PRZEKĄSKA 180G</v>
          </cell>
        </row>
        <row r="15111">
          <cell r="C15111">
            <v>2009409</v>
          </cell>
          <cell r="D15111" t="str">
            <v>ET.90X210 SZYN.KONS.OLEWNIK</v>
          </cell>
        </row>
        <row r="15112">
          <cell r="C15112">
            <v>2009620</v>
          </cell>
          <cell r="D15112" t="str">
            <v>ET.75X110 M-SO GARM.MOR NETTO</v>
          </cell>
        </row>
        <row r="15113">
          <cell r="C15113">
            <v>2007671</v>
          </cell>
          <cell r="D15113" t="str">
            <v>***ET.100X65 STEK KARK.CZOSNEK KAUF T</v>
          </cell>
        </row>
        <row r="15114">
          <cell r="C15114">
            <v>2009507</v>
          </cell>
          <cell r="D15114" t="str">
            <v>***ET.60X90 KIEŁB.BBQ</v>
          </cell>
        </row>
        <row r="15115">
          <cell r="C15115">
            <v>2009520</v>
          </cell>
          <cell r="D15115" t="str">
            <v>***ET.60X90 KIEŁB.SZASZŁYKOWA</v>
          </cell>
        </row>
        <row r="15116">
          <cell r="C15116">
            <v>2009509</v>
          </cell>
          <cell r="D15116" t="str">
            <v>***ET.60X90 KIEŁB.Z SEREM</v>
          </cell>
        </row>
        <row r="15117">
          <cell r="C15117">
            <v>2009508</v>
          </cell>
          <cell r="D15117" t="str">
            <v>***ET.60X90 KIEŁB.DEBRECZYŃSKA</v>
          </cell>
        </row>
        <row r="15118">
          <cell r="C15118">
            <v>2009573</v>
          </cell>
          <cell r="D15118" t="str">
            <v>ET.80X100 SZYN.VAC LIDL LT T</v>
          </cell>
        </row>
        <row r="15119">
          <cell r="C15119">
            <v>2009574</v>
          </cell>
          <cell r="D15119" t="str">
            <v>ET.70X100 SZYN.VAC LIDL LT PRZ</v>
          </cell>
        </row>
        <row r="15120">
          <cell r="C15120">
            <v>2009575</v>
          </cell>
          <cell r="D15120" t="str">
            <v>ET.80X100 SCH.VAC LIDL LT T</v>
          </cell>
        </row>
        <row r="15121">
          <cell r="C15121">
            <v>2009572</v>
          </cell>
          <cell r="D15121" t="str">
            <v>ET.70X100 SCHAB VAC LIDL LT PRZ</v>
          </cell>
        </row>
        <row r="15122">
          <cell r="C15122">
            <v>2009576</v>
          </cell>
          <cell r="D15122" t="str">
            <v>ET.80X100 ŁOP.VAC LIDL LT T</v>
          </cell>
        </row>
        <row r="15123">
          <cell r="C15123">
            <v>2007672</v>
          </cell>
          <cell r="D15123" t="str">
            <v>ET.90X100 STEK KARK.CZOSNEK KAUF P</v>
          </cell>
        </row>
        <row r="15124">
          <cell r="C15124">
            <v>2009577</v>
          </cell>
          <cell r="D15124" t="str">
            <v>ET.70X100 ŁOP.VAC LIDL LTPRZ</v>
          </cell>
        </row>
        <row r="15125">
          <cell r="C15125">
            <v>2009578</v>
          </cell>
          <cell r="D15125" t="str">
            <v>ET.80X100 KARK.VAC LIDL LT T</v>
          </cell>
        </row>
        <row r="15126">
          <cell r="C15126">
            <v>2009579</v>
          </cell>
          <cell r="D15126" t="str">
            <v>ET.70X100 KARCZEK VAC LIDL LT PRZ</v>
          </cell>
        </row>
        <row r="15127">
          <cell r="C15127">
            <v>2009640</v>
          </cell>
          <cell r="D15127" t="str">
            <v>***ET.90X99 M.MIEL.Z SZYN.500G KAUF</v>
          </cell>
        </row>
        <row r="15128">
          <cell r="C15128">
            <v>2009632</v>
          </cell>
          <cell r="D15128" t="str">
            <v>***ET.65X98 M.MIEL.Z SZYN.500G KAUF T</v>
          </cell>
        </row>
        <row r="15129">
          <cell r="C15129">
            <v>2009645</v>
          </cell>
          <cell r="D15129" t="str">
            <v>ET.70X90 GULASZ Z ŁOP.500G KAUF P</v>
          </cell>
        </row>
        <row r="15130">
          <cell r="C15130">
            <v>2009646</v>
          </cell>
          <cell r="D15130" t="str">
            <v>ET.100X65 GULASZ Z ŁOP.500G KAUF T</v>
          </cell>
        </row>
        <row r="15131">
          <cell r="C15131">
            <v>2009644</v>
          </cell>
          <cell r="D15131" t="str">
            <v>ET.70X90 KARK.KOTL.560G KAUF P</v>
          </cell>
        </row>
        <row r="15132">
          <cell r="C15132">
            <v>2009649</v>
          </cell>
          <cell r="D15132" t="str">
            <v>ET.100X65 KARK.KOTL.560G KAUF T</v>
          </cell>
        </row>
        <row r="15133">
          <cell r="C15133">
            <v>2007673</v>
          </cell>
          <cell r="D15133" t="str">
            <v>***ET.100X65 STEK KARK.BBQ KAUF T</v>
          </cell>
        </row>
        <row r="15134">
          <cell r="C15134">
            <v>2009647</v>
          </cell>
          <cell r="D15134" t="str">
            <v>ET.70X90 GULASZ Z SZYN.500G KAUF P</v>
          </cell>
        </row>
        <row r="15135">
          <cell r="C15135">
            <v>2009648</v>
          </cell>
          <cell r="D15135" t="str">
            <v>ET.100X65 GULASZ Z SZYN.500G KAUF T</v>
          </cell>
        </row>
        <row r="15136">
          <cell r="C15136">
            <v>2009625</v>
          </cell>
          <cell r="D15136" t="str">
            <v>ET.70X60 POL.KAUF P</v>
          </cell>
        </row>
        <row r="15137">
          <cell r="C15137">
            <v>2009626</v>
          </cell>
          <cell r="D15137" t="str">
            <v>ET.150X40 POL.KAUF T</v>
          </cell>
        </row>
        <row r="15138">
          <cell r="C15138">
            <v>2009628</v>
          </cell>
          <cell r="D15138" t="str">
            <v>ET.70X90 SCH.KOTL.360G KAUF P</v>
          </cell>
        </row>
        <row r="15139">
          <cell r="C15139">
            <v>2009627</v>
          </cell>
          <cell r="D15139" t="str">
            <v>ET.100X65 SCH.KOTL.360G KAUF T</v>
          </cell>
        </row>
        <row r="15140">
          <cell r="C15140">
            <v>2010299</v>
          </cell>
          <cell r="D15140" t="str">
            <v>ET.80X100 SZYN.VAC SK T</v>
          </cell>
        </row>
        <row r="15141">
          <cell r="C15141">
            <v>2009793</v>
          </cell>
          <cell r="D15141" t="str">
            <v>***ET.60X89 KIEŁB.CHORIZO</v>
          </cell>
        </row>
        <row r="15142">
          <cell r="C15142">
            <v>2009797</v>
          </cell>
          <cell r="D15142" t="str">
            <v>***ET.60X89 KIEŁB.KEBAB</v>
          </cell>
        </row>
        <row r="15143">
          <cell r="C15143">
            <v>2007647</v>
          </cell>
          <cell r="D15143" t="str">
            <v>ET.80X110 GRILL UNIWERSALNA TESC</v>
          </cell>
        </row>
        <row r="15144">
          <cell r="C15144">
            <v>2009818</v>
          </cell>
          <cell r="D15144" t="str">
            <v>***ET.70X100 KABANOSY 150G USA</v>
          </cell>
        </row>
        <row r="15145">
          <cell r="C15145">
            <v>2010020</v>
          </cell>
          <cell r="D15145" t="str">
            <v>***ET.60X90 KIEŁB.BURSZTYN.OZDB.</v>
          </cell>
        </row>
        <row r="15146">
          <cell r="C15146">
            <v>2010021</v>
          </cell>
          <cell r="D15146" t="str">
            <v>ET.60X89 ŚLĄSKA PREMIUM 550G LIDL PIK</v>
          </cell>
        </row>
        <row r="15147">
          <cell r="C15147">
            <v>2009500</v>
          </cell>
          <cell r="D15147" t="str">
            <v>ET.80X140 ŻEB.WP.CH RZEŹ P</v>
          </cell>
        </row>
        <row r="15148">
          <cell r="C15148">
            <v>2009994</v>
          </cell>
          <cell r="D15148" t="str">
            <v>***ET.58X110 BOCZ.WĘDZ.PARZ.LIDL</v>
          </cell>
        </row>
        <row r="15149">
          <cell r="C15149">
            <v>2009995</v>
          </cell>
          <cell r="D15149" t="str">
            <v>ET.75X94 KASZANKA 600G BIED</v>
          </cell>
        </row>
        <row r="15150">
          <cell r="C15150">
            <v>2010007</v>
          </cell>
          <cell r="D15150" t="str">
            <v>ET.92X104 KIEŁB.ŻYWIECKA 600G BIED N</v>
          </cell>
        </row>
        <row r="15151">
          <cell r="C15151">
            <v>2009999</v>
          </cell>
          <cell r="D15151" t="str">
            <v>***ET.60X90 K.ŚLĄSKA Z SZYN.550G PIK P</v>
          </cell>
        </row>
        <row r="15152">
          <cell r="C15152">
            <v>2010091</v>
          </cell>
          <cell r="D15152" t="str">
            <v>ET.72X93 SZYN.WĘDZ.EXT.BIED</v>
          </cell>
        </row>
        <row r="15153">
          <cell r="C15153">
            <v>2007676</v>
          </cell>
          <cell r="D15153" t="str">
            <v>ET.60X90 KIEŁB.PODWAW.G&amp;F OZD.LIDL</v>
          </cell>
        </row>
        <row r="15154">
          <cell r="C15154">
            <v>2010099</v>
          </cell>
          <cell r="D15154" t="str">
            <v>ET.60X55 KIEŁB.ŻYWIECKA 286G BIED N</v>
          </cell>
        </row>
        <row r="15155">
          <cell r="C15155">
            <v>2010085</v>
          </cell>
          <cell r="D15155" t="str">
            <v>ET.60X60 KIEŁB.BIAŁA PARZ.MP BIED</v>
          </cell>
        </row>
        <row r="15156">
          <cell r="C15156">
            <v>2010084</v>
          </cell>
          <cell r="D15156" t="str">
            <v>ET.60X90 KIEŁB.BIAŁA PARZ.BIED T</v>
          </cell>
        </row>
        <row r="15157">
          <cell r="C15157">
            <v>2010097</v>
          </cell>
          <cell r="D15157" t="str">
            <v>ET.90X90 SZYN.WĘDZ.EXT.BIED P</v>
          </cell>
        </row>
        <row r="15158">
          <cell r="C15158">
            <v>2010098</v>
          </cell>
          <cell r="D15158" t="str">
            <v>ET.80X110 KIEŁB.BIAŁA SUROWA BIED T N</v>
          </cell>
        </row>
        <row r="15159">
          <cell r="C15159">
            <v>2010135</v>
          </cell>
          <cell r="D15159" t="str">
            <v>ET.60X80 SZYN.B/KONS.BIED T</v>
          </cell>
        </row>
        <row r="15160">
          <cell r="C15160">
            <v>2010066</v>
          </cell>
          <cell r="D15160" t="str">
            <v>ET.60X80 SZYN.B/KONS.BIED P</v>
          </cell>
        </row>
        <row r="15161">
          <cell r="C15161">
            <v>2010067</v>
          </cell>
          <cell r="D15161" t="str">
            <v>***ET.101X139 SZYN.7LBS KROGER</v>
          </cell>
        </row>
        <row r="15162">
          <cell r="C15162">
            <v>2010069</v>
          </cell>
          <cell r="D15162" t="str">
            <v>ET.50X90 SZYN.KROGER T</v>
          </cell>
        </row>
        <row r="15163">
          <cell r="C15163">
            <v>2007677</v>
          </cell>
          <cell r="D15163" t="str">
            <v>ET.60X90 KIEŁB.PODWAW.G&amp;F T LIDL</v>
          </cell>
        </row>
        <row r="15164">
          <cell r="C15164">
            <v>2010068</v>
          </cell>
          <cell r="D15164" t="str">
            <v>ET.78X105 BIAŁA Z SZYNKI 500G BIED</v>
          </cell>
        </row>
        <row r="15165">
          <cell r="C15165">
            <v>2010188</v>
          </cell>
          <cell r="D15165" t="str">
            <v>ET.70X100 BOCZ.VAC LIDL</v>
          </cell>
        </row>
        <row r="15166">
          <cell r="C15166">
            <v>2010187</v>
          </cell>
          <cell r="D15166" t="str">
            <v>ET.80X100 BOCZ.VAC LIDL T</v>
          </cell>
        </row>
        <row r="15167">
          <cell r="C15167">
            <v>2007042</v>
          </cell>
          <cell r="D15167" t="str">
            <v>ET.70X80 SZYN.OD SZWAGRA KRA</v>
          </cell>
        </row>
        <row r="15168">
          <cell r="C15168">
            <v>2007074</v>
          </cell>
          <cell r="D15168" t="str">
            <v>ET.70X75 SCH.OD SZWAGRA KRA T</v>
          </cell>
        </row>
        <row r="15169">
          <cell r="C15169">
            <v>2010023</v>
          </cell>
          <cell r="D15169" t="str">
            <v>ET.70X80 SCH.OD SZWAGRA KRA BIED</v>
          </cell>
        </row>
        <row r="15170">
          <cell r="C15170">
            <v>2010239</v>
          </cell>
          <cell r="D15170" t="str">
            <v>***ET.60X70 SCH.WĘDZ.400G BIED P</v>
          </cell>
        </row>
        <row r="15171">
          <cell r="C15171">
            <v>2010285</v>
          </cell>
          <cell r="D15171" t="str">
            <v>***ET.60X90 SCH.WĘDZ.400G BIED T</v>
          </cell>
        </row>
        <row r="15172">
          <cell r="C15172">
            <v>2010295</v>
          </cell>
          <cell r="D15172" t="str">
            <v>ET.75X97 SCH.ZE ŚLIWKĄ SOUS VIDE BIED</v>
          </cell>
        </row>
        <row r="15173">
          <cell r="C15173">
            <v>2007668</v>
          </cell>
          <cell r="D15173" t="str">
            <v>ET.50X45 M.MIEL.Z SZYN.500G RZEŹ P</v>
          </cell>
        </row>
        <row r="15174">
          <cell r="C15174">
            <v>2010296</v>
          </cell>
          <cell r="D15174" t="str">
            <v>ET.75X97 SZYN.Z BOROWIK.SOUS VIDE BIED</v>
          </cell>
        </row>
        <row r="15175">
          <cell r="C15175">
            <v>2010351</v>
          </cell>
          <cell r="D15175" t="str">
            <v>***ET.80X70 SZYN.Z BOROW.SOUS VIDE T</v>
          </cell>
        </row>
        <row r="15176">
          <cell r="C15176">
            <v>2010298</v>
          </cell>
          <cell r="D15176" t="str">
            <v>***ET.80X70 SCH.ZE ŚLIWKĄ SOUS VIDE T</v>
          </cell>
        </row>
        <row r="15177">
          <cell r="C15177">
            <v>2010381</v>
          </cell>
          <cell r="D15177" t="str">
            <v>ET.70X120 KARK.VAC SK P</v>
          </cell>
        </row>
        <row r="15178">
          <cell r="C15178">
            <v>2010382</v>
          </cell>
          <cell r="D15178" t="str">
            <v>ET.70X120 ŁOP.VAC SK P</v>
          </cell>
        </row>
        <row r="15179">
          <cell r="C15179">
            <v>2010380</v>
          </cell>
          <cell r="D15179" t="str">
            <v>ET.80X100 ŁOP.VAC SK T</v>
          </cell>
        </row>
        <row r="15180">
          <cell r="C15180">
            <v>2010383</v>
          </cell>
          <cell r="D15180" t="str">
            <v>ET.70X100 SZYN.VAC SK P</v>
          </cell>
        </row>
        <row r="15181">
          <cell r="C15181">
            <v>2010378</v>
          </cell>
          <cell r="D15181" t="str">
            <v>ET.80X100 SCH.VAC SK T</v>
          </cell>
        </row>
        <row r="15182">
          <cell r="C15182">
            <v>2007669</v>
          </cell>
          <cell r="D15182" t="str">
            <v>ET.70X120 M.MIEL.Z SZYN.500G RZEŹ T</v>
          </cell>
        </row>
        <row r="15183">
          <cell r="C15183">
            <v>2010357</v>
          </cell>
          <cell r="D15183" t="str">
            <v>ET.70X100 SCH.VAC SK P</v>
          </cell>
        </row>
        <row r="15184">
          <cell r="C15184">
            <v>2010379</v>
          </cell>
          <cell r="D15184" t="str">
            <v>ET.80X100 KARK.VAC SK T</v>
          </cell>
        </row>
        <row r="15185">
          <cell r="C15185">
            <v>2010385</v>
          </cell>
          <cell r="D15185" t="str">
            <v>***ET.60X80 BOCZ.Z CZOSNKIEM KRA P</v>
          </cell>
        </row>
        <row r="15186">
          <cell r="C15186">
            <v>2010384</v>
          </cell>
          <cell r="D15186" t="str">
            <v>***ET.80X50 BOCZ.Z CZOSNKIEM KRA T</v>
          </cell>
        </row>
        <row r="15187">
          <cell r="C15187">
            <v>2010390</v>
          </cell>
          <cell r="D15187" t="str">
            <v>***ET.FI 50 STICKER PIECZEŃ</v>
          </cell>
        </row>
        <row r="15188">
          <cell r="C15188">
            <v>2010412</v>
          </cell>
          <cell r="D15188" t="str">
            <v>ET.60X110 BOCZ.LIDL BAR LT</v>
          </cell>
        </row>
        <row r="15189">
          <cell r="C15189">
            <v>2010396</v>
          </cell>
          <cell r="D15189" t="str">
            <v>ET.40X30 STICKER KABAN.Z ROZMARYNEM</v>
          </cell>
        </row>
        <row r="15190">
          <cell r="C15190">
            <v>2010397</v>
          </cell>
          <cell r="D15190" t="str">
            <v>ET.40X30 STICKER KABAN.Z JAŁOWCEM</v>
          </cell>
        </row>
        <row r="15191">
          <cell r="C15191">
            <v>2010451</v>
          </cell>
          <cell r="D15191" t="str">
            <v>ET.52X80 KABAN.Z SZYN.105G</v>
          </cell>
        </row>
        <row r="15192">
          <cell r="C15192">
            <v>2007686</v>
          </cell>
          <cell r="D15192" t="str">
            <v>ET.52.5X60 POL.RZEŹNIK P</v>
          </cell>
        </row>
        <row r="15193">
          <cell r="C15193">
            <v>2010464</v>
          </cell>
          <cell r="D15193" t="str">
            <v>ET.60X80 KABAN.CLASSIC 105G DE</v>
          </cell>
        </row>
        <row r="15194">
          <cell r="C15194">
            <v>2010487</v>
          </cell>
          <cell r="D15194" t="str">
            <v>ET.52X74 KABAN.CLASSIC 105G</v>
          </cell>
        </row>
        <row r="15195">
          <cell r="C15195">
            <v>2010488</v>
          </cell>
          <cell r="D15195" t="str">
            <v>***ET.52X74 KABAN.CLASSIC 155G</v>
          </cell>
        </row>
        <row r="15196">
          <cell r="C15196">
            <v>2010436</v>
          </cell>
          <cell r="D15196" t="str">
            <v>***ET.80X55 KABAN.CLASSIC 105G CZ N</v>
          </cell>
        </row>
        <row r="15197">
          <cell r="C15197">
            <v>2010478</v>
          </cell>
          <cell r="D15197" t="str">
            <v>ET.80X55 KABAN.CLASSIC 105G RO N</v>
          </cell>
        </row>
        <row r="15198">
          <cell r="C15198">
            <v>2010477</v>
          </cell>
          <cell r="D15198" t="str">
            <v>ET.80X55 KABAN.CLASSIC 105G HU</v>
          </cell>
        </row>
        <row r="15199">
          <cell r="C15199">
            <v>2010475</v>
          </cell>
          <cell r="D15199" t="str">
            <v>ET.60X80 KABAN.CHILI 105G DE</v>
          </cell>
        </row>
        <row r="15200">
          <cell r="C15200">
            <v>2010476</v>
          </cell>
          <cell r="D15200" t="str">
            <v>ET.52X74 KABAN.CHILI 105G</v>
          </cell>
        </row>
        <row r="15201">
          <cell r="C15201">
            <v>2010472</v>
          </cell>
          <cell r="D15201" t="str">
            <v>***ET.80X55 KABAN.CHILI 105G CZ N</v>
          </cell>
        </row>
        <row r="15202">
          <cell r="C15202">
            <v>2007685</v>
          </cell>
          <cell r="D15202" t="str">
            <v>ET.180X40 POL.RZEŹ T</v>
          </cell>
        </row>
        <row r="15203">
          <cell r="C15203">
            <v>2010473</v>
          </cell>
          <cell r="D15203" t="str">
            <v>ET.80X55 KABAN.CHILI 105G HU N</v>
          </cell>
        </row>
        <row r="15204">
          <cell r="C15204">
            <v>2010474</v>
          </cell>
          <cell r="D15204" t="str">
            <v>ET.80X55 KABAN.CHILI 105G RO N</v>
          </cell>
        </row>
        <row r="15205">
          <cell r="C15205">
            <v>2010470</v>
          </cell>
          <cell r="D15205" t="str">
            <v>ET.60X80 KABAN.Z PIEPRZ.105G DE</v>
          </cell>
        </row>
        <row r="15206">
          <cell r="C15206">
            <v>2010471</v>
          </cell>
          <cell r="D15206" t="str">
            <v>ET.52X74 KABAN.Z PIEPRZ.105G</v>
          </cell>
        </row>
        <row r="15207">
          <cell r="C15207">
            <v>2010439</v>
          </cell>
          <cell r="D15207" t="str">
            <v>ET.80X55 KABAN.Z PIEPRZ.105G RO</v>
          </cell>
        </row>
        <row r="15208">
          <cell r="C15208">
            <v>2010438</v>
          </cell>
          <cell r="D15208" t="str">
            <v>***ET.80X55 KABAN.Z PIEPRZ.105G HU N</v>
          </cell>
        </row>
        <row r="15209">
          <cell r="C15209">
            <v>2010437</v>
          </cell>
          <cell r="D15209" t="str">
            <v>***ET.52X74 PARTYCZAKI 60G N</v>
          </cell>
        </row>
        <row r="15210">
          <cell r="C15210">
            <v>2010485</v>
          </cell>
          <cell r="D15210" t="str">
            <v>***ET.70X75 PRZEKĄSKA KABANOS 180G N</v>
          </cell>
        </row>
        <row r="15211">
          <cell r="C15211">
            <v>2010479</v>
          </cell>
          <cell r="D15211" t="str">
            <v>***ET.60X98 KABAN.KLASYCZNE 180G</v>
          </cell>
        </row>
        <row r="15212">
          <cell r="C15212">
            <v>2007693</v>
          </cell>
          <cell r="D15212" t="str">
            <v>***ET.57X54 ŁOP.RZEŹ P</v>
          </cell>
        </row>
        <row r="15213">
          <cell r="C15213">
            <v>2010484</v>
          </cell>
          <cell r="D15213" t="str">
            <v>***ET.55X80 KABAN.BACON 105G GB</v>
          </cell>
        </row>
        <row r="15214">
          <cell r="C15214">
            <v>2010483</v>
          </cell>
          <cell r="D15214" t="str">
            <v>***ET.60X98 KABAN.MINI BACON 105G</v>
          </cell>
        </row>
        <row r="15215">
          <cell r="C15215">
            <v>2010482</v>
          </cell>
          <cell r="D15215" t="str">
            <v>***ET.55X80 KABAN.CLASSIC 105G GB</v>
          </cell>
        </row>
        <row r="15216">
          <cell r="C15216">
            <v>2010481</v>
          </cell>
          <cell r="D15216" t="str">
            <v>***ET.60X98 KABAN.CLASSIC MINI 105G GB</v>
          </cell>
        </row>
        <row r="15217">
          <cell r="C15217">
            <v>2010480</v>
          </cell>
          <cell r="D15217" t="str">
            <v>***ET.70X73 PRZEKĄSKA LUKSUSOWA 180G N</v>
          </cell>
        </row>
        <row r="15218">
          <cell r="C15218">
            <v>2010530</v>
          </cell>
          <cell r="D15218" t="str">
            <v>ET.TRMP.69X106 REGIONALNA MAP T</v>
          </cell>
        </row>
        <row r="15219">
          <cell r="C15219">
            <v>2010544</v>
          </cell>
          <cell r="D15219" t="str">
            <v>***ET.70X105 KIEŁB.TORUŃSKA</v>
          </cell>
        </row>
        <row r="15220">
          <cell r="C15220">
            <v>2010543</v>
          </cell>
          <cell r="D15220" t="str">
            <v>ET.60X90 KIEŁB.TORUŃSKA T</v>
          </cell>
        </row>
        <row r="15221">
          <cell r="C15221">
            <v>2010576</v>
          </cell>
          <cell r="D15221" t="str">
            <v>ET.60X90 KIEŁB.PODWAWELSKA LIDL PIK T</v>
          </cell>
        </row>
        <row r="15222">
          <cell r="C15222">
            <v>2010575</v>
          </cell>
          <cell r="D15222" t="str">
            <v>ET.63X85 KIEŁB.PODWAWELSKA LIDL PIK P</v>
          </cell>
        </row>
        <row r="15223">
          <cell r="C15223">
            <v>2010582</v>
          </cell>
          <cell r="D15223" t="str">
            <v>***ET.80X130 KIEŁB.OD SZWAGRA 400G P</v>
          </cell>
        </row>
        <row r="15224">
          <cell r="C15224">
            <v>2010583</v>
          </cell>
          <cell r="D15224" t="str">
            <v>ET.90X50 KIEŁB.OD SZWAGRA 400G T</v>
          </cell>
        </row>
        <row r="15225">
          <cell r="C15225">
            <v>2010623</v>
          </cell>
          <cell r="D15225" t="str">
            <v>ET.90X60 K.ŚLĄSKA Z SZYN.PREM.550G LIDL</v>
          </cell>
        </row>
        <row r="15226">
          <cell r="C15226">
            <v>2010419</v>
          </cell>
          <cell r="D15226" t="str">
            <v>ET.TRMP.80X110 BIZ.MORE U</v>
          </cell>
        </row>
        <row r="15227">
          <cell r="C15227">
            <v>2010673</v>
          </cell>
          <cell r="D15227" t="str">
            <v>ET.58X110 BOCZ.WĘDZ.PARZ.</v>
          </cell>
        </row>
        <row r="15228">
          <cell r="C15228">
            <v>2010670</v>
          </cell>
          <cell r="D15228" t="str">
            <v>ET.70X105 SZYN.POLSKA MOR N</v>
          </cell>
        </row>
        <row r="15229">
          <cell r="C15229">
            <v>2010677</v>
          </cell>
          <cell r="D15229" t="str">
            <v>ET.72X93 SZYN.WĘDZ.BIED</v>
          </cell>
        </row>
        <row r="15230">
          <cell r="C15230">
            <v>2010690</v>
          </cell>
          <cell r="D15230" t="str">
            <v>ET.TRM.40X50</v>
          </cell>
        </row>
        <row r="15231">
          <cell r="C15231">
            <v>2008225</v>
          </cell>
          <cell r="D15231" t="str">
            <v>ET.120X80 KIEŁB.ŚLĄSKA ARO</v>
          </cell>
        </row>
        <row r="15232">
          <cell r="C15232">
            <v>2010728</v>
          </cell>
          <cell r="D15232" t="str">
            <v>ET.70X105 BOCZ.PS</v>
          </cell>
        </row>
        <row r="15233">
          <cell r="C15233">
            <v>2010691</v>
          </cell>
          <cell r="D15233" t="str">
            <v>ET.80X50 POL.KROTOSZYŃSKA T</v>
          </cell>
        </row>
        <row r="15234">
          <cell r="C15234">
            <v>2010692</v>
          </cell>
          <cell r="D15234" t="str">
            <v>ET.60X80 POL.KROTOSZYŃSKA P</v>
          </cell>
        </row>
        <row r="15235">
          <cell r="C15235">
            <v>2010695</v>
          </cell>
          <cell r="D15235" t="str">
            <v>***ET.75X121 KIEŁB.DROB.-WP.MESARO</v>
          </cell>
        </row>
        <row r="15236">
          <cell r="C15236">
            <v>2010742</v>
          </cell>
          <cell r="D15236" t="str">
            <v>ET.69.5X95 K.ŚLĄSKA 90% 500G LIDL PIK</v>
          </cell>
        </row>
        <row r="15237">
          <cell r="C15237">
            <v>2010743</v>
          </cell>
          <cell r="D15237" t="str">
            <v>ET.90X93.7 K.ŚLĄSKA 90%M.500G LIDL PIK</v>
          </cell>
        </row>
        <row r="15238">
          <cell r="C15238">
            <v>2010707</v>
          </cell>
          <cell r="D15238" t="str">
            <v>***ET.70X105 KIEŁB.TORUŃSKA DR.-WP.</v>
          </cell>
        </row>
        <row r="15239">
          <cell r="C15239">
            <v>2010708</v>
          </cell>
          <cell r="D15239" t="str">
            <v>ET.80X100 KIEŁB.ŚLĄSKA 1.3KG LIDL T</v>
          </cell>
        </row>
        <row r="15240">
          <cell r="C15240">
            <v>2010750</v>
          </cell>
          <cell r="D15240" t="str">
            <v>ET.67X90 KIEŁB.KRAKOWSKA Z KURCZ.MOR P</v>
          </cell>
        </row>
        <row r="15241">
          <cell r="C15241">
            <v>2010751</v>
          </cell>
          <cell r="D15241" t="str">
            <v>***ET.50X60 KIEŁB.DO KOSZYCZKA</v>
          </cell>
        </row>
        <row r="15242">
          <cell r="C15242">
            <v>2010752</v>
          </cell>
          <cell r="D15242" t="str">
            <v>ET.58X110 BOCZ.WĘDZ.PARZ PIK CZ</v>
          </cell>
        </row>
        <row r="15243">
          <cell r="C15243">
            <v>2010696</v>
          </cell>
          <cell r="D15243" t="str">
            <v>ET.67X90 KIEŁB.KRAKOWSKA Z KURCZ.MOR T</v>
          </cell>
        </row>
        <row r="15244">
          <cell r="C15244">
            <v>2010758</v>
          </cell>
          <cell r="D15244" t="str">
            <v>ET.60X90 KIEŁB.TORUŃSKA</v>
          </cell>
        </row>
        <row r="15245">
          <cell r="C15245">
            <v>2010435</v>
          </cell>
          <cell r="D15245" t="str">
            <v>***ET.TRMP.80X110 BIZ.MOR U</v>
          </cell>
        </row>
        <row r="15246">
          <cell r="C15246">
            <v>2010764</v>
          </cell>
          <cell r="D15246" t="str">
            <v>ET.83X113 FRANKFURTERKI</v>
          </cell>
        </row>
        <row r="15247">
          <cell r="C15247">
            <v>2010762</v>
          </cell>
          <cell r="D15247" t="str">
            <v>***ET.67X90 KIEŁB.ŻYWIECKA Z KURCZ.T</v>
          </cell>
        </row>
        <row r="15248">
          <cell r="C15248">
            <v>2010763</v>
          </cell>
          <cell r="D15248" t="str">
            <v>***ET.74X117 KIEŁB.ŻYWIECKA Z KURCZ.P</v>
          </cell>
        </row>
        <row r="15249">
          <cell r="C15249">
            <v>2010775</v>
          </cell>
          <cell r="D15249" t="str">
            <v>ET.70X100 SCH.VAC LIDL P N</v>
          </cell>
        </row>
        <row r="15250">
          <cell r="C15250">
            <v>2010776</v>
          </cell>
          <cell r="D15250" t="str">
            <v>ET.70X100 SCH.VAC LIDL T</v>
          </cell>
        </row>
        <row r="15251">
          <cell r="C15251">
            <v>2010777</v>
          </cell>
          <cell r="D15251" t="str">
            <v>ET.70X100 ŁOP.VAC LIDL P</v>
          </cell>
        </row>
        <row r="15252">
          <cell r="C15252">
            <v>2010790</v>
          </cell>
          <cell r="D15252" t="str">
            <v>ET.70X100 ŁOP.VAC LIDL T</v>
          </cell>
        </row>
        <row r="15253">
          <cell r="C15253">
            <v>2010778</v>
          </cell>
          <cell r="D15253" t="str">
            <v>ET.70X100 KARK.VAC P</v>
          </cell>
        </row>
        <row r="15254">
          <cell r="C15254">
            <v>2010779</v>
          </cell>
          <cell r="D15254" t="str">
            <v>ET.70X100 KARK.VAC T</v>
          </cell>
        </row>
        <row r="15255">
          <cell r="C15255">
            <v>2010791</v>
          </cell>
          <cell r="D15255" t="str">
            <v>ET.70X100 SZYN.VAC P</v>
          </cell>
        </row>
        <row r="15256">
          <cell r="C15256">
            <v>2010792</v>
          </cell>
          <cell r="D15256" t="str">
            <v>ET.70X100 SZYN.VAC T</v>
          </cell>
        </row>
        <row r="15257">
          <cell r="C15257">
            <v>2010766</v>
          </cell>
          <cell r="D15257" t="str">
            <v>ET.70X100 BOCZ.VAC LIDL P</v>
          </cell>
        </row>
        <row r="15258">
          <cell r="C15258">
            <v>2010765</v>
          </cell>
          <cell r="D15258" t="str">
            <v>ET.70X100 BOCZ.VAC LIDL T</v>
          </cell>
        </row>
        <row r="15259">
          <cell r="C15259">
            <v>2010769</v>
          </cell>
          <cell r="D15259" t="str">
            <v>ET.60X90 KIEŁB.GŁOGOWSKA</v>
          </cell>
        </row>
        <row r="15260">
          <cell r="C15260">
            <v>2010916</v>
          </cell>
          <cell r="D15260" t="str">
            <v>ET.75X110 K.PODWAWELSKA PZ GRILL TESC</v>
          </cell>
        </row>
        <row r="15261">
          <cell r="C15261">
            <v>2010961</v>
          </cell>
          <cell r="D15261" t="str">
            <v>***ET.70X90 KIEŁB.TEKSAŃSKA 270G P</v>
          </cell>
        </row>
        <row r="15262">
          <cell r="C15262">
            <v>2010990</v>
          </cell>
          <cell r="D15262" t="str">
            <v>***ET.70X90 K.CEBULOWE 300G G&amp;F LIDL P</v>
          </cell>
        </row>
        <row r="15263">
          <cell r="C15263">
            <v>2010991</v>
          </cell>
          <cell r="D15263" t="str">
            <v>***ET.70X90 K.CEBULOWE 300G G&amp;F LIDL T</v>
          </cell>
        </row>
        <row r="15264">
          <cell r="C15264">
            <v>2011008</v>
          </cell>
          <cell r="D15264" t="str">
            <v>***ET.70X90 K.BIAŁE Z SZYN.G&amp;F LIDL P</v>
          </cell>
        </row>
        <row r="15265">
          <cell r="C15265">
            <v>2011009</v>
          </cell>
          <cell r="D15265" t="str">
            <v>***ET.70X90 K.BIAŁE Z SZYN.G&amp;F LIDL T</v>
          </cell>
        </row>
        <row r="15266">
          <cell r="C15266">
            <v>2011041</v>
          </cell>
          <cell r="D15266" t="str">
            <v>ET.80X100 K.ŚLĄSKA 90% 1.3KG LIDL LT P</v>
          </cell>
        </row>
        <row r="15267">
          <cell r="C15267">
            <v>2011040</v>
          </cell>
          <cell r="D15267" t="str">
            <v>ET.80X100 K.ŚLĄSKA 90% 1.3KG LIDL LT T</v>
          </cell>
        </row>
        <row r="15268">
          <cell r="C15268">
            <v>2011027</v>
          </cell>
          <cell r="D15268" t="str">
            <v>***SZNUREK DO WIĄZAŁKI BIAŁO-CZERW.</v>
          </cell>
        </row>
        <row r="15269">
          <cell r="C15269">
            <v>2011075</v>
          </cell>
          <cell r="D15269" t="str">
            <v>ET.60X90 KIEŁB.ŚLĄSKA G&amp;F LIDL T N</v>
          </cell>
        </row>
        <row r="15270">
          <cell r="C15270">
            <v>2011076</v>
          </cell>
          <cell r="D15270" t="str">
            <v>ET.OZDP.75X55 ŚLĄSKA Z SZYN.500G MOR P</v>
          </cell>
        </row>
        <row r="15271">
          <cell r="C15271">
            <v>2011038</v>
          </cell>
          <cell r="D15271" t="str">
            <v>ET.90X60 KIEŁB.ŚLĄSKA Z SZYN.550G LIDL</v>
          </cell>
        </row>
        <row r="15272">
          <cell r="C15272">
            <v>2011115</v>
          </cell>
          <cell r="D15272" t="str">
            <v>ET.90X125 K.ŚLĄSKA Z SZYN.550G LIDL P</v>
          </cell>
        </row>
        <row r="15273">
          <cell r="C15273">
            <v>2011118</v>
          </cell>
          <cell r="D15273" t="str">
            <v>***ET.TRMP.80X120 K.ZWYKŁA ARO</v>
          </cell>
        </row>
        <row r="15274">
          <cell r="C15274">
            <v>2011173</v>
          </cell>
          <cell r="D15274" t="str">
            <v>***ET.50X80 KIEŁB.TEKSAŃSKA 270G T</v>
          </cell>
        </row>
        <row r="15275">
          <cell r="C15275">
            <v>2011212</v>
          </cell>
          <cell r="D15275" t="str">
            <v>ET.OZDP.80X100 ŚLĄSKA 90% 1.3KGLIDL CZ P</v>
          </cell>
        </row>
        <row r="15276">
          <cell r="C15276">
            <v>2011157</v>
          </cell>
          <cell r="D15276" t="str">
            <v>ET.80X100 K.ŚLĄSKA 90% 1.3KG LIDL CZ T</v>
          </cell>
        </row>
        <row r="15277">
          <cell r="C15277">
            <v>2011222</v>
          </cell>
          <cell r="D15277" t="str">
            <v>ET.70X99 ŻEB.VAC LIDL P</v>
          </cell>
        </row>
        <row r="15278">
          <cell r="C15278">
            <v>2011221</v>
          </cell>
          <cell r="D15278" t="str">
            <v>ET.70X99 ŻEB.VAC LIDL T</v>
          </cell>
        </row>
        <row r="15279">
          <cell r="C15279">
            <v>2011179</v>
          </cell>
          <cell r="D15279" t="str">
            <v>ET.69.5X95 KIEŁB.DULANO LIDL EX GB</v>
          </cell>
        </row>
        <row r="15280">
          <cell r="C15280">
            <v>2011204</v>
          </cell>
          <cell r="D15280" t="str">
            <v>ET.TRM.70X99 ŻEB.LIDL LT P</v>
          </cell>
        </row>
        <row r="15281">
          <cell r="C15281">
            <v>2011205</v>
          </cell>
          <cell r="D15281" t="str">
            <v>***ET.TRM.70X99 ŻEB.LIDL LT T</v>
          </cell>
        </row>
        <row r="15282">
          <cell r="C15282">
            <v>2011252</v>
          </cell>
          <cell r="D15282" t="str">
            <v>ET.69.5X95 K.ŚLĄSKA 90% 500G LIDL RO T</v>
          </cell>
        </row>
        <row r="15283">
          <cell r="C15283">
            <v>2011253</v>
          </cell>
          <cell r="D15283" t="str">
            <v>***ET.85X71 K.ŚLĄSKA 90% 500G LIDL RO P</v>
          </cell>
        </row>
        <row r="15284">
          <cell r="C15284">
            <v>2011254</v>
          </cell>
          <cell r="D15284" t="str">
            <v>***ET.70X105 K.ŚLĄSKA GRILL TESC P</v>
          </cell>
        </row>
        <row r="15285">
          <cell r="C15285">
            <v>2011307</v>
          </cell>
          <cell r="D15285" t="str">
            <v>ET.69.5X95 K.ŚLĄSKA 90% 500G LIDL SK T</v>
          </cell>
        </row>
        <row r="15286">
          <cell r="C15286">
            <v>2011308</v>
          </cell>
          <cell r="D15286" t="str">
            <v>***ET.85X71 K.ŚLĄSKA 90% 500G LIDL SK P</v>
          </cell>
        </row>
        <row r="15287">
          <cell r="C15287">
            <v>2011310</v>
          </cell>
          <cell r="D15287" t="str">
            <v>ET.69.5X95 K.ŚLĄSKA 90% 500G LIDL HR T</v>
          </cell>
        </row>
        <row r="15288">
          <cell r="C15288">
            <v>2011309</v>
          </cell>
          <cell r="D15288" t="str">
            <v>***ET.85X71 K.ŚLĄSKA 90% 500G LIDL HR P</v>
          </cell>
        </row>
        <row r="15289">
          <cell r="C15289">
            <v>2011331</v>
          </cell>
          <cell r="D15289" t="str">
            <v>ET.69.5X95 K.ŚLĄSKA 90% 500G LIDL SI T</v>
          </cell>
        </row>
        <row r="15290">
          <cell r="C15290">
            <v>2011330</v>
          </cell>
          <cell r="D15290" t="str">
            <v>ET.85X71 K.ŚLĄSKA 90% 500G LIDL SI P</v>
          </cell>
        </row>
        <row r="15291">
          <cell r="C15291">
            <v>2011334</v>
          </cell>
          <cell r="D15291" t="str">
            <v>ET.70X99 KARK.VAC LIDL LT P</v>
          </cell>
        </row>
        <row r="15292">
          <cell r="C15292">
            <v>2011341</v>
          </cell>
          <cell r="D15292" t="str">
            <v>ET.70X99 KAR.VAC LIDL LT T</v>
          </cell>
        </row>
        <row r="15293">
          <cell r="C15293">
            <v>2011338</v>
          </cell>
          <cell r="D15293" t="str">
            <v>ET.70X99 ŁOP.VAC LIDL LT P</v>
          </cell>
        </row>
        <row r="15294">
          <cell r="C15294">
            <v>2011337</v>
          </cell>
          <cell r="D15294" t="str">
            <v>ET.70X99 ŁOP.VAC LIDL LT T</v>
          </cell>
        </row>
        <row r="15295">
          <cell r="C15295">
            <v>2011339</v>
          </cell>
          <cell r="D15295" t="str">
            <v>ET.70X99 SZYN.VAC LIDL LT P</v>
          </cell>
        </row>
        <row r="15296">
          <cell r="C15296">
            <v>2011335</v>
          </cell>
          <cell r="D15296" t="str">
            <v>ET.70X99 SZYN.VAC LIDL LT T</v>
          </cell>
        </row>
        <row r="15297">
          <cell r="C15297">
            <v>2011340</v>
          </cell>
          <cell r="D15297" t="str">
            <v>ET.70X99 SCH.VAC LIDL LT P</v>
          </cell>
        </row>
        <row r="15298">
          <cell r="C15298">
            <v>2011336</v>
          </cell>
          <cell r="D15298" t="str">
            <v>ET.70X99 SCH.VAC LIDL LT T</v>
          </cell>
        </row>
        <row r="15299">
          <cell r="C15299">
            <v>2011411</v>
          </cell>
          <cell r="D15299" t="str">
            <v>ET.OZDP.80X100 ŚLĄSKA 90% 1.3KGLIDL HU P</v>
          </cell>
        </row>
        <row r="15300">
          <cell r="C15300">
            <v>2011412</v>
          </cell>
          <cell r="D15300" t="str">
            <v>***ET.80X100K.ŚLĄSKA 90% 1.3KG LIDL HU T</v>
          </cell>
        </row>
        <row r="15301">
          <cell r="C15301">
            <v>2011523</v>
          </cell>
          <cell r="D15301" t="str">
            <v>ET.70X99 ŻEB.LIDL LT T N</v>
          </cell>
        </row>
        <row r="15302">
          <cell r="C15302">
            <v>2011517</v>
          </cell>
          <cell r="D15302" t="str">
            <v>ET.70X99 BOCZ.LIDL LT P</v>
          </cell>
        </row>
        <row r="15303">
          <cell r="C15303">
            <v>2011518</v>
          </cell>
          <cell r="D15303" t="str">
            <v>ET.70X99 BOCZ.LIDL LT T</v>
          </cell>
        </row>
        <row r="15304">
          <cell r="C15304">
            <v>2011541</v>
          </cell>
          <cell r="D15304" t="str">
            <v>ET.OZDP.80X100 ŚLĄSKA 90% 1.3KGLIDL SK P</v>
          </cell>
        </row>
        <row r="15305">
          <cell r="C15305">
            <v>2011519</v>
          </cell>
          <cell r="D15305" t="str">
            <v>ET.80X100 K.ŚLĄSKA 90% 1.3KG LIDL SK T</v>
          </cell>
        </row>
        <row r="15306">
          <cell r="C15306">
            <v>2011540</v>
          </cell>
          <cell r="D15306" t="str">
            <v>ET.60X70 PASZTETOWA MOR LT</v>
          </cell>
        </row>
        <row r="15307">
          <cell r="C15307">
            <v>2011557</v>
          </cell>
          <cell r="D15307" t="str">
            <v>***ET.85X71 K.ŚLĄSKA 90% 500G FOL LIDLSI</v>
          </cell>
        </row>
        <row r="15308">
          <cell r="C15308">
            <v>2011556</v>
          </cell>
          <cell r="D15308" t="str">
            <v>ET.85X71 K.ŚLĄSKA 90% 500G FOL LIDL HR</v>
          </cell>
        </row>
        <row r="15309">
          <cell r="C15309">
            <v>2011555</v>
          </cell>
          <cell r="D15309" t="str">
            <v>ET.85X71 K.ŚLĄSKA 90% 500G FOL LIDL SK</v>
          </cell>
        </row>
        <row r="15310">
          <cell r="C15310">
            <v>2011558</v>
          </cell>
          <cell r="D15310" t="str">
            <v>ET.85X71 K.ŚLĄSKA 90% 500G FOL LIDL RO</v>
          </cell>
        </row>
        <row r="15311">
          <cell r="C15311">
            <v>2011551</v>
          </cell>
          <cell r="D15311" t="str">
            <v>ET.60X90 KIEŁB.ŚLĄSKA 550G LIDL LT T</v>
          </cell>
        </row>
        <row r="15312">
          <cell r="C15312">
            <v>2011550</v>
          </cell>
          <cell r="D15312" t="str">
            <v>ET.90X125 KIEŁB.ŚLĄSKA 550G LIDL LT P</v>
          </cell>
        </row>
        <row r="15313">
          <cell r="C15313">
            <v>2011574</v>
          </cell>
          <cell r="D15313" t="str">
            <v>***ET.80X100 K.ŚLĄSKA 90% 1.3KG LIDLCZTN</v>
          </cell>
        </row>
        <row r="15314">
          <cell r="C15314">
            <v>2011577</v>
          </cell>
          <cell r="D15314" t="str">
            <v>***ET.60X90 K.PODWAWELSKA LIDL LT T N</v>
          </cell>
        </row>
        <row r="15315">
          <cell r="C15315">
            <v>2011578</v>
          </cell>
          <cell r="D15315" t="str">
            <v>ET.69.5X95 K.ŚLĄSKA 90% 500G LIDL PIK N</v>
          </cell>
        </row>
        <row r="15316">
          <cell r="C15316">
            <v>2011590</v>
          </cell>
          <cell r="D15316" t="str">
            <v>ET.63X85 KIEŁB.PODWAWELSKA LIDL PIK P</v>
          </cell>
        </row>
        <row r="15317">
          <cell r="C15317">
            <v>2011591</v>
          </cell>
          <cell r="D15317" t="str">
            <v>ET.60X90 K.PODWAWELSKA500G PIK LIDL T  N</v>
          </cell>
        </row>
        <row r="15318">
          <cell r="C15318">
            <v>2011589</v>
          </cell>
          <cell r="D15318" t="str">
            <v>ET.60X90K.ŚLĄSKA Z SZYN.PREM.550G LIDL T</v>
          </cell>
        </row>
        <row r="15319">
          <cell r="C15319">
            <v>2011660</v>
          </cell>
          <cell r="D15319" t="str">
            <v>***ET.50X80 KIEŁB.TEKSAŃSKA T</v>
          </cell>
        </row>
        <row r="15320">
          <cell r="C15320">
            <v>2011693</v>
          </cell>
          <cell r="D15320" t="str">
            <v>ET.90X50 KIEŁB.ŚLĄSKA 104G KRA</v>
          </cell>
        </row>
        <row r="15321">
          <cell r="C15321">
            <v>2011715</v>
          </cell>
          <cell r="D15321" t="str">
            <v>ET.58X110 BOCZ.WĘDZ.PARZ.400G KRA</v>
          </cell>
        </row>
        <row r="15322">
          <cell r="C15322">
            <v>2011748</v>
          </cell>
          <cell r="D15322" t="str">
            <v>ET.78X120 BOCZ.95%M.LAUK LT</v>
          </cell>
        </row>
        <row r="15323">
          <cell r="C15323">
            <v>2011672</v>
          </cell>
          <cell r="D15323" t="str">
            <v>ET.78X120 BOCZ.85%M.LAUK LT</v>
          </cell>
        </row>
        <row r="15324">
          <cell r="C15324">
            <v>2011753</v>
          </cell>
          <cell r="D15324" t="str">
            <v>ET.TRMP.88X90 ŻYWIECKA 286G BIED T</v>
          </cell>
        </row>
        <row r="15325">
          <cell r="C15325">
            <v>2011671</v>
          </cell>
          <cell r="D15325" t="str">
            <v>ET.TRMP.90X104 ŻYWIECKA 600G BIED T</v>
          </cell>
        </row>
        <row r="15326">
          <cell r="C15326">
            <v>2011787</v>
          </cell>
          <cell r="D15326" t="str">
            <v>ET.74X105 KIEŁB.BIAŁA Z SZYN.BIED T</v>
          </cell>
        </row>
        <row r="15327">
          <cell r="C15327">
            <v>2011845</v>
          </cell>
          <cell r="D15327" t="str">
            <v>ET.70X95 FRANK.350G T</v>
          </cell>
        </row>
        <row r="15328">
          <cell r="C15328">
            <v>2011847</v>
          </cell>
          <cell r="D15328" t="str">
            <v>ET.OZDP.63X85 PODWAW.500G PIK LT P</v>
          </cell>
        </row>
        <row r="15329">
          <cell r="C15329">
            <v>2011846</v>
          </cell>
          <cell r="D15329" t="str">
            <v>ET.TRMP.60X90 PODWAW.500G PIK LIDL LT T</v>
          </cell>
        </row>
        <row r="15330">
          <cell r="C15330">
            <v>2011901</v>
          </cell>
          <cell r="D15330" t="str">
            <v>ET.TRM.55X99</v>
          </cell>
        </row>
        <row r="15331">
          <cell r="C15331">
            <v>2011910</v>
          </cell>
          <cell r="D15331" t="str">
            <v>ET.70X100 KABAN.150G KRA PA</v>
          </cell>
        </row>
        <row r="15332">
          <cell r="C15332">
            <v>2011881</v>
          </cell>
          <cell r="D15332" t="str">
            <v>ET.47X210 BANDEROLA KRA</v>
          </cell>
        </row>
        <row r="15333">
          <cell r="C15333">
            <v>2011922</v>
          </cell>
          <cell r="D15333" t="str">
            <v>ET.70X100 KIEŁB.SWOJSKA KRA P</v>
          </cell>
        </row>
        <row r="15334">
          <cell r="C15334">
            <v>2011921</v>
          </cell>
          <cell r="D15334" t="str">
            <v>ET.OZDP.70X100 KIEŁB.SZW.KRA P</v>
          </cell>
        </row>
        <row r="15335">
          <cell r="C15335">
            <v>2011920</v>
          </cell>
          <cell r="D15335" t="str">
            <v>***ET.70X100 BOCZ.OD SZWAGRA KRA P</v>
          </cell>
        </row>
        <row r="15336">
          <cell r="C15336">
            <v>2011877</v>
          </cell>
          <cell r="D15336" t="str">
            <v>ET.TRMP.110X58 BOCZ.WĘDZ.96% PIK LIDL T</v>
          </cell>
        </row>
        <row r="15337">
          <cell r="C15337">
            <v>2011834</v>
          </cell>
          <cell r="D15337" t="str">
            <v>ET.65X80 KIEŁB.OD SZWAGRA KRA T</v>
          </cell>
        </row>
        <row r="15338">
          <cell r="C15338">
            <v>2011836</v>
          </cell>
          <cell r="D15338" t="str">
            <v>ET.TRMP.70X103 PODWAW.95% MOR T</v>
          </cell>
        </row>
        <row r="15339">
          <cell r="C15339">
            <v>2012004</v>
          </cell>
          <cell r="D15339" t="str">
            <v>***ET.STIC.FI 3 KUCHNIA POLSKA BIED</v>
          </cell>
        </row>
        <row r="15340">
          <cell r="C15340">
            <v>2011997</v>
          </cell>
          <cell r="D15340" t="str">
            <v>ET.TRMP.58X110 BOCZ.WĘDZ.PARZ.SW BIED T</v>
          </cell>
        </row>
        <row r="15341">
          <cell r="C15341">
            <v>2012054</v>
          </cell>
          <cell r="D15341" t="str">
            <v>ET.TRMP.70X90 ŻYWIECKA 286G LIDL T</v>
          </cell>
        </row>
        <row r="15342">
          <cell r="C15342">
            <v>2012066</v>
          </cell>
          <cell r="D15342" t="str">
            <v>ET.TRMP.109X153 BIZ.ŻÓŁ.U</v>
          </cell>
        </row>
        <row r="15343">
          <cell r="C15343">
            <v>2012056</v>
          </cell>
          <cell r="D15343" t="str">
            <v>ET.TRM.70X95 KIEŁB.BIAŁA Z SZYN.LIDL</v>
          </cell>
        </row>
        <row r="15344">
          <cell r="C15344">
            <v>2012055</v>
          </cell>
          <cell r="D15344" t="str">
            <v>ET.OZDP.70X90 ŻYWIECKA 286G LIDL P</v>
          </cell>
        </row>
        <row r="15345">
          <cell r="C15345">
            <v>2012102</v>
          </cell>
          <cell r="D15345" t="str">
            <v>ET.TRM.80X65 KIEŁB.KRUCHA OD SZWAGRA</v>
          </cell>
        </row>
        <row r="15346">
          <cell r="C15346">
            <v>2012149</v>
          </cell>
          <cell r="D15346" t="str">
            <v>ET.OZD.90X125 KIEŁB.BIAŁA Z SZYN.LIDL P</v>
          </cell>
        </row>
        <row r="15347">
          <cell r="C15347">
            <v>2012185</v>
          </cell>
          <cell r="D15347" t="str">
            <v>ET.OZD.60X90 SZYN.WP.PIK P</v>
          </cell>
        </row>
        <row r="15348">
          <cell r="C15348">
            <v>2012176</v>
          </cell>
          <cell r="D15348" t="str">
            <v>ET.TRM.60X80 SZYN.WP PIK T</v>
          </cell>
        </row>
        <row r="15349">
          <cell r="C15349">
            <v>2012203</v>
          </cell>
          <cell r="D15349" t="str">
            <v>ET.OZD.65X80 KIEŁ.PODSUSZANA 350G BIED P</v>
          </cell>
        </row>
        <row r="15350">
          <cell r="C15350">
            <v>2012202</v>
          </cell>
          <cell r="D15350" t="str">
            <v>ET.TRM.65X80 K.PODSUSZANA 350G BIED T</v>
          </cell>
        </row>
        <row r="15351">
          <cell r="C15351">
            <v>2012187</v>
          </cell>
          <cell r="D15351" t="str">
            <v>ET.OZD.65X80K.PODSUSZANA PIEP/MAJ.BIED P</v>
          </cell>
        </row>
        <row r="15352">
          <cell r="C15352">
            <v>2012188</v>
          </cell>
          <cell r="D15352" t="str">
            <v>ET.TRM.65X80K.PODSUSZANA PIEP/MAJ.BIED T</v>
          </cell>
        </row>
        <row r="15353">
          <cell r="C15353">
            <v>2012186</v>
          </cell>
          <cell r="D15353" t="str">
            <v>ET.TRM.70X99 SZYN.VAC LIDL SK T</v>
          </cell>
        </row>
        <row r="15354">
          <cell r="C15354">
            <v>2012189</v>
          </cell>
          <cell r="D15354" t="str">
            <v>ET.TRM.70X99 SZYN.VAC LIDL SK P</v>
          </cell>
        </row>
        <row r="15355">
          <cell r="C15355">
            <v>2012200</v>
          </cell>
          <cell r="D15355" t="str">
            <v>ET.OZD.65X80 BOCZ.WĘDZ.NA CIE.KW BIED T</v>
          </cell>
        </row>
        <row r="15356">
          <cell r="C15356">
            <v>2012201</v>
          </cell>
          <cell r="D15356" t="str">
            <v>ET.TRM.60X70 BOCZ.WĘDZ.NA CIE.KW BIED P</v>
          </cell>
        </row>
        <row r="15357">
          <cell r="C15357">
            <v>2012259</v>
          </cell>
          <cell r="D15357" t="str">
            <v>ET.TRMP.60X90 PODWAW.Z SZYN.T</v>
          </cell>
        </row>
        <row r="15358">
          <cell r="C15358">
            <v>2012257</v>
          </cell>
          <cell r="D15358" t="str">
            <v>ET.TRM.60X80 FRANKI KIEŁB.WP.240G</v>
          </cell>
        </row>
        <row r="15359">
          <cell r="C15359">
            <v>2012277</v>
          </cell>
          <cell r="D15359" t="str">
            <v>ET.TRM.60X100 KABAN.OD SZWAGRA 150G</v>
          </cell>
        </row>
        <row r="15360">
          <cell r="C15360">
            <v>2012311</v>
          </cell>
          <cell r="D15360" t="str">
            <v>ET.TRM.70X100 KARK.WP.B/K.KAUF P</v>
          </cell>
        </row>
        <row r="15361">
          <cell r="C15361">
            <v>2012313</v>
          </cell>
          <cell r="D15361" t="str">
            <v>ET.TRM.70X100 SZYN.WP.B/K.KAUF P</v>
          </cell>
        </row>
        <row r="15362">
          <cell r="C15362">
            <v>2012312</v>
          </cell>
          <cell r="D15362" t="str">
            <v>ET.TRM.70X100 ŁOP.WP.B/K.KAUF P</v>
          </cell>
        </row>
        <row r="15363">
          <cell r="C15363">
            <v>2012324</v>
          </cell>
          <cell r="D15363" t="str">
            <v>ET.TRM.70X100 SCH.KAUF</v>
          </cell>
        </row>
        <row r="15364">
          <cell r="C15364">
            <v>2012351</v>
          </cell>
          <cell r="D15364" t="str">
            <v>ET.TRM.70X99 KARK.VAC LIDL SK P</v>
          </cell>
        </row>
        <row r="15365">
          <cell r="C15365">
            <v>2012352</v>
          </cell>
          <cell r="D15365" t="str">
            <v>***ET.TRM.70X99 KARK.VAC LIDL SK T</v>
          </cell>
        </row>
        <row r="15366">
          <cell r="C15366">
            <v>2012381</v>
          </cell>
          <cell r="D15366" t="str">
            <v>ET.BAN.132X47 KIEŁB.PODWAWELSKA Z SZYN.</v>
          </cell>
        </row>
        <row r="15367">
          <cell r="C15367">
            <v>2012382</v>
          </cell>
          <cell r="D15367" t="str">
            <v>ET.TRM.70X100 KABAN.POLISH SASUAGE</v>
          </cell>
        </row>
        <row r="15368">
          <cell r="C15368">
            <v>2012386</v>
          </cell>
          <cell r="D15368" t="str">
            <v>ET.OZD.60X90 KIEŁB.TORUŃSKA PIK P</v>
          </cell>
        </row>
        <row r="15369">
          <cell r="C15369">
            <v>2012385</v>
          </cell>
          <cell r="D15369" t="str">
            <v>ET.TRM.60X90 KIEŁB.TORUŃSKA PIK T</v>
          </cell>
        </row>
        <row r="15370">
          <cell r="C15370">
            <v>2012389</v>
          </cell>
          <cell r="D15370" t="str">
            <v>***ET.TRM.60X90 FRANK.Z SZYN.220G</v>
          </cell>
        </row>
        <row r="15371">
          <cell r="C15371">
            <v>2012388</v>
          </cell>
          <cell r="D15371" t="str">
            <v>***ET.TRM.60X90KABAN.MORLIŃSKIE300G RO T</v>
          </cell>
        </row>
        <row r="15372">
          <cell r="C15372">
            <v>2012387</v>
          </cell>
          <cell r="D15372" t="str">
            <v>***ET.OZD.60X90KABAN.MORLIŃSKIE300G RO P</v>
          </cell>
        </row>
        <row r="15373">
          <cell r="C15373">
            <v>2012403</v>
          </cell>
          <cell r="D15373" t="str">
            <v>***ET.OZD.90X125K.ŚLĄSKAZ SZYN.500GLIDLP</v>
          </cell>
        </row>
        <row r="15374">
          <cell r="C15374">
            <v>2012402</v>
          </cell>
          <cell r="D15374" t="str">
            <v>***ET.TRM.60X90K.ŚLĄSKA Z SZYN.500GLIDLT</v>
          </cell>
        </row>
        <row r="15375">
          <cell r="C15375">
            <v>2012411</v>
          </cell>
          <cell r="D15375" t="str">
            <v>ET.TRM.70X80 KIEŁB.MORLIŃSKA Z BOCZ.</v>
          </cell>
        </row>
        <row r="15376">
          <cell r="C15376">
            <v>2012412</v>
          </cell>
          <cell r="D15376" t="str">
            <v>***ET.BAN.132X47 KIEŁB.MORLIŃSKA Z BOCZ.</v>
          </cell>
        </row>
        <row r="15377">
          <cell r="C15377">
            <v>2012371</v>
          </cell>
          <cell r="D15377" t="str">
            <v>ET.TRM.70X100 SCH.VAC LIDL CZ P</v>
          </cell>
        </row>
        <row r="15378">
          <cell r="C15378">
            <v>2012428</v>
          </cell>
          <cell r="D15378" t="str">
            <v>ET.TRM.70X100 SCH.VAC LIDL CZ T WE</v>
          </cell>
        </row>
        <row r="15379">
          <cell r="C15379">
            <v>2012440</v>
          </cell>
          <cell r="D15379" t="str">
            <v>***ET.TRM.70X100 SZYN.VAC LIDL CZ T</v>
          </cell>
        </row>
        <row r="15380">
          <cell r="C15380">
            <v>2012439</v>
          </cell>
          <cell r="D15380" t="str">
            <v>ET.TRM.70X100 SZYN.VAC LIDL CZ P</v>
          </cell>
        </row>
        <row r="15381">
          <cell r="C15381">
            <v>2012442</v>
          </cell>
          <cell r="D15381" t="str">
            <v>ET.TRM.70X100 KARK.VAC LIDL CZ T</v>
          </cell>
        </row>
        <row r="15382">
          <cell r="C15382">
            <v>2012441</v>
          </cell>
          <cell r="D15382" t="str">
            <v>ET.TRM.70X100 KARK.VAC LIDL CZ P</v>
          </cell>
        </row>
        <row r="15383">
          <cell r="C15383">
            <v>2012410</v>
          </cell>
          <cell r="D15383" t="str">
            <v>ET.TRM.80X100 BEST BUTCHER</v>
          </cell>
        </row>
        <row r="15384">
          <cell r="C15384">
            <v>2012516</v>
          </cell>
          <cell r="D15384" t="str">
            <v>ET.TRMP.60X80 FRANKI DROB.240G T</v>
          </cell>
        </row>
        <row r="15385">
          <cell r="C15385">
            <v>2012517</v>
          </cell>
          <cell r="D15385" t="str">
            <v>***ET.TRMP.60X80 FRANKI WP.BIAŁE 240G T</v>
          </cell>
        </row>
        <row r="15386">
          <cell r="C15386">
            <v>2012566</v>
          </cell>
          <cell r="D15386" t="str">
            <v>ET.TRM.70X103 K.PODWAWELSKA 500G KRA</v>
          </cell>
        </row>
        <row r="15387">
          <cell r="C15387">
            <v>2012547</v>
          </cell>
          <cell r="D15387" t="str">
            <v>ET.TRM.70X90 FRANKI KIEŁB.WP.240G CZ/SK</v>
          </cell>
        </row>
        <row r="15388">
          <cell r="C15388">
            <v>2012708</v>
          </cell>
          <cell r="D15388" t="str">
            <v>ET.BAN.70X90 KIEŁB.ŻYWIECKA 260G KRA N</v>
          </cell>
        </row>
        <row r="15389">
          <cell r="C15389">
            <v>2012713</v>
          </cell>
          <cell r="D15389" t="str">
            <v>ET.TRM.70X73 ŻYWIECKA ZM.WAG PRL KRA</v>
          </cell>
        </row>
        <row r="15390">
          <cell r="C15390">
            <v>2012716</v>
          </cell>
          <cell r="D15390" t="str">
            <v>ET.OZD.83X113 KIEŁB.PIEPRZOWE KRA</v>
          </cell>
        </row>
        <row r="15391">
          <cell r="C15391">
            <v>2012760</v>
          </cell>
          <cell r="D15391" t="str">
            <v>ET.TRM.70X105 ŻEB.MOST.WĘDZ.400G</v>
          </cell>
        </row>
        <row r="15392">
          <cell r="C15392">
            <v>2012770</v>
          </cell>
          <cell r="D15392" t="str">
            <v>ET.TRM.60X80 KIEŁB.ŚLĄSKA KRA</v>
          </cell>
        </row>
        <row r="15393">
          <cell r="C15393">
            <v>2012764</v>
          </cell>
          <cell r="D15393" t="str">
            <v>ET.TRM.65X80 KIEŁB.SWOJSKA KRA</v>
          </cell>
        </row>
        <row r="15394">
          <cell r="C15394">
            <v>2012763</v>
          </cell>
          <cell r="D15394" t="str">
            <v>ET.OZD.90X135 K.PODWAWELSKA Z SZYN.MOR</v>
          </cell>
        </row>
        <row r="15395">
          <cell r="C15395">
            <v>2012761</v>
          </cell>
          <cell r="D15395" t="str">
            <v>***ET.OZD.85X115K.ŚLĄSKAZSZYN.PREM.PIK P</v>
          </cell>
        </row>
        <row r="15396">
          <cell r="C15396">
            <v>2012762</v>
          </cell>
          <cell r="D15396" t="str">
            <v>ET.TRM.60X90 K.ŚLĄSKA Z SZYN.PREM.PIK T</v>
          </cell>
        </row>
        <row r="15397">
          <cell r="C15397">
            <v>2012756</v>
          </cell>
          <cell r="D15397" t="str">
            <v>***ET.OZD.60X90 K.PODWAWELSKA G&amp;F 95% P</v>
          </cell>
        </row>
        <row r="15398">
          <cell r="C15398">
            <v>2012755</v>
          </cell>
          <cell r="D15398" t="str">
            <v>ET.TRM.60X90 K.PODWAWELSKA G&amp;F 95% T</v>
          </cell>
        </row>
        <row r="15399">
          <cell r="C15399">
            <v>2012802</v>
          </cell>
          <cell r="D15399" t="str">
            <v>ET.OZDP.70X90 BIWAKOWA BAR P</v>
          </cell>
        </row>
        <row r="15400">
          <cell r="C15400">
            <v>2012803</v>
          </cell>
          <cell r="D15400" t="str">
            <v>ET.TRMP.85X100 BIWAKOWA MAP BAR T</v>
          </cell>
        </row>
        <row r="15401">
          <cell r="C15401">
            <v>2012806</v>
          </cell>
          <cell r="D15401" t="str">
            <v>ET.TRM.55X90 KABAN.CLASSIC 105G KRA GB</v>
          </cell>
        </row>
        <row r="15402">
          <cell r="C15402">
            <v>2012846</v>
          </cell>
          <cell r="D15402" t="str">
            <v>***ET.OZD.70X90 K.ŚLĄSKA CODZIENNA G&amp;F P</v>
          </cell>
        </row>
        <row r="15403">
          <cell r="C15403">
            <v>2012847</v>
          </cell>
          <cell r="D15403" t="str">
            <v>ET.TRMP.70X90 ŚLĄSKA CODZ.MAP G&amp;F T</v>
          </cell>
        </row>
        <row r="15404">
          <cell r="C15404">
            <v>2008716</v>
          </cell>
          <cell r="D15404" t="str">
            <v>***ET.TRMP.75X130 BIZ.SP U</v>
          </cell>
        </row>
        <row r="15405">
          <cell r="C15405">
            <v>2012783</v>
          </cell>
          <cell r="D15405" t="str">
            <v>ET.OZD.80X100 KIEŁB.ŚLĄSKA MP G&amp;F</v>
          </cell>
        </row>
        <row r="15406">
          <cell r="C15406">
            <v>2012945</v>
          </cell>
          <cell r="D15406" t="str">
            <v>ET.TRM.70X80 KIEŁB.TEKSAŃSKA 270G T</v>
          </cell>
        </row>
        <row r="15407">
          <cell r="C15407">
            <v>2012938</v>
          </cell>
          <cell r="D15407" t="str">
            <v>ET.OZDP.80X100 ŚLĄSKA 90%1.3KGLIDL BG P</v>
          </cell>
        </row>
        <row r="15408">
          <cell r="C15408">
            <v>2012983</v>
          </cell>
          <cell r="D15408" t="str">
            <v>ET.TRM.85x80 KIEŁB.MORLIŃSKA GRILL.</v>
          </cell>
        </row>
        <row r="15409">
          <cell r="C15409">
            <v>2012984</v>
          </cell>
          <cell r="D15409" t="str">
            <v>***ET.TRM.80X100 KIEŁB.ŚLĄSKA MP G&amp;F T</v>
          </cell>
        </row>
        <row r="15410">
          <cell r="C15410">
            <v>2013021</v>
          </cell>
          <cell r="D15410" t="str">
            <v>ET.TRM.80X90 PROSTOKĄT ZIEL.</v>
          </cell>
        </row>
        <row r="15411">
          <cell r="C15411">
            <v>2013087</v>
          </cell>
          <cell r="D15411" t="str">
            <v>ET.TRM.70X90 SZYN.KLASYCZNA SW T</v>
          </cell>
        </row>
        <row r="15412">
          <cell r="C15412">
            <v>2013088</v>
          </cell>
          <cell r="D15412" t="str">
            <v>***ET.OZD.70X60 SZYN.KLASYCZNA SW P</v>
          </cell>
        </row>
        <row r="15413">
          <cell r="C15413">
            <v>2013136</v>
          </cell>
          <cell r="D15413" t="str">
            <v>ET.OZDP.80X100 ŚLĄSKA 90% 1.3KGLIDL HR P</v>
          </cell>
        </row>
        <row r="15414">
          <cell r="C15414">
            <v>2013165</v>
          </cell>
          <cell r="D15414" t="str">
            <v>ET.TRM.70X103 KIEŁB.PODWAWELSKA MOR</v>
          </cell>
        </row>
        <row r="15415">
          <cell r="C15415">
            <v>2013169</v>
          </cell>
          <cell r="D15415" t="str">
            <v>ET.OZDP.80X100 ŚLĄSKA CODZ.G&amp;F P</v>
          </cell>
        </row>
        <row r="15416">
          <cell r="C15416">
            <v>2013190</v>
          </cell>
          <cell r="D15416" t="str">
            <v>ET.TRM.84X84 KIEŁB.ZWYCZAJNA MOR</v>
          </cell>
        </row>
        <row r="15417">
          <cell r="C15417">
            <v>2013211</v>
          </cell>
          <cell r="D15417" t="str">
            <v>ET.OZD.55X55 SZYN.KLASYCZNA ŚW P</v>
          </cell>
        </row>
        <row r="15418">
          <cell r="C15418">
            <v>2013210</v>
          </cell>
          <cell r="D15418" t="str">
            <v>ET.OZDP.60X90 GŁOGOWSKA Z SZYN.MOR P</v>
          </cell>
        </row>
        <row r="15419">
          <cell r="C15419">
            <v>2013213</v>
          </cell>
          <cell r="D15419" t="str">
            <v>ET.OZD.60X90 KIEŁB.ŻYWIECKA KRA</v>
          </cell>
        </row>
        <row r="15420">
          <cell r="C15420">
            <v>2013227</v>
          </cell>
          <cell r="D15420" t="str">
            <v>ET.OZD.88X90 KIEŁB.ŻYWIECKA 286G BIED</v>
          </cell>
        </row>
        <row r="15421">
          <cell r="C15421">
            <v>2013226</v>
          </cell>
          <cell r="D15421" t="str">
            <v>ET.OZD.70X90 KIEŁB.ŻYWIECKA 286G LIDL P</v>
          </cell>
        </row>
        <row r="15422">
          <cell r="C15422">
            <v>2013225</v>
          </cell>
          <cell r="D15422" t="str">
            <v>ET.OZD.60X80 SZYN.ZRAZOWA KRA</v>
          </cell>
        </row>
        <row r="15423">
          <cell r="C15423">
            <v>2013217</v>
          </cell>
          <cell r="D15423" t="str">
            <v>***ET.OZD.80X100K.ŚLĄSKA 1.3KG LIDL AT P</v>
          </cell>
        </row>
        <row r="15424">
          <cell r="C15424">
            <v>2013218</v>
          </cell>
          <cell r="D15424" t="str">
            <v>ET.TRM.80X100 K.ŚLĄSKA 1.3KG LIDL AT T</v>
          </cell>
        </row>
        <row r="15425">
          <cell r="C15425">
            <v>2013298</v>
          </cell>
          <cell r="D15425" t="str">
            <v>ET.OZDP.70X90 ŚLĄSKA MP MOR P</v>
          </cell>
        </row>
        <row r="15426">
          <cell r="C15426">
            <v>2013335</v>
          </cell>
          <cell r="D15426" t="str">
            <v>***ET.OZD.80X100 SLESKA KOBASICA G&amp;F</v>
          </cell>
        </row>
        <row r="15427">
          <cell r="C15427">
            <v>2013480</v>
          </cell>
          <cell r="D15427" t="str">
            <v>***ET.TRM.80X100 SLESKA KOBASICA G&amp;F T</v>
          </cell>
        </row>
        <row r="15428">
          <cell r="C15428">
            <v>2013366</v>
          </cell>
          <cell r="D15428" t="str">
            <v>ET.OZDP.90X100 ŚLĄSKA DUL P</v>
          </cell>
        </row>
        <row r="15429">
          <cell r="C15429">
            <v>2013501</v>
          </cell>
          <cell r="D15429" t="str">
            <v>***ET.TRM.69X95 KIEŁB.ŚLĄSKA DUL T</v>
          </cell>
        </row>
        <row r="15430">
          <cell r="C15430">
            <v>2013528</v>
          </cell>
          <cell r="D15430" t="str">
            <v>ET.OZD.90X100 KIEŁB.ŚLĄSKA 198 KCAL DUL</v>
          </cell>
        </row>
        <row r="15431">
          <cell r="C15431">
            <v>2013532</v>
          </cell>
          <cell r="D15431" t="str">
            <v>ET.OZD.60X90 KIEŁB.TORUŃSKA PIK P N</v>
          </cell>
        </row>
        <row r="15432">
          <cell r="C15432">
            <v>2013533</v>
          </cell>
          <cell r="D15432" t="str">
            <v>ET.OZD.63X85 KIEŁB.PODWAWELSKA PIK P N</v>
          </cell>
        </row>
        <row r="15433">
          <cell r="C15433">
            <v>2013529</v>
          </cell>
          <cell r="D15433" t="str">
            <v>ET.TRM.60X89 KIEŁB.PODWAWELSKA PIK T</v>
          </cell>
        </row>
        <row r="15434">
          <cell r="C15434">
            <v>2013530</v>
          </cell>
          <cell r="D15434" t="str">
            <v>ET.TRMP.69X95 ŚLĄSKA 550GMAP HR T</v>
          </cell>
        </row>
        <row r="15435">
          <cell r="C15435">
            <v>2013531</v>
          </cell>
          <cell r="D15435" t="str">
            <v>ET.OZDF.71X85 ŚLĄSKA 90% HR P</v>
          </cell>
        </row>
        <row r="15436">
          <cell r="C15436">
            <v>2013559</v>
          </cell>
          <cell r="D15436" t="str">
            <v>ET.TRMP.70X90 ŻYWIECKA XXL 572G PIK T</v>
          </cell>
        </row>
        <row r="15437">
          <cell r="C15437">
            <v>2013558</v>
          </cell>
          <cell r="D15437" t="str">
            <v>ET.OZDP.50X85 ŻYWIECKA PIK P</v>
          </cell>
        </row>
        <row r="15438">
          <cell r="C15438">
            <v>2013609</v>
          </cell>
          <cell r="D15438" t="str">
            <v>ET.FOL.PP 70X100 KARK.VAC P</v>
          </cell>
        </row>
        <row r="15439">
          <cell r="C15439">
            <v>2013632</v>
          </cell>
          <cell r="D15439" t="str">
            <v>ET.OZDP.80X100 ŚLĄSKA 90%1.3KGLIDL RO P</v>
          </cell>
        </row>
        <row r="15440">
          <cell r="C15440">
            <v>2013496</v>
          </cell>
          <cell r="D15440" t="str">
            <v>ET.FOL.PP 70X100 SZYN.VAC P</v>
          </cell>
        </row>
        <row r="15441">
          <cell r="C15441">
            <v>2013571</v>
          </cell>
          <cell r="D15441" t="str">
            <v>ET.FOL.PP 70X99 ŻEB.VAC LIDL LT P</v>
          </cell>
        </row>
        <row r="15442">
          <cell r="C15442">
            <v>2013425</v>
          </cell>
          <cell r="D15442" t="str">
            <v>ET.FOL.PP 70X100 BOCZ.VAC LIDL P</v>
          </cell>
        </row>
        <row r="15443">
          <cell r="C15443">
            <v>2013620</v>
          </cell>
          <cell r="D15443" t="str">
            <v>ET.FOL.PP 70X99 ŁOP.VAC SK P</v>
          </cell>
        </row>
        <row r="15444">
          <cell r="C15444">
            <v>2013498</v>
          </cell>
          <cell r="D15444" t="str">
            <v>ET.FOL.PP 70X100 SZYN.VAC SK P</v>
          </cell>
        </row>
        <row r="15445">
          <cell r="C15445">
            <v>2013621</v>
          </cell>
          <cell r="D15445" t="str">
            <v>ET.FOL.PP 70X100 SCH.VAC LIDL CZ P</v>
          </cell>
        </row>
        <row r="15446">
          <cell r="C15446">
            <v>2013631</v>
          </cell>
          <cell r="D15446" t="str">
            <v>ET.TRM.60X80 KIEŁB.ŚLĄSKA 104G KRA P</v>
          </cell>
        </row>
        <row r="15447">
          <cell r="C15447">
            <v>2013579</v>
          </cell>
          <cell r="D15447" t="str">
            <v>ET.FOL.PP 70X99 KARK.VAC LIDL LT P</v>
          </cell>
        </row>
        <row r="15448">
          <cell r="C15448">
            <v>2013622</v>
          </cell>
          <cell r="D15448" t="str">
            <v>ET.FOL.PP 70X99 SZYN.VAC LIDL LT P</v>
          </cell>
        </row>
        <row r="15449">
          <cell r="C15449">
            <v>2013640</v>
          </cell>
          <cell r="D15449" t="str">
            <v>ET.FOL.PP 70X99 ŻEB.LIDL LT P</v>
          </cell>
        </row>
        <row r="15450">
          <cell r="C15450">
            <v>2013420</v>
          </cell>
          <cell r="D15450" t="str">
            <v>ET.TRMF.70X99 ŻEB.VAC LIDL P</v>
          </cell>
        </row>
        <row r="15451">
          <cell r="C15451">
            <v>2013423</v>
          </cell>
          <cell r="D15451" t="str">
            <v>ET.FOL.PP 70X100 ŁOP.VAC LIDL P</v>
          </cell>
        </row>
        <row r="15452">
          <cell r="C15452">
            <v>2013581</v>
          </cell>
          <cell r="D15452" t="str">
            <v>ET.FOL.PP 70X99 ŁOP.VAC LIDL LT P</v>
          </cell>
        </row>
        <row r="15453">
          <cell r="C15453">
            <v>2013624</v>
          </cell>
          <cell r="D15453" t="str">
            <v>ET.OZDF.85X71 ŚLĄSKA 90% RO P</v>
          </cell>
        </row>
        <row r="15454">
          <cell r="C15454">
            <v>2013623</v>
          </cell>
          <cell r="D15454" t="str">
            <v>ET.TRMP.69X95 ŚLĄSKA 550GMAP RO T</v>
          </cell>
        </row>
        <row r="15455">
          <cell r="C15455">
            <v>2013627</v>
          </cell>
          <cell r="D15455" t="str">
            <v>ET.OZDF.71X85 ŚLĄSKA 90% SK P</v>
          </cell>
        </row>
        <row r="15456">
          <cell r="C15456">
            <v>2013626</v>
          </cell>
          <cell r="D15456" t="str">
            <v>ET.TRMP.69X95 ŚLĄSKA 550GMAP SK T</v>
          </cell>
        </row>
        <row r="15457">
          <cell r="C15457">
            <v>2013681</v>
          </cell>
          <cell r="D15457" t="str">
            <v>ET.TRMP.80X100.PODWAW.ARO T</v>
          </cell>
        </row>
        <row r="15458">
          <cell r="C15458">
            <v>2013680</v>
          </cell>
          <cell r="D15458" t="str">
            <v>ET.TRMP.70X90 SZYN.KLAS.KW BIED T</v>
          </cell>
        </row>
        <row r="15459">
          <cell r="C15459">
            <v>2013682</v>
          </cell>
          <cell r="D15459" t="str">
            <v>ET.OZDP.55X55 SZYN.KLAS.KW BIED P</v>
          </cell>
        </row>
        <row r="15460">
          <cell r="C15460">
            <v>2013693</v>
          </cell>
          <cell r="D15460" t="str">
            <v>ET.TRMP.70X103 PODWAW.96% KW T</v>
          </cell>
        </row>
        <row r="15461">
          <cell r="C15461">
            <v>2013715</v>
          </cell>
          <cell r="D15461" t="str">
            <v>ET.OZD.60X80 SZYN.GOLD KRA</v>
          </cell>
        </row>
        <row r="15462">
          <cell r="C15462">
            <v>2013716</v>
          </cell>
          <cell r="D15462" t="str">
            <v>ET.TRM.60X80 SZYN.GOLD KRA</v>
          </cell>
        </row>
        <row r="15463">
          <cell r="C15463">
            <v>2013733</v>
          </cell>
          <cell r="D15463" t="str">
            <v>ET.TRM.55X90 KABAN.CLASSIC 105G KRA</v>
          </cell>
        </row>
        <row r="15464">
          <cell r="C15464">
            <v>2013750</v>
          </cell>
          <cell r="D15464" t="str">
            <v>ET.TRMP.60X98 KABAN.CLASS.180G KRA T</v>
          </cell>
        </row>
        <row r="15465">
          <cell r="C15465">
            <v>2013769</v>
          </cell>
          <cell r="D15465" t="str">
            <v>ET.TRMP.85X100 SZYN.VAC TESC T</v>
          </cell>
        </row>
        <row r="15466">
          <cell r="C15466">
            <v>2013802</v>
          </cell>
          <cell r="D15466" t="str">
            <v>ET.TRMF.70X100 SZYN.VAC T</v>
          </cell>
        </row>
        <row r="15467">
          <cell r="C15467">
            <v>2013842</v>
          </cell>
          <cell r="D15467" t="str">
            <v>ET.TRMF.70X100 KARK.VAC LIDL PP T</v>
          </cell>
        </row>
        <row r="15468">
          <cell r="C15468">
            <v>2013855</v>
          </cell>
          <cell r="D15468" t="str">
            <v>ET.TRMF.70X100 ŁOP.VAC LIDL PP T</v>
          </cell>
        </row>
        <row r="15469">
          <cell r="C15469">
            <v>2013874</v>
          </cell>
          <cell r="D15469" t="str">
            <v>ET.TRMP.60X90 PODWAW.95% PIK T</v>
          </cell>
        </row>
        <row r="15470">
          <cell r="C15470">
            <v>2013875</v>
          </cell>
          <cell r="D15470" t="str">
            <v>ET.OZDP.65X90 PODWAW.95% PIK P</v>
          </cell>
        </row>
        <row r="15471">
          <cell r="C15471">
            <v>2013907</v>
          </cell>
          <cell r="D15471" t="str">
            <v>ET.TRMF.70X100 BOCZ.VAC LIDL PP T</v>
          </cell>
        </row>
        <row r="15472">
          <cell r="C15472">
            <v>2013912</v>
          </cell>
          <cell r="D15472" t="str">
            <v>ET.FOL.PP 70X100 SCH.VAC LIDL T</v>
          </cell>
        </row>
        <row r="15473">
          <cell r="C15473">
            <v>2014030</v>
          </cell>
          <cell r="D15473" t="str">
            <v>ET.TRM.70X103 KIEŁB.TORUŃSKA 520G MOR</v>
          </cell>
        </row>
        <row r="15474">
          <cell r="C15474">
            <v>2014081</v>
          </cell>
          <cell r="D15474" t="str">
            <v>ET.OZD.83X113 KIEŁB.BIAŁA KRA</v>
          </cell>
        </row>
        <row r="15475">
          <cell r="C15475">
            <v>2014157</v>
          </cell>
          <cell r="D15475" t="str">
            <v>ET.TRMF.100X70 BOCZ.VAC LIDL P</v>
          </cell>
        </row>
        <row r="15476">
          <cell r="C15476">
            <v>2014158</v>
          </cell>
          <cell r="D15476" t="str">
            <v>ET.FOL.PP 100X70 ŻEB.VAC LIDL P</v>
          </cell>
        </row>
        <row r="15477">
          <cell r="C15477">
            <v>2014180</v>
          </cell>
          <cell r="D15477" t="str">
            <v>ET.TRMF.100X70 ŁOP.VAC LIDL P</v>
          </cell>
        </row>
        <row r="15478">
          <cell r="C15478">
            <v>2014159</v>
          </cell>
          <cell r="D15478" t="str">
            <v>ET.TRMF.100X70 KARK.VAC LIDL P</v>
          </cell>
        </row>
        <row r="15479">
          <cell r="C15479">
            <v>2014184</v>
          </cell>
          <cell r="D15479" t="str">
            <v>ET.TRMF.100X70 SCH.VAC LIDL P</v>
          </cell>
        </row>
        <row r="15480">
          <cell r="C15480">
            <v>2014181</v>
          </cell>
          <cell r="D15480" t="str">
            <v>ET.TRMF.100X70 SZYN.VAC LIDL P</v>
          </cell>
        </row>
        <row r="15481">
          <cell r="C15481">
            <v>2014182</v>
          </cell>
          <cell r="D15481" t="str">
            <v>ET.FOL.PP 70X100 ŻEB.VAC LIDL T</v>
          </cell>
        </row>
        <row r="15482">
          <cell r="C15482">
            <v>2014183</v>
          </cell>
          <cell r="D15482" t="str">
            <v>ET.TRMF.70X100 SCH.VAC LIDL PP T</v>
          </cell>
        </row>
        <row r="15483">
          <cell r="C15483">
            <v>2014215</v>
          </cell>
          <cell r="D15483" t="str">
            <v>ET.TRMP.50X70 BIZ.BIA.U</v>
          </cell>
        </row>
        <row r="15484">
          <cell r="C15484">
            <v>2014260</v>
          </cell>
          <cell r="D15484" t="str">
            <v>ET.TRM.58X110 BOCZ.CARSKI MOR</v>
          </cell>
        </row>
        <row r="15485">
          <cell r="C15485">
            <v>2014292</v>
          </cell>
          <cell r="D15485" t="str">
            <v>ET.TRM.58X110 BOCZ.OKOPC.MOR</v>
          </cell>
        </row>
        <row r="15486">
          <cell r="C15486">
            <v>2014294</v>
          </cell>
          <cell r="D15486" t="str">
            <v>ET.TRM.90X70 BAL.MOR</v>
          </cell>
        </row>
        <row r="15487">
          <cell r="C15487">
            <v>2014317</v>
          </cell>
          <cell r="D15487" t="str">
            <v>ET.OZD.115X75 BOCZ.OKOPC.MOR</v>
          </cell>
        </row>
        <row r="15488">
          <cell r="C15488">
            <v>2014325</v>
          </cell>
          <cell r="D15488" t="str">
            <v>***ET.TRM.73X102 KIEŁB.ŚLĄSKA 550G KW</v>
          </cell>
        </row>
        <row r="15489">
          <cell r="C15489">
            <v>2014376</v>
          </cell>
          <cell r="D15489" t="str">
            <v>***ET.TRM.73X102 KIEŁB.ŚLĄSKA MP KW</v>
          </cell>
        </row>
        <row r="15490">
          <cell r="C15490">
            <v>2014361</v>
          </cell>
          <cell r="D15490" t="str">
            <v>ET.OZD.70X90 KIEŁB.ŚLĄSKA MP KW</v>
          </cell>
        </row>
        <row r="15491">
          <cell r="C15491">
            <v>2013421</v>
          </cell>
          <cell r="D15491" t="str">
            <v>ET.FOL.PP 70X100 SZYN.VAC LIDL P</v>
          </cell>
        </row>
        <row r="15492">
          <cell r="C15492">
            <v>2014418</v>
          </cell>
          <cell r="D15492" t="str">
            <v>***ET.OZDP.80x100 KIEŁB.BOCZ/CEB.G&amp;F P</v>
          </cell>
        </row>
        <row r="15493">
          <cell r="C15493">
            <v>2014419</v>
          </cell>
          <cell r="D15493" t="str">
            <v>***ET.OZDP.80X100 KIEŁB.SER/CHILI G&amp;F P</v>
          </cell>
        </row>
        <row r="15494">
          <cell r="C15494">
            <v>2014430</v>
          </cell>
          <cell r="D15494" t="str">
            <v>***ET.TRMP.75X90 KIEŁB.BOCZ/CEB.G&amp;F T</v>
          </cell>
        </row>
        <row r="15495">
          <cell r="C15495">
            <v>2014417</v>
          </cell>
          <cell r="D15495" t="str">
            <v>***ET.TRMP.75X90 KIEŁB.SER/CHILI G&amp;F T</v>
          </cell>
        </row>
        <row r="15496">
          <cell r="C15496">
            <v>2014434</v>
          </cell>
          <cell r="D15496" t="str">
            <v>ET.STICP.50X22.KABAN.DROB.-WP.150G KRA</v>
          </cell>
        </row>
        <row r="15497">
          <cell r="C15497">
            <v>2014433</v>
          </cell>
          <cell r="D15497" t="str">
            <v>ET.STICP.50X22.KABAN.WP.150G KRA</v>
          </cell>
        </row>
        <row r="15498">
          <cell r="C15498">
            <v>2014435</v>
          </cell>
          <cell r="D15498" t="str">
            <v>ET.STICP.50X22.KABAN.WP.95G KRA</v>
          </cell>
        </row>
        <row r="15499">
          <cell r="C15499">
            <v>2014436</v>
          </cell>
          <cell r="D15499" t="str">
            <v>ET.STICP.50X22.KABAN.DROB.-WP.95G KRA</v>
          </cell>
        </row>
        <row r="15500">
          <cell r="C15500">
            <v>2014431</v>
          </cell>
          <cell r="D15500" t="str">
            <v>ET.STICP.35X50.KABAN.DROB.-WP.300G MOR</v>
          </cell>
        </row>
        <row r="15501">
          <cell r="C15501">
            <v>2014432</v>
          </cell>
          <cell r="D15501" t="str">
            <v>ET.STICP.35X50.KABAN.WP.300G MOR</v>
          </cell>
        </row>
        <row r="15502">
          <cell r="C15502">
            <v>2014467</v>
          </cell>
          <cell r="D15502" t="str">
            <v>ET.TRMP.58X110 BOCZ.WĘDZ.PARZ.MOR T</v>
          </cell>
        </row>
        <row r="15503">
          <cell r="C15503">
            <v>2014470</v>
          </cell>
          <cell r="D15503" t="str">
            <v>ET.OZDP.115X70 BOCZ.WĘDZ.PARZ.MOR P</v>
          </cell>
        </row>
        <row r="15504">
          <cell r="C15504">
            <v>2013713</v>
          </cell>
          <cell r="D15504" t="str">
            <v>ET.OZDP.90X100 ŚLĄSKA 1.3KG LIDL P</v>
          </cell>
        </row>
        <row r="15505">
          <cell r="C15505">
            <v>2014522</v>
          </cell>
          <cell r="D15505" t="str">
            <v>ET.TRMP.72X102 KIEŁB.TORUŃSKA 520G MOR</v>
          </cell>
        </row>
        <row r="15506">
          <cell r="C15506">
            <v>2014547</v>
          </cell>
          <cell r="D15506" t="str">
            <v>ET.TRMP.70X105 SZYN.DELIKATNA 70% MOR</v>
          </cell>
        </row>
        <row r="15507">
          <cell r="C15507">
            <v>2014640</v>
          </cell>
          <cell r="D15507" t="str">
            <v>ET.TRMP.68X90 K.CZOSNKOWA MOR UK/LT/EE</v>
          </cell>
        </row>
        <row r="15508">
          <cell r="C15508">
            <v>2014652</v>
          </cell>
          <cell r="D15508" t="str">
            <v>ET.BANP.70X90 KIEŁB.ŻYWIECKA 230G KRA</v>
          </cell>
        </row>
        <row r="15509">
          <cell r="C15509">
            <v>2013432</v>
          </cell>
          <cell r="D15509" t="str">
            <v>ET.FOL.PP 70X100 SCH.VAC LIDL P</v>
          </cell>
        </row>
        <row r="15510">
          <cell r="C15510">
            <v>2014654</v>
          </cell>
          <cell r="D15510" t="str">
            <v>ET.TRMP.80X100 ŻEB.MOR T</v>
          </cell>
        </row>
        <row r="15511">
          <cell r="C15511">
            <v>2014723</v>
          </cell>
          <cell r="D15511" t="str">
            <v>ET.OZDP.50X85 ŻYWIECKA 600G LIDL P</v>
          </cell>
        </row>
        <row r="15512">
          <cell r="C15512">
            <v>2014703</v>
          </cell>
          <cell r="D15512" t="str">
            <v>ET.TRMP.70X90 ŻYWIECKA 600G LIDL T</v>
          </cell>
        </row>
        <row r="15513">
          <cell r="C15513">
            <v>2014847</v>
          </cell>
          <cell r="D15513" t="str">
            <v>ET.TRMP.74X105 K.BIAŁA Z SZYN.MAP KW T</v>
          </cell>
        </row>
        <row r="15514">
          <cell r="C15514">
            <v>2014872</v>
          </cell>
          <cell r="D15514" t="str">
            <v>ET.TRMP.60X90 GŁOGOWSKA Z SZYN.MOR T</v>
          </cell>
        </row>
        <row r="15515">
          <cell r="C15515">
            <v>2014874</v>
          </cell>
          <cell r="D15515" t="str">
            <v>ET.TRMP.72X102 PODWAW.MOR PL/UK T</v>
          </cell>
        </row>
        <row r="15516">
          <cell r="C15516">
            <v>2014903</v>
          </cell>
          <cell r="D15516" t="str">
            <v>ET.TRMP.65X80 BIZ.ZIEL.PROSTOKĄT U</v>
          </cell>
        </row>
        <row r="15517">
          <cell r="C15517">
            <v>2015078</v>
          </cell>
          <cell r="D15517" t="str">
            <v>ET.TRMP.70X90 POL.SOPOCKA MOR</v>
          </cell>
        </row>
        <row r="15518">
          <cell r="C15518">
            <v>2015093</v>
          </cell>
          <cell r="D15518" t="str">
            <v>ET.TRMP.70X80 SCH.OD SZWAGRA KRA T</v>
          </cell>
        </row>
        <row r="15519">
          <cell r="C15519">
            <v>2015186</v>
          </cell>
          <cell r="D15519" t="str">
            <v>ET.TRMP.72X102 FRANK.MAP MOR PL/GB T</v>
          </cell>
        </row>
        <row r="15520">
          <cell r="C15520">
            <v>2015185</v>
          </cell>
          <cell r="D15520" t="str">
            <v>ET.TRMP.58X110 BOCZ.WĘDZ.PARZ.97% ALDI T</v>
          </cell>
        </row>
        <row r="15521">
          <cell r="C15521">
            <v>2014834</v>
          </cell>
          <cell r="D15521" t="str">
            <v>ET.TRMP.90X100 M.WP.KAUF P</v>
          </cell>
        </row>
        <row r="15522">
          <cell r="C15522">
            <v>2015197</v>
          </cell>
          <cell r="D15522" t="str">
            <v>ET.TRMP.70X99 KABAN.KLAS.180G KRA T</v>
          </cell>
        </row>
        <row r="15523">
          <cell r="C15523">
            <v>2015198</v>
          </cell>
          <cell r="D15523" t="str">
            <v>ET.TRMP.70X99 ŚLĄSKA 104GMAP KRA T</v>
          </cell>
        </row>
        <row r="15524">
          <cell r="C15524">
            <v>2015233</v>
          </cell>
          <cell r="D15524" t="str">
            <v>ET.TRMF.55X75 ŻYWIECKA PODSUSZ.KRA P</v>
          </cell>
        </row>
        <row r="15525">
          <cell r="C15525">
            <v>2015223</v>
          </cell>
          <cell r="D15525" t="str">
            <v>ET.TRMP.70X100 BIZERBA KRA</v>
          </cell>
        </row>
        <row r="15526">
          <cell r="C15526">
            <v>2015241</v>
          </cell>
          <cell r="D15526" t="str">
            <v>ET.BANF.210X47 KABAN.KLAS.KRA</v>
          </cell>
        </row>
        <row r="15527">
          <cell r="C15527">
            <v>2015240</v>
          </cell>
          <cell r="D15527" t="str">
            <v>ET.BANF.210X47 ŻYWIECKA PODSUSZ.KRA</v>
          </cell>
        </row>
        <row r="15528">
          <cell r="C15528">
            <v>2015242</v>
          </cell>
          <cell r="D15528" t="str">
            <v>ET.TRMP.60X80 POL.ŁOSOS.KRA T</v>
          </cell>
        </row>
        <row r="15529">
          <cell r="C15529">
            <v>2015243</v>
          </cell>
          <cell r="D15529" t="str">
            <v>ET.OZDP.50X80 POL.ŁOSOS.KRA P</v>
          </cell>
        </row>
        <row r="15530">
          <cell r="C15530">
            <v>2015244</v>
          </cell>
          <cell r="D15530" t="str">
            <v>ET.TRMP.50X80 WĘDZ.KROTOSZYŃSKA KRA T</v>
          </cell>
        </row>
        <row r="15531">
          <cell r="C15531">
            <v>2015229</v>
          </cell>
          <cell r="D15531" t="str">
            <v>ET.TRMP.50X80 WĘDZ.KROTOSZYŃSKA KRA P</v>
          </cell>
        </row>
        <row r="15532">
          <cell r="C15532">
            <v>2015202</v>
          </cell>
          <cell r="D15532" t="str">
            <v>ET.STICP.FI40 MP</v>
          </cell>
        </row>
        <row r="15533">
          <cell r="C15533">
            <v>2015206</v>
          </cell>
          <cell r="D15533" t="str">
            <v>ET.TRMP.70X90 ŻYWIECKA PODSUSZ.KRA T</v>
          </cell>
        </row>
        <row r="15534">
          <cell r="C15534">
            <v>2015207</v>
          </cell>
          <cell r="D15534" t="str">
            <v>ET.STICP.FI35 ODBIERZ ZA 1 GROSZ</v>
          </cell>
        </row>
        <row r="15535">
          <cell r="C15535">
            <v>2015308</v>
          </cell>
          <cell r="D15535" t="str">
            <v>ET.TRMP.60X80 SZYN.B/KNST.KRA T</v>
          </cell>
        </row>
        <row r="15536">
          <cell r="C15536">
            <v>2015309</v>
          </cell>
          <cell r="D15536" t="str">
            <v>***ET.TRMP.60X105 PODWAW.500G KRA T</v>
          </cell>
        </row>
        <row r="15537">
          <cell r="C15537">
            <v>2015312</v>
          </cell>
          <cell r="D15537" t="str">
            <v>ET.OZDP.80X100 SZYN.OD KRAK.KRA P</v>
          </cell>
        </row>
        <row r="15538">
          <cell r="C15538">
            <v>2015315</v>
          </cell>
          <cell r="D15538" t="str">
            <v>***ET.TRMP.70X100 SZYN.OD KRAK.KRA T</v>
          </cell>
        </row>
        <row r="15539">
          <cell r="C15539">
            <v>2015314</v>
          </cell>
          <cell r="D15539" t="str">
            <v>ET.OZDP.80X100 SCH.OD KRAK.KRA P</v>
          </cell>
        </row>
        <row r="15540">
          <cell r="C15540">
            <v>2015313</v>
          </cell>
          <cell r="D15540" t="str">
            <v>***ET.TRMP.70X100 SCH.OD KRAK.KRA T</v>
          </cell>
        </row>
        <row r="15541">
          <cell r="C15541">
            <v>2015311</v>
          </cell>
          <cell r="D15541" t="str">
            <v>ET.TRMP.55X100 POL.WĘDZ.KRA T</v>
          </cell>
        </row>
        <row r="15542">
          <cell r="C15542">
            <v>2015296</v>
          </cell>
          <cell r="D15542" t="str">
            <v>ET.OZDP.50X80 SZYN.B/KNST.KRA P</v>
          </cell>
        </row>
        <row r="15543">
          <cell r="C15543">
            <v>2015297</v>
          </cell>
          <cell r="D15543" t="str">
            <v>***ET.TRMP.70X100 BOCZ.OD KRAK.KRA TWE</v>
          </cell>
        </row>
        <row r="15544">
          <cell r="C15544">
            <v>2015346</v>
          </cell>
          <cell r="D15544" t="str">
            <v>ET.OZDP.50X70 SCH.ZAPIEK.KRA P</v>
          </cell>
        </row>
        <row r="15545">
          <cell r="C15545">
            <v>2015353</v>
          </cell>
          <cell r="D15545" t="str">
            <v>ET.OZDP.50X70 SZYN.ZAPIEK.KRA P</v>
          </cell>
        </row>
        <row r="15546">
          <cell r="C15546">
            <v>2015354</v>
          </cell>
          <cell r="D15546" t="str">
            <v>ET.OZDP.50X70 BOCZ.ZAPIEK.KRA P</v>
          </cell>
        </row>
        <row r="15547">
          <cell r="C15547">
            <v>2015355</v>
          </cell>
          <cell r="D15547" t="str">
            <v>ET.TRMP.60X80 SCH.ZAPIEK.KRA T</v>
          </cell>
        </row>
        <row r="15548">
          <cell r="C15548">
            <v>2015348</v>
          </cell>
          <cell r="D15548" t="str">
            <v>ET.TRMP.60X80 SZYN.ZAPIEK.KRA T</v>
          </cell>
        </row>
        <row r="15549">
          <cell r="C15549">
            <v>2015349</v>
          </cell>
          <cell r="D15549" t="str">
            <v>ET.TRMP.60X80 BOCZ.ZAPIEK.KRA T</v>
          </cell>
        </row>
        <row r="15550">
          <cell r="C15550">
            <v>2015347</v>
          </cell>
          <cell r="D15550" t="str">
            <v>ET.TRMP.58X110 BOCZ.WĘDZ.KW T</v>
          </cell>
        </row>
        <row r="15551">
          <cell r="C15551">
            <v>2015361</v>
          </cell>
          <cell r="D15551" t="str">
            <v>ET.TRMP.58X110 BOCZ.WĘDZ.PIK T WE</v>
          </cell>
        </row>
        <row r="15552">
          <cell r="C15552">
            <v>2015392</v>
          </cell>
          <cell r="D15552" t="str">
            <v>ET.OZDP.50X80 SZYN.ZRAZOWA KRA P</v>
          </cell>
        </row>
        <row r="15553">
          <cell r="C15553">
            <v>2015393</v>
          </cell>
          <cell r="D15553" t="str">
            <v>ET.TRMP.60X80 SZYN.ZRAZOWA KRA T</v>
          </cell>
        </row>
        <row r="15554">
          <cell r="C15554">
            <v>2015389</v>
          </cell>
          <cell r="D15554" t="str">
            <v>ET.TRMP.109X153 BIZ.CZER.U</v>
          </cell>
        </row>
        <row r="15555">
          <cell r="C15555">
            <v>2015423</v>
          </cell>
          <cell r="D15555" t="str">
            <v>ET.TRMP.58X110 BOCZ.BIA.WĘDZ.PARZ.MOR P</v>
          </cell>
        </row>
        <row r="15556">
          <cell r="C15556">
            <v>2015469</v>
          </cell>
          <cell r="D15556" t="str">
            <v>ET.TRMF.100X70 BOCZ.VAC LIDL PP P</v>
          </cell>
        </row>
        <row r="15557">
          <cell r="C15557">
            <v>2015474</v>
          </cell>
          <cell r="D15557" t="str">
            <v>ET.OZDP.55X75 ŻYWIECKA 230G DE P</v>
          </cell>
        </row>
        <row r="15558">
          <cell r="C15558">
            <v>2015468</v>
          </cell>
          <cell r="D15558" t="str">
            <v>ET.TRMP.70X90 ŻYWIECKA 230G DE T</v>
          </cell>
        </row>
        <row r="15559">
          <cell r="C15559">
            <v>2015480</v>
          </cell>
          <cell r="D15559" t="str">
            <v>ET.TRMF.100X70 KARK.VAC LIDL PP P</v>
          </cell>
        </row>
        <row r="15560">
          <cell r="C15560">
            <v>2015481</v>
          </cell>
          <cell r="D15560" t="str">
            <v>ET.TRMF.100X70 ŁOP.VAC LIDL PP P</v>
          </cell>
        </row>
        <row r="15561">
          <cell r="C15561">
            <v>2015482</v>
          </cell>
          <cell r="D15561" t="str">
            <v>ET.TRMF.100X70 SZYN.VAC LIDL PP P</v>
          </cell>
        </row>
        <row r="15562">
          <cell r="C15562">
            <v>2015483</v>
          </cell>
          <cell r="D15562" t="str">
            <v>ET.TRMF.100X70 SCH.VAC LIDL PP P</v>
          </cell>
        </row>
        <row r="15563">
          <cell r="C15563">
            <v>2015484</v>
          </cell>
          <cell r="D15563" t="str">
            <v>ET.TRMP.68X90 K.CZOSN.MOR LT/EE T</v>
          </cell>
        </row>
        <row r="15564">
          <cell r="C15564">
            <v>2015485</v>
          </cell>
          <cell r="D15564" t="str">
            <v>ET.TRMP.68X90 K.CZOSN.MOR PL/GB T</v>
          </cell>
        </row>
        <row r="15565">
          <cell r="C15565">
            <v>2015486</v>
          </cell>
          <cell r="D15565" t="str">
            <v>ET.OZDF.50X80 SCH.SZW.KRA P</v>
          </cell>
        </row>
        <row r="15566">
          <cell r="C15566">
            <v>2015487</v>
          </cell>
          <cell r="D15566" t="str">
            <v>ET.TRMF.70X80 SCH.SZW.KRA T</v>
          </cell>
        </row>
        <row r="15567">
          <cell r="C15567">
            <v>2015438</v>
          </cell>
          <cell r="D15567" t="str">
            <v>ET.TRMF.58X110 BOCZ.WĘDZ.PARZ.400G KRA T</v>
          </cell>
        </row>
        <row r="15568">
          <cell r="C15568">
            <v>2015493</v>
          </cell>
          <cell r="D15568" t="str">
            <v>ET.OZDF.50X80 WĘDZ.KROTOSZ.KRA P</v>
          </cell>
        </row>
        <row r="15569">
          <cell r="C15569">
            <v>2015494</v>
          </cell>
          <cell r="D15569" t="str">
            <v>ET.TRMF.60X80 WĘDZ.KROTOSZ.KRA T</v>
          </cell>
        </row>
        <row r="15570">
          <cell r="C15570">
            <v>2015495</v>
          </cell>
          <cell r="D15570" t="str">
            <v>ET.TRMF.60X80 POL.ŁOSOS.KRA T</v>
          </cell>
        </row>
        <row r="15571">
          <cell r="C15571">
            <v>2015496</v>
          </cell>
          <cell r="D15571" t="str">
            <v>ET.OZDF.50X80 POL.ŁOSOS.KRA P</v>
          </cell>
        </row>
        <row r="15572">
          <cell r="C15572">
            <v>2015497</v>
          </cell>
          <cell r="D15572" t="str">
            <v>ET.OZDF.50X80 SZYN.B/KNST.KRA P</v>
          </cell>
        </row>
        <row r="15573">
          <cell r="C15573">
            <v>2015498</v>
          </cell>
          <cell r="D15573" t="str">
            <v>ET.TRMF.60X80 SZYN.B/KNST.KRA T</v>
          </cell>
        </row>
        <row r="15574">
          <cell r="C15574">
            <v>2015500</v>
          </cell>
          <cell r="D15574" t="str">
            <v>ET.TRMF.55X100 POL.WĘDZ.KRA T</v>
          </cell>
        </row>
        <row r="15575">
          <cell r="C15575">
            <v>2015499</v>
          </cell>
          <cell r="D15575" t="str">
            <v>ET.OZDF.80X100 BOCZ.OD KRAKUSA KRA P</v>
          </cell>
        </row>
        <row r="15576">
          <cell r="C15576">
            <v>2015520</v>
          </cell>
          <cell r="D15576" t="str">
            <v>ET.OZDF.80X100 SZYN.OD KRAK.KRA P</v>
          </cell>
        </row>
        <row r="15577">
          <cell r="C15577">
            <v>2015502</v>
          </cell>
          <cell r="D15577" t="str">
            <v>ET.TRMF.70X100 SZYN.OD KRAKUSA KRA T</v>
          </cell>
        </row>
        <row r="15578">
          <cell r="C15578">
            <v>2015439</v>
          </cell>
          <cell r="D15578" t="str">
            <v>ET.OZDF.80X100 SCH.OD KRAKUSA KRA P</v>
          </cell>
        </row>
        <row r="15579">
          <cell r="C15579">
            <v>2015510</v>
          </cell>
          <cell r="D15579" t="str">
            <v>ET.TRMP.75X100 KAB.250G KRA T</v>
          </cell>
        </row>
        <row r="15580">
          <cell r="C15580">
            <v>2015511</v>
          </cell>
          <cell r="D15580" t="str">
            <v>ET.TRMF.70X100 BOCZ.OD KRAKUSA KRA T</v>
          </cell>
        </row>
        <row r="15581">
          <cell r="C15581">
            <v>2015512</v>
          </cell>
          <cell r="D15581" t="str">
            <v>ET.OZDF.50X80 SCH.ZAPIE.KRA P</v>
          </cell>
        </row>
        <row r="15582">
          <cell r="C15582">
            <v>2015513</v>
          </cell>
          <cell r="D15582" t="str">
            <v>ET.TRMF.60X80 SZYN.ZAPIE.KRA T</v>
          </cell>
        </row>
        <row r="15583">
          <cell r="C15583">
            <v>2015514</v>
          </cell>
          <cell r="D15583" t="str">
            <v>ET.TRMF.60X80 BOCZ.ZAPIE.KRA T</v>
          </cell>
        </row>
        <row r="15584">
          <cell r="C15584">
            <v>2015515</v>
          </cell>
          <cell r="D15584" t="str">
            <v>ET.OZDF.50X80 SZYN.ZAPIE.KRA P</v>
          </cell>
        </row>
        <row r="15585">
          <cell r="C15585">
            <v>2015516</v>
          </cell>
          <cell r="D15585" t="str">
            <v>ET.OZDF.50X80 BOCZ.ZAPIE.KRA P</v>
          </cell>
        </row>
        <row r="15586">
          <cell r="C15586">
            <v>2015517</v>
          </cell>
          <cell r="D15586" t="str">
            <v>ET.TRMF.60X80 SCH.ZAPIE.KRA T</v>
          </cell>
        </row>
        <row r="15587">
          <cell r="C15587">
            <v>2015518</v>
          </cell>
          <cell r="D15587" t="str">
            <v>ET.OZDF.50X80 SZYN.ZRAZOWA KRA P</v>
          </cell>
        </row>
        <row r="15588">
          <cell r="C15588">
            <v>2015519</v>
          </cell>
          <cell r="D15588" t="str">
            <v>ET.TRMF.60X80 SZYN.ZRAZOWA KRA PL/UK T</v>
          </cell>
        </row>
        <row r="15589">
          <cell r="C15589">
            <v>2015523</v>
          </cell>
          <cell r="D15589" t="str">
            <v>ET.TRMP.70X100 ŻYWIECKA 286GLT/LV/EE T</v>
          </cell>
        </row>
        <row r="15590">
          <cell r="C15590">
            <v>2015521</v>
          </cell>
          <cell r="D15590" t="str">
            <v>ET.OZDP.70X90 ŻYWIECKA 286G LT/LV/EE P</v>
          </cell>
        </row>
        <row r="15591">
          <cell r="C15591">
            <v>2015522</v>
          </cell>
          <cell r="D15591" t="str">
            <v>ET.TRMP.60X80 MAZURSKA MOR GB T</v>
          </cell>
        </row>
        <row r="15592">
          <cell r="C15592">
            <v>2015601</v>
          </cell>
          <cell r="D15592" t="str">
            <v>ET.OZDP.50X30 BIA.U</v>
          </cell>
        </row>
        <row r="15593">
          <cell r="C15593">
            <v>2015579</v>
          </cell>
          <cell r="D15593" t="str">
            <v>ET.OZDP.63X85 PODWAW.500G PIK SK P</v>
          </cell>
        </row>
        <row r="15594">
          <cell r="C15594">
            <v>2015578</v>
          </cell>
          <cell r="D15594" t="str">
            <v>ET.TRMP.60X90 PODWAW.500G PIK SK T</v>
          </cell>
        </row>
        <row r="15595">
          <cell r="C15595">
            <v>2015603</v>
          </cell>
          <cell r="D15595" t="str">
            <v>ET.TRMP.80X100 KRAK.PARZ.MOR T</v>
          </cell>
        </row>
        <row r="15596">
          <cell r="C15596">
            <v>2015604</v>
          </cell>
          <cell r="D15596" t="str">
            <v>ET.TRMP.80X100 KIEŁB.SZYN.MOR T</v>
          </cell>
        </row>
        <row r="15597">
          <cell r="C15597">
            <v>2015610</v>
          </cell>
          <cell r="D15597" t="str">
            <v>ET.OZDP.55X75 ŻYWIECKA PODSUSZ.KRA GB P</v>
          </cell>
        </row>
        <row r="15598">
          <cell r="C15598">
            <v>2015611</v>
          </cell>
          <cell r="D15598" t="str">
            <v>ET.TRMP.70X90 ŻYWIECKA PODSUSZ.KRA GB T</v>
          </cell>
        </row>
        <row r="15599">
          <cell r="C15599">
            <v>2015605</v>
          </cell>
          <cell r="D15599" t="str">
            <v>ET.OZDP.55X100 POL.WĘDZ.GOLD KRA P</v>
          </cell>
        </row>
        <row r="15600">
          <cell r="C15600">
            <v>2015628</v>
          </cell>
          <cell r="D15600" t="str">
            <v>ET.TRMF.55X100 POL.WĘDZ.GOLD KRA T</v>
          </cell>
        </row>
        <row r="15601">
          <cell r="C15601">
            <v>2015613</v>
          </cell>
          <cell r="D15601" t="str">
            <v>ET.OZDP.50X70 BOCZ.ZAPIE.GOLD KRA P</v>
          </cell>
        </row>
        <row r="15602">
          <cell r="C15602">
            <v>2015612</v>
          </cell>
          <cell r="D15602" t="str">
            <v>ET.TRMP.60X80 BOCZ.ZAPIE.GOLD KRA T</v>
          </cell>
        </row>
        <row r="15603">
          <cell r="C15603">
            <v>2015537</v>
          </cell>
          <cell r="D15603" t="str">
            <v>ET.OZDP.55X55 SZYN.KLAS.ALDI P</v>
          </cell>
        </row>
        <row r="15604">
          <cell r="C15604">
            <v>2015642</v>
          </cell>
          <cell r="D15604" t="str">
            <v>ET.TRMP.70X90 SZYN.KLAS.ALDI T</v>
          </cell>
        </row>
        <row r="15605">
          <cell r="C15605">
            <v>2015643</v>
          </cell>
          <cell r="D15605" t="str">
            <v>ET.TRMP.63X90 KRAK.KUR.MOR PL/UK T</v>
          </cell>
        </row>
        <row r="15606">
          <cell r="C15606">
            <v>2015680</v>
          </cell>
          <cell r="D15606" t="str">
            <v>ET.TRMP.70X90 KIEŁB.CODZIENNA PIK RO T</v>
          </cell>
        </row>
        <row r="15607">
          <cell r="C15607">
            <v>2015639</v>
          </cell>
          <cell r="D15607" t="str">
            <v>ET.OZDP.90X100 KIEŁB.CODZIENNA PIK RO P</v>
          </cell>
        </row>
        <row r="15608">
          <cell r="C15608">
            <v>2015700</v>
          </cell>
          <cell r="D15608" t="str">
            <v>ET.OZDF.50X80 SCH.SZW.GOLD KRA P</v>
          </cell>
        </row>
        <row r="15609">
          <cell r="C15609">
            <v>2015689</v>
          </cell>
          <cell r="D15609" t="str">
            <v>ET.TRMF.70X80 SCH.SZW.GOLD KRA T</v>
          </cell>
        </row>
        <row r="15610">
          <cell r="C15610">
            <v>2015764</v>
          </cell>
          <cell r="D15610" t="str">
            <v>ET.OZDP.90X100 ŚLĄSKA 1.3KG PIK CZ P</v>
          </cell>
        </row>
        <row r="15611">
          <cell r="C15611">
            <v>2015780</v>
          </cell>
          <cell r="D15611" t="str">
            <v>ET.TRMP.84X95 KIEŁB.ZWYCZ.MOR PL/UK T</v>
          </cell>
        </row>
        <row r="15612">
          <cell r="C15612">
            <v>2015756</v>
          </cell>
          <cell r="D15612" t="str">
            <v>ET.TRMP.58X110 BOCZ.CARSKI MOR PL/UK T</v>
          </cell>
        </row>
        <row r="15613">
          <cell r="C15613">
            <v>2015757</v>
          </cell>
          <cell r="D15613" t="str">
            <v>ET.TRMP.80X90 POL.SOPOCKA MOR PL/UK T</v>
          </cell>
        </row>
        <row r="15614">
          <cell r="C15614">
            <v>2015749</v>
          </cell>
          <cell r="D15614" t="str">
            <v>ET.TRMP.80X100 ŻEB.WP.MOR PL/UK T</v>
          </cell>
        </row>
        <row r="15615">
          <cell r="C15615">
            <v>2015792</v>
          </cell>
          <cell r="D15615" t="str">
            <v>ET.TRMP.69.5X95 ŚLĄSKA MAP DUL T</v>
          </cell>
        </row>
        <row r="15616">
          <cell r="C15616">
            <v>2015813</v>
          </cell>
          <cell r="D15616" t="str">
            <v>ET.OZDF.60X90 PODWAW.KRA P</v>
          </cell>
        </row>
        <row r="15617">
          <cell r="C15617">
            <v>2015804</v>
          </cell>
          <cell r="D15617" t="str">
            <v>ET.OZDF.80X100 KIEŁB.BIAŁE KRA P</v>
          </cell>
        </row>
        <row r="15618">
          <cell r="C15618">
            <v>2015805</v>
          </cell>
          <cell r="D15618" t="str">
            <v>ET.OZDF.80X100 K.PIEPRZ.KRA P</v>
          </cell>
        </row>
        <row r="15619">
          <cell r="C15619">
            <v>2015955</v>
          </cell>
          <cell r="D15619" t="str">
            <v>ET.OZDP.63X85 PODWAW.PIK LV/EE/LT P</v>
          </cell>
        </row>
        <row r="15620">
          <cell r="C15620">
            <v>2015954</v>
          </cell>
          <cell r="D15620" t="str">
            <v>ET.TRMP.75X110 PODWAW.PIK LV/EE/LT</v>
          </cell>
        </row>
        <row r="15621">
          <cell r="C15621">
            <v>2015956</v>
          </cell>
          <cell r="D15621" t="str">
            <v>ET.TRMP.70X90 BOCZ.PENNY MOR HU T</v>
          </cell>
        </row>
        <row r="15622">
          <cell r="C15622">
            <v>2015992</v>
          </cell>
          <cell r="D15622" t="str">
            <v>ET.TRMP.80X120 BIZ.ZIEL.PROSTOKĄT U</v>
          </cell>
        </row>
        <row r="15623">
          <cell r="C15623">
            <v>2015976</v>
          </cell>
          <cell r="D15623" t="str">
            <v>ET.TRMP.70X99 KABAN.KLAS.180G KRA SE T</v>
          </cell>
        </row>
        <row r="15624">
          <cell r="C15624">
            <v>2015993</v>
          </cell>
          <cell r="D15624" t="str">
            <v>***ET.OZDP.95X110 SWOJSKI STRAGAN P</v>
          </cell>
        </row>
        <row r="15625">
          <cell r="C15625">
            <v>2015994</v>
          </cell>
          <cell r="D15625" t="str">
            <v>***ET.TRMP.75X110 BIZ.SWOJSKI STRAGAN T</v>
          </cell>
        </row>
        <row r="15626">
          <cell r="C15626">
            <v>2016021</v>
          </cell>
          <cell r="D15626" t="str">
            <v>ET.TRMP.78X120 BOCZ.95% PORM PL/LT T</v>
          </cell>
        </row>
        <row r="15627">
          <cell r="C15627">
            <v>2015967</v>
          </cell>
          <cell r="D15627" t="str">
            <v>ET.TRMP.78X120 BOCZ.95% PORM LV/EE T</v>
          </cell>
        </row>
        <row r="15628">
          <cell r="C15628">
            <v>2016023</v>
          </cell>
          <cell r="D15628" t="str">
            <v>ET.TRMP.83X103 KIEŁB.BIWAKOWA 1KG RO T</v>
          </cell>
        </row>
        <row r="15629">
          <cell r="C15629">
            <v>2016014</v>
          </cell>
          <cell r="D15629" t="str">
            <v>ET.OZDP.70X90 KIEŁ.BIWAKOWA 1KG RO P</v>
          </cell>
        </row>
        <row r="15630">
          <cell r="C15630">
            <v>2016103</v>
          </cell>
          <cell r="D15630" t="str">
            <v>ET.TRMP.80X120 BIZ.ŻÓŁ.MAZ B/A.U</v>
          </cell>
        </row>
        <row r="15631">
          <cell r="C15631">
            <v>2016104</v>
          </cell>
          <cell r="D15631" t="str">
            <v>ET.OZDP.80X100 MAZURSKA BIA.Z SZYN.MAZ P</v>
          </cell>
        </row>
        <row r="15632">
          <cell r="C15632">
            <v>2016122</v>
          </cell>
          <cell r="D15632" t="str">
            <v>ET.OZDF.50X60 BOCZ.WĘDZ.PARZ.400G KRA P</v>
          </cell>
        </row>
        <row r="15633">
          <cell r="C15633">
            <v>2016127</v>
          </cell>
          <cell r="D15633" t="str">
            <v>ET.TRMP.80X100 BOCZ.CARSKI ELIT GB T</v>
          </cell>
        </row>
        <row r="15634">
          <cell r="C15634">
            <v>2016128</v>
          </cell>
          <cell r="D15634" t="str">
            <v>ET.TRMP.80X90 BIWAKOWA ELIT GB T</v>
          </cell>
        </row>
        <row r="15635">
          <cell r="C15635">
            <v>2016172</v>
          </cell>
          <cell r="D15635" t="str">
            <v>ET.OZDP.80X100 KIEŁB.OD MASARZA KRA P</v>
          </cell>
        </row>
        <row r="15636">
          <cell r="C15636">
            <v>2016281</v>
          </cell>
          <cell r="D15636" t="str">
            <v>ET.TRMP.72X105 K.MAZURSKA MOR PL/UK T</v>
          </cell>
        </row>
        <row r="15637">
          <cell r="C15637">
            <v>2016282</v>
          </cell>
          <cell r="D15637" t="str">
            <v>ET.TRMP.72X102 GŁOG.Z SZYN.MOR PL/UK T</v>
          </cell>
        </row>
        <row r="15638">
          <cell r="C15638">
            <v>2016288</v>
          </cell>
          <cell r="D15638" t="str">
            <v>ET.TRMP.84X100 ŚLĄSKA 67% MOR PL/UK T</v>
          </cell>
        </row>
        <row r="15639">
          <cell r="C15639">
            <v>2016363</v>
          </cell>
          <cell r="D15639" t="str">
            <v>ET.TRMP.84X100 ZWYCZAJNA MAP MOR PL/GB T</v>
          </cell>
        </row>
        <row r="15640">
          <cell r="C15640">
            <v>2016362</v>
          </cell>
          <cell r="D15640" t="str">
            <v>ET.TRMP.70X100 KRAK.KUR.MOR PL/GB T</v>
          </cell>
        </row>
        <row r="15641">
          <cell r="C15641">
            <v>2016411</v>
          </cell>
          <cell r="D15641" t="str">
            <v>ET.OZDP.80X100 KIEŁB.SER/CHILLI MOR GB P</v>
          </cell>
        </row>
        <row r="15642">
          <cell r="C15642">
            <v>2016412</v>
          </cell>
          <cell r="D15642" t="str">
            <v>ET.TRMP.80X110 FI76 BIZ.BIA.MOR U</v>
          </cell>
        </row>
        <row r="15643">
          <cell r="C15643">
            <v>2016453</v>
          </cell>
          <cell r="D15643" t="str">
            <v>ET.OZDP.63X85 GŁOGOWSKA Z SZYN.MOR P</v>
          </cell>
        </row>
        <row r="15644">
          <cell r="C15644">
            <v>2016539</v>
          </cell>
          <cell r="D15644" t="str">
            <v>ET.TRMP.73X102 MAZURSKA MOR GB T</v>
          </cell>
        </row>
        <row r="15645">
          <cell r="C15645">
            <v>2016612</v>
          </cell>
          <cell r="D15645" t="str">
            <v>ET.TRMP.109X153 BIZ.RÓŻ.U</v>
          </cell>
        </row>
        <row r="15646">
          <cell r="C15646">
            <v>2016611</v>
          </cell>
          <cell r="D15646" t="str">
            <v>ET.TRMP.109X153 BIZ.NIEB.U</v>
          </cell>
        </row>
        <row r="15647">
          <cell r="C15647">
            <v>2016648</v>
          </cell>
          <cell r="D15647" t="str">
            <v>ET.OZDP.63X85 KASZANKA MOR P</v>
          </cell>
        </row>
        <row r="15648">
          <cell r="C15648">
            <v>2016670</v>
          </cell>
          <cell r="D15648" t="str">
            <v>ET.TRMP.78X110 BIZ.BIA.MORE U</v>
          </cell>
        </row>
        <row r="15649">
          <cell r="C15649">
            <v>2016671</v>
          </cell>
          <cell r="D15649" t="str">
            <v>ET.OZDP.63X85 PODWAW.95% MOR P</v>
          </cell>
        </row>
        <row r="15650">
          <cell r="C15650">
            <v>2016672</v>
          </cell>
          <cell r="D15650" t="str">
            <v>ET.OZDP.63X85 PODWAW.80% MOR P</v>
          </cell>
        </row>
        <row r="15651">
          <cell r="C15651">
            <v>2016704</v>
          </cell>
          <cell r="D15651" t="str">
            <v>ET.TRMP.68X90 SALAMI ELIT T</v>
          </cell>
        </row>
        <row r="15652">
          <cell r="C15652">
            <v>2016705</v>
          </cell>
          <cell r="D15652" t="str">
            <v>ET.OZDP.80X100 KIEŁB.SER/POMID.MOR P</v>
          </cell>
        </row>
        <row r="15653">
          <cell r="C15653">
            <v>2016744</v>
          </cell>
          <cell r="D15653" t="str">
            <v>ET.OZDP.65X85 ZWYCZAJNA MOR P</v>
          </cell>
        </row>
        <row r="15654">
          <cell r="C15654">
            <v>2016738</v>
          </cell>
          <cell r="D15654" t="str">
            <v>ET.TRMP.73X102 ŚLĄSKA GRILL.MAP KW T</v>
          </cell>
        </row>
        <row r="15655">
          <cell r="C15655">
            <v>2016737</v>
          </cell>
          <cell r="D15655" t="str">
            <v>ET.TRMP.73X102 ŚLĄSKA MAP KW T</v>
          </cell>
        </row>
        <row r="15656">
          <cell r="C15656">
            <v>2016728</v>
          </cell>
          <cell r="D15656" t="str">
            <v>ET.OZDP.60X89 KRAK.KUR.MOR P</v>
          </cell>
        </row>
        <row r="15657">
          <cell r="C15657">
            <v>2016794</v>
          </cell>
          <cell r="D15657" t="str">
            <v>ET.OZDP.60X60 BOCZ.CARSKI MOR P</v>
          </cell>
        </row>
        <row r="15658">
          <cell r="C15658">
            <v>2016798</v>
          </cell>
          <cell r="D15658" t="str">
            <v>ET.OZDP.60X60 SZYN.DELIKATNA MOR P</v>
          </cell>
        </row>
        <row r="15659">
          <cell r="C15659">
            <v>2016822</v>
          </cell>
          <cell r="D15659" t="str">
            <v>ET.TRMP.70X105 SZYN.DELIKATNA MOR T</v>
          </cell>
        </row>
        <row r="15660">
          <cell r="C15660">
            <v>2016823</v>
          </cell>
          <cell r="D15660" t="str">
            <v>ET.TRMP.58X110 BOCZ.CARSKI MOR T</v>
          </cell>
        </row>
        <row r="15661">
          <cell r="C15661">
            <v>2016837</v>
          </cell>
          <cell r="D15661" t="str">
            <v>ET.OZDP.80X100 KIEŁB.SŁODKA PAPR.MOR P</v>
          </cell>
        </row>
        <row r="15662">
          <cell r="C15662">
            <v>2016853</v>
          </cell>
          <cell r="D15662" t="str">
            <v>ET.OZDP.80X100 KIEŁ.ŚLĄSKA KW P</v>
          </cell>
        </row>
        <row r="15663">
          <cell r="C15663">
            <v>2016852</v>
          </cell>
          <cell r="D15663" t="str">
            <v>ET.OZDP.80X100 ŚLĄSKA GRILL.KW P</v>
          </cell>
        </row>
        <row r="15664">
          <cell r="C15664">
            <v>2016904</v>
          </cell>
          <cell r="D15664" t="str">
            <v>ET.OZDP.90X100 ŚLĄSKA 1.3KG LIDL DK P</v>
          </cell>
        </row>
        <row r="15665">
          <cell r="C15665">
            <v>2016877</v>
          </cell>
          <cell r="D15665" t="str">
            <v>ET.OZDP.63X85 FRANK.DROB.MOR P</v>
          </cell>
        </row>
        <row r="15666">
          <cell r="C15666">
            <v>2015076</v>
          </cell>
          <cell r="D15666" t="str">
            <v>ET.TRMP.78X115 BIZ.BIA.KRA U</v>
          </cell>
        </row>
        <row r="15667">
          <cell r="C15667">
            <v>2016989</v>
          </cell>
          <cell r="D15667" t="str">
            <v>ET.TRMP.30X30 BIZ.BIA.U</v>
          </cell>
        </row>
        <row r="15668">
          <cell r="C15668">
            <v>2017010</v>
          </cell>
          <cell r="D15668" t="str">
            <v>ET.TRMP.68X90 BALERON MOR T</v>
          </cell>
        </row>
        <row r="15669">
          <cell r="C15669">
            <v>2017011</v>
          </cell>
          <cell r="D15669" t="str">
            <v>ET.OZDP.60X60 BALERON MOR P</v>
          </cell>
        </row>
        <row r="15670">
          <cell r="C15670">
            <v>2017033</v>
          </cell>
          <cell r="D15670" t="str">
            <v>ET.TRMP.80X110 KARK.VAC BIED P</v>
          </cell>
        </row>
        <row r="15671">
          <cell r="C15671">
            <v>2017052</v>
          </cell>
          <cell r="D15671" t="str">
            <v>ET.OZDP.63X85 KIEŁB.Z/PIEP.MOR P</v>
          </cell>
        </row>
        <row r="15672">
          <cell r="C15672">
            <v>2017053</v>
          </cell>
          <cell r="D15672" t="str">
            <v>ET.TRMP.90X90 BIZ.CZER.U</v>
          </cell>
        </row>
        <row r="15673">
          <cell r="C15673">
            <v>2017065</v>
          </cell>
          <cell r="D15673" t="str">
            <v>ET.TRMP.100X50 BIZ.CZER.U</v>
          </cell>
        </row>
        <row r="15674">
          <cell r="C15674">
            <v>2017072</v>
          </cell>
          <cell r="D15674" t="str">
            <v>ET.TRMF.70X100 KARK.VAC LIDL T</v>
          </cell>
        </row>
        <row r="15675">
          <cell r="C15675">
            <v>2017071</v>
          </cell>
          <cell r="D15675" t="str">
            <v>ET.TRMF.70X100 BOCZ.VAC LIDL T</v>
          </cell>
        </row>
        <row r="15676">
          <cell r="C15676">
            <v>2017070</v>
          </cell>
          <cell r="D15676" t="str">
            <v>ET.TRMF.70X100 SZYN.VAC LIDL T</v>
          </cell>
        </row>
        <row r="15677">
          <cell r="C15677">
            <v>2017069</v>
          </cell>
          <cell r="D15677" t="str">
            <v>ET.TRMF.70X100 SCH.VAC LIDL T</v>
          </cell>
        </row>
        <row r="15678">
          <cell r="C15678">
            <v>2017068</v>
          </cell>
          <cell r="D15678" t="str">
            <v>ET.TRMF.70X100 ŁOP.VAC LIDL T</v>
          </cell>
        </row>
        <row r="15679">
          <cell r="C15679">
            <v>2017287</v>
          </cell>
          <cell r="D15679" t="str">
            <v>ET.OZDF.50X80 SZYN.ŚWIĘTOKRZ.KRA P</v>
          </cell>
        </row>
        <row r="15680">
          <cell r="C15680">
            <v>2017288</v>
          </cell>
          <cell r="D15680" t="str">
            <v>ET.OZDF.50X80 SCH.ŚWIĘTOKRZ.KRA P</v>
          </cell>
        </row>
        <row r="15681">
          <cell r="C15681">
            <v>2017289</v>
          </cell>
          <cell r="D15681" t="str">
            <v>ET.TRMF.60X80 SZYN.ŚWIĘTOKRZ.KRA T</v>
          </cell>
        </row>
        <row r="15682">
          <cell r="C15682">
            <v>2017300</v>
          </cell>
          <cell r="D15682" t="str">
            <v>ET.TRMF.60X80 SCH.ŚWIĘTOKRZ.KRA T</v>
          </cell>
        </row>
        <row r="15683">
          <cell r="C15683">
            <v>2017301</v>
          </cell>
          <cell r="D15683" t="str">
            <v>ET.TRMP.100X50 BIZ.ŻÓŁ.U</v>
          </cell>
        </row>
        <row r="15684">
          <cell r="C15684">
            <v>2017359</v>
          </cell>
          <cell r="D15684" t="str">
            <v>ET.TRMF.109X153 BIZ.RH9X BIA.U</v>
          </cell>
        </row>
        <row r="15685">
          <cell r="C15685">
            <v>2016386</v>
          </cell>
          <cell r="D15685" t="str">
            <v>ET.OZDP.90X100 ŚLĄSKA 1.3KG PIK RO P</v>
          </cell>
        </row>
        <row r="15686">
          <cell r="C15686">
            <v>2017489</v>
          </cell>
          <cell r="D15686" t="str">
            <v>ET.TRMF.80X110 FI40 BIZ.BIA.MOR U</v>
          </cell>
        </row>
        <row r="15687">
          <cell r="C15687">
            <v>2017523</v>
          </cell>
          <cell r="D15687" t="str">
            <v>ET.OZDF.50X80 SZYN.RYCERSKA KRA P</v>
          </cell>
        </row>
        <row r="15688">
          <cell r="C15688">
            <v>2017508</v>
          </cell>
          <cell r="D15688" t="str">
            <v>ET.TRMF.70X80 SZYN.RYCERSKA KRA T</v>
          </cell>
        </row>
        <row r="15689">
          <cell r="C15689">
            <v>2017629</v>
          </cell>
          <cell r="D15689" t="str">
            <v>ET.OZDP.20X30 CZER.U</v>
          </cell>
        </row>
        <row r="15690">
          <cell r="C15690">
            <v>2017696</v>
          </cell>
          <cell r="D15690" t="str">
            <v>ET.OZDP.20X30 RÓŻ.U</v>
          </cell>
        </row>
        <row r="15691">
          <cell r="C15691">
            <v>2017630</v>
          </cell>
          <cell r="D15691" t="str">
            <v>ET.OZDP.20X30 NIEB.U</v>
          </cell>
        </row>
        <row r="15692">
          <cell r="C15692">
            <v>2017631</v>
          </cell>
          <cell r="D15692" t="str">
            <v>ET.OZDP.20X30 ŻÓŁ.U</v>
          </cell>
        </row>
        <row r="15693">
          <cell r="C15693">
            <v>2017697</v>
          </cell>
          <cell r="D15693" t="str">
            <v>ET.OZDP.60X90 PODWAW.95% KRA P</v>
          </cell>
        </row>
        <row r="15694">
          <cell r="C15694">
            <v>2017790</v>
          </cell>
          <cell r="D15694" t="str">
            <v>ET.TRMP.80X100 BIWAKOWA MAP ELIT GB T</v>
          </cell>
        </row>
        <row r="15695">
          <cell r="C15695">
            <v>2017765</v>
          </cell>
          <cell r="D15695" t="str">
            <v>ET.OZDF.55X75 ŻYWIECKA PAPR.P</v>
          </cell>
        </row>
        <row r="15696">
          <cell r="C15696">
            <v>2017766</v>
          </cell>
          <cell r="D15696" t="str">
            <v>ET.TRMF.70X90 ŻYWIECKA PAPR.T</v>
          </cell>
        </row>
        <row r="15697">
          <cell r="C15697">
            <v>2017803</v>
          </cell>
          <cell r="D15697" t="str">
            <v>ET.TRMP.60X80 SZYN.MAGNACKA KRA T</v>
          </cell>
        </row>
        <row r="15698">
          <cell r="C15698">
            <v>2017804</v>
          </cell>
          <cell r="D15698" t="str">
            <v>ET.OZDP.70X80 SZYN.MAGNACKA KR P</v>
          </cell>
        </row>
        <row r="15699">
          <cell r="C15699">
            <v>2017852</v>
          </cell>
          <cell r="D15699" t="str">
            <v>ET.OZDP.60X70 SZYN.70G BAR BG P</v>
          </cell>
        </row>
        <row r="15700">
          <cell r="C15700">
            <v>2017853</v>
          </cell>
          <cell r="D15700" t="str">
            <v>ET.TRMP.70X100 SZYN.70G BAR BG T</v>
          </cell>
        </row>
        <row r="15701">
          <cell r="C15701">
            <v>2017927</v>
          </cell>
          <cell r="D15701" t="str">
            <v>ET.TRMP.73X102 MAZURSKA DUL T</v>
          </cell>
        </row>
        <row r="15702">
          <cell r="C15702">
            <v>2017975</v>
          </cell>
          <cell r="D15702" t="str">
            <v>ET.TRMP.73X102 K.ŚLĄSKA TŁ.20G MP KW</v>
          </cell>
        </row>
        <row r="15703">
          <cell r="C15703">
            <v>2017976</v>
          </cell>
          <cell r="D15703" t="str">
            <v>ET.TRMP.73X102 ŚLĄSKA TŁ20G 550G KW T</v>
          </cell>
        </row>
        <row r="15704">
          <cell r="C15704">
            <v>2017957</v>
          </cell>
          <cell r="D15704" t="str">
            <v>ET.TRMP.73X102 K.ŚLĄSKA 550G TŁ.18G KW</v>
          </cell>
        </row>
        <row r="15705">
          <cell r="C15705">
            <v>2017956</v>
          </cell>
          <cell r="D15705" t="str">
            <v>ET.TRMP.73X102 K.ŚLĄSKA TŁ.18G MP KW</v>
          </cell>
        </row>
        <row r="15706">
          <cell r="C15706">
            <v>2017966</v>
          </cell>
          <cell r="D15706" t="str">
            <v>ET.OZDP.63X65 FRANK.CZ/SK P</v>
          </cell>
        </row>
        <row r="15707">
          <cell r="C15707">
            <v>2017983</v>
          </cell>
          <cell r="D15707" t="str">
            <v>ET.OZDP.60X70 K.CZOSN.DUL P</v>
          </cell>
        </row>
        <row r="15708">
          <cell r="C15708">
            <v>2017998</v>
          </cell>
          <cell r="D15708" t="str">
            <v>ET.TRMP.60X89 K.CZOSN.DUL T</v>
          </cell>
        </row>
        <row r="15709">
          <cell r="C15709">
            <v>2018054</v>
          </cell>
          <cell r="D15709" t="str">
            <v>ET.TRMP.69X106 REGIONALNA T</v>
          </cell>
        </row>
        <row r="15710">
          <cell r="C15710">
            <v>2018140</v>
          </cell>
          <cell r="D15710" t="str">
            <v>ET.OZDP.80X95 ŚLĄSKA DP MOR PP P</v>
          </cell>
        </row>
        <row r="15711">
          <cell r="C15711">
            <v>2018142</v>
          </cell>
          <cell r="D15711" t="str">
            <v>ET.TRMP.90X100 ZWYCZAJNA MAP ALDI T</v>
          </cell>
        </row>
        <row r="15712">
          <cell r="C15712">
            <v>2018271</v>
          </cell>
          <cell r="D15712" t="str">
            <v>ET.OZDP.70X90 ŚLĄZERKI SER/POMID.P</v>
          </cell>
        </row>
        <row r="15713">
          <cell r="C15713">
            <v>2018270</v>
          </cell>
          <cell r="D15713" t="str">
            <v>ET.OZDP.70X90 ŚLĄZERKI SWEET JALAP.P</v>
          </cell>
        </row>
        <row r="15714">
          <cell r="C15714">
            <v>2018275</v>
          </cell>
          <cell r="D15714" t="str">
            <v>ET.OZDP.70X90 ŚLAZERKI P</v>
          </cell>
        </row>
        <row r="15715">
          <cell r="C15715">
            <v>2018390</v>
          </cell>
          <cell r="D15715" t="str">
            <v>ET.OZDP.60X72 K.CZOSN.MOR P</v>
          </cell>
        </row>
        <row r="15716">
          <cell r="C15716">
            <v>2018393</v>
          </cell>
          <cell r="D15716" t="str">
            <v>ET.OZDP.63X85 ŚLĄZERKI BIAŁE P</v>
          </cell>
        </row>
        <row r="15717">
          <cell r="C15717">
            <v>2018371</v>
          </cell>
          <cell r="D15717" t="str">
            <v>ET.OZDP.90X100 ŻEB.WP.MOR P</v>
          </cell>
        </row>
        <row r="15718">
          <cell r="C15718">
            <v>2018348</v>
          </cell>
          <cell r="D15718" t="str">
            <v>ET.OZDP.80X100 K.PODSUSZ.KRA P</v>
          </cell>
        </row>
        <row r="15719">
          <cell r="C15719">
            <v>2018420</v>
          </cell>
          <cell r="D15719" t="str">
            <v>ET.OZDP.80X100 KIEŁB.WP.BIAŁE PARZ.P</v>
          </cell>
        </row>
        <row r="15720">
          <cell r="C15720">
            <v>2018421</v>
          </cell>
          <cell r="D15720" t="str">
            <v>ET.OZDP.80X100 KIEŁB.SER/POMID.G&amp;F P</v>
          </cell>
        </row>
        <row r="15721">
          <cell r="C15721">
            <v>2018409</v>
          </cell>
          <cell r="D15721" t="str">
            <v>ET.TRMP.75X90 KIŁB.WP.BIAŁE PARZ.T</v>
          </cell>
        </row>
        <row r="15722">
          <cell r="C15722">
            <v>2018422</v>
          </cell>
          <cell r="D15722" t="str">
            <v>ET.TRMP.75X90 KIEŁB.SER/POMID.T</v>
          </cell>
        </row>
        <row r="15723">
          <cell r="C15723">
            <v>2018424</v>
          </cell>
          <cell r="D15723" t="str">
            <v>ET.TRMP.75X90 KIEŁB.PAPR.T</v>
          </cell>
        </row>
        <row r="15724">
          <cell r="C15724">
            <v>2018423</v>
          </cell>
          <cell r="D15724" t="str">
            <v>ET.OZDP.80X100 KIEŁB.PAPR.P</v>
          </cell>
        </row>
        <row r="15725">
          <cell r="C15725">
            <v>2018500</v>
          </cell>
          <cell r="D15725" t="str">
            <v>ET.OZDP.70X90 FRANK.Z.SZYN.MOR P</v>
          </cell>
        </row>
        <row r="15726">
          <cell r="C15726">
            <v>2018504</v>
          </cell>
          <cell r="D15726" t="str">
            <v>ET.OZDP.80X100 ZWYCZAJNA STS P</v>
          </cell>
        </row>
        <row r="15727">
          <cell r="C15727">
            <v>2018505</v>
          </cell>
          <cell r="D15727" t="str">
            <v>ET.TRMP.72X102 ZWYCZAJNA MAP STS T</v>
          </cell>
        </row>
        <row r="15728">
          <cell r="C15728">
            <v>2018632</v>
          </cell>
          <cell r="D15728" t="str">
            <v>ET.OZDP.70X90 ŚLĄZ.SER/POMID.CZ/SK/HU P</v>
          </cell>
        </row>
        <row r="15729">
          <cell r="C15729">
            <v>2018633</v>
          </cell>
          <cell r="D15729" t="str">
            <v>ET.OZDP.70X90 ŚLĄZ.SWEETJALAP.CZ/SK/HU P</v>
          </cell>
        </row>
        <row r="15730">
          <cell r="C15730">
            <v>2018638</v>
          </cell>
          <cell r="D15730" t="str">
            <v>ET.TRMP.80X110 KARK.VAC ALDI T</v>
          </cell>
        </row>
        <row r="15731">
          <cell r="C15731">
            <v>2018692</v>
          </cell>
          <cell r="D15731" t="str">
            <v>ET.TRMP.58X110 BOCZ.WĘDZ.STS T</v>
          </cell>
        </row>
        <row r="15732">
          <cell r="C15732">
            <v>2018693</v>
          </cell>
          <cell r="D15732" t="str">
            <v>ET.TRMP.80X100 ŚLĄSKA MP PIK CZ T</v>
          </cell>
        </row>
        <row r="15733">
          <cell r="C15733">
            <v>2018694</v>
          </cell>
          <cell r="D15733" t="str">
            <v>ET.OZDP.90X100 ŚLĄSKA MP PIK CZ P</v>
          </cell>
        </row>
        <row r="15734">
          <cell r="C15734">
            <v>2018800</v>
          </cell>
          <cell r="D15734" t="str">
            <v>ET.TRMP.72X102 FRANK.CZ/SK/HU T</v>
          </cell>
        </row>
        <row r="15735">
          <cell r="C15735">
            <v>2018802</v>
          </cell>
          <cell r="D15735" t="str">
            <v>ET.TRMF.70X90 ŻYWIECKA SUCHA KRA T</v>
          </cell>
        </row>
        <row r="15736">
          <cell r="C15736">
            <v>2018803</v>
          </cell>
          <cell r="D15736" t="str">
            <v>ET.OZDF.55X75 ŻYWIECKA SUCHA KRA P</v>
          </cell>
        </row>
        <row r="15737">
          <cell r="C15737">
            <v>2018804</v>
          </cell>
          <cell r="D15737" t="str">
            <v>ET.TRMF.70X90 ŻYWIECKA SUCHA KRA GB T</v>
          </cell>
        </row>
        <row r="15738">
          <cell r="C15738">
            <v>2018805</v>
          </cell>
          <cell r="D15738" t="str">
            <v>ET.OZDF.55X75 ŻYWIECKA SUCHA KRA GB P</v>
          </cell>
        </row>
        <row r="15739">
          <cell r="C15739">
            <v>2018820</v>
          </cell>
          <cell r="D15739" t="str">
            <v>ET.TRMP.78X120 BOCZ.PORM LT/LV/EE T</v>
          </cell>
        </row>
        <row r="15740">
          <cell r="C15740">
            <v>2018821</v>
          </cell>
          <cell r="D15740" t="str">
            <v>ET.TRMP.73X102 ŚLĄSKA TŁ18G MAP MP KW T</v>
          </cell>
        </row>
        <row r="15741">
          <cell r="C15741">
            <v>2018822</v>
          </cell>
          <cell r="D15741" t="str">
            <v>ET.TRMP.73X102 ŚLĄSKA TŁ18G 550GMAP KW T</v>
          </cell>
        </row>
        <row r="15742">
          <cell r="C15742">
            <v>2018872</v>
          </cell>
          <cell r="D15742" t="str">
            <v>ET.OZDF.60X70 K.CZOSN.DUL P</v>
          </cell>
        </row>
        <row r="15743">
          <cell r="C15743">
            <v>2018789</v>
          </cell>
          <cell r="D15743" t="str">
            <v>ET.TRMP.80X110 BIZ.NIEB.STM NETTO U</v>
          </cell>
        </row>
        <row r="15744">
          <cell r="C15744">
            <v>2018997</v>
          </cell>
          <cell r="D15744" t="str">
            <v>ET.OZDP.50X60 BOCZ.WĘDZ.PARZ.MOR P</v>
          </cell>
        </row>
        <row r="15745">
          <cell r="C15745">
            <v>2018926</v>
          </cell>
          <cell r="D15745" t="str">
            <v>ET.TRMF.60X90 KARK.STM T</v>
          </cell>
        </row>
        <row r="15746">
          <cell r="C15746">
            <v>2018928</v>
          </cell>
          <cell r="D15746" t="str">
            <v>ET.TRMF.60X90 ŁOP.STM T</v>
          </cell>
        </row>
        <row r="15747">
          <cell r="C15747">
            <v>2018927</v>
          </cell>
          <cell r="D15747" t="str">
            <v>ET.OZDF.65X100 KAR.STM P</v>
          </cell>
        </row>
        <row r="15748">
          <cell r="C15748">
            <v>2018929</v>
          </cell>
          <cell r="D15748" t="str">
            <v>ET.OZDF.65X100 ŁOP.STM P</v>
          </cell>
        </row>
        <row r="15749">
          <cell r="C15749">
            <v>2017861</v>
          </cell>
          <cell r="D15749" t="str">
            <v>ET.TRMF.65X80 BIZ.BIA.U</v>
          </cell>
        </row>
        <row r="15750">
          <cell r="C15750">
            <v>2018936</v>
          </cell>
          <cell r="D15750" t="str">
            <v>ET.TRMP.72X102 ŚLĄZERKI KLAS.T</v>
          </cell>
        </row>
        <row r="15751">
          <cell r="C15751">
            <v>2018935</v>
          </cell>
          <cell r="D15751" t="str">
            <v>ET.TRMP.72X102 ŚLĄZERKI SER/POMID.T</v>
          </cell>
        </row>
        <row r="15752">
          <cell r="C15752">
            <v>2018937</v>
          </cell>
          <cell r="D15752" t="str">
            <v>ET.TRMP.72X102 ŚLĄZERKI JALAP.T</v>
          </cell>
        </row>
        <row r="15753">
          <cell r="C15753">
            <v>2018961</v>
          </cell>
          <cell r="D15753" t="str">
            <v>ET.TRMP.75X99 KABAN.Z/BEK.KRA T</v>
          </cell>
        </row>
        <row r="15754">
          <cell r="C15754">
            <v>2018919</v>
          </cell>
          <cell r="D15754" t="str">
            <v>ET.TRMF.68X90 K.CZOSN.MOR PL/GB T</v>
          </cell>
        </row>
        <row r="15755">
          <cell r="C15755">
            <v>2018973</v>
          </cell>
          <cell r="D15755" t="str">
            <v>ET.TRMP.60X50 BOCZ.WĘDZ.PARZ.MOR T</v>
          </cell>
        </row>
        <row r="15756">
          <cell r="C15756">
            <v>2018976</v>
          </cell>
          <cell r="D15756" t="str">
            <v>ET.TRMF.68X90 K.CZOSN.MOR LT/EE T</v>
          </cell>
        </row>
        <row r="15757">
          <cell r="C15757">
            <v>2017223</v>
          </cell>
          <cell r="D15757" t="str">
            <v>ET.TRMF.80X110 SCH.B/K.KM BIED T</v>
          </cell>
        </row>
        <row r="15758">
          <cell r="C15758">
            <v>2017179</v>
          </cell>
          <cell r="D15758" t="str">
            <v>ET.TRMF.80X110 ŁOP.B/K.KM BIED T</v>
          </cell>
        </row>
        <row r="15759">
          <cell r="C15759">
            <v>2017222</v>
          </cell>
          <cell r="D15759" t="str">
            <v>ET.TRMF.80X110 SZYN.B/K.KM BIED T</v>
          </cell>
        </row>
        <row r="15760">
          <cell r="C15760">
            <v>2017220</v>
          </cell>
          <cell r="D15760" t="str">
            <v>ET.TRMF.80X110 KARK.B/K.KM BIED T</v>
          </cell>
        </row>
        <row r="15761">
          <cell r="C15761">
            <v>2017221</v>
          </cell>
          <cell r="D15761" t="str">
            <v>ET.TRMF.80X110 BOCZ.B/S.KM BIED T</v>
          </cell>
        </row>
        <row r="15762">
          <cell r="C15762">
            <v>2019049</v>
          </cell>
          <cell r="D15762" t="str">
            <v>ET.TRMP.84X100 ZWYCZAJNA MOR PL/GB T</v>
          </cell>
        </row>
        <row r="15763">
          <cell r="C15763">
            <v>2019045</v>
          </cell>
          <cell r="D15763" t="str">
            <v>ET.TRMP.72X102 FRANK.MOR PL/GB T</v>
          </cell>
        </row>
        <row r="15764">
          <cell r="C15764">
            <v>2019046</v>
          </cell>
          <cell r="D15764" t="str">
            <v>***ET.TRMP.72X102 ZWYCZAJNA MAP STS T</v>
          </cell>
        </row>
        <row r="15765">
          <cell r="C15765">
            <v>2019014</v>
          </cell>
          <cell r="D15765" t="str">
            <v>ET.TRMP.70X99 ŚLĄSKA 104G KRA T</v>
          </cell>
        </row>
        <row r="15766">
          <cell r="C15766">
            <v>2018998</v>
          </cell>
          <cell r="D15766" t="str">
            <v>ET.TRMP.70X110 BIZ.BIA.RZEŹ.SZYM.U</v>
          </cell>
        </row>
        <row r="15767">
          <cell r="C15767">
            <v>2019048</v>
          </cell>
          <cell r="D15767" t="str">
            <v>***ET.TRMP.80X100 BIWAKOWA MAP ELIT GB T</v>
          </cell>
        </row>
        <row r="15768">
          <cell r="C15768">
            <v>2019047</v>
          </cell>
          <cell r="D15768" t="str">
            <v>ET.TRMP.90X100 ZWYCZAJNA ALDI T</v>
          </cell>
        </row>
        <row r="15769">
          <cell r="C15769">
            <v>2019039</v>
          </cell>
          <cell r="D15769" t="str">
            <v>ET.TRMP.58X110 BOCZ.WĘDZ.PARZ.BAR RO T</v>
          </cell>
        </row>
        <row r="15770">
          <cell r="C15770">
            <v>2019060</v>
          </cell>
          <cell r="D15770" t="str">
            <v>ET.OZDP.58X110 BOCZ.WĘDZ.PARZ.BAR RO P</v>
          </cell>
        </row>
        <row r="15771">
          <cell r="C15771">
            <v>2019061</v>
          </cell>
          <cell r="D15771" t="str">
            <v>ET.OZDP.58X110 BOCZ.WĘDZ.PARZ.BAR LT T</v>
          </cell>
        </row>
        <row r="15772">
          <cell r="C15772">
            <v>2019070</v>
          </cell>
          <cell r="D15772" t="str">
            <v>ET.OZDP.58X110 BOCZ.WĘDZ.PARZ BAR LT P</v>
          </cell>
        </row>
        <row r="15773">
          <cell r="C15773">
            <v>2019016</v>
          </cell>
          <cell r="D15773" t="str">
            <v>ET.TRMP.73X102 ŚLĄSKA GRILL.KW T</v>
          </cell>
        </row>
        <row r="15774">
          <cell r="C15774">
            <v>2019017</v>
          </cell>
          <cell r="D15774" t="str">
            <v>ET.TRMP.74X105 K.BIAŁA Z SZYN.KW T</v>
          </cell>
        </row>
        <row r="15775">
          <cell r="C15775">
            <v>2019080</v>
          </cell>
          <cell r="D15775" t="str">
            <v>ET.TRMP.69X106 REGIONALNA T</v>
          </cell>
        </row>
        <row r="15776">
          <cell r="C15776">
            <v>2019018</v>
          </cell>
          <cell r="D15776" t="str">
            <v>ET.TRMP.73X102 ŚLĄSKA TŁ18G 550G KW T</v>
          </cell>
        </row>
        <row r="15777">
          <cell r="C15777">
            <v>2019019</v>
          </cell>
          <cell r="D15777" t="str">
            <v>ET.TRMP.73X102 ŚLĄSKA TŁ18G VAC MP KW T</v>
          </cell>
        </row>
        <row r="15778">
          <cell r="C15778">
            <v>2019081</v>
          </cell>
          <cell r="D15778" t="str">
            <v>ET.TRMP.85X100 BIWAKOWA BAR T</v>
          </cell>
        </row>
        <row r="15779">
          <cell r="C15779">
            <v>2019082</v>
          </cell>
          <cell r="D15779" t="str">
            <v>ET.TRMP.70X90 ŚLĄSKA CODZ.G&amp;F T</v>
          </cell>
        </row>
        <row r="15780">
          <cell r="C15780">
            <v>2019083</v>
          </cell>
          <cell r="D15780" t="str">
            <v>ET.TRMP.69.5X95 ŚLĄSKA DUL T</v>
          </cell>
        </row>
        <row r="15781">
          <cell r="C15781">
            <v>2019086</v>
          </cell>
          <cell r="D15781" t="str">
            <v>ET.TRMP.69X95 ŚLĄSKA 550G HR T</v>
          </cell>
        </row>
        <row r="15782">
          <cell r="C15782">
            <v>2019084</v>
          </cell>
          <cell r="D15782" t="str">
            <v>ET.TRMP.69X95 ŚLĄSKA 550G RO T</v>
          </cell>
        </row>
        <row r="15783">
          <cell r="C15783">
            <v>2019085</v>
          </cell>
          <cell r="D15783" t="str">
            <v>ET.TRMP.69X95 ŚLĄSKA 550G SK T</v>
          </cell>
        </row>
        <row r="15784">
          <cell r="C15784">
            <v>2019052</v>
          </cell>
          <cell r="D15784" t="str">
            <v>ET.TRMP.73X102 ŚLĄSKA KW T</v>
          </cell>
        </row>
        <row r="15785">
          <cell r="C15785">
            <v>2018199</v>
          </cell>
          <cell r="D15785" t="str">
            <v>ET.TRMP.100X150 BIZ.BIA.U</v>
          </cell>
        </row>
        <row r="15786">
          <cell r="C15786">
            <v>2018196</v>
          </cell>
          <cell r="D15786" t="str">
            <v>ET.TRMP.100X150 BIZ.RÓŻ.U</v>
          </cell>
        </row>
        <row r="15787">
          <cell r="C15787">
            <v>2018197</v>
          </cell>
          <cell r="D15787" t="str">
            <v>ET.TRMP.100X150 BIZ.CZER.U</v>
          </cell>
        </row>
        <row r="15788">
          <cell r="C15788">
            <v>2019122</v>
          </cell>
          <cell r="D15788" t="str">
            <v>ET.TRMP.80X100 SZYN.BIA.KRÓL.MOR T</v>
          </cell>
        </row>
        <row r="15789">
          <cell r="C15789">
            <v>2019250</v>
          </cell>
          <cell r="D15789" t="str">
            <v>ET.TRMP.80X100 ŻEB.PIK LT T</v>
          </cell>
        </row>
        <row r="15790">
          <cell r="C15790">
            <v>2019256</v>
          </cell>
          <cell r="D15790" t="str">
            <v>ET.OZDP.80X100 ŻEB.PIK LT P</v>
          </cell>
        </row>
        <row r="15791">
          <cell r="C15791">
            <v>2019252</v>
          </cell>
          <cell r="D15791" t="str">
            <v>ET.TRMP.80X100 ŻEB.PIK SK T</v>
          </cell>
        </row>
        <row r="15792">
          <cell r="C15792">
            <v>2019255</v>
          </cell>
          <cell r="D15792" t="str">
            <v>ET.OZDP.80X100 ŻEB.PIK SK P</v>
          </cell>
        </row>
        <row r="15793">
          <cell r="C15793">
            <v>2004686</v>
          </cell>
          <cell r="D15793" t="str">
            <v>ET.STICP.FI40 BIA.</v>
          </cell>
        </row>
        <row r="15794">
          <cell r="C15794">
            <v>2019342</v>
          </cell>
          <cell r="D15794" t="str">
            <v>ET.OZDP.50X60 BOCZ.MOC.WĘ.MOR PL/CZ/EE P</v>
          </cell>
        </row>
        <row r="15795">
          <cell r="C15795">
            <v>2019412</v>
          </cell>
          <cell r="D15795" t="str">
            <v>ET.OZDP.60X80 BOCZ.CARSKI MOR P</v>
          </cell>
        </row>
        <row r="15796">
          <cell r="C15796">
            <v>2019512</v>
          </cell>
          <cell r="D15796" t="str">
            <v>ET.OZDP.80X100 BOCZ.MORL.WĘDZ.PARZ.MOR P</v>
          </cell>
        </row>
        <row r="15797">
          <cell r="C15797">
            <v>2019544</v>
          </cell>
          <cell r="D15797" t="str">
            <v>ET.OZDP.60X72 K.CZOSN.MOR PL/GB P</v>
          </cell>
        </row>
        <row r="15798">
          <cell r="C15798">
            <v>2019528</v>
          </cell>
          <cell r="D15798" t="str">
            <v>ET.TRMP.73X102 PODWAW.WURST T</v>
          </cell>
        </row>
        <row r="15799">
          <cell r="C15799">
            <v>2019581</v>
          </cell>
          <cell r="D15799" t="str">
            <v>ET.OZDP.80X100 ŻEB.PIK P</v>
          </cell>
        </row>
        <row r="15800">
          <cell r="C15800">
            <v>2019582</v>
          </cell>
          <cell r="D15800" t="str">
            <v>ET.TRMP.80X100 ŻEB.PIK T</v>
          </cell>
        </row>
        <row r="15801">
          <cell r="C15801">
            <v>2013719</v>
          </cell>
          <cell r="D15801" t="str">
            <v>ET.TRMP.58X91 BIZ.BIA.AUCH U</v>
          </cell>
        </row>
        <row r="15802">
          <cell r="C15802">
            <v>2004736</v>
          </cell>
          <cell r="D15802" t="str">
            <v>ET.TRMP.84X95 FI40 BIZ.BIA.U</v>
          </cell>
        </row>
        <row r="15803">
          <cell r="C15803">
            <v>2019780</v>
          </cell>
          <cell r="D15803" t="str">
            <v>ET.TRMP.60X70 BIZ.ZIEL.U</v>
          </cell>
        </row>
        <row r="15804">
          <cell r="C15804">
            <v>2019781</v>
          </cell>
          <cell r="D15804" t="str">
            <v>ET.TRMP.60X70 BIZ.POM.U</v>
          </cell>
        </row>
        <row r="15805">
          <cell r="C15805">
            <v>2019801</v>
          </cell>
          <cell r="D15805" t="str">
            <v>ET.STICP.45X70 LOT.MOR</v>
          </cell>
        </row>
        <row r="15806">
          <cell r="C15806">
            <v>2019806</v>
          </cell>
          <cell r="D15806" t="str">
            <v>ET.OZDP.63X100 PODWAW.80% MOR LOT.P</v>
          </cell>
        </row>
        <row r="15807">
          <cell r="C15807">
            <v>2019807</v>
          </cell>
          <cell r="D15807" t="str">
            <v>ET.OZDP.63X100 GŁOGOWSKA Z SZYN.MORLOT.P</v>
          </cell>
        </row>
        <row r="15808">
          <cell r="C15808">
            <v>2019816</v>
          </cell>
          <cell r="D15808" t="str">
            <v>ET.OZDF.60X72 K.CZOSN.MOR PL/GB P</v>
          </cell>
        </row>
        <row r="15809">
          <cell r="C15809">
            <v>2019868</v>
          </cell>
          <cell r="D15809" t="str">
            <v>ET.OZDP.70X90 SERD.MOR P</v>
          </cell>
        </row>
        <row r="15810">
          <cell r="C15810">
            <v>2019869</v>
          </cell>
          <cell r="D15810" t="str">
            <v>ET.OZDP.90X100 ŚLĄSKA 1.3KG PIK SK P</v>
          </cell>
        </row>
        <row r="15811">
          <cell r="C15811">
            <v>2019915</v>
          </cell>
          <cell r="D15811" t="str">
            <v>ET.OZDP.80X100 ŚLĄSKA CODZ.BAR LT</v>
          </cell>
        </row>
        <row r="15812">
          <cell r="C15812">
            <v>2019916</v>
          </cell>
          <cell r="D15812" t="str">
            <v>ET.TRMP.70X90 ŚLĄSKA CODZ.BAR LT T</v>
          </cell>
        </row>
        <row r="15813">
          <cell r="C15813">
            <v>2019942</v>
          </cell>
          <cell r="D15813" t="str">
            <v>ET.OZDP.80X100 TORUŃSKA KW P</v>
          </cell>
        </row>
        <row r="15814">
          <cell r="C15814">
            <v>2019943</v>
          </cell>
          <cell r="D15814" t="str">
            <v>ET.TRMP.73X102 TORUŃSKA KW T</v>
          </cell>
        </row>
        <row r="15815">
          <cell r="C15815">
            <v>2019959</v>
          </cell>
          <cell r="D15815" t="str">
            <v>ET.OZDP.90X100 ŚLĄSKA 1.3KG PIK BG P</v>
          </cell>
        </row>
        <row r="15816">
          <cell r="C15816">
            <v>2019958</v>
          </cell>
          <cell r="D15816" t="str">
            <v>ET.TRMP.80X100 ŚLĄSKA 1.3KG PIK BG T</v>
          </cell>
        </row>
        <row r="15817">
          <cell r="C15817">
            <v>2020063</v>
          </cell>
          <cell r="D15817" t="str">
            <v>ET.TRMP.70X100 POL.SOPOCKA BAR BG T</v>
          </cell>
        </row>
        <row r="15818">
          <cell r="C15818">
            <v>2020100</v>
          </cell>
          <cell r="D15818" t="str">
            <v>ET.OZDP.90X100 ŚLĄSKA 1.3KG DUL SE P</v>
          </cell>
        </row>
        <row r="15819">
          <cell r="C15819">
            <v>2020073</v>
          </cell>
          <cell r="D15819" t="str">
            <v>ET.OZDP.95X85 BIESIADNA YAN P</v>
          </cell>
        </row>
        <row r="15820">
          <cell r="C15820">
            <v>2020072</v>
          </cell>
          <cell r="D15820" t="str">
            <v>ET.OZDP.95X85 ŚLĄSKA YAN P</v>
          </cell>
        </row>
        <row r="15821">
          <cell r="C15821">
            <v>2020039</v>
          </cell>
          <cell r="D15821" t="str">
            <v>ET.OZDP.80X95 BIWAKOWA MOR P</v>
          </cell>
        </row>
        <row r="15822">
          <cell r="C15822">
            <v>2020093</v>
          </cell>
          <cell r="D15822" t="str">
            <v>ET.OZDP.80X100 K.KRUCHA PIE.KRA P</v>
          </cell>
        </row>
        <row r="15823">
          <cell r="C15823">
            <v>2020102</v>
          </cell>
          <cell r="D15823" t="str">
            <v>ET.TRMP.90X100 BIZ.BIA.METCH EX U</v>
          </cell>
        </row>
        <row r="15824">
          <cell r="C15824">
            <v>2020068</v>
          </cell>
          <cell r="D15824" t="str">
            <v>ET.TRMP.80X110 ŁOP.B/K.KM BIED P</v>
          </cell>
        </row>
        <row r="15825">
          <cell r="C15825">
            <v>2020069</v>
          </cell>
          <cell r="D15825" t="str">
            <v>ET.TRMP.80X110 SCH.B/K.KM BIED P</v>
          </cell>
        </row>
        <row r="15826">
          <cell r="C15826">
            <v>2020067</v>
          </cell>
          <cell r="D15826" t="str">
            <v>ET.TRMP.80X110 SZYN.B/K.KM BIED P</v>
          </cell>
        </row>
        <row r="15827">
          <cell r="C15827">
            <v>2020066</v>
          </cell>
          <cell r="D15827" t="str">
            <v>ET.TRMP.80X110 KARK.B/K.KM BIED P</v>
          </cell>
        </row>
        <row r="15828">
          <cell r="C15828">
            <v>2020065</v>
          </cell>
          <cell r="D15828" t="str">
            <v>ET.TRMP.80X110 BOCZ.B/K/S.KM BIED P</v>
          </cell>
        </row>
        <row r="15829">
          <cell r="C15829">
            <v>2020153</v>
          </cell>
          <cell r="D15829" t="str">
            <v>ET.OZDP.63X110 ŚLĄSKA DROB.MOR LOT.P</v>
          </cell>
        </row>
        <row r="15830">
          <cell r="C15830">
            <v>2020160</v>
          </cell>
          <cell r="D15830" t="str">
            <v>ET.TRMP.95X110 SCH.B/K.MP KM BIED P</v>
          </cell>
        </row>
        <row r="15831">
          <cell r="C15831">
            <v>2020175</v>
          </cell>
          <cell r="D15831" t="str">
            <v>ET.TRMP.70X99 KAB.KLAS.Z SZYN.180G KRA T</v>
          </cell>
        </row>
        <row r="15832">
          <cell r="C15832">
            <v>2020118</v>
          </cell>
          <cell r="D15832" t="str">
            <v>ET.OZDP.80X100 ŻEB.107% PIK LV/EE P</v>
          </cell>
        </row>
        <row r="15833">
          <cell r="C15833">
            <v>2020190</v>
          </cell>
          <cell r="D15833" t="str">
            <v>ET.TRMP.80X100 ŻEB.107% PIK LV T</v>
          </cell>
        </row>
        <row r="15834">
          <cell r="C15834">
            <v>2020115</v>
          </cell>
          <cell r="D15834" t="str">
            <v>ET.OZDP.80X100 KIEŁB.CLASS.300G BG P</v>
          </cell>
        </row>
        <row r="15835">
          <cell r="C15835">
            <v>2020191</v>
          </cell>
          <cell r="D15835" t="str">
            <v>ET.TRMP.75X90 KIEŁB.CLASS.300G BG T</v>
          </cell>
        </row>
        <row r="15836">
          <cell r="C15836">
            <v>2020116</v>
          </cell>
          <cell r="D15836" t="str">
            <v>ET.OZDP.80X100 KIEŁB.SER/POMID.300G BG P</v>
          </cell>
        </row>
        <row r="15837">
          <cell r="C15837">
            <v>2020117</v>
          </cell>
          <cell r="D15837" t="str">
            <v>ET.TRMP.75X90 KIEŁB.SER/POMID.300G BG T</v>
          </cell>
        </row>
        <row r="15838">
          <cell r="C15838">
            <v>2020250</v>
          </cell>
          <cell r="D15838" t="str">
            <v>ET.STICP.65X80 BIZ.POM.U</v>
          </cell>
        </row>
        <row r="15839">
          <cell r="C15839">
            <v>2020261</v>
          </cell>
          <cell r="D15839" t="str">
            <v>ET.OZDP.95X80 ŚLĄSKA YAN CZ/SK/HU P</v>
          </cell>
        </row>
        <row r="15840">
          <cell r="C15840">
            <v>2020298</v>
          </cell>
          <cell r="D15840" t="str">
            <v>ET.TRMP.80X110 SCH.B/K.VAC ALDI T</v>
          </cell>
        </row>
        <row r="15841">
          <cell r="C15841">
            <v>2020299</v>
          </cell>
          <cell r="D15841" t="str">
            <v>ET.OZDP.80X100 ŚLĄSKA 91% KW P</v>
          </cell>
        </row>
        <row r="15842">
          <cell r="C15842">
            <v>2019954</v>
          </cell>
          <cell r="D15842" t="str">
            <v>ET.OZDP.70X80 ŚLĄSKA 360G MOR LOT.P</v>
          </cell>
        </row>
        <row r="15843">
          <cell r="C15843">
            <v>2020400</v>
          </cell>
          <cell r="D15843" t="str">
            <v>ET.TRMP.85X116 ŚLĄSKA YAN CZ/SK/HU T</v>
          </cell>
        </row>
        <row r="15844">
          <cell r="C15844">
            <v>2020317</v>
          </cell>
          <cell r="D15844" t="str">
            <v>ET.OZDP.63X85 PODWAW.95% PIK P</v>
          </cell>
        </row>
        <row r="15845">
          <cell r="C15845">
            <v>2020408</v>
          </cell>
          <cell r="D15845" t="str">
            <v>ET.OZDP.80X100 BOCZ.SZW.KRA P</v>
          </cell>
        </row>
        <row r="15846">
          <cell r="C15846">
            <v>2020430</v>
          </cell>
          <cell r="D15846" t="str">
            <v>ET.TRMP.80X110 SZYN.B/K.VAC ALDI T</v>
          </cell>
        </row>
        <row r="15847">
          <cell r="C15847">
            <v>2020434</v>
          </cell>
          <cell r="D15847" t="str">
            <v>ET.OZDP.55X75 ŻYWIECKA ROH P</v>
          </cell>
        </row>
        <row r="15848">
          <cell r="C15848">
            <v>2020433</v>
          </cell>
          <cell r="D15848" t="str">
            <v>ET.TRMP.70X90 ŻYWIECKA ROH T</v>
          </cell>
        </row>
        <row r="15849">
          <cell r="C15849">
            <v>2020444</v>
          </cell>
          <cell r="D15849" t="str">
            <v>ET.OZDP.80X100BOCZ.MOC.WĘ.MOR PL/CZ/EE P</v>
          </cell>
        </row>
        <row r="15850">
          <cell r="C15850">
            <v>2020438</v>
          </cell>
          <cell r="D15850" t="str">
            <v>ET.TRMP.58X110 BOCZ.SZW.KRA T</v>
          </cell>
        </row>
        <row r="15851">
          <cell r="C15851">
            <v>2020446</v>
          </cell>
          <cell r="D15851" t="str">
            <v>ET.OZDP.80X100 K.CODZIENNA G&amp;F P</v>
          </cell>
        </row>
        <row r="15852">
          <cell r="C15852">
            <v>2020445</v>
          </cell>
          <cell r="D15852" t="str">
            <v>ET.TRMP.70X90 K.CODZIENNA T</v>
          </cell>
        </row>
        <row r="15853">
          <cell r="C15853">
            <v>2020455</v>
          </cell>
          <cell r="D15853" t="str">
            <v>ET.TRMP.90X110 ŚLĄSKA MOR PL/GB/DE T</v>
          </cell>
        </row>
        <row r="15854">
          <cell r="C15854">
            <v>2020457</v>
          </cell>
          <cell r="D15854" t="str">
            <v>ET.TRMP.90X110 ŚLĄSKA MOR LT/LV/EE T</v>
          </cell>
        </row>
        <row r="15855">
          <cell r="C15855">
            <v>2020483</v>
          </cell>
          <cell r="D15855" t="str">
            <v>ET.TRMP.90X110 BIWAKOWA MOR PL/EN T</v>
          </cell>
        </row>
        <row r="15856">
          <cell r="C15856">
            <v>2019903</v>
          </cell>
          <cell r="D15856" t="str">
            <v>ET.OZDP.70X80 ŚLĄSKA 360G MOR P</v>
          </cell>
        </row>
        <row r="15857">
          <cell r="C15857">
            <v>2020525</v>
          </cell>
          <cell r="D15857" t="str">
            <v>ET.TRMP.80X100 ŻEB.107% PIK EE T</v>
          </cell>
        </row>
        <row r="15858">
          <cell r="C15858">
            <v>2020555</v>
          </cell>
          <cell r="D15858" t="str">
            <v>ET.OZDP.70X90 ZWYCZAJNA BAR P</v>
          </cell>
        </row>
        <row r="15859">
          <cell r="C15859">
            <v>2020554</v>
          </cell>
          <cell r="D15859" t="str">
            <v>ET.TRMP.80X100 ZWYCZAJNA BAR T</v>
          </cell>
        </row>
        <row r="15860">
          <cell r="C15860">
            <v>2020553</v>
          </cell>
          <cell r="D15860" t="str">
            <v>ET.OZDP.80X95 BIWAKOWA MOR.LOT.P</v>
          </cell>
        </row>
        <row r="15861">
          <cell r="C15861">
            <v>2000344</v>
          </cell>
          <cell r="D15861" t="str">
            <v>ET.TRMP.80X80 FI76 BIZ.BIA.U</v>
          </cell>
        </row>
        <row r="15862">
          <cell r="C15862">
            <v>2020593</v>
          </cell>
          <cell r="D15862" t="str">
            <v>ET.OZDP.80X100 K.KRUCHA SZW.PIE.KRA P</v>
          </cell>
        </row>
        <row r="15863">
          <cell r="C15863">
            <v>2020616</v>
          </cell>
          <cell r="D15863" t="str">
            <v>ET.TRMP.80X100 ŚLĄSKA 1.3KG DUL SE T</v>
          </cell>
        </row>
        <row r="15864">
          <cell r="C15864">
            <v>2020635</v>
          </cell>
          <cell r="D15864" t="str">
            <v>ET.OZDP.70X80 ŚLĄSKA XXL MP MOR LOT.P</v>
          </cell>
        </row>
        <row r="15865">
          <cell r="C15865">
            <v>2019815</v>
          </cell>
          <cell r="D15865" t="str">
            <v>ET.OZDP.80X110 ŚLĄSKA MP MOR LOT.P</v>
          </cell>
        </row>
        <row r="15866">
          <cell r="C15866">
            <v>2020656</v>
          </cell>
          <cell r="D15866" t="str">
            <v>ET.TRMP.60X105 PODWAW.KRA T</v>
          </cell>
        </row>
        <row r="15867">
          <cell r="C15867">
            <v>2020738</v>
          </cell>
          <cell r="D15867" t="str">
            <v>ET.TRMP.60X80 SCH.NA BIAŁO KRA  T</v>
          </cell>
        </row>
        <row r="15868">
          <cell r="C15868">
            <v>2020737</v>
          </cell>
          <cell r="D15868" t="str">
            <v>ET.OZDF.70X80 SCH.NA BIAŁO KRA  P</v>
          </cell>
        </row>
        <row r="15869">
          <cell r="C15869">
            <v>2020736</v>
          </cell>
          <cell r="D15869" t="str">
            <v>ET.OZDP.90X100 ŚLĄSKA 1.3KG DUL GB P</v>
          </cell>
        </row>
        <row r="15870">
          <cell r="C15870">
            <v>2020832</v>
          </cell>
          <cell r="D15870" t="str">
            <v>ET.OZDP.70X80 ŚLĄSKA XXL MP P</v>
          </cell>
        </row>
        <row r="15871">
          <cell r="C15871">
            <v>2020831</v>
          </cell>
          <cell r="D15871" t="str">
            <v>ET.TRMP.70X99 KABAN.EXT.CIEN.250G KRA T</v>
          </cell>
        </row>
        <row r="15872">
          <cell r="C15872">
            <v>2021046</v>
          </cell>
          <cell r="D15872" t="str">
            <v>ET.TRMP.80X100 ŚLĄSKA 1.3KG PIK HR T</v>
          </cell>
        </row>
        <row r="15873">
          <cell r="C15873">
            <v>2021048</v>
          </cell>
          <cell r="D15873" t="str">
            <v>ET.OZDP.90X100 ŚLĄSKA 1.3KG PIK HR P</v>
          </cell>
        </row>
        <row r="15874">
          <cell r="C15874">
            <v>2021028</v>
          </cell>
          <cell r="D15874" t="str">
            <v>ET.TRMP.80X100 ŚLĄSKA 1.3KG DUL GB T</v>
          </cell>
        </row>
        <row r="15875">
          <cell r="C15875">
            <v>2021079</v>
          </cell>
          <cell r="D15875" t="str">
            <v>ET.TRMP.80X100 ŚLĄSKA 1.3KG PIK SK TWE</v>
          </cell>
        </row>
        <row r="15876">
          <cell r="C15876">
            <v>2021141</v>
          </cell>
          <cell r="D15876" t="str">
            <v>ET.TRMP.70X99 KABAN.MISTRZ.KRA TWE</v>
          </cell>
        </row>
        <row r="15877">
          <cell r="C15877">
            <v>2021154</v>
          </cell>
          <cell r="D15877" t="str">
            <v>ET.TRMP.60X90 TORUŃSKA PIK LT TWE</v>
          </cell>
        </row>
        <row r="15878">
          <cell r="C15878">
            <v>2021153</v>
          </cell>
          <cell r="D15878" t="str">
            <v>ET.OZDP.60X90 TORUŃSKA PIK LT P</v>
          </cell>
        </row>
        <row r="15879">
          <cell r="C15879">
            <v>2021190</v>
          </cell>
          <cell r="D15879" t="str">
            <v>ET.TRMP.58X90 SZYN.ZAPIE.GOLD KRA T</v>
          </cell>
        </row>
        <row r="15880">
          <cell r="C15880">
            <v>2021159</v>
          </cell>
          <cell r="D15880" t="str">
            <v>ET.TRMP.58X90 BOCZ.ZAPIE.GOLD KRA T</v>
          </cell>
        </row>
        <row r="15881">
          <cell r="C15881">
            <v>2021191</v>
          </cell>
          <cell r="D15881" t="str">
            <v>ET.TRMF.58X90 POL.WĘDZ.GOLD KRA T</v>
          </cell>
        </row>
        <row r="15882">
          <cell r="C15882">
            <v>2021194</v>
          </cell>
          <cell r="D15882" t="str">
            <v>ET.TRMP.70X99 KABAN.WP.180G DUL TWE</v>
          </cell>
        </row>
        <row r="15883">
          <cell r="C15883">
            <v>2021186</v>
          </cell>
          <cell r="D15883" t="str">
            <v>ET.OZDF.50X70 POL.WĘDZ.GOLD KRA PP P</v>
          </cell>
        </row>
        <row r="15884">
          <cell r="C15884">
            <v>2021187</v>
          </cell>
          <cell r="D15884" t="str">
            <v>ET.OZDP.50X70 SZYN.ZAPIE.GOLD KRA PP P</v>
          </cell>
        </row>
        <row r="15885">
          <cell r="C15885">
            <v>2021221</v>
          </cell>
          <cell r="D15885" t="str">
            <v>ET.OZDP.72X72 K.KRUCHA Z KUR.KW P</v>
          </cell>
        </row>
        <row r="15886">
          <cell r="C15886">
            <v>2021220</v>
          </cell>
          <cell r="D15886" t="str">
            <v>ET.TRMP.70X90 K.KRUCHA Z KUR.KW TWE</v>
          </cell>
        </row>
        <row r="15887">
          <cell r="C15887">
            <v>2021253</v>
          </cell>
          <cell r="D15887" t="str">
            <v>ET.TRMP.60X90 TORUŃSKA PIK PL TWE</v>
          </cell>
        </row>
        <row r="15888">
          <cell r="C15888">
            <v>2021252</v>
          </cell>
          <cell r="D15888" t="str">
            <v>ET.OZDP.60X90 TORUŃSKA PIK P</v>
          </cell>
        </row>
        <row r="15889">
          <cell r="C15889">
            <v>2021254</v>
          </cell>
          <cell r="D15889" t="str">
            <v>ET.TRMP.80X100 WP.RO P</v>
          </cell>
        </row>
        <row r="15890">
          <cell r="C15890">
            <v>2021262</v>
          </cell>
          <cell r="D15890" t="str">
            <v>ET.TRMP.58X90 BOCZ.SZW.KRA T</v>
          </cell>
        </row>
        <row r="15891">
          <cell r="C15891">
            <v>2021261</v>
          </cell>
          <cell r="D15891" t="str">
            <v>ET.OZDP.70X80 BOCZ.SZW.KRA P</v>
          </cell>
        </row>
        <row r="15892">
          <cell r="C15892">
            <v>2021260</v>
          </cell>
          <cell r="D15892" t="str">
            <v>ET.TRMP.58X90 SCH.NA BIAŁO KRA T</v>
          </cell>
        </row>
        <row r="15893">
          <cell r="C15893">
            <v>2021273</v>
          </cell>
          <cell r="D15893" t="str">
            <v>ET.TRMF.58X90 WĘDZ.KROTOSZ.KRA T</v>
          </cell>
        </row>
        <row r="15894">
          <cell r="C15894">
            <v>2021272</v>
          </cell>
          <cell r="D15894" t="str">
            <v>ET.OZDF.50X70 WĘDZ.KROTOSZ.KRA P</v>
          </cell>
        </row>
        <row r="15895">
          <cell r="C15895">
            <v>2021293</v>
          </cell>
          <cell r="D15895" t="str">
            <v>ET.TRMP.80X110 ŚLĄSKA 550G PIK BG TWE</v>
          </cell>
        </row>
        <row r="15896">
          <cell r="C15896">
            <v>2021292</v>
          </cell>
          <cell r="D15896" t="str">
            <v>ET.OZDP.85X90 ŚLĄSKA 90% 550G PIK BG P</v>
          </cell>
        </row>
        <row r="15897">
          <cell r="C15897">
            <v>2021291</v>
          </cell>
          <cell r="D15897" t="str">
            <v>ET.OZDP.85X90 ŚLĄSKA 90% PIK EE/LV P</v>
          </cell>
        </row>
        <row r="15898">
          <cell r="C15898">
            <v>2021257</v>
          </cell>
          <cell r="D15898" t="str">
            <v>ET.TRMP.80X110 ŚLĄSKA 550G PIK EE/LV TWE</v>
          </cell>
        </row>
        <row r="15899">
          <cell r="C15899">
            <v>2021256</v>
          </cell>
          <cell r="D15899" t="str">
            <v>ET.OZDF.50X70 BOCZ.WĘDZ.PARZ.KRA P</v>
          </cell>
        </row>
        <row r="15900">
          <cell r="C15900">
            <v>2021300</v>
          </cell>
          <cell r="D15900" t="str">
            <v>ET.TRMF.58X90 BOCZ.WĘDZ.PARZ.KRA T</v>
          </cell>
        </row>
        <row r="15901">
          <cell r="C15901">
            <v>2021268</v>
          </cell>
          <cell r="D15901" t="str">
            <v>ET.TRMP.58X90 SZYN.MAGNACKA KRA T</v>
          </cell>
        </row>
        <row r="15902">
          <cell r="C15902">
            <v>2021267</v>
          </cell>
          <cell r="D15902" t="str">
            <v>ET.OZDP.60X90 TORUŃSKA PIK RO P</v>
          </cell>
        </row>
        <row r="15903">
          <cell r="C15903">
            <v>2021294</v>
          </cell>
          <cell r="D15903" t="str">
            <v>ET.TRMP.60X90 TORUŃSKA PIK RO TWE</v>
          </cell>
        </row>
        <row r="15904">
          <cell r="C15904">
            <v>2021331</v>
          </cell>
          <cell r="D15904" t="str">
            <v>ET.OZDF.60X75 ŻYWIECKA KRA DE P</v>
          </cell>
        </row>
        <row r="15905">
          <cell r="C15905">
            <v>2015231</v>
          </cell>
          <cell r="D15905" t="str">
            <v>ET.TRMP.78X115 BIZ.BIA.BER.U</v>
          </cell>
        </row>
        <row r="15906">
          <cell r="C15906">
            <v>2021372</v>
          </cell>
          <cell r="D15906" t="str">
            <v>ET.TRMP.69.5X90ŚLĄSKA90% 550G DUL DE TWE</v>
          </cell>
        </row>
        <row r="15907">
          <cell r="C15907">
            <v>2021391</v>
          </cell>
          <cell r="D15907" t="str">
            <v>ET.TRMP.90X110 ŚLĄSKA MOR  DE T</v>
          </cell>
        </row>
        <row r="15908">
          <cell r="C15908">
            <v>2021390</v>
          </cell>
          <cell r="D15908" t="str">
            <v>ET.OZDP.70X80 ŚLĄSKA MOR DE P</v>
          </cell>
        </row>
        <row r="15909">
          <cell r="C15909">
            <v>2021394</v>
          </cell>
          <cell r="D15909" t="str">
            <v>ET.OZDP.70X90 ŚLĄSKA REGIONALNA MP WĘD P</v>
          </cell>
        </row>
        <row r="15910">
          <cell r="C15910">
            <v>2021393</v>
          </cell>
          <cell r="D15910" t="str">
            <v>ET.TRMP.90X120 ŚLĄSKA REGIONALNA WĘD TWE</v>
          </cell>
        </row>
        <row r="15911">
          <cell r="C15911">
            <v>2021363</v>
          </cell>
          <cell r="D15911" t="str">
            <v>ET.OZDP.80X100 ŚLĄSKA CODZIENNA PIK EE P</v>
          </cell>
        </row>
        <row r="15912">
          <cell r="C15912">
            <v>2021364</v>
          </cell>
          <cell r="D15912" t="str">
            <v>ET.TRMP.70X90ŚLĄSKA CODZIENNA PIK EE TWE</v>
          </cell>
        </row>
        <row r="15913">
          <cell r="C15913">
            <v>2021361</v>
          </cell>
          <cell r="D15913" t="str">
            <v>ET.OZDP.80X100 ŚLĄSKA CODZIENNA PIK LV P</v>
          </cell>
        </row>
        <row r="15914">
          <cell r="C15914">
            <v>2021365</v>
          </cell>
          <cell r="D15914" t="str">
            <v>ET.TRMP.70X90ŚLĄSKA CODZIENNA PIK LV TWE</v>
          </cell>
        </row>
        <row r="15915">
          <cell r="C15915">
            <v>2021362</v>
          </cell>
          <cell r="D15915" t="str">
            <v>ET.OZDF.60X75 ŻYWIECKA SUCHA KRA P</v>
          </cell>
        </row>
        <row r="15916">
          <cell r="C15916">
            <v>2021461</v>
          </cell>
          <cell r="D15916" t="str">
            <v>ET.OZDP.95X85 BIWAKOWA YAN BG P</v>
          </cell>
        </row>
        <row r="15917">
          <cell r="C15917">
            <v>2021460</v>
          </cell>
          <cell r="D15917" t="str">
            <v>ET.TRMP.85X116 BIWAKOWA YAN BG TWE</v>
          </cell>
        </row>
        <row r="15918">
          <cell r="C15918">
            <v>2021480</v>
          </cell>
          <cell r="D15918" t="str">
            <v>ET.OZDP.70X90 SZYN.WĘDZ.KW P</v>
          </cell>
        </row>
        <row r="15919">
          <cell r="C15919">
            <v>2021482</v>
          </cell>
          <cell r="D15919" t="str">
            <v>ET.TRMP.70X90 SZYN.WĘDZ.KW TWE</v>
          </cell>
        </row>
        <row r="15920">
          <cell r="C15920">
            <v>2021498</v>
          </cell>
          <cell r="D15920" t="str">
            <v>ET.OZDP.70X80 ŚLĄSKA Z PIER.KUR.MOR P</v>
          </cell>
        </row>
        <row r="15921">
          <cell r="C15921">
            <v>2021497</v>
          </cell>
          <cell r="D15921" t="str">
            <v>ET.TRMP.90X110 ŚLĄSKA Z PIER.KUR.MOR TWE</v>
          </cell>
        </row>
        <row r="15922">
          <cell r="C15922">
            <v>2021506</v>
          </cell>
          <cell r="D15922" t="str">
            <v>ET.OZDP.60X75 ŻYWIECKA SUCHA WĘD P</v>
          </cell>
        </row>
        <row r="15923">
          <cell r="C15923">
            <v>2021505</v>
          </cell>
          <cell r="D15923" t="str">
            <v>ET.TRMP.70X90 ŻYWIECKA SUCHA WĘD TWE</v>
          </cell>
        </row>
        <row r="15924">
          <cell r="C15924">
            <v>2021522</v>
          </cell>
          <cell r="D15924" t="str">
            <v>ET.OZDP.70X90 BIWAKOWA PIK HU P</v>
          </cell>
        </row>
        <row r="15925">
          <cell r="C15925">
            <v>2021523</v>
          </cell>
          <cell r="D15925" t="str">
            <v>ET.TRMP.80X100 BIWAKOWA PIK HU TWE</v>
          </cell>
        </row>
        <row r="15926">
          <cell r="C15926">
            <v>2021527</v>
          </cell>
          <cell r="D15926" t="str">
            <v>ET.OZDP.95X85 ZWYCZAJNA ALDI  P</v>
          </cell>
        </row>
        <row r="15927">
          <cell r="C15927">
            <v>2021575</v>
          </cell>
          <cell r="D15927" t="str">
            <v>ET.TRMP.80X90 KRAK.PARZ.MOR T</v>
          </cell>
        </row>
        <row r="15928">
          <cell r="C15928">
            <v>2021573</v>
          </cell>
          <cell r="D15928" t="str">
            <v>ET.TRMP.80X90 KIEŁB.SZYN.MOR T</v>
          </cell>
        </row>
        <row r="15929">
          <cell r="C15929">
            <v>2021576</v>
          </cell>
          <cell r="D15929" t="str">
            <v>ET.TRMP.70X90 PODWAW.WURST T</v>
          </cell>
        </row>
        <row r="15930">
          <cell r="C15930">
            <v>2021580</v>
          </cell>
          <cell r="D15930" t="str">
            <v>ET.OZDP.70X80 ŚLĄSKA Z PIER.KUR.DP MOR P</v>
          </cell>
        </row>
        <row r="15931">
          <cell r="C15931">
            <v>2000072</v>
          </cell>
          <cell r="D15931" t="str">
            <v>PĘTELKI TW. SZTUCZNE</v>
          </cell>
        </row>
        <row r="15932">
          <cell r="C15932">
            <v>2003173</v>
          </cell>
          <cell r="D15932" t="str">
            <v>***OPASKA KABLOWA 190X4.8</v>
          </cell>
        </row>
        <row r="15933">
          <cell r="C15933">
            <v>2006126</v>
          </cell>
          <cell r="D15933" t="str">
            <v>WKŁAD ABSORB.KP 90X130</v>
          </cell>
        </row>
        <row r="15934">
          <cell r="C15934">
            <v>2005287</v>
          </cell>
          <cell r="D15934" t="str">
            <v>WKŁAD ABSORB.CZARNY 100X160</v>
          </cell>
        </row>
        <row r="15935">
          <cell r="C15935">
            <v>2000789</v>
          </cell>
          <cell r="D15935" t="str">
            <v>PAD CEL.ZAMK.100X150 4000 BIA.</v>
          </cell>
        </row>
        <row r="15936">
          <cell r="C15936">
            <v>2003174</v>
          </cell>
          <cell r="D15936" t="str">
            <v>WKŁAD ABSORB MP 80X120</v>
          </cell>
        </row>
        <row r="15937">
          <cell r="C15937">
            <v>2005284</v>
          </cell>
          <cell r="D15937" t="str">
            <v>WKŁAD ABSORB.CZARNY 150X200</v>
          </cell>
        </row>
        <row r="15938">
          <cell r="C15938">
            <v>2003175</v>
          </cell>
          <cell r="D15938" t="str">
            <v>WKŁAD ABSORB MP 4000 80X120</v>
          </cell>
        </row>
        <row r="15939">
          <cell r="C15939">
            <v>2003176</v>
          </cell>
          <cell r="D15939" t="str">
            <v>WKŁAD ABSORB MP 4000 120X160</v>
          </cell>
        </row>
        <row r="15940">
          <cell r="C15940">
            <v>2004448</v>
          </cell>
          <cell r="D15940" t="str">
            <v>WKŁAD ABSORPCYJNY MG-40S87X132 BIAŁY</v>
          </cell>
        </row>
        <row r="15941">
          <cell r="C15941">
            <v>2003682</v>
          </cell>
          <cell r="D15941" t="str">
            <v>PERGAMIN DO PORCJOMATU DUŻA GILZA</v>
          </cell>
        </row>
        <row r="15942">
          <cell r="C15942">
            <v>2005290</v>
          </cell>
          <cell r="D15942" t="str">
            <v>WKŁAD ABSORB.CZARNY 100X200</v>
          </cell>
        </row>
        <row r="15943">
          <cell r="C15943">
            <v>2005146</v>
          </cell>
          <cell r="D15943" t="str">
            <v>WKŁAD ABSORB.110X150 KP-MP4000</v>
          </cell>
        </row>
        <row r="15944">
          <cell r="C15944">
            <v>2006779</v>
          </cell>
          <cell r="D15944" t="str">
            <v>***WKŁAD ABSORB.CZARNY 112X167 ZAMKNIĘTY</v>
          </cell>
        </row>
        <row r="15945">
          <cell r="C15945">
            <v>2007044</v>
          </cell>
          <cell r="D15945" t="str">
            <v>WKŁAD ABSORB.CZARNY 90X130</v>
          </cell>
        </row>
        <row r="15946">
          <cell r="C15946">
            <v>2007395</v>
          </cell>
          <cell r="D15946" t="str">
            <v>BANDAŻ NA KOŚCI 250MM/90MIC.</v>
          </cell>
        </row>
        <row r="15947">
          <cell r="C15947">
            <v>2007661</v>
          </cell>
          <cell r="D15947" t="str">
            <v>WKŁAD ABSORB.MP8000 90X130</v>
          </cell>
        </row>
        <row r="15948">
          <cell r="C15948">
            <v>2008534</v>
          </cell>
          <cell r="D15948" t="str">
            <v>WKŁAD ABSORB.CELULOZA 100X120</v>
          </cell>
        </row>
        <row r="15949">
          <cell r="C15949">
            <v>2010640</v>
          </cell>
          <cell r="D15949" t="str">
            <v>PAPIER DO ŻEBEREK</v>
          </cell>
        </row>
        <row r="15950">
          <cell r="C15950">
            <v>2001589</v>
          </cell>
          <cell r="D15950" t="str">
            <v>KAR.470X250X160 KOREA D</v>
          </cell>
        </row>
        <row r="15951">
          <cell r="C15951">
            <v>2001576</v>
          </cell>
          <cell r="D15951" t="str">
            <v>***KAR.380X380X180 B/N</v>
          </cell>
        </row>
        <row r="15952">
          <cell r="C15952">
            <v>2001592</v>
          </cell>
          <cell r="D15952" t="str">
            <v>KAR.KR.480X290X180 5W BIA.K.FRZ AX B/OT.</v>
          </cell>
        </row>
        <row r="15953">
          <cell r="C15953">
            <v>2001585</v>
          </cell>
          <cell r="D15953" t="str">
            <v>KAR.440X240X230 ANIMEX EXP KOREA</v>
          </cell>
        </row>
        <row r="15954">
          <cell r="C15954">
            <v>2006224</v>
          </cell>
          <cell r="D15954" t="str">
            <v>***KAR.BECZKA 160L 850X800</v>
          </cell>
        </row>
        <row r="15955">
          <cell r="C15955">
            <v>2002259</v>
          </cell>
          <cell r="D15955" t="str">
            <v>KAR.360X300X105 KRAKUS SZARY</v>
          </cell>
        </row>
        <row r="15956">
          <cell r="C15956">
            <v>2001603</v>
          </cell>
          <cell r="D15956" t="str">
            <v>***KAR.590X400X160 KOREA EXP</v>
          </cell>
        </row>
        <row r="15957">
          <cell r="C15957">
            <v>2001770</v>
          </cell>
          <cell r="D15957" t="str">
            <v>OKT.POK.1195X795X145 3W SZAR.</v>
          </cell>
        </row>
        <row r="15958">
          <cell r="C15958">
            <v>2003177</v>
          </cell>
          <cell r="D15958" t="str">
            <v>KAR.430X330X126 KRA EX</v>
          </cell>
        </row>
        <row r="15959">
          <cell r="C15959">
            <v>2001596</v>
          </cell>
          <cell r="D15959" t="str">
            <v>KAR.535X360X105 ANIMEX EXP KOREA BIAŁY</v>
          </cell>
        </row>
        <row r="15960">
          <cell r="C15960">
            <v>2000873</v>
          </cell>
          <cell r="D15960" t="str">
            <v>KAR.382X252X176 5W SZARY STRZAŁKA</v>
          </cell>
        </row>
        <row r="15961">
          <cell r="C15961">
            <v>2000430</v>
          </cell>
          <cell r="D15961" t="str">
            <v>KAR.571X366X176 5W SZARY STRZAŁKA</v>
          </cell>
        </row>
        <row r="15962">
          <cell r="C15962">
            <v>2003178</v>
          </cell>
          <cell r="D15962" t="str">
            <v>KAR.576X366X86 5W SZARY STRZAŁKA</v>
          </cell>
        </row>
        <row r="15963">
          <cell r="C15963">
            <v>2003179</v>
          </cell>
          <cell r="D15963" t="str">
            <v>***KAR.KR.360X300X105 3W SZAR.STRZ.</v>
          </cell>
        </row>
        <row r="15964">
          <cell r="C15964">
            <v>2000395</v>
          </cell>
          <cell r="D15964" t="str">
            <v>***KAR.571X366X140 5W SZARY STRZAŁKA</v>
          </cell>
        </row>
        <row r="15965">
          <cell r="C15965">
            <v>2001604</v>
          </cell>
          <cell r="D15965" t="str">
            <v>OKT.1180X780X985 5W SZAR.B/D</v>
          </cell>
        </row>
        <row r="15966">
          <cell r="C15966">
            <v>2003180</v>
          </cell>
          <cell r="D15966" t="str">
            <v>***KAR.380X380X145 3 W SZARY STRZAŁKA</v>
          </cell>
        </row>
        <row r="15967">
          <cell r="C15967">
            <v>2003181</v>
          </cell>
          <cell r="D15967" t="str">
            <v>***KAR.380X280X120 3 W SZARY STRZAŁKA</v>
          </cell>
        </row>
        <row r="15968">
          <cell r="C15968">
            <v>2000377</v>
          </cell>
          <cell r="D15968" t="str">
            <v>KAR.585X390X150 SMITHFIELD</v>
          </cell>
        </row>
        <row r="15969">
          <cell r="C15969">
            <v>2002741</v>
          </cell>
          <cell r="D15969" t="str">
            <v>KAR.375X189X181 UNIWERSALNY KRAKUS D</v>
          </cell>
        </row>
        <row r="15970">
          <cell r="C15970">
            <v>2003182</v>
          </cell>
          <cell r="D15970" t="str">
            <v>***KAR.150X125X250 GRANAT.KRAKUS</v>
          </cell>
        </row>
        <row r="15971">
          <cell r="C15971">
            <v>2003183</v>
          </cell>
          <cell r="D15971" t="str">
            <v>KAR.586X387X149 D SMITHFIELA NADRUK USA</v>
          </cell>
        </row>
        <row r="15972">
          <cell r="C15972">
            <v>2001551</v>
          </cell>
          <cell r="D15972" t="str">
            <v>KAR.KA.285X191X100 3W SZAR.STRZ.</v>
          </cell>
        </row>
        <row r="15973">
          <cell r="C15973">
            <v>2003184</v>
          </cell>
          <cell r="D15973" t="str">
            <v>***KAR.220X160X218 KRAKUSKI</v>
          </cell>
        </row>
        <row r="15974">
          <cell r="C15974">
            <v>2001564</v>
          </cell>
          <cell r="D15974" t="str">
            <v>***KAR.358X238X160 KASZANKA NS D</v>
          </cell>
        </row>
        <row r="15975">
          <cell r="C15975">
            <v>2000399</v>
          </cell>
          <cell r="D15975" t="str">
            <v>KAR.280X130X200 MORLINY PLASTRY</v>
          </cell>
        </row>
        <row r="15976">
          <cell r="C15976">
            <v>2003185</v>
          </cell>
          <cell r="D15976" t="str">
            <v>***KAR.560X400X130 WZMOCNIONY</v>
          </cell>
        </row>
        <row r="15977">
          <cell r="C15977">
            <v>2003578</v>
          </cell>
          <cell r="D15977" t="str">
            <v>***KAR.318X193X114 3W</v>
          </cell>
        </row>
        <row r="15978">
          <cell r="C15978">
            <v>2001554</v>
          </cell>
          <cell r="D15978" t="str">
            <v>KAR.306X205X133 KRAKUS SZARY W</v>
          </cell>
        </row>
        <row r="15979">
          <cell r="C15979">
            <v>2001555</v>
          </cell>
          <cell r="D15979" t="str">
            <v>KAR.306X205X133 KRAKUS 300G NIEB.D</v>
          </cell>
        </row>
        <row r="15980">
          <cell r="C15980">
            <v>2000449</v>
          </cell>
          <cell r="D15980" t="str">
            <v>KAR.218X158X125 PARÓWKI ALDI</v>
          </cell>
        </row>
        <row r="15981">
          <cell r="C15981">
            <v>2003186</v>
          </cell>
          <cell r="D15981" t="str">
            <v>***KAR.375X189X180 W ŻYWIECKA BIEDRONKA</v>
          </cell>
        </row>
        <row r="15982">
          <cell r="C15982">
            <v>2003187</v>
          </cell>
          <cell r="D15982" t="str">
            <v>***KAR.375X189X180 D ŻYWIECKA BIEDRONKA</v>
          </cell>
        </row>
        <row r="15983">
          <cell r="C15983">
            <v>2003188</v>
          </cell>
          <cell r="D15983" t="str">
            <v>KAR.375X189X180 KRAKOWSKA BIEDRONKA W</v>
          </cell>
        </row>
        <row r="15984">
          <cell r="C15984">
            <v>2003189</v>
          </cell>
          <cell r="D15984" t="str">
            <v>KAR.375X189X180 KRAKOWSKA BIEDRONKA D</v>
          </cell>
        </row>
        <row r="15985">
          <cell r="C15985">
            <v>2003190</v>
          </cell>
          <cell r="D15985" t="str">
            <v>***KAR.W.375X182X188 KIEŁB.PODWAW.PRO W</v>
          </cell>
        </row>
        <row r="15986">
          <cell r="C15986">
            <v>2003191</v>
          </cell>
          <cell r="D15986" t="str">
            <v>***KAR.W.375X182X188 KIEŁB.PODWAW.PRO D</v>
          </cell>
        </row>
        <row r="15987">
          <cell r="C15987">
            <v>2001565</v>
          </cell>
          <cell r="D15987" t="str">
            <v>KAR.358X238X160 KASZANKA NASZE SMAKI W</v>
          </cell>
        </row>
        <row r="15988">
          <cell r="C15988">
            <v>2001570</v>
          </cell>
          <cell r="D15988" t="str">
            <v>KAR.370X200X210 TESCO GRILL D</v>
          </cell>
        </row>
        <row r="15989">
          <cell r="C15989">
            <v>2003192</v>
          </cell>
          <cell r="D15989" t="str">
            <v>KAR.370X200X210 TESCO W</v>
          </cell>
        </row>
        <row r="15990">
          <cell r="C15990">
            <v>2003193</v>
          </cell>
          <cell r="D15990" t="str">
            <v>***KAR.218X158X215 TESCO GRILL</v>
          </cell>
        </row>
        <row r="15991">
          <cell r="C15991">
            <v>2003194</v>
          </cell>
          <cell r="D15991" t="str">
            <v>***KAR.200X195X220 D TESCO SALCESON</v>
          </cell>
        </row>
        <row r="15992">
          <cell r="C15992">
            <v>2003195</v>
          </cell>
          <cell r="D15992" t="str">
            <v>***KAR.200X195X220 D TESCO SZYNKA DOMOWA</v>
          </cell>
        </row>
        <row r="15993">
          <cell r="C15993">
            <v>2003196</v>
          </cell>
          <cell r="D15993" t="str">
            <v>***KAR.200195X220 D TESCO KIEŁ.KANAPKOWA</v>
          </cell>
        </row>
        <row r="15994">
          <cell r="C15994">
            <v>2003602</v>
          </cell>
          <cell r="D15994" t="str">
            <v>KAR.370X200X210 D TESCO POL WĘDLINY</v>
          </cell>
        </row>
        <row r="15995">
          <cell r="C15995">
            <v>2001127</v>
          </cell>
          <cell r="D15995" t="str">
            <v>***KAR.218X158X215 MORLINY Z/N</v>
          </cell>
        </row>
        <row r="15996">
          <cell r="C15996">
            <v>2003198</v>
          </cell>
          <cell r="D15996" t="str">
            <v>KAR.W.200X195X220 SZARY TESC W</v>
          </cell>
        </row>
        <row r="15997">
          <cell r="C15997">
            <v>2003600</v>
          </cell>
          <cell r="D15997" t="str">
            <v>***KAR.194X189X215 D SZYNKA MIELONA</v>
          </cell>
        </row>
        <row r="15998">
          <cell r="C15998">
            <v>2001536</v>
          </cell>
          <cell r="D15998" t="str">
            <v>KAR.200X195X220 KRAKUS TESCO D</v>
          </cell>
        </row>
        <row r="15999">
          <cell r="C15999">
            <v>2003199</v>
          </cell>
          <cell r="D15999" t="str">
            <v>***KAR.370X200X210 D TESCO KRAKUS</v>
          </cell>
        </row>
        <row r="16000">
          <cell r="C16000">
            <v>2001572</v>
          </cell>
          <cell r="D16000" t="str">
            <v>***KAR.370X200X210 MORLINY RND D</v>
          </cell>
        </row>
        <row r="16001">
          <cell r="C16001">
            <v>2001537</v>
          </cell>
          <cell r="D16001" t="str">
            <v>KAR.W.200X195X220 MOR TESC D</v>
          </cell>
        </row>
        <row r="16002">
          <cell r="C16002">
            <v>2001533</v>
          </cell>
          <cell r="D16002" t="str">
            <v>***KAR.200X195X220 POL.WĘDL.TESCO D</v>
          </cell>
        </row>
        <row r="16003">
          <cell r="C16003">
            <v>2003200</v>
          </cell>
          <cell r="D16003" t="str">
            <v>***KAR.295X190X220 W COMPRO MORLINY</v>
          </cell>
        </row>
        <row r="16004">
          <cell r="C16004">
            <v>2003201</v>
          </cell>
          <cell r="D16004" t="str">
            <v>***KAR.295X190X220 D COMPRO MORLINY</v>
          </cell>
        </row>
        <row r="16005">
          <cell r="C16005">
            <v>2005635</v>
          </cell>
          <cell r="D16005" t="str">
            <v>KAR.590X400X70 TACA KARTONOWA</v>
          </cell>
        </row>
        <row r="16006">
          <cell r="C16006">
            <v>2001598</v>
          </cell>
          <cell r="D16006" t="str">
            <v>KAR.564X362X109 TACKA</v>
          </cell>
        </row>
        <row r="16007">
          <cell r="C16007">
            <v>2000429</v>
          </cell>
          <cell r="D16007" t="str">
            <v>KAR.575X378X120 TACA KARTON.</v>
          </cell>
        </row>
        <row r="16008">
          <cell r="C16008">
            <v>2003640</v>
          </cell>
          <cell r="D16008" t="str">
            <v>***KAR.315X192X117 COMPRO KRAKUS W</v>
          </cell>
        </row>
        <row r="16009">
          <cell r="C16009">
            <v>2003612</v>
          </cell>
          <cell r="D16009" t="str">
            <v>***KAR.315X192X117 COMPRO KRAKUS D</v>
          </cell>
        </row>
        <row r="16010">
          <cell r="C16010">
            <v>2003202</v>
          </cell>
          <cell r="D16010" t="str">
            <v>***KAR.412X238X202 W JMD KABANOS MAP</v>
          </cell>
        </row>
        <row r="16011">
          <cell r="C16011">
            <v>2003203</v>
          </cell>
          <cell r="D16011" t="str">
            <v>***KAR.412X238X202 D JMD KABANOS MAP</v>
          </cell>
        </row>
        <row r="16012">
          <cell r="C16012">
            <v>2003204</v>
          </cell>
          <cell r="D16012" t="str">
            <v>***KAR.200X390X145 W JMD PODWAWELSKA</v>
          </cell>
        </row>
        <row r="16013">
          <cell r="C16013">
            <v>2003205</v>
          </cell>
          <cell r="D16013" t="str">
            <v>***KAR.200X390X145 D JMD PODWAWELSKA</v>
          </cell>
        </row>
        <row r="16014">
          <cell r="C16014">
            <v>2000442</v>
          </cell>
          <cell r="D16014" t="str">
            <v>KAR.375X189X181 UNIWERSALNY</v>
          </cell>
        </row>
        <row r="16015">
          <cell r="C16015">
            <v>2003206</v>
          </cell>
          <cell r="D16015" t="str">
            <v>***KAR.375X189X181 D UNIWERSALNY</v>
          </cell>
        </row>
        <row r="16016">
          <cell r="C16016">
            <v>2001563</v>
          </cell>
          <cell r="D16016" t="str">
            <v>KAR.355X235X75 POLĘDWICZKI WP.</v>
          </cell>
        </row>
        <row r="16017">
          <cell r="C16017">
            <v>2003207</v>
          </cell>
          <cell r="D16017" t="str">
            <v>KAR.586X387X149 W SMITHFIELA NADRUK USA</v>
          </cell>
        </row>
        <row r="16018">
          <cell r="C16018">
            <v>2000386</v>
          </cell>
          <cell r="D16018" t="str">
            <v>KAR.380X240X160 5W B/N</v>
          </cell>
        </row>
        <row r="16019">
          <cell r="C16019">
            <v>2003208</v>
          </cell>
          <cell r="D16019" t="str">
            <v>***KAR.571X366X176 5W STARZAŁKA WZMOC</v>
          </cell>
        </row>
        <row r="16020">
          <cell r="C16020">
            <v>2000379</v>
          </cell>
          <cell r="D16020" t="str">
            <v>KAR.205X170X127 3W TESCO W</v>
          </cell>
        </row>
        <row r="16021">
          <cell r="C16021">
            <v>2001526</v>
          </cell>
          <cell r="D16021" t="str">
            <v>***KAR.209X174X128 MORLINY FLAGA D</v>
          </cell>
        </row>
        <row r="16022">
          <cell r="C16022">
            <v>2003209</v>
          </cell>
          <cell r="D16022" t="str">
            <v>***KAR.571X366X176 5W WZMOC</v>
          </cell>
        </row>
        <row r="16023">
          <cell r="C16023">
            <v>2003210</v>
          </cell>
          <cell r="D16023" t="str">
            <v>KAR.375X189X180 W PIKOK KABANOSSI</v>
          </cell>
        </row>
        <row r="16024">
          <cell r="C16024">
            <v>2003211</v>
          </cell>
          <cell r="D16024" t="str">
            <v>KAR.375X189X180 D PIKOK KABANOSSI</v>
          </cell>
        </row>
        <row r="16025">
          <cell r="C16025">
            <v>2003484</v>
          </cell>
          <cell r="D16025" t="str">
            <v>KAR.375X189X180 KIEŁB.ŻYWIECKA 600G D</v>
          </cell>
        </row>
        <row r="16026">
          <cell r="C16026">
            <v>2003485</v>
          </cell>
          <cell r="D16026" t="str">
            <v>KAR.MORLINY 228X188X215 WIEKO</v>
          </cell>
        </row>
        <row r="16027">
          <cell r="C16027">
            <v>2003486</v>
          </cell>
          <cell r="D16027" t="str">
            <v>KAR.228X188X215 MORLINY D</v>
          </cell>
        </row>
        <row r="16028">
          <cell r="C16028">
            <v>2003487</v>
          </cell>
          <cell r="D16028" t="str">
            <v>***KAR.580X380X90 KRAKUS</v>
          </cell>
        </row>
        <row r="16029">
          <cell r="C16029">
            <v>2001975</v>
          </cell>
          <cell r="D16029" t="str">
            <v>KAR.KR.580X385X160 3W SZAR.</v>
          </cell>
        </row>
        <row r="16030">
          <cell r="C16030">
            <v>2003715</v>
          </cell>
          <cell r="D16030" t="str">
            <v>***KAR.376X183X187 W SALCESON  MORLINY</v>
          </cell>
        </row>
        <row r="16031">
          <cell r="C16031">
            <v>2003580</v>
          </cell>
          <cell r="D16031" t="str">
            <v>KAR.580X375X120 TACKA</v>
          </cell>
        </row>
        <row r="16032">
          <cell r="C16032">
            <v>2003713</v>
          </cell>
          <cell r="D16032" t="str">
            <v>***KAR.285X255X200 W PASZTEK WP MORINY</v>
          </cell>
        </row>
        <row r="16033">
          <cell r="C16033">
            <v>2003772</v>
          </cell>
          <cell r="D16033" t="str">
            <v>***KAR.320X250X220 D KASZANKA JMD</v>
          </cell>
        </row>
        <row r="16034">
          <cell r="C16034">
            <v>2003771</v>
          </cell>
          <cell r="D16034" t="str">
            <v>***KAR.320X250X220 W KASZANKA JMD</v>
          </cell>
        </row>
        <row r="16035">
          <cell r="C16035">
            <v>2003884</v>
          </cell>
          <cell r="D16035" t="str">
            <v>KAR.380X187X186X D BARONI LIDL</v>
          </cell>
        </row>
        <row r="16036">
          <cell r="C16036">
            <v>2003883</v>
          </cell>
          <cell r="D16036" t="str">
            <v>KAR.WR.375X182X188 3W SZAR.W</v>
          </cell>
        </row>
        <row r="16037">
          <cell r="C16037">
            <v>2003915</v>
          </cell>
          <cell r="D16037" t="str">
            <v>***KAR.200X195X220 GRANAT B/N</v>
          </cell>
        </row>
        <row r="16038">
          <cell r="C16038">
            <v>2003941</v>
          </cell>
          <cell r="D16038" t="str">
            <v>***KAR.320X250X220 KASZANKA GRILL JMD D</v>
          </cell>
        </row>
        <row r="16039">
          <cell r="C16039">
            <v>2003957</v>
          </cell>
          <cell r="D16039" t="str">
            <v>***KAR.320X250X220 KASZANKA GRILL W JMD</v>
          </cell>
        </row>
        <row r="16040">
          <cell r="C16040">
            <v>2003942</v>
          </cell>
          <cell r="D16040" t="str">
            <v>***KAR.600X400X175 TACKA</v>
          </cell>
        </row>
        <row r="16041">
          <cell r="C16041">
            <v>2001567</v>
          </cell>
          <cell r="D16041" t="str">
            <v>KAR.358X236X160 KASZANKA GRILL D</v>
          </cell>
        </row>
        <row r="16042">
          <cell r="C16042">
            <v>2002776</v>
          </cell>
          <cell r="D16042" t="str">
            <v>KAR.380X290X140 TACKA</v>
          </cell>
        </row>
        <row r="16043">
          <cell r="C16043">
            <v>2003716</v>
          </cell>
          <cell r="D16043" t="str">
            <v>***KAR.285X255X200 D PASZTET WP MORINY</v>
          </cell>
        </row>
        <row r="16044">
          <cell r="C16044">
            <v>2003714</v>
          </cell>
          <cell r="D16044" t="str">
            <v>***KAR.376X183X187 D SALCESON  MORLINY</v>
          </cell>
        </row>
        <row r="16045">
          <cell r="C16045">
            <v>2003667</v>
          </cell>
          <cell r="D16045" t="str">
            <v>***KAR.376X183X190ŻYW D 600G SKŁADAR JMD</v>
          </cell>
        </row>
        <row r="16046">
          <cell r="C16046">
            <v>2003669</v>
          </cell>
          <cell r="D16046" t="str">
            <v>***KAR.376X183X190ŻYWIECKA W 600GSKŁADAR</v>
          </cell>
        </row>
        <row r="16047">
          <cell r="C16047">
            <v>2004000</v>
          </cell>
          <cell r="D16047" t="str">
            <v>KAR.WR.573X385X173 3W TAC.DŁ.SZAR.</v>
          </cell>
        </row>
        <row r="16048">
          <cell r="C16048">
            <v>2001126</v>
          </cell>
          <cell r="D16048" t="str">
            <v>KAR.375X282X143 TACA 5W SZARY</v>
          </cell>
        </row>
        <row r="16049">
          <cell r="C16049">
            <v>2004137</v>
          </cell>
          <cell r="D16049" t="str">
            <v>***KAR.W.560X356X141 SZARY RO D</v>
          </cell>
        </row>
        <row r="16050">
          <cell r="C16050">
            <v>2004136</v>
          </cell>
          <cell r="D16050" t="str">
            <v>KAR.W.595X375X144 BIAŁY RO W</v>
          </cell>
        </row>
        <row r="16051">
          <cell r="C16051">
            <v>2004401</v>
          </cell>
          <cell r="D16051" t="str">
            <v>KAR.376X183X190 ŻYWIECKA JMD 286G D</v>
          </cell>
        </row>
        <row r="16052">
          <cell r="C16052">
            <v>2005101</v>
          </cell>
          <cell r="D16052" t="str">
            <v>KAR.WA.377X187X120 3W SZAR.W</v>
          </cell>
        </row>
        <row r="16053">
          <cell r="C16053">
            <v>2005102</v>
          </cell>
          <cell r="D16053" t="str">
            <v>KAR 377X187X120 D KRAKUS</v>
          </cell>
        </row>
        <row r="16054">
          <cell r="C16054">
            <v>2000361</v>
          </cell>
          <cell r="D16054" t="str">
            <v>KAR.330X210X125 3W B/N</v>
          </cell>
        </row>
        <row r="16055">
          <cell r="C16055">
            <v>2001588</v>
          </cell>
          <cell r="D16055" t="str">
            <v>KAR.480X260X166 PORKLAND W</v>
          </cell>
        </row>
        <row r="16056">
          <cell r="C16056">
            <v>2001587</v>
          </cell>
          <cell r="D16056" t="str">
            <v>KAR.470X250X160 PORKLAND D</v>
          </cell>
        </row>
        <row r="16057">
          <cell r="C16057">
            <v>2001594</v>
          </cell>
          <cell r="D16057" t="str">
            <v>KAR.535X360X105 PORKLAND</v>
          </cell>
        </row>
        <row r="16058">
          <cell r="C16058">
            <v>2005143</v>
          </cell>
          <cell r="D16058" t="str">
            <v>PRZEKŁADKA 160X240 PORKLAND</v>
          </cell>
        </row>
        <row r="16059">
          <cell r="C16059">
            <v>2005184</v>
          </cell>
          <cell r="D16059" t="str">
            <v>KAR.368X242X207 WKŁADKA MIX PARTYCZAKI</v>
          </cell>
        </row>
        <row r="16060">
          <cell r="C16060">
            <v>2005183</v>
          </cell>
          <cell r="D16060" t="str">
            <v>KAR.368X242X207 MIX PARTYCZAKI W</v>
          </cell>
        </row>
        <row r="16061">
          <cell r="C16061">
            <v>2005182</v>
          </cell>
          <cell r="D16061" t="str">
            <v>KAR.368X242X207 MIX PARTYCZAKI D</v>
          </cell>
        </row>
        <row r="16062">
          <cell r="C16062">
            <v>2005205</v>
          </cell>
          <cell r="D16062" t="str">
            <v>KAR.330X210X180 3W B/N</v>
          </cell>
        </row>
        <row r="16063">
          <cell r="C16063">
            <v>2005188</v>
          </cell>
          <cell r="D16063" t="str">
            <v>PRZEKŁADKA 330X210 3W</v>
          </cell>
        </row>
        <row r="16064">
          <cell r="C16064">
            <v>2005220</v>
          </cell>
          <cell r="D16064" t="str">
            <v>KAR.375X182X180 MORLINY SKŁADARKA D</v>
          </cell>
        </row>
        <row r="16065">
          <cell r="C16065">
            <v>2005221</v>
          </cell>
          <cell r="D16065" t="str">
            <v>KAR.375X182X180 MORLINY SKŁADARKA W</v>
          </cell>
        </row>
        <row r="16066">
          <cell r="C16066">
            <v>2001645</v>
          </cell>
          <cell r="D16066" t="str">
            <v>PRZEKŁADKA 530X100 SZARA</v>
          </cell>
        </row>
        <row r="16067">
          <cell r="C16067">
            <v>2002282</v>
          </cell>
          <cell r="D16067" t="str">
            <v>PRZEKŁADKA 115X100 SZARA</v>
          </cell>
        </row>
        <row r="16068">
          <cell r="C16068">
            <v>2005353</v>
          </cell>
          <cell r="D16068" t="str">
            <v>KAR.200X195X220 D WĘDLINY DOMOWE</v>
          </cell>
        </row>
        <row r="16069">
          <cell r="C16069">
            <v>2005358</v>
          </cell>
          <cell r="D16069" t="str">
            <v>***KAR.375X182X188 POLSKIE WĘDLINY TESCO</v>
          </cell>
        </row>
        <row r="16070">
          <cell r="C16070">
            <v>2005439</v>
          </cell>
          <cell r="D16070" t="str">
            <v>***KAR.360X300X105 B/N Z OTWORAMI</v>
          </cell>
        </row>
        <row r="16071">
          <cell r="C16071">
            <v>2005438</v>
          </cell>
          <cell r="D16071" t="str">
            <v>KAR.535X360X105 BIAŁY B/N</v>
          </cell>
        </row>
        <row r="16072">
          <cell r="C16072">
            <v>2005597</v>
          </cell>
          <cell r="D16072" t="str">
            <v>***KAR.571X366X140 5W  Z OTWOREM</v>
          </cell>
        </row>
        <row r="16073">
          <cell r="C16073">
            <v>2003567</v>
          </cell>
          <cell r="D16073" t="str">
            <v>KAR.W.1170X970X925 SZARY JUMBO BOX</v>
          </cell>
        </row>
        <row r="16074">
          <cell r="C16074">
            <v>2005666</v>
          </cell>
          <cell r="D16074" t="str">
            <v>***KAR.593X393X140 TACKA</v>
          </cell>
        </row>
        <row r="16075">
          <cell r="C16075">
            <v>2005682</v>
          </cell>
          <cell r="D16075" t="str">
            <v>KAR.238X288X187 KIEŁBASA KRUCHA W</v>
          </cell>
        </row>
        <row r="16076">
          <cell r="C16076">
            <v>2005681</v>
          </cell>
          <cell r="D16076" t="str">
            <v>KAR.238X288X187 KIEŁBASA KRUCHA D</v>
          </cell>
        </row>
        <row r="16077">
          <cell r="C16077">
            <v>2005710</v>
          </cell>
          <cell r="D16077" t="str">
            <v>***KAR.306X205X133 KRAKUS CZERWONY D</v>
          </cell>
        </row>
        <row r="16078">
          <cell r="C16078">
            <v>2005824</v>
          </cell>
          <cell r="D16078" t="str">
            <v>***KAR.312X206X185 KRAKUS W</v>
          </cell>
        </row>
        <row r="16079">
          <cell r="C16079">
            <v>2005823</v>
          </cell>
          <cell r="D16079" t="str">
            <v>***KAR.312X206X185 KRAKUS D</v>
          </cell>
        </row>
        <row r="16080">
          <cell r="C16080">
            <v>2005844</v>
          </cell>
          <cell r="D16080" t="str">
            <v>KAR.200X195X220 TESCO SALCESON VALUA</v>
          </cell>
        </row>
        <row r="16081">
          <cell r="C16081">
            <v>2005636</v>
          </cell>
          <cell r="D16081" t="str">
            <v>KAR.573X336X116 TACKA</v>
          </cell>
        </row>
        <row r="16082">
          <cell r="C16082">
            <v>2005964</v>
          </cell>
          <cell r="D16082" t="str">
            <v>KAR.WA.379X130X206 2W CZAR.DELUX D</v>
          </cell>
        </row>
        <row r="16083">
          <cell r="C16083">
            <v>2005963</v>
          </cell>
          <cell r="D16083" t="str">
            <v>***KAR.W.379X130X206 DELUXE LIDL W</v>
          </cell>
        </row>
        <row r="16084">
          <cell r="C16084">
            <v>2005443</v>
          </cell>
          <cell r="D16084" t="str">
            <v>KAR.376X290X141 TACKA JMD</v>
          </cell>
        </row>
        <row r="16085">
          <cell r="C16085">
            <v>2005991</v>
          </cell>
          <cell r="D16085" t="str">
            <v>KAR.W.370X65X35 KARTONETKA POLĘDWICZKA</v>
          </cell>
        </row>
        <row r="16086">
          <cell r="C16086">
            <v>2005982</v>
          </cell>
          <cell r="D16086" t="str">
            <v>KAR.312X206X185 KRAKUS RETRO D</v>
          </cell>
        </row>
        <row r="16087">
          <cell r="C16087">
            <v>2005981</v>
          </cell>
          <cell r="D16087" t="str">
            <v>KAR.312X206X185 KRAKUS RETRO W</v>
          </cell>
        </row>
        <row r="16088">
          <cell r="C16088">
            <v>2006065</v>
          </cell>
          <cell r="D16088" t="str">
            <v>KAR.W.380X290X140 TACKA JMD NR</v>
          </cell>
        </row>
        <row r="16089">
          <cell r="C16089">
            <v>2006064</v>
          </cell>
          <cell r="D16089" t="str">
            <v>KAR.WS.580X375X70 5W TAC.KR.SZAR.</v>
          </cell>
        </row>
        <row r="16090">
          <cell r="C16090">
            <v>2006063</v>
          </cell>
          <cell r="D16090" t="str">
            <v>KAR.WS.587X374X120 5W TAC.KR.SZAR.</v>
          </cell>
        </row>
        <row r="16091">
          <cell r="C16091">
            <v>2006062</v>
          </cell>
          <cell r="D16091" t="str">
            <v>KAR.KR.360X300X105 3W SZAR.KRA</v>
          </cell>
        </row>
        <row r="16092">
          <cell r="C16092">
            <v>2006080</v>
          </cell>
          <cell r="D16092" t="str">
            <v>KAR.WS.390X283X90 5W TAC.KR.SZAR.</v>
          </cell>
        </row>
        <row r="16093">
          <cell r="C16093">
            <v>2006111</v>
          </cell>
          <cell r="D16093" t="str">
            <v>***KAR.370X200X210 RETRO TESCO KRAKUS D</v>
          </cell>
        </row>
        <row r="16094">
          <cell r="C16094">
            <v>2006112</v>
          </cell>
          <cell r="D16094" t="str">
            <v>***KAR.375X189X181 RETRO UNIWERSALNY D</v>
          </cell>
        </row>
        <row r="16095">
          <cell r="C16095">
            <v>2006113</v>
          </cell>
          <cell r="D16095" t="str">
            <v>***KAR.200X195X220 KRAKUS RETRO TESCO D</v>
          </cell>
        </row>
        <row r="16096">
          <cell r="C16096">
            <v>2006110</v>
          </cell>
          <cell r="D16096" t="str">
            <v>KAR.200X195X220 KRAKUS TESCO NOWY D</v>
          </cell>
        </row>
        <row r="16097">
          <cell r="C16097">
            <v>2004635</v>
          </cell>
          <cell r="D16097" t="str">
            <v>KAR.376X290X141 TACKA</v>
          </cell>
        </row>
        <row r="16098">
          <cell r="C16098">
            <v>2006171</v>
          </cell>
          <cell r="D16098" t="str">
            <v>***KAR.192X100X61 KARTONET.PULLED PORK</v>
          </cell>
        </row>
        <row r="16099">
          <cell r="C16099">
            <v>2000388</v>
          </cell>
          <cell r="D16099" t="str">
            <v>KAR.380X240X280 5W LOGO SZARE</v>
          </cell>
        </row>
        <row r="16100">
          <cell r="C16100">
            <v>2000369</v>
          </cell>
          <cell r="D16100" t="str">
            <v>KAR.380X250X100 5W SZARY LOGO</v>
          </cell>
        </row>
        <row r="16101">
          <cell r="C16101">
            <v>2006299</v>
          </cell>
          <cell r="D16101" t="str">
            <v>***KAR.326X247X166  W KASZ. 4.8  JMD</v>
          </cell>
        </row>
        <row r="16102">
          <cell r="C16102">
            <v>2006297</v>
          </cell>
          <cell r="D16102" t="str">
            <v>***KAR.326X247X166  D KASZ. 4,8  JMD</v>
          </cell>
        </row>
        <row r="16103">
          <cell r="C16103">
            <v>2006325</v>
          </cell>
          <cell r="D16103" t="str">
            <v>***KAR.376X183X160ŻYW.600G JMD WSPÓLNE W</v>
          </cell>
        </row>
        <row r="16104">
          <cell r="C16104">
            <v>2000385</v>
          </cell>
          <cell r="D16104" t="str">
            <v>KAR.KR.380X240X100 5W SZAR.</v>
          </cell>
        </row>
        <row r="16105">
          <cell r="C16105">
            <v>2006324</v>
          </cell>
          <cell r="D16105" t="str">
            <v>***KAR.376X183X160 ŻYW D 600G  JMD</v>
          </cell>
        </row>
        <row r="16106">
          <cell r="C16106">
            <v>2006313</v>
          </cell>
          <cell r="D16106" t="str">
            <v>***KAR.184X95X61 KAR.PULLED PORK BARBE</v>
          </cell>
        </row>
        <row r="16107">
          <cell r="C16107">
            <v>2006336</v>
          </cell>
          <cell r="D16107" t="str">
            <v>KAR.376X183X160 ŻYW.600 JMD ŚWIĄT.D</v>
          </cell>
        </row>
        <row r="16108">
          <cell r="C16108">
            <v>2006335</v>
          </cell>
          <cell r="D16108" t="str">
            <v>KAR.254X96X190 MEAL QUICK</v>
          </cell>
        </row>
        <row r="16109">
          <cell r="C16109">
            <v>2006398</v>
          </cell>
          <cell r="D16109" t="str">
            <v>KAR.480X290X180 ANIMEX EXP KOREA 5W BIAŁ</v>
          </cell>
        </row>
        <row r="16110">
          <cell r="C16110">
            <v>2006399</v>
          </cell>
          <cell r="D16110" t="str">
            <v>KAR.W.376X183X160 ŻYW.286G JMD D</v>
          </cell>
        </row>
        <row r="16111">
          <cell r="C16111">
            <v>2006472</v>
          </cell>
          <cell r="D16111" t="str">
            <v>***KAR.390X390X110 TAC.RĘCZ.SK.</v>
          </cell>
        </row>
        <row r="16112">
          <cell r="C16112">
            <v>2006486</v>
          </cell>
          <cell r="D16112" t="str">
            <v>***KAR.380X290X90 TAC.RĘCZ.SKŁ.</v>
          </cell>
        </row>
        <row r="16113">
          <cell r="C16113">
            <v>2006485</v>
          </cell>
          <cell r="D16113" t="str">
            <v>***KAR.580X375X70 TAC.RĘCZ.SKŁ.</v>
          </cell>
        </row>
        <row r="16114">
          <cell r="C16114">
            <v>2006484</v>
          </cell>
          <cell r="D16114" t="str">
            <v>***KAR.380X290X140 TAC.RĘCZ.SKŁ.</v>
          </cell>
        </row>
        <row r="16115">
          <cell r="C16115">
            <v>2006483</v>
          </cell>
          <cell r="D16115" t="str">
            <v>***KAR.580X380X120 TAC.FALA BC</v>
          </cell>
        </row>
        <row r="16116">
          <cell r="C16116">
            <v>2006460</v>
          </cell>
          <cell r="D16116" t="str">
            <v>KAR.370X200X210 MORLINY  D</v>
          </cell>
        </row>
        <row r="16117">
          <cell r="C16117">
            <v>2004021</v>
          </cell>
          <cell r="D16117" t="str">
            <v>KAR.W.145X139X210 MOR W</v>
          </cell>
        </row>
        <row r="16118">
          <cell r="C16118">
            <v>2004020</v>
          </cell>
          <cell r="D16118" t="str">
            <v>KAR.150X144X212 MORLINY D</v>
          </cell>
        </row>
        <row r="16119">
          <cell r="C16119">
            <v>2006595</v>
          </cell>
          <cell r="D16119" t="str">
            <v>***KAR.380X187X186X W GRILL FUN LIDL</v>
          </cell>
        </row>
        <row r="16120">
          <cell r="C16120">
            <v>2006594</v>
          </cell>
          <cell r="D16120" t="str">
            <v>***KAR.380X187X186X D GRILL FUN LIDL</v>
          </cell>
        </row>
        <row r="16121">
          <cell r="C16121">
            <v>2006654</v>
          </cell>
          <cell r="D16121" t="str">
            <v>KAR.278X242X207 MOR.KABANOS W</v>
          </cell>
        </row>
        <row r="16122">
          <cell r="C16122">
            <v>2006653</v>
          </cell>
          <cell r="D16122" t="str">
            <v>KAR.278X242X207 MOR.KABANOS D</v>
          </cell>
        </row>
        <row r="16123">
          <cell r="C16123">
            <v>2006652</v>
          </cell>
          <cell r="D16123" t="str">
            <v>KAR.278X242X207 MOR.KABANOS SEPARATOR</v>
          </cell>
        </row>
        <row r="16124">
          <cell r="C16124">
            <v>2006736</v>
          </cell>
          <cell r="D16124" t="str">
            <v>KAR.150X144X212 MORLINY D</v>
          </cell>
        </row>
        <row r="16125">
          <cell r="C16125">
            <v>2005691</v>
          </cell>
          <cell r="D16125" t="str">
            <v>KAR.W.560X356X141 SZARY SMITHFIELD D</v>
          </cell>
        </row>
        <row r="16126">
          <cell r="C16126">
            <v>2005692</v>
          </cell>
          <cell r="D16126" t="str">
            <v>KAR.W.560X356X141 BIAŁY SMITHFIELD W</v>
          </cell>
        </row>
        <row r="16127">
          <cell r="C16127">
            <v>2006865</v>
          </cell>
          <cell r="D16127" t="str">
            <v>KAR.285X185X220X WKŁADKA PARTYCZAKI</v>
          </cell>
        </row>
        <row r="16128">
          <cell r="C16128">
            <v>2006864</v>
          </cell>
          <cell r="D16128" t="str">
            <v>KAR.285X185X220X PARTYCZAKI W</v>
          </cell>
        </row>
        <row r="16129">
          <cell r="C16129">
            <v>2006866</v>
          </cell>
          <cell r="D16129" t="str">
            <v>KAR.285X185X220X PARTYCZAKI D</v>
          </cell>
        </row>
        <row r="16130">
          <cell r="C16130">
            <v>2003398</v>
          </cell>
          <cell r="D16130" t="str">
            <v>KAR.W.580X375X120 TACKA 1/4 NOWA SKŁ.</v>
          </cell>
        </row>
        <row r="16131">
          <cell r="C16131">
            <v>2006187</v>
          </cell>
          <cell r="D16131" t="str">
            <v>***KAR.490X210X162 ŻEB.DK</v>
          </cell>
        </row>
        <row r="16132">
          <cell r="C16132">
            <v>2006220</v>
          </cell>
          <cell r="D16132" t="str">
            <v>KARTONETKA 207X464 ŻEBERKA PIECZONE BBQ</v>
          </cell>
        </row>
        <row r="16133">
          <cell r="C16133">
            <v>2006932</v>
          </cell>
          <cell r="D16133" t="str">
            <v>KAR.480X290X180 ANIMEX EX 5W Z/N</v>
          </cell>
        </row>
        <row r="16134">
          <cell r="C16134">
            <v>2006937</v>
          </cell>
          <cell r="D16134" t="str">
            <v>***KAR.292X87X238 LASSOO</v>
          </cell>
        </row>
        <row r="16135">
          <cell r="C16135">
            <v>2006954</v>
          </cell>
          <cell r="D16135" t="str">
            <v>KAR.384X288X245 KRA W</v>
          </cell>
        </row>
        <row r="16136">
          <cell r="C16136">
            <v>2006955</v>
          </cell>
          <cell r="D16136" t="str">
            <v>KAR.384X288X245 SEPARATOR  KRAKUS</v>
          </cell>
        </row>
        <row r="16137">
          <cell r="C16137">
            <v>2006956</v>
          </cell>
          <cell r="D16137" t="str">
            <v>KAR.384X288X245 KRA D</v>
          </cell>
        </row>
        <row r="16138">
          <cell r="C16138">
            <v>2006341</v>
          </cell>
          <cell r="D16138" t="str">
            <v>***KAR.248X162X209 ŻEB.MQ</v>
          </cell>
        </row>
        <row r="16139">
          <cell r="C16139">
            <v>2006945</v>
          </cell>
          <cell r="D16139" t="str">
            <v>KAR.320X160X200 EXP  KRAKUS</v>
          </cell>
        </row>
        <row r="16140">
          <cell r="C16140">
            <v>2006355</v>
          </cell>
          <cell r="D16140" t="str">
            <v>***KARTONETKA 207X464 ŻEB.MQ</v>
          </cell>
        </row>
        <row r="16141">
          <cell r="C16141">
            <v>2006979</v>
          </cell>
          <cell r="D16141" t="str">
            <v>***KAR.371X183X120SALCESON Z PIETR.JMP D</v>
          </cell>
        </row>
        <row r="16142">
          <cell r="C16142">
            <v>2006978</v>
          </cell>
          <cell r="D16142" t="str">
            <v>***KAR.371X183X120SALCESON Z PIETR.JMD W</v>
          </cell>
        </row>
        <row r="16143">
          <cell r="C16143">
            <v>2007019</v>
          </cell>
          <cell r="D16143" t="str">
            <v>KAR.375X182X188 MORLINY NOWE SKŁ.W</v>
          </cell>
        </row>
        <row r="16144">
          <cell r="C16144">
            <v>2007018</v>
          </cell>
          <cell r="D16144" t="str">
            <v>KAR.WS.375X182X188 5W DIS.GRAN.MOR D</v>
          </cell>
        </row>
        <row r="16145">
          <cell r="C16145">
            <v>2007032</v>
          </cell>
          <cell r="D16145" t="str">
            <v>KAR.377X245X210  PARTYCZAKI WKŁADKA</v>
          </cell>
        </row>
        <row r="16146">
          <cell r="C16146">
            <v>2007031</v>
          </cell>
          <cell r="D16146" t="str">
            <v>KAR.377X245X210  PARTYCZAKI WIEKO</v>
          </cell>
        </row>
        <row r="16147">
          <cell r="C16147">
            <v>2007030</v>
          </cell>
          <cell r="D16147" t="str">
            <v>KAR.377X245X210 PARTYCZAKI DNO</v>
          </cell>
        </row>
        <row r="16148">
          <cell r="C16148">
            <v>2007035</v>
          </cell>
          <cell r="D16148" t="str">
            <v>KAR.390X390X110 TAC.SKŁ.</v>
          </cell>
        </row>
        <row r="16149">
          <cell r="C16149">
            <v>2007157</v>
          </cell>
          <cell r="D16149" t="str">
            <v>***KAR.W.370X65X35 POLEDWICZKA EX</v>
          </cell>
        </row>
        <row r="16150">
          <cell r="C16150">
            <v>2007078</v>
          </cell>
          <cell r="D16150" t="str">
            <v>KAR.WA.371X183X165 5W DIS.KOL.KRA D</v>
          </cell>
        </row>
        <row r="16151">
          <cell r="C16151">
            <v>2007079</v>
          </cell>
          <cell r="D16151" t="str">
            <v>KAR.WA.300X597 3W SZAR.W</v>
          </cell>
        </row>
        <row r="16152">
          <cell r="C16152">
            <v>2007164</v>
          </cell>
          <cell r="D16152" t="str">
            <v>KAR.228X188X215 MOR D</v>
          </cell>
        </row>
        <row r="16153">
          <cell r="C16153">
            <v>2007287</v>
          </cell>
          <cell r="D16153" t="str">
            <v>KAR.184X95X61 MEAL QUCIK GOLONKA</v>
          </cell>
        </row>
        <row r="16154">
          <cell r="C16154">
            <v>2007286</v>
          </cell>
          <cell r="D16154" t="str">
            <v>KAR.184X95X61 MEAL QUCIK POLICZKI</v>
          </cell>
        </row>
        <row r="16155">
          <cell r="C16155">
            <v>2007312</v>
          </cell>
          <cell r="D16155" t="str">
            <v>KAR.575X370X305 MORLINY STEND</v>
          </cell>
        </row>
        <row r="16156">
          <cell r="C16156">
            <v>2007311</v>
          </cell>
          <cell r="D16156" t="str">
            <v>KAR.595X395X305 KRATOWNICA STEND</v>
          </cell>
        </row>
        <row r="16157">
          <cell r="C16157">
            <v>2007356</v>
          </cell>
          <cell r="D16157" t="str">
            <v>KAR.277X175X117 KRAKUS DNO</v>
          </cell>
        </row>
        <row r="16158">
          <cell r="C16158">
            <v>2007419</v>
          </cell>
          <cell r="D16158" t="str">
            <v>KAR.586X386X140 KRATOWNICA STEND</v>
          </cell>
        </row>
        <row r="16159">
          <cell r="C16159">
            <v>2007418</v>
          </cell>
          <cell r="D16159" t="str">
            <v>***PRZEKŁADKA 409X561 STEND</v>
          </cell>
        </row>
        <row r="16160">
          <cell r="C16160">
            <v>2007417</v>
          </cell>
          <cell r="D16160" t="str">
            <v>***PRZEKŁADKA 549X305 BLOKADA STEND</v>
          </cell>
        </row>
        <row r="16161">
          <cell r="C16161">
            <v>2007423</v>
          </cell>
          <cell r="D16161" t="str">
            <v>***KAR.577X385X319 TACA STEND</v>
          </cell>
        </row>
        <row r="16162">
          <cell r="C16162">
            <v>2007434</v>
          </cell>
          <cell r="D16162" t="str">
            <v>PRZEKŁADKA 39X570 3 W LISTWA CENOWA</v>
          </cell>
        </row>
        <row r="16163">
          <cell r="C16163">
            <v>2007441</v>
          </cell>
          <cell r="D16163" t="str">
            <v>KĄTOWNIK OCHRONNY PLASTIKOWY</v>
          </cell>
        </row>
        <row r="16164">
          <cell r="C16164">
            <v>2007461</v>
          </cell>
          <cell r="D16164" t="str">
            <v>***KAR.W.370X200X210 GRILL.TESC D SKŁ.</v>
          </cell>
        </row>
        <row r="16165">
          <cell r="C16165">
            <v>2007623</v>
          </cell>
          <cell r="D16165" t="str">
            <v>KARTONETKA 207X464 ŻEB.VRS</v>
          </cell>
        </row>
        <row r="16166">
          <cell r="C16166">
            <v>2007355</v>
          </cell>
          <cell r="D16166" t="str">
            <v>KAR.277X175X117 KRAKUS WIEKO</v>
          </cell>
        </row>
        <row r="16167">
          <cell r="C16167">
            <v>2007422</v>
          </cell>
          <cell r="D16167" t="str">
            <v>KAR.388X588X140  PODEST STEND</v>
          </cell>
        </row>
        <row r="16168">
          <cell r="C16168">
            <v>2007421</v>
          </cell>
          <cell r="D16168" t="str">
            <v>KAR.392X592X1120 CZAPA STEND</v>
          </cell>
        </row>
        <row r="16169">
          <cell r="C16169">
            <v>2007420</v>
          </cell>
          <cell r="D16169" t="str">
            <v>KAR.540X355X120 SEPARATOR STEND</v>
          </cell>
        </row>
        <row r="16170">
          <cell r="C16170">
            <v>2007624</v>
          </cell>
          <cell r="D16170" t="str">
            <v>KARTONETKA 192X100X61 POLICZKI VRS</v>
          </cell>
        </row>
        <row r="16171">
          <cell r="C16171">
            <v>2007636</v>
          </cell>
          <cell r="D16171" t="str">
            <v>***KAR.W.376X183X190 KRA.SKŁ.</v>
          </cell>
        </row>
        <row r="16172">
          <cell r="C16172">
            <v>2007648</v>
          </cell>
          <cell r="D16172" t="str">
            <v>KAR.K.535X360X105 RÓŻ.BIG</v>
          </cell>
        </row>
        <row r="16173">
          <cell r="C16173">
            <v>2007706</v>
          </cell>
          <cell r="D16173" t="str">
            <v>OKT.1180X780X1560 5W SZAR.B/D</v>
          </cell>
        </row>
        <row r="16174">
          <cell r="C16174">
            <v>2007723</v>
          </cell>
          <cell r="D16174" t="str">
            <v>KAR.320X252X220 KASZANKA SKŁ.JMD D</v>
          </cell>
        </row>
        <row r="16175">
          <cell r="C16175">
            <v>2007714</v>
          </cell>
          <cell r="D16175" t="str">
            <v>KAR.320X252X220  W</v>
          </cell>
        </row>
        <row r="16176">
          <cell r="C16176">
            <v>2007713</v>
          </cell>
          <cell r="D16176" t="str">
            <v>KAR.WA.387X160X190 3W DIS.KOL.KRA D</v>
          </cell>
        </row>
        <row r="16177">
          <cell r="C16177">
            <v>2000457</v>
          </cell>
          <cell r="D16177" t="str">
            <v>KAR.KR.355X235X180 5W SZAR.</v>
          </cell>
        </row>
        <row r="16178">
          <cell r="C16178">
            <v>2007963</v>
          </cell>
          <cell r="D16178" t="str">
            <v>KAR.136X126X200 W</v>
          </cell>
        </row>
        <row r="16179">
          <cell r="C16179">
            <v>2007902</v>
          </cell>
          <cell r="D16179" t="str">
            <v>KAR.WA.187X187X194 3W SZAR.W</v>
          </cell>
        </row>
        <row r="16180">
          <cell r="C16180">
            <v>2007889</v>
          </cell>
          <cell r="D16180" t="str">
            <v>KAR.WA.194X194X195 3W DIS.GRAN.MOR D</v>
          </cell>
        </row>
        <row r="16181">
          <cell r="C16181">
            <v>2007910</v>
          </cell>
          <cell r="D16181" t="str">
            <v>KAR.139X126X225 W</v>
          </cell>
        </row>
        <row r="16182">
          <cell r="C16182">
            <v>2007911</v>
          </cell>
          <cell r="D16182" t="str">
            <v>KAR.144X134X195 MORLINY D</v>
          </cell>
        </row>
        <row r="16183">
          <cell r="C16183">
            <v>2007940</v>
          </cell>
          <cell r="D16183" t="str">
            <v>KAR.WA.294X162X195 3W DIS.KOL.KRA D</v>
          </cell>
        </row>
        <row r="16184">
          <cell r="C16184">
            <v>2007888</v>
          </cell>
          <cell r="D16184" t="str">
            <v>KAR.287X155X194 W</v>
          </cell>
        </row>
        <row r="16185">
          <cell r="C16185">
            <v>2007960</v>
          </cell>
          <cell r="D16185" t="str">
            <v>KAR.320X252X220 SZTUKS MIĘSA MOR D</v>
          </cell>
        </row>
        <row r="16186">
          <cell r="C16186">
            <v>2007944</v>
          </cell>
          <cell r="D16186" t="str">
            <v>***KARTON150X235 SZTUKA MIĘSA MORLINY</v>
          </cell>
        </row>
        <row r="16187">
          <cell r="C16187">
            <v>2007637</v>
          </cell>
          <cell r="D16187" t="str">
            <v>KAR.W.320X246X222 K.MOR.Z SZYN.SKŁ.D</v>
          </cell>
        </row>
        <row r="16188">
          <cell r="C16188">
            <v>2007919</v>
          </cell>
          <cell r="D16188" t="str">
            <v>***KAR.W.294X194X195 KRA W</v>
          </cell>
        </row>
        <row r="16189">
          <cell r="C16189">
            <v>2007918</v>
          </cell>
          <cell r="D16189" t="str">
            <v>KAR.289X117X195 KRAKUS D</v>
          </cell>
        </row>
        <row r="16190">
          <cell r="C16190">
            <v>2007916</v>
          </cell>
          <cell r="D16190" t="str">
            <v>***KAR.200X195X220 W TESCO</v>
          </cell>
        </row>
        <row r="16191">
          <cell r="C16191">
            <v>2007915</v>
          </cell>
          <cell r="D16191" t="str">
            <v>KAR.WA.294X116X128 3W DIS.GRAN.MOR D</v>
          </cell>
        </row>
        <row r="16192">
          <cell r="C16192">
            <v>2007914</v>
          </cell>
          <cell r="D16192" t="str">
            <v>KAR.WA.294X116X125 3W SZAR.W</v>
          </cell>
        </row>
        <row r="16193">
          <cell r="C16193">
            <v>2007913</v>
          </cell>
          <cell r="D16193" t="str">
            <v>***KAR.W.294X194X195 KRA D</v>
          </cell>
        </row>
        <row r="16194">
          <cell r="C16194">
            <v>2007996</v>
          </cell>
          <cell r="D16194" t="str">
            <v>KAR.WA.294X194X195 3W DIS.GRAN.MOR D</v>
          </cell>
        </row>
        <row r="16195">
          <cell r="C16195">
            <v>2007997</v>
          </cell>
          <cell r="D16195" t="str">
            <v>KAR.WA.294X194X195 3W SZAR.W</v>
          </cell>
        </row>
        <row r="16196">
          <cell r="C16196">
            <v>2007917</v>
          </cell>
          <cell r="D16196" t="str">
            <v>KAR.289X117X195 KRAKUS W</v>
          </cell>
        </row>
        <row r="16197">
          <cell r="C16197">
            <v>2007932</v>
          </cell>
          <cell r="D16197" t="str">
            <v>KAR.389X194X194 MORLINY D</v>
          </cell>
        </row>
        <row r="16198">
          <cell r="C16198">
            <v>2007933</v>
          </cell>
          <cell r="D16198" t="str">
            <v>KAR.380X185X192 SZARY MORLINY W</v>
          </cell>
        </row>
        <row r="16199">
          <cell r="C16199">
            <v>2008110</v>
          </cell>
          <cell r="D16199" t="str">
            <v>KAR.302X241X207 GRILL FUN LIDL D</v>
          </cell>
        </row>
        <row r="16200">
          <cell r="C16200">
            <v>2008111</v>
          </cell>
          <cell r="D16200" t="str">
            <v>KAR.1170X770X600  5W OKTOBINA</v>
          </cell>
        </row>
        <row r="16201">
          <cell r="C16201">
            <v>2008120</v>
          </cell>
          <cell r="D16201" t="str">
            <v>KAR.302X241X207 GRILL FUN LIDL W</v>
          </cell>
        </row>
        <row r="16202">
          <cell r="C16202">
            <v>2006723</v>
          </cell>
          <cell r="D16202" t="str">
            <v>KAR.WS.320X252X220 5W DIS.GRAN.MOR D</v>
          </cell>
        </row>
        <row r="16203">
          <cell r="C16203">
            <v>2001577</v>
          </cell>
          <cell r="D16203" t="str">
            <v>KAR.380X380X230</v>
          </cell>
        </row>
        <row r="16204">
          <cell r="C16204">
            <v>2008192</v>
          </cell>
          <cell r="D16204" t="str">
            <v>KAR.408X563 WKŁADKA NA PÓŁKĘ STEND</v>
          </cell>
        </row>
        <row r="16205">
          <cell r="C16205">
            <v>2008177</v>
          </cell>
          <cell r="D16205" t="str">
            <v>KAR.1532X1170 STAND MODUŁOWY - 3 PÓŁKOWY</v>
          </cell>
        </row>
        <row r="16206">
          <cell r="C16206">
            <v>2008178</v>
          </cell>
          <cell r="D16206" t="str">
            <v>KAR.1015X355 OSŁONA PRZEDNIA STEND</v>
          </cell>
        </row>
        <row r="16207">
          <cell r="C16207">
            <v>2008179</v>
          </cell>
          <cell r="D16207" t="str">
            <v>***KAR.1015X355 TACKA PÓŁKA STEND</v>
          </cell>
        </row>
        <row r="16208">
          <cell r="C16208">
            <v>2008190</v>
          </cell>
          <cell r="D16208" t="str">
            <v>KAR.974X325 BAZA STEND</v>
          </cell>
        </row>
        <row r="16209">
          <cell r="C16209">
            <v>2008175</v>
          </cell>
          <cell r="D16209" t="str">
            <v>KAR.1164X335 KRATOWNICA DO PODESTU STEND</v>
          </cell>
        </row>
        <row r="16210">
          <cell r="C16210">
            <v>2008176</v>
          </cell>
          <cell r="D16210" t="str">
            <v>***KAR.2032X1308 CZAPA TRANSPORT.STEND</v>
          </cell>
        </row>
        <row r="16211">
          <cell r="C16211">
            <v>2008188</v>
          </cell>
          <cell r="D16211" t="str">
            <v>***KAR.W.379X273X244 KRA D</v>
          </cell>
        </row>
        <row r="16212">
          <cell r="C16212">
            <v>2008189</v>
          </cell>
          <cell r="D16212" t="str">
            <v>***KAR.W.379X273X244 KRA W</v>
          </cell>
        </row>
        <row r="16213">
          <cell r="C16213">
            <v>2008210</v>
          </cell>
          <cell r="D16213" t="str">
            <v>***KAR.W.379X273X244 KRA SEPARATOR</v>
          </cell>
        </row>
        <row r="16214">
          <cell r="C16214">
            <v>2008223</v>
          </cell>
          <cell r="D16214" t="str">
            <v>KAR.WA.161X293X194 3W DIS.SZAR.KRA D</v>
          </cell>
        </row>
        <row r="16215">
          <cell r="C16215">
            <v>2008224</v>
          </cell>
          <cell r="D16215" t="str">
            <v>KAR.WA.161X293X194 3W SZAR.W</v>
          </cell>
        </row>
        <row r="16216">
          <cell r="C16216">
            <v>2008258</v>
          </cell>
          <cell r="D16216" t="str">
            <v>KAR.159X134X195 MOR D</v>
          </cell>
        </row>
        <row r="16217">
          <cell r="C16217">
            <v>2008257</v>
          </cell>
          <cell r="D16217" t="str">
            <v>KAR.WA.154X129X200 3W SZAR.W</v>
          </cell>
        </row>
        <row r="16218">
          <cell r="C16218">
            <v>2008348</v>
          </cell>
          <cell r="D16218" t="str">
            <v>KAR.W.374X187X182 PIK SKŁ.D</v>
          </cell>
        </row>
        <row r="16219">
          <cell r="C16219">
            <v>2008364</v>
          </cell>
          <cell r="D16219" t="str">
            <v>KAR.374X187X182 PIKOK WIEKO</v>
          </cell>
        </row>
        <row r="16220">
          <cell r="C16220">
            <v>2008438</v>
          </cell>
          <cell r="D16220" t="str">
            <v>KAR.WA.294X162X195 3W SZAR.W</v>
          </cell>
        </row>
        <row r="16221">
          <cell r="C16221">
            <v>2007926</v>
          </cell>
          <cell r="D16221" t="str">
            <v>KAR.WA.294X162X195 3W DIS.GRAN.MOR D</v>
          </cell>
        </row>
        <row r="16222">
          <cell r="C16222">
            <v>2008447</v>
          </cell>
          <cell r="D16222" t="str">
            <v>KAR.WA.150X125X250 3W DIS.KOL.KRA C</v>
          </cell>
        </row>
        <row r="16223">
          <cell r="C16223">
            <v>2008520</v>
          </cell>
          <cell r="D16223" t="str">
            <v>KAR.WA.90X308X160 3W SZAR.W</v>
          </cell>
        </row>
        <row r="16224">
          <cell r="C16224">
            <v>2008501</v>
          </cell>
          <cell r="D16224" t="str">
            <v>KAR.WA.82X290X155 3W KOL.KRA D</v>
          </cell>
        </row>
        <row r="16225">
          <cell r="C16225">
            <v>2008465</v>
          </cell>
          <cell r="D16225" t="str">
            <v>KAR.374X243X134 PIKOK 4PK W</v>
          </cell>
        </row>
        <row r="16226">
          <cell r="C16226">
            <v>2008463</v>
          </cell>
          <cell r="D16226" t="str">
            <v>***KAR.W.380X249X135 4PK PIK D</v>
          </cell>
        </row>
        <row r="16227">
          <cell r="C16227">
            <v>2008565</v>
          </cell>
          <cell r="D16227" t="str">
            <v>***KAR.W.153X142X211 CZARNY B/LOGO D</v>
          </cell>
        </row>
        <row r="16228">
          <cell r="C16228">
            <v>2008564</v>
          </cell>
          <cell r="D16228" t="str">
            <v>***KAR.W.153X142X211 W</v>
          </cell>
        </row>
        <row r="16229">
          <cell r="C16229">
            <v>2008643</v>
          </cell>
          <cell r="D16229" t="str">
            <v>KAR.374X182X193 ŚWIĄTECZNY DNO</v>
          </cell>
        </row>
        <row r="16230">
          <cell r="C16230">
            <v>8200410</v>
          </cell>
          <cell r="D16230" t="str">
            <v>***PALBOX 1200X1000X580 PLAST.KOL.PROD.</v>
          </cell>
        </row>
        <row r="16231">
          <cell r="C16231">
            <v>2008700</v>
          </cell>
          <cell r="D16231" t="str">
            <v>KAR.583X384X120 TACA 1/4</v>
          </cell>
        </row>
        <row r="16232">
          <cell r="C16232">
            <v>2008699</v>
          </cell>
          <cell r="D16232" t="str">
            <v>KAR.583X384X150 TACA</v>
          </cell>
        </row>
        <row r="16233">
          <cell r="C16233">
            <v>2008698</v>
          </cell>
          <cell r="D16233" t="str">
            <v>KAR.388X287X137 TACA</v>
          </cell>
        </row>
        <row r="16234">
          <cell r="C16234">
            <v>2008785</v>
          </cell>
          <cell r="D16234" t="str">
            <v>KAR.KR.586X286X190 5W BIA.AX</v>
          </cell>
        </row>
        <row r="16235">
          <cell r="C16235">
            <v>2008786</v>
          </cell>
          <cell r="D16235" t="str">
            <v>***KAR.294X162X195 MORLINY D PENNY</v>
          </cell>
        </row>
        <row r="16236">
          <cell r="C16236">
            <v>2008814</v>
          </cell>
          <cell r="D16236" t="str">
            <v>KAR.550X360X332 PÓŁKA STAND MOR</v>
          </cell>
        </row>
        <row r="16237">
          <cell r="C16237">
            <v>2008813</v>
          </cell>
          <cell r="D16237" t="str">
            <v>***ST.CZAPA 594X393X1047</v>
          </cell>
        </row>
        <row r="16238">
          <cell r="C16238">
            <v>2008808</v>
          </cell>
          <cell r="D16238" t="str">
            <v>KAR.584X384X119  STEND PODEST MOR</v>
          </cell>
        </row>
        <row r="16239">
          <cell r="C16239">
            <v>2008853</v>
          </cell>
          <cell r="D16239" t="str">
            <v>***KAR.327X248X167 KASZANKA 4.8KG JMD D</v>
          </cell>
        </row>
        <row r="16240">
          <cell r="C16240">
            <v>2008854</v>
          </cell>
          <cell r="D16240" t="str">
            <v>***KAR.327X248X167 KASZANKA 4.8 KG JMD W</v>
          </cell>
        </row>
        <row r="16241">
          <cell r="C16241">
            <v>2008910</v>
          </cell>
          <cell r="D16241" t="str">
            <v>KAR.W.586X246X190 BIAŁY ANIMEX EX</v>
          </cell>
        </row>
        <row r="16242">
          <cell r="C16242">
            <v>2008906</v>
          </cell>
          <cell r="D16242" t="str">
            <v>KAR.WA.192X192X194 3W DIS.KOL.KRA D</v>
          </cell>
        </row>
        <row r="16243">
          <cell r="C16243">
            <v>2008905</v>
          </cell>
          <cell r="D16243" t="str">
            <v>KAR.WA.185X185X220 3W SZAR.W</v>
          </cell>
        </row>
        <row r="16244">
          <cell r="C16244">
            <v>2008955</v>
          </cell>
          <cell r="D16244" t="str">
            <v>***KAR.192X192X194 WĘDLINY DOMOWE KOST.D</v>
          </cell>
        </row>
        <row r="16245">
          <cell r="C16245">
            <v>2009039</v>
          </cell>
          <cell r="D16245" t="str">
            <v>KAR.380X212X135 GRILL&amp;FAN 6PK D</v>
          </cell>
        </row>
        <row r="16246">
          <cell r="C16246">
            <v>2009041</v>
          </cell>
          <cell r="D16246" t="str">
            <v>KAR.686X286X190 5W</v>
          </cell>
        </row>
        <row r="16247">
          <cell r="C16247">
            <v>2009014</v>
          </cell>
          <cell r="D16247" t="str">
            <v>***KLEJ SI 5000 GRANULAT</v>
          </cell>
        </row>
        <row r="16248">
          <cell r="C16248">
            <v>2007233</v>
          </cell>
          <cell r="D16248" t="str">
            <v>KAR.WS.320X252X220 5W DIS.GRAN.D</v>
          </cell>
        </row>
        <row r="16249">
          <cell r="C16249">
            <v>2009152</v>
          </cell>
          <cell r="D16249" t="str">
            <v>KAR.W.374X243X134 PIK.4PK W NAKŁADANE</v>
          </cell>
        </row>
        <row r="16250">
          <cell r="C16250">
            <v>2008777</v>
          </cell>
          <cell r="D16250" t="str">
            <v>KAR.KR.382X287X230 5W SZAR.</v>
          </cell>
        </row>
        <row r="16251">
          <cell r="C16251">
            <v>2009218</v>
          </cell>
          <cell r="D16251" t="str">
            <v>KAR.380X249X135 4PK D</v>
          </cell>
        </row>
        <row r="16252">
          <cell r="C16252">
            <v>2009219</v>
          </cell>
          <cell r="D16252" t="str">
            <v>KAR.380X249X135 GRILL &amp; FUN 4PK D</v>
          </cell>
        </row>
        <row r="16253">
          <cell r="C16253">
            <v>2009330</v>
          </cell>
          <cell r="D16253" t="str">
            <v>KAR.380X212X135 6PK W</v>
          </cell>
        </row>
        <row r="16254">
          <cell r="C16254">
            <v>2002775</v>
          </cell>
          <cell r="D16254" t="str">
            <v>KAR.WS.328X255X220 3W SZAR.W</v>
          </cell>
        </row>
        <row r="16255">
          <cell r="C16255">
            <v>2008800</v>
          </cell>
          <cell r="D16255" t="str">
            <v>KAR.382X287X270 5W KLAP.SZARY B/N</v>
          </cell>
        </row>
        <row r="16256">
          <cell r="C16256">
            <v>2009358</v>
          </cell>
          <cell r="D16256" t="str">
            <v>***KAR.320X246X222 MOR KIEŁB.BIAŁ.MAJE D</v>
          </cell>
        </row>
        <row r="16257">
          <cell r="C16257">
            <v>2009357</v>
          </cell>
          <cell r="D16257" t="str">
            <v>KAR.580X375X150 SKŁADARKA</v>
          </cell>
        </row>
        <row r="16258">
          <cell r="C16258">
            <v>2009375</v>
          </cell>
          <cell r="D16258" t="str">
            <v>KAR.WA.287X124X160 3W DIS.KOL.KRA D</v>
          </cell>
        </row>
        <row r="16259">
          <cell r="C16259">
            <v>2009374</v>
          </cell>
          <cell r="D16259" t="str">
            <v>KAR.WA.286X130X160 3W SZAR.W</v>
          </cell>
        </row>
        <row r="16260">
          <cell r="C16260">
            <v>2009503</v>
          </cell>
          <cell r="D16260" t="str">
            <v>KAR.WA.92X192X194 3W DIS.CZER.NW D</v>
          </cell>
        </row>
        <row r="16261">
          <cell r="C16261">
            <v>2009701</v>
          </cell>
          <cell r="D16261" t="str">
            <v>KAR.542X375X152 1/4PAL.ANIMEX W</v>
          </cell>
        </row>
        <row r="16262">
          <cell r="C16262">
            <v>2009702</v>
          </cell>
          <cell r="D16262" t="str">
            <v>KAR.542X375X152 1/4PAL.ANIMEX D</v>
          </cell>
        </row>
        <row r="16263">
          <cell r="C16263">
            <v>2009846</v>
          </cell>
          <cell r="D16263" t="str">
            <v>KAR.WA.575X390X152 3W BIA.KEEP FRZ AX W</v>
          </cell>
        </row>
        <row r="16264">
          <cell r="C16264">
            <v>2010006</v>
          </cell>
          <cell r="D16264" t="str">
            <v>OPASKA ZACISKOWA 300X4.8</v>
          </cell>
        </row>
        <row r="16265">
          <cell r="C16265">
            <v>2010061</v>
          </cell>
          <cell r="D16265" t="str">
            <v>KAR.WA.247X282X207 5W DIS.BEŻ.KW D</v>
          </cell>
        </row>
        <row r="16266">
          <cell r="C16266">
            <v>2010062</v>
          </cell>
          <cell r="D16266" t="str">
            <v>KAR.W.247X282X207 KW BIED W</v>
          </cell>
        </row>
        <row r="16267">
          <cell r="C16267">
            <v>2010113</v>
          </cell>
          <cell r="D16267" t="str">
            <v>KAR.430X330X126</v>
          </cell>
        </row>
        <row r="16268">
          <cell r="C16268">
            <v>2008550</v>
          </cell>
          <cell r="D16268" t="str">
            <v>KAR.372X241X186 PIK W</v>
          </cell>
        </row>
        <row r="16269">
          <cell r="C16269">
            <v>2010041</v>
          </cell>
          <cell r="D16269" t="str">
            <v>KAR.W.378X249X180 KW D</v>
          </cell>
        </row>
        <row r="16270">
          <cell r="C16270">
            <v>2010129</v>
          </cell>
          <cell r="D16270" t="str">
            <v>KAR.W.320X252X224 KW D</v>
          </cell>
        </row>
        <row r="16271">
          <cell r="C16271">
            <v>2010170</v>
          </cell>
          <cell r="D16271" t="str">
            <v>KAR.W.320X252X224 W</v>
          </cell>
        </row>
        <row r="16272">
          <cell r="C16272">
            <v>2010223</v>
          </cell>
          <cell r="D16272" t="str">
            <v>***KTN.368X64X34 BIA.FLT PRK DELUX PL/AT</v>
          </cell>
        </row>
        <row r="16273">
          <cell r="C16273">
            <v>2010207</v>
          </cell>
          <cell r="D16273" t="str">
            <v>***PRZEKŁ.432X183 BIGOWANA</v>
          </cell>
        </row>
        <row r="16274">
          <cell r="C16274">
            <v>2010271</v>
          </cell>
          <cell r="D16274" t="str">
            <v>KAR.WA.385X178X185 3W SZAR.W</v>
          </cell>
        </row>
        <row r="16275">
          <cell r="C16275">
            <v>2010235</v>
          </cell>
          <cell r="D16275" t="str">
            <v>KAR.WA.384X184X186 5W DIS.GRAN.MOR D</v>
          </cell>
        </row>
        <row r="16276">
          <cell r="C16276">
            <v>2010306</v>
          </cell>
          <cell r="D16276" t="str">
            <v>KAR.1180X780X835 OKTABINA</v>
          </cell>
        </row>
        <row r="16277">
          <cell r="C16277">
            <v>2005603</v>
          </cell>
          <cell r="D16277" t="str">
            <v>KAR.391X279X133 TACA GRILL BIED</v>
          </cell>
        </row>
        <row r="16278">
          <cell r="C16278">
            <v>2010404</v>
          </cell>
          <cell r="D16278" t="str">
            <v>KAR.WS.320X246X222 5W DIS.KOL.KRA D</v>
          </cell>
        </row>
        <row r="16279">
          <cell r="C16279">
            <v>2004936</v>
          </cell>
          <cell r="D16279" t="str">
            <v>KAR.WA.377X188X255 3W SZAR.W</v>
          </cell>
        </row>
        <row r="16280">
          <cell r="C16280">
            <v>2008956</v>
          </cell>
          <cell r="D16280" t="str">
            <v>KAR.WA.383X248X182 3W SZAR.W</v>
          </cell>
        </row>
        <row r="16281">
          <cell r="C16281">
            <v>2004926</v>
          </cell>
          <cell r="D16281" t="str">
            <v>KAR.WS.375X182X252 5W DIS.KOL.REGION.D</v>
          </cell>
        </row>
        <row r="16282">
          <cell r="C16282">
            <v>2004927</v>
          </cell>
          <cell r="D16282" t="str">
            <v>KAR.WA.1159X397 5W DIS.KOL.K.REG.D</v>
          </cell>
        </row>
        <row r="16283">
          <cell r="C16283">
            <v>2004917</v>
          </cell>
          <cell r="D16283" t="str">
            <v>KAR.WS.375X196X255 5W CZER/ZŁ.ZWYCZ.D</v>
          </cell>
        </row>
        <row r="16284">
          <cell r="C16284">
            <v>2008957</v>
          </cell>
          <cell r="D16284" t="str">
            <v>KAR.WA.383X248X182 5W DIS.CZER.YAN D</v>
          </cell>
        </row>
        <row r="16285">
          <cell r="C16285">
            <v>2010528</v>
          </cell>
          <cell r="D16285" t="str">
            <v>***KAR.283X186X238 MEATERSY D</v>
          </cell>
        </row>
        <row r="16286">
          <cell r="C16286">
            <v>2010612</v>
          </cell>
          <cell r="D16286" t="str">
            <v>***KAR.283X186X238 MEATERSY W</v>
          </cell>
        </row>
        <row r="16287">
          <cell r="C16287">
            <v>2009721</v>
          </cell>
          <cell r="D16287" t="str">
            <v>KAR.WA.575X390X152 3W SZAR.D</v>
          </cell>
        </row>
        <row r="16288">
          <cell r="C16288">
            <v>2010646</v>
          </cell>
          <cell r="D16288" t="str">
            <v>KAR.180X100X54 OWIJKA KARK.WP.B/K.PL</v>
          </cell>
        </row>
        <row r="16289">
          <cell r="C16289">
            <v>2010659</v>
          </cell>
          <cell r="D16289" t="str">
            <v>KAR.100X89X78 OWIJKA MEDALIONY Z POL.W</v>
          </cell>
        </row>
        <row r="16290">
          <cell r="C16290">
            <v>2010664</v>
          </cell>
          <cell r="D16290" t="str">
            <v>KAR.161X100X54 OWIJKA M-SO MIEL.Z ŁOP.W</v>
          </cell>
        </row>
        <row r="16291">
          <cell r="C16291">
            <v>2010653</v>
          </cell>
          <cell r="D16291" t="str">
            <v>KAR.161X100X54 OWIJKA M-SO MIEL.Z SZYN.W</v>
          </cell>
        </row>
        <row r="16292">
          <cell r="C16292">
            <v>2010652</v>
          </cell>
          <cell r="D16292" t="str">
            <v>KAR.161X124X44.5 OWIJKA SCH.WP.B/K.PL</v>
          </cell>
        </row>
        <row r="16293">
          <cell r="C16293">
            <v>2010627</v>
          </cell>
          <cell r="D16293" t="str">
            <v>KAR.WA.283X193X253 3W DIS.CZER.MEAT.D</v>
          </cell>
        </row>
        <row r="16294">
          <cell r="C16294">
            <v>2010628</v>
          </cell>
          <cell r="D16294" t="str">
            <v>KAR.WA.283X193X253 3W DIS.NIEB.MEAT.D</v>
          </cell>
        </row>
        <row r="16295">
          <cell r="C16295">
            <v>2010629</v>
          </cell>
          <cell r="D16295" t="str">
            <v>KAR.WA.283X193X253 3W DIS.CZAR.MEAT.D</v>
          </cell>
        </row>
        <row r="16296">
          <cell r="C16296">
            <v>2010680</v>
          </cell>
          <cell r="D16296" t="str">
            <v>KAR.WA.285X198X256 3W SZAR.W</v>
          </cell>
        </row>
        <row r="16297">
          <cell r="C16297">
            <v>2010700</v>
          </cell>
          <cell r="D16297" t="str">
            <v>KAR.WR.385X309X211 3W CZER.MEAT.W</v>
          </cell>
        </row>
        <row r="16298">
          <cell r="C16298">
            <v>2010723</v>
          </cell>
          <cell r="D16298" t="str">
            <v>KAR.W.320X252X103 BIED KW D</v>
          </cell>
        </row>
        <row r="16299">
          <cell r="C16299">
            <v>2010724</v>
          </cell>
          <cell r="D16299" t="str">
            <v>KAR.W.320X252X103 BIED KW W</v>
          </cell>
        </row>
        <row r="16300">
          <cell r="C16300">
            <v>2001591</v>
          </cell>
          <cell r="D16300" t="str">
            <v>KAR.470X336X100 SZARY</v>
          </cell>
        </row>
        <row r="16301">
          <cell r="C16301">
            <v>2010771</v>
          </cell>
          <cell r="D16301" t="str">
            <v>KAR.WA.256X196X106 3W DIS.CZER.MEAT.D</v>
          </cell>
        </row>
        <row r="16302">
          <cell r="C16302">
            <v>2010770</v>
          </cell>
          <cell r="D16302" t="str">
            <v>KAR.WR.256X196X106 3W CZAR.MEAT.W</v>
          </cell>
        </row>
        <row r="16303">
          <cell r="C16303">
            <v>2010847</v>
          </cell>
          <cell r="D16303" t="str">
            <v>KAR.WA.256X196X106 3W DIS.CZAR.MEAT.D</v>
          </cell>
        </row>
        <row r="16304">
          <cell r="C16304">
            <v>2010905</v>
          </cell>
          <cell r="D16304" t="str">
            <v>KAR.WA.256X196X106 3W NIEB.MEATERS D</v>
          </cell>
        </row>
        <row r="16305">
          <cell r="C16305">
            <v>2011074</v>
          </cell>
          <cell r="D16305" t="str">
            <v>KAR.W.247X282X207 KIEŁB.ŻYWIECKA BIED D</v>
          </cell>
        </row>
        <row r="16306">
          <cell r="C16306">
            <v>2010986</v>
          </cell>
          <cell r="D16306" t="str">
            <v>KAR.380X250X188 G&amp;F D</v>
          </cell>
        </row>
        <row r="16307">
          <cell r="C16307">
            <v>2011141</v>
          </cell>
          <cell r="D16307" t="str">
            <v>KAR.320X291X224 KIEŁB.BIAŁA BIED D</v>
          </cell>
        </row>
        <row r="16308">
          <cell r="C16308">
            <v>2011142</v>
          </cell>
          <cell r="D16308" t="str">
            <v>KAR.320X291X224 W</v>
          </cell>
        </row>
        <row r="16309">
          <cell r="C16309">
            <v>2011145</v>
          </cell>
          <cell r="D16309" t="str">
            <v>KAR.WS.320X246X222 5W DIS.CZAR.G&amp;F D</v>
          </cell>
        </row>
        <row r="16310">
          <cell r="C16310">
            <v>2011320</v>
          </cell>
          <cell r="D16310" t="str">
            <v>***KAR.W.580X375X70 TACA WZM</v>
          </cell>
        </row>
        <row r="16311">
          <cell r="C16311">
            <v>2011401</v>
          </cell>
          <cell r="D16311" t="str">
            <v>KAR.KR.577X380X151 5W BIA.KEEP FRZ AX</v>
          </cell>
        </row>
        <row r="16312">
          <cell r="C16312">
            <v>2011400</v>
          </cell>
          <cell r="D16312" t="str">
            <v>KAR.KR.535X320X105 5W BIA.AX</v>
          </cell>
        </row>
        <row r="16313">
          <cell r="C16313">
            <v>2011433</v>
          </cell>
          <cell r="D16313" t="str">
            <v>KAR.KR.577X380X151 5W BIA.AX</v>
          </cell>
        </row>
        <row r="16314">
          <cell r="C16314">
            <v>2011349</v>
          </cell>
          <cell r="D16314" t="str">
            <v>KAR.W.535X320X105 SZARY</v>
          </cell>
        </row>
        <row r="16315">
          <cell r="C16315">
            <v>2011806</v>
          </cell>
          <cell r="D16315" t="str">
            <v>KAR.WA.249X279X205 5W DIS.BRĄZ.ŻYW.KW D</v>
          </cell>
        </row>
        <row r="16316">
          <cell r="C16316">
            <v>2011831</v>
          </cell>
          <cell r="D16316" t="str">
            <v>KAR.KR.535X320X105 5W RÓŻ.</v>
          </cell>
        </row>
        <row r="16317">
          <cell r="C16317">
            <v>2011811</v>
          </cell>
          <cell r="D16317" t="str">
            <v>***KAR.W.321X254X224K.BIAŁA Z SZYN.BIEDD</v>
          </cell>
        </row>
        <row r="16318">
          <cell r="C16318">
            <v>2011830</v>
          </cell>
          <cell r="D16318" t="str">
            <v>***KAR.W321X254X224 W</v>
          </cell>
        </row>
        <row r="16319">
          <cell r="C16319">
            <v>2011840</v>
          </cell>
          <cell r="D16319" t="str">
            <v>KAR.WA.378X249X180 5W KOL.ŻYW.600G KW D</v>
          </cell>
        </row>
        <row r="16320">
          <cell r="C16320">
            <v>2011807</v>
          </cell>
          <cell r="D16320" t="str">
            <v>KAR.W.577X340X151 BIAŁY AX KEEP FROZEN</v>
          </cell>
        </row>
        <row r="16321">
          <cell r="C16321">
            <v>2011812</v>
          </cell>
          <cell r="D16321" t="str">
            <v>KAR.KR.535X320X105 5W BIA.</v>
          </cell>
        </row>
        <row r="16322">
          <cell r="C16322">
            <v>2011375</v>
          </cell>
          <cell r="D16322" t="str">
            <v>KAR.W.480X290X180 AX BIAŁY</v>
          </cell>
        </row>
        <row r="16323">
          <cell r="C16323">
            <v>2011844</v>
          </cell>
          <cell r="D16323" t="str">
            <v>KAR.WA.380X249X185 3W DIS.BEŻ.TORUŃ.KW D</v>
          </cell>
        </row>
        <row r="16324">
          <cell r="C16324">
            <v>2011843</v>
          </cell>
          <cell r="D16324" t="str">
            <v>KAR.WA.380X249X185 3W SZAR.W</v>
          </cell>
        </row>
        <row r="16325">
          <cell r="C16325">
            <v>2012001</v>
          </cell>
          <cell r="D16325" t="str">
            <v>KAR.WA.182X281X235 3W SZAR.W</v>
          </cell>
        </row>
        <row r="16326">
          <cell r="C16326">
            <v>2012000</v>
          </cell>
          <cell r="D16326" t="str">
            <v>KAR.WA.182X281X235 3W DIS.KOL.KRA D</v>
          </cell>
        </row>
        <row r="16327">
          <cell r="C16327">
            <v>2011431</v>
          </cell>
          <cell r="D16327" t="str">
            <v>KAR.WA.241X290X209 3W SZAR.W</v>
          </cell>
        </row>
        <row r="16328">
          <cell r="C16328">
            <v>2011432</v>
          </cell>
          <cell r="D16328" t="str">
            <v>KAR.WA.250X281X210 5W DIS.GRAN.D</v>
          </cell>
        </row>
        <row r="16329">
          <cell r="C16329">
            <v>2012052</v>
          </cell>
          <cell r="D16329" t="str">
            <v>KAR.WA.321X252X224 3W DIS.DESKA D</v>
          </cell>
        </row>
        <row r="16330">
          <cell r="C16330">
            <v>2012053</v>
          </cell>
          <cell r="D16330" t="str">
            <v>KAR.WA.321X252X224 3W SZAR.W</v>
          </cell>
        </row>
        <row r="16331">
          <cell r="C16331">
            <v>2012181</v>
          </cell>
          <cell r="D16331" t="str">
            <v>KAR.WR.380X219X150 5W BIA.W</v>
          </cell>
        </row>
        <row r="16332">
          <cell r="C16332">
            <v>2012136</v>
          </cell>
          <cell r="D16332" t="str">
            <v>KAR.WA.380X219X150 3W DIS.DESKA 4PKDA D</v>
          </cell>
        </row>
        <row r="16333">
          <cell r="C16333">
            <v>2012204</v>
          </cell>
          <cell r="D16333" t="str">
            <v>KAR.WA.378X249X180 5W DIS.KOL.KW D</v>
          </cell>
        </row>
        <row r="16334">
          <cell r="C16334">
            <v>2012210</v>
          </cell>
          <cell r="D16334" t="str">
            <v>KAR.WA.247X282X207 4W DIS.BRĄZ.KW D</v>
          </cell>
        </row>
        <row r="16335">
          <cell r="C16335">
            <v>2006959</v>
          </cell>
          <cell r="D16335" t="str">
            <v>KAR.W.590X390X155 TACKA</v>
          </cell>
        </row>
        <row r="16336">
          <cell r="C16336">
            <v>2000477</v>
          </cell>
          <cell r="D16336" t="str">
            <v>NAROŻNIK SZARY</v>
          </cell>
        </row>
        <row r="16337">
          <cell r="C16337">
            <v>2012467</v>
          </cell>
          <cell r="D16337" t="str">
            <v>PALETA 1200X1000 PLAST.CHEP LOG.</v>
          </cell>
        </row>
        <row r="16338">
          <cell r="C16338">
            <v>2012469</v>
          </cell>
          <cell r="D16338" t="str">
            <v>KAR.WA.391X124X160 3W DIS.GRAN.MOR D</v>
          </cell>
        </row>
        <row r="16339">
          <cell r="C16339">
            <v>2012550</v>
          </cell>
          <cell r="D16339" t="str">
            <v>KAR.WA.390X130X160 3W SZAR.W</v>
          </cell>
        </row>
        <row r="16340">
          <cell r="C16340">
            <v>2003212</v>
          </cell>
          <cell r="D16340" t="str">
            <v>FOL.PE ARK.25X1200X1500 NIEB.</v>
          </cell>
        </row>
        <row r="16341">
          <cell r="C16341">
            <v>2003213</v>
          </cell>
          <cell r="D16341" t="str">
            <v>PRZEKŁADKA 425X325 3W</v>
          </cell>
        </row>
        <row r="16342">
          <cell r="C16342">
            <v>2003214</v>
          </cell>
          <cell r="D16342" t="str">
            <v>KARATOWNICA 420X325</v>
          </cell>
        </row>
        <row r="16343">
          <cell r="C16343">
            <v>2001111</v>
          </cell>
          <cell r="D16343" t="str">
            <v>PRZEKŁ.1200X800 3W SZAR.</v>
          </cell>
        </row>
        <row r="16344">
          <cell r="C16344">
            <v>2003215</v>
          </cell>
          <cell r="D16344" t="str">
            <v>***PRZEKŁADKA 370X270 3W</v>
          </cell>
        </row>
        <row r="16345">
          <cell r="C16345">
            <v>2003216</v>
          </cell>
          <cell r="D16345" t="str">
            <v>***PRZEKŁAKA 370X370 3W</v>
          </cell>
        </row>
        <row r="16346">
          <cell r="C16346">
            <v>2003217</v>
          </cell>
          <cell r="D16346" t="str">
            <v>***PRZEKŁADKA 375X245 3W</v>
          </cell>
        </row>
        <row r="16347">
          <cell r="C16347">
            <v>2003218</v>
          </cell>
          <cell r="D16347" t="str">
            <v>***PRZEKŁADKA 440X240 3W</v>
          </cell>
        </row>
        <row r="16348">
          <cell r="C16348">
            <v>2001641</v>
          </cell>
          <cell r="D16348" t="str">
            <v>PRZEKŁADKA 513X305 DO KART.108</v>
          </cell>
        </row>
        <row r="16349">
          <cell r="C16349">
            <v>2003219</v>
          </cell>
          <cell r="D16349" t="str">
            <v>***NAROŻNIK TEKTUROWY 100X100</v>
          </cell>
        </row>
        <row r="16350">
          <cell r="C16350">
            <v>2001608</v>
          </cell>
          <cell r="D16350" t="str">
            <v>NAROŻNIK 1300X300</v>
          </cell>
        </row>
        <row r="16351">
          <cell r="C16351">
            <v>2016210</v>
          </cell>
          <cell r="D16351" t="str">
            <v>ST.KRATOWNICA 578X121 5W DŁ.A</v>
          </cell>
        </row>
        <row r="16352">
          <cell r="C16352">
            <v>2016205</v>
          </cell>
          <cell r="D16352" t="str">
            <v>ST.KRATOWNICA 375X152 5W KR.B</v>
          </cell>
        </row>
        <row r="16353">
          <cell r="C16353">
            <v>2016204</v>
          </cell>
          <cell r="D16353" t="str">
            <v>ST.KRATOWNICA 375X152 5W KR.C</v>
          </cell>
        </row>
        <row r="16354">
          <cell r="C16354">
            <v>2016203</v>
          </cell>
          <cell r="D16354" t="str">
            <v>ST.KRATOWNICA 375X127 5W KR.D</v>
          </cell>
        </row>
        <row r="16355">
          <cell r="C16355">
            <v>2016441</v>
          </cell>
          <cell r="D16355" t="str">
            <v>KAR.WA.294X162X195 3W DIS.NIEB/BIA.MOR D</v>
          </cell>
        </row>
        <row r="16356">
          <cell r="C16356">
            <v>2016503</v>
          </cell>
          <cell r="D16356" t="str">
            <v>KAR.WA.282X250X188 5W DIS.GRAN.KW D</v>
          </cell>
        </row>
        <row r="16357">
          <cell r="C16357">
            <v>2016502</v>
          </cell>
          <cell r="D16357" t="str">
            <v>KAR.WA.283X243X188 3W SZAR.W</v>
          </cell>
        </row>
        <row r="16358">
          <cell r="C16358">
            <v>2016532</v>
          </cell>
          <cell r="D16358" t="str">
            <v>KAR.WA.291X84X155 3W KOL.KRA D</v>
          </cell>
        </row>
        <row r="16359">
          <cell r="C16359">
            <v>2016531</v>
          </cell>
          <cell r="D16359" t="str">
            <v>KAR.WA.300X100X251 3W SZAR.W</v>
          </cell>
        </row>
        <row r="16360">
          <cell r="C16360">
            <v>2016560</v>
          </cell>
          <cell r="D16360" t="str">
            <v>KAR.WA.294X162X195 3W DIS.CZAR.ELIT D</v>
          </cell>
        </row>
        <row r="16361">
          <cell r="C16361">
            <v>2003220</v>
          </cell>
          <cell r="D16361" t="str">
            <v>PRZEKŁADKA 1510X120</v>
          </cell>
        </row>
        <row r="16362">
          <cell r="C16362">
            <v>2002042</v>
          </cell>
          <cell r="D16362" t="str">
            <v>NAR.1300X230 3W SZAR.</v>
          </cell>
        </row>
        <row r="16363">
          <cell r="C16363">
            <v>8200164</v>
          </cell>
          <cell r="D16363" t="str">
            <v>POJEMNIK PERF.PROD.</v>
          </cell>
        </row>
        <row r="16364">
          <cell r="C16364">
            <v>8200170</v>
          </cell>
          <cell r="D16364" t="str">
            <v>POJEMNIK A20 ROZBIOROWY CZER.PROD.</v>
          </cell>
        </row>
        <row r="16365">
          <cell r="C16365">
            <v>8200163</v>
          </cell>
          <cell r="D16365" t="str">
            <v>KOSZ MET.DUŻY</v>
          </cell>
        </row>
        <row r="16366">
          <cell r="C16366">
            <v>8200190</v>
          </cell>
          <cell r="D16366" t="str">
            <v>CHOINKA MET.(PRZEKAZ.NIEODPŁ.)-VAT POD.</v>
          </cell>
        </row>
        <row r="16367">
          <cell r="C16367">
            <v>8200191</v>
          </cell>
          <cell r="D16367" t="str">
            <v>POKRYWA NA POJEMNIK A20 PROD.</v>
          </cell>
        </row>
        <row r="16368">
          <cell r="C16368">
            <v>8200162</v>
          </cell>
          <cell r="D16368" t="str">
            <v>POJEMNIK SITA PROD.</v>
          </cell>
        </row>
        <row r="16369">
          <cell r="C16369">
            <v>2003221</v>
          </cell>
          <cell r="D16369" t="str">
            <v>PAPIER NA MIĘSO WP.POPULARNE 250G</v>
          </cell>
        </row>
        <row r="16370">
          <cell r="C16370">
            <v>2002165</v>
          </cell>
          <cell r="D16370" t="str">
            <v>FOL.STRETCH MASZ.17X500 250%</v>
          </cell>
        </row>
        <row r="16371">
          <cell r="C16371">
            <v>2000589</v>
          </cell>
          <cell r="D16371" t="str">
            <v>FOL.STRECZ MASZ.</v>
          </cell>
        </row>
        <row r="16372">
          <cell r="C16372">
            <v>2001532</v>
          </cell>
          <cell r="D16372" t="str">
            <v>GUMKI RECEPTURKI 60</v>
          </cell>
        </row>
        <row r="16373">
          <cell r="C16373">
            <v>2005145</v>
          </cell>
          <cell r="D16373" t="str">
            <v>KLEJ SI 5000</v>
          </cell>
        </row>
        <row r="16374">
          <cell r="C16374">
            <v>2001206</v>
          </cell>
          <cell r="D16374" t="str">
            <v>TAŚMA RĘCZ.48X60M</v>
          </cell>
        </row>
        <row r="16375">
          <cell r="C16375">
            <v>2003853</v>
          </cell>
          <cell r="D16375" t="str">
            <v>TAŚMA RĘCZ.48X60M NIEB.</v>
          </cell>
        </row>
        <row r="16376">
          <cell r="C16376">
            <v>2003222</v>
          </cell>
          <cell r="D16376" t="str">
            <v>TAŚMA MASZ.50X990 SAMOPRZ.</v>
          </cell>
        </row>
        <row r="16377">
          <cell r="C16377">
            <v>2003928</v>
          </cell>
          <cell r="D16377" t="str">
            <v>TAŚMA 50X66 SAMOPRZ.Z NUMEREM IW</v>
          </cell>
        </row>
        <row r="16378">
          <cell r="C16378">
            <v>2003979</v>
          </cell>
          <cell r="D16378" t="str">
            <v>***FOL.TAŚMA TEROKURCZ800X0.03 NIEBIESKA</v>
          </cell>
        </row>
        <row r="16379">
          <cell r="C16379">
            <v>2002673</v>
          </cell>
          <cell r="D16379" t="str">
            <v>TAŚMA RĘCZ.POLIP PP 9X50MM 4000M BIAŁA</v>
          </cell>
        </row>
        <row r="16380">
          <cell r="C16380">
            <v>2008990</v>
          </cell>
          <cell r="D16380" t="str">
            <v>***KLEJ PERFORMA GTS</v>
          </cell>
        </row>
        <row r="16381">
          <cell r="C16381">
            <v>2000597</v>
          </cell>
          <cell r="D16381" t="str">
            <v>FOL.STRETCH RĘCZ.23X500 NIEB.</v>
          </cell>
        </row>
        <row r="16382">
          <cell r="C16382">
            <v>2003223</v>
          </cell>
          <cell r="D16382" t="str">
            <v>TAŚMA RĘCZ.ZATRZYMANE PRZEZ KJ</v>
          </cell>
        </row>
        <row r="16383">
          <cell r="C16383">
            <v>2001712</v>
          </cell>
          <cell r="D16383" t="str">
            <v>TAŚMA 25X60 APLA KLEJĄCA CZARNA</v>
          </cell>
        </row>
        <row r="16384">
          <cell r="C16384">
            <v>2001208</v>
          </cell>
          <cell r="D16384" t="str">
            <v>TAŚMA RĘCZ.50X66 SAMOPRZ.ŻÓŁTY LOGO AX</v>
          </cell>
        </row>
        <row r="16385">
          <cell r="C16385">
            <v>2001713</v>
          </cell>
          <cell r="D16385" t="str">
            <v>TAŚMA 25X60 KLEJĄCA CZERWONA</v>
          </cell>
        </row>
        <row r="16386">
          <cell r="C16386">
            <v>2001716</v>
          </cell>
          <cell r="D16386" t="str">
            <v>TAŚMA RĘCZ.25X60 KLEJĄCA NIEB.</v>
          </cell>
        </row>
        <row r="16387">
          <cell r="C16387">
            <v>2001714</v>
          </cell>
          <cell r="D16387" t="str">
            <v>TAŚMA 25X60 KLEJĄCA POMARAŃCZOWA</v>
          </cell>
        </row>
        <row r="16388">
          <cell r="C16388">
            <v>2001710</v>
          </cell>
          <cell r="D16388" t="str">
            <v>TAŚMA 25X60 APLA KLEJACA ZIELONA</v>
          </cell>
        </row>
        <row r="16389">
          <cell r="C16389">
            <v>2001717</v>
          </cell>
          <cell r="D16389" t="str">
            <v>TAŚMA 25X60 ŻÓŁTA APLA</v>
          </cell>
        </row>
        <row r="16390">
          <cell r="C16390">
            <v>2007525</v>
          </cell>
          <cell r="D16390" t="str">
            <v>***TAŚMA RĘCZ.ZATRZYMANE DO BADAŃ</v>
          </cell>
        </row>
        <row r="16391">
          <cell r="C16391">
            <v>2008496</v>
          </cell>
          <cell r="D16391" t="str">
            <v>TAŚMA 48X60 KLEJĄCA POMARAŃCZOWA</v>
          </cell>
        </row>
        <row r="16392">
          <cell r="C16392">
            <v>2009396</v>
          </cell>
          <cell r="D16392" t="str">
            <v>TAŚMA RĘCZ.48X60M CZER.WE</v>
          </cell>
        </row>
        <row r="16393">
          <cell r="C16393">
            <v>2011594</v>
          </cell>
          <cell r="D16393" t="str">
            <v>***TAŚMA TERM.V-AR-BK-55X1600 CZARNA</v>
          </cell>
        </row>
        <row r="16394">
          <cell r="C16394">
            <v>2011593</v>
          </cell>
          <cell r="D16394" t="str">
            <v>***TAŚMA TERM.V-WR1-UW-55X1100 BIAŁA</v>
          </cell>
        </row>
        <row r="16395">
          <cell r="C16395">
            <v>2012498</v>
          </cell>
          <cell r="D16395" t="str">
            <v>TAŚMA MASZ.48X990 SAMOPRZ.CZER.IW</v>
          </cell>
        </row>
        <row r="16396">
          <cell r="C16396">
            <v>2001688</v>
          </cell>
          <cell r="D16396" t="str">
            <v>***FOL.STRECH 23MY 500</v>
          </cell>
        </row>
        <row r="16397">
          <cell r="C16397">
            <v>2003224</v>
          </cell>
          <cell r="D16397" t="str">
            <v>***WOR.PE 521X1330 GR30 NIEB.</v>
          </cell>
        </row>
        <row r="16398">
          <cell r="C16398">
            <v>2003225</v>
          </cell>
          <cell r="D16398" t="str">
            <v>***WOR.1600X740 GR 80  NA SZCZECINE</v>
          </cell>
        </row>
        <row r="16399">
          <cell r="C16399">
            <v>2003226</v>
          </cell>
          <cell r="D16399" t="str">
            <v>ET.ZAWIESZKI NA WÓZKI WĘDZ.</v>
          </cell>
        </row>
        <row r="16400">
          <cell r="C16400">
            <v>2003227</v>
          </cell>
          <cell r="D16400" t="str">
            <v>WOR.PE 750X1120X2F500 GR25 NIEB.</v>
          </cell>
        </row>
        <row r="16401">
          <cell r="C16401">
            <v>2003228</v>
          </cell>
          <cell r="D16401" t="str">
            <v>***REKLAMÓWKA 24/45 ZIEL.</v>
          </cell>
        </row>
        <row r="16402">
          <cell r="C16402">
            <v>2003229</v>
          </cell>
          <cell r="D16402" t="str">
            <v>***TAŚMA TERMOTRANSF.WOSK 60X4500</v>
          </cell>
        </row>
        <row r="16403">
          <cell r="C16403">
            <v>2006002</v>
          </cell>
          <cell r="D16403" t="str">
            <v>***REKLAMÓWKA 24X45 ZIEL.</v>
          </cell>
        </row>
        <row r="16404">
          <cell r="C16404">
            <v>2006387</v>
          </cell>
          <cell r="D16404" t="str">
            <v>PALETA-ĆWIERĆPALETA 600X400 TEKTUROWA</v>
          </cell>
        </row>
        <row r="16405">
          <cell r="C16405">
            <v>2005157</v>
          </cell>
          <cell r="D16405" t="str">
            <v>PALETA 1200X1000 DREW.LOG.</v>
          </cell>
        </row>
        <row r="16406">
          <cell r="C16406">
            <v>2005009</v>
          </cell>
          <cell r="D16406" t="str">
            <v>PALETA 1200X800 JEDNORAZ.LOG.</v>
          </cell>
        </row>
        <row r="16407">
          <cell r="C16407">
            <v>2005035</v>
          </cell>
          <cell r="D16407" t="str">
            <v>PALETA 1200X800 JEDNORAZ.PLAST.LOG.</v>
          </cell>
        </row>
        <row r="16408">
          <cell r="C16408">
            <v>8200013</v>
          </cell>
          <cell r="D16408" t="str">
            <v>PALETA 1200X800 DREW.JEDNORAZ.LOG.</v>
          </cell>
        </row>
        <row r="16409">
          <cell r="C16409">
            <v>8200005</v>
          </cell>
          <cell r="D16409" t="str">
            <v>PALETA 1200X1000 DREW.JEDNORAZ.LOG.</v>
          </cell>
        </row>
        <row r="16410">
          <cell r="C16410">
            <v>8200166</v>
          </cell>
          <cell r="D16410" t="str">
            <v>PALETA 1200X1000 PLAST.AŻUR.PROD.</v>
          </cell>
        </row>
        <row r="16411">
          <cell r="C16411">
            <v>8200012</v>
          </cell>
          <cell r="D16411" t="str">
            <v>PALETA 1200X800 PLAST.H1 LOG.</v>
          </cell>
        </row>
        <row r="16412">
          <cell r="C16412">
            <v>8200006</v>
          </cell>
          <cell r="D16412" t="str">
            <v>PALETA 1200X800 DREW.EURO LOG.</v>
          </cell>
        </row>
        <row r="16413">
          <cell r="C16413">
            <v>2005454</v>
          </cell>
          <cell r="D16413" t="str">
            <v>CHOINKA PLASTIKOWA</v>
          </cell>
        </row>
        <row r="16414">
          <cell r="C16414">
            <v>8200210</v>
          </cell>
          <cell r="D16414" t="str">
            <v>PALBOX PRODUKCYJNY</v>
          </cell>
        </row>
        <row r="16415">
          <cell r="C16415">
            <v>8200221</v>
          </cell>
          <cell r="D16415" t="str">
            <v>PRZEKŁADKA DO MROŻENIA PROD.</v>
          </cell>
        </row>
        <row r="16416">
          <cell r="C16416">
            <v>2003492</v>
          </cell>
          <cell r="D16416" t="str">
            <v>PLOMBA BUTELKOWA POLS,AL</v>
          </cell>
        </row>
        <row r="16417">
          <cell r="C16417">
            <v>8200430</v>
          </cell>
          <cell r="D16417" t="str">
            <v>POKRYWA DO PALBOX PROD.</v>
          </cell>
        </row>
        <row r="16418">
          <cell r="C16418">
            <v>8200362</v>
          </cell>
          <cell r="D16418" t="str">
            <v>PALBOX 1200X1000X790 DOLAV ZIEL.LOG.</v>
          </cell>
        </row>
        <row r="16419">
          <cell r="C16419">
            <v>8200151</v>
          </cell>
          <cell r="D16419" t="str">
            <v>PALETA 600X400 PLAST.CHEP LOG.</v>
          </cell>
        </row>
        <row r="16420">
          <cell r="C16420">
            <v>2006658</v>
          </cell>
          <cell r="D16420" t="str">
            <v>PALETA 600X400 PLAST.CHEP LOG.</v>
          </cell>
        </row>
        <row r="16421">
          <cell r="C16421">
            <v>8200380</v>
          </cell>
          <cell r="D16421" t="str">
            <v>PALETA 1200X800 DREW.EURO CHEP LOG.</v>
          </cell>
        </row>
        <row r="16422">
          <cell r="C16422">
            <v>8200360</v>
          </cell>
          <cell r="D16422" t="str">
            <v>PALBOX 1200X1000X650 PLAST.AŻUR.KOL.PROD</v>
          </cell>
        </row>
        <row r="16423">
          <cell r="C16423">
            <v>8200460</v>
          </cell>
          <cell r="D16423" t="str">
            <v>***PALBOX 1200X1000X790 SARIA SZAR.</v>
          </cell>
        </row>
        <row r="16424">
          <cell r="C16424">
            <v>2010988</v>
          </cell>
          <cell r="D16424" t="str">
            <v>PALETA 400X600 DREW.LOG.</v>
          </cell>
        </row>
        <row r="16425">
          <cell r="C16425">
            <v>2013732</v>
          </cell>
          <cell r="D16425" t="str">
            <v>CHOINKA PLASTIKOWA</v>
          </cell>
        </row>
        <row r="16426">
          <cell r="C16426">
            <v>8200660</v>
          </cell>
          <cell r="D16426" t="str">
            <v>***PALETA 400X400X150DREWNIANA JEDNORAZ.</v>
          </cell>
        </row>
        <row r="16427">
          <cell r="C16427">
            <v>8200670</v>
          </cell>
          <cell r="D16427" t="str">
            <v>PALETA 1200X800 CHEP DREW.FUMIG.LOG.</v>
          </cell>
        </row>
        <row r="16428">
          <cell r="C16428">
            <v>8200420</v>
          </cell>
          <cell r="D16428" t="str">
            <v>PALETA 1200X1000 PLAST.LOG.</v>
          </cell>
        </row>
        <row r="16429">
          <cell r="C16429">
            <v>2006230</v>
          </cell>
          <cell r="D16429" t="str">
            <v>***ET.68X90 M-SO NA GUL.Z ŁOP.BIED P</v>
          </cell>
        </row>
        <row r="16430">
          <cell r="C16430">
            <v>2003230</v>
          </cell>
          <cell r="D16430" t="str">
            <v>PATYCZKI DO SZASZŁYKÓW</v>
          </cell>
        </row>
        <row r="16431">
          <cell r="C16431">
            <v>2003670</v>
          </cell>
          <cell r="D16431" t="str">
            <v>***TAŚMA TERMOTRANSF.WOSK.95X450</v>
          </cell>
        </row>
        <row r="16432">
          <cell r="C16432">
            <v>8200165</v>
          </cell>
          <cell r="D16432" t="str">
            <v>BĘBEN TEKT.ZAMYK.</v>
          </cell>
        </row>
        <row r="16433">
          <cell r="C16433">
            <v>2001211</v>
          </cell>
          <cell r="D16433" t="str">
            <v>GAZ SPOŻ.MIESZ.AZOT Z CO2/MAPAX3</v>
          </cell>
        </row>
        <row r="16434">
          <cell r="C16434">
            <v>3008753</v>
          </cell>
          <cell r="D16434" t="str">
            <v>MIESZ.MAPAX 3 N2/CO2</v>
          </cell>
        </row>
        <row r="16435">
          <cell r="C16435">
            <v>3008754</v>
          </cell>
          <cell r="D16435" t="str">
            <v>MIESZ.MAPAX 20/80 O2/CO2</v>
          </cell>
        </row>
        <row r="16436">
          <cell r="C16436">
            <v>8400261</v>
          </cell>
          <cell r="D16436" t="str">
            <v>WYKRAW.SZYNEK</v>
          </cell>
        </row>
        <row r="16437">
          <cell r="C16437">
            <v>8400511</v>
          </cell>
          <cell r="D16437" t="str">
            <v>WYKRAW.POLĘDWICZEK Z/MAC.</v>
          </cell>
        </row>
        <row r="16438">
          <cell r="C16438">
            <v>8400512</v>
          </cell>
          <cell r="D16438" t="str">
            <v>WYKRAW.SZYN.Z/MAC.</v>
          </cell>
        </row>
        <row r="16439">
          <cell r="C16439">
            <v>8400520</v>
          </cell>
          <cell r="D16439" t="str">
            <v>WYKRAW.PRZODKA Z/MAC.</v>
          </cell>
        </row>
        <row r="16440">
          <cell r="C16440">
            <v>8400513</v>
          </cell>
          <cell r="D16440" t="str">
            <v>WYKRAW.ŚRODKÓW Z/MAC.</v>
          </cell>
        </row>
        <row r="16441">
          <cell r="C16441">
            <v>8400560</v>
          </cell>
          <cell r="D16441" t="str">
            <v>KALIBRACJA JELIT</v>
          </cell>
        </row>
        <row r="16442">
          <cell r="C16442">
            <v>8400263</v>
          </cell>
          <cell r="D16442" t="str">
            <v>WYKRAW.PRZODKA</v>
          </cell>
        </row>
        <row r="16443">
          <cell r="C16443">
            <v>8400264</v>
          </cell>
          <cell r="D16443" t="str">
            <v>WYKRAW.ĆW.SCHABOWYCH</v>
          </cell>
        </row>
        <row r="16444">
          <cell r="C16444">
            <v>8400266</v>
          </cell>
          <cell r="D16444" t="str">
            <v>WYKRAW.BOCZKÓW</v>
          </cell>
        </row>
        <row r="16445">
          <cell r="C16445">
            <v>8400170</v>
          </cell>
          <cell r="D16445" t="str">
            <v>WYKRAW.POLĘDWICZEK</v>
          </cell>
        </row>
        <row r="16446">
          <cell r="C16446">
            <v>8400171</v>
          </cell>
          <cell r="D16446" t="str">
            <v>WYKRAW.GŁÓW</v>
          </cell>
        </row>
        <row r="16447">
          <cell r="C16447">
            <v>8400300</v>
          </cell>
          <cell r="D16447" t="str">
            <v>WYKRAW.ŚRODKÓW</v>
          </cell>
        </row>
        <row r="16448">
          <cell r="C16448">
            <v>8400441</v>
          </cell>
          <cell r="D16448" t="str">
            <v>JELICIARNIA</v>
          </cell>
        </row>
        <row r="16449">
          <cell r="C16449">
            <v>8400510</v>
          </cell>
          <cell r="D16449" t="str">
            <v>ROZBIÓR WP.MAC.</v>
          </cell>
        </row>
        <row r="16450">
          <cell r="C16450">
            <v>8400267</v>
          </cell>
          <cell r="D16450" t="str">
            <v>ROZBIÓR WP.</v>
          </cell>
        </row>
        <row r="16451">
          <cell r="C16451">
            <v>8400223</v>
          </cell>
          <cell r="D16451" t="str">
            <v>UZYSK MIĘŚNI SZYNKOWYCH KL.E</v>
          </cell>
        </row>
        <row r="16452">
          <cell r="C16452">
            <v>8400262</v>
          </cell>
          <cell r="D16452" t="str">
            <v>***WYKRAW.PRZODKA STAND.</v>
          </cell>
        </row>
        <row r="16453">
          <cell r="C16453">
            <v>8400141</v>
          </cell>
          <cell r="D16453" t="str">
            <v>***ROZBIÓR WP.KL.U</v>
          </cell>
        </row>
        <row r="16454">
          <cell r="C16454">
            <v>8400222</v>
          </cell>
          <cell r="D16454" t="str">
            <v>***UZYSK MIĘŚNI SZYNKOWYCH KL.U</v>
          </cell>
        </row>
        <row r="16455">
          <cell r="C16455">
            <v>8400134</v>
          </cell>
          <cell r="D16455" t="str">
            <v>***WYKRAW.PRZODKA KL.U</v>
          </cell>
        </row>
        <row r="16456">
          <cell r="C16456">
            <v>8400142</v>
          </cell>
          <cell r="D16456" t="str">
            <v>***ROZBIÓR WP.KL.R</v>
          </cell>
        </row>
        <row r="16457">
          <cell r="C16457">
            <v>8400221</v>
          </cell>
          <cell r="D16457" t="str">
            <v>***UZYSK MIĘŚNI SZYNKOWYCH KL.R</v>
          </cell>
        </row>
        <row r="16458">
          <cell r="C16458">
            <v>8400135</v>
          </cell>
          <cell r="D16458" t="str">
            <v>***WYKRAW.PRZODKA KL.R</v>
          </cell>
        </row>
        <row r="16459">
          <cell r="C16459">
            <v>8400143</v>
          </cell>
          <cell r="D16459" t="str">
            <v>***ROZBIÓR WP.KL.O</v>
          </cell>
        </row>
        <row r="16460">
          <cell r="C16460">
            <v>8400139</v>
          </cell>
          <cell r="D16460" t="str">
            <v>***ROZBIÓR WP.KL.S</v>
          </cell>
        </row>
        <row r="16461">
          <cell r="C16461">
            <v>8400224</v>
          </cell>
          <cell r="D16461" t="str">
            <v>***UZYSK MIĘŚNI SZYNKOWYCH KL.S</v>
          </cell>
        </row>
        <row r="16462">
          <cell r="C16462">
            <v>8400132</v>
          </cell>
          <cell r="D16462" t="str">
            <v>***WYKRAW.PRZODKA KL.S</v>
          </cell>
        </row>
        <row r="16463">
          <cell r="C16463">
            <v>8400144</v>
          </cell>
          <cell r="D16463" t="str">
            <v>***ROZBIÓR WP.KL.A</v>
          </cell>
        </row>
        <row r="16464">
          <cell r="C16464">
            <v>8400220</v>
          </cell>
          <cell r="D16464" t="str">
            <v>***UZYSK MIĘŚNI SZYNKOWYCH KL.A</v>
          </cell>
        </row>
        <row r="16465">
          <cell r="C16465">
            <v>8400145</v>
          </cell>
          <cell r="D16465" t="str">
            <v>***ROZBIÓR WP.KL.C</v>
          </cell>
        </row>
        <row r="16466">
          <cell r="C16466">
            <v>8400146</v>
          </cell>
          <cell r="D16466" t="str">
            <v>***ROZBIÓR WP.KL.D</v>
          </cell>
        </row>
        <row r="16467">
          <cell r="C16467">
            <v>8400147</v>
          </cell>
          <cell r="D16467" t="str">
            <v>***ROZBIÓR WP.KL.U,R,O,A,C,D</v>
          </cell>
        </row>
        <row r="16468">
          <cell r="C16468">
            <v>2003488</v>
          </cell>
          <cell r="D16468" t="str">
            <v>GAZ SPOŻ.TLEN CIEKŁY</v>
          </cell>
        </row>
        <row r="16469">
          <cell r="C16469">
            <v>2000802</v>
          </cell>
          <cell r="D16469" t="str">
            <v>GAZ SPOŻ.AZOT CIEKŁY</v>
          </cell>
        </row>
        <row r="16470">
          <cell r="C16470">
            <v>2003489</v>
          </cell>
          <cell r="D16470" t="str">
            <v>***DWUTLENEK WĘGLA CO2 CIEKŁY</v>
          </cell>
        </row>
        <row r="16471">
          <cell r="C16471">
            <v>2000804</v>
          </cell>
          <cell r="D16471" t="str">
            <v>GAZ SPOŻ.DWUTLENEK WĘGLA CO2 CIEKŁY</v>
          </cell>
        </row>
        <row r="16472">
          <cell r="C16472">
            <v>8200000</v>
          </cell>
          <cell r="D16472" t="str">
            <v>BECZKA PLAST.</v>
          </cell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Konfiguracja"/>
      <sheetName val="Receptury "/>
      <sheetName val="Receptury_z"/>
      <sheetName val="Kalkulator mięs "/>
      <sheetName val="Klony Stare"/>
      <sheetName val="Klony Nowy Tydzień 28"/>
      <sheetName val="Kalkulator Wędzonki "/>
      <sheetName val="Klony 1"/>
      <sheetName val="Dane stany"/>
      <sheetName val="Plan Farsze"/>
      <sheetName val="Kalkulator klony"/>
      <sheetName val="Plan Nastrzyk "/>
      <sheetName val="Rozbiór"/>
      <sheetName val="TPS wędzonki "/>
      <sheetName val="Drobie"/>
      <sheetName val="TPS_mięsa"/>
      <sheetName val="Kalkulator uśrednianie. "/>
      <sheetName val="ZAKUPY wieprz."/>
      <sheetName val="PLAN_P"/>
      <sheetName val="Baza Asort"/>
    </sheetNames>
    <sheetDataSet>
      <sheetData sheetId="0">
        <row r="3">
          <cell r="O3">
            <v>2202</v>
          </cell>
          <cell r="P3">
            <v>2212</v>
          </cell>
          <cell r="Q3">
            <v>9999</v>
          </cell>
          <cell r="AD3">
            <v>9999</v>
          </cell>
          <cell r="AE3">
            <v>9999</v>
          </cell>
        </row>
        <row r="4">
          <cell r="O4">
            <v>2224</v>
          </cell>
          <cell r="P4">
            <v>9999</v>
          </cell>
          <cell r="Q4">
            <v>9999</v>
          </cell>
          <cell r="AD4">
            <v>9999</v>
          </cell>
          <cell r="AE4">
            <v>9999</v>
          </cell>
        </row>
        <row r="5">
          <cell r="O5">
            <v>2203</v>
          </cell>
          <cell r="P5">
            <v>2213</v>
          </cell>
          <cell r="Q5">
            <v>2225</v>
          </cell>
          <cell r="AD5">
            <v>2229</v>
          </cell>
          <cell r="AE5">
            <v>2211</v>
          </cell>
        </row>
        <row r="6">
          <cell r="O6">
            <v>2210</v>
          </cell>
          <cell r="P6">
            <v>9999</v>
          </cell>
          <cell r="Q6">
            <v>9999</v>
          </cell>
          <cell r="AD6">
            <v>9999</v>
          </cell>
          <cell r="AE6">
            <v>9999</v>
          </cell>
        </row>
        <row r="7">
          <cell r="O7">
            <v>1239</v>
          </cell>
          <cell r="P7">
            <v>9999</v>
          </cell>
          <cell r="Q7">
            <v>9999</v>
          </cell>
          <cell r="AD7">
            <v>9999</v>
          </cell>
          <cell r="AE7">
            <v>9999</v>
          </cell>
        </row>
        <row r="8">
          <cell r="O8">
            <v>1365</v>
          </cell>
          <cell r="P8">
            <v>1342</v>
          </cell>
          <cell r="Q8">
            <v>9999</v>
          </cell>
          <cell r="AD8">
            <v>9999</v>
          </cell>
          <cell r="AE8">
            <v>9999</v>
          </cell>
        </row>
        <row r="9">
          <cell r="O9">
            <v>1624</v>
          </cell>
          <cell r="P9">
            <v>9999</v>
          </cell>
          <cell r="Q9">
            <v>9999</v>
          </cell>
          <cell r="AD9">
            <v>9999</v>
          </cell>
          <cell r="AE9">
            <v>9999</v>
          </cell>
        </row>
        <row r="10">
          <cell r="O10">
            <v>2204</v>
          </cell>
          <cell r="P10">
            <v>2214</v>
          </cell>
          <cell r="Q10">
            <v>9999</v>
          </cell>
          <cell r="AD10">
            <v>9999</v>
          </cell>
          <cell r="AE10">
            <v>9999</v>
          </cell>
        </row>
        <row r="11">
          <cell r="O11">
            <v>5214</v>
          </cell>
          <cell r="P11">
            <v>9999</v>
          </cell>
          <cell r="Q11">
            <v>9999</v>
          </cell>
          <cell r="AD11">
            <v>9999</v>
          </cell>
          <cell r="AE11">
            <v>9999</v>
          </cell>
        </row>
        <row r="12">
          <cell r="O12">
            <v>2209</v>
          </cell>
          <cell r="P12">
            <v>1923</v>
          </cell>
          <cell r="Q12">
            <v>2222</v>
          </cell>
          <cell r="AD12">
            <v>2220</v>
          </cell>
          <cell r="AE12">
            <v>9999</v>
          </cell>
        </row>
        <row r="13">
          <cell r="O13">
            <v>2205</v>
          </cell>
          <cell r="P13">
            <v>2197</v>
          </cell>
          <cell r="Q13">
            <v>2195</v>
          </cell>
          <cell r="AD13">
            <v>1315</v>
          </cell>
          <cell r="AE13">
            <v>2196</v>
          </cell>
        </row>
        <row r="14">
          <cell r="O14">
            <v>5215</v>
          </cell>
          <cell r="P14">
            <v>9999</v>
          </cell>
          <cell r="Q14">
            <v>9999</v>
          </cell>
          <cell r="AD14">
            <v>9999</v>
          </cell>
          <cell r="AE14">
            <v>9999</v>
          </cell>
        </row>
        <row r="15">
          <cell r="O15">
            <v>2206</v>
          </cell>
          <cell r="P15">
            <v>9999</v>
          </cell>
          <cell r="Q15">
            <v>9999</v>
          </cell>
          <cell r="AD15">
            <v>9999</v>
          </cell>
          <cell r="AE15">
            <v>9999</v>
          </cell>
        </row>
        <row r="16">
          <cell r="O16">
            <v>5010</v>
          </cell>
          <cell r="P16">
            <v>5202</v>
          </cell>
          <cell r="Q16">
            <v>9999</v>
          </cell>
          <cell r="AD16">
            <v>9999</v>
          </cell>
          <cell r="AE16">
            <v>9999</v>
          </cell>
        </row>
        <row r="17">
          <cell r="O17">
            <v>2912</v>
          </cell>
          <cell r="P17">
            <v>9999</v>
          </cell>
          <cell r="Q17">
            <v>9999</v>
          </cell>
          <cell r="AD17">
            <v>9999</v>
          </cell>
          <cell r="AE17">
            <v>9999</v>
          </cell>
        </row>
        <row r="18">
          <cell r="O18">
            <v>2314</v>
          </cell>
          <cell r="P18">
            <v>2316</v>
          </cell>
          <cell r="Q18">
            <v>2395</v>
          </cell>
          <cell r="AD18">
            <v>2303</v>
          </cell>
          <cell r="AE18">
            <v>9999</v>
          </cell>
        </row>
        <row r="19">
          <cell r="O19">
            <v>2003</v>
          </cell>
          <cell r="P19">
            <v>9999</v>
          </cell>
          <cell r="Q19">
            <v>9999</v>
          </cell>
          <cell r="AD19">
            <v>9999</v>
          </cell>
          <cell r="AE19">
            <v>9999</v>
          </cell>
        </row>
        <row r="20">
          <cell r="O20">
            <v>1222</v>
          </cell>
          <cell r="P20">
            <v>9999</v>
          </cell>
          <cell r="Q20">
            <v>9999</v>
          </cell>
          <cell r="AD20">
            <v>9999</v>
          </cell>
          <cell r="AE20">
            <v>9999</v>
          </cell>
        </row>
        <row r="21">
          <cell r="O21">
            <v>5226</v>
          </cell>
          <cell r="P21">
            <v>9999</v>
          </cell>
          <cell r="Q21">
            <v>9999</v>
          </cell>
          <cell r="AD21">
            <v>9999</v>
          </cell>
          <cell r="AE21">
            <v>9999</v>
          </cell>
        </row>
        <row r="22">
          <cell r="O22">
            <v>52264000</v>
          </cell>
          <cell r="P22">
            <v>9999</v>
          </cell>
          <cell r="Q22">
            <v>9999</v>
          </cell>
          <cell r="AD22">
            <v>9999</v>
          </cell>
          <cell r="AE22">
            <v>9999</v>
          </cell>
        </row>
        <row r="23">
          <cell r="O23">
            <v>2190</v>
          </cell>
          <cell r="P23">
            <v>9999</v>
          </cell>
          <cell r="Q23">
            <v>9999</v>
          </cell>
          <cell r="AD23">
            <v>9999</v>
          </cell>
          <cell r="AE23">
            <v>9999</v>
          </cell>
        </row>
        <row r="24">
          <cell r="O24">
            <v>2223</v>
          </cell>
          <cell r="P24">
            <v>9999</v>
          </cell>
          <cell r="Q24">
            <v>9999</v>
          </cell>
          <cell r="AD24">
            <v>9999</v>
          </cell>
          <cell r="AE24">
            <v>9999</v>
          </cell>
        </row>
        <row r="25">
          <cell r="O25">
            <v>5025</v>
          </cell>
          <cell r="P25">
            <v>9999</v>
          </cell>
          <cell r="Q25">
            <v>9999</v>
          </cell>
          <cell r="AD25">
            <v>9999</v>
          </cell>
          <cell r="AE25">
            <v>9999</v>
          </cell>
        </row>
        <row r="26">
          <cell r="O26">
            <v>5022</v>
          </cell>
          <cell r="P26">
            <v>9999</v>
          </cell>
          <cell r="Q26">
            <v>9999</v>
          </cell>
          <cell r="AD26">
            <v>9999</v>
          </cell>
          <cell r="AE26">
            <v>9999</v>
          </cell>
        </row>
        <row r="27">
          <cell r="O27">
            <v>5523</v>
          </cell>
          <cell r="P27">
            <v>9999</v>
          </cell>
          <cell r="Q27">
            <v>9999</v>
          </cell>
          <cell r="AD27">
            <v>9999</v>
          </cell>
          <cell r="AE27">
            <v>9999</v>
          </cell>
        </row>
        <row r="28">
          <cell r="O28">
            <v>1787</v>
          </cell>
          <cell r="P28">
            <v>9999</v>
          </cell>
          <cell r="Q28">
            <v>9999</v>
          </cell>
          <cell r="AD28">
            <v>9999</v>
          </cell>
          <cell r="AE28">
            <v>9999</v>
          </cell>
        </row>
        <row r="29">
          <cell r="O29">
            <v>5781</v>
          </cell>
          <cell r="P29">
            <v>9999</v>
          </cell>
          <cell r="Q29">
            <v>9999</v>
          </cell>
          <cell r="AD29">
            <v>9999</v>
          </cell>
          <cell r="AE29">
            <v>9999</v>
          </cell>
        </row>
        <row r="30">
          <cell r="O30">
            <v>3010</v>
          </cell>
          <cell r="P30">
            <v>3014</v>
          </cell>
          <cell r="Q30">
            <v>3013</v>
          </cell>
          <cell r="AD30">
            <v>9999</v>
          </cell>
          <cell r="AE30">
            <v>9999</v>
          </cell>
        </row>
        <row r="31">
          <cell r="O31">
            <v>3009</v>
          </cell>
          <cell r="P31">
            <v>3012</v>
          </cell>
          <cell r="Q31">
            <v>3011</v>
          </cell>
          <cell r="AD31">
            <v>3016</v>
          </cell>
          <cell r="AE31">
            <v>3015</v>
          </cell>
        </row>
        <row r="32">
          <cell r="O32">
            <v>5304</v>
          </cell>
          <cell r="P32">
            <v>3004</v>
          </cell>
          <cell r="Q32">
            <v>9999</v>
          </cell>
          <cell r="AD32">
            <v>9999</v>
          </cell>
          <cell r="AE32">
            <v>9999</v>
          </cell>
        </row>
        <row r="33">
          <cell r="O33">
            <v>3006</v>
          </cell>
          <cell r="P33">
            <v>9999</v>
          </cell>
          <cell r="Q33">
            <v>9999</v>
          </cell>
          <cell r="AD33">
            <v>9999</v>
          </cell>
          <cell r="AE33">
            <v>9999</v>
          </cell>
        </row>
        <row r="34">
          <cell r="O34">
            <v>3008</v>
          </cell>
          <cell r="P34">
            <v>9999</v>
          </cell>
          <cell r="Q34">
            <v>9999</v>
          </cell>
          <cell r="AD34">
            <v>9999</v>
          </cell>
          <cell r="AE34">
            <v>9999</v>
          </cell>
        </row>
        <row r="35">
          <cell r="O35">
            <v>6499</v>
          </cell>
          <cell r="P35">
            <v>5788</v>
          </cell>
          <cell r="Q35">
            <v>9999</v>
          </cell>
          <cell r="AD35">
            <v>9999</v>
          </cell>
          <cell r="AE35">
            <v>9999</v>
          </cell>
        </row>
        <row r="36">
          <cell r="O36">
            <v>6448</v>
          </cell>
          <cell r="P36">
            <v>9999</v>
          </cell>
          <cell r="Q36">
            <v>9999</v>
          </cell>
          <cell r="AD36">
            <v>9999</v>
          </cell>
          <cell r="AE36">
            <v>9999</v>
          </cell>
        </row>
        <row r="37">
          <cell r="O37">
            <v>9999</v>
          </cell>
          <cell r="P37">
            <v>9999</v>
          </cell>
          <cell r="Q37">
            <v>9999</v>
          </cell>
          <cell r="AD37">
            <v>9999</v>
          </cell>
          <cell r="AE37">
            <v>9999</v>
          </cell>
        </row>
        <row r="38">
          <cell r="O38">
            <v>1202</v>
          </cell>
          <cell r="P38">
            <v>1204</v>
          </cell>
          <cell r="Q38">
            <v>1316</v>
          </cell>
          <cell r="AD38">
            <v>9999</v>
          </cell>
          <cell r="AE38">
            <v>9999</v>
          </cell>
        </row>
        <row r="39">
          <cell r="O39">
            <v>5027</v>
          </cell>
          <cell r="P39">
            <v>9999</v>
          </cell>
          <cell r="Q39">
            <v>9999</v>
          </cell>
          <cell r="AD39">
            <v>9999</v>
          </cell>
          <cell r="AE39">
            <v>9999</v>
          </cell>
        </row>
        <row r="40">
          <cell r="O40">
            <v>2796</v>
          </cell>
          <cell r="P40">
            <v>2768</v>
          </cell>
          <cell r="Q40">
            <v>1827</v>
          </cell>
          <cell r="AD40">
            <v>9999</v>
          </cell>
          <cell r="AE40">
            <v>9999</v>
          </cell>
        </row>
        <row r="41">
          <cell r="O41">
            <v>2188</v>
          </cell>
          <cell r="P41">
            <v>5203</v>
          </cell>
          <cell r="Q41">
            <v>9999</v>
          </cell>
          <cell r="AD41">
            <v>9999</v>
          </cell>
          <cell r="AE41">
            <v>9999</v>
          </cell>
        </row>
        <row r="42">
          <cell r="O42">
            <v>2194</v>
          </cell>
          <cell r="P42">
            <v>9999</v>
          </cell>
          <cell r="Q42">
            <v>9999</v>
          </cell>
          <cell r="AD42">
            <v>9999</v>
          </cell>
          <cell r="AE42">
            <v>9999</v>
          </cell>
        </row>
        <row r="43">
          <cell r="O43">
            <v>9999</v>
          </cell>
          <cell r="P43">
            <v>9999</v>
          </cell>
          <cell r="Q43">
            <v>9999</v>
          </cell>
          <cell r="AD43">
            <v>9999</v>
          </cell>
          <cell r="AE43">
            <v>9999</v>
          </cell>
        </row>
        <row r="44">
          <cell r="O44">
            <v>9999</v>
          </cell>
          <cell r="P44">
            <v>9999</v>
          </cell>
          <cell r="Q44">
            <v>9999</v>
          </cell>
          <cell r="AD44">
            <v>9999</v>
          </cell>
          <cell r="AE44">
            <v>9999</v>
          </cell>
        </row>
        <row r="45">
          <cell r="O45">
            <v>2395</v>
          </cell>
          <cell r="P45">
            <v>9999</v>
          </cell>
          <cell r="Q45">
            <v>9999</v>
          </cell>
          <cell r="AD45">
            <v>9999</v>
          </cell>
          <cell r="AE45">
            <v>9999</v>
          </cell>
        </row>
        <row r="46">
          <cell r="O46">
            <v>2209</v>
          </cell>
          <cell r="P46">
            <v>1923</v>
          </cell>
          <cell r="Q46">
            <v>2222</v>
          </cell>
          <cell r="AD46">
            <v>2220</v>
          </cell>
          <cell r="AE46">
            <v>5209</v>
          </cell>
        </row>
        <row r="47">
          <cell r="O47">
            <v>1930</v>
          </cell>
          <cell r="P47">
            <v>9999</v>
          </cell>
          <cell r="Q47">
            <v>9999</v>
          </cell>
          <cell r="AD47">
            <v>9999</v>
          </cell>
          <cell r="AE47">
            <v>9999</v>
          </cell>
        </row>
        <row r="48">
          <cell r="O48">
            <v>2208</v>
          </cell>
          <cell r="P48">
            <v>9999</v>
          </cell>
          <cell r="Q48">
            <v>9999</v>
          </cell>
          <cell r="AD48">
            <v>9999</v>
          </cell>
          <cell r="AE48">
            <v>9999</v>
          </cell>
        </row>
        <row r="49">
          <cell r="O49">
            <v>1245</v>
          </cell>
          <cell r="P49">
            <v>9999</v>
          </cell>
          <cell r="Q49">
            <v>9999</v>
          </cell>
          <cell r="AD49">
            <v>9999</v>
          </cell>
          <cell r="AE49">
            <v>9999</v>
          </cell>
        </row>
        <row r="50">
          <cell r="O50">
            <v>9999</v>
          </cell>
          <cell r="P50">
            <v>9999</v>
          </cell>
          <cell r="Q50">
            <v>9999</v>
          </cell>
          <cell r="AD50">
            <v>9999</v>
          </cell>
          <cell r="AE50">
            <v>9999</v>
          </cell>
        </row>
        <row r="51">
          <cell r="O51">
            <v>9999</v>
          </cell>
          <cell r="P51">
            <v>9999</v>
          </cell>
          <cell r="Q51">
            <v>9999</v>
          </cell>
          <cell r="AD51">
            <v>9999</v>
          </cell>
          <cell r="AE51">
            <v>9999</v>
          </cell>
        </row>
      </sheetData>
      <sheetData sheetId="1"/>
      <sheetData sheetId="2"/>
      <sheetData sheetId="3"/>
      <sheetData sheetId="4"/>
      <sheetData sheetId="5"/>
      <sheetData sheetId="6">
        <row r="5">
          <cell r="A5">
            <v>1166</v>
          </cell>
          <cell r="B5" t="str">
            <v>PL SCH.B/K/TŁ.PBX1</v>
          </cell>
        </row>
        <row r="6">
          <cell r="A6">
            <v>1140</v>
          </cell>
          <cell r="B6" t="str">
            <v>SCH.B/K/WAR/TŁ NB RO1</v>
          </cell>
        </row>
        <row r="7">
          <cell r="A7">
            <v>1158</v>
          </cell>
          <cell r="B7" t="str">
            <v>PP SCH.B/K/M.BIOD/CZWOR.ODC/TŁ.PBX ST2</v>
          </cell>
        </row>
        <row r="8">
          <cell r="A8">
            <v>1280</v>
          </cell>
          <cell r="B8" t="str">
            <v>ELEM.SZYN.TRAD.MOCNO-WĘDZ.KLE PBX CH ST2</v>
          </cell>
        </row>
        <row r="9">
          <cell r="A9">
            <v>1480</v>
          </cell>
          <cell r="B9" t="str">
            <v>PL KARK.B/K.Z/KOR.KAW.PBX CH2</v>
          </cell>
        </row>
        <row r="10">
          <cell r="A10">
            <v>2029</v>
          </cell>
          <cell r="B10" t="str">
            <v>PL BOCZ.A BL.Z/S.PRZ.PBX1</v>
          </cell>
        </row>
        <row r="11">
          <cell r="A11"/>
          <cell r="B11"/>
        </row>
        <row r="12">
          <cell r="A12"/>
          <cell r="B12"/>
        </row>
        <row r="13">
          <cell r="A13">
            <v>2916</v>
          </cell>
          <cell r="B13" t="str">
            <v>PP BOCZ.A BL.Z/S.MAC.PBX1</v>
          </cell>
        </row>
        <row r="14">
          <cell r="A14">
            <v>2904</v>
          </cell>
          <cell r="B14" t="str">
            <v>PL BOCZ. B BLAT.B/S PBX CH2</v>
          </cell>
        </row>
        <row r="15">
          <cell r="A15">
            <v>2924</v>
          </cell>
          <cell r="B15" t="str">
            <v>PL BOCZ.A BLAT.Z/S/PACH/M.SCH10-12PBXST1</v>
          </cell>
        </row>
        <row r="16">
          <cell r="A16"/>
          <cell r="B16"/>
        </row>
        <row r="17">
          <cell r="A17">
            <v>1559</v>
          </cell>
          <cell r="B17" t="str">
            <v>BOCZ.C BLAT.Z/SK.TŁUSTY PBX CH1</v>
          </cell>
        </row>
        <row r="18">
          <cell r="A18"/>
          <cell r="B18"/>
        </row>
        <row r="19">
          <cell r="A19"/>
          <cell r="B19"/>
        </row>
        <row r="20">
          <cell r="A20">
            <v>1533</v>
          </cell>
          <cell r="B20" t="str">
            <v>BOCZ.C BLAT.Z/SK.B/CH.OKOPC.NB RO1</v>
          </cell>
        </row>
        <row r="21">
          <cell r="A21">
            <v>1518</v>
          </cell>
          <cell r="B21" t="str">
            <v>PL BOCZ.B BL.SZ.Z/S/PACH/MŚ.SCH.PBX ST1</v>
          </cell>
        </row>
        <row r="22">
          <cell r="A22">
            <v>2915</v>
          </cell>
          <cell r="B22" t="str">
            <v>PP BOCZ.C BL.Z/S.MAC.PBX1</v>
          </cell>
        </row>
        <row r="23">
          <cell r="A23">
            <v>2813</v>
          </cell>
          <cell r="B23" t="str">
            <v>PL BOCZ.BL.A B/S.MC.OK20KGNB DMR</v>
          </cell>
        </row>
        <row r="24">
          <cell r="A24">
            <v>2910</v>
          </cell>
          <cell r="B24" t="str">
            <v>PP BOCZ.A BL.SZ.Z/S/PACH/MŚ.SCH.PBX ST1</v>
          </cell>
        </row>
        <row r="25">
          <cell r="A25"/>
          <cell r="B25" t="str">
            <v>PL BOCZ.B BL.SZ.Z/S/P/MŚ.SCH.PBX EŁ</v>
          </cell>
        </row>
        <row r="26">
          <cell r="A26"/>
          <cell r="B26" t="str">
            <v xml:space="preserve"> BOCZ.A BL.SZ.Z/S/PACH/MŚ.SCH.PBX ST1</v>
          </cell>
        </row>
        <row r="27">
          <cell r="A27">
            <v>2934</v>
          </cell>
          <cell r="B27" t="str">
            <v>PL BOCZ.B BL.SZ.Z/S/P/MŚ.SCH.PBX EŁ</v>
          </cell>
        </row>
        <row r="28">
          <cell r="A28">
            <v>2919</v>
          </cell>
          <cell r="B28" t="str">
            <v>PP BOCZ.A BL.SZ.Z/S/CZ.P/MŚ.SCH.MAC.PBX1</v>
          </cell>
        </row>
        <row r="29">
          <cell r="A29">
            <v>2914</v>
          </cell>
          <cell r="B29" t="str">
            <v>PP BOCZ.A BL.Z/S/CZ.PACH/MŚ.CIE.PBX1</v>
          </cell>
        </row>
        <row r="30">
          <cell r="A30"/>
          <cell r="B30"/>
        </row>
        <row r="31">
          <cell r="A31"/>
          <cell r="B31"/>
        </row>
        <row r="32">
          <cell r="A32">
            <v>2061</v>
          </cell>
          <cell r="B32" t="str">
            <v>PP ŻEB.Z PŁ.SCH/BOCZ.OK8-10CM CH 3OB</v>
          </cell>
        </row>
        <row r="33">
          <cell r="A33">
            <v>2818</v>
          </cell>
          <cell r="B33" t="str">
            <v>ELEM.SZYN.KLASYCZNA OK500KG PBX ST1</v>
          </cell>
        </row>
        <row r="34">
          <cell r="A34">
            <v>1636</v>
          </cell>
          <cell r="B34" t="str">
            <v>ELEM.SZYN.DELIKATNA PBX CH1</v>
          </cell>
        </row>
        <row r="35">
          <cell r="A35">
            <v>1209</v>
          </cell>
          <cell r="B35" t="str">
            <v>PP EL.SZYN.CIECH/MAGN.PBX2</v>
          </cell>
        </row>
        <row r="36">
          <cell r="A36">
            <v>1730</v>
          </cell>
          <cell r="B36" t="str">
            <v>PP SCH.B/K.Z/BOCZ.3CM/TŁ.6MM PBX ST2</v>
          </cell>
        </row>
        <row r="37">
          <cell r="A37">
            <v>1176</v>
          </cell>
          <cell r="B37" t="str">
            <v>PP SCH.B/K/WAR/TŁ/MIZDR.PBX ST2</v>
          </cell>
        </row>
        <row r="38">
          <cell r="A38">
            <v>1646</v>
          </cell>
          <cell r="B38"/>
        </row>
        <row r="39">
          <cell r="A39">
            <v>1972</v>
          </cell>
          <cell r="B39" t="str">
            <v xml:space="preserve">Polędwiczka </v>
          </cell>
        </row>
        <row r="40">
          <cell r="A40">
            <v>1646</v>
          </cell>
          <cell r="B40"/>
        </row>
        <row r="41">
          <cell r="A41">
            <v>2831</v>
          </cell>
          <cell r="B41" t="str">
            <v>PL MŚ.ZR.GÓRNA B/SMUK.N/OBR.PBX CH2</v>
          </cell>
        </row>
        <row r="42">
          <cell r="A42">
            <v>2806</v>
          </cell>
          <cell r="B42" t="str">
            <v>EL.SZYN.SZWAGRA RO1</v>
          </cell>
        </row>
        <row r="43">
          <cell r="A43">
            <v>2808</v>
          </cell>
          <cell r="B43" t="str">
            <v>PP EL.SZYN.SZWAGRA PBX ST2</v>
          </cell>
        </row>
        <row r="44">
          <cell r="A44"/>
          <cell r="B44"/>
        </row>
        <row r="45">
          <cell r="A45">
            <v>2021</v>
          </cell>
          <cell r="B45" t="str">
            <v>PP BOCZ.A ŁUS.Z/S.B/CH.BOCZ.PBX ST2</v>
          </cell>
        </row>
        <row r="46">
          <cell r="A46">
            <v>1111</v>
          </cell>
          <cell r="B46" t="str">
            <v>PP SCH.B/K/MŚ.CIE/M.CZWOR.TŁ.5MM PBX ST2</v>
          </cell>
        </row>
        <row r="47">
          <cell r="A47"/>
          <cell r="B47"/>
        </row>
        <row r="48">
          <cell r="A48" t="str">
            <v xml:space="preserve">Suma </v>
          </cell>
          <cell r="B48"/>
        </row>
        <row r="49">
          <cell r="A49"/>
          <cell r="B49"/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34E3E-76C5-4F02-B11F-FC38AD5C74E1}">
  <sheetPr codeName="Arkusz1"/>
  <dimension ref="A2:IO515"/>
  <sheetViews>
    <sheetView tabSelected="1" zoomScale="70" zoomScaleNormal="70" workbookViewId="0">
      <pane xSplit="5" ySplit="5" topLeftCell="AZ64" activePane="bottomRight" state="frozen"/>
      <selection pane="topRight" activeCell="F1" sqref="F1"/>
      <selection pane="bottomLeft" activeCell="A6" sqref="A6"/>
      <selection pane="bottomRight" activeCell="BC5" sqref="BC5:CZ98"/>
    </sheetView>
  </sheetViews>
  <sheetFormatPr defaultRowHeight="15"/>
  <cols>
    <col min="3" max="3" width="10" bestFit="1" customWidth="1"/>
    <col min="4" max="4" width="17.5703125" customWidth="1"/>
    <col min="5" max="5" width="45.42578125" bestFit="1" customWidth="1"/>
    <col min="6" max="6" width="14" bestFit="1" customWidth="1"/>
    <col min="7" max="7" width="15.42578125" bestFit="1" customWidth="1"/>
    <col min="8" max="8" width="15.5703125" bestFit="1" customWidth="1"/>
    <col min="9" max="9" width="13.5703125" bestFit="1" customWidth="1"/>
    <col min="10" max="10" width="14.42578125" customWidth="1"/>
    <col min="11" max="11" width="13.5703125" bestFit="1" customWidth="1"/>
    <col min="12" max="12" width="27.42578125" customWidth="1"/>
    <col min="13" max="13" width="15" customWidth="1"/>
    <col min="14" max="14" width="19.42578125" customWidth="1"/>
    <col min="15" max="15" width="23.42578125" bestFit="1" customWidth="1"/>
    <col min="16" max="16" width="15" bestFit="1" customWidth="1"/>
    <col min="17" max="17" width="14" bestFit="1" customWidth="1"/>
    <col min="18" max="18" width="14.5703125" bestFit="1" customWidth="1"/>
    <col min="19" max="19" width="9.5703125" bestFit="1" customWidth="1"/>
    <col min="20" max="21" width="23.42578125" bestFit="1" customWidth="1"/>
    <col min="22" max="22" width="16.42578125" bestFit="1" customWidth="1"/>
    <col min="23" max="23" width="23.42578125" bestFit="1" customWidth="1"/>
    <col min="24" max="24" width="17.42578125" bestFit="1" customWidth="1"/>
    <col min="25" max="25" width="16.42578125" bestFit="1" customWidth="1"/>
    <col min="26" max="26" width="23.42578125" bestFit="1" customWidth="1"/>
    <col min="27" max="27" width="21.42578125" bestFit="1" customWidth="1"/>
    <col min="28" max="29" width="12.42578125" bestFit="1" customWidth="1"/>
    <col min="30" max="30" width="17.42578125" bestFit="1" customWidth="1"/>
    <col min="31" max="31" width="14.5703125" bestFit="1" customWidth="1"/>
    <col min="32" max="32" width="12.5703125" bestFit="1" customWidth="1"/>
    <col min="33" max="33" width="15.5703125" bestFit="1" customWidth="1"/>
    <col min="34" max="34" width="14.5703125" bestFit="1" customWidth="1"/>
    <col min="35" max="35" width="16.5703125" bestFit="1" customWidth="1"/>
    <col min="36" max="36" width="25.5703125" bestFit="1" customWidth="1"/>
    <col min="37" max="43" width="16.5703125" bestFit="1" customWidth="1"/>
    <col min="44" max="44" width="21.5703125" bestFit="1" customWidth="1"/>
    <col min="45" max="49" width="21.5703125" customWidth="1"/>
    <col min="50" max="52" width="12.5703125" customWidth="1"/>
    <col min="53" max="53" width="16.28515625" bestFit="1" customWidth="1"/>
    <col min="55" max="55" width="18.42578125" customWidth="1"/>
    <col min="56" max="56" width="45.42578125" bestFit="1" customWidth="1"/>
    <col min="57" max="57" width="14" style="78" bestFit="1" customWidth="1"/>
    <col min="58" max="58" width="15.42578125" style="78" bestFit="1" customWidth="1"/>
    <col min="59" max="59" width="15.5703125" style="78" bestFit="1" customWidth="1"/>
    <col min="60" max="60" width="13.5703125" style="78" bestFit="1" customWidth="1"/>
    <col min="61" max="61" width="11" style="78" bestFit="1" customWidth="1"/>
    <col min="62" max="62" width="13.5703125" style="78" bestFit="1" customWidth="1"/>
    <col min="63" max="65" width="15.42578125" style="78" bestFit="1" customWidth="1"/>
    <col min="66" max="66" width="23.42578125" style="78" customWidth="1"/>
    <col min="67" max="67" width="15" style="78" customWidth="1"/>
    <col min="68" max="68" width="14" style="78" customWidth="1"/>
    <col min="69" max="69" width="14.5703125" style="78" customWidth="1"/>
    <col min="70" max="70" width="9.5703125" style="78" customWidth="1"/>
    <col min="71" max="72" width="23.42578125" style="78" customWidth="1"/>
    <col min="73" max="73" width="16.42578125" style="78" customWidth="1"/>
    <col min="74" max="74" width="23.42578125" style="78" customWidth="1"/>
    <col min="75" max="75" width="17.42578125" style="78" customWidth="1"/>
    <col min="76" max="76" width="16.42578125" style="78" customWidth="1"/>
    <col min="77" max="77" width="23.42578125" style="78" customWidth="1"/>
    <col min="78" max="78" width="21.42578125" style="78" customWidth="1"/>
    <col min="79" max="80" width="12.42578125" style="78" customWidth="1"/>
    <col min="81" max="81" width="17.42578125" style="78" customWidth="1"/>
    <col min="82" max="82" width="14.5703125" style="78" customWidth="1"/>
    <col min="83" max="83" width="12.5703125" style="78" customWidth="1"/>
    <col min="84" max="84" width="15.5703125" style="78" customWidth="1"/>
    <col min="85" max="85" width="14.5703125" style="78" customWidth="1"/>
    <col min="86" max="104" width="16.5703125" style="78" customWidth="1"/>
    <col min="106" max="108" width="12" bestFit="1" customWidth="1"/>
    <col min="109" max="111" width="12.5703125" bestFit="1" customWidth="1"/>
    <col min="112" max="114" width="13.5703125" bestFit="1" customWidth="1"/>
    <col min="115" max="117" width="11.5703125" bestFit="1" customWidth="1"/>
    <col min="118" max="120" width="8.5703125" bestFit="1" customWidth="1"/>
    <col min="121" max="123" width="11.5703125" bestFit="1" customWidth="1"/>
    <col min="124" max="126" width="12.5703125" bestFit="1" customWidth="1"/>
    <col min="127" max="129" width="13.42578125" bestFit="1" customWidth="1"/>
    <col min="130" max="135" width="12.42578125" bestFit="1" customWidth="1"/>
    <col min="136" max="138" width="13.5703125" bestFit="1" customWidth="1"/>
    <col min="139" max="140" width="11.5703125" bestFit="1" customWidth="1"/>
    <col min="141" max="141" width="12.5703125" bestFit="1" customWidth="1"/>
    <col min="142" max="144" width="12.42578125" bestFit="1" customWidth="1"/>
    <col min="145" max="145" width="8.42578125" bestFit="1" customWidth="1"/>
    <col min="146" max="146" width="12.5703125" bestFit="1" customWidth="1"/>
    <col min="147" max="147" width="9.5703125" bestFit="1" customWidth="1"/>
    <col min="148" max="153" width="20.5703125" bestFit="1" customWidth="1"/>
    <col min="154" max="156" width="14.42578125" bestFit="1" customWidth="1"/>
    <col min="157" max="159" width="20.5703125" bestFit="1" customWidth="1"/>
    <col min="160" max="162" width="14" bestFit="1" customWidth="1"/>
    <col min="163" max="165" width="14.42578125" bestFit="1" customWidth="1"/>
    <col min="166" max="168" width="20.5703125" bestFit="1" customWidth="1"/>
    <col min="169" max="171" width="18.5703125" bestFit="1" customWidth="1"/>
    <col min="172" max="174" width="10.42578125" bestFit="1" customWidth="1"/>
    <col min="175" max="177" width="7.42578125" bestFit="1" customWidth="1"/>
    <col min="178" max="180" width="11.5703125" bestFit="1" customWidth="1"/>
    <col min="181" max="183" width="9.5703125" bestFit="1" customWidth="1"/>
    <col min="184" max="186" width="7.42578125" bestFit="1" customWidth="1"/>
    <col min="187" max="189" width="10.42578125" bestFit="1" customWidth="1"/>
    <col min="190" max="192" width="12.42578125" bestFit="1" customWidth="1"/>
    <col min="193" max="194" width="14.5703125" bestFit="1" customWidth="1"/>
    <col min="195" max="195" width="14.5703125" customWidth="1"/>
    <col min="196" max="196" width="25" bestFit="1" customWidth="1"/>
    <col min="197" max="197" width="14.5703125" bestFit="1" customWidth="1"/>
    <col min="198" max="198" width="14.5703125" customWidth="1"/>
    <col min="199" max="200" width="14.5703125" bestFit="1" customWidth="1"/>
    <col min="201" max="201" width="14.5703125" customWidth="1"/>
    <col min="202" max="203" width="14.5703125" bestFit="1" customWidth="1"/>
    <col min="204" max="204" width="14.5703125" customWidth="1"/>
    <col min="205" max="206" width="14.5703125" bestFit="1" customWidth="1"/>
    <col min="207" max="207" width="14.5703125" customWidth="1"/>
    <col min="208" max="209" width="24.42578125" bestFit="1" customWidth="1"/>
    <col min="210" max="210" width="14.5703125" customWidth="1"/>
    <col min="211" max="212" width="14.5703125" bestFit="1" customWidth="1"/>
    <col min="213" max="213" width="14.5703125" customWidth="1"/>
    <col min="214" max="215" width="14.5703125" bestFit="1" customWidth="1"/>
    <col min="216" max="216" width="14.5703125" customWidth="1"/>
    <col min="217" max="218" width="14.5703125" bestFit="1" customWidth="1"/>
    <col min="219" max="219" width="14.5703125" customWidth="1"/>
    <col min="220" max="221" width="14.5703125" bestFit="1" customWidth="1"/>
    <col min="222" max="222" width="14.5703125" customWidth="1"/>
    <col min="223" max="224" width="14.5703125" bestFit="1" customWidth="1"/>
    <col min="225" max="225" width="14.5703125" customWidth="1"/>
    <col min="226" max="227" width="14.5703125" bestFit="1" customWidth="1"/>
    <col min="228" max="228" width="14.5703125" customWidth="1"/>
    <col min="229" max="230" width="14.5703125" bestFit="1" customWidth="1"/>
    <col min="231" max="231" width="14.5703125" customWidth="1"/>
    <col min="232" max="232" width="19.5703125" bestFit="1" customWidth="1"/>
    <col min="233" max="233" width="17.5703125" customWidth="1"/>
    <col min="234" max="234" width="19.5703125" bestFit="1" customWidth="1"/>
    <col min="235" max="235" width="11" customWidth="1"/>
    <col min="236" max="236" width="10" bestFit="1" customWidth="1"/>
    <col min="237" max="237" width="12.42578125" customWidth="1"/>
    <col min="238" max="239" width="13" customWidth="1"/>
    <col min="240" max="246" width="15.5703125" customWidth="1"/>
    <col min="247" max="247" width="13" customWidth="1"/>
    <col min="248" max="248" width="14.42578125" customWidth="1"/>
    <col min="249" max="249" width="14.5703125" customWidth="1"/>
  </cols>
  <sheetData>
    <row r="2" spans="2:249">
      <c r="F2" t="s">
        <v>3</v>
      </c>
      <c r="G2" t="s">
        <v>82</v>
      </c>
      <c r="H2" t="s">
        <v>4</v>
      </c>
      <c r="I2" t="s">
        <v>7</v>
      </c>
      <c r="J2" t="s">
        <v>8</v>
      </c>
      <c r="K2" t="s">
        <v>9</v>
      </c>
      <c r="L2" t="s">
        <v>0</v>
      </c>
      <c r="M2" t="s">
        <v>1</v>
      </c>
      <c r="N2" t="s">
        <v>2</v>
      </c>
      <c r="O2" t="s">
        <v>77</v>
      </c>
      <c r="P2" t="s">
        <v>76</v>
      </c>
      <c r="Q2" t="s">
        <v>10</v>
      </c>
      <c r="R2" t="s">
        <v>11</v>
      </c>
      <c r="S2" t="s">
        <v>12</v>
      </c>
      <c r="T2" t="s">
        <v>6</v>
      </c>
      <c r="U2" t="s">
        <v>5</v>
      </c>
      <c r="V2" t="s">
        <v>94</v>
      </c>
      <c r="W2" t="s">
        <v>15</v>
      </c>
      <c r="X2" t="s">
        <v>183</v>
      </c>
      <c r="Y2" t="s">
        <v>95</v>
      </c>
      <c r="Z2" t="s">
        <v>16</v>
      </c>
      <c r="AA2" t="s">
        <v>14</v>
      </c>
      <c r="AB2" t="s">
        <v>13</v>
      </c>
      <c r="AC2" t="s">
        <v>70</v>
      </c>
      <c r="AD2" t="s">
        <v>71</v>
      </c>
      <c r="AE2" t="s">
        <v>79</v>
      </c>
      <c r="AF2" t="s">
        <v>72</v>
      </c>
      <c r="AG2" t="s">
        <v>80</v>
      </c>
      <c r="AH2" t="s">
        <v>74</v>
      </c>
      <c r="AI2" t="s">
        <v>75</v>
      </c>
      <c r="AJ2" t="s">
        <v>191</v>
      </c>
      <c r="AK2" t="s">
        <v>75</v>
      </c>
      <c r="AL2" t="s">
        <v>75</v>
      </c>
      <c r="AM2" t="s">
        <v>75</v>
      </c>
      <c r="AN2" t="str">
        <f>AN5</f>
        <v>M-so kl4 1.5%(5209)</v>
      </c>
      <c r="AO2" t="str">
        <f>AO5</f>
        <v>Szynka 1.5D + Łop 1.5D</v>
      </c>
      <c r="AP2" t="str">
        <f>AP5</f>
        <v>Mieszanka(5027)</v>
      </c>
      <c r="AQ2" t="str">
        <f t="shared" ref="AQ2:AV2" si="0">AQ5</f>
        <v>Czterogłowy</v>
      </c>
      <c r="AR2" t="str">
        <f t="shared" si="0"/>
        <v>Tryming 65/35 maski</v>
      </c>
      <c r="AS2" t="str">
        <f t="shared" si="0"/>
        <v>Tryming 70/30</v>
      </c>
      <c r="AT2" t="str">
        <f t="shared" si="0"/>
        <v>KK M-SO MIX  JASNE D6</v>
      </c>
      <c r="AU2" t="str">
        <f t="shared" si="0"/>
        <v>M-so kl. 3B</v>
      </c>
      <c r="AV2" t="str">
        <f t="shared" si="0"/>
        <v>M-so z Fileta</v>
      </c>
    </row>
    <row r="3" spans="2:249" ht="17.850000000000001" customHeight="1">
      <c r="BE3" s="78">
        <v>3</v>
      </c>
      <c r="BF3" s="78">
        <v>4</v>
      </c>
      <c r="BG3" s="78">
        <v>5</v>
      </c>
      <c r="BH3" s="78">
        <v>6</v>
      </c>
      <c r="BI3" s="78">
        <v>7</v>
      </c>
      <c r="BJ3" s="78">
        <v>8</v>
      </c>
      <c r="BK3" s="78">
        <v>9</v>
      </c>
      <c r="BL3" s="78">
        <v>10</v>
      </c>
      <c r="BM3" s="78">
        <v>11</v>
      </c>
      <c r="BN3" s="78">
        <v>12</v>
      </c>
      <c r="BO3" s="78">
        <v>13</v>
      </c>
      <c r="BP3" s="78">
        <v>14</v>
      </c>
      <c r="BQ3" s="78">
        <v>15</v>
      </c>
      <c r="BR3" s="78">
        <v>16</v>
      </c>
      <c r="BS3" s="78">
        <v>17</v>
      </c>
      <c r="BT3" s="78">
        <v>18</v>
      </c>
      <c r="BU3" s="78">
        <v>19</v>
      </c>
      <c r="BV3" s="78">
        <v>20</v>
      </c>
      <c r="BW3" s="78">
        <v>21</v>
      </c>
      <c r="BX3" s="78">
        <v>22</v>
      </c>
      <c r="BY3" s="78">
        <v>23</v>
      </c>
      <c r="BZ3" s="78">
        <v>24</v>
      </c>
      <c r="CA3" s="78">
        <v>25</v>
      </c>
      <c r="CB3" s="78">
        <v>26</v>
      </c>
      <c r="CC3" s="78">
        <v>27</v>
      </c>
      <c r="CD3" s="78">
        <v>28</v>
      </c>
      <c r="CE3" s="78">
        <v>29</v>
      </c>
      <c r="CF3" s="78">
        <v>30</v>
      </c>
      <c r="CG3" s="78">
        <v>31</v>
      </c>
      <c r="CH3" s="78">
        <v>32</v>
      </c>
      <c r="CI3" s="78">
        <v>33</v>
      </c>
      <c r="CJ3" s="78">
        <v>34</v>
      </c>
      <c r="CK3" s="78">
        <v>35</v>
      </c>
      <c r="CL3" s="78">
        <v>36</v>
      </c>
      <c r="CM3" s="78">
        <v>37</v>
      </c>
      <c r="CN3" s="78">
        <v>38</v>
      </c>
      <c r="CO3" s="78">
        <v>39</v>
      </c>
      <c r="CP3" s="78">
        <v>40</v>
      </c>
      <c r="CQ3" s="78">
        <v>41</v>
      </c>
      <c r="CR3" s="78">
        <v>42</v>
      </c>
      <c r="CS3" s="78">
        <v>43</v>
      </c>
      <c r="CT3" s="78">
        <v>44</v>
      </c>
      <c r="CU3" s="78">
        <v>45</v>
      </c>
      <c r="CV3" s="78">
        <v>46</v>
      </c>
      <c r="CW3" s="78">
        <v>47</v>
      </c>
      <c r="CX3" s="78">
        <v>48</v>
      </c>
      <c r="CY3" s="78">
        <v>49</v>
      </c>
      <c r="CZ3" s="78">
        <v>50</v>
      </c>
      <c r="DB3">
        <v>1</v>
      </c>
      <c r="DE3">
        <f>DB3+1</f>
        <v>2</v>
      </c>
      <c r="DH3">
        <f>DE3+1</f>
        <v>3</v>
      </c>
      <c r="DK3">
        <f>DH3+1</f>
        <v>4</v>
      </c>
      <c r="DN3">
        <f>DK3+1</f>
        <v>5</v>
      </c>
      <c r="DQ3">
        <f>DN3+1</f>
        <v>6</v>
      </c>
      <c r="DT3">
        <f>DQ3+1</f>
        <v>7</v>
      </c>
      <c r="DW3">
        <f>DT3+1</f>
        <v>8</v>
      </c>
      <c r="DZ3">
        <f>DW3+1</f>
        <v>9</v>
      </c>
      <c r="EC3">
        <f>DZ3+1</f>
        <v>10</v>
      </c>
      <c r="EF3">
        <f>EC3+1</f>
        <v>11</v>
      </c>
      <c r="EI3">
        <f>EF3+1</f>
        <v>12</v>
      </c>
      <c r="EL3">
        <f>EI3+1</f>
        <v>13</v>
      </c>
      <c r="EO3">
        <f>EL3+1</f>
        <v>14</v>
      </c>
      <c r="ER3">
        <f>EO3+1</f>
        <v>15</v>
      </c>
      <c r="EU3">
        <f>ER3+1</f>
        <v>16</v>
      </c>
      <c r="EX3">
        <f>EU3+1</f>
        <v>17</v>
      </c>
      <c r="FA3">
        <f>EX3+1</f>
        <v>18</v>
      </c>
      <c r="FD3">
        <f>FA3+1</f>
        <v>19</v>
      </c>
      <c r="FG3">
        <f>FD3+1</f>
        <v>20</v>
      </c>
      <c r="FJ3">
        <f>FG3+1</f>
        <v>21</v>
      </c>
      <c r="FM3">
        <f>FJ3+1</f>
        <v>22</v>
      </c>
      <c r="FP3">
        <f>FM3+1</f>
        <v>23</v>
      </c>
      <c r="FS3">
        <f>FP3+1</f>
        <v>24</v>
      </c>
      <c r="FV3">
        <f>FS3+1</f>
        <v>25</v>
      </c>
      <c r="FY3">
        <f>FV3+1</f>
        <v>26</v>
      </c>
      <c r="GB3">
        <f>FY3+1</f>
        <v>27</v>
      </c>
      <c r="GE3">
        <f>GB3+1</f>
        <v>28</v>
      </c>
      <c r="GH3">
        <f>GE3+1</f>
        <v>29</v>
      </c>
      <c r="GK3">
        <f>GH3+1</f>
        <v>30</v>
      </c>
      <c r="GN3">
        <f>GK3+1</f>
        <v>31</v>
      </c>
      <c r="GQ3">
        <f>GN3+1</f>
        <v>32</v>
      </c>
      <c r="GT3">
        <f>GQ3+1</f>
        <v>33</v>
      </c>
      <c r="GW3">
        <f>GT3+1</f>
        <v>34</v>
      </c>
      <c r="GZ3">
        <f>GW3+1</f>
        <v>35</v>
      </c>
      <c r="HC3">
        <f>GZ3+1</f>
        <v>36</v>
      </c>
      <c r="HF3">
        <f>HC3+1</f>
        <v>37</v>
      </c>
      <c r="HI3">
        <f>HF3+1</f>
        <v>38</v>
      </c>
      <c r="HL3">
        <f>HI3+1</f>
        <v>39</v>
      </c>
      <c r="HO3">
        <f>HL3+1</f>
        <v>40</v>
      </c>
      <c r="HR3">
        <f>HO3+1</f>
        <v>41</v>
      </c>
      <c r="HU3">
        <f>HR3+1</f>
        <v>42</v>
      </c>
      <c r="HX3">
        <f>HU3+1</f>
        <v>43</v>
      </c>
      <c r="IA3">
        <f>HX3+1</f>
        <v>44</v>
      </c>
      <c r="ID3">
        <v>45</v>
      </c>
      <c r="IG3">
        <v>46</v>
      </c>
      <c r="IJ3">
        <v>47</v>
      </c>
      <c r="IM3">
        <v>48</v>
      </c>
    </row>
    <row r="4" spans="2:249">
      <c r="F4">
        <v>3</v>
      </c>
      <c r="G4">
        <v>4</v>
      </c>
      <c r="H4">
        <v>5</v>
      </c>
      <c r="I4">
        <v>6</v>
      </c>
      <c r="J4">
        <v>7</v>
      </c>
      <c r="K4">
        <v>8</v>
      </c>
      <c r="L4">
        <v>9</v>
      </c>
      <c r="M4">
        <v>10</v>
      </c>
      <c r="N4">
        <v>11</v>
      </c>
      <c r="O4">
        <v>12</v>
      </c>
      <c r="P4">
        <v>13</v>
      </c>
      <c r="Q4">
        <v>14</v>
      </c>
      <c r="R4">
        <v>15</v>
      </c>
      <c r="S4">
        <v>16</v>
      </c>
      <c r="T4">
        <v>17</v>
      </c>
      <c r="U4">
        <v>18</v>
      </c>
      <c r="V4">
        <v>19</v>
      </c>
      <c r="W4">
        <v>20</v>
      </c>
      <c r="X4">
        <v>21</v>
      </c>
      <c r="Y4">
        <v>22</v>
      </c>
      <c r="Z4">
        <v>23</v>
      </c>
      <c r="AA4">
        <v>24</v>
      </c>
      <c r="AB4">
        <v>25</v>
      </c>
      <c r="AC4">
        <v>26</v>
      </c>
      <c r="AD4">
        <v>27</v>
      </c>
      <c r="AE4">
        <v>28</v>
      </c>
      <c r="AF4">
        <v>29</v>
      </c>
      <c r="AG4">
        <v>30</v>
      </c>
      <c r="AH4">
        <v>31</v>
      </c>
      <c r="AI4">
        <v>32</v>
      </c>
      <c r="AJ4">
        <v>33</v>
      </c>
      <c r="AK4">
        <v>34</v>
      </c>
      <c r="AL4">
        <v>35</v>
      </c>
      <c r="AM4">
        <v>36</v>
      </c>
      <c r="AN4">
        <v>37</v>
      </c>
      <c r="AO4">
        <v>38</v>
      </c>
      <c r="AP4">
        <v>39</v>
      </c>
      <c r="AQ4">
        <v>40</v>
      </c>
      <c r="AR4">
        <v>41</v>
      </c>
      <c r="AS4">
        <v>42</v>
      </c>
      <c r="AT4">
        <v>43</v>
      </c>
      <c r="AU4">
        <v>44</v>
      </c>
      <c r="AV4">
        <v>45</v>
      </c>
      <c r="AW4">
        <v>46</v>
      </c>
      <c r="AX4">
        <v>47</v>
      </c>
      <c r="AY4">
        <v>48</v>
      </c>
      <c r="AZ4">
        <v>49</v>
      </c>
      <c r="BA4">
        <v>50</v>
      </c>
      <c r="BE4" s="82">
        <v>1</v>
      </c>
      <c r="BF4" s="82">
        <v>2</v>
      </c>
      <c r="BG4" s="82">
        <v>3</v>
      </c>
      <c r="BH4" s="82">
        <v>4</v>
      </c>
      <c r="BI4" s="82">
        <v>5</v>
      </c>
      <c r="BJ4" s="82">
        <v>6</v>
      </c>
      <c r="BK4" s="82">
        <v>7</v>
      </c>
      <c r="BL4" s="82">
        <v>8</v>
      </c>
      <c r="BM4" s="82">
        <v>9</v>
      </c>
      <c r="BN4" s="82">
        <v>10</v>
      </c>
      <c r="BO4" s="82">
        <v>11</v>
      </c>
      <c r="BP4" s="82">
        <v>12</v>
      </c>
      <c r="BQ4" s="82">
        <v>13</v>
      </c>
      <c r="BR4" s="82">
        <v>14</v>
      </c>
      <c r="BS4" s="82">
        <v>15</v>
      </c>
      <c r="BT4" s="82">
        <v>16</v>
      </c>
      <c r="BU4" s="82">
        <v>17</v>
      </c>
      <c r="BV4" s="82">
        <v>18</v>
      </c>
      <c r="BW4" s="82">
        <v>19</v>
      </c>
      <c r="BX4" s="82">
        <v>20</v>
      </c>
      <c r="BY4" s="82">
        <v>21</v>
      </c>
      <c r="BZ4" s="82">
        <v>22</v>
      </c>
      <c r="CA4" s="82">
        <v>23</v>
      </c>
      <c r="CB4" s="82">
        <v>24</v>
      </c>
      <c r="CC4" s="82">
        <v>25</v>
      </c>
      <c r="CD4" s="82">
        <v>26</v>
      </c>
      <c r="CE4" s="82">
        <v>27</v>
      </c>
      <c r="CF4" s="82">
        <v>28</v>
      </c>
      <c r="CG4" s="82">
        <v>29</v>
      </c>
      <c r="CH4" s="82">
        <v>30</v>
      </c>
      <c r="CI4" s="82">
        <v>31</v>
      </c>
      <c r="CJ4" s="82">
        <v>32</v>
      </c>
      <c r="CK4" s="82">
        <v>33</v>
      </c>
      <c r="CL4" s="82">
        <v>34</v>
      </c>
      <c r="CM4" s="82">
        <v>35</v>
      </c>
      <c r="CN4" s="82">
        <v>36</v>
      </c>
      <c r="CO4" s="82">
        <v>37</v>
      </c>
      <c r="CP4" s="277">
        <v>38</v>
      </c>
      <c r="CQ4" s="82">
        <v>39</v>
      </c>
      <c r="CR4" s="277">
        <v>40</v>
      </c>
      <c r="CS4" s="277">
        <v>41</v>
      </c>
      <c r="CT4" s="277">
        <v>42</v>
      </c>
      <c r="CU4" s="277">
        <v>43</v>
      </c>
      <c r="CV4" s="277">
        <v>44</v>
      </c>
      <c r="CW4" s="277">
        <v>45</v>
      </c>
      <c r="CX4" s="277">
        <v>46</v>
      </c>
      <c r="CY4" s="277">
        <v>47</v>
      </c>
      <c r="CZ4" s="277">
        <v>48</v>
      </c>
      <c r="DB4">
        <v>4</v>
      </c>
      <c r="DC4">
        <v>5</v>
      </c>
      <c r="DD4">
        <v>6</v>
      </c>
      <c r="DE4">
        <f>DB4</f>
        <v>4</v>
      </c>
      <c r="DF4">
        <f>DC4</f>
        <v>5</v>
      </c>
      <c r="DG4">
        <f>DD4</f>
        <v>6</v>
      </c>
      <c r="DH4">
        <f t="shared" ref="DH4:FS4" si="1">DE4</f>
        <v>4</v>
      </c>
      <c r="DI4">
        <f t="shared" si="1"/>
        <v>5</v>
      </c>
      <c r="DJ4">
        <f t="shared" si="1"/>
        <v>6</v>
      </c>
      <c r="DK4">
        <f t="shared" si="1"/>
        <v>4</v>
      </c>
      <c r="DL4">
        <f t="shared" si="1"/>
        <v>5</v>
      </c>
      <c r="DM4">
        <f t="shared" si="1"/>
        <v>6</v>
      </c>
      <c r="DN4">
        <f t="shared" si="1"/>
        <v>4</v>
      </c>
      <c r="DO4">
        <f t="shared" si="1"/>
        <v>5</v>
      </c>
      <c r="DP4">
        <f t="shared" si="1"/>
        <v>6</v>
      </c>
      <c r="DQ4">
        <f t="shared" si="1"/>
        <v>4</v>
      </c>
      <c r="DR4">
        <f t="shared" si="1"/>
        <v>5</v>
      </c>
      <c r="DS4">
        <f t="shared" si="1"/>
        <v>6</v>
      </c>
      <c r="DT4">
        <f t="shared" si="1"/>
        <v>4</v>
      </c>
      <c r="DU4">
        <f t="shared" si="1"/>
        <v>5</v>
      </c>
      <c r="DV4">
        <f t="shared" si="1"/>
        <v>6</v>
      </c>
      <c r="DW4">
        <f t="shared" si="1"/>
        <v>4</v>
      </c>
      <c r="DX4">
        <f t="shared" si="1"/>
        <v>5</v>
      </c>
      <c r="DY4">
        <f t="shared" si="1"/>
        <v>6</v>
      </c>
      <c r="DZ4">
        <f t="shared" si="1"/>
        <v>4</v>
      </c>
      <c r="EA4">
        <f t="shared" si="1"/>
        <v>5</v>
      </c>
      <c r="EB4">
        <f t="shared" si="1"/>
        <v>6</v>
      </c>
      <c r="EC4">
        <f t="shared" si="1"/>
        <v>4</v>
      </c>
      <c r="ED4">
        <f t="shared" si="1"/>
        <v>5</v>
      </c>
      <c r="EE4">
        <f t="shared" si="1"/>
        <v>6</v>
      </c>
      <c r="EF4">
        <f t="shared" si="1"/>
        <v>4</v>
      </c>
      <c r="EG4">
        <f t="shared" si="1"/>
        <v>5</v>
      </c>
      <c r="EH4">
        <f t="shared" si="1"/>
        <v>6</v>
      </c>
      <c r="EI4">
        <f t="shared" si="1"/>
        <v>4</v>
      </c>
      <c r="EJ4">
        <f t="shared" si="1"/>
        <v>5</v>
      </c>
      <c r="EK4">
        <f t="shared" si="1"/>
        <v>6</v>
      </c>
      <c r="EL4">
        <f t="shared" si="1"/>
        <v>4</v>
      </c>
      <c r="EM4">
        <f t="shared" si="1"/>
        <v>5</v>
      </c>
      <c r="EN4">
        <f t="shared" si="1"/>
        <v>6</v>
      </c>
      <c r="EO4">
        <f t="shared" si="1"/>
        <v>4</v>
      </c>
      <c r="EP4">
        <f t="shared" si="1"/>
        <v>5</v>
      </c>
      <c r="EQ4">
        <f t="shared" si="1"/>
        <v>6</v>
      </c>
      <c r="ER4">
        <f t="shared" si="1"/>
        <v>4</v>
      </c>
      <c r="ES4">
        <f t="shared" si="1"/>
        <v>5</v>
      </c>
      <c r="ET4">
        <f t="shared" si="1"/>
        <v>6</v>
      </c>
      <c r="EU4">
        <f t="shared" si="1"/>
        <v>4</v>
      </c>
      <c r="EV4">
        <f t="shared" si="1"/>
        <v>5</v>
      </c>
      <c r="EW4">
        <f t="shared" si="1"/>
        <v>6</v>
      </c>
      <c r="EX4">
        <f t="shared" si="1"/>
        <v>4</v>
      </c>
      <c r="EY4">
        <f t="shared" si="1"/>
        <v>5</v>
      </c>
      <c r="EZ4">
        <f t="shared" si="1"/>
        <v>6</v>
      </c>
      <c r="FA4">
        <f t="shared" si="1"/>
        <v>4</v>
      </c>
      <c r="FB4">
        <f t="shared" si="1"/>
        <v>5</v>
      </c>
      <c r="FC4">
        <f t="shared" si="1"/>
        <v>6</v>
      </c>
      <c r="FD4">
        <f t="shared" si="1"/>
        <v>4</v>
      </c>
      <c r="FE4">
        <f t="shared" si="1"/>
        <v>5</v>
      </c>
      <c r="FF4">
        <f t="shared" si="1"/>
        <v>6</v>
      </c>
      <c r="FG4">
        <f t="shared" si="1"/>
        <v>4</v>
      </c>
      <c r="FH4">
        <f t="shared" si="1"/>
        <v>5</v>
      </c>
      <c r="FI4">
        <f t="shared" si="1"/>
        <v>6</v>
      </c>
      <c r="FJ4">
        <f t="shared" si="1"/>
        <v>4</v>
      </c>
      <c r="FK4">
        <f t="shared" si="1"/>
        <v>5</v>
      </c>
      <c r="FL4">
        <f t="shared" si="1"/>
        <v>6</v>
      </c>
      <c r="FM4">
        <f t="shared" si="1"/>
        <v>4</v>
      </c>
      <c r="FN4">
        <f t="shared" si="1"/>
        <v>5</v>
      </c>
      <c r="FO4">
        <f t="shared" si="1"/>
        <v>6</v>
      </c>
      <c r="FP4">
        <f t="shared" si="1"/>
        <v>4</v>
      </c>
      <c r="FQ4">
        <f t="shared" si="1"/>
        <v>5</v>
      </c>
      <c r="FR4">
        <f t="shared" si="1"/>
        <v>6</v>
      </c>
      <c r="FS4">
        <f t="shared" si="1"/>
        <v>4</v>
      </c>
      <c r="FT4">
        <f t="shared" ref="FT4:GM4" si="2">FQ4</f>
        <v>5</v>
      </c>
      <c r="FU4">
        <f t="shared" si="2"/>
        <v>6</v>
      </c>
      <c r="FV4">
        <f t="shared" si="2"/>
        <v>4</v>
      </c>
      <c r="FW4">
        <f t="shared" si="2"/>
        <v>5</v>
      </c>
      <c r="FX4">
        <f t="shared" si="2"/>
        <v>6</v>
      </c>
      <c r="FY4">
        <f t="shared" si="2"/>
        <v>4</v>
      </c>
      <c r="FZ4">
        <f t="shared" si="2"/>
        <v>5</v>
      </c>
      <c r="GA4">
        <f t="shared" si="2"/>
        <v>6</v>
      </c>
      <c r="GB4">
        <f t="shared" si="2"/>
        <v>4</v>
      </c>
      <c r="GC4">
        <f t="shared" si="2"/>
        <v>5</v>
      </c>
      <c r="GD4">
        <f t="shared" si="2"/>
        <v>6</v>
      </c>
      <c r="GE4">
        <f t="shared" si="2"/>
        <v>4</v>
      </c>
      <c r="GF4">
        <f t="shared" si="2"/>
        <v>5</v>
      </c>
      <c r="GG4">
        <f t="shared" si="2"/>
        <v>6</v>
      </c>
      <c r="GH4">
        <f t="shared" si="2"/>
        <v>4</v>
      </c>
      <c r="GI4">
        <f t="shared" si="2"/>
        <v>5</v>
      </c>
      <c r="GJ4">
        <f t="shared" si="2"/>
        <v>6</v>
      </c>
      <c r="GK4">
        <f t="shared" si="2"/>
        <v>4</v>
      </c>
      <c r="GL4">
        <f t="shared" si="2"/>
        <v>5</v>
      </c>
      <c r="GM4">
        <f t="shared" si="2"/>
        <v>6</v>
      </c>
      <c r="GN4">
        <f t="shared" ref="GN4:GY4" si="3">GK4</f>
        <v>4</v>
      </c>
      <c r="GO4">
        <f t="shared" si="3"/>
        <v>5</v>
      </c>
      <c r="GP4">
        <f t="shared" si="3"/>
        <v>6</v>
      </c>
      <c r="GQ4">
        <f t="shared" si="3"/>
        <v>4</v>
      </c>
      <c r="GR4">
        <f t="shared" si="3"/>
        <v>5</v>
      </c>
      <c r="GS4">
        <f t="shared" si="3"/>
        <v>6</v>
      </c>
      <c r="GT4">
        <f t="shared" si="3"/>
        <v>4</v>
      </c>
      <c r="GU4">
        <f t="shared" si="3"/>
        <v>5</v>
      </c>
      <c r="GV4">
        <f t="shared" si="3"/>
        <v>6</v>
      </c>
      <c r="GW4">
        <f t="shared" si="3"/>
        <v>4</v>
      </c>
      <c r="GX4">
        <f t="shared" si="3"/>
        <v>5</v>
      </c>
      <c r="GY4">
        <f t="shared" si="3"/>
        <v>6</v>
      </c>
      <c r="GZ4">
        <f t="shared" ref="GZ4:HZ4" si="4">GW4</f>
        <v>4</v>
      </c>
      <c r="HA4">
        <f t="shared" si="4"/>
        <v>5</v>
      </c>
      <c r="HB4">
        <f t="shared" si="4"/>
        <v>6</v>
      </c>
      <c r="HC4">
        <f t="shared" si="4"/>
        <v>4</v>
      </c>
      <c r="HD4">
        <f t="shared" si="4"/>
        <v>5</v>
      </c>
      <c r="HE4">
        <f t="shared" si="4"/>
        <v>6</v>
      </c>
      <c r="HF4">
        <f t="shared" si="4"/>
        <v>4</v>
      </c>
      <c r="HG4">
        <f t="shared" si="4"/>
        <v>5</v>
      </c>
      <c r="HH4">
        <f t="shared" si="4"/>
        <v>6</v>
      </c>
      <c r="HI4">
        <f t="shared" si="4"/>
        <v>4</v>
      </c>
      <c r="HJ4">
        <f t="shared" si="4"/>
        <v>5</v>
      </c>
      <c r="HK4">
        <f t="shared" si="4"/>
        <v>6</v>
      </c>
      <c r="HL4">
        <f t="shared" si="4"/>
        <v>4</v>
      </c>
      <c r="HM4">
        <f t="shared" si="4"/>
        <v>5</v>
      </c>
      <c r="HN4">
        <f t="shared" si="4"/>
        <v>6</v>
      </c>
      <c r="HO4">
        <f t="shared" si="4"/>
        <v>4</v>
      </c>
      <c r="HP4">
        <f t="shared" si="4"/>
        <v>5</v>
      </c>
      <c r="HQ4">
        <f t="shared" si="4"/>
        <v>6</v>
      </c>
      <c r="HR4">
        <f t="shared" si="4"/>
        <v>4</v>
      </c>
      <c r="HS4">
        <f t="shared" si="4"/>
        <v>5</v>
      </c>
      <c r="HT4">
        <f t="shared" si="4"/>
        <v>6</v>
      </c>
      <c r="HU4">
        <f t="shared" si="4"/>
        <v>4</v>
      </c>
      <c r="HV4">
        <f t="shared" si="4"/>
        <v>5</v>
      </c>
      <c r="HW4">
        <f t="shared" si="4"/>
        <v>6</v>
      </c>
      <c r="HX4">
        <f t="shared" si="4"/>
        <v>4</v>
      </c>
      <c r="HY4">
        <f t="shared" si="4"/>
        <v>5</v>
      </c>
      <c r="HZ4">
        <f t="shared" si="4"/>
        <v>6</v>
      </c>
      <c r="IA4">
        <f t="shared" ref="IA4" si="5">HX4</f>
        <v>4</v>
      </c>
      <c r="IB4">
        <f t="shared" ref="IB4" si="6">HY4</f>
        <v>5</v>
      </c>
      <c r="IC4">
        <f t="shared" ref="IC4" si="7">HZ4</f>
        <v>6</v>
      </c>
      <c r="ID4">
        <f t="shared" ref="ID4" si="8">IA4</f>
        <v>4</v>
      </c>
      <c r="IE4">
        <f t="shared" ref="IE4" si="9">IB4</f>
        <v>5</v>
      </c>
      <c r="IF4">
        <f t="shared" ref="IF4" si="10">IC4</f>
        <v>6</v>
      </c>
      <c r="IG4">
        <f>ID4</f>
        <v>4</v>
      </c>
      <c r="IH4">
        <f>IE4</f>
        <v>5</v>
      </c>
      <c r="II4">
        <f>IF4</f>
        <v>6</v>
      </c>
      <c r="IJ4">
        <v>4</v>
      </c>
      <c r="IK4">
        <v>5</v>
      </c>
      <c r="IL4">
        <v>6</v>
      </c>
      <c r="IM4">
        <v>4</v>
      </c>
      <c r="IN4">
        <v>5</v>
      </c>
      <c r="IO4">
        <v>6</v>
      </c>
    </row>
    <row r="5" spans="2:249" ht="15.75">
      <c r="C5" s="14" t="s">
        <v>67</v>
      </c>
      <c r="D5" s="14" t="s">
        <v>68</v>
      </c>
      <c r="E5" s="14" t="s">
        <v>69</v>
      </c>
      <c r="F5" s="15" t="str">
        <f t="shared" ref="F5:AM5" ca="1" si="11">BE5</f>
        <v xml:space="preserve">I dr. Jasna </v>
      </c>
      <c r="G5" s="15" t="str">
        <f t="shared" ca="1" si="11"/>
        <v>Drób Kabanosy1,5%</v>
      </c>
      <c r="H5" s="15" t="str">
        <f t="shared" ca="1" si="11"/>
        <v xml:space="preserve">Idr. Ciemna </v>
      </c>
      <c r="I5" s="15" t="str">
        <f t="shared" ca="1" si="11"/>
        <v>Brzuchaty</v>
      </c>
      <c r="J5" s="15" t="str">
        <f t="shared" ca="1" si="11"/>
        <v xml:space="preserve">Przepona </v>
      </c>
      <c r="K5" s="15" t="str">
        <f t="shared" ca="1" si="11"/>
        <v>Szynka 6d</v>
      </c>
      <c r="L5" s="15" t="str">
        <f t="shared" ca="1" si="11"/>
        <v xml:space="preserve">M-so kl. 2A </v>
      </c>
      <c r="M5" s="15" t="str">
        <f t="shared" ca="1" si="11"/>
        <v xml:space="preserve">M-so kl. 2B </v>
      </c>
      <c r="N5" s="15" t="str">
        <f t="shared" ca="1" si="11"/>
        <v>M-so kl. 3A</v>
      </c>
      <c r="O5" s="15" t="str">
        <f t="shared" ca="1" si="11"/>
        <v>M-so kl. 4A</v>
      </c>
      <c r="P5" s="15" t="str">
        <f t="shared" ca="1" si="11"/>
        <v>Żel Czerwony</v>
      </c>
      <c r="Q5" s="15" t="str">
        <f t="shared" ca="1" si="11"/>
        <v xml:space="preserve">T. Drobny </v>
      </c>
      <c r="R5" s="15" t="str">
        <f t="shared" ca="1" si="11"/>
        <v xml:space="preserve">Podgardle </v>
      </c>
      <c r="S5" s="15" t="str">
        <f t="shared" ca="1" si="11"/>
        <v>Skóry</v>
      </c>
      <c r="T5" s="15" t="str">
        <f t="shared" ca="1" si="11"/>
        <v>Mieso 80/20 (5214)</v>
      </c>
      <c r="U5" s="15" t="str">
        <f t="shared" ca="1" si="11"/>
        <v>Mieso 60/40 (5215)</v>
      </c>
      <c r="V5" s="15" t="str">
        <f t="shared" ca="1" si="11"/>
        <v>Indyk</v>
      </c>
      <c r="W5" s="15" t="str">
        <f t="shared" ca="1" si="11"/>
        <v>Mieso 90/10 (5226)</v>
      </c>
      <c r="X5" s="15" t="str">
        <f t="shared" ca="1" si="11"/>
        <v>3A Peklowana 1,5%</v>
      </c>
      <c r="Y5" s="15" t="str">
        <f t="shared" ca="1" si="11"/>
        <v>Mięso kl. 4M</v>
      </c>
      <c r="Z5" s="15" t="str">
        <f t="shared" ca="1" si="11"/>
        <v xml:space="preserve">Mięso 90/10 (5025)  </v>
      </c>
      <c r="AA5" s="15" t="str">
        <f t="shared" ca="1" si="11"/>
        <v xml:space="preserve">Mieszanka (5022) </v>
      </c>
      <c r="AB5" s="15" t="str">
        <f t="shared" ca="1" si="11"/>
        <v xml:space="preserve">Emulsja </v>
      </c>
      <c r="AC5" s="15" t="str">
        <f t="shared" ca="1" si="11"/>
        <v>Udo</v>
      </c>
      <c r="AD5" s="15" t="str">
        <f t="shared" ca="1" si="11"/>
        <v>Podudzie b/s</v>
      </c>
      <c r="AE5" s="15" t="str">
        <f t="shared" ca="1" si="11"/>
        <v>DMOM</v>
      </c>
      <c r="AF5" s="15" t="str">
        <f t="shared" ca="1" si="11"/>
        <v>Noga b/s</v>
      </c>
      <c r="AG5" s="15" t="str">
        <f t="shared" ca="1" si="11"/>
        <v>KK skóry</v>
      </c>
      <c r="AH5" s="15" t="str">
        <f t="shared" ca="1" si="11"/>
        <v xml:space="preserve">Rework ŚL </v>
      </c>
      <c r="AI5" s="15" t="str">
        <f t="shared" ca="1" si="11"/>
        <v xml:space="preserve">Rework Reg. </v>
      </c>
      <c r="AJ5" s="15" t="str">
        <f t="shared" ca="1" si="11"/>
        <v>Mieso 90/10 (52264000)</v>
      </c>
      <c r="AK5" s="15" t="str">
        <f t="shared" ca="1" si="11"/>
        <v>Drób peklowany1,5%</v>
      </c>
      <c r="AL5" s="15" t="str">
        <f t="shared" ca="1" si="11"/>
        <v>Bocz IV PP WT</v>
      </c>
      <c r="AM5" s="15" t="str">
        <f t="shared" ca="1" si="11"/>
        <v>Żel Pomarańczowy</v>
      </c>
      <c r="AN5" s="15" t="str">
        <f>Konfiguracja!B37</f>
        <v>M-so kl4 1.5%(5209)</v>
      </c>
      <c r="AO5" s="15" t="str">
        <f>Konfiguracja!B38</f>
        <v>Szynka 1.5D + Łop 1.5D</v>
      </c>
      <c r="AP5" s="15" t="str">
        <f>Konfiguracja!B39</f>
        <v>Mieszanka(5027)</v>
      </c>
      <c r="AQ5" s="15" t="str">
        <f>Konfiguracja!B40</f>
        <v>Czterogłowy</v>
      </c>
      <c r="AR5" s="15" t="str">
        <f>Konfiguracja!B41</f>
        <v>Tryming 65/35 maski</v>
      </c>
      <c r="AS5" s="15" t="str">
        <f>Konfiguracja!B42</f>
        <v>Tryming 70/30</v>
      </c>
      <c r="AT5" s="15" t="str">
        <f>Konfiguracja!B43</f>
        <v>KK M-SO MIX  JASNE D6</v>
      </c>
      <c r="AU5" s="15" t="str">
        <f>Konfiguracja!B44</f>
        <v>M-so kl. 3B</v>
      </c>
      <c r="AV5" s="15" t="str">
        <f>Konfiguracja!B45</f>
        <v>M-so z Fileta</v>
      </c>
      <c r="AW5" s="15" t="str">
        <f>Konfiguracja!B46</f>
        <v>Noga z/s</v>
      </c>
      <c r="AX5" s="15" t="str">
        <f>Konfiguracja!B47</f>
        <v>Podudzie z/s</v>
      </c>
      <c r="AY5" s="15" t="str">
        <f>Konfiguracja!B48</f>
        <v>M-so z Nogi</v>
      </c>
      <c r="AZ5" s="15" t="str">
        <f>Konfiguracja!B49</f>
        <v xml:space="preserve">KK Filet </v>
      </c>
      <c r="BA5" s="15" t="str">
        <f>Konfiguracja!B50</f>
        <v xml:space="preserve">KK Polędwiczka </v>
      </c>
      <c r="BC5" s="14" t="s">
        <v>68</v>
      </c>
      <c r="BD5" s="14" t="s">
        <v>69</v>
      </c>
      <c r="BE5" s="83" t="str">
        <f ca="1">OFFSET(Konfiguracja!$B$2,BE4,0)</f>
        <v xml:space="preserve">I dr. Jasna </v>
      </c>
      <c r="BF5" s="83" t="str">
        <f ca="1">OFFSET(Konfiguracja!$B$2,BF4,0)</f>
        <v>Drób Kabanosy1,5%</v>
      </c>
      <c r="BG5" s="83" t="str">
        <f ca="1">OFFSET(Konfiguracja!$B$2,BG4,0)</f>
        <v xml:space="preserve">Idr. Ciemna </v>
      </c>
      <c r="BH5" s="83" t="str">
        <f ca="1">OFFSET(Konfiguracja!$B$2,BH4,0)</f>
        <v>Brzuchaty</v>
      </c>
      <c r="BI5" s="83" t="str">
        <f ca="1">OFFSET(Konfiguracja!$B$2,BI4,0)</f>
        <v xml:space="preserve">Przepona </v>
      </c>
      <c r="BJ5" s="83" t="str">
        <f ca="1">OFFSET(Konfiguracja!$B$2,BJ4,0)</f>
        <v>Szynka 6d</v>
      </c>
      <c r="BK5" s="83" t="str">
        <f ca="1">OFFSET(Konfiguracja!$B$2,BK4,0)</f>
        <v xml:space="preserve">M-so kl. 2A </v>
      </c>
      <c r="BL5" s="83" t="str">
        <f ca="1">OFFSET(Konfiguracja!$B$2,BL4,0)</f>
        <v xml:space="preserve">M-so kl. 2B </v>
      </c>
      <c r="BM5" s="83" t="str">
        <f ca="1">OFFSET(Konfiguracja!$B$2,BM4,0)</f>
        <v>M-so kl. 3A</v>
      </c>
      <c r="BN5" s="83" t="str">
        <f ca="1">OFFSET(Konfiguracja!$B$2,BN4,0)</f>
        <v>M-so kl. 4A</v>
      </c>
      <c r="BO5" s="83" t="str">
        <f ca="1">OFFSET(Konfiguracja!$B$2,BO4,0)</f>
        <v>Żel Czerwony</v>
      </c>
      <c r="BP5" s="83" t="str">
        <f ca="1">OFFSET(Konfiguracja!$B$2,BP4,0)</f>
        <v xml:space="preserve">T. Drobny </v>
      </c>
      <c r="BQ5" s="83" t="str">
        <f ca="1">OFFSET(Konfiguracja!$B$2,BQ4,0)</f>
        <v xml:space="preserve">Podgardle </v>
      </c>
      <c r="BR5" s="83" t="str">
        <f ca="1">OFFSET(Konfiguracja!$B$2,BR4,0)</f>
        <v>Skóry</v>
      </c>
      <c r="BS5" s="83" t="str">
        <f ca="1">OFFSET(Konfiguracja!$B$2,BS4,0)</f>
        <v>Mieso 80/20 (5214)</v>
      </c>
      <c r="BT5" s="83" t="str">
        <f ca="1">OFFSET(Konfiguracja!$B$2,BT4,0)</f>
        <v>Mieso 60/40 (5215)</v>
      </c>
      <c r="BU5" s="83" t="str">
        <f ca="1">OFFSET(Konfiguracja!$B$2,BU4,0)</f>
        <v>Indyk</v>
      </c>
      <c r="BV5" s="83" t="str">
        <f ca="1">OFFSET(Konfiguracja!$B$2,BV4,0)</f>
        <v>Mieso 90/10 (5226)</v>
      </c>
      <c r="BW5" s="83" t="str">
        <f ca="1">OFFSET(Konfiguracja!$B$2,BW4,0)</f>
        <v>3A Peklowana 1,5%</v>
      </c>
      <c r="BX5" s="83" t="str">
        <f ca="1">OFFSET(Konfiguracja!$B$2,BX4,0)</f>
        <v>Mięso kl. 4M</v>
      </c>
      <c r="BY5" s="83" t="str">
        <f ca="1">OFFSET(Konfiguracja!$B$2,BY4,0)</f>
        <v xml:space="preserve">Mięso 90/10 (5025)  </v>
      </c>
      <c r="BZ5" s="83" t="str">
        <f ca="1">OFFSET(Konfiguracja!$B$2,BZ4,0)</f>
        <v xml:space="preserve">Mieszanka (5022) </v>
      </c>
      <c r="CA5" s="83" t="str">
        <f ca="1">OFFSET(Konfiguracja!$B$2,CA4,0)</f>
        <v xml:space="preserve">Emulsja </v>
      </c>
      <c r="CB5" s="83" t="str">
        <f ca="1">OFFSET(Konfiguracja!$B$2,CB4,0)</f>
        <v>Udo</v>
      </c>
      <c r="CC5" s="83" t="str">
        <f ca="1">OFFSET(Konfiguracja!$B$2,CC4,0)</f>
        <v>Podudzie b/s</v>
      </c>
      <c r="CD5" s="83" t="str">
        <f ca="1">OFFSET(Konfiguracja!$B$2,CD4,0)</f>
        <v>DMOM</v>
      </c>
      <c r="CE5" s="83" t="str">
        <f ca="1">OFFSET(Konfiguracja!$B$2,CE4,0)</f>
        <v>Noga b/s</v>
      </c>
      <c r="CF5" s="83" t="str">
        <f ca="1">OFFSET(Konfiguracja!$B$2,CF4,0)</f>
        <v>KK skóry</v>
      </c>
      <c r="CG5" s="83" t="str">
        <f ca="1">OFFSET(Konfiguracja!$B$2,CG4,0)</f>
        <v xml:space="preserve">Rework ŚL </v>
      </c>
      <c r="CH5" s="83" t="str">
        <f ca="1">OFFSET(Konfiguracja!$B$2,CH4,0)</f>
        <v xml:space="preserve">Rework Reg. </v>
      </c>
      <c r="CI5" s="83" t="str">
        <f ca="1">OFFSET(Konfiguracja!$B$2,CI4,0)</f>
        <v>Mieso 90/10 (52264000)</v>
      </c>
      <c r="CJ5" s="83" t="str">
        <f ca="1">OFFSET(Konfiguracja!$B$2,CJ4,0)</f>
        <v>Drób peklowany1,5%</v>
      </c>
      <c r="CK5" s="83" t="str">
        <f ca="1">OFFSET(Konfiguracja!$B$2,CK4,0)</f>
        <v>Bocz IV PP WT</v>
      </c>
      <c r="CL5" s="83" t="str">
        <f ca="1">OFFSET(Konfiguracja!$B$2,CL4,0)</f>
        <v>Żel Pomarańczowy</v>
      </c>
      <c r="CM5" s="83" t="str">
        <f ca="1">OFFSET(Konfiguracja!$B$2,CM4,0)</f>
        <v>M-so kl4 1.5%(5209)</v>
      </c>
      <c r="CN5" s="83" t="str">
        <f ca="1">OFFSET(Konfiguracja!$B$2,CN4,0)</f>
        <v>Szynka 1.5D + Łop 1.5D</v>
      </c>
      <c r="CO5" s="83" t="str">
        <f ca="1">OFFSET(Konfiguracja!$B$2,CO4,0)</f>
        <v>Mieszanka(5027)</v>
      </c>
      <c r="CP5" s="83" t="str">
        <f ca="1">OFFSET(Konfiguracja!$B$2,CP4,0)</f>
        <v>Czterogłowy</v>
      </c>
      <c r="CQ5" s="83" t="str">
        <f ca="1">OFFSET(Konfiguracja!$B$2,CQ4,0)</f>
        <v>Tryming 65/35 maski</v>
      </c>
      <c r="CR5" s="83" t="str">
        <f ca="1">OFFSET(Konfiguracja!$B$2,CR4,0)</f>
        <v>Tryming 70/30</v>
      </c>
      <c r="CS5" s="83" t="str">
        <f ca="1">OFFSET(Konfiguracja!$B$2,CS4,0)</f>
        <v>KK M-SO MIX  JASNE D6</v>
      </c>
      <c r="CT5" s="83" t="str">
        <f ca="1">OFFSET(Konfiguracja!$B$2,CT4,0)</f>
        <v>M-so kl. 3B</v>
      </c>
      <c r="CU5" s="83" t="str">
        <f ca="1">OFFSET(Konfiguracja!$B$2,CU4,0)</f>
        <v>M-so z Fileta</v>
      </c>
      <c r="CV5" s="83" t="str">
        <f ca="1">OFFSET(Konfiguracja!$B$2,CV4,0)</f>
        <v>Noga z/s</v>
      </c>
      <c r="CW5" s="83" t="str">
        <f ca="1">OFFSET(Konfiguracja!$B$2,CW4,0)</f>
        <v>Podudzie z/s</v>
      </c>
      <c r="CX5" s="83" t="str">
        <f ca="1">OFFSET(Konfiguracja!$B$2,CX4,0)</f>
        <v>M-so z Nogi</v>
      </c>
      <c r="CY5" s="83" t="str">
        <f ca="1">OFFSET(Konfiguracja!$B$2,CY4,0)</f>
        <v xml:space="preserve">KK Filet </v>
      </c>
      <c r="CZ5" s="83" t="str">
        <f ca="1">OFFSET(Konfiguracja!$B$2,CZ4,0)</f>
        <v xml:space="preserve">KK Polędwiczka </v>
      </c>
      <c r="DB5" s="92" t="str">
        <f ca="1">OFFSET(Konfiguracja!$B$2,DB3,0)</f>
        <v xml:space="preserve">I dr. Jasna </v>
      </c>
      <c r="DC5" s="15" t="str">
        <f ca="1">DB5</f>
        <v xml:space="preserve">I dr. Jasna </v>
      </c>
      <c r="DD5" s="15" t="str">
        <f ca="1">DB5</f>
        <v xml:space="preserve">I dr. Jasna </v>
      </c>
      <c r="DE5" s="92" t="s">
        <v>18002</v>
      </c>
      <c r="DF5" s="15" t="s">
        <v>18002</v>
      </c>
      <c r="DG5" s="15" t="s">
        <v>18002</v>
      </c>
      <c r="DH5" s="92" t="str">
        <f ca="1">OFFSET(Konfiguracja!$B$2,DH3,0)</f>
        <v xml:space="preserve">Idr. Ciemna </v>
      </c>
      <c r="DI5" s="15" t="str">
        <f ca="1">DH5</f>
        <v xml:space="preserve">Idr. Ciemna </v>
      </c>
      <c r="DJ5" s="15" t="str">
        <f ca="1">DH5</f>
        <v xml:space="preserve">Idr. Ciemna </v>
      </c>
      <c r="DK5" s="92" t="str">
        <f ca="1">OFFSET(Konfiguracja!$B$2,DK3,0)</f>
        <v>Brzuchaty</v>
      </c>
      <c r="DL5" s="15" t="str">
        <f ca="1">DK5</f>
        <v>Brzuchaty</v>
      </c>
      <c r="DM5" s="15" t="str">
        <f ca="1">DK5</f>
        <v>Brzuchaty</v>
      </c>
      <c r="DN5" s="92" t="str">
        <f ca="1">OFFSET(Konfiguracja!$B$2,DN3,0)</f>
        <v xml:space="preserve">Przepona </v>
      </c>
      <c r="DO5" s="15" t="str">
        <f ca="1">DN5</f>
        <v xml:space="preserve">Przepona </v>
      </c>
      <c r="DP5" s="15" t="str">
        <f ca="1">DN5</f>
        <v xml:space="preserve">Przepona </v>
      </c>
      <c r="DQ5" s="92" t="str">
        <f ca="1">OFFSET(Konfiguracja!$B$2,DQ3,0)</f>
        <v>Szynka 6d</v>
      </c>
      <c r="DR5" s="15" t="str">
        <f ca="1">DQ5</f>
        <v>Szynka 6d</v>
      </c>
      <c r="DS5" s="15" t="str">
        <f ca="1">DQ5</f>
        <v>Szynka 6d</v>
      </c>
      <c r="DT5" s="92" t="str">
        <f ca="1">OFFSET(Konfiguracja!$B$2,DT3,0)</f>
        <v xml:space="preserve">M-so kl. 2A </v>
      </c>
      <c r="DU5" s="15" t="str">
        <f ca="1">DT5</f>
        <v xml:space="preserve">M-so kl. 2A </v>
      </c>
      <c r="DV5" s="15" t="str">
        <f ca="1">DT5</f>
        <v xml:space="preserve">M-so kl. 2A </v>
      </c>
      <c r="DW5" s="92" t="str">
        <f ca="1">OFFSET(Konfiguracja!$B$2,DW3,0)</f>
        <v xml:space="preserve">M-so kl. 2B </v>
      </c>
      <c r="DX5" s="15" t="str">
        <f ca="1">DW5</f>
        <v xml:space="preserve">M-so kl. 2B </v>
      </c>
      <c r="DY5" s="15" t="str">
        <f ca="1">DW5</f>
        <v xml:space="preserve">M-so kl. 2B </v>
      </c>
      <c r="DZ5" s="92" t="str">
        <f ca="1">OFFSET(Konfiguracja!$B$2,DZ3,0)</f>
        <v>M-so kl. 3A</v>
      </c>
      <c r="EA5" s="15" t="str">
        <f ca="1">DZ5</f>
        <v>M-so kl. 3A</v>
      </c>
      <c r="EB5" s="15" t="str">
        <f ca="1">DZ5</f>
        <v>M-so kl. 3A</v>
      </c>
      <c r="EC5" s="92" t="str">
        <f ca="1">OFFSET(Konfiguracja!$B$2,EC3,0)</f>
        <v>M-so kl. 4A</v>
      </c>
      <c r="ED5" s="15" t="str">
        <f ca="1">EC5</f>
        <v>M-so kl. 4A</v>
      </c>
      <c r="EE5" s="15" t="str">
        <f ca="1">EC5</f>
        <v>M-so kl. 4A</v>
      </c>
      <c r="EF5" s="92" t="str">
        <f ca="1">OFFSET(Konfiguracja!$B$2,EF3,0)</f>
        <v>Żel Czerwony</v>
      </c>
      <c r="EG5" s="15" t="str">
        <f ca="1">EF5</f>
        <v>Żel Czerwony</v>
      </c>
      <c r="EH5" s="15" t="str">
        <f ca="1">EF5</f>
        <v>Żel Czerwony</v>
      </c>
      <c r="EI5" s="92" t="str">
        <f ca="1">OFFSET(Konfiguracja!$B$2,EI3,0)</f>
        <v xml:space="preserve">T. Drobny </v>
      </c>
      <c r="EJ5" s="15" t="str">
        <f ca="1">EI5</f>
        <v xml:space="preserve">T. Drobny </v>
      </c>
      <c r="EK5" s="15" t="str">
        <f ca="1">EI5</f>
        <v xml:space="preserve">T. Drobny </v>
      </c>
      <c r="EL5" s="92" t="str">
        <f ca="1">OFFSET(Konfiguracja!$B$2,EL3,0)</f>
        <v xml:space="preserve">Podgardle </v>
      </c>
      <c r="EM5" s="15" t="str">
        <f ca="1">EL5</f>
        <v xml:space="preserve">Podgardle </v>
      </c>
      <c r="EN5" s="15" t="str">
        <f ca="1">EL5</f>
        <v xml:space="preserve">Podgardle </v>
      </c>
      <c r="EO5" s="92" t="str">
        <f ca="1">OFFSET(Konfiguracja!$B$2,EO3,0)</f>
        <v>Skóry</v>
      </c>
      <c r="EP5" s="15" t="str">
        <f ca="1">EO5</f>
        <v>Skóry</v>
      </c>
      <c r="EQ5" s="15" t="str">
        <f ca="1">EO5</f>
        <v>Skóry</v>
      </c>
      <c r="ER5" s="92" t="str">
        <f ca="1">OFFSET(Konfiguracja!$B$2,ER3,0)</f>
        <v>Mieso 80/20 (5214)</v>
      </c>
      <c r="ES5" s="15" t="str">
        <f ca="1">ER5</f>
        <v>Mieso 80/20 (5214)</v>
      </c>
      <c r="ET5" s="15" t="str">
        <f ca="1">ER5</f>
        <v>Mieso 80/20 (5214)</v>
      </c>
      <c r="EU5" s="92" t="str">
        <f ca="1">OFFSET(Konfiguracja!$B$2,EU3,0)</f>
        <v>Mieso 60/40 (5215)</v>
      </c>
      <c r="EV5" s="15" t="str">
        <f ca="1">EU5</f>
        <v>Mieso 60/40 (5215)</v>
      </c>
      <c r="EW5" s="15" t="str">
        <f ca="1">EU5</f>
        <v>Mieso 60/40 (5215)</v>
      </c>
      <c r="EX5" s="92" t="str">
        <f ca="1">OFFSET(Konfiguracja!$B$2,EX3,0)</f>
        <v>Indyk</v>
      </c>
      <c r="EY5" s="15" t="str">
        <f ca="1">EX5</f>
        <v>Indyk</v>
      </c>
      <c r="EZ5" s="15" t="str">
        <f ca="1">EX5</f>
        <v>Indyk</v>
      </c>
      <c r="FA5" s="92" t="str">
        <f ca="1">OFFSET(Konfiguracja!$B$2,FA3,0)</f>
        <v>Mieso 90/10 (5226)</v>
      </c>
      <c r="FB5" s="15" t="str">
        <f ca="1">FA5</f>
        <v>Mieso 90/10 (5226)</v>
      </c>
      <c r="FC5" s="15" t="str">
        <f ca="1">FA5</f>
        <v>Mieso 90/10 (5226)</v>
      </c>
      <c r="FD5" s="92" t="str">
        <f ca="1">OFFSET(Konfiguracja!$B$2,FD3,0)</f>
        <v>3A Peklowana 1,5%</v>
      </c>
      <c r="FE5" s="15" t="str">
        <f ca="1">FD5</f>
        <v>3A Peklowana 1,5%</v>
      </c>
      <c r="FF5" s="15" t="str">
        <f ca="1">FD5</f>
        <v>3A Peklowana 1,5%</v>
      </c>
      <c r="FG5" s="92" t="str">
        <f ca="1">OFFSET(Konfiguracja!$B$2,FG3,0)</f>
        <v>Mięso kl. 4M</v>
      </c>
      <c r="FH5" s="15" t="str">
        <f ca="1">FG5</f>
        <v>Mięso kl. 4M</v>
      </c>
      <c r="FI5" s="15" t="str">
        <f ca="1">FG5</f>
        <v>Mięso kl. 4M</v>
      </c>
      <c r="FJ5" s="92" t="str">
        <f ca="1">OFFSET(Konfiguracja!$B$2,FJ3,0)</f>
        <v xml:space="preserve">Mięso 90/10 (5025)  </v>
      </c>
      <c r="FK5" s="15" t="str">
        <f ca="1">FJ5</f>
        <v xml:space="preserve">Mięso 90/10 (5025)  </v>
      </c>
      <c r="FL5" s="15" t="str">
        <f ca="1">FJ5</f>
        <v xml:space="preserve">Mięso 90/10 (5025)  </v>
      </c>
      <c r="FM5" s="92" t="str">
        <f ca="1">OFFSET(Konfiguracja!$B$2,FM3,0)</f>
        <v xml:space="preserve">Mieszanka (5022) </v>
      </c>
      <c r="FN5" s="15" t="str">
        <f ca="1">FM5</f>
        <v xml:space="preserve">Mieszanka (5022) </v>
      </c>
      <c r="FO5" s="15" t="str">
        <f ca="1">FM5</f>
        <v xml:space="preserve">Mieszanka (5022) </v>
      </c>
      <c r="FP5" s="92" t="str">
        <f ca="1">OFFSET(Konfiguracja!$B$2,FP3,0)</f>
        <v xml:space="preserve">Emulsja </v>
      </c>
      <c r="FQ5" s="15" t="str">
        <f ca="1">FP5</f>
        <v xml:space="preserve">Emulsja </v>
      </c>
      <c r="FR5" s="15" t="str">
        <f ca="1">FP5</f>
        <v xml:space="preserve">Emulsja </v>
      </c>
      <c r="FS5" s="92" t="str">
        <f ca="1">OFFSET(Konfiguracja!$B$2,FS3,0)</f>
        <v>Udo</v>
      </c>
      <c r="FT5" s="15" t="str">
        <f ca="1">FS5</f>
        <v>Udo</v>
      </c>
      <c r="FU5" s="15" t="str">
        <f ca="1">FS5</f>
        <v>Udo</v>
      </c>
      <c r="FV5" s="92" t="str">
        <f ca="1">OFFSET(Konfiguracja!$B$2,FV3,0)</f>
        <v>Podudzie b/s</v>
      </c>
      <c r="FW5" s="15" t="str">
        <f ca="1">FV5</f>
        <v>Podudzie b/s</v>
      </c>
      <c r="FX5" s="15" t="str">
        <f ca="1">FV5</f>
        <v>Podudzie b/s</v>
      </c>
      <c r="FY5" s="92" t="str">
        <f ca="1">OFFSET(Konfiguracja!$B$2,FY3,0)</f>
        <v>DMOM</v>
      </c>
      <c r="FZ5" s="15" t="str">
        <f ca="1">FY5</f>
        <v>DMOM</v>
      </c>
      <c r="GA5" s="15" t="str">
        <f ca="1">FY5</f>
        <v>DMOM</v>
      </c>
      <c r="GB5" s="92" t="str">
        <f ca="1">OFFSET(Konfiguracja!$B$2,GB3,0)</f>
        <v>Noga b/s</v>
      </c>
      <c r="GC5" s="15" t="str">
        <f ca="1">GB5</f>
        <v>Noga b/s</v>
      </c>
      <c r="GD5" s="15" t="str">
        <f ca="1">GB5</f>
        <v>Noga b/s</v>
      </c>
      <c r="GE5" s="92" t="str">
        <f ca="1">OFFSET(Konfiguracja!$B$2,GE3,0)</f>
        <v>KK skóry</v>
      </c>
      <c r="GF5" s="15" t="str">
        <f ca="1">GE5</f>
        <v>KK skóry</v>
      </c>
      <c r="GG5" s="15" t="str">
        <f ca="1">GE5</f>
        <v>KK skóry</v>
      </c>
      <c r="GH5" s="92" t="str">
        <f ca="1">OFFSET(Konfiguracja!$B$2,GH3,0)</f>
        <v xml:space="preserve">Rework ŚL </v>
      </c>
      <c r="GI5" s="15" t="str">
        <f ca="1">GH5</f>
        <v xml:space="preserve">Rework ŚL </v>
      </c>
      <c r="GJ5" s="15" t="str">
        <f ca="1">GH5</f>
        <v xml:space="preserve">Rework ŚL </v>
      </c>
      <c r="GK5" s="92" t="str">
        <f ca="1">OFFSET(Konfiguracja!$B$2,GK3,0)</f>
        <v xml:space="preserve">Rework Reg. </v>
      </c>
      <c r="GL5" s="15" t="str">
        <f ca="1">GK5</f>
        <v xml:space="preserve">Rework Reg. </v>
      </c>
      <c r="GM5" s="15" t="str">
        <f ca="1">GK5</f>
        <v xml:space="preserve">Rework Reg. </v>
      </c>
      <c r="GN5" s="92" t="str">
        <f ca="1">OFFSET(Konfiguracja!$B$2,GN3,0)</f>
        <v>Mieso 90/10 (52264000)</v>
      </c>
      <c r="GO5" s="15" t="str">
        <f ca="1">GN5</f>
        <v>Mieso 90/10 (52264000)</v>
      </c>
      <c r="GP5" s="15" t="str">
        <f ca="1">GN5</f>
        <v>Mieso 90/10 (52264000)</v>
      </c>
      <c r="GQ5" s="92" t="str">
        <f ca="1">OFFSET(Konfiguracja!$B$2,GQ3,0)</f>
        <v>Drób peklowany1,5%</v>
      </c>
      <c r="GR5" s="15" t="str">
        <f ca="1">GQ5</f>
        <v>Drób peklowany1,5%</v>
      </c>
      <c r="GS5" s="15" t="str">
        <f ca="1">GQ5</f>
        <v>Drób peklowany1,5%</v>
      </c>
      <c r="GT5" s="92" t="str">
        <f ca="1">OFFSET(Konfiguracja!$B$2,GT3,0)</f>
        <v>Bocz IV PP WT</v>
      </c>
      <c r="GU5" s="15" t="str">
        <f ca="1">GT5</f>
        <v>Bocz IV PP WT</v>
      </c>
      <c r="GV5" s="15" t="str">
        <f ca="1">GT5</f>
        <v>Bocz IV PP WT</v>
      </c>
      <c r="GW5" s="92" t="str">
        <f ca="1">OFFSET(Konfiguracja!$B$2,GW3,0)</f>
        <v>Żel Pomarańczowy</v>
      </c>
      <c r="GX5" s="15" t="str">
        <f ca="1">GW5</f>
        <v>Żel Pomarańczowy</v>
      </c>
      <c r="GY5" s="15" t="str">
        <f ca="1">GW5</f>
        <v>Żel Pomarańczowy</v>
      </c>
      <c r="GZ5" s="92" t="str">
        <f ca="1">OFFSET(Konfiguracja!$B$2,GZ3,0)</f>
        <v>M-so kl4 1.5%(5209)</v>
      </c>
      <c r="HA5" s="15" t="str">
        <f ca="1">GZ5</f>
        <v>M-so kl4 1.5%(5209)</v>
      </c>
      <c r="HB5" s="15" t="str">
        <f ca="1">GZ5</f>
        <v>M-so kl4 1.5%(5209)</v>
      </c>
      <c r="HC5" s="92" t="str">
        <f ca="1">OFFSET(Konfiguracja!$B$2,HC3,0)</f>
        <v>Szynka 1.5D + Łop 1.5D</v>
      </c>
      <c r="HD5" s="15" t="str">
        <f ca="1">HC5</f>
        <v>Szynka 1.5D + Łop 1.5D</v>
      </c>
      <c r="HE5" s="15" t="str">
        <f ca="1">HC5</f>
        <v>Szynka 1.5D + Łop 1.5D</v>
      </c>
      <c r="HF5" s="92" t="str">
        <f ca="1">OFFSET(Konfiguracja!$B$2,HF3,0)</f>
        <v>Mieszanka(5027)</v>
      </c>
      <c r="HG5" s="15" t="str">
        <f ca="1">HF5</f>
        <v>Mieszanka(5027)</v>
      </c>
      <c r="HH5" s="15" t="str">
        <f ca="1">HF5</f>
        <v>Mieszanka(5027)</v>
      </c>
      <c r="HI5" s="92" t="str">
        <f ca="1">OFFSET(Konfiguracja!$B$2,HI3,0)</f>
        <v>Czterogłowy</v>
      </c>
      <c r="HJ5" s="15" t="str">
        <f ca="1">HI5</f>
        <v>Czterogłowy</v>
      </c>
      <c r="HK5" s="15" t="str">
        <f ca="1">HI5</f>
        <v>Czterogłowy</v>
      </c>
      <c r="HL5" s="92" t="str">
        <f ca="1">OFFSET(Konfiguracja!$B$2,HL3,0)</f>
        <v>Tryming 65/35 maski</v>
      </c>
      <c r="HM5" s="15" t="str">
        <f ca="1">HL5</f>
        <v>Tryming 65/35 maski</v>
      </c>
      <c r="HN5" s="15" t="str">
        <f ca="1">HL5</f>
        <v>Tryming 65/35 maski</v>
      </c>
      <c r="HO5" s="92" t="str">
        <f ca="1">OFFSET(Konfiguracja!$B$2,HO3,0)</f>
        <v>Tryming 70/30</v>
      </c>
      <c r="HP5" s="15" t="str">
        <f ca="1">HO5</f>
        <v>Tryming 70/30</v>
      </c>
      <c r="HQ5" s="15" t="str">
        <f ca="1">HO5</f>
        <v>Tryming 70/30</v>
      </c>
      <c r="HR5" s="92" t="str">
        <f ca="1">OFFSET(Konfiguracja!$B$2,HR3,0)</f>
        <v>KK M-SO MIX  JASNE D6</v>
      </c>
      <c r="HS5" s="15" t="str">
        <f ca="1">HR5</f>
        <v>KK M-SO MIX  JASNE D6</v>
      </c>
      <c r="HT5" s="15" t="str">
        <f ca="1">HR5</f>
        <v>KK M-SO MIX  JASNE D6</v>
      </c>
      <c r="HU5" s="92" t="str">
        <f ca="1">OFFSET(Konfiguracja!$B$2,HU3,0)</f>
        <v>M-so kl. 3B</v>
      </c>
      <c r="HV5" s="15" t="str">
        <f ca="1">HU5</f>
        <v>M-so kl. 3B</v>
      </c>
      <c r="HW5" s="15" t="str">
        <f ca="1">HU5</f>
        <v>M-so kl. 3B</v>
      </c>
      <c r="HX5" s="92" t="str">
        <f ca="1">OFFSET(Konfiguracja!$B$2,HX3,0)</f>
        <v>M-so z Fileta</v>
      </c>
      <c r="HY5" s="15" t="str">
        <f ca="1">HX5</f>
        <v>M-so z Fileta</v>
      </c>
      <c r="HZ5" s="15" t="str">
        <f ca="1">HX5</f>
        <v>M-so z Fileta</v>
      </c>
      <c r="IA5" s="92" t="str">
        <f ca="1">OFFSET(Konfiguracja!$B$2,IA3,0)</f>
        <v>Noga z/s</v>
      </c>
      <c r="IB5" s="15" t="str">
        <f ca="1">IA5</f>
        <v>Noga z/s</v>
      </c>
      <c r="IC5" s="15" t="str">
        <f ca="1">IA5</f>
        <v>Noga z/s</v>
      </c>
      <c r="ID5" s="92" t="str">
        <f ca="1">OFFSET(Konfiguracja!$B$2,ID3,0)</f>
        <v>Podudzie z/s</v>
      </c>
      <c r="IE5" s="15" t="str">
        <f ca="1">ID5</f>
        <v>Podudzie z/s</v>
      </c>
      <c r="IF5" s="15" t="str">
        <f ca="1">ID5</f>
        <v>Podudzie z/s</v>
      </c>
      <c r="IG5" s="92" t="str">
        <f ca="1">OFFSET(Konfiguracja!$B$2,IG3,0)</f>
        <v>M-so z Nogi</v>
      </c>
      <c r="IH5" s="15" t="str">
        <f ca="1">IG5</f>
        <v>M-so z Nogi</v>
      </c>
      <c r="II5" s="15" t="str">
        <f ca="1">IG5</f>
        <v>M-so z Nogi</v>
      </c>
      <c r="IJ5" s="92" t="str">
        <f ca="1">OFFSET(Konfiguracja!$B$2,IJ3,0)</f>
        <v xml:space="preserve">KK Filet </v>
      </c>
      <c r="IK5" s="15" t="str">
        <f ca="1">IJ5</f>
        <v xml:space="preserve">KK Filet </v>
      </c>
      <c r="IL5" s="15" t="str">
        <f ca="1">IJ5</f>
        <v xml:space="preserve">KK Filet </v>
      </c>
      <c r="IM5" s="92" t="str">
        <f ca="1">OFFSET(Konfiguracja!$B$2,IM3,0)</f>
        <v xml:space="preserve">KK Polędwiczka </v>
      </c>
      <c r="IN5" s="15" t="str">
        <f ca="1">IM5</f>
        <v xml:space="preserve">KK Polędwiczka </v>
      </c>
      <c r="IO5" s="15" t="str">
        <f ca="1">IM5</f>
        <v xml:space="preserve">KK Polędwiczka </v>
      </c>
    </row>
    <row r="6" spans="2:249" ht="31.5">
      <c r="B6" t="str">
        <f>VLOOKUP(D6,Receptury_z!$A:$B,2,0)</f>
        <v>ON</v>
      </c>
      <c r="C6" s="16">
        <v>5135</v>
      </c>
      <c r="D6" s="17">
        <v>6068</v>
      </c>
      <c r="E6" s="18" t="s">
        <v>17</v>
      </c>
      <c r="F6" s="14">
        <f>IF($B6="OFF",BE6,VLOOKUP($D6,Receptury_z!$D:$AI,F$4,0))</f>
        <v>0</v>
      </c>
      <c r="G6" s="14">
        <f>IF($B6="OFF",BF6,VLOOKUP($D6,Receptury_z!$D:$AI,G$4,0))</f>
        <v>0</v>
      </c>
      <c r="H6" s="14">
        <f>IF($B6="OFF",BG6,VLOOKUP($D6,Receptury_z!$D:$AI,H$4,0))</f>
        <v>0</v>
      </c>
      <c r="I6" s="14">
        <f>IF($B6="OFF",BH6,VLOOKUP($D6,Receptury_z!$D:$AI,I$4,0))</f>
        <v>0</v>
      </c>
      <c r="J6" s="14">
        <f>IF($B6="OFF",BI6,VLOOKUP($D6,Receptury_z!$D:$AI,J$4,0))</f>
        <v>0</v>
      </c>
      <c r="K6" s="14">
        <f>IF($B6="OFF",BJ6,VLOOKUP($D6,Receptury_z!$D:$AI,K$4,0))</f>
        <v>619.69000000000005</v>
      </c>
      <c r="L6" s="14">
        <f>IF($B6="OFF",BK6,VLOOKUP($D6,Receptury_z!$D:$AI,L$4,0))</f>
        <v>0</v>
      </c>
      <c r="M6" s="14">
        <f>IF($B6="OFF",BL6,VLOOKUP($D6,Receptury_z!$D:$AI,M$4,0))</f>
        <v>0</v>
      </c>
      <c r="N6" s="14">
        <f>IF($B6="OFF",BM6,VLOOKUP($D6,Receptury_z!$D:$AI,N$4,0))</f>
        <v>0</v>
      </c>
      <c r="O6" s="14">
        <f>IF($B6="OFF",BN6,VLOOKUP($D6,Receptury_z!$D:$AI,O$4,0))</f>
        <v>0</v>
      </c>
      <c r="P6" s="14">
        <f>IF($B6="OFF",BO6,VLOOKUP($D6,Receptury_z!$D:$AI,P$4,0))</f>
        <v>0</v>
      </c>
      <c r="Q6" s="14">
        <f>IF($B6="OFF",BP6,VLOOKUP($D6,Receptury_z!$D:$AI,Q$4,0))</f>
        <v>0</v>
      </c>
      <c r="R6" s="14">
        <f>IF($B6="OFF",BQ6,VLOOKUP($D6,Receptury_z!$D:$AI,R$4,0))</f>
        <v>0</v>
      </c>
      <c r="S6" s="14">
        <f>IF($B6="OFF",BR6,VLOOKUP($D6,Receptury_z!$D:$AI,S$4,0))</f>
        <v>0</v>
      </c>
      <c r="T6" s="14">
        <f>IF($B6="OFF",BS6,VLOOKUP($D6,Receptury_z!$D:$AI,T$4,0))</f>
        <v>0</v>
      </c>
      <c r="U6" s="14">
        <f>IF($B6="OFF",BT6,VLOOKUP($D6,Receptury_z!$D:$AI,U$4,0))</f>
        <v>0</v>
      </c>
      <c r="V6" s="14">
        <f>IF($B6="OFF",BU6,VLOOKUP($D6,Receptury_z!$D:$AI,V$4,0))</f>
        <v>0</v>
      </c>
      <c r="W6" s="14">
        <f>IF($B6="OFF",BV6,VLOOKUP($D6,Receptury_z!$D:$AI,W$4,0))</f>
        <v>0</v>
      </c>
      <c r="X6" s="14">
        <f>IF($B6="OFF",BW6,VLOOKUP($D6,Receptury_z!$D:$AI,X$4,0))</f>
        <v>0</v>
      </c>
      <c r="Y6" s="14">
        <f>IF($B6="OFF",BX6,VLOOKUP($D6,Receptury_z!$D:$AI,Y$4,0))</f>
        <v>0</v>
      </c>
      <c r="Z6" s="14">
        <f>IF($B6="OFF",BY6,VLOOKUP($D6,Receptury_z!$D:$AI,Z$4,0))</f>
        <v>0</v>
      </c>
      <c r="AA6" s="14">
        <f>IF($B6="OFF",BZ6,VLOOKUP($D6,Receptury_z!$D:$AI,AA$4,0))</f>
        <v>0</v>
      </c>
      <c r="AB6" s="14">
        <f>IF($B6="OFF",CA6,VLOOKUP($D6,Receptury_z!$D:$AI,AB$4,0))</f>
        <v>0</v>
      </c>
      <c r="AC6" s="14">
        <f>IF($B6="OFF",CB6,VLOOKUP($D6,Receptury_z!$D:$AI,AC$4,0))</f>
        <v>0</v>
      </c>
      <c r="AD6" s="14">
        <f>IF($B6="OFF",CC6,VLOOKUP($D6,Receptury_z!$D:$AI,AD$4,0))</f>
        <v>0</v>
      </c>
      <c r="AE6" s="14">
        <f>IF($B6="OFF",CD6,VLOOKUP($D6,Receptury_z!$D:$AI,AE$4,0))</f>
        <v>0</v>
      </c>
      <c r="AF6" s="14">
        <f>IF($B6="OFF",CE6,VLOOKUP($D6,Receptury_z!$D:$AI,AF$4,0))</f>
        <v>0</v>
      </c>
      <c r="AG6" s="14">
        <f>IF($B6="OFF",CF6,VLOOKUP($D6,Receptury_z!$D:$AI,AG$4,0))</f>
        <v>0</v>
      </c>
      <c r="AH6" s="14">
        <f>IF($B6="OFF",CG6,VLOOKUP($D6,Receptury_z!$D:$AI,AH$4,0))</f>
        <v>0</v>
      </c>
      <c r="AI6" s="14">
        <f>IF($B6="OFF",CH6,VLOOKUP($D6,Receptury_z!$D:$AI,AI$4,0))</f>
        <v>0</v>
      </c>
      <c r="AJ6" s="14">
        <f>IF($B6="OFF",CI6,VLOOKUP($D6,Receptury_z!$D:$AS,AJ$4,0))</f>
        <v>0</v>
      </c>
      <c r="AK6" s="14">
        <f>IF($B6="OFF",CJ6,VLOOKUP($D6,Receptury_z!$D:$AS,AK$4,0))</f>
        <v>0</v>
      </c>
      <c r="AL6" s="14">
        <f>IF($B6="OFF",CK6,VLOOKUP($D6,Receptury_z!$D:$AS,AL$4,0))</f>
        <v>0</v>
      </c>
      <c r="AM6" s="14">
        <f>IF($B6="OFF",CL6,VLOOKUP($D6,Receptury_z!$D:$AS,AM$4,0))</f>
        <v>0</v>
      </c>
      <c r="AN6" s="14">
        <f>IF($B6="OFF",CM6,VLOOKUP($D6,Receptury_z!$D:$AS,AN$4,0))</f>
        <v>0</v>
      </c>
      <c r="AO6" s="14">
        <f>IF($B6="OFF",CN6,VLOOKUP($D6,Receptury_z!$D:$AS,AO$4,0))</f>
        <v>0</v>
      </c>
      <c r="AP6" s="14">
        <f>IF($B6="OFF",CO6,VLOOKUP($D6,Receptury_z!$D:$AS,AP$4,0))</f>
        <v>0</v>
      </c>
      <c r="AQ6" s="14">
        <f>IF($B6="OFF",CP6,VLOOKUP($D6,Receptury_z!$D:$AS,AQ$4,0))</f>
        <v>0</v>
      </c>
      <c r="AR6" s="14">
        <f>IF($B6="OFF",CQ6,VLOOKUP($D6,Receptury_z!$D:$AS,AR$4,0))</f>
        <v>0</v>
      </c>
      <c r="AS6" s="14">
        <f>IF($B6="OFF",CR6,VLOOKUP($D6,Receptury_z!$D:$AS,AS$4,0))</f>
        <v>0</v>
      </c>
      <c r="AT6" s="14">
        <f>IF($B6="OFF",CS6,VLOOKUP($D6,Receptury_z!$D:$AV,AT$4,0))</f>
        <v>0</v>
      </c>
      <c r="AU6" s="14">
        <f>IF($B6="OFF",CT6,VLOOKUP($D6,Receptury_z!$D:$AV,AU$4,0))</f>
        <v>0</v>
      </c>
      <c r="AV6" s="14">
        <f>IF($B6="OFF",CU6,VLOOKUP($D6,Receptury_z!$D:$AV,AV$4,0))</f>
        <v>0</v>
      </c>
      <c r="AW6" s="14">
        <f>IF($B6="OFF",CV6,VLOOKUP($D6,Receptury_z!$D:$BA,AW$4,0))</f>
        <v>0</v>
      </c>
      <c r="AX6" s="14">
        <f>IF($B6="OFF",CW6,VLOOKUP($D6,Receptury_z!$D:$BA,AX$4,0))</f>
        <v>0</v>
      </c>
      <c r="AY6" s="14">
        <f>IF($B6="OFF",CX6,VLOOKUP($D6,Receptury_z!$D:$BA,AY$4,0))</f>
        <v>0</v>
      </c>
      <c r="AZ6" s="14">
        <f>IF($B6="OFF",DA6,VLOOKUP($D6,Receptury_z!$D:$BA,AZ$4,0))</f>
        <v>0</v>
      </c>
      <c r="BA6" s="14">
        <f>IF($B6="OFF",DB6,VLOOKUP($D6,Receptury_z!$D:$BA,BA$4,0))</f>
        <v>0</v>
      </c>
      <c r="BC6" s="17">
        <v>6068</v>
      </c>
      <c r="BD6" s="18" t="s">
        <v>17</v>
      </c>
      <c r="BE6" s="239">
        <v>0</v>
      </c>
      <c r="BF6" s="239">
        <v>0</v>
      </c>
      <c r="BG6" s="239">
        <v>0</v>
      </c>
      <c r="BH6" s="239">
        <v>0</v>
      </c>
      <c r="BI6" s="239">
        <v>0</v>
      </c>
      <c r="BJ6" s="239">
        <v>619.69000000000005</v>
      </c>
      <c r="BK6" s="239">
        <v>0</v>
      </c>
      <c r="BL6" s="239">
        <v>0</v>
      </c>
      <c r="BM6" s="239">
        <v>0</v>
      </c>
      <c r="BN6" s="239">
        <v>0</v>
      </c>
      <c r="BO6" s="239">
        <v>0</v>
      </c>
      <c r="BP6" s="239">
        <v>0</v>
      </c>
      <c r="BQ6" s="239">
        <v>0</v>
      </c>
      <c r="BR6" s="239">
        <v>0</v>
      </c>
      <c r="BS6" s="239">
        <v>0</v>
      </c>
      <c r="BT6" s="239">
        <v>0</v>
      </c>
      <c r="BU6" s="239">
        <v>0</v>
      </c>
      <c r="BV6" s="239">
        <v>0</v>
      </c>
      <c r="BW6" s="239">
        <v>0</v>
      </c>
      <c r="BX6" s="239">
        <v>0</v>
      </c>
      <c r="BY6" s="239">
        <v>0</v>
      </c>
      <c r="BZ6" s="239">
        <v>0</v>
      </c>
      <c r="CA6" s="239">
        <v>0</v>
      </c>
      <c r="CB6" s="239">
        <v>0</v>
      </c>
      <c r="CC6" s="239">
        <v>0</v>
      </c>
      <c r="CD6" s="239">
        <v>0</v>
      </c>
      <c r="CE6" s="239">
        <v>0</v>
      </c>
      <c r="CF6" s="239">
        <v>0</v>
      </c>
      <c r="CG6" s="239">
        <v>0</v>
      </c>
      <c r="CH6" s="239">
        <v>0</v>
      </c>
      <c r="CI6" s="239">
        <v>0</v>
      </c>
      <c r="CJ6" s="239">
        <v>0</v>
      </c>
      <c r="CK6" s="239">
        <v>0</v>
      </c>
      <c r="CL6" s="239">
        <v>0</v>
      </c>
      <c r="CM6" s="80"/>
      <c r="CN6" s="80"/>
      <c r="CO6" s="80"/>
      <c r="CP6" s="80"/>
      <c r="CQ6" s="80"/>
      <c r="CR6" s="80"/>
      <c r="CS6" s="80"/>
      <c r="CT6" s="80"/>
      <c r="CU6" s="80"/>
      <c r="CV6" s="80"/>
      <c r="CW6" s="80"/>
      <c r="CX6" s="80"/>
      <c r="CY6" s="80"/>
      <c r="CZ6" s="80"/>
      <c r="DB6">
        <f>IFERROR(VLOOKUP($D6,'Kalkulator mięs '!$C$5:$H$533,DB$4,0)*F6,0)</f>
        <v>0</v>
      </c>
      <c r="DC6">
        <f>IFERROR(VLOOKUP($D6,'Kalkulator mięs '!$C$5:$H$533,DC$4,0)*F6,0)</f>
        <v>0</v>
      </c>
      <c r="DD6">
        <f>IFERROR(VLOOKUP($D6,'Kalkulator mięs '!$C$5:$H$533,DD$4,0)*F6,0)</f>
        <v>0</v>
      </c>
      <c r="DE6">
        <f>IFERROR(VLOOKUP($D6,'Kalkulator mięs '!$C$5:$H$533,DE$4,0)*$G6,0)</f>
        <v>0</v>
      </c>
      <c r="DF6">
        <f>IFERROR(VLOOKUP($D6,'Kalkulator mięs '!$C$5:$H$533,DF$4,0)*$G6,0)</f>
        <v>0</v>
      </c>
      <c r="DG6">
        <f>IFERROR(VLOOKUP($D6,'Kalkulator mięs '!$C$5:$H$533,DG$4,0)*$G6,0)</f>
        <v>0</v>
      </c>
      <c r="DH6">
        <f>IFERROR(VLOOKUP($D6,'Kalkulator mięs '!$C$5:$H$533,DH$4,0)*$H6,0)</f>
        <v>0</v>
      </c>
      <c r="DI6">
        <f>IFERROR(VLOOKUP($D6,'Kalkulator mięs '!$C$5:$H$533,DI$4,0)*$H6,0)</f>
        <v>0</v>
      </c>
      <c r="DJ6">
        <f>IFERROR(VLOOKUP($D6,'Kalkulator mięs '!$C$5:$H$533,DJ$4,0)*$H6,0)</f>
        <v>0</v>
      </c>
      <c r="DK6">
        <f>IFERROR(VLOOKUP($D6,'Kalkulator mięs '!$C$5:$H$533,DK$4,0)*$I6,0)</f>
        <v>0</v>
      </c>
      <c r="DL6">
        <f>IFERROR(VLOOKUP($D6,'Kalkulator mięs '!$C$5:$H$533,DL$4,0)*$I6,0)</f>
        <v>0</v>
      </c>
      <c r="DM6">
        <f>IFERROR(VLOOKUP($D6,'Kalkulator mięs '!$C$5:$H$533,DM$4,0)*$I6,0)</f>
        <v>0</v>
      </c>
      <c r="DN6">
        <f>IFERROR(VLOOKUP($D6,'Kalkulator mięs '!$C$5:$H$533,DN$4,0)*$J6,0)</f>
        <v>0</v>
      </c>
      <c r="DO6">
        <f>IFERROR(VLOOKUP($D6,'Kalkulator mięs '!$C$5:$H$533,DO$4,0)*$J6,0)</f>
        <v>0</v>
      </c>
      <c r="DP6">
        <f>IFERROR(VLOOKUP($D6,'Kalkulator mięs '!$C$5:$H$533,DP$4,0)*$J6,0)</f>
        <v>0</v>
      </c>
      <c r="DQ6">
        <f>IFERROR(VLOOKUP($D6,'Kalkulator mięs '!$C$5:$H$533,DQ$4,0)*$K6,0)</f>
        <v>0</v>
      </c>
      <c r="DR6">
        <f>IFERROR(VLOOKUP($D6,'Kalkulator mięs '!$C$5:$H$533,DR$4,0)*$K6,0)</f>
        <v>0</v>
      </c>
      <c r="DS6">
        <f>IFERROR(VLOOKUP($D6,'Kalkulator mięs '!$C$5:$H$533,DS$4,0)*$K6,0)</f>
        <v>0</v>
      </c>
      <c r="DT6">
        <f>IFERROR(VLOOKUP($D6,'Kalkulator mięs '!$C$5:$H$533,DT$4,0)*$L6,0)</f>
        <v>0</v>
      </c>
      <c r="DU6">
        <f>IFERROR(VLOOKUP($D6,'Kalkulator mięs '!$C$5:$H$533,DU$4,0)*$L6,0)</f>
        <v>0</v>
      </c>
      <c r="DV6">
        <f>IFERROR(VLOOKUP($D6,'Kalkulator mięs '!$C$5:$H$533,DV$4,0)*$L6,0)</f>
        <v>0</v>
      </c>
      <c r="DW6">
        <f>IFERROR(VLOOKUP($D6,'Kalkulator mięs '!$C$5:$H$533,DW$4,0)*$M6,0)</f>
        <v>0</v>
      </c>
      <c r="DX6">
        <f>IFERROR(VLOOKUP($D6,'Kalkulator mięs '!$C$5:$H$533,DX$4,0)*$M6,0)</f>
        <v>0</v>
      </c>
      <c r="DY6">
        <f>IFERROR(VLOOKUP($D6,'Kalkulator mięs '!$C$5:$H$533,DY$4,0)*$M6,0)</f>
        <v>0</v>
      </c>
      <c r="DZ6">
        <f>IFERROR(VLOOKUP($D6,'Kalkulator mięs '!$C$5:$H$533,DZ$4,0)*$N6,0)</f>
        <v>0</v>
      </c>
      <c r="EA6">
        <f>IFERROR(VLOOKUP($D6,'Kalkulator mięs '!$C$5:$H$533,EA$4,0)*$N6,0)</f>
        <v>0</v>
      </c>
      <c r="EB6">
        <f>IFERROR(VLOOKUP($D6,'Kalkulator mięs '!$C$5:$H$533,EB$4,0)*$N6,0)</f>
        <v>0</v>
      </c>
      <c r="EC6">
        <f>IFERROR(VLOOKUP($D6,'Kalkulator mięs '!$C$5:$H$533,EC$4,0)*$O6,0)</f>
        <v>0</v>
      </c>
      <c r="ED6">
        <f>IFERROR(VLOOKUP($D6,'Kalkulator mięs '!$C$5:$H$533,ED$4,0)*$O6,0)</f>
        <v>0</v>
      </c>
      <c r="EE6">
        <f>IFERROR(VLOOKUP($D6,'Kalkulator mięs '!$C$5:$H$533,EE$4,0)*$O6,0)</f>
        <v>0</v>
      </c>
      <c r="EF6">
        <f>IFERROR(VLOOKUP($D6,'Kalkulator mięs '!$C$5:$H$533,EF$4,0)*$P6,0)</f>
        <v>0</v>
      </c>
      <c r="EG6">
        <f>IFERROR(VLOOKUP($D6,'Kalkulator mięs '!$C$5:$H$533,EG$4,0)*$P6,0)</f>
        <v>0</v>
      </c>
      <c r="EH6">
        <f>IFERROR(VLOOKUP($D6,'Kalkulator mięs '!$C$5:$H$533,EH$4,0)*$P6,0)</f>
        <v>0</v>
      </c>
      <c r="EI6">
        <f>IFERROR(VLOOKUP($D6,'Kalkulator mięs '!$C$5:$H$533,EI$4,0)*$Q6,0)</f>
        <v>0</v>
      </c>
      <c r="EJ6">
        <f>IFERROR(VLOOKUP($D6,'Kalkulator mięs '!$C$5:$H$533,EJ$4,0)*$Q6,0)</f>
        <v>0</v>
      </c>
      <c r="EK6">
        <f>IFERROR(VLOOKUP($D6,'Kalkulator mięs '!$C$5:$H$533,EK$4,0)*$Q6,0)</f>
        <v>0</v>
      </c>
      <c r="EL6">
        <f>IFERROR(VLOOKUP($D6,'Kalkulator mięs '!$C$5:$H$533,EL$4,0)*$R6,0)</f>
        <v>0</v>
      </c>
      <c r="EM6">
        <f>IFERROR(VLOOKUP($D6,'Kalkulator mięs '!$C$5:$H$533,EM$4,0)*$R6,0)</f>
        <v>0</v>
      </c>
      <c r="EN6">
        <f>IFERROR(VLOOKUP($D6,'Kalkulator mięs '!$C$5:$H$533,EN$4,0)*$R6,0)</f>
        <v>0</v>
      </c>
      <c r="EO6">
        <f>IFERROR(VLOOKUP($D6,'Kalkulator mięs '!$C$5:$H$533,EO$4,0)*$S6,0)</f>
        <v>0</v>
      </c>
      <c r="EP6">
        <f>IFERROR(VLOOKUP($D6,'Kalkulator mięs '!$C$5:$H$533,EP$4,0)*$S6,0)</f>
        <v>0</v>
      </c>
      <c r="EQ6">
        <f>IFERROR(VLOOKUP($D6,'Kalkulator mięs '!$C$5:$H$533,EQ$4,0)*$S6,0)</f>
        <v>0</v>
      </c>
      <c r="ER6">
        <f>IFERROR(VLOOKUP($D6,'Kalkulator mięs '!$C$5:$H$533,ER$4,0)*$T6,0)</f>
        <v>0</v>
      </c>
      <c r="ES6">
        <f>IFERROR(VLOOKUP($D6,'Kalkulator mięs '!$C$5:$H$533,ES$4,0)*$T6,0)</f>
        <v>0</v>
      </c>
      <c r="ET6">
        <f>IFERROR(VLOOKUP($D6,'Kalkulator mięs '!$C$5:$H$533,ET$4,0)*$T6,0)</f>
        <v>0</v>
      </c>
      <c r="EU6">
        <f>IFERROR(VLOOKUP($D6,'Kalkulator mięs '!$C$5:$H$533,EU$4,0)*$U6,0)</f>
        <v>0</v>
      </c>
      <c r="EV6">
        <f>IFERROR(VLOOKUP($D6,'Kalkulator mięs '!$C$5:$H$533,EV$4,0)*$U6,0)</f>
        <v>0</v>
      </c>
      <c r="EW6">
        <f>IFERROR(VLOOKUP($D6,'Kalkulator mięs '!$C$5:$H$533,EW$4,0)*$U6,0)</f>
        <v>0</v>
      </c>
      <c r="EX6">
        <f>IFERROR(VLOOKUP($D6,'Kalkulator mięs '!$C$5:$H$533,EX$4,0)*$V6,0)</f>
        <v>0</v>
      </c>
      <c r="EY6">
        <f>IFERROR(VLOOKUP($D6,'Kalkulator mięs '!$C$5:$H$533,EY$4,0)*$V6,0)</f>
        <v>0</v>
      </c>
      <c r="EZ6">
        <f>IFERROR(VLOOKUP($D6,'Kalkulator mięs '!$C$5:$H$533,EZ$4,0)*$V6,0)</f>
        <v>0</v>
      </c>
      <c r="FA6">
        <f>IFERROR(VLOOKUP($D6,'Kalkulator mięs '!$C$5:$H$533,FA$4,0)*$W6,0)</f>
        <v>0</v>
      </c>
      <c r="FB6">
        <f>IFERROR(VLOOKUP($D6,'Kalkulator mięs '!$C$5:$H$533,FB$4,0)*$W6,0)</f>
        <v>0</v>
      </c>
      <c r="FC6">
        <f>IFERROR(VLOOKUP($D6,'Kalkulator mięs '!$C$5:$H$533,FC$4,0)*$W6,0)</f>
        <v>0</v>
      </c>
      <c r="FD6">
        <f>IFERROR(VLOOKUP($D6,'Kalkulator mięs '!$C$5:$H$533,FD$4,0)*$X6,0)</f>
        <v>0</v>
      </c>
      <c r="FE6">
        <f>IFERROR(VLOOKUP($D6,'Kalkulator mięs '!$C$5:$H$533,FE$4,0)*$X6,0)</f>
        <v>0</v>
      </c>
      <c r="FF6">
        <f>IFERROR(VLOOKUP($D6,'Kalkulator mięs '!$C$5:$H$533,FF$4,0)*$X6,0)</f>
        <v>0</v>
      </c>
      <c r="FG6">
        <f>IFERROR(VLOOKUP($D6,'Kalkulator mięs '!$C$5:$H$533,FG$4,0)*$Y6,0)</f>
        <v>0</v>
      </c>
      <c r="FH6">
        <f>IFERROR(VLOOKUP($D6,'Kalkulator mięs '!$C$5:$H$533,FH$4,0)*$Y6,0)</f>
        <v>0</v>
      </c>
      <c r="FI6">
        <f>IFERROR(VLOOKUP($D6,'Kalkulator mięs '!$C$5:$H$533,FI$4,0)*$Y6,0)</f>
        <v>0</v>
      </c>
      <c r="FJ6">
        <f>IFERROR(VLOOKUP($D6,'Kalkulator mięs '!$C$5:$H$533,FJ$4,0)*$Z6,0)</f>
        <v>0</v>
      </c>
      <c r="FK6">
        <f>IFERROR(VLOOKUP($D6,'Kalkulator mięs '!$C$5:$H$533,FK$4,0)*$Z6,0)</f>
        <v>0</v>
      </c>
      <c r="FL6">
        <f>IFERROR(VLOOKUP($D6,'Kalkulator mięs '!$C$5:$H$533,FL$4,0)*$Z6,0)</f>
        <v>0</v>
      </c>
      <c r="FM6">
        <f>IFERROR(VLOOKUP($D6,'Kalkulator mięs '!$C$5:$H$533,FM$4,0)*$AA6,0)</f>
        <v>0</v>
      </c>
      <c r="FN6">
        <f>IFERROR(VLOOKUP($D6,'Kalkulator mięs '!$C$5:$H$533,FN$4,0)*$AA6,0)</f>
        <v>0</v>
      </c>
      <c r="FO6">
        <f>IFERROR(VLOOKUP($D6,'Kalkulator mięs '!$C$5:$H$533,FO$4,0)*$AA6,0)</f>
        <v>0</v>
      </c>
      <c r="FP6">
        <f>IFERROR(VLOOKUP($D6,'Kalkulator mięs '!$C$5:$H$533,FP$4,0)*$AB6,0)</f>
        <v>0</v>
      </c>
      <c r="FQ6">
        <f>IFERROR(VLOOKUP($D6,'Kalkulator mięs '!$C$5:$H$533,FQ$4,0)*$AB6,0)</f>
        <v>0</v>
      </c>
      <c r="FR6">
        <f>IFERROR(VLOOKUP($D6,'Kalkulator mięs '!$C$5:$H$533,FR$4,0)*$AB6,0)</f>
        <v>0</v>
      </c>
      <c r="FS6">
        <f>IFERROR(VLOOKUP($D6,'Kalkulator mięs '!$C$5:$H$533,FS$4,0)*$AC6,0)</f>
        <v>0</v>
      </c>
      <c r="FT6">
        <f>IFERROR(VLOOKUP($D6,'Kalkulator mięs '!$C$5:$H$533,FT$4,0)*$AC6,0)</f>
        <v>0</v>
      </c>
      <c r="FU6">
        <f>IFERROR(VLOOKUP($D6,'Kalkulator mięs '!$C$5:$H$533,FU$4,0)*$AC6,0)</f>
        <v>0</v>
      </c>
      <c r="FV6">
        <f>IFERROR(VLOOKUP($D6,'Kalkulator mięs '!$C$5:$H$533,FV$4,0)*$AD6,0)</f>
        <v>0</v>
      </c>
      <c r="FW6">
        <f>IFERROR(VLOOKUP($D6,'Kalkulator mięs '!$C$5:$H$533,FW$4,0)*$AD6,0)</f>
        <v>0</v>
      </c>
      <c r="FX6">
        <f>IFERROR(VLOOKUP($D6,'Kalkulator mięs '!$C$5:$H$533,FX$4,0)*$AD6,0)</f>
        <v>0</v>
      </c>
      <c r="FY6">
        <f>IFERROR(VLOOKUP($D6,'Kalkulator mięs '!$C$5:$H$533,FY$4,0)*$AE6,0)</f>
        <v>0</v>
      </c>
      <c r="FZ6">
        <f>IFERROR(VLOOKUP($D6,'Kalkulator mięs '!$C$5:$H$533,FZ$4,0)*$AE6,0)</f>
        <v>0</v>
      </c>
      <c r="GA6">
        <f>IFERROR(VLOOKUP($D6,'Kalkulator mięs '!$C$5:$H$533,GA$4,0)*$AE6,0)</f>
        <v>0</v>
      </c>
      <c r="GB6">
        <f>IFERROR(VLOOKUP($D6,'Kalkulator mięs '!$C$5:$H$533,GB$4,0)*$AF6,0)</f>
        <v>0</v>
      </c>
      <c r="GC6">
        <f>IFERROR(VLOOKUP($D6,'Kalkulator mięs '!$C$5:$H$533,GC$4,0)*$AF6,0)</f>
        <v>0</v>
      </c>
      <c r="GD6">
        <f>IFERROR(VLOOKUP($D6,'Kalkulator mięs '!$C$5:$H$533,GD$4,0)*$AF6,0)</f>
        <v>0</v>
      </c>
      <c r="GE6">
        <f>IFERROR(VLOOKUP($D6,'Kalkulator mięs '!$C$5:$H$533,GE$4,0)*$AG6,0)</f>
        <v>0</v>
      </c>
      <c r="GF6">
        <f>IFERROR(VLOOKUP($D6,'Kalkulator mięs '!$C$5:$H$533,GF$4,0)*$AG6,0)</f>
        <v>0</v>
      </c>
      <c r="GG6">
        <f>IFERROR(VLOOKUP($D6,'Kalkulator mięs '!$C$5:$H$533,GG$4,0)*$AG6,0)</f>
        <v>0</v>
      </c>
      <c r="GH6">
        <f>IFERROR(VLOOKUP($D6,'Kalkulator mięs '!$C$5:$H$533,GH$4,0)*$AH6,0)</f>
        <v>0</v>
      </c>
      <c r="GI6">
        <f>IFERROR(VLOOKUP($D6,'Kalkulator mięs '!$C$5:$H$533,GI$4,0)*$AH6,0)</f>
        <v>0</v>
      </c>
      <c r="GJ6">
        <f>IFERROR(VLOOKUP($D6,'Kalkulator mięs '!$C$5:$H$533,GJ$4,0)*$AH6,0)</f>
        <v>0</v>
      </c>
      <c r="GK6">
        <f>IFERROR(VLOOKUP($D6,'Kalkulator mięs '!$C$5:$H$533,GK$4,0)*$AI6,0)</f>
        <v>0</v>
      </c>
      <c r="GL6">
        <f>IFERROR(VLOOKUP($D6,'Kalkulator mięs '!$C$5:$H$533,GL$4,0)*$AI6,0)</f>
        <v>0</v>
      </c>
      <c r="GM6">
        <f>IFERROR(VLOOKUP($D6,'Kalkulator mięs '!$C$5:$H$533,GM$4,0)*$AI6,0)</f>
        <v>0</v>
      </c>
      <c r="GN6">
        <f>IFERROR(VLOOKUP($D6,'Kalkulator mięs '!$C$5:$H$533,GN$4,0)*$AJ6,0)</f>
        <v>0</v>
      </c>
      <c r="GO6">
        <f>IFERROR(VLOOKUP($D6,'Kalkulator mięs '!$C$5:$H$533,GO$4,0)*$AJ6,0)</f>
        <v>0</v>
      </c>
      <c r="GP6">
        <f>IFERROR(VLOOKUP($D6,'Kalkulator mięs '!$C$5:$H$533,GP$4,0)*$AJ6,0)</f>
        <v>0</v>
      </c>
      <c r="GQ6">
        <f>IFERROR(VLOOKUP($D6,'Kalkulator mięs '!$C$5:$H$533,GQ$4,0)*$AK6,0)</f>
        <v>0</v>
      </c>
      <c r="GR6">
        <f>IFERROR(VLOOKUP($D6,'Kalkulator mięs '!$C$5:$H$533,GR$4,0)*$AK6,0)</f>
        <v>0</v>
      </c>
      <c r="GS6">
        <f>IFERROR(VLOOKUP($D6,'Kalkulator mięs '!$C$5:$H$533,GS$4,0)*$AK6,0)</f>
        <v>0</v>
      </c>
      <c r="GT6">
        <f>IFERROR(VLOOKUP($D6,'Kalkulator mięs '!$C$5:$H$533,GT$4,0)*$AL6,0)</f>
        <v>0</v>
      </c>
      <c r="GU6">
        <f>IFERROR(VLOOKUP($D6,'Kalkulator mięs '!$C$5:$H$533,GU$4,0)*$AL6,0)</f>
        <v>0</v>
      </c>
      <c r="GV6">
        <f>IFERROR(VLOOKUP($D6,'Kalkulator mięs '!$C$5:$H$533,GV$4,0)*$AL6,0)</f>
        <v>0</v>
      </c>
      <c r="GW6">
        <f>IFERROR(VLOOKUP($D6,'Kalkulator mięs '!$C$5:$H$533,GW$4,0)*$AM6,0)</f>
        <v>0</v>
      </c>
      <c r="GX6">
        <f>IFERROR(VLOOKUP($D6,'Kalkulator mięs '!$C$5:$H$533,GX$4,0)*$AM6,0)</f>
        <v>0</v>
      </c>
      <c r="GY6">
        <f>IFERROR(VLOOKUP($D6,'Kalkulator mięs '!$C$5:$H$533,GY$4,0)*$AM6,0)</f>
        <v>0</v>
      </c>
      <c r="GZ6">
        <f>IFERROR(VLOOKUP($D6,'Kalkulator mięs '!$C$5:$H$533,GZ$4,0)*$AN6,0)</f>
        <v>0</v>
      </c>
      <c r="HA6">
        <f>IFERROR(VLOOKUP($D6,'Kalkulator mięs '!$C$5:$H$533,HA$4,0)*$AN6,0)</f>
        <v>0</v>
      </c>
      <c r="HB6">
        <f>IFERROR(VLOOKUP($D6,'Kalkulator mięs '!$C$5:$H$533,HB$4,0)*$AN6,0)</f>
        <v>0</v>
      </c>
      <c r="HC6">
        <f>IFERROR(VLOOKUP($D6,'Kalkulator mięs '!$C$5:$H$533,HC$4,0)*$AO6,0)</f>
        <v>0</v>
      </c>
      <c r="HD6">
        <f>IFERROR(VLOOKUP($D6,'Kalkulator mięs '!$C$5:$H$533,HD$4,0)*$AO6,0)</f>
        <v>0</v>
      </c>
      <c r="HE6">
        <f>IFERROR(VLOOKUP($D6,'Kalkulator mięs '!$C$5:$H$533,HE$4,0)*$AO6,0)</f>
        <v>0</v>
      </c>
      <c r="HF6">
        <f>IFERROR(VLOOKUP($D6,'Kalkulator mięs '!$C$5:$H$533,HF$4,0)*$AP6,0)</f>
        <v>0</v>
      </c>
      <c r="HG6">
        <f>IFERROR(VLOOKUP($D6,'Kalkulator mięs '!$C$5:$H$533,HG$4,0)*$AP6,0)</f>
        <v>0</v>
      </c>
      <c r="HH6">
        <f>IFERROR(VLOOKUP($D6,'Kalkulator mięs '!$C$5:$H$533,HH$4,0)*$AP6,0)</f>
        <v>0</v>
      </c>
      <c r="HI6">
        <f>IFERROR(VLOOKUP($D6,'Kalkulator mięs '!$C$5:$H$533,HI$4,0)*$AQ6,0)</f>
        <v>0</v>
      </c>
      <c r="HJ6">
        <f>IFERROR(VLOOKUP($D6,'Kalkulator mięs '!$C$5:$H$533,HJ$4,0)*$AQ6,0)</f>
        <v>0</v>
      </c>
      <c r="HK6">
        <f>IFERROR(VLOOKUP($D6,'Kalkulator mięs '!$C$5:$H$533,HK$4,0)*$AQ6,0)</f>
        <v>0</v>
      </c>
      <c r="HL6">
        <f>IFERROR(VLOOKUP($D6,'Kalkulator mięs '!$C$5:$H$533,HL$4,0)*$AR6,0)</f>
        <v>0</v>
      </c>
      <c r="HM6">
        <f>IFERROR(VLOOKUP($D6,'Kalkulator mięs '!$C$5:$H$533,HM$4,0)*$AR6,0)</f>
        <v>0</v>
      </c>
      <c r="HN6">
        <f>IFERROR(VLOOKUP($D6,'Kalkulator mięs '!$C$5:$H$533,HN$4,0)*$AR6,0)</f>
        <v>0</v>
      </c>
      <c r="HO6">
        <f>IFERROR(VLOOKUP($D6,'Kalkulator mięs '!$C$5:$H$533,HO$4,0)*$AS6,0)</f>
        <v>0</v>
      </c>
      <c r="HP6">
        <f>IFERROR(VLOOKUP($D6,'Kalkulator mięs '!$C$5:$H$533,HP$4,0)*$AS6,0)</f>
        <v>0</v>
      </c>
      <c r="HQ6">
        <f>IFERROR(VLOOKUP($D6,'Kalkulator mięs '!$C$5:$H$533,HQ$4,0)*$AS6,0)</f>
        <v>0</v>
      </c>
      <c r="HR6">
        <f>IFERROR(VLOOKUP($D6,'Kalkulator mięs '!$C$5:$H$533,HR$4,0)*$AT6,0)</f>
        <v>0</v>
      </c>
      <c r="HS6">
        <f>IFERROR(VLOOKUP($D6,'Kalkulator mięs '!$C$5:$H$533,HS$4,0)*$AT6,0)</f>
        <v>0</v>
      </c>
      <c r="HT6">
        <f>IFERROR(VLOOKUP($D6,'Kalkulator mięs '!$C$5:$H$533,HT$4,0)*$AT6,0)</f>
        <v>0</v>
      </c>
      <c r="HU6">
        <f>IFERROR(VLOOKUP($D6,'Kalkulator mięs '!$C$5:$H$533,HU$4,0)*$AU6,0)</f>
        <v>0</v>
      </c>
      <c r="HV6">
        <f>IFERROR(VLOOKUP($D6,'Kalkulator mięs '!$C$5:$H$533,HV$4,0)*$AU6,0)</f>
        <v>0</v>
      </c>
      <c r="HW6">
        <f>IFERROR(VLOOKUP($D6,'Kalkulator mięs '!$C$5:$H$533,HW$4,0)*$AU6,0)</f>
        <v>0</v>
      </c>
      <c r="HX6">
        <f>IFERROR(VLOOKUP($D6,'Kalkulator mięs '!$C$5:$H$533,HX$4,0)*$AV6,0)</f>
        <v>0</v>
      </c>
      <c r="HY6">
        <f>IFERROR(VLOOKUP($D6,'Kalkulator mięs '!$C$5:$H$533,HY$4,0)*$AV6,0)</f>
        <v>0</v>
      </c>
      <c r="HZ6">
        <f>IFERROR(VLOOKUP($D6,'Kalkulator mięs '!$C$5:$H$533,HZ$4,0)*$AV6,0)</f>
        <v>0</v>
      </c>
      <c r="IA6">
        <f>IFERROR(VLOOKUP($D6,'Kalkulator mięs '!$C$5:$H$533,IA$4,0)*$AW6,0)</f>
        <v>0</v>
      </c>
      <c r="IB6">
        <f>IFERROR(VLOOKUP($D6,'Kalkulator mięs '!$C$5:$H$533,IB$4,0)*$AW6,0)</f>
        <v>0</v>
      </c>
      <c r="IC6">
        <f>IFERROR(VLOOKUP($D6,'Kalkulator mięs '!$C$5:$H$533,IC$4,0)*$AW6,0)</f>
        <v>0</v>
      </c>
      <c r="ID6">
        <f>IFERROR(VLOOKUP($D6,'Kalkulator mięs '!$C$5:$H$533,ID$4,0)*$AX6,0)</f>
        <v>0</v>
      </c>
      <c r="IE6">
        <f>IFERROR(VLOOKUP($D6,'Kalkulator mięs '!$C$5:$H$533,IE$4,0)*$AX6,0)</f>
        <v>0</v>
      </c>
      <c r="IF6">
        <f>IFERROR(VLOOKUP($D6,'Kalkulator mięs '!$C$5:$H$533,IF$4,0)*$AX6,0)</f>
        <v>0</v>
      </c>
      <c r="IG6">
        <f>IFERROR(VLOOKUP($D6,'Kalkulator mięs '!$C$5:$H$533,IG$4,0)*$AY6,0)</f>
        <v>0</v>
      </c>
      <c r="IH6">
        <f>IFERROR(VLOOKUP($D6,'Kalkulator mięs '!$C$5:$H$533,IH$4,0)*$AY6,0)</f>
        <v>0</v>
      </c>
      <c r="II6">
        <f>IFERROR(VLOOKUP($D6,'Kalkulator mięs '!$C$5:$H$533,II$4,0)*$AY6,0)</f>
        <v>0</v>
      </c>
      <c r="IJ6">
        <f>IFERROR(VLOOKUP($D6,'Kalkulator mięs '!$C$5:$H$533,IJ$4,0)*$AZ6,0)</f>
        <v>0</v>
      </c>
      <c r="IK6">
        <f>IFERROR(VLOOKUP($D6,'Kalkulator mięs '!$C$5:$H$533,IK$4,0)*$AZ6,0)</f>
        <v>0</v>
      </c>
      <c r="IL6">
        <f>IFERROR(VLOOKUP($D6,'Kalkulator mięs '!$C$5:$H$533,IL$4,0)*$AZ6,0)</f>
        <v>0</v>
      </c>
      <c r="IM6">
        <f>IFERROR(VLOOKUP($D6,'Kalkulator mięs '!$C$5:$H$533,IM$4,0)*$BA6,0)</f>
        <v>0</v>
      </c>
      <c r="IN6">
        <f>IFERROR(VLOOKUP($D6,'Kalkulator mięs '!$C$5:$H$533,IN$4,0)*$BA6,0)</f>
        <v>0</v>
      </c>
      <c r="IO6">
        <f>IFERROR(VLOOKUP($D6,'Kalkulator mięs '!$C$5:$H$533,IO$4,0)*$BA6,0)</f>
        <v>0</v>
      </c>
    </row>
    <row r="7" spans="2:249" ht="15.75">
      <c r="B7" t="str">
        <f>VLOOKUP(D7,Receptury_z!$A:$B,2,0)</f>
        <v>ON</v>
      </c>
      <c r="C7" s="16">
        <v>5135</v>
      </c>
      <c r="D7" s="17">
        <v>6066</v>
      </c>
      <c r="E7" s="18" t="s">
        <v>15251</v>
      </c>
      <c r="F7" s="14">
        <f>IF($B7="OFF",BE7,VLOOKUP($D7,Receptury_z!$D:$AI,F$4,0))</f>
        <v>0</v>
      </c>
      <c r="G7" s="14">
        <f>IF($B7="OFF",BF7,VLOOKUP($D7,Receptury_z!$D:$AI,G$4,0))</f>
        <v>0</v>
      </c>
      <c r="H7" s="14">
        <f>IF($B7="OFF",BG7,VLOOKUP($D7,Receptury_z!$D:$AI,H$4,0))</f>
        <v>0</v>
      </c>
      <c r="I7" s="14">
        <f>IF($B7="OFF",BH7,VLOOKUP($D7,Receptury_z!$D:$AI,I$4,0))</f>
        <v>0</v>
      </c>
      <c r="J7" s="14">
        <f>IF($B7="OFF",BI7,VLOOKUP($D7,Receptury_z!$D:$AI,J$4,0))</f>
        <v>0</v>
      </c>
      <c r="K7" s="14">
        <f>IF($B7="OFF",BJ7,VLOOKUP($D7,Receptury_z!$D:$AI,K$4,0))</f>
        <v>619.69000000000005</v>
      </c>
      <c r="L7" s="14">
        <f>IF($B7="OFF",BK7,VLOOKUP($D7,Receptury_z!$D:$AI,L$4,0))</f>
        <v>0</v>
      </c>
      <c r="M7" s="14">
        <f>IF($B7="OFF",BL7,VLOOKUP($D7,Receptury_z!$D:$AI,M$4,0))</f>
        <v>0</v>
      </c>
      <c r="N7" s="14">
        <f>IF($B7="OFF",BM7,VLOOKUP($D7,Receptury_z!$D:$AI,N$4,0))</f>
        <v>0</v>
      </c>
      <c r="O7" s="14">
        <f>IF($B7="OFF",BN7,VLOOKUP($D7,Receptury_z!$D:$AI,O$4,0))</f>
        <v>0</v>
      </c>
      <c r="P7" s="14">
        <f>IF($B7="OFF",BO7,VLOOKUP($D7,Receptury_z!$D:$AI,P$4,0))</f>
        <v>0</v>
      </c>
      <c r="Q7" s="14">
        <f>IF($B7="OFF",BP7,VLOOKUP($D7,Receptury_z!$D:$AI,Q$4,0))</f>
        <v>0</v>
      </c>
      <c r="R7" s="14">
        <f>IF($B7="OFF",BQ7,VLOOKUP($D7,Receptury_z!$D:$AI,R$4,0))</f>
        <v>0</v>
      </c>
      <c r="S7" s="14">
        <f>IF($B7="OFF",BR7,VLOOKUP($D7,Receptury_z!$D:$AI,S$4,0))</f>
        <v>0</v>
      </c>
      <c r="T7" s="14">
        <f>IF($B7="OFF",BS7,VLOOKUP($D7,Receptury_z!$D:$AI,T$4,0))</f>
        <v>0</v>
      </c>
      <c r="U7" s="14">
        <f>IF($B7="OFF",BT7,VLOOKUP($D7,Receptury_z!$D:$AI,U$4,0))</f>
        <v>0</v>
      </c>
      <c r="V7" s="14">
        <f>IF($B7="OFF",BU7,VLOOKUP($D7,Receptury_z!$D:$AI,V$4,0))</f>
        <v>0</v>
      </c>
      <c r="W7" s="14">
        <f>IF($B7="OFF",BV7,VLOOKUP($D7,Receptury_z!$D:$AI,W$4,0))</f>
        <v>0</v>
      </c>
      <c r="X7" s="14">
        <f>IF($B7="OFF",BW7,VLOOKUP($D7,Receptury_z!$D:$AI,X$4,0))</f>
        <v>0</v>
      </c>
      <c r="Y7" s="14">
        <f>IF($B7="OFF",BX7,VLOOKUP($D7,Receptury_z!$D:$AI,Y$4,0))</f>
        <v>0</v>
      </c>
      <c r="Z7" s="14">
        <f>IF($B7="OFF",BY7,VLOOKUP($D7,Receptury_z!$D:$AI,Z$4,0))</f>
        <v>0</v>
      </c>
      <c r="AA7" s="14">
        <f>IF($B7="OFF",BZ7,VLOOKUP($D7,Receptury_z!$D:$AI,AA$4,0))</f>
        <v>0</v>
      </c>
      <c r="AB7" s="14">
        <f>IF($B7="OFF",CA7,VLOOKUP($D7,Receptury_z!$D:$AI,AB$4,0))</f>
        <v>0</v>
      </c>
      <c r="AC7" s="14">
        <f>IF($B7="OFF",CB7,VLOOKUP($D7,Receptury_z!$D:$AI,AC$4,0))</f>
        <v>0</v>
      </c>
      <c r="AD7" s="14">
        <f>IF($B7="OFF",CC7,VLOOKUP($D7,Receptury_z!$D:$AI,AD$4,0))</f>
        <v>0</v>
      </c>
      <c r="AE7" s="14">
        <f>IF($B7="OFF",CD7,VLOOKUP($D7,Receptury_z!$D:$AI,AE$4,0))</f>
        <v>0</v>
      </c>
      <c r="AF7" s="14">
        <f>IF($B7="OFF",CE7,VLOOKUP($D7,Receptury_z!$D:$AI,AF$4,0))</f>
        <v>0</v>
      </c>
      <c r="AG7" s="14">
        <f>IF($B7="OFF",CF7,VLOOKUP($D7,Receptury_z!$D:$AI,AG$4,0))</f>
        <v>0</v>
      </c>
      <c r="AH7" s="14">
        <f>IF($B7="OFF",CG7,VLOOKUP($D7,Receptury_z!$D:$AI,AH$4,0))</f>
        <v>0</v>
      </c>
      <c r="AI7" s="14">
        <f>IF($B7="OFF",CH7,VLOOKUP($D7,Receptury_z!$D:$AI,AI$4,0))</f>
        <v>0</v>
      </c>
      <c r="AJ7" s="14">
        <f>IF($B7="OFF",CI7,VLOOKUP($D7,Receptury_z!$D:$AS,AJ$4,0))</f>
        <v>0</v>
      </c>
      <c r="AK7" s="14">
        <f>IF($B7="OFF",CJ7,VLOOKUP($D7,Receptury_z!$D:$AS,AK$4,0))</f>
        <v>0</v>
      </c>
      <c r="AL7" s="14">
        <f>IF($B7="OFF",CK7,VLOOKUP($D7,Receptury_z!$D:$AS,AL$4,0))</f>
        <v>0</v>
      </c>
      <c r="AM7" s="14">
        <f>IF($B7="OFF",CL7,VLOOKUP($D7,Receptury_z!$D:$AS,AM$4,0))</f>
        <v>0</v>
      </c>
      <c r="AN7" s="14">
        <f>IF($B7="OFF",CM7,VLOOKUP($D7,Receptury_z!$D:$AS,AN$4,0))</f>
        <v>0</v>
      </c>
      <c r="AO7" s="14">
        <f>IF($B7="OFF",CN7,VLOOKUP($D7,Receptury_z!$D:$AS,AO$4,0))</f>
        <v>0</v>
      </c>
      <c r="AP7" s="14">
        <f>IF($B7="OFF",CO7,VLOOKUP($D7,Receptury_z!$D:$AS,AP$4,0))</f>
        <v>0</v>
      </c>
      <c r="AQ7" s="14">
        <f>IF($B7="OFF",CP7,VLOOKUP($D7,Receptury_z!$D:$AS,AQ$4,0))</f>
        <v>0</v>
      </c>
      <c r="AR7" s="14">
        <f>IF($B7="OFF",CQ7,VLOOKUP($D7,Receptury_z!$D:$AS,AR$4,0))</f>
        <v>0</v>
      </c>
      <c r="AS7" s="14">
        <f>IF($B7="OFF",CR7,VLOOKUP($D7,Receptury_z!$D:$AS,AS$4,0))</f>
        <v>0</v>
      </c>
      <c r="AT7" s="14">
        <f>IF($B7="OFF",CS7,VLOOKUP($D7,Receptury_z!$D:$AV,AT$4,0))</f>
        <v>0</v>
      </c>
      <c r="AU7" s="14">
        <f>IF($B7="OFF",CT7,VLOOKUP($D7,Receptury_z!$D:$AV,AU$4,0))</f>
        <v>0</v>
      </c>
      <c r="AV7" s="14">
        <f>IF($B7="OFF",CU7,VLOOKUP($D7,Receptury_z!$D:$AV,AV$4,0))</f>
        <v>0</v>
      </c>
      <c r="AW7" s="14">
        <f>IF($B7="OFF",CV7,VLOOKUP($D7,Receptury_z!$D:$BA,AW$4,0))</f>
        <v>0</v>
      </c>
      <c r="AX7" s="14">
        <f>IF($B7="OFF",CW7,VLOOKUP($D7,Receptury_z!$D:$BA,AX$4,0))</f>
        <v>0</v>
      </c>
      <c r="AY7" s="14">
        <f>IF($B7="OFF",CX7,VLOOKUP($D7,Receptury_z!$D:$BA,AY$4,0))</f>
        <v>0</v>
      </c>
      <c r="AZ7" s="14">
        <f>IF($B7="OFF",DA7,VLOOKUP($D7,Receptury_z!$D:$BA,AZ$4,0))</f>
        <v>0</v>
      </c>
      <c r="BA7" s="14">
        <f>IF($B7="OFF",DB7,VLOOKUP($D7,Receptury_z!$D:$BA,BA$4,0))</f>
        <v>0</v>
      </c>
      <c r="BC7" s="17">
        <v>6066</v>
      </c>
      <c r="BD7" s="18" t="s">
        <v>15251</v>
      </c>
      <c r="BE7" s="239">
        <v>0</v>
      </c>
      <c r="BF7" s="239">
        <v>0</v>
      </c>
      <c r="BG7" s="239">
        <v>0</v>
      </c>
      <c r="BH7" s="239">
        <v>0</v>
      </c>
      <c r="BI7" s="239">
        <v>0</v>
      </c>
      <c r="BJ7" s="239">
        <v>619.69000000000005</v>
      </c>
      <c r="BK7" s="239">
        <v>0</v>
      </c>
      <c r="BL7" s="239">
        <v>0</v>
      </c>
      <c r="BM7" s="239">
        <v>0</v>
      </c>
      <c r="BN7" s="239">
        <v>0</v>
      </c>
      <c r="BO7" s="239">
        <v>0</v>
      </c>
      <c r="BP7" s="239">
        <v>0</v>
      </c>
      <c r="BQ7" s="239">
        <v>0</v>
      </c>
      <c r="BR7" s="239">
        <v>0</v>
      </c>
      <c r="BS7" s="239">
        <v>0</v>
      </c>
      <c r="BT7" s="239">
        <v>0</v>
      </c>
      <c r="BU7" s="239">
        <v>0</v>
      </c>
      <c r="BV7" s="239">
        <v>0</v>
      </c>
      <c r="BW7" s="239">
        <v>0</v>
      </c>
      <c r="BX7" s="239">
        <v>0</v>
      </c>
      <c r="BY7" s="239">
        <v>0</v>
      </c>
      <c r="BZ7" s="239">
        <v>0</v>
      </c>
      <c r="CA7" s="239">
        <v>0</v>
      </c>
      <c r="CB7" s="239">
        <v>0</v>
      </c>
      <c r="CC7" s="239">
        <v>0</v>
      </c>
      <c r="CD7" s="239">
        <v>0</v>
      </c>
      <c r="CE7" s="239">
        <v>0</v>
      </c>
      <c r="CF7" s="239">
        <v>0</v>
      </c>
      <c r="CG7" s="239">
        <v>0</v>
      </c>
      <c r="CH7" s="239">
        <v>0</v>
      </c>
      <c r="CI7" s="239">
        <v>0</v>
      </c>
      <c r="CJ7" s="239">
        <v>0</v>
      </c>
      <c r="CK7" s="239">
        <v>0</v>
      </c>
      <c r="CL7" s="239">
        <v>0</v>
      </c>
      <c r="CM7" s="80"/>
      <c r="CN7" s="80"/>
      <c r="CO7" s="80"/>
      <c r="CP7" s="80"/>
      <c r="CQ7" s="80"/>
      <c r="CR7" s="80"/>
      <c r="CS7" s="80"/>
      <c r="CT7" s="80"/>
      <c r="CU7" s="80"/>
      <c r="CV7" s="80"/>
      <c r="CW7" s="80"/>
      <c r="CX7" s="80"/>
      <c r="CY7" s="80"/>
      <c r="CZ7" s="80"/>
      <c r="DB7">
        <f>IFERROR(VLOOKUP($D7,'Kalkulator mięs '!$C$5:$H$533,DB$4,0)*F7,0)</f>
        <v>0</v>
      </c>
      <c r="DC7">
        <f>IFERROR(VLOOKUP($D7,'Kalkulator mięs '!$C$5:$H$533,DC$4,0)*F7,0)</f>
        <v>0</v>
      </c>
      <c r="DD7">
        <f>IFERROR(VLOOKUP($D7,'Kalkulator mięs '!$C$5:$H$533,DD$4,0)*F7,0)</f>
        <v>0</v>
      </c>
      <c r="DE7">
        <f>IFERROR(VLOOKUP($D7,'Kalkulator mięs '!$C$5:$H$533,DE$4,0)*$G7,0)</f>
        <v>0</v>
      </c>
      <c r="DF7">
        <f>IFERROR(VLOOKUP($D7,'Kalkulator mięs '!$C$5:$H$533,DF$4,0)*$G7,0)</f>
        <v>0</v>
      </c>
      <c r="DG7">
        <f>IFERROR(VLOOKUP($D7,'Kalkulator mięs '!$C$5:$H$533,DG$4,0)*$G7,0)</f>
        <v>0</v>
      </c>
      <c r="DH7">
        <f>IFERROR(VLOOKUP($D7,'Kalkulator mięs '!$C$5:$H$533,DH$4,0)*$H7,0)</f>
        <v>0</v>
      </c>
      <c r="DI7">
        <f>IFERROR(VLOOKUP($D7,'Kalkulator mięs '!$C$5:$H$533,DI$4,0)*$H7,0)</f>
        <v>0</v>
      </c>
      <c r="DJ7">
        <f>IFERROR(VLOOKUP($D7,'Kalkulator mięs '!$C$5:$H$533,DJ$4,0)*$H7,0)</f>
        <v>0</v>
      </c>
      <c r="DK7">
        <f>IFERROR(VLOOKUP($D7,'Kalkulator mięs '!$C$5:$H$533,DK$4,0)*$I7,0)</f>
        <v>0</v>
      </c>
      <c r="DL7">
        <f>IFERROR(VLOOKUP($D7,'Kalkulator mięs '!$C$5:$H$533,DL$4,0)*$I7,0)</f>
        <v>0</v>
      </c>
      <c r="DM7">
        <f>IFERROR(VLOOKUP($D7,'Kalkulator mięs '!$C$5:$H$533,DM$4,0)*$I7,0)</f>
        <v>0</v>
      </c>
      <c r="DN7">
        <f>IFERROR(VLOOKUP($D7,'Kalkulator mięs '!$C$5:$H$533,DN$4,0)*$J7,0)</f>
        <v>0</v>
      </c>
      <c r="DO7">
        <f>IFERROR(VLOOKUP($D7,'Kalkulator mięs '!$C$5:$H$533,DO$4,0)*$J7,0)</f>
        <v>0</v>
      </c>
      <c r="DP7">
        <f>IFERROR(VLOOKUP($D7,'Kalkulator mięs '!$C$5:$H$533,DP$4,0)*$J7,0)</f>
        <v>0</v>
      </c>
      <c r="DQ7">
        <f>IFERROR(VLOOKUP($D7,'Kalkulator mięs '!$C$5:$H$533,DQ$4,0)*$K7,0)</f>
        <v>0</v>
      </c>
      <c r="DR7">
        <f>IFERROR(VLOOKUP($D7,'Kalkulator mięs '!$C$5:$H$533,DR$4,0)*$K7,0)</f>
        <v>0</v>
      </c>
      <c r="DS7">
        <f>IFERROR(VLOOKUP($D7,'Kalkulator mięs '!$C$5:$H$533,DS$4,0)*$K7,0)</f>
        <v>0</v>
      </c>
      <c r="DT7">
        <f>IFERROR(VLOOKUP($D7,'Kalkulator mięs '!$C$5:$H$533,DT$4,0)*$L7,0)</f>
        <v>0</v>
      </c>
      <c r="DU7">
        <f>IFERROR(VLOOKUP($D7,'Kalkulator mięs '!$C$5:$H$533,DU$4,0)*$L7,0)</f>
        <v>0</v>
      </c>
      <c r="DV7">
        <f>IFERROR(VLOOKUP($D7,'Kalkulator mięs '!$C$5:$H$533,DV$4,0)*$L7,0)</f>
        <v>0</v>
      </c>
      <c r="DW7">
        <f>IFERROR(VLOOKUP($D7,'Kalkulator mięs '!$C$5:$H$533,DW$4,0)*$M7,0)</f>
        <v>0</v>
      </c>
      <c r="DX7">
        <f>IFERROR(VLOOKUP($D7,'Kalkulator mięs '!$C$5:$H$533,DX$4,0)*$M7,0)</f>
        <v>0</v>
      </c>
      <c r="DY7">
        <f>IFERROR(VLOOKUP($D7,'Kalkulator mięs '!$C$5:$H$533,DY$4,0)*$M7,0)</f>
        <v>0</v>
      </c>
      <c r="DZ7">
        <f>IFERROR(VLOOKUP($D7,'Kalkulator mięs '!$C$5:$H$533,DZ$4,0)*$N7,0)</f>
        <v>0</v>
      </c>
      <c r="EA7">
        <f>IFERROR(VLOOKUP($D7,'Kalkulator mięs '!$C$5:$H$533,EA$4,0)*$N7,0)</f>
        <v>0</v>
      </c>
      <c r="EB7">
        <f>IFERROR(VLOOKUP($D7,'Kalkulator mięs '!$C$5:$H$533,EB$4,0)*$N7,0)</f>
        <v>0</v>
      </c>
      <c r="EC7">
        <f>IFERROR(VLOOKUP($D7,'Kalkulator mięs '!$C$5:$H$533,EC$4,0)*$O7,0)</f>
        <v>0</v>
      </c>
      <c r="ED7">
        <f>IFERROR(VLOOKUP($D7,'Kalkulator mięs '!$C$5:$H$533,ED$4,0)*$O7,0)</f>
        <v>0</v>
      </c>
      <c r="EE7">
        <f>IFERROR(VLOOKUP($D7,'Kalkulator mięs '!$C$5:$H$533,EE$4,0)*$O7,0)</f>
        <v>0</v>
      </c>
      <c r="EF7">
        <f>IFERROR(VLOOKUP($D7,'Kalkulator mięs '!$C$5:$H$533,EF$4,0)*$P7,0)</f>
        <v>0</v>
      </c>
      <c r="EG7">
        <f>IFERROR(VLOOKUP($D7,'Kalkulator mięs '!$C$5:$H$533,EG$4,0)*$P7,0)</f>
        <v>0</v>
      </c>
      <c r="EH7">
        <f>IFERROR(VLOOKUP($D7,'Kalkulator mięs '!$C$5:$H$533,EH$4,0)*$P7,0)</f>
        <v>0</v>
      </c>
      <c r="EI7">
        <f>IFERROR(VLOOKUP($D7,'Kalkulator mięs '!$C$5:$H$533,EI$4,0)*$Q7,0)</f>
        <v>0</v>
      </c>
      <c r="EJ7">
        <f>IFERROR(VLOOKUP($D7,'Kalkulator mięs '!$C$5:$H$533,EJ$4,0)*$Q7,0)</f>
        <v>0</v>
      </c>
      <c r="EK7">
        <f>IFERROR(VLOOKUP($D7,'Kalkulator mięs '!$C$5:$H$533,EK$4,0)*$Q7,0)</f>
        <v>0</v>
      </c>
      <c r="EL7">
        <f>IFERROR(VLOOKUP($D7,'Kalkulator mięs '!$C$5:$H$533,EL$4,0)*$R7,0)</f>
        <v>0</v>
      </c>
      <c r="EM7">
        <f>IFERROR(VLOOKUP($D7,'Kalkulator mięs '!$C$5:$H$533,EM$4,0)*$R7,0)</f>
        <v>0</v>
      </c>
      <c r="EN7">
        <f>IFERROR(VLOOKUP($D7,'Kalkulator mięs '!$C$5:$H$533,EN$4,0)*$R7,0)</f>
        <v>0</v>
      </c>
      <c r="EO7">
        <f>IFERROR(VLOOKUP($D7,'Kalkulator mięs '!$C$5:$H$533,EO$4,0)*$S7,0)</f>
        <v>0</v>
      </c>
      <c r="EP7">
        <f>IFERROR(VLOOKUP($D7,'Kalkulator mięs '!$C$5:$H$533,EP$4,0)*$S7,0)</f>
        <v>0</v>
      </c>
      <c r="EQ7">
        <f>IFERROR(VLOOKUP($D7,'Kalkulator mięs '!$C$5:$H$533,EQ$4,0)*$S7,0)</f>
        <v>0</v>
      </c>
      <c r="ER7">
        <f>IFERROR(VLOOKUP($D7,'Kalkulator mięs '!$C$5:$H$533,ER$4,0)*$T7,0)</f>
        <v>0</v>
      </c>
      <c r="ES7">
        <f>IFERROR(VLOOKUP($D7,'Kalkulator mięs '!$C$5:$H$533,ES$4,0)*$T7,0)</f>
        <v>0</v>
      </c>
      <c r="ET7">
        <f>IFERROR(VLOOKUP($D7,'Kalkulator mięs '!$C$5:$H$533,ET$4,0)*$T7,0)</f>
        <v>0</v>
      </c>
      <c r="EU7">
        <f>IFERROR(VLOOKUP($D7,'Kalkulator mięs '!$C$5:$H$533,EU$4,0)*$U7,0)</f>
        <v>0</v>
      </c>
      <c r="EV7">
        <f>IFERROR(VLOOKUP($D7,'Kalkulator mięs '!$C$5:$H$533,EV$4,0)*$U7,0)</f>
        <v>0</v>
      </c>
      <c r="EW7">
        <f>IFERROR(VLOOKUP($D7,'Kalkulator mięs '!$C$5:$H$533,EW$4,0)*$U7,0)</f>
        <v>0</v>
      </c>
      <c r="EX7">
        <f>IFERROR(VLOOKUP($D7,'Kalkulator mięs '!$C$5:$H$533,EX$4,0)*$V7,0)</f>
        <v>0</v>
      </c>
      <c r="EY7">
        <f>IFERROR(VLOOKUP($D7,'Kalkulator mięs '!$C$5:$H$533,EY$4,0)*$V7,0)</f>
        <v>0</v>
      </c>
      <c r="EZ7">
        <f>IFERROR(VLOOKUP($D7,'Kalkulator mięs '!$C$5:$H$533,EZ$4,0)*$V7,0)</f>
        <v>0</v>
      </c>
      <c r="FA7">
        <f>IFERROR(VLOOKUP($D7,'Kalkulator mięs '!$C$5:$H$533,FA$4,0)*$W7,0)</f>
        <v>0</v>
      </c>
      <c r="FB7">
        <f>IFERROR(VLOOKUP($D7,'Kalkulator mięs '!$C$5:$H$533,FB$4,0)*$W7,0)</f>
        <v>0</v>
      </c>
      <c r="FC7">
        <f>IFERROR(VLOOKUP($D7,'Kalkulator mięs '!$C$5:$H$533,FC$4,0)*$W7,0)</f>
        <v>0</v>
      </c>
      <c r="FD7">
        <f>IFERROR(VLOOKUP($D7,'Kalkulator mięs '!$C$5:$H$533,FD$4,0)*$X7,0)</f>
        <v>0</v>
      </c>
      <c r="FE7">
        <f>IFERROR(VLOOKUP($D7,'Kalkulator mięs '!$C$5:$H$533,FE$4,0)*$X7,0)</f>
        <v>0</v>
      </c>
      <c r="FF7">
        <f>IFERROR(VLOOKUP($D7,'Kalkulator mięs '!$C$5:$H$533,FF$4,0)*$X7,0)</f>
        <v>0</v>
      </c>
      <c r="FG7">
        <f>IFERROR(VLOOKUP($D7,'Kalkulator mięs '!$C$5:$H$533,FG$4,0)*$Y7,0)</f>
        <v>0</v>
      </c>
      <c r="FH7">
        <f>IFERROR(VLOOKUP($D7,'Kalkulator mięs '!$C$5:$H$533,FH$4,0)*$Y7,0)</f>
        <v>0</v>
      </c>
      <c r="FI7">
        <f>IFERROR(VLOOKUP($D7,'Kalkulator mięs '!$C$5:$H$533,FI$4,0)*$Y7,0)</f>
        <v>0</v>
      </c>
      <c r="FJ7">
        <f>IFERROR(VLOOKUP($D7,'Kalkulator mięs '!$C$5:$H$533,FJ$4,0)*$Z7,0)</f>
        <v>0</v>
      </c>
      <c r="FK7">
        <f>IFERROR(VLOOKUP($D7,'Kalkulator mięs '!$C$5:$H$533,FK$4,0)*$Z7,0)</f>
        <v>0</v>
      </c>
      <c r="FL7">
        <f>IFERROR(VLOOKUP($D7,'Kalkulator mięs '!$C$5:$H$533,FL$4,0)*$Z7,0)</f>
        <v>0</v>
      </c>
      <c r="FM7">
        <f>IFERROR(VLOOKUP($D7,'Kalkulator mięs '!$C$5:$H$533,FM$4,0)*$AA7,0)</f>
        <v>0</v>
      </c>
      <c r="FN7">
        <f>IFERROR(VLOOKUP($D7,'Kalkulator mięs '!$C$5:$H$533,FN$4,0)*$AA7,0)</f>
        <v>0</v>
      </c>
      <c r="FO7">
        <f>IFERROR(VLOOKUP($D7,'Kalkulator mięs '!$C$5:$H$533,FO$4,0)*$AA7,0)</f>
        <v>0</v>
      </c>
      <c r="FP7">
        <f>IFERROR(VLOOKUP($D7,'Kalkulator mięs '!$C$5:$H$533,FP$4,0)*$AB7,0)</f>
        <v>0</v>
      </c>
      <c r="FQ7">
        <f>IFERROR(VLOOKUP($D7,'Kalkulator mięs '!$C$5:$H$533,FQ$4,0)*$AB7,0)</f>
        <v>0</v>
      </c>
      <c r="FR7">
        <f>IFERROR(VLOOKUP($D7,'Kalkulator mięs '!$C$5:$H$533,FR$4,0)*$AB7,0)</f>
        <v>0</v>
      </c>
      <c r="FS7">
        <f>IFERROR(VLOOKUP($D7,'Kalkulator mięs '!$C$5:$H$533,FS$4,0)*$AC7,0)</f>
        <v>0</v>
      </c>
      <c r="FT7">
        <f>IFERROR(VLOOKUP($D7,'Kalkulator mięs '!$C$5:$H$533,FT$4,0)*$AC7,0)</f>
        <v>0</v>
      </c>
      <c r="FU7">
        <f>IFERROR(VLOOKUP($D7,'Kalkulator mięs '!$C$5:$H$533,FU$4,0)*$AC7,0)</f>
        <v>0</v>
      </c>
      <c r="FV7">
        <f>IFERROR(VLOOKUP($D7,'Kalkulator mięs '!$C$5:$H$533,FV$4,0)*$AD7,0)</f>
        <v>0</v>
      </c>
      <c r="FW7">
        <f>IFERROR(VLOOKUP($D7,'Kalkulator mięs '!$C$5:$H$533,FW$4,0)*$AD7,0)</f>
        <v>0</v>
      </c>
      <c r="FX7">
        <f>IFERROR(VLOOKUP($D7,'Kalkulator mięs '!$C$5:$H$533,FX$4,0)*$AD7,0)</f>
        <v>0</v>
      </c>
      <c r="FY7">
        <f>IFERROR(VLOOKUP($D7,'Kalkulator mięs '!$C$5:$H$533,FY$4,0)*$AE7,0)</f>
        <v>0</v>
      </c>
      <c r="FZ7">
        <f>IFERROR(VLOOKUP($D7,'Kalkulator mięs '!$C$5:$H$533,FZ$4,0)*$AE7,0)</f>
        <v>0</v>
      </c>
      <c r="GA7">
        <f>IFERROR(VLOOKUP($D7,'Kalkulator mięs '!$C$5:$H$533,GA$4,0)*$AE7,0)</f>
        <v>0</v>
      </c>
      <c r="GB7">
        <f>IFERROR(VLOOKUP($D7,'Kalkulator mięs '!$C$5:$H$533,GB$4,0)*$AF7,0)</f>
        <v>0</v>
      </c>
      <c r="GC7">
        <f>IFERROR(VLOOKUP($D7,'Kalkulator mięs '!$C$5:$H$533,GC$4,0)*$AF7,0)</f>
        <v>0</v>
      </c>
      <c r="GD7">
        <f>IFERROR(VLOOKUP($D7,'Kalkulator mięs '!$C$5:$H$533,GD$4,0)*$AF7,0)</f>
        <v>0</v>
      </c>
      <c r="GE7">
        <f>IFERROR(VLOOKUP($D7,'Kalkulator mięs '!$C$5:$H$533,GE$4,0)*$AG7,0)</f>
        <v>0</v>
      </c>
      <c r="GF7">
        <f>IFERROR(VLOOKUP($D7,'Kalkulator mięs '!$C$5:$H$533,GF$4,0)*$AG7,0)</f>
        <v>0</v>
      </c>
      <c r="GG7">
        <f>IFERROR(VLOOKUP($D7,'Kalkulator mięs '!$C$5:$H$533,GG$4,0)*$AG7,0)</f>
        <v>0</v>
      </c>
      <c r="GH7">
        <f>IFERROR(VLOOKUP($D7,'Kalkulator mięs '!$C$5:$H$533,GH$4,0)*$AH7,0)</f>
        <v>0</v>
      </c>
      <c r="GI7">
        <f>IFERROR(VLOOKUP($D7,'Kalkulator mięs '!$C$5:$H$533,GI$4,0)*$AH7,0)</f>
        <v>0</v>
      </c>
      <c r="GJ7">
        <f>IFERROR(VLOOKUP($D7,'Kalkulator mięs '!$C$5:$H$533,GJ$4,0)*$AH7,0)</f>
        <v>0</v>
      </c>
      <c r="GK7">
        <f>IFERROR(VLOOKUP($D7,'Kalkulator mięs '!$C$5:$H$533,GK$4,0)*$AI7,0)</f>
        <v>0</v>
      </c>
      <c r="GL7">
        <f>IFERROR(VLOOKUP($D7,'Kalkulator mięs '!$C$5:$H$533,GL$4,0)*$AI7,0)</f>
        <v>0</v>
      </c>
      <c r="GM7">
        <f>IFERROR(VLOOKUP($D7,'Kalkulator mięs '!$C$5:$H$533,GM$4,0)*$AI7,0)</f>
        <v>0</v>
      </c>
      <c r="GN7">
        <f>IFERROR(VLOOKUP($D7,'Kalkulator mięs '!$C$5:$H$533,GN$4,0)*$AJ7,0)</f>
        <v>0</v>
      </c>
      <c r="GO7">
        <f>IFERROR(VLOOKUP($D7,'Kalkulator mięs '!$C$5:$H$533,GO$4,0)*$AJ7,0)</f>
        <v>0</v>
      </c>
      <c r="GP7">
        <f>IFERROR(VLOOKUP($D7,'Kalkulator mięs '!$C$5:$H$533,GP$4,0)*$AJ7,0)</f>
        <v>0</v>
      </c>
      <c r="GQ7">
        <f>IFERROR(VLOOKUP($D7,'Kalkulator mięs '!$C$5:$H$533,GQ$4,0)*$AK7,0)</f>
        <v>0</v>
      </c>
      <c r="GR7">
        <f>IFERROR(VLOOKUP($D7,'Kalkulator mięs '!$C$5:$H$533,GR$4,0)*$AK7,0)</f>
        <v>0</v>
      </c>
      <c r="GS7">
        <f>IFERROR(VLOOKUP($D7,'Kalkulator mięs '!$C$5:$H$533,GS$4,0)*$AK7,0)</f>
        <v>0</v>
      </c>
      <c r="GT7">
        <f>IFERROR(VLOOKUP($D7,'Kalkulator mięs '!$C$5:$H$533,GT$4,0)*$AL7,0)</f>
        <v>0</v>
      </c>
      <c r="GU7">
        <f>IFERROR(VLOOKUP($D7,'Kalkulator mięs '!$C$5:$H$533,GU$4,0)*$AL7,0)</f>
        <v>0</v>
      </c>
      <c r="GV7">
        <f>IFERROR(VLOOKUP($D7,'Kalkulator mięs '!$C$5:$H$533,GV$4,0)*$AL7,0)</f>
        <v>0</v>
      </c>
      <c r="GW7">
        <f>IFERROR(VLOOKUP($D7,'Kalkulator mięs '!$C$5:$H$533,GW$4,0)*$AM7,0)</f>
        <v>0</v>
      </c>
      <c r="GX7">
        <f>IFERROR(VLOOKUP($D7,'Kalkulator mięs '!$C$5:$H$533,GX$4,0)*$AM7,0)</f>
        <v>0</v>
      </c>
      <c r="GY7">
        <f>IFERROR(VLOOKUP($D7,'Kalkulator mięs '!$C$5:$H$533,GY$4,0)*$AM7,0)</f>
        <v>0</v>
      </c>
      <c r="GZ7">
        <f>IFERROR(VLOOKUP($D7,'Kalkulator mięs '!$C$5:$H$533,GZ$4,0)*$AN7,0)</f>
        <v>0</v>
      </c>
      <c r="HA7">
        <f>IFERROR(VLOOKUP($D7,'Kalkulator mięs '!$C$5:$H$533,HA$4,0)*$AN7,0)</f>
        <v>0</v>
      </c>
      <c r="HB7">
        <f>IFERROR(VLOOKUP($D7,'Kalkulator mięs '!$C$5:$H$533,HB$4,0)*$AN7,0)</f>
        <v>0</v>
      </c>
      <c r="HC7">
        <f>IFERROR(VLOOKUP($D7,'Kalkulator mięs '!$C$5:$H$533,HC$4,0)*$AO7,0)</f>
        <v>0</v>
      </c>
      <c r="HD7">
        <f>IFERROR(VLOOKUP($D7,'Kalkulator mięs '!$C$5:$H$533,HD$4,0)*$AO7,0)</f>
        <v>0</v>
      </c>
      <c r="HE7">
        <f>IFERROR(VLOOKUP($D7,'Kalkulator mięs '!$C$5:$H$533,HE$4,0)*$AO7,0)</f>
        <v>0</v>
      </c>
      <c r="HF7">
        <f>IFERROR(VLOOKUP($D7,'Kalkulator mięs '!$C$5:$H$533,HF$4,0)*$AP7,0)</f>
        <v>0</v>
      </c>
      <c r="HG7">
        <f>IFERROR(VLOOKUP($D7,'Kalkulator mięs '!$C$5:$H$533,HG$4,0)*$AP7,0)</f>
        <v>0</v>
      </c>
      <c r="HH7">
        <f>IFERROR(VLOOKUP($D7,'Kalkulator mięs '!$C$5:$H$533,HH$4,0)*$AP7,0)</f>
        <v>0</v>
      </c>
      <c r="HI7">
        <f>IFERROR(VLOOKUP($D7,'Kalkulator mięs '!$C$5:$H$533,HI$4,0)*$AQ7,0)</f>
        <v>0</v>
      </c>
      <c r="HJ7">
        <f>IFERROR(VLOOKUP($D7,'Kalkulator mięs '!$C$5:$H$533,HJ$4,0)*$AQ7,0)</f>
        <v>0</v>
      </c>
      <c r="HK7">
        <f>IFERROR(VLOOKUP($D7,'Kalkulator mięs '!$C$5:$H$533,HK$4,0)*$AQ7,0)</f>
        <v>0</v>
      </c>
      <c r="HL7">
        <f>IFERROR(VLOOKUP($D7,'Kalkulator mięs '!$C$5:$H$533,HL$4,0)*$AR7,0)</f>
        <v>0</v>
      </c>
      <c r="HM7">
        <f>IFERROR(VLOOKUP($D7,'Kalkulator mięs '!$C$5:$H$533,HM$4,0)*$AR7,0)</f>
        <v>0</v>
      </c>
      <c r="HN7">
        <f>IFERROR(VLOOKUP($D7,'Kalkulator mięs '!$C$5:$H$533,HN$4,0)*$AR7,0)</f>
        <v>0</v>
      </c>
      <c r="HO7">
        <f>IFERROR(VLOOKUP($D7,'Kalkulator mięs '!$C$5:$H$533,HO$4,0)*$AS7,0)</f>
        <v>0</v>
      </c>
      <c r="HP7">
        <f>IFERROR(VLOOKUP($D7,'Kalkulator mięs '!$C$5:$H$533,HP$4,0)*$AS7,0)</f>
        <v>0</v>
      </c>
      <c r="HQ7">
        <f>IFERROR(VLOOKUP($D7,'Kalkulator mięs '!$C$5:$H$533,HQ$4,0)*$AS7,0)</f>
        <v>0</v>
      </c>
      <c r="HR7">
        <f>IFERROR(VLOOKUP($D7,'Kalkulator mięs '!$C$5:$H$533,HR$4,0)*$AT7,0)</f>
        <v>0</v>
      </c>
      <c r="HS7">
        <f>IFERROR(VLOOKUP($D7,'Kalkulator mięs '!$C$5:$H$533,HS$4,0)*$AT7,0)</f>
        <v>0</v>
      </c>
      <c r="HT7">
        <f>IFERROR(VLOOKUP($D7,'Kalkulator mięs '!$C$5:$H$533,HT$4,0)*$AT7,0)</f>
        <v>0</v>
      </c>
      <c r="HU7">
        <f>IFERROR(VLOOKUP($D7,'Kalkulator mięs '!$C$5:$H$533,HU$4,0)*$AU7,0)</f>
        <v>0</v>
      </c>
      <c r="HV7">
        <f>IFERROR(VLOOKUP($D7,'Kalkulator mięs '!$C$5:$H$533,HV$4,0)*$AU7,0)</f>
        <v>0</v>
      </c>
      <c r="HW7">
        <f>IFERROR(VLOOKUP($D7,'Kalkulator mięs '!$C$5:$H$533,HW$4,0)*$AU7,0)</f>
        <v>0</v>
      </c>
      <c r="HX7">
        <f>IFERROR(VLOOKUP($D7,'Kalkulator mięs '!$C$5:$H$533,HX$4,0)*$AV7,0)</f>
        <v>0</v>
      </c>
      <c r="HY7">
        <f>IFERROR(VLOOKUP($D7,'Kalkulator mięs '!$C$5:$H$533,HY$4,0)*$AV7,0)</f>
        <v>0</v>
      </c>
      <c r="HZ7">
        <f>IFERROR(VLOOKUP($D7,'Kalkulator mięs '!$C$5:$H$533,HZ$4,0)*$AV7,0)</f>
        <v>0</v>
      </c>
      <c r="IA7">
        <f>IFERROR(VLOOKUP($D7,'Kalkulator mięs '!$C$5:$H$533,IA$4,0)*$AW7,0)</f>
        <v>0</v>
      </c>
      <c r="IB7">
        <f>IFERROR(VLOOKUP($D7,'Kalkulator mięs '!$C$5:$H$533,IB$4,0)*$AW7,0)</f>
        <v>0</v>
      </c>
      <c r="IC7">
        <f>IFERROR(VLOOKUP($D7,'Kalkulator mięs '!$C$5:$H$533,IC$4,0)*$AW7,0)</f>
        <v>0</v>
      </c>
      <c r="ID7">
        <f>IFERROR(VLOOKUP($D7,'Kalkulator mięs '!$C$5:$H$533,ID$4,0)*$AX7,0)</f>
        <v>0</v>
      </c>
      <c r="IE7">
        <f>IFERROR(VLOOKUP($D7,'Kalkulator mięs '!$C$5:$H$533,IE$4,0)*$AX7,0)</f>
        <v>0</v>
      </c>
      <c r="IF7">
        <f>IFERROR(VLOOKUP($D7,'Kalkulator mięs '!$C$5:$H$533,IF$4,0)*$AX7,0)</f>
        <v>0</v>
      </c>
      <c r="IG7">
        <f>IFERROR(VLOOKUP($D7,'Kalkulator mięs '!$C$5:$H$533,IG$4,0)*$AY7,0)</f>
        <v>0</v>
      </c>
      <c r="IH7">
        <f>IFERROR(VLOOKUP($D7,'Kalkulator mięs '!$C$5:$H$533,IH$4,0)*$AY7,0)</f>
        <v>0</v>
      </c>
      <c r="II7">
        <f>IFERROR(VLOOKUP($D7,'Kalkulator mięs '!$C$5:$H$533,II$4,0)*$AY7,0)</f>
        <v>0</v>
      </c>
      <c r="IJ7">
        <f>IFERROR(VLOOKUP($D7,'Kalkulator mięs '!$C$5:$H$533,IJ$4,0)*$AZ7,0)</f>
        <v>0</v>
      </c>
      <c r="IK7">
        <f>IFERROR(VLOOKUP($D7,'Kalkulator mięs '!$C$5:$H$533,IK$4,0)*$AZ7,0)</f>
        <v>0</v>
      </c>
      <c r="IL7">
        <f>IFERROR(VLOOKUP($D7,'Kalkulator mięs '!$C$5:$H$533,IL$4,0)*$AZ7,0)</f>
        <v>0</v>
      </c>
      <c r="IM7">
        <f>IFERROR(VLOOKUP($D7,'Kalkulator mięs '!$C$5:$H$533,IM$4,0)*$BA7,0)</f>
        <v>0</v>
      </c>
      <c r="IN7">
        <f>IFERROR(VLOOKUP($D7,'Kalkulator mięs '!$C$5:$H$533,IN$4,0)*$BA7,0)</f>
        <v>0</v>
      </c>
      <c r="IO7">
        <f>IFERROR(VLOOKUP($D7,'Kalkulator mięs '!$C$5:$H$533,IO$4,0)*$BA7,0)</f>
        <v>0</v>
      </c>
    </row>
    <row r="8" spans="2:249" ht="15.75">
      <c r="B8" t="str">
        <f>VLOOKUP(D8,Receptury_z!$A:$B,2,0)</f>
        <v>ON</v>
      </c>
      <c r="C8" s="16">
        <v>5114</v>
      </c>
      <c r="D8" s="19">
        <v>6350</v>
      </c>
      <c r="E8" s="18" t="s">
        <v>18</v>
      </c>
      <c r="F8" s="14">
        <f>IF($B8="OFF",BE8,VLOOKUP($D8,Receptury_z!$D:$AI,F$4,0))</f>
        <v>248.5</v>
      </c>
      <c r="G8" s="14">
        <f>IF($B8="OFF",BF8,VLOOKUP($D8,Receptury_z!$D:$AI,G$4,0))</f>
        <v>0</v>
      </c>
      <c r="H8" s="14">
        <f>IF($B8="OFF",BG8,VLOOKUP($D8,Receptury_z!$D:$AI,H$4,0))</f>
        <v>0</v>
      </c>
      <c r="I8" s="14">
        <f>IF($B8="OFF",BH8,VLOOKUP($D8,Receptury_z!$D:$AI,I$4,0))</f>
        <v>0</v>
      </c>
      <c r="J8" s="14">
        <f>IF($B8="OFF",BI8,VLOOKUP($D8,Receptury_z!$D:$AI,J$4,0))</f>
        <v>0</v>
      </c>
      <c r="K8" s="14">
        <f>IF($B8="OFF",BJ8,VLOOKUP($D8,Receptury_z!$D:$AI,K$4,0))</f>
        <v>284</v>
      </c>
      <c r="L8" s="14">
        <f>IF($B8="OFF",BK8,VLOOKUP($D8,Receptury_z!$D:$AI,L$4,0))</f>
        <v>0</v>
      </c>
      <c r="M8" s="14">
        <f>IF($B8="OFF",BL8,VLOOKUP($D8,Receptury_z!$D:$AI,M$4,0))</f>
        <v>0</v>
      </c>
      <c r="N8" s="14">
        <f>IF($B8="OFF",BM8,VLOOKUP($D8,Receptury_z!$D:$AI,N$4,0))</f>
        <v>106.46</v>
      </c>
      <c r="O8" s="14">
        <f>IF($B8="OFF",BN8,VLOOKUP($D8,Receptury_z!$D:$AI,O$4,0))</f>
        <v>0</v>
      </c>
      <c r="P8" s="14">
        <f>IF($B8="OFF",BO8,VLOOKUP($D8,Receptury_z!$D:$AI,P$4,0))</f>
        <v>0</v>
      </c>
      <c r="Q8" s="14">
        <f>IF($B8="OFF",BP8,VLOOKUP($D8,Receptury_z!$D:$AI,Q$4,0))</f>
        <v>0</v>
      </c>
      <c r="R8" s="14">
        <f>IF($B8="OFF",BQ8,VLOOKUP($D8,Receptury_z!$D:$AI,R$4,0))</f>
        <v>0</v>
      </c>
      <c r="S8" s="14">
        <f>IF($B8="OFF",BR8,VLOOKUP($D8,Receptury_z!$D:$AI,S$4,0))</f>
        <v>0</v>
      </c>
      <c r="T8" s="14">
        <f>IF($B8="OFF",BS8,VLOOKUP($D8,Receptury_z!$D:$AI,T$4,0))</f>
        <v>0</v>
      </c>
      <c r="U8" s="14">
        <f>IF($B8="OFF",BT8,VLOOKUP($D8,Receptury_z!$D:$AI,U$4,0))</f>
        <v>0</v>
      </c>
      <c r="V8" s="14">
        <f>IF($B8="OFF",BU8,VLOOKUP($D8,Receptury_z!$D:$AI,V$4,0))</f>
        <v>0</v>
      </c>
      <c r="W8" s="14">
        <f>IF($B8="OFF",BV8,VLOOKUP($D8,Receptury_z!$D:$AI,W$4,0))</f>
        <v>0</v>
      </c>
      <c r="X8" s="14">
        <f>IF($B8="OFF",BW8,VLOOKUP($D8,Receptury_z!$D:$AI,X$4,0))</f>
        <v>0</v>
      </c>
      <c r="Y8" s="14">
        <f>IF($B8="OFF",BX8,VLOOKUP($D8,Receptury_z!$D:$AI,Y$4,0))</f>
        <v>0</v>
      </c>
      <c r="Z8" s="14">
        <f>IF($B8="OFF",BY8,VLOOKUP($D8,Receptury_z!$D:$AI,Z$4,0))</f>
        <v>0</v>
      </c>
      <c r="AA8" s="14">
        <f>IF($B8="OFF",BZ8,VLOOKUP($D8,Receptury_z!$D:$AI,AA$4,0))</f>
        <v>0</v>
      </c>
      <c r="AB8" s="14">
        <f>IF($B8="OFF",CA8,VLOOKUP($D8,Receptury_z!$D:$AI,AB$4,0))</f>
        <v>71.010000000000005</v>
      </c>
      <c r="AC8" s="14">
        <f>IF($B8="OFF",CB8,VLOOKUP($D8,Receptury_z!$D:$AI,AC$4,0))</f>
        <v>0</v>
      </c>
      <c r="AD8" s="14">
        <f>IF($B8="OFF",CC8,VLOOKUP($D8,Receptury_z!$D:$AI,AD$4,0))</f>
        <v>0</v>
      </c>
      <c r="AE8" s="14">
        <f>IF($B8="OFF",CD8,VLOOKUP($D8,Receptury_z!$D:$AI,AE$4,0))</f>
        <v>0</v>
      </c>
      <c r="AF8" s="14">
        <f>IF($B8="OFF",CE8,VLOOKUP($D8,Receptury_z!$D:$AI,AF$4,0))</f>
        <v>0</v>
      </c>
      <c r="AG8" s="14">
        <f>IF($B8="OFF",CF8,VLOOKUP($D8,Receptury_z!$D:$AI,AG$4,0))</f>
        <v>0</v>
      </c>
      <c r="AH8" s="14">
        <f>IF($B8="OFF",CG8,VLOOKUP($D8,Receptury_z!$D:$AI,AH$4,0))</f>
        <v>0</v>
      </c>
      <c r="AI8" s="14">
        <f>IF($B8="OFF",CH8,VLOOKUP($D8,Receptury_z!$D:$AI,AI$4,0))</f>
        <v>0</v>
      </c>
      <c r="AJ8" s="14">
        <f>IF($B8="OFF",CI8,VLOOKUP($D8,Receptury_z!$D:$AS,AJ$4,0))</f>
        <v>0</v>
      </c>
      <c r="AK8" s="14">
        <f>IF($B8="OFF",CJ8,VLOOKUP($D8,Receptury_z!$D:$AS,AK$4,0))</f>
        <v>0</v>
      </c>
      <c r="AL8" s="14">
        <f>IF($B8="OFF",CK8,VLOOKUP($D8,Receptury_z!$D:$AS,AL$4,0))</f>
        <v>0</v>
      </c>
      <c r="AM8" s="14">
        <f>IF($B8="OFF",CL8,VLOOKUP($D8,Receptury_z!$D:$AS,AM$4,0))</f>
        <v>0</v>
      </c>
      <c r="AN8" s="14">
        <f>IF($B8="OFF",CM8,VLOOKUP($D8,Receptury_z!$D:$AS,AN$4,0))</f>
        <v>0</v>
      </c>
      <c r="AO8" s="14">
        <f>IF($B8="OFF",CN8,VLOOKUP($D8,Receptury_z!$D:$AS,AO$4,0))</f>
        <v>0</v>
      </c>
      <c r="AP8" s="14">
        <f>IF($B8="OFF",CO8,VLOOKUP($D8,Receptury_z!$D:$AS,AP$4,0))</f>
        <v>0</v>
      </c>
      <c r="AQ8" s="14">
        <f>IF($B8="OFF",CP8,VLOOKUP($D8,Receptury_z!$D:$AS,AQ$4,0))</f>
        <v>0</v>
      </c>
      <c r="AR8" s="14">
        <f>IF($B8="OFF",CQ8,VLOOKUP($D8,Receptury_z!$D:$AS,AR$4,0))</f>
        <v>0</v>
      </c>
      <c r="AS8" s="14">
        <f>IF($B8="OFF",CR8,VLOOKUP($D8,Receptury_z!$D:$AS,AS$4,0))</f>
        <v>0</v>
      </c>
      <c r="AT8" s="14">
        <f>IF($B8="OFF",CS8,VLOOKUP($D8,Receptury_z!$D:$AV,AT$4,0))</f>
        <v>0</v>
      </c>
      <c r="AU8" s="14">
        <f>IF($B8="OFF",CT8,VLOOKUP($D8,Receptury_z!$D:$AV,AU$4,0))</f>
        <v>0</v>
      </c>
      <c r="AV8" s="14">
        <f>IF($B8="OFF",CU8,VLOOKUP($D8,Receptury_z!$D:$AV,AV$4,0))</f>
        <v>0</v>
      </c>
      <c r="AW8" s="14">
        <f>IF($B8="OFF",CV8,VLOOKUP($D8,Receptury_z!$D:$BA,AW$4,0))</f>
        <v>0</v>
      </c>
      <c r="AX8" s="14">
        <f>IF($B8="OFF",CW8,VLOOKUP($D8,Receptury_z!$D:$BA,AX$4,0))</f>
        <v>0</v>
      </c>
      <c r="AY8" s="14">
        <f>IF($B8="OFF",CX8,VLOOKUP($D8,Receptury_z!$D:$BA,AY$4,0))</f>
        <v>0</v>
      </c>
      <c r="AZ8" s="14">
        <f>IF($B8="OFF",DA8,VLOOKUP($D8,Receptury_z!$D:$BA,AZ$4,0))</f>
        <v>0</v>
      </c>
      <c r="BA8" s="14">
        <f>IF($B8="OFF",DB8,VLOOKUP($D8,Receptury_z!$D:$BA,BA$4,0))</f>
        <v>0</v>
      </c>
      <c r="BC8" s="19">
        <v>6351</v>
      </c>
      <c r="BD8" s="18" t="s">
        <v>18</v>
      </c>
      <c r="BE8" s="239">
        <v>248.5</v>
      </c>
      <c r="BF8" s="239">
        <v>0</v>
      </c>
      <c r="BG8" s="239">
        <v>0</v>
      </c>
      <c r="BH8" s="239">
        <v>0</v>
      </c>
      <c r="BI8" s="239">
        <v>0</v>
      </c>
      <c r="BJ8" s="239">
        <v>284</v>
      </c>
      <c r="BK8" s="239">
        <v>0</v>
      </c>
      <c r="BL8" s="239">
        <v>0</v>
      </c>
      <c r="BM8" s="239">
        <v>106.46</v>
      </c>
      <c r="BN8" s="239">
        <v>0</v>
      </c>
      <c r="BO8" s="239">
        <v>0</v>
      </c>
      <c r="BP8" s="239">
        <v>0</v>
      </c>
      <c r="BQ8" s="239">
        <v>0</v>
      </c>
      <c r="BR8" s="239">
        <v>0</v>
      </c>
      <c r="BS8" s="239">
        <v>0</v>
      </c>
      <c r="BT8" s="239">
        <v>0</v>
      </c>
      <c r="BU8" s="239">
        <v>0</v>
      </c>
      <c r="BV8" s="239">
        <v>0</v>
      </c>
      <c r="BW8" s="239">
        <v>0</v>
      </c>
      <c r="BX8" s="239">
        <v>0</v>
      </c>
      <c r="BY8" s="239">
        <v>0</v>
      </c>
      <c r="BZ8" s="239">
        <v>0</v>
      </c>
      <c r="CA8" s="239">
        <v>71.010000000000005</v>
      </c>
      <c r="CB8" s="239">
        <v>0</v>
      </c>
      <c r="CC8" s="239">
        <v>0</v>
      </c>
      <c r="CD8" s="239">
        <v>0</v>
      </c>
      <c r="CE8" s="239">
        <v>0</v>
      </c>
      <c r="CF8" s="239">
        <v>0</v>
      </c>
      <c r="CG8" s="239">
        <v>0</v>
      </c>
      <c r="CH8" s="239">
        <v>0</v>
      </c>
      <c r="CI8" s="239">
        <v>0</v>
      </c>
      <c r="CJ8" s="239">
        <v>0</v>
      </c>
      <c r="CK8" s="239">
        <v>0</v>
      </c>
      <c r="CL8" s="239">
        <v>0</v>
      </c>
      <c r="CM8" s="80"/>
      <c r="CN8" s="80"/>
      <c r="CO8" s="80"/>
      <c r="CP8" s="80"/>
      <c r="CQ8" s="80"/>
      <c r="CR8" s="80"/>
      <c r="CS8" s="80"/>
      <c r="CT8" s="80"/>
      <c r="CU8" s="80"/>
      <c r="CV8" s="80"/>
      <c r="CW8" s="80"/>
      <c r="CX8" s="80"/>
      <c r="CY8" s="80"/>
      <c r="CZ8" s="80"/>
      <c r="DB8">
        <f>IFERROR(VLOOKUP($D8,'Kalkulator mięs '!$C$5:$H$533,DB$4,0)*F8,0)</f>
        <v>0</v>
      </c>
      <c r="DC8">
        <f>IFERROR(VLOOKUP($D8,'Kalkulator mięs '!$C$5:$H$533,DC$4,0)*F8,0)</f>
        <v>0</v>
      </c>
      <c r="DD8">
        <f>IFERROR(VLOOKUP($D8,'Kalkulator mięs '!$C$5:$H$533,DD$4,0)*F8,0)</f>
        <v>0</v>
      </c>
      <c r="DE8">
        <f>IFERROR(VLOOKUP($D8,'Kalkulator mięs '!$C$5:$H$533,DE$4,0)*$G8,0)</f>
        <v>0</v>
      </c>
      <c r="DF8">
        <f>IFERROR(VLOOKUP($D8,'Kalkulator mięs '!$C$5:$H$533,DF$4,0)*$G8,0)</f>
        <v>0</v>
      </c>
      <c r="DG8">
        <f>IFERROR(VLOOKUP($D8,'Kalkulator mięs '!$C$5:$H$533,DG$4,0)*$G8,0)</f>
        <v>0</v>
      </c>
      <c r="DH8">
        <f>IFERROR(VLOOKUP($D8,'Kalkulator mięs '!$C$5:$H$533,DH$4,0)*$H8,0)</f>
        <v>0</v>
      </c>
      <c r="DI8">
        <f>IFERROR(VLOOKUP($D8,'Kalkulator mięs '!$C$5:$H$533,DI$4,0)*$H8,0)</f>
        <v>0</v>
      </c>
      <c r="DJ8">
        <f>IFERROR(VLOOKUP($D8,'Kalkulator mięs '!$C$5:$H$533,DJ$4,0)*$H8,0)</f>
        <v>0</v>
      </c>
      <c r="DK8">
        <f>IFERROR(VLOOKUP($D8,'Kalkulator mięs '!$C$5:$H$533,DK$4,0)*$I8,0)</f>
        <v>0</v>
      </c>
      <c r="DL8">
        <f>IFERROR(VLOOKUP($D8,'Kalkulator mięs '!$C$5:$H$533,DL$4,0)*$I8,0)</f>
        <v>0</v>
      </c>
      <c r="DM8">
        <f>IFERROR(VLOOKUP($D8,'Kalkulator mięs '!$C$5:$H$533,DM$4,0)*$I8,0)</f>
        <v>0</v>
      </c>
      <c r="DN8">
        <f>IFERROR(VLOOKUP($D8,'Kalkulator mięs '!$C$5:$H$533,DN$4,0)*$J8,0)</f>
        <v>0</v>
      </c>
      <c r="DO8">
        <f>IFERROR(VLOOKUP($D8,'Kalkulator mięs '!$C$5:$H$533,DO$4,0)*$J8,0)</f>
        <v>0</v>
      </c>
      <c r="DP8">
        <f>IFERROR(VLOOKUP($D8,'Kalkulator mięs '!$C$5:$H$533,DP$4,0)*$J8,0)</f>
        <v>0</v>
      </c>
      <c r="DQ8">
        <f>IFERROR(VLOOKUP($D8,'Kalkulator mięs '!$C$5:$H$533,DQ$4,0)*$K8,0)</f>
        <v>0</v>
      </c>
      <c r="DR8">
        <f>IFERROR(VLOOKUP($D8,'Kalkulator mięs '!$C$5:$H$533,DR$4,0)*$K8,0)</f>
        <v>0</v>
      </c>
      <c r="DS8">
        <f>IFERROR(VLOOKUP($D8,'Kalkulator mięs '!$C$5:$H$533,DS$4,0)*$K8,0)</f>
        <v>0</v>
      </c>
      <c r="DT8">
        <f>IFERROR(VLOOKUP($D8,'Kalkulator mięs '!$C$5:$H$533,DT$4,0)*$L8,0)</f>
        <v>0</v>
      </c>
      <c r="DU8">
        <f>IFERROR(VLOOKUP($D8,'Kalkulator mięs '!$C$5:$H$533,DU$4,0)*$L8,0)</f>
        <v>0</v>
      </c>
      <c r="DV8">
        <f>IFERROR(VLOOKUP($D8,'Kalkulator mięs '!$C$5:$H$533,DV$4,0)*$L8,0)</f>
        <v>0</v>
      </c>
      <c r="DW8">
        <f>IFERROR(VLOOKUP($D8,'Kalkulator mięs '!$C$5:$H$533,DW$4,0)*$M8,0)</f>
        <v>0</v>
      </c>
      <c r="DX8">
        <f>IFERROR(VLOOKUP($D8,'Kalkulator mięs '!$C$5:$H$533,DX$4,0)*$M8,0)</f>
        <v>0</v>
      </c>
      <c r="DY8">
        <f>IFERROR(VLOOKUP($D8,'Kalkulator mięs '!$C$5:$H$533,DY$4,0)*$M8,0)</f>
        <v>0</v>
      </c>
      <c r="DZ8">
        <f>IFERROR(VLOOKUP($D8,'Kalkulator mięs '!$C$5:$H$533,DZ$4,0)*$N8,0)</f>
        <v>0</v>
      </c>
      <c r="EA8">
        <f>IFERROR(VLOOKUP($D8,'Kalkulator mięs '!$C$5:$H$533,EA$4,0)*$N8,0)</f>
        <v>0</v>
      </c>
      <c r="EB8">
        <f>IFERROR(VLOOKUP($D8,'Kalkulator mięs '!$C$5:$H$533,EB$4,0)*$N8,0)</f>
        <v>0</v>
      </c>
      <c r="EC8">
        <f>IFERROR(VLOOKUP($D8,'Kalkulator mięs '!$C$5:$H$533,EC$4,0)*$O8,0)</f>
        <v>0</v>
      </c>
      <c r="ED8">
        <f>IFERROR(VLOOKUP($D8,'Kalkulator mięs '!$C$5:$H$533,ED$4,0)*$O8,0)</f>
        <v>0</v>
      </c>
      <c r="EE8">
        <f>IFERROR(VLOOKUP($D8,'Kalkulator mięs '!$C$5:$H$533,EE$4,0)*$O8,0)</f>
        <v>0</v>
      </c>
      <c r="EF8">
        <f>IFERROR(VLOOKUP($D8,'Kalkulator mięs '!$C$5:$H$533,EF$4,0)*$P8,0)</f>
        <v>0</v>
      </c>
      <c r="EG8">
        <f>IFERROR(VLOOKUP($D8,'Kalkulator mięs '!$C$5:$H$533,EG$4,0)*$P8,0)</f>
        <v>0</v>
      </c>
      <c r="EH8">
        <f>IFERROR(VLOOKUP($D8,'Kalkulator mięs '!$C$5:$H$533,EH$4,0)*$P8,0)</f>
        <v>0</v>
      </c>
      <c r="EI8">
        <f>IFERROR(VLOOKUP($D8,'Kalkulator mięs '!$C$5:$H$533,EI$4,0)*$Q8,0)</f>
        <v>0</v>
      </c>
      <c r="EJ8">
        <f>IFERROR(VLOOKUP($D8,'Kalkulator mięs '!$C$5:$H$533,EJ$4,0)*$Q8,0)</f>
        <v>0</v>
      </c>
      <c r="EK8">
        <f>IFERROR(VLOOKUP($D8,'Kalkulator mięs '!$C$5:$H$533,EK$4,0)*$Q8,0)</f>
        <v>0</v>
      </c>
      <c r="EL8">
        <f>IFERROR(VLOOKUP($D8,'Kalkulator mięs '!$C$5:$H$533,EL$4,0)*$R8,0)</f>
        <v>0</v>
      </c>
      <c r="EM8">
        <f>IFERROR(VLOOKUP($D8,'Kalkulator mięs '!$C$5:$H$533,EM$4,0)*$R8,0)</f>
        <v>0</v>
      </c>
      <c r="EN8">
        <f>IFERROR(VLOOKUP($D8,'Kalkulator mięs '!$C$5:$H$533,EN$4,0)*$R8,0)</f>
        <v>0</v>
      </c>
      <c r="EO8">
        <f>IFERROR(VLOOKUP($D8,'Kalkulator mięs '!$C$5:$H$533,EO$4,0)*$S8,0)</f>
        <v>0</v>
      </c>
      <c r="EP8">
        <f>IFERROR(VLOOKUP($D8,'Kalkulator mięs '!$C$5:$H$533,EP$4,0)*$S8,0)</f>
        <v>0</v>
      </c>
      <c r="EQ8">
        <f>IFERROR(VLOOKUP($D8,'Kalkulator mięs '!$C$5:$H$533,EQ$4,0)*$S8,0)</f>
        <v>0</v>
      </c>
      <c r="ER8">
        <f>IFERROR(VLOOKUP($D8,'Kalkulator mięs '!$C$5:$H$533,ER$4,0)*$T8,0)</f>
        <v>0</v>
      </c>
      <c r="ES8">
        <f>IFERROR(VLOOKUP($D8,'Kalkulator mięs '!$C$5:$H$533,ES$4,0)*$T8,0)</f>
        <v>0</v>
      </c>
      <c r="ET8">
        <f>IFERROR(VLOOKUP($D8,'Kalkulator mięs '!$C$5:$H$533,ET$4,0)*$T8,0)</f>
        <v>0</v>
      </c>
      <c r="EU8">
        <f>IFERROR(VLOOKUP($D8,'Kalkulator mięs '!$C$5:$H$533,EU$4,0)*$U8,0)</f>
        <v>0</v>
      </c>
      <c r="EV8">
        <f>IFERROR(VLOOKUP($D8,'Kalkulator mięs '!$C$5:$H$533,EV$4,0)*$U8,0)</f>
        <v>0</v>
      </c>
      <c r="EW8">
        <f>IFERROR(VLOOKUP($D8,'Kalkulator mięs '!$C$5:$H$533,EW$4,0)*$U8,0)</f>
        <v>0</v>
      </c>
      <c r="EX8">
        <f>IFERROR(VLOOKUP($D8,'Kalkulator mięs '!$C$5:$H$533,EX$4,0)*$V8,0)</f>
        <v>0</v>
      </c>
      <c r="EY8">
        <f>IFERROR(VLOOKUP($D8,'Kalkulator mięs '!$C$5:$H$533,EY$4,0)*$V8,0)</f>
        <v>0</v>
      </c>
      <c r="EZ8">
        <f>IFERROR(VLOOKUP($D8,'Kalkulator mięs '!$C$5:$H$533,EZ$4,0)*$V8,0)</f>
        <v>0</v>
      </c>
      <c r="FA8">
        <f>IFERROR(VLOOKUP($D8,'Kalkulator mięs '!$C$5:$H$533,FA$4,0)*$W8,0)</f>
        <v>0</v>
      </c>
      <c r="FB8">
        <f>IFERROR(VLOOKUP($D8,'Kalkulator mięs '!$C$5:$H$533,FB$4,0)*$W8,0)</f>
        <v>0</v>
      </c>
      <c r="FC8">
        <f>IFERROR(VLOOKUP($D8,'Kalkulator mięs '!$C$5:$H$533,FC$4,0)*$W8,0)</f>
        <v>0</v>
      </c>
      <c r="FD8">
        <f>IFERROR(VLOOKUP($D8,'Kalkulator mięs '!$C$5:$H$533,FD$4,0)*$X8,0)</f>
        <v>0</v>
      </c>
      <c r="FE8">
        <f>IFERROR(VLOOKUP($D8,'Kalkulator mięs '!$C$5:$H$533,FE$4,0)*$X8,0)</f>
        <v>0</v>
      </c>
      <c r="FF8">
        <f>IFERROR(VLOOKUP($D8,'Kalkulator mięs '!$C$5:$H$533,FF$4,0)*$X8,0)</f>
        <v>0</v>
      </c>
      <c r="FG8">
        <f>IFERROR(VLOOKUP($D8,'Kalkulator mięs '!$C$5:$H$533,FG$4,0)*$Y8,0)</f>
        <v>0</v>
      </c>
      <c r="FH8">
        <f>IFERROR(VLOOKUP($D8,'Kalkulator mięs '!$C$5:$H$533,FH$4,0)*$Y8,0)</f>
        <v>0</v>
      </c>
      <c r="FI8">
        <f>IFERROR(VLOOKUP($D8,'Kalkulator mięs '!$C$5:$H$533,FI$4,0)*$Y8,0)</f>
        <v>0</v>
      </c>
      <c r="FJ8">
        <f>IFERROR(VLOOKUP($D8,'Kalkulator mięs '!$C$5:$H$533,FJ$4,0)*$Z8,0)</f>
        <v>0</v>
      </c>
      <c r="FK8">
        <f>IFERROR(VLOOKUP($D8,'Kalkulator mięs '!$C$5:$H$533,FK$4,0)*$Z8,0)</f>
        <v>0</v>
      </c>
      <c r="FL8">
        <f>IFERROR(VLOOKUP($D8,'Kalkulator mięs '!$C$5:$H$533,FL$4,0)*$Z8,0)</f>
        <v>0</v>
      </c>
      <c r="FM8">
        <f>IFERROR(VLOOKUP($D8,'Kalkulator mięs '!$C$5:$H$533,FM$4,0)*$AA8,0)</f>
        <v>0</v>
      </c>
      <c r="FN8">
        <f>IFERROR(VLOOKUP($D8,'Kalkulator mięs '!$C$5:$H$533,FN$4,0)*$AA8,0)</f>
        <v>0</v>
      </c>
      <c r="FO8">
        <f>IFERROR(VLOOKUP($D8,'Kalkulator mięs '!$C$5:$H$533,FO$4,0)*$AA8,0)</f>
        <v>0</v>
      </c>
      <c r="FP8">
        <f>IFERROR(VLOOKUP($D8,'Kalkulator mięs '!$C$5:$H$533,FP$4,0)*$AB8,0)</f>
        <v>0</v>
      </c>
      <c r="FQ8">
        <f>IFERROR(VLOOKUP($D8,'Kalkulator mięs '!$C$5:$H$533,FQ$4,0)*$AB8,0)</f>
        <v>0</v>
      </c>
      <c r="FR8">
        <f>IFERROR(VLOOKUP($D8,'Kalkulator mięs '!$C$5:$H$533,FR$4,0)*$AB8,0)</f>
        <v>0</v>
      </c>
      <c r="FS8">
        <f>IFERROR(VLOOKUP($D8,'Kalkulator mięs '!$C$5:$H$533,FS$4,0)*$AC8,0)</f>
        <v>0</v>
      </c>
      <c r="FT8">
        <f>IFERROR(VLOOKUP($D8,'Kalkulator mięs '!$C$5:$H$533,FT$4,0)*$AC8,0)</f>
        <v>0</v>
      </c>
      <c r="FU8">
        <f>IFERROR(VLOOKUP($D8,'Kalkulator mięs '!$C$5:$H$533,FU$4,0)*$AC8,0)</f>
        <v>0</v>
      </c>
      <c r="FV8">
        <f>IFERROR(VLOOKUP($D8,'Kalkulator mięs '!$C$5:$H$533,FV$4,0)*$AD8,0)</f>
        <v>0</v>
      </c>
      <c r="FW8">
        <f>IFERROR(VLOOKUP($D8,'Kalkulator mięs '!$C$5:$H$533,FW$4,0)*$AD8,0)</f>
        <v>0</v>
      </c>
      <c r="FX8">
        <f>IFERROR(VLOOKUP($D8,'Kalkulator mięs '!$C$5:$H$533,FX$4,0)*$AD8,0)</f>
        <v>0</v>
      </c>
      <c r="FY8">
        <f>IFERROR(VLOOKUP($D8,'Kalkulator mięs '!$C$5:$H$533,FY$4,0)*$AE8,0)</f>
        <v>0</v>
      </c>
      <c r="FZ8">
        <f>IFERROR(VLOOKUP($D8,'Kalkulator mięs '!$C$5:$H$533,FZ$4,0)*$AE8,0)</f>
        <v>0</v>
      </c>
      <c r="GA8">
        <f>IFERROR(VLOOKUP($D8,'Kalkulator mięs '!$C$5:$H$533,GA$4,0)*$AE8,0)</f>
        <v>0</v>
      </c>
      <c r="GB8">
        <f>IFERROR(VLOOKUP($D8,'Kalkulator mięs '!$C$5:$H$533,GB$4,0)*$AF8,0)</f>
        <v>0</v>
      </c>
      <c r="GC8">
        <f>IFERROR(VLOOKUP($D8,'Kalkulator mięs '!$C$5:$H$533,GC$4,0)*$AF8,0)</f>
        <v>0</v>
      </c>
      <c r="GD8">
        <f>IFERROR(VLOOKUP($D8,'Kalkulator mięs '!$C$5:$H$533,GD$4,0)*$AF8,0)</f>
        <v>0</v>
      </c>
      <c r="GE8">
        <f>IFERROR(VLOOKUP($D8,'Kalkulator mięs '!$C$5:$H$533,GE$4,0)*$AG8,0)</f>
        <v>0</v>
      </c>
      <c r="GF8">
        <f>IFERROR(VLOOKUP($D8,'Kalkulator mięs '!$C$5:$H$533,GF$4,0)*$AG8,0)</f>
        <v>0</v>
      </c>
      <c r="GG8">
        <f>IFERROR(VLOOKUP($D8,'Kalkulator mięs '!$C$5:$H$533,GG$4,0)*$AG8,0)</f>
        <v>0</v>
      </c>
      <c r="GH8">
        <f>IFERROR(VLOOKUP($D8,'Kalkulator mięs '!$C$5:$H$533,GH$4,0)*$AH8,0)</f>
        <v>0</v>
      </c>
      <c r="GI8">
        <f>IFERROR(VLOOKUP($D8,'Kalkulator mięs '!$C$5:$H$533,GI$4,0)*$AH8,0)</f>
        <v>0</v>
      </c>
      <c r="GJ8">
        <f>IFERROR(VLOOKUP($D8,'Kalkulator mięs '!$C$5:$H$533,GJ$4,0)*$AH8,0)</f>
        <v>0</v>
      </c>
      <c r="GK8">
        <f>IFERROR(VLOOKUP($D8,'Kalkulator mięs '!$C$5:$H$533,GK$4,0)*$AI8,0)</f>
        <v>0</v>
      </c>
      <c r="GL8">
        <f>IFERROR(VLOOKUP($D8,'Kalkulator mięs '!$C$5:$H$533,GL$4,0)*$AI8,0)</f>
        <v>0</v>
      </c>
      <c r="GM8">
        <f>IFERROR(VLOOKUP($D8,'Kalkulator mięs '!$C$5:$H$533,GM$4,0)*$AI8,0)</f>
        <v>0</v>
      </c>
      <c r="GN8">
        <f>IFERROR(VLOOKUP($D8,'Kalkulator mięs '!$C$5:$H$533,GN$4,0)*$AJ8,0)</f>
        <v>0</v>
      </c>
      <c r="GO8">
        <f>IFERROR(VLOOKUP($D8,'Kalkulator mięs '!$C$5:$H$533,GO$4,0)*$AJ8,0)</f>
        <v>0</v>
      </c>
      <c r="GP8">
        <f>IFERROR(VLOOKUP($D8,'Kalkulator mięs '!$C$5:$H$533,GP$4,0)*$AJ8,0)</f>
        <v>0</v>
      </c>
      <c r="GQ8">
        <f>IFERROR(VLOOKUP($D8,'Kalkulator mięs '!$C$5:$H$533,GQ$4,0)*$AK8,0)</f>
        <v>0</v>
      </c>
      <c r="GR8">
        <f>IFERROR(VLOOKUP($D8,'Kalkulator mięs '!$C$5:$H$533,GR$4,0)*$AK8,0)</f>
        <v>0</v>
      </c>
      <c r="GS8">
        <f>IFERROR(VLOOKUP($D8,'Kalkulator mięs '!$C$5:$H$533,GS$4,0)*$AK8,0)</f>
        <v>0</v>
      </c>
      <c r="GT8">
        <f>IFERROR(VLOOKUP($D8,'Kalkulator mięs '!$C$5:$H$533,GT$4,0)*$AL8,0)</f>
        <v>0</v>
      </c>
      <c r="GU8">
        <f>IFERROR(VLOOKUP($D8,'Kalkulator mięs '!$C$5:$H$533,GU$4,0)*$AL8,0)</f>
        <v>0</v>
      </c>
      <c r="GV8">
        <f>IFERROR(VLOOKUP($D8,'Kalkulator mięs '!$C$5:$H$533,GV$4,0)*$AL8,0)</f>
        <v>0</v>
      </c>
      <c r="GW8">
        <f>IFERROR(VLOOKUP($D8,'Kalkulator mięs '!$C$5:$H$533,GW$4,0)*$AM8,0)</f>
        <v>0</v>
      </c>
      <c r="GX8">
        <f>IFERROR(VLOOKUP($D8,'Kalkulator mięs '!$C$5:$H$533,GX$4,0)*$AM8,0)</f>
        <v>0</v>
      </c>
      <c r="GY8">
        <f>IFERROR(VLOOKUP($D8,'Kalkulator mięs '!$C$5:$H$533,GY$4,0)*$AM8,0)</f>
        <v>0</v>
      </c>
      <c r="GZ8">
        <f>IFERROR(VLOOKUP($D8,'Kalkulator mięs '!$C$5:$H$533,GZ$4,0)*$AN8,0)</f>
        <v>0</v>
      </c>
      <c r="HA8">
        <f>IFERROR(VLOOKUP($D8,'Kalkulator mięs '!$C$5:$H$533,HA$4,0)*$AN8,0)</f>
        <v>0</v>
      </c>
      <c r="HB8">
        <f>IFERROR(VLOOKUP($D8,'Kalkulator mięs '!$C$5:$H$533,HB$4,0)*$AN8,0)</f>
        <v>0</v>
      </c>
      <c r="HC8">
        <f>IFERROR(VLOOKUP($D8,'Kalkulator mięs '!$C$5:$H$533,HC$4,0)*$AO8,0)</f>
        <v>0</v>
      </c>
      <c r="HD8">
        <f>IFERROR(VLOOKUP($D8,'Kalkulator mięs '!$C$5:$H$533,HD$4,0)*$AO8,0)</f>
        <v>0</v>
      </c>
      <c r="HE8">
        <f>IFERROR(VLOOKUP($D8,'Kalkulator mięs '!$C$5:$H$533,HE$4,0)*$AO8,0)</f>
        <v>0</v>
      </c>
      <c r="HF8">
        <f>IFERROR(VLOOKUP($D8,'Kalkulator mięs '!$C$5:$H$533,HF$4,0)*$AP8,0)</f>
        <v>0</v>
      </c>
      <c r="HG8">
        <f>IFERROR(VLOOKUP($D8,'Kalkulator mięs '!$C$5:$H$533,HG$4,0)*$AP8,0)</f>
        <v>0</v>
      </c>
      <c r="HH8">
        <f>IFERROR(VLOOKUP($D8,'Kalkulator mięs '!$C$5:$H$533,HH$4,0)*$AP8,0)</f>
        <v>0</v>
      </c>
      <c r="HI8">
        <f>IFERROR(VLOOKUP($D8,'Kalkulator mięs '!$C$5:$H$533,HI$4,0)*$AQ8,0)</f>
        <v>0</v>
      </c>
      <c r="HJ8">
        <f>IFERROR(VLOOKUP($D8,'Kalkulator mięs '!$C$5:$H$533,HJ$4,0)*$AQ8,0)</f>
        <v>0</v>
      </c>
      <c r="HK8">
        <f>IFERROR(VLOOKUP($D8,'Kalkulator mięs '!$C$5:$H$533,HK$4,0)*$AQ8,0)</f>
        <v>0</v>
      </c>
      <c r="HL8">
        <f>IFERROR(VLOOKUP($D8,'Kalkulator mięs '!$C$5:$H$533,HL$4,0)*$AR8,0)</f>
        <v>0</v>
      </c>
      <c r="HM8">
        <f>IFERROR(VLOOKUP($D8,'Kalkulator mięs '!$C$5:$H$533,HM$4,0)*$AR8,0)</f>
        <v>0</v>
      </c>
      <c r="HN8">
        <f>IFERROR(VLOOKUP($D8,'Kalkulator mięs '!$C$5:$H$533,HN$4,0)*$AR8,0)</f>
        <v>0</v>
      </c>
      <c r="HO8">
        <f>IFERROR(VLOOKUP($D8,'Kalkulator mięs '!$C$5:$H$533,HO$4,0)*$AS8,0)</f>
        <v>0</v>
      </c>
      <c r="HP8">
        <f>IFERROR(VLOOKUP($D8,'Kalkulator mięs '!$C$5:$H$533,HP$4,0)*$AS8,0)</f>
        <v>0</v>
      </c>
      <c r="HQ8">
        <f>IFERROR(VLOOKUP($D8,'Kalkulator mięs '!$C$5:$H$533,HQ$4,0)*$AS8,0)</f>
        <v>0</v>
      </c>
      <c r="HR8">
        <f>IFERROR(VLOOKUP($D8,'Kalkulator mięs '!$C$5:$H$533,HR$4,0)*$AT8,0)</f>
        <v>0</v>
      </c>
      <c r="HS8">
        <f>IFERROR(VLOOKUP($D8,'Kalkulator mięs '!$C$5:$H$533,HS$4,0)*$AT8,0)</f>
        <v>0</v>
      </c>
      <c r="HT8">
        <f>IFERROR(VLOOKUP($D8,'Kalkulator mięs '!$C$5:$H$533,HT$4,0)*$AT8,0)</f>
        <v>0</v>
      </c>
      <c r="HU8">
        <f>IFERROR(VLOOKUP($D8,'Kalkulator mięs '!$C$5:$H$533,HU$4,0)*$AU8,0)</f>
        <v>0</v>
      </c>
      <c r="HV8">
        <f>IFERROR(VLOOKUP($D8,'Kalkulator mięs '!$C$5:$H$533,HV$4,0)*$AU8,0)</f>
        <v>0</v>
      </c>
      <c r="HW8">
        <f>IFERROR(VLOOKUP($D8,'Kalkulator mięs '!$C$5:$H$533,HW$4,0)*$AU8,0)</f>
        <v>0</v>
      </c>
      <c r="HX8">
        <f>IFERROR(VLOOKUP($D8,'Kalkulator mięs '!$C$5:$H$533,HX$4,0)*$AV8,0)</f>
        <v>0</v>
      </c>
      <c r="HY8">
        <f>IFERROR(VLOOKUP($D8,'Kalkulator mięs '!$C$5:$H$533,HY$4,0)*$AV8,0)</f>
        <v>0</v>
      </c>
      <c r="HZ8">
        <f>IFERROR(VLOOKUP($D8,'Kalkulator mięs '!$C$5:$H$533,HZ$4,0)*$AV8,0)</f>
        <v>0</v>
      </c>
      <c r="IA8">
        <f>IFERROR(VLOOKUP($D8,'Kalkulator mięs '!$C$5:$H$533,IA$4,0)*$AW8,0)</f>
        <v>0</v>
      </c>
      <c r="IB8">
        <f>IFERROR(VLOOKUP($D8,'Kalkulator mięs '!$C$5:$H$533,IB$4,0)*$AW8,0)</f>
        <v>0</v>
      </c>
      <c r="IC8">
        <f>IFERROR(VLOOKUP($D8,'Kalkulator mięs '!$C$5:$H$533,IC$4,0)*$AW8,0)</f>
        <v>0</v>
      </c>
      <c r="ID8">
        <f>IFERROR(VLOOKUP($D8,'Kalkulator mięs '!$C$5:$H$533,ID$4,0)*$AX8,0)</f>
        <v>0</v>
      </c>
      <c r="IE8">
        <f>IFERROR(VLOOKUP($D8,'Kalkulator mięs '!$C$5:$H$533,IE$4,0)*$AX8,0)</f>
        <v>0</v>
      </c>
      <c r="IF8">
        <f>IFERROR(VLOOKUP($D8,'Kalkulator mięs '!$C$5:$H$533,IF$4,0)*$AX8,0)</f>
        <v>0</v>
      </c>
      <c r="IG8">
        <f>IFERROR(VLOOKUP($D8,'Kalkulator mięs '!$C$5:$H$533,IG$4,0)*$AY8,0)</f>
        <v>0</v>
      </c>
      <c r="IH8">
        <f>IFERROR(VLOOKUP($D8,'Kalkulator mięs '!$C$5:$H$533,IH$4,0)*$AY8,0)</f>
        <v>0</v>
      </c>
      <c r="II8">
        <f>IFERROR(VLOOKUP($D8,'Kalkulator mięs '!$C$5:$H$533,II$4,0)*$AY8,0)</f>
        <v>0</v>
      </c>
      <c r="IJ8">
        <f>IFERROR(VLOOKUP($D8,'Kalkulator mięs '!$C$5:$H$533,IJ$4,0)*$AZ8,0)</f>
        <v>0</v>
      </c>
      <c r="IK8">
        <f>IFERROR(VLOOKUP($D8,'Kalkulator mięs '!$C$5:$H$533,IK$4,0)*$AZ8,0)</f>
        <v>0</v>
      </c>
      <c r="IL8">
        <f>IFERROR(VLOOKUP($D8,'Kalkulator mięs '!$C$5:$H$533,IL$4,0)*$AZ8,0)</f>
        <v>0</v>
      </c>
      <c r="IM8">
        <f>IFERROR(VLOOKUP($D8,'Kalkulator mięs '!$C$5:$H$533,IM$4,0)*$BA8,0)</f>
        <v>0</v>
      </c>
      <c r="IN8">
        <f>IFERROR(VLOOKUP($D8,'Kalkulator mięs '!$C$5:$H$533,IN$4,0)*$BA8,0)</f>
        <v>0</v>
      </c>
      <c r="IO8">
        <f>IFERROR(VLOOKUP($D8,'Kalkulator mięs '!$C$5:$H$533,IO$4,0)*$BA8,0)</f>
        <v>0</v>
      </c>
    </row>
    <row r="9" spans="2:249" ht="15.75">
      <c r="B9" t="str">
        <f>VLOOKUP(D9,Receptury_z!$A:$B,2,0)</f>
        <v>ON</v>
      </c>
      <c r="C9" s="16">
        <v>5448</v>
      </c>
      <c r="D9" s="19">
        <v>6354</v>
      </c>
      <c r="E9" s="18" t="s">
        <v>19</v>
      </c>
      <c r="F9" s="14">
        <f>IF($B9="OFF",BE9,VLOOKUP($D9,Receptury_z!$D:$AI,F$4,0))</f>
        <v>0</v>
      </c>
      <c r="G9" s="14">
        <f>IF($B9="OFF",BF9,VLOOKUP($D9,Receptury_z!$D:$AI,G$4,0))</f>
        <v>0</v>
      </c>
      <c r="H9" s="14">
        <f>IF($B9="OFF",BG9,VLOOKUP($D9,Receptury_z!$D:$AI,H$4,0))</f>
        <v>0</v>
      </c>
      <c r="I9" s="14">
        <f>IF($B9="OFF",BH9,VLOOKUP($D9,Receptury_z!$D:$AI,I$4,0))</f>
        <v>0</v>
      </c>
      <c r="J9" s="14">
        <f>IF($B9="OFF",BI9,VLOOKUP($D9,Receptury_z!$D:$AI,J$4,0))</f>
        <v>0</v>
      </c>
      <c r="K9" s="14">
        <f>IF($B9="OFF",BJ9,VLOOKUP($D9,Receptury_z!$D:$AI,K$4,0))</f>
        <v>0</v>
      </c>
      <c r="L9" s="14">
        <f>IF($B9="OFF",BK9,VLOOKUP($D9,Receptury_z!$D:$AI,L$4,0))</f>
        <v>0</v>
      </c>
      <c r="M9" s="14">
        <f>IF($B9="OFF",BL9,VLOOKUP($D9,Receptury_z!$D:$AI,M$4,0))</f>
        <v>0</v>
      </c>
      <c r="N9" s="14">
        <f>IF($B9="OFF",BM9,VLOOKUP($D9,Receptury_z!$D:$AI,N$4,0))</f>
        <v>0</v>
      </c>
      <c r="O9" s="14">
        <f>IF($B9="OFF",BN9,VLOOKUP($D9,Receptury_z!$D:$AI,O$4,0))</f>
        <v>0</v>
      </c>
      <c r="P9" s="14">
        <f>IF($B9="OFF",BO9,VLOOKUP($D9,Receptury_z!$D:$AI,P$4,0))</f>
        <v>0</v>
      </c>
      <c r="Q9" s="14">
        <f>IF($B9="OFF",BP9,VLOOKUP($D9,Receptury_z!$D:$AI,Q$4,0))</f>
        <v>0</v>
      </c>
      <c r="R9" s="14">
        <f>IF($B9="OFF",BQ9,VLOOKUP($D9,Receptury_z!$D:$AI,R$4,0))</f>
        <v>0</v>
      </c>
      <c r="S9" s="14">
        <f>IF($B9="OFF",BR9,VLOOKUP($D9,Receptury_z!$D:$AI,S$4,0))</f>
        <v>0</v>
      </c>
      <c r="T9" s="14">
        <f>IF($B9="OFF",BS9,VLOOKUP($D9,Receptury_z!$D:$AI,T$4,0))</f>
        <v>0</v>
      </c>
      <c r="U9" s="14">
        <f>IF($B9="OFF",BT9,VLOOKUP($D9,Receptury_z!$D:$AI,U$4,0))</f>
        <v>0</v>
      </c>
      <c r="V9" s="14">
        <f>IF($B9="OFF",BU9,VLOOKUP($D9,Receptury_z!$D:$AI,V$4,0))</f>
        <v>0</v>
      </c>
      <c r="W9" s="14">
        <f>IF($B9="OFF",BV9,VLOOKUP($D9,Receptury_z!$D:$AI,W$4,0))</f>
        <v>0</v>
      </c>
      <c r="X9" s="14">
        <f>IF($B9="OFF",BW9,VLOOKUP($D9,Receptury_z!$D:$AI,X$4,0))</f>
        <v>0</v>
      </c>
      <c r="Y9" s="14">
        <f>IF($B9="OFF",BX9,VLOOKUP($D9,Receptury_z!$D:$AI,Y$4,0))</f>
        <v>0</v>
      </c>
      <c r="Z9" s="14">
        <f>IF($B9="OFF",BY9,VLOOKUP($D9,Receptury_z!$D:$AI,Z$4,0))</f>
        <v>0</v>
      </c>
      <c r="AA9" s="14">
        <f>IF($B9="OFF",BZ9,VLOOKUP($D9,Receptury_z!$D:$AI,AA$4,0))</f>
        <v>0</v>
      </c>
      <c r="AB9" s="14">
        <f>IF($B9="OFF",CA9,VLOOKUP($D9,Receptury_z!$D:$AI,AB$4,0))</f>
        <v>0</v>
      </c>
      <c r="AC9" s="14">
        <f>IF($B9="OFF",CB9,VLOOKUP($D9,Receptury_z!$D:$AI,AC$4,0))</f>
        <v>969.1</v>
      </c>
      <c r="AD9" s="14">
        <f>IF($B9="OFF",CC9,VLOOKUP($D9,Receptury_z!$D:$AI,AD$4,0))</f>
        <v>0</v>
      </c>
      <c r="AE9" s="14">
        <f>IF($B9="OFF",CD9,VLOOKUP($D9,Receptury_z!$D:$AI,AE$4,0))</f>
        <v>0</v>
      </c>
      <c r="AF9" s="14">
        <f>IF($B9="OFF",CE9,VLOOKUP($D9,Receptury_z!$D:$AI,AF$4,0))</f>
        <v>0</v>
      </c>
      <c r="AG9" s="14">
        <f>IF($B9="OFF",CF9,VLOOKUP($D9,Receptury_z!$D:$AI,AG$4,0))</f>
        <v>0</v>
      </c>
      <c r="AH9" s="14">
        <f>IF($B9="OFF",CG9,VLOOKUP($D9,Receptury_z!$D:$AI,AH$4,0))</f>
        <v>0</v>
      </c>
      <c r="AI9" s="14">
        <f>IF($B9="OFF",CH9,VLOOKUP($D9,Receptury_z!$D:$AI,AI$4,0))</f>
        <v>0</v>
      </c>
      <c r="AJ9" s="14">
        <f>IF($B9="OFF",CI9,VLOOKUP($D9,Receptury_z!$D:$AS,AJ$4,0))</f>
        <v>0</v>
      </c>
      <c r="AK9" s="14">
        <f>IF($B9="OFF",CJ9,VLOOKUP($D9,Receptury_z!$D:$AS,AK$4,0))</f>
        <v>0</v>
      </c>
      <c r="AL9" s="14">
        <f>IF($B9="OFF",CK9,VLOOKUP($D9,Receptury_z!$D:$AS,AL$4,0))</f>
        <v>0</v>
      </c>
      <c r="AM9" s="14">
        <f>IF($B9="OFF",CL9,VLOOKUP($D9,Receptury_z!$D:$AS,AM$4,0))</f>
        <v>0</v>
      </c>
      <c r="AN9" s="14">
        <f>IF($B9="OFF",CM9,VLOOKUP($D9,Receptury_z!$D:$AS,AN$4,0))</f>
        <v>0</v>
      </c>
      <c r="AO9" s="14">
        <f>IF($B9="OFF",CN9,VLOOKUP($D9,Receptury_z!$D:$AS,AO$4,0))</f>
        <v>0</v>
      </c>
      <c r="AP9" s="14">
        <f>IF($B9="OFF",CO9,VLOOKUP($D9,Receptury_z!$D:$AS,AP$4,0))</f>
        <v>0</v>
      </c>
      <c r="AQ9" s="14">
        <f>IF($B9="OFF",CP9,VLOOKUP($D9,Receptury_z!$D:$AS,AQ$4,0))</f>
        <v>0</v>
      </c>
      <c r="AR9" s="14">
        <f>IF($B9="OFF",CQ9,VLOOKUP($D9,Receptury_z!$D:$AS,AR$4,0))</f>
        <v>0</v>
      </c>
      <c r="AS9" s="14">
        <f>IF($B9="OFF",CR9,VLOOKUP($D9,Receptury_z!$D:$AS,AS$4,0))</f>
        <v>0</v>
      </c>
      <c r="AT9" s="14">
        <f>IF($B9="OFF",CS9,VLOOKUP($D9,Receptury_z!$D:$AV,AT$4,0))</f>
        <v>0</v>
      </c>
      <c r="AU9" s="14">
        <f>IF($B9="OFF",CT9,VLOOKUP($D9,Receptury_z!$D:$AV,AU$4,0))</f>
        <v>0</v>
      </c>
      <c r="AV9" s="14">
        <f>IF($B9="OFF",CU9,VLOOKUP($D9,Receptury_z!$D:$AV,AV$4,0))</f>
        <v>0</v>
      </c>
      <c r="AW9" s="14">
        <f>IF($B9="OFF",CV9,VLOOKUP($D9,Receptury_z!$D:$BA,AW$4,0))</f>
        <v>0</v>
      </c>
      <c r="AX9" s="14">
        <f>IF($B9="OFF",CW9,VLOOKUP($D9,Receptury_z!$D:$BA,AX$4,0))</f>
        <v>0</v>
      </c>
      <c r="AY9" s="14">
        <f>IF($B9="OFF",CX9,VLOOKUP($D9,Receptury_z!$D:$BA,AY$4,0))</f>
        <v>0</v>
      </c>
      <c r="AZ9" s="14">
        <f>IF($B9="OFF",DA9,VLOOKUP($D9,Receptury_z!$D:$BA,AZ$4,0))</f>
        <v>0</v>
      </c>
      <c r="BA9" s="14">
        <f>IF($B9="OFF",DB9,VLOOKUP($D9,Receptury_z!$D:$BA,BA$4,0))</f>
        <v>0</v>
      </c>
      <c r="BC9" s="19">
        <v>6354</v>
      </c>
      <c r="BD9" s="18" t="s">
        <v>19</v>
      </c>
      <c r="BE9" s="239">
        <v>0</v>
      </c>
      <c r="BF9" s="239">
        <v>0</v>
      </c>
      <c r="BG9" s="239">
        <v>0</v>
      </c>
      <c r="BH9" s="239">
        <v>0</v>
      </c>
      <c r="BI9" s="239">
        <v>0</v>
      </c>
      <c r="BJ9" s="239">
        <v>0</v>
      </c>
      <c r="BK9" s="239">
        <v>0</v>
      </c>
      <c r="BL9" s="239">
        <v>0</v>
      </c>
      <c r="BM9" s="239">
        <v>0</v>
      </c>
      <c r="BN9" s="239">
        <v>0</v>
      </c>
      <c r="BO9" s="239">
        <v>0</v>
      </c>
      <c r="BP9" s="239">
        <v>0</v>
      </c>
      <c r="BQ9" s="239">
        <v>0</v>
      </c>
      <c r="BR9" s="239">
        <v>0</v>
      </c>
      <c r="BS9" s="239">
        <v>0</v>
      </c>
      <c r="BT9" s="239">
        <v>0</v>
      </c>
      <c r="BU9" s="239">
        <v>0</v>
      </c>
      <c r="BV9" s="239">
        <v>0</v>
      </c>
      <c r="BW9" s="239">
        <v>0</v>
      </c>
      <c r="BX9" s="239">
        <v>0</v>
      </c>
      <c r="BY9" s="239">
        <v>0</v>
      </c>
      <c r="BZ9" s="239">
        <v>0</v>
      </c>
      <c r="CA9" s="239">
        <v>0</v>
      </c>
      <c r="CB9" s="239">
        <v>969.1</v>
      </c>
      <c r="CC9" s="239">
        <v>0</v>
      </c>
      <c r="CD9" s="239">
        <v>0</v>
      </c>
      <c r="CE9" s="239">
        <v>0</v>
      </c>
      <c r="CF9" s="239">
        <v>0</v>
      </c>
      <c r="CG9" s="239">
        <v>0</v>
      </c>
      <c r="CH9" s="239">
        <v>0</v>
      </c>
      <c r="CI9" s="239">
        <v>0</v>
      </c>
      <c r="CJ9" s="239">
        <v>0</v>
      </c>
      <c r="CK9" s="239">
        <v>0</v>
      </c>
      <c r="CL9" s="239">
        <v>0</v>
      </c>
      <c r="CM9" s="80"/>
      <c r="CN9" s="80"/>
      <c r="CO9" s="80"/>
      <c r="CP9" s="80"/>
      <c r="CQ9" s="80"/>
      <c r="CR9" s="80"/>
      <c r="CS9" s="80"/>
      <c r="CT9" s="80"/>
      <c r="CU9" s="80"/>
      <c r="CV9" s="80"/>
      <c r="CW9" s="80"/>
      <c r="CX9" s="80"/>
      <c r="CY9" s="80"/>
      <c r="CZ9" s="80"/>
      <c r="DB9">
        <f>IFERROR(VLOOKUP($D9,'Kalkulator mięs '!$C$5:$H$533,DB$4,0)*F9,0)</f>
        <v>0</v>
      </c>
      <c r="DC9">
        <f>IFERROR(VLOOKUP($D9,'Kalkulator mięs '!$C$5:$H$533,DC$4,0)*F9,0)</f>
        <v>0</v>
      </c>
      <c r="DD9">
        <f>IFERROR(VLOOKUP($D9,'Kalkulator mięs '!$C$5:$H$533,DD$4,0)*F9,0)</f>
        <v>0</v>
      </c>
      <c r="DE9">
        <f>IFERROR(VLOOKUP($D9,'Kalkulator mięs '!$C$5:$H$533,DE$4,0)*$G9,0)</f>
        <v>0</v>
      </c>
      <c r="DF9">
        <f>IFERROR(VLOOKUP($D9,'Kalkulator mięs '!$C$5:$H$533,DF$4,0)*$G9,0)</f>
        <v>0</v>
      </c>
      <c r="DG9">
        <f>IFERROR(VLOOKUP($D9,'Kalkulator mięs '!$C$5:$H$533,DG$4,0)*$G9,0)</f>
        <v>0</v>
      </c>
      <c r="DH9">
        <f>IFERROR(VLOOKUP($D9,'Kalkulator mięs '!$C$5:$H$533,DH$4,0)*$H9,0)</f>
        <v>0</v>
      </c>
      <c r="DI9">
        <f>IFERROR(VLOOKUP($D9,'Kalkulator mięs '!$C$5:$H$533,DI$4,0)*$H9,0)</f>
        <v>0</v>
      </c>
      <c r="DJ9">
        <f>IFERROR(VLOOKUP($D9,'Kalkulator mięs '!$C$5:$H$533,DJ$4,0)*$H9,0)</f>
        <v>0</v>
      </c>
      <c r="DK9">
        <f>IFERROR(VLOOKUP($D9,'Kalkulator mięs '!$C$5:$H$533,DK$4,0)*$I9,0)</f>
        <v>0</v>
      </c>
      <c r="DL9">
        <f>IFERROR(VLOOKUP($D9,'Kalkulator mięs '!$C$5:$H$533,DL$4,0)*$I9,0)</f>
        <v>0</v>
      </c>
      <c r="DM9">
        <f>IFERROR(VLOOKUP($D9,'Kalkulator mięs '!$C$5:$H$533,DM$4,0)*$I9,0)</f>
        <v>0</v>
      </c>
      <c r="DN9">
        <f>IFERROR(VLOOKUP($D9,'Kalkulator mięs '!$C$5:$H$533,DN$4,0)*$J9,0)</f>
        <v>0</v>
      </c>
      <c r="DO9">
        <f>IFERROR(VLOOKUP($D9,'Kalkulator mięs '!$C$5:$H$533,DO$4,0)*$J9,0)</f>
        <v>0</v>
      </c>
      <c r="DP9">
        <f>IFERROR(VLOOKUP($D9,'Kalkulator mięs '!$C$5:$H$533,DP$4,0)*$J9,0)</f>
        <v>0</v>
      </c>
      <c r="DQ9">
        <f>IFERROR(VLOOKUP($D9,'Kalkulator mięs '!$C$5:$H$533,DQ$4,0)*$K9,0)</f>
        <v>0</v>
      </c>
      <c r="DR9">
        <f>IFERROR(VLOOKUP($D9,'Kalkulator mięs '!$C$5:$H$533,DR$4,0)*$K9,0)</f>
        <v>0</v>
      </c>
      <c r="DS9">
        <f>IFERROR(VLOOKUP($D9,'Kalkulator mięs '!$C$5:$H$533,DS$4,0)*$K9,0)</f>
        <v>0</v>
      </c>
      <c r="DT9">
        <f>IFERROR(VLOOKUP($D9,'Kalkulator mięs '!$C$5:$H$533,DT$4,0)*$L9,0)</f>
        <v>0</v>
      </c>
      <c r="DU9">
        <f>IFERROR(VLOOKUP($D9,'Kalkulator mięs '!$C$5:$H$533,DU$4,0)*$L9,0)</f>
        <v>0</v>
      </c>
      <c r="DV9">
        <f>IFERROR(VLOOKUP($D9,'Kalkulator mięs '!$C$5:$H$533,DV$4,0)*$L9,0)</f>
        <v>0</v>
      </c>
      <c r="DW9">
        <f>IFERROR(VLOOKUP($D9,'Kalkulator mięs '!$C$5:$H$533,DW$4,0)*$M9,0)</f>
        <v>0</v>
      </c>
      <c r="DX9">
        <f>IFERROR(VLOOKUP($D9,'Kalkulator mięs '!$C$5:$H$533,DX$4,0)*$M9,0)</f>
        <v>0</v>
      </c>
      <c r="DY9">
        <f>IFERROR(VLOOKUP($D9,'Kalkulator mięs '!$C$5:$H$533,DY$4,0)*$M9,0)</f>
        <v>0</v>
      </c>
      <c r="DZ9">
        <f>IFERROR(VLOOKUP($D9,'Kalkulator mięs '!$C$5:$H$533,DZ$4,0)*$N9,0)</f>
        <v>0</v>
      </c>
      <c r="EA9">
        <f>IFERROR(VLOOKUP($D9,'Kalkulator mięs '!$C$5:$H$533,EA$4,0)*$N9,0)</f>
        <v>0</v>
      </c>
      <c r="EB9">
        <f>IFERROR(VLOOKUP($D9,'Kalkulator mięs '!$C$5:$H$533,EB$4,0)*$N9,0)</f>
        <v>0</v>
      </c>
      <c r="EC9">
        <f>IFERROR(VLOOKUP($D9,'Kalkulator mięs '!$C$5:$H$533,EC$4,0)*$O9,0)</f>
        <v>0</v>
      </c>
      <c r="ED9">
        <f>IFERROR(VLOOKUP($D9,'Kalkulator mięs '!$C$5:$H$533,ED$4,0)*$O9,0)</f>
        <v>0</v>
      </c>
      <c r="EE9">
        <f>IFERROR(VLOOKUP($D9,'Kalkulator mięs '!$C$5:$H$533,EE$4,0)*$O9,0)</f>
        <v>0</v>
      </c>
      <c r="EF9">
        <f>IFERROR(VLOOKUP($D9,'Kalkulator mięs '!$C$5:$H$533,EF$4,0)*$P9,0)</f>
        <v>0</v>
      </c>
      <c r="EG9">
        <f>IFERROR(VLOOKUP($D9,'Kalkulator mięs '!$C$5:$H$533,EG$4,0)*$P9,0)</f>
        <v>0</v>
      </c>
      <c r="EH9">
        <f>IFERROR(VLOOKUP($D9,'Kalkulator mięs '!$C$5:$H$533,EH$4,0)*$P9,0)</f>
        <v>0</v>
      </c>
      <c r="EI9">
        <f>IFERROR(VLOOKUP($D9,'Kalkulator mięs '!$C$5:$H$533,EI$4,0)*$Q9,0)</f>
        <v>0</v>
      </c>
      <c r="EJ9">
        <f>IFERROR(VLOOKUP($D9,'Kalkulator mięs '!$C$5:$H$533,EJ$4,0)*$Q9,0)</f>
        <v>0</v>
      </c>
      <c r="EK9">
        <f>IFERROR(VLOOKUP($D9,'Kalkulator mięs '!$C$5:$H$533,EK$4,0)*$Q9,0)</f>
        <v>0</v>
      </c>
      <c r="EL9">
        <f>IFERROR(VLOOKUP($D9,'Kalkulator mięs '!$C$5:$H$533,EL$4,0)*$R9,0)</f>
        <v>0</v>
      </c>
      <c r="EM9">
        <f>IFERROR(VLOOKUP($D9,'Kalkulator mięs '!$C$5:$H$533,EM$4,0)*$R9,0)</f>
        <v>0</v>
      </c>
      <c r="EN9">
        <f>IFERROR(VLOOKUP($D9,'Kalkulator mięs '!$C$5:$H$533,EN$4,0)*$R9,0)</f>
        <v>0</v>
      </c>
      <c r="EO9">
        <f>IFERROR(VLOOKUP($D9,'Kalkulator mięs '!$C$5:$H$533,EO$4,0)*$S9,0)</f>
        <v>0</v>
      </c>
      <c r="EP9">
        <f>IFERROR(VLOOKUP($D9,'Kalkulator mięs '!$C$5:$H$533,EP$4,0)*$S9,0)</f>
        <v>0</v>
      </c>
      <c r="EQ9">
        <f>IFERROR(VLOOKUP($D9,'Kalkulator mięs '!$C$5:$H$533,EQ$4,0)*$S9,0)</f>
        <v>0</v>
      </c>
      <c r="ER9">
        <f>IFERROR(VLOOKUP($D9,'Kalkulator mięs '!$C$5:$H$533,ER$4,0)*$T9,0)</f>
        <v>0</v>
      </c>
      <c r="ES9">
        <f>IFERROR(VLOOKUP($D9,'Kalkulator mięs '!$C$5:$H$533,ES$4,0)*$T9,0)</f>
        <v>0</v>
      </c>
      <c r="ET9">
        <f>IFERROR(VLOOKUP($D9,'Kalkulator mięs '!$C$5:$H$533,ET$4,0)*$T9,0)</f>
        <v>0</v>
      </c>
      <c r="EU9">
        <f>IFERROR(VLOOKUP($D9,'Kalkulator mięs '!$C$5:$H$533,EU$4,0)*$U9,0)</f>
        <v>0</v>
      </c>
      <c r="EV9">
        <f>IFERROR(VLOOKUP($D9,'Kalkulator mięs '!$C$5:$H$533,EV$4,0)*$U9,0)</f>
        <v>0</v>
      </c>
      <c r="EW9">
        <f>IFERROR(VLOOKUP($D9,'Kalkulator mięs '!$C$5:$H$533,EW$4,0)*$U9,0)</f>
        <v>0</v>
      </c>
      <c r="EX9">
        <f>IFERROR(VLOOKUP($D9,'Kalkulator mięs '!$C$5:$H$533,EX$4,0)*$V9,0)</f>
        <v>0</v>
      </c>
      <c r="EY9">
        <f>IFERROR(VLOOKUP($D9,'Kalkulator mięs '!$C$5:$H$533,EY$4,0)*$V9,0)</f>
        <v>0</v>
      </c>
      <c r="EZ9">
        <f>IFERROR(VLOOKUP($D9,'Kalkulator mięs '!$C$5:$H$533,EZ$4,0)*$V9,0)</f>
        <v>0</v>
      </c>
      <c r="FA9">
        <f>IFERROR(VLOOKUP($D9,'Kalkulator mięs '!$C$5:$H$533,FA$4,0)*$W9,0)</f>
        <v>0</v>
      </c>
      <c r="FB9">
        <f>IFERROR(VLOOKUP($D9,'Kalkulator mięs '!$C$5:$H$533,FB$4,0)*$W9,0)</f>
        <v>0</v>
      </c>
      <c r="FC9">
        <f>IFERROR(VLOOKUP($D9,'Kalkulator mięs '!$C$5:$H$533,FC$4,0)*$W9,0)</f>
        <v>0</v>
      </c>
      <c r="FD9">
        <f>IFERROR(VLOOKUP($D9,'Kalkulator mięs '!$C$5:$H$533,FD$4,0)*$X9,0)</f>
        <v>0</v>
      </c>
      <c r="FE9">
        <f>IFERROR(VLOOKUP($D9,'Kalkulator mięs '!$C$5:$H$533,FE$4,0)*$X9,0)</f>
        <v>0</v>
      </c>
      <c r="FF9">
        <f>IFERROR(VLOOKUP($D9,'Kalkulator mięs '!$C$5:$H$533,FF$4,0)*$X9,0)</f>
        <v>0</v>
      </c>
      <c r="FG9">
        <f>IFERROR(VLOOKUP($D9,'Kalkulator mięs '!$C$5:$H$533,FG$4,0)*$Y9,0)</f>
        <v>0</v>
      </c>
      <c r="FH9">
        <f>IFERROR(VLOOKUP($D9,'Kalkulator mięs '!$C$5:$H$533,FH$4,0)*$Y9,0)</f>
        <v>0</v>
      </c>
      <c r="FI9">
        <f>IFERROR(VLOOKUP($D9,'Kalkulator mięs '!$C$5:$H$533,FI$4,0)*$Y9,0)</f>
        <v>0</v>
      </c>
      <c r="FJ9">
        <f>IFERROR(VLOOKUP($D9,'Kalkulator mięs '!$C$5:$H$533,FJ$4,0)*$Z9,0)</f>
        <v>0</v>
      </c>
      <c r="FK9">
        <f>IFERROR(VLOOKUP($D9,'Kalkulator mięs '!$C$5:$H$533,FK$4,0)*$Z9,0)</f>
        <v>0</v>
      </c>
      <c r="FL9">
        <f>IFERROR(VLOOKUP($D9,'Kalkulator mięs '!$C$5:$H$533,FL$4,0)*$Z9,0)</f>
        <v>0</v>
      </c>
      <c r="FM9">
        <f>IFERROR(VLOOKUP($D9,'Kalkulator mięs '!$C$5:$H$533,FM$4,0)*$AA9,0)</f>
        <v>0</v>
      </c>
      <c r="FN9">
        <f>IFERROR(VLOOKUP($D9,'Kalkulator mięs '!$C$5:$H$533,FN$4,0)*$AA9,0)</f>
        <v>0</v>
      </c>
      <c r="FO9">
        <f>IFERROR(VLOOKUP($D9,'Kalkulator mięs '!$C$5:$H$533,FO$4,0)*$AA9,0)</f>
        <v>0</v>
      </c>
      <c r="FP9">
        <f>IFERROR(VLOOKUP($D9,'Kalkulator mięs '!$C$5:$H$533,FP$4,0)*$AB9,0)</f>
        <v>0</v>
      </c>
      <c r="FQ9">
        <f>IFERROR(VLOOKUP($D9,'Kalkulator mięs '!$C$5:$H$533,FQ$4,0)*$AB9,0)</f>
        <v>0</v>
      </c>
      <c r="FR9">
        <f>IFERROR(VLOOKUP($D9,'Kalkulator mięs '!$C$5:$H$533,FR$4,0)*$AB9,0)</f>
        <v>0</v>
      </c>
      <c r="FS9">
        <f>IFERROR(VLOOKUP($D9,'Kalkulator mięs '!$C$5:$H$533,FS$4,0)*$AC9,0)</f>
        <v>0</v>
      </c>
      <c r="FT9">
        <f>IFERROR(VLOOKUP($D9,'Kalkulator mięs '!$C$5:$H$533,FT$4,0)*$AC9,0)</f>
        <v>1938.2</v>
      </c>
      <c r="FU9">
        <f>IFERROR(VLOOKUP($D9,'Kalkulator mięs '!$C$5:$H$533,FU$4,0)*$AC9,0)</f>
        <v>0</v>
      </c>
      <c r="FV9">
        <f>IFERROR(VLOOKUP($D9,'Kalkulator mięs '!$C$5:$H$533,FV$4,0)*$AD9,0)</f>
        <v>0</v>
      </c>
      <c r="FW9">
        <f>IFERROR(VLOOKUP($D9,'Kalkulator mięs '!$C$5:$H$533,FW$4,0)*$AD9,0)</f>
        <v>0</v>
      </c>
      <c r="FX9">
        <f>IFERROR(VLOOKUP($D9,'Kalkulator mięs '!$C$5:$H$533,FX$4,0)*$AD9,0)</f>
        <v>0</v>
      </c>
      <c r="FY9">
        <f>IFERROR(VLOOKUP($D9,'Kalkulator mięs '!$C$5:$H$533,FY$4,0)*$AE9,0)</f>
        <v>0</v>
      </c>
      <c r="FZ9">
        <f>IFERROR(VLOOKUP($D9,'Kalkulator mięs '!$C$5:$H$533,FZ$4,0)*$AE9,0)</f>
        <v>0</v>
      </c>
      <c r="GA9">
        <f>IFERROR(VLOOKUP($D9,'Kalkulator mięs '!$C$5:$H$533,GA$4,0)*$AE9,0)</f>
        <v>0</v>
      </c>
      <c r="GB9">
        <f>IFERROR(VLOOKUP($D9,'Kalkulator mięs '!$C$5:$H$533,GB$4,0)*$AF9,0)</f>
        <v>0</v>
      </c>
      <c r="GC9">
        <f>IFERROR(VLOOKUP($D9,'Kalkulator mięs '!$C$5:$H$533,GC$4,0)*$AF9,0)</f>
        <v>0</v>
      </c>
      <c r="GD9">
        <f>IFERROR(VLOOKUP($D9,'Kalkulator mięs '!$C$5:$H$533,GD$4,0)*$AF9,0)</f>
        <v>0</v>
      </c>
      <c r="GE9">
        <f>IFERROR(VLOOKUP($D9,'Kalkulator mięs '!$C$5:$H$533,GE$4,0)*$AG9,0)</f>
        <v>0</v>
      </c>
      <c r="GF9">
        <f>IFERROR(VLOOKUP($D9,'Kalkulator mięs '!$C$5:$H$533,GF$4,0)*$AG9,0)</f>
        <v>0</v>
      </c>
      <c r="GG9">
        <f>IFERROR(VLOOKUP($D9,'Kalkulator mięs '!$C$5:$H$533,GG$4,0)*$AG9,0)</f>
        <v>0</v>
      </c>
      <c r="GH9">
        <f>IFERROR(VLOOKUP($D9,'Kalkulator mięs '!$C$5:$H$533,GH$4,0)*$AH9,0)</f>
        <v>0</v>
      </c>
      <c r="GI9">
        <f>IFERROR(VLOOKUP($D9,'Kalkulator mięs '!$C$5:$H$533,GI$4,0)*$AH9,0)</f>
        <v>0</v>
      </c>
      <c r="GJ9">
        <f>IFERROR(VLOOKUP($D9,'Kalkulator mięs '!$C$5:$H$533,GJ$4,0)*$AH9,0)</f>
        <v>0</v>
      </c>
      <c r="GK9">
        <f>IFERROR(VLOOKUP($D9,'Kalkulator mięs '!$C$5:$H$533,GK$4,0)*$AI9,0)</f>
        <v>0</v>
      </c>
      <c r="GL9">
        <f>IFERROR(VLOOKUP($D9,'Kalkulator mięs '!$C$5:$H$533,GL$4,0)*$AI9,0)</f>
        <v>0</v>
      </c>
      <c r="GM9">
        <f>IFERROR(VLOOKUP($D9,'Kalkulator mięs '!$C$5:$H$533,GM$4,0)*$AI9,0)</f>
        <v>0</v>
      </c>
      <c r="GN9">
        <f>IFERROR(VLOOKUP($D9,'Kalkulator mięs '!$C$5:$H$533,GN$4,0)*$AJ9,0)</f>
        <v>0</v>
      </c>
      <c r="GO9">
        <f>IFERROR(VLOOKUP($D9,'Kalkulator mięs '!$C$5:$H$533,GO$4,0)*$AJ9,0)</f>
        <v>0</v>
      </c>
      <c r="GP9">
        <f>IFERROR(VLOOKUP($D9,'Kalkulator mięs '!$C$5:$H$533,GP$4,0)*$AJ9,0)</f>
        <v>0</v>
      </c>
      <c r="GQ9">
        <f>IFERROR(VLOOKUP($D9,'Kalkulator mięs '!$C$5:$H$533,GQ$4,0)*$AK9,0)</f>
        <v>0</v>
      </c>
      <c r="GR9">
        <f>IFERROR(VLOOKUP($D9,'Kalkulator mięs '!$C$5:$H$533,GR$4,0)*$AK9,0)</f>
        <v>0</v>
      </c>
      <c r="GS9">
        <f>IFERROR(VLOOKUP($D9,'Kalkulator mięs '!$C$5:$H$533,GS$4,0)*$AK9,0)</f>
        <v>0</v>
      </c>
      <c r="GT9">
        <f>IFERROR(VLOOKUP($D9,'Kalkulator mięs '!$C$5:$H$533,GT$4,0)*$AL9,0)</f>
        <v>0</v>
      </c>
      <c r="GU9">
        <f>IFERROR(VLOOKUP($D9,'Kalkulator mięs '!$C$5:$H$533,GU$4,0)*$AL9,0)</f>
        <v>0</v>
      </c>
      <c r="GV9">
        <f>IFERROR(VLOOKUP($D9,'Kalkulator mięs '!$C$5:$H$533,GV$4,0)*$AL9,0)</f>
        <v>0</v>
      </c>
      <c r="GW9">
        <f>IFERROR(VLOOKUP($D9,'Kalkulator mięs '!$C$5:$H$533,GW$4,0)*$AM9,0)</f>
        <v>0</v>
      </c>
      <c r="GX9">
        <f>IFERROR(VLOOKUP($D9,'Kalkulator mięs '!$C$5:$H$533,GX$4,0)*$AM9,0)</f>
        <v>0</v>
      </c>
      <c r="GY9">
        <f>IFERROR(VLOOKUP($D9,'Kalkulator mięs '!$C$5:$H$533,GY$4,0)*$AM9,0)</f>
        <v>0</v>
      </c>
      <c r="GZ9">
        <f>IFERROR(VLOOKUP($D9,'Kalkulator mięs '!$C$5:$H$533,GZ$4,0)*$AN9,0)</f>
        <v>0</v>
      </c>
      <c r="HA9">
        <f>IFERROR(VLOOKUP($D9,'Kalkulator mięs '!$C$5:$H$533,HA$4,0)*$AN9,0)</f>
        <v>0</v>
      </c>
      <c r="HB9">
        <f>IFERROR(VLOOKUP($D9,'Kalkulator mięs '!$C$5:$H$533,HB$4,0)*$AN9,0)</f>
        <v>0</v>
      </c>
      <c r="HC9">
        <f>IFERROR(VLOOKUP($D9,'Kalkulator mięs '!$C$5:$H$533,HC$4,0)*$AO9,0)</f>
        <v>0</v>
      </c>
      <c r="HD9">
        <f>IFERROR(VLOOKUP($D9,'Kalkulator mięs '!$C$5:$H$533,HD$4,0)*$AO9,0)</f>
        <v>0</v>
      </c>
      <c r="HE9">
        <f>IFERROR(VLOOKUP($D9,'Kalkulator mięs '!$C$5:$H$533,HE$4,0)*$AO9,0)</f>
        <v>0</v>
      </c>
      <c r="HF9">
        <f>IFERROR(VLOOKUP($D9,'Kalkulator mięs '!$C$5:$H$533,HF$4,0)*$AP9,0)</f>
        <v>0</v>
      </c>
      <c r="HG9">
        <f>IFERROR(VLOOKUP($D9,'Kalkulator mięs '!$C$5:$H$533,HG$4,0)*$AP9,0)</f>
        <v>0</v>
      </c>
      <c r="HH9">
        <f>IFERROR(VLOOKUP($D9,'Kalkulator mięs '!$C$5:$H$533,HH$4,0)*$AP9,0)</f>
        <v>0</v>
      </c>
      <c r="HI9">
        <f>IFERROR(VLOOKUP($D9,'Kalkulator mięs '!$C$5:$H$533,HI$4,0)*$AQ9,0)</f>
        <v>0</v>
      </c>
      <c r="HJ9">
        <f>IFERROR(VLOOKUP($D9,'Kalkulator mięs '!$C$5:$H$533,HJ$4,0)*$AQ9,0)</f>
        <v>0</v>
      </c>
      <c r="HK9">
        <f>IFERROR(VLOOKUP($D9,'Kalkulator mięs '!$C$5:$H$533,HK$4,0)*$AQ9,0)</f>
        <v>0</v>
      </c>
      <c r="HL9">
        <f>IFERROR(VLOOKUP($D9,'Kalkulator mięs '!$C$5:$H$533,HL$4,0)*$AR9,0)</f>
        <v>0</v>
      </c>
      <c r="HM9">
        <f>IFERROR(VLOOKUP($D9,'Kalkulator mięs '!$C$5:$H$533,HM$4,0)*$AR9,0)</f>
        <v>0</v>
      </c>
      <c r="HN9">
        <f>IFERROR(VLOOKUP($D9,'Kalkulator mięs '!$C$5:$H$533,HN$4,0)*$AR9,0)</f>
        <v>0</v>
      </c>
      <c r="HO9">
        <f>IFERROR(VLOOKUP($D9,'Kalkulator mięs '!$C$5:$H$533,HO$4,0)*$AS9,0)</f>
        <v>0</v>
      </c>
      <c r="HP9">
        <f>IFERROR(VLOOKUP($D9,'Kalkulator mięs '!$C$5:$H$533,HP$4,0)*$AS9,0)</f>
        <v>0</v>
      </c>
      <c r="HQ9">
        <f>IFERROR(VLOOKUP($D9,'Kalkulator mięs '!$C$5:$H$533,HQ$4,0)*$AS9,0)</f>
        <v>0</v>
      </c>
      <c r="HR9">
        <f>IFERROR(VLOOKUP($D9,'Kalkulator mięs '!$C$5:$H$533,HR$4,0)*$AT9,0)</f>
        <v>0</v>
      </c>
      <c r="HS9">
        <f>IFERROR(VLOOKUP($D9,'Kalkulator mięs '!$C$5:$H$533,HS$4,0)*$AT9,0)</f>
        <v>0</v>
      </c>
      <c r="HT9">
        <f>IFERROR(VLOOKUP($D9,'Kalkulator mięs '!$C$5:$H$533,HT$4,0)*$AT9,0)</f>
        <v>0</v>
      </c>
      <c r="HU9">
        <f>IFERROR(VLOOKUP($D9,'Kalkulator mięs '!$C$5:$H$533,HU$4,0)*$AU9,0)</f>
        <v>0</v>
      </c>
      <c r="HV9">
        <f>IFERROR(VLOOKUP($D9,'Kalkulator mięs '!$C$5:$H$533,HV$4,0)*$AU9,0)</f>
        <v>0</v>
      </c>
      <c r="HW9">
        <f>IFERROR(VLOOKUP($D9,'Kalkulator mięs '!$C$5:$H$533,HW$4,0)*$AU9,0)</f>
        <v>0</v>
      </c>
      <c r="HX9">
        <f>IFERROR(VLOOKUP($D9,'Kalkulator mięs '!$C$5:$H$533,HX$4,0)*$AV9,0)</f>
        <v>0</v>
      </c>
      <c r="HY9">
        <f>IFERROR(VLOOKUP($D9,'Kalkulator mięs '!$C$5:$H$533,HY$4,0)*$AV9,0)</f>
        <v>0</v>
      </c>
      <c r="HZ9">
        <f>IFERROR(VLOOKUP($D9,'Kalkulator mięs '!$C$5:$H$533,HZ$4,0)*$AV9,0)</f>
        <v>0</v>
      </c>
      <c r="IA9">
        <f>IFERROR(VLOOKUP($D9,'Kalkulator mięs '!$C$5:$H$533,IA$4,0)*$AW9,0)</f>
        <v>0</v>
      </c>
      <c r="IB9">
        <f>IFERROR(VLOOKUP($D9,'Kalkulator mięs '!$C$5:$H$533,IB$4,0)*$AW9,0)</f>
        <v>0</v>
      </c>
      <c r="IC9">
        <f>IFERROR(VLOOKUP($D9,'Kalkulator mięs '!$C$5:$H$533,IC$4,0)*$AW9,0)</f>
        <v>0</v>
      </c>
      <c r="ID9">
        <f>IFERROR(VLOOKUP($D9,'Kalkulator mięs '!$C$5:$H$533,ID$4,0)*$AX9,0)</f>
        <v>0</v>
      </c>
      <c r="IE9">
        <f>IFERROR(VLOOKUP($D9,'Kalkulator mięs '!$C$5:$H$533,IE$4,0)*$AX9,0)</f>
        <v>0</v>
      </c>
      <c r="IF9">
        <f>IFERROR(VLOOKUP($D9,'Kalkulator mięs '!$C$5:$H$533,IF$4,0)*$AX9,0)</f>
        <v>0</v>
      </c>
      <c r="IG9">
        <f>IFERROR(VLOOKUP($D9,'Kalkulator mięs '!$C$5:$H$533,IG$4,0)*$AY9,0)</f>
        <v>0</v>
      </c>
      <c r="IH9">
        <f>IFERROR(VLOOKUP($D9,'Kalkulator mięs '!$C$5:$H$533,IH$4,0)*$AY9,0)</f>
        <v>0</v>
      </c>
      <c r="II9">
        <f>IFERROR(VLOOKUP($D9,'Kalkulator mięs '!$C$5:$H$533,II$4,0)*$AY9,0)</f>
        <v>0</v>
      </c>
      <c r="IJ9">
        <f>IFERROR(VLOOKUP($D9,'Kalkulator mięs '!$C$5:$H$533,IJ$4,0)*$AZ9,0)</f>
        <v>0</v>
      </c>
      <c r="IK9">
        <f>IFERROR(VLOOKUP($D9,'Kalkulator mięs '!$C$5:$H$533,IK$4,0)*$AZ9,0)</f>
        <v>0</v>
      </c>
      <c r="IL9">
        <f>IFERROR(VLOOKUP($D9,'Kalkulator mięs '!$C$5:$H$533,IL$4,0)*$AZ9,0)</f>
        <v>0</v>
      </c>
      <c r="IM9">
        <f>IFERROR(VLOOKUP($D9,'Kalkulator mięs '!$C$5:$H$533,IM$4,0)*$BA9,0)</f>
        <v>0</v>
      </c>
      <c r="IN9">
        <f>IFERROR(VLOOKUP($D9,'Kalkulator mięs '!$C$5:$H$533,IN$4,0)*$BA9,0)</f>
        <v>0</v>
      </c>
      <c r="IO9">
        <f>IFERROR(VLOOKUP($D9,'Kalkulator mięs '!$C$5:$H$533,IO$4,0)*$BA9,0)</f>
        <v>0</v>
      </c>
    </row>
    <row r="10" spans="2:249" ht="15.75">
      <c r="B10" t="str">
        <f>VLOOKUP(D10,Receptury_z!$A:$B,2,0)</f>
        <v>ON</v>
      </c>
      <c r="C10" s="16">
        <v>5103</v>
      </c>
      <c r="D10" s="19">
        <v>6358</v>
      </c>
      <c r="E10" s="18" t="s">
        <v>20</v>
      </c>
      <c r="F10" s="14">
        <f>IF($B10="OFF",BE10,VLOOKUP($D10,Receptury_z!$D:$AI,F$4,0))</f>
        <v>446.1</v>
      </c>
      <c r="G10" s="14">
        <f>IF($B10="OFF",BF10,VLOOKUP($D10,Receptury_z!$D:$AI,G$4,0))</f>
        <v>0</v>
      </c>
      <c r="H10" s="14">
        <f>IF($B10="OFF",BG10,VLOOKUP($D10,Receptury_z!$D:$AI,H$4,0))</f>
        <v>0</v>
      </c>
      <c r="I10" s="14">
        <f>IF($B10="OFF",BH10,VLOOKUP($D10,Receptury_z!$D:$AI,I$4,0))</f>
        <v>0</v>
      </c>
      <c r="J10" s="14">
        <f>IF($B10="OFF",BI10,VLOOKUP($D10,Receptury_z!$D:$AI,J$4,0))</f>
        <v>0</v>
      </c>
      <c r="K10" s="14">
        <f>IF($B10="OFF",BJ10,VLOOKUP($D10,Receptury_z!$D:$AI,K$4,0))</f>
        <v>0</v>
      </c>
      <c r="L10" s="14">
        <f>IF($B10="OFF",BK10,VLOOKUP($D10,Receptury_z!$D:$AI,L$4,0))</f>
        <v>0</v>
      </c>
      <c r="M10" s="14">
        <f>IF($B10="OFF",BL10,VLOOKUP($D10,Receptury_z!$D:$AI,M$4,0))</f>
        <v>63.7</v>
      </c>
      <c r="N10" s="14">
        <f>IF($B10="OFF",BM10,VLOOKUP($D10,Receptury_z!$D:$AI,N$4,0))</f>
        <v>95.6</v>
      </c>
      <c r="O10" s="14">
        <f>IF($B10="OFF",BN10,VLOOKUP($D10,Receptury_z!$D:$AI,O$4,0))</f>
        <v>0</v>
      </c>
      <c r="P10" s="14">
        <f>IF($B10="OFF",BO10,VLOOKUP($D10,Receptury_z!$D:$AI,P$4,0))</f>
        <v>0</v>
      </c>
      <c r="Q10" s="14">
        <f>IF($B10="OFF",BP10,VLOOKUP($D10,Receptury_z!$D:$AI,Q$4,0))</f>
        <v>0</v>
      </c>
      <c r="R10" s="14">
        <f>IF($B10="OFF",BQ10,VLOOKUP($D10,Receptury_z!$D:$AI,R$4,0))</f>
        <v>0</v>
      </c>
      <c r="S10" s="14">
        <f>IF($B10="OFF",BR10,VLOOKUP($D10,Receptury_z!$D:$AI,S$4,0))</f>
        <v>0</v>
      </c>
      <c r="T10" s="14">
        <f>IF($B10="OFF",BS10,VLOOKUP($D10,Receptury_z!$D:$AI,T$4,0))</f>
        <v>0</v>
      </c>
      <c r="U10" s="14">
        <f>IF($B10="OFF",BT10,VLOOKUP($D10,Receptury_z!$D:$AI,U$4,0))</f>
        <v>0</v>
      </c>
      <c r="V10" s="14">
        <f>IF($B10="OFF",BU10,VLOOKUP($D10,Receptury_z!$D:$AI,V$4,0))</f>
        <v>0</v>
      </c>
      <c r="W10" s="14">
        <f>IF($B10="OFF",BV10,VLOOKUP($D10,Receptury_z!$D:$AI,W$4,0))</f>
        <v>0</v>
      </c>
      <c r="X10" s="14">
        <f>IF($B10="OFF",BW10,VLOOKUP($D10,Receptury_z!$D:$AI,X$4,0))</f>
        <v>0</v>
      </c>
      <c r="Y10" s="14">
        <f>IF($B10="OFF",BX10,VLOOKUP($D10,Receptury_z!$D:$AI,Y$4,0))</f>
        <v>0</v>
      </c>
      <c r="Z10" s="14">
        <f>IF($B10="OFF",BY10,VLOOKUP($D10,Receptury_z!$D:$AI,Z$4,0))</f>
        <v>0</v>
      </c>
      <c r="AA10" s="14">
        <f>IF($B10="OFF",BZ10,VLOOKUP($D10,Receptury_z!$D:$AI,AA$4,0))</f>
        <v>0</v>
      </c>
      <c r="AB10" s="14">
        <f>IF($B10="OFF",CA10,VLOOKUP($D10,Receptury_z!$D:$AI,AB$4,0))</f>
        <v>31.9</v>
      </c>
      <c r="AC10" s="14">
        <f>IF($B10="OFF",CB10,VLOOKUP($D10,Receptury_z!$D:$AI,AC$4,0))</f>
        <v>0</v>
      </c>
      <c r="AD10" s="14">
        <f>IF($B10="OFF",CC10,VLOOKUP($D10,Receptury_z!$D:$AI,AD$4,0))</f>
        <v>0</v>
      </c>
      <c r="AE10" s="14">
        <f>IF($B10="OFF",CD10,VLOOKUP($D10,Receptury_z!$D:$AI,AE$4,0))</f>
        <v>0</v>
      </c>
      <c r="AF10" s="14">
        <f>IF($B10="OFF",CE10,VLOOKUP($D10,Receptury_z!$D:$AI,AF$4,0))</f>
        <v>0</v>
      </c>
      <c r="AG10" s="14">
        <f>IF($B10="OFF",CF10,VLOOKUP($D10,Receptury_z!$D:$AI,AG$4,0))</f>
        <v>0</v>
      </c>
      <c r="AH10" s="14">
        <f>IF($B10="OFF",CG10,VLOOKUP($D10,Receptury_z!$D:$AI,AH$4,0))</f>
        <v>0</v>
      </c>
      <c r="AI10" s="14">
        <f>IF($B10="OFF",CH10,VLOOKUP($D10,Receptury_z!$D:$AI,AI$4,0))</f>
        <v>0</v>
      </c>
      <c r="AJ10" s="14">
        <f>IF($B10="OFF",CI10,VLOOKUP($D10,Receptury_z!$D:$AS,AJ$4,0))</f>
        <v>0</v>
      </c>
      <c r="AK10" s="14">
        <f>IF($B10="OFF",CJ10,VLOOKUP($D10,Receptury_z!$D:$AS,AK$4,0))</f>
        <v>0</v>
      </c>
      <c r="AL10" s="14">
        <f>IF($B10="OFF",CK10,VLOOKUP($D10,Receptury_z!$D:$AS,AL$4,0))</f>
        <v>0</v>
      </c>
      <c r="AM10" s="14">
        <f>IF($B10="OFF",CL10,VLOOKUP($D10,Receptury_z!$D:$AS,AM$4,0))</f>
        <v>0</v>
      </c>
      <c r="AN10" s="14">
        <f>IF($B10="OFF",CM10,VLOOKUP($D10,Receptury_z!$D:$AS,AN$4,0))</f>
        <v>0</v>
      </c>
      <c r="AO10" s="14">
        <f>IF($B10="OFF",CN10,VLOOKUP($D10,Receptury_z!$D:$AS,AO$4,0))</f>
        <v>0</v>
      </c>
      <c r="AP10" s="14">
        <f>IF($B10="OFF",CO10,VLOOKUP($D10,Receptury_z!$D:$AS,AP$4,0))</f>
        <v>0</v>
      </c>
      <c r="AQ10" s="14">
        <f>IF($B10="OFF",CP10,VLOOKUP($D10,Receptury_z!$D:$AS,AQ$4,0))</f>
        <v>0</v>
      </c>
      <c r="AR10" s="14">
        <f>IF($B10="OFF",CQ10,VLOOKUP($D10,Receptury_z!$D:$AS,AR$4,0))</f>
        <v>0</v>
      </c>
      <c r="AS10" s="14">
        <f>IF($B10="OFF",CR10,VLOOKUP($D10,Receptury_z!$D:$AS,AS$4,0))</f>
        <v>0</v>
      </c>
      <c r="AT10" s="14">
        <f>IF($B10="OFF",CS10,VLOOKUP($D10,Receptury_z!$D:$AV,AT$4,0))</f>
        <v>0</v>
      </c>
      <c r="AU10" s="14">
        <f>IF($B10="OFF",CT10,VLOOKUP($D10,Receptury_z!$D:$AV,AU$4,0))</f>
        <v>0</v>
      </c>
      <c r="AV10" s="14">
        <f>IF($B10="OFF",CU10,VLOOKUP($D10,Receptury_z!$D:$AV,AV$4,0))</f>
        <v>0</v>
      </c>
      <c r="AW10" s="14">
        <f>IF($B10="OFF",CV10,VLOOKUP($D10,Receptury_z!$D:$BA,AW$4,0))</f>
        <v>0</v>
      </c>
      <c r="AX10" s="14">
        <f>IF($B10="OFF",CW10,VLOOKUP($D10,Receptury_z!$D:$BA,AX$4,0))</f>
        <v>0</v>
      </c>
      <c r="AY10" s="14">
        <f>IF($B10="OFF",CX10,VLOOKUP($D10,Receptury_z!$D:$BA,AY$4,0))</f>
        <v>0</v>
      </c>
      <c r="AZ10" s="14">
        <f>IF($B10="OFF",DA10,VLOOKUP($D10,Receptury_z!$D:$BA,AZ$4,0))</f>
        <v>0</v>
      </c>
      <c r="BA10" s="14">
        <f>IF($B10="OFF",DB10,VLOOKUP($D10,Receptury_z!$D:$BA,BA$4,0))</f>
        <v>0</v>
      </c>
      <c r="BC10" s="19">
        <v>6358</v>
      </c>
      <c r="BD10" s="18" t="s">
        <v>20</v>
      </c>
      <c r="BE10" s="239">
        <v>299.5</v>
      </c>
      <c r="BF10" s="239">
        <v>0</v>
      </c>
      <c r="BG10" s="239">
        <v>0</v>
      </c>
      <c r="BH10" s="239">
        <v>0</v>
      </c>
      <c r="BI10" s="239">
        <v>0</v>
      </c>
      <c r="BJ10" s="239">
        <v>0</v>
      </c>
      <c r="BK10" s="239">
        <v>0</v>
      </c>
      <c r="BL10" s="239">
        <v>63.7</v>
      </c>
      <c r="BM10" s="239">
        <v>95.6</v>
      </c>
      <c r="BN10" s="239">
        <v>0</v>
      </c>
      <c r="BO10" s="239">
        <v>146.6</v>
      </c>
      <c r="BP10" s="239">
        <v>0</v>
      </c>
      <c r="BQ10" s="239">
        <v>0</v>
      </c>
      <c r="BR10" s="239">
        <v>0</v>
      </c>
      <c r="BS10" s="239">
        <v>0</v>
      </c>
      <c r="BT10" s="239">
        <v>0</v>
      </c>
      <c r="BU10" s="239">
        <v>0</v>
      </c>
      <c r="BV10" s="239">
        <v>0</v>
      </c>
      <c r="BW10" s="239">
        <v>0</v>
      </c>
      <c r="BX10" s="239">
        <v>0</v>
      </c>
      <c r="BY10" s="239">
        <v>0</v>
      </c>
      <c r="BZ10" s="239">
        <v>0</v>
      </c>
      <c r="CA10" s="239">
        <v>31.9</v>
      </c>
      <c r="CB10" s="239">
        <v>0</v>
      </c>
      <c r="CC10" s="239">
        <v>0</v>
      </c>
      <c r="CD10" s="239">
        <v>0</v>
      </c>
      <c r="CE10" s="239">
        <v>0</v>
      </c>
      <c r="CF10" s="239">
        <v>0</v>
      </c>
      <c r="CG10" s="239">
        <v>0</v>
      </c>
      <c r="CH10" s="239">
        <v>0</v>
      </c>
      <c r="CI10" s="239">
        <v>0</v>
      </c>
      <c r="CJ10" s="239">
        <v>0</v>
      </c>
      <c r="CK10" s="239">
        <v>0</v>
      </c>
      <c r="CL10" s="239">
        <v>0</v>
      </c>
      <c r="CM10" s="80"/>
      <c r="CN10" s="80"/>
      <c r="CO10" s="80"/>
      <c r="CP10" s="80"/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B10">
        <f>IFERROR(VLOOKUP($D10,'Kalkulator mięs '!$C$5:$H$533,DB$4,0)*F10,0)</f>
        <v>0</v>
      </c>
      <c r="DC10">
        <f>IFERROR(VLOOKUP($D10,'Kalkulator mięs '!$C$5:$H$533,DC$4,0)*F10,0)</f>
        <v>0</v>
      </c>
      <c r="DD10">
        <f>IFERROR(VLOOKUP($D10,'Kalkulator mięs '!$C$5:$H$533,DD$4,0)*F10,0)</f>
        <v>0</v>
      </c>
      <c r="DE10">
        <f>IFERROR(VLOOKUP($D10,'Kalkulator mięs '!$C$5:$H$533,DE$4,0)*$G10,0)</f>
        <v>0</v>
      </c>
      <c r="DF10">
        <f>IFERROR(VLOOKUP($D10,'Kalkulator mięs '!$C$5:$H$533,DF$4,0)*$G10,0)</f>
        <v>0</v>
      </c>
      <c r="DG10">
        <f>IFERROR(VLOOKUP($D10,'Kalkulator mięs '!$C$5:$H$533,DG$4,0)*$G10,0)</f>
        <v>0</v>
      </c>
      <c r="DH10">
        <f>IFERROR(VLOOKUP($D10,'Kalkulator mięs '!$C$5:$H$533,DH$4,0)*$H10,0)</f>
        <v>0</v>
      </c>
      <c r="DI10">
        <f>IFERROR(VLOOKUP($D10,'Kalkulator mięs '!$C$5:$H$533,DI$4,0)*$H10,0)</f>
        <v>0</v>
      </c>
      <c r="DJ10">
        <f>IFERROR(VLOOKUP($D10,'Kalkulator mięs '!$C$5:$H$533,DJ$4,0)*$H10,0)</f>
        <v>0</v>
      </c>
      <c r="DK10">
        <f>IFERROR(VLOOKUP($D10,'Kalkulator mięs '!$C$5:$H$533,DK$4,0)*$I10,0)</f>
        <v>0</v>
      </c>
      <c r="DL10">
        <f>IFERROR(VLOOKUP($D10,'Kalkulator mięs '!$C$5:$H$533,DL$4,0)*$I10,0)</f>
        <v>0</v>
      </c>
      <c r="DM10">
        <f>IFERROR(VLOOKUP($D10,'Kalkulator mięs '!$C$5:$H$533,DM$4,0)*$I10,0)</f>
        <v>0</v>
      </c>
      <c r="DN10">
        <f>IFERROR(VLOOKUP($D10,'Kalkulator mięs '!$C$5:$H$533,DN$4,0)*$J10,0)</f>
        <v>0</v>
      </c>
      <c r="DO10">
        <f>IFERROR(VLOOKUP($D10,'Kalkulator mięs '!$C$5:$H$533,DO$4,0)*$J10,0)</f>
        <v>0</v>
      </c>
      <c r="DP10">
        <f>IFERROR(VLOOKUP($D10,'Kalkulator mięs '!$C$5:$H$533,DP$4,0)*$J10,0)</f>
        <v>0</v>
      </c>
      <c r="DQ10">
        <f>IFERROR(VLOOKUP($D10,'Kalkulator mięs '!$C$5:$H$533,DQ$4,0)*$K10,0)</f>
        <v>0</v>
      </c>
      <c r="DR10">
        <f>IFERROR(VLOOKUP($D10,'Kalkulator mięs '!$C$5:$H$533,DR$4,0)*$K10,0)</f>
        <v>0</v>
      </c>
      <c r="DS10">
        <f>IFERROR(VLOOKUP($D10,'Kalkulator mięs '!$C$5:$H$533,DS$4,0)*$K10,0)</f>
        <v>0</v>
      </c>
      <c r="DT10">
        <f>IFERROR(VLOOKUP($D10,'Kalkulator mięs '!$C$5:$H$533,DT$4,0)*$L10,0)</f>
        <v>0</v>
      </c>
      <c r="DU10">
        <f>IFERROR(VLOOKUP($D10,'Kalkulator mięs '!$C$5:$H$533,DU$4,0)*$L10,0)</f>
        <v>0</v>
      </c>
      <c r="DV10">
        <f>IFERROR(VLOOKUP($D10,'Kalkulator mięs '!$C$5:$H$533,DV$4,0)*$L10,0)</f>
        <v>0</v>
      </c>
      <c r="DW10">
        <f>IFERROR(VLOOKUP($D10,'Kalkulator mięs '!$C$5:$H$533,DW$4,0)*$M10,0)</f>
        <v>0</v>
      </c>
      <c r="DX10">
        <f>IFERROR(VLOOKUP($D10,'Kalkulator mięs '!$C$5:$H$533,DX$4,0)*$M10,0)</f>
        <v>0</v>
      </c>
      <c r="DY10">
        <f>IFERROR(VLOOKUP($D10,'Kalkulator mięs '!$C$5:$H$533,DY$4,0)*$M10,0)</f>
        <v>0</v>
      </c>
      <c r="DZ10">
        <f>IFERROR(VLOOKUP($D10,'Kalkulator mięs '!$C$5:$H$533,DZ$4,0)*$N10,0)</f>
        <v>0</v>
      </c>
      <c r="EA10">
        <f>IFERROR(VLOOKUP($D10,'Kalkulator mięs '!$C$5:$H$533,EA$4,0)*$N10,0)</f>
        <v>0</v>
      </c>
      <c r="EB10">
        <f>IFERROR(VLOOKUP($D10,'Kalkulator mięs '!$C$5:$H$533,EB$4,0)*$N10,0)</f>
        <v>0</v>
      </c>
      <c r="EC10">
        <f>IFERROR(VLOOKUP($D10,'Kalkulator mięs '!$C$5:$H$533,EC$4,0)*$O10,0)</f>
        <v>0</v>
      </c>
      <c r="ED10">
        <f>IFERROR(VLOOKUP($D10,'Kalkulator mięs '!$C$5:$H$533,ED$4,0)*$O10,0)</f>
        <v>0</v>
      </c>
      <c r="EE10">
        <f>IFERROR(VLOOKUP($D10,'Kalkulator mięs '!$C$5:$H$533,EE$4,0)*$O10,0)</f>
        <v>0</v>
      </c>
      <c r="EF10">
        <f>IFERROR(VLOOKUP($D10,'Kalkulator mięs '!$C$5:$H$533,EF$4,0)*$P10,0)</f>
        <v>0</v>
      </c>
      <c r="EG10">
        <f>IFERROR(VLOOKUP($D10,'Kalkulator mięs '!$C$5:$H$533,EG$4,0)*$P10,0)</f>
        <v>0</v>
      </c>
      <c r="EH10">
        <f>IFERROR(VLOOKUP($D10,'Kalkulator mięs '!$C$5:$H$533,EH$4,0)*$P10,0)</f>
        <v>0</v>
      </c>
      <c r="EI10">
        <f>IFERROR(VLOOKUP($D10,'Kalkulator mięs '!$C$5:$H$533,EI$4,0)*$Q10,0)</f>
        <v>0</v>
      </c>
      <c r="EJ10">
        <f>IFERROR(VLOOKUP($D10,'Kalkulator mięs '!$C$5:$H$533,EJ$4,0)*$Q10,0)</f>
        <v>0</v>
      </c>
      <c r="EK10">
        <f>IFERROR(VLOOKUP($D10,'Kalkulator mięs '!$C$5:$H$533,EK$4,0)*$Q10,0)</f>
        <v>0</v>
      </c>
      <c r="EL10">
        <f>IFERROR(VLOOKUP($D10,'Kalkulator mięs '!$C$5:$H$533,EL$4,0)*$R10,0)</f>
        <v>0</v>
      </c>
      <c r="EM10">
        <f>IFERROR(VLOOKUP($D10,'Kalkulator mięs '!$C$5:$H$533,EM$4,0)*$R10,0)</f>
        <v>0</v>
      </c>
      <c r="EN10">
        <f>IFERROR(VLOOKUP($D10,'Kalkulator mięs '!$C$5:$H$533,EN$4,0)*$R10,0)</f>
        <v>0</v>
      </c>
      <c r="EO10">
        <f>IFERROR(VLOOKUP($D10,'Kalkulator mięs '!$C$5:$H$533,EO$4,0)*$S10,0)</f>
        <v>0</v>
      </c>
      <c r="EP10">
        <f>IFERROR(VLOOKUP($D10,'Kalkulator mięs '!$C$5:$H$533,EP$4,0)*$S10,0)</f>
        <v>0</v>
      </c>
      <c r="EQ10">
        <f>IFERROR(VLOOKUP($D10,'Kalkulator mięs '!$C$5:$H$533,EQ$4,0)*$S10,0)</f>
        <v>0</v>
      </c>
      <c r="ER10">
        <f>IFERROR(VLOOKUP($D10,'Kalkulator mięs '!$C$5:$H$533,ER$4,0)*$T10,0)</f>
        <v>0</v>
      </c>
      <c r="ES10">
        <f>IFERROR(VLOOKUP($D10,'Kalkulator mięs '!$C$5:$H$533,ES$4,0)*$T10,0)</f>
        <v>0</v>
      </c>
      <c r="ET10">
        <f>IFERROR(VLOOKUP($D10,'Kalkulator mięs '!$C$5:$H$533,ET$4,0)*$T10,0)</f>
        <v>0</v>
      </c>
      <c r="EU10">
        <f>IFERROR(VLOOKUP($D10,'Kalkulator mięs '!$C$5:$H$533,EU$4,0)*$U10,0)</f>
        <v>0</v>
      </c>
      <c r="EV10">
        <f>IFERROR(VLOOKUP($D10,'Kalkulator mięs '!$C$5:$H$533,EV$4,0)*$U10,0)</f>
        <v>0</v>
      </c>
      <c r="EW10">
        <f>IFERROR(VLOOKUP($D10,'Kalkulator mięs '!$C$5:$H$533,EW$4,0)*$U10,0)</f>
        <v>0</v>
      </c>
      <c r="EX10">
        <f>IFERROR(VLOOKUP($D10,'Kalkulator mięs '!$C$5:$H$533,EX$4,0)*$V10,0)</f>
        <v>0</v>
      </c>
      <c r="EY10">
        <f>IFERROR(VLOOKUP($D10,'Kalkulator mięs '!$C$5:$H$533,EY$4,0)*$V10,0)</f>
        <v>0</v>
      </c>
      <c r="EZ10">
        <f>IFERROR(VLOOKUP($D10,'Kalkulator mięs '!$C$5:$H$533,EZ$4,0)*$V10,0)</f>
        <v>0</v>
      </c>
      <c r="FA10">
        <f>IFERROR(VLOOKUP($D10,'Kalkulator mięs '!$C$5:$H$533,FA$4,0)*$W10,0)</f>
        <v>0</v>
      </c>
      <c r="FB10">
        <f>IFERROR(VLOOKUP($D10,'Kalkulator mięs '!$C$5:$H$533,FB$4,0)*$W10,0)</f>
        <v>0</v>
      </c>
      <c r="FC10">
        <f>IFERROR(VLOOKUP($D10,'Kalkulator mięs '!$C$5:$H$533,FC$4,0)*$W10,0)</f>
        <v>0</v>
      </c>
      <c r="FD10">
        <f>IFERROR(VLOOKUP($D10,'Kalkulator mięs '!$C$5:$H$533,FD$4,0)*$X10,0)</f>
        <v>0</v>
      </c>
      <c r="FE10">
        <f>IFERROR(VLOOKUP($D10,'Kalkulator mięs '!$C$5:$H$533,FE$4,0)*$X10,0)</f>
        <v>0</v>
      </c>
      <c r="FF10">
        <f>IFERROR(VLOOKUP($D10,'Kalkulator mięs '!$C$5:$H$533,FF$4,0)*$X10,0)</f>
        <v>0</v>
      </c>
      <c r="FG10">
        <f>IFERROR(VLOOKUP($D10,'Kalkulator mięs '!$C$5:$H$533,FG$4,0)*$Y10,0)</f>
        <v>0</v>
      </c>
      <c r="FH10">
        <f>IFERROR(VLOOKUP($D10,'Kalkulator mięs '!$C$5:$H$533,FH$4,0)*$Y10,0)</f>
        <v>0</v>
      </c>
      <c r="FI10">
        <f>IFERROR(VLOOKUP($D10,'Kalkulator mięs '!$C$5:$H$533,FI$4,0)*$Y10,0)</f>
        <v>0</v>
      </c>
      <c r="FJ10">
        <f>IFERROR(VLOOKUP($D10,'Kalkulator mięs '!$C$5:$H$533,FJ$4,0)*$Z10,0)</f>
        <v>0</v>
      </c>
      <c r="FK10">
        <f>IFERROR(VLOOKUP($D10,'Kalkulator mięs '!$C$5:$H$533,FK$4,0)*$Z10,0)</f>
        <v>0</v>
      </c>
      <c r="FL10">
        <f>IFERROR(VLOOKUP($D10,'Kalkulator mięs '!$C$5:$H$533,FL$4,0)*$Z10,0)</f>
        <v>0</v>
      </c>
      <c r="FM10">
        <f>IFERROR(VLOOKUP($D10,'Kalkulator mięs '!$C$5:$H$533,FM$4,0)*$AA10,0)</f>
        <v>0</v>
      </c>
      <c r="FN10">
        <f>IFERROR(VLOOKUP($D10,'Kalkulator mięs '!$C$5:$H$533,FN$4,0)*$AA10,0)</f>
        <v>0</v>
      </c>
      <c r="FO10">
        <f>IFERROR(VLOOKUP($D10,'Kalkulator mięs '!$C$5:$H$533,FO$4,0)*$AA10,0)</f>
        <v>0</v>
      </c>
      <c r="FP10">
        <f>IFERROR(VLOOKUP($D10,'Kalkulator mięs '!$C$5:$H$533,FP$4,0)*$AB10,0)</f>
        <v>0</v>
      </c>
      <c r="FQ10">
        <f>IFERROR(VLOOKUP($D10,'Kalkulator mięs '!$C$5:$H$533,FQ$4,0)*$AB10,0)</f>
        <v>0</v>
      </c>
      <c r="FR10">
        <f>IFERROR(VLOOKUP($D10,'Kalkulator mięs '!$C$5:$H$533,FR$4,0)*$AB10,0)</f>
        <v>0</v>
      </c>
      <c r="FS10">
        <f>IFERROR(VLOOKUP($D10,'Kalkulator mięs '!$C$5:$H$533,FS$4,0)*$AC10,0)</f>
        <v>0</v>
      </c>
      <c r="FT10">
        <f>IFERROR(VLOOKUP($D10,'Kalkulator mięs '!$C$5:$H$533,FT$4,0)*$AC10,0)</f>
        <v>0</v>
      </c>
      <c r="FU10">
        <f>IFERROR(VLOOKUP($D10,'Kalkulator mięs '!$C$5:$H$533,FU$4,0)*$AC10,0)</f>
        <v>0</v>
      </c>
      <c r="FV10">
        <f>IFERROR(VLOOKUP($D10,'Kalkulator mięs '!$C$5:$H$533,FV$4,0)*$AD10,0)</f>
        <v>0</v>
      </c>
      <c r="FW10">
        <f>IFERROR(VLOOKUP($D10,'Kalkulator mięs '!$C$5:$H$533,FW$4,0)*$AD10,0)</f>
        <v>0</v>
      </c>
      <c r="FX10">
        <f>IFERROR(VLOOKUP($D10,'Kalkulator mięs '!$C$5:$H$533,FX$4,0)*$AD10,0)</f>
        <v>0</v>
      </c>
      <c r="FY10">
        <f>IFERROR(VLOOKUP($D10,'Kalkulator mięs '!$C$5:$H$533,FY$4,0)*$AE10,0)</f>
        <v>0</v>
      </c>
      <c r="FZ10">
        <f>IFERROR(VLOOKUP($D10,'Kalkulator mięs '!$C$5:$H$533,FZ$4,0)*$AE10,0)</f>
        <v>0</v>
      </c>
      <c r="GA10">
        <f>IFERROR(VLOOKUP($D10,'Kalkulator mięs '!$C$5:$H$533,GA$4,0)*$AE10,0)</f>
        <v>0</v>
      </c>
      <c r="GB10">
        <f>IFERROR(VLOOKUP($D10,'Kalkulator mięs '!$C$5:$H$533,GB$4,0)*$AF10,0)</f>
        <v>0</v>
      </c>
      <c r="GC10">
        <f>IFERROR(VLOOKUP($D10,'Kalkulator mięs '!$C$5:$H$533,GC$4,0)*$AF10,0)</f>
        <v>0</v>
      </c>
      <c r="GD10">
        <f>IFERROR(VLOOKUP($D10,'Kalkulator mięs '!$C$5:$H$533,GD$4,0)*$AF10,0)</f>
        <v>0</v>
      </c>
      <c r="GE10">
        <f>IFERROR(VLOOKUP($D10,'Kalkulator mięs '!$C$5:$H$533,GE$4,0)*$AG10,0)</f>
        <v>0</v>
      </c>
      <c r="GF10">
        <f>IFERROR(VLOOKUP($D10,'Kalkulator mięs '!$C$5:$H$533,GF$4,0)*$AG10,0)</f>
        <v>0</v>
      </c>
      <c r="GG10">
        <f>IFERROR(VLOOKUP($D10,'Kalkulator mięs '!$C$5:$H$533,GG$4,0)*$AG10,0)</f>
        <v>0</v>
      </c>
      <c r="GH10">
        <f>IFERROR(VLOOKUP($D10,'Kalkulator mięs '!$C$5:$H$533,GH$4,0)*$AH10,0)</f>
        <v>0</v>
      </c>
      <c r="GI10">
        <f>IFERROR(VLOOKUP($D10,'Kalkulator mięs '!$C$5:$H$533,GI$4,0)*$AH10,0)</f>
        <v>0</v>
      </c>
      <c r="GJ10">
        <f>IFERROR(VLOOKUP($D10,'Kalkulator mięs '!$C$5:$H$533,GJ$4,0)*$AH10,0)</f>
        <v>0</v>
      </c>
      <c r="GK10">
        <f>IFERROR(VLOOKUP($D10,'Kalkulator mięs '!$C$5:$H$533,GK$4,0)*$AI10,0)</f>
        <v>0</v>
      </c>
      <c r="GL10">
        <f>IFERROR(VLOOKUP($D10,'Kalkulator mięs '!$C$5:$H$533,GL$4,0)*$AI10,0)</f>
        <v>0</v>
      </c>
      <c r="GM10">
        <f>IFERROR(VLOOKUP($D10,'Kalkulator mięs '!$C$5:$H$533,GM$4,0)*$AI10,0)</f>
        <v>0</v>
      </c>
      <c r="GN10">
        <f>IFERROR(VLOOKUP($D10,'Kalkulator mięs '!$C$5:$H$533,GN$4,0)*$AJ10,0)</f>
        <v>0</v>
      </c>
      <c r="GO10">
        <f>IFERROR(VLOOKUP($D10,'Kalkulator mięs '!$C$5:$H$533,GO$4,0)*$AJ10,0)</f>
        <v>0</v>
      </c>
      <c r="GP10">
        <f>IFERROR(VLOOKUP($D10,'Kalkulator mięs '!$C$5:$H$533,GP$4,0)*$AJ10,0)</f>
        <v>0</v>
      </c>
      <c r="GQ10">
        <f>IFERROR(VLOOKUP($D10,'Kalkulator mięs '!$C$5:$H$533,GQ$4,0)*$AK10,0)</f>
        <v>0</v>
      </c>
      <c r="GR10">
        <f>IFERROR(VLOOKUP($D10,'Kalkulator mięs '!$C$5:$H$533,GR$4,0)*$AK10,0)</f>
        <v>0</v>
      </c>
      <c r="GS10">
        <f>IFERROR(VLOOKUP($D10,'Kalkulator mięs '!$C$5:$H$533,GS$4,0)*$AK10,0)</f>
        <v>0</v>
      </c>
      <c r="GT10">
        <f>IFERROR(VLOOKUP($D10,'Kalkulator mięs '!$C$5:$H$533,GT$4,0)*$AL10,0)</f>
        <v>0</v>
      </c>
      <c r="GU10">
        <f>IFERROR(VLOOKUP($D10,'Kalkulator mięs '!$C$5:$H$533,GU$4,0)*$AL10,0)</f>
        <v>0</v>
      </c>
      <c r="GV10">
        <f>IFERROR(VLOOKUP($D10,'Kalkulator mięs '!$C$5:$H$533,GV$4,0)*$AL10,0)</f>
        <v>0</v>
      </c>
      <c r="GW10">
        <f>IFERROR(VLOOKUP($D10,'Kalkulator mięs '!$C$5:$H$533,GW$4,0)*$AM10,0)</f>
        <v>0</v>
      </c>
      <c r="GX10">
        <f>IFERROR(VLOOKUP($D10,'Kalkulator mięs '!$C$5:$H$533,GX$4,0)*$AM10,0)</f>
        <v>0</v>
      </c>
      <c r="GY10">
        <f>IFERROR(VLOOKUP($D10,'Kalkulator mięs '!$C$5:$H$533,GY$4,0)*$AM10,0)</f>
        <v>0</v>
      </c>
      <c r="GZ10">
        <f>IFERROR(VLOOKUP($D10,'Kalkulator mięs '!$C$5:$H$533,GZ$4,0)*$AN10,0)</f>
        <v>0</v>
      </c>
      <c r="HA10">
        <f>IFERROR(VLOOKUP($D10,'Kalkulator mięs '!$C$5:$H$533,HA$4,0)*$AN10,0)</f>
        <v>0</v>
      </c>
      <c r="HB10">
        <f>IFERROR(VLOOKUP($D10,'Kalkulator mięs '!$C$5:$H$533,HB$4,0)*$AN10,0)</f>
        <v>0</v>
      </c>
      <c r="HC10">
        <f>IFERROR(VLOOKUP($D10,'Kalkulator mięs '!$C$5:$H$533,HC$4,0)*$AO10,0)</f>
        <v>0</v>
      </c>
      <c r="HD10">
        <f>IFERROR(VLOOKUP($D10,'Kalkulator mięs '!$C$5:$H$533,HD$4,0)*$AO10,0)</f>
        <v>0</v>
      </c>
      <c r="HE10">
        <f>IFERROR(VLOOKUP($D10,'Kalkulator mięs '!$C$5:$H$533,HE$4,0)*$AO10,0)</f>
        <v>0</v>
      </c>
      <c r="HF10">
        <f>IFERROR(VLOOKUP($D10,'Kalkulator mięs '!$C$5:$H$533,HF$4,0)*$AP10,0)</f>
        <v>0</v>
      </c>
      <c r="HG10">
        <f>IFERROR(VLOOKUP($D10,'Kalkulator mięs '!$C$5:$H$533,HG$4,0)*$AP10,0)</f>
        <v>0</v>
      </c>
      <c r="HH10">
        <f>IFERROR(VLOOKUP($D10,'Kalkulator mięs '!$C$5:$H$533,HH$4,0)*$AP10,0)</f>
        <v>0</v>
      </c>
      <c r="HI10">
        <f>IFERROR(VLOOKUP($D10,'Kalkulator mięs '!$C$5:$H$533,HI$4,0)*$AQ10,0)</f>
        <v>0</v>
      </c>
      <c r="HJ10">
        <f>IFERROR(VLOOKUP($D10,'Kalkulator mięs '!$C$5:$H$533,HJ$4,0)*$AQ10,0)</f>
        <v>0</v>
      </c>
      <c r="HK10">
        <f>IFERROR(VLOOKUP($D10,'Kalkulator mięs '!$C$5:$H$533,HK$4,0)*$AQ10,0)</f>
        <v>0</v>
      </c>
      <c r="HL10">
        <f>IFERROR(VLOOKUP($D10,'Kalkulator mięs '!$C$5:$H$533,HL$4,0)*$AR10,0)</f>
        <v>0</v>
      </c>
      <c r="HM10">
        <f>IFERROR(VLOOKUP($D10,'Kalkulator mięs '!$C$5:$H$533,HM$4,0)*$AR10,0)</f>
        <v>0</v>
      </c>
      <c r="HN10">
        <f>IFERROR(VLOOKUP($D10,'Kalkulator mięs '!$C$5:$H$533,HN$4,0)*$AR10,0)</f>
        <v>0</v>
      </c>
      <c r="HO10">
        <f>IFERROR(VLOOKUP($D10,'Kalkulator mięs '!$C$5:$H$533,HO$4,0)*$AS10,0)</f>
        <v>0</v>
      </c>
      <c r="HP10">
        <f>IFERROR(VLOOKUP($D10,'Kalkulator mięs '!$C$5:$H$533,HP$4,0)*$AS10,0)</f>
        <v>0</v>
      </c>
      <c r="HQ10">
        <f>IFERROR(VLOOKUP($D10,'Kalkulator mięs '!$C$5:$H$533,HQ$4,0)*$AS10,0)</f>
        <v>0</v>
      </c>
      <c r="HR10">
        <f>IFERROR(VLOOKUP($D10,'Kalkulator mięs '!$C$5:$H$533,HR$4,0)*$AT10,0)</f>
        <v>0</v>
      </c>
      <c r="HS10">
        <f>IFERROR(VLOOKUP($D10,'Kalkulator mięs '!$C$5:$H$533,HS$4,0)*$AT10,0)</f>
        <v>0</v>
      </c>
      <c r="HT10">
        <f>IFERROR(VLOOKUP($D10,'Kalkulator mięs '!$C$5:$H$533,HT$4,0)*$AT10,0)</f>
        <v>0</v>
      </c>
      <c r="HU10">
        <f>IFERROR(VLOOKUP($D10,'Kalkulator mięs '!$C$5:$H$533,HU$4,0)*$AU10,0)</f>
        <v>0</v>
      </c>
      <c r="HV10">
        <f>IFERROR(VLOOKUP($D10,'Kalkulator mięs '!$C$5:$H$533,HV$4,0)*$AU10,0)</f>
        <v>0</v>
      </c>
      <c r="HW10">
        <f>IFERROR(VLOOKUP($D10,'Kalkulator mięs '!$C$5:$H$533,HW$4,0)*$AU10,0)</f>
        <v>0</v>
      </c>
      <c r="HX10">
        <f>IFERROR(VLOOKUP($D10,'Kalkulator mięs '!$C$5:$H$533,HX$4,0)*$AV10,0)</f>
        <v>0</v>
      </c>
      <c r="HY10">
        <f>IFERROR(VLOOKUP($D10,'Kalkulator mięs '!$C$5:$H$533,HY$4,0)*$AV10,0)</f>
        <v>0</v>
      </c>
      <c r="HZ10">
        <f>IFERROR(VLOOKUP($D10,'Kalkulator mięs '!$C$5:$H$533,HZ$4,0)*$AV10,0)</f>
        <v>0</v>
      </c>
      <c r="IA10">
        <f>IFERROR(VLOOKUP($D10,'Kalkulator mięs '!$C$5:$H$533,IA$4,0)*$AW10,0)</f>
        <v>0</v>
      </c>
      <c r="IB10">
        <f>IFERROR(VLOOKUP($D10,'Kalkulator mięs '!$C$5:$H$533,IB$4,0)*$AW10,0)</f>
        <v>0</v>
      </c>
      <c r="IC10">
        <f>IFERROR(VLOOKUP($D10,'Kalkulator mięs '!$C$5:$H$533,IC$4,0)*$AW10,0)</f>
        <v>0</v>
      </c>
      <c r="ID10">
        <f>IFERROR(VLOOKUP($D10,'Kalkulator mięs '!$C$5:$H$533,ID$4,0)*$AX10,0)</f>
        <v>0</v>
      </c>
      <c r="IE10">
        <f>IFERROR(VLOOKUP($D10,'Kalkulator mięs '!$C$5:$H$533,IE$4,0)*$AX10,0)</f>
        <v>0</v>
      </c>
      <c r="IF10">
        <f>IFERROR(VLOOKUP($D10,'Kalkulator mięs '!$C$5:$H$533,IF$4,0)*$AX10,0)</f>
        <v>0</v>
      </c>
      <c r="IG10">
        <f>IFERROR(VLOOKUP($D10,'Kalkulator mięs '!$C$5:$H$533,IG$4,0)*$AY10,0)</f>
        <v>0</v>
      </c>
      <c r="IH10">
        <f>IFERROR(VLOOKUP($D10,'Kalkulator mięs '!$C$5:$H$533,IH$4,0)*$AY10,0)</f>
        <v>0</v>
      </c>
      <c r="II10">
        <f>IFERROR(VLOOKUP($D10,'Kalkulator mięs '!$C$5:$H$533,II$4,0)*$AY10,0)</f>
        <v>0</v>
      </c>
      <c r="IJ10">
        <f>IFERROR(VLOOKUP($D10,'Kalkulator mięs '!$C$5:$H$533,IJ$4,0)*$AZ10,0)</f>
        <v>0</v>
      </c>
      <c r="IK10">
        <f>IFERROR(VLOOKUP($D10,'Kalkulator mięs '!$C$5:$H$533,IK$4,0)*$AZ10,0)</f>
        <v>0</v>
      </c>
      <c r="IL10">
        <f>IFERROR(VLOOKUP($D10,'Kalkulator mięs '!$C$5:$H$533,IL$4,0)*$AZ10,0)</f>
        <v>0</v>
      </c>
      <c r="IM10">
        <f>IFERROR(VLOOKUP($D10,'Kalkulator mięs '!$C$5:$H$533,IM$4,0)*$BA10,0)</f>
        <v>0</v>
      </c>
      <c r="IN10">
        <f>IFERROR(VLOOKUP($D10,'Kalkulator mięs '!$C$5:$H$533,IN$4,0)*$BA10,0)</f>
        <v>0</v>
      </c>
      <c r="IO10">
        <f>IFERROR(VLOOKUP($D10,'Kalkulator mięs '!$C$5:$H$533,IO$4,0)*$BA10,0)</f>
        <v>0</v>
      </c>
    </row>
    <row r="11" spans="2:249" ht="15.75">
      <c r="B11" t="str">
        <f>VLOOKUP(D11,Receptury_z!$A:$B,2,0)</f>
        <v>ON</v>
      </c>
      <c r="C11" s="16">
        <v>5410</v>
      </c>
      <c r="D11" s="19">
        <v>6404</v>
      </c>
      <c r="E11" s="18" t="s">
        <v>21</v>
      </c>
      <c r="F11" s="14">
        <f>IF($B11="OFF",BE11,VLOOKUP($D11,Receptury_z!$D:$AI,F$4,0))</f>
        <v>63</v>
      </c>
      <c r="G11" s="14">
        <f>IF($B11="OFF",BF11,VLOOKUP($D11,Receptury_z!$D:$AI,G$4,0))</f>
        <v>0</v>
      </c>
      <c r="H11" s="14">
        <f>IF($B11="OFF",BG11,VLOOKUP($D11,Receptury_z!$D:$AI,H$4,0))</f>
        <v>0</v>
      </c>
      <c r="I11" s="14">
        <f>IF($B11="OFF",BH11,VLOOKUP($D11,Receptury_z!$D:$AI,I$4,0))</f>
        <v>0</v>
      </c>
      <c r="J11" s="14">
        <f>IF($B11="OFF",BI11,VLOOKUP($D11,Receptury_z!$D:$AI,J$4,0))</f>
        <v>0</v>
      </c>
      <c r="K11" s="14">
        <f>IF($B11="OFF",BJ11,VLOOKUP($D11,Receptury_z!$D:$AI,K$4,0))</f>
        <v>0</v>
      </c>
      <c r="L11" s="14">
        <f>IF($B11="OFF",BK11,VLOOKUP($D11,Receptury_z!$D:$AI,L$4,0))</f>
        <v>482.4</v>
      </c>
      <c r="M11" s="14">
        <f>IF($B11="OFF",BL11,VLOOKUP($D11,Receptury_z!$D:$AI,M$4,0))</f>
        <v>118.6</v>
      </c>
      <c r="N11" s="14">
        <f>IF($B11="OFF",BM11,VLOOKUP($D11,Receptury_z!$D:$AI,N$4,0))</f>
        <v>0</v>
      </c>
      <c r="O11" s="14">
        <f>IF($B11="OFF",BN11,VLOOKUP($D11,Receptury_z!$D:$AI,O$4,0))</f>
        <v>0</v>
      </c>
      <c r="P11" s="14">
        <f>IF($B11="OFF",BO11,VLOOKUP($D11,Receptury_z!$D:$AI,P$4,0))</f>
        <v>0</v>
      </c>
      <c r="Q11" s="14">
        <f>IF($B11="OFF",BP11,VLOOKUP($D11,Receptury_z!$D:$AI,Q$4,0))</f>
        <v>0</v>
      </c>
      <c r="R11" s="14">
        <f>IF($B11="OFF",BQ11,VLOOKUP($D11,Receptury_z!$D:$AI,R$4,0))</f>
        <v>0</v>
      </c>
      <c r="S11" s="14">
        <f>IF($B11="OFF",BR11,VLOOKUP($D11,Receptury_z!$D:$AI,S$4,0))</f>
        <v>0</v>
      </c>
      <c r="T11" s="14">
        <f>IF($B11="OFF",BS11,VLOOKUP($D11,Receptury_z!$D:$AI,T$4,0))</f>
        <v>0</v>
      </c>
      <c r="U11" s="14">
        <f>IF($B11="OFF",BT11,VLOOKUP($D11,Receptury_z!$D:$AI,U$4,0))</f>
        <v>0</v>
      </c>
      <c r="V11" s="14">
        <f>IF($B11="OFF",BU11,VLOOKUP($D11,Receptury_z!$D:$AI,V$4,0))</f>
        <v>0</v>
      </c>
      <c r="W11" s="14">
        <f>IF($B11="OFF",BV11,VLOOKUP($D11,Receptury_z!$D:$AI,W$4,0))</f>
        <v>0</v>
      </c>
      <c r="X11" s="14">
        <f>IF($B11="OFF",BW11,VLOOKUP($D11,Receptury_z!$D:$AI,X$4,0))</f>
        <v>0</v>
      </c>
      <c r="Y11" s="14">
        <f>IF($B11="OFF",BX11,VLOOKUP($D11,Receptury_z!$D:$AI,Y$4,0))</f>
        <v>0</v>
      </c>
      <c r="Z11" s="14">
        <f>IF($B11="OFF",BY11,VLOOKUP($D11,Receptury_z!$D:$AI,Z$4,0))</f>
        <v>0</v>
      </c>
      <c r="AA11" s="14">
        <f>IF($B11="OFF",BZ11,VLOOKUP($D11,Receptury_z!$D:$AI,AA$4,0))</f>
        <v>0</v>
      </c>
      <c r="AB11" s="14">
        <f>IF($B11="OFF",CA11,VLOOKUP($D11,Receptury_z!$D:$AI,AB$4,0))</f>
        <v>83</v>
      </c>
      <c r="AC11" s="14">
        <f>IF($B11="OFF",CB11,VLOOKUP($D11,Receptury_z!$D:$AI,AC$4,0))</f>
        <v>0</v>
      </c>
      <c r="AD11" s="14">
        <f>IF($B11="OFF",CC11,VLOOKUP($D11,Receptury_z!$D:$AI,AD$4,0))</f>
        <v>0</v>
      </c>
      <c r="AE11" s="14">
        <f>IF($B11="OFF",CD11,VLOOKUP($D11,Receptury_z!$D:$AI,AE$4,0))</f>
        <v>0</v>
      </c>
      <c r="AF11" s="14">
        <f>IF($B11="OFF",CE11,VLOOKUP($D11,Receptury_z!$D:$AI,AF$4,0))</f>
        <v>0</v>
      </c>
      <c r="AG11" s="14">
        <f>IF($B11="OFF",CF11,VLOOKUP($D11,Receptury_z!$D:$AI,AG$4,0))</f>
        <v>0</v>
      </c>
      <c r="AH11" s="14">
        <f>IF($B11="OFF",CG11,VLOOKUP($D11,Receptury_z!$D:$AI,AH$4,0))</f>
        <v>0</v>
      </c>
      <c r="AI11" s="14">
        <f>IF($B11="OFF",CH11,VLOOKUP($D11,Receptury_z!$D:$AI,AI$4,0))</f>
        <v>0</v>
      </c>
      <c r="AJ11" s="14">
        <f>IF($B11="OFF",CI11,VLOOKUP($D11,Receptury_z!$D:$AS,AJ$4,0))</f>
        <v>0</v>
      </c>
      <c r="AK11" s="14">
        <f>IF($B11="OFF",CJ11,VLOOKUP($D11,Receptury_z!$D:$AS,AK$4,0))</f>
        <v>0</v>
      </c>
      <c r="AL11" s="14">
        <f>IF($B11="OFF",CK11,VLOOKUP($D11,Receptury_z!$D:$AS,AL$4,0))</f>
        <v>0</v>
      </c>
      <c r="AM11" s="14">
        <f>IF($B11="OFF",CL11,VLOOKUP($D11,Receptury_z!$D:$AS,AM$4,0))</f>
        <v>0</v>
      </c>
      <c r="AN11" s="14">
        <f>IF($B11="OFF",CM11,VLOOKUP($D11,Receptury_z!$D:$AS,AN$4,0))</f>
        <v>0</v>
      </c>
      <c r="AO11" s="14">
        <f>IF($B11="OFF",CN11,VLOOKUP($D11,Receptury_z!$D:$AS,AO$4,0))</f>
        <v>0</v>
      </c>
      <c r="AP11" s="14">
        <f>IF($B11="OFF",CO11,VLOOKUP($D11,Receptury_z!$D:$AS,AP$4,0))</f>
        <v>0</v>
      </c>
      <c r="AQ11" s="14">
        <f>IF($B11="OFF",CP11,VLOOKUP($D11,Receptury_z!$D:$AS,AQ$4,0))</f>
        <v>0</v>
      </c>
      <c r="AR11" s="14">
        <f>IF($B11="OFF",CQ11,VLOOKUP($D11,Receptury_z!$D:$AS,AR$4,0))</f>
        <v>0</v>
      </c>
      <c r="AS11" s="14">
        <f>IF($B11="OFF",CR11,VLOOKUP($D11,Receptury_z!$D:$AS,AS$4,0))</f>
        <v>0</v>
      </c>
      <c r="AT11" s="14">
        <f>IF($B11="OFF",CS11,VLOOKUP($D11,Receptury_z!$D:$AV,AT$4,0))</f>
        <v>0</v>
      </c>
      <c r="AU11" s="14">
        <f>IF($B11="OFF",CT11,VLOOKUP($D11,Receptury_z!$D:$AV,AU$4,0))</f>
        <v>83</v>
      </c>
      <c r="AV11" s="14">
        <f>IF($B11="OFF",CU11,VLOOKUP($D11,Receptury_z!$D:$AV,AV$4,0))</f>
        <v>0</v>
      </c>
      <c r="AW11" s="14">
        <f>IF($B11="OFF",CV11,VLOOKUP($D11,Receptury_z!$D:$BA,AW$4,0))</f>
        <v>0</v>
      </c>
      <c r="AX11" s="14">
        <f>IF($B11="OFF",CW11,VLOOKUP($D11,Receptury_z!$D:$BA,AX$4,0))</f>
        <v>0</v>
      </c>
      <c r="AY11" s="14">
        <f>IF($B11="OFF",CX11,VLOOKUP($D11,Receptury_z!$D:$BA,AY$4,0))</f>
        <v>0</v>
      </c>
      <c r="AZ11" s="14">
        <f>IF($B11="OFF",DA11,VLOOKUP($D11,Receptury_z!$D:$BA,AZ$4,0))</f>
        <v>0</v>
      </c>
      <c r="BA11" s="14">
        <f>IF($B11="OFF",DB11,VLOOKUP($D11,Receptury_z!$D:$BA,BA$4,0))</f>
        <v>0</v>
      </c>
      <c r="BC11" s="19">
        <v>6404</v>
      </c>
      <c r="BD11" s="18" t="s">
        <v>21</v>
      </c>
      <c r="BE11" s="239">
        <v>63</v>
      </c>
      <c r="BF11" s="239">
        <v>0</v>
      </c>
      <c r="BG11" s="239">
        <v>0</v>
      </c>
      <c r="BH11" s="239">
        <v>0</v>
      </c>
      <c r="BI11" s="239">
        <v>0</v>
      </c>
      <c r="BJ11" s="239">
        <v>0</v>
      </c>
      <c r="BK11" s="239">
        <v>472.4</v>
      </c>
      <c r="BL11" s="239">
        <v>133.9</v>
      </c>
      <c r="BM11" s="240"/>
      <c r="BN11" s="239">
        <v>0</v>
      </c>
      <c r="BO11" s="239">
        <v>0</v>
      </c>
      <c r="BP11" s="239">
        <v>0</v>
      </c>
      <c r="BQ11" s="239">
        <v>0</v>
      </c>
      <c r="BR11" s="239">
        <v>0</v>
      </c>
      <c r="BS11" s="239">
        <v>0</v>
      </c>
      <c r="BT11" s="239">
        <v>0</v>
      </c>
      <c r="BU11" s="239">
        <v>0</v>
      </c>
      <c r="BV11" s="239">
        <v>0</v>
      </c>
      <c r="BW11" s="239">
        <v>0</v>
      </c>
      <c r="BX11" s="239">
        <v>0</v>
      </c>
      <c r="BY11" s="239">
        <v>0</v>
      </c>
      <c r="BZ11" s="239">
        <v>0</v>
      </c>
      <c r="CA11" s="239">
        <v>83</v>
      </c>
      <c r="CB11" s="239">
        <v>0</v>
      </c>
      <c r="CC11" s="239">
        <v>0</v>
      </c>
      <c r="CD11" s="239">
        <v>0</v>
      </c>
      <c r="CE11" s="239">
        <v>0</v>
      </c>
      <c r="CF11" s="239">
        <v>0</v>
      </c>
      <c r="CG11" s="239">
        <v>0</v>
      </c>
      <c r="CH11" s="239">
        <v>0</v>
      </c>
      <c r="CI11" s="239">
        <v>0</v>
      </c>
      <c r="CJ11" s="239">
        <v>0</v>
      </c>
      <c r="CK11" s="239">
        <v>0</v>
      </c>
      <c r="CL11" s="239">
        <v>0</v>
      </c>
      <c r="CM11" s="80"/>
      <c r="CN11" s="80"/>
      <c r="CO11" s="80"/>
      <c r="CP11" s="80"/>
      <c r="CQ11" s="80"/>
      <c r="CR11" s="80"/>
      <c r="CS11" s="80"/>
      <c r="CT11" s="241">
        <v>83</v>
      </c>
      <c r="CU11" s="80"/>
      <c r="CV11" s="80"/>
      <c r="CW11" s="80"/>
      <c r="CX11" s="80"/>
      <c r="CY11" s="80"/>
      <c r="CZ11" s="80"/>
      <c r="DB11">
        <f>IFERROR(VLOOKUP($D11,'Kalkulator mięs '!$C$5:$H$533,DB$4,0)*F11,0)</f>
        <v>0</v>
      </c>
      <c r="DC11">
        <f>IFERROR(VLOOKUP($D11,'Kalkulator mięs '!$C$5:$H$533,DC$4,0)*F11,0)</f>
        <v>0</v>
      </c>
      <c r="DD11">
        <f>IFERROR(VLOOKUP($D11,'Kalkulator mięs '!$C$5:$H$533,DD$4,0)*F11,0)</f>
        <v>0</v>
      </c>
      <c r="DE11">
        <f>IFERROR(VLOOKUP($D11,'Kalkulator mięs '!$C$5:$H$533,DE$4,0)*$G11,0)</f>
        <v>0</v>
      </c>
      <c r="DF11">
        <f>IFERROR(VLOOKUP($D11,'Kalkulator mięs '!$C$5:$H$533,DF$4,0)*$G11,0)</f>
        <v>0</v>
      </c>
      <c r="DG11">
        <f>IFERROR(VLOOKUP($D11,'Kalkulator mięs '!$C$5:$H$533,DG$4,0)*$G11,0)</f>
        <v>0</v>
      </c>
      <c r="DH11">
        <f>IFERROR(VLOOKUP($D11,'Kalkulator mięs '!$C$5:$H$533,DH$4,0)*$H11,0)</f>
        <v>0</v>
      </c>
      <c r="DI11">
        <f>IFERROR(VLOOKUP($D11,'Kalkulator mięs '!$C$5:$H$533,DI$4,0)*$H11,0)</f>
        <v>0</v>
      </c>
      <c r="DJ11">
        <f>IFERROR(VLOOKUP($D11,'Kalkulator mięs '!$C$5:$H$533,DJ$4,0)*$H11,0)</f>
        <v>0</v>
      </c>
      <c r="DK11">
        <f>IFERROR(VLOOKUP($D11,'Kalkulator mięs '!$C$5:$H$533,DK$4,0)*$I11,0)</f>
        <v>0</v>
      </c>
      <c r="DL11">
        <f>IFERROR(VLOOKUP($D11,'Kalkulator mięs '!$C$5:$H$533,DL$4,0)*$I11,0)</f>
        <v>0</v>
      </c>
      <c r="DM11">
        <f>IFERROR(VLOOKUP($D11,'Kalkulator mięs '!$C$5:$H$533,DM$4,0)*$I11,0)</f>
        <v>0</v>
      </c>
      <c r="DN11">
        <f>IFERROR(VLOOKUP($D11,'Kalkulator mięs '!$C$5:$H$533,DN$4,0)*$J11,0)</f>
        <v>0</v>
      </c>
      <c r="DO11">
        <f>IFERROR(VLOOKUP($D11,'Kalkulator mięs '!$C$5:$H$533,DO$4,0)*$J11,0)</f>
        <v>0</v>
      </c>
      <c r="DP11">
        <f>IFERROR(VLOOKUP($D11,'Kalkulator mięs '!$C$5:$H$533,DP$4,0)*$J11,0)</f>
        <v>0</v>
      </c>
      <c r="DQ11">
        <f>IFERROR(VLOOKUP($D11,'Kalkulator mięs '!$C$5:$H$533,DQ$4,0)*$K11,0)</f>
        <v>0</v>
      </c>
      <c r="DR11">
        <f>IFERROR(VLOOKUP($D11,'Kalkulator mięs '!$C$5:$H$533,DR$4,0)*$K11,0)</f>
        <v>0</v>
      </c>
      <c r="DS11">
        <f>IFERROR(VLOOKUP($D11,'Kalkulator mięs '!$C$5:$H$533,DS$4,0)*$K11,0)</f>
        <v>0</v>
      </c>
      <c r="DT11">
        <f>IFERROR(VLOOKUP($D11,'Kalkulator mięs '!$C$5:$H$533,DT$4,0)*$L11,0)</f>
        <v>0</v>
      </c>
      <c r="DU11">
        <f>IFERROR(VLOOKUP($D11,'Kalkulator mięs '!$C$5:$H$533,DU$4,0)*$L11,0)</f>
        <v>0</v>
      </c>
      <c r="DV11">
        <f>IFERROR(VLOOKUP($D11,'Kalkulator mięs '!$C$5:$H$533,DV$4,0)*$L11,0)</f>
        <v>0</v>
      </c>
      <c r="DW11">
        <f>IFERROR(VLOOKUP($D11,'Kalkulator mięs '!$C$5:$H$533,DW$4,0)*$M11,0)</f>
        <v>0</v>
      </c>
      <c r="DX11">
        <f>IFERROR(VLOOKUP($D11,'Kalkulator mięs '!$C$5:$H$533,DX$4,0)*$M11,0)</f>
        <v>0</v>
      </c>
      <c r="DY11">
        <f>IFERROR(VLOOKUP($D11,'Kalkulator mięs '!$C$5:$H$533,DY$4,0)*$M11,0)</f>
        <v>0</v>
      </c>
      <c r="DZ11">
        <f>IFERROR(VLOOKUP($D11,'Kalkulator mięs '!$C$5:$H$533,DZ$4,0)*$N11,0)</f>
        <v>0</v>
      </c>
      <c r="EA11">
        <f>IFERROR(VLOOKUP($D11,'Kalkulator mięs '!$C$5:$H$533,EA$4,0)*$N11,0)</f>
        <v>0</v>
      </c>
      <c r="EB11">
        <f>IFERROR(VLOOKUP($D11,'Kalkulator mięs '!$C$5:$H$533,EB$4,0)*$N11,0)</f>
        <v>0</v>
      </c>
      <c r="EC11">
        <f>IFERROR(VLOOKUP($D11,'Kalkulator mięs '!$C$5:$H$533,EC$4,0)*$O11,0)</f>
        <v>0</v>
      </c>
      <c r="ED11">
        <f>IFERROR(VLOOKUP($D11,'Kalkulator mięs '!$C$5:$H$533,ED$4,0)*$O11,0)</f>
        <v>0</v>
      </c>
      <c r="EE11">
        <f>IFERROR(VLOOKUP($D11,'Kalkulator mięs '!$C$5:$H$533,EE$4,0)*$O11,0)</f>
        <v>0</v>
      </c>
      <c r="EF11">
        <f>IFERROR(VLOOKUP($D11,'Kalkulator mięs '!$C$5:$H$533,EF$4,0)*$P11,0)</f>
        <v>0</v>
      </c>
      <c r="EG11">
        <f>IFERROR(VLOOKUP($D11,'Kalkulator mięs '!$C$5:$H$533,EG$4,0)*$P11,0)</f>
        <v>0</v>
      </c>
      <c r="EH11">
        <f>IFERROR(VLOOKUP($D11,'Kalkulator mięs '!$C$5:$H$533,EH$4,0)*$P11,0)</f>
        <v>0</v>
      </c>
      <c r="EI11">
        <f>IFERROR(VLOOKUP($D11,'Kalkulator mięs '!$C$5:$H$533,EI$4,0)*$Q11,0)</f>
        <v>0</v>
      </c>
      <c r="EJ11">
        <f>IFERROR(VLOOKUP($D11,'Kalkulator mięs '!$C$5:$H$533,EJ$4,0)*$Q11,0)</f>
        <v>0</v>
      </c>
      <c r="EK11">
        <f>IFERROR(VLOOKUP($D11,'Kalkulator mięs '!$C$5:$H$533,EK$4,0)*$Q11,0)</f>
        <v>0</v>
      </c>
      <c r="EL11">
        <f>IFERROR(VLOOKUP($D11,'Kalkulator mięs '!$C$5:$H$533,EL$4,0)*$R11,0)</f>
        <v>0</v>
      </c>
      <c r="EM11">
        <f>IFERROR(VLOOKUP($D11,'Kalkulator mięs '!$C$5:$H$533,EM$4,0)*$R11,0)</f>
        <v>0</v>
      </c>
      <c r="EN11">
        <f>IFERROR(VLOOKUP($D11,'Kalkulator mięs '!$C$5:$H$533,EN$4,0)*$R11,0)</f>
        <v>0</v>
      </c>
      <c r="EO11">
        <f>IFERROR(VLOOKUP($D11,'Kalkulator mięs '!$C$5:$H$533,EO$4,0)*$S11,0)</f>
        <v>0</v>
      </c>
      <c r="EP11">
        <f>IFERROR(VLOOKUP($D11,'Kalkulator mięs '!$C$5:$H$533,EP$4,0)*$S11,0)</f>
        <v>0</v>
      </c>
      <c r="EQ11">
        <f>IFERROR(VLOOKUP($D11,'Kalkulator mięs '!$C$5:$H$533,EQ$4,0)*$S11,0)</f>
        <v>0</v>
      </c>
      <c r="ER11">
        <f>IFERROR(VLOOKUP($D11,'Kalkulator mięs '!$C$5:$H$533,ER$4,0)*$T11,0)</f>
        <v>0</v>
      </c>
      <c r="ES11">
        <f>IFERROR(VLOOKUP($D11,'Kalkulator mięs '!$C$5:$H$533,ES$4,0)*$T11,0)</f>
        <v>0</v>
      </c>
      <c r="ET11">
        <f>IFERROR(VLOOKUP($D11,'Kalkulator mięs '!$C$5:$H$533,ET$4,0)*$T11,0)</f>
        <v>0</v>
      </c>
      <c r="EU11">
        <f>IFERROR(VLOOKUP($D11,'Kalkulator mięs '!$C$5:$H$533,EU$4,0)*$U11,0)</f>
        <v>0</v>
      </c>
      <c r="EV11">
        <f>IFERROR(VLOOKUP($D11,'Kalkulator mięs '!$C$5:$H$533,EV$4,0)*$U11,0)</f>
        <v>0</v>
      </c>
      <c r="EW11">
        <f>IFERROR(VLOOKUP($D11,'Kalkulator mięs '!$C$5:$H$533,EW$4,0)*$U11,0)</f>
        <v>0</v>
      </c>
      <c r="EX11">
        <f>IFERROR(VLOOKUP($D11,'Kalkulator mięs '!$C$5:$H$533,EX$4,0)*$V11,0)</f>
        <v>0</v>
      </c>
      <c r="EY11">
        <f>IFERROR(VLOOKUP($D11,'Kalkulator mięs '!$C$5:$H$533,EY$4,0)*$V11,0)</f>
        <v>0</v>
      </c>
      <c r="EZ11">
        <f>IFERROR(VLOOKUP($D11,'Kalkulator mięs '!$C$5:$H$533,EZ$4,0)*$V11,0)</f>
        <v>0</v>
      </c>
      <c r="FA11">
        <f>IFERROR(VLOOKUP($D11,'Kalkulator mięs '!$C$5:$H$533,FA$4,0)*$W11,0)</f>
        <v>0</v>
      </c>
      <c r="FB11">
        <f>IFERROR(VLOOKUP($D11,'Kalkulator mięs '!$C$5:$H$533,FB$4,0)*$W11,0)</f>
        <v>0</v>
      </c>
      <c r="FC11">
        <f>IFERROR(VLOOKUP($D11,'Kalkulator mięs '!$C$5:$H$533,FC$4,0)*$W11,0)</f>
        <v>0</v>
      </c>
      <c r="FD11">
        <f>IFERROR(VLOOKUP($D11,'Kalkulator mięs '!$C$5:$H$533,FD$4,0)*$X11,0)</f>
        <v>0</v>
      </c>
      <c r="FE11">
        <f>IFERROR(VLOOKUP($D11,'Kalkulator mięs '!$C$5:$H$533,FE$4,0)*$X11,0)</f>
        <v>0</v>
      </c>
      <c r="FF11">
        <f>IFERROR(VLOOKUP($D11,'Kalkulator mięs '!$C$5:$H$533,FF$4,0)*$X11,0)</f>
        <v>0</v>
      </c>
      <c r="FG11">
        <f>IFERROR(VLOOKUP($D11,'Kalkulator mięs '!$C$5:$H$533,FG$4,0)*$Y11,0)</f>
        <v>0</v>
      </c>
      <c r="FH11">
        <f>IFERROR(VLOOKUP($D11,'Kalkulator mięs '!$C$5:$H$533,FH$4,0)*$Y11,0)</f>
        <v>0</v>
      </c>
      <c r="FI11">
        <f>IFERROR(VLOOKUP($D11,'Kalkulator mięs '!$C$5:$H$533,FI$4,0)*$Y11,0)</f>
        <v>0</v>
      </c>
      <c r="FJ11">
        <f>IFERROR(VLOOKUP($D11,'Kalkulator mięs '!$C$5:$H$533,FJ$4,0)*$Z11,0)</f>
        <v>0</v>
      </c>
      <c r="FK11">
        <f>IFERROR(VLOOKUP($D11,'Kalkulator mięs '!$C$5:$H$533,FK$4,0)*$Z11,0)</f>
        <v>0</v>
      </c>
      <c r="FL11">
        <f>IFERROR(VLOOKUP($D11,'Kalkulator mięs '!$C$5:$H$533,FL$4,0)*$Z11,0)</f>
        <v>0</v>
      </c>
      <c r="FM11">
        <f>IFERROR(VLOOKUP($D11,'Kalkulator mięs '!$C$5:$H$533,FM$4,0)*$AA11,0)</f>
        <v>0</v>
      </c>
      <c r="FN11">
        <f>IFERROR(VLOOKUP($D11,'Kalkulator mięs '!$C$5:$H$533,FN$4,0)*$AA11,0)</f>
        <v>0</v>
      </c>
      <c r="FO11">
        <f>IFERROR(VLOOKUP($D11,'Kalkulator mięs '!$C$5:$H$533,FO$4,0)*$AA11,0)</f>
        <v>0</v>
      </c>
      <c r="FP11">
        <f>IFERROR(VLOOKUP($D11,'Kalkulator mięs '!$C$5:$H$533,FP$4,0)*$AB11,0)</f>
        <v>0</v>
      </c>
      <c r="FQ11">
        <f>IFERROR(VLOOKUP($D11,'Kalkulator mięs '!$C$5:$H$533,FQ$4,0)*$AB11,0)</f>
        <v>0</v>
      </c>
      <c r="FR11">
        <f>IFERROR(VLOOKUP($D11,'Kalkulator mięs '!$C$5:$H$533,FR$4,0)*$AB11,0)</f>
        <v>0</v>
      </c>
      <c r="FS11">
        <f>IFERROR(VLOOKUP($D11,'Kalkulator mięs '!$C$5:$H$533,FS$4,0)*$AC11,0)</f>
        <v>0</v>
      </c>
      <c r="FT11">
        <f>IFERROR(VLOOKUP($D11,'Kalkulator mięs '!$C$5:$H$533,FT$4,0)*$AC11,0)</f>
        <v>0</v>
      </c>
      <c r="FU11">
        <f>IFERROR(VLOOKUP($D11,'Kalkulator mięs '!$C$5:$H$533,FU$4,0)*$AC11,0)</f>
        <v>0</v>
      </c>
      <c r="FV11">
        <f>IFERROR(VLOOKUP($D11,'Kalkulator mięs '!$C$5:$H$533,FV$4,0)*$AD11,0)</f>
        <v>0</v>
      </c>
      <c r="FW11">
        <f>IFERROR(VLOOKUP($D11,'Kalkulator mięs '!$C$5:$H$533,FW$4,0)*$AD11,0)</f>
        <v>0</v>
      </c>
      <c r="FX11">
        <f>IFERROR(VLOOKUP($D11,'Kalkulator mięs '!$C$5:$H$533,FX$4,0)*$AD11,0)</f>
        <v>0</v>
      </c>
      <c r="FY11">
        <f>IFERROR(VLOOKUP($D11,'Kalkulator mięs '!$C$5:$H$533,FY$4,0)*$AE11,0)</f>
        <v>0</v>
      </c>
      <c r="FZ11">
        <f>IFERROR(VLOOKUP($D11,'Kalkulator mięs '!$C$5:$H$533,FZ$4,0)*$AE11,0)</f>
        <v>0</v>
      </c>
      <c r="GA11">
        <f>IFERROR(VLOOKUP($D11,'Kalkulator mięs '!$C$5:$H$533,GA$4,0)*$AE11,0)</f>
        <v>0</v>
      </c>
      <c r="GB11">
        <f>IFERROR(VLOOKUP($D11,'Kalkulator mięs '!$C$5:$H$533,GB$4,0)*$AF11,0)</f>
        <v>0</v>
      </c>
      <c r="GC11">
        <f>IFERROR(VLOOKUP($D11,'Kalkulator mięs '!$C$5:$H$533,GC$4,0)*$AF11,0)</f>
        <v>0</v>
      </c>
      <c r="GD11">
        <f>IFERROR(VLOOKUP($D11,'Kalkulator mięs '!$C$5:$H$533,GD$4,0)*$AF11,0)</f>
        <v>0</v>
      </c>
      <c r="GE11">
        <f>IFERROR(VLOOKUP($D11,'Kalkulator mięs '!$C$5:$H$533,GE$4,0)*$AG11,0)</f>
        <v>0</v>
      </c>
      <c r="GF11">
        <f>IFERROR(VLOOKUP($D11,'Kalkulator mięs '!$C$5:$H$533,GF$4,0)*$AG11,0)</f>
        <v>0</v>
      </c>
      <c r="GG11">
        <f>IFERROR(VLOOKUP($D11,'Kalkulator mięs '!$C$5:$H$533,GG$4,0)*$AG11,0)</f>
        <v>0</v>
      </c>
      <c r="GH11">
        <f>IFERROR(VLOOKUP($D11,'Kalkulator mięs '!$C$5:$H$533,GH$4,0)*$AH11,0)</f>
        <v>0</v>
      </c>
      <c r="GI11">
        <f>IFERROR(VLOOKUP($D11,'Kalkulator mięs '!$C$5:$H$533,GI$4,0)*$AH11,0)</f>
        <v>0</v>
      </c>
      <c r="GJ11">
        <f>IFERROR(VLOOKUP($D11,'Kalkulator mięs '!$C$5:$H$533,GJ$4,0)*$AH11,0)</f>
        <v>0</v>
      </c>
      <c r="GK11">
        <f>IFERROR(VLOOKUP($D11,'Kalkulator mięs '!$C$5:$H$533,GK$4,0)*$AI11,0)</f>
        <v>0</v>
      </c>
      <c r="GL11">
        <f>IFERROR(VLOOKUP($D11,'Kalkulator mięs '!$C$5:$H$533,GL$4,0)*$AI11,0)</f>
        <v>0</v>
      </c>
      <c r="GM11">
        <f>IFERROR(VLOOKUP($D11,'Kalkulator mięs '!$C$5:$H$533,GM$4,0)*$AI11,0)</f>
        <v>0</v>
      </c>
      <c r="GN11">
        <f>IFERROR(VLOOKUP($D11,'Kalkulator mięs '!$C$5:$H$533,GN$4,0)*$AJ11,0)</f>
        <v>0</v>
      </c>
      <c r="GO11">
        <f>IFERROR(VLOOKUP($D11,'Kalkulator mięs '!$C$5:$H$533,GO$4,0)*$AJ11,0)</f>
        <v>0</v>
      </c>
      <c r="GP11">
        <f>IFERROR(VLOOKUP($D11,'Kalkulator mięs '!$C$5:$H$533,GP$4,0)*$AJ11,0)</f>
        <v>0</v>
      </c>
      <c r="GQ11">
        <f>IFERROR(VLOOKUP($D11,'Kalkulator mięs '!$C$5:$H$533,GQ$4,0)*$AK11,0)</f>
        <v>0</v>
      </c>
      <c r="GR11">
        <f>IFERROR(VLOOKUP($D11,'Kalkulator mięs '!$C$5:$H$533,GR$4,0)*$AK11,0)</f>
        <v>0</v>
      </c>
      <c r="GS11">
        <f>IFERROR(VLOOKUP($D11,'Kalkulator mięs '!$C$5:$H$533,GS$4,0)*$AK11,0)</f>
        <v>0</v>
      </c>
      <c r="GT11">
        <f>IFERROR(VLOOKUP($D11,'Kalkulator mięs '!$C$5:$H$533,GT$4,0)*$AL11,0)</f>
        <v>0</v>
      </c>
      <c r="GU11">
        <f>IFERROR(VLOOKUP($D11,'Kalkulator mięs '!$C$5:$H$533,GU$4,0)*$AL11,0)</f>
        <v>0</v>
      </c>
      <c r="GV11">
        <f>IFERROR(VLOOKUP($D11,'Kalkulator mięs '!$C$5:$H$533,GV$4,0)*$AL11,0)</f>
        <v>0</v>
      </c>
      <c r="GW11">
        <f>IFERROR(VLOOKUP($D11,'Kalkulator mięs '!$C$5:$H$533,GW$4,0)*$AM11,0)</f>
        <v>0</v>
      </c>
      <c r="GX11">
        <f>IFERROR(VLOOKUP($D11,'Kalkulator mięs '!$C$5:$H$533,GX$4,0)*$AM11,0)</f>
        <v>0</v>
      </c>
      <c r="GY11">
        <f>IFERROR(VLOOKUP($D11,'Kalkulator mięs '!$C$5:$H$533,GY$4,0)*$AM11,0)</f>
        <v>0</v>
      </c>
      <c r="GZ11">
        <f>IFERROR(VLOOKUP($D11,'Kalkulator mięs '!$C$5:$H$533,GZ$4,0)*$AN11,0)</f>
        <v>0</v>
      </c>
      <c r="HA11">
        <f>IFERROR(VLOOKUP($D11,'Kalkulator mięs '!$C$5:$H$533,HA$4,0)*$AN11,0)</f>
        <v>0</v>
      </c>
      <c r="HB11">
        <f>IFERROR(VLOOKUP($D11,'Kalkulator mięs '!$C$5:$H$533,HB$4,0)*$AN11,0)</f>
        <v>0</v>
      </c>
      <c r="HC11">
        <f>IFERROR(VLOOKUP($D11,'Kalkulator mięs '!$C$5:$H$533,HC$4,0)*$AO11,0)</f>
        <v>0</v>
      </c>
      <c r="HD11">
        <f>IFERROR(VLOOKUP($D11,'Kalkulator mięs '!$C$5:$H$533,HD$4,0)*$AO11,0)</f>
        <v>0</v>
      </c>
      <c r="HE11">
        <f>IFERROR(VLOOKUP($D11,'Kalkulator mięs '!$C$5:$H$533,HE$4,0)*$AO11,0)</f>
        <v>0</v>
      </c>
      <c r="HF11">
        <f>IFERROR(VLOOKUP($D11,'Kalkulator mięs '!$C$5:$H$533,HF$4,0)*$AP11,0)</f>
        <v>0</v>
      </c>
      <c r="HG11">
        <f>IFERROR(VLOOKUP($D11,'Kalkulator mięs '!$C$5:$H$533,HG$4,0)*$AP11,0)</f>
        <v>0</v>
      </c>
      <c r="HH11">
        <f>IFERROR(VLOOKUP($D11,'Kalkulator mięs '!$C$5:$H$533,HH$4,0)*$AP11,0)</f>
        <v>0</v>
      </c>
      <c r="HI11">
        <f>IFERROR(VLOOKUP($D11,'Kalkulator mięs '!$C$5:$H$533,HI$4,0)*$AQ11,0)</f>
        <v>0</v>
      </c>
      <c r="HJ11">
        <f>IFERROR(VLOOKUP($D11,'Kalkulator mięs '!$C$5:$H$533,HJ$4,0)*$AQ11,0)</f>
        <v>0</v>
      </c>
      <c r="HK11">
        <f>IFERROR(VLOOKUP($D11,'Kalkulator mięs '!$C$5:$H$533,HK$4,0)*$AQ11,0)</f>
        <v>0</v>
      </c>
      <c r="HL11">
        <f>IFERROR(VLOOKUP($D11,'Kalkulator mięs '!$C$5:$H$533,HL$4,0)*$AR11,0)</f>
        <v>0</v>
      </c>
      <c r="HM11">
        <f>IFERROR(VLOOKUP($D11,'Kalkulator mięs '!$C$5:$H$533,HM$4,0)*$AR11,0)</f>
        <v>0</v>
      </c>
      <c r="HN11">
        <f>IFERROR(VLOOKUP($D11,'Kalkulator mięs '!$C$5:$H$533,HN$4,0)*$AR11,0)</f>
        <v>0</v>
      </c>
      <c r="HO11">
        <f>IFERROR(VLOOKUP($D11,'Kalkulator mięs '!$C$5:$H$533,HO$4,0)*$AS11,0)</f>
        <v>0</v>
      </c>
      <c r="HP11">
        <f>IFERROR(VLOOKUP($D11,'Kalkulator mięs '!$C$5:$H$533,HP$4,0)*$AS11,0)</f>
        <v>0</v>
      </c>
      <c r="HQ11">
        <f>IFERROR(VLOOKUP($D11,'Kalkulator mięs '!$C$5:$H$533,HQ$4,0)*$AS11,0)</f>
        <v>0</v>
      </c>
      <c r="HR11">
        <f>IFERROR(VLOOKUP($D11,'Kalkulator mięs '!$C$5:$H$533,HR$4,0)*$AT11,0)</f>
        <v>0</v>
      </c>
      <c r="HS11">
        <f>IFERROR(VLOOKUP($D11,'Kalkulator mięs '!$C$5:$H$533,HS$4,0)*$AT11,0)</f>
        <v>0</v>
      </c>
      <c r="HT11">
        <f>IFERROR(VLOOKUP($D11,'Kalkulator mięs '!$C$5:$H$533,HT$4,0)*$AT11,0)</f>
        <v>0</v>
      </c>
      <c r="HU11">
        <f>IFERROR(VLOOKUP($D11,'Kalkulator mięs '!$C$5:$H$533,HU$4,0)*$AU11,0)</f>
        <v>0</v>
      </c>
      <c r="HV11">
        <f>IFERROR(VLOOKUP($D11,'Kalkulator mięs '!$C$5:$H$533,HV$4,0)*$AU11,0)</f>
        <v>0</v>
      </c>
      <c r="HW11">
        <f>IFERROR(VLOOKUP($D11,'Kalkulator mięs '!$C$5:$H$533,HW$4,0)*$AU11,0)</f>
        <v>0</v>
      </c>
      <c r="HX11">
        <f>IFERROR(VLOOKUP($D11,'Kalkulator mięs '!$C$5:$H$533,HX$4,0)*$AV11,0)</f>
        <v>0</v>
      </c>
      <c r="HY11">
        <f>IFERROR(VLOOKUP($D11,'Kalkulator mięs '!$C$5:$H$533,HY$4,0)*$AV11,0)</f>
        <v>0</v>
      </c>
      <c r="HZ11">
        <f>IFERROR(VLOOKUP($D11,'Kalkulator mięs '!$C$5:$H$533,HZ$4,0)*$AV11,0)</f>
        <v>0</v>
      </c>
      <c r="IA11">
        <f>IFERROR(VLOOKUP($D11,'Kalkulator mięs '!$C$5:$H$533,IA$4,0)*$AW11,0)</f>
        <v>0</v>
      </c>
      <c r="IB11">
        <f>IFERROR(VLOOKUP($D11,'Kalkulator mięs '!$C$5:$H$533,IB$4,0)*$AW11,0)</f>
        <v>0</v>
      </c>
      <c r="IC11">
        <f>IFERROR(VLOOKUP($D11,'Kalkulator mięs '!$C$5:$H$533,IC$4,0)*$AW11,0)</f>
        <v>0</v>
      </c>
      <c r="ID11">
        <f>IFERROR(VLOOKUP($D11,'Kalkulator mięs '!$C$5:$H$533,ID$4,0)*$AX11,0)</f>
        <v>0</v>
      </c>
      <c r="IE11">
        <f>IFERROR(VLOOKUP($D11,'Kalkulator mięs '!$C$5:$H$533,IE$4,0)*$AX11,0)</f>
        <v>0</v>
      </c>
      <c r="IF11">
        <f>IFERROR(VLOOKUP($D11,'Kalkulator mięs '!$C$5:$H$533,IF$4,0)*$AX11,0)</f>
        <v>0</v>
      </c>
      <c r="IG11">
        <f>IFERROR(VLOOKUP($D11,'Kalkulator mięs '!$C$5:$H$533,IG$4,0)*$AY11,0)</f>
        <v>0</v>
      </c>
      <c r="IH11">
        <f>IFERROR(VLOOKUP($D11,'Kalkulator mięs '!$C$5:$H$533,IH$4,0)*$AY11,0)</f>
        <v>0</v>
      </c>
      <c r="II11">
        <f>IFERROR(VLOOKUP($D11,'Kalkulator mięs '!$C$5:$H$533,II$4,0)*$AY11,0)</f>
        <v>0</v>
      </c>
      <c r="IJ11">
        <f>IFERROR(VLOOKUP($D11,'Kalkulator mięs '!$C$5:$H$533,IJ$4,0)*$AZ11,0)</f>
        <v>0</v>
      </c>
      <c r="IK11">
        <f>IFERROR(VLOOKUP($D11,'Kalkulator mięs '!$C$5:$H$533,IK$4,0)*$AZ11,0)</f>
        <v>0</v>
      </c>
      <c r="IL11">
        <f>IFERROR(VLOOKUP($D11,'Kalkulator mięs '!$C$5:$H$533,IL$4,0)*$AZ11,0)</f>
        <v>0</v>
      </c>
      <c r="IM11">
        <f>IFERROR(VLOOKUP($D11,'Kalkulator mięs '!$C$5:$H$533,IM$4,0)*$BA11,0)</f>
        <v>0</v>
      </c>
      <c r="IN11">
        <f>IFERROR(VLOOKUP($D11,'Kalkulator mięs '!$C$5:$H$533,IN$4,0)*$BA11,0)</f>
        <v>0</v>
      </c>
      <c r="IO11">
        <f>IFERROR(VLOOKUP($D11,'Kalkulator mięs '!$C$5:$H$533,IO$4,0)*$BA11,0)</f>
        <v>0</v>
      </c>
    </row>
    <row r="12" spans="2:249" ht="15.75">
      <c r="B12" t="str">
        <f>VLOOKUP(D12,Receptury_z!$A:$B,2,0)</f>
        <v>ON</v>
      </c>
      <c r="C12" s="16">
        <v>5142</v>
      </c>
      <c r="D12" s="19">
        <v>6405</v>
      </c>
      <c r="E12" s="18" t="s">
        <v>22</v>
      </c>
      <c r="F12" s="14">
        <f>IF($B12="OFF",BE12,VLOOKUP($D12,Receptury_z!$D:$AI,F$4,0))</f>
        <v>0</v>
      </c>
      <c r="G12" s="14">
        <f>IF($B12="OFF",BF12,VLOOKUP($D12,Receptury_z!$D:$AI,G$4,0))</f>
        <v>0</v>
      </c>
      <c r="H12" s="14">
        <f>IF($B12="OFF",BG12,VLOOKUP($D12,Receptury_z!$D:$AI,H$4,0))</f>
        <v>0</v>
      </c>
      <c r="I12" s="14">
        <f>IF($B12="OFF",BH12,VLOOKUP($D12,Receptury_z!$D:$AI,I$4,0))</f>
        <v>0</v>
      </c>
      <c r="J12" s="14">
        <f>IF($B12="OFF",BI12,VLOOKUP($D12,Receptury_z!$D:$AI,J$4,0))</f>
        <v>0</v>
      </c>
      <c r="K12" s="14">
        <f>IF($B12="OFF",BJ12,VLOOKUP($D12,Receptury_z!$D:$AI,K$4,0))</f>
        <v>0</v>
      </c>
      <c r="L12" s="14">
        <f>IF($B12="OFF",BK12,VLOOKUP($D12,Receptury_z!$D:$AI,L$4,0))</f>
        <v>0</v>
      </c>
      <c r="M12" s="14">
        <f>IF($B12="OFF",BL12,VLOOKUP($D12,Receptury_z!$D:$AI,M$4,0))</f>
        <v>0</v>
      </c>
      <c r="N12" s="14">
        <f>IF($B12="OFF",BM12,VLOOKUP($D12,Receptury_z!$D:$AI,N$4,0))</f>
        <v>0</v>
      </c>
      <c r="O12" s="14">
        <f>IF($B12="OFF",BN12,VLOOKUP($D12,Receptury_z!$D:$AI,O$4,0))</f>
        <v>0</v>
      </c>
      <c r="P12" s="14">
        <f>IF($B12="OFF",BO12,VLOOKUP($D12,Receptury_z!$D:$AI,P$4,0))</f>
        <v>0</v>
      </c>
      <c r="Q12" s="14">
        <f>IF($B12="OFF",BP12,VLOOKUP($D12,Receptury_z!$D:$AI,Q$4,0))</f>
        <v>0</v>
      </c>
      <c r="R12" s="14">
        <f>IF($B12="OFF",BQ12,VLOOKUP($D12,Receptury_z!$D:$AI,R$4,0))</f>
        <v>74</v>
      </c>
      <c r="S12" s="14">
        <f>IF($B12="OFF",BR12,VLOOKUP($D12,Receptury_z!$D:$AI,S$4,0))</f>
        <v>0</v>
      </c>
      <c r="T12" s="14">
        <f>IF($B12="OFF",BS12,VLOOKUP($D12,Receptury_z!$D:$AI,T$4,0))</f>
        <v>259.5</v>
      </c>
      <c r="U12" s="14">
        <f>IF($B12="OFF",BT12,VLOOKUP($D12,Receptury_z!$D:$AI,U$4,0))</f>
        <v>172.8</v>
      </c>
      <c r="V12" s="14">
        <f>IF($B12="OFF",BU12,VLOOKUP($D12,Receptury_z!$D:$AI,V$4,0))</f>
        <v>0</v>
      </c>
      <c r="W12" s="14">
        <f>IF($B12="OFF",BV12,VLOOKUP($D12,Receptury_z!$D:$AI,W$4,0))</f>
        <v>0</v>
      </c>
      <c r="X12" s="14">
        <f>IF($B12="OFF",BW12,VLOOKUP($D12,Receptury_z!$D:$AI,X$4,0))</f>
        <v>110</v>
      </c>
      <c r="Y12" s="14">
        <f>IF($B12="OFF",BX12,VLOOKUP($D12,Receptury_z!$D:$AI,Y$4,0))</f>
        <v>0</v>
      </c>
      <c r="Z12" s="14">
        <f>IF($B12="OFF",BY12,VLOOKUP($D12,Receptury_z!$D:$AI,Z$4,0))</f>
        <v>0</v>
      </c>
      <c r="AA12" s="14">
        <f>IF($B12="OFF",BZ12,VLOOKUP($D12,Receptury_z!$D:$AI,AA$4,0))</f>
        <v>0</v>
      </c>
      <c r="AB12" s="14">
        <f>IF($B12="OFF",CA12,VLOOKUP($D12,Receptury_z!$D:$AI,AB$4,0))</f>
        <v>75</v>
      </c>
      <c r="AC12" s="14">
        <f>IF($B12="OFF",CB12,VLOOKUP($D12,Receptury_z!$D:$AI,AC$4,0))</f>
        <v>0</v>
      </c>
      <c r="AD12" s="14">
        <f>IF($B12="OFF",CC12,VLOOKUP($D12,Receptury_z!$D:$AI,AD$4,0))</f>
        <v>0</v>
      </c>
      <c r="AE12" s="14">
        <f>IF($B12="OFF",CD12,VLOOKUP($D12,Receptury_z!$D:$AI,AE$4,0))</f>
        <v>0</v>
      </c>
      <c r="AF12" s="14">
        <f>IF($B12="OFF",CE12,VLOOKUP($D12,Receptury_z!$D:$AI,AF$4,0))</f>
        <v>0</v>
      </c>
      <c r="AG12" s="14">
        <f>IF($B12="OFF",CF12,VLOOKUP($D12,Receptury_z!$D:$AI,AG$4,0))</f>
        <v>0</v>
      </c>
      <c r="AH12" s="14">
        <f>IF($B12="OFF",CG12,VLOOKUP($D12,Receptury_z!$D:$AI,AH$4,0))</f>
        <v>50</v>
      </c>
      <c r="AI12" s="14">
        <f>IF($B12="OFF",CH12,VLOOKUP($D12,Receptury_z!$D:$AI,AI$4,0))</f>
        <v>0</v>
      </c>
      <c r="AJ12" s="14">
        <f>IF($B12="OFF",CI12,VLOOKUP($D12,Receptury_z!$D:$AS,AJ$4,0))</f>
        <v>0</v>
      </c>
      <c r="AK12" s="14">
        <f>IF($B12="OFF",CJ12,VLOOKUP($D12,Receptury_z!$D:$AS,AK$4,0))</f>
        <v>0</v>
      </c>
      <c r="AL12" s="14">
        <f>IF($B12="OFF",CK12,VLOOKUP($D12,Receptury_z!$D:$AS,AL$4,0))</f>
        <v>0</v>
      </c>
      <c r="AM12" s="14">
        <f>IF($B12="OFF",CL12,VLOOKUP($D12,Receptury_z!$D:$AS,AM$4,0))</f>
        <v>0</v>
      </c>
      <c r="AN12" s="14">
        <f>IF($B12="OFF",CM12,VLOOKUP($D12,Receptury_z!$D:$AS,AN$4,0))</f>
        <v>0</v>
      </c>
      <c r="AO12" s="14">
        <f>IF($B12="OFF",CN12,VLOOKUP($D12,Receptury_z!$D:$AS,AO$4,0))</f>
        <v>0</v>
      </c>
      <c r="AP12" s="14">
        <f>IF($B12="OFF",CO12,VLOOKUP($D12,Receptury_z!$D:$AS,AP$4,0))</f>
        <v>0</v>
      </c>
      <c r="AQ12" s="14">
        <f>IF($B12="OFF",CP12,VLOOKUP($D12,Receptury_z!$D:$AS,AQ$4,0))</f>
        <v>0</v>
      </c>
      <c r="AR12" s="14">
        <f>IF($B12="OFF",CQ12,VLOOKUP($D12,Receptury_z!$D:$AS,AR$4,0))</f>
        <v>0</v>
      </c>
      <c r="AS12" s="14">
        <f>IF($B12="OFF",CR12,VLOOKUP($D12,Receptury_z!$D:$AS,AS$4,0))</f>
        <v>0</v>
      </c>
      <c r="AT12" s="14">
        <f>IF($B12="OFF",CS12,VLOOKUP($D12,Receptury_z!$D:$AV,AT$4,0))</f>
        <v>0</v>
      </c>
      <c r="AU12" s="14">
        <f>IF($B12="OFF",CT12,VLOOKUP($D12,Receptury_z!$D:$AV,AU$4,0))</f>
        <v>0</v>
      </c>
      <c r="AV12" s="14">
        <f>IF($B12="OFF",CU12,VLOOKUP($D12,Receptury_z!$D:$AV,AV$4,0))</f>
        <v>0</v>
      </c>
      <c r="AW12" s="14">
        <f>IF($B12="OFF",CV12,VLOOKUP($D12,Receptury_z!$D:$BA,AW$4,0))</f>
        <v>0</v>
      </c>
      <c r="AX12" s="14">
        <f>IF($B12="OFF",CW12,VLOOKUP($D12,Receptury_z!$D:$BA,AX$4,0))</f>
        <v>0</v>
      </c>
      <c r="AY12" s="14">
        <f>IF($B12="OFF",CX12,VLOOKUP($D12,Receptury_z!$D:$BA,AY$4,0))</f>
        <v>0</v>
      </c>
      <c r="AZ12" s="14">
        <f>IF($B12="OFF",DA12,VLOOKUP($D12,Receptury_z!$D:$BA,AZ$4,0))</f>
        <v>0</v>
      </c>
      <c r="BA12" s="14">
        <f>IF($B12="OFF",DB12,VLOOKUP($D12,Receptury_z!$D:$BA,BA$4,0))</f>
        <v>0</v>
      </c>
      <c r="BC12" s="19">
        <v>6405</v>
      </c>
      <c r="BD12" s="18" t="s">
        <v>22</v>
      </c>
      <c r="BE12" s="239">
        <v>0</v>
      </c>
      <c r="BF12" s="239">
        <v>0</v>
      </c>
      <c r="BG12" s="239">
        <v>0</v>
      </c>
      <c r="BH12" s="239">
        <v>0</v>
      </c>
      <c r="BI12" s="239">
        <v>110.8</v>
      </c>
      <c r="BJ12" s="239">
        <v>0</v>
      </c>
      <c r="BK12" s="239">
        <v>0</v>
      </c>
      <c r="BL12" s="239">
        <v>0</v>
      </c>
      <c r="BM12" s="239">
        <v>0</v>
      </c>
      <c r="BN12" s="239">
        <v>0</v>
      </c>
      <c r="BO12" s="239">
        <v>0</v>
      </c>
      <c r="BP12" s="239">
        <v>0</v>
      </c>
      <c r="BQ12" s="239">
        <v>73.900000000000006</v>
      </c>
      <c r="BR12" s="239">
        <v>0</v>
      </c>
      <c r="BS12" s="239">
        <v>147.69999999999999</v>
      </c>
      <c r="BT12" s="239">
        <v>221.6</v>
      </c>
      <c r="BU12" s="239">
        <v>0</v>
      </c>
      <c r="BV12" s="239">
        <v>0</v>
      </c>
      <c r="BW12" s="239">
        <v>0</v>
      </c>
      <c r="BX12" s="239">
        <v>0</v>
      </c>
      <c r="BY12" s="239">
        <v>0</v>
      </c>
      <c r="BZ12" s="239">
        <v>0</v>
      </c>
      <c r="CA12" s="239">
        <v>73.900000000000006</v>
      </c>
      <c r="CB12" s="239">
        <v>0</v>
      </c>
      <c r="CC12" s="239">
        <v>0</v>
      </c>
      <c r="CD12" s="239">
        <v>0</v>
      </c>
      <c r="CE12" s="239">
        <v>0</v>
      </c>
      <c r="CF12" s="239">
        <v>0</v>
      </c>
      <c r="CG12" s="239">
        <v>0</v>
      </c>
      <c r="CH12" s="239">
        <v>0</v>
      </c>
      <c r="CI12" s="239">
        <v>0</v>
      </c>
      <c r="CJ12" s="239">
        <v>0</v>
      </c>
      <c r="CK12" s="239">
        <v>0</v>
      </c>
      <c r="CL12" s="239">
        <v>0</v>
      </c>
      <c r="CM12" s="80"/>
      <c r="CN12" s="80"/>
      <c r="CO12" s="80"/>
      <c r="CP12" s="80"/>
      <c r="CQ12" s="80"/>
      <c r="CR12" s="80"/>
      <c r="CS12" s="80"/>
      <c r="CT12" s="80"/>
      <c r="CU12" s="80"/>
      <c r="CV12" s="80"/>
      <c r="CW12" s="80"/>
      <c r="CX12" s="80"/>
      <c r="CY12" s="80"/>
      <c r="CZ12" s="80"/>
      <c r="DB12">
        <f>IFERROR(VLOOKUP($D12,'Kalkulator mięs '!$C$5:$H$533,DB$4,0)*F12,0)</f>
        <v>0</v>
      </c>
      <c r="DC12">
        <f>IFERROR(VLOOKUP($D12,'Kalkulator mięs '!$C$5:$H$533,DC$4,0)*F12,0)</f>
        <v>0</v>
      </c>
      <c r="DD12">
        <f>IFERROR(VLOOKUP($D12,'Kalkulator mięs '!$C$5:$H$533,DD$4,0)*F12,0)</f>
        <v>0</v>
      </c>
      <c r="DE12">
        <f>IFERROR(VLOOKUP($D12,'Kalkulator mięs '!$C$5:$H$533,DE$4,0)*$G12,0)</f>
        <v>0</v>
      </c>
      <c r="DF12">
        <f>IFERROR(VLOOKUP($D12,'Kalkulator mięs '!$C$5:$H$533,DF$4,0)*$G12,0)</f>
        <v>0</v>
      </c>
      <c r="DG12">
        <f>IFERROR(VLOOKUP($D12,'Kalkulator mięs '!$C$5:$H$533,DG$4,0)*$G12,0)</f>
        <v>0</v>
      </c>
      <c r="DH12">
        <f>IFERROR(VLOOKUP($D12,'Kalkulator mięs '!$C$5:$H$533,DH$4,0)*$H12,0)</f>
        <v>0</v>
      </c>
      <c r="DI12">
        <f>IFERROR(VLOOKUP($D12,'Kalkulator mięs '!$C$5:$H$533,DI$4,0)*$H12,0)</f>
        <v>0</v>
      </c>
      <c r="DJ12">
        <f>IFERROR(VLOOKUP($D12,'Kalkulator mięs '!$C$5:$H$533,DJ$4,0)*$H12,0)</f>
        <v>0</v>
      </c>
      <c r="DK12">
        <f>IFERROR(VLOOKUP($D12,'Kalkulator mięs '!$C$5:$H$533,DK$4,0)*$I12,0)</f>
        <v>0</v>
      </c>
      <c r="DL12">
        <f>IFERROR(VLOOKUP($D12,'Kalkulator mięs '!$C$5:$H$533,DL$4,0)*$I12,0)</f>
        <v>0</v>
      </c>
      <c r="DM12">
        <f>IFERROR(VLOOKUP($D12,'Kalkulator mięs '!$C$5:$H$533,DM$4,0)*$I12,0)</f>
        <v>0</v>
      </c>
      <c r="DN12">
        <f>IFERROR(VLOOKUP($D12,'Kalkulator mięs '!$C$5:$H$533,DN$4,0)*$J12,0)</f>
        <v>0</v>
      </c>
      <c r="DO12">
        <f>IFERROR(VLOOKUP($D12,'Kalkulator mięs '!$C$5:$H$533,DO$4,0)*$J12,0)</f>
        <v>0</v>
      </c>
      <c r="DP12">
        <f>IFERROR(VLOOKUP($D12,'Kalkulator mięs '!$C$5:$H$533,DP$4,0)*$J12,0)</f>
        <v>0</v>
      </c>
      <c r="DQ12">
        <f>IFERROR(VLOOKUP($D12,'Kalkulator mięs '!$C$5:$H$533,DQ$4,0)*$K12,0)</f>
        <v>0</v>
      </c>
      <c r="DR12">
        <f>IFERROR(VLOOKUP($D12,'Kalkulator mięs '!$C$5:$H$533,DR$4,0)*$K12,0)</f>
        <v>0</v>
      </c>
      <c r="DS12">
        <f>IFERROR(VLOOKUP($D12,'Kalkulator mięs '!$C$5:$H$533,DS$4,0)*$K12,0)</f>
        <v>0</v>
      </c>
      <c r="DT12">
        <f>IFERROR(VLOOKUP($D12,'Kalkulator mięs '!$C$5:$H$533,DT$4,0)*$L12,0)</f>
        <v>0</v>
      </c>
      <c r="DU12">
        <f>IFERROR(VLOOKUP($D12,'Kalkulator mięs '!$C$5:$H$533,DU$4,0)*$L12,0)</f>
        <v>0</v>
      </c>
      <c r="DV12">
        <f>IFERROR(VLOOKUP($D12,'Kalkulator mięs '!$C$5:$H$533,DV$4,0)*$L12,0)</f>
        <v>0</v>
      </c>
      <c r="DW12">
        <f>IFERROR(VLOOKUP($D12,'Kalkulator mięs '!$C$5:$H$533,DW$4,0)*$M12,0)</f>
        <v>0</v>
      </c>
      <c r="DX12">
        <f>IFERROR(VLOOKUP($D12,'Kalkulator mięs '!$C$5:$H$533,DX$4,0)*$M12,0)</f>
        <v>0</v>
      </c>
      <c r="DY12">
        <f>IFERROR(VLOOKUP($D12,'Kalkulator mięs '!$C$5:$H$533,DY$4,0)*$M12,0)</f>
        <v>0</v>
      </c>
      <c r="DZ12">
        <f>IFERROR(VLOOKUP($D12,'Kalkulator mięs '!$C$5:$H$533,DZ$4,0)*$N12,0)</f>
        <v>0</v>
      </c>
      <c r="EA12">
        <f>IFERROR(VLOOKUP($D12,'Kalkulator mięs '!$C$5:$H$533,EA$4,0)*$N12,0)</f>
        <v>0</v>
      </c>
      <c r="EB12">
        <f>IFERROR(VLOOKUP($D12,'Kalkulator mięs '!$C$5:$H$533,EB$4,0)*$N12,0)</f>
        <v>0</v>
      </c>
      <c r="EC12">
        <f>IFERROR(VLOOKUP($D12,'Kalkulator mięs '!$C$5:$H$533,EC$4,0)*$O12,0)</f>
        <v>0</v>
      </c>
      <c r="ED12">
        <f>IFERROR(VLOOKUP($D12,'Kalkulator mięs '!$C$5:$H$533,ED$4,0)*$O12,0)</f>
        <v>0</v>
      </c>
      <c r="EE12">
        <f>IFERROR(VLOOKUP($D12,'Kalkulator mięs '!$C$5:$H$533,EE$4,0)*$O12,0)</f>
        <v>0</v>
      </c>
      <c r="EF12">
        <f>IFERROR(VLOOKUP($D12,'Kalkulator mięs '!$C$5:$H$533,EF$4,0)*$P12,0)</f>
        <v>0</v>
      </c>
      <c r="EG12">
        <f>IFERROR(VLOOKUP($D12,'Kalkulator mięs '!$C$5:$H$533,EG$4,0)*$P12,0)</f>
        <v>0</v>
      </c>
      <c r="EH12">
        <f>IFERROR(VLOOKUP($D12,'Kalkulator mięs '!$C$5:$H$533,EH$4,0)*$P12,0)</f>
        <v>0</v>
      </c>
      <c r="EI12">
        <f>IFERROR(VLOOKUP($D12,'Kalkulator mięs '!$C$5:$H$533,EI$4,0)*$Q12,0)</f>
        <v>0</v>
      </c>
      <c r="EJ12">
        <f>IFERROR(VLOOKUP($D12,'Kalkulator mięs '!$C$5:$H$533,EJ$4,0)*$Q12,0)</f>
        <v>0</v>
      </c>
      <c r="EK12">
        <f>IFERROR(VLOOKUP($D12,'Kalkulator mięs '!$C$5:$H$533,EK$4,0)*$Q12,0)</f>
        <v>0</v>
      </c>
      <c r="EL12">
        <f>IFERROR(VLOOKUP($D12,'Kalkulator mięs '!$C$5:$H$533,EL$4,0)*$R12,0)</f>
        <v>0</v>
      </c>
      <c r="EM12">
        <f>IFERROR(VLOOKUP($D12,'Kalkulator mięs '!$C$5:$H$533,EM$4,0)*$R12,0)</f>
        <v>444</v>
      </c>
      <c r="EN12">
        <f>IFERROR(VLOOKUP($D12,'Kalkulator mięs '!$C$5:$H$533,EN$4,0)*$R12,0)</f>
        <v>0</v>
      </c>
      <c r="EO12">
        <f>IFERROR(VLOOKUP($D12,'Kalkulator mięs '!$C$5:$H$533,EO$4,0)*$S12,0)</f>
        <v>0</v>
      </c>
      <c r="EP12">
        <f>IFERROR(VLOOKUP($D12,'Kalkulator mięs '!$C$5:$H$533,EP$4,0)*$S12,0)</f>
        <v>0</v>
      </c>
      <c r="EQ12">
        <f>IFERROR(VLOOKUP($D12,'Kalkulator mięs '!$C$5:$H$533,EQ$4,0)*$S12,0)</f>
        <v>0</v>
      </c>
      <c r="ER12">
        <f>IFERROR(VLOOKUP($D12,'Kalkulator mięs '!$C$5:$H$533,ER$4,0)*$T12,0)</f>
        <v>0</v>
      </c>
      <c r="ES12">
        <f>IFERROR(VLOOKUP($D12,'Kalkulator mięs '!$C$5:$H$533,ES$4,0)*$T12,0)</f>
        <v>1557</v>
      </c>
      <c r="ET12">
        <f>IFERROR(VLOOKUP($D12,'Kalkulator mięs '!$C$5:$H$533,ET$4,0)*$T12,0)</f>
        <v>0</v>
      </c>
      <c r="EU12">
        <f>IFERROR(VLOOKUP($D12,'Kalkulator mięs '!$C$5:$H$533,EU$4,0)*$U12,0)</f>
        <v>0</v>
      </c>
      <c r="EV12">
        <f>IFERROR(VLOOKUP($D12,'Kalkulator mięs '!$C$5:$H$533,EV$4,0)*$U12,0)</f>
        <v>1036.8000000000002</v>
      </c>
      <c r="EW12">
        <f>IFERROR(VLOOKUP($D12,'Kalkulator mięs '!$C$5:$H$533,EW$4,0)*$U12,0)</f>
        <v>0</v>
      </c>
      <c r="EX12">
        <f>IFERROR(VLOOKUP($D12,'Kalkulator mięs '!$C$5:$H$533,EX$4,0)*$V12,0)</f>
        <v>0</v>
      </c>
      <c r="EY12">
        <f>IFERROR(VLOOKUP($D12,'Kalkulator mięs '!$C$5:$H$533,EY$4,0)*$V12,0)</f>
        <v>0</v>
      </c>
      <c r="EZ12">
        <f>IFERROR(VLOOKUP($D12,'Kalkulator mięs '!$C$5:$H$533,EZ$4,0)*$V12,0)</f>
        <v>0</v>
      </c>
      <c r="FA12">
        <f>IFERROR(VLOOKUP($D12,'Kalkulator mięs '!$C$5:$H$533,FA$4,0)*$W12,0)</f>
        <v>0</v>
      </c>
      <c r="FB12">
        <f>IFERROR(VLOOKUP($D12,'Kalkulator mięs '!$C$5:$H$533,FB$4,0)*$W12,0)</f>
        <v>0</v>
      </c>
      <c r="FC12">
        <f>IFERROR(VLOOKUP($D12,'Kalkulator mięs '!$C$5:$H$533,FC$4,0)*$W12,0)</f>
        <v>0</v>
      </c>
      <c r="FD12">
        <f>IFERROR(VLOOKUP($D12,'Kalkulator mięs '!$C$5:$H$533,FD$4,0)*$X12,0)</f>
        <v>0</v>
      </c>
      <c r="FE12">
        <f>IFERROR(VLOOKUP($D12,'Kalkulator mięs '!$C$5:$H$533,FE$4,0)*$X12,0)</f>
        <v>660</v>
      </c>
      <c r="FF12">
        <f>IFERROR(VLOOKUP($D12,'Kalkulator mięs '!$C$5:$H$533,FF$4,0)*$X12,0)</f>
        <v>0</v>
      </c>
      <c r="FG12">
        <f>IFERROR(VLOOKUP($D12,'Kalkulator mięs '!$C$5:$H$533,FG$4,0)*$Y12,0)</f>
        <v>0</v>
      </c>
      <c r="FH12">
        <f>IFERROR(VLOOKUP($D12,'Kalkulator mięs '!$C$5:$H$533,FH$4,0)*$Y12,0)</f>
        <v>0</v>
      </c>
      <c r="FI12">
        <f>IFERROR(VLOOKUP($D12,'Kalkulator mięs '!$C$5:$H$533,FI$4,0)*$Y12,0)</f>
        <v>0</v>
      </c>
      <c r="FJ12">
        <f>IFERROR(VLOOKUP($D12,'Kalkulator mięs '!$C$5:$H$533,FJ$4,0)*$Z12,0)</f>
        <v>0</v>
      </c>
      <c r="FK12">
        <f>IFERROR(VLOOKUP($D12,'Kalkulator mięs '!$C$5:$H$533,FK$4,0)*$Z12,0)</f>
        <v>0</v>
      </c>
      <c r="FL12">
        <f>IFERROR(VLOOKUP($D12,'Kalkulator mięs '!$C$5:$H$533,FL$4,0)*$Z12,0)</f>
        <v>0</v>
      </c>
      <c r="FM12">
        <f>IFERROR(VLOOKUP($D12,'Kalkulator mięs '!$C$5:$H$533,FM$4,0)*$AA12,0)</f>
        <v>0</v>
      </c>
      <c r="FN12">
        <f>IFERROR(VLOOKUP($D12,'Kalkulator mięs '!$C$5:$H$533,FN$4,0)*$AA12,0)</f>
        <v>0</v>
      </c>
      <c r="FO12">
        <f>IFERROR(VLOOKUP($D12,'Kalkulator mięs '!$C$5:$H$533,FO$4,0)*$AA12,0)</f>
        <v>0</v>
      </c>
      <c r="FP12">
        <f>IFERROR(VLOOKUP($D12,'Kalkulator mięs '!$C$5:$H$533,FP$4,0)*$AB12,0)</f>
        <v>0</v>
      </c>
      <c r="FQ12">
        <f>IFERROR(VLOOKUP($D12,'Kalkulator mięs '!$C$5:$H$533,FQ$4,0)*$AB12,0)</f>
        <v>450</v>
      </c>
      <c r="FR12">
        <f>IFERROR(VLOOKUP($D12,'Kalkulator mięs '!$C$5:$H$533,FR$4,0)*$AB12,0)</f>
        <v>0</v>
      </c>
      <c r="FS12">
        <f>IFERROR(VLOOKUP($D12,'Kalkulator mięs '!$C$5:$H$533,FS$4,0)*$AC12,0)</f>
        <v>0</v>
      </c>
      <c r="FT12">
        <f>IFERROR(VLOOKUP($D12,'Kalkulator mięs '!$C$5:$H$533,FT$4,0)*$AC12,0)</f>
        <v>0</v>
      </c>
      <c r="FU12">
        <f>IFERROR(VLOOKUP($D12,'Kalkulator mięs '!$C$5:$H$533,FU$4,0)*$AC12,0)</f>
        <v>0</v>
      </c>
      <c r="FV12">
        <f>IFERROR(VLOOKUP($D12,'Kalkulator mięs '!$C$5:$H$533,FV$4,0)*$AD12,0)</f>
        <v>0</v>
      </c>
      <c r="FW12">
        <f>IFERROR(VLOOKUP($D12,'Kalkulator mięs '!$C$5:$H$533,FW$4,0)*$AD12,0)</f>
        <v>0</v>
      </c>
      <c r="FX12">
        <f>IFERROR(VLOOKUP($D12,'Kalkulator mięs '!$C$5:$H$533,FX$4,0)*$AD12,0)</f>
        <v>0</v>
      </c>
      <c r="FY12">
        <f>IFERROR(VLOOKUP($D12,'Kalkulator mięs '!$C$5:$H$533,FY$4,0)*$AE12,0)</f>
        <v>0</v>
      </c>
      <c r="FZ12">
        <f>IFERROR(VLOOKUP($D12,'Kalkulator mięs '!$C$5:$H$533,FZ$4,0)*$AE12,0)</f>
        <v>0</v>
      </c>
      <c r="GA12">
        <f>IFERROR(VLOOKUP($D12,'Kalkulator mięs '!$C$5:$H$533,GA$4,0)*$AE12,0)</f>
        <v>0</v>
      </c>
      <c r="GB12">
        <f>IFERROR(VLOOKUP($D12,'Kalkulator mięs '!$C$5:$H$533,GB$4,0)*$AF12,0)</f>
        <v>0</v>
      </c>
      <c r="GC12">
        <f>IFERROR(VLOOKUP($D12,'Kalkulator mięs '!$C$5:$H$533,GC$4,0)*$AF12,0)</f>
        <v>0</v>
      </c>
      <c r="GD12">
        <f>IFERROR(VLOOKUP($D12,'Kalkulator mięs '!$C$5:$H$533,GD$4,0)*$AF12,0)</f>
        <v>0</v>
      </c>
      <c r="GE12">
        <f>IFERROR(VLOOKUP($D12,'Kalkulator mięs '!$C$5:$H$533,GE$4,0)*$AG12,0)</f>
        <v>0</v>
      </c>
      <c r="GF12">
        <f>IFERROR(VLOOKUP($D12,'Kalkulator mięs '!$C$5:$H$533,GF$4,0)*$AG12,0)</f>
        <v>0</v>
      </c>
      <c r="GG12">
        <f>IFERROR(VLOOKUP($D12,'Kalkulator mięs '!$C$5:$H$533,GG$4,0)*$AG12,0)</f>
        <v>0</v>
      </c>
      <c r="GH12">
        <f>IFERROR(VLOOKUP($D12,'Kalkulator mięs '!$C$5:$H$533,GH$4,0)*$AH12,0)</f>
        <v>0</v>
      </c>
      <c r="GI12">
        <f>IFERROR(VLOOKUP($D12,'Kalkulator mięs '!$C$5:$H$533,GI$4,0)*$AH12,0)</f>
        <v>300</v>
      </c>
      <c r="GJ12">
        <f>IFERROR(VLOOKUP($D12,'Kalkulator mięs '!$C$5:$H$533,GJ$4,0)*$AH12,0)</f>
        <v>0</v>
      </c>
      <c r="GK12">
        <f>IFERROR(VLOOKUP($D12,'Kalkulator mięs '!$C$5:$H$533,GK$4,0)*$AI12,0)</f>
        <v>0</v>
      </c>
      <c r="GL12">
        <f>IFERROR(VLOOKUP($D12,'Kalkulator mięs '!$C$5:$H$533,GL$4,0)*$AI12,0)</f>
        <v>0</v>
      </c>
      <c r="GM12">
        <f>IFERROR(VLOOKUP($D12,'Kalkulator mięs '!$C$5:$H$533,GM$4,0)*$AI12,0)</f>
        <v>0</v>
      </c>
      <c r="GN12">
        <f>IFERROR(VLOOKUP($D12,'Kalkulator mięs '!$C$5:$H$533,GN$4,0)*$AJ12,0)</f>
        <v>0</v>
      </c>
      <c r="GO12">
        <f>IFERROR(VLOOKUP($D12,'Kalkulator mięs '!$C$5:$H$533,GO$4,0)*$AJ12,0)</f>
        <v>0</v>
      </c>
      <c r="GP12">
        <f>IFERROR(VLOOKUP($D12,'Kalkulator mięs '!$C$5:$H$533,GP$4,0)*$AJ12,0)</f>
        <v>0</v>
      </c>
      <c r="GQ12">
        <f>IFERROR(VLOOKUP($D12,'Kalkulator mięs '!$C$5:$H$533,GQ$4,0)*$AK12,0)</f>
        <v>0</v>
      </c>
      <c r="GR12">
        <f>IFERROR(VLOOKUP($D12,'Kalkulator mięs '!$C$5:$H$533,GR$4,0)*$AK12,0)</f>
        <v>0</v>
      </c>
      <c r="GS12">
        <f>IFERROR(VLOOKUP($D12,'Kalkulator mięs '!$C$5:$H$533,GS$4,0)*$AK12,0)</f>
        <v>0</v>
      </c>
      <c r="GT12">
        <f>IFERROR(VLOOKUP($D12,'Kalkulator mięs '!$C$5:$H$533,GT$4,0)*$AL12,0)</f>
        <v>0</v>
      </c>
      <c r="GU12">
        <f>IFERROR(VLOOKUP($D12,'Kalkulator mięs '!$C$5:$H$533,GU$4,0)*$AL12,0)</f>
        <v>0</v>
      </c>
      <c r="GV12">
        <f>IFERROR(VLOOKUP($D12,'Kalkulator mięs '!$C$5:$H$533,GV$4,0)*$AL12,0)</f>
        <v>0</v>
      </c>
      <c r="GW12">
        <f>IFERROR(VLOOKUP($D12,'Kalkulator mięs '!$C$5:$H$533,GW$4,0)*$AM12,0)</f>
        <v>0</v>
      </c>
      <c r="GX12">
        <f>IFERROR(VLOOKUP($D12,'Kalkulator mięs '!$C$5:$H$533,GX$4,0)*$AM12,0)</f>
        <v>0</v>
      </c>
      <c r="GY12">
        <f>IFERROR(VLOOKUP($D12,'Kalkulator mięs '!$C$5:$H$533,GY$4,0)*$AM12,0)</f>
        <v>0</v>
      </c>
      <c r="GZ12">
        <f>IFERROR(VLOOKUP($D12,'Kalkulator mięs '!$C$5:$H$533,GZ$4,0)*$AN12,0)</f>
        <v>0</v>
      </c>
      <c r="HA12">
        <f>IFERROR(VLOOKUP($D12,'Kalkulator mięs '!$C$5:$H$533,HA$4,0)*$AN12,0)</f>
        <v>0</v>
      </c>
      <c r="HB12">
        <f>IFERROR(VLOOKUP($D12,'Kalkulator mięs '!$C$5:$H$533,HB$4,0)*$AN12,0)</f>
        <v>0</v>
      </c>
      <c r="HC12">
        <f>IFERROR(VLOOKUP($D12,'Kalkulator mięs '!$C$5:$H$533,HC$4,0)*$AO12,0)</f>
        <v>0</v>
      </c>
      <c r="HD12">
        <f>IFERROR(VLOOKUP($D12,'Kalkulator mięs '!$C$5:$H$533,HD$4,0)*$AO12,0)</f>
        <v>0</v>
      </c>
      <c r="HE12">
        <f>IFERROR(VLOOKUP($D12,'Kalkulator mięs '!$C$5:$H$533,HE$4,0)*$AO12,0)</f>
        <v>0</v>
      </c>
      <c r="HF12">
        <f>IFERROR(VLOOKUP($D12,'Kalkulator mięs '!$C$5:$H$533,HF$4,0)*$AP12,0)</f>
        <v>0</v>
      </c>
      <c r="HG12">
        <f>IFERROR(VLOOKUP($D12,'Kalkulator mięs '!$C$5:$H$533,HG$4,0)*$AP12,0)</f>
        <v>0</v>
      </c>
      <c r="HH12">
        <f>IFERROR(VLOOKUP($D12,'Kalkulator mięs '!$C$5:$H$533,HH$4,0)*$AP12,0)</f>
        <v>0</v>
      </c>
      <c r="HI12">
        <f>IFERROR(VLOOKUP($D12,'Kalkulator mięs '!$C$5:$H$533,HI$4,0)*$AQ12,0)</f>
        <v>0</v>
      </c>
      <c r="HJ12">
        <f>IFERROR(VLOOKUP($D12,'Kalkulator mięs '!$C$5:$H$533,HJ$4,0)*$AQ12,0)</f>
        <v>0</v>
      </c>
      <c r="HK12">
        <f>IFERROR(VLOOKUP($D12,'Kalkulator mięs '!$C$5:$H$533,HK$4,0)*$AQ12,0)</f>
        <v>0</v>
      </c>
      <c r="HL12">
        <f>IFERROR(VLOOKUP($D12,'Kalkulator mięs '!$C$5:$H$533,HL$4,0)*$AR12,0)</f>
        <v>0</v>
      </c>
      <c r="HM12">
        <f>IFERROR(VLOOKUP($D12,'Kalkulator mięs '!$C$5:$H$533,HM$4,0)*$AR12,0)</f>
        <v>0</v>
      </c>
      <c r="HN12">
        <f>IFERROR(VLOOKUP($D12,'Kalkulator mięs '!$C$5:$H$533,HN$4,0)*$AR12,0)</f>
        <v>0</v>
      </c>
      <c r="HO12">
        <f>IFERROR(VLOOKUP($D12,'Kalkulator mięs '!$C$5:$H$533,HO$4,0)*$AS12,0)</f>
        <v>0</v>
      </c>
      <c r="HP12">
        <f>IFERROR(VLOOKUP($D12,'Kalkulator mięs '!$C$5:$H$533,HP$4,0)*$AS12,0)</f>
        <v>0</v>
      </c>
      <c r="HQ12">
        <f>IFERROR(VLOOKUP($D12,'Kalkulator mięs '!$C$5:$H$533,HQ$4,0)*$AS12,0)</f>
        <v>0</v>
      </c>
      <c r="HR12">
        <f>IFERROR(VLOOKUP($D12,'Kalkulator mięs '!$C$5:$H$533,HR$4,0)*$AT12,0)</f>
        <v>0</v>
      </c>
      <c r="HS12">
        <f>IFERROR(VLOOKUP($D12,'Kalkulator mięs '!$C$5:$H$533,HS$4,0)*$AT12,0)</f>
        <v>0</v>
      </c>
      <c r="HT12">
        <f>IFERROR(VLOOKUP($D12,'Kalkulator mięs '!$C$5:$H$533,HT$4,0)*$AT12,0)</f>
        <v>0</v>
      </c>
      <c r="HU12">
        <f>IFERROR(VLOOKUP($D12,'Kalkulator mięs '!$C$5:$H$533,HU$4,0)*$AU12,0)</f>
        <v>0</v>
      </c>
      <c r="HV12">
        <f>IFERROR(VLOOKUP($D12,'Kalkulator mięs '!$C$5:$H$533,HV$4,0)*$AU12,0)</f>
        <v>0</v>
      </c>
      <c r="HW12">
        <f>IFERROR(VLOOKUP($D12,'Kalkulator mięs '!$C$5:$H$533,HW$4,0)*$AU12,0)</f>
        <v>0</v>
      </c>
      <c r="HX12">
        <f>IFERROR(VLOOKUP($D12,'Kalkulator mięs '!$C$5:$H$533,HX$4,0)*$AV12,0)</f>
        <v>0</v>
      </c>
      <c r="HY12">
        <f>IFERROR(VLOOKUP($D12,'Kalkulator mięs '!$C$5:$H$533,HY$4,0)*$AV12,0)</f>
        <v>0</v>
      </c>
      <c r="HZ12">
        <f>IFERROR(VLOOKUP($D12,'Kalkulator mięs '!$C$5:$H$533,HZ$4,0)*$AV12,0)</f>
        <v>0</v>
      </c>
      <c r="IA12">
        <f>IFERROR(VLOOKUP($D12,'Kalkulator mięs '!$C$5:$H$533,IA$4,0)*$AW12,0)</f>
        <v>0</v>
      </c>
      <c r="IB12">
        <f>IFERROR(VLOOKUP($D12,'Kalkulator mięs '!$C$5:$H$533,IB$4,0)*$AW12,0)</f>
        <v>0</v>
      </c>
      <c r="IC12">
        <f>IFERROR(VLOOKUP($D12,'Kalkulator mięs '!$C$5:$H$533,IC$4,0)*$AW12,0)</f>
        <v>0</v>
      </c>
      <c r="ID12">
        <f>IFERROR(VLOOKUP($D12,'Kalkulator mięs '!$C$5:$H$533,ID$4,0)*$AX12,0)</f>
        <v>0</v>
      </c>
      <c r="IE12">
        <f>IFERROR(VLOOKUP($D12,'Kalkulator mięs '!$C$5:$H$533,IE$4,0)*$AX12,0)</f>
        <v>0</v>
      </c>
      <c r="IF12">
        <f>IFERROR(VLOOKUP($D12,'Kalkulator mięs '!$C$5:$H$533,IF$4,0)*$AX12,0)</f>
        <v>0</v>
      </c>
      <c r="IG12">
        <f>IFERROR(VLOOKUP($D12,'Kalkulator mięs '!$C$5:$H$533,IG$4,0)*$AY12,0)</f>
        <v>0</v>
      </c>
      <c r="IH12">
        <f>IFERROR(VLOOKUP($D12,'Kalkulator mięs '!$C$5:$H$533,IH$4,0)*$AY12,0)</f>
        <v>0</v>
      </c>
      <c r="II12">
        <f>IFERROR(VLOOKUP($D12,'Kalkulator mięs '!$C$5:$H$533,II$4,0)*$AY12,0)</f>
        <v>0</v>
      </c>
      <c r="IJ12">
        <f>IFERROR(VLOOKUP($D12,'Kalkulator mięs '!$C$5:$H$533,IJ$4,0)*$AZ12,0)</f>
        <v>0</v>
      </c>
      <c r="IK12">
        <f>IFERROR(VLOOKUP($D12,'Kalkulator mięs '!$C$5:$H$533,IK$4,0)*$AZ12,0)</f>
        <v>0</v>
      </c>
      <c r="IL12">
        <f>IFERROR(VLOOKUP($D12,'Kalkulator mięs '!$C$5:$H$533,IL$4,0)*$AZ12,0)</f>
        <v>0</v>
      </c>
      <c r="IM12">
        <f>IFERROR(VLOOKUP($D12,'Kalkulator mięs '!$C$5:$H$533,IM$4,0)*$BA12,0)</f>
        <v>0</v>
      </c>
      <c r="IN12">
        <f>IFERROR(VLOOKUP($D12,'Kalkulator mięs '!$C$5:$H$533,IN$4,0)*$BA12,0)</f>
        <v>0</v>
      </c>
      <c r="IO12">
        <f>IFERROR(VLOOKUP($D12,'Kalkulator mięs '!$C$5:$H$533,IO$4,0)*$BA12,0)</f>
        <v>0</v>
      </c>
    </row>
    <row r="13" spans="2:249" ht="15.75">
      <c r="B13" t="str">
        <f>VLOOKUP(D13,Receptury_z!$A:$B,2,0)</f>
        <v>ON</v>
      </c>
      <c r="C13" s="16">
        <v>5274</v>
      </c>
      <c r="D13" s="19">
        <v>6406</v>
      </c>
      <c r="E13" s="18" t="s">
        <v>24</v>
      </c>
      <c r="F13" s="14">
        <f>IF($B13="OFF",BE13,VLOOKUP($D13,Receptury_z!$D:$AI,F$4,0))</f>
        <v>0</v>
      </c>
      <c r="G13" s="14">
        <f>IF($B13="OFF",BF13,VLOOKUP($D13,Receptury_z!$D:$AI,G$4,0))</f>
        <v>0</v>
      </c>
      <c r="H13" s="14">
        <f>IF($B13="OFF",BG13,VLOOKUP($D13,Receptury_z!$D:$AI,H$4,0))</f>
        <v>0</v>
      </c>
      <c r="I13" s="14">
        <f>IF($B13="OFF",BH13,VLOOKUP($D13,Receptury_z!$D:$AI,I$4,0))</f>
        <v>126.91</v>
      </c>
      <c r="J13" s="14">
        <f>IF($B13="OFF",BI13,VLOOKUP($D13,Receptury_z!$D:$AI,J$4,0))</f>
        <v>0</v>
      </c>
      <c r="K13" s="14">
        <f>IF($B13="OFF",BJ13,VLOOKUP($D13,Receptury_z!$D:$AI,K$4,0))</f>
        <v>0</v>
      </c>
      <c r="L13" s="14">
        <f>IF($B13="OFF",BK13,VLOOKUP($D13,Receptury_z!$D:$AI,L$4,0))</f>
        <v>0</v>
      </c>
      <c r="M13" s="14">
        <f>IF($B13="OFF",BL13,VLOOKUP($D13,Receptury_z!$D:$AI,M$4,0))</f>
        <v>0</v>
      </c>
      <c r="N13" s="14">
        <f>IF($B13="OFF",BM13,VLOOKUP($D13,Receptury_z!$D:$AI,N$4,0))</f>
        <v>0</v>
      </c>
      <c r="O13" s="14">
        <f>IF($B13="OFF",BN13,VLOOKUP($D13,Receptury_z!$D:$AI,O$4,0))</f>
        <v>0</v>
      </c>
      <c r="P13" s="14">
        <f>IF($B13="OFF",BO13,VLOOKUP($D13,Receptury_z!$D:$AI,P$4,0))</f>
        <v>0</v>
      </c>
      <c r="Q13" s="14">
        <f>IF($B13="OFF",BP13,VLOOKUP($D13,Receptury_z!$D:$AI,Q$4,0))</f>
        <v>126.91</v>
      </c>
      <c r="R13" s="14">
        <f>IF($B13="OFF",BQ13,VLOOKUP($D13,Receptury_z!$D:$AI,R$4,0))</f>
        <v>0</v>
      </c>
      <c r="S13" s="14">
        <f>IF($B13="OFF",BR13,VLOOKUP($D13,Receptury_z!$D:$AI,S$4,0))</f>
        <v>0</v>
      </c>
      <c r="T13" s="14">
        <f>IF($B13="OFF",BS13,VLOOKUP($D13,Receptury_z!$D:$AI,T$4,0))</f>
        <v>169.21</v>
      </c>
      <c r="U13" s="14">
        <f>IF($B13="OFF",BT13,VLOOKUP($D13,Receptury_z!$D:$AI,U$4,0))</f>
        <v>25.38</v>
      </c>
      <c r="V13" s="14">
        <f>IF($B13="OFF",BU13,VLOOKUP($D13,Receptury_z!$D:$AI,V$4,0))</f>
        <v>0</v>
      </c>
      <c r="W13" s="14">
        <f>IF($B13="OFF",BV13,VLOOKUP($D13,Receptury_z!$D:$AI,W$4,0))</f>
        <v>0</v>
      </c>
      <c r="X13" s="14">
        <f>IF($B13="OFF",BW13,VLOOKUP($D13,Receptury_z!$D:$AI,X$4,0))</f>
        <v>84.61</v>
      </c>
      <c r="Y13" s="14">
        <f>IF($B13="OFF",BX13,VLOOKUP($D13,Receptury_z!$D:$AI,Y$4,0))</f>
        <v>0</v>
      </c>
      <c r="Z13" s="14">
        <f>IF($B13="OFF",BY13,VLOOKUP($D13,Receptury_z!$D:$AI,Z$4,0))</f>
        <v>0</v>
      </c>
      <c r="AA13" s="14">
        <f>IF($B13="OFF",BZ13,VLOOKUP($D13,Receptury_z!$D:$AI,AA$4,0))</f>
        <v>0</v>
      </c>
      <c r="AB13" s="14">
        <f>IF($B13="OFF",CA13,VLOOKUP($D13,Receptury_z!$D:$AI,AB$4,0))</f>
        <v>59.21</v>
      </c>
      <c r="AC13" s="14">
        <f>IF($B13="OFF",CB13,VLOOKUP($D13,Receptury_z!$D:$AI,AC$4,0))</f>
        <v>0</v>
      </c>
      <c r="AD13" s="14">
        <f>IF($B13="OFF",CC13,VLOOKUP($D13,Receptury_z!$D:$AI,AD$4,0))</f>
        <v>0</v>
      </c>
      <c r="AE13" s="14">
        <f>IF($B13="OFF",CD13,VLOOKUP($D13,Receptury_z!$D:$AI,AE$4,0))</f>
        <v>0</v>
      </c>
      <c r="AF13" s="14">
        <f>IF($B13="OFF",CE13,VLOOKUP($D13,Receptury_z!$D:$AI,AF$4,0))</f>
        <v>0</v>
      </c>
      <c r="AG13" s="14">
        <f>IF($B13="OFF",CF13,VLOOKUP($D13,Receptury_z!$D:$AI,AG$4,0))</f>
        <v>0</v>
      </c>
      <c r="AH13" s="14">
        <f>IF($B13="OFF",CG13,VLOOKUP($D13,Receptury_z!$D:$AI,AH$4,0))</f>
        <v>0</v>
      </c>
      <c r="AI13" s="14">
        <f>IF($B13="OFF",CH13,VLOOKUP($D13,Receptury_z!$D:$AI,AI$4,0))</f>
        <v>0</v>
      </c>
      <c r="AJ13" s="14">
        <f>IF($B13="OFF",CI13,VLOOKUP($D13,Receptury_z!$D:$AS,AJ$4,0))</f>
        <v>253.82</v>
      </c>
      <c r="AK13" s="14">
        <f>IF($B13="OFF",CJ13,VLOOKUP($D13,Receptury_z!$D:$AS,AK$4,0))</f>
        <v>0</v>
      </c>
      <c r="AL13" s="14">
        <f>IF($B13="OFF",CK13,VLOOKUP($D13,Receptury_z!$D:$AS,AL$4,0))</f>
        <v>0</v>
      </c>
      <c r="AM13" s="14">
        <f>IF($B13="OFF",CL13,VLOOKUP($D13,Receptury_z!$D:$AS,AM$4,0))</f>
        <v>0</v>
      </c>
      <c r="AN13" s="14">
        <f>IF($B13="OFF",CM13,VLOOKUP($D13,Receptury_z!$D:$AS,AN$4,0))</f>
        <v>0</v>
      </c>
      <c r="AO13" s="14">
        <f>IF($B13="OFF",CN13,VLOOKUP($D13,Receptury_z!$D:$AS,AO$4,0))</f>
        <v>0</v>
      </c>
      <c r="AP13" s="14">
        <f>IF($B13="OFF",CO13,VLOOKUP($D13,Receptury_z!$D:$AS,AP$4,0))</f>
        <v>0</v>
      </c>
      <c r="AQ13" s="14">
        <f>IF($B13="OFF",CP13,VLOOKUP($D13,Receptury_z!$D:$AS,AQ$4,0))</f>
        <v>0</v>
      </c>
      <c r="AR13" s="14">
        <f>IF($B13="OFF",CQ13,VLOOKUP($D13,Receptury_z!$D:$AS,AR$4,0))</f>
        <v>0</v>
      </c>
      <c r="AS13" s="14">
        <f>IF($B13="OFF",CR13,VLOOKUP($D13,Receptury_z!$D:$AS,AS$4,0))</f>
        <v>0</v>
      </c>
      <c r="AT13" s="14">
        <f>IF($B13="OFF",CS13,VLOOKUP($D13,Receptury_z!$D:$AV,AT$4,0))</f>
        <v>0</v>
      </c>
      <c r="AU13" s="14">
        <f>IF($B13="OFF",CT13,VLOOKUP($D13,Receptury_z!$D:$AV,AU$4,0))</f>
        <v>0</v>
      </c>
      <c r="AV13" s="14">
        <f>IF($B13="OFF",CU13,VLOOKUP($D13,Receptury_z!$D:$AV,AV$4,0))</f>
        <v>0</v>
      </c>
      <c r="AW13" s="14">
        <f>IF($B13="OFF",CV13,VLOOKUP($D13,Receptury_z!$D:$BA,AW$4,0))</f>
        <v>0</v>
      </c>
      <c r="AX13" s="14">
        <f>IF($B13="OFF",CW13,VLOOKUP($D13,Receptury_z!$D:$BA,AX$4,0))</f>
        <v>0</v>
      </c>
      <c r="AY13" s="14">
        <f>IF($B13="OFF",CX13,VLOOKUP($D13,Receptury_z!$D:$BA,AY$4,0))</f>
        <v>0</v>
      </c>
      <c r="AZ13" s="14">
        <f>IF($B13="OFF",DA13,VLOOKUP($D13,Receptury_z!$D:$BA,AZ$4,0))</f>
        <v>0</v>
      </c>
      <c r="BA13" s="14">
        <f>IF($B13="OFF",DB13,VLOOKUP($D13,Receptury_z!$D:$BA,BA$4,0))</f>
        <v>0</v>
      </c>
      <c r="BC13" s="19">
        <v>6406</v>
      </c>
      <c r="BD13" s="18" t="s">
        <v>24</v>
      </c>
      <c r="BE13" s="239">
        <v>0</v>
      </c>
      <c r="BF13" s="239">
        <v>0</v>
      </c>
      <c r="BG13" s="239">
        <v>0</v>
      </c>
      <c r="BH13" s="239">
        <v>126.91</v>
      </c>
      <c r="BI13" s="239">
        <v>0</v>
      </c>
      <c r="BJ13" s="239">
        <v>0</v>
      </c>
      <c r="BK13" s="239">
        <v>0</v>
      </c>
      <c r="BL13" s="239">
        <v>0</v>
      </c>
      <c r="BM13" s="239">
        <v>0</v>
      </c>
      <c r="BN13" s="239">
        <v>0</v>
      </c>
      <c r="BO13" s="239">
        <v>0</v>
      </c>
      <c r="BP13" s="239">
        <v>126.91</v>
      </c>
      <c r="BQ13" s="239">
        <v>0</v>
      </c>
      <c r="BR13" s="239">
        <v>0</v>
      </c>
      <c r="BS13" s="239">
        <v>169.21</v>
      </c>
      <c r="BT13" s="239">
        <v>25.38</v>
      </c>
      <c r="BU13" s="239">
        <v>0</v>
      </c>
      <c r="BV13" s="239">
        <v>0</v>
      </c>
      <c r="BW13" s="239">
        <v>84.61</v>
      </c>
      <c r="BX13" s="239">
        <v>0</v>
      </c>
      <c r="BY13" s="239">
        <v>0</v>
      </c>
      <c r="BZ13" s="239">
        <v>0</v>
      </c>
      <c r="CA13" s="239">
        <v>59.21</v>
      </c>
      <c r="CB13" s="239">
        <v>0</v>
      </c>
      <c r="CC13" s="239">
        <v>0</v>
      </c>
      <c r="CD13" s="239">
        <v>0</v>
      </c>
      <c r="CE13" s="239">
        <v>0</v>
      </c>
      <c r="CF13" s="239">
        <v>0</v>
      </c>
      <c r="CG13" s="239">
        <v>0</v>
      </c>
      <c r="CH13" s="239">
        <v>0</v>
      </c>
      <c r="CI13" s="239">
        <v>253.82</v>
      </c>
      <c r="CJ13" s="239">
        <v>0</v>
      </c>
      <c r="CK13" s="239">
        <v>0</v>
      </c>
      <c r="CL13" s="239">
        <v>0</v>
      </c>
      <c r="CM13" s="80"/>
      <c r="CN13" s="80"/>
      <c r="CO13" s="80"/>
      <c r="CP13" s="80"/>
      <c r="CQ13" s="80"/>
      <c r="CR13" s="80"/>
      <c r="CS13" s="80"/>
      <c r="CT13" s="80"/>
      <c r="CU13" s="80"/>
      <c r="CV13" s="80"/>
      <c r="CW13" s="80"/>
      <c r="CX13" s="80"/>
      <c r="CY13" s="80"/>
      <c r="CZ13" s="80"/>
      <c r="DB13">
        <f>IFERROR(VLOOKUP($D13,'Kalkulator mięs '!$C$5:$H$533,DB$4,0)*F13,0)</f>
        <v>0</v>
      </c>
      <c r="DC13">
        <f>IFERROR(VLOOKUP($D13,'Kalkulator mięs '!$C$5:$H$533,DC$4,0)*F13,0)</f>
        <v>0</v>
      </c>
      <c r="DD13">
        <f>IFERROR(VLOOKUP($D13,'Kalkulator mięs '!$C$5:$H$533,DD$4,0)*F13,0)</f>
        <v>0</v>
      </c>
      <c r="DE13">
        <f>IFERROR(VLOOKUP($D13,'Kalkulator mięs '!$C$5:$H$533,DE$4,0)*$G13,0)</f>
        <v>0</v>
      </c>
      <c r="DF13">
        <f>IFERROR(VLOOKUP($D13,'Kalkulator mięs '!$C$5:$H$533,DF$4,0)*$G13,0)</f>
        <v>0</v>
      </c>
      <c r="DG13">
        <f>IFERROR(VLOOKUP($D13,'Kalkulator mięs '!$C$5:$H$533,DG$4,0)*$G13,0)</f>
        <v>0</v>
      </c>
      <c r="DH13">
        <f>IFERROR(VLOOKUP($D13,'Kalkulator mięs '!$C$5:$H$533,DH$4,0)*$H13,0)</f>
        <v>0</v>
      </c>
      <c r="DI13">
        <f>IFERROR(VLOOKUP($D13,'Kalkulator mięs '!$C$5:$H$533,DI$4,0)*$H13,0)</f>
        <v>0</v>
      </c>
      <c r="DJ13">
        <f>IFERROR(VLOOKUP($D13,'Kalkulator mięs '!$C$5:$H$533,DJ$4,0)*$H13,0)</f>
        <v>0</v>
      </c>
      <c r="DK13">
        <f>IFERROR(VLOOKUP($D13,'Kalkulator mięs '!$C$5:$H$533,DK$4,0)*$I13,0)</f>
        <v>0</v>
      </c>
      <c r="DL13">
        <f>IFERROR(VLOOKUP($D13,'Kalkulator mięs '!$C$5:$H$533,DL$4,0)*$I13,0)</f>
        <v>0</v>
      </c>
      <c r="DM13">
        <f>IFERROR(VLOOKUP($D13,'Kalkulator mięs '!$C$5:$H$533,DM$4,0)*$I13,0)</f>
        <v>761.46</v>
      </c>
      <c r="DN13">
        <f>IFERROR(VLOOKUP($D13,'Kalkulator mięs '!$C$5:$H$533,DN$4,0)*$J13,0)</f>
        <v>0</v>
      </c>
      <c r="DO13">
        <f>IFERROR(VLOOKUP($D13,'Kalkulator mięs '!$C$5:$H$533,DO$4,0)*$J13,0)</f>
        <v>0</v>
      </c>
      <c r="DP13">
        <f>IFERROR(VLOOKUP($D13,'Kalkulator mięs '!$C$5:$H$533,DP$4,0)*$J13,0)</f>
        <v>0</v>
      </c>
      <c r="DQ13">
        <f>IFERROR(VLOOKUP($D13,'Kalkulator mięs '!$C$5:$H$533,DQ$4,0)*$K13,0)</f>
        <v>0</v>
      </c>
      <c r="DR13">
        <f>IFERROR(VLOOKUP($D13,'Kalkulator mięs '!$C$5:$H$533,DR$4,0)*$K13,0)</f>
        <v>0</v>
      </c>
      <c r="DS13">
        <f>IFERROR(VLOOKUP($D13,'Kalkulator mięs '!$C$5:$H$533,DS$4,0)*$K13,0)</f>
        <v>0</v>
      </c>
      <c r="DT13">
        <f>IFERROR(VLOOKUP($D13,'Kalkulator mięs '!$C$5:$H$533,DT$4,0)*$L13,0)</f>
        <v>0</v>
      </c>
      <c r="DU13">
        <f>IFERROR(VLOOKUP($D13,'Kalkulator mięs '!$C$5:$H$533,DU$4,0)*$L13,0)</f>
        <v>0</v>
      </c>
      <c r="DV13">
        <f>IFERROR(VLOOKUP($D13,'Kalkulator mięs '!$C$5:$H$533,DV$4,0)*$L13,0)</f>
        <v>0</v>
      </c>
      <c r="DW13">
        <f>IFERROR(VLOOKUP($D13,'Kalkulator mięs '!$C$5:$H$533,DW$4,0)*$M13,0)</f>
        <v>0</v>
      </c>
      <c r="DX13">
        <f>IFERROR(VLOOKUP($D13,'Kalkulator mięs '!$C$5:$H$533,DX$4,0)*$M13,0)</f>
        <v>0</v>
      </c>
      <c r="DY13">
        <f>IFERROR(VLOOKUP($D13,'Kalkulator mięs '!$C$5:$H$533,DY$4,0)*$M13,0)</f>
        <v>0</v>
      </c>
      <c r="DZ13">
        <f>IFERROR(VLOOKUP($D13,'Kalkulator mięs '!$C$5:$H$533,DZ$4,0)*$N13,0)</f>
        <v>0</v>
      </c>
      <c r="EA13">
        <f>IFERROR(VLOOKUP($D13,'Kalkulator mięs '!$C$5:$H$533,EA$4,0)*$N13,0)</f>
        <v>0</v>
      </c>
      <c r="EB13">
        <f>IFERROR(VLOOKUP($D13,'Kalkulator mięs '!$C$5:$H$533,EB$4,0)*$N13,0)</f>
        <v>0</v>
      </c>
      <c r="EC13">
        <f>IFERROR(VLOOKUP($D13,'Kalkulator mięs '!$C$5:$H$533,EC$4,0)*$O13,0)</f>
        <v>0</v>
      </c>
      <c r="ED13">
        <f>IFERROR(VLOOKUP($D13,'Kalkulator mięs '!$C$5:$H$533,ED$4,0)*$O13,0)</f>
        <v>0</v>
      </c>
      <c r="EE13">
        <f>IFERROR(VLOOKUP($D13,'Kalkulator mięs '!$C$5:$H$533,EE$4,0)*$O13,0)</f>
        <v>0</v>
      </c>
      <c r="EF13">
        <f>IFERROR(VLOOKUP($D13,'Kalkulator mięs '!$C$5:$H$533,EF$4,0)*$P13,0)</f>
        <v>0</v>
      </c>
      <c r="EG13">
        <f>IFERROR(VLOOKUP($D13,'Kalkulator mięs '!$C$5:$H$533,EG$4,0)*$P13,0)</f>
        <v>0</v>
      </c>
      <c r="EH13">
        <f>IFERROR(VLOOKUP($D13,'Kalkulator mięs '!$C$5:$H$533,EH$4,0)*$P13,0)</f>
        <v>0</v>
      </c>
      <c r="EI13">
        <f>IFERROR(VLOOKUP($D13,'Kalkulator mięs '!$C$5:$H$533,EI$4,0)*$Q13,0)</f>
        <v>0</v>
      </c>
      <c r="EJ13">
        <f>IFERROR(VLOOKUP($D13,'Kalkulator mięs '!$C$5:$H$533,EJ$4,0)*$Q13,0)</f>
        <v>0</v>
      </c>
      <c r="EK13">
        <f>IFERROR(VLOOKUP($D13,'Kalkulator mięs '!$C$5:$H$533,EK$4,0)*$Q13,0)</f>
        <v>761.46</v>
      </c>
      <c r="EL13">
        <f>IFERROR(VLOOKUP($D13,'Kalkulator mięs '!$C$5:$H$533,EL$4,0)*$R13,0)</f>
        <v>0</v>
      </c>
      <c r="EM13">
        <f>IFERROR(VLOOKUP($D13,'Kalkulator mięs '!$C$5:$H$533,EM$4,0)*$R13,0)</f>
        <v>0</v>
      </c>
      <c r="EN13">
        <f>IFERROR(VLOOKUP($D13,'Kalkulator mięs '!$C$5:$H$533,EN$4,0)*$R13,0)</f>
        <v>0</v>
      </c>
      <c r="EO13">
        <f>IFERROR(VLOOKUP($D13,'Kalkulator mięs '!$C$5:$H$533,EO$4,0)*$S13,0)</f>
        <v>0</v>
      </c>
      <c r="EP13">
        <f>IFERROR(VLOOKUP($D13,'Kalkulator mięs '!$C$5:$H$533,EP$4,0)*$S13,0)</f>
        <v>0</v>
      </c>
      <c r="EQ13">
        <f>IFERROR(VLOOKUP($D13,'Kalkulator mięs '!$C$5:$H$533,EQ$4,0)*$S13,0)</f>
        <v>0</v>
      </c>
      <c r="ER13">
        <f>IFERROR(VLOOKUP($D13,'Kalkulator mięs '!$C$5:$H$533,ER$4,0)*$T13,0)</f>
        <v>0</v>
      </c>
      <c r="ES13">
        <f>IFERROR(VLOOKUP($D13,'Kalkulator mięs '!$C$5:$H$533,ES$4,0)*$T13,0)</f>
        <v>0</v>
      </c>
      <c r="ET13">
        <f>IFERROR(VLOOKUP($D13,'Kalkulator mięs '!$C$5:$H$533,ET$4,0)*$T13,0)</f>
        <v>1015.26</v>
      </c>
      <c r="EU13">
        <f>IFERROR(VLOOKUP($D13,'Kalkulator mięs '!$C$5:$H$533,EU$4,0)*$U13,0)</f>
        <v>0</v>
      </c>
      <c r="EV13">
        <f>IFERROR(VLOOKUP($D13,'Kalkulator mięs '!$C$5:$H$533,EV$4,0)*$U13,0)</f>
        <v>0</v>
      </c>
      <c r="EW13">
        <f>IFERROR(VLOOKUP($D13,'Kalkulator mięs '!$C$5:$H$533,EW$4,0)*$U13,0)</f>
        <v>152.28</v>
      </c>
      <c r="EX13">
        <f>IFERROR(VLOOKUP($D13,'Kalkulator mięs '!$C$5:$H$533,EX$4,0)*$V13,0)</f>
        <v>0</v>
      </c>
      <c r="EY13">
        <f>IFERROR(VLOOKUP($D13,'Kalkulator mięs '!$C$5:$H$533,EY$4,0)*$V13,0)</f>
        <v>0</v>
      </c>
      <c r="EZ13">
        <f>IFERROR(VLOOKUP($D13,'Kalkulator mięs '!$C$5:$H$533,EZ$4,0)*$V13,0)</f>
        <v>0</v>
      </c>
      <c r="FA13">
        <f>IFERROR(VLOOKUP($D13,'Kalkulator mięs '!$C$5:$H$533,FA$4,0)*$W13,0)</f>
        <v>0</v>
      </c>
      <c r="FB13">
        <f>IFERROR(VLOOKUP($D13,'Kalkulator mięs '!$C$5:$H$533,FB$4,0)*$W13,0)</f>
        <v>0</v>
      </c>
      <c r="FC13">
        <f>IFERROR(VLOOKUP($D13,'Kalkulator mięs '!$C$5:$H$533,FC$4,0)*$W13,0)</f>
        <v>0</v>
      </c>
      <c r="FD13">
        <f>IFERROR(VLOOKUP($D13,'Kalkulator mięs '!$C$5:$H$533,FD$4,0)*$X13,0)</f>
        <v>0</v>
      </c>
      <c r="FE13">
        <f>IFERROR(VLOOKUP($D13,'Kalkulator mięs '!$C$5:$H$533,FE$4,0)*$X13,0)</f>
        <v>0</v>
      </c>
      <c r="FF13">
        <f>IFERROR(VLOOKUP($D13,'Kalkulator mięs '!$C$5:$H$533,FF$4,0)*$X13,0)</f>
        <v>507.65999999999997</v>
      </c>
      <c r="FG13">
        <f>IFERROR(VLOOKUP($D13,'Kalkulator mięs '!$C$5:$H$533,FG$4,0)*$Y13,0)</f>
        <v>0</v>
      </c>
      <c r="FH13">
        <f>IFERROR(VLOOKUP($D13,'Kalkulator mięs '!$C$5:$H$533,FH$4,0)*$Y13,0)</f>
        <v>0</v>
      </c>
      <c r="FI13">
        <f>IFERROR(VLOOKUP($D13,'Kalkulator mięs '!$C$5:$H$533,FI$4,0)*$Y13,0)</f>
        <v>0</v>
      </c>
      <c r="FJ13">
        <f>IFERROR(VLOOKUP($D13,'Kalkulator mięs '!$C$5:$H$533,FJ$4,0)*$Z13,0)</f>
        <v>0</v>
      </c>
      <c r="FK13">
        <f>IFERROR(VLOOKUP($D13,'Kalkulator mięs '!$C$5:$H$533,FK$4,0)*$Z13,0)</f>
        <v>0</v>
      </c>
      <c r="FL13">
        <f>IFERROR(VLOOKUP($D13,'Kalkulator mięs '!$C$5:$H$533,FL$4,0)*$Z13,0)</f>
        <v>0</v>
      </c>
      <c r="FM13">
        <f>IFERROR(VLOOKUP($D13,'Kalkulator mięs '!$C$5:$H$533,FM$4,0)*$AA13,0)</f>
        <v>0</v>
      </c>
      <c r="FN13">
        <f>IFERROR(VLOOKUP($D13,'Kalkulator mięs '!$C$5:$H$533,FN$4,0)*$AA13,0)</f>
        <v>0</v>
      </c>
      <c r="FO13">
        <f>IFERROR(VLOOKUP($D13,'Kalkulator mięs '!$C$5:$H$533,FO$4,0)*$AA13,0)</f>
        <v>0</v>
      </c>
      <c r="FP13">
        <f>IFERROR(VLOOKUP($D13,'Kalkulator mięs '!$C$5:$H$533,FP$4,0)*$AB13,0)</f>
        <v>0</v>
      </c>
      <c r="FQ13">
        <f>IFERROR(VLOOKUP($D13,'Kalkulator mięs '!$C$5:$H$533,FQ$4,0)*$AB13,0)</f>
        <v>0</v>
      </c>
      <c r="FR13">
        <f>IFERROR(VLOOKUP($D13,'Kalkulator mięs '!$C$5:$H$533,FR$4,0)*$AB13,0)</f>
        <v>355.26</v>
      </c>
      <c r="FS13">
        <f>IFERROR(VLOOKUP($D13,'Kalkulator mięs '!$C$5:$H$533,FS$4,0)*$AC13,0)</f>
        <v>0</v>
      </c>
      <c r="FT13">
        <f>IFERROR(VLOOKUP($D13,'Kalkulator mięs '!$C$5:$H$533,FT$4,0)*$AC13,0)</f>
        <v>0</v>
      </c>
      <c r="FU13">
        <f>IFERROR(VLOOKUP($D13,'Kalkulator mięs '!$C$5:$H$533,FU$4,0)*$AC13,0)</f>
        <v>0</v>
      </c>
      <c r="FV13">
        <f>IFERROR(VLOOKUP($D13,'Kalkulator mięs '!$C$5:$H$533,FV$4,0)*$AD13,0)</f>
        <v>0</v>
      </c>
      <c r="FW13">
        <f>IFERROR(VLOOKUP($D13,'Kalkulator mięs '!$C$5:$H$533,FW$4,0)*$AD13,0)</f>
        <v>0</v>
      </c>
      <c r="FX13">
        <f>IFERROR(VLOOKUP($D13,'Kalkulator mięs '!$C$5:$H$533,FX$4,0)*$AD13,0)</f>
        <v>0</v>
      </c>
      <c r="FY13">
        <f>IFERROR(VLOOKUP($D13,'Kalkulator mięs '!$C$5:$H$533,FY$4,0)*$AE13,0)</f>
        <v>0</v>
      </c>
      <c r="FZ13">
        <f>IFERROR(VLOOKUP($D13,'Kalkulator mięs '!$C$5:$H$533,FZ$4,0)*$AE13,0)</f>
        <v>0</v>
      </c>
      <c r="GA13">
        <f>IFERROR(VLOOKUP($D13,'Kalkulator mięs '!$C$5:$H$533,GA$4,0)*$AE13,0)</f>
        <v>0</v>
      </c>
      <c r="GB13">
        <f>IFERROR(VLOOKUP($D13,'Kalkulator mięs '!$C$5:$H$533,GB$4,0)*$AF13,0)</f>
        <v>0</v>
      </c>
      <c r="GC13">
        <f>IFERROR(VLOOKUP($D13,'Kalkulator mięs '!$C$5:$H$533,GC$4,0)*$AF13,0)</f>
        <v>0</v>
      </c>
      <c r="GD13">
        <f>IFERROR(VLOOKUP($D13,'Kalkulator mięs '!$C$5:$H$533,GD$4,0)*$AF13,0)</f>
        <v>0</v>
      </c>
      <c r="GE13">
        <f>IFERROR(VLOOKUP($D13,'Kalkulator mięs '!$C$5:$H$533,GE$4,0)*$AG13,0)</f>
        <v>0</v>
      </c>
      <c r="GF13">
        <f>IFERROR(VLOOKUP($D13,'Kalkulator mięs '!$C$5:$H$533,GF$4,0)*$AG13,0)</f>
        <v>0</v>
      </c>
      <c r="GG13">
        <f>IFERROR(VLOOKUP($D13,'Kalkulator mięs '!$C$5:$H$533,GG$4,0)*$AG13,0)</f>
        <v>0</v>
      </c>
      <c r="GH13">
        <f>IFERROR(VLOOKUP($D13,'Kalkulator mięs '!$C$5:$H$533,GH$4,0)*$AH13,0)</f>
        <v>0</v>
      </c>
      <c r="GI13">
        <f>IFERROR(VLOOKUP($D13,'Kalkulator mięs '!$C$5:$H$533,GI$4,0)*$AH13,0)</f>
        <v>0</v>
      </c>
      <c r="GJ13">
        <f>IFERROR(VLOOKUP($D13,'Kalkulator mięs '!$C$5:$H$533,GJ$4,0)*$AH13,0)</f>
        <v>0</v>
      </c>
      <c r="GK13">
        <f>IFERROR(VLOOKUP($D13,'Kalkulator mięs '!$C$5:$H$533,GK$4,0)*$AI13,0)</f>
        <v>0</v>
      </c>
      <c r="GL13">
        <f>IFERROR(VLOOKUP($D13,'Kalkulator mięs '!$C$5:$H$533,GL$4,0)*$AI13,0)</f>
        <v>0</v>
      </c>
      <c r="GM13">
        <f>IFERROR(VLOOKUP($D13,'Kalkulator mięs '!$C$5:$H$533,GM$4,0)*$AI13,0)</f>
        <v>0</v>
      </c>
      <c r="GN13">
        <f>IFERROR(VLOOKUP($D13,'Kalkulator mięs '!$C$5:$H$533,GN$4,0)*$AJ13,0)</f>
        <v>0</v>
      </c>
      <c r="GO13">
        <f>IFERROR(VLOOKUP($D13,'Kalkulator mięs '!$C$5:$H$533,GO$4,0)*$AJ13,0)</f>
        <v>0</v>
      </c>
      <c r="GP13">
        <f>IFERROR(VLOOKUP($D13,'Kalkulator mięs '!$C$5:$H$533,GP$4,0)*$AJ13,0)</f>
        <v>1522.92</v>
      </c>
      <c r="GQ13">
        <f>IFERROR(VLOOKUP($D13,'Kalkulator mięs '!$C$5:$H$533,GQ$4,0)*$AK13,0)</f>
        <v>0</v>
      </c>
      <c r="GR13">
        <f>IFERROR(VLOOKUP($D13,'Kalkulator mięs '!$C$5:$H$533,GR$4,0)*$AK13,0)</f>
        <v>0</v>
      </c>
      <c r="GS13">
        <f>IFERROR(VLOOKUP($D13,'Kalkulator mięs '!$C$5:$H$533,GS$4,0)*$AK13,0)</f>
        <v>0</v>
      </c>
      <c r="GT13">
        <f>IFERROR(VLOOKUP($D13,'Kalkulator mięs '!$C$5:$H$533,GT$4,0)*$AL13,0)</f>
        <v>0</v>
      </c>
      <c r="GU13">
        <f>IFERROR(VLOOKUP($D13,'Kalkulator mięs '!$C$5:$H$533,GU$4,0)*$AL13,0)</f>
        <v>0</v>
      </c>
      <c r="GV13">
        <f>IFERROR(VLOOKUP($D13,'Kalkulator mięs '!$C$5:$H$533,GV$4,0)*$AL13,0)</f>
        <v>0</v>
      </c>
      <c r="GW13">
        <f>IFERROR(VLOOKUP($D13,'Kalkulator mięs '!$C$5:$H$533,GW$4,0)*$AM13,0)</f>
        <v>0</v>
      </c>
      <c r="GX13">
        <f>IFERROR(VLOOKUP($D13,'Kalkulator mięs '!$C$5:$H$533,GX$4,0)*$AM13,0)</f>
        <v>0</v>
      </c>
      <c r="GY13">
        <f>IFERROR(VLOOKUP($D13,'Kalkulator mięs '!$C$5:$H$533,GY$4,0)*$AM13,0)</f>
        <v>0</v>
      </c>
      <c r="GZ13">
        <f>IFERROR(VLOOKUP($D13,'Kalkulator mięs '!$C$5:$H$533,GZ$4,0)*$AN13,0)</f>
        <v>0</v>
      </c>
      <c r="HA13">
        <f>IFERROR(VLOOKUP($D13,'Kalkulator mięs '!$C$5:$H$533,HA$4,0)*$AN13,0)</f>
        <v>0</v>
      </c>
      <c r="HB13">
        <f>IFERROR(VLOOKUP($D13,'Kalkulator mięs '!$C$5:$H$533,HB$4,0)*$AN13,0)</f>
        <v>0</v>
      </c>
      <c r="HC13">
        <f>IFERROR(VLOOKUP($D13,'Kalkulator mięs '!$C$5:$H$533,HC$4,0)*$AO13,0)</f>
        <v>0</v>
      </c>
      <c r="HD13">
        <f>IFERROR(VLOOKUP($D13,'Kalkulator mięs '!$C$5:$H$533,HD$4,0)*$AO13,0)</f>
        <v>0</v>
      </c>
      <c r="HE13">
        <f>IFERROR(VLOOKUP($D13,'Kalkulator mięs '!$C$5:$H$533,HE$4,0)*$AO13,0)</f>
        <v>0</v>
      </c>
      <c r="HF13">
        <f>IFERROR(VLOOKUP($D13,'Kalkulator mięs '!$C$5:$H$533,HF$4,0)*$AP13,0)</f>
        <v>0</v>
      </c>
      <c r="HG13">
        <f>IFERROR(VLOOKUP($D13,'Kalkulator mięs '!$C$5:$H$533,HG$4,0)*$AP13,0)</f>
        <v>0</v>
      </c>
      <c r="HH13">
        <f>IFERROR(VLOOKUP($D13,'Kalkulator mięs '!$C$5:$H$533,HH$4,0)*$AP13,0)</f>
        <v>0</v>
      </c>
      <c r="HI13">
        <f>IFERROR(VLOOKUP($D13,'Kalkulator mięs '!$C$5:$H$533,HI$4,0)*$AQ13,0)</f>
        <v>0</v>
      </c>
      <c r="HJ13">
        <f>IFERROR(VLOOKUP($D13,'Kalkulator mięs '!$C$5:$H$533,HJ$4,0)*$AQ13,0)</f>
        <v>0</v>
      </c>
      <c r="HK13">
        <f>IFERROR(VLOOKUP($D13,'Kalkulator mięs '!$C$5:$H$533,HK$4,0)*$AQ13,0)</f>
        <v>0</v>
      </c>
      <c r="HL13">
        <f>IFERROR(VLOOKUP($D13,'Kalkulator mięs '!$C$5:$H$533,HL$4,0)*$AR13,0)</f>
        <v>0</v>
      </c>
      <c r="HM13">
        <f>IFERROR(VLOOKUP($D13,'Kalkulator mięs '!$C$5:$H$533,HM$4,0)*$AR13,0)</f>
        <v>0</v>
      </c>
      <c r="HN13">
        <f>IFERROR(VLOOKUP($D13,'Kalkulator mięs '!$C$5:$H$533,HN$4,0)*$AR13,0)</f>
        <v>0</v>
      </c>
      <c r="HO13">
        <f>IFERROR(VLOOKUP($D13,'Kalkulator mięs '!$C$5:$H$533,HO$4,0)*$AS13,0)</f>
        <v>0</v>
      </c>
      <c r="HP13">
        <f>IFERROR(VLOOKUP($D13,'Kalkulator mięs '!$C$5:$H$533,HP$4,0)*$AS13,0)</f>
        <v>0</v>
      </c>
      <c r="HQ13">
        <f>IFERROR(VLOOKUP($D13,'Kalkulator mięs '!$C$5:$H$533,HQ$4,0)*$AS13,0)</f>
        <v>0</v>
      </c>
      <c r="HR13">
        <f>IFERROR(VLOOKUP($D13,'Kalkulator mięs '!$C$5:$H$533,HR$4,0)*$AT13,0)</f>
        <v>0</v>
      </c>
      <c r="HS13">
        <f>IFERROR(VLOOKUP($D13,'Kalkulator mięs '!$C$5:$H$533,HS$4,0)*$AT13,0)</f>
        <v>0</v>
      </c>
      <c r="HT13">
        <f>IFERROR(VLOOKUP($D13,'Kalkulator mięs '!$C$5:$H$533,HT$4,0)*$AT13,0)</f>
        <v>0</v>
      </c>
      <c r="HU13">
        <f>IFERROR(VLOOKUP($D13,'Kalkulator mięs '!$C$5:$H$533,HU$4,0)*$AU13,0)</f>
        <v>0</v>
      </c>
      <c r="HV13">
        <f>IFERROR(VLOOKUP($D13,'Kalkulator mięs '!$C$5:$H$533,HV$4,0)*$AU13,0)</f>
        <v>0</v>
      </c>
      <c r="HW13">
        <f>IFERROR(VLOOKUP($D13,'Kalkulator mięs '!$C$5:$H$533,HW$4,0)*$AU13,0)</f>
        <v>0</v>
      </c>
      <c r="HX13">
        <f>IFERROR(VLOOKUP($D13,'Kalkulator mięs '!$C$5:$H$533,HX$4,0)*$AV13,0)</f>
        <v>0</v>
      </c>
      <c r="HY13">
        <f>IFERROR(VLOOKUP($D13,'Kalkulator mięs '!$C$5:$H$533,HY$4,0)*$AV13,0)</f>
        <v>0</v>
      </c>
      <c r="HZ13">
        <f>IFERROR(VLOOKUP($D13,'Kalkulator mięs '!$C$5:$H$533,HZ$4,0)*$AV13,0)</f>
        <v>0</v>
      </c>
      <c r="IA13">
        <f>IFERROR(VLOOKUP($D13,'Kalkulator mięs '!$C$5:$H$533,IA$4,0)*$AW13,0)</f>
        <v>0</v>
      </c>
      <c r="IB13">
        <f>IFERROR(VLOOKUP($D13,'Kalkulator mięs '!$C$5:$H$533,IB$4,0)*$AW13,0)</f>
        <v>0</v>
      </c>
      <c r="IC13">
        <f>IFERROR(VLOOKUP($D13,'Kalkulator mięs '!$C$5:$H$533,IC$4,0)*$AW13,0)</f>
        <v>0</v>
      </c>
      <c r="ID13">
        <f>IFERROR(VLOOKUP($D13,'Kalkulator mięs '!$C$5:$H$533,ID$4,0)*$AX13,0)</f>
        <v>0</v>
      </c>
      <c r="IE13">
        <f>IFERROR(VLOOKUP($D13,'Kalkulator mięs '!$C$5:$H$533,IE$4,0)*$AX13,0)</f>
        <v>0</v>
      </c>
      <c r="IF13">
        <f>IFERROR(VLOOKUP($D13,'Kalkulator mięs '!$C$5:$H$533,IF$4,0)*$AX13,0)</f>
        <v>0</v>
      </c>
      <c r="IG13">
        <f>IFERROR(VLOOKUP($D13,'Kalkulator mięs '!$C$5:$H$533,IG$4,0)*$AY13,0)</f>
        <v>0</v>
      </c>
      <c r="IH13">
        <f>IFERROR(VLOOKUP($D13,'Kalkulator mięs '!$C$5:$H$533,IH$4,0)*$AY13,0)</f>
        <v>0</v>
      </c>
      <c r="II13">
        <f>IFERROR(VLOOKUP($D13,'Kalkulator mięs '!$C$5:$H$533,II$4,0)*$AY13,0)</f>
        <v>0</v>
      </c>
      <c r="IJ13">
        <f>IFERROR(VLOOKUP($D13,'Kalkulator mięs '!$C$5:$H$533,IJ$4,0)*$AZ13,0)</f>
        <v>0</v>
      </c>
      <c r="IK13">
        <f>IFERROR(VLOOKUP($D13,'Kalkulator mięs '!$C$5:$H$533,IK$4,0)*$AZ13,0)</f>
        <v>0</v>
      </c>
      <c r="IL13">
        <f>IFERROR(VLOOKUP($D13,'Kalkulator mięs '!$C$5:$H$533,IL$4,0)*$AZ13,0)</f>
        <v>0</v>
      </c>
      <c r="IM13">
        <f>IFERROR(VLOOKUP($D13,'Kalkulator mięs '!$C$5:$H$533,IM$4,0)*$BA13,0)</f>
        <v>0</v>
      </c>
      <c r="IN13">
        <f>IFERROR(VLOOKUP($D13,'Kalkulator mięs '!$C$5:$H$533,IN$4,0)*$BA13,0)</f>
        <v>0</v>
      </c>
      <c r="IO13">
        <f>IFERROR(VLOOKUP($D13,'Kalkulator mięs '!$C$5:$H$533,IO$4,0)*$BA13,0)</f>
        <v>0</v>
      </c>
    </row>
    <row r="14" spans="2:249" ht="15.75">
      <c r="B14" t="str">
        <f>VLOOKUP(D14,Receptury_z!$A:$B,2,0)</f>
        <v>ON</v>
      </c>
      <c r="C14" s="16">
        <v>5560</v>
      </c>
      <c r="D14" s="19">
        <v>7058</v>
      </c>
      <c r="E14" s="18" t="s">
        <v>25</v>
      </c>
      <c r="F14" s="14">
        <f>IF($B14="OFF",BE14,VLOOKUP($D14,Receptury_z!$D:$AI,F$4,0))</f>
        <v>0</v>
      </c>
      <c r="G14" s="14">
        <f>IF($B14="OFF",BF14,VLOOKUP($D14,Receptury_z!$D:$AI,G$4,0))</f>
        <v>0</v>
      </c>
      <c r="H14" s="14">
        <f>IF($B14="OFF",BG14,VLOOKUP($D14,Receptury_z!$D:$AI,H$4,0))</f>
        <v>0</v>
      </c>
      <c r="I14" s="14">
        <f>IF($B14="OFF",BH14,VLOOKUP($D14,Receptury_z!$D:$AI,I$4,0))</f>
        <v>0</v>
      </c>
      <c r="J14" s="14">
        <f>IF($B14="OFF",BI14,VLOOKUP($D14,Receptury_z!$D:$AI,J$4,0))</f>
        <v>0</v>
      </c>
      <c r="K14" s="14">
        <f>IF($B14="OFF",BJ14,VLOOKUP($D14,Receptury_z!$D:$AI,K$4,0))</f>
        <v>0</v>
      </c>
      <c r="L14" s="14">
        <f>IF($B14="OFF",BK14,VLOOKUP($D14,Receptury_z!$D:$AI,L$4,0))</f>
        <v>0</v>
      </c>
      <c r="M14" s="14">
        <f>IF($B14="OFF",BL14,VLOOKUP($D14,Receptury_z!$D:$AI,M$4,0))</f>
        <v>0</v>
      </c>
      <c r="N14" s="14">
        <f>IF($B14="OFF",BM14,VLOOKUP($D14,Receptury_z!$D:$AI,N$4,0))</f>
        <v>0</v>
      </c>
      <c r="O14" s="14">
        <f>IF($B14="OFF",BN14,VLOOKUP($D14,Receptury_z!$D:$AI,O$4,0))</f>
        <v>0</v>
      </c>
      <c r="P14" s="14">
        <f>IF($B14="OFF",BO14,VLOOKUP($D14,Receptury_z!$D:$AI,P$4,0))</f>
        <v>0</v>
      </c>
      <c r="Q14" s="14">
        <f>IF($B14="OFF",BP14,VLOOKUP($D14,Receptury_z!$D:$AI,Q$4,0))</f>
        <v>0</v>
      </c>
      <c r="R14" s="14">
        <f>IF($B14="OFF",BQ14,VLOOKUP($D14,Receptury_z!$D:$AI,R$4,0))</f>
        <v>0</v>
      </c>
      <c r="S14" s="14">
        <f>IF($B14="OFF",BR14,VLOOKUP($D14,Receptury_z!$D:$AI,S$4,0))</f>
        <v>0</v>
      </c>
      <c r="T14" s="14">
        <f>IF($B14="OFF",BS14,VLOOKUP($D14,Receptury_z!$D:$AI,T$4,0))</f>
        <v>122.5</v>
      </c>
      <c r="U14" s="14">
        <f>IF($B14="OFF",BT14,VLOOKUP($D14,Receptury_z!$D:$AI,U$4,0))</f>
        <v>258.8</v>
      </c>
      <c r="V14" s="14">
        <f>IF($B14="OFF",BU14,VLOOKUP($D14,Receptury_z!$D:$AI,V$4,0))</f>
        <v>0</v>
      </c>
      <c r="W14" s="14">
        <f>IF($B14="OFF",BV14,VLOOKUP($D14,Receptury_z!$D:$AI,W$4,0))</f>
        <v>0</v>
      </c>
      <c r="X14" s="14">
        <f>IF($B14="OFF",BW14,VLOOKUP($D14,Receptury_z!$D:$AI,X$4,0))</f>
        <v>51.8</v>
      </c>
      <c r="Y14" s="14">
        <f>IF($B14="OFF",BX14,VLOOKUP($D14,Receptury_z!$D:$AI,Y$4,0))</f>
        <v>0</v>
      </c>
      <c r="Z14" s="14">
        <f>IF($B14="OFF",BY14,VLOOKUP($D14,Receptury_z!$D:$AI,Z$4,0))</f>
        <v>0</v>
      </c>
      <c r="AA14" s="14">
        <f>IF($B14="OFF",BZ14,VLOOKUP($D14,Receptury_z!$D:$AI,AA$4,0))</f>
        <v>0</v>
      </c>
      <c r="AB14" s="14">
        <f>IF($B14="OFF",CA14,VLOOKUP($D14,Receptury_z!$D:$AI,AB$4,0))</f>
        <v>69</v>
      </c>
      <c r="AC14" s="14">
        <f>IF($B14="OFF",CB14,VLOOKUP($D14,Receptury_z!$D:$AI,AC$4,0))</f>
        <v>0</v>
      </c>
      <c r="AD14" s="14">
        <f>IF($B14="OFF",CC14,VLOOKUP($D14,Receptury_z!$D:$AI,AD$4,0))</f>
        <v>0</v>
      </c>
      <c r="AE14" s="14">
        <f>IF($B14="OFF",CD14,VLOOKUP($D14,Receptury_z!$D:$AI,AE$4,0))</f>
        <v>0</v>
      </c>
      <c r="AF14" s="14">
        <f>IF($B14="OFF",CE14,VLOOKUP($D14,Receptury_z!$D:$AI,AF$4,0))</f>
        <v>0</v>
      </c>
      <c r="AG14" s="14">
        <f>IF($B14="OFF",CF14,VLOOKUP($D14,Receptury_z!$D:$AI,AG$4,0))</f>
        <v>0</v>
      </c>
      <c r="AH14" s="14">
        <f>IF($B14="OFF",CG14,VLOOKUP($D14,Receptury_z!$D:$AI,AH$4,0))</f>
        <v>50</v>
      </c>
      <c r="AI14" s="14">
        <f>IF($B14="OFF",CH14,VLOOKUP($D14,Receptury_z!$D:$AI,AI$4,0))</f>
        <v>0</v>
      </c>
      <c r="AJ14" s="14">
        <f>IF($B14="OFF",CI14,VLOOKUP($D14,Receptury_z!$D:$AS,AJ$4,0))</f>
        <v>310.60000000000002</v>
      </c>
      <c r="AK14" s="14">
        <f>IF($B14="OFF",CJ14,VLOOKUP($D14,Receptury_z!$D:$AS,AK$4,0))</f>
        <v>0</v>
      </c>
      <c r="AL14" s="14">
        <f>IF($B14="OFF",CK14,VLOOKUP($D14,Receptury_z!$D:$AS,AL$4,0))</f>
        <v>0</v>
      </c>
      <c r="AM14" s="14">
        <f>IF($B14="OFF",CL14,VLOOKUP($D14,Receptury_z!$D:$AS,AM$4,0))</f>
        <v>0</v>
      </c>
      <c r="AN14" s="14">
        <f>IF($B14="OFF",CM14,VLOOKUP($D14,Receptury_z!$D:$AS,AN$4,0))</f>
        <v>0</v>
      </c>
      <c r="AO14" s="14">
        <f>IF($B14="OFF",CN14,VLOOKUP($D14,Receptury_z!$D:$AS,AO$4,0))</f>
        <v>0</v>
      </c>
      <c r="AP14" s="14">
        <f>IF($B14="OFF",CO14,VLOOKUP($D14,Receptury_z!$D:$AS,AP$4,0))</f>
        <v>0</v>
      </c>
      <c r="AQ14" s="14">
        <f>IF($B14="OFF",CP14,VLOOKUP($D14,Receptury_z!$D:$AS,AQ$4,0))</f>
        <v>0</v>
      </c>
      <c r="AR14" s="14">
        <f>IF($B14="OFF",CQ14,VLOOKUP($D14,Receptury_z!$D:$AS,AR$4,0))</f>
        <v>0</v>
      </c>
      <c r="AS14" s="14">
        <f>IF($B14="OFF",CR14,VLOOKUP($D14,Receptury_z!$D:$AS,AS$4,0))</f>
        <v>0</v>
      </c>
      <c r="AT14" s="14">
        <f>IF($B14="OFF",CS14,VLOOKUP($D14,Receptury_z!$D:$AV,AT$4,0))</f>
        <v>0</v>
      </c>
      <c r="AU14" s="14">
        <f>IF($B14="OFF",CT14,VLOOKUP($D14,Receptury_z!$D:$AV,AU$4,0))</f>
        <v>0</v>
      </c>
      <c r="AV14" s="14">
        <f>IF($B14="OFF",CU14,VLOOKUP($D14,Receptury_z!$D:$AV,AV$4,0))</f>
        <v>0</v>
      </c>
      <c r="AW14" s="14">
        <f>IF($B14="OFF",CV14,VLOOKUP($D14,Receptury_z!$D:$BA,AW$4,0))</f>
        <v>0</v>
      </c>
      <c r="AX14" s="14">
        <f>IF($B14="OFF",CW14,VLOOKUP($D14,Receptury_z!$D:$BA,AX$4,0))</f>
        <v>0</v>
      </c>
      <c r="AY14" s="14">
        <f>IF($B14="OFF",CX14,VLOOKUP($D14,Receptury_z!$D:$BA,AY$4,0))</f>
        <v>0</v>
      </c>
      <c r="AZ14" s="14">
        <f>IF($B14="OFF",DA14,VLOOKUP($D14,Receptury_z!$D:$BA,AZ$4,0))</f>
        <v>0</v>
      </c>
      <c r="BA14" s="14">
        <f>IF($B14="OFF",DB14,VLOOKUP($D14,Receptury_z!$D:$BA,BA$4,0))</f>
        <v>0</v>
      </c>
      <c r="BC14" s="19">
        <v>7058</v>
      </c>
      <c r="BD14" s="18" t="s">
        <v>25</v>
      </c>
      <c r="BE14" s="239">
        <v>0</v>
      </c>
      <c r="BF14" s="239">
        <v>0</v>
      </c>
      <c r="BG14" s="239">
        <v>0</v>
      </c>
      <c r="BH14" s="239">
        <v>0</v>
      </c>
      <c r="BI14" s="239">
        <v>0</v>
      </c>
      <c r="BJ14" s="239">
        <v>0</v>
      </c>
      <c r="BK14" s="239">
        <v>0</v>
      </c>
      <c r="BL14" s="239">
        <v>0</v>
      </c>
      <c r="BM14" s="239">
        <v>0</v>
      </c>
      <c r="BN14" s="239">
        <v>0</v>
      </c>
      <c r="BO14" s="239">
        <v>0</v>
      </c>
      <c r="BP14" s="239">
        <v>0</v>
      </c>
      <c r="BQ14" s="239">
        <v>0</v>
      </c>
      <c r="BR14" s="239">
        <v>0</v>
      </c>
      <c r="BS14" s="239">
        <v>172.5</v>
      </c>
      <c r="BT14" s="239">
        <v>258.8</v>
      </c>
      <c r="BU14" s="239">
        <v>0</v>
      </c>
      <c r="BV14" s="239">
        <v>0</v>
      </c>
      <c r="BW14" s="239">
        <v>51.8</v>
      </c>
      <c r="BX14" s="239">
        <v>0</v>
      </c>
      <c r="BY14" s="239">
        <v>0</v>
      </c>
      <c r="BZ14" s="239">
        <v>0</v>
      </c>
      <c r="CA14" s="239">
        <v>69</v>
      </c>
      <c r="CB14" s="239">
        <v>0</v>
      </c>
      <c r="CC14" s="239">
        <v>0</v>
      </c>
      <c r="CD14" s="239">
        <v>0</v>
      </c>
      <c r="CE14" s="239">
        <v>0</v>
      </c>
      <c r="CF14" s="239">
        <v>0</v>
      </c>
      <c r="CG14" s="239">
        <v>0</v>
      </c>
      <c r="CH14" s="239">
        <v>0</v>
      </c>
      <c r="CI14" s="239">
        <v>310.60000000000002</v>
      </c>
      <c r="CJ14" s="239">
        <v>0</v>
      </c>
      <c r="CK14" s="239">
        <v>0</v>
      </c>
      <c r="CL14" s="239">
        <v>0</v>
      </c>
      <c r="CM14" s="80"/>
      <c r="CN14" s="80"/>
      <c r="CO14" s="80"/>
      <c r="CP14" s="80"/>
      <c r="CQ14" s="80"/>
      <c r="CR14" s="80"/>
      <c r="CS14" s="80"/>
      <c r="CT14" s="80"/>
      <c r="CU14" s="80"/>
      <c r="CV14" s="80"/>
      <c r="CW14" s="80"/>
      <c r="CX14" s="80"/>
      <c r="CY14" s="80"/>
      <c r="CZ14" s="80"/>
      <c r="DB14">
        <f>IFERROR(VLOOKUP($D14,'Kalkulator mięs '!$C$5:$H$533,DB$4,0)*F14,0)</f>
        <v>0</v>
      </c>
      <c r="DC14">
        <f>IFERROR(VLOOKUP($D14,'Kalkulator mięs '!$C$5:$H$533,DC$4,0)*F14,0)</f>
        <v>0</v>
      </c>
      <c r="DD14">
        <f>IFERROR(VLOOKUP($D14,'Kalkulator mięs '!$C$5:$H$533,DD$4,0)*F14,0)</f>
        <v>0</v>
      </c>
      <c r="DE14">
        <f>IFERROR(VLOOKUP($D14,'Kalkulator mięs '!$C$5:$H$533,DE$4,0)*$G14,0)</f>
        <v>0</v>
      </c>
      <c r="DF14">
        <f>IFERROR(VLOOKUP($D14,'Kalkulator mięs '!$C$5:$H$533,DF$4,0)*$G14,0)</f>
        <v>0</v>
      </c>
      <c r="DG14">
        <f>IFERROR(VLOOKUP($D14,'Kalkulator mięs '!$C$5:$H$533,DG$4,0)*$G14,0)</f>
        <v>0</v>
      </c>
      <c r="DH14">
        <f>IFERROR(VLOOKUP($D14,'Kalkulator mięs '!$C$5:$H$533,DH$4,0)*$H14,0)</f>
        <v>0</v>
      </c>
      <c r="DI14">
        <f>IFERROR(VLOOKUP($D14,'Kalkulator mięs '!$C$5:$H$533,DI$4,0)*$H14,0)</f>
        <v>0</v>
      </c>
      <c r="DJ14">
        <f>IFERROR(VLOOKUP($D14,'Kalkulator mięs '!$C$5:$H$533,DJ$4,0)*$H14,0)</f>
        <v>0</v>
      </c>
      <c r="DK14">
        <f>IFERROR(VLOOKUP($D14,'Kalkulator mięs '!$C$5:$H$533,DK$4,0)*$I14,0)</f>
        <v>0</v>
      </c>
      <c r="DL14">
        <f>IFERROR(VLOOKUP($D14,'Kalkulator mięs '!$C$5:$H$533,DL$4,0)*$I14,0)</f>
        <v>0</v>
      </c>
      <c r="DM14">
        <f>IFERROR(VLOOKUP($D14,'Kalkulator mięs '!$C$5:$H$533,DM$4,0)*$I14,0)</f>
        <v>0</v>
      </c>
      <c r="DN14">
        <f>IFERROR(VLOOKUP($D14,'Kalkulator mięs '!$C$5:$H$533,DN$4,0)*$J14,0)</f>
        <v>0</v>
      </c>
      <c r="DO14">
        <f>IFERROR(VLOOKUP($D14,'Kalkulator mięs '!$C$5:$H$533,DO$4,0)*$J14,0)</f>
        <v>0</v>
      </c>
      <c r="DP14">
        <f>IFERROR(VLOOKUP($D14,'Kalkulator mięs '!$C$5:$H$533,DP$4,0)*$J14,0)</f>
        <v>0</v>
      </c>
      <c r="DQ14">
        <f>IFERROR(VLOOKUP($D14,'Kalkulator mięs '!$C$5:$H$533,DQ$4,0)*$K14,0)</f>
        <v>0</v>
      </c>
      <c r="DR14">
        <f>IFERROR(VLOOKUP($D14,'Kalkulator mięs '!$C$5:$H$533,DR$4,0)*$K14,0)</f>
        <v>0</v>
      </c>
      <c r="DS14">
        <f>IFERROR(VLOOKUP($D14,'Kalkulator mięs '!$C$5:$H$533,DS$4,0)*$K14,0)</f>
        <v>0</v>
      </c>
      <c r="DT14">
        <f>IFERROR(VLOOKUP($D14,'Kalkulator mięs '!$C$5:$H$533,DT$4,0)*$L14,0)</f>
        <v>0</v>
      </c>
      <c r="DU14">
        <f>IFERROR(VLOOKUP($D14,'Kalkulator mięs '!$C$5:$H$533,DU$4,0)*$L14,0)</f>
        <v>0</v>
      </c>
      <c r="DV14">
        <f>IFERROR(VLOOKUP($D14,'Kalkulator mięs '!$C$5:$H$533,DV$4,0)*$L14,0)</f>
        <v>0</v>
      </c>
      <c r="DW14">
        <f>IFERROR(VLOOKUP($D14,'Kalkulator mięs '!$C$5:$H$533,DW$4,0)*$M14,0)</f>
        <v>0</v>
      </c>
      <c r="DX14">
        <f>IFERROR(VLOOKUP($D14,'Kalkulator mięs '!$C$5:$H$533,DX$4,0)*$M14,0)</f>
        <v>0</v>
      </c>
      <c r="DY14">
        <f>IFERROR(VLOOKUP($D14,'Kalkulator mięs '!$C$5:$H$533,DY$4,0)*$M14,0)</f>
        <v>0</v>
      </c>
      <c r="DZ14">
        <f>IFERROR(VLOOKUP($D14,'Kalkulator mięs '!$C$5:$H$533,DZ$4,0)*$N14,0)</f>
        <v>0</v>
      </c>
      <c r="EA14">
        <f>IFERROR(VLOOKUP($D14,'Kalkulator mięs '!$C$5:$H$533,EA$4,0)*$N14,0)</f>
        <v>0</v>
      </c>
      <c r="EB14">
        <f>IFERROR(VLOOKUP($D14,'Kalkulator mięs '!$C$5:$H$533,EB$4,0)*$N14,0)</f>
        <v>0</v>
      </c>
      <c r="EC14">
        <f>IFERROR(VLOOKUP($D14,'Kalkulator mięs '!$C$5:$H$533,EC$4,0)*$O14,0)</f>
        <v>0</v>
      </c>
      <c r="ED14">
        <f>IFERROR(VLOOKUP($D14,'Kalkulator mięs '!$C$5:$H$533,ED$4,0)*$O14,0)</f>
        <v>0</v>
      </c>
      <c r="EE14">
        <f>IFERROR(VLOOKUP($D14,'Kalkulator mięs '!$C$5:$H$533,EE$4,0)*$O14,0)</f>
        <v>0</v>
      </c>
      <c r="EF14">
        <f>IFERROR(VLOOKUP($D14,'Kalkulator mięs '!$C$5:$H$533,EF$4,0)*$P14,0)</f>
        <v>0</v>
      </c>
      <c r="EG14">
        <f>IFERROR(VLOOKUP($D14,'Kalkulator mięs '!$C$5:$H$533,EG$4,0)*$P14,0)</f>
        <v>0</v>
      </c>
      <c r="EH14">
        <f>IFERROR(VLOOKUP($D14,'Kalkulator mięs '!$C$5:$H$533,EH$4,0)*$P14,0)</f>
        <v>0</v>
      </c>
      <c r="EI14">
        <f>IFERROR(VLOOKUP($D14,'Kalkulator mięs '!$C$5:$H$533,EI$4,0)*$Q14,0)</f>
        <v>0</v>
      </c>
      <c r="EJ14">
        <f>IFERROR(VLOOKUP($D14,'Kalkulator mięs '!$C$5:$H$533,EJ$4,0)*$Q14,0)</f>
        <v>0</v>
      </c>
      <c r="EK14">
        <f>IFERROR(VLOOKUP($D14,'Kalkulator mięs '!$C$5:$H$533,EK$4,0)*$Q14,0)</f>
        <v>0</v>
      </c>
      <c r="EL14">
        <f>IFERROR(VLOOKUP($D14,'Kalkulator mięs '!$C$5:$H$533,EL$4,0)*$R14,0)</f>
        <v>0</v>
      </c>
      <c r="EM14">
        <f>IFERROR(VLOOKUP($D14,'Kalkulator mięs '!$C$5:$H$533,EM$4,0)*$R14,0)</f>
        <v>0</v>
      </c>
      <c r="EN14">
        <f>IFERROR(VLOOKUP($D14,'Kalkulator mięs '!$C$5:$H$533,EN$4,0)*$R14,0)</f>
        <v>0</v>
      </c>
      <c r="EO14">
        <f>IFERROR(VLOOKUP($D14,'Kalkulator mięs '!$C$5:$H$533,EO$4,0)*$S14,0)</f>
        <v>0</v>
      </c>
      <c r="EP14">
        <f>IFERROR(VLOOKUP($D14,'Kalkulator mięs '!$C$5:$H$533,EP$4,0)*$S14,0)</f>
        <v>0</v>
      </c>
      <c r="EQ14">
        <f>IFERROR(VLOOKUP($D14,'Kalkulator mięs '!$C$5:$H$533,EQ$4,0)*$S14,0)</f>
        <v>0</v>
      </c>
      <c r="ER14">
        <f>IFERROR(VLOOKUP($D14,'Kalkulator mięs '!$C$5:$H$533,ER$4,0)*$T14,0)</f>
        <v>0</v>
      </c>
      <c r="ES14">
        <f>IFERROR(VLOOKUP($D14,'Kalkulator mięs '!$C$5:$H$533,ES$4,0)*$T14,0)</f>
        <v>0</v>
      </c>
      <c r="ET14">
        <f>IFERROR(VLOOKUP($D14,'Kalkulator mięs '!$C$5:$H$533,ET$4,0)*$T14,0)</f>
        <v>0</v>
      </c>
      <c r="EU14">
        <f>IFERROR(VLOOKUP($D14,'Kalkulator mięs '!$C$5:$H$533,EU$4,0)*$U14,0)</f>
        <v>0</v>
      </c>
      <c r="EV14">
        <f>IFERROR(VLOOKUP($D14,'Kalkulator mięs '!$C$5:$H$533,EV$4,0)*$U14,0)</f>
        <v>0</v>
      </c>
      <c r="EW14">
        <f>IFERROR(VLOOKUP($D14,'Kalkulator mięs '!$C$5:$H$533,EW$4,0)*$U14,0)</f>
        <v>0</v>
      </c>
      <c r="EX14">
        <f>IFERROR(VLOOKUP($D14,'Kalkulator mięs '!$C$5:$H$533,EX$4,0)*$V14,0)</f>
        <v>0</v>
      </c>
      <c r="EY14">
        <f>IFERROR(VLOOKUP($D14,'Kalkulator mięs '!$C$5:$H$533,EY$4,0)*$V14,0)</f>
        <v>0</v>
      </c>
      <c r="EZ14">
        <f>IFERROR(VLOOKUP($D14,'Kalkulator mięs '!$C$5:$H$533,EZ$4,0)*$V14,0)</f>
        <v>0</v>
      </c>
      <c r="FA14">
        <f>IFERROR(VLOOKUP($D14,'Kalkulator mięs '!$C$5:$H$533,FA$4,0)*$W14,0)</f>
        <v>0</v>
      </c>
      <c r="FB14">
        <f>IFERROR(VLOOKUP($D14,'Kalkulator mięs '!$C$5:$H$533,FB$4,0)*$W14,0)</f>
        <v>0</v>
      </c>
      <c r="FC14">
        <f>IFERROR(VLOOKUP($D14,'Kalkulator mięs '!$C$5:$H$533,FC$4,0)*$W14,0)</f>
        <v>0</v>
      </c>
      <c r="FD14">
        <f>IFERROR(VLOOKUP($D14,'Kalkulator mięs '!$C$5:$H$533,FD$4,0)*$X14,0)</f>
        <v>0</v>
      </c>
      <c r="FE14">
        <f>IFERROR(VLOOKUP($D14,'Kalkulator mięs '!$C$5:$H$533,FE$4,0)*$X14,0)</f>
        <v>0</v>
      </c>
      <c r="FF14">
        <f>IFERROR(VLOOKUP($D14,'Kalkulator mięs '!$C$5:$H$533,FF$4,0)*$X14,0)</f>
        <v>0</v>
      </c>
      <c r="FG14">
        <f>IFERROR(VLOOKUP($D14,'Kalkulator mięs '!$C$5:$H$533,FG$4,0)*$Y14,0)</f>
        <v>0</v>
      </c>
      <c r="FH14">
        <f>IFERROR(VLOOKUP($D14,'Kalkulator mięs '!$C$5:$H$533,FH$4,0)*$Y14,0)</f>
        <v>0</v>
      </c>
      <c r="FI14">
        <f>IFERROR(VLOOKUP($D14,'Kalkulator mięs '!$C$5:$H$533,FI$4,0)*$Y14,0)</f>
        <v>0</v>
      </c>
      <c r="FJ14">
        <f>IFERROR(VLOOKUP($D14,'Kalkulator mięs '!$C$5:$H$533,FJ$4,0)*$Z14,0)</f>
        <v>0</v>
      </c>
      <c r="FK14">
        <f>IFERROR(VLOOKUP($D14,'Kalkulator mięs '!$C$5:$H$533,FK$4,0)*$Z14,0)</f>
        <v>0</v>
      </c>
      <c r="FL14">
        <f>IFERROR(VLOOKUP($D14,'Kalkulator mięs '!$C$5:$H$533,FL$4,0)*$Z14,0)</f>
        <v>0</v>
      </c>
      <c r="FM14">
        <f>IFERROR(VLOOKUP($D14,'Kalkulator mięs '!$C$5:$H$533,FM$4,0)*$AA14,0)</f>
        <v>0</v>
      </c>
      <c r="FN14">
        <f>IFERROR(VLOOKUP($D14,'Kalkulator mięs '!$C$5:$H$533,FN$4,0)*$AA14,0)</f>
        <v>0</v>
      </c>
      <c r="FO14">
        <f>IFERROR(VLOOKUP($D14,'Kalkulator mięs '!$C$5:$H$533,FO$4,0)*$AA14,0)</f>
        <v>0</v>
      </c>
      <c r="FP14">
        <f>IFERROR(VLOOKUP($D14,'Kalkulator mięs '!$C$5:$H$533,FP$4,0)*$AB14,0)</f>
        <v>0</v>
      </c>
      <c r="FQ14">
        <f>IFERROR(VLOOKUP($D14,'Kalkulator mięs '!$C$5:$H$533,FQ$4,0)*$AB14,0)</f>
        <v>0</v>
      </c>
      <c r="FR14">
        <f>IFERROR(VLOOKUP($D14,'Kalkulator mięs '!$C$5:$H$533,FR$4,0)*$AB14,0)</f>
        <v>0</v>
      </c>
      <c r="FS14">
        <f>IFERROR(VLOOKUP($D14,'Kalkulator mięs '!$C$5:$H$533,FS$4,0)*$AC14,0)</f>
        <v>0</v>
      </c>
      <c r="FT14">
        <f>IFERROR(VLOOKUP($D14,'Kalkulator mięs '!$C$5:$H$533,FT$4,0)*$AC14,0)</f>
        <v>0</v>
      </c>
      <c r="FU14">
        <f>IFERROR(VLOOKUP($D14,'Kalkulator mięs '!$C$5:$H$533,FU$4,0)*$AC14,0)</f>
        <v>0</v>
      </c>
      <c r="FV14">
        <f>IFERROR(VLOOKUP($D14,'Kalkulator mięs '!$C$5:$H$533,FV$4,0)*$AD14,0)</f>
        <v>0</v>
      </c>
      <c r="FW14">
        <f>IFERROR(VLOOKUP($D14,'Kalkulator mięs '!$C$5:$H$533,FW$4,0)*$AD14,0)</f>
        <v>0</v>
      </c>
      <c r="FX14">
        <f>IFERROR(VLOOKUP($D14,'Kalkulator mięs '!$C$5:$H$533,FX$4,0)*$AD14,0)</f>
        <v>0</v>
      </c>
      <c r="FY14">
        <f>IFERROR(VLOOKUP($D14,'Kalkulator mięs '!$C$5:$H$533,FY$4,0)*$AE14,0)</f>
        <v>0</v>
      </c>
      <c r="FZ14">
        <f>IFERROR(VLOOKUP($D14,'Kalkulator mięs '!$C$5:$H$533,FZ$4,0)*$AE14,0)</f>
        <v>0</v>
      </c>
      <c r="GA14">
        <f>IFERROR(VLOOKUP($D14,'Kalkulator mięs '!$C$5:$H$533,GA$4,0)*$AE14,0)</f>
        <v>0</v>
      </c>
      <c r="GB14">
        <f>IFERROR(VLOOKUP($D14,'Kalkulator mięs '!$C$5:$H$533,GB$4,0)*$AF14,0)</f>
        <v>0</v>
      </c>
      <c r="GC14">
        <f>IFERROR(VLOOKUP($D14,'Kalkulator mięs '!$C$5:$H$533,GC$4,0)*$AF14,0)</f>
        <v>0</v>
      </c>
      <c r="GD14">
        <f>IFERROR(VLOOKUP($D14,'Kalkulator mięs '!$C$5:$H$533,GD$4,0)*$AF14,0)</f>
        <v>0</v>
      </c>
      <c r="GE14">
        <f>IFERROR(VLOOKUP($D14,'Kalkulator mięs '!$C$5:$H$533,GE$4,0)*$AG14,0)</f>
        <v>0</v>
      </c>
      <c r="GF14">
        <f>IFERROR(VLOOKUP($D14,'Kalkulator mięs '!$C$5:$H$533,GF$4,0)*$AG14,0)</f>
        <v>0</v>
      </c>
      <c r="GG14">
        <f>IFERROR(VLOOKUP($D14,'Kalkulator mięs '!$C$5:$H$533,GG$4,0)*$AG14,0)</f>
        <v>0</v>
      </c>
      <c r="GH14">
        <f>IFERROR(VLOOKUP($D14,'Kalkulator mięs '!$C$5:$H$533,GH$4,0)*$AH14,0)</f>
        <v>0</v>
      </c>
      <c r="GI14">
        <f>IFERROR(VLOOKUP($D14,'Kalkulator mięs '!$C$5:$H$533,GI$4,0)*$AH14,0)</f>
        <v>0</v>
      </c>
      <c r="GJ14">
        <f>IFERROR(VLOOKUP($D14,'Kalkulator mięs '!$C$5:$H$533,GJ$4,0)*$AH14,0)</f>
        <v>0</v>
      </c>
      <c r="GK14">
        <f>IFERROR(VLOOKUP($D14,'Kalkulator mięs '!$C$5:$H$533,GK$4,0)*$AI14,0)</f>
        <v>0</v>
      </c>
      <c r="GL14">
        <f>IFERROR(VLOOKUP($D14,'Kalkulator mięs '!$C$5:$H$533,GL$4,0)*$AI14,0)</f>
        <v>0</v>
      </c>
      <c r="GM14">
        <f>IFERROR(VLOOKUP($D14,'Kalkulator mięs '!$C$5:$H$533,GM$4,0)*$AI14,0)</f>
        <v>0</v>
      </c>
      <c r="GN14">
        <f>IFERROR(VLOOKUP($D14,'Kalkulator mięs '!$C$5:$H$533,GN$4,0)*$AJ14,0)</f>
        <v>0</v>
      </c>
      <c r="GO14">
        <f>IFERROR(VLOOKUP($D14,'Kalkulator mięs '!$C$5:$H$533,GO$4,0)*$AJ14,0)</f>
        <v>0</v>
      </c>
      <c r="GP14">
        <f>IFERROR(VLOOKUP($D14,'Kalkulator mięs '!$C$5:$H$533,GP$4,0)*$AJ14,0)</f>
        <v>0</v>
      </c>
      <c r="GQ14">
        <f>IFERROR(VLOOKUP($D14,'Kalkulator mięs '!$C$5:$H$533,GQ$4,0)*$AK14,0)</f>
        <v>0</v>
      </c>
      <c r="GR14">
        <f>IFERROR(VLOOKUP($D14,'Kalkulator mięs '!$C$5:$H$533,GR$4,0)*$AK14,0)</f>
        <v>0</v>
      </c>
      <c r="GS14">
        <f>IFERROR(VLOOKUP($D14,'Kalkulator mięs '!$C$5:$H$533,GS$4,0)*$AK14,0)</f>
        <v>0</v>
      </c>
      <c r="GT14">
        <f>IFERROR(VLOOKUP($D14,'Kalkulator mięs '!$C$5:$H$533,GT$4,0)*$AL14,0)</f>
        <v>0</v>
      </c>
      <c r="GU14">
        <f>IFERROR(VLOOKUP($D14,'Kalkulator mięs '!$C$5:$H$533,GU$4,0)*$AL14,0)</f>
        <v>0</v>
      </c>
      <c r="GV14">
        <f>IFERROR(VLOOKUP($D14,'Kalkulator mięs '!$C$5:$H$533,GV$4,0)*$AL14,0)</f>
        <v>0</v>
      </c>
      <c r="GW14">
        <f>IFERROR(VLOOKUP($D14,'Kalkulator mięs '!$C$5:$H$533,GW$4,0)*$AM14,0)</f>
        <v>0</v>
      </c>
      <c r="GX14">
        <f>IFERROR(VLOOKUP($D14,'Kalkulator mięs '!$C$5:$H$533,GX$4,0)*$AM14,0)</f>
        <v>0</v>
      </c>
      <c r="GY14">
        <f>IFERROR(VLOOKUP($D14,'Kalkulator mięs '!$C$5:$H$533,GY$4,0)*$AM14,0)</f>
        <v>0</v>
      </c>
      <c r="GZ14">
        <f>IFERROR(VLOOKUP($D14,'Kalkulator mięs '!$C$5:$H$533,GZ$4,0)*$AN14,0)</f>
        <v>0</v>
      </c>
      <c r="HA14">
        <f>IFERROR(VLOOKUP($D14,'Kalkulator mięs '!$C$5:$H$533,HA$4,0)*$AN14,0)</f>
        <v>0</v>
      </c>
      <c r="HB14">
        <f>IFERROR(VLOOKUP($D14,'Kalkulator mięs '!$C$5:$H$533,HB$4,0)*$AN14,0)</f>
        <v>0</v>
      </c>
      <c r="HC14">
        <f>IFERROR(VLOOKUP($D14,'Kalkulator mięs '!$C$5:$H$533,HC$4,0)*$AO14,0)</f>
        <v>0</v>
      </c>
      <c r="HD14">
        <f>IFERROR(VLOOKUP($D14,'Kalkulator mięs '!$C$5:$H$533,HD$4,0)*$AO14,0)</f>
        <v>0</v>
      </c>
      <c r="HE14">
        <f>IFERROR(VLOOKUP($D14,'Kalkulator mięs '!$C$5:$H$533,HE$4,0)*$AO14,0)</f>
        <v>0</v>
      </c>
      <c r="HF14">
        <f>IFERROR(VLOOKUP($D14,'Kalkulator mięs '!$C$5:$H$533,HF$4,0)*$AP14,0)</f>
        <v>0</v>
      </c>
      <c r="HG14">
        <f>IFERROR(VLOOKUP($D14,'Kalkulator mięs '!$C$5:$H$533,HG$4,0)*$AP14,0)</f>
        <v>0</v>
      </c>
      <c r="HH14">
        <f>IFERROR(VLOOKUP($D14,'Kalkulator mięs '!$C$5:$H$533,HH$4,0)*$AP14,0)</f>
        <v>0</v>
      </c>
      <c r="HI14">
        <f>IFERROR(VLOOKUP($D14,'Kalkulator mięs '!$C$5:$H$533,HI$4,0)*$AQ14,0)</f>
        <v>0</v>
      </c>
      <c r="HJ14">
        <f>IFERROR(VLOOKUP($D14,'Kalkulator mięs '!$C$5:$H$533,HJ$4,0)*$AQ14,0)</f>
        <v>0</v>
      </c>
      <c r="HK14">
        <f>IFERROR(VLOOKUP($D14,'Kalkulator mięs '!$C$5:$H$533,HK$4,0)*$AQ14,0)</f>
        <v>0</v>
      </c>
      <c r="HL14">
        <f>IFERROR(VLOOKUP($D14,'Kalkulator mięs '!$C$5:$H$533,HL$4,0)*$AR14,0)</f>
        <v>0</v>
      </c>
      <c r="HM14">
        <f>IFERROR(VLOOKUP($D14,'Kalkulator mięs '!$C$5:$H$533,HM$4,0)*$AR14,0)</f>
        <v>0</v>
      </c>
      <c r="HN14">
        <f>IFERROR(VLOOKUP($D14,'Kalkulator mięs '!$C$5:$H$533,HN$4,0)*$AR14,0)</f>
        <v>0</v>
      </c>
      <c r="HO14">
        <f>IFERROR(VLOOKUP($D14,'Kalkulator mięs '!$C$5:$H$533,HO$4,0)*$AS14,0)</f>
        <v>0</v>
      </c>
      <c r="HP14">
        <f>IFERROR(VLOOKUP($D14,'Kalkulator mięs '!$C$5:$H$533,HP$4,0)*$AS14,0)</f>
        <v>0</v>
      </c>
      <c r="HQ14">
        <f>IFERROR(VLOOKUP($D14,'Kalkulator mięs '!$C$5:$H$533,HQ$4,0)*$AS14,0)</f>
        <v>0</v>
      </c>
      <c r="HR14">
        <f>IFERROR(VLOOKUP($D14,'Kalkulator mięs '!$C$5:$H$533,HR$4,0)*$AT14,0)</f>
        <v>0</v>
      </c>
      <c r="HS14">
        <f>IFERROR(VLOOKUP($D14,'Kalkulator mięs '!$C$5:$H$533,HS$4,0)*$AT14,0)</f>
        <v>0</v>
      </c>
      <c r="HT14">
        <f>IFERROR(VLOOKUP($D14,'Kalkulator mięs '!$C$5:$H$533,HT$4,0)*$AT14,0)</f>
        <v>0</v>
      </c>
      <c r="HU14">
        <f>IFERROR(VLOOKUP($D14,'Kalkulator mięs '!$C$5:$H$533,HU$4,0)*$AU14,0)</f>
        <v>0</v>
      </c>
      <c r="HV14">
        <f>IFERROR(VLOOKUP($D14,'Kalkulator mięs '!$C$5:$H$533,HV$4,0)*$AU14,0)</f>
        <v>0</v>
      </c>
      <c r="HW14">
        <f>IFERROR(VLOOKUP($D14,'Kalkulator mięs '!$C$5:$H$533,HW$4,0)*$AU14,0)</f>
        <v>0</v>
      </c>
      <c r="HX14">
        <f>IFERROR(VLOOKUP($D14,'Kalkulator mięs '!$C$5:$H$533,HX$4,0)*$AV14,0)</f>
        <v>0</v>
      </c>
      <c r="HY14">
        <f>IFERROR(VLOOKUP($D14,'Kalkulator mięs '!$C$5:$H$533,HY$4,0)*$AV14,0)</f>
        <v>0</v>
      </c>
      <c r="HZ14">
        <f>IFERROR(VLOOKUP($D14,'Kalkulator mięs '!$C$5:$H$533,HZ$4,0)*$AV14,0)</f>
        <v>0</v>
      </c>
      <c r="IA14">
        <f>IFERROR(VLOOKUP($D14,'Kalkulator mięs '!$C$5:$H$533,IA$4,0)*$AW14,0)</f>
        <v>0</v>
      </c>
      <c r="IB14">
        <f>IFERROR(VLOOKUP($D14,'Kalkulator mięs '!$C$5:$H$533,IB$4,0)*$AW14,0)</f>
        <v>0</v>
      </c>
      <c r="IC14">
        <f>IFERROR(VLOOKUP($D14,'Kalkulator mięs '!$C$5:$H$533,IC$4,0)*$AW14,0)</f>
        <v>0</v>
      </c>
      <c r="ID14">
        <f>IFERROR(VLOOKUP($D14,'Kalkulator mięs '!$C$5:$H$533,ID$4,0)*$AX14,0)</f>
        <v>0</v>
      </c>
      <c r="IE14">
        <f>IFERROR(VLOOKUP($D14,'Kalkulator mięs '!$C$5:$H$533,IE$4,0)*$AX14,0)</f>
        <v>0</v>
      </c>
      <c r="IF14">
        <f>IFERROR(VLOOKUP($D14,'Kalkulator mięs '!$C$5:$H$533,IF$4,0)*$AX14,0)</f>
        <v>0</v>
      </c>
      <c r="IG14">
        <f>IFERROR(VLOOKUP($D14,'Kalkulator mięs '!$C$5:$H$533,IG$4,0)*$AY14,0)</f>
        <v>0</v>
      </c>
      <c r="IH14">
        <f>IFERROR(VLOOKUP($D14,'Kalkulator mięs '!$C$5:$H$533,IH$4,0)*$AY14,0)</f>
        <v>0</v>
      </c>
      <c r="II14">
        <f>IFERROR(VLOOKUP($D14,'Kalkulator mięs '!$C$5:$H$533,II$4,0)*$AY14,0)</f>
        <v>0</v>
      </c>
      <c r="IJ14">
        <f>IFERROR(VLOOKUP($D14,'Kalkulator mięs '!$C$5:$H$533,IJ$4,0)*$AZ14,0)</f>
        <v>0</v>
      </c>
      <c r="IK14">
        <f>IFERROR(VLOOKUP($D14,'Kalkulator mięs '!$C$5:$H$533,IK$4,0)*$AZ14,0)</f>
        <v>0</v>
      </c>
      <c r="IL14">
        <f>IFERROR(VLOOKUP($D14,'Kalkulator mięs '!$C$5:$H$533,IL$4,0)*$AZ14,0)</f>
        <v>0</v>
      </c>
      <c r="IM14">
        <f>IFERROR(VLOOKUP($D14,'Kalkulator mięs '!$C$5:$H$533,IM$4,0)*$BA14,0)</f>
        <v>0</v>
      </c>
      <c r="IN14">
        <f>IFERROR(VLOOKUP($D14,'Kalkulator mięs '!$C$5:$H$533,IN$4,0)*$BA14,0)</f>
        <v>0</v>
      </c>
      <c r="IO14">
        <f>IFERROR(VLOOKUP($D14,'Kalkulator mięs '!$C$5:$H$533,IO$4,0)*$BA14,0)</f>
        <v>0</v>
      </c>
    </row>
    <row r="15" spans="2:249" ht="15.75">
      <c r="B15" t="str">
        <f>VLOOKUP(D15,Receptury_z!$A:$B,2,0)</f>
        <v>ON</v>
      </c>
      <c r="C15" s="16">
        <v>5424</v>
      </c>
      <c r="D15" s="19">
        <v>6413</v>
      </c>
      <c r="E15" s="18" t="s">
        <v>27</v>
      </c>
      <c r="F15" s="14">
        <f>IF($B15="OFF",BE15,VLOOKUP($D15,Receptury_z!$D:$AI,F$4,0))</f>
        <v>0</v>
      </c>
      <c r="G15" s="14">
        <f>IF($B15="OFF",BF15,VLOOKUP($D15,Receptury_z!$D:$AI,G$4,0))</f>
        <v>0</v>
      </c>
      <c r="H15" s="14">
        <f>IF($B15="OFF",BG15,VLOOKUP($D15,Receptury_z!$D:$AI,H$4,0))</f>
        <v>0</v>
      </c>
      <c r="I15" s="14">
        <f>IF($B15="OFF",BH15,VLOOKUP($D15,Receptury_z!$D:$AI,I$4,0))</f>
        <v>0</v>
      </c>
      <c r="J15" s="14">
        <f>IF($B15="OFF",BI15,VLOOKUP($D15,Receptury_z!$D:$AI,J$4,0))</f>
        <v>0</v>
      </c>
      <c r="K15" s="14">
        <f>IF($B15="OFF",BJ15,VLOOKUP($D15,Receptury_z!$D:$AI,K$4,0))</f>
        <v>0</v>
      </c>
      <c r="L15" s="14">
        <f>IF($B15="OFF",BK15,VLOOKUP($D15,Receptury_z!$D:$AI,L$4,0))</f>
        <v>295.7</v>
      </c>
      <c r="M15" s="14">
        <f>IF($B15="OFF",BL15,VLOOKUP($D15,Receptury_z!$D:$AI,M$4,0))</f>
        <v>168.9</v>
      </c>
      <c r="N15" s="14">
        <f>IF($B15="OFF",BM15,VLOOKUP($D15,Receptury_z!$D:$AI,N$4,0))</f>
        <v>0</v>
      </c>
      <c r="O15" s="14">
        <f>IF($B15="OFF",BN15,VLOOKUP($D15,Receptury_z!$D:$AI,O$4,0))</f>
        <v>0</v>
      </c>
      <c r="P15" s="14">
        <f>IF($B15="OFF",BO15,VLOOKUP($D15,Receptury_z!$D:$AI,P$4,0))</f>
        <v>0</v>
      </c>
      <c r="Q15" s="14">
        <f>IF($B15="OFF",BP15,VLOOKUP($D15,Receptury_z!$D:$AI,Q$4,0))</f>
        <v>0</v>
      </c>
      <c r="R15" s="14">
        <f>IF($B15="OFF",BQ15,VLOOKUP($D15,Receptury_z!$D:$AI,R$4,0))</f>
        <v>0</v>
      </c>
      <c r="S15" s="14">
        <f>IF($B15="OFF",BR15,VLOOKUP($D15,Receptury_z!$D:$AI,S$4,0))</f>
        <v>0</v>
      </c>
      <c r="T15" s="14">
        <f>IF($B15="OFF",BS15,VLOOKUP($D15,Receptury_z!$D:$AI,T$4,0))</f>
        <v>0</v>
      </c>
      <c r="U15" s="14">
        <f>IF($B15="OFF",BT15,VLOOKUP($D15,Receptury_z!$D:$AI,U$4,0))</f>
        <v>0</v>
      </c>
      <c r="V15" s="14">
        <f>IF($B15="OFF",BU15,VLOOKUP($D15,Receptury_z!$D:$AI,V$4,0))</f>
        <v>0</v>
      </c>
      <c r="W15" s="14">
        <f>IF($B15="OFF",BV15,VLOOKUP($D15,Receptury_z!$D:$AI,W$4,0))</f>
        <v>0</v>
      </c>
      <c r="X15" s="14">
        <f>IF($B15="OFF",BW15,VLOOKUP($D15,Receptury_z!$D:$AI,X$4,0))</f>
        <v>0</v>
      </c>
      <c r="Y15" s="14">
        <f>IF($B15="OFF",BX15,VLOOKUP($D15,Receptury_z!$D:$AI,Y$4,0))</f>
        <v>0</v>
      </c>
      <c r="Z15" s="14">
        <f>IF($B15="OFF",BY15,VLOOKUP($D15,Receptury_z!$D:$AI,Z$4,0))</f>
        <v>0</v>
      </c>
      <c r="AA15" s="14">
        <f>IF($B15="OFF",BZ15,VLOOKUP($D15,Receptury_z!$D:$AI,AA$4,0))</f>
        <v>0</v>
      </c>
      <c r="AB15" s="14">
        <f>IF($B15="OFF",CA15,VLOOKUP($D15,Receptury_z!$D:$AI,AB$4,0))</f>
        <v>84.5</v>
      </c>
      <c r="AC15" s="14">
        <f>IF($B15="OFF",CB15,VLOOKUP($D15,Receptury_z!$D:$AI,AC$4,0))</f>
        <v>0</v>
      </c>
      <c r="AD15" s="14">
        <f>IF($B15="OFF",CC15,VLOOKUP($D15,Receptury_z!$D:$AI,AD$4,0))</f>
        <v>0</v>
      </c>
      <c r="AE15" s="14">
        <f>IF($B15="OFF",CD15,VLOOKUP($D15,Receptury_z!$D:$AI,AE$4,0))</f>
        <v>0</v>
      </c>
      <c r="AF15" s="14">
        <f>IF($B15="OFF",CE15,VLOOKUP($D15,Receptury_z!$D:$AI,AF$4,0))</f>
        <v>0</v>
      </c>
      <c r="AG15" s="14">
        <f>IF($B15="OFF",CF15,VLOOKUP($D15,Receptury_z!$D:$AI,AG$4,0))</f>
        <v>0</v>
      </c>
      <c r="AH15" s="14">
        <f>IF($B15="OFF",CG15,VLOOKUP($D15,Receptury_z!$D:$AI,AH$4,0))</f>
        <v>0</v>
      </c>
      <c r="AI15" s="14">
        <f>IF($B15="OFF",CH15,VLOOKUP($D15,Receptury_z!$D:$AI,AI$4,0))</f>
        <v>0</v>
      </c>
      <c r="AJ15" s="14">
        <f>IF($B15="OFF",CI15,VLOOKUP($D15,Receptury_z!$D:$AS,AJ$4,0))</f>
        <v>168.9</v>
      </c>
      <c r="AK15" s="14">
        <f>IF($B15="OFF",CJ15,VLOOKUP($D15,Receptury_z!$D:$AS,AK$4,0))</f>
        <v>0</v>
      </c>
      <c r="AL15" s="14">
        <f>IF($B15="OFF",CK15,VLOOKUP($D15,Receptury_z!$D:$AS,AL$4,0))</f>
        <v>0</v>
      </c>
      <c r="AM15" s="14">
        <f>IF($B15="OFF",CL15,VLOOKUP($D15,Receptury_z!$D:$AS,AM$4,0))</f>
        <v>0</v>
      </c>
      <c r="AN15" s="14">
        <f>IF($B15="OFF",CM15,VLOOKUP($D15,Receptury_z!$D:$AS,AN$4,0))</f>
        <v>0</v>
      </c>
      <c r="AO15" s="14">
        <f>IF($B15="OFF",CN15,VLOOKUP($D15,Receptury_z!$D:$AS,AO$4,0))</f>
        <v>0</v>
      </c>
      <c r="AP15" s="14">
        <f>IF($B15="OFF",CO15,VLOOKUP($D15,Receptury_z!$D:$AS,AP$4,0))</f>
        <v>0</v>
      </c>
      <c r="AQ15" s="14">
        <f>IF($B15="OFF",CP15,VLOOKUP($D15,Receptury_z!$D:$AS,AQ$4,0))</f>
        <v>0</v>
      </c>
      <c r="AR15" s="14">
        <f>IF($B15="OFF",CQ15,VLOOKUP($D15,Receptury_z!$D:$AS,AR$4,0))</f>
        <v>0</v>
      </c>
      <c r="AS15" s="14">
        <f>IF($B15="OFF",CR15,VLOOKUP($D15,Receptury_z!$D:$AS,AS$4,0))</f>
        <v>0</v>
      </c>
      <c r="AT15" s="14">
        <f>IF($B15="OFF",CS15,VLOOKUP($D15,Receptury_z!$D:$AV,AT$4,0))</f>
        <v>0</v>
      </c>
      <c r="AU15" s="14">
        <f>IF($B15="OFF",CT15,VLOOKUP($D15,Receptury_z!$D:$AV,AU$4,0))</f>
        <v>126.7</v>
      </c>
      <c r="AV15" s="14">
        <f>IF($B15="OFF",CU15,VLOOKUP($D15,Receptury_z!$D:$AV,AV$4,0))</f>
        <v>0</v>
      </c>
      <c r="AW15" s="14">
        <f>IF($B15="OFF",CV15,VLOOKUP($D15,Receptury_z!$D:$BA,AW$4,0))</f>
        <v>0</v>
      </c>
      <c r="AX15" s="14">
        <f>IF($B15="OFF",CW15,VLOOKUP($D15,Receptury_z!$D:$BA,AX$4,0))</f>
        <v>0</v>
      </c>
      <c r="AY15" s="14">
        <f>IF($B15="OFF",CX15,VLOOKUP($D15,Receptury_z!$D:$BA,AY$4,0))</f>
        <v>0</v>
      </c>
      <c r="AZ15" s="14">
        <f>IF($B15="OFF",DA15,VLOOKUP($D15,Receptury_z!$D:$BA,AZ$4,0))</f>
        <v>0</v>
      </c>
      <c r="BA15" s="14">
        <f>IF($B15="OFF",DB15,VLOOKUP($D15,Receptury_z!$D:$BA,BA$4,0))</f>
        <v>0</v>
      </c>
      <c r="BC15" s="19">
        <v>6413</v>
      </c>
      <c r="BD15" s="18" t="s">
        <v>27</v>
      </c>
      <c r="BE15" s="239">
        <v>0</v>
      </c>
      <c r="BF15" s="239">
        <v>0</v>
      </c>
      <c r="BG15" s="239">
        <v>0</v>
      </c>
      <c r="BH15" s="239">
        <v>0</v>
      </c>
      <c r="BI15" s="239">
        <v>0</v>
      </c>
      <c r="BJ15" s="239">
        <v>0</v>
      </c>
      <c r="BK15" s="239">
        <v>295.7</v>
      </c>
      <c r="BL15" s="239">
        <v>168.9</v>
      </c>
      <c r="BM15" s="240"/>
      <c r="BN15" s="240">
        <v>0</v>
      </c>
      <c r="BO15" s="240">
        <v>0</v>
      </c>
      <c r="BP15" s="240">
        <v>0</v>
      </c>
      <c r="BQ15" s="240">
        <v>0</v>
      </c>
      <c r="BR15" s="240">
        <v>0</v>
      </c>
      <c r="BS15" s="240">
        <v>0</v>
      </c>
      <c r="BT15" s="240">
        <v>0</v>
      </c>
      <c r="BU15" s="240">
        <v>0</v>
      </c>
      <c r="BV15" s="240">
        <v>0</v>
      </c>
      <c r="BW15" s="240">
        <v>0</v>
      </c>
      <c r="BX15" s="240">
        <v>0</v>
      </c>
      <c r="BY15" s="240">
        <v>0</v>
      </c>
      <c r="BZ15" s="240">
        <v>0</v>
      </c>
      <c r="CA15" s="240">
        <v>84.5</v>
      </c>
      <c r="CB15" s="240">
        <v>0</v>
      </c>
      <c r="CC15" s="240">
        <v>0</v>
      </c>
      <c r="CD15" s="240">
        <v>0</v>
      </c>
      <c r="CE15" s="240">
        <v>0</v>
      </c>
      <c r="CF15" s="240">
        <v>0</v>
      </c>
      <c r="CG15" s="240">
        <v>0</v>
      </c>
      <c r="CH15" s="240">
        <v>0</v>
      </c>
      <c r="CI15" s="240">
        <v>168.9</v>
      </c>
      <c r="CJ15" s="240">
        <v>0</v>
      </c>
      <c r="CK15" s="240">
        <v>0</v>
      </c>
      <c r="CL15" s="240">
        <v>0</v>
      </c>
      <c r="CM15" s="241"/>
      <c r="CN15" s="241"/>
      <c r="CO15" s="241"/>
      <c r="CP15" s="241"/>
      <c r="CQ15" s="241"/>
      <c r="CR15" s="241"/>
      <c r="CS15" s="241"/>
      <c r="CT15" s="241">
        <v>126.7</v>
      </c>
      <c r="CU15" s="80"/>
      <c r="CV15" s="80"/>
      <c r="CW15" s="80"/>
      <c r="CX15" s="80"/>
      <c r="CY15" s="80"/>
      <c r="CZ15" s="80"/>
      <c r="DB15">
        <f>IFERROR(VLOOKUP($D15,'Kalkulator mięs '!$C$5:$H$533,DB$4,0)*F15,0)</f>
        <v>0</v>
      </c>
      <c r="DC15">
        <f>IFERROR(VLOOKUP($D15,'Kalkulator mięs '!$C$5:$H$533,DC$4,0)*F15,0)</f>
        <v>0</v>
      </c>
      <c r="DD15">
        <f>IFERROR(VLOOKUP($D15,'Kalkulator mięs '!$C$5:$H$533,DD$4,0)*F15,0)</f>
        <v>0</v>
      </c>
      <c r="DE15">
        <f>IFERROR(VLOOKUP($D15,'Kalkulator mięs '!$C$5:$H$533,DE$4,0)*$G15,0)</f>
        <v>0</v>
      </c>
      <c r="DF15">
        <f>IFERROR(VLOOKUP($D15,'Kalkulator mięs '!$C$5:$H$533,DF$4,0)*$G15,0)</f>
        <v>0</v>
      </c>
      <c r="DG15">
        <f>IFERROR(VLOOKUP($D15,'Kalkulator mięs '!$C$5:$H$533,DG$4,0)*$G15,0)</f>
        <v>0</v>
      </c>
      <c r="DH15">
        <f>IFERROR(VLOOKUP($D15,'Kalkulator mięs '!$C$5:$H$533,DH$4,0)*$H15,0)</f>
        <v>0</v>
      </c>
      <c r="DI15">
        <f>IFERROR(VLOOKUP($D15,'Kalkulator mięs '!$C$5:$H$533,DI$4,0)*$H15,0)</f>
        <v>0</v>
      </c>
      <c r="DJ15">
        <f>IFERROR(VLOOKUP($D15,'Kalkulator mięs '!$C$5:$H$533,DJ$4,0)*$H15,0)</f>
        <v>0</v>
      </c>
      <c r="DK15">
        <f>IFERROR(VLOOKUP($D15,'Kalkulator mięs '!$C$5:$H$533,DK$4,0)*$I15,0)</f>
        <v>0</v>
      </c>
      <c r="DL15">
        <f>IFERROR(VLOOKUP($D15,'Kalkulator mięs '!$C$5:$H$533,DL$4,0)*$I15,0)</f>
        <v>0</v>
      </c>
      <c r="DM15">
        <f>IFERROR(VLOOKUP($D15,'Kalkulator mięs '!$C$5:$H$533,DM$4,0)*$I15,0)</f>
        <v>0</v>
      </c>
      <c r="DN15">
        <f>IFERROR(VLOOKUP($D15,'Kalkulator mięs '!$C$5:$H$533,DN$4,0)*$J15,0)</f>
        <v>0</v>
      </c>
      <c r="DO15">
        <f>IFERROR(VLOOKUP($D15,'Kalkulator mięs '!$C$5:$H$533,DO$4,0)*$J15,0)</f>
        <v>0</v>
      </c>
      <c r="DP15">
        <f>IFERROR(VLOOKUP($D15,'Kalkulator mięs '!$C$5:$H$533,DP$4,0)*$J15,0)</f>
        <v>0</v>
      </c>
      <c r="DQ15">
        <f>IFERROR(VLOOKUP($D15,'Kalkulator mięs '!$C$5:$H$533,DQ$4,0)*$K15,0)</f>
        <v>0</v>
      </c>
      <c r="DR15">
        <f>IFERROR(VLOOKUP($D15,'Kalkulator mięs '!$C$5:$H$533,DR$4,0)*$K15,0)</f>
        <v>0</v>
      </c>
      <c r="DS15">
        <f>IFERROR(VLOOKUP($D15,'Kalkulator mięs '!$C$5:$H$533,DS$4,0)*$K15,0)</f>
        <v>0</v>
      </c>
      <c r="DT15">
        <f>IFERROR(VLOOKUP($D15,'Kalkulator mięs '!$C$5:$H$533,DT$4,0)*$L15,0)</f>
        <v>0</v>
      </c>
      <c r="DU15">
        <f>IFERROR(VLOOKUP($D15,'Kalkulator mięs '!$C$5:$H$533,DU$4,0)*$L15,0)</f>
        <v>0</v>
      </c>
      <c r="DV15">
        <f>IFERROR(VLOOKUP($D15,'Kalkulator mięs '!$C$5:$H$533,DV$4,0)*$L15,0)</f>
        <v>887.09999999999991</v>
      </c>
      <c r="DW15">
        <f>IFERROR(VLOOKUP($D15,'Kalkulator mięs '!$C$5:$H$533,DW$4,0)*$M15,0)</f>
        <v>0</v>
      </c>
      <c r="DX15">
        <f>IFERROR(VLOOKUP($D15,'Kalkulator mięs '!$C$5:$H$533,DX$4,0)*$M15,0)</f>
        <v>0</v>
      </c>
      <c r="DY15">
        <f>IFERROR(VLOOKUP($D15,'Kalkulator mięs '!$C$5:$H$533,DY$4,0)*$M15,0)</f>
        <v>506.70000000000005</v>
      </c>
      <c r="DZ15">
        <f>IFERROR(VLOOKUP($D15,'Kalkulator mięs '!$C$5:$H$533,DZ$4,0)*$N15,0)</f>
        <v>0</v>
      </c>
      <c r="EA15">
        <f>IFERROR(VLOOKUP($D15,'Kalkulator mięs '!$C$5:$H$533,EA$4,0)*$N15,0)</f>
        <v>0</v>
      </c>
      <c r="EB15">
        <f>IFERROR(VLOOKUP($D15,'Kalkulator mięs '!$C$5:$H$533,EB$4,0)*$N15,0)</f>
        <v>0</v>
      </c>
      <c r="EC15">
        <f>IFERROR(VLOOKUP($D15,'Kalkulator mięs '!$C$5:$H$533,EC$4,0)*$O15,0)</f>
        <v>0</v>
      </c>
      <c r="ED15">
        <f>IFERROR(VLOOKUP($D15,'Kalkulator mięs '!$C$5:$H$533,ED$4,0)*$O15,0)</f>
        <v>0</v>
      </c>
      <c r="EE15">
        <f>IFERROR(VLOOKUP($D15,'Kalkulator mięs '!$C$5:$H$533,EE$4,0)*$O15,0)</f>
        <v>0</v>
      </c>
      <c r="EF15">
        <f>IFERROR(VLOOKUP($D15,'Kalkulator mięs '!$C$5:$H$533,EF$4,0)*$P15,0)</f>
        <v>0</v>
      </c>
      <c r="EG15">
        <f>IFERROR(VLOOKUP($D15,'Kalkulator mięs '!$C$5:$H$533,EG$4,0)*$P15,0)</f>
        <v>0</v>
      </c>
      <c r="EH15">
        <f>IFERROR(VLOOKUP($D15,'Kalkulator mięs '!$C$5:$H$533,EH$4,0)*$P15,0)</f>
        <v>0</v>
      </c>
      <c r="EI15">
        <f>IFERROR(VLOOKUP($D15,'Kalkulator mięs '!$C$5:$H$533,EI$4,0)*$Q15,0)</f>
        <v>0</v>
      </c>
      <c r="EJ15">
        <f>IFERROR(VLOOKUP($D15,'Kalkulator mięs '!$C$5:$H$533,EJ$4,0)*$Q15,0)</f>
        <v>0</v>
      </c>
      <c r="EK15">
        <f>IFERROR(VLOOKUP($D15,'Kalkulator mięs '!$C$5:$H$533,EK$4,0)*$Q15,0)</f>
        <v>0</v>
      </c>
      <c r="EL15">
        <f>IFERROR(VLOOKUP($D15,'Kalkulator mięs '!$C$5:$H$533,EL$4,0)*$R15,0)</f>
        <v>0</v>
      </c>
      <c r="EM15">
        <f>IFERROR(VLOOKUP($D15,'Kalkulator mięs '!$C$5:$H$533,EM$4,0)*$R15,0)</f>
        <v>0</v>
      </c>
      <c r="EN15">
        <f>IFERROR(VLOOKUP($D15,'Kalkulator mięs '!$C$5:$H$533,EN$4,0)*$R15,0)</f>
        <v>0</v>
      </c>
      <c r="EO15">
        <f>IFERROR(VLOOKUP($D15,'Kalkulator mięs '!$C$5:$H$533,EO$4,0)*$S15,0)</f>
        <v>0</v>
      </c>
      <c r="EP15">
        <f>IFERROR(VLOOKUP($D15,'Kalkulator mięs '!$C$5:$H$533,EP$4,0)*$S15,0)</f>
        <v>0</v>
      </c>
      <c r="EQ15">
        <f>IFERROR(VLOOKUP($D15,'Kalkulator mięs '!$C$5:$H$533,EQ$4,0)*$S15,0)</f>
        <v>0</v>
      </c>
      <c r="ER15">
        <f>IFERROR(VLOOKUP($D15,'Kalkulator mięs '!$C$5:$H$533,ER$4,0)*$T15,0)</f>
        <v>0</v>
      </c>
      <c r="ES15">
        <f>IFERROR(VLOOKUP($D15,'Kalkulator mięs '!$C$5:$H$533,ES$4,0)*$T15,0)</f>
        <v>0</v>
      </c>
      <c r="ET15">
        <f>IFERROR(VLOOKUP($D15,'Kalkulator mięs '!$C$5:$H$533,ET$4,0)*$T15,0)</f>
        <v>0</v>
      </c>
      <c r="EU15">
        <f>IFERROR(VLOOKUP($D15,'Kalkulator mięs '!$C$5:$H$533,EU$4,0)*$U15,0)</f>
        <v>0</v>
      </c>
      <c r="EV15">
        <f>IFERROR(VLOOKUP($D15,'Kalkulator mięs '!$C$5:$H$533,EV$4,0)*$U15,0)</f>
        <v>0</v>
      </c>
      <c r="EW15">
        <f>IFERROR(VLOOKUP($D15,'Kalkulator mięs '!$C$5:$H$533,EW$4,0)*$U15,0)</f>
        <v>0</v>
      </c>
      <c r="EX15">
        <f>IFERROR(VLOOKUP($D15,'Kalkulator mięs '!$C$5:$H$533,EX$4,0)*$V15,0)</f>
        <v>0</v>
      </c>
      <c r="EY15">
        <f>IFERROR(VLOOKUP($D15,'Kalkulator mięs '!$C$5:$H$533,EY$4,0)*$V15,0)</f>
        <v>0</v>
      </c>
      <c r="EZ15">
        <f>IFERROR(VLOOKUP($D15,'Kalkulator mięs '!$C$5:$H$533,EZ$4,0)*$V15,0)</f>
        <v>0</v>
      </c>
      <c r="FA15">
        <f>IFERROR(VLOOKUP($D15,'Kalkulator mięs '!$C$5:$H$533,FA$4,0)*$W15,0)</f>
        <v>0</v>
      </c>
      <c r="FB15">
        <f>IFERROR(VLOOKUP($D15,'Kalkulator mięs '!$C$5:$H$533,FB$4,0)*$W15,0)</f>
        <v>0</v>
      </c>
      <c r="FC15">
        <f>IFERROR(VLOOKUP($D15,'Kalkulator mięs '!$C$5:$H$533,FC$4,0)*$W15,0)</f>
        <v>0</v>
      </c>
      <c r="FD15">
        <f>IFERROR(VLOOKUP($D15,'Kalkulator mięs '!$C$5:$H$533,FD$4,0)*$X15,0)</f>
        <v>0</v>
      </c>
      <c r="FE15">
        <f>IFERROR(VLOOKUP($D15,'Kalkulator mięs '!$C$5:$H$533,FE$4,0)*$X15,0)</f>
        <v>0</v>
      </c>
      <c r="FF15">
        <f>IFERROR(VLOOKUP($D15,'Kalkulator mięs '!$C$5:$H$533,FF$4,0)*$X15,0)</f>
        <v>0</v>
      </c>
      <c r="FG15">
        <f>IFERROR(VLOOKUP($D15,'Kalkulator mięs '!$C$5:$H$533,FG$4,0)*$Y15,0)</f>
        <v>0</v>
      </c>
      <c r="FH15">
        <f>IFERROR(VLOOKUP($D15,'Kalkulator mięs '!$C$5:$H$533,FH$4,0)*$Y15,0)</f>
        <v>0</v>
      </c>
      <c r="FI15">
        <f>IFERROR(VLOOKUP($D15,'Kalkulator mięs '!$C$5:$H$533,FI$4,0)*$Y15,0)</f>
        <v>0</v>
      </c>
      <c r="FJ15">
        <f>IFERROR(VLOOKUP($D15,'Kalkulator mięs '!$C$5:$H$533,FJ$4,0)*$Z15,0)</f>
        <v>0</v>
      </c>
      <c r="FK15">
        <f>IFERROR(VLOOKUP($D15,'Kalkulator mięs '!$C$5:$H$533,FK$4,0)*$Z15,0)</f>
        <v>0</v>
      </c>
      <c r="FL15">
        <f>IFERROR(VLOOKUP($D15,'Kalkulator mięs '!$C$5:$H$533,FL$4,0)*$Z15,0)</f>
        <v>0</v>
      </c>
      <c r="FM15">
        <f>IFERROR(VLOOKUP($D15,'Kalkulator mięs '!$C$5:$H$533,FM$4,0)*$AA15,0)</f>
        <v>0</v>
      </c>
      <c r="FN15">
        <f>IFERROR(VLOOKUP($D15,'Kalkulator mięs '!$C$5:$H$533,FN$4,0)*$AA15,0)</f>
        <v>0</v>
      </c>
      <c r="FO15">
        <f>IFERROR(VLOOKUP($D15,'Kalkulator mięs '!$C$5:$H$533,FO$4,0)*$AA15,0)</f>
        <v>0</v>
      </c>
      <c r="FP15">
        <f>IFERROR(VLOOKUP($D15,'Kalkulator mięs '!$C$5:$H$533,FP$4,0)*$AB15,0)</f>
        <v>0</v>
      </c>
      <c r="FQ15">
        <f>IFERROR(VLOOKUP($D15,'Kalkulator mięs '!$C$5:$H$533,FQ$4,0)*$AB15,0)</f>
        <v>0</v>
      </c>
      <c r="FR15">
        <f>IFERROR(VLOOKUP($D15,'Kalkulator mięs '!$C$5:$H$533,FR$4,0)*$AB15,0)</f>
        <v>253.5</v>
      </c>
      <c r="FS15">
        <f>IFERROR(VLOOKUP($D15,'Kalkulator mięs '!$C$5:$H$533,FS$4,0)*$AC15,0)</f>
        <v>0</v>
      </c>
      <c r="FT15">
        <f>IFERROR(VLOOKUP($D15,'Kalkulator mięs '!$C$5:$H$533,FT$4,0)*$AC15,0)</f>
        <v>0</v>
      </c>
      <c r="FU15">
        <f>IFERROR(VLOOKUP($D15,'Kalkulator mięs '!$C$5:$H$533,FU$4,0)*$AC15,0)</f>
        <v>0</v>
      </c>
      <c r="FV15">
        <f>IFERROR(VLOOKUP($D15,'Kalkulator mięs '!$C$5:$H$533,FV$4,0)*$AD15,0)</f>
        <v>0</v>
      </c>
      <c r="FW15">
        <f>IFERROR(VLOOKUP($D15,'Kalkulator mięs '!$C$5:$H$533,FW$4,0)*$AD15,0)</f>
        <v>0</v>
      </c>
      <c r="FX15">
        <f>IFERROR(VLOOKUP($D15,'Kalkulator mięs '!$C$5:$H$533,FX$4,0)*$AD15,0)</f>
        <v>0</v>
      </c>
      <c r="FY15">
        <f>IFERROR(VLOOKUP($D15,'Kalkulator mięs '!$C$5:$H$533,FY$4,0)*$AE15,0)</f>
        <v>0</v>
      </c>
      <c r="FZ15">
        <f>IFERROR(VLOOKUP($D15,'Kalkulator mięs '!$C$5:$H$533,FZ$4,0)*$AE15,0)</f>
        <v>0</v>
      </c>
      <c r="GA15">
        <f>IFERROR(VLOOKUP($D15,'Kalkulator mięs '!$C$5:$H$533,GA$4,0)*$AE15,0)</f>
        <v>0</v>
      </c>
      <c r="GB15">
        <f>IFERROR(VLOOKUP($D15,'Kalkulator mięs '!$C$5:$H$533,GB$4,0)*$AF15,0)</f>
        <v>0</v>
      </c>
      <c r="GC15">
        <f>IFERROR(VLOOKUP($D15,'Kalkulator mięs '!$C$5:$H$533,GC$4,0)*$AF15,0)</f>
        <v>0</v>
      </c>
      <c r="GD15">
        <f>IFERROR(VLOOKUP($D15,'Kalkulator mięs '!$C$5:$H$533,GD$4,0)*$AF15,0)</f>
        <v>0</v>
      </c>
      <c r="GE15">
        <f>IFERROR(VLOOKUP($D15,'Kalkulator mięs '!$C$5:$H$533,GE$4,0)*$AG15,0)</f>
        <v>0</v>
      </c>
      <c r="GF15">
        <f>IFERROR(VLOOKUP($D15,'Kalkulator mięs '!$C$5:$H$533,GF$4,0)*$AG15,0)</f>
        <v>0</v>
      </c>
      <c r="GG15">
        <f>IFERROR(VLOOKUP($D15,'Kalkulator mięs '!$C$5:$H$533,GG$4,0)*$AG15,0)</f>
        <v>0</v>
      </c>
      <c r="GH15">
        <f>IFERROR(VLOOKUP($D15,'Kalkulator mięs '!$C$5:$H$533,GH$4,0)*$AH15,0)</f>
        <v>0</v>
      </c>
      <c r="GI15">
        <f>IFERROR(VLOOKUP($D15,'Kalkulator mięs '!$C$5:$H$533,GI$4,0)*$AH15,0)</f>
        <v>0</v>
      </c>
      <c r="GJ15">
        <f>IFERROR(VLOOKUP($D15,'Kalkulator mięs '!$C$5:$H$533,GJ$4,0)*$AH15,0)</f>
        <v>0</v>
      </c>
      <c r="GK15">
        <f>IFERROR(VLOOKUP($D15,'Kalkulator mięs '!$C$5:$H$533,GK$4,0)*$AI15,0)</f>
        <v>0</v>
      </c>
      <c r="GL15">
        <f>IFERROR(VLOOKUP($D15,'Kalkulator mięs '!$C$5:$H$533,GL$4,0)*$AI15,0)</f>
        <v>0</v>
      </c>
      <c r="GM15">
        <f>IFERROR(VLOOKUP($D15,'Kalkulator mięs '!$C$5:$H$533,GM$4,0)*$AI15,0)</f>
        <v>0</v>
      </c>
      <c r="GN15">
        <f>IFERROR(VLOOKUP($D15,'Kalkulator mięs '!$C$5:$H$533,GN$4,0)*$AJ15,0)</f>
        <v>0</v>
      </c>
      <c r="GO15">
        <f>IFERROR(VLOOKUP($D15,'Kalkulator mięs '!$C$5:$H$533,GO$4,0)*$AJ15,0)</f>
        <v>0</v>
      </c>
      <c r="GP15">
        <f>IFERROR(VLOOKUP($D15,'Kalkulator mięs '!$C$5:$H$533,GP$4,0)*$AJ15,0)</f>
        <v>506.70000000000005</v>
      </c>
      <c r="GQ15">
        <f>IFERROR(VLOOKUP($D15,'Kalkulator mięs '!$C$5:$H$533,GQ$4,0)*$AK15,0)</f>
        <v>0</v>
      </c>
      <c r="GR15">
        <f>IFERROR(VLOOKUP($D15,'Kalkulator mięs '!$C$5:$H$533,GR$4,0)*$AK15,0)</f>
        <v>0</v>
      </c>
      <c r="GS15">
        <f>IFERROR(VLOOKUP($D15,'Kalkulator mięs '!$C$5:$H$533,GS$4,0)*$AK15,0)</f>
        <v>0</v>
      </c>
      <c r="GT15">
        <f>IFERROR(VLOOKUP($D15,'Kalkulator mięs '!$C$5:$H$533,GT$4,0)*$AL15,0)</f>
        <v>0</v>
      </c>
      <c r="GU15">
        <f>IFERROR(VLOOKUP($D15,'Kalkulator mięs '!$C$5:$H$533,GU$4,0)*$AL15,0)</f>
        <v>0</v>
      </c>
      <c r="GV15">
        <f>IFERROR(VLOOKUP($D15,'Kalkulator mięs '!$C$5:$H$533,GV$4,0)*$AL15,0)</f>
        <v>0</v>
      </c>
      <c r="GW15">
        <f>IFERROR(VLOOKUP($D15,'Kalkulator mięs '!$C$5:$H$533,GW$4,0)*$AM15,0)</f>
        <v>0</v>
      </c>
      <c r="GX15">
        <f>IFERROR(VLOOKUP($D15,'Kalkulator mięs '!$C$5:$H$533,GX$4,0)*$AM15,0)</f>
        <v>0</v>
      </c>
      <c r="GY15">
        <f>IFERROR(VLOOKUP($D15,'Kalkulator mięs '!$C$5:$H$533,GY$4,0)*$AM15,0)</f>
        <v>0</v>
      </c>
      <c r="GZ15">
        <f>IFERROR(VLOOKUP($D15,'Kalkulator mięs '!$C$5:$H$533,GZ$4,0)*$AN15,0)</f>
        <v>0</v>
      </c>
      <c r="HA15">
        <f>IFERROR(VLOOKUP($D15,'Kalkulator mięs '!$C$5:$H$533,HA$4,0)*$AN15,0)</f>
        <v>0</v>
      </c>
      <c r="HB15">
        <f>IFERROR(VLOOKUP($D15,'Kalkulator mięs '!$C$5:$H$533,HB$4,0)*$AN15,0)</f>
        <v>0</v>
      </c>
      <c r="HC15">
        <f>IFERROR(VLOOKUP($D15,'Kalkulator mięs '!$C$5:$H$533,HC$4,0)*$AO15,0)</f>
        <v>0</v>
      </c>
      <c r="HD15">
        <f>IFERROR(VLOOKUP($D15,'Kalkulator mięs '!$C$5:$H$533,HD$4,0)*$AO15,0)</f>
        <v>0</v>
      </c>
      <c r="HE15">
        <f>IFERROR(VLOOKUP($D15,'Kalkulator mięs '!$C$5:$H$533,HE$4,0)*$AO15,0)</f>
        <v>0</v>
      </c>
      <c r="HF15">
        <f>IFERROR(VLOOKUP($D15,'Kalkulator mięs '!$C$5:$H$533,HF$4,0)*$AP15,0)</f>
        <v>0</v>
      </c>
      <c r="HG15">
        <f>IFERROR(VLOOKUP($D15,'Kalkulator mięs '!$C$5:$H$533,HG$4,0)*$AP15,0)</f>
        <v>0</v>
      </c>
      <c r="HH15">
        <f>IFERROR(VLOOKUP($D15,'Kalkulator mięs '!$C$5:$H$533,HH$4,0)*$AP15,0)</f>
        <v>0</v>
      </c>
      <c r="HI15">
        <f>IFERROR(VLOOKUP($D15,'Kalkulator mięs '!$C$5:$H$533,HI$4,0)*$AQ15,0)</f>
        <v>0</v>
      </c>
      <c r="HJ15">
        <f>IFERROR(VLOOKUP($D15,'Kalkulator mięs '!$C$5:$H$533,HJ$4,0)*$AQ15,0)</f>
        <v>0</v>
      </c>
      <c r="HK15">
        <f>IFERROR(VLOOKUP($D15,'Kalkulator mięs '!$C$5:$H$533,HK$4,0)*$AQ15,0)</f>
        <v>0</v>
      </c>
      <c r="HL15">
        <f>IFERROR(VLOOKUP($D15,'Kalkulator mięs '!$C$5:$H$533,HL$4,0)*$AR15,0)</f>
        <v>0</v>
      </c>
      <c r="HM15">
        <f>IFERROR(VLOOKUP($D15,'Kalkulator mięs '!$C$5:$H$533,HM$4,0)*$AR15,0)</f>
        <v>0</v>
      </c>
      <c r="HN15">
        <f>IFERROR(VLOOKUP($D15,'Kalkulator mięs '!$C$5:$H$533,HN$4,0)*$AR15,0)</f>
        <v>0</v>
      </c>
      <c r="HO15">
        <f>IFERROR(VLOOKUP($D15,'Kalkulator mięs '!$C$5:$H$533,HO$4,0)*$AS15,0)</f>
        <v>0</v>
      </c>
      <c r="HP15">
        <f>IFERROR(VLOOKUP($D15,'Kalkulator mięs '!$C$5:$H$533,HP$4,0)*$AS15,0)</f>
        <v>0</v>
      </c>
      <c r="HQ15">
        <f>IFERROR(VLOOKUP($D15,'Kalkulator mięs '!$C$5:$H$533,HQ$4,0)*$AS15,0)</f>
        <v>0</v>
      </c>
      <c r="HR15">
        <f>IFERROR(VLOOKUP($D15,'Kalkulator mięs '!$C$5:$H$533,HR$4,0)*$AT15,0)</f>
        <v>0</v>
      </c>
      <c r="HS15">
        <f>IFERROR(VLOOKUP($D15,'Kalkulator mięs '!$C$5:$H$533,HS$4,0)*$AT15,0)</f>
        <v>0</v>
      </c>
      <c r="HT15">
        <f>IFERROR(VLOOKUP($D15,'Kalkulator mięs '!$C$5:$H$533,HT$4,0)*$AT15,0)</f>
        <v>0</v>
      </c>
      <c r="HU15">
        <f>IFERROR(VLOOKUP($D15,'Kalkulator mięs '!$C$5:$H$533,HU$4,0)*$AU15,0)</f>
        <v>0</v>
      </c>
      <c r="HV15">
        <f>IFERROR(VLOOKUP($D15,'Kalkulator mięs '!$C$5:$H$533,HV$4,0)*$AU15,0)</f>
        <v>0</v>
      </c>
      <c r="HW15">
        <f>IFERROR(VLOOKUP($D15,'Kalkulator mięs '!$C$5:$H$533,HW$4,0)*$AU15,0)</f>
        <v>380.1</v>
      </c>
      <c r="HX15">
        <f>IFERROR(VLOOKUP($D15,'Kalkulator mięs '!$C$5:$H$533,HX$4,0)*$AV15,0)</f>
        <v>0</v>
      </c>
      <c r="HY15">
        <f>IFERROR(VLOOKUP($D15,'Kalkulator mięs '!$C$5:$H$533,HY$4,0)*$AV15,0)</f>
        <v>0</v>
      </c>
      <c r="HZ15">
        <f>IFERROR(VLOOKUP($D15,'Kalkulator mięs '!$C$5:$H$533,HZ$4,0)*$AV15,0)</f>
        <v>0</v>
      </c>
      <c r="IA15">
        <f>IFERROR(VLOOKUP($D15,'Kalkulator mięs '!$C$5:$H$533,IA$4,0)*$AW15,0)</f>
        <v>0</v>
      </c>
      <c r="IB15">
        <f>IFERROR(VLOOKUP($D15,'Kalkulator mięs '!$C$5:$H$533,IB$4,0)*$AW15,0)</f>
        <v>0</v>
      </c>
      <c r="IC15">
        <f>IFERROR(VLOOKUP($D15,'Kalkulator mięs '!$C$5:$H$533,IC$4,0)*$AW15,0)</f>
        <v>0</v>
      </c>
      <c r="ID15">
        <f>IFERROR(VLOOKUP($D15,'Kalkulator mięs '!$C$5:$H$533,ID$4,0)*$AX15,0)</f>
        <v>0</v>
      </c>
      <c r="IE15">
        <f>IFERROR(VLOOKUP($D15,'Kalkulator mięs '!$C$5:$H$533,IE$4,0)*$AX15,0)</f>
        <v>0</v>
      </c>
      <c r="IF15">
        <f>IFERROR(VLOOKUP($D15,'Kalkulator mięs '!$C$5:$H$533,IF$4,0)*$AX15,0)</f>
        <v>0</v>
      </c>
      <c r="IG15">
        <f>IFERROR(VLOOKUP($D15,'Kalkulator mięs '!$C$5:$H$533,IG$4,0)*$AY15,0)</f>
        <v>0</v>
      </c>
      <c r="IH15">
        <f>IFERROR(VLOOKUP($D15,'Kalkulator mięs '!$C$5:$H$533,IH$4,0)*$AY15,0)</f>
        <v>0</v>
      </c>
      <c r="II15">
        <f>IFERROR(VLOOKUP($D15,'Kalkulator mięs '!$C$5:$H$533,II$4,0)*$AY15,0)</f>
        <v>0</v>
      </c>
      <c r="IJ15">
        <f>IFERROR(VLOOKUP($D15,'Kalkulator mięs '!$C$5:$H$533,IJ$4,0)*$AZ15,0)</f>
        <v>0</v>
      </c>
      <c r="IK15">
        <f>IFERROR(VLOOKUP($D15,'Kalkulator mięs '!$C$5:$H$533,IK$4,0)*$AZ15,0)</f>
        <v>0</v>
      </c>
      <c r="IL15">
        <f>IFERROR(VLOOKUP($D15,'Kalkulator mięs '!$C$5:$H$533,IL$4,0)*$AZ15,0)</f>
        <v>0</v>
      </c>
      <c r="IM15">
        <f>IFERROR(VLOOKUP($D15,'Kalkulator mięs '!$C$5:$H$533,IM$4,0)*$BA15,0)</f>
        <v>0</v>
      </c>
      <c r="IN15">
        <f>IFERROR(VLOOKUP($D15,'Kalkulator mięs '!$C$5:$H$533,IN$4,0)*$BA15,0)</f>
        <v>0</v>
      </c>
      <c r="IO15">
        <f>IFERROR(VLOOKUP($D15,'Kalkulator mięs '!$C$5:$H$533,IO$4,0)*$BA15,0)</f>
        <v>0</v>
      </c>
    </row>
    <row r="16" spans="2:249" ht="15.75">
      <c r="B16" t="str">
        <f>VLOOKUP(D16,Receptury_z!$A:$B,2,0)</f>
        <v>ON</v>
      </c>
      <c r="C16" s="16">
        <v>5421</v>
      </c>
      <c r="D16" s="19">
        <v>6418</v>
      </c>
      <c r="E16" s="18" t="s">
        <v>28</v>
      </c>
      <c r="F16" s="14">
        <f>IF($B16="OFF",BE16,VLOOKUP($D16,Receptury_z!$D:$AI,F$4,0))</f>
        <v>0</v>
      </c>
      <c r="G16" s="14">
        <f>IF($B16="OFF",BF16,VLOOKUP($D16,Receptury_z!$D:$AI,G$4,0))</f>
        <v>0</v>
      </c>
      <c r="H16" s="14">
        <f>IF($B16="OFF",BG16,VLOOKUP($D16,Receptury_z!$D:$AI,H$4,0))</f>
        <v>0</v>
      </c>
      <c r="I16" s="14">
        <f>IF($B16="OFF",BH16,VLOOKUP($D16,Receptury_z!$D:$AI,I$4,0))</f>
        <v>0</v>
      </c>
      <c r="J16" s="14">
        <f>IF($B16="OFF",BI16,VLOOKUP($D16,Receptury_z!$D:$AI,J$4,0))</f>
        <v>228.9</v>
      </c>
      <c r="K16" s="14">
        <f>IF($B16="OFF",BJ16,VLOOKUP($D16,Receptury_z!$D:$AI,K$4,0))</f>
        <v>0</v>
      </c>
      <c r="L16" s="14">
        <f>IF($B16="OFF",BK16,VLOOKUP($D16,Receptury_z!$D:$AI,L$4,0))</f>
        <v>0</v>
      </c>
      <c r="M16" s="14">
        <f>IF($B16="OFF",BL16,VLOOKUP($D16,Receptury_z!$D:$AI,M$4,0))</f>
        <v>312.10000000000002</v>
      </c>
      <c r="N16" s="14">
        <f>IF($B16="OFF",BM16,VLOOKUP($D16,Receptury_z!$D:$AI,N$4,0))</f>
        <v>0</v>
      </c>
      <c r="O16" s="14">
        <f>IF($B16="OFF",BN16,VLOOKUP($D16,Receptury_z!$D:$AI,O$4,0))</f>
        <v>69.400000000000006</v>
      </c>
      <c r="P16" s="14">
        <f>IF($B16="OFF",BO16,VLOOKUP($D16,Receptury_z!$D:$AI,P$4,0))</f>
        <v>0</v>
      </c>
      <c r="Q16" s="14">
        <f>IF($B16="OFF",BP16,VLOOKUP($D16,Receptury_z!$D:$AI,Q$4,0))</f>
        <v>0</v>
      </c>
      <c r="R16" s="14">
        <f>IF($B16="OFF",BQ16,VLOOKUP($D16,Receptury_z!$D:$AI,R$4,0))</f>
        <v>0</v>
      </c>
      <c r="S16" s="14">
        <f>IF($B16="OFF",BR16,VLOOKUP($D16,Receptury_z!$D:$AI,S$4,0))</f>
        <v>0</v>
      </c>
      <c r="T16" s="14">
        <f>IF($B16="OFF",BS16,VLOOKUP($D16,Receptury_z!$D:$AI,T$4,0))</f>
        <v>0</v>
      </c>
      <c r="U16" s="14">
        <f>IF($B16="OFF",BT16,VLOOKUP($D16,Receptury_z!$D:$AI,U$4,0))</f>
        <v>0</v>
      </c>
      <c r="V16" s="14">
        <f>IF($B16="OFF",BU16,VLOOKUP($D16,Receptury_z!$D:$AI,V$4,0))</f>
        <v>0</v>
      </c>
      <c r="W16" s="14">
        <f>IF($B16="OFF",BV16,VLOOKUP($D16,Receptury_z!$D:$AI,W$4,0))</f>
        <v>0</v>
      </c>
      <c r="X16" s="14">
        <f>IF($B16="OFF",BW16,VLOOKUP($D16,Receptury_z!$D:$AI,X$4,0))</f>
        <v>0</v>
      </c>
      <c r="Y16" s="14">
        <f>IF($B16="OFF",BX16,VLOOKUP($D16,Receptury_z!$D:$AI,Y$4,0))</f>
        <v>0</v>
      </c>
      <c r="Z16" s="14">
        <f>IF($B16="OFF",BY16,VLOOKUP($D16,Receptury_z!$D:$AI,Z$4,0))</f>
        <v>0</v>
      </c>
      <c r="AA16" s="14">
        <f>IF($B16="OFF",BZ16,VLOOKUP($D16,Receptury_z!$D:$AI,AA$4,0))</f>
        <v>0</v>
      </c>
      <c r="AB16" s="14">
        <f>IF($B16="OFF",CA16,VLOOKUP($D16,Receptury_z!$D:$AI,AB$4,0))</f>
        <v>83.2</v>
      </c>
      <c r="AC16" s="14">
        <f>IF($B16="OFF",CB16,VLOOKUP($D16,Receptury_z!$D:$AI,AC$4,0))</f>
        <v>0</v>
      </c>
      <c r="AD16" s="14">
        <f>IF($B16="OFF",CC16,VLOOKUP($D16,Receptury_z!$D:$AI,AD$4,0))</f>
        <v>0</v>
      </c>
      <c r="AE16" s="14">
        <f>IF($B16="OFF",CD16,VLOOKUP($D16,Receptury_z!$D:$AI,AE$4,0))</f>
        <v>0</v>
      </c>
      <c r="AF16" s="14">
        <f>IF($B16="OFF",CE16,VLOOKUP($D16,Receptury_z!$D:$AI,AF$4,0))</f>
        <v>0</v>
      </c>
      <c r="AG16" s="14">
        <f>IF($B16="OFF",CF16,VLOOKUP($D16,Receptury_z!$D:$AI,AG$4,0))</f>
        <v>0</v>
      </c>
      <c r="AH16" s="14">
        <f>IF($B16="OFF",CG16,VLOOKUP($D16,Receptury_z!$D:$AI,AH$4,0))</f>
        <v>0</v>
      </c>
      <c r="AI16" s="14">
        <f>IF($B16="OFF",CH16,VLOOKUP($D16,Receptury_z!$D:$AI,AI$4,0))</f>
        <v>0</v>
      </c>
      <c r="AJ16" s="14">
        <f>IF($B16="OFF",CI16,VLOOKUP($D16,Receptury_z!$D:$AS,AJ$4,0))</f>
        <v>0</v>
      </c>
      <c r="AK16" s="14">
        <f>IF($B16="OFF",CJ16,VLOOKUP($D16,Receptury_z!$D:$AS,AK$4,0))</f>
        <v>0</v>
      </c>
      <c r="AL16" s="14">
        <f>IF($B16="OFF",CK16,VLOOKUP($D16,Receptury_z!$D:$AS,AL$4,0))</f>
        <v>0</v>
      </c>
      <c r="AM16" s="14">
        <f>IF($B16="OFF",CL16,VLOOKUP($D16,Receptury_z!$D:$AS,AM$4,0))</f>
        <v>0</v>
      </c>
      <c r="AN16" s="14">
        <f>IF($B16="OFF",CM16,VLOOKUP($D16,Receptury_z!$D:$AS,AN$4,0))</f>
        <v>0</v>
      </c>
      <c r="AO16" s="14">
        <f>IF($B16="OFF",CN16,VLOOKUP($D16,Receptury_z!$D:$AS,AO$4,0))</f>
        <v>0</v>
      </c>
      <c r="AP16" s="14">
        <f>IF($B16="OFF",CO16,VLOOKUP($D16,Receptury_z!$D:$AS,AP$4,0))</f>
        <v>0</v>
      </c>
      <c r="AQ16" s="14">
        <f>IF($B16="OFF",CP16,VLOOKUP($D16,Receptury_z!$D:$AS,AQ$4,0))</f>
        <v>0</v>
      </c>
      <c r="AR16" s="14">
        <f>IF($B16="OFF",CQ16,VLOOKUP($D16,Receptury_z!$D:$AS,AR$4,0))</f>
        <v>0</v>
      </c>
      <c r="AS16" s="14">
        <f>IF($B16="OFF",CR16,VLOOKUP($D16,Receptury_z!$D:$AS,AS$4,0))</f>
        <v>0</v>
      </c>
      <c r="AT16" s="14">
        <f>IF($B16="OFF",CS16,VLOOKUP($D16,Receptury_z!$D:$AV,AT$4,0))</f>
        <v>0</v>
      </c>
      <c r="AU16" s="14">
        <f>IF($B16="OFF",CT16,VLOOKUP($D16,Receptury_z!$D:$AV,AU$4,0))</f>
        <v>0</v>
      </c>
      <c r="AV16" s="14">
        <f>IF($B16="OFF",CU16,VLOOKUP($D16,Receptury_z!$D:$AV,AV$4,0))</f>
        <v>0</v>
      </c>
      <c r="AW16" s="14">
        <f>IF($B16="OFF",CV16,VLOOKUP($D16,Receptury_z!$D:$BA,AW$4,0))</f>
        <v>0</v>
      </c>
      <c r="AX16" s="14">
        <f>IF($B16="OFF",CW16,VLOOKUP($D16,Receptury_z!$D:$BA,AX$4,0))</f>
        <v>0</v>
      </c>
      <c r="AY16" s="14">
        <f>IF($B16="OFF",CX16,VLOOKUP($D16,Receptury_z!$D:$BA,AY$4,0))</f>
        <v>0</v>
      </c>
      <c r="AZ16" s="14">
        <f>IF($B16="OFF",DA16,VLOOKUP($D16,Receptury_z!$D:$BA,AZ$4,0))</f>
        <v>0</v>
      </c>
      <c r="BA16" s="14">
        <f>IF($B16="OFF",DB16,VLOOKUP($D16,Receptury_z!$D:$BA,BA$4,0))</f>
        <v>0</v>
      </c>
      <c r="BC16" s="19">
        <v>6418</v>
      </c>
      <c r="BD16" s="18" t="s">
        <v>28</v>
      </c>
      <c r="BE16" s="239">
        <v>0</v>
      </c>
      <c r="BF16" s="239">
        <v>0</v>
      </c>
      <c r="BG16" s="239">
        <v>0</v>
      </c>
      <c r="BH16" s="239">
        <v>0</v>
      </c>
      <c r="BI16" s="239">
        <v>0</v>
      </c>
      <c r="BJ16" s="239">
        <v>0</v>
      </c>
      <c r="BK16" s="239">
        <v>0</v>
      </c>
      <c r="BL16" s="239">
        <v>312.10000000000002</v>
      </c>
      <c r="BM16" s="239">
        <v>0</v>
      </c>
      <c r="BN16" s="239">
        <v>298.3</v>
      </c>
      <c r="BO16" s="239">
        <v>0</v>
      </c>
      <c r="BP16" s="239">
        <v>0</v>
      </c>
      <c r="BQ16" s="239">
        <v>0</v>
      </c>
      <c r="BR16" s="239">
        <v>0</v>
      </c>
      <c r="BS16" s="239">
        <v>0</v>
      </c>
      <c r="BT16" s="239">
        <v>0</v>
      </c>
      <c r="BU16" s="239">
        <v>0</v>
      </c>
      <c r="BV16" s="239">
        <v>0</v>
      </c>
      <c r="BW16" s="239">
        <v>0</v>
      </c>
      <c r="BX16" s="239">
        <v>0</v>
      </c>
      <c r="BY16" s="239">
        <v>0</v>
      </c>
      <c r="BZ16" s="239">
        <v>0</v>
      </c>
      <c r="CA16" s="239">
        <v>83.2</v>
      </c>
      <c r="CB16" s="239">
        <v>0</v>
      </c>
      <c r="CC16" s="239">
        <v>0</v>
      </c>
      <c r="CD16" s="239">
        <v>0</v>
      </c>
      <c r="CE16" s="239">
        <v>0</v>
      </c>
      <c r="CF16" s="239">
        <v>0</v>
      </c>
      <c r="CG16" s="239">
        <v>0</v>
      </c>
      <c r="CH16" s="239">
        <v>0</v>
      </c>
      <c r="CI16" s="239">
        <v>0</v>
      </c>
      <c r="CJ16" s="239">
        <v>0</v>
      </c>
      <c r="CK16" s="239">
        <v>0</v>
      </c>
      <c r="CL16" s="239">
        <v>0</v>
      </c>
      <c r="CM16" s="80"/>
      <c r="CN16" s="80"/>
      <c r="CO16" s="80"/>
      <c r="CP16" s="80"/>
      <c r="CQ16" s="80"/>
      <c r="CR16" s="80"/>
      <c r="CS16" s="80"/>
      <c r="CT16" s="80"/>
      <c r="CU16" s="80"/>
      <c r="CV16" s="80"/>
      <c r="CW16" s="80"/>
      <c r="CX16" s="80"/>
      <c r="CY16" s="80"/>
      <c r="CZ16" s="80"/>
      <c r="DB16">
        <f>IFERROR(VLOOKUP($D16,'Kalkulator mięs '!$C$5:$H$533,DB$4,0)*F16,0)</f>
        <v>0</v>
      </c>
      <c r="DC16">
        <f>IFERROR(VLOOKUP($D16,'Kalkulator mięs '!$C$5:$H$533,DC$4,0)*F16,0)</f>
        <v>0</v>
      </c>
      <c r="DD16">
        <f>IFERROR(VLOOKUP($D16,'Kalkulator mięs '!$C$5:$H$533,DD$4,0)*F16,0)</f>
        <v>0</v>
      </c>
      <c r="DE16">
        <f>IFERROR(VLOOKUP($D16,'Kalkulator mięs '!$C$5:$H$533,DE$4,0)*$G16,0)</f>
        <v>0</v>
      </c>
      <c r="DF16">
        <f>IFERROR(VLOOKUP($D16,'Kalkulator mięs '!$C$5:$H$533,DF$4,0)*$G16,0)</f>
        <v>0</v>
      </c>
      <c r="DG16">
        <f>IFERROR(VLOOKUP($D16,'Kalkulator mięs '!$C$5:$H$533,DG$4,0)*$G16,0)</f>
        <v>0</v>
      </c>
      <c r="DH16">
        <f>IFERROR(VLOOKUP($D16,'Kalkulator mięs '!$C$5:$H$533,DH$4,0)*$H16,0)</f>
        <v>0</v>
      </c>
      <c r="DI16">
        <f>IFERROR(VLOOKUP($D16,'Kalkulator mięs '!$C$5:$H$533,DI$4,0)*$H16,0)</f>
        <v>0</v>
      </c>
      <c r="DJ16">
        <f>IFERROR(VLOOKUP($D16,'Kalkulator mięs '!$C$5:$H$533,DJ$4,0)*$H16,0)</f>
        <v>0</v>
      </c>
      <c r="DK16">
        <f>IFERROR(VLOOKUP($D16,'Kalkulator mięs '!$C$5:$H$533,DK$4,0)*$I16,0)</f>
        <v>0</v>
      </c>
      <c r="DL16">
        <f>IFERROR(VLOOKUP($D16,'Kalkulator mięs '!$C$5:$H$533,DL$4,0)*$I16,0)</f>
        <v>0</v>
      </c>
      <c r="DM16">
        <f>IFERROR(VLOOKUP($D16,'Kalkulator mięs '!$C$5:$H$533,DM$4,0)*$I16,0)</f>
        <v>0</v>
      </c>
      <c r="DN16">
        <f>IFERROR(VLOOKUP($D16,'Kalkulator mięs '!$C$5:$H$533,DN$4,0)*$J16,0)</f>
        <v>0</v>
      </c>
      <c r="DO16">
        <f>IFERROR(VLOOKUP($D16,'Kalkulator mięs '!$C$5:$H$533,DO$4,0)*$J16,0)</f>
        <v>343.35</v>
      </c>
      <c r="DP16">
        <f>IFERROR(VLOOKUP($D16,'Kalkulator mięs '!$C$5:$H$533,DP$4,0)*$J16,0)</f>
        <v>0</v>
      </c>
      <c r="DQ16">
        <f>IFERROR(VLOOKUP($D16,'Kalkulator mięs '!$C$5:$H$533,DQ$4,0)*$K16,0)</f>
        <v>0</v>
      </c>
      <c r="DR16">
        <f>IFERROR(VLOOKUP($D16,'Kalkulator mięs '!$C$5:$H$533,DR$4,0)*$K16,0)</f>
        <v>0</v>
      </c>
      <c r="DS16">
        <f>IFERROR(VLOOKUP($D16,'Kalkulator mięs '!$C$5:$H$533,DS$4,0)*$K16,0)</f>
        <v>0</v>
      </c>
      <c r="DT16">
        <f>IFERROR(VLOOKUP($D16,'Kalkulator mięs '!$C$5:$H$533,DT$4,0)*$L16,0)</f>
        <v>0</v>
      </c>
      <c r="DU16">
        <f>IFERROR(VLOOKUP($D16,'Kalkulator mięs '!$C$5:$H$533,DU$4,0)*$L16,0)</f>
        <v>0</v>
      </c>
      <c r="DV16">
        <f>IFERROR(VLOOKUP($D16,'Kalkulator mięs '!$C$5:$H$533,DV$4,0)*$L16,0)</f>
        <v>0</v>
      </c>
      <c r="DW16">
        <f>IFERROR(VLOOKUP($D16,'Kalkulator mięs '!$C$5:$H$533,DW$4,0)*$M16,0)</f>
        <v>0</v>
      </c>
      <c r="DX16">
        <f>IFERROR(VLOOKUP($D16,'Kalkulator mięs '!$C$5:$H$533,DX$4,0)*$M16,0)</f>
        <v>468.15000000000003</v>
      </c>
      <c r="DY16">
        <f>IFERROR(VLOOKUP($D16,'Kalkulator mięs '!$C$5:$H$533,DY$4,0)*$M16,0)</f>
        <v>0</v>
      </c>
      <c r="DZ16">
        <f>IFERROR(VLOOKUP($D16,'Kalkulator mięs '!$C$5:$H$533,DZ$4,0)*$N16,0)</f>
        <v>0</v>
      </c>
      <c r="EA16">
        <f>IFERROR(VLOOKUP($D16,'Kalkulator mięs '!$C$5:$H$533,EA$4,0)*$N16,0)</f>
        <v>0</v>
      </c>
      <c r="EB16">
        <f>IFERROR(VLOOKUP($D16,'Kalkulator mięs '!$C$5:$H$533,EB$4,0)*$N16,0)</f>
        <v>0</v>
      </c>
      <c r="EC16">
        <f>IFERROR(VLOOKUP($D16,'Kalkulator mięs '!$C$5:$H$533,EC$4,0)*$O16,0)</f>
        <v>0</v>
      </c>
      <c r="ED16">
        <f>IFERROR(VLOOKUP($D16,'Kalkulator mięs '!$C$5:$H$533,ED$4,0)*$O16,0)</f>
        <v>104.10000000000001</v>
      </c>
      <c r="EE16">
        <f>IFERROR(VLOOKUP($D16,'Kalkulator mięs '!$C$5:$H$533,EE$4,0)*$O16,0)</f>
        <v>0</v>
      </c>
      <c r="EF16">
        <f>IFERROR(VLOOKUP($D16,'Kalkulator mięs '!$C$5:$H$533,EF$4,0)*$P16,0)</f>
        <v>0</v>
      </c>
      <c r="EG16">
        <f>IFERROR(VLOOKUP($D16,'Kalkulator mięs '!$C$5:$H$533,EG$4,0)*$P16,0)</f>
        <v>0</v>
      </c>
      <c r="EH16">
        <f>IFERROR(VLOOKUP($D16,'Kalkulator mięs '!$C$5:$H$533,EH$4,0)*$P16,0)</f>
        <v>0</v>
      </c>
      <c r="EI16">
        <f>IFERROR(VLOOKUP($D16,'Kalkulator mięs '!$C$5:$H$533,EI$4,0)*$Q16,0)</f>
        <v>0</v>
      </c>
      <c r="EJ16">
        <f>IFERROR(VLOOKUP($D16,'Kalkulator mięs '!$C$5:$H$533,EJ$4,0)*$Q16,0)</f>
        <v>0</v>
      </c>
      <c r="EK16">
        <f>IFERROR(VLOOKUP($D16,'Kalkulator mięs '!$C$5:$H$533,EK$4,0)*$Q16,0)</f>
        <v>0</v>
      </c>
      <c r="EL16">
        <f>IFERROR(VLOOKUP($D16,'Kalkulator mięs '!$C$5:$H$533,EL$4,0)*$R16,0)</f>
        <v>0</v>
      </c>
      <c r="EM16">
        <f>IFERROR(VLOOKUP($D16,'Kalkulator mięs '!$C$5:$H$533,EM$4,0)*$R16,0)</f>
        <v>0</v>
      </c>
      <c r="EN16">
        <f>IFERROR(VLOOKUP($D16,'Kalkulator mięs '!$C$5:$H$533,EN$4,0)*$R16,0)</f>
        <v>0</v>
      </c>
      <c r="EO16">
        <f>IFERROR(VLOOKUP($D16,'Kalkulator mięs '!$C$5:$H$533,EO$4,0)*$S16,0)</f>
        <v>0</v>
      </c>
      <c r="EP16">
        <f>IFERROR(VLOOKUP($D16,'Kalkulator mięs '!$C$5:$H$533,EP$4,0)*$S16,0)</f>
        <v>0</v>
      </c>
      <c r="EQ16">
        <f>IFERROR(VLOOKUP($D16,'Kalkulator mięs '!$C$5:$H$533,EQ$4,0)*$S16,0)</f>
        <v>0</v>
      </c>
      <c r="ER16">
        <f>IFERROR(VLOOKUP($D16,'Kalkulator mięs '!$C$5:$H$533,ER$4,0)*$T16,0)</f>
        <v>0</v>
      </c>
      <c r="ES16">
        <f>IFERROR(VLOOKUP($D16,'Kalkulator mięs '!$C$5:$H$533,ES$4,0)*$T16,0)</f>
        <v>0</v>
      </c>
      <c r="ET16">
        <f>IFERROR(VLOOKUP($D16,'Kalkulator mięs '!$C$5:$H$533,ET$4,0)*$T16,0)</f>
        <v>0</v>
      </c>
      <c r="EU16">
        <f>IFERROR(VLOOKUP($D16,'Kalkulator mięs '!$C$5:$H$533,EU$4,0)*$U16,0)</f>
        <v>0</v>
      </c>
      <c r="EV16">
        <f>IFERROR(VLOOKUP($D16,'Kalkulator mięs '!$C$5:$H$533,EV$4,0)*$U16,0)</f>
        <v>0</v>
      </c>
      <c r="EW16">
        <f>IFERROR(VLOOKUP($D16,'Kalkulator mięs '!$C$5:$H$533,EW$4,0)*$U16,0)</f>
        <v>0</v>
      </c>
      <c r="EX16">
        <f>IFERROR(VLOOKUP($D16,'Kalkulator mięs '!$C$5:$H$533,EX$4,0)*$V16,0)</f>
        <v>0</v>
      </c>
      <c r="EY16">
        <f>IFERROR(VLOOKUP($D16,'Kalkulator mięs '!$C$5:$H$533,EY$4,0)*$V16,0)</f>
        <v>0</v>
      </c>
      <c r="EZ16">
        <f>IFERROR(VLOOKUP($D16,'Kalkulator mięs '!$C$5:$H$533,EZ$4,0)*$V16,0)</f>
        <v>0</v>
      </c>
      <c r="FA16">
        <f>IFERROR(VLOOKUP($D16,'Kalkulator mięs '!$C$5:$H$533,FA$4,0)*$W16,0)</f>
        <v>0</v>
      </c>
      <c r="FB16">
        <f>IFERROR(VLOOKUP($D16,'Kalkulator mięs '!$C$5:$H$533,FB$4,0)*$W16,0)</f>
        <v>0</v>
      </c>
      <c r="FC16">
        <f>IFERROR(VLOOKUP($D16,'Kalkulator mięs '!$C$5:$H$533,FC$4,0)*$W16,0)</f>
        <v>0</v>
      </c>
      <c r="FD16">
        <f>IFERROR(VLOOKUP($D16,'Kalkulator mięs '!$C$5:$H$533,FD$4,0)*$X16,0)</f>
        <v>0</v>
      </c>
      <c r="FE16">
        <f>IFERROR(VLOOKUP($D16,'Kalkulator mięs '!$C$5:$H$533,FE$4,0)*$X16,0)</f>
        <v>0</v>
      </c>
      <c r="FF16">
        <f>IFERROR(VLOOKUP($D16,'Kalkulator mięs '!$C$5:$H$533,FF$4,0)*$X16,0)</f>
        <v>0</v>
      </c>
      <c r="FG16">
        <f>IFERROR(VLOOKUP($D16,'Kalkulator mięs '!$C$5:$H$533,FG$4,0)*$Y16,0)</f>
        <v>0</v>
      </c>
      <c r="FH16">
        <f>IFERROR(VLOOKUP($D16,'Kalkulator mięs '!$C$5:$H$533,FH$4,0)*$Y16,0)</f>
        <v>0</v>
      </c>
      <c r="FI16">
        <f>IFERROR(VLOOKUP($D16,'Kalkulator mięs '!$C$5:$H$533,FI$4,0)*$Y16,0)</f>
        <v>0</v>
      </c>
      <c r="FJ16">
        <f>IFERROR(VLOOKUP($D16,'Kalkulator mięs '!$C$5:$H$533,FJ$4,0)*$Z16,0)</f>
        <v>0</v>
      </c>
      <c r="FK16">
        <f>IFERROR(VLOOKUP($D16,'Kalkulator mięs '!$C$5:$H$533,FK$4,0)*$Z16,0)</f>
        <v>0</v>
      </c>
      <c r="FL16">
        <f>IFERROR(VLOOKUP($D16,'Kalkulator mięs '!$C$5:$H$533,FL$4,0)*$Z16,0)</f>
        <v>0</v>
      </c>
      <c r="FM16">
        <f>IFERROR(VLOOKUP($D16,'Kalkulator mięs '!$C$5:$H$533,FM$4,0)*$AA16,0)</f>
        <v>0</v>
      </c>
      <c r="FN16">
        <f>IFERROR(VLOOKUP($D16,'Kalkulator mięs '!$C$5:$H$533,FN$4,0)*$AA16,0)</f>
        <v>0</v>
      </c>
      <c r="FO16">
        <f>IFERROR(VLOOKUP($D16,'Kalkulator mięs '!$C$5:$H$533,FO$4,0)*$AA16,0)</f>
        <v>0</v>
      </c>
      <c r="FP16">
        <f>IFERROR(VLOOKUP($D16,'Kalkulator mięs '!$C$5:$H$533,FP$4,0)*$AB16,0)</f>
        <v>0</v>
      </c>
      <c r="FQ16">
        <f>IFERROR(VLOOKUP($D16,'Kalkulator mięs '!$C$5:$H$533,FQ$4,0)*$AB16,0)</f>
        <v>124.80000000000001</v>
      </c>
      <c r="FR16">
        <f>IFERROR(VLOOKUP($D16,'Kalkulator mięs '!$C$5:$H$533,FR$4,0)*$AB16,0)</f>
        <v>0</v>
      </c>
      <c r="FS16">
        <f>IFERROR(VLOOKUP($D16,'Kalkulator mięs '!$C$5:$H$533,FS$4,0)*$AC16,0)</f>
        <v>0</v>
      </c>
      <c r="FT16">
        <f>IFERROR(VLOOKUP($D16,'Kalkulator mięs '!$C$5:$H$533,FT$4,0)*$AC16,0)</f>
        <v>0</v>
      </c>
      <c r="FU16">
        <f>IFERROR(VLOOKUP($D16,'Kalkulator mięs '!$C$5:$H$533,FU$4,0)*$AC16,0)</f>
        <v>0</v>
      </c>
      <c r="FV16">
        <f>IFERROR(VLOOKUP($D16,'Kalkulator mięs '!$C$5:$H$533,FV$4,0)*$AD16,0)</f>
        <v>0</v>
      </c>
      <c r="FW16">
        <f>IFERROR(VLOOKUP($D16,'Kalkulator mięs '!$C$5:$H$533,FW$4,0)*$AD16,0)</f>
        <v>0</v>
      </c>
      <c r="FX16">
        <f>IFERROR(VLOOKUP($D16,'Kalkulator mięs '!$C$5:$H$533,FX$4,0)*$AD16,0)</f>
        <v>0</v>
      </c>
      <c r="FY16">
        <f>IFERROR(VLOOKUP($D16,'Kalkulator mięs '!$C$5:$H$533,FY$4,0)*$AE16,0)</f>
        <v>0</v>
      </c>
      <c r="FZ16">
        <f>IFERROR(VLOOKUP($D16,'Kalkulator mięs '!$C$5:$H$533,FZ$4,0)*$AE16,0)</f>
        <v>0</v>
      </c>
      <c r="GA16">
        <f>IFERROR(VLOOKUP($D16,'Kalkulator mięs '!$C$5:$H$533,GA$4,0)*$AE16,0)</f>
        <v>0</v>
      </c>
      <c r="GB16">
        <f>IFERROR(VLOOKUP($D16,'Kalkulator mięs '!$C$5:$H$533,GB$4,0)*$AF16,0)</f>
        <v>0</v>
      </c>
      <c r="GC16">
        <f>IFERROR(VLOOKUP($D16,'Kalkulator mięs '!$C$5:$H$533,GC$4,0)*$AF16,0)</f>
        <v>0</v>
      </c>
      <c r="GD16">
        <f>IFERROR(VLOOKUP($D16,'Kalkulator mięs '!$C$5:$H$533,GD$4,0)*$AF16,0)</f>
        <v>0</v>
      </c>
      <c r="GE16">
        <f>IFERROR(VLOOKUP($D16,'Kalkulator mięs '!$C$5:$H$533,GE$4,0)*$AG16,0)</f>
        <v>0</v>
      </c>
      <c r="GF16">
        <f>IFERROR(VLOOKUP($D16,'Kalkulator mięs '!$C$5:$H$533,GF$4,0)*$AG16,0)</f>
        <v>0</v>
      </c>
      <c r="GG16">
        <f>IFERROR(VLOOKUP($D16,'Kalkulator mięs '!$C$5:$H$533,GG$4,0)*$AG16,0)</f>
        <v>0</v>
      </c>
      <c r="GH16">
        <f>IFERROR(VLOOKUP($D16,'Kalkulator mięs '!$C$5:$H$533,GH$4,0)*$AH16,0)</f>
        <v>0</v>
      </c>
      <c r="GI16">
        <f>IFERROR(VLOOKUP($D16,'Kalkulator mięs '!$C$5:$H$533,GI$4,0)*$AH16,0)</f>
        <v>0</v>
      </c>
      <c r="GJ16">
        <f>IFERROR(VLOOKUP($D16,'Kalkulator mięs '!$C$5:$H$533,GJ$4,0)*$AH16,0)</f>
        <v>0</v>
      </c>
      <c r="GK16">
        <f>IFERROR(VLOOKUP($D16,'Kalkulator mięs '!$C$5:$H$533,GK$4,0)*$AI16,0)</f>
        <v>0</v>
      </c>
      <c r="GL16">
        <f>IFERROR(VLOOKUP($D16,'Kalkulator mięs '!$C$5:$H$533,GL$4,0)*$AI16,0)</f>
        <v>0</v>
      </c>
      <c r="GM16">
        <f>IFERROR(VLOOKUP($D16,'Kalkulator mięs '!$C$5:$H$533,GM$4,0)*$AI16,0)</f>
        <v>0</v>
      </c>
      <c r="GN16">
        <f>IFERROR(VLOOKUP($D16,'Kalkulator mięs '!$C$5:$H$533,GN$4,0)*$AJ16,0)</f>
        <v>0</v>
      </c>
      <c r="GO16">
        <f>IFERROR(VLOOKUP($D16,'Kalkulator mięs '!$C$5:$H$533,GO$4,0)*$AJ16,0)</f>
        <v>0</v>
      </c>
      <c r="GP16">
        <f>IFERROR(VLOOKUP($D16,'Kalkulator mięs '!$C$5:$H$533,GP$4,0)*$AJ16,0)</f>
        <v>0</v>
      </c>
      <c r="GQ16">
        <f>IFERROR(VLOOKUP($D16,'Kalkulator mięs '!$C$5:$H$533,GQ$4,0)*$AK16,0)</f>
        <v>0</v>
      </c>
      <c r="GR16">
        <f>IFERROR(VLOOKUP($D16,'Kalkulator mięs '!$C$5:$H$533,GR$4,0)*$AK16,0)</f>
        <v>0</v>
      </c>
      <c r="GS16">
        <f>IFERROR(VLOOKUP($D16,'Kalkulator mięs '!$C$5:$H$533,GS$4,0)*$AK16,0)</f>
        <v>0</v>
      </c>
      <c r="GT16">
        <f>IFERROR(VLOOKUP($D16,'Kalkulator mięs '!$C$5:$H$533,GT$4,0)*$AL16,0)</f>
        <v>0</v>
      </c>
      <c r="GU16">
        <f>IFERROR(VLOOKUP($D16,'Kalkulator mięs '!$C$5:$H$533,GU$4,0)*$AL16,0)</f>
        <v>0</v>
      </c>
      <c r="GV16">
        <f>IFERROR(VLOOKUP($D16,'Kalkulator mięs '!$C$5:$H$533,GV$4,0)*$AL16,0)</f>
        <v>0</v>
      </c>
      <c r="GW16">
        <f>IFERROR(VLOOKUP($D16,'Kalkulator mięs '!$C$5:$H$533,GW$4,0)*$AM16,0)</f>
        <v>0</v>
      </c>
      <c r="GX16">
        <f>IFERROR(VLOOKUP($D16,'Kalkulator mięs '!$C$5:$H$533,GX$4,0)*$AM16,0)</f>
        <v>0</v>
      </c>
      <c r="GY16">
        <f>IFERROR(VLOOKUP($D16,'Kalkulator mięs '!$C$5:$H$533,GY$4,0)*$AM16,0)</f>
        <v>0</v>
      </c>
      <c r="GZ16">
        <f>IFERROR(VLOOKUP($D16,'Kalkulator mięs '!$C$5:$H$533,GZ$4,0)*$AN16,0)</f>
        <v>0</v>
      </c>
      <c r="HA16">
        <f>IFERROR(VLOOKUP($D16,'Kalkulator mięs '!$C$5:$H$533,HA$4,0)*$AN16,0)</f>
        <v>0</v>
      </c>
      <c r="HB16">
        <f>IFERROR(VLOOKUP($D16,'Kalkulator mięs '!$C$5:$H$533,HB$4,0)*$AN16,0)</f>
        <v>0</v>
      </c>
      <c r="HC16">
        <f>IFERROR(VLOOKUP($D16,'Kalkulator mięs '!$C$5:$H$533,HC$4,0)*$AO16,0)</f>
        <v>0</v>
      </c>
      <c r="HD16">
        <f>IFERROR(VLOOKUP($D16,'Kalkulator mięs '!$C$5:$H$533,HD$4,0)*$AO16,0)</f>
        <v>0</v>
      </c>
      <c r="HE16">
        <f>IFERROR(VLOOKUP($D16,'Kalkulator mięs '!$C$5:$H$533,HE$4,0)*$AO16,0)</f>
        <v>0</v>
      </c>
      <c r="HF16">
        <f>IFERROR(VLOOKUP($D16,'Kalkulator mięs '!$C$5:$H$533,HF$4,0)*$AP16,0)</f>
        <v>0</v>
      </c>
      <c r="HG16">
        <f>IFERROR(VLOOKUP($D16,'Kalkulator mięs '!$C$5:$H$533,HG$4,0)*$AP16,0)</f>
        <v>0</v>
      </c>
      <c r="HH16">
        <f>IFERROR(VLOOKUP($D16,'Kalkulator mięs '!$C$5:$H$533,HH$4,0)*$AP16,0)</f>
        <v>0</v>
      </c>
      <c r="HI16">
        <f>IFERROR(VLOOKUP($D16,'Kalkulator mięs '!$C$5:$H$533,HI$4,0)*$AQ16,0)</f>
        <v>0</v>
      </c>
      <c r="HJ16">
        <f>IFERROR(VLOOKUP($D16,'Kalkulator mięs '!$C$5:$H$533,HJ$4,0)*$AQ16,0)</f>
        <v>0</v>
      </c>
      <c r="HK16">
        <f>IFERROR(VLOOKUP($D16,'Kalkulator mięs '!$C$5:$H$533,HK$4,0)*$AQ16,0)</f>
        <v>0</v>
      </c>
      <c r="HL16">
        <f>IFERROR(VLOOKUP($D16,'Kalkulator mięs '!$C$5:$H$533,HL$4,0)*$AR16,0)</f>
        <v>0</v>
      </c>
      <c r="HM16">
        <f>IFERROR(VLOOKUP($D16,'Kalkulator mięs '!$C$5:$H$533,HM$4,0)*$AR16,0)</f>
        <v>0</v>
      </c>
      <c r="HN16">
        <f>IFERROR(VLOOKUP($D16,'Kalkulator mięs '!$C$5:$H$533,HN$4,0)*$AR16,0)</f>
        <v>0</v>
      </c>
      <c r="HO16">
        <f>IFERROR(VLOOKUP($D16,'Kalkulator mięs '!$C$5:$H$533,HO$4,0)*$AS16,0)</f>
        <v>0</v>
      </c>
      <c r="HP16">
        <f>IFERROR(VLOOKUP($D16,'Kalkulator mięs '!$C$5:$H$533,HP$4,0)*$AS16,0)</f>
        <v>0</v>
      </c>
      <c r="HQ16">
        <f>IFERROR(VLOOKUP($D16,'Kalkulator mięs '!$C$5:$H$533,HQ$4,0)*$AS16,0)</f>
        <v>0</v>
      </c>
      <c r="HR16">
        <f>IFERROR(VLOOKUP($D16,'Kalkulator mięs '!$C$5:$H$533,HR$4,0)*$AT16,0)</f>
        <v>0</v>
      </c>
      <c r="HS16">
        <f>IFERROR(VLOOKUP($D16,'Kalkulator mięs '!$C$5:$H$533,HS$4,0)*$AT16,0)</f>
        <v>0</v>
      </c>
      <c r="HT16">
        <f>IFERROR(VLOOKUP($D16,'Kalkulator mięs '!$C$5:$H$533,HT$4,0)*$AT16,0)</f>
        <v>0</v>
      </c>
      <c r="HU16">
        <f>IFERROR(VLOOKUP($D16,'Kalkulator mięs '!$C$5:$H$533,HU$4,0)*$AU16,0)</f>
        <v>0</v>
      </c>
      <c r="HV16">
        <f>IFERROR(VLOOKUP($D16,'Kalkulator mięs '!$C$5:$H$533,HV$4,0)*$AU16,0)</f>
        <v>0</v>
      </c>
      <c r="HW16">
        <f>IFERROR(VLOOKUP($D16,'Kalkulator mięs '!$C$5:$H$533,HW$4,0)*$AU16,0)</f>
        <v>0</v>
      </c>
      <c r="HX16">
        <f>IFERROR(VLOOKUP($D16,'Kalkulator mięs '!$C$5:$H$533,HX$4,0)*$AV16,0)</f>
        <v>0</v>
      </c>
      <c r="HY16">
        <f>IFERROR(VLOOKUP($D16,'Kalkulator mięs '!$C$5:$H$533,HY$4,0)*$AV16,0)</f>
        <v>0</v>
      </c>
      <c r="HZ16">
        <f>IFERROR(VLOOKUP($D16,'Kalkulator mięs '!$C$5:$H$533,HZ$4,0)*$AV16,0)</f>
        <v>0</v>
      </c>
      <c r="IA16">
        <f>IFERROR(VLOOKUP($D16,'Kalkulator mięs '!$C$5:$H$533,IA$4,0)*$AW16,0)</f>
        <v>0</v>
      </c>
      <c r="IB16">
        <f>IFERROR(VLOOKUP($D16,'Kalkulator mięs '!$C$5:$H$533,IB$4,0)*$AW16,0)</f>
        <v>0</v>
      </c>
      <c r="IC16">
        <f>IFERROR(VLOOKUP($D16,'Kalkulator mięs '!$C$5:$H$533,IC$4,0)*$AW16,0)</f>
        <v>0</v>
      </c>
      <c r="ID16">
        <f>IFERROR(VLOOKUP($D16,'Kalkulator mięs '!$C$5:$H$533,ID$4,0)*$AX16,0)</f>
        <v>0</v>
      </c>
      <c r="IE16">
        <f>IFERROR(VLOOKUP($D16,'Kalkulator mięs '!$C$5:$H$533,IE$4,0)*$AX16,0)</f>
        <v>0</v>
      </c>
      <c r="IF16">
        <f>IFERROR(VLOOKUP($D16,'Kalkulator mięs '!$C$5:$H$533,IF$4,0)*$AX16,0)</f>
        <v>0</v>
      </c>
      <c r="IG16">
        <f>IFERROR(VLOOKUP($D16,'Kalkulator mięs '!$C$5:$H$533,IG$4,0)*$AY16,0)</f>
        <v>0</v>
      </c>
      <c r="IH16">
        <f>IFERROR(VLOOKUP($D16,'Kalkulator mięs '!$C$5:$H$533,IH$4,0)*$AY16,0)</f>
        <v>0</v>
      </c>
      <c r="II16">
        <f>IFERROR(VLOOKUP($D16,'Kalkulator mięs '!$C$5:$H$533,II$4,0)*$AY16,0)</f>
        <v>0</v>
      </c>
      <c r="IJ16">
        <f>IFERROR(VLOOKUP($D16,'Kalkulator mięs '!$C$5:$H$533,IJ$4,0)*$AZ16,0)</f>
        <v>0</v>
      </c>
      <c r="IK16">
        <f>IFERROR(VLOOKUP($D16,'Kalkulator mięs '!$C$5:$H$533,IK$4,0)*$AZ16,0)</f>
        <v>0</v>
      </c>
      <c r="IL16">
        <f>IFERROR(VLOOKUP($D16,'Kalkulator mięs '!$C$5:$H$533,IL$4,0)*$AZ16,0)</f>
        <v>0</v>
      </c>
      <c r="IM16">
        <f>IFERROR(VLOOKUP($D16,'Kalkulator mięs '!$C$5:$H$533,IM$4,0)*$BA16,0)</f>
        <v>0</v>
      </c>
      <c r="IN16">
        <f>IFERROR(VLOOKUP($D16,'Kalkulator mięs '!$C$5:$H$533,IN$4,0)*$BA16,0)</f>
        <v>0</v>
      </c>
      <c r="IO16">
        <f>IFERROR(VLOOKUP($D16,'Kalkulator mięs '!$C$5:$H$533,IO$4,0)*$BA16,0)</f>
        <v>0</v>
      </c>
    </row>
    <row r="17" spans="1:249" ht="15.75">
      <c r="B17" t="str">
        <f>VLOOKUP(D17,Receptury_z!$A:$B,2,0)</f>
        <v>ON</v>
      </c>
      <c r="C17" s="16">
        <v>5430</v>
      </c>
      <c r="D17" s="19">
        <v>6419</v>
      </c>
      <c r="E17" s="18" t="s">
        <v>73</v>
      </c>
      <c r="F17" s="14">
        <f>IF($B17="OFF",BE17,VLOOKUP($D17,Receptury_z!$D:$AI,F$4,0))</f>
        <v>0</v>
      </c>
      <c r="G17" s="14">
        <f>IF($B17="OFF",BF17,VLOOKUP($D17,Receptury_z!$D:$AI,G$4,0))</f>
        <v>0</v>
      </c>
      <c r="H17" s="14">
        <f>IF($B17="OFF",BG17,VLOOKUP($D17,Receptury_z!$D:$AI,H$4,0))</f>
        <v>0</v>
      </c>
      <c r="I17" s="14">
        <f>IF($B17="OFF",BH17,VLOOKUP($D17,Receptury_z!$D:$AI,I$4,0))</f>
        <v>0</v>
      </c>
      <c r="J17" s="14">
        <f>IF($B17="OFF",BI17,VLOOKUP($D17,Receptury_z!$D:$AI,J$4,0))</f>
        <v>0</v>
      </c>
      <c r="K17" s="14">
        <f>IF($B17="OFF",BJ17,VLOOKUP($D17,Receptury_z!$D:$AI,K$4,0))</f>
        <v>0</v>
      </c>
      <c r="L17" s="14">
        <f>IF($B17="OFF",BK17,VLOOKUP($D17,Receptury_z!$D:$AI,L$4,0))</f>
        <v>0</v>
      </c>
      <c r="M17" s="14">
        <f>IF($B17="OFF",BL17,VLOOKUP($D17,Receptury_z!$D:$AI,M$4,0))</f>
        <v>0</v>
      </c>
      <c r="N17" s="14">
        <f>IF($B17="OFF",BM17,VLOOKUP($D17,Receptury_z!$D:$AI,N$4,0))</f>
        <v>0</v>
      </c>
      <c r="O17" s="14">
        <f>IF($B17="OFF",BN17,VLOOKUP($D17,Receptury_z!$D:$AI,O$4,0))</f>
        <v>0</v>
      </c>
      <c r="P17" s="14">
        <f>IF($B17="OFF",BO17,VLOOKUP($D17,Receptury_z!$D:$AI,P$4,0))</f>
        <v>0</v>
      </c>
      <c r="Q17" s="14">
        <f>IF($B17="OFF",BP17,VLOOKUP($D17,Receptury_z!$D:$AI,Q$4,0))</f>
        <v>0</v>
      </c>
      <c r="R17" s="14">
        <f>IF($B17="OFF",BQ17,VLOOKUP($D17,Receptury_z!$D:$AI,R$4,0))</f>
        <v>27</v>
      </c>
      <c r="S17" s="14">
        <f>IF($B17="OFF",BR17,VLOOKUP($D17,Receptury_z!$D:$AI,S$4,0))</f>
        <v>0</v>
      </c>
      <c r="T17" s="14">
        <f>IF($B17="OFF",BS17,VLOOKUP($D17,Receptury_z!$D:$AI,T$4,0))</f>
        <v>69.3</v>
      </c>
      <c r="U17" s="14">
        <f>IF($B17="OFF",BT17,VLOOKUP($D17,Receptury_z!$D:$AI,U$4,0))</f>
        <v>442</v>
      </c>
      <c r="V17" s="14">
        <f>IF($B17="OFF",BU17,VLOOKUP($D17,Receptury_z!$D:$AI,V$4,0))</f>
        <v>0</v>
      </c>
      <c r="W17" s="14">
        <f>IF($B17="OFF",BV17,VLOOKUP($D17,Receptury_z!$D:$AI,W$4,0))</f>
        <v>0</v>
      </c>
      <c r="X17" s="14">
        <f>IF($B17="OFF",BW17,VLOOKUP($D17,Receptury_z!$D:$AI,X$4,0))</f>
        <v>0</v>
      </c>
      <c r="Y17" s="14">
        <f>IF($B17="OFF",BX17,VLOOKUP($D17,Receptury_z!$D:$AI,Y$4,0))</f>
        <v>0</v>
      </c>
      <c r="Z17" s="14">
        <f>IF($B17="OFF",BY17,VLOOKUP($D17,Receptury_z!$D:$AI,Z$4,0))</f>
        <v>0</v>
      </c>
      <c r="AA17" s="14">
        <f>IF($B17="OFF",BZ17,VLOOKUP($D17,Receptury_z!$D:$AI,AA$4,0))</f>
        <v>0</v>
      </c>
      <c r="AB17" s="14">
        <f>IF($B17="OFF",CA17,VLOOKUP($D17,Receptury_z!$D:$AI,AB$4,0))</f>
        <v>35.200000000000003</v>
      </c>
      <c r="AC17" s="14">
        <f>IF($B17="OFF",CB17,VLOOKUP($D17,Receptury_z!$D:$AI,AC$4,0))</f>
        <v>0</v>
      </c>
      <c r="AD17" s="14">
        <f>IF($B17="OFF",CC17,VLOOKUP($D17,Receptury_z!$D:$AI,AD$4,0))</f>
        <v>0</v>
      </c>
      <c r="AE17" s="14">
        <f>IF($B17="OFF",CD17,VLOOKUP($D17,Receptury_z!$D:$AI,AE$4,0))</f>
        <v>0</v>
      </c>
      <c r="AF17" s="14">
        <f>IF($B17="OFF",CE17,VLOOKUP($D17,Receptury_z!$D:$AI,AF$4,0))</f>
        <v>0</v>
      </c>
      <c r="AG17" s="14">
        <f>IF($B17="OFF",CF17,VLOOKUP($D17,Receptury_z!$D:$AI,AG$4,0))</f>
        <v>0</v>
      </c>
      <c r="AH17" s="14">
        <f>IF($B17="OFF",CG17,VLOOKUP($D17,Receptury_z!$D:$AI,AH$4,0))</f>
        <v>15</v>
      </c>
      <c r="AI17" s="14">
        <f>IF($B17="OFF",CH17,VLOOKUP($D17,Receptury_z!$D:$AI,AI$4,0))</f>
        <v>0</v>
      </c>
      <c r="AJ17" s="14">
        <f>IF($B17="OFF",CI17,VLOOKUP($D17,Receptury_z!$D:$AS,AJ$4,0))</f>
        <v>0</v>
      </c>
      <c r="AK17" s="14">
        <f>IF($B17="OFF",CJ17,VLOOKUP($D17,Receptury_z!$D:$AS,AK$4,0))</f>
        <v>0</v>
      </c>
      <c r="AL17" s="14">
        <f>IF($B17="OFF",CK17,VLOOKUP($D17,Receptury_z!$D:$AS,AL$4,0))</f>
        <v>15</v>
      </c>
      <c r="AM17" s="14">
        <f>IF($B17="OFF",CL17,VLOOKUP($D17,Receptury_z!$D:$AS,AM$4,0))</f>
        <v>0</v>
      </c>
      <c r="AN17" s="14">
        <f>IF($B17="OFF",CM17,VLOOKUP($D17,Receptury_z!$D:$AS,AN$4,0))</f>
        <v>70.8</v>
      </c>
      <c r="AO17" s="14">
        <f>IF($B17="OFF",CN17,VLOOKUP($D17,Receptury_z!$D:$AS,AO$4,0))</f>
        <v>0</v>
      </c>
      <c r="AP17" s="14">
        <f>IF($B17="OFF",CO17,VLOOKUP($D17,Receptury_z!$D:$AS,AP$4,0))</f>
        <v>0</v>
      </c>
      <c r="AQ17" s="14">
        <f>IF($B17="OFF",CP17,VLOOKUP($D17,Receptury_z!$D:$AS,AQ$4,0))</f>
        <v>0</v>
      </c>
      <c r="AR17" s="14">
        <f>IF($B17="OFF",CQ17,VLOOKUP($D17,Receptury_z!$D:$AS,AR$4,0))</f>
        <v>0</v>
      </c>
      <c r="AS17" s="14">
        <f>IF($B17="OFF",CR17,VLOOKUP($D17,Receptury_z!$D:$AS,AS$4,0))</f>
        <v>0</v>
      </c>
      <c r="AT17" s="14">
        <f>IF($B17="OFF",CS17,VLOOKUP($D17,Receptury_z!$D:$AV,AT$4,0))</f>
        <v>0</v>
      </c>
      <c r="AU17" s="14">
        <f>IF($B17="OFF",CT17,VLOOKUP($D17,Receptury_z!$D:$AV,AU$4,0))</f>
        <v>0</v>
      </c>
      <c r="AV17" s="14">
        <f>IF($B17="OFF",CU17,VLOOKUP($D17,Receptury_z!$D:$AV,AV$4,0))</f>
        <v>0</v>
      </c>
      <c r="AW17" s="14">
        <f>IF($B17="OFF",CV17,VLOOKUP($D17,Receptury_z!$D:$BA,AW$4,0))</f>
        <v>0</v>
      </c>
      <c r="AX17" s="14">
        <f>IF($B17="OFF",CW17,VLOOKUP($D17,Receptury_z!$D:$BA,AX$4,0))</f>
        <v>0</v>
      </c>
      <c r="AY17" s="14">
        <f>IF($B17="OFF",CX17,VLOOKUP($D17,Receptury_z!$D:$BA,AY$4,0))</f>
        <v>0</v>
      </c>
      <c r="AZ17" s="14">
        <f>IF($B17="OFF",DA17,VLOOKUP($D17,Receptury_z!$D:$BA,AZ$4,0))</f>
        <v>0</v>
      </c>
      <c r="BA17" s="14">
        <f>IF($B17="OFF",DB17,VLOOKUP($D17,Receptury_z!$D:$BA,BA$4,0))</f>
        <v>0</v>
      </c>
      <c r="BC17" s="19">
        <v>6419</v>
      </c>
      <c r="BD17" s="18" t="s">
        <v>73</v>
      </c>
      <c r="BE17" s="239">
        <v>0</v>
      </c>
      <c r="BF17" s="239">
        <v>0</v>
      </c>
      <c r="BG17" s="239">
        <v>0</v>
      </c>
      <c r="BH17" s="239">
        <v>0</v>
      </c>
      <c r="BI17" s="240">
        <v>0</v>
      </c>
      <c r="BJ17" s="239">
        <v>0</v>
      </c>
      <c r="BK17" s="239">
        <v>0</v>
      </c>
      <c r="BL17" s="239">
        <v>0</v>
      </c>
      <c r="BM17" s="239">
        <v>0</v>
      </c>
      <c r="BN17" s="239">
        <v>71.5</v>
      </c>
      <c r="BO17" s="239">
        <v>0</v>
      </c>
      <c r="BP17" s="239">
        <v>0</v>
      </c>
      <c r="BQ17" s="239">
        <v>27.2</v>
      </c>
      <c r="BR17" s="239">
        <v>0</v>
      </c>
      <c r="BS17" s="239">
        <v>0</v>
      </c>
      <c r="BT17" s="239">
        <v>451.7</v>
      </c>
      <c r="BU17" s="239">
        <v>0</v>
      </c>
      <c r="BV17" s="239">
        <v>0</v>
      </c>
      <c r="BW17" s="239">
        <v>0</v>
      </c>
      <c r="BX17" s="239">
        <v>0</v>
      </c>
      <c r="BY17" s="239">
        <v>0</v>
      </c>
      <c r="BZ17" s="239">
        <v>0</v>
      </c>
      <c r="CA17" s="239">
        <v>35.5</v>
      </c>
      <c r="CB17" s="239">
        <v>0</v>
      </c>
      <c r="CC17" s="239">
        <v>0</v>
      </c>
      <c r="CD17" s="239">
        <v>0</v>
      </c>
      <c r="CE17" s="239">
        <v>0</v>
      </c>
      <c r="CF17" s="239">
        <v>0</v>
      </c>
      <c r="CG17" s="239">
        <v>25</v>
      </c>
      <c r="CH17" s="239">
        <v>0</v>
      </c>
      <c r="CI17" s="239">
        <v>0</v>
      </c>
      <c r="CJ17" s="239">
        <v>0</v>
      </c>
      <c r="CK17" s="239">
        <v>0</v>
      </c>
      <c r="CL17" s="239">
        <v>0</v>
      </c>
      <c r="CM17" s="80"/>
      <c r="CN17" s="80"/>
      <c r="CO17" s="80"/>
      <c r="CP17" s="80"/>
      <c r="CQ17" s="80"/>
      <c r="CR17" s="80"/>
      <c r="CS17" s="241">
        <v>70</v>
      </c>
      <c r="CT17" s="80"/>
      <c r="CU17" s="80"/>
      <c r="CV17" s="80"/>
      <c r="CW17" s="80"/>
      <c r="CX17" s="80"/>
      <c r="CY17" s="80"/>
      <c r="CZ17" s="80"/>
      <c r="DB17">
        <f>IFERROR(VLOOKUP($D17,'Kalkulator mięs '!$C$5:$H$533,DB$4,0)*F17,0)</f>
        <v>0</v>
      </c>
      <c r="DC17">
        <f>IFERROR(VLOOKUP($D17,'Kalkulator mięs '!$C$5:$H$533,DC$4,0)*F17,0)</f>
        <v>0</v>
      </c>
      <c r="DD17">
        <f>IFERROR(VLOOKUP($D17,'Kalkulator mięs '!$C$5:$H$533,DD$4,0)*F17,0)</f>
        <v>0</v>
      </c>
      <c r="DE17">
        <f>IFERROR(VLOOKUP($D17,'Kalkulator mięs '!$C$5:$H$533,DE$4,0)*$G17,0)</f>
        <v>0</v>
      </c>
      <c r="DF17">
        <f>IFERROR(VLOOKUP($D17,'Kalkulator mięs '!$C$5:$H$533,DF$4,0)*$G17,0)</f>
        <v>0</v>
      </c>
      <c r="DG17">
        <f>IFERROR(VLOOKUP($D17,'Kalkulator mięs '!$C$5:$H$533,DG$4,0)*$G17,0)</f>
        <v>0</v>
      </c>
      <c r="DH17">
        <f>IFERROR(VLOOKUP($D17,'Kalkulator mięs '!$C$5:$H$533,DH$4,0)*$H17,0)</f>
        <v>0</v>
      </c>
      <c r="DI17">
        <f>IFERROR(VLOOKUP($D17,'Kalkulator mięs '!$C$5:$H$533,DI$4,0)*$H17,0)</f>
        <v>0</v>
      </c>
      <c r="DJ17">
        <f>IFERROR(VLOOKUP($D17,'Kalkulator mięs '!$C$5:$H$533,DJ$4,0)*$H17,0)</f>
        <v>0</v>
      </c>
      <c r="DK17">
        <f>IFERROR(VLOOKUP($D17,'Kalkulator mięs '!$C$5:$H$533,DK$4,0)*$I17,0)</f>
        <v>0</v>
      </c>
      <c r="DL17">
        <f>IFERROR(VLOOKUP($D17,'Kalkulator mięs '!$C$5:$H$533,DL$4,0)*$I17,0)</f>
        <v>0</v>
      </c>
      <c r="DM17">
        <f>IFERROR(VLOOKUP($D17,'Kalkulator mięs '!$C$5:$H$533,DM$4,0)*$I17,0)</f>
        <v>0</v>
      </c>
      <c r="DN17">
        <f>IFERROR(VLOOKUP($D17,'Kalkulator mięs '!$C$5:$H$533,DN$4,0)*$J17,0)</f>
        <v>0</v>
      </c>
      <c r="DO17">
        <f>IFERROR(VLOOKUP($D17,'Kalkulator mięs '!$C$5:$H$533,DO$4,0)*$J17,0)</f>
        <v>0</v>
      </c>
      <c r="DP17">
        <f>IFERROR(VLOOKUP($D17,'Kalkulator mięs '!$C$5:$H$533,DP$4,0)*$J17,0)</f>
        <v>0</v>
      </c>
      <c r="DQ17">
        <f>IFERROR(VLOOKUP($D17,'Kalkulator mięs '!$C$5:$H$533,DQ$4,0)*$K17,0)</f>
        <v>0</v>
      </c>
      <c r="DR17">
        <f>IFERROR(VLOOKUP($D17,'Kalkulator mięs '!$C$5:$H$533,DR$4,0)*$K17,0)</f>
        <v>0</v>
      </c>
      <c r="DS17">
        <f>IFERROR(VLOOKUP($D17,'Kalkulator mięs '!$C$5:$H$533,DS$4,0)*$K17,0)</f>
        <v>0</v>
      </c>
      <c r="DT17">
        <f>IFERROR(VLOOKUP($D17,'Kalkulator mięs '!$C$5:$H$533,DT$4,0)*$L17,0)</f>
        <v>0</v>
      </c>
      <c r="DU17">
        <f>IFERROR(VLOOKUP($D17,'Kalkulator mięs '!$C$5:$H$533,DU$4,0)*$L17,0)</f>
        <v>0</v>
      </c>
      <c r="DV17">
        <f>IFERROR(VLOOKUP($D17,'Kalkulator mięs '!$C$5:$H$533,DV$4,0)*$L17,0)</f>
        <v>0</v>
      </c>
      <c r="DW17">
        <f>IFERROR(VLOOKUP($D17,'Kalkulator mięs '!$C$5:$H$533,DW$4,0)*$M17,0)</f>
        <v>0</v>
      </c>
      <c r="DX17">
        <f>IFERROR(VLOOKUP($D17,'Kalkulator mięs '!$C$5:$H$533,DX$4,0)*$M17,0)</f>
        <v>0</v>
      </c>
      <c r="DY17">
        <f>IFERROR(VLOOKUP($D17,'Kalkulator mięs '!$C$5:$H$533,DY$4,0)*$M17,0)</f>
        <v>0</v>
      </c>
      <c r="DZ17">
        <f>IFERROR(VLOOKUP($D17,'Kalkulator mięs '!$C$5:$H$533,DZ$4,0)*$N17,0)</f>
        <v>0</v>
      </c>
      <c r="EA17">
        <f>IFERROR(VLOOKUP($D17,'Kalkulator mięs '!$C$5:$H$533,EA$4,0)*$N17,0)</f>
        <v>0</v>
      </c>
      <c r="EB17">
        <f>IFERROR(VLOOKUP($D17,'Kalkulator mięs '!$C$5:$H$533,EB$4,0)*$N17,0)</f>
        <v>0</v>
      </c>
      <c r="EC17">
        <f>IFERROR(VLOOKUP($D17,'Kalkulator mięs '!$C$5:$H$533,EC$4,0)*$O17,0)</f>
        <v>0</v>
      </c>
      <c r="ED17">
        <f>IFERROR(VLOOKUP($D17,'Kalkulator mięs '!$C$5:$H$533,ED$4,0)*$O17,0)</f>
        <v>0</v>
      </c>
      <c r="EE17">
        <f>IFERROR(VLOOKUP($D17,'Kalkulator mięs '!$C$5:$H$533,EE$4,0)*$O17,0)</f>
        <v>0</v>
      </c>
      <c r="EF17">
        <f>IFERROR(VLOOKUP($D17,'Kalkulator mięs '!$C$5:$H$533,EF$4,0)*$P17,0)</f>
        <v>0</v>
      </c>
      <c r="EG17">
        <f>IFERROR(VLOOKUP($D17,'Kalkulator mięs '!$C$5:$H$533,EG$4,0)*$P17,0)</f>
        <v>0</v>
      </c>
      <c r="EH17">
        <f>IFERROR(VLOOKUP($D17,'Kalkulator mięs '!$C$5:$H$533,EH$4,0)*$P17,0)</f>
        <v>0</v>
      </c>
      <c r="EI17">
        <f>IFERROR(VLOOKUP($D17,'Kalkulator mięs '!$C$5:$H$533,EI$4,0)*$Q17,0)</f>
        <v>0</v>
      </c>
      <c r="EJ17">
        <f>IFERROR(VLOOKUP($D17,'Kalkulator mięs '!$C$5:$H$533,EJ$4,0)*$Q17,0)</f>
        <v>0</v>
      </c>
      <c r="EK17">
        <f>IFERROR(VLOOKUP($D17,'Kalkulator mięs '!$C$5:$H$533,EK$4,0)*$Q17,0)</f>
        <v>0</v>
      </c>
      <c r="EL17">
        <f>IFERROR(VLOOKUP($D17,'Kalkulator mięs '!$C$5:$H$533,EL$4,0)*$R17,0)</f>
        <v>0</v>
      </c>
      <c r="EM17">
        <f>IFERROR(VLOOKUP($D17,'Kalkulator mięs '!$C$5:$H$533,EM$4,0)*$R17,0)</f>
        <v>0</v>
      </c>
      <c r="EN17">
        <f>IFERROR(VLOOKUP($D17,'Kalkulator mięs '!$C$5:$H$533,EN$4,0)*$R17,0)</f>
        <v>0</v>
      </c>
      <c r="EO17">
        <f>IFERROR(VLOOKUP($D17,'Kalkulator mięs '!$C$5:$H$533,EO$4,0)*$S17,0)</f>
        <v>0</v>
      </c>
      <c r="EP17">
        <f>IFERROR(VLOOKUP($D17,'Kalkulator mięs '!$C$5:$H$533,EP$4,0)*$S17,0)</f>
        <v>0</v>
      </c>
      <c r="EQ17">
        <f>IFERROR(VLOOKUP($D17,'Kalkulator mięs '!$C$5:$H$533,EQ$4,0)*$S17,0)</f>
        <v>0</v>
      </c>
      <c r="ER17">
        <f>IFERROR(VLOOKUP($D17,'Kalkulator mięs '!$C$5:$H$533,ER$4,0)*$T17,0)</f>
        <v>0</v>
      </c>
      <c r="ES17">
        <f>IFERROR(VLOOKUP($D17,'Kalkulator mięs '!$C$5:$H$533,ES$4,0)*$T17,0)</f>
        <v>0</v>
      </c>
      <c r="ET17">
        <f>IFERROR(VLOOKUP($D17,'Kalkulator mięs '!$C$5:$H$533,ET$4,0)*$T17,0)</f>
        <v>0</v>
      </c>
      <c r="EU17">
        <f>IFERROR(VLOOKUP($D17,'Kalkulator mięs '!$C$5:$H$533,EU$4,0)*$U17,0)</f>
        <v>0</v>
      </c>
      <c r="EV17">
        <f>IFERROR(VLOOKUP($D17,'Kalkulator mięs '!$C$5:$H$533,EV$4,0)*$U17,0)</f>
        <v>0</v>
      </c>
      <c r="EW17">
        <f>IFERROR(VLOOKUP($D17,'Kalkulator mięs '!$C$5:$H$533,EW$4,0)*$U17,0)</f>
        <v>0</v>
      </c>
      <c r="EX17">
        <f>IFERROR(VLOOKUP($D17,'Kalkulator mięs '!$C$5:$H$533,EX$4,0)*$V17,0)</f>
        <v>0</v>
      </c>
      <c r="EY17">
        <f>IFERROR(VLOOKUP($D17,'Kalkulator mięs '!$C$5:$H$533,EY$4,0)*$V17,0)</f>
        <v>0</v>
      </c>
      <c r="EZ17">
        <f>IFERROR(VLOOKUP($D17,'Kalkulator mięs '!$C$5:$H$533,EZ$4,0)*$V17,0)</f>
        <v>0</v>
      </c>
      <c r="FA17">
        <f>IFERROR(VLOOKUP($D17,'Kalkulator mięs '!$C$5:$H$533,FA$4,0)*$W17,0)</f>
        <v>0</v>
      </c>
      <c r="FB17">
        <f>IFERROR(VLOOKUP($D17,'Kalkulator mięs '!$C$5:$H$533,FB$4,0)*$W17,0)</f>
        <v>0</v>
      </c>
      <c r="FC17">
        <f>IFERROR(VLOOKUP($D17,'Kalkulator mięs '!$C$5:$H$533,FC$4,0)*$W17,0)</f>
        <v>0</v>
      </c>
      <c r="FD17">
        <f>IFERROR(VLOOKUP($D17,'Kalkulator mięs '!$C$5:$H$533,FD$4,0)*$X17,0)</f>
        <v>0</v>
      </c>
      <c r="FE17">
        <f>IFERROR(VLOOKUP($D17,'Kalkulator mięs '!$C$5:$H$533,FE$4,0)*$X17,0)</f>
        <v>0</v>
      </c>
      <c r="FF17">
        <f>IFERROR(VLOOKUP($D17,'Kalkulator mięs '!$C$5:$H$533,FF$4,0)*$X17,0)</f>
        <v>0</v>
      </c>
      <c r="FG17">
        <f>IFERROR(VLOOKUP($D17,'Kalkulator mięs '!$C$5:$H$533,FG$4,0)*$Y17,0)</f>
        <v>0</v>
      </c>
      <c r="FH17">
        <f>IFERROR(VLOOKUP($D17,'Kalkulator mięs '!$C$5:$H$533,FH$4,0)*$Y17,0)</f>
        <v>0</v>
      </c>
      <c r="FI17">
        <f>IFERROR(VLOOKUP($D17,'Kalkulator mięs '!$C$5:$H$533,FI$4,0)*$Y17,0)</f>
        <v>0</v>
      </c>
      <c r="FJ17">
        <f>IFERROR(VLOOKUP($D17,'Kalkulator mięs '!$C$5:$H$533,FJ$4,0)*$Z17,0)</f>
        <v>0</v>
      </c>
      <c r="FK17">
        <f>IFERROR(VLOOKUP($D17,'Kalkulator mięs '!$C$5:$H$533,FK$4,0)*$Z17,0)</f>
        <v>0</v>
      </c>
      <c r="FL17">
        <f>IFERROR(VLOOKUP($D17,'Kalkulator mięs '!$C$5:$H$533,FL$4,0)*$Z17,0)</f>
        <v>0</v>
      </c>
      <c r="FM17">
        <f>IFERROR(VLOOKUP($D17,'Kalkulator mięs '!$C$5:$H$533,FM$4,0)*$AA17,0)</f>
        <v>0</v>
      </c>
      <c r="FN17">
        <f>IFERROR(VLOOKUP($D17,'Kalkulator mięs '!$C$5:$H$533,FN$4,0)*$AA17,0)</f>
        <v>0</v>
      </c>
      <c r="FO17">
        <f>IFERROR(VLOOKUP($D17,'Kalkulator mięs '!$C$5:$H$533,FO$4,0)*$AA17,0)</f>
        <v>0</v>
      </c>
      <c r="FP17">
        <f>IFERROR(VLOOKUP($D17,'Kalkulator mięs '!$C$5:$H$533,FP$4,0)*$AB17,0)</f>
        <v>0</v>
      </c>
      <c r="FQ17">
        <f>IFERROR(VLOOKUP($D17,'Kalkulator mięs '!$C$5:$H$533,FQ$4,0)*$AB17,0)</f>
        <v>0</v>
      </c>
      <c r="FR17">
        <f>IFERROR(VLOOKUP($D17,'Kalkulator mięs '!$C$5:$H$533,FR$4,0)*$AB17,0)</f>
        <v>0</v>
      </c>
      <c r="FS17">
        <f>IFERROR(VLOOKUP($D17,'Kalkulator mięs '!$C$5:$H$533,FS$4,0)*$AC17,0)</f>
        <v>0</v>
      </c>
      <c r="FT17">
        <f>IFERROR(VLOOKUP($D17,'Kalkulator mięs '!$C$5:$H$533,FT$4,0)*$AC17,0)</f>
        <v>0</v>
      </c>
      <c r="FU17">
        <f>IFERROR(VLOOKUP($D17,'Kalkulator mięs '!$C$5:$H$533,FU$4,0)*$AC17,0)</f>
        <v>0</v>
      </c>
      <c r="FV17">
        <f>IFERROR(VLOOKUP($D17,'Kalkulator mięs '!$C$5:$H$533,FV$4,0)*$AD17,0)</f>
        <v>0</v>
      </c>
      <c r="FW17">
        <f>IFERROR(VLOOKUP($D17,'Kalkulator mięs '!$C$5:$H$533,FW$4,0)*$AD17,0)</f>
        <v>0</v>
      </c>
      <c r="FX17">
        <f>IFERROR(VLOOKUP($D17,'Kalkulator mięs '!$C$5:$H$533,FX$4,0)*$AD17,0)</f>
        <v>0</v>
      </c>
      <c r="FY17">
        <f>IFERROR(VLOOKUP($D17,'Kalkulator mięs '!$C$5:$H$533,FY$4,0)*$AE17,0)</f>
        <v>0</v>
      </c>
      <c r="FZ17">
        <f>IFERROR(VLOOKUP($D17,'Kalkulator mięs '!$C$5:$H$533,FZ$4,0)*$AE17,0)</f>
        <v>0</v>
      </c>
      <c r="GA17">
        <f>IFERROR(VLOOKUP($D17,'Kalkulator mięs '!$C$5:$H$533,GA$4,0)*$AE17,0)</f>
        <v>0</v>
      </c>
      <c r="GB17">
        <f>IFERROR(VLOOKUP($D17,'Kalkulator mięs '!$C$5:$H$533,GB$4,0)*$AF17,0)</f>
        <v>0</v>
      </c>
      <c r="GC17">
        <f>IFERROR(VLOOKUP($D17,'Kalkulator mięs '!$C$5:$H$533,GC$4,0)*$AF17,0)</f>
        <v>0</v>
      </c>
      <c r="GD17">
        <f>IFERROR(VLOOKUP($D17,'Kalkulator mięs '!$C$5:$H$533,GD$4,0)*$AF17,0)</f>
        <v>0</v>
      </c>
      <c r="GE17">
        <f>IFERROR(VLOOKUP($D17,'Kalkulator mięs '!$C$5:$H$533,GE$4,0)*$AG17,0)</f>
        <v>0</v>
      </c>
      <c r="GF17">
        <f>IFERROR(VLOOKUP($D17,'Kalkulator mięs '!$C$5:$H$533,GF$4,0)*$AG17,0)</f>
        <v>0</v>
      </c>
      <c r="GG17">
        <f>IFERROR(VLOOKUP($D17,'Kalkulator mięs '!$C$5:$H$533,GG$4,0)*$AG17,0)</f>
        <v>0</v>
      </c>
      <c r="GH17">
        <f>IFERROR(VLOOKUP($D17,'Kalkulator mięs '!$C$5:$H$533,GH$4,0)*$AH17,0)</f>
        <v>0</v>
      </c>
      <c r="GI17">
        <f>IFERROR(VLOOKUP($D17,'Kalkulator mięs '!$C$5:$H$533,GI$4,0)*$AH17,0)</f>
        <v>0</v>
      </c>
      <c r="GJ17">
        <f>IFERROR(VLOOKUP($D17,'Kalkulator mięs '!$C$5:$H$533,GJ$4,0)*$AH17,0)</f>
        <v>0</v>
      </c>
      <c r="GK17">
        <f>IFERROR(VLOOKUP($D17,'Kalkulator mięs '!$C$5:$H$533,GK$4,0)*$AI17,0)</f>
        <v>0</v>
      </c>
      <c r="GL17">
        <f>IFERROR(VLOOKUP($D17,'Kalkulator mięs '!$C$5:$H$533,GL$4,0)*$AI17,0)</f>
        <v>0</v>
      </c>
      <c r="GM17">
        <f>IFERROR(VLOOKUP($D17,'Kalkulator mięs '!$C$5:$H$533,GM$4,0)*$AI17,0)</f>
        <v>0</v>
      </c>
      <c r="GN17">
        <f>IFERROR(VLOOKUP($D17,'Kalkulator mięs '!$C$5:$H$533,GN$4,0)*$AJ17,0)</f>
        <v>0</v>
      </c>
      <c r="GO17">
        <f>IFERROR(VLOOKUP($D17,'Kalkulator mięs '!$C$5:$H$533,GO$4,0)*$AJ17,0)</f>
        <v>0</v>
      </c>
      <c r="GP17">
        <f>IFERROR(VLOOKUP($D17,'Kalkulator mięs '!$C$5:$H$533,GP$4,0)*$AJ17,0)</f>
        <v>0</v>
      </c>
      <c r="GQ17">
        <f>IFERROR(VLOOKUP($D17,'Kalkulator mięs '!$C$5:$H$533,GQ$4,0)*$AK17,0)</f>
        <v>0</v>
      </c>
      <c r="GR17">
        <f>IFERROR(VLOOKUP($D17,'Kalkulator mięs '!$C$5:$H$533,GR$4,0)*$AK17,0)</f>
        <v>0</v>
      </c>
      <c r="GS17">
        <f>IFERROR(VLOOKUP($D17,'Kalkulator mięs '!$C$5:$H$533,GS$4,0)*$AK17,0)</f>
        <v>0</v>
      </c>
      <c r="GT17">
        <f>IFERROR(VLOOKUP($D17,'Kalkulator mięs '!$C$5:$H$533,GT$4,0)*$AL17,0)</f>
        <v>0</v>
      </c>
      <c r="GU17">
        <f>IFERROR(VLOOKUP($D17,'Kalkulator mięs '!$C$5:$H$533,GU$4,0)*$AL17,0)</f>
        <v>0</v>
      </c>
      <c r="GV17">
        <f>IFERROR(VLOOKUP($D17,'Kalkulator mięs '!$C$5:$H$533,GV$4,0)*$AL17,0)</f>
        <v>0</v>
      </c>
      <c r="GW17">
        <f>IFERROR(VLOOKUP($D17,'Kalkulator mięs '!$C$5:$H$533,GW$4,0)*$AM17,0)</f>
        <v>0</v>
      </c>
      <c r="GX17">
        <f>IFERROR(VLOOKUP($D17,'Kalkulator mięs '!$C$5:$H$533,GX$4,0)*$AM17,0)</f>
        <v>0</v>
      </c>
      <c r="GY17">
        <f>IFERROR(VLOOKUP($D17,'Kalkulator mięs '!$C$5:$H$533,GY$4,0)*$AM17,0)</f>
        <v>0</v>
      </c>
      <c r="GZ17">
        <f>IFERROR(VLOOKUP($D17,'Kalkulator mięs '!$C$5:$H$533,GZ$4,0)*$AN17,0)</f>
        <v>0</v>
      </c>
      <c r="HA17">
        <f>IFERROR(VLOOKUP($D17,'Kalkulator mięs '!$C$5:$H$533,HA$4,0)*$AN17,0)</f>
        <v>0</v>
      </c>
      <c r="HB17">
        <f>IFERROR(VLOOKUP($D17,'Kalkulator mięs '!$C$5:$H$533,HB$4,0)*$AN17,0)</f>
        <v>0</v>
      </c>
      <c r="HC17">
        <f>IFERROR(VLOOKUP($D17,'Kalkulator mięs '!$C$5:$H$533,HC$4,0)*$AO17,0)</f>
        <v>0</v>
      </c>
      <c r="HD17">
        <f>IFERROR(VLOOKUP($D17,'Kalkulator mięs '!$C$5:$H$533,HD$4,0)*$AO17,0)</f>
        <v>0</v>
      </c>
      <c r="HE17">
        <f>IFERROR(VLOOKUP($D17,'Kalkulator mięs '!$C$5:$H$533,HE$4,0)*$AO17,0)</f>
        <v>0</v>
      </c>
      <c r="HF17">
        <f>IFERROR(VLOOKUP($D17,'Kalkulator mięs '!$C$5:$H$533,HF$4,0)*$AP17,0)</f>
        <v>0</v>
      </c>
      <c r="HG17">
        <f>IFERROR(VLOOKUP($D17,'Kalkulator mięs '!$C$5:$H$533,HG$4,0)*$AP17,0)</f>
        <v>0</v>
      </c>
      <c r="HH17">
        <f>IFERROR(VLOOKUP($D17,'Kalkulator mięs '!$C$5:$H$533,HH$4,0)*$AP17,0)</f>
        <v>0</v>
      </c>
      <c r="HI17">
        <f>IFERROR(VLOOKUP($D17,'Kalkulator mięs '!$C$5:$H$533,HI$4,0)*$AQ17,0)</f>
        <v>0</v>
      </c>
      <c r="HJ17">
        <f>IFERROR(VLOOKUP($D17,'Kalkulator mięs '!$C$5:$H$533,HJ$4,0)*$AQ17,0)</f>
        <v>0</v>
      </c>
      <c r="HK17">
        <f>IFERROR(VLOOKUP($D17,'Kalkulator mięs '!$C$5:$H$533,HK$4,0)*$AQ17,0)</f>
        <v>0</v>
      </c>
      <c r="HL17">
        <f>IFERROR(VLOOKUP($D17,'Kalkulator mięs '!$C$5:$H$533,HL$4,0)*$AR17,0)</f>
        <v>0</v>
      </c>
      <c r="HM17">
        <f>IFERROR(VLOOKUP($D17,'Kalkulator mięs '!$C$5:$H$533,HM$4,0)*$AR17,0)</f>
        <v>0</v>
      </c>
      <c r="HN17">
        <f>IFERROR(VLOOKUP($D17,'Kalkulator mięs '!$C$5:$H$533,HN$4,0)*$AR17,0)</f>
        <v>0</v>
      </c>
      <c r="HO17">
        <f>IFERROR(VLOOKUP($D17,'Kalkulator mięs '!$C$5:$H$533,HO$4,0)*$AS17,0)</f>
        <v>0</v>
      </c>
      <c r="HP17">
        <f>IFERROR(VLOOKUP($D17,'Kalkulator mięs '!$C$5:$H$533,HP$4,0)*$AS17,0)</f>
        <v>0</v>
      </c>
      <c r="HQ17">
        <f>IFERROR(VLOOKUP($D17,'Kalkulator mięs '!$C$5:$H$533,HQ$4,0)*$AS17,0)</f>
        <v>0</v>
      </c>
      <c r="HR17">
        <f>IFERROR(VLOOKUP($D17,'Kalkulator mięs '!$C$5:$H$533,HR$4,0)*$AT17,0)</f>
        <v>0</v>
      </c>
      <c r="HS17">
        <f>IFERROR(VLOOKUP($D17,'Kalkulator mięs '!$C$5:$H$533,HS$4,0)*$AT17,0)</f>
        <v>0</v>
      </c>
      <c r="HT17">
        <f>IFERROR(VLOOKUP($D17,'Kalkulator mięs '!$C$5:$H$533,HT$4,0)*$AT17,0)</f>
        <v>0</v>
      </c>
      <c r="HU17">
        <f>IFERROR(VLOOKUP($D17,'Kalkulator mięs '!$C$5:$H$533,HU$4,0)*$AU17,0)</f>
        <v>0</v>
      </c>
      <c r="HV17">
        <f>IFERROR(VLOOKUP($D17,'Kalkulator mięs '!$C$5:$H$533,HV$4,0)*$AU17,0)</f>
        <v>0</v>
      </c>
      <c r="HW17">
        <f>IFERROR(VLOOKUP($D17,'Kalkulator mięs '!$C$5:$H$533,HW$4,0)*$AU17,0)</f>
        <v>0</v>
      </c>
      <c r="HX17">
        <f>IFERROR(VLOOKUP($D17,'Kalkulator mięs '!$C$5:$H$533,HX$4,0)*$AV17,0)</f>
        <v>0</v>
      </c>
      <c r="HY17">
        <f>IFERROR(VLOOKUP($D17,'Kalkulator mięs '!$C$5:$H$533,HY$4,0)*$AV17,0)</f>
        <v>0</v>
      </c>
      <c r="HZ17">
        <f>IFERROR(VLOOKUP($D17,'Kalkulator mięs '!$C$5:$H$533,HZ$4,0)*$AV17,0)</f>
        <v>0</v>
      </c>
      <c r="IA17">
        <f>IFERROR(VLOOKUP($D17,'Kalkulator mięs '!$C$5:$H$533,IA$4,0)*$AW17,0)</f>
        <v>0</v>
      </c>
      <c r="IB17">
        <f>IFERROR(VLOOKUP($D17,'Kalkulator mięs '!$C$5:$H$533,IB$4,0)*$AW17,0)</f>
        <v>0</v>
      </c>
      <c r="IC17">
        <f>IFERROR(VLOOKUP($D17,'Kalkulator mięs '!$C$5:$H$533,IC$4,0)*$AW17,0)</f>
        <v>0</v>
      </c>
      <c r="ID17">
        <f>IFERROR(VLOOKUP($D17,'Kalkulator mięs '!$C$5:$H$533,ID$4,0)*$AX17,0)</f>
        <v>0</v>
      </c>
      <c r="IE17">
        <f>IFERROR(VLOOKUP($D17,'Kalkulator mięs '!$C$5:$H$533,IE$4,0)*$AX17,0)</f>
        <v>0</v>
      </c>
      <c r="IF17">
        <f>IFERROR(VLOOKUP($D17,'Kalkulator mięs '!$C$5:$H$533,IF$4,0)*$AX17,0)</f>
        <v>0</v>
      </c>
      <c r="IG17">
        <f>IFERROR(VLOOKUP($D17,'Kalkulator mięs '!$C$5:$H$533,IG$4,0)*$AY17,0)</f>
        <v>0</v>
      </c>
      <c r="IH17">
        <f>IFERROR(VLOOKUP($D17,'Kalkulator mięs '!$C$5:$H$533,IH$4,0)*$AY17,0)</f>
        <v>0</v>
      </c>
      <c r="II17">
        <f>IFERROR(VLOOKUP($D17,'Kalkulator mięs '!$C$5:$H$533,II$4,0)*$AY17,0)</f>
        <v>0</v>
      </c>
      <c r="IJ17">
        <f>IFERROR(VLOOKUP($D17,'Kalkulator mięs '!$C$5:$H$533,IJ$4,0)*$AZ17,0)</f>
        <v>0</v>
      </c>
      <c r="IK17">
        <f>IFERROR(VLOOKUP($D17,'Kalkulator mięs '!$C$5:$H$533,IK$4,0)*$AZ17,0)</f>
        <v>0</v>
      </c>
      <c r="IL17">
        <f>IFERROR(VLOOKUP($D17,'Kalkulator mięs '!$C$5:$H$533,IL$4,0)*$AZ17,0)</f>
        <v>0</v>
      </c>
      <c r="IM17">
        <f>IFERROR(VLOOKUP($D17,'Kalkulator mięs '!$C$5:$H$533,IM$4,0)*$BA17,0)</f>
        <v>0</v>
      </c>
      <c r="IN17">
        <f>IFERROR(VLOOKUP($D17,'Kalkulator mięs '!$C$5:$H$533,IN$4,0)*$BA17,0)</f>
        <v>0</v>
      </c>
      <c r="IO17">
        <f>IFERROR(VLOOKUP($D17,'Kalkulator mięs '!$C$5:$H$533,IO$4,0)*$BA17,0)</f>
        <v>0</v>
      </c>
    </row>
    <row r="18" spans="1:249" ht="31.5">
      <c r="B18" t="str">
        <f>VLOOKUP(D18,Receptury_z!$A:$B,2,0)</f>
        <v>ON</v>
      </c>
      <c r="C18" s="16">
        <v>5431</v>
      </c>
      <c r="D18" s="19">
        <v>6421</v>
      </c>
      <c r="E18" s="18" t="s">
        <v>30</v>
      </c>
      <c r="F18" s="14">
        <f>IF($B18="OFF",BE18,VLOOKUP($D18,Receptury_z!$D:$AI,F$4,0))</f>
        <v>0</v>
      </c>
      <c r="G18" s="14">
        <f>IF($B18="OFF",BF18,VLOOKUP($D18,Receptury_z!$D:$AI,G$4,0))</f>
        <v>0</v>
      </c>
      <c r="H18" s="14">
        <f>IF($B18="OFF",BG18,VLOOKUP($D18,Receptury_z!$D:$AI,H$4,0))</f>
        <v>190.9</v>
      </c>
      <c r="I18" s="14">
        <f>IF($B18="OFF",BH18,VLOOKUP($D18,Receptury_z!$D:$AI,I$4,0))</f>
        <v>0</v>
      </c>
      <c r="J18" s="14">
        <f>IF($B18="OFF",BI18,VLOOKUP($D18,Receptury_z!$D:$AI,J$4,0))</f>
        <v>0</v>
      </c>
      <c r="K18" s="14">
        <f>IF($B18="OFF",BJ18,VLOOKUP($D18,Receptury_z!$D:$AI,K$4,0))</f>
        <v>0</v>
      </c>
      <c r="L18" s="14">
        <f>IF($B18="OFF",BK18,VLOOKUP($D18,Receptury_z!$D:$AI,L$4,0))</f>
        <v>420</v>
      </c>
      <c r="M18" s="14">
        <f>IF($B18="OFF",BL18,VLOOKUP($D18,Receptury_z!$D:$AI,M$4,0))</f>
        <v>0</v>
      </c>
      <c r="N18" s="14">
        <f>IF($B18="OFF",BM18,VLOOKUP($D18,Receptury_z!$D:$AI,N$4,0))</f>
        <v>0</v>
      </c>
      <c r="O18" s="14">
        <f>IF($B18="OFF",BN18,VLOOKUP($D18,Receptury_z!$D:$AI,O$4,0))</f>
        <v>0</v>
      </c>
      <c r="P18" s="14">
        <f>IF($B18="OFF",BO18,VLOOKUP($D18,Receptury_z!$D:$AI,P$4,0))</f>
        <v>0</v>
      </c>
      <c r="Q18" s="14">
        <f>IF($B18="OFF",BP18,VLOOKUP($D18,Receptury_z!$D:$AI,Q$4,0))</f>
        <v>76.400000000000006</v>
      </c>
      <c r="R18" s="14">
        <f>IF($B18="OFF",BQ18,VLOOKUP($D18,Receptury_z!$D:$AI,R$4,0))</f>
        <v>0</v>
      </c>
      <c r="S18" s="14">
        <f>IF($B18="OFF",BR18,VLOOKUP($D18,Receptury_z!$D:$AI,S$4,0))</f>
        <v>0</v>
      </c>
      <c r="T18" s="14">
        <f>IF($B18="OFF",BS18,VLOOKUP($D18,Receptury_z!$D:$AI,T$4,0))</f>
        <v>0</v>
      </c>
      <c r="U18" s="14">
        <f>IF($B18="OFF",BT18,VLOOKUP($D18,Receptury_z!$D:$AI,U$4,0))</f>
        <v>0</v>
      </c>
      <c r="V18" s="14">
        <f>IF($B18="OFF",BU18,VLOOKUP($D18,Receptury_z!$D:$AI,V$4,0))</f>
        <v>0</v>
      </c>
      <c r="W18" s="14">
        <f>IF($B18="OFF",BV18,VLOOKUP($D18,Receptury_z!$D:$AI,W$4,0))</f>
        <v>0</v>
      </c>
      <c r="X18" s="14">
        <f>IF($B18="OFF",BW18,VLOOKUP($D18,Receptury_z!$D:$AI,X$4,0))</f>
        <v>0</v>
      </c>
      <c r="Y18" s="14">
        <f>IF($B18="OFF",BX18,VLOOKUP($D18,Receptury_z!$D:$AI,Y$4,0))</f>
        <v>0</v>
      </c>
      <c r="Z18" s="14">
        <f>IF($B18="OFF",BY18,VLOOKUP($D18,Receptury_z!$D:$AI,Z$4,0))</f>
        <v>0</v>
      </c>
      <c r="AA18" s="14">
        <f>IF($B18="OFF",BZ18,VLOOKUP($D18,Receptury_z!$D:$AI,AA$4,0))</f>
        <v>0</v>
      </c>
      <c r="AB18" s="14">
        <f>IF($B18="OFF",CA18,VLOOKUP($D18,Receptury_z!$D:$AI,AB$4,0))</f>
        <v>76.400000000000006</v>
      </c>
      <c r="AC18" s="14">
        <f>IF($B18="OFF",CB18,VLOOKUP($D18,Receptury_z!$D:$AI,AC$4,0))</f>
        <v>0</v>
      </c>
      <c r="AD18" s="14">
        <f>IF($B18="OFF",CC18,VLOOKUP($D18,Receptury_z!$D:$AI,AD$4,0))</f>
        <v>0</v>
      </c>
      <c r="AE18" s="14">
        <f>IF($B18="OFF",CD18,VLOOKUP($D18,Receptury_z!$D:$AI,AE$4,0))</f>
        <v>0</v>
      </c>
      <c r="AF18" s="14">
        <f>IF($B18="OFF",CE18,VLOOKUP($D18,Receptury_z!$D:$AI,AF$4,0))</f>
        <v>0</v>
      </c>
      <c r="AG18" s="14">
        <f>IF($B18="OFF",CF18,VLOOKUP($D18,Receptury_z!$D:$AI,AG$4,0))</f>
        <v>0</v>
      </c>
      <c r="AH18" s="14">
        <f>IF($B18="OFF",CG18,VLOOKUP($D18,Receptury_z!$D:$AI,AH$4,0))</f>
        <v>0</v>
      </c>
      <c r="AI18" s="14">
        <f>IF($B18="OFF",CH18,VLOOKUP($D18,Receptury_z!$D:$AI,AI$4,0))</f>
        <v>0</v>
      </c>
      <c r="AJ18" s="14">
        <f>IF($B18="OFF",CI18,VLOOKUP($D18,Receptury_z!$D:$AS,AJ$4,0))</f>
        <v>0</v>
      </c>
      <c r="AK18" s="14">
        <f>IF($B18="OFF",CJ18,VLOOKUP($D18,Receptury_z!$D:$AS,AK$4,0))</f>
        <v>0</v>
      </c>
      <c r="AL18" s="14">
        <f>IF($B18="OFF",CK18,VLOOKUP($D18,Receptury_z!$D:$AS,AL$4,0))</f>
        <v>0</v>
      </c>
      <c r="AM18" s="14">
        <f>IF($B18="OFF",CL18,VLOOKUP($D18,Receptury_z!$D:$AS,AM$4,0))</f>
        <v>0</v>
      </c>
      <c r="AN18" s="14">
        <f>IF($B18="OFF",CM18,VLOOKUP($D18,Receptury_z!$D:$AS,AN$4,0))</f>
        <v>0</v>
      </c>
      <c r="AO18" s="14">
        <f>IF($B18="OFF",CN18,VLOOKUP($D18,Receptury_z!$D:$AS,AO$4,0))</f>
        <v>0</v>
      </c>
      <c r="AP18" s="14">
        <f>IF($B18="OFF",CO18,VLOOKUP($D18,Receptury_z!$D:$AS,AP$4,0))</f>
        <v>0</v>
      </c>
      <c r="AQ18" s="14">
        <f>IF($B18="OFF",CP18,VLOOKUP($D18,Receptury_z!$D:$AS,AQ$4,0))</f>
        <v>0</v>
      </c>
      <c r="AR18" s="14">
        <f>IF($B18="OFF",CQ18,VLOOKUP($D18,Receptury_z!$D:$AS,AR$4,0))</f>
        <v>0</v>
      </c>
      <c r="AS18" s="14">
        <f>IF($B18="OFF",CR18,VLOOKUP($D18,Receptury_z!$D:$AS,AS$4,0))</f>
        <v>0</v>
      </c>
      <c r="AT18" s="14">
        <f>IF($B18="OFF",CS18,VLOOKUP($D18,Receptury_z!$D:$AV,AT$4,0))</f>
        <v>0</v>
      </c>
      <c r="AU18" s="14">
        <f>IF($B18="OFF",CT18,VLOOKUP($D18,Receptury_z!$D:$AV,AU$4,0))</f>
        <v>0</v>
      </c>
      <c r="AV18" s="14">
        <f>IF($B18="OFF",CU18,VLOOKUP($D18,Receptury_z!$D:$AV,AV$4,0))</f>
        <v>0</v>
      </c>
      <c r="AW18" s="14">
        <f>IF($B18="OFF",CV18,VLOOKUP($D18,Receptury_z!$D:$BA,AW$4,0))</f>
        <v>0</v>
      </c>
      <c r="AX18" s="14">
        <f>IF($B18="OFF",CW18,VLOOKUP($D18,Receptury_z!$D:$BA,AX$4,0))</f>
        <v>0</v>
      </c>
      <c r="AY18" s="14">
        <f>IF($B18="OFF",CX18,VLOOKUP($D18,Receptury_z!$D:$BA,AY$4,0))</f>
        <v>0</v>
      </c>
      <c r="AZ18" s="14">
        <f>IF($B18="OFF",DA18,VLOOKUP($D18,Receptury_z!$D:$BA,AZ$4,0))</f>
        <v>0</v>
      </c>
      <c r="BA18" s="14">
        <f>IF($B18="OFF",DB18,VLOOKUP($D18,Receptury_z!$D:$BA,BA$4,0))</f>
        <v>0</v>
      </c>
      <c r="BC18" s="19">
        <v>6421</v>
      </c>
      <c r="BD18" s="18" t="s">
        <v>30</v>
      </c>
      <c r="BE18" s="239">
        <v>0</v>
      </c>
      <c r="BF18" s="239">
        <v>0</v>
      </c>
      <c r="BG18" s="239">
        <v>190.9</v>
      </c>
      <c r="BH18" s="239">
        <v>0</v>
      </c>
      <c r="BI18" s="239">
        <v>0</v>
      </c>
      <c r="BJ18" s="239">
        <v>0</v>
      </c>
      <c r="BK18" s="239">
        <v>420</v>
      </c>
      <c r="BL18" s="239">
        <v>0</v>
      </c>
      <c r="BM18" s="239">
        <v>0</v>
      </c>
      <c r="BN18" s="239">
        <v>0</v>
      </c>
      <c r="BO18" s="239">
        <v>0</v>
      </c>
      <c r="BP18" s="239">
        <v>76.400000000000006</v>
      </c>
      <c r="BQ18" s="239">
        <v>0</v>
      </c>
      <c r="BR18" s="239">
        <v>0</v>
      </c>
      <c r="BS18" s="239">
        <v>0</v>
      </c>
      <c r="BT18" s="239">
        <v>0</v>
      </c>
      <c r="BU18" s="239">
        <v>0</v>
      </c>
      <c r="BV18" s="239">
        <v>0</v>
      </c>
      <c r="BW18" s="239">
        <v>0</v>
      </c>
      <c r="BX18" s="239">
        <v>0</v>
      </c>
      <c r="BY18" s="239">
        <v>0</v>
      </c>
      <c r="BZ18" s="239">
        <v>0</v>
      </c>
      <c r="CA18" s="239" t="s">
        <v>78</v>
      </c>
      <c r="CB18" s="239">
        <v>0</v>
      </c>
      <c r="CC18" s="239">
        <v>0</v>
      </c>
      <c r="CD18" s="239">
        <v>0</v>
      </c>
      <c r="CE18" s="239">
        <v>0</v>
      </c>
      <c r="CF18" s="239">
        <v>0</v>
      </c>
      <c r="CG18" s="239">
        <v>0</v>
      </c>
      <c r="CH18" s="239">
        <v>0</v>
      </c>
      <c r="CI18" s="239">
        <v>0</v>
      </c>
      <c r="CJ18" s="239">
        <v>0</v>
      </c>
      <c r="CK18" s="239">
        <v>0</v>
      </c>
      <c r="CL18" s="239">
        <v>0</v>
      </c>
      <c r="CM18" s="80"/>
      <c r="CN18" s="80"/>
      <c r="CO18" s="80"/>
      <c r="CP18" s="80"/>
      <c r="CQ18" s="80"/>
      <c r="CR18" s="80"/>
      <c r="CS18" s="80"/>
      <c r="CT18" s="80"/>
      <c r="CU18" s="80"/>
      <c r="CV18" s="80"/>
      <c r="CW18" s="80"/>
      <c r="CX18" s="80"/>
      <c r="CY18" s="80"/>
      <c r="CZ18" s="80"/>
      <c r="DB18">
        <f>IFERROR(VLOOKUP($D18,'Kalkulator mięs '!$C$5:$H$533,DB$4,0)*F18,0)</f>
        <v>0</v>
      </c>
      <c r="DC18">
        <f>IFERROR(VLOOKUP($D18,'Kalkulator mięs '!$C$5:$H$533,DC$4,0)*F18,0)</f>
        <v>0</v>
      </c>
      <c r="DD18">
        <f>IFERROR(VLOOKUP($D18,'Kalkulator mięs '!$C$5:$H$533,DD$4,0)*F18,0)</f>
        <v>0</v>
      </c>
      <c r="DE18">
        <f>IFERROR(VLOOKUP($D18,'Kalkulator mięs '!$C$5:$H$533,DE$4,0)*$G18,0)</f>
        <v>0</v>
      </c>
      <c r="DF18">
        <f>IFERROR(VLOOKUP($D18,'Kalkulator mięs '!$C$5:$H$533,DF$4,0)*$G18,0)</f>
        <v>0</v>
      </c>
      <c r="DG18">
        <f>IFERROR(VLOOKUP($D18,'Kalkulator mięs '!$C$5:$H$533,DG$4,0)*$G18,0)</f>
        <v>0</v>
      </c>
      <c r="DH18">
        <f>IFERROR(VLOOKUP($D18,'Kalkulator mięs '!$C$5:$H$533,DH$4,0)*$H18,0)</f>
        <v>0</v>
      </c>
      <c r="DI18">
        <f>IFERROR(VLOOKUP($D18,'Kalkulator mięs '!$C$5:$H$533,DI$4,0)*$H18,0)</f>
        <v>0</v>
      </c>
      <c r="DJ18">
        <f>IFERROR(VLOOKUP($D18,'Kalkulator mięs '!$C$5:$H$533,DJ$4,0)*$H18,0)</f>
        <v>0</v>
      </c>
      <c r="DK18">
        <f>IFERROR(VLOOKUP($D18,'Kalkulator mięs '!$C$5:$H$533,DK$4,0)*$I18,0)</f>
        <v>0</v>
      </c>
      <c r="DL18">
        <f>IFERROR(VLOOKUP($D18,'Kalkulator mięs '!$C$5:$H$533,DL$4,0)*$I18,0)</f>
        <v>0</v>
      </c>
      <c r="DM18">
        <f>IFERROR(VLOOKUP($D18,'Kalkulator mięs '!$C$5:$H$533,DM$4,0)*$I18,0)</f>
        <v>0</v>
      </c>
      <c r="DN18">
        <f>IFERROR(VLOOKUP($D18,'Kalkulator mięs '!$C$5:$H$533,DN$4,0)*$J18,0)</f>
        <v>0</v>
      </c>
      <c r="DO18">
        <f>IFERROR(VLOOKUP($D18,'Kalkulator mięs '!$C$5:$H$533,DO$4,0)*$J18,0)</f>
        <v>0</v>
      </c>
      <c r="DP18">
        <f>IFERROR(VLOOKUP($D18,'Kalkulator mięs '!$C$5:$H$533,DP$4,0)*$J18,0)</f>
        <v>0</v>
      </c>
      <c r="DQ18">
        <f>IFERROR(VLOOKUP($D18,'Kalkulator mięs '!$C$5:$H$533,DQ$4,0)*$K18,0)</f>
        <v>0</v>
      </c>
      <c r="DR18">
        <f>IFERROR(VLOOKUP($D18,'Kalkulator mięs '!$C$5:$H$533,DR$4,0)*$K18,0)</f>
        <v>0</v>
      </c>
      <c r="DS18">
        <f>IFERROR(VLOOKUP($D18,'Kalkulator mięs '!$C$5:$H$533,DS$4,0)*$K18,0)</f>
        <v>0</v>
      </c>
      <c r="DT18">
        <f>IFERROR(VLOOKUP($D18,'Kalkulator mięs '!$C$5:$H$533,DT$4,0)*$L18,0)</f>
        <v>0</v>
      </c>
      <c r="DU18">
        <f>IFERROR(VLOOKUP($D18,'Kalkulator mięs '!$C$5:$H$533,DU$4,0)*$L18,0)</f>
        <v>0</v>
      </c>
      <c r="DV18">
        <f>IFERROR(VLOOKUP($D18,'Kalkulator mięs '!$C$5:$H$533,DV$4,0)*$L18,0)</f>
        <v>0</v>
      </c>
      <c r="DW18">
        <f>IFERROR(VLOOKUP($D18,'Kalkulator mięs '!$C$5:$H$533,DW$4,0)*$M18,0)</f>
        <v>0</v>
      </c>
      <c r="DX18">
        <f>IFERROR(VLOOKUP($D18,'Kalkulator mięs '!$C$5:$H$533,DX$4,0)*$M18,0)</f>
        <v>0</v>
      </c>
      <c r="DY18">
        <f>IFERROR(VLOOKUP($D18,'Kalkulator mięs '!$C$5:$H$533,DY$4,0)*$M18,0)</f>
        <v>0</v>
      </c>
      <c r="DZ18">
        <f>IFERROR(VLOOKUP($D18,'Kalkulator mięs '!$C$5:$H$533,DZ$4,0)*$N18,0)</f>
        <v>0</v>
      </c>
      <c r="EA18">
        <f>IFERROR(VLOOKUP($D18,'Kalkulator mięs '!$C$5:$H$533,EA$4,0)*$N18,0)</f>
        <v>0</v>
      </c>
      <c r="EB18">
        <f>IFERROR(VLOOKUP($D18,'Kalkulator mięs '!$C$5:$H$533,EB$4,0)*$N18,0)</f>
        <v>0</v>
      </c>
      <c r="EC18">
        <f>IFERROR(VLOOKUP($D18,'Kalkulator mięs '!$C$5:$H$533,EC$4,0)*$O18,0)</f>
        <v>0</v>
      </c>
      <c r="ED18">
        <f>IFERROR(VLOOKUP($D18,'Kalkulator mięs '!$C$5:$H$533,ED$4,0)*$O18,0)</f>
        <v>0</v>
      </c>
      <c r="EE18">
        <f>IFERROR(VLOOKUP($D18,'Kalkulator mięs '!$C$5:$H$533,EE$4,0)*$O18,0)</f>
        <v>0</v>
      </c>
      <c r="EF18">
        <f>IFERROR(VLOOKUP($D18,'Kalkulator mięs '!$C$5:$H$533,EF$4,0)*$P18,0)</f>
        <v>0</v>
      </c>
      <c r="EG18">
        <f>IFERROR(VLOOKUP($D18,'Kalkulator mięs '!$C$5:$H$533,EG$4,0)*$P18,0)</f>
        <v>0</v>
      </c>
      <c r="EH18">
        <f>IFERROR(VLOOKUP($D18,'Kalkulator mięs '!$C$5:$H$533,EH$4,0)*$P18,0)</f>
        <v>0</v>
      </c>
      <c r="EI18">
        <f>IFERROR(VLOOKUP($D18,'Kalkulator mięs '!$C$5:$H$533,EI$4,0)*$Q18,0)</f>
        <v>0</v>
      </c>
      <c r="EJ18">
        <f>IFERROR(VLOOKUP($D18,'Kalkulator mięs '!$C$5:$H$533,EJ$4,0)*$Q18,0)</f>
        <v>0</v>
      </c>
      <c r="EK18">
        <f>IFERROR(VLOOKUP($D18,'Kalkulator mięs '!$C$5:$H$533,EK$4,0)*$Q18,0)</f>
        <v>0</v>
      </c>
      <c r="EL18">
        <f>IFERROR(VLOOKUP($D18,'Kalkulator mięs '!$C$5:$H$533,EL$4,0)*$R18,0)</f>
        <v>0</v>
      </c>
      <c r="EM18">
        <f>IFERROR(VLOOKUP($D18,'Kalkulator mięs '!$C$5:$H$533,EM$4,0)*$R18,0)</f>
        <v>0</v>
      </c>
      <c r="EN18">
        <f>IFERROR(VLOOKUP($D18,'Kalkulator mięs '!$C$5:$H$533,EN$4,0)*$R18,0)</f>
        <v>0</v>
      </c>
      <c r="EO18">
        <f>IFERROR(VLOOKUP($D18,'Kalkulator mięs '!$C$5:$H$533,EO$4,0)*$S18,0)</f>
        <v>0</v>
      </c>
      <c r="EP18">
        <f>IFERROR(VLOOKUP($D18,'Kalkulator mięs '!$C$5:$H$533,EP$4,0)*$S18,0)</f>
        <v>0</v>
      </c>
      <c r="EQ18">
        <f>IFERROR(VLOOKUP($D18,'Kalkulator mięs '!$C$5:$H$533,EQ$4,0)*$S18,0)</f>
        <v>0</v>
      </c>
      <c r="ER18">
        <f>IFERROR(VLOOKUP($D18,'Kalkulator mięs '!$C$5:$H$533,ER$4,0)*$T18,0)</f>
        <v>0</v>
      </c>
      <c r="ES18">
        <f>IFERROR(VLOOKUP($D18,'Kalkulator mięs '!$C$5:$H$533,ES$4,0)*$T18,0)</f>
        <v>0</v>
      </c>
      <c r="ET18">
        <f>IFERROR(VLOOKUP($D18,'Kalkulator mięs '!$C$5:$H$533,ET$4,0)*$T18,0)</f>
        <v>0</v>
      </c>
      <c r="EU18">
        <f>IFERROR(VLOOKUP($D18,'Kalkulator mięs '!$C$5:$H$533,EU$4,0)*$U18,0)</f>
        <v>0</v>
      </c>
      <c r="EV18">
        <f>IFERROR(VLOOKUP($D18,'Kalkulator mięs '!$C$5:$H$533,EV$4,0)*$U18,0)</f>
        <v>0</v>
      </c>
      <c r="EW18">
        <f>IFERROR(VLOOKUP($D18,'Kalkulator mięs '!$C$5:$H$533,EW$4,0)*$U18,0)</f>
        <v>0</v>
      </c>
      <c r="EX18">
        <f>IFERROR(VLOOKUP($D18,'Kalkulator mięs '!$C$5:$H$533,EX$4,0)*$V18,0)</f>
        <v>0</v>
      </c>
      <c r="EY18">
        <f>IFERROR(VLOOKUP($D18,'Kalkulator mięs '!$C$5:$H$533,EY$4,0)*$V18,0)</f>
        <v>0</v>
      </c>
      <c r="EZ18">
        <f>IFERROR(VLOOKUP($D18,'Kalkulator mięs '!$C$5:$H$533,EZ$4,0)*$V18,0)</f>
        <v>0</v>
      </c>
      <c r="FA18">
        <f>IFERROR(VLOOKUP($D18,'Kalkulator mięs '!$C$5:$H$533,FA$4,0)*$W18,0)</f>
        <v>0</v>
      </c>
      <c r="FB18">
        <f>IFERROR(VLOOKUP($D18,'Kalkulator mięs '!$C$5:$H$533,FB$4,0)*$W18,0)</f>
        <v>0</v>
      </c>
      <c r="FC18">
        <f>IFERROR(VLOOKUP($D18,'Kalkulator mięs '!$C$5:$H$533,FC$4,0)*$W18,0)</f>
        <v>0</v>
      </c>
      <c r="FD18">
        <f>IFERROR(VLOOKUP($D18,'Kalkulator mięs '!$C$5:$H$533,FD$4,0)*$X18,0)</f>
        <v>0</v>
      </c>
      <c r="FE18">
        <f>IFERROR(VLOOKUP($D18,'Kalkulator mięs '!$C$5:$H$533,FE$4,0)*$X18,0)</f>
        <v>0</v>
      </c>
      <c r="FF18">
        <f>IFERROR(VLOOKUP($D18,'Kalkulator mięs '!$C$5:$H$533,FF$4,0)*$X18,0)</f>
        <v>0</v>
      </c>
      <c r="FG18">
        <f>IFERROR(VLOOKUP($D18,'Kalkulator mięs '!$C$5:$H$533,FG$4,0)*$Y18,0)</f>
        <v>0</v>
      </c>
      <c r="FH18">
        <f>IFERROR(VLOOKUP($D18,'Kalkulator mięs '!$C$5:$H$533,FH$4,0)*$Y18,0)</f>
        <v>0</v>
      </c>
      <c r="FI18">
        <f>IFERROR(VLOOKUP($D18,'Kalkulator mięs '!$C$5:$H$533,FI$4,0)*$Y18,0)</f>
        <v>0</v>
      </c>
      <c r="FJ18">
        <f>IFERROR(VLOOKUP($D18,'Kalkulator mięs '!$C$5:$H$533,FJ$4,0)*$Z18,0)</f>
        <v>0</v>
      </c>
      <c r="FK18">
        <f>IFERROR(VLOOKUP($D18,'Kalkulator mięs '!$C$5:$H$533,FK$4,0)*$Z18,0)</f>
        <v>0</v>
      </c>
      <c r="FL18">
        <f>IFERROR(VLOOKUP($D18,'Kalkulator mięs '!$C$5:$H$533,FL$4,0)*$Z18,0)</f>
        <v>0</v>
      </c>
      <c r="FM18">
        <f>IFERROR(VLOOKUP($D18,'Kalkulator mięs '!$C$5:$H$533,FM$4,0)*$AA18,0)</f>
        <v>0</v>
      </c>
      <c r="FN18">
        <f>IFERROR(VLOOKUP($D18,'Kalkulator mięs '!$C$5:$H$533,FN$4,0)*$AA18,0)</f>
        <v>0</v>
      </c>
      <c r="FO18">
        <f>IFERROR(VLOOKUP($D18,'Kalkulator mięs '!$C$5:$H$533,FO$4,0)*$AA18,0)</f>
        <v>0</v>
      </c>
      <c r="FP18">
        <f>IFERROR(VLOOKUP($D18,'Kalkulator mięs '!$C$5:$H$533,FP$4,0)*$AB18,0)</f>
        <v>0</v>
      </c>
      <c r="FQ18">
        <f>IFERROR(VLOOKUP($D18,'Kalkulator mięs '!$C$5:$H$533,FQ$4,0)*$AB18,0)</f>
        <v>0</v>
      </c>
      <c r="FR18">
        <f>IFERROR(VLOOKUP($D18,'Kalkulator mięs '!$C$5:$H$533,FR$4,0)*$AB18,0)</f>
        <v>0</v>
      </c>
      <c r="FS18">
        <f>IFERROR(VLOOKUP($D18,'Kalkulator mięs '!$C$5:$H$533,FS$4,0)*$AC18,0)</f>
        <v>0</v>
      </c>
      <c r="FT18">
        <f>IFERROR(VLOOKUP($D18,'Kalkulator mięs '!$C$5:$H$533,FT$4,0)*$AC18,0)</f>
        <v>0</v>
      </c>
      <c r="FU18">
        <f>IFERROR(VLOOKUP($D18,'Kalkulator mięs '!$C$5:$H$533,FU$4,0)*$AC18,0)</f>
        <v>0</v>
      </c>
      <c r="FV18">
        <f>IFERROR(VLOOKUP($D18,'Kalkulator mięs '!$C$5:$H$533,FV$4,0)*$AD18,0)</f>
        <v>0</v>
      </c>
      <c r="FW18">
        <f>IFERROR(VLOOKUP($D18,'Kalkulator mięs '!$C$5:$H$533,FW$4,0)*$AD18,0)</f>
        <v>0</v>
      </c>
      <c r="FX18">
        <f>IFERROR(VLOOKUP($D18,'Kalkulator mięs '!$C$5:$H$533,FX$4,0)*$AD18,0)</f>
        <v>0</v>
      </c>
      <c r="FY18">
        <f>IFERROR(VLOOKUP($D18,'Kalkulator mięs '!$C$5:$H$533,FY$4,0)*$AE18,0)</f>
        <v>0</v>
      </c>
      <c r="FZ18">
        <f>IFERROR(VLOOKUP($D18,'Kalkulator mięs '!$C$5:$H$533,FZ$4,0)*$AE18,0)</f>
        <v>0</v>
      </c>
      <c r="GA18">
        <f>IFERROR(VLOOKUP($D18,'Kalkulator mięs '!$C$5:$H$533,GA$4,0)*$AE18,0)</f>
        <v>0</v>
      </c>
      <c r="GB18">
        <f>IFERROR(VLOOKUP($D18,'Kalkulator mięs '!$C$5:$H$533,GB$4,0)*$AF18,0)</f>
        <v>0</v>
      </c>
      <c r="GC18">
        <f>IFERROR(VLOOKUP($D18,'Kalkulator mięs '!$C$5:$H$533,GC$4,0)*$AF18,0)</f>
        <v>0</v>
      </c>
      <c r="GD18">
        <f>IFERROR(VLOOKUP($D18,'Kalkulator mięs '!$C$5:$H$533,GD$4,0)*$AF18,0)</f>
        <v>0</v>
      </c>
      <c r="GE18">
        <f>IFERROR(VLOOKUP($D18,'Kalkulator mięs '!$C$5:$H$533,GE$4,0)*$AG18,0)</f>
        <v>0</v>
      </c>
      <c r="GF18">
        <f>IFERROR(VLOOKUP($D18,'Kalkulator mięs '!$C$5:$H$533,GF$4,0)*$AG18,0)</f>
        <v>0</v>
      </c>
      <c r="GG18">
        <f>IFERROR(VLOOKUP($D18,'Kalkulator mięs '!$C$5:$H$533,GG$4,0)*$AG18,0)</f>
        <v>0</v>
      </c>
      <c r="GH18">
        <f>IFERROR(VLOOKUP($D18,'Kalkulator mięs '!$C$5:$H$533,GH$4,0)*$AH18,0)</f>
        <v>0</v>
      </c>
      <c r="GI18">
        <f>IFERROR(VLOOKUP($D18,'Kalkulator mięs '!$C$5:$H$533,GI$4,0)*$AH18,0)</f>
        <v>0</v>
      </c>
      <c r="GJ18">
        <f>IFERROR(VLOOKUP($D18,'Kalkulator mięs '!$C$5:$H$533,GJ$4,0)*$AH18,0)</f>
        <v>0</v>
      </c>
      <c r="GK18">
        <f>IFERROR(VLOOKUP($D18,'Kalkulator mięs '!$C$5:$H$533,GK$4,0)*$AI18,0)</f>
        <v>0</v>
      </c>
      <c r="GL18">
        <f>IFERROR(VLOOKUP($D18,'Kalkulator mięs '!$C$5:$H$533,GL$4,0)*$AI18,0)</f>
        <v>0</v>
      </c>
      <c r="GM18">
        <f>IFERROR(VLOOKUP($D18,'Kalkulator mięs '!$C$5:$H$533,GM$4,0)*$AI18,0)</f>
        <v>0</v>
      </c>
      <c r="GN18">
        <f>IFERROR(VLOOKUP($D18,'Kalkulator mięs '!$C$5:$H$533,GN$4,0)*$AJ18,0)</f>
        <v>0</v>
      </c>
      <c r="GO18">
        <f>IFERROR(VLOOKUP($D18,'Kalkulator mięs '!$C$5:$H$533,GO$4,0)*$AJ18,0)</f>
        <v>0</v>
      </c>
      <c r="GP18">
        <f>IFERROR(VLOOKUP($D18,'Kalkulator mięs '!$C$5:$H$533,GP$4,0)*$AJ18,0)</f>
        <v>0</v>
      </c>
      <c r="GQ18">
        <f>IFERROR(VLOOKUP($D18,'Kalkulator mięs '!$C$5:$H$533,GQ$4,0)*$AK18,0)</f>
        <v>0</v>
      </c>
      <c r="GR18">
        <f>IFERROR(VLOOKUP($D18,'Kalkulator mięs '!$C$5:$H$533,GR$4,0)*$AK18,0)</f>
        <v>0</v>
      </c>
      <c r="GS18">
        <f>IFERROR(VLOOKUP($D18,'Kalkulator mięs '!$C$5:$H$533,GS$4,0)*$AK18,0)</f>
        <v>0</v>
      </c>
      <c r="GT18">
        <f>IFERROR(VLOOKUP($D18,'Kalkulator mięs '!$C$5:$H$533,GT$4,0)*$AL18,0)</f>
        <v>0</v>
      </c>
      <c r="GU18">
        <f>IFERROR(VLOOKUP($D18,'Kalkulator mięs '!$C$5:$H$533,GU$4,0)*$AL18,0)</f>
        <v>0</v>
      </c>
      <c r="GV18">
        <f>IFERROR(VLOOKUP($D18,'Kalkulator mięs '!$C$5:$H$533,GV$4,0)*$AL18,0)</f>
        <v>0</v>
      </c>
      <c r="GW18">
        <f>IFERROR(VLOOKUP($D18,'Kalkulator mięs '!$C$5:$H$533,GW$4,0)*$AM18,0)</f>
        <v>0</v>
      </c>
      <c r="GX18">
        <f>IFERROR(VLOOKUP($D18,'Kalkulator mięs '!$C$5:$H$533,GX$4,0)*$AM18,0)</f>
        <v>0</v>
      </c>
      <c r="GY18">
        <f>IFERROR(VLOOKUP($D18,'Kalkulator mięs '!$C$5:$H$533,GY$4,0)*$AM18,0)</f>
        <v>0</v>
      </c>
      <c r="GZ18">
        <f>IFERROR(VLOOKUP($D18,'Kalkulator mięs '!$C$5:$H$533,GZ$4,0)*$AN18,0)</f>
        <v>0</v>
      </c>
      <c r="HA18">
        <f>IFERROR(VLOOKUP($D18,'Kalkulator mięs '!$C$5:$H$533,HA$4,0)*$AN18,0)</f>
        <v>0</v>
      </c>
      <c r="HB18">
        <f>IFERROR(VLOOKUP($D18,'Kalkulator mięs '!$C$5:$H$533,HB$4,0)*$AN18,0)</f>
        <v>0</v>
      </c>
      <c r="HC18">
        <f>IFERROR(VLOOKUP($D18,'Kalkulator mięs '!$C$5:$H$533,HC$4,0)*$AO18,0)</f>
        <v>0</v>
      </c>
      <c r="HD18">
        <f>IFERROR(VLOOKUP($D18,'Kalkulator mięs '!$C$5:$H$533,HD$4,0)*$AO18,0)</f>
        <v>0</v>
      </c>
      <c r="HE18">
        <f>IFERROR(VLOOKUP($D18,'Kalkulator mięs '!$C$5:$H$533,HE$4,0)*$AO18,0)</f>
        <v>0</v>
      </c>
      <c r="HF18">
        <f>IFERROR(VLOOKUP($D18,'Kalkulator mięs '!$C$5:$H$533,HF$4,0)*$AP18,0)</f>
        <v>0</v>
      </c>
      <c r="HG18">
        <f>IFERROR(VLOOKUP($D18,'Kalkulator mięs '!$C$5:$H$533,HG$4,0)*$AP18,0)</f>
        <v>0</v>
      </c>
      <c r="HH18">
        <f>IFERROR(VLOOKUP($D18,'Kalkulator mięs '!$C$5:$H$533,HH$4,0)*$AP18,0)</f>
        <v>0</v>
      </c>
      <c r="HI18">
        <f>IFERROR(VLOOKUP($D18,'Kalkulator mięs '!$C$5:$H$533,HI$4,0)*$AQ18,0)</f>
        <v>0</v>
      </c>
      <c r="HJ18">
        <f>IFERROR(VLOOKUP($D18,'Kalkulator mięs '!$C$5:$H$533,HJ$4,0)*$AQ18,0)</f>
        <v>0</v>
      </c>
      <c r="HK18">
        <f>IFERROR(VLOOKUP($D18,'Kalkulator mięs '!$C$5:$H$533,HK$4,0)*$AQ18,0)</f>
        <v>0</v>
      </c>
      <c r="HL18">
        <f>IFERROR(VLOOKUP($D18,'Kalkulator mięs '!$C$5:$H$533,HL$4,0)*$AR18,0)</f>
        <v>0</v>
      </c>
      <c r="HM18">
        <f>IFERROR(VLOOKUP($D18,'Kalkulator mięs '!$C$5:$H$533,HM$4,0)*$AR18,0)</f>
        <v>0</v>
      </c>
      <c r="HN18">
        <f>IFERROR(VLOOKUP($D18,'Kalkulator mięs '!$C$5:$H$533,HN$4,0)*$AR18,0)</f>
        <v>0</v>
      </c>
      <c r="HO18">
        <f>IFERROR(VLOOKUP($D18,'Kalkulator mięs '!$C$5:$H$533,HO$4,0)*$AS18,0)</f>
        <v>0</v>
      </c>
      <c r="HP18">
        <f>IFERROR(VLOOKUP($D18,'Kalkulator mięs '!$C$5:$H$533,HP$4,0)*$AS18,0)</f>
        <v>0</v>
      </c>
      <c r="HQ18">
        <f>IFERROR(VLOOKUP($D18,'Kalkulator mięs '!$C$5:$H$533,HQ$4,0)*$AS18,0)</f>
        <v>0</v>
      </c>
      <c r="HR18">
        <f>IFERROR(VLOOKUP($D18,'Kalkulator mięs '!$C$5:$H$533,HR$4,0)*$AT18,0)</f>
        <v>0</v>
      </c>
      <c r="HS18">
        <f>IFERROR(VLOOKUP($D18,'Kalkulator mięs '!$C$5:$H$533,HS$4,0)*$AT18,0)</f>
        <v>0</v>
      </c>
      <c r="HT18">
        <f>IFERROR(VLOOKUP($D18,'Kalkulator mięs '!$C$5:$H$533,HT$4,0)*$AT18,0)</f>
        <v>0</v>
      </c>
      <c r="HU18">
        <f>IFERROR(VLOOKUP($D18,'Kalkulator mięs '!$C$5:$H$533,HU$4,0)*$AU18,0)</f>
        <v>0</v>
      </c>
      <c r="HV18">
        <f>IFERROR(VLOOKUP($D18,'Kalkulator mięs '!$C$5:$H$533,HV$4,0)*$AU18,0)</f>
        <v>0</v>
      </c>
      <c r="HW18">
        <f>IFERROR(VLOOKUP($D18,'Kalkulator mięs '!$C$5:$H$533,HW$4,0)*$AU18,0)</f>
        <v>0</v>
      </c>
      <c r="HX18">
        <f>IFERROR(VLOOKUP($D18,'Kalkulator mięs '!$C$5:$H$533,HX$4,0)*$AV18,0)</f>
        <v>0</v>
      </c>
      <c r="HY18">
        <f>IFERROR(VLOOKUP($D18,'Kalkulator mięs '!$C$5:$H$533,HY$4,0)*$AV18,0)</f>
        <v>0</v>
      </c>
      <c r="HZ18">
        <f>IFERROR(VLOOKUP($D18,'Kalkulator mięs '!$C$5:$H$533,HZ$4,0)*$AV18,0)</f>
        <v>0</v>
      </c>
      <c r="IA18">
        <f>IFERROR(VLOOKUP($D18,'Kalkulator mięs '!$C$5:$H$533,IA$4,0)*$AW18,0)</f>
        <v>0</v>
      </c>
      <c r="IB18">
        <f>IFERROR(VLOOKUP($D18,'Kalkulator mięs '!$C$5:$H$533,IB$4,0)*$AW18,0)</f>
        <v>0</v>
      </c>
      <c r="IC18">
        <f>IFERROR(VLOOKUP($D18,'Kalkulator mięs '!$C$5:$H$533,IC$4,0)*$AW18,0)</f>
        <v>0</v>
      </c>
      <c r="ID18">
        <f>IFERROR(VLOOKUP($D18,'Kalkulator mięs '!$C$5:$H$533,ID$4,0)*$AX18,0)</f>
        <v>0</v>
      </c>
      <c r="IE18">
        <f>IFERROR(VLOOKUP($D18,'Kalkulator mięs '!$C$5:$H$533,IE$4,0)*$AX18,0)</f>
        <v>0</v>
      </c>
      <c r="IF18">
        <f>IFERROR(VLOOKUP($D18,'Kalkulator mięs '!$C$5:$H$533,IF$4,0)*$AX18,0)</f>
        <v>0</v>
      </c>
      <c r="IG18">
        <f>IFERROR(VLOOKUP($D18,'Kalkulator mięs '!$C$5:$H$533,IG$4,0)*$AY18,0)</f>
        <v>0</v>
      </c>
      <c r="IH18">
        <f>IFERROR(VLOOKUP($D18,'Kalkulator mięs '!$C$5:$H$533,IH$4,0)*$AY18,0)</f>
        <v>0</v>
      </c>
      <c r="II18">
        <f>IFERROR(VLOOKUP($D18,'Kalkulator mięs '!$C$5:$H$533,II$4,0)*$AY18,0)</f>
        <v>0</v>
      </c>
      <c r="IJ18">
        <f>IFERROR(VLOOKUP($D18,'Kalkulator mięs '!$C$5:$H$533,IJ$4,0)*$AZ18,0)</f>
        <v>0</v>
      </c>
      <c r="IK18">
        <f>IFERROR(VLOOKUP($D18,'Kalkulator mięs '!$C$5:$H$533,IK$4,0)*$AZ18,0)</f>
        <v>0</v>
      </c>
      <c r="IL18">
        <f>IFERROR(VLOOKUP($D18,'Kalkulator mięs '!$C$5:$H$533,IL$4,0)*$AZ18,0)</f>
        <v>0</v>
      </c>
      <c r="IM18">
        <f>IFERROR(VLOOKUP($D18,'Kalkulator mięs '!$C$5:$H$533,IM$4,0)*$BA18,0)</f>
        <v>0</v>
      </c>
      <c r="IN18">
        <f>IFERROR(VLOOKUP($D18,'Kalkulator mięs '!$C$5:$H$533,IN$4,0)*$BA18,0)</f>
        <v>0</v>
      </c>
      <c r="IO18">
        <f>IFERROR(VLOOKUP($D18,'Kalkulator mięs '!$C$5:$H$533,IO$4,0)*$BA18,0)</f>
        <v>0</v>
      </c>
    </row>
    <row r="19" spans="1:249" ht="15.75">
      <c r="B19" t="str">
        <f>VLOOKUP(D19,Receptury_z!$A:$B,2,0)</f>
        <v>ON</v>
      </c>
      <c r="C19" s="16">
        <v>5697</v>
      </c>
      <c r="D19" s="19">
        <v>6501</v>
      </c>
      <c r="E19" s="18" t="s">
        <v>17975</v>
      </c>
      <c r="F19" s="14">
        <f>IF($B19="OFF",BE19,VLOOKUP($D19,Receptury_z!$D:$AI,F$4,0))</f>
        <v>0</v>
      </c>
      <c r="G19" s="14">
        <f>IF($B19="OFF",BF19,VLOOKUP($D19,Receptury_z!$D:$AI,G$4,0))</f>
        <v>0</v>
      </c>
      <c r="H19" s="14">
        <f>IF($B19="OFF",BG19,VLOOKUP($D19,Receptury_z!$D:$AI,H$4,0))</f>
        <v>0</v>
      </c>
      <c r="I19" s="14">
        <f>IF($B19="OFF",BH19,VLOOKUP($D19,Receptury_z!$D:$AI,I$4,0))</f>
        <v>0</v>
      </c>
      <c r="J19" s="14">
        <f>IF($B19="OFF",BI19,VLOOKUP($D19,Receptury_z!$D:$AI,J$4,0))</f>
        <v>0</v>
      </c>
      <c r="K19" s="14">
        <f>IF($B19="OFF",BJ19,VLOOKUP($D19,Receptury_z!$D:$AI,K$4,0))</f>
        <v>0</v>
      </c>
      <c r="L19" s="14">
        <f>IF($B19="OFF",BK19,VLOOKUP($D19,Receptury_z!$D:$AI,L$4,0))</f>
        <v>0</v>
      </c>
      <c r="M19" s="14">
        <f>IF($B19="OFF",BL19,VLOOKUP($D19,Receptury_z!$D:$AI,M$4,0))</f>
        <v>0</v>
      </c>
      <c r="N19" s="14">
        <f>IF($B19="OFF",BM19,VLOOKUP($D19,Receptury_z!$D:$AI,N$4,0))</f>
        <v>0</v>
      </c>
      <c r="O19" s="14">
        <f>IF($B19="OFF",BN19,VLOOKUP($D19,Receptury_z!$D:$AI,O$4,0))</f>
        <v>0</v>
      </c>
      <c r="P19" s="14">
        <f>IF($B19="OFF",BO19,VLOOKUP($D19,Receptury_z!$D:$AI,P$4,0))</f>
        <v>0</v>
      </c>
      <c r="Q19" s="14">
        <f>IF($B19="OFF",BP19,VLOOKUP($D19,Receptury_z!$D:$AI,Q$4,0))</f>
        <v>0</v>
      </c>
      <c r="R19" s="14">
        <f>IF($B19="OFF",BQ19,VLOOKUP($D19,Receptury_z!$D:$AI,R$4,0))</f>
        <v>0</v>
      </c>
      <c r="S19" s="14">
        <f>IF($B19="OFF",BR19,VLOOKUP($D19,Receptury_z!$D:$AI,S$4,0))</f>
        <v>0</v>
      </c>
      <c r="T19" s="14">
        <f>IF($B19="OFF",BS19,VLOOKUP($D19,Receptury_z!$D:$AI,T$4,0))</f>
        <v>0</v>
      </c>
      <c r="U19" s="14">
        <f>IF($B19="OFF",BT19,VLOOKUP($D19,Receptury_z!$D:$AI,U$4,0))</f>
        <v>0</v>
      </c>
      <c r="V19" s="14">
        <f>IF($B19="OFF",BU19,VLOOKUP($D19,Receptury_z!$D:$AI,V$4,0))</f>
        <v>0</v>
      </c>
      <c r="W19" s="14">
        <f>IF($B19="OFF",BV19,VLOOKUP($D19,Receptury_z!$D:$AI,W$4,0))</f>
        <v>0</v>
      </c>
      <c r="X19" s="14">
        <f>IF($B19="OFF",BW19,VLOOKUP($D19,Receptury_z!$D:$AI,X$4,0))</f>
        <v>0</v>
      </c>
      <c r="Y19" s="14">
        <f>IF($B19="OFF",BX19,VLOOKUP($D19,Receptury_z!$D:$AI,Y$4,0))</f>
        <v>0</v>
      </c>
      <c r="Z19" s="14">
        <f>IF($B19="OFF",BY19,VLOOKUP($D19,Receptury_z!$D:$AI,Z$4,0))</f>
        <v>0</v>
      </c>
      <c r="AA19" s="14">
        <f>IF($B19="OFF",BZ19,VLOOKUP($D19,Receptury_z!$D:$AI,AA$4,0))</f>
        <v>0</v>
      </c>
      <c r="AB19" s="14">
        <f>IF($B19="OFF",CA19,VLOOKUP($D19,Receptury_z!$D:$AI,AB$4,0))</f>
        <v>0</v>
      </c>
      <c r="AC19" s="14">
        <f>IF($B19="OFF",CB19,VLOOKUP($D19,Receptury_z!$D:$AI,AC$4,0))</f>
        <v>0</v>
      </c>
      <c r="AD19" s="14">
        <f>IF($B19="OFF",CC19,VLOOKUP($D19,Receptury_z!$D:$AI,AD$4,0))</f>
        <v>0</v>
      </c>
      <c r="AE19" s="14">
        <f>IF($B19="OFF",CD19,VLOOKUP($D19,Receptury_z!$D:$AI,AE$4,0))</f>
        <v>0</v>
      </c>
      <c r="AF19" s="14">
        <f>IF($B19="OFF",CE19,VLOOKUP($D19,Receptury_z!$D:$AI,AF$4,0))</f>
        <v>0</v>
      </c>
      <c r="AG19" s="14">
        <f>IF($B19="OFF",CF19,VLOOKUP($D19,Receptury_z!$D:$AI,AG$4,0))</f>
        <v>205.9</v>
      </c>
      <c r="AH19" s="14">
        <f>IF($B19="OFF",CG19,VLOOKUP($D19,Receptury_z!$D:$AI,AH$4,0))</f>
        <v>0</v>
      </c>
      <c r="AI19" s="14">
        <f>IF($B19="OFF",CH19,VLOOKUP($D19,Receptury_z!$D:$AI,AI$4,0))</f>
        <v>0</v>
      </c>
      <c r="AJ19" s="14">
        <f>IF($B19="OFF",CI19,VLOOKUP($D19,Receptury_z!$D:$AS,AJ$4,0))</f>
        <v>0</v>
      </c>
      <c r="AK19" s="14">
        <f>IF($B19="OFF",CJ19,VLOOKUP($D19,Receptury_z!$D:$AS,AK$4,0))</f>
        <v>0</v>
      </c>
      <c r="AL19" s="14">
        <f>IF($B19="OFF",CK19,VLOOKUP($D19,Receptury_z!$D:$AS,AL$4,0))</f>
        <v>0</v>
      </c>
      <c r="AM19" s="14">
        <f>IF($B19="OFF",CL19,VLOOKUP($D19,Receptury_z!$D:$AS,AM$4,0))</f>
        <v>0</v>
      </c>
      <c r="AN19" s="14">
        <f>IF($B19="OFF",CM19,VLOOKUP($D19,Receptury_z!$D:$AS,AN$4,0))</f>
        <v>0</v>
      </c>
      <c r="AO19" s="14">
        <f>IF($B19="OFF",CN19,VLOOKUP($D19,Receptury_z!$D:$AS,AO$4,0))</f>
        <v>0</v>
      </c>
      <c r="AP19" s="14">
        <f>IF($B19="OFF",CO19,VLOOKUP($D19,Receptury_z!$D:$AS,AP$4,0))</f>
        <v>0</v>
      </c>
      <c r="AQ19" s="14">
        <f>IF($B19="OFF",CP19,VLOOKUP($D19,Receptury_z!$D:$AS,AQ$4,0))</f>
        <v>0</v>
      </c>
      <c r="AR19" s="14">
        <f>IF($B19="OFF",CQ19,VLOOKUP($D19,Receptury_z!$D:$AS,AR$4,0))</f>
        <v>0</v>
      </c>
      <c r="AS19" s="14">
        <f>IF($B19="OFF",CR19,VLOOKUP($D19,Receptury_z!$D:$AS,AS$4,0))</f>
        <v>0</v>
      </c>
      <c r="AT19" s="14">
        <f>IF($B19="OFF",CS19,VLOOKUP($D19,Receptury_z!$D:$AV,AT$4,0))</f>
        <v>0</v>
      </c>
      <c r="AU19" s="14">
        <f>IF($B19="OFF",CT19,VLOOKUP($D19,Receptury_z!$D:$AV,AU$4,0))</f>
        <v>0</v>
      </c>
      <c r="AV19" s="14">
        <f>IF($B19="OFF",CU19,VLOOKUP($D19,Receptury_z!$D:$AV,AV$4,0))</f>
        <v>216.5</v>
      </c>
      <c r="AW19" s="14">
        <f>IF($B19="OFF",CV19,VLOOKUP($D19,Receptury_z!$D:$BA,AW$4,0))</f>
        <v>106.5</v>
      </c>
      <c r="AX19" s="14">
        <f>IF($B19="OFF",CW19,VLOOKUP($D19,Receptury_z!$D:$BA,AX$4,0))</f>
        <v>0</v>
      </c>
      <c r="AY19" s="14">
        <f>IF($B19="OFF",CX19,VLOOKUP($D19,Receptury_z!$D:$BA,AY$4,0))</f>
        <v>0</v>
      </c>
      <c r="AZ19" s="14">
        <f>IF($B19="OFF",DA19,VLOOKUP($D19,Receptury_z!$D:$BA,AZ$4,0))</f>
        <v>71</v>
      </c>
      <c r="BA19" s="14">
        <f>IF($B19="OFF",DB19,VLOOKUP($D19,Receptury_z!$D:$BA,BA$4,0))</f>
        <v>110.05</v>
      </c>
      <c r="BC19" s="19">
        <v>6501</v>
      </c>
      <c r="BD19" s="18" t="s">
        <v>17975</v>
      </c>
      <c r="BE19" s="239"/>
      <c r="BF19" s="239"/>
      <c r="BG19" s="239"/>
      <c r="BH19" s="239"/>
      <c r="BI19" s="239"/>
      <c r="BJ19" s="239"/>
      <c r="BK19" s="239"/>
      <c r="BL19" s="239"/>
      <c r="BM19" s="239"/>
      <c r="BN19" s="239"/>
      <c r="BO19" s="239"/>
      <c r="BP19" s="239"/>
      <c r="BQ19" s="239"/>
      <c r="BR19" s="239"/>
      <c r="BS19" s="239"/>
      <c r="BT19" s="239"/>
      <c r="BU19" s="239"/>
      <c r="BV19" s="239"/>
      <c r="BW19" s="239"/>
      <c r="BX19" s="239"/>
      <c r="BY19" s="239"/>
      <c r="BZ19" s="239"/>
      <c r="CA19" s="239"/>
      <c r="CB19" s="239"/>
      <c r="CC19" s="239"/>
      <c r="CD19" s="239"/>
      <c r="CE19" s="239"/>
      <c r="CF19" s="239">
        <v>205.9</v>
      </c>
      <c r="CG19" s="239"/>
      <c r="CH19" s="239"/>
      <c r="CI19" s="239"/>
      <c r="CJ19" s="239"/>
      <c r="CK19" s="239"/>
      <c r="CL19" s="239"/>
      <c r="CM19" s="80"/>
      <c r="CN19" s="80"/>
      <c r="CO19" s="80"/>
      <c r="CP19" s="80"/>
      <c r="CQ19" s="80"/>
      <c r="CR19" s="80"/>
      <c r="CS19" s="80"/>
      <c r="CT19" s="80"/>
      <c r="CU19" s="80">
        <v>216.5</v>
      </c>
      <c r="CV19" s="80">
        <v>106.5</v>
      </c>
      <c r="CW19" s="80"/>
      <c r="CX19" s="80"/>
      <c r="CY19" s="80">
        <v>71</v>
      </c>
      <c r="CZ19" s="80">
        <v>110.05</v>
      </c>
      <c r="DB19">
        <f>IFERROR(VLOOKUP($D19,'Kalkulator mięs '!$C$5:$H$533,DB$4,0)*F19,0)</f>
        <v>0</v>
      </c>
      <c r="DC19">
        <f>IFERROR(VLOOKUP($D19,'Kalkulator mięs '!$C$5:$H$533,DC$4,0)*F19,0)</f>
        <v>0</v>
      </c>
      <c r="DD19">
        <f>IFERROR(VLOOKUP($D19,'Kalkulator mięs '!$C$5:$H$533,DD$4,0)*F19,0)</f>
        <v>0</v>
      </c>
      <c r="DE19">
        <f>IFERROR(VLOOKUP($D19,'Kalkulator mięs '!$C$5:$H$533,DE$4,0)*$G19,0)</f>
        <v>0</v>
      </c>
      <c r="DF19">
        <f>IFERROR(VLOOKUP($D19,'Kalkulator mięs '!$C$5:$H$533,DF$4,0)*$G19,0)</f>
        <v>0</v>
      </c>
      <c r="DG19">
        <f>IFERROR(VLOOKUP($D19,'Kalkulator mięs '!$C$5:$H$533,DG$4,0)*$G19,0)</f>
        <v>0</v>
      </c>
      <c r="DH19">
        <f>IFERROR(VLOOKUP($D19,'Kalkulator mięs '!$C$5:$H$533,DH$4,0)*$H19,0)</f>
        <v>0</v>
      </c>
      <c r="DI19">
        <f>IFERROR(VLOOKUP($D19,'Kalkulator mięs '!$C$5:$H$533,DI$4,0)*$H19,0)</f>
        <v>0</v>
      </c>
      <c r="DJ19">
        <f>IFERROR(VLOOKUP($D19,'Kalkulator mięs '!$C$5:$H$533,DJ$4,0)*$H19,0)</f>
        <v>0</v>
      </c>
      <c r="DK19">
        <f>IFERROR(VLOOKUP($D19,'Kalkulator mięs '!$C$5:$H$533,DK$4,0)*$I19,0)</f>
        <v>0</v>
      </c>
      <c r="DL19">
        <f>IFERROR(VLOOKUP($D19,'Kalkulator mięs '!$C$5:$H$533,DL$4,0)*$I19,0)</f>
        <v>0</v>
      </c>
      <c r="DM19">
        <f>IFERROR(VLOOKUP($D19,'Kalkulator mięs '!$C$5:$H$533,DM$4,0)*$I19,0)</f>
        <v>0</v>
      </c>
      <c r="DN19">
        <f>IFERROR(VLOOKUP($D19,'Kalkulator mięs '!$C$5:$H$533,DN$4,0)*$J19,0)</f>
        <v>0</v>
      </c>
      <c r="DO19">
        <f>IFERROR(VLOOKUP($D19,'Kalkulator mięs '!$C$5:$H$533,DO$4,0)*$J19,0)</f>
        <v>0</v>
      </c>
      <c r="DP19">
        <f>IFERROR(VLOOKUP($D19,'Kalkulator mięs '!$C$5:$H$533,DP$4,0)*$J19,0)</f>
        <v>0</v>
      </c>
      <c r="DQ19">
        <f>IFERROR(VLOOKUP($D19,'Kalkulator mięs '!$C$5:$H$533,DQ$4,0)*$K19,0)</f>
        <v>0</v>
      </c>
      <c r="DR19">
        <f>IFERROR(VLOOKUP($D19,'Kalkulator mięs '!$C$5:$H$533,DR$4,0)*$K19,0)</f>
        <v>0</v>
      </c>
      <c r="DS19">
        <f>IFERROR(VLOOKUP($D19,'Kalkulator mięs '!$C$5:$H$533,DS$4,0)*$K19,0)</f>
        <v>0</v>
      </c>
      <c r="DT19">
        <f>IFERROR(VLOOKUP($D19,'Kalkulator mięs '!$C$5:$H$533,DT$4,0)*$L19,0)</f>
        <v>0</v>
      </c>
      <c r="DU19">
        <f>IFERROR(VLOOKUP($D19,'Kalkulator mięs '!$C$5:$H$533,DU$4,0)*$L19,0)</f>
        <v>0</v>
      </c>
      <c r="DV19">
        <f>IFERROR(VLOOKUP($D19,'Kalkulator mięs '!$C$5:$H$533,DV$4,0)*$L19,0)</f>
        <v>0</v>
      </c>
      <c r="DW19">
        <f>IFERROR(VLOOKUP($D19,'Kalkulator mięs '!$C$5:$H$533,DW$4,0)*$M19,0)</f>
        <v>0</v>
      </c>
      <c r="DX19">
        <f>IFERROR(VLOOKUP($D19,'Kalkulator mięs '!$C$5:$H$533,DX$4,0)*$M19,0)</f>
        <v>0</v>
      </c>
      <c r="DY19">
        <f>IFERROR(VLOOKUP($D19,'Kalkulator mięs '!$C$5:$H$533,DY$4,0)*$M19,0)</f>
        <v>0</v>
      </c>
      <c r="DZ19">
        <f>IFERROR(VLOOKUP($D19,'Kalkulator mięs '!$C$5:$H$533,DZ$4,0)*$N19,0)</f>
        <v>0</v>
      </c>
      <c r="EA19">
        <f>IFERROR(VLOOKUP($D19,'Kalkulator mięs '!$C$5:$H$533,EA$4,0)*$N19,0)</f>
        <v>0</v>
      </c>
      <c r="EB19">
        <f>IFERROR(VLOOKUP($D19,'Kalkulator mięs '!$C$5:$H$533,EB$4,0)*$N19,0)</f>
        <v>0</v>
      </c>
      <c r="EC19">
        <f>IFERROR(VLOOKUP($D19,'Kalkulator mięs '!$C$5:$H$533,EC$4,0)*$O19,0)</f>
        <v>0</v>
      </c>
      <c r="ED19">
        <f>IFERROR(VLOOKUP($D19,'Kalkulator mięs '!$C$5:$H$533,ED$4,0)*$O19,0)</f>
        <v>0</v>
      </c>
      <c r="EE19">
        <f>IFERROR(VLOOKUP($D19,'Kalkulator mięs '!$C$5:$H$533,EE$4,0)*$O19,0)</f>
        <v>0</v>
      </c>
      <c r="EF19">
        <f>IFERROR(VLOOKUP($D19,'Kalkulator mięs '!$C$5:$H$533,EF$4,0)*$P19,0)</f>
        <v>0</v>
      </c>
      <c r="EG19">
        <f>IFERROR(VLOOKUP($D19,'Kalkulator mięs '!$C$5:$H$533,EG$4,0)*$P19,0)</f>
        <v>0</v>
      </c>
      <c r="EH19">
        <f>IFERROR(VLOOKUP($D19,'Kalkulator mięs '!$C$5:$H$533,EH$4,0)*$P19,0)</f>
        <v>0</v>
      </c>
      <c r="EI19">
        <f>IFERROR(VLOOKUP($D19,'Kalkulator mięs '!$C$5:$H$533,EI$4,0)*$Q19,0)</f>
        <v>0</v>
      </c>
      <c r="EJ19">
        <f>IFERROR(VLOOKUP($D19,'Kalkulator mięs '!$C$5:$H$533,EJ$4,0)*$Q19,0)</f>
        <v>0</v>
      </c>
      <c r="EK19">
        <f>IFERROR(VLOOKUP($D19,'Kalkulator mięs '!$C$5:$H$533,EK$4,0)*$Q19,0)</f>
        <v>0</v>
      </c>
      <c r="EL19">
        <f>IFERROR(VLOOKUP($D19,'Kalkulator mięs '!$C$5:$H$533,EL$4,0)*$R19,0)</f>
        <v>0</v>
      </c>
      <c r="EM19">
        <f>IFERROR(VLOOKUP($D19,'Kalkulator mięs '!$C$5:$H$533,EM$4,0)*$R19,0)</f>
        <v>0</v>
      </c>
      <c r="EN19">
        <f>IFERROR(VLOOKUP($D19,'Kalkulator mięs '!$C$5:$H$533,EN$4,0)*$R19,0)</f>
        <v>0</v>
      </c>
      <c r="EO19">
        <f>IFERROR(VLOOKUP($D19,'Kalkulator mięs '!$C$5:$H$533,EO$4,0)*$S19,0)</f>
        <v>0</v>
      </c>
      <c r="EP19">
        <f>IFERROR(VLOOKUP($D19,'Kalkulator mięs '!$C$5:$H$533,EP$4,0)*$S19,0)</f>
        <v>0</v>
      </c>
      <c r="EQ19">
        <f>IFERROR(VLOOKUP($D19,'Kalkulator mięs '!$C$5:$H$533,EQ$4,0)*$S19,0)</f>
        <v>0</v>
      </c>
      <c r="ER19">
        <f>IFERROR(VLOOKUP($D19,'Kalkulator mięs '!$C$5:$H$533,ER$4,0)*$T19,0)</f>
        <v>0</v>
      </c>
      <c r="ES19">
        <f>IFERROR(VLOOKUP($D19,'Kalkulator mięs '!$C$5:$H$533,ES$4,0)*$T19,0)</f>
        <v>0</v>
      </c>
      <c r="ET19">
        <f>IFERROR(VLOOKUP($D19,'Kalkulator mięs '!$C$5:$H$533,ET$4,0)*$T19,0)</f>
        <v>0</v>
      </c>
      <c r="EU19">
        <f>IFERROR(VLOOKUP($D19,'Kalkulator mięs '!$C$5:$H$533,EU$4,0)*$U19,0)</f>
        <v>0</v>
      </c>
      <c r="EV19">
        <f>IFERROR(VLOOKUP($D19,'Kalkulator mięs '!$C$5:$H$533,EV$4,0)*$U19,0)</f>
        <v>0</v>
      </c>
      <c r="EW19">
        <f>IFERROR(VLOOKUP($D19,'Kalkulator mięs '!$C$5:$H$533,EW$4,0)*$U19,0)</f>
        <v>0</v>
      </c>
      <c r="EX19">
        <f>IFERROR(VLOOKUP($D19,'Kalkulator mięs '!$C$5:$H$533,EX$4,0)*$V19,0)</f>
        <v>0</v>
      </c>
      <c r="EY19">
        <f>IFERROR(VLOOKUP($D19,'Kalkulator mięs '!$C$5:$H$533,EY$4,0)*$V19,0)</f>
        <v>0</v>
      </c>
      <c r="EZ19">
        <f>IFERROR(VLOOKUP($D19,'Kalkulator mięs '!$C$5:$H$533,EZ$4,0)*$V19,0)</f>
        <v>0</v>
      </c>
      <c r="FA19">
        <f>IFERROR(VLOOKUP($D19,'Kalkulator mięs '!$C$5:$H$533,FA$4,0)*$W19,0)</f>
        <v>0</v>
      </c>
      <c r="FB19">
        <f>IFERROR(VLOOKUP($D19,'Kalkulator mięs '!$C$5:$H$533,FB$4,0)*$W19,0)</f>
        <v>0</v>
      </c>
      <c r="FC19">
        <f>IFERROR(VLOOKUP($D19,'Kalkulator mięs '!$C$5:$H$533,FC$4,0)*$W19,0)</f>
        <v>0</v>
      </c>
      <c r="FD19">
        <f>IFERROR(VLOOKUP($D19,'Kalkulator mięs '!$C$5:$H$533,FD$4,0)*$X19,0)</f>
        <v>0</v>
      </c>
      <c r="FE19">
        <f>IFERROR(VLOOKUP($D19,'Kalkulator mięs '!$C$5:$H$533,FE$4,0)*$X19,0)</f>
        <v>0</v>
      </c>
      <c r="FF19">
        <f>IFERROR(VLOOKUP($D19,'Kalkulator mięs '!$C$5:$H$533,FF$4,0)*$X19,0)</f>
        <v>0</v>
      </c>
      <c r="FG19">
        <f>IFERROR(VLOOKUP($D19,'Kalkulator mięs '!$C$5:$H$533,FG$4,0)*$Y19,0)</f>
        <v>0</v>
      </c>
      <c r="FH19">
        <f>IFERROR(VLOOKUP($D19,'Kalkulator mięs '!$C$5:$H$533,FH$4,0)*$Y19,0)</f>
        <v>0</v>
      </c>
      <c r="FI19">
        <f>IFERROR(VLOOKUP($D19,'Kalkulator mięs '!$C$5:$H$533,FI$4,0)*$Y19,0)</f>
        <v>0</v>
      </c>
      <c r="FJ19">
        <f>IFERROR(VLOOKUP($D19,'Kalkulator mięs '!$C$5:$H$533,FJ$4,0)*$Z19,0)</f>
        <v>0</v>
      </c>
      <c r="FK19">
        <f>IFERROR(VLOOKUP($D19,'Kalkulator mięs '!$C$5:$H$533,FK$4,0)*$Z19,0)</f>
        <v>0</v>
      </c>
      <c r="FL19">
        <f>IFERROR(VLOOKUP($D19,'Kalkulator mięs '!$C$5:$H$533,FL$4,0)*$Z19,0)</f>
        <v>0</v>
      </c>
      <c r="FM19">
        <f>IFERROR(VLOOKUP($D19,'Kalkulator mięs '!$C$5:$H$533,FM$4,0)*$AA19,0)</f>
        <v>0</v>
      </c>
      <c r="FN19">
        <f>IFERROR(VLOOKUP($D19,'Kalkulator mięs '!$C$5:$H$533,FN$4,0)*$AA19,0)</f>
        <v>0</v>
      </c>
      <c r="FO19">
        <f>IFERROR(VLOOKUP($D19,'Kalkulator mięs '!$C$5:$H$533,FO$4,0)*$AA19,0)</f>
        <v>0</v>
      </c>
      <c r="FP19">
        <f>IFERROR(VLOOKUP($D19,'Kalkulator mięs '!$C$5:$H$533,FP$4,0)*$AB19,0)</f>
        <v>0</v>
      </c>
      <c r="FQ19">
        <f>IFERROR(VLOOKUP($D19,'Kalkulator mięs '!$C$5:$H$533,FQ$4,0)*$AB19,0)</f>
        <v>0</v>
      </c>
      <c r="FR19">
        <f>IFERROR(VLOOKUP($D19,'Kalkulator mięs '!$C$5:$H$533,FR$4,0)*$AB19,0)</f>
        <v>0</v>
      </c>
      <c r="FS19">
        <f>IFERROR(VLOOKUP($D19,'Kalkulator mięs '!$C$5:$H$533,FS$4,0)*$AC19,0)</f>
        <v>0</v>
      </c>
      <c r="FT19">
        <f>IFERROR(VLOOKUP($D19,'Kalkulator mięs '!$C$5:$H$533,FT$4,0)*$AC19,0)</f>
        <v>0</v>
      </c>
      <c r="FU19">
        <f>IFERROR(VLOOKUP($D19,'Kalkulator mięs '!$C$5:$H$533,FU$4,0)*$AC19,0)</f>
        <v>0</v>
      </c>
      <c r="FV19">
        <f>IFERROR(VLOOKUP($D19,'Kalkulator mięs '!$C$5:$H$533,FV$4,0)*$AD19,0)</f>
        <v>0</v>
      </c>
      <c r="FW19">
        <f>IFERROR(VLOOKUP($D19,'Kalkulator mięs '!$C$5:$H$533,FW$4,0)*$AD19,0)</f>
        <v>0</v>
      </c>
      <c r="FX19">
        <f>IFERROR(VLOOKUP($D19,'Kalkulator mięs '!$C$5:$H$533,FX$4,0)*$AD19,0)</f>
        <v>0</v>
      </c>
      <c r="FY19">
        <f>IFERROR(VLOOKUP($D19,'Kalkulator mięs '!$C$5:$H$533,FY$4,0)*$AE19,0)</f>
        <v>0</v>
      </c>
      <c r="FZ19">
        <f>IFERROR(VLOOKUP($D19,'Kalkulator mięs '!$C$5:$H$533,FZ$4,0)*$AE19,0)</f>
        <v>0</v>
      </c>
      <c r="GA19">
        <f>IFERROR(VLOOKUP($D19,'Kalkulator mięs '!$C$5:$H$533,GA$4,0)*$AE19,0)</f>
        <v>0</v>
      </c>
      <c r="GB19">
        <f>IFERROR(VLOOKUP($D19,'Kalkulator mięs '!$C$5:$H$533,GB$4,0)*$AF19,0)</f>
        <v>0</v>
      </c>
      <c r="GC19">
        <f>IFERROR(VLOOKUP($D19,'Kalkulator mięs '!$C$5:$H$533,GC$4,0)*$AF19,0)</f>
        <v>0</v>
      </c>
      <c r="GD19">
        <f>IFERROR(VLOOKUP($D19,'Kalkulator mięs '!$C$5:$H$533,GD$4,0)*$AF19,0)</f>
        <v>0</v>
      </c>
      <c r="GE19">
        <f>IFERROR(VLOOKUP($D19,'Kalkulator mięs '!$C$5:$H$533,GE$4,0)*$AG19,0)</f>
        <v>0</v>
      </c>
      <c r="GF19">
        <f>IFERROR(VLOOKUP($D19,'Kalkulator mięs '!$C$5:$H$533,GF$4,0)*$AG19,0)</f>
        <v>1853.1000000000001</v>
      </c>
      <c r="GG19">
        <f>IFERROR(VLOOKUP($D19,'Kalkulator mięs '!$C$5:$H$533,GG$4,0)*$AG19,0)</f>
        <v>1853.1000000000001</v>
      </c>
      <c r="GH19">
        <f>IFERROR(VLOOKUP($D19,'Kalkulator mięs '!$C$5:$H$533,GH$4,0)*$AH19,0)</f>
        <v>0</v>
      </c>
      <c r="GI19">
        <f>IFERROR(VLOOKUP($D19,'Kalkulator mięs '!$C$5:$H$533,GI$4,0)*$AH19,0)</f>
        <v>0</v>
      </c>
      <c r="GJ19">
        <f>IFERROR(VLOOKUP($D19,'Kalkulator mięs '!$C$5:$H$533,GJ$4,0)*$AH19,0)</f>
        <v>0</v>
      </c>
      <c r="GK19">
        <f>IFERROR(VLOOKUP($D19,'Kalkulator mięs '!$C$5:$H$533,GK$4,0)*$AI19,0)</f>
        <v>0</v>
      </c>
      <c r="GL19">
        <f>IFERROR(VLOOKUP($D19,'Kalkulator mięs '!$C$5:$H$533,GL$4,0)*$AI19,0)</f>
        <v>0</v>
      </c>
      <c r="GM19">
        <f>IFERROR(VLOOKUP($D19,'Kalkulator mięs '!$C$5:$H$533,GM$4,0)*$AI19,0)</f>
        <v>0</v>
      </c>
      <c r="GN19">
        <f>IFERROR(VLOOKUP($D19,'Kalkulator mięs '!$C$5:$H$533,GN$4,0)*$AJ19,0)</f>
        <v>0</v>
      </c>
      <c r="GO19">
        <f>IFERROR(VLOOKUP($D19,'Kalkulator mięs '!$C$5:$H$533,GO$4,0)*$AJ19,0)</f>
        <v>0</v>
      </c>
      <c r="GP19">
        <f>IFERROR(VLOOKUP($D19,'Kalkulator mięs '!$C$5:$H$533,GP$4,0)*$AJ19,0)</f>
        <v>0</v>
      </c>
      <c r="GQ19">
        <f>IFERROR(VLOOKUP($D19,'Kalkulator mięs '!$C$5:$H$533,GQ$4,0)*$AK19,0)</f>
        <v>0</v>
      </c>
      <c r="GR19">
        <f>IFERROR(VLOOKUP($D19,'Kalkulator mięs '!$C$5:$H$533,GR$4,0)*$AK19,0)</f>
        <v>0</v>
      </c>
      <c r="GS19">
        <f>IFERROR(VLOOKUP($D19,'Kalkulator mięs '!$C$5:$H$533,GS$4,0)*$AK19,0)</f>
        <v>0</v>
      </c>
      <c r="GT19">
        <f>IFERROR(VLOOKUP($D19,'Kalkulator mięs '!$C$5:$H$533,GT$4,0)*$AL19,0)</f>
        <v>0</v>
      </c>
      <c r="GU19">
        <f>IFERROR(VLOOKUP($D19,'Kalkulator mięs '!$C$5:$H$533,GU$4,0)*$AL19,0)</f>
        <v>0</v>
      </c>
      <c r="GV19">
        <f>IFERROR(VLOOKUP($D19,'Kalkulator mięs '!$C$5:$H$533,GV$4,0)*$AL19,0)</f>
        <v>0</v>
      </c>
      <c r="GW19">
        <f>IFERROR(VLOOKUP($D19,'Kalkulator mięs '!$C$5:$H$533,GW$4,0)*$AM19,0)</f>
        <v>0</v>
      </c>
      <c r="GX19">
        <f>IFERROR(VLOOKUP($D19,'Kalkulator mięs '!$C$5:$H$533,GX$4,0)*$AM19,0)</f>
        <v>0</v>
      </c>
      <c r="GY19">
        <f>IFERROR(VLOOKUP($D19,'Kalkulator mięs '!$C$5:$H$533,GY$4,0)*$AM19,0)</f>
        <v>0</v>
      </c>
      <c r="GZ19">
        <f>IFERROR(VLOOKUP($D19,'Kalkulator mięs '!$C$5:$H$533,GZ$4,0)*$AN19,0)</f>
        <v>0</v>
      </c>
      <c r="HA19">
        <f>IFERROR(VLOOKUP($D19,'Kalkulator mięs '!$C$5:$H$533,HA$4,0)*$AN19,0)</f>
        <v>0</v>
      </c>
      <c r="HB19">
        <f>IFERROR(VLOOKUP($D19,'Kalkulator mięs '!$C$5:$H$533,HB$4,0)*$AN19,0)</f>
        <v>0</v>
      </c>
      <c r="HC19">
        <f>IFERROR(VLOOKUP($D19,'Kalkulator mięs '!$C$5:$H$533,HC$4,0)*$AO19,0)</f>
        <v>0</v>
      </c>
      <c r="HD19">
        <f>IFERROR(VLOOKUP($D19,'Kalkulator mięs '!$C$5:$H$533,HD$4,0)*$AO19,0)</f>
        <v>0</v>
      </c>
      <c r="HE19">
        <f>IFERROR(VLOOKUP($D19,'Kalkulator mięs '!$C$5:$H$533,HE$4,0)*$AO19,0)</f>
        <v>0</v>
      </c>
      <c r="HF19">
        <f>IFERROR(VLOOKUP($D19,'Kalkulator mięs '!$C$5:$H$533,HF$4,0)*$AP19,0)</f>
        <v>0</v>
      </c>
      <c r="HG19">
        <f>IFERROR(VLOOKUP($D19,'Kalkulator mięs '!$C$5:$H$533,HG$4,0)*$AP19,0)</f>
        <v>0</v>
      </c>
      <c r="HH19">
        <f>IFERROR(VLOOKUP($D19,'Kalkulator mięs '!$C$5:$H$533,HH$4,0)*$AP19,0)</f>
        <v>0</v>
      </c>
      <c r="HI19">
        <f>IFERROR(VLOOKUP($D19,'Kalkulator mięs '!$C$5:$H$533,HI$4,0)*$AQ19,0)</f>
        <v>0</v>
      </c>
      <c r="HJ19">
        <f>IFERROR(VLOOKUP($D19,'Kalkulator mięs '!$C$5:$H$533,HJ$4,0)*$AQ19,0)</f>
        <v>0</v>
      </c>
      <c r="HK19">
        <f>IFERROR(VLOOKUP($D19,'Kalkulator mięs '!$C$5:$H$533,HK$4,0)*$AQ19,0)</f>
        <v>0</v>
      </c>
      <c r="HL19">
        <f>IFERROR(VLOOKUP($D19,'Kalkulator mięs '!$C$5:$H$533,HL$4,0)*$AR19,0)</f>
        <v>0</v>
      </c>
      <c r="HM19">
        <f>IFERROR(VLOOKUP($D19,'Kalkulator mięs '!$C$5:$H$533,HM$4,0)*$AR19,0)</f>
        <v>0</v>
      </c>
      <c r="HN19">
        <f>IFERROR(VLOOKUP($D19,'Kalkulator mięs '!$C$5:$H$533,HN$4,0)*$AR19,0)</f>
        <v>0</v>
      </c>
      <c r="HO19">
        <f>IFERROR(VLOOKUP($D19,'Kalkulator mięs '!$C$5:$H$533,HO$4,0)*$AS19,0)</f>
        <v>0</v>
      </c>
      <c r="HP19">
        <f>IFERROR(VLOOKUP($D19,'Kalkulator mięs '!$C$5:$H$533,HP$4,0)*$AS19,0)</f>
        <v>0</v>
      </c>
      <c r="HQ19">
        <f>IFERROR(VLOOKUP($D19,'Kalkulator mięs '!$C$5:$H$533,HQ$4,0)*$AS19,0)</f>
        <v>0</v>
      </c>
      <c r="HR19">
        <f>IFERROR(VLOOKUP($D19,'Kalkulator mięs '!$C$5:$H$533,HR$4,0)*$AT19,0)</f>
        <v>0</v>
      </c>
      <c r="HS19">
        <f>IFERROR(VLOOKUP($D19,'Kalkulator mięs '!$C$5:$H$533,HS$4,0)*$AT19,0)</f>
        <v>0</v>
      </c>
      <c r="HT19">
        <f>IFERROR(VLOOKUP($D19,'Kalkulator mięs '!$C$5:$H$533,HT$4,0)*$AT19,0)</f>
        <v>0</v>
      </c>
      <c r="HU19">
        <f>IFERROR(VLOOKUP($D19,'Kalkulator mięs '!$C$5:$H$533,HU$4,0)*$AU19,0)</f>
        <v>0</v>
      </c>
      <c r="HV19">
        <f>IFERROR(VLOOKUP($D19,'Kalkulator mięs '!$C$5:$H$533,HV$4,0)*$AU19,0)</f>
        <v>0</v>
      </c>
      <c r="HW19">
        <f>IFERROR(VLOOKUP($D19,'Kalkulator mięs '!$C$5:$H$533,HW$4,0)*$AU19,0)</f>
        <v>0</v>
      </c>
      <c r="HX19">
        <f>IFERROR(VLOOKUP($D19,'Kalkulator mięs '!$C$5:$H$533,HX$4,0)*$AV19,0)</f>
        <v>0</v>
      </c>
      <c r="HY19">
        <f>IFERROR(VLOOKUP($D19,'Kalkulator mięs '!$C$5:$H$533,HY$4,0)*$AV19,0)</f>
        <v>1948.5</v>
      </c>
      <c r="HZ19">
        <f>IFERROR(VLOOKUP($D19,'Kalkulator mięs '!$C$5:$H$533,HZ$4,0)*$AV19,0)</f>
        <v>1948.5</v>
      </c>
      <c r="IA19">
        <f>IFERROR(VLOOKUP($D19,'Kalkulator mięs '!$C$5:$H$533,IA$4,0)*$AW19,0)</f>
        <v>0</v>
      </c>
      <c r="IB19">
        <f>IFERROR(VLOOKUP($D19,'Kalkulator mięs '!$C$5:$H$533,IB$4,0)*$AW19,0)</f>
        <v>958.5</v>
      </c>
      <c r="IC19">
        <f>IFERROR(VLOOKUP($D19,'Kalkulator mięs '!$C$5:$H$533,IC$4,0)*$AW19,0)</f>
        <v>958.5</v>
      </c>
      <c r="ID19">
        <f>IFERROR(VLOOKUP($D19,'Kalkulator mięs '!$C$5:$H$533,ID$4,0)*$AX19,0)</f>
        <v>0</v>
      </c>
      <c r="IE19">
        <f>IFERROR(VLOOKUP($D19,'Kalkulator mięs '!$C$5:$H$533,IE$4,0)*$AX19,0)</f>
        <v>0</v>
      </c>
      <c r="IF19">
        <f>IFERROR(VLOOKUP($D19,'Kalkulator mięs '!$C$5:$H$533,IF$4,0)*$AX19,0)</f>
        <v>0</v>
      </c>
      <c r="IG19">
        <f>IFERROR(VLOOKUP($D19,'Kalkulator mięs '!$C$5:$H$533,IG$4,0)*$AY19,0)</f>
        <v>0</v>
      </c>
      <c r="IH19">
        <f>IFERROR(VLOOKUP($D19,'Kalkulator mięs '!$C$5:$H$533,IH$4,0)*$AY19,0)</f>
        <v>0</v>
      </c>
      <c r="II19">
        <f>IFERROR(VLOOKUP($D19,'Kalkulator mięs '!$C$5:$H$533,II$4,0)*$AY19,0)</f>
        <v>0</v>
      </c>
      <c r="IJ19">
        <f>IFERROR(VLOOKUP($D19,'Kalkulator mięs '!$C$5:$H$533,IJ$4,0)*$AZ19,0)</f>
        <v>0</v>
      </c>
      <c r="IK19">
        <f>IFERROR(VLOOKUP($D19,'Kalkulator mięs '!$C$5:$H$533,IK$4,0)*$AZ19,0)</f>
        <v>639</v>
      </c>
      <c r="IL19">
        <f>IFERROR(VLOOKUP($D19,'Kalkulator mięs '!$C$5:$H$533,IL$4,0)*$AZ19,0)</f>
        <v>639</v>
      </c>
      <c r="IM19">
        <f>IFERROR(VLOOKUP($D19,'Kalkulator mięs '!$C$5:$H$533,IM$4,0)*$BA19,0)</f>
        <v>0</v>
      </c>
      <c r="IN19">
        <f>IFERROR(VLOOKUP($D19,'Kalkulator mięs '!$C$5:$H$533,IN$4,0)*$BA19,0)</f>
        <v>990.44999999999993</v>
      </c>
      <c r="IO19">
        <f>IFERROR(VLOOKUP($D19,'Kalkulator mięs '!$C$5:$H$533,IO$4,0)*$BA19,0)</f>
        <v>990.44999999999993</v>
      </c>
    </row>
    <row r="20" spans="1:249" ht="15.75">
      <c r="B20" t="str">
        <f>VLOOKUP(D20,Receptury_z!$A:$B,2,0)</f>
        <v>ON</v>
      </c>
      <c r="C20" s="16">
        <v>5438</v>
      </c>
      <c r="D20" s="19">
        <v>6434</v>
      </c>
      <c r="E20" s="18" t="s">
        <v>31</v>
      </c>
      <c r="F20" s="14">
        <f>IF($B20="OFF",BE20,VLOOKUP($D20,Receptury_z!$D:$AI,F$4,0))</f>
        <v>0</v>
      </c>
      <c r="G20" s="14">
        <f>IF($B20="OFF",BF20,VLOOKUP($D20,Receptury_z!$D:$AI,G$4,0))</f>
        <v>0</v>
      </c>
      <c r="H20" s="14">
        <f>IF($B20="OFF",BG20,VLOOKUP($D20,Receptury_z!$D:$AI,H$4,0))</f>
        <v>0</v>
      </c>
      <c r="I20" s="14">
        <f>IF($B20="OFF",BH20,VLOOKUP($D20,Receptury_z!$D:$AI,I$4,0))</f>
        <v>0</v>
      </c>
      <c r="J20" s="14">
        <f>IF($B20="OFF",BI20,VLOOKUP($D20,Receptury_z!$D:$AI,J$4,0))</f>
        <v>0</v>
      </c>
      <c r="K20" s="14">
        <f>IF($B20="OFF",BJ20,VLOOKUP($D20,Receptury_z!$D:$AI,K$4,0))</f>
        <v>0</v>
      </c>
      <c r="L20" s="14">
        <f>IF($B20="OFF",BK20,VLOOKUP($D20,Receptury_z!$D:$AI,L$4,0))</f>
        <v>0</v>
      </c>
      <c r="M20" s="14">
        <f>IF($B20="OFF",BL20,VLOOKUP($D20,Receptury_z!$D:$AI,M$4,0))</f>
        <v>0</v>
      </c>
      <c r="N20" s="14">
        <f>IF($B20="OFF",BM20,VLOOKUP($D20,Receptury_z!$D:$AI,N$4,0))</f>
        <v>0</v>
      </c>
      <c r="O20" s="14">
        <f>IF($B20="OFF",BN20,VLOOKUP($D20,Receptury_z!$D:$AI,O$4,0))</f>
        <v>0</v>
      </c>
      <c r="P20" s="14">
        <f>IF($B20="OFF",BO20,VLOOKUP($D20,Receptury_z!$D:$AI,P$4,0))</f>
        <v>0</v>
      </c>
      <c r="Q20" s="14">
        <f>IF($B20="OFF",BP20,VLOOKUP($D20,Receptury_z!$D:$AI,Q$4,0))</f>
        <v>74.900000000000006</v>
      </c>
      <c r="R20" s="14">
        <f>IF($B20="OFF",BQ20,VLOOKUP($D20,Receptury_z!$D:$AI,R$4,0))</f>
        <v>0</v>
      </c>
      <c r="S20" s="14">
        <f>IF($B20="OFF",BR20,VLOOKUP($D20,Receptury_z!$D:$AI,S$4,0))</f>
        <v>0</v>
      </c>
      <c r="T20" s="14">
        <f>IF($B20="OFF",BS20,VLOOKUP($D20,Receptury_z!$D:$AI,T$4,0))</f>
        <v>0</v>
      </c>
      <c r="U20" s="14">
        <f>IF($B20="OFF",BT20,VLOOKUP($D20,Receptury_z!$D:$AI,U$4,0))</f>
        <v>0</v>
      </c>
      <c r="V20" s="14">
        <f>IF($B20="OFF",BU20,VLOOKUP($D20,Receptury_z!$D:$AI,V$4,0))</f>
        <v>0</v>
      </c>
      <c r="W20" s="14">
        <f>IF($B20="OFF",BV20,VLOOKUP($D20,Receptury_z!$D:$AI,W$4,0))</f>
        <v>0</v>
      </c>
      <c r="X20" s="14">
        <f>IF($B20="OFF",BW20,VLOOKUP($D20,Receptury_z!$D:$AI,X$4,0))</f>
        <v>0</v>
      </c>
      <c r="Y20" s="14">
        <f>IF($B20="OFF",BX20,VLOOKUP($D20,Receptury_z!$D:$AI,Y$4,0))</f>
        <v>100</v>
      </c>
      <c r="Z20" s="14">
        <f>IF($B20="OFF",BY20,VLOOKUP($D20,Receptury_z!$D:$AI,Z$4,0))</f>
        <v>0</v>
      </c>
      <c r="AA20" s="14">
        <f>IF($B20="OFF",BZ20,VLOOKUP($D20,Receptury_z!$D:$AI,AA$4,0))</f>
        <v>0</v>
      </c>
      <c r="AB20" s="14">
        <f>IF($B20="OFF",CA20,VLOOKUP($D20,Receptury_z!$D:$AI,AB$4,0))</f>
        <v>220.4</v>
      </c>
      <c r="AC20" s="14">
        <f>IF($B20="OFF",CB20,VLOOKUP($D20,Receptury_z!$D:$AI,AC$4,0))</f>
        <v>0</v>
      </c>
      <c r="AD20" s="14">
        <f>IF($B20="OFF",CC20,VLOOKUP($D20,Receptury_z!$D:$AI,AD$4,0))</f>
        <v>0</v>
      </c>
      <c r="AE20" s="14">
        <f>IF($B20="OFF",CD20,VLOOKUP($D20,Receptury_z!$D:$AI,AE$4,0))</f>
        <v>386.8</v>
      </c>
      <c r="AF20" s="14">
        <f>IF($B20="OFF",CE20,VLOOKUP($D20,Receptury_z!$D:$AI,AF$4,0))</f>
        <v>0</v>
      </c>
      <c r="AG20" s="14">
        <f>IF($B20="OFF",CF20,VLOOKUP($D20,Receptury_z!$D:$AI,AG$4,0))</f>
        <v>0</v>
      </c>
      <c r="AH20" s="14">
        <f>IF($B20="OFF",CG20,VLOOKUP($D20,Receptury_z!$D:$AI,AH$4,0))</f>
        <v>0</v>
      </c>
      <c r="AI20" s="14">
        <f>IF($B20="OFF",CH20,VLOOKUP($D20,Receptury_z!$D:$AI,AI$4,0))</f>
        <v>50</v>
      </c>
      <c r="AJ20" s="14">
        <f>IF($B20="OFF",CI20,VLOOKUP($D20,Receptury_z!$D:$AS,AJ$4,0))</f>
        <v>0</v>
      </c>
      <c r="AK20" s="14">
        <f>IF($B20="OFF",CJ20,VLOOKUP($D20,Receptury_z!$D:$AS,AK$4,0))</f>
        <v>0</v>
      </c>
      <c r="AL20" s="14">
        <f>IF($B20="OFF",CK20,VLOOKUP($D20,Receptury_z!$D:$AS,AL$4,0))</f>
        <v>0</v>
      </c>
      <c r="AM20" s="14">
        <f>IF($B20="OFF",CL20,VLOOKUP($D20,Receptury_z!$D:$AS,AM$4,0))</f>
        <v>0</v>
      </c>
      <c r="AN20" s="14">
        <f>IF($B20="OFF",CM20,VLOOKUP($D20,Receptury_z!$D:$AS,AN$4,0))</f>
        <v>0</v>
      </c>
      <c r="AO20" s="14">
        <f>IF($B20="OFF",CN20,VLOOKUP($D20,Receptury_z!$D:$AS,AO$4,0))</f>
        <v>0</v>
      </c>
      <c r="AP20" s="14">
        <f>IF($B20="OFF",CO20,VLOOKUP($D20,Receptury_z!$D:$AS,AP$4,0))</f>
        <v>0</v>
      </c>
      <c r="AQ20" s="14">
        <f>IF($B20="OFF",CP20,VLOOKUP($D20,Receptury_z!$D:$AS,AQ$4,0))</f>
        <v>0</v>
      </c>
      <c r="AR20" s="14">
        <f>IF($B20="OFF",CQ20,VLOOKUP($D20,Receptury_z!$D:$AS,AR$4,0))</f>
        <v>0</v>
      </c>
      <c r="AS20" s="14">
        <f>IF($B20="OFF",CR20,VLOOKUP($D20,Receptury_z!$D:$AS,AS$4,0))</f>
        <v>0</v>
      </c>
      <c r="AT20" s="14">
        <f>IF($B20="OFF",CS20,VLOOKUP($D20,Receptury_z!$D:$AV,AT$4,0))</f>
        <v>0</v>
      </c>
      <c r="AU20" s="14">
        <f>IF($B20="OFF",CT20,VLOOKUP($D20,Receptury_z!$D:$AV,AU$4,0))</f>
        <v>0</v>
      </c>
      <c r="AV20" s="14">
        <f>IF($B20="OFF",CU20,VLOOKUP($D20,Receptury_z!$D:$AV,AV$4,0))</f>
        <v>0</v>
      </c>
      <c r="AW20" s="14">
        <f>IF($B20="OFF",CV20,VLOOKUP($D20,Receptury_z!$D:$BA,AW$4,0))</f>
        <v>0</v>
      </c>
      <c r="AX20" s="14">
        <f>IF($B20="OFF",CW20,VLOOKUP($D20,Receptury_z!$D:$BA,AX$4,0))</f>
        <v>0</v>
      </c>
      <c r="AY20" s="14">
        <f>IF($B20="OFF",CX20,VLOOKUP($D20,Receptury_z!$D:$BA,AY$4,0))</f>
        <v>0</v>
      </c>
      <c r="AZ20" s="14">
        <f>IF($B20="OFF",DA20,VLOOKUP($D20,Receptury_z!$D:$BA,AZ$4,0))</f>
        <v>0</v>
      </c>
      <c r="BA20" s="14">
        <f>IF($B20="OFF",DB20,VLOOKUP($D20,Receptury_z!$D:$BA,BA$4,0))</f>
        <v>0</v>
      </c>
      <c r="BC20" s="19">
        <v>6434</v>
      </c>
      <c r="BD20" s="18" t="s">
        <v>31</v>
      </c>
      <c r="BE20" s="239">
        <v>0</v>
      </c>
      <c r="BF20" s="239">
        <v>0</v>
      </c>
      <c r="BG20" s="239">
        <v>0</v>
      </c>
      <c r="BH20" s="239">
        <v>0</v>
      </c>
      <c r="BI20" s="239">
        <v>0</v>
      </c>
      <c r="BJ20" s="239">
        <v>0</v>
      </c>
      <c r="BK20" s="239">
        <v>0</v>
      </c>
      <c r="BL20" s="239">
        <v>0</v>
      </c>
      <c r="BM20" s="239">
        <v>0</v>
      </c>
      <c r="BN20" s="239">
        <v>95.11</v>
      </c>
      <c r="BO20" s="239">
        <v>0</v>
      </c>
      <c r="BP20" s="239">
        <v>76.349999999999994</v>
      </c>
      <c r="BQ20" s="239">
        <v>0</v>
      </c>
      <c r="BR20" s="239">
        <v>0</v>
      </c>
      <c r="BS20" s="239">
        <v>0</v>
      </c>
      <c r="BT20" s="239">
        <v>0</v>
      </c>
      <c r="BU20" s="239">
        <v>0</v>
      </c>
      <c r="BV20" s="239">
        <v>0</v>
      </c>
      <c r="BW20" s="239">
        <v>0</v>
      </c>
      <c r="BX20" s="239">
        <v>0</v>
      </c>
      <c r="BY20" s="239">
        <v>0</v>
      </c>
      <c r="BZ20" s="239">
        <v>0</v>
      </c>
      <c r="CA20" s="239">
        <v>220.56</v>
      </c>
      <c r="CB20" s="239">
        <v>0</v>
      </c>
      <c r="CC20" s="239">
        <v>0</v>
      </c>
      <c r="CD20" s="240">
        <v>374.5</v>
      </c>
      <c r="CE20" s="239">
        <v>50</v>
      </c>
      <c r="CF20" s="239">
        <v>0</v>
      </c>
      <c r="CG20" s="239">
        <v>0</v>
      </c>
      <c r="CH20" s="239">
        <v>50</v>
      </c>
      <c r="CI20" s="239">
        <v>0</v>
      </c>
      <c r="CJ20" s="239">
        <v>100</v>
      </c>
      <c r="CK20" s="239">
        <v>0</v>
      </c>
      <c r="CL20" s="239">
        <v>0</v>
      </c>
      <c r="CM20" s="80"/>
      <c r="CN20" s="80"/>
      <c r="CO20" s="80"/>
      <c r="CP20" s="80"/>
      <c r="CQ20" s="80"/>
      <c r="CR20" s="80"/>
      <c r="CS20" s="80"/>
      <c r="CT20" s="80"/>
      <c r="CU20" s="80"/>
      <c r="CV20" s="80"/>
      <c r="CW20" s="80"/>
      <c r="CX20" s="80"/>
      <c r="CY20" s="80"/>
      <c r="CZ20" s="80"/>
      <c r="DB20">
        <f>IFERROR(VLOOKUP($D20,'Kalkulator mięs '!$C$5:$H$533,DB$4,0)*F20,0)</f>
        <v>0</v>
      </c>
      <c r="DC20">
        <f>IFERROR(VLOOKUP($D20,'Kalkulator mięs '!$C$5:$H$533,DC$4,0)*F20,0)</f>
        <v>0</v>
      </c>
      <c r="DD20">
        <f>IFERROR(VLOOKUP($D20,'Kalkulator mięs '!$C$5:$H$533,DD$4,0)*F20,0)</f>
        <v>0</v>
      </c>
      <c r="DE20">
        <f>IFERROR(VLOOKUP($D20,'Kalkulator mięs '!$C$5:$H$533,DE$4,0)*$G20,0)</f>
        <v>0</v>
      </c>
      <c r="DF20">
        <f>IFERROR(VLOOKUP($D20,'Kalkulator mięs '!$C$5:$H$533,DF$4,0)*$G20,0)</f>
        <v>0</v>
      </c>
      <c r="DG20">
        <f>IFERROR(VLOOKUP($D20,'Kalkulator mięs '!$C$5:$H$533,DG$4,0)*$G20,0)</f>
        <v>0</v>
      </c>
      <c r="DH20">
        <f>IFERROR(VLOOKUP($D20,'Kalkulator mięs '!$C$5:$H$533,DH$4,0)*$H20,0)</f>
        <v>0</v>
      </c>
      <c r="DI20">
        <f>IFERROR(VLOOKUP($D20,'Kalkulator mięs '!$C$5:$H$533,DI$4,0)*$H20,0)</f>
        <v>0</v>
      </c>
      <c r="DJ20">
        <f>IFERROR(VLOOKUP($D20,'Kalkulator mięs '!$C$5:$H$533,DJ$4,0)*$H20,0)</f>
        <v>0</v>
      </c>
      <c r="DK20">
        <f>IFERROR(VLOOKUP($D20,'Kalkulator mięs '!$C$5:$H$533,DK$4,0)*$I20,0)</f>
        <v>0</v>
      </c>
      <c r="DL20">
        <f>IFERROR(VLOOKUP($D20,'Kalkulator mięs '!$C$5:$H$533,DL$4,0)*$I20,0)</f>
        <v>0</v>
      </c>
      <c r="DM20">
        <f>IFERROR(VLOOKUP($D20,'Kalkulator mięs '!$C$5:$H$533,DM$4,0)*$I20,0)</f>
        <v>0</v>
      </c>
      <c r="DN20">
        <f>IFERROR(VLOOKUP($D20,'Kalkulator mięs '!$C$5:$H$533,DN$4,0)*$J20,0)</f>
        <v>0</v>
      </c>
      <c r="DO20">
        <f>IFERROR(VLOOKUP($D20,'Kalkulator mięs '!$C$5:$H$533,DO$4,0)*$J20,0)</f>
        <v>0</v>
      </c>
      <c r="DP20">
        <f>IFERROR(VLOOKUP($D20,'Kalkulator mięs '!$C$5:$H$533,DP$4,0)*$J20,0)</f>
        <v>0</v>
      </c>
      <c r="DQ20">
        <f>IFERROR(VLOOKUP($D20,'Kalkulator mięs '!$C$5:$H$533,DQ$4,0)*$K20,0)</f>
        <v>0</v>
      </c>
      <c r="DR20">
        <f>IFERROR(VLOOKUP($D20,'Kalkulator mięs '!$C$5:$H$533,DR$4,0)*$K20,0)</f>
        <v>0</v>
      </c>
      <c r="DS20">
        <f>IFERROR(VLOOKUP($D20,'Kalkulator mięs '!$C$5:$H$533,DS$4,0)*$K20,0)</f>
        <v>0</v>
      </c>
      <c r="DT20">
        <f>IFERROR(VLOOKUP($D20,'Kalkulator mięs '!$C$5:$H$533,DT$4,0)*$L20,0)</f>
        <v>0</v>
      </c>
      <c r="DU20">
        <f>IFERROR(VLOOKUP($D20,'Kalkulator mięs '!$C$5:$H$533,DU$4,0)*$L20,0)</f>
        <v>0</v>
      </c>
      <c r="DV20">
        <f>IFERROR(VLOOKUP($D20,'Kalkulator mięs '!$C$5:$H$533,DV$4,0)*$L20,0)</f>
        <v>0</v>
      </c>
      <c r="DW20">
        <f>IFERROR(VLOOKUP($D20,'Kalkulator mięs '!$C$5:$H$533,DW$4,0)*$M20,0)</f>
        <v>0</v>
      </c>
      <c r="DX20">
        <f>IFERROR(VLOOKUP($D20,'Kalkulator mięs '!$C$5:$H$533,DX$4,0)*$M20,0)</f>
        <v>0</v>
      </c>
      <c r="DY20">
        <f>IFERROR(VLOOKUP($D20,'Kalkulator mięs '!$C$5:$H$533,DY$4,0)*$M20,0)</f>
        <v>0</v>
      </c>
      <c r="DZ20">
        <f>IFERROR(VLOOKUP($D20,'Kalkulator mięs '!$C$5:$H$533,DZ$4,0)*$N20,0)</f>
        <v>0</v>
      </c>
      <c r="EA20">
        <f>IFERROR(VLOOKUP($D20,'Kalkulator mięs '!$C$5:$H$533,EA$4,0)*$N20,0)</f>
        <v>0</v>
      </c>
      <c r="EB20">
        <f>IFERROR(VLOOKUP($D20,'Kalkulator mięs '!$C$5:$H$533,EB$4,0)*$N20,0)</f>
        <v>0</v>
      </c>
      <c r="EC20">
        <f>IFERROR(VLOOKUP($D20,'Kalkulator mięs '!$C$5:$H$533,EC$4,0)*$O20,0)</f>
        <v>0</v>
      </c>
      <c r="ED20">
        <f>IFERROR(VLOOKUP($D20,'Kalkulator mięs '!$C$5:$H$533,ED$4,0)*$O20,0)</f>
        <v>0</v>
      </c>
      <c r="EE20">
        <f>IFERROR(VLOOKUP($D20,'Kalkulator mięs '!$C$5:$H$533,EE$4,0)*$O20,0)</f>
        <v>0</v>
      </c>
      <c r="EF20">
        <f>IFERROR(VLOOKUP($D20,'Kalkulator mięs '!$C$5:$H$533,EF$4,0)*$P20,0)</f>
        <v>0</v>
      </c>
      <c r="EG20">
        <f>IFERROR(VLOOKUP($D20,'Kalkulator mięs '!$C$5:$H$533,EG$4,0)*$P20,0)</f>
        <v>0</v>
      </c>
      <c r="EH20">
        <f>IFERROR(VLOOKUP($D20,'Kalkulator mięs '!$C$5:$H$533,EH$4,0)*$P20,0)</f>
        <v>0</v>
      </c>
      <c r="EI20">
        <f>IFERROR(VLOOKUP($D20,'Kalkulator mięs '!$C$5:$H$533,EI$4,0)*$Q20,0)</f>
        <v>0</v>
      </c>
      <c r="EJ20">
        <f>IFERROR(VLOOKUP($D20,'Kalkulator mięs '!$C$5:$H$533,EJ$4,0)*$Q20,0)</f>
        <v>449.40000000000003</v>
      </c>
      <c r="EK20">
        <f>IFERROR(VLOOKUP($D20,'Kalkulator mięs '!$C$5:$H$533,EK$4,0)*$Q20,0)</f>
        <v>0</v>
      </c>
      <c r="EL20">
        <f>IFERROR(VLOOKUP($D20,'Kalkulator mięs '!$C$5:$H$533,EL$4,0)*$R20,0)</f>
        <v>0</v>
      </c>
      <c r="EM20">
        <f>IFERROR(VLOOKUP($D20,'Kalkulator mięs '!$C$5:$H$533,EM$4,0)*$R20,0)</f>
        <v>0</v>
      </c>
      <c r="EN20">
        <f>IFERROR(VLOOKUP($D20,'Kalkulator mięs '!$C$5:$H$533,EN$4,0)*$R20,0)</f>
        <v>0</v>
      </c>
      <c r="EO20">
        <f>IFERROR(VLOOKUP($D20,'Kalkulator mięs '!$C$5:$H$533,EO$4,0)*$S20,0)</f>
        <v>0</v>
      </c>
      <c r="EP20">
        <f>IFERROR(VLOOKUP($D20,'Kalkulator mięs '!$C$5:$H$533,EP$4,0)*$S20,0)</f>
        <v>0</v>
      </c>
      <c r="EQ20">
        <f>IFERROR(VLOOKUP($D20,'Kalkulator mięs '!$C$5:$H$533,EQ$4,0)*$S20,0)</f>
        <v>0</v>
      </c>
      <c r="ER20">
        <f>IFERROR(VLOOKUP($D20,'Kalkulator mięs '!$C$5:$H$533,ER$4,0)*$T20,0)</f>
        <v>0</v>
      </c>
      <c r="ES20">
        <f>IFERROR(VLOOKUP($D20,'Kalkulator mięs '!$C$5:$H$533,ES$4,0)*$T20,0)</f>
        <v>0</v>
      </c>
      <c r="ET20">
        <f>IFERROR(VLOOKUP($D20,'Kalkulator mięs '!$C$5:$H$533,ET$4,0)*$T20,0)</f>
        <v>0</v>
      </c>
      <c r="EU20">
        <f>IFERROR(VLOOKUP($D20,'Kalkulator mięs '!$C$5:$H$533,EU$4,0)*$U20,0)</f>
        <v>0</v>
      </c>
      <c r="EV20">
        <f>IFERROR(VLOOKUP($D20,'Kalkulator mięs '!$C$5:$H$533,EV$4,0)*$U20,0)</f>
        <v>0</v>
      </c>
      <c r="EW20">
        <f>IFERROR(VLOOKUP($D20,'Kalkulator mięs '!$C$5:$H$533,EW$4,0)*$U20,0)</f>
        <v>0</v>
      </c>
      <c r="EX20">
        <f>IFERROR(VLOOKUP($D20,'Kalkulator mięs '!$C$5:$H$533,EX$4,0)*$V20,0)</f>
        <v>0</v>
      </c>
      <c r="EY20">
        <f>IFERROR(VLOOKUP($D20,'Kalkulator mięs '!$C$5:$H$533,EY$4,0)*$V20,0)</f>
        <v>0</v>
      </c>
      <c r="EZ20">
        <f>IFERROR(VLOOKUP($D20,'Kalkulator mięs '!$C$5:$H$533,EZ$4,0)*$V20,0)</f>
        <v>0</v>
      </c>
      <c r="FA20">
        <f>IFERROR(VLOOKUP($D20,'Kalkulator mięs '!$C$5:$H$533,FA$4,0)*$W20,0)</f>
        <v>0</v>
      </c>
      <c r="FB20">
        <f>IFERROR(VLOOKUP($D20,'Kalkulator mięs '!$C$5:$H$533,FB$4,0)*$W20,0)</f>
        <v>0</v>
      </c>
      <c r="FC20">
        <f>IFERROR(VLOOKUP($D20,'Kalkulator mięs '!$C$5:$H$533,FC$4,0)*$W20,0)</f>
        <v>0</v>
      </c>
      <c r="FD20">
        <f>IFERROR(VLOOKUP($D20,'Kalkulator mięs '!$C$5:$H$533,FD$4,0)*$X20,0)</f>
        <v>0</v>
      </c>
      <c r="FE20">
        <f>IFERROR(VLOOKUP($D20,'Kalkulator mięs '!$C$5:$H$533,FE$4,0)*$X20,0)</f>
        <v>0</v>
      </c>
      <c r="FF20">
        <f>IFERROR(VLOOKUP($D20,'Kalkulator mięs '!$C$5:$H$533,FF$4,0)*$X20,0)</f>
        <v>0</v>
      </c>
      <c r="FG20">
        <f>IFERROR(VLOOKUP($D20,'Kalkulator mięs '!$C$5:$H$533,FG$4,0)*$Y20,0)</f>
        <v>0</v>
      </c>
      <c r="FH20">
        <f>IFERROR(VLOOKUP($D20,'Kalkulator mięs '!$C$5:$H$533,FH$4,0)*$Y20,0)</f>
        <v>600</v>
      </c>
      <c r="FI20">
        <f>IFERROR(VLOOKUP($D20,'Kalkulator mięs '!$C$5:$H$533,FI$4,0)*$Y20,0)</f>
        <v>0</v>
      </c>
      <c r="FJ20">
        <f>IFERROR(VLOOKUP($D20,'Kalkulator mięs '!$C$5:$H$533,FJ$4,0)*$Z20,0)</f>
        <v>0</v>
      </c>
      <c r="FK20">
        <f>IFERROR(VLOOKUP($D20,'Kalkulator mięs '!$C$5:$H$533,FK$4,0)*$Z20,0)</f>
        <v>0</v>
      </c>
      <c r="FL20">
        <f>IFERROR(VLOOKUP($D20,'Kalkulator mięs '!$C$5:$H$533,FL$4,0)*$Z20,0)</f>
        <v>0</v>
      </c>
      <c r="FM20">
        <f>IFERROR(VLOOKUP($D20,'Kalkulator mięs '!$C$5:$H$533,FM$4,0)*$AA20,0)</f>
        <v>0</v>
      </c>
      <c r="FN20">
        <f>IFERROR(VLOOKUP($D20,'Kalkulator mięs '!$C$5:$H$533,FN$4,0)*$AA20,0)</f>
        <v>0</v>
      </c>
      <c r="FO20">
        <f>IFERROR(VLOOKUP($D20,'Kalkulator mięs '!$C$5:$H$533,FO$4,0)*$AA20,0)</f>
        <v>0</v>
      </c>
      <c r="FP20">
        <f>IFERROR(VLOOKUP($D20,'Kalkulator mięs '!$C$5:$H$533,FP$4,0)*$AB20,0)</f>
        <v>0</v>
      </c>
      <c r="FQ20">
        <f>IFERROR(VLOOKUP($D20,'Kalkulator mięs '!$C$5:$H$533,FQ$4,0)*$AB20,0)</f>
        <v>1322.4</v>
      </c>
      <c r="FR20">
        <f>IFERROR(VLOOKUP($D20,'Kalkulator mięs '!$C$5:$H$533,FR$4,0)*$AB20,0)</f>
        <v>0</v>
      </c>
      <c r="FS20">
        <f>IFERROR(VLOOKUP($D20,'Kalkulator mięs '!$C$5:$H$533,FS$4,0)*$AC20,0)</f>
        <v>0</v>
      </c>
      <c r="FT20">
        <f>IFERROR(VLOOKUP($D20,'Kalkulator mięs '!$C$5:$H$533,FT$4,0)*$AC20,0)</f>
        <v>0</v>
      </c>
      <c r="FU20">
        <f>IFERROR(VLOOKUP($D20,'Kalkulator mięs '!$C$5:$H$533,FU$4,0)*$AC20,0)</f>
        <v>0</v>
      </c>
      <c r="FV20">
        <f>IFERROR(VLOOKUP($D20,'Kalkulator mięs '!$C$5:$H$533,FV$4,0)*$AD20,0)</f>
        <v>0</v>
      </c>
      <c r="FW20">
        <f>IFERROR(VLOOKUP($D20,'Kalkulator mięs '!$C$5:$H$533,FW$4,0)*$AD20,0)</f>
        <v>0</v>
      </c>
      <c r="FX20">
        <f>IFERROR(VLOOKUP($D20,'Kalkulator mięs '!$C$5:$H$533,FX$4,0)*$AD20,0)</f>
        <v>0</v>
      </c>
      <c r="FY20">
        <f>IFERROR(VLOOKUP($D20,'Kalkulator mięs '!$C$5:$H$533,FY$4,0)*$AE20,0)</f>
        <v>0</v>
      </c>
      <c r="FZ20">
        <f>IFERROR(VLOOKUP($D20,'Kalkulator mięs '!$C$5:$H$533,FZ$4,0)*$AE20,0)</f>
        <v>2320.8000000000002</v>
      </c>
      <c r="GA20">
        <f>IFERROR(VLOOKUP($D20,'Kalkulator mięs '!$C$5:$H$533,GA$4,0)*$AE20,0)</f>
        <v>0</v>
      </c>
      <c r="GB20">
        <f>IFERROR(VLOOKUP($D20,'Kalkulator mięs '!$C$5:$H$533,GB$4,0)*$AF20,0)</f>
        <v>0</v>
      </c>
      <c r="GC20">
        <f>IFERROR(VLOOKUP($D20,'Kalkulator mięs '!$C$5:$H$533,GC$4,0)*$AF20,0)</f>
        <v>0</v>
      </c>
      <c r="GD20">
        <f>IFERROR(VLOOKUP($D20,'Kalkulator mięs '!$C$5:$H$533,GD$4,0)*$AF20,0)</f>
        <v>0</v>
      </c>
      <c r="GE20">
        <f>IFERROR(VLOOKUP($D20,'Kalkulator mięs '!$C$5:$H$533,GE$4,0)*$AG20,0)</f>
        <v>0</v>
      </c>
      <c r="GF20">
        <f>IFERROR(VLOOKUP($D20,'Kalkulator mięs '!$C$5:$H$533,GF$4,0)*$AG20,0)</f>
        <v>0</v>
      </c>
      <c r="GG20">
        <f>IFERROR(VLOOKUP($D20,'Kalkulator mięs '!$C$5:$H$533,GG$4,0)*$AG20,0)</f>
        <v>0</v>
      </c>
      <c r="GH20">
        <f>IFERROR(VLOOKUP($D20,'Kalkulator mięs '!$C$5:$H$533,GH$4,0)*$AH20,0)</f>
        <v>0</v>
      </c>
      <c r="GI20">
        <f>IFERROR(VLOOKUP($D20,'Kalkulator mięs '!$C$5:$H$533,GI$4,0)*$AH20,0)</f>
        <v>0</v>
      </c>
      <c r="GJ20">
        <f>IFERROR(VLOOKUP($D20,'Kalkulator mięs '!$C$5:$H$533,GJ$4,0)*$AH20,0)</f>
        <v>0</v>
      </c>
      <c r="GK20">
        <f>IFERROR(VLOOKUP($D20,'Kalkulator mięs '!$C$5:$H$533,GK$4,0)*$AI20,0)</f>
        <v>0</v>
      </c>
      <c r="GL20">
        <f>IFERROR(VLOOKUP($D20,'Kalkulator mięs '!$C$5:$H$533,GL$4,0)*$AI20,0)</f>
        <v>300</v>
      </c>
      <c r="GM20">
        <f>IFERROR(VLOOKUP($D20,'Kalkulator mięs '!$C$5:$H$533,GM$4,0)*$AI20,0)</f>
        <v>0</v>
      </c>
      <c r="GN20">
        <f>IFERROR(VLOOKUP($D20,'Kalkulator mięs '!$C$5:$H$533,GN$4,0)*$AJ20,0)</f>
        <v>0</v>
      </c>
      <c r="GO20">
        <f>IFERROR(VLOOKUP($D20,'Kalkulator mięs '!$C$5:$H$533,GO$4,0)*$AJ20,0)</f>
        <v>0</v>
      </c>
      <c r="GP20">
        <f>IFERROR(VLOOKUP($D20,'Kalkulator mięs '!$C$5:$H$533,GP$4,0)*$AJ20,0)</f>
        <v>0</v>
      </c>
      <c r="GQ20">
        <f>IFERROR(VLOOKUP($D20,'Kalkulator mięs '!$C$5:$H$533,GQ$4,0)*$AK20,0)</f>
        <v>0</v>
      </c>
      <c r="GR20">
        <f>IFERROR(VLOOKUP($D20,'Kalkulator mięs '!$C$5:$H$533,GR$4,0)*$AK20,0)</f>
        <v>0</v>
      </c>
      <c r="GS20">
        <f>IFERROR(VLOOKUP($D20,'Kalkulator mięs '!$C$5:$H$533,GS$4,0)*$AK20,0)</f>
        <v>0</v>
      </c>
      <c r="GT20">
        <f>IFERROR(VLOOKUP($D20,'Kalkulator mięs '!$C$5:$H$533,GT$4,0)*$AL20,0)</f>
        <v>0</v>
      </c>
      <c r="GU20">
        <f>IFERROR(VLOOKUP($D20,'Kalkulator mięs '!$C$5:$H$533,GU$4,0)*$AL20,0)</f>
        <v>0</v>
      </c>
      <c r="GV20">
        <f>IFERROR(VLOOKUP($D20,'Kalkulator mięs '!$C$5:$H$533,GV$4,0)*$AL20,0)</f>
        <v>0</v>
      </c>
      <c r="GW20">
        <f>IFERROR(VLOOKUP($D20,'Kalkulator mięs '!$C$5:$H$533,GW$4,0)*$AM20,0)</f>
        <v>0</v>
      </c>
      <c r="GX20">
        <f>IFERROR(VLOOKUP($D20,'Kalkulator mięs '!$C$5:$H$533,GX$4,0)*$AM20,0)</f>
        <v>0</v>
      </c>
      <c r="GY20">
        <f>IFERROR(VLOOKUP($D20,'Kalkulator mięs '!$C$5:$H$533,GY$4,0)*$AM20,0)</f>
        <v>0</v>
      </c>
      <c r="GZ20">
        <f>IFERROR(VLOOKUP($D20,'Kalkulator mięs '!$C$5:$H$533,GZ$4,0)*$AN20,0)</f>
        <v>0</v>
      </c>
      <c r="HA20">
        <f>IFERROR(VLOOKUP($D20,'Kalkulator mięs '!$C$5:$H$533,HA$4,0)*$AN20,0)</f>
        <v>0</v>
      </c>
      <c r="HB20">
        <f>IFERROR(VLOOKUP($D20,'Kalkulator mięs '!$C$5:$H$533,HB$4,0)*$AN20,0)</f>
        <v>0</v>
      </c>
      <c r="HC20">
        <f>IFERROR(VLOOKUP($D20,'Kalkulator mięs '!$C$5:$H$533,HC$4,0)*$AO20,0)</f>
        <v>0</v>
      </c>
      <c r="HD20">
        <f>IFERROR(VLOOKUP($D20,'Kalkulator mięs '!$C$5:$H$533,HD$4,0)*$AO20,0)</f>
        <v>0</v>
      </c>
      <c r="HE20">
        <f>IFERROR(VLOOKUP($D20,'Kalkulator mięs '!$C$5:$H$533,HE$4,0)*$AO20,0)</f>
        <v>0</v>
      </c>
      <c r="HF20">
        <f>IFERROR(VLOOKUP($D20,'Kalkulator mięs '!$C$5:$H$533,HF$4,0)*$AP20,0)</f>
        <v>0</v>
      </c>
      <c r="HG20">
        <f>IFERROR(VLOOKUP($D20,'Kalkulator mięs '!$C$5:$H$533,HG$4,0)*$AP20,0)</f>
        <v>0</v>
      </c>
      <c r="HH20">
        <f>IFERROR(VLOOKUP($D20,'Kalkulator mięs '!$C$5:$H$533,HH$4,0)*$AP20,0)</f>
        <v>0</v>
      </c>
      <c r="HI20">
        <f>IFERROR(VLOOKUP($D20,'Kalkulator mięs '!$C$5:$H$533,HI$4,0)*$AQ20,0)</f>
        <v>0</v>
      </c>
      <c r="HJ20">
        <f>IFERROR(VLOOKUP($D20,'Kalkulator mięs '!$C$5:$H$533,HJ$4,0)*$AQ20,0)</f>
        <v>0</v>
      </c>
      <c r="HK20">
        <f>IFERROR(VLOOKUP($D20,'Kalkulator mięs '!$C$5:$H$533,HK$4,0)*$AQ20,0)</f>
        <v>0</v>
      </c>
      <c r="HL20">
        <f>IFERROR(VLOOKUP($D20,'Kalkulator mięs '!$C$5:$H$533,HL$4,0)*$AR20,0)</f>
        <v>0</v>
      </c>
      <c r="HM20">
        <f>IFERROR(VLOOKUP($D20,'Kalkulator mięs '!$C$5:$H$533,HM$4,0)*$AR20,0)</f>
        <v>0</v>
      </c>
      <c r="HN20">
        <f>IFERROR(VLOOKUP($D20,'Kalkulator mięs '!$C$5:$H$533,HN$4,0)*$AR20,0)</f>
        <v>0</v>
      </c>
      <c r="HO20">
        <f>IFERROR(VLOOKUP($D20,'Kalkulator mięs '!$C$5:$H$533,HO$4,0)*$AS20,0)</f>
        <v>0</v>
      </c>
      <c r="HP20">
        <f>IFERROR(VLOOKUP($D20,'Kalkulator mięs '!$C$5:$H$533,HP$4,0)*$AS20,0)</f>
        <v>0</v>
      </c>
      <c r="HQ20">
        <f>IFERROR(VLOOKUP($D20,'Kalkulator mięs '!$C$5:$H$533,HQ$4,0)*$AS20,0)</f>
        <v>0</v>
      </c>
      <c r="HR20">
        <f>IFERROR(VLOOKUP($D20,'Kalkulator mięs '!$C$5:$H$533,HR$4,0)*$AT20,0)</f>
        <v>0</v>
      </c>
      <c r="HS20">
        <f>IFERROR(VLOOKUP($D20,'Kalkulator mięs '!$C$5:$H$533,HS$4,0)*$AT20,0)</f>
        <v>0</v>
      </c>
      <c r="HT20">
        <f>IFERROR(VLOOKUP($D20,'Kalkulator mięs '!$C$5:$H$533,HT$4,0)*$AT20,0)</f>
        <v>0</v>
      </c>
      <c r="HU20">
        <f>IFERROR(VLOOKUP($D20,'Kalkulator mięs '!$C$5:$H$533,HU$4,0)*$AU20,0)</f>
        <v>0</v>
      </c>
      <c r="HV20">
        <f>IFERROR(VLOOKUP($D20,'Kalkulator mięs '!$C$5:$H$533,HV$4,0)*$AU20,0)</f>
        <v>0</v>
      </c>
      <c r="HW20">
        <f>IFERROR(VLOOKUP($D20,'Kalkulator mięs '!$C$5:$H$533,HW$4,0)*$AU20,0)</f>
        <v>0</v>
      </c>
      <c r="HX20">
        <f>IFERROR(VLOOKUP($D20,'Kalkulator mięs '!$C$5:$H$533,HX$4,0)*$AV20,0)</f>
        <v>0</v>
      </c>
      <c r="HY20">
        <f>IFERROR(VLOOKUP($D20,'Kalkulator mięs '!$C$5:$H$533,HY$4,0)*$AV20,0)</f>
        <v>0</v>
      </c>
      <c r="HZ20">
        <f>IFERROR(VLOOKUP($D20,'Kalkulator mięs '!$C$5:$H$533,HZ$4,0)*$AV20,0)</f>
        <v>0</v>
      </c>
      <c r="IA20">
        <f>IFERROR(VLOOKUP($D20,'Kalkulator mięs '!$C$5:$H$533,IA$4,0)*$AW20,0)</f>
        <v>0</v>
      </c>
      <c r="IB20">
        <f>IFERROR(VLOOKUP($D20,'Kalkulator mięs '!$C$5:$H$533,IB$4,0)*$AW20,0)</f>
        <v>0</v>
      </c>
      <c r="IC20">
        <f>IFERROR(VLOOKUP($D20,'Kalkulator mięs '!$C$5:$H$533,IC$4,0)*$AW20,0)</f>
        <v>0</v>
      </c>
      <c r="ID20">
        <f>IFERROR(VLOOKUP($D20,'Kalkulator mięs '!$C$5:$H$533,ID$4,0)*$AX20,0)</f>
        <v>0</v>
      </c>
      <c r="IE20">
        <f>IFERROR(VLOOKUP($D20,'Kalkulator mięs '!$C$5:$H$533,IE$4,0)*$AX20,0)</f>
        <v>0</v>
      </c>
      <c r="IF20">
        <f>IFERROR(VLOOKUP($D20,'Kalkulator mięs '!$C$5:$H$533,IF$4,0)*$AX20,0)</f>
        <v>0</v>
      </c>
      <c r="IG20">
        <f>IFERROR(VLOOKUP($D20,'Kalkulator mięs '!$C$5:$H$533,IG$4,0)*$AY20,0)</f>
        <v>0</v>
      </c>
      <c r="IH20">
        <f>IFERROR(VLOOKUP($D20,'Kalkulator mięs '!$C$5:$H$533,IH$4,0)*$AY20,0)</f>
        <v>0</v>
      </c>
      <c r="II20">
        <f>IFERROR(VLOOKUP($D20,'Kalkulator mięs '!$C$5:$H$533,II$4,0)*$AY20,0)</f>
        <v>0</v>
      </c>
      <c r="IJ20">
        <f>IFERROR(VLOOKUP($D20,'Kalkulator mięs '!$C$5:$H$533,IJ$4,0)*$AZ20,0)</f>
        <v>0</v>
      </c>
      <c r="IK20">
        <f>IFERROR(VLOOKUP($D20,'Kalkulator mięs '!$C$5:$H$533,IK$4,0)*$AZ20,0)</f>
        <v>0</v>
      </c>
      <c r="IL20">
        <f>IFERROR(VLOOKUP($D20,'Kalkulator mięs '!$C$5:$H$533,IL$4,0)*$AZ20,0)</f>
        <v>0</v>
      </c>
      <c r="IM20">
        <f>IFERROR(VLOOKUP($D20,'Kalkulator mięs '!$C$5:$H$533,IM$4,0)*$BA20,0)</f>
        <v>0</v>
      </c>
      <c r="IN20">
        <f>IFERROR(VLOOKUP($D20,'Kalkulator mięs '!$C$5:$H$533,IN$4,0)*$BA20,0)</f>
        <v>0</v>
      </c>
      <c r="IO20">
        <f>IFERROR(VLOOKUP($D20,'Kalkulator mięs '!$C$5:$H$533,IO$4,0)*$BA20,0)</f>
        <v>0</v>
      </c>
    </row>
    <row r="21" spans="1:249" ht="15.75">
      <c r="B21" t="str">
        <f>VLOOKUP(D21,Receptury_z!$A:$B,2,0)</f>
        <v>ON</v>
      </c>
      <c r="C21" s="16">
        <v>5529</v>
      </c>
      <c r="D21" s="19">
        <v>6438</v>
      </c>
      <c r="E21" s="18" t="s">
        <v>33</v>
      </c>
      <c r="F21" s="14">
        <f>IF($B21="OFF",BE21,VLOOKUP($D21,Receptury_z!$D:$AI,F$4,0))</f>
        <v>0</v>
      </c>
      <c r="G21" s="14">
        <f>IF($B21="OFF",BF21,VLOOKUP($D21,Receptury_z!$D:$AI,G$4,0))</f>
        <v>0</v>
      </c>
      <c r="H21" s="14">
        <f>IF($B21="OFF",BG21,VLOOKUP($D21,Receptury_z!$D:$AI,H$4,0))</f>
        <v>0</v>
      </c>
      <c r="I21" s="14">
        <f>IF($B21="OFF",BH21,VLOOKUP($D21,Receptury_z!$D:$AI,I$4,0))</f>
        <v>0</v>
      </c>
      <c r="J21" s="14">
        <f>IF($B21="OFF",BI21,VLOOKUP($D21,Receptury_z!$D:$AI,J$4,0))</f>
        <v>0</v>
      </c>
      <c r="K21" s="14">
        <f>IF($B21="OFF",BJ21,VLOOKUP($D21,Receptury_z!$D:$AI,K$4,0))</f>
        <v>0</v>
      </c>
      <c r="L21" s="14">
        <f>IF($B21="OFF",BK21,VLOOKUP($D21,Receptury_z!$D:$AI,L$4,0))</f>
        <v>0</v>
      </c>
      <c r="M21" s="14">
        <f>IF($B21="OFF",BL21,VLOOKUP($D21,Receptury_z!$D:$AI,M$4,0))</f>
        <v>0</v>
      </c>
      <c r="N21" s="14">
        <f>IF($B21="OFF",BM21,VLOOKUP($D21,Receptury_z!$D:$AI,N$4,0))</f>
        <v>0</v>
      </c>
      <c r="O21" s="14">
        <f>IF($B21="OFF",BN21,VLOOKUP($D21,Receptury_z!$D:$AI,O$4,0))</f>
        <v>0</v>
      </c>
      <c r="P21" s="14">
        <f>IF($B21="OFF",BO21,VLOOKUP($D21,Receptury_z!$D:$AI,P$4,0))</f>
        <v>0</v>
      </c>
      <c r="Q21" s="14">
        <f>IF($B21="OFF",BP21,VLOOKUP($D21,Receptury_z!$D:$AI,Q$4,0))</f>
        <v>0</v>
      </c>
      <c r="R21" s="14">
        <f>IF($B21="OFF",BQ21,VLOOKUP($D21,Receptury_z!$D:$AI,R$4,0))</f>
        <v>60.8</v>
      </c>
      <c r="S21" s="14">
        <f>IF($B21="OFF",BR21,VLOOKUP($D21,Receptury_z!$D:$AI,S$4,0))</f>
        <v>0</v>
      </c>
      <c r="T21" s="14">
        <f>IF($B21="OFF",BS21,VLOOKUP($D21,Receptury_z!$D:$AI,T$4,0))</f>
        <v>386.6</v>
      </c>
      <c r="U21" s="14">
        <f>IF($B21="OFF",BT21,VLOOKUP($D21,Receptury_z!$D:$AI,U$4,0))</f>
        <v>0</v>
      </c>
      <c r="V21" s="14">
        <f>IF($B21="OFF",BU21,VLOOKUP($D21,Receptury_z!$D:$AI,V$4,0))</f>
        <v>0</v>
      </c>
      <c r="W21" s="14">
        <f>IF($B21="OFF",BV21,VLOOKUP($D21,Receptury_z!$D:$AI,W$4,0))</f>
        <v>0</v>
      </c>
      <c r="X21" s="14">
        <f>IF($B21="OFF",BW21,VLOOKUP($D21,Receptury_z!$D:$AI,X$4,0))</f>
        <v>0</v>
      </c>
      <c r="Y21" s="14">
        <f>IF($B21="OFF",BX21,VLOOKUP($D21,Receptury_z!$D:$AI,Y$4,0))</f>
        <v>0</v>
      </c>
      <c r="Z21" s="14">
        <f>IF($B21="OFF",BY21,VLOOKUP($D21,Receptury_z!$D:$AI,Z$4,0))</f>
        <v>0</v>
      </c>
      <c r="AA21" s="14">
        <f>IF($B21="OFF",BZ21,VLOOKUP($D21,Receptury_z!$D:$AI,AA$4,0))</f>
        <v>0</v>
      </c>
      <c r="AB21" s="14">
        <f>IF($B21="OFF",CA21,VLOOKUP($D21,Receptury_z!$D:$AI,AB$4,0))</f>
        <v>104.2</v>
      </c>
      <c r="AC21" s="14">
        <f>IF($B21="OFF",CB21,VLOOKUP($D21,Receptury_z!$D:$AI,AC$4,0))</f>
        <v>0</v>
      </c>
      <c r="AD21" s="14">
        <f>IF($B21="OFF",CC21,VLOOKUP($D21,Receptury_z!$D:$AI,AD$4,0))</f>
        <v>0</v>
      </c>
      <c r="AE21" s="14">
        <f>IF($B21="OFF",CD21,VLOOKUP($D21,Receptury_z!$D:$AI,AE$4,0))</f>
        <v>0</v>
      </c>
      <c r="AF21" s="14">
        <f>IF($B21="OFF",CE21,VLOOKUP($D21,Receptury_z!$D:$AI,AF$4,0))</f>
        <v>0</v>
      </c>
      <c r="AG21" s="14">
        <f>IF($B21="OFF",CF21,VLOOKUP($D21,Receptury_z!$D:$AI,AG$4,0))</f>
        <v>0</v>
      </c>
      <c r="AH21" s="14">
        <f>IF($B21="OFF",CG21,VLOOKUP($D21,Receptury_z!$D:$AI,AH$4,0))</f>
        <v>0</v>
      </c>
      <c r="AI21" s="14">
        <f>IF($B21="OFF",CH21,VLOOKUP($D21,Receptury_z!$D:$AI,AI$4,0))</f>
        <v>0</v>
      </c>
      <c r="AJ21" s="14">
        <f>IF($B21="OFF",CI21,VLOOKUP($D21,Receptury_z!$D:$AS,AJ$4,0))</f>
        <v>204.1</v>
      </c>
      <c r="AK21" s="14">
        <f>IF($B21="OFF",CJ21,VLOOKUP($D21,Receptury_z!$D:$AS,AK$4,0))</f>
        <v>0</v>
      </c>
      <c r="AL21" s="14">
        <f>IF($B21="OFF",CK21,VLOOKUP($D21,Receptury_z!$D:$AS,AL$4,0))</f>
        <v>0</v>
      </c>
      <c r="AM21" s="14">
        <f>IF($B21="OFF",CL21,VLOOKUP($D21,Receptury_z!$D:$AS,AM$4,0))</f>
        <v>0</v>
      </c>
      <c r="AN21" s="14">
        <f>IF($B21="OFF",CM21,VLOOKUP($D21,Receptury_z!$D:$AS,AN$4,0))</f>
        <v>0</v>
      </c>
      <c r="AO21" s="14">
        <f>IF($B21="OFF",CN21,VLOOKUP($D21,Receptury_z!$D:$AS,AO$4,0))</f>
        <v>0</v>
      </c>
      <c r="AP21" s="14">
        <f>IF($B21="OFF",CO21,VLOOKUP($D21,Receptury_z!$D:$AS,AP$4,0))</f>
        <v>0</v>
      </c>
      <c r="AQ21" s="14">
        <f>IF($B21="OFF",CP21,VLOOKUP($D21,Receptury_z!$D:$AS,AQ$4,0))</f>
        <v>0</v>
      </c>
      <c r="AR21" s="14">
        <f>IF($B21="OFF",CQ21,VLOOKUP($D21,Receptury_z!$D:$AS,AR$4,0))</f>
        <v>0</v>
      </c>
      <c r="AS21" s="14">
        <f>IF($B21="OFF",CR21,VLOOKUP($D21,Receptury_z!$D:$AS,AS$4,0))</f>
        <v>0</v>
      </c>
      <c r="AT21" s="14">
        <f>IF($B21="OFF",CS21,VLOOKUP($D21,Receptury_z!$D:$AV,AT$4,0))</f>
        <v>0</v>
      </c>
      <c r="AU21" s="14">
        <f>IF($B21="OFF",CT21,VLOOKUP($D21,Receptury_z!$D:$AV,AU$4,0))</f>
        <v>112.9</v>
      </c>
      <c r="AV21" s="14">
        <f>IF($B21="OFF",CU21,VLOOKUP($D21,Receptury_z!$D:$AV,AV$4,0))</f>
        <v>0</v>
      </c>
      <c r="AW21" s="14">
        <f>IF($B21="OFF",CV21,VLOOKUP($D21,Receptury_z!$D:$BA,AW$4,0))</f>
        <v>0</v>
      </c>
      <c r="AX21" s="14">
        <f>IF($B21="OFF",CW21,VLOOKUP($D21,Receptury_z!$D:$BA,AX$4,0))</f>
        <v>0</v>
      </c>
      <c r="AY21" s="14">
        <f>IF($B21="OFF",CX21,VLOOKUP($D21,Receptury_z!$D:$BA,AY$4,0))</f>
        <v>0</v>
      </c>
      <c r="AZ21" s="14">
        <f>IF($B21="OFF",DA21,VLOOKUP($D21,Receptury_z!$D:$BA,AZ$4,0))</f>
        <v>0</v>
      </c>
      <c r="BA21" s="14">
        <f>IF($B21="OFF",DB21,VLOOKUP($D21,Receptury_z!$D:$BA,BA$4,0))</f>
        <v>0</v>
      </c>
      <c r="BC21" s="19">
        <v>6438</v>
      </c>
      <c r="BD21" s="18" t="s">
        <v>33</v>
      </c>
      <c r="BE21" s="239">
        <v>0</v>
      </c>
      <c r="BF21" s="239">
        <v>0</v>
      </c>
      <c r="BG21" s="239">
        <v>0</v>
      </c>
      <c r="BH21" s="239">
        <v>0</v>
      </c>
      <c r="BI21" s="239">
        <v>0</v>
      </c>
      <c r="BJ21" s="239">
        <v>0</v>
      </c>
      <c r="BK21" s="239">
        <v>0</v>
      </c>
      <c r="BL21" s="239">
        <v>0</v>
      </c>
      <c r="BM21" s="240"/>
      <c r="BN21" s="240">
        <v>0</v>
      </c>
      <c r="BO21" s="240">
        <v>0</v>
      </c>
      <c r="BP21" s="240">
        <v>0</v>
      </c>
      <c r="BQ21" s="240">
        <v>60.8</v>
      </c>
      <c r="BR21" s="240">
        <v>0</v>
      </c>
      <c r="BS21" s="240">
        <v>386.6</v>
      </c>
      <c r="BT21" s="240">
        <v>0</v>
      </c>
      <c r="BU21" s="240">
        <v>0</v>
      </c>
      <c r="BV21" s="240">
        <v>204.1</v>
      </c>
      <c r="BW21" s="240">
        <v>0</v>
      </c>
      <c r="BX21" s="240">
        <v>0</v>
      </c>
      <c r="BY21" s="240">
        <v>0</v>
      </c>
      <c r="BZ21" s="240">
        <v>0</v>
      </c>
      <c r="CA21" s="240">
        <v>104.2</v>
      </c>
      <c r="CB21" s="240">
        <v>0</v>
      </c>
      <c r="CC21" s="240">
        <v>0</v>
      </c>
      <c r="CD21" s="240">
        <v>0</v>
      </c>
      <c r="CE21" s="240">
        <v>0</v>
      </c>
      <c r="CF21" s="240">
        <v>0</v>
      </c>
      <c r="CG21" s="240">
        <v>0</v>
      </c>
      <c r="CH21" s="240">
        <v>0</v>
      </c>
      <c r="CI21" s="240">
        <v>0</v>
      </c>
      <c r="CJ21" s="240">
        <v>0</v>
      </c>
      <c r="CK21" s="240">
        <v>0</v>
      </c>
      <c r="CL21" s="240">
        <v>0</v>
      </c>
      <c r="CM21" s="241"/>
      <c r="CN21" s="241"/>
      <c r="CO21" s="241"/>
      <c r="CP21" s="241"/>
      <c r="CQ21" s="241"/>
      <c r="CR21" s="241"/>
      <c r="CS21" s="241"/>
      <c r="CT21" s="241">
        <v>112.9</v>
      </c>
      <c r="CU21" s="80"/>
      <c r="CV21" s="80"/>
      <c r="CW21" s="80"/>
      <c r="CX21" s="80"/>
      <c r="CY21" s="80"/>
      <c r="CZ21" s="80"/>
      <c r="DB21">
        <f>IFERROR(VLOOKUP($D21,'Kalkulator mięs '!$C$5:$H$533,DB$4,0)*F21,0)</f>
        <v>0</v>
      </c>
      <c r="DC21">
        <f>IFERROR(VLOOKUP($D21,'Kalkulator mięs '!$C$5:$H$533,DC$4,0)*F21,0)</f>
        <v>0</v>
      </c>
      <c r="DD21">
        <f>IFERROR(VLOOKUP($D21,'Kalkulator mięs '!$C$5:$H$533,DD$4,0)*F21,0)</f>
        <v>0</v>
      </c>
      <c r="DE21">
        <f>IFERROR(VLOOKUP($D21,'Kalkulator mięs '!$C$5:$H$533,DE$4,0)*$G21,0)</f>
        <v>0</v>
      </c>
      <c r="DF21">
        <f>IFERROR(VLOOKUP($D21,'Kalkulator mięs '!$C$5:$H$533,DF$4,0)*$G21,0)</f>
        <v>0</v>
      </c>
      <c r="DG21">
        <f>IFERROR(VLOOKUP($D21,'Kalkulator mięs '!$C$5:$H$533,DG$4,0)*$G21,0)</f>
        <v>0</v>
      </c>
      <c r="DH21">
        <f>IFERROR(VLOOKUP($D21,'Kalkulator mięs '!$C$5:$H$533,DH$4,0)*$H21,0)</f>
        <v>0</v>
      </c>
      <c r="DI21">
        <f>IFERROR(VLOOKUP($D21,'Kalkulator mięs '!$C$5:$H$533,DI$4,0)*$H21,0)</f>
        <v>0</v>
      </c>
      <c r="DJ21">
        <f>IFERROR(VLOOKUP($D21,'Kalkulator mięs '!$C$5:$H$533,DJ$4,0)*$H21,0)</f>
        <v>0</v>
      </c>
      <c r="DK21">
        <f>IFERROR(VLOOKUP($D21,'Kalkulator mięs '!$C$5:$H$533,DK$4,0)*$I21,0)</f>
        <v>0</v>
      </c>
      <c r="DL21">
        <f>IFERROR(VLOOKUP($D21,'Kalkulator mięs '!$C$5:$H$533,DL$4,0)*$I21,0)</f>
        <v>0</v>
      </c>
      <c r="DM21">
        <f>IFERROR(VLOOKUP($D21,'Kalkulator mięs '!$C$5:$H$533,DM$4,0)*$I21,0)</f>
        <v>0</v>
      </c>
      <c r="DN21">
        <f>IFERROR(VLOOKUP($D21,'Kalkulator mięs '!$C$5:$H$533,DN$4,0)*$J21,0)</f>
        <v>0</v>
      </c>
      <c r="DO21">
        <f>IFERROR(VLOOKUP($D21,'Kalkulator mięs '!$C$5:$H$533,DO$4,0)*$J21,0)</f>
        <v>0</v>
      </c>
      <c r="DP21">
        <f>IFERROR(VLOOKUP($D21,'Kalkulator mięs '!$C$5:$H$533,DP$4,0)*$J21,0)</f>
        <v>0</v>
      </c>
      <c r="DQ21">
        <f>IFERROR(VLOOKUP($D21,'Kalkulator mięs '!$C$5:$H$533,DQ$4,0)*$K21,0)</f>
        <v>0</v>
      </c>
      <c r="DR21">
        <f>IFERROR(VLOOKUP($D21,'Kalkulator mięs '!$C$5:$H$533,DR$4,0)*$K21,0)</f>
        <v>0</v>
      </c>
      <c r="DS21">
        <f>IFERROR(VLOOKUP($D21,'Kalkulator mięs '!$C$5:$H$533,DS$4,0)*$K21,0)</f>
        <v>0</v>
      </c>
      <c r="DT21">
        <f>IFERROR(VLOOKUP($D21,'Kalkulator mięs '!$C$5:$H$533,DT$4,0)*$L21,0)</f>
        <v>0</v>
      </c>
      <c r="DU21">
        <f>IFERROR(VLOOKUP($D21,'Kalkulator mięs '!$C$5:$H$533,DU$4,0)*$L21,0)</f>
        <v>0</v>
      </c>
      <c r="DV21">
        <f>IFERROR(VLOOKUP($D21,'Kalkulator mięs '!$C$5:$H$533,DV$4,0)*$L21,0)</f>
        <v>0</v>
      </c>
      <c r="DW21">
        <f>IFERROR(VLOOKUP($D21,'Kalkulator mięs '!$C$5:$H$533,DW$4,0)*$M21,0)</f>
        <v>0</v>
      </c>
      <c r="DX21">
        <f>IFERROR(VLOOKUP($D21,'Kalkulator mięs '!$C$5:$H$533,DX$4,0)*$M21,0)</f>
        <v>0</v>
      </c>
      <c r="DY21">
        <f>IFERROR(VLOOKUP($D21,'Kalkulator mięs '!$C$5:$H$533,DY$4,0)*$M21,0)</f>
        <v>0</v>
      </c>
      <c r="DZ21">
        <f>IFERROR(VLOOKUP($D21,'Kalkulator mięs '!$C$5:$H$533,DZ$4,0)*$N21,0)</f>
        <v>0</v>
      </c>
      <c r="EA21">
        <f>IFERROR(VLOOKUP($D21,'Kalkulator mięs '!$C$5:$H$533,EA$4,0)*$N21,0)</f>
        <v>0</v>
      </c>
      <c r="EB21">
        <f>IFERROR(VLOOKUP($D21,'Kalkulator mięs '!$C$5:$H$533,EB$4,0)*$N21,0)</f>
        <v>0</v>
      </c>
      <c r="EC21">
        <f>IFERROR(VLOOKUP($D21,'Kalkulator mięs '!$C$5:$H$533,EC$4,0)*$O21,0)</f>
        <v>0</v>
      </c>
      <c r="ED21">
        <f>IFERROR(VLOOKUP($D21,'Kalkulator mięs '!$C$5:$H$533,ED$4,0)*$O21,0)</f>
        <v>0</v>
      </c>
      <c r="EE21">
        <f>IFERROR(VLOOKUP($D21,'Kalkulator mięs '!$C$5:$H$533,EE$4,0)*$O21,0)</f>
        <v>0</v>
      </c>
      <c r="EF21">
        <f>IFERROR(VLOOKUP($D21,'Kalkulator mięs '!$C$5:$H$533,EF$4,0)*$P21,0)</f>
        <v>0</v>
      </c>
      <c r="EG21">
        <f>IFERROR(VLOOKUP($D21,'Kalkulator mięs '!$C$5:$H$533,EG$4,0)*$P21,0)</f>
        <v>0</v>
      </c>
      <c r="EH21">
        <f>IFERROR(VLOOKUP($D21,'Kalkulator mięs '!$C$5:$H$533,EH$4,0)*$P21,0)</f>
        <v>0</v>
      </c>
      <c r="EI21">
        <f>IFERROR(VLOOKUP($D21,'Kalkulator mięs '!$C$5:$H$533,EI$4,0)*$Q21,0)</f>
        <v>0</v>
      </c>
      <c r="EJ21">
        <f>IFERROR(VLOOKUP($D21,'Kalkulator mięs '!$C$5:$H$533,EJ$4,0)*$Q21,0)</f>
        <v>0</v>
      </c>
      <c r="EK21">
        <f>IFERROR(VLOOKUP($D21,'Kalkulator mięs '!$C$5:$H$533,EK$4,0)*$Q21,0)</f>
        <v>0</v>
      </c>
      <c r="EL21">
        <f>IFERROR(VLOOKUP($D21,'Kalkulator mięs '!$C$5:$H$533,EL$4,0)*$R21,0)</f>
        <v>0</v>
      </c>
      <c r="EM21">
        <f>IFERROR(VLOOKUP($D21,'Kalkulator mięs '!$C$5:$H$533,EM$4,0)*$R21,0)</f>
        <v>0</v>
      </c>
      <c r="EN21">
        <f>IFERROR(VLOOKUP($D21,'Kalkulator mięs '!$C$5:$H$533,EN$4,0)*$R21,0)</f>
        <v>0</v>
      </c>
      <c r="EO21">
        <f>IFERROR(VLOOKUP($D21,'Kalkulator mięs '!$C$5:$H$533,EO$4,0)*$S21,0)</f>
        <v>0</v>
      </c>
      <c r="EP21">
        <f>IFERROR(VLOOKUP($D21,'Kalkulator mięs '!$C$5:$H$533,EP$4,0)*$S21,0)</f>
        <v>0</v>
      </c>
      <c r="EQ21">
        <f>IFERROR(VLOOKUP($D21,'Kalkulator mięs '!$C$5:$H$533,EQ$4,0)*$S21,0)</f>
        <v>0</v>
      </c>
      <c r="ER21">
        <f>IFERROR(VLOOKUP($D21,'Kalkulator mięs '!$C$5:$H$533,ER$4,0)*$T21,0)</f>
        <v>0</v>
      </c>
      <c r="ES21">
        <f>IFERROR(VLOOKUP($D21,'Kalkulator mięs '!$C$5:$H$533,ES$4,0)*$T21,0)</f>
        <v>0</v>
      </c>
      <c r="ET21">
        <f>IFERROR(VLOOKUP($D21,'Kalkulator mięs '!$C$5:$H$533,ET$4,0)*$T21,0)</f>
        <v>0</v>
      </c>
      <c r="EU21">
        <f>IFERROR(VLOOKUP($D21,'Kalkulator mięs '!$C$5:$H$533,EU$4,0)*$U21,0)</f>
        <v>0</v>
      </c>
      <c r="EV21">
        <f>IFERROR(VLOOKUP($D21,'Kalkulator mięs '!$C$5:$H$533,EV$4,0)*$U21,0)</f>
        <v>0</v>
      </c>
      <c r="EW21">
        <f>IFERROR(VLOOKUP($D21,'Kalkulator mięs '!$C$5:$H$533,EW$4,0)*$U21,0)</f>
        <v>0</v>
      </c>
      <c r="EX21">
        <f>IFERROR(VLOOKUP($D21,'Kalkulator mięs '!$C$5:$H$533,EX$4,0)*$V21,0)</f>
        <v>0</v>
      </c>
      <c r="EY21">
        <f>IFERROR(VLOOKUP($D21,'Kalkulator mięs '!$C$5:$H$533,EY$4,0)*$V21,0)</f>
        <v>0</v>
      </c>
      <c r="EZ21">
        <f>IFERROR(VLOOKUP($D21,'Kalkulator mięs '!$C$5:$H$533,EZ$4,0)*$V21,0)</f>
        <v>0</v>
      </c>
      <c r="FA21">
        <f>IFERROR(VLOOKUP($D21,'Kalkulator mięs '!$C$5:$H$533,FA$4,0)*$W21,0)</f>
        <v>0</v>
      </c>
      <c r="FB21">
        <f>IFERROR(VLOOKUP($D21,'Kalkulator mięs '!$C$5:$H$533,FB$4,0)*$W21,0)</f>
        <v>0</v>
      </c>
      <c r="FC21">
        <f>IFERROR(VLOOKUP($D21,'Kalkulator mięs '!$C$5:$H$533,FC$4,0)*$W21,0)</f>
        <v>0</v>
      </c>
      <c r="FD21">
        <f>IFERROR(VLOOKUP($D21,'Kalkulator mięs '!$C$5:$H$533,FD$4,0)*$X21,0)</f>
        <v>0</v>
      </c>
      <c r="FE21">
        <f>IFERROR(VLOOKUP($D21,'Kalkulator mięs '!$C$5:$H$533,FE$4,0)*$X21,0)</f>
        <v>0</v>
      </c>
      <c r="FF21">
        <f>IFERROR(VLOOKUP($D21,'Kalkulator mięs '!$C$5:$H$533,FF$4,0)*$X21,0)</f>
        <v>0</v>
      </c>
      <c r="FG21">
        <f>IFERROR(VLOOKUP($D21,'Kalkulator mięs '!$C$5:$H$533,FG$4,0)*$Y21,0)</f>
        <v>0</v>
      </c>
      <c r="FH21">
        <f>IFERROR(VLOOKUP($D21,'Kalkulator mięs '!$C$5:$H$533,FH$4,0)*$Y21,0)</f>
        <v>0</v>
      </c>
      <c r="FI21">
        <f>IFERROR(VLOOKUP($D21,'Kalkulator mięs '!$C$5:$H$533,FI$4,0)*$Y21,0)</f>
        <v>0</v>
      </c>
      <c r="FJ21">
        <f>IFERROR(VLOOKUP($D21,'Kalkulator mięs '!$C$5:$H$533,FJ$4,0)*$Z21,0)</f>
        <v>0</v>
      </c>
      <c r="FK21">
        <f>IFERROR(VLOOKUP($D21,'Kalkulator mięs '!$C$5:$H$533,FK$4,0)*$Z21,0)</f>
        <v>0</v>
      </c>
      <c r="FL21">
        <f>IFERROR(VLOOKUP($D21,'Kalkulator mięs '!$C$5:$H$533,FL$4,0)*$Z21,0)</f>
        <v>0</v>
      </c>
      <c r="FM21">
        <f>IFERROR(VLOOKUP($D21,'Kalkulator mięs '!$C$5:$H$533,FM$4,0)*$AA21,0)</f>
        <v>0</v>
      </c>
      <c r="FN21">
        <f>IFERROR(VLOOKUP($D21,'Kalkulator mięs '!$C$5:$H$533,FN$4,0)*$AA21,0)</f>
        <v>0</v>
      </c>
      <c r="FO21">
        <f>IFERROR(VLOOKUP($D21,'Kalkulator mięs '!$C$5:$H$533,FO$4,0)*$AA21,0)</f>
        <v>0</v>
      </c>
      <c r="FP21">
        <f>IFERROR(VLOOKUP($D21,'Kalkulator mięs '!$C$5:$H$533,FP$4,0)*$AB21,0)</f>
        <v>0</v>
      </c>
      <c r="FQ21">
        <f>IFERROR(VLOOKUP($D21,'Kalkulator mięs '!$C$5:$H$533,FQ$4,0)*$AB21,0)</f>
        <v>0</v>
      </c>
      <c r="FR21">
        <f>IFERROR(VLOOKUP($D21,'Kalkulator mięs '!$C$5:$H$533,FR$4,0)*$AB21,0)</f>
        <v>0</v>
      </c>
      <c r="FS21">
        <f>IFERROR(VLOOKUP($D21,'Kalkulator mięs '!$C$5:$H$533,FS$4,0)*$AC21,0)</f>
        <v>0</v>
      </c>
      <c r="FT21">
        <f>IFERROR(VLOOKUP($D21,'Kalkulator mięs '!$C$5:$H$533,FT$4,0)*$AC21,0)</f>
        <v>0</v>
      </c>
      <c r="FU21">
        <f>IFERROR(VLOOKUP($D21,'Kalkulator mięs '!$C$5:$H$533,FU$4,0)*$AC21,0)</f>
        <v>0</v>
      </c>
      <c r="FV21">
        <f>IFERROR(VLOOKUP($D21,'Kalkulator mięs '!$C$5:$H$533,FV$4,0)*$AD21,0)</f>
        <v>0</v>
      </c>
      <c r="FW21">
        <f>IFERROR(VLOOKUP($D21,'Kalkulator mięs '!$C$5:$H$533,FW$4,0)*$AD21,0)</f>
        <v>0</v>
      </c>
      <c r="FX21">
        <f>IFERROR(VLOOKUP($D21,'Kalkulator mięs '!$C$5:$H$533,FX$4,0)*$AD21,0)</f>
        <v>0</v>
      </c>
      <c r="FY21">
        <f>IFERROR(VLOOKUP($D21,'Kalkulator mięs '!$C$5:$H$533,FY$4,0)*$AE21,0)</f>
        <v>0</v>
      </c>
      <c r="FZ21">
        <f>IFERROR(VLOOKUP($D21,'Kalkulator mięs '!$C$5:$H$533,FZ$4,0)*$AE21,0)</f>
        <v>0</v>
      </c>
      <c r="GA21">
        <f>IFERROR(VLOOKUP($D21,'Kalkulator mięs '!$C$5:$H$533,GA$4,0)*$AE21,0)</f>
        <v>0</v>
      </c>
      <c r="GB21">
        <f>IFERROR(VLOOKUP($D21,'Kalkulator mięs '!$C$5:$H$533,GB$4,0)*$AF21,0)</f>
        <v>0</v>
      </c>
      <c r="GC21">
        <f>IFERROR(VLOOKUP($D21,'Kalkulator mięs '!$C$5:$H$533,GC$4,0)*$AF21,0)</f>
        <v>0</v>
      </c>
      <c r="GD21">
        <f>IFERROR(VLOOKUP($D21,'Kalkulator mięs '!$C$5:$H$533,GD$4,0)*$AF21,0)</f>
        <v>0</v>
      </c>
      <c r="GE21">
        <f>IFERROR(VLOOKUP($D21,'Kalkulator mięs '!$C$5:$H$533,GE$4,0)*$AG21,0)</f>
        <v>0</v>
      </c>
      <c r="GF21">
        <f>IFERROR(VLOOKUP($D21,'Kalkulator mięs '!$C$5:$H$533,GF$4,0)*$AG21,0)</f>
        <v>0</v>
      </c>
      <c r="GG21">
        <f>IFERROR(VLOOKUP($D21,'Kalkulator mięs '!$C$5:$H$533,GG$4,0)*$AG21,0)</f>
        <v>0</v>
      </c>
      <c r="GH21">
        <f>IFERROR(VLOOKUP($D21,'Kalkulator mięs '!$C$5:$H$533,GH$4,0)*$AH21,0)</f>
        <v>0</v>
      </c>
      <c r="GI21">
        <f>IFERROR(VLOOKUP($D21,'Kalkulator mięs '!$C$5:$H$533,GI$4,0)*$AH21,0)</f>
        <v>0</v>
      </c>
      <c r="GJ21">
        <f>IFERROR(VLOOKUP($D21,'Kalkulator mięs '!$C$5:$H$533,GJ$4,0)*$AH21,0)</f>
        <v>0</v>
      </c>
      <c r="GK21">
        <f>IFERROR(VLOOKUP($D21,'Kalkulator mięs '!$C$5:$H$533,GK$4,0)*$AI21,0)</f>
        <v>0</v>
      </c>
      <c r="GL21">
        <f>IFERROR(VLOOKUP($D21,'Kalkulator mięs '!$C$5:$H$533,GL$4,0)*$AI21,0)</f>
        <v>0</v>
      </c>
      <c r="GM21">
        <f>IFERROR(VLOOKUP($D21,'Kalkulator mięs '!$C$5:$H$533,GM$4,0)*$AI21,0)</f>
        <v>0</v>
      </c>
      <c r="GN21">
        <f>IFERROR(VLOOKUP($D21,'Kalkulator mięs '!$C$5:$H$533,GN$4,0)*$AJ21,0)</f>
        <v>0</v>
      </c>
      <c r="GO21">
        <f>IFERROR(VLOOKUP($D21,'Kalkulator mięs '!$C$5:$H$533,GO$4,0)*$AJ21,0)</f>
        <v>0</v>
      </c>
      <c r="GP21">
        <f>IFERROR(VLOOKUP($D21,'Kalkulator mięs '!$C$5:$H$533,GP$4,0)*$AJ21,0)</f>
        <v>0</v>
      </c>
      <c r="GQ21">
        <f>IFERROR(VLOOKUP($D21,'Kalkulator mięs '!$C$5:$H$533,GQ$4,0)*$AK21,0)</f>
        <v>0</v>
      </c>
      <c r="GR21">
        <f>IFERROR(VLOOKUP($D21,'Kalkulator mięs '!$C$5:$H$533,GR$4,0)*$AK21,0)</f>
        <v>0</v>
      </c>
      <c r="GS21">
        <f>IFERROR(VLOOKUP($D21,'Kalkulator mięs '!$C$5:$H$533,GS$4,0)*$AK21,0)</f>
        <v>0</v>
      </c>
      <c r="GT21">
        <f>IFERROR(VLOOKUP($D21,'Kalkulator mięs '!$C$5:$H$533,GT$4,0)*$AL21,0)</f>
        <v>0</v>
      </c>
      <c r="GU21">
        <f>IFERROR(VLOOKUP($D21,'Kalkulator mięs '!$C$5:$H$533,GU$4,0)*$AL21,0)</f>
        <v>0</v>
      </c>
      <c r="GV21">
        <f>IFERROR(VLOOKUP($D21,'Kalkulator mięs '!$C$5:$H$533,GV$4,0)*$AL21,0)</f>
        <v>0</v>
      </c>
      <c r="GW21">
        <f>IFERROR(VLOOKUP($D21,'Kalkulator mięs '!$C$5:$H$533,GW$4,0)*$AM21,0)</f>
        <v>0</v>
      </c>
      <c r="GX21">
        <f>IFERROR(VLOOKUP($D21,'Kalkulator mięs '!$C$5:$H$533,GX$4,0)*$AM21,0)</f>
        <v>0</v>
      </c>
      <c r="GY21">
        <f>IFERROR(VLOOKUP($D21,'Kalkulator mięs '!$C$5:$H$533,GY$4,0)*$AM21,0)</f>
        <v>0</v>
      </c>
      <c r="GZ21">
        <f>IFERROR(VLOOKUP($D21,'Kalkulator mięs '!$C$5:$H$533,GZ$4,0)*$AN21,0)</f>
        <v>0</v>
      </c>
      <c r="HA21">
        <f>IFERROR(VLOOKUP($D21,'Kalkulator mięs '!$C$5:$H$533,HA$4,0)*$AN21,0)</f>
        <v>0</v>
      </c>
      <c r="HB21">
        <f>IFERROR(VLOOKUP($D21,'Kalkulator mięs '!$C$5:$H$533,HB$4,0)*$AN21,0)</f>
        <v>0</v>
      </c>
      <c r="HC21">
        <f>IFERROR(VLOOKUP($D21,'Kalkulator mięs '!$C$5:$H$533,HC$4,0)*$AO21,0)</f>
        <v>0</v>
      </c>
      <c r="HD21">
        <f>IFERROR(VLOOKUP($D21,'Kalkulator mięs '!$C$5:$H$533,HD$4,0)*$AO21,0)</f>
        <v>0</v>
      </c>
      <c r="HE21">
        <f>IFERROR(VLOOKUP($D21,'Kalkulator mięs '!$C$5:$H$533,HE$4,0)*$AO21,0)</f>
        <v>0</v>
      </c>
      <c r="HF21">
        <f>IFERROR(VLOOKUP($D21,'Kalkulator mięs '!$C$5:$H$533,HF$4,0)*$AP21,0)</f>
        <v>0</v>
      </c>
      <c r="HG21">
        <f>IFERROR(VLOOKUP($D21,'Kalkulator mięs '!$C$5:$H$533,HG$4,0)*$AP21,0)</f>
        <v>0</v>
      </c>
      <c r="HH21">
        <f>IFERROR(VLOOKUP($D21,'Kalkulator mięs '!$C$5:$H$533,HH$4,0)*$AP21,0)</f>
        <v>0</v>
      </c>
      <c r="HI21">
        <f>IFERROR(VLOOKUP($D21,'Kalkulator mięs '!$C$5:$H$533,HI$4,0)*$AQ21,0)</f>
        <v>0</v>
      </c>
      <c r="HJ21">
        <f>IFERROR(VLOOKUP($D21,'Kalkulator mięs '!$C$5:$H$533,HJ$4,0)*$AQ21,0)</f>
        <v>0</v>
      </c>
      <c r="HK21">
        <f>IFERROR(VLOOKUP($D21,'Kalkulator mięs '!$C$5:$H$533,HK$4,0)*$AQ21,0)</f>
        <v>0</v>
      </c>
      <c r="HL21">
        <f>IFERROR(VLOOKUP($D21,'Kalkulator mięs '!$C$5:$H$533,HL$4,0)*$AR21,0)</f>
        <v>0</v>
      </c>
      <c r="HM21">
        <f>IFERROR(VLOOKUP($D21,'Kalkulator mięs '!$C$5:$H$533,HM$4,0)*$AR21,0)</f>
        <v>0</v>
      </c>
      <c r="HN21">
        <f>IFERROR(VLOOKUP($D21,'Kalkulator mięs '!$C$5:$H$533,HN$4,0)*$AR21,0)</f>
        <v>0</v>
      </c>
      <c r="HO21">
        <f>IFERROR(VLOOKUP($D21,'Kalkulator mięs '!$C$5:$H$533,HO$4,0)*$AS21,0)</f>
        <v>0</v>
      </c>
      <c r="HP21">
        <f>IFERROR(VLOOKUP($D21,'Kalkulator mięs '!$C$5:$H$533,HP$4,0)*$AS21,0)</f>
        <v>0</v>
      </c>
      <c r="HQ21">
        <f>IFERROR(VLOOKUP($D21,'Kalkulator mięs '!$C$5:$H$533,HQ$4,0)*$AS21,0)</f>
        <v>0</v>
      </c>
      <c r="HR21">
        <f>IFERROR(VLOOKUP($D21,'Kalkulator mięs '!$C$5:$H$533,HR$4,0)*$AT21,0)</f>
        <v>0</v>
      </c>
      <c r="HS21">
        <f>IFERROR(VLOOKUP($D21,'Kalkulator mięs '!$C$5:$H$533,HS$4,0)*$AT21,0)</f>
        <v>0</v>
      </c>
      <c r="HT21">
        <f>IFERROR(VLOOKUP($D21,'Kalkulator mięs '!$C$5:$H$533,HT$4,0)*$AT21,0)</f>
        <v>0</v>
      </c>
      <c r="HU21">
        <f>IFERROR(VLOOKUP($D21,'Kalkulator mięs '!$C$5:$H$533,HU$4,0)*$AU21,0)</f>
        <v>0</v>
      </c>
      <c r="HV21">
        <f>IFERROR(VLOOKUP($D21,'Kalkulator mięs '!$C$5:$H$533,HV$4,0)*$AU21,0)</f>
        <v>0</v>
      </c>
      <c r="HW21">
        <f>IFERROR(VLOOKUP($D21,'Kalkulator mięs '!$C$5:$H$533,HW$4,0)*$AU21,0)</f>
        <v>0</v>
      </c>
      <c r="HX21">
        <f>IFERROR(VLOOKUP($D21,'Kalkulator mięs '!$C$5:$H$533,HX$4,0)*$AV21,0)</f>
        <v>0</v>
      </c>
      <c r="HY21">
        <f>IFERROR(VLOOKUP($D21,'Kalkulator mięs '!$C$5:$H$533,HY$4,0)*$AV21,0)</f>
        <v>0</v>
      </c>
      <c r="HZ21">
        <f>IFERROR(VLOOKUP($D21,'Kalkulator mięs '!$C$5:$H$533,HZ$4,0)*$AV21,0)</f>
        <v>0</v>
      </c>
      <c r="IA21">
        <f>IFERROR(VLOOKUP($D21,'Kalkulator mięs '!$C$5:$H$533,IA$4,0)*$AW21,0)</f>
        <v>0</v>
      </c>
      <c r="IB21">
        <f>IFERROR(VLOOKUP($D21,'Kalkulator mięs '!$C$5:$H$533,IB$4,0)*$AW21,0)</f>
        <v>0</v>
      </c>
      <c r="IC21">
        <f>IFERROR(VLOOKUP($D21,'Kalkulator mięs '!$C$5:$H$533,IC$4,0)*$AW21,0)</f>
        <v>0</v>
      </c>
      <c r="ID21">
        <f>IFERROR(VLOOKUP($D21,'Kalkulator mięs '!$C$5:$H$533,ID$4,0)*$AX21,0)</f>
        <v>0</v>
      </c>
      <c r="IE21">
        <f>IFERROR(VLOOKUP($D21,'Kalkulator mięs '!$C$5:$H$533,IE$4,0)*$AX21,0)</f>
        <v>0</v>
      </c>
      <c r="IF21">
        <f>IFERROR(VLOOKUP($D21,'Kalkulator mięs '!$C$5:$H$533,IF$4,0)*$AX21,0)</f>
        <v>0</v>
      </c>
      <c r="IG21">
        <f>IFERROR(VLOOKUP($D21,'Kalkulator mięs '!$C$5:$H$533,IG$4,0)*$AY21,0)</f>
        <v>0</v>
      </c>
      <c r="IH21">
        <f>IFERROR(VLOOKUP($D21,'Kalkulator mięs '!$C$5:$H$533,IH$4,0)*$AY21,0)</f>
        <v>0</v>
      </c>
      <c r="II21">
        <f>IFERROR(VLOOKUP($D21,'Kalkulator mięs '!$C$5:$H$533,II$4,0)*$AY21,0)</f>
        <v>0</v>
      </c>
      <c r="IJ21">
        <f>IFERROR(VLOOKUP($D21,'Kalkulator mięs '!$C$5:$H$533,IJ$4,0)*$AZ21,0)</f>
        <v>0</v>
      </c>
      <c r="IK21">
        <f>IFERROR(VLOOKUP($D21,'Kalkulator mięs '!$C$5:$H$533,IK$4,0)*$AZ21,0)</f>
        <v>0</v>
      </c>
      <c r="IL21">
        <f>IFERROR(VLOOKUP($D21,'Kalkulator mięs '!$C$5:$H$533,IL$4,0)*$AZ21,0)</f>
        <v>0</v>
      </c>
      <c r="IM21">
        <f>IFERROR(VLOOKUP($D21,'Kalkulator mięs '!$C$5:$H$533,IM$4,0)*$BA21,0)</f>
        <v>0</v>
      </c>
      <c r="IN21">
        <f>IFERROR(VLOOKUP($D21,'Kalkulator mięs '!$C$5:$H$533,IN$4,0)*$BA21,0)</f>
        <v>0</v>
      </c>
      <c r="IO21">
        <f>IFERROR(VLOOKUP($D21,'Kalkulator mięs '!$C$5:$H$533,IO$4,0)*$BA21,0)</f>
        <v>0</v>
      </c>
    </row>
    <row r="22" spans="1:249" ht="15.75">
      <c r="B22" t="str">
        <f>VLOOKUP(D22,Receptury_z!$A:$B,2,0)</f>
        <v>ON</v>
      </c>
      <c r="C22" s="16">
        <v>5559</v>
      </c>
      <c r="D22" s="19">
        <v>6551</v>
      </c>
      <c r="E22" s="18" t="s">
        <v>35</v>
      </c>
      <c r="F22" s="14">
        <f>IF($B22="OFF",BE22,VLOOKUP($D22,Receptury_z!$D:$AI,F$4,0))</f>
        <v>0</v>
      </c>
      <c r="G22" s="14">
        <f>IF($B22="OFF",BF22,VLOOKUP($D22,Receptury_z!$D:$AI,G$4,0))</f>
        <v>0</v>
      </c>
      <c r="H22" s="14">
        <f>IF($B22="OFF",BG22,VLOOKUP($D22,Receptury_z!$D:$AI,H$4,0))</f>
        <v>0</v>
      </c>
      <c r="I22" s="14">
        <f>IF($B22="OFF",BH22,VLOOKUP($D22,Receptury_z!$D:$AI,I$4,0))</f>
        <v>0</v>
      </c>
      <c r="J22" s="14">
        <f>IF($B22="OFF",BI22,VLOOKUP($D22,Receptury_z!$D:$AI,J$4,0))</f>
        <v>0</v>
      </c>
      <c r="K22" s="14">
        <f>IF($B22="OFF",BJ22,VLOOKUP($D22,Receptury_z!$D:$AI,K$4,0))</f>
        <v>0</v>
      </c>
      <c r="L22" s="14">
        <f>IF($B22="OFF",BK22,VLOOKUP($D22,Receptury_z!$D:$AI,L$4,0))</f>
        <v>0</v>
      </c>
      <c r="M22" s="14">
        <f>IF($B22="OFF",BL22,VLOOKUP($D22,Receptury_z!$D:$AI,M$4,0))</f>
        <v>0</v>
      </c>
      <c r="N22" s="14">
        <f>IF($B22="OFF",BM22,VLOOKUP($D22,Receptury_z!$D:$AI,N$4,0))</f>
        <v>0</v>
      </c>
      <c r="O22" s="14">
        <f>IF($B22="OFF",BN22,VLOOKUP($D22,Receptury_z!$D:$AI,O$4,0))</f>
        <v>0</v>
      </c>
      <c r="P22" s="14">
        <f>IF($B22="OFF",BO22,VLOOKUP($D22,Receptury_z!$D:$AI,P$4,0))</f>
        <v>0</v>
      </c>
      <c r="Q22" s="14">
        <f>IF($B22="OFF",BP22,VLOOKUP($D22,Receptury_z!$D:$AI,Q$4,0))</f>
        <v>0</v>
      </c>
      <c r="R22" s="14">
        <f>IF($B22="OFF",BQ22,VLOOKUP($D22,Receptury_z!$D:$AI,R$4,0))</f>
        <v>0</v>
      </c>
      <c r="S22" s="14">
        <f>IF($B22="OFF",BR22,VLOOKUP($D22,Receptury_z!$D:$AI,S$4,0))</f>
        <v>0</v>
      </c>
      <c r="T22" s="14">
        <f>IF($B22="OFF",BS22,VLOOKUP($D22,Receptury_z!$D:$AI,T$4,0))</f>
        <v>227.6</v>
      </c>
      <c r="U22" s="14">
        <f>IF($B22="OFF",BT22,VLOOKUP($D22,Receptury_z!$D:$AI,U$4,0))</f>
        <v>227.6</v>
      </c>
      <c r="V22" s="14">
        <f>IF($B22="OFF",BU22,VLOOKUP($D22,Receptury_z!$D:$AI,V$4,0))</f>
        <v>0</v>
      </c>
      <c r="W22" s="14">
        <f>IF($B22="OFF",BV22,VLOOKUP($D22,Receptury_z!$D:$AI,W$4,0))</f>
        <v>0</v>
      </c>
      <c r="X22" s="14">
        <f>IF($B22="OFF",BW22,VLOOKUP($D22,Receptury_z!$D:$AI,X$4,0))</f>
        <v>52</v>
      </c>
      <c r="Y22" s="14">
        <f>IF($B22="OFF",BX22,VLOOKUP($D22,Receptury_z!$D:$AI,Y$4,0))</f>
        <v>0</v>
      </c>
      <c r="Z22" s="14">
        <f>IF($B22="OFF",BY22,VLOOKUP($D22,Receptury_z!$D:$AI,Z$4,0))</f>
        <v>0</v>
      </c>
      <c r="AA22" s="14">
        <f>IF($B22="OFF",BZ22,VLOOKUP($D22,Receptury_z!$D:$AI,AA$4,0))</f>
        <v>0</v>
      </c>
      <c r="AB22" s="14">
        <f>IF($B22="OFF",CA22,VLOOKUP($D22,Receptury_z!$D:$AI,AB$4,0))</f>
        <v>39</v>
      </c>
      <c r="AC22" s="14">
        <f>IF($B22="OFF",CB22,VLOOKUP($D22,Receptury_z!$D:$AI,AC$4,0))</f>
        <v>0</v>
      </c>
      <c r="AD22" s="14">
        <f>IF($B22="OFF",CC22,VLOOKUP($D22,Receptury_z!$D:$AI,AD$4,0))</f>
        <v>0</v>
      </c>
      <c r="AE22" s="14">
        <f>IF($B22="OFF",CD22,VLOOKUP($D22,Receptury_z!$D:$AI,AE$4,0))</f>
        <v>0</v>
      </c>
      <c r="AF22" s="14">
        <f>IF($B22="OFF",CE22,VLOOKUP($D22,Receptury_z!$D:$AI,AF$4,0))</f>
        <v>0</v>
      </c>
      <c r="AG22" s="14">
        <f>IF($B22="OFF",CF22,VLOOKUP($D22,Receptury_z!$D:$AI,AG$4,0))</f>
        <v>0</v>
      </c>
      <c r="AH22" s="14">
        <f>IF($B22="OFF",CG22,VLOOKUP($D22,Receptury_z!$D:$AI,AH$4,0))</f>
        <v>0</v>
      </c>
      <c r="AI22" s="14">
        <f>IF($B22="OFF",CH22,VLOOKUP($D22,Receptury_z!$D:$AI,AI$4,0))</f>
        <v>0</v>
      </c>
      <c r="AJ22" s="14">
        <f>IF($B22="OFF",CI22,VLOOKUP($D22,Receptury_z!$D:$AS,AJ$4,0))</f>
        <v>0</v>
      </c>
      <c r="AK22" s="14">
        <f>IF($B22="OFF",CJ22,VLOOKUP($D22,Receptury_z!$D:$AS,AK$4,0))</f>
        <v>0</v>
      </c>
      <c r="AL22" s="14">
        <f>IF($B22="OFF",CK22,VLOOKUP($D22,Receptury_z!$D:$AS,AL$4,0))</f>
        <v>0</v>
      </c>
      <c r="AM22" s="14">
        <f>IF($B22="OFF",CL22,VLOOKUP($D22,Receptury_z!$D:$AS,AM$4,0))</f>
        <v>0</v>
      </c>
      <c r="AN22" s="14">
        <f>IF($B22="OFF",CM22,VLOOKUP($D22,Receptury_z!$D:$AS,AN$4,0))</f>
        <v>104</v>
      </c>
      <c r="AO22" s="14">
        <f>IF($B22="OFF",CN22,VLOOKUP($D22,Receptury_z!$D:$AS,AO$4,0))</f>
        <v>0</v>
      </c>
      <c r="AP22" s="14">
        <f>IF($B22="OFF",CO22,VLOOKUP($D22,Receptury_z!$D:$AS,AP$4,0))</f>
        <v>0</v>
      </c>
      <c r="AQ22" s="14">
        <f>IF($B22="OFF",CP22,VLOOKUP($D22,Receptury_z!$D:$AS,AQ$4,0))</f>
        <v>0</v>
      </c>
      <c r="AR22" s="14">
        <f>IF($B22="OFF",CQ22,VLOOKUP($D22,Receptury_z!$D:$AS,AR$4,0))</f>
        <v>0</v>
      </c>
      <c r="AS22" s="14">
        <f>IF($B22="OFF",CR22,VLOOKUP($D22,Receptury_z!$D:$AS,AS$4,0))</f>
        <v>0</v>
      </c>
      <c r="AT22" s="14">
        <f>IF($B22="OFF",CS22,VLOOKUP($D22,Receptury_z!$D:$AV,AT$4,0))</f>
        <v>0</v>
      </c>
      <c r="AU22" s="14">
        <f>IF($B22="OFF",CT22,VLOOKUP($D22,Receptury_z!$D:$AV,AU$4,0))</f>
        <v>0</v>
      </c>
      <c r="AV22" s="14">
        <f>IF($B22="OFF",CU22,VLOOKUP($D22,Receptury_z!$D:$AV,AV$4,0))</f>
        <v>0</v>
      </c>
      <c r="AW22" s="14">
        <f>IF($B22="OFF",CV22,VLOOKUP($D22,Receptury_z!$D:$BA,AW$4,0))</f>
        <v>0</v>
      </c>
      <c r="AX22" s="14">
        <f>IF($B22="OFF",CW22,VLOOKUP($D22,Receptury_z!$D:$BA,AX$4,0))</f>
        <v>0</v>
      </c>
      <c r="AY22" s="14">
        <f>IF($B22="OFF",CX22,VLOOKUP($D22,Receptury_z!$D:$BA,AY$4,0))</f>
        <v>0</v>
      </c>
      <c r="AZ22" s="14">
        <f>IF($B22="OFF",DA22,VLOOKUP($D22,Receptury_z!$D:$BA,AZ$4,0))</f>
        <v>0</v>
      </c>
      <c r="BA22" s="14">
        <f>IF($B22="OFF",DB22,VLOOKUP($D22,Receptury_z!$D:$BA,BA$4,0))</f>
        <v>0</v>
      </c>
      <c r="BC22" s="19">
        <v>6551</v>
      </c>
      <c r="BD22" s="18" t="s">
        <v>35</v>
      </c>
      <c r="BE22" s="239">
        <v>0</v>
      </c>
      <c r="BF22" s="239">
        <v>0</v>
      </c>
      <c r="BG22" s="239">
        <v>0</v>
      </c>
      <c r="BH22" s="239">
        <v>0</v>
      </c>
      <c r="BI22" s="239">
        <v>0</v>
      </c>
      <c r="BJ22" s="239">
        <v>0</v>
      </c>
      <c r="BK22" s="239">
        <v>0</v>
      </c>
      <c r="BL22" s="239">
        <v>0</v>
      </c>
      <c r="BM22" s="240">
        <v>60.47</v>
      </c>
      <c r="BN22" s="240">
        <f>50.18+50.18</f>
        <v>100.36</v>
      </c>
      <c r="BO22" s="239">
        <v>0</v>
      </c>
      <c r="BP22" s="239">
        <v>0</v>
      </c>
      <c r="BQ22" s="239">
        <v>0</v>
      </c>
      <c r="BR22" s="239">
        <v>0</v>
      </c>
      <c r="BS22" s="239"/>
      <c r="BT22" s="240">
        <v>320.37</v>
      </c>
      <c r="BU22" s="239">
        <v>0</v>
      </c>
      <c r="BV22" s="239">
        <v>0</v>
      </c>
      <c r="BW22" s="239">
        <v>0</v>
      </c>
      <c r="BX22" s="239">
        <v>0</v>
      </c>
      <c r="BY22" s="239">
        <v>0</v>
      </c>
      <c r="BZ22" s="239">
        <v>0</v>
      </c>
      <c r="CA22" s="240">
        <v>38.799999999999997</v>
      </c>
      <c r="CB22" s="239">
        <v>0</v>
      </c>
      <c r="CC22" s="239">
        <v>0</v>
      </c>
      <c r="CD22" s="239">
        <v>0</v>
      </c>
      <c r="CE22" s="239">
        <v>0</v>
      </c>
      <c r="CF22" s="239">
        <v>0</v>
      </c>
      <c r="CG22" s="239">
        <v>0</v>
      </c>
      <c r="CH22" s="239">
        <v>0</v>
      </c>
      <c r="CI22" s="239">
        <v>0</v>
      </c>
      <c r="CJ22" s="240">
        <v>60.47</v>
      </c>
      <c r="CK22" s="239">
        <v>0</v>
      </c>
      <c r="CL22" s="239">
        <v>0</v>
      </c>
      <c r="CM22" s="80"/>
      <c r="CN22" s="80"/>
      <c r="CO22" s="80"/>
      <c r="CP22" s="80"/>
      <c r="CQ22" s="80"/>
      <c r="CR22" s="80"/>
      <c r="CS22" s="80"/>
      <c r="CT22" s="241">
        <v>51.8</v>
      </c>
      <c r="CU22" s="80"/>
      <c r="CV22" s="80"/>
      <c r="CW22" s="80"/>
      <c r="CX22" s="80"/>
      <c r="CY22" s="80"/>
      <c r="CZ22" s="80"/>
      <c r="DB22">
        <f>IFERROR(VLOOKUP($D22,'Kalkulator mięs '!$C$5:$H$533,DB$4,0)*F22,0)</f>
        <v>0</v>
      </c>
      <c r="DC22">
        <f>IFERROR(VLOOKUP($D22,'Kalkulator mięs '!$C$5:$H$533,DC$4,0)*F22,0)</f>
        <v>0</v>
      </c>
      <c r="DD22">
        <f>IFERROR(VLOOKUP($D22,'Kalkulator mięs '!$C$5:$H$533,DD$4,0)*F22,0)</f>
        <v>0</v>
      </c>
      <c r="DE22">
        <f>IFERROR(VLOOKUP($D22,'Kalkulator mięs '!$C$5:$H$533,DE$4,0)*$G22,0)</f>
        <v>0</v>
      </c>
      <c r="DF22">
        <f>IFERROR(VLOOKUP($D22,'Kalkulator mięs '!$C$5:$H$533,DF$4,0)*$G22,0)</f>
        <v>0</v>
      </c>
      <c r="DG22">
        <f>IFERROR(VLOOKUP($D22,'Kalkulator mięs '!$C$5:$H$533,DG$4,0)*$G22,0)</f>
        <v>0</v>
      </c>
      <c r="DH22">
        <f>IFERROR(VLOOKUP($D22,'Kalkulator mięs '!$C$5:$H$533,DH$4,0)*$H22,0)</f>
        <v>0</v>
      </c>
      <c r="DI22">
        <f>IFERROR(VLOOKUP($D22,'Kalkulator mięs '!$C$5:$H$533,DI$4,0)*$H22,0)</f>
        <v>0</v>
      </c>
      <c r="DJ22">
        <f>IFERROR(VLOOKUP($D22,'Kalkulator mięs '!$C$5:$H$533,DJ$4,0)*$H22,0)</f>
        <v>0</v>
      </c>
      <c r="DK22">
        <f>IFERROR(VLOOKUP($D22,'Kalkulator mięs '!$C$5:$H$533,DK$4,0)*$I22,0)</f>
        <v>0</v>
      </c>
      <c r="DL22">
        <f>IFERROR(VLOOKUP($D22,'Kalkulator mięs '!$C$5:$H$533,DL$4,0)*$I22,0)</f>
        <v>0</v>
      </c>
      <c r="DM22">
        <f>IFERROR(VLOOKUP($D22,'Kalkulator mięs '!$C$5:$H$533,DM$4,0)*$I22,0)</f>
        <v>0</v>
      </c>
      <c r="DN22">
        <f>IFERROR(VLOOKUP($D22,'Kalkulator mięs '!$C$5:$H$533,DN$4,0)*$J22,0)</f>
        <v>0</v>
      </c>
      <c r="DO22">
        <f>IFERROR(VLOOKUP($D22,'Kalkulator mięs '!$C$5:$H$533,DO$4,0)*$J22,0)</f>
        <v>0</v>
      </c>
      <c r="DP22">
        <f>IFERROR(VLOOKUP($D22,'Kalkulator mięs '!$C$5:$H$533,DP$4,0)*$J22,0)</f>
        <v>0</v>
      </c>
      <c r="DQ22">
        <f>IFERROR(VLOOKUP($D22,'Kalkulator mięs '!$C$5:$H$533,DQ$4,0)*$K22,0)</f>
        <v>0</v>
      </c>
      <c r="DR22">
        <f>IFERROR(VLOOKUP($D22,'Kalkulator mięs '!$C$5:$H$533,DR$4,0)*$K22,0)</f>
        <v>0</v>
      </c>
      <c r="DS22">
        <f>IFERROR(VLOOKUP($D22,'Kalkulator mięs '!$C$5:$H$533,DS$4,0)*$K22,0)</f>
        <v>0</v>
      </c>
      <c r="DT22">
        <f>IFERROR(VLOOKUP($D22,'Kalkulator mięs '!$C$5:$H$533,DT$4,0)*$L22,0)</f>
        <v>0</v>
      </c>
      <c r="DU22">
        <f>IFERROR(VLOOKUP($D22,'Kalkulator mięs '!$C$5:$H$533,DU$4,0)*$L22,0)</f>
        <v>0</v>
      </c>
      <c r="DV22">
        <f>IFERROR(VLOOKUP($D22,'Kalkulator mięs '!$C$5:$H$533,DV$4,0)*$L22,0)</f>
        <v>0</v>
      </c>
      <c r="DW22">
        <f>IFERROR(VLOOKUP($D22,'Kalkulator mięs '!$C$5:$H$533,DW$4,0)*$M22,0)</f>
        <v>0</v>
      </c>
      <c r="DX22">
        <f>IFERROR(VLOOKUP($D22,'Kalkulator mięs '!$C$5:$H$533,DX$4,0)*$M22,0)</f>
        <v>0</v>
      </c>
      <c r="DY22">
        <f>IFERROR(VLOOKUP($D22,'Kalkulator mięs '!$C$5:$H$533,DY$4,0)*$M22,0)</f>
        <v>0</v>
      </c>
      <c r="DZ22">
        <f>IFERROR(VLOOKUP($D22,'Kalkulator mięs '!$C$5:$H$533,DZ$4,0)*$N22,0)</f>
        <v>0</v>
      </c>
      <c r="EA22">
        <f>IFERROR(VLOOKUP($D22,'Kalkulator mięs '!$C$5:$H$533,EA$4,0)*$N22,0)</f>
        <v>0</v>
      </c>
      <c r="EB22">
        <f>IFERROR(VLOOKUP($D22,'Kalkulator mięs '!$C$5:$H$533,EB$4,0)*$N22,0)</f>
        <v>0</v>
      </c>
      <c r="EC22">
        <f>IFERROR(VLOOKUP($D22,'Kalkulator mięs '!$C$5:$H$533,EC$4,0)*$O22,0)</f>
        <v>0</v>
      </c>
      <c r="ED22">
        <f>IFERROR(VLOOKUP($D22,'Kalkulator mięs '!$C$5:$H$533,ED$4,0)*$O22,0)</f>
        <v>0</v>
      </c>
      <c r="EE22">
        <f>IFERROR(VLOOKUP($D22,'Kalkulator mięs '!$C$5:$H$533,EE$4,0)*$O22,0)</f>
        <v>0</v>
      </c>
      <c r="EF22">
        <f>IFERROR(VLOOKUP($D22,'Kalkulator mięs '!$C$5:$H$533,EF$4,0)*$P22,0)</f>
        <v>0</v>
      </c>
      <c r="EG22">
        <f>IFERROR(VLOOKUP($D22,'Kalkulator mięs '!$C$5:$H$533,EG$4,0)*$P22,0)</f>
        <v>0</v>
      </c>
      <c r="EH22">
        <f>IFERROR(VLOOKUP($D22,'Kalkulator mięs '!$C$5:$H$533,EH$4,0)*$P22,0)</f>
        <v>0</v>
      </c>
      <c r="EI22">
        <f>IFERROR(VLOOKUP($D22,'Kalkulator mięs '!$C$5:$H$533,EI$4,0)*$Q22,0)</f>
        <v>0</v>
      </c>
      <c r="EJ22">
        <f>IFERROR(VLOOKUP($D22,'Kalkulator mięs '!$C$5:$H$533,EJ$4,0)*$Q22,0)</f>
        <v>0</v>
      </c>
      <c r="EK22">
        <f>IFERROR(VLOOKUP($D22,'Kalkulator mięs '!$C$5:$H$533,EK$4,0)*$Q22,0)</f>
        <v>0</v>
      </c>
      <c r="EL22">
        <f>IFERROR(VLOOKUP($D22,'Kalkulator mięs '!$C$5:$H$533,EL$4,0)*$R22,0)</f>
        <v>0</v>
      </c>
      <c r="EM22">
        <f>IFERROR(VLOOKUP($D22,'Kalkulator mięs '!$C$5:$H$533,EM$4,0)*$R22,0)</f>
        <v>0</v>
      </c>
      <c r="EN22">
        <f>IFERROR(VLOOKUP($D22,'Kalkulator mięs '!$C$5:$H$533,EN$4,0)*$R22,0)</f>
        <v>0</v>
      </c>
      <c r="EO22">
        <f>IFERROR(VLOOKUP($D22,'Kalkulator mięs '!$C$5:$H$533,EO$4,0)*$S22,0)</f>
        <v>0</v>
      </c>
      <c r="EP22">
        <f>IFERROR(VLOOKUP($D22,'Kalkulator mięs '!$C$5:$H$533,EP$4,0)*$S22,0)</f>
        <v>0</v>
      </c>
      <c r="EQ22">
        <f>IFERROR(VLOOKUP($D22,'Kalkulator mięs '!$C$5:$H$533,EQ$4,0)*$S22,0)</f>
        <v>0</v>
      </c>
      <c r="ER22">
        <f>IFERROR(VLOOKUP($D22,'Kalkulator mięs '!$C$5:$H$533,ER$4,0)*$T22,0)</f>
        <v>0</v>
      </c>
      <c r="ES22">
        <f>IFERROR(VLOOKUP($D22,'Kalkulator mięs '!$C$5:$H$533,ES$4,0)*$T22,0)</f>
        <v>0</v>
      </c>
      <c r="ET22">
        <f>IFERROR(VLOOKUP($D22,'Kalkulator mięs '!$C$5:$H$533,ET$4,0)*$T22,0)</f>
        <v>0</v>
      </c>
      <c r="EU22">
        <f>IFERROR(VLOOKUP($D22,'Kalkulator mięs '!$C$5:$H$533,EU$4,0)*$U22,0)</f>
        <v>0</v>
      </c>
      <c r="EV22">
        <f>IFERROR(VLOOKUP($D22,'Kalkulator mięs '!$C$5:$H$533,EV$4,0)*$U22,0)</f>
        <v>0</v>
      </c>
      <c r="EW22">
        <f>IFERROR(VLOOKUP($D22,'Kalkulator mięs '!$C$5:$H$533,EW$4,0)*$U22,0)</f>
        <v>0</v>
      </c>
      <c r="EX22">
        <f>IFERROR(VLOOKUP($D22,'Kalkulator mięs '!$C$5:$H$533,EX$4,0)*$V22,0)</f>
        <v>0</v>
      </c>
      <c r="EY22">
        <f>IFERROR(VLOOKUP($D22,'Kalkulator mięs '!$C$5:$H$533,EY$4,0)*$V22,0)</f>
        <v>0</v>
      </c>
      <c r="EZ22">
        <f>IFERROR(VLOOKUP($D22,'Kalkulator mięs '!$C$5:$H$533,EZ$4,0)*$V22,0)</f>
        <v>0</v>
      </c>
      <c r="FA22">
        <f>IFERROR(VLOOKUP($D22,'Kalkulator mięs '!$C$5:$H$533,FA$4,0)*$W22,0)</f>
        <v>0</v>
      </c>
      <c r="FB22">
        <f>IFERROR(VLOOKUP($D22,'Kalkulator mięs '!$C$5:$H$533,FB$4,0)*$W22,0)</f>
        <v>0</v>
      </c>
      <c r="FC22">
        <f>IFERROR(VLOOKUP($D22,'Kalkulator mięs '!$C$5:$H$533,FC$4,0)*$W22,0)</f>
        <v>0</v>
      </c>
      <c r="FD22">
        <f>IFERROR(VLOOKUP($D22,'Kalkulator mięs '!$C$5:$H$533,FD$4,0)*$X22,0)</f>
        <v>0</v>
      </c>
      <c r="FE22">
        <f>IFERROR(VLOOKUP($D22,'Kalkulator mięs '!$C$5:$H$533,FE$4,0)*$X22,0)</f>
        <v>0</v>
      </c>
      <c r="FF22">
        <f>IFERROR(VLOOKUP($D22,'Kalkulator mięs '!$C$5:$H$533,FF$4,0)*$X22,0)</f>
        <v>0</v>
      </c>
      <c r="FG22">
        <f>IFERROR(VLOOKUP($D22,'Kalkulator mięs '!$C$5:$H$533,FG$4,0)*$Y22,0)</f>
        <v>0</v>
      </c>
      <c r="FH22">
        <f>IFERROR(VLOOKUP($D22,'Kalkulator mięs '!$C$5:$H$533,FH$4,0)*$Y22,0)</f>
        <v>0</v>
      </c>
      <c r="FI22">
        <f>IFERROR(VLOOKUP($D22,'Kalkulator mięs '!$C$5:$H$533,FI$4,0)*$Y22,0)</f>
        <v>0</v>
      </c>
      <c r="FJ22">
        <f>IFERROR(VLOOKUP($D22,'Kalkulator mięs '!$C$5:$H$533,FJ$4,0)*$Z22,0)</f>
        <v>0</v>
      </c>
      <c r="FK22">
        <f>IFERROR(VLOOKUP($D22,'Kalkulator mięs '!$C$5:$H$533,FK$4,0)*$Z22,0)</f>
        <v>0</v>
      </c>
      <c r="FL22">
        <f>IFERROR(VLOOKUP($D22,'Kalkulator mięs '!$C$5:$H$533,FL$4,0)*$Z22,0)</f>
        <v>0</v>
      </c>
      <c r="FM22">
        <f>IFERROR(VLOOKUP($D22,'Kalkulator mięs '!$C$5:$H$533,FM$4,0)*$AA22,0)</f>
        <v>0</v>
      </c>
      <c r="FN22">
        <f>IFERROR(VLOOKUP($D22,'Kalkulator mięs '!$C$5:$H$533,FN$4,0)*$AA22,0)</f>
        <v>0</v>
      </c>
      <c r="FO22">
        <f>IFERROR(VLOOKUP($D22,'Kalkulator mięs '!$C$5:$H$533,FO$4,0)*$AA22,0)</f>
        <v>0</v>
      </c>
      <c r="FP22">
        <f>IFERROR(VLOOKUP($D22,'Kalkulator mięs '!$C$5:$H$533,FP$4,0)*$AB22,0)</f>
        <v>0</v>
      </c>
      <c r="FQ22">
        <f>IFERROR(VLOOKUP($D22,'Kalkulator mięs '!$C$5:$H$533,FQ$4,0)*$AB22,0)</f>
        <v>0</v>
      </c>
      <c r="FR22">
        <f>IFERROR(VLOOKUP($D22,'Kalkulator mięs '!$C$5:$H$533,FR$4,0)*$AB22,0)</f>
        <v>0</v>
      </c>
      <c r="FS22">
        <f>IFERROR(VLOOKUP($D22,'Kalkulator mięs '!$C$5:$H$533,FS$4,0)*$AC22,0)</f>
        <v>0</v>
      </c>
      <c r="FT22">
        <f>IFERROR(VLOOKUP($D22,'Kalkulator mięs '!$C$5:$H$533,FT$4,0)*$AC22,0)</f>
        <v>0</v>
      </c>
      <c r="FU22">
        <f>IFERROR(VLOOKUP($D22,'Kalkulator mięs '!$C$5:$H$533,FU$4,0)*$AC22,0)</f>
        <v>0</v>
      </c>
      <c r="FV22">
        <f>IFERROR(VLOOKUP($D22,'Kalkulator mięs '!$C$5:$H$533,FV$4,0)*$AD22,0)</f>
        <v>0</v>
      </c>
      <c r="FW22">
        <f>IFERROR(VLOOKUP($D22,'Kalkulator mięs '!$C$5:$H$533,FW$4,0)*$AD22,0)</f>
        <v>0</v>
      </c>
      <c r="FX22">
        <f>IFERROR(VLOOKUP($D22,'Kalkulator mięs '!$C$5:$H$533,FX$4,0)*$AD22,0)</f>
        <v>0</v>
      </c>
      <c r="FY22">
        <f>IFERROR(VLOOKUP($D22,'Kalkulator mięs '!$C$5:$H$533,FY$4,0)*$AE22,0)</f>
        <v>0</v>
      </c>
      <c r="FZ22">
        <f>IFERROR(VLOOKUP($D22,'Kalkulator mięs '!$C$5:$H$533,FZ$4,0)*$AE22,0)</f>
        <v>0</v>
      </c>
      <c r="GA22">
        <f>IFERROR(VLOOKUP($D22,'Kalkulator mięs '!$C$5:$H$533,GA$4,0)*$AE22,0)</f>
        <v>0</v>
      </c>
      <c r="GB22">
        <f>IFERROR(VLOOKUP($D22,'Kalkulator mięs '!$C$5:$H$533,GB$4,0)*$AF22,0)</f>
        <v>0</v>
      </c>
      <c r="GC22">
        <f>IFERROR(VLOOKUP($D22,'Kalkulator mięs '!$C$5:$H$533,GC$4,0)*$AF22,0)</f>
        <v>0</v>
      </c>
      <c r="GD22">
        <f>IFERROR(VLOOKUP($D22,'Kalkulator mięs '!$C$5:$H$533,GD$4,0)*$AF22,0)</f>
        <v>0</v>
      </c>
      <c r="GE22">
        <f>IFERROR(VLOOKUP($D22,'Kalkulator mięs '!$C$5:$H$533,GE$4,0)*$AG22,0)</f>
        <v>0</v>
      </c>
      <c r="GF22">
        <f>IFERROR(VLOOKUP($D22,'Kalkulator mięs '!$C$5:$H$533,GF$4,0)*$AG22,0)</f>
        <v>0</v>
      </c>
      <c r="GG22">
        <f>IFERROR(VLOOKUP($D22,'Kalkulator mięs '!$C$5:$H$533,GG$4,0)*$AG22,0)</f>
        <v>0</v>
      </c>
      <c r="GH22">
        <f>IFERROR(VLOOKUP($D22,'Kalkulator mięs '!$C$5:$H$533,GH$4,0)*$AH22,0)</f>
        <v>0</v>
      </c>
      <c r="GI22">
        <f>IFERROR(VLOOKUP($D22,'Kalkulator mięs '!$C$5:$H$533,GI$4,0)*$AH22,0)</f>
        <v>0</v>
      </c>
      <c r="GJ22">
        <f>IFERROR(VLOOKUP($D22,'Kalkulator mięs '!$C$5:$H$533,GJ$4,0)*$AH22,0)</f>
        <v>0</v>
      </c>
      <c r="GK22">
        <f>IFERROR(VLOOKUP($D22,'Kalkulator mięs '!$C$5:$H$533,GK$4,0)*$AI22,0)</f>
        <v>0</v>
      </c>
      <c r="GL22">
        <f>IFERROR(VLOOKUP($D22,'Kalkulator mięs '!$C$5:$H$533,GL$4,0)*$AI22,0)</f>
        <v>0</v>
      </c>
      <c r="GM22">
        <f>IFERROR(VLOOKUP($D22,'Kalkulator mięs '!$C$5:$H$533,GM$4,0)*$AI22,0)</f>
        <v>0</v>
      </c>
      <c r="GN22">
        <f>IFERROR(VLOOKUP($D22,'Kalkulator mięs '!$C$5:$H$533,GN$4,0)*$AJ22,0)</f>
        <v>0</v>
      </c>
      <c r="GO22">
        <f>IFERROR(VLOOKUP($D22,'Kalkulator mięs '!$C$5:$H$533,GO$4,0)*$AJ22,0)</f>
        <v>0</v>
      </c>
      <c r="GP22">
        <f>IFERROR(VLOOKUP($D22,'Kalkulator mięs '!$C$5:$H$533,GP$4,0)*$AJ22,0)</f>
        <v>0</v>
      </c>
      <c r="GQ22">
        <f>IFERROR(VLOOKUP($D22,'Kalkulator mięs '!$C$5:$H$533,GQ$4,0)*$AK22,0)</f>
        <v>0</v>
      </c>
      <c r="GR22">
        <f>IFERROR(VLOOKUP($D22,'Kalkulator mięs '!$C$5:$H$533,GR$4,0)*$AK22,0)</f>
        <v>0</v>
      </c>
      <c r="GS22">
        <f>IFERROR(VLOOKUP($D22,'Kalkulator mięs '!$C$5:$H$533,GS$4,0)*$AK22,0)</f>
        <v>0</v>
      </c>
      <c r="GT22">
        <f>IFERROR(VLOOKUP($D22,'Kalkulator mięs '!$C$5:$H$533,GT$4,0)*$AL22,0)</f>
        <v>0</v>
      </c>
      <c r="GU22">
        <f>IFERROR(VLOOKUP($D22,'Kalkulator mięs '!$C$5:$H$533,GU$4,0)*$AL22,0)</f>
        <v>0</v>
      </c>
      <c r="GV22">
        <f>IFERROR(VLOOKUP($D22,'Kalkulator mięs '!$C$5:$H$533,GV$4,0)*$AL22,0)</f>
        <v>0</v>
      </c>
      <c r="GW22">
        <f>IFERROR(VLOOKUP($D22,'Kalkulator mięs '!$C$5:$H$533,GW$4,0)*$AM22,0)</f>
        <v>0</v>
      </c>
      <c r="GX22">
        <f>IFERROR(VLOOKUP($D22,'Kalkulator mięs '!$C$5:$H$533,GX$4,0)*$AM22,0)</f>
        <v>0</v>
      </c>
      <c r="GY22">
        <f>IFERROR(VLOOKUP($D22,'Kalkulator mięs '!$C$5:$H$533,GY$4,0)*$AM22,0)</f>
        <v>0</v>
      </c>
      <c r="GZ22">
        <f>IFERROR(VLOOKUP($D22,'Kalkulator mięs '!$C$5:$H$533,GZ$4,0)*$AN22,0)</f>
        <v>0</v>
      </c>
      <c r="HA22">
        <f>IFERROR(VLOOKUP($D22,'Kalkulator mięs '!$C$5:$H$533,HA$4,0)*$AN22,0)</f>
        <v>0</v>
      </c>
      <c r="HB22">
        <f>IFERROR(VLOOKUP($D22,'Kalkulator mięs '!$C$5:$H$533,HB$4,0)*$AN22,0)</f>
        <v>0</v>
      </c>
      <c r="HC22">
        <f>IFERROR(VLOOKUP($D22,'Kalkulator mięs '!$C$5:$H$533,HC$4,0)*$AO22,0)</f>
        <v>0</v>
      </c>
      <c r="HD22">
        <f>IFERROR(VLOOKUP($D22,'Kalkulator mięs '!$C$5:$H$533,HD$4,0)*$AO22,0)</f>
        <v>0</v>
      </c>
      <c r="HE22">
        <f>IFERROR(VLOOKUP($D22,'Kalkulator mięs '!$C$5:$H$533,HE$4,0)*$AO22,0)</f>
        <v>0</v>
      </c>
      <c r="HF22">
        <f>IFERROR(VLOOKUP($D22,'Kalkulator mięs '!$C$5:$H$533,HF$4,0)*$AP22,0)</f>
        <v>0</v>
      </c>
      <c r="HG22">
        <f>IFERROR(VLOOKUP($D22,'Kalkulator mięs '!$C$5:$H$533,HG$4,0)*$AP22,0)</f>
        <v>0</v>
      </c>
      <c r="HH22">
        <f>IFERROR(VLOOKUP($D22,'Kalkulator mięs '!$C$5:$H$533,HH$4,0)*$AP22,0)</f>
        <v>0</v>
      </c>
      <c r="HI22">
        <f>IFERROR(VLOOKUP($D22,'Kalkulator mięs '!$C$5:$H$533,HI$4,0)*$AQ22,0)</f>
        <v>0</v>
      </c>
      <c r="HJ22">
        <f>IFERROR(VLOOKUP($D22,'Kalkulator mięs '!$C$5:$H$533,HJ$4,0)*$AQ22,0)</f>
        <v>0</v>
      </c>
      <c r="HK22">
        <f>IFERROR(VLOOKUP($D22,'Kalkulator mięs '!$C$5:$H$533,HK$4,0)*$AQ22,0)</f>
        <v>0</v>
      </c>
      <c r="HL22">
        <f>IFERROR(VLOOKUP($D22,'Kalkulator mięs '!$C$5:$H$533,HL$4,0)*$AR22,0)</f>
        <v>0</v>
      </c>
      <c r="HM22">
        <f>IFERROR(VLOOKUP($D22,'Kalkulator mięs '!$C$5:$H$533,HM$4,0)*$AR22,0)</f>
        <v>0</v>
      </c>
      <c r="HN22">
        <f>IFERROR(VLOOKUP($D22,'Kalkulator mięs '!$C$5:$H$533,HN$4,0)*$AR22,0)</f>
        <v>0</v>
      </c>
      <c r="HO22">
        <f>IFERROR(VLOOKUP($D22,'Kalkulator mięs '!$C$5:$H$533,HO$4,0)*$AS22,0)</f>
        <v>0</v>
      </c>
      <c r="HP22">
        <f>IFERROR(VLOOKUP($D22,'Kalkulator mięs '!$C$5:$H$533,HP$4,0)*$AS22,0)</f>
        <v>0</v>
      </c>
      <c r="HQ22">
        <f>IFERROR(VLOOKUP($D22,'Kalkulator mięs '!$C$5:$H$533,HQ$4,0)*$AS22,0)</f>
        <v>0</v>
      </c>
      <c r="HR22">
        <f>IFERROR(VLOOKUP($D22,'Kalkulator mięs '!$C$5:$H$533,HR$4,0)*$AT22,0)</f>
        <v>0</v>
      </c>
      <c r="HS22">
        <f>IFERROR(VLOOKUP($D22,'Kalkulator mięs '!$C$5:$H$533,HS$4,0)*$AT22,0)</f>
        <v>0</v>
      </c>
      <c r="HT22">
        <f>IFERROR(VLOOKUP($D22,'Kalkulator mięs '!$C$5:$H$533,HT$4,0)*$AT22,0)</f>
        <v>0</v>
      </c>
      <c r="HU22">
        <f>IFERROR(VLOOKUP($D22,'Kalkulator mięs '!$C$5:$H$533,HU$4,0)*$AU22,0)</f>
        <v>0</v>
      </c>
      <c r="HV22">
        <f>IFERROR(VLOOKUP($D22,'Kalkulator mięs '!$C$5:$H$533,HV$4,0)*$AU22,0)</f>
        <v>0</v>
      </c>
      <c r="HW22">
        <f>IFERROR(VLOOKUP($D22,'Kalkulator mięs '!$C$5:$H$533,HW$4,0)*$AU22,0)</f>
        <v>0</v>
      </c>
      <c r="HX22">
        <f>IFERROR(VLOOKUP($D22,'Kalkulator mięs '!$C$5:$H$533,HX$4,0)*$AV22,0)</f>
        <v>0</v>
      </c>
      <c r="HY22">
        <f>IFERROR(VLOOKUP($D22,'Kalkulator mięs '!$C$5:$H$533,HY$4,0)*$AV22,0)</f>
        <v>0</v>
      </c>
      <c r="HZ22">
        <f>IFERROR(VLOOKUP($D22,'Kalkulator mięs '!$C$5:$H$533,HZ$4,0)*$AV22,0)</f>
        <v>0</v>
      </c>
      <c r="IA22">
        <f>IFERROR(VLOOKUP($D22,'Kalkulator mięs '!$C$5:$H$533,IA$4,0)*$AW22,0)</f>
        <v>0</v>
      </c>
      <c r="IB22">
        <f>IFERROR(VLOOKUP($D22,'Kalkulator mięs '!$C$5:$H$533,IB$4,0)*$AW22,0)</f>
        <v>0</v>
      </c>
      <c r="IC22">
        <f>IFERROR(VLOOKUP($D22,'Kalkulator mięs '!$C$5:$H$533,IC$4,0)*$AW22,0)</f>
        <v>0</v>
      </c>
      <c r="ID22">
        <f>IFERROR(VLOOKUP($D22,'Kalkulator mięs '!$C$5:$H$533,ID$4,0)*$AX22,0)</f>
        <v>0</v>
      </c>
      <c r="IE22">
        <f>IFERROR(VLOOKUP($D22,'Kalkulator mięs '!$C$5:$H$533,IE$4,0)*$AX22,0)</f>
        <v>0</v>
      </c>
      <c r="IF22">
        <f>IFERROR(VLOOKUP($D22,'Kalkulator mięs '!$C$5:$H$533,IF$4,0)*$AX22,0)</f>
        <v>0</v>
      </c>
      <c r="IG22">
        <f>IFERROR(VLOOKUP($D22,'Kalkulator mięs '!$C$5:$H$533,IG$4,0)*$AY22,0)</f>
        <v>0</v>
      </c>
      <c r="IH22">
        <f>IFERROR(VLOOKUP($D22,'Kalkulator mięs '!$C$5:$H$533,IH$4,0)*$AY22,0)</f>
        <v>0</v>
      </c>
      <c r="II22">
        <f>IFERROR(VLOOKUP($D22,'Kalkulator mięs '!$C$5:$H$533,II$4,0)*$AY22,0)</f>
        <v>0</v>
      </c>
      <c r="IJ22">
        <f>IFERROR(VLOOKUP($D22,'Kalkulator mięs '!$C$5:$H$533,IJ$4,0)*$AZ22,0)</f>
        <v>0</v>
      </c>
      <c r="IK22">
        <f>IFERROR(VLOOKUP($D22,'Kalkulator mięs '!$C$5:$H$533,IK$4,0)*$AZ22,0)</f>
        <v>0</v>
      </c>
      <c r="IL22">
        <f>IFERROR(VLOOKUP($D22,'Kalkulator mięs '!$C$5:$H$533,IL$4,0)*$AZ22,0)</f>
        <v>0</v>
      </c>
      <c r="IM22">
        <f>IFERROR(VLOOKUP($D22,'Kalkulator mięs '!$C$5:$H$533,IM$4,0)*$BA22,0)</f>
        <v>0</v>
      </c>
      <c r="IN22">
        <f>IFERROR(VLOOKUP($D22,'Kalkulator mięs '!$C$5:$H$533,IN$4,0)*$BA22,0)</f>
        <v>0</v>
      </c>
      <c r="IO22">
        <f>IFERROR(VLOOKUP($D22,'Kalkulator mięs '!$C$5:$H$533,IO$4,0)*$BA22,0)</f>
        <v>0</v>
      </c>
    </row>
    <row r="23" spans="1:249" ht="15.75">
      <c r="A23" s="91"/>
      <c r="B23" t="str">
        <f>VLOOKUP(D23,Receptury_z!$A:$B,2,0)</f>
        <v>ON</v>
      </c>
      <c r="C23" s="16">
        <v>5476</v>
      </c>
      <c r="D23" s="19">
        <v>6454</v>
      </c>
      <c r="E23" s="18" t="s">
        <v>37</v>
      </c>
      <c r="F23" s="14">
        <f>IF($B23="OFF",BE23,VLOOKUP($D23,Receptury_z!$D:$AI,F$4,0))</f>
        <v>0</v>
      </c>
      <c r="G23" s="14">
        <f>IF($B23="OFF",BF23,VLOOKUP($D23,Receptury_z!$D:$AI,G$4,0))</f>
        <v>0</v>
      </c>
      <c r="H23" s="14">
        <f>IF($B23="OFF",BG23,VLOOKUP($D23,Receptury_z!$D:$AI,H$4,0))</f>
        <v>0</v>
      </c>
      <c r="I23" s="14">
        <f>IF($B23="OFF",BH23,VLOOKUP($D23,Receptury_z!$D:$AI,I$4,0))</f>
        <v>0</v>
      </c>
      <c r="J23" s="14">
        <f>IF($B23="OFF",BI23,VLOOKUP($D23,Receptury_z!$D:$AI,J$4,0))</f>
        <v>0</v>
      </c>
      <c r="K23" s="14">
        <f>IF($B23="OFF",BJ23,VLOOKUP($D23,Receptury_z!$D:$AI,K$4,0))</f>
        <v>0</v>
      </c>
      <c r="L23" s="14">
        <f>IF($B23="OFF",BK23,VLOOKUP($D23,Receptury_z!$D:$AI,L$4,0))</f>
        <v>0</v>
      </c>
      <c r="M23" s="14">
        <f>IF($B23="OFF",BL23,VLOOKUP($D23,Receptury_z!$D:$AI,M$4,0))</f>
        <v>0</v>
      </c>
      <c r="N23" s="14">
        <f>IF($B23="OFF",BM23,VLOOKUP($D23,Receptury_z!$D:$AI,N$4,0))</f>
        <v>0</v>
      </c>
      <c r="O23" s="14">
        <f>IF($B23="OFF",BN23,VLOOKUP($D23,Receptury_z!$D:$AI,O$4,0))</f>
        <v>0</v>
      </c>
      <c r="P23" s="14">
        <f>IF($B23="OFF",BO23,VLOOKUP($D23,Receptury_z!$D:$AI,P$4,0))</f>
        <v>0</v>
      </c>
      <c r="Q23" s="14">
        <f>IF($B23="OFF",BP23,VLOOKUP($D23,Receptury_z!$D:$AI,Q$4,0))</f>
        <v>0</v>
      </c>
      <c r="R23" s="14">
        <f>IF($B23="OFF",BQ23,VLOOKUP($D23,Receptury_z!$D:$AI,R$4,0))</f>
        <v>73.8</v>
      </c>
      <c r="S23" s="14">
        <f>IF($B23="OFF",BR23,VLOOKUP($D23,Receptury_z!$D:$AI,S$4,0))</f>
        <v>0</v>
      </c>
      <c r="T23" s="14">
        <f>IF($B23="OFF",BS23,VLOOKUP($D23,Receptury_z!$D:$AI,T$4,0))</f>
        <v>110.8</v>
      </c>
      <c r="U23" s="14">
        <f>IF($B23="OFF",BT23,VLOOKUP($D23,Receptury_z!$D:$AI,U$4,0))</f>
        <v>258.5</v>
      </c>
      <c r="V23" s="14">
        <f>IF($B23="OFF",BU23,VLOOKUP($D23,Receptury_z!$D:$AI,V$4,0))</f>
        <v>0</v>
      </c>
      <c r="W23" s="14">
        <f>IF($B23="OFF",BV23,VLOOKUP($D23,Receptury_z!$D:$AI,W$4,0))</f>
        <v>0</v>
      </c>
      <c r="X23" s="14">
        <f>IF($B23="OFF",BW23,VLOOKUP($D23,Receptury_z!$D:$AI,X$4,0))</f>
        <v>73.8</v>
      </c>
      <c r="Y23" s="14">
        <f>IF($B23="OFF",BX23,VLOOKUP($D23,Receptury_z!$D:$AI,Y$4,0))</f>
        <v>0</v>
      </c>
      <c r="Z23" s="14">
        <f>IF($B23="OFF",BY23,VLOOKUP($D23,Receptury_z!$D:$AI,Z$4,0))</f>
        <v>0</v>
      </c>
      <c r="AA23" s="14">
        <f>IF($B23="OFF",BZ23,VLOOKUP($D23,Receptury_z!$D:$AI,AA$4,0))</f>
        <v>0</v>
      </c>
      <c r="AB23" s="14">
        <f>IF($B23="OFF",CA23,VLOOKUP($D23,Receptury_z!$D:$AI,AB$4,0))</f>
        <v>221.5</v>
      </c>
      <c r="AC23" s="14">
        <f>IF($B23="OFF",CB23,VLOOKUP($D23,Receptury_z!$D:$AI,AC$4,0))</f>
        <v>0</v>
      </c>
      <c r="AD23" s="14">
        <f>IF($B23="OFF",CC23,VLOOKUP($D23,Receptury_z!$D:$AI,AD$4,0))</f>
        <v>0</v>
      </c>
      <c r="AE23" s="14">
        <f>IF($B23="OFF",CD23,VLOOKUP($D23,Receptury_z!$D:$AI,AE$4,0))</f>
        <v>0</v>
      </c>
      <c r="AF23" s="14">
        <f>IF($B23="OFF",CE23,VLOOKUP($D23,Receptury_z!$D:$AI,AF$4,0))</f>
        <v>0</v>
      </c>
      <c r="AG23" s="14">
        <f>IF($B23="OFF",CF23,VLOOKUP($D23,Receptury_z!$D:$AI,AG$4,0))</f>
        <v>0</v>
      </c>
      <c r="AH23" s="14">
        <f>IF($B23="OFF",CG23,VLOOKUP($D23,Receptury_z!$D:$AI,AH$4,0))</f>
        <v>0</v>
      </c>
      <c r="AI23" s="14">
        <f>IF($B23="OFF",CH23,VLOOKUP($D23,Receptury_z!$D:$AI,AI$4,0))</f>
        <v>0</v>
      </c>
      <c r="AJ23" s="14">
        <f>IF($B23="OFF",CI23,VLOOKUP($D23,Receptury_z!$D:$AS,AJ$4,0))</f>
        <v>0</v>
      </c>
      <c r="AK23" s="14">
        <f>IF($B23="OFF",CJ23,VLOOKUP($D23,Receptury_z!$D:$AS,AK$4,0))</f>
        <v>0</v>
      </c>
      <c r="AL23" s="14">
        <f>IF($B23="OFF",CK23,VLOOKUP($D23,Receptury_z!$D:$AS,AL$4,0))</f>
        <v>0</v>
      </c>
      <c r="AM23" s="14">
        <f>IF($B23="OFF",CL23,VLOOKUP($D23,Receptury_z!$D:$AS,AM$4,0))</f>
        <v>0</v>
      </c>
      <c r="AN23" s="14">
        <f>IF($B23="OFF",CM23,VLOOKUP($D23,Receptury_z!$D:$AS,AN$4,0))</f>
        <v>0</v>
      </c>
      <c r="AO23" s="14">
        <f>IF($B23="OFF",CN23,VLOOKUP($D23,Receptury_z!$D:$AS,AO$4,0))</f>
        <v>0</v>
      </c>
      <c r="AP23" s="14">
        <f>IF($B23="OFF",CO23,VLOOKUP($D23,Receptury_z!$D:$AS,AP$4,0))</f>
        <v>0</v>
      </c>
      <c r="AQ23" s="14">
        <f>IF($B23="OFF",CP23,VLOOKUP($D23,Receptury_z!$D:$AS,AQ$4,0))</f>
        <v>0</v>
      </c>
      <c r="AR23" s="14">
        <f>IF($B23="OFF",CQ23,VLOOKUP($D23,Receptury_z!$D:$AS,AR$4,0))</f>
        <v>0</v>
      </c>
      <c r="AS23" s="14">
        <f>IF($B23="OFF",CR23,VLOOKUP($D23,Receptury_z!$D:$AS,AS$4,0))</f>
        <v>0</v>
      </c>
      <c r="AT23" s="14">
        <f>IF($B23="OFF",CS23,VLOOKUP($D23,Receptury_z!$D:$AV,AT$4,0))</f>
        <v>0</v>
      </c>
      <c r="AU23" s="14">
        <f>IF($B23="OFF",CT23,VLOOKUP($D23,Receptury_z!$D:$AV,AU$4,0))</f>
        <v>0</v>
      </c>
      <c r="AV23" s="14">
        <f>IF($B23="OFF",CU23,VLOOKUP($D23,Receptury_z!$D:$AV,AV$4,0))</f>
        <v>0</v>
      </c>
      <c r="AW23" s="14">
        <f>IF($B23="OFF",CV23,VLOOKUP($D23,Receptury_z!$D:$BA,AW$4,0))</f>
        <v>0</v>
      </c>
      <c r="AX23" s="14">
        <f>IF($B23="OFF",CW23,VLOOKUP($D23,Receptury_z!$D:$BA,AX$4,0))</f>
        <v>0</v>
      </c>
      <c r="AY23" s="14">
        <f>IF($B23="OFF",CX23,VLOOKUP($D23,Receptury_z!$D:$BA,AY$4,0))</f>
        <v>0</v>
      </c>
      <c r="AZ23" s="14">
        <f>IF($B23="OFF",DA23,VLOOKUP($D23,Receptury_z!$D:$BA,AZ$4,0))</f>
        <v>0</v>
      </c>
      <c r="BA23" s="14">
        <f>IF($B23="OFF",DB23,VLOOKUP($D23,Receptury_z!$D:$BA,BA$4,0))</f>
        <v>0</v>
      </c>
      <c r="BC23" s="19">
        <v>6454</v>
      </c>
      <c r="BD23" s="18" t="s">
        <v>37</v>
      </c>
      <c r="BE23" s="239">
        <v>0</v>
      </c>
      <c r="BF23" s="239">
        <v>0</v>
      </c>
      <c r="BG23" s="239">
        <v>0</v>
      </c>
      <c r="BH23" s="239">
        <v>0</v>
      </c>
      <c r="BI23" s="239">
        <v>0</v>
      </c>
      <c r="BJ23" s="239">
        <v>0</v>
      </c>
      <c r="BK23" s="239">
        <v>0</v>
      </c>
      <c r="BL23" s="239">
        <v>0</v>
      </c>
      <c r="BM23" s="239">
        <v>0</v>
      </c>
      <c r="BN23" s="239">
        <v>0</v>
      </c>
      <c r="BO23" s="239">
        <v>0</v>
      </c>
      <c r="BP23" s="239">
        <v>0</v>
      </c>
      <c r="BQ23" s="239">
        <v>73.400000000000006</v>
      </c>
      <c r="BR23" s="239">
        <v>0</v>
      </c>
      <c r="BS23" s="239">
        <v>110.8</v>
      </c>
      <c r="BT23" s="239">
        <v>258.5</v>
      </c>
      <c r="BU23" s="239">
        <v>0</v>
      </c>
      <c r="BV23" s="239">
        <v>0</v>
      </c>
      <c r="BW23" s="239">
        <v>73.400000000000006</v>
      </c>
      <c r="BX23" s="239">
        <v>0</v>
      </c>
      <c r="BY23" s="239">
        <v>0</v>
      </c>
      <c r="BZ23" s="239">
        <v>0</v>
      </c>
      <c r="CA23" s="239">
        <v>220.1</v>
      </c>
      <c r="CB23" s="239">
        <v>0</v>
      </c>
      <c r="CC23" s="239">
        <v>0</v>
      </c>
      <c r="CD23" s="239">
        <v>0</v>
      </c>
      <c r="CE23" s="239">
        <v>0</v>
      </c>
      <c r="CF23" s="239">
        <v>0</v>
      </c>
      <c r="CG23" s="239">
        <v>0</v>
      </c>
      <c r="CH23" s="239">
        <v>0</v>
      </c>
      <c r="CI23" s="239">
        <v>0</v>
      </c>
      <c r="CJ23" s="239">
        <v>0</v>
      </c>
      <c r="CK23" s="239">
        <v>0</v>
      </c>
      <c r="CL23" s="239">
        <v>0</v>
      </c>
      <c r="CM23" s="80"/>
      <c r="CN23" s="80"/>
      <c r="CO23" s="80"/>
      <c r="CP23" s="80"/>
      <c r="CQ23" s="80"/>
      <c r="CR23" s="80"/>
      <c r="CS23" s="80"/>
      <c r="CT23" s="80"/>
      <c r="CU23" s="80"/>
      <c r="CV23" s="80"/>
      <c r="CW23" s="80"/>
      <c r="CX23" s="80"/>
      <c r="CY23" s="80"/>
      <c r="CZ23" s="80"/>
      <c r="DB23">
        <f>IFERROR(VLOOKUP($D23,'Kalkulator mięs '!$C$5:$H$533,DB$4,0)*F23,0)</f>
        <v>0</v>
      </c>
      <c r="DC23">
        <f>IFERROR(VLOOKUP($D23,'Kalkulator mięs '!$C$5:$H$533,DC$4,0)*F23,0)</f>
        <v>0</v>
      </c>
      <c r="DD23">
        <f>IFERROR(VLOOKUP($D23,'Kalkulator mięs '!$C$5:$H$533,DD$4,0)*F23,0)</f>
        <v>0</v>
      </c>
      <c r="DE23">
        <f>IFERROR(VLOOKUP($D23,'Kalkulator mięs '!$C$5:$H$533,DE$4,0)*$G23,0)</f>
        <v>0</v>
      </c>
      <c r="DF23">
        <f>IFERROR(VLOOKUP($D23,'Kalkulator mięs '!$C$5:$H$533,DF$4,0)*$G23,0)</f>
        <v>0</v>
      </c>
      <c r="DG23">
        <f>IFERROR(VLOOKUP($D23,'Kalkulator mięs '!$C$5:$H$533,DG$4,0)*$G23,0)</f>
        <v>0</v>
      </c>
      <c r="DH23">
        <f>IFERROR(VLOOKUP($D23,'Kalkulator mięs '!$C$5:$H$533,DH$4,0)*$H23,0)</f>
        <v>0</v>
      </c>
      <c r="DI23">
        <f>IFERROR(VLOOKUP($D23,'Kalkulator mięs '!$C$5:$H$533,DI$4,0)*$H23,0)</f>
        <v>0</v>
      </c>
      <c r="DJ23">
        <f>IFERROR(VLOOKUP($D23,'Kalkulator mięs '!$C$5:$H$533,DJ$4,0)*$H23,0)</f>
        <v>0</v>
      </c>
      <c r="DK23">
        <f>IFERROR(VLOOKUP($D23,'Kalkulator mięs '!$C$5:$H$533,DK$4,0)*$I23,0)</f>
        <v>0</v>
      </c>
      <c r="DL23">
        <f>IFERROR(VLOOKUP($D23,'Kalkulator mięs '!$C$5:$H$533,DL$4,0)*$I23,0)</f>
        <v>0</v>
      </c>
      <c r="DM23">
        <f>IFERROR(VLOOKUP($D23,'Kalkulator mięs '!$C$5:$H$533,DM$4,0)*$I23,0)</f>
        <v>0</v>
      </c>
      <c r="DN23">
        <f>IFERROR(VLOOKUP($D23,'Kalkulator mięs '!$C$5:$H$533,DN$4,0)*$J23,0)</f>
        <v>0</v>
      </c>
      <c r="DO23">
        <f>IFERROR(VLOOKUP($D23,'Kalkulator mięs '!$C$5:$H$533,DO$4,0)*$J23,0)</f>
        <v>0</v>
      </c>
      <c r="DP23">
        <f>IFERROR(VLOOKUP($D23,'Kalkulator mięs '!$C$5:$H$533,DP$4,0)*$J23,0)</f>
        <v>0</v>
      </c>
      <c r="DQ23">
        <f>IFERROR(VLOOKUP($D23,'Kalkulator mięs '!$C$5:$H$533,DQ$4,0)*$K23,0)</f>
        <v>0</v>
      </c>
      <c r="DR23">
        <f>IFERROR(VLOOKUP($D23,'Kalkulator mięs '!$C$5:$H$533,DR$4,0)*$K23,0)</f>
        <v>0</v>
      </c>
      <c r="DS23">
        <f>IFERROR(VLOOKUP($D23,'Kalkulator mięs '!$C$5:$H$533,DS$4,0)*$K23,0)</f>
        <v>0</v>
      </c>
      <c r="DT23">
        <f>IFERROR(VLOOKUP($D23,'Kalkulator mięs '!$C$5:$H$533,DT$4,0)*$L23,0)</f>
        <v>0</v>
      </c>
      <c r="DU23">
        <f>IFERROR(VLOOKUP($D23,'Kalkulator mięs '!$C$5:$H$533,DU$4,0)*$L23,0)</f>
        <v>0</v>
      </c>
      <c r="DV23">
        <f>IFERROR(VLOOKUP($D23,'Kalkulator mięs '!$C$5:$H$533,DV$4,0)*$L23,0)</f>
        <v>0</v>
      </c>
      <c r="DW23">
        <f>IFERROR(VLOOKUP($D23,'Kalkulator mięs '!$C$5:$H$533,DW$4,0)*$M23,0)</f>
        <v>0</v>
      </c>
      <c r="DX23">
        <f>IFERROR(VLOOKUP($D23,'Kalkulator mięs '!$C$5:$H$533,DX$4,0)*$M23,0)</f>
        <v>0</v>
      </c>
      <c r="DY23">
        <f>IFERROR(VLOOKUP($D23,'Kalkulator mięs '!$C$5:$H$533,DY$4,0)*$M23,0)</f>
        <v>0</v>
      </c>
      <c r="DZ23">
        <f>IFERROR(VLOOKUP($D23,'Kalkulator mięs '!$C$5:$H$533,DZ$4,0)*$N23,0)</f>
        <v>0</v>
      </c>
      <c r="EA23">
        <f>IFERROR(VLOOKUP($D23,'Kalkulator mięs '!$C$5:$H$533,EA$4,0)*$N23,0)</f>
        <v>0</v>
      </c>
      <c r="EB23">
        <f>IFERROR(VLOOKUP($D23,'Kalkulator mięs '!$C$5:$H$533,EB$4,0)*$N23,0)</f>
        <v>0</v>
      </c>
      <c r="EC23">
        <f>IFERROR(VLOOKUP($D23,'Kalkulator mięs '!$C$5:$H$533,EC$4,0)*$O23,0)</f>
        <v>0</v>
      </c>
      <c r="ED23">
        <f>IFERROR(VLOOKUP($D23,'Kalkulator mięs '!$C$5:$H$533,ED$4,0)*$O23,0)</f>
        <v>0</v>
      </c>
      <c r="EE23">
        <f>IFERROR(VLOOKUP($D23,'Kalkulator mięs '!$C$5:$H$533,EE$4,0)*$O23,0)</f>
        <v>0</v>
      </c>
      <c r="EF23">
        <f>IFERROR(VLOOKUP($D23,'Kalkulator mięs '!$C$5:$H$533,EF$4,0)*$P23,0)</f>
        <v>0</v>
      </c>
      <c r="EG23">
        <f>IFERROR(VLOOKUP($D23,'Kalkulator mięs '!$C$5:$H$533,EG$4,0)*$P23,0)</f>
        <v>0</v>
      </c>
      <c r="EH23">
        <f>IFERROR(VLOOKUP($D23,'Kalkulator mięs '!$C$5:$H$533,EH$4,0)*$P23,0)</f>
        <v>0</v>
      </c>
      <c r="EI23">
        <f>IFERROR(VLOOKUP($D23,'Kalkulator mięs '!$C$5:$H$533,EI$4,0)*$Q23,0)</f>
        <v>0</v>
      </c>
      <c r="EJ23">
        <f>IFERROR(VLOOKUP($D23,'Kalkulator mięs '!$C$5:$H$533,EJ$4,0)*$Q23,0)</f>
        <v>0</v>
      </c>
      <c r="EK23">
        <f>IFERROR(VLOOKUP($D23,'Kalkulator mięs '!$C$5:$H$533,EK$4,0)*$Q23,0)</f>
        <v>0</v>
      </c>
      <c r="EL23">
        <f>IFERROR(VLOOKUP($D23,'Kalkulator mięs '!$C$5:$H$533,EL$4,0)*$R23,0)</f>
        <v>0</v>
      </c>
      <c r="EM23">
        <f>IFERROR(VLOOKUP($D23,'Kalkulator mięs '!$C$5:$H$533,EM$4,0)*$R23,0)</f>
        <v>0</v>
      </c>
      <c r="EN23">
        <f>IFERROR(VLOOKUP($D23,'Kalkulator mięs '!$C$5:$H$533,EN$4,0)*$R23,0)</f>
        <v>0</v>
      </c>
      <c r="EO23">
        <f>IFERROR(VLOOKUP($D23,'Kalkulator mięs '!$C$5:$H$533,EO$4,0)*$S23,0)</f>
        <v>0</v>
      </c>
      <c r="EP23">
        <f>IFERROR(VLOOKUP($D23,'Kalkulator mięs '!$C$5:$H$533,EP$4,0)*$S23,0)</f>
        <v>0</v>
      </c>
      <c r="EQ23">
        <f>IFERROR(VLOOKUP($D23,'Kalkulator mięs '!$C$5:$H$533,EQ$4,0)*$S23,0)</f>
        <v>0</v>
      </c>
      <c r="ER23">
        <f>IFERROR(VLOOKUP($D23,'Kalkulator mięs '!$C$5:$H$533,ER$4,0)*$T23,0)</f>
        <v>0</v>
      </c>
      <c r="ES23">
        <f>IFERROR(VLOOKUP($D23,'Kalkulator mięs '!$C$5:$H$533,ES$4,0)*$T23,0)</f>
        <v>0</v>
      </c>
      <c r="ET23">
        <f>IFERROR(VLOOKUP($D23,'Kalkulator mięs '!$C$5:$H$533,ET$4,0)*$T23,0)</f>
        <v>0</v>
      </c>
      <c r="EU23">
        <f>IFERROR(VLOOKUP($D23,'Kalkulator mięs '!$C$5:$H$533,EU$4,0)*$U23,0)</f>
        <v>0</v>
      </c>
      <c r="EV23">
        <f>IFERROR(VLOOKUP($D23,'Kalkulator mięs '!$C$5:$H$533,EV$4,0)*$U23,0)</f>
        <v>0</v>
      </c>
      <c r="EW23">
        <f>IFERROR(VLOOKUP($D23,'Kalkulator mięs '!$C$5:$H$533,EW$4,0)*$U23,0)</f>
        <v>0</v>
      </c>
      <c r="EX23">
        <f>IFERROR(VLOOKUP($D23,'Kalkulator mięs '!$C$5:$H$533,EX$4,0)*$V23,0)</f>
        <v>0</v>
      </c>
      <c r="EY23">
        <f>IFERROR(VLOOKUP($D23,'Kalkulator mięs '!$C$5:$H$533,EY$4,0)*$V23,0)</f>
        <v>0</v>
      </c>
      <c r="EZ23">
        <f>IFERROR(VLOOKUP($D23,'Kalkulator mięs '!$C$5:$H$533,EZ$4,0)*$V23,0)</f>
        <v>0</v>
      </c>
      <c r="FA23">
        <f>IFERROR(VLOOKUP($D23,'Kalkulator mięs '!$C$5:$H$533,FA$4,0)*$W23,0)</f>
        <v>0</v>
      </c>
      <c r="FB23">
        <f>IFERROR(VLOOKUP($D23,'Kalkulator mięs '!$C$5:$H$533,FB$4,0)*$W23,0)</f>
        <v>0</v>
      </c>
      <c r="FC23">
        <f>IFERROR(VLOOKUP($D23,'Kalkulator mięs '!$C$5:$H$533,FC$4,0)*$W23,0)</f>
        <v>0</v>
      </c>
      <c r="FD23">
        <f>IFERROR(VLOOKUP($D23,'Kalkulator mięs '!$C$5:$H$533,FD$4,0)*$X23,0)</f>
        <v>0</v>
      </c>
      <c r="FE23">
        <f>IFERROR(VLOOKUP($D23,'Kalkulator mięs '!$C$5:$H$533,FE$4,0)*$X23,0)</f>
        <v>0</v>
      </c>
      <c r="FF23">
        <f>IFERROR(VLOOKUP($D23,'Kalkulator mięs '!$C$5:$H$533,FF$4,0)*$X23,0)</f>
        <v>0</v>
      </c>
      <c r="FG23">
        <f>IFERROR(VLOOKUP($D23,'Kalkulator mięs '!$C$5:$H$533,FG$4,0)*$Y23,0)</f>
        <v>0</v>
      </c>
      <c r="FH23">
        <f>IFERROR(VLOOKUP($D23,'Kalkulator mięs '!$C$5:$H$533,FH$4,0)*$Y23,0)</f>
        <v>0</v>
      </c>
      <c r="FI23">
        <f>IFERROR(VLOOKUP($D23,'Kalkulator mięs '!$C$5:$H$533,FI$4,0)*$Y23,0)</f>
        <v>0</v>
      </c>
      <c r="FJ23">
        <f>IFERROR(VLOOKUP($D23,'Kalkulator mięs '!$C$5:$H$533,FJ$4,0)*$Z23,0)</f>
        <v>0</v>
      </c>
      <c r="FK23">
        <f>IFERROR(VLOOKUP($D23,'Kalkulator mięs '!$C$5:$H$533,FK$4,0)*$Z23,0)</f>
        <v>0</v>
      </c>
      <c r="FL23">
        <f>IFERROR(VLOOKUP($D23,'Kalkulator mięs '!$C$5:$H$533,FL$4,0)*$Z23,0)</f>
        <v>0</v>
      </c>
      <c r="FM23">
        <f>IFERROR(VLOOKUP($D23,'Kalkulator mięs '!$C$5:$H$533,FM$4,0)*$AA23,0)</f>
        <v>0</v>
      </c>
      <c r="FN23">
        <f>IFERROR(VLOOKUP($D23,'Kalkulator mięs '!$C$5:$H$533,FN$4,0)*$AA23,0)</f>
        <v>0</v>
      </c>
      <c r="FO23">
        <f>IFERROR(VLOOKUP($D23,'Kalkulator mięs '!$C$5:$H$533,FO$4,0)*$AA23,0)</f>
        <v>0</v>
      </c>
      <c r="FP23">
        <f>IFERROR(VLOOKUP($D23,'Kalkulator mięs '!$C$5:$H$533,FP$4,0)*$AB23,0)</f>
        <v>0</v>
      </c>
      <c r="FQ23">
        <f>IFERROR(VLOOKUP($D23,'Kalkulator mięs '!$C$5:$H$533,FQ$4,0)*$AB23,0)</f>
        <v>0</v>
      </c>
      <c r="FR23">
        <f>IFERROR(VLOOKUP($D23,'Kalkulator mięs '!$C$5:$H$533,FR$4,0)*$AB23,0)</f>
        <v>0</v>
      </c>
      <c r="FS23">
        <f>IFERROR(VLOOKUP($D23,'Kalkulator mięs '!$C$5:$H$533,FS$4,0)*$AC23,0)</f>
        <v>0</v>
      </c>
      <c r="FT23">
        <f>IFERROR(VLOOKUP($D23,'Kalkulator mięs '!$C$5:$H$533,FT$4,0)*$AC23,0)</f>
        <v>0</v>
      </c>
      <c r="FU23">
        <f>IFERROR(VLOOKUP($D23,'Kalkulator mięs '!$C$5:$H$533,FU$4,0)*$AC23,0)</f>
        <v>0</v>
      </c>
      <c r="FV23">
        <f>IFERROR(VLOOKUP($D23,'Kalkulator mięs '!$C$5:$H$533,FV$4,0)*$AD23,0)</f>
        <v>0</v>
      </c>
      <c r="FW23">
        <f>IFERROR(VLOOKUP($D23,'Kalkulator mięs '!$C$5:$H$533,FW$4,0)*$AD23,0)</f>
        <v>0</v>
      </c>
      <c r="FX23">
        <f>IFERROR(VLOOKUP($D23,'Kalkulator mięs '!$C$5:$H$533,FX$4,0)*$AD23,0)</f>
        <v>0</v>
      </c>
      <c r="FY23">
        <f>IFERROR(VLOOKUP($D23,'Kalkulator mięs '!$C$5:$H$533,FY$4,0)*$AE23,0)</f>
        <v>0</v>
      </c>
      <c r="FZ23">
        <f>IFERROR(VLOOKUP($D23,'Kalkulator mięs '!$C$5:$H$533,FZ$4,0)*$AE23,0)</f>
        <v>0</v>
      </c>
      <c r="GA23">
        <f>IFERROR(VLOOKUP($D23,'Kalkulator mięs '!$C$5:$H$533,GA$4,0)*$AE23,0)</f>
        <v>0</v>
      </c>
      <c r="GB23">
        <f>IFERROR(VLOOKUP($D23,'Kalkulator mięs '!$C$5:$H$533,GB$4,0)*$AF23,0)</f>
        <v>0</v>
      </c>
      <c r="GC23">
        <f>IFERROR(VLOOKUP($D23,'Kalkulator mięs '!$C$5:$H$533,GC$4,0)*$AF23,0)</f>
        <v>0</v>
      </c>
      <c r="GD23">
        <f>IFERROR(VLOOKUP($D23,'Kalkulator mięs '!$C$5:$H$533,GD$4,0)*$AF23,0)</f>
        <v>0</v>
      </c>
      <c r="GE23">
        <f>IFERROR(VLOOKUP($D23,'Kalkulator mięs '!$C$5:$H$533,GE$4,0)*$AG23,0)</f>
        <v>0</v>
      </c>
      <c r="GF23">
        <f>IFERROR(VLOOKUP($D23,'Kalkulator mięs '!$C$5:$H$533,GF$4,0)*$AG23,0)</f>
        <v>0</v>
      </c>
      <c r="GG23">
        <f>IFERROR(VLOOKUP($D23,'Kalkulator mięs '!$C$5:$H$533,GG$4,0)*$AG23,0)</f>
        <v>0</v>
      </c>
      <c r="GH23">
        <f>IFERROR(VLOOKUP($D23,'Kalkulator mięs '!$C$5:$H$533,GH$4,0)*$AH23,0)</f>
        <v>0</v>
      </c>
      <c r="GI23">
        <f>IFERROR(VLOOKUP($D23,'Kalkulator mięs '!$C$5:$H$533,GI$4,0)*$AH23,0)</f>
        <v>0</v>
      </c>
      <c r="GJ23">
        <f>IFERROR(VLOOKUP($D23,'Kalkulator mięs '!$C$5:$H$533,GJ$4,0)*$AH23,0)</f>
        <v>0</v>
      </c>
      <c r="GK23">
        <f>IFERROR(VLOOKUP($D23,'Kalkulator mięs '!$C$5:$H$533,GK$4,0)*$AI23,0)</f>
        <v>0</v>
      </c>
      <c r="GL23">
        <f>IFERROR(VLOOKUP($D23,'Kalkulator mięs '!$C$5:$H$533,GL$4,0)*$AI23,0)</f>
        <v>0</v>
      </c>
      <c r="GM23">
        <f>IFERROR(VLOOKUP($D23,'Kalkulator mięs '!$C$5:$H$533,GM$4,0)*$AI23,0)</f>
        <v>0</v>
      </c>
      <c r="GN23">
        <f>IFERROR(VLOOKUP($D23,'Kalkulator mięs '!$C$5:$H$533,GN$4,0)*$AJ23,0)</f>
        <v>0</v>
      </c>
      <c r="GO23">
        <f>IFERROR(VLOOKUP($D23,'Kalkulator mięs '!$C$5:$H$533,GO$4,0)*$AJ23,0)</f>
        <v>0</v>
      </c>
      <c r="GP23">
        <f>IFERROR(VLOOKUP($D23,'Kalkulator mięs '!$C$5:$H$533,GP$4,0)*$AJ23,0)</f>
        <v>0</v>
      </c>
      <c r="GQ23">
        <f>IFERROR(VLOOKUP($D23,'Kalkulator mięs '!$C$5:$H$533,GQ$4,0)*$AK23,0)</f>
        <v>0</v>
      </c>
      <c r="GR23">
        <f>IFERROR(VLOOKUP($D23,'Kalkulator mięs '!$C$5:$H$533,GR$4,0)*$AK23,0)</f>
        <v>0</v>
      </c>
      <c r="GS23">
        <f>IFERROR(VLOOKUP($D23,'Kalkulator mięs '!$C$5:$H$533,GS$4,0)*$AK23,0)</f>
        <v>0</v>
      </c>
      <c r="GT23">
        <f>IFERROR(VLOOKUP($D23,'Kalkulator mięs '!$C$5:$H$533,GT$4,0)*$AL23,0)</f>
        <v>0</v>
      </c>
      <c r="GU23">
        <f>IFERROR(VLOOKUP($D23,'Kalkulator mięs '!$C$5:$H$533,GU$4,0)*$AL23,0)</f>
        <v>0</v>
      </c>
      <c r="GV23">
        <f>IFERROR(VLOOKUP($D23,'Kalkulator mięs '!$C$5:$H$533,GV$4,0)*$AL23,0)</f>
        <v>0</v>
      </c>
      <c r="GW23">
        <f>IFERROR(VLOOKUP($D23,'Kalkulator mięs '!$C$5:$H$533,GW$4,0)*$AM23,0)</f>
        <v>0</v>
      </c>
      <c r="GX23">
        <f>IFERROR(VLOOKUP($D23,'Kalkulator mięs '!$C$5:$H$533,GX$4,0)*$AM23,0)</f>
        <v>0</v>
      </c>
      <c r="GY23">
        <f>IFERROR(VLOOKUP($D23,'Kalkulator mięs '!$C$5:$H$533,GY$4,0)*$AM23,0)</f>
        <v>0</v>
      </c>
      <c r="GZ23">
        <f>IFERROR(VLOOKUP($D23,'Kalkulator mięs '!$C$5:$H$533,GZ$4,0)*$AN23,0)</f>
        <v>0</v>
      </c>
      <c r="HA23">
        <f>IFERROR(VLOOKUP($D23,'Kalkulator mięs '!$C$5:$H$533,HA$4,0)*$AN23,0)</f>
        <v>0</v>
      </c>
      <c r="HB23">
        <f>IFERROR(VLOOKUP($D23,'Kalkulator mięs '!$C$5:$H$533,HB$4,0)*$AN23,0)</f>
        <v>0</v>
      </c>
      <c r="HC23">
        <f>IFERROR(VLOOKUP($D23,'Kalkulator mięs '!$C$5:$H$533,HC$4,0)*$AO23,0)</f>
        <v>0</v>
      </c>
      <c r="HD23">
        <f>IFERROR(VLOOKUP($D23,'Kalkulator mięs '!$C$5:$H$533,HD$4,0)*$AO23,0)</f>
        <v>0</v>
      </c>
      <c r="HE23">
        <f>IFERROR(VLOOKUP($D23,'Kalkulator mięs '!$C$5:$H$533,HE$4,0)*$AO23,0)</f>
        <v>0</v>
      </c>
      <c r="HF23">
        <f>IFERROR(VLOOKUP($D23,'Kalkulator mięs '!$C$5:$H$533,HF$4,0)*$AP23,0)</f>
        <v>0</v>
      </c>
      <c r="HG23">
        <f>IFERROR(VLOOKUP($D23,'Kalkulator mięs '!$C$5:$H$533,HG$4,0)*$AP23,0)</f>
        <v>0</v>
      </c>
      <c r="HH23">
        <f>IFERROR(VLOOKUP($D23,'Kalkulator mięs '!$C$5:$H$533,HH$4,0)*$AP23,0)</f>
        <v>0</v>
      </c>
      <c r="HI23">
        <f>IFERROR(VLOOKUP($D23,'Kalkulator mięs '!$C$5:$H$533,HI$4,0)*$AQ23,0)</f>
        <v>0</v>
      </c>
      <c r="HJ23">
        <f>IFERROR(VLOOKUP($D23,'Kalkulator mięs '!$C$5:$H$533,HJ$4,0)*$AQ23,0)</f>
        <v>0</v>
      </c>
      <c r="HK23">
        <f>IFERROR(VLOOKUP($D23,'Kalkulator mięs '!$C$5:$H$533,HK$4,0)*$AQ23,0)</f>
        <v>0</v>
      </c>
      <c r="HL23">
        <f>IFERROR(VLOOKUP($D23,'Kalkulator mięs '!$C$5:$H$533,HL$4,0)*$AR23,0)</f>
        <v>0</v>
      </c>
      <c r="HM23">
        <f>IFERROR(VLOOKUP($D23,'Kalkulator mięs '!$C$5:$H$533,HM$4,0)*$AR23,0)</f>
        <v>0</v>
      </c>
      <c r="HN23">
        <f>IFERROR(VLOOKUP($D23,'Kalkulator mięs '!$C$5:$H$533,HN$4,0)*$AR23,0)</f>
        <v>0</v>
      </c>
      <c r="HO23">
        <f>IFERROR(VLOOKUP($D23,'Kalkulator mięs '!$C$5:$H$533,HO$4,0)*$AS23,0)</f>
        <v>0</v>
      </c>
      <c r="HP23">
        <f>IFERROR(VLOOKUP($D23,'Kalkulator mięs '!$C$5:$H$533,HP$4,0)*$AS23,0)</f>
        <v>0</v>
      </c>
      <c r="HQ23">
        <f>IFERROR(VLOOKUP($D23,'Kalkulator mięs '!$C$5:$H$533,HQ$4,0)*$AS23,0)</f>
        <v>0</v>
      </c>
      <c r="HR23">
        <f>IFERROR(VLOOKUP($D23,'Kalkulator mięs '!$C$5:$H$533,HR$4,0)*$AT23,0)</f>
        <v>0</v>
      </c>
      <c r="HS23">
        <f>IFERROR(VLOOKUP($D23,'Kalkulator mięs '!$C$5:$H$533,HS$4,0)*$AT23,0)</f>
        <v>0</v>
      </c>
      <c r="HT23">
        <f>IFERROR(VLOOKUP($D23,'Kalkulator mięs '!$C$5:$H$533,HT$4,0)*$AT23,0)</f>
        <v>0</v>
      </c>
      <c r="HU23">
        <f>IFERROR(VLOOKUP($D23,'Kalkulator mięs '!$C$5:$H$533,HU$4,0)*$AU23,0)</f>
        <v>0</v>
      </c>
      <c r="HV23">
        <f>IFERROR(VLOOKUP($D23,'Kalkulator mięs '!$C$5:$H$533,HV$4,0)*$AU23,0)</f>
        <v>0</v>
      </c>
      <c r="HW23">
        <f>IFERROR(VLOOKUP($D23,'Kalkulator mięs '!$C$5:$H$533,HW$4,0)*$AU23,0)</f>
        <v>0</v>
      </c>
      <c r="HX23">
        <f>IFERROR(VLOOKUP($D23,'Kalkulator mięs '!$C$5:$H$533,HX$4,0)*$AV23,0)</f>
        <v>0</v>
      </c>
      <c r="HY23">
        <f>IFERROR(VLOOKUP($D23,'Kalkulator mięs '!$C$5:$H$533,HY$4,0)*$AV23,0)</f>
        <v>0</v>
      </c>
      <c r="HZ23">
        <f>IFERROR(VLOOKUP($D23,'Kalkulator mięs '!$C$5:$H$533,HZ$4,0)*$AV23,0)</f>
        <v>0</v>
      </c>
      <c r="IA23">
        <f>IFERROR(VLOOKUP($D23,'Kalkulator mięs '!$C$5:$H$533,IA$4,0)*$AW23,0)</f>
        <v>0</v>
      </c>
      <c r="IB23">
        <f>IFERROR(VLOOKUP($D23,'Kalkulator mięs '!$C$5:$H$533,IB$4,0)*$AW23,0)</f>
        <v>0</v>
      </c>
      <c r="IC23">
        <f>IFERROR(VLOOKUP($D23,'Kalkulator mięs '!$C$5:$H$533,IC$4,0)*$AW23,0)</f>
        <v>0</v>
      </c>
      <c r="ID23">
        <f>IFERROR(VLOOKUP($D23,'Kalkulator mięs '!$C$5:$H$533,ID$4,0)*$AX23,0)</f>
        <v>0</v>
      </c>
      <c r="IE23">
        <f>IFERROR(VLOOKUP($D23,'Kalkulator mięs '!$C$5:$H$533,IE$4,0)*$AX23,0)</f>
        <v>0</v>
      </c>
      <c r="IF23">
        <f>IFERROR(VLOOKUP($D23,'Kalkulator mięs '!$C$5:$H$533,IF$4,0)*$AX23,0)</f>
        <v>0</v>
      </c>
      <c r="IG23">
        <f>IFERROR(VLOOKUP($D23,'Kalkulator mięs '!$C$5:$H$533,IG$4,0)*$AY23,0)</f>
        <v>0</v>
      </c>
      <c r="IH23">
        <f>IFERROR(VLOOKUP($D23,'Kalkulator mięs '!$C$5:$H$533,IH$4,0)*$AY23,0)</f>
        <v>0</v>
      </c>
      <c r="II23">
        <f>IFERROR(VLOOKUP($D23,'Kalkulator mięs '!$C$5:$H$533,II$4,0)*$AY23,0)</f>
        <v>0</v>
      </c>
      <c r="IJ23">
        <f>IFERROR(VLOOKUP($D23,'Kalkulator mięs '!$C$5:$H$533,IJ$4,0)*$AZ23,0)</f>
        <v>0</v>
      </c>
      <c r="IK23">
        <f>IFERROR(VLOOKUP($D23,'Kalkulator mięs '!$C$5:$H$533,IK$4,0)*$AZ23,0)</f>
        <v>0</v>
      </c>
      <c r="IL23">
        <f>IFERROR(VLOOKUP($D23,'Kalkulator mięs '!$C$5:$H$533,IL$4,0)*$AZ23,0)</f>
        <v>0</v>
      </c>
      <c r="IM23">
        <f>IFERROR(VLOOKUP($D23,'Kalkulator mięs '!$C$5:$H$533,IM$4,0)*$BA23,0)</f>
        <v>0</v>
      </c>
      <c r="IN23">
        <f>IFERROR(VLOOKUP($D23,'Kalkulator mięs '!$C$5:$H$533,IN$4,0)*$BA23,0)</f>
        <v>0</v>
      </c>
      <c r="IO23">
        <f>IFERROR(VLOOKUP($D23,'Kalkulator mięs '!$C$5:$H$533,IO$4,0)*$BA23,0)</f>
        <v>0</v>
      </c>
    </row>
    <row r="24" spans="1:249" ht="15.75">
      <c r="A24" s="91"/>
      <c r="B24" t="str">
        <f>VLOOKUP(D24,Receptury_z!$A:$B,2,0)</f>
        <v>ON</v>
      </c>
      <c r="C24" s="16">
        <v>5553</v>
      </c>
      <c r="D24" s="19">
        <v>6457</v>
      </c>
      <c r="E24" s="18" t="s">
        <v>38</v>
      </c>
      <c r="F24" s="14">
        <f>IF($B24="OFF",BE24,VLOOKUP($D24,Receptury_z!$D:$AI,F$4,0))</f>
        <v>0</v>
      </c>
      <c r="G24" s="14">
        <f>IF($B24="OFF",BF24,VLOOKUP($D24,Receptury_z!$D:$AI,G$4,0))</f>
        <v>0</v>
      </c>
      <c r="H24" s="14">
        <f>IF($B24="OFF",BG24,VLOOKUP($D24,Receptury_z!$D:$AI,H$4,0))</f>
        <v>0</v>
      </c>
      <c r="I24" s="14">
        <f>IF($B24="OFF",BH24,VLOOKUP($D24,Receptury_z!$D:$AI,I$4,0))</f>
        <v>0</v>
      </c>
      <c r="J24" s="14">
        <f>IF($B24="OFF",BI24,VLOOKUP($D24,Receptury_z!$D:$AI,J$4,0))</f>
        <v>0</v>
      </c>
      <c r="K24" s="14">
        <f>IF($B24="OFF",BJ24,VLOOKUP($D24,Receptury_z!$D:$AI,K$4,0))</f>
        <v>0</v>
      </c>
      <c r="L24" s="14">
        <f>IF($B24="OFF",BK24,VLOOKUP($D24,Receptury_z!$D:$AI,L$4,0))</f>
        <v>0</v>
      </c>
      <c r="M24" s="14">
        <f>IF($B24="OFF",BL24,VLOOKUP($D24,Receptury_z!$D:$AI,M$4,0))</f>
        <v>0</v>
      </c>
      <c r="N24" s="14">
        <f>IF($B24="OFF",BM24,VLOOKUP($D24,Receptury_z!$D:$AI,N$4,0))</f>
        <v>0</v>
      </c>
      <c r="O24" s="14">
        <f>IF($B24="OFF",BN24,VLOOKUP($D24,Receptury_z!$D:$AI,O$4,0))</f>
        <v>0</v>
      </c>
      <c r="P24" s="14">
        <f>IF($B24="OFF",BO24,VLOOKUP($D24,Receptury_z!$D:$AI,P$4,0))</f>
        <v>0</v>
      </c>
      <c r="Q24" s="14">
        <f>IF($B24="OFF",BP24,VLOOKUP($D24,Receptury_z!$D:$AI,Q$4,0))</f>
        <v>0</v>
      </c>
      <c r="R24" s="14">
        <f>IF($B24="OFF",BQ24,VLOOKUP($D24,Receptury_z!$D:$AI,R$4,0))</f>
        <v>70</v>
      </c>
      <c r="S24" s="14">
        <f>IF($B24="OFF",BR24,VLOOKUP($D24,Receptury_z!$D:$AI,S$4,0))</f>
        <v>0</v>
      </c>
      <c r="T24" s="14">
        <f>IF($B24="OFF",BS24,VLOOKUP($D24,Receptury_z!$D:$AI,T$4,0))</f>
        <v>111.1</v>
      </c>
      <c r="U24" s="14">
        <f>IF($B24="OFF",BT24,VLOOKUP($D24,Receptury_z!$D:$AI,U$4,0))</f>
        <v>263.2</v>
      </c>
      <c r="V24" s="14">
        <f>IF($B24="OFF",BU24,VLOOKUP($D24,Receptury_z!$D:$AI,V$4,0))</f>
        <v>0</v>
      </c>
      <c r="W24" s="14">
        <f>IF($B24="OFF",BV24,VLOOKUP($D24,Receptury_z!$D:$AI,W$4,0))</f>
        <v>0</v>
      </c>
      <c r="X24" s="14">
        <f>IF($B24="OFF",BW24,VLOOKUP($D24,Receptury_z!$D:$AI,X$4,0))</f>
        <v>74</v>
      </c>
      <c r="Y24" s="14">
        <f>IF($B24="OFF",BX24,VLOOKUP($D24,Receptury_z!$D:$AI,Y$4,0))</f>
        <v>0</v>
      </c>
      <c r="Z24" s="14">
        <f>IF($B24="OFF",BY24,VLOOKUP($D24,Receptury_z!$D:$AI,Z$4,0))</f>
        <v>0</v>
      </c>
      <c r="AA24" s="14">
        <f>IF($B24="OFF",BZ24,VLOOKUP($D24,Receptury_z!$D:$AI,AA$4,0))</f>
        <v>0</v>
      </c>
      <c r="AB24" s="14">
        <f>IF($B24="OFF",CA24,VLOOKUP($D24,Receptury_z!$D:$AI,AB$4,0))</f>
        <v>222.1</v>
      </c>
      <c r="AC24" s="14">
        <f>IF($B24="OFF",CB24,VLOOKUP($D24,Receptury_z!$D:$AI,AC$4,0))</f>
        <v>0</v>
      </c>
      <c r="AD24" s="14">
        <f>IF($B24="OFF",CC24,VLOOKUP($D24,Receptury_z!$D:$AI,AD$4,0))</f>
        <v>0</v>
      </c>
      <c r="AE24" s="14">
        <f>IF($B24="OFF",CD24,VLOOKUP($D24,Receptury_z!$D:$AI,AE$4,0))</f>
        <v>0</v>
      </c>
      <c r="AF24" s="14">
        <f>IF($B24="OFF",CE24,VLOOKUP($D24,Receptury_z!$D:$AI,AF$4,0))</f>
        <v>0</v>
      </c>
      <c r="AG24" s="14">
        <f>IF($B24="OFF",CF24,VLOOKUP($D24,Receptury_z!$D:$AI,AG$4,0))</f>
        <v>0</v>
      </c>
      <c r="AH24" s="14">
        <f>IF($B24="OFF",CG24,VLOOKUP($D24,Receptury_z!$D:$AI,AH$4,0))</f>
        <v>0</v>
      </c>
      <c r="AI24" s="14">
        <f>IF($B24="OFF",CH24,VLOOKUP($D24,Receptury_z!$D:$AI,AI$4,0))</f>
        <v>0</v>
      </c>
      <c r="AJ24" s="14">
        <f>IF($B24="OFF",CI24,VLOOKUP($D24,Receptury_z!$D:$AS,AJ$4,0))</f>
        <v>0</v>
      </c>
      <c r="AK24" s="14">
        <f>IF($B24="OFF",CJ24,VLOOKUP($D24,Receptury_z!$D:$AS,AK$4,0))</f>
        <v>0</v>
      </c>
      <c r="AL24" s="14">
        <f>IF($B24="OFF",CK24,VLOOKUP($D24,Receptury_z!$D:$AS,AL$4,0))</f>
        <v>0</v>
      </c>
      <c r="AM24" s="14">
        <f>IF($B24="OFF",CL24,VLOOKUP($D24,Receptury_z!$D:$AS,AM$4,0))</f>
        <v>0</v>
      </c>
      <c r="AN24" s="14">
        <f>IF($B24="OFF",CM24,VLOOKUP($D24,Receptury_z!$D:$AS,AN$4,0))</f>
        <v>0</v>
      </c>
      <c r="AO24" s="14">
        <f>IF($B24="OFF",CN24,VLOOKUP($D24,Receptury_z!$D:$AS,AO$4,0))</f>
        <v>0</v>
      </c>
      <c r="AP24" s="14">
        <f>IF($B24="OFF",CO24,VLOOKUP($D24,Receptury_z!$D:$AS,AP$4,0))</f>
        <v>0</v>
      </c>
      <c r="AQ24" s="14">
        <f>IF($B24="OFF",CP24,VLOOKUP($D24,Receptury_z!$D:$AS,AQ$4,0))</f>
        <v>0</v>
      </c>
      <c r="AR24" s="14">
        <f>IF($B24="OFF",CQ24,VLOOKUP($D24,Receptury_z!$D:$AS,AR$4,0))</f>
        <v>0</v>
      </c>
      <c r="AS24" s="14">
        <f>IF($B24="OFF",CR24,VLOOKUP($D24,Receptury_z!$D:$AS,AS$4,0))</f>
        <v>0</v>
      </c>
      <c r="AT24" s="14">
        <f>IF($B24="OFF",CS24,VLOOKUP($D24,Receptury_z!$D:$AV,AT$4,0))</f>
        <v>0</v>
      </c>
      <c r="AU24" s="14">
        <f>IF($B24="OFF",CT24,VLOOKUP($D24,Receptury_z!$D:$AV,AU$4,0))</f>
        <v>0</v>
      </c>
      <c r="AV24" s="14">
        <f>IF($B24="OFF",CU24,VLOOKUP($D24,Receptury_z!$D:$AV,AV$4,0))</f>
        <v>0</v>
      </c>
      <c r="AW24" s="14">
        <f>IF($B24="OFF",CV24,VLOOKUP($D24,Receptury_z!$D:$BA,AW$4,0))</f>
        <v>0</v>
      </c>
      <c r="AX24" s="14">
        <f>IF($B24="OFF",CW24,VLOOKUP($D24,Receptury_z!$D:$BA,AX$4,0))</f>
        <v>0</v>
      </c>
      <c r="AY24" s="14">
        <f>IF($B24="OFF",CX24,VLOOKUP($D24,Receptury_z!$D:$BA,AY$4,0))</f>
        <v>0</v>
      </c>
      <c r="AZ24" s="14">
        <f>IF($B24="OFF",DA24,VLOOKUP($D24,Receptury_z!$D:$BA,AZ$4,0))</f>
        <v>0</v>
      </c>
      <c r="BA24" s="14">
        <f>IF($B24="OFF",DB24,VLOOKUP($D24,Receptury_z!$D:$BA,BA$4,0))</f>
        <v>0</v>
      </c>
      <c r="BC24" s="19">
        <v>6457</v>
      </c>
      <c r="BD24" s="18" t="s">
        <v>38</v>
      </c>
      <c r="BE24" s="239">
        <v>0</v>
      </c>
      <c r="BF24" s="239">
        <v>0</v>
      </c>
      <c r="BG24" s="239">
        <v>0</v>
      </c>
      <c r="BH24" s="239">
        <v>0</v>
      </c>
      <c r="BI24" s="239">
        <v>0</v>
      </c>
      <c r="BJ24" s="239">
        <v>0</v>
      </c>
      <c r="BK24" s="239">
        <v>0</v>
      </c>
      <c r="BL24" s="239">
        <v>0</v>
      </c>
      <c r="BM24" s="239">
        <v>0</v>
      </c>
      <c r="BN24" s="239">
        <v>0</v>
      </c>
      <c r="BO24" s="239">
        <v>0</v>
      </c>
      <c r="BP24" s="239">
        <v>0</v>
      </c>
      <c r="BQ24" s="239">
        <v>0</v>
      </c>
      <c r="BR24" s="239">
        <v>0</v>
      </c>
      <c r="BS24" s="239">
        <v>111.1</v>
      </c>
      <c r="BT24" s="239">
        <v>333.2</v>
      </c>
      <c r="BU24" s="239">
        <v>0</v>
      </c>
      <c r="BV24" s="239">
        <v>0</v>
      </c>
      <c r="BW24" s="239">
        <v>73.5</v>
      </c>
      <c r="BX24" s="239">
        <v>0</v>
      </c>
      <c r="BY24" s="239">
        <v>0</v>
      </c>
      <c r="BZ24" s="239">
        <v>0</v>
      </c>
      <c r="CA24" s="239">
        <v>220.4</v>
      </c>
      <c r="CB24" s="239">
        <v>0</v>
      </c>
      <c r="CC24" s="239">
        <v>0</v>
      </c>
      <c r="CD24" s="239">
        <v>0</v>
      </c>
      <c r="CE24" s="239">
        <v>0</v>
      </c>
      <c r="CF24" s="239">
        <v>0</v>
      </c>
      <c r="CG24" s="239">
        <v>0</v>
      </c>
      <c r="CH24" s="239">
        <v>0</v>
      </c>
      <c r="CI24" s="239">
        <v>0</v>
      </c>
      <c r="CJ24" s="239">
        <v>0</v>
      </c>
      <c r="CK24" s="239">
        <v>0</v>
      </c>
      <c r="CL24" s="239">
        <v>0</v>
      </c>
      <c r="CM24" s="80"/>
      <c r="CN24" s="80"/>
      <c r="CO24" s="80"/>
      <c r="CP24" s="80"/>
      <c r="CQ24" s="80"/>
      <c r="CR24" s="80"/>
      <c r="CS24" s="80"/>
      <c r="CT24" s="80"/>
      <c r="CU24" s="80"/>
      <c r="CV24" s="80"/>
      <c r="CW24" s="80"/>
      <c r="CX24" s="80"/>
      <c r="CY24" s="80"/>
      <c r="CZ24" s="80"/>
      <c r="DB24">
        <f>IFERROR(VLOOKUP($D24,'Kalkulator mięs '!$C$5:$H$533,DB$4,0)*F24,0)</f>
        <v>0</v>
      </c>
      <c r="DC24">
        <f>IFERROR(VLOOKUP($D24,'Kalkulator mięs '!$C$5:$H$533,DC$4,0)*F24,0)</f>
        <v>0</v>
      </c>
      <c r="DD24">
        <f>IFERROR(VLOOKUP($D24,'Kalkulator mięs '!$C$5:$H$533,DD$4,0)*F24,0)</f>
        <v>0</v>
      </c>
      <c r="DE24">
        <f>IFERROR(VLOOKUP($D24,'Kalkulator mięs '!$C$5:$H$533,DE$4,0)*$G24,0)</f>
        <v>0</v>
      </c>
      <c r="DF24">
        <f>IFERROR(VLOOKUP($D24,'Kalkulator mięs '!$C$5:$H$533,DF$4,0)*$G24,0)</f>
        <v>0</v>
      </c>
      <c r="DG24">
        <f>IFERROR(VLOOKUP($D24,'Kalkulator mięs '!$C$5:$H$533,DG$4,0)*$G24,0)</f>
        <v>0</v>
      </c>
      <c r="DH24">
        <f>IFERROR(VLOOKUP($D24,'Kalkulator mięs '!$C$5:$H$533,DH$4,0)*$H24,0)</f>
        <v>0</v>
      </c>
      <c r="DI24">
        <f>IFERROR(VLOOKUP($D24,'Kalkulator mięs '!$C$5:$H$533,DI$4,0)*$H24,0)</f>
        <v>0</v>
      </c>
      <c r="DJ24">
        <f>IFERROR(VLOOKUP($D24,'Kalkulator mięs '!$C$5:$H$533,DJ$4,0)*$H24,0)</f>
        <v>0</v>
      </c>
      <c r="DK24">
        <f>IFERROR(VLOOKUP($D24,'Kalkulator mięs '!$C$5:$H$533,DK$4,0)*$I24,0)</f>
        <v>0</v>
      </c>
      <c r="DL24">
        <f>IFERROR(VLOOKUP($D24,'Kalkulator mięs '!$C$5:$H$533,DL$4,0)*$I24,0)</f>
        <v>0</v>
      </c>
      <c r="DM24">
        <f>IFERROR(VLOOKUP($D24,'Kalkulator mięs '!$C$5:$H$533,DM$4,0)*$I24,0)</f>
        <v>0</v>
      </c>
      <c r="DN24">
        <f>IFERROR(VLOOKUP($D24,'Kalkulator mięs '!$C$5:$H$533,DN$4,0)*$J24,0)</f>
        <v>0</v>
      </c>
      <c r="DO24">
        <f>IFERROR(VLOOKUP($D24,'Kalkulator mięs '!$C$5:$H$533,DO$4,0)*$J24,0)</f>
        <v>0</v>
      </c>
      <c r="DP24">
        <f>IFERROR(VLOOKUP($D24,'Kalkulator mięs '!$C$5:$H$533,DP$4,0)*$J24,0)</f>
        <v>0</v>
      </c>
      <c r="DQ24">
        <f>IFERROR(VLOOKUP($D24,'Kalkulator mięs '!$C$5:$H$533,DQ$4,0)*$K24,0)</f>
        <v>0</v>
      </c>
      <c r="DR24">
        <f>IFERROR(VLOOKUP($D24,'Kalkulator mięs '!$C$5:$H$533,DR$4,0)*$K24,0)</f>
        <v>0</v>
      </c>
      <c r="DS24">
        <f>IFERROR(VLOOKUP($D24,'Kalkulator mięs '!$C$5:$H$533,DS$4,0)*$K24,0)</f>
        <v>0</v>
      </c>
      <c r="DT24">
        <f>IFERROR(VLOOKUP($D24,'Kalkulator mięs '!$C$5:$H$533,DT$4,0)*$L24,0)</f>
        <v>0</v>
      </c>
      <c r="DU24">
        <f>IFERROR(VLOOKUP($D24,'Kalkulator mięs '!$C$5:$H$533,DU$4,0)*$L24,0)</f>
        <v>0</v>
      </c>
      <c r="DV24">
        <f>IFERROR(VLOOKUP($D24,'Kalkulator mięs '!$C$5:$H$533,DV$4,0)*$L24,0)</f>
        <v>0</v>
      </c>
      <c r="DW24">
        <f>IFERROR(VLOOKUP($D24,'Kalkulator mięs '!$C$5:$H$533,DW$4,0)*$M24,0)</f>
        <v>0</v>
      </c>
      <c r="DX24">
        <f>IFERROR(VLOOKUP($D24,'Kalkulator mięs '!$C$5:$H$533,DX$4,0)*$M24,0)</f>
        <v>0</v>
      </c>
      <c r="DY24">
        <f>IFERROR(VLOOKUP($D24,'Kalkulator mięs '!$C$5:$H$533,DY$4,0)*$M24,0)</f>
        <v>0</v>
      </c>
      <c r="DZ24">
        <f>IFERROR(VLOOKUP($D24,'Kalkulator mięs '!$C$5:$H$533,DZ$4,0)*$N24,0)</f>
        <v>0</v>
      </c>
      <c r="EA24">
        <f>IFERROR(VLOOKUP($D24,'Kalkulator mięs '!$C$5:$H$533,EA$4,0)*$N24,0)</f>
        <v>0</v>
      </c>
      <c r="EB24">
        <f>IFERROR(VLOOKUP($D24,'Kalkulator mięs '!$C$5:$H$533,EB$4,0)*$N24,0)</f>
        <v>0</v>
      </c>
      <c r="EC24">
        <f>IFERROR(VLOOKUP($D24,'Kalkulator mięs '!$C$5:$H$533,EC$4,0)*$O24,0)</f>
        <v>0</v>
      </c>
      <c r="ED24">
        <f>IFERROR(VLOOKUP($D24,'Kalkulator mięs '!$C$5:$H$533,ED$4,0)*$O24,0)</f>
        <v>0</v>
      </c>
      <c r="EE24">
        <f>IFERROR(VLOOKUP($D24,'Kalkulator mięs '!$C$5:$H$533,EE$4,0)*$O24,0)</f>
        <v>0</v>
      </c>
      <c r="EF24">
        <f>IFERROR(VLOOKUP($D24,'Kalkulator mięs '!$C$5:$H$533,EF$4,0)*$P24,0)</f>
        <v>0</v>
      </c>
      <c r="EG24">
        <f>IFERROR(VLOOKUP($D24,'Kalkulator mięs '!$C$5:$H$533,EG$4,0)*$P24,0)</f>
        <v>0</v>
      </c>
      <c r="EH24">
        <f>IFERROR(VLOOKUP($D24,'Kalkulator mięs '!$C$5:$H$533,EH$4,0)*$P24,0)</f>
        <v>0</v>
      </c>
      <c r="EI24">
        <f>IFERROR(VLOOKUP($D24,'Kalkulator mięs '!$C$5:$H$533,EI$4,0)*$Q24,0)</f>
        <v>0</v>
      </c>
      <c r="EJ24">
        <f>IFERROR(VLOOKUP($D24,'Kalkulator mięs '!$C$5:$H$533,EJ$4,0)*$Q24,0)</f>
        <v>0</v>
      </c>
      <c r="EK24">
        <f>IFERROR(VLOOKUP($D24,'Kalkulator mięs '!$C$5:$H$533,EK$4,0)*$Q24,0)</f>
        <v>0</v>
      </c>
      <c r="EL24">
        <f>IFERROR(VLOOKUP($D24,'Kalkulator mięs '!$C$5:$H$533,EL$4,0)*$R24,0)</f>
        <v>0</v>
      </c>
      <c r="EM24">
        <f>IFERROR(VLOOKUP($D24,'Kalkulator mięs '!$C$5:$H$533,EM$4,0)*$R24,0)</f>
        <v>91</v>
      </c>
      <c r="EN24">
        <f>IFERROR(VLOOKUP($D24,'Kalkulator mięs '!$C$5:$H$533,EN$4,0)*$R24,0)</f>
        <v>0</v>
      </c>
      <c r="EO24">
        <f>IFERROR(VLOOKUP($D24,'Kalkulator mięs '!$C$5:$H$533,EO$4,0)*$S24,0)</f>
        <v>0</v>
      </c>
      <c r="EP24">
        <f>IFERROR(VLOOKUP($D24,'Kalkulator mięs '!$C$5:$H$533,EP$4,0)*$S24,0)</f>
        <v>0</v>
      </c>
      <c r="EQ24">
        <f>IFERROR(VLOOKUP($D24,'Kalkulator mięs '!$C$5:$H$533,EQ$4,0)*$S24,0)</f>
        <v>0</v>
      </c>
      <c r="ER24">
        <f>IFERROR(VLOOKUP($D24,'Kalkulator mięs '!$C$5:$H$533,ER$4,0)*$T24,0)</f>
        <v>0</v>
      </c>
      <c r="ES24">
        <f>IFERROR(VLOOKUP($D24,'Kalkulator mięs '!$C$5:$H$533,ES$4,0)*$T24,0)</f>
        <v>144.43</v>
      </c>
      <c r="ET24">
        <f>IFERROR(VLOOKUP($D24,'Kalkulator mięs '!$C$5:$H$533,ET$4,0)*$T24,0)</f>
        <v>0</v>
      </c>
      <c r="EU24">
        <f>IFERROR(VLOOKUP($D24,'Kalkulator mięs '!$C$5:$H$533,EU$4,0)*$U24,0)</f>
        <v>0</v>
      </c>
      <c r="EV24">
        <f>IFERROR(VLOOKUP($D24,'Kalkulator mięs '!$C$5:$H$533,EV$4,0)*$U24,0)</f>
        <v>342.16</v>
      </c>
      <c r="EW24">
        <f>IFERROR(VLOOKUP($D24,'Kalkulator mięs '!$C$5:$H$533,EW$4,0)*$U24,0)</f>
        <v>0</v>
      </c>
      <c r="EX24">
        <f>IFERROR(VLOOKUP($D24,'Kalkulator mięs '!$C$5:$H$533,EX$4,0)*$V24,0)</f>
        <v>0</v>
      </c>
      <c r="EY24">
        <f>IFERROR(VLOOKUP($D24,'Kalkulator mięs '!$C$5:$H$533,EY$4,0)*$V24,0)</f>
        <v>0</v>
      </c>
      <c r="EZ24">
        <f>IFERROR(VLOOKUP($D24,'Kalkulator mięs '!$C$5:$H$533,EZ$4,0)*$V24,0)</f>
        <v>0</v>
      </c>
      <c r="FA24">
        <f>IFERROR(VLOOKUP($D24,'Kalkulator mięs '!$C$5:$H$533,FA$4,0)*$W24,0)</f>
        <v>0</v>
      </c>
      <c r="FB24">
        <f>IFERROR(VLOOKUP($D24,'Kalkulator mięs '!$C$5:$H$533,FB$4,0)*$W24,0)</f>
        <v>0</v>
      </c>
      <c r="FC24">
        <f>IFERROR(VLOOKUP($D24,'Kalkulator mięs '!$C$5:$H$533,FC$4,0)*$W24,0)</f>
        <v>0</v>
      </c>
      <c r="FD24">
        <f>IFERROR(VLOOKUP($D24,'Kalkulator mięs '!$C$5:$H$533,FD$4,0)*$X24,0)</f>
        <v>0</v>
      </c>
      <c r="FE24">
        <f>IFERROR(VLOOKUP($D24,'Kalkulator mięs '!$C$5:$H$533,FE$4,0)*$X24,0)</f>
        <v>96.2</v>
      </c>
      <c r="FF24">
        <f>IFERROR(VLOOKUP($D24,'Kalkulator mięs '!$C$5:$H$533,FF$4,0)*$X24,0)</f>
        <v>0</v>
      </c>
      <c r="FG24">
        <f>IFERROR(VLOOKUP($D24,'Kalkulator mięs '!$C$5:$H$533,FG$4,0)*$Y24,0)</f>
        <v>0</v>
      </c>
      <c r="FH24">
        <f>IFERROR(VLOOKUP($D24,'Kalkulator mięs '!$C$5:$H$533,FH$4,0)*$Y24,0)</f>
        <v>0</v>
      </c>
      <c r="FI24">
        <f>IFERROR(VLOOKUP($D24,'Kalkulator mięs '!$C$5:$H$533,FI$4,0)*$Y24,0)</f>
        <v>0</v>
      </c>
      <c r="FJ24">
        <f>IFERROR(VLOOKUP($D24,'Kalkulator mięs '!$C$5:$H$533,FJ$4,0)*$Z24,0)</f>
        <v>0</v>
      </c>
      <c r="FK24">
        <f>IFERROR(VLOOKUP($D24,'Kalkulator mięs '!$C$5:$H$533,FK$4,0)*$Z24,0)</f>
        <v>0</v>
      </c>
      <c r="FL24">
        <f>IFERROR(VLOOKUP($D24,'Kalkulator mięs '!$C$5:$H$533,FL$4,0)*$Z24,0)</f>
        <v>0</v>
      </c>
      <c r="FM24">
        <f>IFERROR(VLOOKUP($D24,'Kalkulator mięs '!$C$5:$H$533,FM$4,0)*$AA24,0)</f>
        <v>0</v>
      </c>
      <c r="FN24">
        <f>IFERROR(VLOOKUP($D24,'Kalkulator mięs '!$C$5:$H$533,FN$4,0)*$AA24,0)</f>
        <v>0</v>
      </c>
      <c r="FO24">
        <f>IFERROR(VLOOKUP($D24,'Kalkulator mięs '!$C$5:$H$533,FO$4,0)*$AA24,0)</f>
        <v>0</v>
      </c>
      <c r="FP24">
        <f>IFERROR(VLOOKUP($D24,'Kalkulator mięs '!$C$5:$H$533,FP$4,0)*$AB24,0)</f>
        <v>0</v>
      </c>
      <c r="FQ24">
        <f>IFERROR(VLOOKUP($D24,'Kalkulator mięs '!$C$5:$H$533,FQ$4,0)*$AB24,0)</f>
        <v>288.73</v>
      </c>
      <c r="FR24">
        <f>IFERROR(VLOOKUP($D24,'Kalkulator mięs '!$C$5:$H$533,FR$4,0)*$AB24,0)</f>
        <v>0</v>
      </c>
      <c r="FS24">
        <f>IFERROR(VLOOKUP($D24,'Kalkulator mięs '!$C$5:$H$533,FS$4,0)*$AC24,0)</f>
        <v>0</v>
      </c>
      <c r="FT24">
        <f>IFERROR(VLOOKUP($D24,'Kalkulator mięs '!$C$5:$H$533,FT$4,0)*$AC24,0)</f>
        <v>0</v>
      </c>
      <c r="FU24">
        <f>IFERROR(VLOOKUP($D24,'Kalkulator mięs '!$C$5:$H$533,FU$4,0)*$AC24,0)</f>
        <v>0</v>
      </c>
      <c r="FV24">
        <f>IFERROR(VLOOKUP($D24,'Kalkulator mięs '!$C$5:$H$533,FV$4,0)*$AD24,0)</f>
        <v>0</v>
      </c>
      <c r="FW24">
        <f>IFERROR(VLOOKUP($D24,'Kalkulator mięs '!$C$5:$H$533,FW$4,0)*$AD24,0)</f>
        <v>0</v>
      </c>
      <c r="FX24">
        <f>IFERROR(VLOOKUP($D24,'Kalkulator mięs '!$C$5:$H$533,FX$4,0)*$AD24,0)</f>
        <v>0</v>
      </c>
      <c r="FY24">
        <f>IFERROR(VLOOKUP($D24,'Kalkulator mięs '!$C$5:$H$533,FY$4,0)*$AE24,0)</f>
        <v>0</v>
      </c>
      <c r="FZ24">
        <f>IFERROR(VLOOKUP($D24,'Kalkulator mięs '!$C$5:$H$533,FZ$4,0)*$AE24,0)</f>
        <v>0</v>
      </c>
      <c r="GA24">
        <f>IFERROR(VLOOKUP($D24,'Kalkulator mięs '!$C$5:$H$533,GA$4,0)*$AE24,0)</f>
        <v>0</v>
      </c>
      <c r="GB24">
        <f>IFERROR(VLOOKUP($D24,'Kalkulator mięs '!$C$5:$H$533,GB$4,0)*$AF24,0)</f>
        <v>0</v>
      </c>
      <c r="GC24">
        <f>IFERROR(VLOOKUP($D24,'Kalkulator mięs '!$C$5:$H$533,GC$4,0)*$AF24,0)</f>
        <v>0</v>
      </c>
      <c r="GD24">
        <f>IFERROR(VLOOKUP($D24,'Kalkulator mięs '!$C$5:$H$533,GD$4,0)*$AF24,0)</f>
        <v>0</v>
      </c>
      <c r="GE24">
        <f>IFERROR(VLOOKUP($D24,'Kalkulator mięs '!$C$5:$H$533,GE$4,0)*$AG24,0)</f>
        <v>0</v>
      </c>
      <c r="GF24">
        <f>IFERROR(VLOOKUP($D24,'Kalkulator mięs '!$C$5:$H$533,GF$4,0)*$AG24,0)</f>
        <v>0</v>
      </c>
      <c r="GG24">
        <f>IFERROR(VLOOKUP($D24,'Kalkulator mięs '!$C$5:$H$533,GG$4,0)*$AG24,0)</f>
        <v>0</v>
      </c>
      <c r="GH24">
        <f>IFERROR(VLOOKUP($D24,'Kalkulator mięs '!$C$5:$H$533,GH$4,0)*$AH24,0)</f>
        <v>0</v>
      </c>
      <c r="GI24">
        <f>IFERROR(VLOOKUP($D24,'Kalkulator mięs '!$C$5:$H$533,GI$4,0)*$AH24,0)</f>
        <v>0</v>
      </c>
      <c r="GJ24">
        <f>IFERROR(VLOOKUP($D24,'Kalkulator mięs '!$C$5:$H$533,GJ$4,0)*$AH24,0)</f>
        <v>0</v>
      </c>
      <c r="GK24">
        <f>IFERROR(VLOOKUP($D24,'Kalkulator mięs '!$C$5:$H$533,GK$4,0)*$AI24,0)</f>
        <v>0</v>
      </c>
      <c r="GL24">
        <f>IFERROR(VLOOKUP($D24,'Kalkulator mięs '!$C$5:$H$533,GL$4,0)*$AI24,0)</f>
        <v>0</v>
      </c>
      <c r="GM24">
        <f>IFERROR(VLOOKUP($D24,'Kalkulator mięs '!$C$5:$H$533,GM$4,0)*$AI24,0)</f>
        <v>0</v>
      </c>
      <c r="GN24">
        <f>IFERROR(VLOOKUP($D24,'Kalkulator mięs '!$C$5:$H$533,GN$4,0)*$AJ24,0)</f>
        <v>0</v>
      </c>
      <c r="GO24">
        <f>IFERROR(VLOOKUP($D24,'Kalkulator mięs '!$C$5:$H$533,GO$4,0)*$AJ24,0)</f>
        <v>0</v>
      </c>
      <c r="GP24">
        <f>IFERROR(VLOOKUP($D24,'Kalkulator mięs '!$C$5:$H$533,GP$4,0)*$AJ24,0)</f>
        <v>0</v>
      </c>
      <c r="GQ24">
        <f>IFERROR(VLOOKUP($D24,'Kalkulator mięs '!$C$5:$H$533,GQ$4,0)*$AK24,0)</f>
        <v>0</v>
      </c>
      <c r="GR24">
        <f>IFERROR(VLOOKUP($D24,'Kalkulator mięs '!$C$5:$H$533,GR$4,0)*$AK24,0)</f>
        <v>0</v>
      </c>
      <c r="GS24">
        <f>IFERROR(VLOOKUP($D24,'Kalkulator mięs '!$C$5:$H$533,GS$4,0)*$AK24,0)</f>
        <v>0</v>
      </c>
      <c r="GT24">
        <f>IFERROR(VLOOKUP($D24,'Kalkulator mięs '!$C$5:$H$533,GT$4,0)*$AL24,0)</f>
        <v>0</v>
      </c>
      <c r="GU24">
        <f>IFERROR(VLOOKUP($D24,'Kalkulator mięs '!$C$5:$H$533,GU$4,0)*$AL24,0)</f>
        <v>0</v>
      </c>
      <c r="GV24">
        <f>IFERROR(VLOOKUP($D24,'Kalkulator mięs '!$C$5:$H$533,GV$4,0)*$AL24,0)</f>
        <v>0</v>
      </c>
      <c r="GW24">
        <f>IFERROR(VLOOKUP($D24,'Kalkulator mięs '!$C$5:$H$533,GW$4,0)*$AM24,0)</f>
        <v>0</v>
      </c>
      <c r="GX24">
        <f>IFERROR(VLOOKUP($D24,'Kalkulator mięs '!$C$5:$H$533,GX$4,0)*$AM24,0)</f>
        <v>0</v>
      </c>
      <c r="GY24">
        <f>IFERROR(VLOOKUP($D24,'Kalkulator mięs '!$C$5:$H$533,GY$4,0)*$AM24,0)</f>
        <v>0</v>
      </c>
      <c r="GZ24">
        <f>IFERROR(VLOOKUP($D24,'Kalkulator mięs '!$C$5:$H$533,GZ$4,0)*$AN24,0)</f>
        <v>0</v>
      </c>
      <c r="HA24">
        <f>IFERROR(VLOOKUP($D24,'Kalkulator mięs '!$C$5:$H$533,HA$4,0)*$AN24,0)</f>
        <v>0</v>
      </c>
      <c r="HB24">
        <f>IFERROR(VLOOKUP($D24,'Kalkulator mięs '!$C$5:$H$533,HB$4,0)*$AN24,0)</f>
        <v>0</v>
      </c>
      <c r="HC24">
        <f>IFERROR(VLOOKUP($D24,'Kalkulator mięs '!$C$5:$H$533,HC$4,0)*$AO24,0)</f>
        <v>0</v>
      </c>
      <c r="HD24">
        <f>IFERROR(VLOOKUP($D24,'Kalkulator mięs '!$C$5:$H$533,HD$4,0)*$AO24,0)</f>
        <v>0</v>
      </c>
      <c r="HE24">
        <f>IFERROR(VLOOKUP($D24,'Kalkulator mięs '!$C$5:$H$533,HE$4,0)*$AO24,0)</f>
        <v>0</v>
      </c>
      <c r="HF24">
        <f>IFERROR(VLOOKUP($D24,'Kalkulator mięs '!$C$5:$H$533,HF$4,0)*$AP24,0)</f>
        <v>0</v>
      </c>
      <c r="HG24">
        <f>IFERROR(VLOOKUP($D24,'Kalkulator mięs '!$C$5:$H$533,HG$4,0)*$AP24,0)</f>
        <v>0</v>
      </c>
      <c r="HH24">
        <f>IFERROR(VLOOKUP($D24,'Kalkulator mięs '!$C$5:$H$533,HH$4,0)*$AP24,0)</f>
        <v>0</v>
      </c>
      <c r="HI24">
        <f>IFERROR(VLOOKUP($D24,'Kalkulator mięs '!$C$5:$H$533,HI$4,0)*$AQ24,0)</f>
        <v>0</v>
      </c>
      <c r="HJ24">
        <f>IFERROR(VLOOKUP($D24,'Kalkulator mięs '!$C$5:$H$533,HJ$4,0)*$AQ24,0)</f>
        <v>0</v>
      </c>
      <c r="HK24">
        <f>IFERROR(VLOOKUP($D24,'Kalkulator mięs '!$C$5:$H$533,HK$4,0)*$AQ24,0)</f>
        <v>0</v>
      </c>
      <c r="HL24">
        <f>IFERROR(VLOOKUP($D24,'Kalkulator mięs '!$C$5:$H$533,HL$4,0)*$AR24,0)</f>
        <v>0</v>
      </c>
      <c r="HM24">
        <f>IFERROR(VLOOKUP($D24,'Kalkulator mięs '!$C$5:$H$533,HM$4,0)*$AR24,0)</f>
        <v>0</v>
      </c>
      <c r="HN24">
        <f>IFERROR(VLOOKUP($D24,'Kalkulator mięs '!$C$5:$H$533,HN$4,0)*$AR24,0)</f>
        <v>0</v>
      </c>
      <c r="HO24">
        <f>IFERROR(VLOOKUP($D24,'Kalkulator mięs '!$C$5:$H$533,HO$4,0)*$AS24,0)</f>
        <v>0</v>
      </c>
      <c r="HP24">
        <f>IFERROR(VLOOKUP($D24,'Kalkulator mięs '!$C$5:$H$533,HP$4,0)*$AS24,0)</f>
        <v>0</v>
      </c>
      <c r="HQ24">
        <f>IFERROR(VLOOKUP($D24,'Kalkulator mięs '!$C$5:$H$533,HQ$4,0)*$AS24,0)</f>
        <v>0</v>
      </c>
      <c r="HR24">
        <f>IFERROR(VLOOKUP($D24,'Kalkulator mięs '!$C$5:$H$533,HR$4,0)*$AT24,0)</f>
        <v>0</v>
      </c>
      <c r="HS24">
        <f>IFERROR(VLOOKUP($D24,'Kalkulator mięs '!$C$5:$H$533,HS$4,0)*$AT24,0)</f>
        <v>0</v>
      </c>
      <c r="HT24">
        <f>IFERROR(VLOOKUP($D24,'Kalkulator mięs '!$C$5:$H$533,HT$4,0)*$AT24,0)</f>
        <v>0</v>
      </c>
      <c r="HU24">
        <f>IFERROR(VLOOKUP($D24,'Kalkulator mięs '!$C$5:$H$533,HU$4,0)*$AU24,0)</f>
        <v>0</v>
      </c>
      <c r="HV24">
        <f>IFERROR(VLOOKUP($D24,'Kalkulator mięs '!$C$5:$H$533,HV$4,0)*$AU24,0)</f>
        <v>0</v>
      </c>
      <c r="HW24">
        <f>IFERROR(VLOOKUP($D24,'Kalkulator mięs '!$C$5:$H$533,HW$4,0)*$AU24,0)</f>
        <v>0</v>
      </c>
      <c r="HX24">
        <f>IFERROR(VLOOKUP($D24,'Kalkulator mięs '!$C$5:$H$533,HX$4,0)*$AV24,0)</f>
        <v>0</v>
      </c>
      <c r="HY24">
        <f>IFERROR(VLOOKUP($D24,'Kalkulator mięs '!$C$5:$H$533,HY$4,0)*$AV24,0)</f>
        <v>0</v>
      </c>
      <c r="HZ24">
        <f>IFERROR(VLOOKUP($D24,'Kalkulator mięs '!$C$5:$H$533,HZ$4,0)*$AV24,0)</f>
        <v>0</v>
      </c>
      <c r="IA24">
        <f>IFERROR(VLOOKUP($D24,'Kalkulator mięs '!$C$5:$H$533,IA$4,0)*$AW24,0)</f>
        <v>0</v>
      </c>
      <c r="IB24">
        <f>IFERROR(VLOOKUP($D24,'Kalkulator mięs '!$C$5:$H$533,IB$4,0)*$AW24,0)</f>
        <v>0</v>
      </c>
      <c r="IC24">
        <f>IFERROR(VLOOKUP($D24,'Kalkulator mięs '!$C$5:$H$533,IC$4,0)*$AW24,0)</f>
        <v>0</v>
      </c>
      <c r="ID24">
        <f>IFERROR(VLOOKUP($D24,'Kalkulator mięs '!$C$5:$H$533,ID$4,0)*$AX24,0)</f>
        <v>0</v>
      </c>
      <c r="IE24">
        <f>IFERROR(VLOOKUP($D24,'Kalkulator mięs '!$C$5:$H$533,IE$4,0)*$AX24,0)</f>
        <v>0</v>
      </c>
      <c r="IF24">
        <f>IFERROR(VLOOKUP($D24,'Kalkulator mięs '!$C$5:$H$533,IF$4,0)*$AX24,0)</f>
        <v>0</v>
      </c>
      <c r="IG24">
        <f>IFERROR(VLOOKUP($D24,'Kalkulator mięs '!$C$5:$H$533,IG$4,0)*$AY24,0)</f>
        <v>0</v>
      </c>
      <c r="IH24">
        <f>IFERROR(VLOOKUP($D24,'Kalkulator mięs '!$C$5:$H$533,IH$4,0)*$AY24,0)</f>
        <v>0</v>
      </c>
      <c r="II24">
        <f>IFERROR(VLOOKUP($D24,'Kalkulator mięs '!$C$5:$H$533,II$4,0)*$AY24,0)</f>
        <v>0</v>
      </c>
      <c r="IJ24">
        <f>IFERROR(VLOOKUP($D24,'Kalkulator mięs '!$C$5:$H$533,IJ$4,0)*$AZ24,0)</f>
        <v>0</v>
      </c>
      <c r="IK24">
        <f>IFERROR(VLOOKUP($D24,'Kalkulator mięs '!$C$5:$H$533,IK$4,0)*$AZ24,0)</f>
        <v>0</v>
      </c>
      <c r="IL24">
        <f>IFERROR(VLOOKUP($D24,'Kalkulator mięs '!$C$5:$H$533,IL$4,0)*$AZ24,0)</f>
        <v>0</v>
      </c>
      <c r="IM24">
        <f>IFERROR(VLOOKUP($D24,'Kalkulator mięs '!$C$5:$H$533,IM$4,0)*$BA24,0)</f>
        <v>0</v>
      </c>
      <c r="IN24">
        <f>IFERROR(VLOOKUP($D24,'Kalkulator mięs '!$C$5:$H$533,IN$4,0)*$BA24,0)</f>
        <v>0</v>
      </c>
      <c r="IO24">
        <f>IFERROR(VLOOKUP($D24,'Kalkulator mięs '!$C$5:$H$533,IO$4,0)*$BA24,0)</f>
        <v>0</v>
      </c>
    </row>
    <row r="25" spans="1:249" ht="15.75">
      <c r="A25" s="91"/>
      <c r="B25" t="str">
        <f>VLOOKUP(D25,Receptury_z!$A:$B,2,0)</f>
        <v>ON</v>
      </c>
      <c r="C25" s="16">
        <v>5572</v>
      </c>
      <c r="D25" s="19">
        <v>6458</v>
      </c>
      <c r="E25" s="18" t="s">
        <v>176</v>
      </c>
      <c r="F25" s="14">
        <f>IF($B25="OFF",BE25,VLOOKUP($D25,Receptury_z!$D:$AI,F$4,0))</f>
        <v>0</v>
      </c>
      <c r="G25" s="14">
        <f>IF($B25="OFF",BF25,VLOOKUP($D25,Receptury_z!$D:$AI,G$4,0))</f>
        <v>0</v>
      </c>
      <c r="H25" s="14">
        <f>IF($B25="OFF",BG25,VLOOKUP($D25,Receptury_z!$D:$AI,H$4,0))</f>
        <v>0</v>
      </c>
      <c r="I25" s="14">
        <f>IF($B25="OFF",BH25,VLOOKUP($D25,Receptury_z!$D:$AI,I$4,0))</f>
        <v>0</v>
      </c>
      <c r="J25" s="14">
        <f>IF($B25="OFF",BI25,VLOOKUP($D25,Receptury_z!$D:$AI,J$4,0))</f>
        <v>0</v>
      </c>
      <c r="K25" s="14">
        <f>IF($B25="OFF",BJ25,VLOOKUP($D25,Receptury_z!$D:$AI,K$4,0))</f>
        <v>0</v>
      </c>
      <c r="L25" s="14">
        <f>IF($B25="OFF",BK25,VLOOKUP($D25,Receptury_z!$D:$AI,L$4,0))</f>
        <v>0</v>
      </c>
      <c r="M25" s="14">
        <f>IF($B25="OFF",BL25,VLOOKUP($D25,Receptury_z!$D:$AI,M$4,0))</f>
        <v>0</v>
      </c>
      <c r="N25" s="14">
        <f>IF($B25="OFF",BM25,VLOOKUP($D25,Receptury_z!$D:$AI,N$4,0))</f>
        <v>0</v>
      </c>
      <c r="O25" s="14">
        <f>IF($B25="OFF",BN25,VLOOKUP($D25,Receptury_z!$D:$AI,O$4,0))</f>
        <v>0</v>
      </c>
      <c r="P25" s="14">
        <f>IF($B25="OFF",BO25,VLOOKUP($D25,Receptury_z!$D:$AI,P$4,0))</f>
        <v>0</v>
      </c>
      <c r="Q25" s="14">
        <f>IF($B25="OFF",BP25,VLOOKUP($D25,Receptury_z!$D:$AI,Q$4,0))</f>
        <v>0</v>
      </c>
      <c r="R25" s="14">
        <f>IF($B25="OFF",BQ25,VLOOKUP($D25,Receptury_z!$D:$AI,R$4,0))</f>
        <v>73.5</v>
      </c>
      <c r="S25" s="14">
        <f>IF($B25="OFF",BR25,VLOOKUP($D25,Receptury_z!$D:$AI,S$4,0))</f>
        <v>0</v>
      </c>
      <c r="T25" s="14">
        <f>IF($B25="OFF",BS25,VLOOKUP($D25,Receptury_z!$D:$AI,T$4,0))</f>
        <v>110.2</v>
      </c>
      <c r="U25" s="14">
        <f>IF($B25="OFF",BT25,VLOOKUP($D25,Receptury_z!$D:$AI,U$4,0))</f>
        <v>257.10000000000002</v>
      </c>
      <c r="V25" s="14">
        <f>IF($B25="OFF",BU25,VLOOKUP($D25,Receptury_z!$D:$AI,V$4,0))</f>
        <v>0</v>
      </c>
      <c r="W25" s="14">
        <f>IF($B25="OFF",BV25,VLOOKUP($D25,Receptury_z!$D:$AI,W$4,0))</f>
        <v>0</v>
      </c>
      <c r="X25" s="14">
        <f>IF($B25="OFF",BW25,VLOOKUP($D25,Receptury_z!$D:$AI,X$4,0))</f>
        <v>73.5</v>
      </c>
      <c r="Y25" s="14">
        <f>IF($B25="OFF",BX25,VLOOKUP($D25,Receptury_z!$D:$AI,Y$4,0))</f>
        <v>0</v>
      </c>
      <c r="Z25" s="14">
        <f>IF($B25="OFF",BY25,VLOOKUP($D25,Receptury_z!$D:$AI,Z$4,0))</f>
        <v>0</v>
      </c>
      <c r="AA25" s="14">
        <f>IF($B25="OFF",BZ25,VLOOKUP($D25,Receptury_z!$D:$AI,AA$4,0))</f>
        <v>0</v>
      </c>
      <c r="AB25" s="14">
        <f>IF($B25="OFF",CA25,VLOOKUP($D25,Receptury_z!$D:$AI,AB$4,0))</f>
        <v>220.4</v>
      </c>
      <c r="AC25" s="14">
        <f>IF($B25="OFF",CB25,VLOOKUP($D25,Receptury_z!$D:$AI,AC$4,0))</f>
        <v>0</v>
      </c>
      <c r="AD25" s="14">
        <f>IF($B25="OFF",CC25,VLOOKUP($D25,Receptury_z!$D:$AI,AD$4,0))</f>
        <v>0</v>
      </c>
      <c r="AE25" s="14">
        <f>IF($B25="OFF",CD25,VLOOKUP($D25,Receptury_z!$D:$AI,AE$4,0))</f>
        <v>0</v>
      </c>
      <c r="AF25" s="14">
        <f>IF($B25="OFF",CE25,VLOOKUP($D25,Receptury_z!$D:$AI,AF$4,0))</f>
        <v>0</v>
      </c>
      <c r="AG25" s="14">
        <f>IF($B25="OFF",CF25,VLOOKUP($D25,Receptury_z!$D:$AI,AG$4,0))</f>
        <v>0</v>
      </c>
      <c r="AH25" s="14">
        <f>IF($B25="OFF",CG25,VLOOKUP($D25,Receptury_z!$D:$AI,AH$4,0))</f>
        <v>0</v>
      </c>
      <c r="AI25" s="14">
        <f>IF($B25="OFF",CH25,VLOOKUP($D25,Receptury_z!$D:$AI,AI$4,0))</f>
        <v>0</v>
      </c>
      <c r="AJ25" s="14">
        <f>IF($B25="OFF",CI25,VLOOKUP($D25,Receptury_z!$D:$AS,AJ$4,0))</f>
        <v>0</v>
      </c>
      <c r="AK25" s="14">
        <f>IF($B25="OFF",CJ25,VLOOKUP($D25,Receptury_z!$D:$AS,AK$4,0))</f>
        <v>0</v>
      </c>
      <c r="AL25" s="14">
        <f>IF($B25="OFF",CK25,VLOOKUP($D25,Receptury_z!$D:$AS,AL$4,0))</f>
        <v>0</v>
      </c>
      <c r="AM25" s="14">
        <f>IF($B25="OFF",CL25,VLOOKUP($D25,Receptury_z!$D:$AS,AM$4,0))</f>
        <v>0</v>
      </c>
      <c r="AN25" s="14">
        <f>IF($B25="OFF",CM25,VLOOKUP($D25,Receptury_z!$D:$AS,AN$4,0))</f>
        <v>0</v>
      </c>
      <c r="AO25" s="14">
        <f>IF($B25="OFF",CN25,VLOOKUP($D25,Receptury_z!$D:$AS,AO$4,0))</f>
        <v>0</v>
      </c>
      <c r="AP25" s="14">
        <f>IF($B25="OFF",CO25,VLOOKUP($D25,Receptury_z!$D:$AS,AP$4,0))</f>
        <v>0</v>
      </c>
      <c r="AQ25" s="14">
        <f>IF($B25="OFF",CP25,VLOOKUP($D25,Receptury_z!$D:$AS,AQ$4,0))</f>
        <v>0</v>
      </c>
      <c r="AR25" s="14">
        <f>IF($B25="OFF",CQ25,VLOOKUP($D25,Receptury_z!$D:$AS,AR$4,0))</f>
        <v>0</v>
      </c>
      <c r="AS25" s="14">
        <f>IF($B25="OFF",CR25,VLOOKUP($D25,Receptury_z!$D:$AS,AS$4,0))</f>
        <v>0</v>
      </c>
      <c r="AT25" s="14">
        <f>IF($B25="OFF",CS25,VLOOKUP($D25,Receptury_z!$D:$AV,AT$4,0))</f>
        <v>0</v>
      </c>
      <c r="AU25" s="14">
        <f>IF($B25="OFF",CT25,VLOOKUP($D25,Receptury_z!$D:$AV,AU$4,0))</f>
        <v>0</v>
      </c>
      <c r="AV25" s="14">
        <f>IF($B25="OFF",CU25,VLOOKUP($D25,Receptury_z!$D:$AV,AV$4,0))</f>
        <v>0</v>
      </c>
      <c r="AW25" s="14">
        <f>IF($B25="OFF",CV25,VLOOKUP($D25,Receptury_z!$D:$BA,AW$4,0))</f>
        <v>0</v>
      </c>
      <c r="AX25" s="14">
        <f>IF($B25="OFF",CW25,VLOOKUP($D25,Receptury_z!$D:$BA,AX$4,0))</f>
        <v>0</v>
      </c>
      <c r="AY25" s="14">
        <f>IF($B25="OFF",CX25,VLOOKUP($D25,Receptury_z!$D:$BA,AY$4,0))</f>
        <v>0</v>
      </c>
      <c r="AZ25" s="14">
        <f>IF($B25="OFF",DA25,VLOOKUP($D25,Receptury_z!$D:$BA,AZ$4,0))</f>
        <v>0</v>
      </c>
      <c r="BA25" s="14">
        <f>IF($B25="OFF",DB25,VLOOKUP($D25,Receptury_z!$D:$BA,BA$4,0))</f>
        <v>0</v>
      </c>
      <c r="BC25" s="19">
        <v>6458</v>
      </c>
      <c r="BD25" s="18" t="s">
        <v>176</v>
      </c>
      <c r="BE25" s="239">
        <v>0</v>
      </c>
      <c r="BF25" s="239">
        <v>0</v>
      </c>
      <c r="BG25" s="239">
        <v>0</v>
      </c>
      <c r="BH25" s="239">
        <v>0</v>
      </c>
      <c r="BI25" s="239">
        <v>0</v>
      </c>
      <c r="BJ25" s="239">
        <v>0</v>
      </c>
      <c r="BK25" s="239">
        <v>0</v>
      </c>
      <c r="BL25" s="239">
        <v>0</v>
      </c>
      <c r="BM25" s="239">
        <v>0</v>
      </c>
      <c r="BN25" s="239">
        <v>0</v>
      </c>
      <c r="BO25" s="239">
        <v>0</v>
      </c>
      <c r="BP25" s="239">
        <v>0</v>
      </c>
      <c r="BQ25" s="239">
        <v>73.5</v>
      </c>
      <c r="BR25" s="239">
        <v>0</v>
      </c>
      <c r="BS25" s="239">
        <v>110.2</v>
      </c>
      <c r="BT25" s="239">
        <v>257.10000000000002</v>
      </c>
      <c r="BU25" s="239">
        <v>0</v>
      </c>
      <c r="BV25" s="239">
        <v>0</v>
      </c>
      <c r="BW25" s="239">
        <v>73.099999999999994</v>
      </c>
      <c r="BX25" s="239">
        <v>0</v>
      </c>
      <c r="BY25" s="239">
        <v>0</v>
      </c>
      <c r="BZ25" s="239">
        <v>0</v>
      </c>
      <c r="CA25" s="239">
        <v>219.3</v>
      </c>
      <c r="CB25" s="239">
        <v>0</v>
      </c>
      <c r="CC25" s="239">
        <v>0</v>
      </c>
      <c r="CD25" s="239">
        <v>0</v>
      </c>
      <c r="CE25" s="239">
        <v>0</v>
      </c>
      <c r="CF25" s="239">
        <v>0</v>
      </c>
      <c r="CG25" s="239">
        <v>0</v>
      </c>
      <c r="CH25" s="239">
        <v>0</v>
      </c>
      <c r="CI25" s="239">
        <v>0</v>
      </c>
      <c r="CJ25" s="239">
        <v>0</v>
      </c>
      <c r="CK25" s="239">
        <v>0</v>
      </c>
      <c r="CL25" s="239">
        <v>0</v>
      </c>
      <c r="CM25" s="80"/>
      <c r="CN25" s="80"/>
      <c r="CO25" s="80"/>
      <c r="CP25" s="80"/>
      <c r="CQ25" s="80"/>
      <c r="CR25" s="80"/>
      <c r="CS25" s="80"/>
      <c r="CT25" s="80"/>
      <c r="CU25" s="80"/>
      <c r="CV25" s="80"/>
      <c r="CW25" s="80"/>
      <c r="CX25" s="80"/>
      <c r="CY25" s="80"/>
      <c r="CZ25" s="80"/>
      <c r="DB25">
        <f>IFERROR(VLOOKUP($D25,'Kalkulator mięs '!$C$5:$H$533,DB$4,0)*F25,0)</f>
        <v>0</v>
      </c>
      <c r="DC25">
        <f>IFERROR(VLOOKUP($D25,'Kalkulator mięs '!$C$5:$H$533,DC$4,0)*F25,0)</f>
        <v>0</v>
      </c>
      <c r="DD25">
        <f>IFERROR(VLOOKUP($D25,'Kalkulator mięs '!$C$5:$H$533,DD$4,0)*F25,0)</f>
        <v>0</v>
      </c>
      <c r="DE25">
        <f>IFERROR(VLOOKUP($D25,'Kalkulator mięs '!$C$5:$H$533,DE$4,0)*$G25,0)</f>
        <v>0</v>
      </c>
      <c r="DF25">
        <f>IFERROR(VLOOKUP($D25,'Kalkulator mięs '!$C$5:$H$533,DF$4,0)*$G25,0)</f>
        <v>0</v>
      </c>
      <c r="DG25">
        <f>IFERROR(VLOOKUP($D25,'Kalkulator mięs '!$C$5:$H$533,DG$4,0)*$G25,0)</f>
        <v>0</v>
      </c>
      <c r="DH25">
        <f>IFERROR(VLOOKUP($D25,'Kalkulator mięs '!$C$5:$H$533,DH$4,0)*$H25,0)</f>
        <v>0</v>
      </c>
      <c r="DI25">
        <f>IFERROR(VLOOKUP($D25,'Kalkulator mięs '!$C$5:$H$533,DI$4,0)*$H25,0)</f>
        <v>0</v>
      </c>
      <c r="DJ25">
        <f>IFERROR(VLOOKUP($D25,'Kalkulator mięs '!$C$5:$H$533,DJ$4,0)*$H25,0)</f>
        <v>0</v>
      </c>
      <c r="DK25">
        <f>IFERROR(VLOOKUP($D25,'Kalkulator mięs '!$C$5:$H$533,DK$4,0)*$I25,0)</f>
        <v>0</v>
      </c>
      <c r="DL25">
        <f>IFERROR(VLOOKUP($D25,'Kalkulator mięs '!$C$5:$H$533,DL$4,0)*$I25,0)</f>
        <v>0</v>
      </c>
      <c r="DM25">
        <f>IFERROR(VLOOKUP($D25,'Kalkulator mięs '!$C$5:$H$533,DM$4,0)*$I25,0)</f>
        <v>0</v>
      </c>
      <c r="DN25">
        <f>IFERROR(VLOOKUP($D25,'Kalkulator mięs '!$C$5:$H$533,DN$4,0)*$J25,0)</f>
        <v>0</v>
      </c>
      <c r="DO25">
        <f>IFERROR(VLOOKUP($D25,'Kalkulator mięs '!$C$5:$H$533,DO$4,0)*$J25,0)</f>
        <v>0</v>
      </c>
      <c r="DP25">
        <f>IFERROR(VLOOKUP($D25,'Kalkulator mięs '!$C$5:$H$533,DP$4,0)*$J25,0)</f>
        <v>0</v>
      </c>
      <c r="DQ25">
        <f>IFERROR(VLOOKUP($D25,'Kalkulator mięs '!$C$5:$H$533,DQ$4,0)*$K25,0)</f>
        <v>0</v>
      </c>
      <c r="DR25">
        <f>IFERROR(VLOOKUP($D25,'Kalkulator mięs '!$C$5:$H$533,DR$4,0)*$K25,0)</f>
        <v>0</v>
      </c>
      <c r="DS25">
        <f>IFERROR(VLOOKUP($D25,'Kalkulator mięs '!$C$5:$H$533,DS$4,0)*$K25,0)</f>
        <v>0</v>
      </c>
      <c r="DT25">
        <f>IFERROR(VLOOKUP($D25,'Kalkulator mięs '!$C$5:$H$533,DT$4,0)*$L25,0)</f>
        <v>0</v>
      </c>
      <c r="DU25">
        <f>IFERROR(VLOOKUP($D25,'Kalkulator mięs '!$C$5:$H$533,DU$4,0)*$L25,0)</f>
        <v>0</v>
      </c>
      <c r="DV25">
        <f>IFERROR(VLOOKUP($D25,'Kalkulator mięs '!$C$5:$H$533,DV$4,0)*$L25,0)</f>
        <v>0</v>
      </c>
      <c r="DW25">
        <f>IFERROR(VLOOKUP($D25,'Kalkulator mięs '!$C$5:$H$533,DW$4,0)*$M25,0)</f>
        <v>0</v>
      </c>
      <c r="DX25">
        <f>IFERROR(VLOOKUP($D25,'Kalkulator mięs '!$C$5:$H$533,DX$4,0)*$M25,0)</f>
        <v>0</v>
      </c>
      <c r="DY25">
        <f>IFERROR(VLOOKUP($D25,'Kalkulator mięs '!$C$5:$H$533,DY$4,0)*$M25,0)</f>
        <v>0</v>
      </c>
      <c r="DZ25">
        <f>IFERROR(VLOOKUP($D25,'Kalkulator mięs '!$C$5:$H$533,DZ$4,0)*$N25,0)</f>
        <v>0</v>
      </c>
      <c r="EA25">
        <f>IFERROR(VLOOKUP($D25,'Kalkulator mięs '!$C$5:$H$533,EA$4,0)*$N25,0)</f>
        <v>0</v>
      </c>
      <c r="EB25">
        <f>IFERROR(VLOOKUP($D25,'Kalkulator mięs '!$C$5:$H$533,EB$4,0)*$N25,0)</f>
        <v>0</v>
      </c>
      <c r="EC25">
        <f>IFERROR(VLOOKUP($D25,'Kalkulator mięs '!$C$5:$H$533,EC$4,0)*$O25,0)</f>
        <v>0</v>
      </c>
      <c r="ED25">
        <f>IFERROR(VLOOKUP($D25,'Kalkulator mięs '!$C$5:$H$533,ED$4,0)*$O25,0)</f>
        <v>0</v>
      </c>
      <c r="EE25">
        <f>IFERROR(VLOOKUP($D25,'Kalkulator mięs '!$C$5:$H$533,EE$4,0)*$O25,0)</f>
        <v>0</v>
      </c>
      <c r="EF25">
        <f>IFERROR(VLOOKUP($D25,'Kalkulator mięs '!$C$5:$H$533,EF$4,0)*$P25,0)</f>
        <v>0</v>
      </c>
      <c r="EG25">
        <f>IFERROR(VLOOKUP($D25,'Kalkulator mięs '!$C$5:$H$533,EG$4,0)*$P25,0)</f>
        <v>0</v>
      </c>
      <c r="EH25">
        <f>IFERROR(VLOOKUP($D25,'Kalkulator mięs '!$C$5:$H$533,EH$4,0)*$P25,0)</f>
        <v>0</v>
      </c>
      <c r="EI25">
        <f>IFERROR(VLOOKUP($D25,'Kalkulator mięs '!$C$5:$H$533,EI$4,0)*$Q25,0)</f>
        <v>0</v>
      </c>
      <c r="EJ25">
        <f>IFERROR(VLOOKUP($D25,'Kalkulator mięs '!$C$5:$H$533,EJ$4,0)*$Q25,0)</f>
        <v>0</v>
      </c>
      <c r="EK25">
        <f>IFERROR(VLOOKUP($D25,'Kalkulator mięs '!$C$5:$H$533,EK$4,0)*$Q25,0)</f>
        <v>0</v>
      </c>
      <c r="EL25">
        <f>IFERROR(VLOOKUP($D25,'Kalkulator mięs '!$C$5:$H$533,EL$4,0)*$R25,0)</f>
        <v>0</v>
      </c>
      <c r="EM25">
        <f>IFERROR(VLOOKUP($D25,'Kalkulator mięs '!$C$5:$H$533,EM$4,0)*$R25,0)</f>
        <v>441</v>
      </c>
      <c r="EN25">
        <f>IFERROR(VLOOKUP($D25,'Kalkulator mięs '!$C$5:$H$533,EN$4,0)*$R25,0)</f>
        <v>0</v>
      </c>
      <c r="EO25">
        <f>IFERROR(VLOOKUP($D25,'Kalkulator mięs '!$C$5:$H$533,EO$4,0)*$S25,0)</f>
        <v>0</v>
      </c>
      <c r="EP25">
        <f>IFERROR(VLOOKUP($D25,'Kalkulator mięs '!$C$5:$H$533,EP$4,0)*$S25,0)</f>
        <v>0</v>
      </c>
      <c r="EQ25">
        <f>IFERROR(VLOOKUP($D25,'Kalkulator mięs '!$C$5:$H$533,EQ$4,0)*$S25,0)</f>
        <v>0</v>
      </c>
      <c r="ER25">
        <f>IFERROR(VLOOKUP($D25,'Kalkulator mięs '!$C$5:$H$533,ER$4,0)*$T25,0)</f>
        <v>0</v>
      </c>
      <c r="ES25">
        <f>IFERROR(VLOOKUP($D25,'Kalkulator mięs '!$C$5:$H$533,ES$4,0)*$T25,0)</f>
        <v>661.2</v>
      </c>
      <c r="ET25">
        <f>IFERROR(VLOOKUP($D25,'Kalkulator mięs '!$C$5:$H$533,ET$4,0)*$T25,0)</f>
        <v>0</v>
      </c>
      <c r="EU25">
        <f>IFERROR(VLOOKUP($D25,'Kalkulator mięs '!$C$5:$H$533,EU$4,0)*$U25,0)</f>
        <v>0</v>
      </c>
      <c r="EV25">
        <f>IFERROR(VLOOKUP($D25,'Kalkulator mięs '!$C$5:$H$533,EV$4,0)*$U25,0)</f>
        <v>1542.6000000000001</v>
      </c>
      <c r="EW25">
        <f>IFERROR(VLOOKUP($D25,'Kalkulator mięs '!$C$5:$H$533,EW$4,0)*$U25,0)</f>
        <v>0</v>
      </c>
      <c r="EX25">
        <f>IFERROR(VLOOKUP($D25,'Kalkulator mięs '!$C$5:$H$533,EX$4,0)*$V25,0)</f>
        <v>0</v>
      </c>
      <c r="EY25">
        <f>IFERROR(VLOOKUP($D25,'Kalkulator mięs '!$C$5:$H$533,EY$4,0)*$V25,0)</f>
        <v>0</v>
      </c>
      <c r="EZ25">
        <f>IFERROR(VLOOKUP($D25,'Kalkulator mięs '!$C$5:$H$533,EZ$4,0)*$V25,0)</f>
        <v>0</v>
      </c>
      <c r="FA25">
        <f>IFERROR(VLOOKUP($D25,'Kalkulator mięs '!$C$5:$H$533,FA$4,0)*$W25,0)</f>
        <v>0</v>
      </c>
      <c r="FB25">
        <f>IFERROR(VLOOKUP($D25,'Kalkulator mięs '!$C$5:$H$533,FB$4,0)*$W25,0)</f>
        <v>0</v>
      </c>
      <c r="FC25">
        <f>IFERROR(VLOOKUP($D25,'Kalkulator mięs '!$C$5:$H$533,FC$4,0)*$W25,0)</f>
        <v>0</v>
      </c>
      <c r="FD25">
        <f>IFERROR(VLOOKUP($D25,'Kalkulator mięs '!$C$5:$H$533,FD$4,0)*$X25,0)</f>
        <v>0</v>
      </c>
      <c r="FE25">
        <f>IFERROR(VLOOKUP($D25,'Kalkulator mięs '!$C$5:$H$533,FE$4,0)*$X25,0)</f>
        <v>441</v>
      </c>
      <c r="FF25">
        <f>IFERROR(VLOOKUP($D25,'Kalkulator mięs '!$C$5:$H$533,FF$4,0)*$X25,0)</f>
        <v>0</v>
      </c>
      <c r="FG25">
        <f>IFERROR(VLOOKUP($D25,'Kalkulator mięs '!$C$5:$H$533,FG$4,0)*$Y25,0)</f>
        <v>0</v>
      </c>
      <c r="FH25">
        <f>IFERROR(VLOOKUP($D25,'Kalkulator mięs '!$C$5:$H$533,FH$4,0)*$Y25,0)</f>
        <v>0</v>
      </c>
      <c r="FI25">
        <f>IFERROR(VLOOKUP($D25,'Kalkulator mięs '!$C$5:$H$533,FI$4,0)*$Y25,0)</f>
        <v>0</v>
      </c>
      <c r="FJ25">
        <f>IFERROR(VLOOKUP($D25,'Kalkulator mięs '!$C$5:$H$533,FJ$4,0)*$Z25,0)</f>
        <v>0</v>
      </c>
      <c r="FK25">
        <f>IFERROR(VLOOKUP($D25,'Kalkulator mięs '!$C$5:$H$533,FK$4,0)*$Z25,0)</f>
        <v>0</v>
      </c>
      <c r="FL25">
        <f>IFERROR(VLOOKUP($D25,'Kalkulator mięs '!$C$5:$H$533,FL$4,0)*$Z25,0)</f>
        <v>0</v>
      </c>
      <c r="FM25">
        <f>IFERROR(VLOOKUP($D25,'Kalkulator mięs '!$C$5:$H$533,FM$4,0)*$AA25,0)</f>
        <v>0</v>
      </c>
      <c r="FN25">
        <f>IFERROR(VLOOKUP($D25,'Kalkulator mięs '!$C$5:$H$533,FN$4,0)*$AA25,0)</f>
        <v>0</v>
      </c>
      <c r="FO25">
        <f>IFERROR(VLOOKUP($D25,'Kalkulator mięs '!$C$5:$H$533,FO$4,0)*$AA25,0)</f>
        <v>0</v>
      </c>
      <c r="FP25">
        <f>IFERROR(VLOOKUP($D25,'Kalkulator mięs '!$C$5:$H$533,FP$4,0)*$AB25,0)</f>
        <v>0</v>
      </c>
      <c r="FQ25">
        <f>IFERROR(VLOOKUP($D25,'Kalkulator mięs '!$C$5:$H$533,FQ$4,0)*$AB25,0)</f>
        <v>1322.4</v>
      </c>
      <c r="FR25">
        <f>IFERROR(VLOOKUP($D25,'Kalkulator mięs '!$C$5:$H$533,FR$4,0)*$AB25,0)</f>
        <v>0</v>
      </c>
      <c r="FS25">
        <f>IFERROR(VLOOKUP($D25,'Kalkulator mięs '!$C$5:$H$533,FS$4,0)*$AC25,0)</f>
        <v>0</v>
      </c>
      <c r="FT25">
        <f>IFERROR(VLOOKUP($D25,'Kalkulator mięs '!$C$5:$H$533,FT$4,0)*$AC25,0)</f>
        <v>0</v>
      </c>
      <c r="FU25">
        <f>IFERROR(VLOOKUP($D25,'Kalkulator mięs '!$C$5:$H$533,FU$4,0)*$AC25,0)</f>
        <v>0</v>
      </c>
      <c r="FV25">
        <f>IFERROR(VLOOKUP($D25,'Kalkulator mięs '!$C$5:$H$533,FV$4,0)*$AD25,0)</f>
        <v>0</v>
      </c>
      <c r="FW25">
        <f>IFERROR(VLOOKUP($D25,'Kalkulator mięs '!$C$5:$H$533,FW$4,0)*$AD25,0)</f>
        <v>0</v>
      </c>
      <c r="FX25">
        <f>IFERROR(VLOOKUP($D25,'Kalkulator mięs '!$C$5:$H$533,FX$4,0)*$AD25,0)</f>
        <v>0</v>
      </c>
      <c r="FY25">
        <f>IFERROR(VLOOKUP($D25,'Kalkulator mięs '!$C$5:$H$533,FY$4,0)*$AE25,0)</f>
        <v>0</v>
      </c>
      <c r="FZ25">
        <f>IFERROR(VLOOKUP($D25,'Kalkulator mięs '!$C$5:$H$533,FZ$4,0)*$AE25,0)</f>
        <v>0</v>
      </c>
      <c r="GA25">
        <f>IFERROR(VLOOKUP($D25,'Kalkulator mięs '!$C$5:$H$533,GA$4,0)*$AE25,0)</f>
        <v>0</v>
      </c>
      <c r="GB25">
        <f>IFERROR(VLOOKUP($D25,'Kalkulator mięs '!$C$5:$H$533,GB$4,0)*$AF25,0)</f>
        <v>0</v>
      </c>
      <c r="GC25">
        <f>IFERROR(VLOOKUP($D25,'Kalkulator mięs '!$C$5:$H$533,GC$4,0)*$AF25,0)</f>
        <v>0</v>
      </c>
      <c r="GD25">
        <f>IFERROR(VLOOKUP($D25,'Kalkulator mięs '!$C$5:$H$533,GD$4,0)*$AF25,0)</f>
        <v>0</v>
      </c>
      <c r="GE25">
        <f>IFERROR(VLOOKUP($D25,'Kalkulator mięs '!$C$5:$H$533,GE$4,0)*$AG25,0)</f>
        <v>0</v>
      </c>
      <c r="GF25">
        <f>IFERROR(VLOOKUP($D25,'Kalkulator mięs '!$C$5:$H$533,GF$4,0)*$AG25,0)</f>
        <v>0</v>
      </c>
      <c r="GG25">
        <f>IFERROR(VLOOKUP($D25,'Kalkulator mięs '!$C$5:$H$533,GG$4,0)*$AG25,0)</f>
        <v>0</v>
      </c>
      <c r="GH25">
        <f>IFERROR(VLOOKUP($D25,'Kalkulator mięs '!$C$5:$H$533,GH$4,0)*$AH25,0)</f>
        <v>0</v>
      </c>
      <c r="GI25">
        <f>IFERROR(VLOOKUP($D25,'Kalkulator mięs '!$C$5:$H$533,GI$4,0)*$AH25,0)</f>
        <v>0</v>
      </c>
      <c r="GJ25">
        <f>IFERROR(VLOOKUP($D25,'Kalkulator mięs '!$C$5:$H$533,GJ$4,0)*$AH25,0)</f>
        <v>0</v>
      </c>
      <c r="GK25">
        <f>IFERROR(VLOOKUP($D25,'Kalkulator mięs '!$C$5:$H$533,GK$4,0)*$AI25,0)</f>
        <v>0</v>
      </c>
      <c r="GL25">
        <f>IFERROR(VLOOKUP($D25,'Kalkulator mięs '!$C$5:$H$533,GL$4,0)*$AI25,0)</f>
        <v>0</v>
      </c>
      <c r="GM25">
        <f>IFERROR(VLOOKUP($D25,'Kalkulator mięs '!$C$5:$H$533,GM$4,0)*$AI25,0)</f>
        <v>0</v>
      </c>
      <c r="GN25">
        <f>IFERROR(VLOOKUP($D25,'Kalkulator mięs '!$C$5:$H$533,GN$4,0)*$AJ25,0)</f>
        <v>0</v>
      </c>
      <c r="GO25">
        <f>IFERROR(VLOOKUP($D25,'Kalkulator mięs '!$C$5:$H$533,GO$4,0)*$AJ25,0)</f>
        <v>0</v>
      </c>
      <c r="GP25">
        <f>IFERROR(VLOOKUP($D25,'Kalkulator mięs '!$C$5:$H$533,GP$4,0)*$AJ25,0)</f>
        <v>0</v>
      </c>
      <c r="GQ25">
        <f>IFERROR(VLOOKUP($D25,'Kalkulator mięs '!$C$5:$H$533,GQ$4,0)*$AK25,0)</f>
        <v>0</v>
      </c>
      <c r="GR25">
        <f>IFERROR(VLOOKUP($D25,'Kalkulator mięs '!$C$5:$H$533,GR$4,0)*$AK25,0)</f>
        <v>0</v>
      </c>
      <c r="GS25">
        <f>IFERROR(VLOOKUP($D25,'Kalkulator mięs '!$C$5:$H$533,GS$4,0)*$AK25,0)</f>
        <v>0</v>
      </c>
      <c r="GT25">
        <f>IFERROR(VLOOKUP($D25,'Kalkulator mięs '!$C$5:$H$533,GT$4,0)*$AL25,0)</f>
        <v>0</v>
      </c>
      <c r="GU25">
        <f>IFERROR(VLOOKUP($D25,'Kalkulator mięs '!$C$5:$H$533,GU$4,0)*$AL25,0)</f>
        <v>0</v>
      </c>
      <c r="GV25">
        <f>IFERROR(VLOOKUP($D25,'Kalkulator mięs '!$C$5:$H$533,GV$4,0)*$AL25,0)</f>
        <v>0</v>
      </c>
      <c r="GW25">
        <f>IFERROR(VLOOKUP($D25,'Kalkulator mięs '!$C$5:$H$533,GW$4,0)*$AM25,0)</f>
        <v>0</v>
      </c>
      <c r="GX25">
        <f>IFERROR(VLOOKUP($D25,'Kalkulator mięs '!$C$5:$H$533,GX$4,0)*$AM25,0)</f>
        <v>0</v>
      </c>
      <c r="GY25">
        <f>IFERROR(VLOOKUP($D25,'Kalkulator mięs '!$C$5:$H$533,GY$4,0)*$AM25,0)</f>
        <v>0</v>
      </c>
      <c r="GZ25">
        <f>IFERROR(VLOOKUP($D25,'Kalkulator mięs '!$C$5:$H$533,GZ$4,0)*$AN25,0)</f>
        <v>0</v>
      </c>
      <c r="HA25">
        <f>IFERROR(VLOOKUP($D25,'Kalkulator mięs '!$C$5:$H$533,HA$4,0)*$AN25,0)</f>
        <v>0</v>
      </c>
      <c r="HB25">
        <f>IFERROR(VLOOKUP($D25,'Kalkulator mięs '!$C$5:$H$533,HB$4,0)*$AN25,0)</f>
        <v>0</v>
      </c>
      <c r="HC25">
        <f>IFERROR(VLOOKUP($D25,'Kalkulator mięs '!$C$5:$H$533,HC$4,0)*$AO25,0)</f>
        <v>0</v>
      </c>
      <c r="HD25">
        <f>IFERROR(VLOOKUP($D25,'Kalkulator mięs '!$C$5:$H$533,HD$4,0)*$AO25,0)</f>
        <v>0</v>
      </c>
      <c r="HE25">
        <f>IFERROR(VLOOKUP($D25,'Kalkulator mięs '!$C$5:$H$533,HE$4,0)*$AO25,0)</f>
        <v>0</v>
      </c>
      <c r="HF25">
        <f>IFERROR(VLOOKUP($D25,'Kalkulator mięs '!$C$5:$H$533,HF$4,0)*$AP25,0)</f>
        <v>0</v>
      </c>
      <c r="HG25">
        <f>IFERROR(VLOOKUP($D25,'Kalkulator mięs '!$C$5:$H$533,HG$4,0)*$AP25,0)</f>
        <v>0</v>
      </c>
      <c r="HH25">
        <f>IFERROR(VLOOKUP($D25,'Kalkulator mięs '!$C$5:$H$533,HH$4,0)*$AP25,0)</f>
        <v>0</v>
      </c>
      <c r="HI25">
        <f>IFERROR(VLOOKUP($D25,'Kalkulator mięs '!$C$5:$H$533,HI$4,0)*$AQ25,0)</f>
        <v>0</v>
      </c>
      <c r="HJ25">
        <f>IFERROR(VLOOKUP($D25,'Kalkulator mięs '!$C$5:$H$533,HJ$4,0)*$AQ25,0)</f>
        <v>0</v>
      </c>
      <c r="HK25">
        <f>IFERROR(VLOOKUP($D25,'Kalkulator mięs '!$C$5:$H$533,HK$4,0)*$AQ25,0)</f>
        <v>0</v>
      </c>
      <c r="HL25">
        <f>IFERROR(VLOOKUP($D25,'Kalkulator mięs '!$C$5:$H$533,HL$4,0)*$AR25,0)</f>
        <v>0</v>
      </c>
      <c r="HM25">
        <f>IFERROR(VLOOKUP($D25,'Kalkulator mięs '!$C$5:$H$533,HM$4,0)*$AR25,0)</f>
        <v>0</v>
      </c>
      <c r="HN25">
        <f>IFERROR(VLOOKUP($D25,'Kalkulator mięs '!$C$5:$H$533,HN$4,0)*$AR25,0)</f>
        <v>0</v>
      </c>
      <c r="HO25">
        <f>IFERROR(VLOOKUP($D25,'Kalkulator mięs '!$C$5:$H$533,HO$4,0)*$AS25,0)</f>
        <v>0</v>
      </c>
      <c r="HP25">
        <f>IFERROR(VLOOKUP($D25,'Kalkulator mięs '!$C$5:$H$533,HP$4,0)*$AS25,0)</f>
        <v>0</v>
      </c>
      <c r="HQ25">
        <f>IFERROR(VLOOKUP($D25,'Kalkulator mięs '!$C$5:$H$533,HQ$4,0)*$AS25,0)</f>
        <v>0</v>
      </c>
      <c r="HR25">
        <f>IFERROR(VLOOKUP($D25,'Kalkulator mięs '!$C$5:$H$533,HR$4,0)*$AT25,0)</f>
        <v>0</v>
      </c>
      <c r="HS25">
        <f>IFERROR(VLOOKUP($D25,'Kalkulator mięs '!$C$5:$H$533,HS$4,0)*$AT25,0)</f>
        <v>0</v>
      </c>
      <c r="HT25">
        <f>IFERROR(VLOOKUP($D25,'Kalkulator mięs '!$C$5:$H$533,HT$4,0)*$AT25,0)</f>
        <v>0</v>
      </c>
      <c r="HU25">
        <f>IFERROR(VLOOKUP($D25,'Kalkulator mięs '!$C$5:$H$533,HU$4,0)*$AU25,0)</f>
        <v>0</v>
      </c>
      <c r="HV25">
        <f>IFERROR(VLOOKUP($D25,'Kalkulator mięs '!$C$5:$H$533,HV$4,0)*$AU25,0)</f>
        <v>0</v>
      </c>
      <c r="HW25">
        <f>IFERROR(VLOOKUP($D25,'Kalkulator mięs '!$C$5:$H$533,HW$4,0)*$AU25,0)</f>
        <v>0</v>
      </c>
      <c r="HX25">
        <f>IFERROR(VLOOKUP($D25,'Kalkulator mięs '!$C$5:$H$533,HX$4,0)*$AV25,0)</f>
        <v>0</v>
      </c>
      <c r="HY25">
        <f>IFERROR(VLOOKUP($D25,'Kalkulator mięs '!$C$5:$H$533,HY$4,0)*$AV25,0)</f>
        <v>0</v>
      </c>
      <c r="HZ25">
        <f>IFERROR(VLOOKUP($D25,'Kalkulator mięs '!$C$5:$H$533,HZ$4,0)*$AV25,0)</f>
        <v>0</v>
      </c>
      <c r="IA25">
        <f>IFERROR(VLOOKUP($D25,'Kalkulator mięs '!$C$5:$H$533,IA$4,0)*$AW25,0)</f>
        <v>0</v>
      </c>
      <c r="IB25">
        <f>IFERROR(VLOOKUP($D25,'Kalkulator mięs '!$C$5:$H$533,IB$4,0)*$AW25,0)</f>
        <v>0</v>
      </c>
      <c r="IC25">
        <f>IFERROR(VLOOKUP($D25,'Kalkulator mięs '!$C$5:$H$533,IC$4,0)*$AW25,0)</f>
        <v>0</v>
      </c>
      <c r="ID25">
        <f>IFERROR(VLOOKUP($D25,'Kalkulator mięs '!$C$5:$H$533,ID$4,0)*$AX25,0)</f>
        <v>0</v>
      </c>
      <c r="IE25">
        <f>IFERROR(VLOOKUP($D25,'Kalkulator mięs '!$C$5:$H$533,IE$4,0)*$AX25,0)</f>
        <v>0</v>
      </c>
      <c r="IF25">
        <f>IFERROR(VLOOKUP($D25,'Kalkulator mięs '!$C$5:$H$533,IF$4,0)*$AX25,0)</f>
        <v>0</v>
      </c>
      <c r="IG25">
        <f>IFERROR(VLOOKUP($D25,'Kalkulator mięs '!$C$5:$H$533,IG$4,0)*$AY25,0)</f>
        <v>0</v>
      </c>
      <c r="IH25">
        <f>IFERROR(VLOOKUP($D25,'Kalkulator mięs '!$C$5:$H$533,IH$4,0)*$AY25,0)</f>
        <v>0</v>
      </c>
      <c r="II25">
        <f>IFERROR(VLOOKUP($D25,'Kalkulator mięs '!$C$5:$H$533,II$4,0)*$AY25,0)</f>
        <v>0</v>
      </c>
      <c r="IJ25">
        <f>IFERROR(VLOOKUP($D25,'Kalkulator mięs '!$C$5:$H$533,IJ$4,0)*$AZ25,0)</f>
        <v>0</v>
      </c>
      <c r="IK25">
        <f>IFERROR(VLOOKUP($D25,'Kalkulator mięs '!$C$5:$H$533,IK$4,0)*$AZ25,0)</f>
        <v>0</v>
      </c>
      <c r="IL25">
        <f>IFERROR(VLOOKUP($D25,'Kalkulator mięs '!$C$5:$H$533,IL$4,0)*$AZ25,0)</f>
        <v>0</v>
      </c>
      <c r="IM25">
        <f>IFERROR(VLOOKUP($D25,'Kalkulator mięs '!$C$5:$H$533,IM$4,0)*$BA25,0)</f>
        <v>0</v>
      </c>
      <c r="IN25">
        <f>IFERROR(VLOOKUP($D25,'Kalkulator mięs '!$C$5:$H$533,IN$4,0)*$BA25,0)</f>
        <v>0</v>
      </c>
      <c r="IO25">
        <f>IFERROR(VLOOKUP($D25,'Kalkulator mięs '!$C$5:$H$533,IO$4,0)*$BA25,0)</f>
        <v>0</v>
      </c>
    </row>
    <row r="26" spans="1:249" ht="15.75">
      <c r="A26" s="91"/>
      <c r="B26" t="str">
        <f>VLOOKUP(D26,Receptury_z!$A:$B,2,0)</f>
        <v>ON</v>
      </c>
      <c r="C26" s="16">
        <v>5574</v>
      </c>
      <c r="D26" s="19">
        <v>6463</v>
      </c>
      <c r="E26" s="18" t="s">
        <v>187</v>
      </c>
      <c r="F26" s="14">
        <f>IF($B26="OFF",BE26,VLOOKUP($D26,Receptury_z!$D:$AI,F$4,0))</f>
        <v>0</v>
      </c>
      <c r="G26" s="14">
        <f>IF($B26="OFF",BF26,VLOOKUP($D26,Receptury_z!$D:$AI,G$4,0))</f>
        <v>0</v>
      </c>
      <c r="H26" s="14">
        <f>IF($B26="OFF",BG26,VLOOKUP($D26,Receptury_z!$D:$AI,H$4,0))</f>
        <v>0</v>
      </c>
      <c r="I26" s="14">
        <f>IF($B26="OFF",BH26,VLOOKUP($D26,Receptury_z!$D:$AI,I$4,0))</f>
        <v>0</v>
      </c>
      <c r="J26" s="14">
        <f>IF($B26="OFF",BI26,VLOOKUP($D26,Receptury_z!$D:$AI,J$4,0))</f>
        <v>0</v>
      </c>
      <c r="K26" s="14">
        <f>IF($B26="OFF",BJ26,VLOOKUP($D26,Receptury_z!$D:$AI,K$4,0))</f>
        <v>0</v>
      </c>
      <c r="L26" s="14">
        <f>IF($B26="OFF",BK26,VLOOKUP($D26,Receptury_z!$D:$AI,L$4,0))</f>
        <v>0</v>
      </c>
      <c r="M26" s="14">
        <f>IF($B26="OFF",BL26,VLOOKUP($D26,Receptury_z!$D:$AI,M$4,0))</f>
        <v>0</v>
      </c>
      <c r="N26" s="14">
        <f>IF($B26="OFF",BM26,VLOOKUP($D26,Receptury_z!$D:$AI,N$4,0))</f>
        <v>0</v>
      </c>
      <c r="O26" s="14">
        <f>IF($B26="OFF",BN26,VLOOKUP($D26,Receptury_z!$D:$AI,O$4,0))</f>
        <v>0</v>
      </c>
      <c r="P26" s="14">
        <f>IF($B26="OFF",BO26,VLOOKUP($D26,Receptury_z!$D:$AI,P$4,0))</f>
        <v>0</v>
      </c>
      <c r="Q26" s="14">
        <f>IF($B26="OFF",BP26,VLOOKUP($D26,Receptury_z!$D:$AI,Q$4,0))</f>
        <v>0</v>
      </c>
      <c r="R26" s="14">
        <f>IF($B26="OFF",BQ26,VLOOKUP($D26,Receptury_z!$D:$AI,R$4,0))</f>
        <v>58.3</v>
      </c>
      <c r="S26" s="14">
        <f>IF($B26="OFF",BR26,VLOOKUP($D26,Receptury_z!$D:$AI,S$4,0))</f>
        <v>0</v>
      </c>
      <c r="T26" s="14">
        <f>IF($B26="OFF",BS26,VLOOKUP($D26,Receptury_z!$D:$AI,T$4,0))</f>
        <v>399.6</v>
      </c>
      <c r="U26" s="14">
        <f>IF($B26="OFF",BT26,VLOOKUP($D26,Receptury_z!$D:$AI,U$4,0))</f>
        <v>0</v>
      </c>
      <c r="V26" s="14">
        <f>IF($B26="OFF",BU26,VLOOKUP($D26,Receptury_z!$D:$AI,V$4,0))</f>
        <v>0</v>
      </c>
      <c r="W26" s="14">
        <f>IF($B26="OFF",BV26,VLOOKUP($D26,Receptury_z!$D:$AI,W$4,0))</f>
        <v>208.1</v>
      </c>
      <c r="X26" s="14">
        <f>IF($B26="OFF",BW26,VLOOKUP($D26,Receptury_z!$D:$AI,X$4,0))</f>
        <v>166.5</v>
      </c>
      <c r="Y26" s="14">
        <f>IF($B26="OFF",BX26,VLOOKUP($D26,Receptury_z!$D:$AI,Y$4,0))</f>
        <v>0</v>
      </c>
      <c r="Z26" s="14">
        <f>IF($B26="OFF",BY26,VLOOKUP($D26,Receptury_z!$D:$AI,Z$4,0))</f>
        <v>0</v>
      </c>
      <c r="AA26" s="14">
        <f>IF($B26="OFF",BZ26,VLOOKUP($D26,Receptury_z!$D:$AI,AA$4,0))</f>
        <v>0</v>
      </c>
      <c r="AB26" s="14">
        <f>IF($B26="OFF",CA26,VLOOKUP($D26,Receptury_z!$D:$AI,AB$4,0))</f>
        <v>0</v>
      </c>
      <c r="AC26" s="14">
        <f>IF($B26="OFF",CB26,VLOOKUP($D26,Receptury_z!$D:$AI,AC$4,0))</f>
        <v>0</v>
      </c>
      <c r="AD26" s="14">
        <f>IF($B26="OFF",CC26,VLOOKUP($D26,Receptury_z!$D:$AI,AD$4,0))</f>
        <v>0</v>
      </c>
      <c r="AE26" s="14">
        <f>IF($B26="OFF",CD26,VLOOKUP($D26,Receptury_z!$D:$AI,AE$4,0))</f>
        <v>0</v>
      </c>
      <c r="AF26" s="14">
        <f>IF($B26="OFF",CE26,VLOOKUP($D26,Receptury_z!$D:$AI,AF$4,0))</f>
        <v>0</v>
      </c>
      <c r="AG26" s="14">
        <f>IF($B26="OFF",CF26,VLOOKUP($D26,Receptury_z!$D:$AI,AG$4,0))</f>
        <v>0</v>
      </c>
      <c r="AH26" s="14">
        <f>IF($B26="OFF",CG26,VLOOKUP($D26,Receptury_z!$D:$AI,AH$4,0))</f>
        <v>0</v>
      </c>
      <c r="AI26" s="14">
        <f>IF($B26="OFF",CH26,VLOOKUP($D26,Receptury_z!$D:$AI,AI$4,0))</f>
        <v>0</v>
      </c>
      <c r="AJ26" s="14">
        <f>IF($B26="OFF",CI26,VLOOKUP($D26,Receptury_z!$D:$AS,AJ$4,0))</f>
        <v>0</v>
      </c>
      <c r="AK26" s="14">
        <f>IF($B26="OFF",CJ26,VLOOKUP($D26,Receptury_z!$D:$AS,AK$4,0))</f>
        <v>0</v>
      </c>
      <c r="AL26" s="14">
        <f>IF($B26="OFF",CK26,VLOOKUP($D26,Receptury_z!$D:$AS,AL$4,0))</f>
        <v>0</v>
      </c>
      <c r="AM26" s="14">
        <f>IF($B26="OFF",CL26,VLOOKUP($D26,Receptury_z!$D:$AS,AM$4,0))</f>
        <v>0</v>
      </c>
      <c r="AN26" s="14">
        <f>IF($B26="OFF",CM26,VLOOKUP($D26,Receptury_z!$D:$AS,AN$4,0))</f>
        <v>0</v>
      </c>
      <c r="AO26" s="14">
        <f>IF($B26="OFF",CN26,VLOOKUP($D26,Receptury_z!$D:$AS,AO$4,0))</f>
        <v>0</v>
      </c>
      <c r="AP26" s="14">
        <f>IF($B26="OFF",CO26,VLOOKUP($D26,Receptury_z!$D:$AS,AP$4,0))</f>
        <v>0</v>
      </c>
      <c r="AQ26" s="14">
        <f>IF($B26="OFF",CP26,VLOOKUP($D26,Receptury_z!$D:$AS,AQ$4,0))</f>
        <v>0</v>
      </c>
      <c r="AR26" s="14">
        <f>IF($B26="OFF",CQ26,VLOOKUP($D26,Receptury_z!$D:$AS,AR$4,0))</f>
        <v>0</v>
      </c>
      <c r="AS26" s="14">
        <f>IF($B26="OFF",CR26,VLOOKUP($D26,Receptury_z!$D:$AS,AS$4,0))</f>
        <v>0</v>
      </c>
      <c r="AT26" s="14">
        <f>IF($B26="OFF",CS26,VLOOKUP($D26,Receptury_z!$D:$AV,AT$4,0))</f>
        <v>0</v>
      </c>
      <c r="AU26" s="14">
        <f>IF($B26="OFF",CT26,VLOOKUP($D26,Receptury_z!$D:$AV,AU$4,0))</f>
        <v>0</v>
      </c>
      <c r="AV26" s="14">
        <f>IF($B26="OFF",CU26,VLOOKUP($D26,Receptury_z!$D:$AV,AV$4,0))</f>
        <v>0</v>
      </c>
      <c r="AW26" s="14">
        <f>IF($B26="OFF",CV26,VLOOKUP($D26,Receptury_z!$D:$BA,AW$4,0))</f>
        <v>0</v>
      </c>
      <c r="AX26" s="14">
        <f>IF($B26="OFF",CW26,VLOOKUP($D26,Receptury_z!$D:$BA,AX$4,0))</f>
        <v>0</v>
      </c>
      <c r="AY26" s="14">
        <f>IF($B26="OFF",CX26,VLOOKUP($D26,Receptury_z!$D:$BA,AY$4,0))</f>
        <v>0</v>
      </c>
      <c r="AZ26" s="14">
        <f>IF($B26="OFF",DA26,VLOOKUP($D26,Receptury_z!$D:$BA,AZ$4,0))</f>
        <v>0</v>
      </c>
      <c r="BA26" s="14">
        <f>IF($B26="OFF",DB26,VLOOKUP($D26,Receptury_z!$D:$BA,BA$4,0))</f>
        <v>0</v>
      </c>
      <c r="BC26" s="19">
        <v>6463</v>
      </c>
      <c r="BD26" s="18" t="s">
        <v>187</v>
      </c>
      <c r="BE26" s="239">
        <v>0</v>
      </c>
      <c r="BF26" s="239">
        <v>0</v>
      </c>
      <c r="BG26" s="239">
        <v>0</v>
      </c>
      <c r="BH26" s="239">
        <v>0</v>
      </c>
      <c r="BI26" s="239">
        <v>0</v>
      </c>
      <c r="BJ26" s="239">
        <v>0</v>
      </c>
      <c r="BK26" s="239">
        <v>0</v>
      </c>
      <c r="BL26" s="239">
        <v>0</v>
      </c>
      <c r="BM26" s="240"/>
      <c r="BN26" s="240">
        <v>0</v>
      </c>
      <c r="BO26" s="240">
        <v>0</v>
      </c>
      <c r="BP26" s="240">
        <v>0</v>
      </c>
      <c r="BQ26" s="240">
        <v>58.2</v>
      </c>
      <c r="BR26" s="240">
        <v>0</v>
      </c>
      <c r="BS26" s="240">
        <v>399</v>
      </c>
      <c r="BT26" s="240">
        <v>0</v>
      </c>
      <c r="BU26" s="240">
        <v>0</v>
      </c>
      <c r="BV26" s="240">
        <v>207.8</v>
      </c>
      <c r="BW26" s="240">
        <v>0</v>
      </c>
      <c r="BX26" s="240">
        <v>0</v>
      </c>
      <c r="BY26" s="240">
        <v>0</v>
      </c>
      <c r="BZ26" s="240">
        <v>0</v>
      </c>
      <c r="CA26" s="240">
        <v>0</v>
      </c>
      <c r="CB26" s="240">
        <v>0</v>
      </c>
      <c r="CC26" s="240">
        <v>0</v>
      </c>
      <c r="CD26" s="240">
        <v>0</v>
      </c>
      <c r="CE26" s="240">
        <v>0</v>
      </c>
      <c r="CF26" s="240">
        <v>0</v>
      </c>
      <c r="CG26" s="240">
        <v>0</v>
      </c>
      <c r="CH26" s="240">
        <v>0</v>
      </c>
      <c r="CI26" s="240">
        <v>0</v>
      </c>
      <c r="CJ26" s="240">
        <v>0</v>
      </c>
      <c r="CK26" s="240">
        <v>0</v>
      </c>
      <c r="CL26" s="240">
        <v>0</v>
      </c>
      <c r="CM26" s="241"/>
      <c r="CN26" s="241"/>
      <c r="CO26" s="241"/>
      <c r="CP26" s="241"/>
      <c r="CQ26" s="241"/>
      <c r="CR26" s="241"/>
      <c r="CS26" s="241"/>
      <c r="CT26" s="241">
        <v>166.2</v>
      </c>
      <c r="CU26" s="80"/>
      <c r="CV26" s="80"/>
      <c r="CW26" s="80"/>
      <c r="CX26" s="80"/>
      <c r="CY26" s="80"/>
      <c r="CZ26" s="80"/>
      <c r="DB26">
        <f>IFERROR(VLOOKUP($D26,'Kalkulator mięs '!$C$5:$H$533,DB$4,0)*F26,0)</f>
        <v>0</v>
      </c>
      <c r="DC26">
        <f>IFERROR(VLOOKUP($D26,'Kalkulator mięs '!$C$5:$H$533,DC$4,0)*F26,0)</f>
        <v>0</v>
      </c>
      <c r="DD26">
        <f>IFERROR(VLOOKUP($D26,'Kalkulator mięs '!$C$5:$H$533,DD$4,0)*F26,0)</f>
        <v>0</v>
      </c>
      <c r="DE26">
        <f>IFERROR(VLOOKUP($D26,'Kalkulator mięs '!$C$5:$H$533,DE$4,0)*$G26,0)</f>
        <v>0</v>
      </c>
      <c r="DF26">
        <f>IFERROR(VLOOKUP($D26,'Kalkulator mięs '!$C$5:$H$533,DF$4,0)*$G26,0)</f>
        <v>0</v>
      </c>
      <c r="DG26">
        <f>IFERROR(VLOOKUP($D26,'Kalkulator mięs '!$C$5:$H$533,DG$4,0)*$G26,0)</f>
        <v>0</v>
      </c>
      <c r="DH26">
        <f>IFERROR(VLOOKUP($D26,'Kalkulator mięs '!$C$5:$H$533,DH$4,0)*$H26,0)</f>
        <v>0</v>
      </c>
      <c r="DI26">
        <f>IFERROR(VLOOKUP($D26,'Kalkulator mięs '!$C$5:$H$533,DI$4,0)*$H26,0)</f>
        <v>0</v>
      </c>
      <c r="DJ26">
        <f>IFERROR(VLOOKUP($D26,'Kalkulator mięs '!$C$5:$H$533,DJ$4,0)*$H26,0)</f>
        <v>0</v>
      </c>
      <c r="DK26">
        <f>IFERROR(VLOOKUP($D26,'Kalkulator mięs '!$C$5:$H$533,DK$4,0)*$I26,0)</f>
        <v>0</v>
      </c>
      <c r="DL26">
        <f>IFERROR(VLOOKUP($D26,'Kalkulator mięs '!$C$5:$H$533,DL$4,0)*$I26,0)</f>
        <v>0</v>
      </c>
      <c r="DM26">
        <f>IFERROR(VLOOKUP($D26,'Kalkulator mięs '!$C$5:$H$533,DM$4,0)*$I26,0)</f>
        <v>0</v>
      </c>
      <c r="DN26">
        <f>IFERROR(VLOOKUP($D26,'Kalkulator mięs '!$C$5:$H$533,DN$4,0)*$J26,0)</f>
        <v>0</v>
      </c>
      <c r="DO26">
        <f>IFERROR(VLOOKUP($D26,'Kalkulator mięs '!$C$5:$H$533,DO$4,0)*$J26,0)</f>
        <v>0</v>
      </c>
      <c r="DP26">
        <f>IFERROR(VLOOKUP($D26,'Kalkulator mięs '!$C$5:$H$533,DP$4,0)*$J26,0)</f>
        <v>0</v>
      </c>
      <c r="DQ26">
        <f>IFERROR(VLOOKUP($D26,'Kalkulator mięs '!$C$5:$H$533,DQ$4,0)*$K26,0)</f>
        <v>0</v>
      </c>
      <c r="DR26">
        <f>IFERROR(VLOOKUP($D26,'Kalkulator mięs '!$C$5:$H$533,DR$4,0)*$K26,0)</f>
        <v>0</v>
      </c>
      <c r="DS26">
        <f>IFERROR(VLOOKUP($D26,'Kalkulator mięs '!$C$5:$H$533,DS$4,0)*$K26,0)</f>
        <v>0</v>
      </c>
      <c r="DT26">
        <f>IFERROR(VLOOKUP($D26,'Kalkulator mięs '!$C$5:$H$533,DT$4,0)*$L26,0)</f>
        <v>0</v>
      </c>
      <c r="DU26">
        <f>IFERROR(VLOOKUP($D26,'Kalkulator mięs '!$C$5:$H$533,DU$4,0)*$L26,0)</f>
        <v>0</v>
      </c>
      <c r="DV26">
        <f>IFERROR(VLOOKUP($D26,'Kalkulator mięs '!$C$5:$H$533,DV$4,0)*$L26,0)</f>
        <v>0</v>
      </c>
      <c r="DW26">
        <f>IFERROR(VLOOKUP($D26,'Kalkulator mięs '!$C$5:$H$533,DW$4,0)*$M26,0)</f>
        <v>0</v>
      </c>
      <c r="DX26">
        <f>IFERROR(VLOOKUP($D26,'Kalkulator mięs '!$C$5:$H$533,DX$4,0)*$M26,0)</f>
        <v>0</v>
      </c>
      <c r="DY26">
        <f>IFERROR(VLOOKUP($D26,'Kalkulator mięs '!$C$5:$H$533,DY$4,0)*$M26,0)</f>
        <v>0</v>
      </c>
      <c r="DZ26">
        <f>IFERROR(VLOOKUP($D26,'Kalkulator mięs '!$C$5:$H$533,DZ$4,0)*$N26,0)</f>
        <v>0</v>
      </c>
      <c r="EA26">
        <f>IFERROR(VLOOKUP($D26,'Kalkulator mięs '!$C$5:$H$533,EA$4,0)*$N26,0)</f>
        <v>0</v>
      </c>
      <c r="EB26">
        <f>IFERROR(VLOOKUP($D26,'Kalkulator mięs '!$C$5:$H$533,EB$4,0)*$N26,0)</f>
        <v>0</v>
      </c>
      <c r="EC26">
        <f>IFERROR(VLOOKUP($D26,'Kalkulator mięs '!$C$5:$H$533,EC$4,0)*$O26,0)</f>
        <v>0</v>
      </c>
      <c r="ED26">
        <f>IFERROR(VLOOKUP($D26,'Kalkulator mięs '!$C$5:$H$533,ED$4,0)*$O26,0)</f>
        <v>0</v>
      </c>
      <c r="EE26">
        <f>IFERROR(VLOOKUP($D26,'Kalkulator mięs '!$C$5:$H$533,EE$4,0)*$O26,0)</f>
        <v>0</v>
      </c>
      <c r="EF26">
        <f>IFERROR(VLOOKUP($D26,'Kalkulator mięs '!$C$5:$H$533,EF$4,0)*$P26,0)</f>
        <v>0</v>
      </c>
      <c r="EG26">
        <f>IFERROR(VLOOKUP($D26,'Kalkulator mięs '!$C$5:$H$533,EG$4,0)*$P26,0)</f>
        <v>0</v>
      </c>
      <c r="EH26">
        <f>IFERROR(VLOOKUP($D26,'Kalkulator mięs '!$C$5:$H$533,EH$4,0)*$P26,0)</f>
        <v>0</v>
      </c>
      <c r="EI26">
        <f>IFERROR(VLOOKUP($D26,'Kalkulator mięs '!$C$5:$H$533,EI$4,0)*$Q26,0)</f>
        <v>0</v>
      </c>
      <c r="EJ26">
        <f>IFERROR(VLOOKUP($D26,'Kalkulator mięs '!$C$5:$H$533,EJ$4,0)*$Q26,0)</f>
        <v>0</v>
      </c>
      <c r="EK26">
        <f>IFERROR(VLOOKUP($D26,'Kalkulator mięs '!$C$5:$H$533,EK$4,0)*$Q26,0)</f>
        <v>0</v>
      </c>
      <c r="EL26">
        <f>IFERROR(VLOOKUP($D26,'Kalkulator mięs '!$C$5:$H$533,EL$4,0)*$R26,0)</f>
        <v>0</v>
      </c>
      <c r="EM26">
        <f>IFERROR(VLOOKUP($D26,'Kalkulator mięs '!$C$5:$H$533,EM$4,0)*$R26,0)</f>
        <v>174.89999999999998</v>
      </c>
      <c r="EN26">
        <f>IFERROR(VLOOKUP($D26,'Kalkulator mięs '!$C$5:$H$533,EN$4,0)*$R26,0)</f>
        <v>0</v>
      </c>
      <c r="EO26">
        <f>IFERROR(VLOOKUP($D26,'Kalkulator mięs '!$C$5:$H$533,EO$4,0)*$S26,0)</f>
        <v>0</v>
      </c>
      <c r="EP26">
        <f>IFERROR(VLOOKUP($D26,'Kalkulator mięs '!$C$5:$H$533,EP$4,0)*$S26,0)</f>
        <v>0</v>
      </c>
      <c r="EQ26">
        <f>IFERROR(VLOOKUP($D26,'Kalkulator mięs '!$C$5:$H$533,EQ$4,0)*$S26,0)</f>
        <v>0</v>
      </c>
      <c r="ER26">
        <f>IFERROR(VLOOKUP($D26,'Kalkulator mięs '!$C$5:$H$533,ER$4,0)*$T26,0)</f>
        <v>0</v>
      </c>
      <c r="ES26">
        <f>IFERROR(VLOOKUP($D26,'Kalkulator mięs '!$C$5:$H$533,ES$4,0)*$T26,0)</f>
        <v>1198.8000000000002</v>
      </c>
      <c r="ET26">
        <f>IFERROR(VLOOKUP($D26,'Kalkulator mięs '!$C$5:$H$533,ET$4,0)*$T26,0)</f>
        <v>0</v>
      </c>
      <c r="EU26">
        <f>IFERROR(VLOOKUP($D26,'Kalkulator mięs '!$C$5:$H$533,EU$4,0)*$U26,0)</f>
        <v>0</v>
      </c>
      <c r="EV26">
        <f>IFERROR(VLOOKUP($D26,'Kalkulator mięs '!$C$5:$H$533,EV$4,0)*$U26,0)</f>
        <v>0</v>
      </c>
      <c r="EW26">
        <f>IFERROR(VLOOKUP($D26,'Kalkulator mięs '!$C$5:$H$533,EW$4,0)*$U26,0)</f>
        <v>0</v>
      </c>
      <c r="EX26">
        <f>IFERROR(VLOOKUP($D26,'Kalkulator mięs '!$C$5:$H$533,EX$4,0)*$V26,0)</f>
        <v>0</v>
      </c>
      <c r="EY26">
        <f>IFERROR(VLOOKUP($D26,'Kalkulator mięs '!$C$5:$H$533,EY$4,0)*$V26,0)</f>
        <v>0</v>
      </c>
      <c r="EZ26">
        <f>IFERROR(VLOOKUP($D26,'Kalkulator mięs '!$C$5:$H$533,EZ$4,0)*$V26,0)</f>
        <v>0</v>
      </c>
      <c r="FA26">
        <f>IFERROR(VLOOKUP($D26,'Kalkulator mięs '!$C$5:$H$533,FA$4,0)*$W26,0)</f>
        <v>0</v>
      </c>
      <c r="FB26">
        <f>IFERROR(VLOOKUP($D26,'Kalkulator mięs '!$C$5:$H$533,FB$4,0)*$W26,0)</f>
        <v>624.29999999999995</v>
      </c>
      <c r="FC26">
        <f>IFERROR(VLOOKUP($D26,'Kalkulator mięs '!$C$5:$H$533,FC$4,0)*$W26,0)</f>
        <v>0</v>
      </c>
      <c r="FD26">
        <f>IFERROR(VLOOKUP($D26,'Kalkulator mięs '!$C$5:$H$533,FD$4,0)*$X26,0)</f>
        <v>0</v>
      </c>
      <c r="FE26">
        <f>IFERROR(VLOOKUP($D26,'Kalkulator mięs '!$C$5:$H$533,FE$4,0)*$X26,0)</f>
        <v>499.5</v>
      </c>
      <c r="FF26">
        <f>IFERROR(VLOOKUP($D26,'Kalkulator mięs '!$C$5:$H$533,FF$4,0)*$X26,0)</f>
        <v>0</v>
      </c>
      <c r="FG26">
        <f>IFERROR(VLOOKUP($D26,'Kalkulator mięs '!$C$5:$H$533,FG$4,0)*$Y26,0)</f>
        <v>0</v>
      </c>
      <c r="FH26">
        <f>IFERROR(VLOOKUP($D26,'Kalkulator mięs '!$C$5:$H$533,FH$4,0)*$Y26,0)</f>
        <v>0</v>
      </c>
      <c r="FI26">
        <f>IFERROR(VLOOKUP($D26,'Kalkulator mięs '!$C$5:$H$533,FI$4,0)*$Y26,0)</f>
        <v>0</v>
      </c>
      <c r="FJ26">
        <f>IFERROR(VLOOKUP($D26,'Kalkulator mięs '!$C$5:$H$533,FJ$4,0)*$Z26,0)</f>
        <v>0</v>
      </c>
      <c r="FK26">
        <f>IFERROR(VLOOKUP($D26,'Kalkulator mięs '!$C$5:$H$533,FK$4,0)*$Z26,0)</f>
        <v>0</v>
      </c>
      <c r="FL26">
        <f>IFERROR(VLOOKUP($D26,'Kalkulator mięs '!$C$5:$H$533,FL$4,0)*$Z26,0)</f>
        <v>0</v>
      </c>
      <c r="FM26">
        <f>IFERROR(VLOOKUP($D26,'Kalkulator mięs '!$C$5:$H$533,FM$4,0)*$AA26,0)</f>
        <v>0</v>
      </c>
      <c r="FN26">
        <f>IFERROR(VLOOKUP($D26,'Kalkulator mięs '!$C$5:$H$533,FN$4,0)*$AA26,0)</f>
        <v>0</v>
      </c>
      <c r="FO26">
        <f>IFERROR(VLOOKUP($D26,'Kalkulator mięs '!$C$5:$H$533,FO$4,0)*$AA26,0)</f>
        <v>0</v>
      </c>
      <c r="FP26">
        <f>IFERROR(VLOOKUP($D26,'Kalkulator mięs '!$C$5:$H$533,FP$4,0)*$AB26,0)</f>
        <v>0</v>
      </c>
      <c r="FQ26">
        <f>IFERROR(VLOOKUP($D26,'Kalkulator mięs '!$C$5:$H$533,FQ$4,0)*$AB26,0)</f>
        <v>0</v>
      </c>
      <c r="FR26">
        <f>IFERROR(VLOOKUP($D26,'Kalkulator mięs '!$C$5:$H$533,FR$4,0)*$AB26,0)</f>
        <v>0</v>
      </c>
      <c r="FS26">
        <f>IFERROR(VLOOKUP($D26,'Kalkulator mięs '!$C$5:$H$533,FS$4,0)*$AC26,0)</f>
        <v>0</v>
      </c>
      <c r="FT26">
        <f>IFERROR(VLOOKUP($D26,'Kalkulator mięs '!$C$5:$H$533,FT$4,0)*$AC26,0)</f>
        <v>0</v>
      </c>
      <c r="FU26">
        <f>IFERROR(VLOOKUP($D26,'Kalkulator mięs '!$C$5:$H$533,FU$4,0)*$AC26,0)</f>
        <v>0</v>
      </c>
      <c r="FV26">
        <f>IFERROR(VLOOKUP($D26,'Kalkulator mięs '!$C$5:$H$533,FV$4,0)*$AD26,0)</f>
        <v>0</v>
      </c>
      <c r="FW26">
        <f>IFERROR(VLOOKUP($D26,'Kalkulator mięs '!$C$5:$H$533,FW$4,0)*$AD26,0)</f>
        <v>0</v>
      </c>
      <c r="FX26">
        <f>IFERROR(VLOOKUP($D26,'Kalkulator mięs '!$C$5:$H$533,FX$4,0)*$AD26,0)</f>
        <v>0</v>
      </c>
      <c r="FY26">
        <f>IFERROR(VLOOKUP($D26,'Kalkulator mięs '!$C$5:$H$533,FY$4,0)*$AE26,0)</f>
        <v>0</v>
      </c>
      <c r="FZ26">
        <f>IFERROR(VLOOKUP($D26,'Kalkulator mięs '!$C$5:$H$533,FZ$4,0)*$AE26,0)</f>
        <v>0</v>
      </c>
      <c r="GA26">
        <f>IFERROR(VLOOKUP($D26,'Kalkulator mięs '!$C$5:$H$533,GA$4,0)*$AE26,0)</f>
        <v>0</v>
      </c>
      <c r="GB26">
        <f>IFERROR(VLOOKUP($D26,'Kalkulator mięs '!$C$5:$H$533,GB$4,0)*$AF26,0)</f>
        <v>0</v>
      </c>
      <c r="GC26">
        <f>IFERROR(VLOOKUP($D26,'Kalkulator mięs '!$C$5:$H$533,GC$4,0)*$AF26,0)</f>
        <v>0</v>
      </c>
      <c r="GD26">
        <f>IFERROR(VLOOKUP($D26,'Kalkulator mięs '!$C$5:$H$533,GD$4,0)*$AF26,0)</f>
        <v>0</v>
      </c>
      <c r="GE26">
        <f>IFERROR(VLOOKUP($D26,'Kalkulator mięs '!$C$5:$H$533,GE$4,0)*$AG26,0)</f>
        <v>0</v>
      </c>
      <c r="GF26">
        <f>IFERROR(VLOOKUP($D26,'Kalkulator mięs '!$C$5:$H$533,GF$4,0)*$AG26,0)</f>
        <v>0</v>
      </c>
      <c r="GG26">
        <f>IFERROR(VLOOKUP($D26,'Kalkulator mięs '!$C$5:$H$533,GG$4,0)*$AG26,0)</f>
        <v>0</v>
      </c>
      <c r="GH26">
        <f>IFERROR(VLOOKUP($D26,'Kalkulator mięs '!$C$5:$H$533,GH$4,0)*$AH26,0)</f>
        <v>0</v>
      </c>
      <c r="GI26">
        <f>IFERROR(VLOOKUP($D26,'Kalkulator mięs '!$C$5:$H$533,GI$4,0)*$AH26,0)</f>
        <v>0</v>
      </c>
      <c r="GJ26">
        <f>IFERROR(VLOOKUP($D26,'Kalkulator mięs '!$C$5:$H$533,GJ$4,0)*$AH26,0)</f>
        <v>0</v>
      </c>
      <c r="GK26">
        <f>IFERROR(VLOOKUP($D26,'Kalkulator mięs '!$C$5:$H$533,GK$4,0)*$AI26,0)</f>
        <v>0</v>
      </c>
      <c r="GL26">
        <f>IFERROR(VLOOKUP($D26,'Kalkulator mięs '!$C$5:$H$533,GL$4,0)*$AI26,0)</f>
        <v>0</v>
      </c>
      <c r="GM26">
        <f>IFERROR(VLOOKUP($D26,'Kalkulator mięs '!$C$5:$H$533,GM$4,0)*$AI26,0)</f>
        <v>0</v>
      </c>
      <c r="GN26">
        <f>IFERROR(VLOOKUP($D26,'Kalkulator mięs '!$C$5:$H$533,GN$4,0)*$AJ26,0)</f>
        <v>0</v>
      </c>
      <c r="GO26">
        <f>IFERROR(VLOOKUP($D26,'Kalkulator mięs '!$C$5:$H$533,GO$4,0)*$AJ26,0)</f>
        <v>0</v>
      </c>
      <c r="GP26">
        <f>IFERROR(VLOOKUP($D26,'Kalkulator mięs '!$C$5:$H$533,GP$4,0)*$AJ26,0)</f>
        <v>0</v>
      </c>
      <c r="GQ26">
        <f>IFERROR(VLOOKUP($D26,'Kalkulator mięs '!$C$5:$H$533,GQ$4,0)*$AK26,0)</f>
        <v>0</v>
      </c>
      <c r="GR26">
        <f>IFERROR(VLOOKUP($D26,'Kalkulator mięs '!$C$5:$H$533,GR$4,0)*$AK26,0)</f>
        <v>0</v>
      </c>
      <c r="GS26">
        <f>IFERROR(VLOOKUP($D26,'Kalkulator mięs '!$C$5:$H$533,GS$4,0)*$AK26,0)</f>
        <v>0</v>
      </c>
      <c r="GT26">
        <f>IFERROR(VLOOKUP($D26,'Kalkulator mięs '!$C$5:$H$533,GT$4,0)*$AL26,0)</f>
        <v>0</v>
      </c>
      <c r="GU26">
        <f>IFERROR(VLOOKUP($D26,'Kalkulator mięs '!$C$5:$H$533,GU$4,0)*$AL26,0)</f>
        <v>0</v>
      </c>
      <c r="GV26">
        <f>IFERROR(VLOOKUP($D26,'Kalkulator mięs '!$C$5:$H$533,GV$4,0)*$AL26,0)</f>
        <v>0</v>
      </c>
      <c r="GW26">
        <f>IFERROR(VLOOKUP($D26,'Kalkulator mięs '!$C$5:$H$533,GW$4,0)*$AM26,0)</f>
        <v>0</v>
      </c>
      <c r="GX26">
        <f>IFERROR(VLOOKUP($D26,'Kalkulator mięs '!$C$5:$H$533,GX$4,0)*$AM26,0)</f>
        <v>0</v>
      </c>
      <c r="GY26">
        <f>IFERROR(VLOOKUP($D26,'Kalkulator mięs '!$C$5:$H$533,GY$4,0)*$AM26,0)</f>
        <v>0</v>
      </c>
      <c r="GZ26">
        <f>IFERROR(VLOOKUP($D26,'Kalkulator mięs '!$C$5:$H$533,GZ$4,0)*$AN26,0)</f>
        <v>0</v>
      </c>
      <c r="HA26">
        <f>IFERROR(VLOOKUP($D26,'Kalkulator mięs '!$C$5:$H$533,HA$4,0)*$AN26,0)</f>
        <v>0</v>
      </c>
      <c r="HB26">
        <f>IFERROR(VLOOKUP($D26,'Kalkulator mięs '!$C$5:$H$533,HB$4,0)*$AN26,0)</f>
        <v>0</v>
      </c>
      <c r="HC26">
        <f>IFERROR(VLOOKUP($D26,'Kalkulator mięs '!$C$5:$H$533,HC$4,0)*$AO26,0)</f>
        <v>0</v>
      </c>
      <c r="HD26">
        <f>IFERROR(VLOOKUP($D26,'Kalkulator mięs '!$C$5:$H$533,HD$4,0)*$AO26,0)</f>
        <v>0</v>
      </c>
      <c r="HE26">
        <f>IFERROR(VLOOKUP($D26,'Kalkulator mięs '!$C$5:$H$533,HE$4,0)*$AO26,0)</f>
        <v>0</v>
      </c>
      <c r="HF26">
        <f>IFERROR(VLOOKUP($D26,'Kalkulator mięs '!$C$5:$H$533,HF$4,0)*$AP26,0)</f>
        <v>0</v>
      </c>
      <c r="HG26">
        <f>IFERROR(VLOOKUP($D26,'Kalkulator mięs '!$C$5:$H$533,HG$4,0)*$AP26,0)</f>
        <v>0</v>
      </c>
      <c r="HH26">
        <f>IFERROR(VLOOKUP($D26,'Kalkulator mięs '!$C$5:$H$533,HH$4,0)*$AP26,0)</f>
        <v>0</v>
      </c>
      <c r="HI26">
        <f>IFERROR(VLOOKUP($D26,'Kalkulator mięs '!$C$5:$H$533,HI$4,0)*$AQ26,0)</f>
        <v>0</v>
      </c>
      <c r="HJ26">
        <f>IFERROR(VLOOKUP($D26,'Kalkulator mięs '!$C$5:$H$533,HJ$4,0)*$AQ26,0)</f>
        <v>0</v>
      </c>
      <c r="HK26">
        <f>IFERROR(VLOOKUP($D26,'Kalkulator mięs '!$C$5:$H$533,HK$4,0)*$AQ26,0)</f>
        <v>0</v>
      </c>
      <c r="HL26">
        <f>IFERROR(VLOOKUP($D26,'Kalkulator mięs '!$C$5:$H$533,HL$4,0)*$AR26,0)</f>
        <v>0</v>
      </c>
      <c r="HM26">
        <f>IFERROR(VLOOKUP($D26,'Kalkulator mięs '!$C$5:$H$533,HM$4,0)*$AR26,0)</f>
        <v>0</v>
      </c>
      <c r="HN26">
        <f>IFERROR(VLOOKUP($D26,'Kalkulator mięs '!$C$5:$H$533,HN$4,0)*$AR26,0)</f>
        <v>0</v>
      </c>
      <c r="HO26">
        <f>IFERROR(VLOOKUP($D26,'Kalkulator mięs '!$C$5:$H$533,HO$4,0)*$AS26,0)</f>
        <v>0</v>
      </c>
      <c r="HP26">
        <f>IFERROR(VLOOKUP($D26,'Kalkulator mięs '!$C$5:$H$533,HP$4,0)*$AS26,0)</f>
        <v>0</v>
      </c>
      <c r="HQ26">
        <f>IFERROR(VLOOKUP($D26,'Kalkulator mięs '!$C$5:$H$533,HQ$4,0)*$AS26,0)</f>
        <v>0</v>
      </c>
      <c r="HR26">
        <f>IFERROR(VLOOKUP($D26,'Kalkulator mięs '!$C$5:$H$533,HR$4,0)*$AT26,0)</f>
        <v>0</v>
      </c>
      <c r="HS26">
        <f>IFERROR(VLOOKUP($D26,'Kalkulator mięs '!$C$5:$H$533,HS$4,0)*$AT26,0)</f>
        <v>0</v>
      </c>
      <c r="HT26">
        <f>IFERROR(VLOOKUP($D26,'Kalkulator mięs '!$C$5:$H$533,HT$4,0)*$AT26,0)</f>
        <v>0</v>
      </c>
      <c r="HU26">
        <f>IFERROR(VLOOKUP($D26,'Kalkulator mięs '!$C$5:$H$533,HU$4,0)*$AU26,0)</f>
        <v>0</v>
      </c>
      <c r="HV26">
        <f>IFERROR(VLOOKUP($D26,'Kalkulator mięs '!$C$5:$H$533,HV$4,0)*$AU26,0)</f>
        <v>0</v>
      </c>
      <c r="HW26">
        <f>IFERROR(VLOOKUP($D26,'Kalkulator mięs '!$C$5:$H$533,HW$4,0)*$AU26,0)</f>
        <v>0</v>
      </c>
      <c r="HX26">
        <f>IFERROR(VLOOKUP($D26,'Kalkulator mięs '!$C$5:$H$533,HX$4,0)*$AV26,0)</f>
        <v>0</v>
      </c>
      <c r="HY26">
        <f>IFERROR(VLOOKUP($D26,'Kalkulator mięs '!$C$5:$H$533,HY$4,0)*$AV26,0)</f>
        <v>0</v>
      </c>
      <c r="HZ26">
        <f>IFERROR(VLOOKUP($D26,'Kalkulator mięs '!$C$5:$H$533,HZ$4,0)*$AV26,0)</f>
        <v>0</v>
      </c>
      <c r="IA26">
        <f>IFERROR(VLOOKUP($D26,'Kalkulator mięs '!$C$5:$H$533,IA$4,0)*$AW26,0)</f>
        <v>0</v>
      </c>
      <c r="IB26">
        <f>IFERROR(VLOOKUP($D26,'Kalkulator mięs '!$C$5:$H$533,IB$4,0)*$AW26,0)</f>
        <v>0</v>
      </c>
      <c r="IC26">
        <f>IFERROR(VLOOKUP($D26,'Kalkulator mięs '!$C$5:$H$533,IC$4,0)*$AW26,0)</f>
        <v>0</v>
      </c>
      <c r="ID26">
        <f>IFERROR(VLOOKUP($D26,'Kalkulator mięs '!$C$5:$H$533,ID$4,0)*$AX26,0)</f>
        <v>0</v>
      </c>
      <c r="IE26">
        <f>IFERROR(VLOOKUP($D26,'Kalkulator mięs '!$C$5:$H$533,IE$4,0)*$AX26,0)</f>
        <v>0</v>
      </c>
      <c r="IF26">
        <f>IFERROR(VLOOKUP($D26,'Kalkulator mięs '!$C$5:$H$533,IF$4,0)*$AX26,0)</f>
        <v>0</v>
      </c>
      <c r="IG26">
        <f>IFERROR(VLOOKUP($D26,'Kalkulator mięs '!$C$5:$H$533,IG$4,0)*$AY26,0)</f>
        <v>0</v>
      </c>
      <c r="IH26">
        <f>IFERROR(VLOOKUP($D26,'Kalkulator mięs '!$C$5:$H$533,IH$4,0)*$AY26,0)</f>
        <v>0</v>
      </c>
      <c r="II26">
        <f>IFERROR(VLOOKUP($D26,'Kalkulator mięs '!$C$5:$H$533,II$4,0)*$AY26,0)</f>
        <v>0</v>
      </c>
      <c r="IJ26">
        <f>IFERROR(VLOOKUP($D26,'Kalkulator mięs '!$C$5:$H$533,IJ$4,0)*$AZ26,0)</f>
        <v>0</v>
      </c>
      <c r="IK26">
        <f>IFERROR(VLOOKUP($D26,'Kalkulator mięs '!$C$5:$H$533,IK$4,0)*$AZ26,0)</f>
        <v>0</v>
      </c>
      <c r="IL26">
        <f>IFERROR(VLOOKUP($D26,'Kalkulator mięs '!$C$5:$H$533,IL$4,0)*$AZ26,0)</f>
        <v>0</v>
      </c>
      <c r="IM26">
        <f>IFERROR(VLOOKUP($D26,'Kalkulator mięs '!$C$5:$H$533,IM$4,0)*$BA26,0)</f>
        <v>0</v>
      </c>
      <c r="IN26">
        <f>IFERROR(VLOOKUP($D26,'Kalkulator mięs '!$C$5:$H$533,IN$4,0)*$BA26,0)</f>
        <v>0</v>
      </c>
      <c r="IO26">
        <f>IFERROR(VLOOKUP($D26,'Kalkulator mięs '!$C$5:$H$533,IO$4,0)*$BA26,0)</f>
        <v>0</v>
      </c>
    </row>
    <row r="27" spans="1:249" ht="15.75">
      <c r="A27" s="91"/>
      <c r="B27" t="str">
        <f>VLOOKUP(D27,Receptury_z!$A:$B,2,0)</f>
        <v>ON</v>
      </c>
      <c r="C27" s="16">
        <v>5555</v>
      </c>
      <c r="D27" s="19">
        <v>6461</v>
      </c>
      <c r="E27" s="18" t="s">
        <v>39</v>
      </c>
      <c r="F27" s="14">
        <f>IF($B27="OFF",BE27,VLOOKUP($D27,Receptury_z!$D:$AI,F$4,0))</f>
        <v>0</v>
      </c>
      <c r="G27" s="14">
        <f>IF($B27="OFF",BF27,VLOOKUP($D27,Receptury_z!$D:$AI,G$4,0))</f>
        <v>0</v>
      </c>
      <c r="H27" s="14">
        <f>IF($B27="OFF",BG27,VLOOKUP($D27,Receptury_z!$D:$AI,H$4,0))</f>
        <v>0</v>
      </c>
      <c r="I27" s="14">
        <f>IF($B27="OFF",BH27,VLOOKUP($D27,Receptury_z!$D:$AI,I$4,0))</f>
        <v>0</v>
      </c>
      <c r="J27" s="14">
        <f>IF($B27="OFF",BI27,VLOOKUP($D27,Receptury_z!$D:$AI,J$4,0))</f>
        <v>0</v>
      </c>
      <c r="K27" s="14">
        <f>IF($B27="OFF",BJ27,VLOOKUP($D27,Receptury_z!$D:$AI,K$4,0))</f>
        <v>0</v>
      </c>
      <c r="L27" s="14">
        <f>IF($B27="OFF",BK27,VLOOKUP($D27,Receptury_z!$D:$AI,L$4,0))</f>
        <v>0</v>
      </c>
      <c r="M27" s="14">
        <f>IF($B27="OFF",BL27,VLOOKUP($D27,Receptury_z!$D:$AI,M$4,0))</f>
        <v>0</v>
      </c>
      <c r="N27" s="14">
        <f>IF($B27="OFF",BM27,VLOOKUP($D27,Receptury_z!$D:$AI,N$4,0))</f>
        <v>0</v>
      </c>
      <c r="O27" s="14">
        <f>IF($B27="OFF",BN27,VLOOKUP($D27,Receptury_z!$D:$AI,O$4,0))</f>
        <v>0</v>
      </c>
      <c r="P27" s="14">
        <f>IF($B27="OFF",BO27,VLOOKUP($D27,Receptury_z!$D:$AI,P$4,0))</f>
        <v>0</v>
      </c>
      <c r="Q27" s="14">
        <f>IF($B27="OFF",BP27,VLOOKUP($D27,Receptury_z!$D:$AI,Q$4,0))</f>
        <v>0</v>
      </c>
      <c r="R27" s="14">
        <f>IF($B27="OFF",BQ27,VLOOKUP($D27,Receptury_z!$D:$AI,R$4,0))</f>
        <v>0</v>
      </c>
      <c r="S27" s="14">
        <f>IF($B27="OFF",BR27,VLOOKUP($D27,Receptury_z!$D:$AI,S$4,0))</f>
        <v>0</v>
      </c>
      <c r="T27" s="14">
        <f>IF($B27="OFF",BS27,VLOOKUP($D27,Receptury_z!$D:$AI,T$4,0))</f>
        <v>389.9</v>
      </c>
      <c r="U27" s="14">
        <f>IF($B27="OFF",BT27,VLOOKUP($D27,Receptury_z!$D:$AI,U$4,0))</f>
        <v>288.8</v>
      </c>
      <c r="V27" s="14">
        <f>IF($B27="OFF",BU27,VLOOKUP($D27,Receptury_z!$D:$AI,V$4,0))</f>
        <v>0</v>
      </c>
      <c r="W27" s="14">
        <f>IF($B27="OFF",BV27,VLOOKUP($D27,Receptury_z!$D:$AI,W$4,0))</f>
        <v>0</v>
      </c>
      <c r="X27" s="14">
        <f>IF($B27="OFF",BW27,VLOOKUP($D27,Receptury_z!$D:$AI,X$4,0))</f>
        <v>0</v>
      </c>
      <c r="Y27" s="14">
        <f>IF($B27="OFF",BX27,VLOOKUP($D27,Receptury_z!$D:$AI,Y$4,0))</f>
        <v>0</v>
      </c>
      <c r="Z27" s="14">
        <f>IF($B27="OFF",BY27,VLOOKUP($D27,Receptury_z!$D:$AI,Z$4,0))</f>
        <v>0</v>
      </c>
      <c r="AA27" s="14">
        <f>IF($B27="OFF",BZ27,VLOOKUP($D27,Receptury_z!$D:$AI,AA$4,0))</f>
        <v>0</v>
      </c>
      <c r="AB27" s="14">
        <f>IF($B27="OFF",CA27,VLOOKUP($D27,Receptury_z!$D:$AI,AB$4,0))</f>
        <v>43.3</v>
      </c>
      <c r="AC27" s="14">
        <f>IF($B27="OFF",CB27,VLOOKUP($D27,Receptury_z!$D:$AI,AC$4,0))</f>
        <v>0</v>
      </c>
      <c r="AD27" s="14">
        <f>IF($B27="OFF",CC27,VLOOKUP($D27,Receptury_z!$D:$AI,AD$4,0))</f>
        <v>0</v>
      </c>
      <c r="AE27" s="14">
        <f>IF($B27="OFF",CD27,VLOOKUP($D27,Receptury_z!$D:$AI,AE$4,0))</f>
        <v>0</v>
      </c>
      <c r="AF27" s="14">
        <f>IF($B27="OFF",CE27,VLOOKUP($D27,Receptury_z!$D:$AI,AF$4,0))</f>
        <v>0</v>
      </c>
      <c r="AG27" s="14">
        <f>IF($B27="OFF",CF27,VLOOKUP($D27,Receptury_z!$D:$AI,AG$4,0))</f>
        <v>0</v>
      </c>
      <c r="AH27" s="14">
        <f>IF($B27="OFF",CG27,VLOOKUP($D27,Receptury_z!$D:$AI,AH$4,0))</f>
        <v>0</v>
      </c>
      <c r="AI27" s="14">
        <f>IF($B27="OFF",CH27,VLOOKUP($D27,Receptury_z!$D:$AI,AI$4,0))</f>
        <v>0</v>
      </c>
      <c r="AJ27" s="14">
        <f>IF($B27="OFF",CI27,VLOOKUP($D27,Receptury_z!$D:$AS,AJ$4,0))</f>
        <v>0</v>
      </c>
      <c r="AK27" s="14">
        <f>IF($B27="OFF",CJ27,VLOOKUP($D27,Receptury_z!$D:$AS,AK$4,0))</f>
        <v>0</v>
      </c>
      <c r="AL27" s="14">
        <f>IF($B27="OFF",CK27,VLOOKUP($D27,Receptury_z!$D:$AS,AL$4,0))</f>
        <v>0</v>
      </c>
      <c r="AM27" s="14">
        <f>IF($B27="OFF",CL27,VLOOKUP($D27,Receptury_z!$D:$AS,AM$4,0))</f>
        <v>0</v>
      </c>
      <c r="AN27" s="14">
        <f>IF($B27="OFF",CM27,VLOOKUP($D27,Receptury_z!$D:$AS,AN$4,0))</f>
        <v>0</v>
      </c>
      <c r="AO27" s="14">
        <f>IF($B27="OFF",CN27,VLOOKUP($D27,Receptury_z!$D:$AS,AO$4,0))</f>
        <v>0</v>
      </c>
      <c r="AP27" s="14">
        <f>IF($B27="OFF",CO27,VLOOKUP($D27,Receptury_z!$D:$AS,AP$4,0))</f>
        <v>0</v>
      </c>
      <c r="AQ27" s="14">
        <f>IF($B27="OFF",CP27,VLOOKUP($D27,Receptury_z!$D:$AS,AQ$4,0))</f>
        <v>0</v>
      </c>
      <c r="AR27" s="14">
        <f>IF($B27="OFF",CQ27,VLOOKUP($D27,Receptury_z!$D:$AS,AR$4,0))</f>
        <v>0</v>
      </c>
      <c r="AS27" s="14">
        <f>IF($B27="OFF",CR27,VLOOKUP($D27,Receptury_z!$D:$AS,AS$4,0))</f>
        <v>0</v>
      </c>
      <c r="AT27" s="14">
        <f>IF($B27="OFF",CS27,VLOOKUP($D27,Receptury_z!$D:$AV,AT$4,0))</f>
        <v>0</v>
      </c>
      <c r="AU27" s="14">
        <f>IF($B27="OFF",CT27,VLOOKUP($D27,Receptury_z!$D:$AV,AU$4,0))</f>
        <v>0</v>
      </c>
      <c r="AV27" s="14">
        <f>IF($B27="OFF",CU27,VLOOKUP($D27,Receptury_z!$D:$AV,AV$4,0))</f>
        <v>0</v>
      </c>
      <c r="AW27" s="14">
        <f>IF($B27="OFF",CV27,VLOOKUP($D27,Receptury_z!$D:$BA,AW$4,0))</f>
        <v>0</v>
      </c>
      <c r="AX27" s="14">
        <f>IF($B27="OFF",CW27,VLOOKUP($D27,Receptury_z!$D:$BA,AX$4,0))</f>
        <v>0</v>
      </c>
      <c r="AY27" s="14">
        <f>IF($B27="OFF",CX27,VLOOKUP($D27,Receptury_z!$D:$BA,AY$4,0))</f>
        <v>0</v>
      </c>
      <c r="AZ27" s="14">
        <f>IF($B27="OFF",DA27,VLOOKUP($D27,Receptury_z!$D:$BA,AZ$4,0))</f>
        <v>0</v>
      </c>
      <c r="BA27" s="14">
        <f>IF($B27="OFF",DB27,VLOOKUP($D27,Receptury_z!$D:$BA,BA$4,0))</f>
        <v>0</v>
      </c>
      <c r="BC27" s="19" t="s">
        <v>83</v>
      </c>
      <c r="BD27" s="18" t="s">
        <v>39</v>
      </c>
      <c r="BE27" s="239">
        <v>0</v>
      </c>
      <c r="BF27" s="239">
        <v>0</v>
      </c>
      <c r="BG27" s="239">
        <v>0</v>
      </c>
      <c r="BH27" s="239">
        <v>0</v>
      </c>
      <c r="BI27" s="239">
        <v>0</v>
      </c>
      <c r="BJ27" s="239">
        <v>0</v>
      </c>
      <c r="BK27" s="239">
        <v>0</v>
      </c>
      <c r="BL27" s="239">
        <v>0</v>
      </c>
      <c r="BM27" s="239">
        <v>0</v>
      </c>
      <c r="BN27" s="239">
        <v>0</v>
      </c>
      <c r="BO27" s="239">
        <v>0</v>
      </c>
      <c r="BP27" s="239">
        <v>0</v>
      </c>
      <c r="BQ27" s="239">
        <v>0</v>
      </c>
      <c r="BR27" s="239">
        <v>0</v>
      </c>
      <c r="BS27" s="239">
        <v>389.9</v>
      </c>
      <c r="BT27" s="239">
        <v>288.8</v>
      </c>
      <c r="BU27" s="239">
        <v>0</v>
      </c>
      <c r="BV27" s="239">
        <v>0</v>
      </c>
      <c r="BW27" s="239">
        <v>0</v>
      </c>
      <c r="BX27" s="239">
        <v>0</v>
      </c>
      <c r="BY27" s="239">
        <v>0</v>
      </c>
      <c r="BZ27" s="239">
        <v>0</v>
      </c>
      <c r="CA27" s="239">
        <v>43.3</v>
      </c>
      <c r="CB27" s="239">
        <v>0</v>
      </c>
      <c r="CC27" s="239">
        <v>0</v>
      </c>
      <c r="CD27" s="239">
        <v>0</v>
      </c>
      <c r="CE27" s="239">
        <v>0</v>
      </c>
      <c r="CF27" s="239">
        <v>0</v>
      </c>
      <c r="CG27" s="239">
        <v>0</v>
      </c>
      <c r="CH27" s="239">
        <v>0</v>
      </c>
      <c r="CI27" s="239">
        <v>0</v>
      </c>
      <c r="CJ27" s="239">
        <v>0</v>
      </c>
      <c r="CK27" s="239">
        <v>0</v>
      </c>
      <c r="CL27" s="239">
        <v>0</v>
      </c>
      <c r="CM27" s="80"/>
      <c r="CN27" s="80"/>
      <c r="CO27" s="80"/>
      <c r="CP27" s="80"/>
      <c r="CQ27" s="80"/>
      <c r="CR27" s="80"/>
      <c r="CS27" s="80"/>
      <c r="CT27" s="80"/>
      <c r="CU27" s="80"/>
      <c r="CV27" s="80"/>
      <c r="CW27" s="80"/>
      <c r="CX27" s="80"/>
      <c r="CY27" s="80"/>
      <c r="CZ27" s="80"/>
      <c r="DB27">
        <f>IFERROR(VLOOKUP($D27,'Kalkulator mięs '!$C$5:$H$533,DB$4,0)*F27,0)</f>
        <v>0</v>
      </c>
      <c r="DC27">
        <f>IFERROR(VLOOKUP($D27,'Kalkulator mięs '!$C$5:$H$533,DC$4,0)*F27,0)</f>
        <v>0</v>
      </c>
      <c r="DD27">
        <f>IFERROR(VLOOKUP($D27,'Kalkulator mięs '!$C$5:$H$533,DD$4,0)*F27,0)</f>
        <v>0</v>
      </c>
      <c r="DE27">
        <f>IFERROR(VLOOKUP($D27,'Kalkulator mięs '!$C$5:$H$533,DE$4,0)*$G27,0)</f>
        <v>0</v>
      </c>
      <c r="DF27">
        <f>IFERROR(VLOOKUP($D27,'Kalkulator mięs '!$C$5:$H$533,DF$4,0)*$G27,0)</f>
        <v>0</v>
      </c>
      <c r="DG27">
        <f>IFERROR(VLOOKUP($D27,'Kalkulator mięs '!$C$5:$H$533,DG$4,0)*$G27,0)</f>
        <v>0</v>
      </c>
      <c r="DH27">
        <f>IFERROR(VLOOKUP($D27,'Kalkulator mięs '!$C$5:$H$533,DH$4,0)*$H27,0)</f>
        <v>0</v>
      </c>
      <c r="DI27">
        <f>IFERROR(VLOOKUP($D27,'Kalkulator mięs '!$C$5:$H$533,DI$4,0)*$H27,0)</f>
        <v>0</v>
      </c>
      <c r="DJ27">
        <f>IFERROR(VLOOKUP($D27,'Kalkulator mięs '!$C$5:$H$533,DJ$4,0)*$H27,0)</f>
        <v>0</v>
      </c>
      <c r="DK27">
        <f>IFERROR(VLOOKUP($D27,'Kalkulator mięs '!$C$5:$H$533,DK$4,0)*$I27,0)</f>
        <v>0</v>
      </c>
      <c r="DL27">
        <f>IFERROR(VLOOKUP($D27,'Kalkulator mięs '!$C$5:$H$533,DL$4,0)*$I27,0)</f>
        <v>0</v>
      </c>
      <c r="DM27">
        <f>IFERROR(VLOOKUP($D27,'Kalkulator mięs '!$C$5:$H$533,DM$4,0)*$I27,0)</f>
        <v>0</v>
      </c>
      <c r="DN27">
        <f>IFERROR(VLOOKUP($D27,'Kalkulator mięs '!$C$5:$H$533,DN$4,0)*$J27,0)</f>
        <v>0</v>
      </c>
      <c r="DO27">
        <f>IFERROR(VLOOKUP($D27,'Kalkulator mięs '!$C$5:$H$533,DO$4,0)*$J27,0)</f>
        <v>0</v>
      </c>
      <c r="DP27">
        <f>IFERROR(VLOOKUP($D27,'Kalkulator mięs '!$C$5:$H$533,DP$4,0)*$J27,0)</f>
        <v>0</v>
      </c>
      <c r="DQ27">
        <f>IFERROR(VLOOKUP($D27,'Kalkulator mięs '!$C$5:$H$533,DQ$4,0)*$K27,0)</f>
        <v>0</v>
      </c>
      <c r="DR27">
        <f>IFERROR(VLOOKUP($D27,'Kalkulator mięs '!$C$5:$H$533,DR$4,0)*$K27,0)</f>
        <v>0</v>
      </c>
      <c r="DS27">
        <f>IFERROR(VLOOKUP($D27,'Kalkulator mięs '!$C$5:$H$533,DS$4,0)*$K27,0)</f>
        <v>0</v>
      </c>
      <c r="DT27">
        <f>IFERROR(VLOOKUP($D27,'Kalkulator mięs '!$C$5:$H$533,DT$4,0)*$L27,0)</f>
        <v>0</v>
      </c>
      <c r="DU27">
        <f>IFERROR(VLOOKUP($D27,'Kalkulator mięs '!$C$5:$H$533,DU$4,0)*$L27,0)</f>
        <v>0</v>
      </c>
      <c r="DV27">
        <f>IFERROR(VLOOKUP($D27,'Kalkulator mięs '!$C$5:$H$533,DV$4,0)*$L27,0)</f>
        <v>0</v>
      </c>
      <c r="DW27">
        <f>IFERROR(VLOOKUP($D27,'Kalkulator mięs '!$C$5:$H$533,DW$4,0)*$M27,0)</f>
        <v>0</v>
      </c>
      <c r="DX27">
        <f>IFERROR(VLOOKUP($D27,'Kalkulator mięs '!$C$5:$H$533,DX$4,0)*$M27,0)</f>
        <v>0</v>
      </c>
      <c r="DY27">
        <f>IFERROR(VLOOKUP($D27,'Kalkulator mięs '!$C$5:$H$533,DY$4,0)*$M27,0)</f>
        <v>0</v>
      </c>
      <c r="DZ27">
        <f>IFERROR(VLOOKUP($D27,'Kalkulator mięs '!$C$5:$H$533,DZ$4,0)*$N27,0)</f>
        <v>0</v>
      </c>
      <c r="EA27">
        <f>IFERROR(VLOOKUP($D27,'Kalkulator mięs '!$C$5:$H$533,EA$4,0)*$N27,0)</f>
        <v>0</v>
      </c>
      <c r="EB27">
        <f>IFERROR(VLOOKUP($D27,'Kalkulator mięs '!$C$5:$H$533,EB$4,0)*$N27,0)</f>
        <v>0</v>
      </c>
      <c r="EC27">
        <f>IFERROR(VLOOKUP($D27,'Kalkulator mięs '!$C$5:$H$533,EC$4,0)*$O27,0)</f>
        <v>0</v>
      </c>
      <c r="ED27">
        <f>IFERROR(VLOOKUP($D27,'Kalkulator mięs '!$C$5:$H$533,ED$4,0)*$O27,0)</f>
        <v>0</v>
      </c>
      <c r="EE27">
        <f>IFERROR(VLOOKUP($D27,'Kalkulator mięs '!$C$5:$H$533,EE$4,0)*$O27,0)</f>
        <v>0</v>
      </c>
      <c r="EF27">
        <f>IFERROR(VLOOKUP($D27,'Kalkulator mięs '!$C$5:$H$533,EF$4,0)*$P27,0)</f>
        <v>0</v>
      </c>
      <c r="EG27">
        <f>IFERROR(VLOOKUP($D27,'Kalkulator mięs '!$C$5:$H$533,EG$4,0)*$P27,0)</f>
        <v>0</v>
      </c>
      <c r="EH27">
        <f>IFERROR(VLOOKUP($D27,'Kalkulator mięs '!$C$5:$H$533,EH$4,0)*$P27,0)</f>
        <v>0</v>
      </c>
      <c r="EI27">
        <f>IFERROR(VLOOKUP($D27,'Kalkulator mięs '!$C$5:$H$533,EI$4,0)*$Q27,0)</f>
        <v>0</v>
      </c>
      <c r="EJ27">
        <f>IFERROR(VLOOKUP($D27,'Kalkulator mięs '!$C$5:$H$533,EJ$4,0)*$Q27,0)</f>
        <v>0</v>
      </c>
      <c r="EK27">
        <f>IFERROR(VLOOKUP($D27,'Kalkulator mięs '!$C$5:$H$533,EK$4,0)*$Q27,0)</f>
        <v>0</v>
      </c>
      <c r="EL27">
        <f>IFERROR(VLOOKUP($D27,'Kalkulator mięs '!$C$5:$H$533,EL$4,0)*$R27,0)</f>
        <v>0</v>
      </c>
      <c r="EM27">
        <f>IFERROR(VLOOKUP($D27,'Kalkulator mięs '!$C$5:$H$533,EM$4,0)*$R27,0)</f>
        <v>0</v>
      </c>
      <c r="EN27">
        <f>IFERROR(VLOOKUP($D27,'Kalkulator mięs '!$C$5:$H$533,EN$4,0)*$R27,0)</f>
        <v>0</v>
      </c>
      <c r="EO27">
        <f>IFERROR(VLOOKUP($D27,'Kalkulator mięs '!$C$5:$H$533,EO$4,0)*$S27,0)</f>
        <v>0</v>
      </c>
      <c r="EP27">
        <f>IFERROR(VLOOKUP($D27,'Kalkulator mięs '!$C$5:$H$533,EP$4,0)*$S27,0)</f>
        <v>0</v>
      </c>
      <c r="EQ27">
        <f>IFERROR(VLOOKUP($D27,'Kalkulator mięs '!$C$5:$H$533,EQ$4,0)*$S27,0)</f>
        <v>0</v>
      </c>
      <c r="ER27">
        <f>IFERROR(VLOOKUP($D27,'Kalkulator mięs '!$C$5:$H$533,ER$4,0)*$T27,0)</f>
        <v>0</v>
      </c>
      <c r="ES27">
        <f>IFERROR(VLOOKUP($D27,'Kalkulator mięs '!$C$5:$H$533,ES$4,0)*$T27,0)</f>
        <v>0</v>
      </c>
      <c r="ET27">
        <f>IFERROR(VLOOKUP($D27,'Kalkulator mięs '!$C$5:$H$533,ET$4,0)*$T27,0)</f>
        <v>0</v>
      </c>
      <c r="EU27">
        <f>IFERROR(VLOOKUP($D27,'Kalkulator mięs '!$C$5:$H$533,EU$4,0)*$U27,0)</f>
        <v>0</v>
      </c>
      <c r="EV27">
        <f>IFERROR(VLOOKUP($D27,'Kalkulator mięs '!$C$5:$H$533,EV$4,0)*$U27,0)</f>
        <v>0</v>
      </c>
      <c r="EW27">
        <f>IFERROR(VLOOKUP($D27,'Kalkulator mięs '!$C$5:$H$533,EW$4,0)*$U27,0)</f>
        <v>0</v>
      </c>
      <c r="EX27">
        <f>IFERROR(VLOOKUP($D27,'Kalkulator mięs '!$C$5:$H$533,EX$4,0)*$V27,0)</f>
        <v>0</v>
      </c>
      <c r="EY27">
        <f>IFERROR(VLOOKUP($D27,'Kalkulator mięs '!$C$5:$H$533,EY$4,0)*$V27,0)</f>
        <v>0</v>
      </c>
      <c r="EZ27">
        <f>IFERROR(VLOOKUP($D27,'Kalkulator mięs '!$C$5:$H$533,EZ$4,0)*$V27,0)</f>
        <v>0</v>
      </c>
      <c r="FA27">
        <f>IFERROR(VLOOKUP($D27,'Kalkulator mięs '!$C$5:$H$533,FA$4,0)*$W27,0)</f>
        <v>0</v>
      </c>
      <c r="FB27">
        <f>IFERROR(VLOOKUP($D27,'Kalkulator mięs '!$C$5:$H$533,FB$4,0)*$W27,0)</f>
        <v>0</v>
      </c>
      <c r="FC27">
        <f>IFERROR(VLOOKUP($D27,'Kalkulator mięs '!$C$5:$H$533,FC$4,0)*$W27,0)</f>
        <v>0</v>
      </c>
      <c r="FD27">
        <f>IFERROR(VLOOKUP($D27,'Kalkulator mięs '!$C$5:$H$533,FD$4,0)*$X27,0)</f>
        <v>0</v>
      </c>
      <c r="FE27">
        <f>IFERROR(VLOOKUP($D27,'Kalkulator mięs '!$C$5:$H$533,FE$4,0)*$X27,0)</f>
        <v>0</v>
      </c>
      <c r="FF27">
        <f>IFERROR(VLOOKUP($D27,'Kalkulator mięs '!$C$5:$H$533,FF$4,0)*$X27,0)</f>
        <v>0</v>
      </c>
      <c r="FG27">
        <f>IFERROR(VLOOKUP($D27,'Kalkulator mięs '!$C$5:$H$533,FG$4,0)*$Y27,0)</f>
        <v>0</v>
      </c>
      <c r="FH27">
        <f>IFERROR(VLOOKUP($D27,'Kalkulator mięs '!$C$5:$H$533,FH$4,0)*$Y27,0)</f>
        <v>0</v>
      </c>
      <c r="FI27">
        <f>IFERROR(VLOOKUP($D27,'Kalkulator mięs '!$C$5:$H$533,FI$4,0)*$Y27,0)</f>
        <v>0</v>
      </c>
      <c r="FJ27">
        <f>IFERROR(VLOOKUP($D27,'Kalkulator mięs '!$C$5:$H$533,FJ$4,0)*$Z27,0)</f>
        <v>0</v>
      </c>
      <c r="FK27">
        <f>IFERROR(VLOOKUP($D27,'Kalkulator mięs '!$C$5:$H$533,FK$4,0)*$Z27,0)</f>
        <v>0</v>
      </c>
      <c r="FL27">
        <f>IFERROR(VLOOKUP($D27,'Kalkulator mięs '!$C$5:$H$533,FL$4,0)*$Z27,0)</f>
        <v>0</v>
      </c>
      <c r="FM27">
        <f>IFERROR(VLOOKUP($D27,'Kalkulator mięs '!$C$5:$H$533,FM$4,0)*$AA27,0)</f>
        <v>0</v>
      </c>
      <c r="FN27">
        <f>IFERROR(VLOOKUP($D27,'Kalkulator mięs '!$C$5:$H$533,FN$4,0)*$AA27,0)</f>
        <v>0</v>
      </c>
      <c r="FO27">
        <f>IFERROR(VLOOKUP($D27,'Kalkulator mięs '!$C$5:$H$533,FO$4,0)*$AA27,0)</f>
        <v>0</v>
      </c>
      <c r="FP27">
        <f>IFERROR(VLOOKUP($D27,'Kalkulator mięs '!$C$5:$H$533,FP$4,0)*$AB27,0)</f>
        <v>0</v>
      </c>
      <c r="FQ27">
        <f>IFERROR(VLOOKUP($D27,'Kalkulator mięs '!$C$5:$H$533,FQ$4,0)*$AB27,0)</f>
        <v>0</v>
      </c>
      <c r="FR27">
        <f>IFERROR(VLOOKUP($D27,'Kalkulator mięs '!$C$5:$H$533,FR$4,0)*$AB27,0)</f>
        <v>0</v>
      </c>
      <c r="FS27">
        <f>IFERROR(VLOOKUP($D27,'Kalkulator mięs '!$C$5:$H$533,FS$4,0)*$AC27,0)</f>
        <v>0</v>
      </c>
      <c r="FT27">
        <f>IFERROR(VLOOKUP($D27,'Kalkulator mięs '!$C$5:$H$533,FT$4,0)*$AC27,0)</f>
        <v>0</v>
      </c>
      <c r="FU27">
        <f>IFERROR(VLOOKUP($D27,'Kalkulator mięs '!$C$5:$H$533,FU$4,0)*$AC27,0)</f>
        <v>0</v>
      </c>
      <c r="FV27">
        <f>IFERROR(VLOOKUP($D27,'Kalkulator mięs '!$C$5:$H$533,FV$4,0)*$AD27,0)</f>
        <v>0</v>
      </c>
      <c r="FW27">
        <f>IFERROR(VLOOKUP($D27,'Kalkulator mięs '!$C$5:$H$533,FW$4,0)*$AD27,0)</f>
        <v>0</v>
      </c>
      <c r="FX27">
        <f>IFERROR(VLOOKUP($D27,'Kalkulator mięs '!$C$5:$H$533,FX$4,0)*$AD27,0)</f>
        <v>0</v>
      </c>
      <c r="FY27">
        <f>IFERROR(VLOOKUP($D27,'Kalkulator mięs '!$C$5:$H$533,FY$4,0)*$AE27,0)</f>
        <v>0</v>
      </c>
      <c r="FZ27">
        <f>IFERROR(VLOOKUP($D27,'Kalkulator mięs '!$C$5:$H$533,FZ$4,0)*$AE27,0)</f>
        <v>0</v>
      </c>
      <c r="GA27">
        <f>IFERROR(VLOOKUP($D27,'Kalkulator mięs '!$C$5:$H$533,GA$4,0)*$AE27,0)</f>
        <v>0</v>
      </c>
      <c r="GB27">
        <f>IFERROR(VLOOKUP($D27,'Kalkulator mięs '!$C$5:$H$533,GB$4,0)*$AF27,0)</f>
        <v>0</v>
      </c>
      <c r="GC27">
        <f>IFERROR(VLOOKUP($D27,'Kalkulator mięs '!$C$5:$H$533,GC$4,0)*$AF27,0)</f>
        <v>0</v>
      </c>
      <c r="GD27">
        <f>IFERROR(VLOOKUP($D27,'Kalkulator mięs '!$C$5:$H$533,GD$4,0)*$AF27,0)</f>
        <v>0</v>
      </c>
      <c r="GE27">
        <f>IFERROR(VLOOKUP($D27,'Kalkulator mięs '!$C$5:$H$533,GE$4,0)*$AG27,0)</f>
        <v>0</v>
      </c>
      <c r="GF27">
        <f>IFERROR(VLOOKUP($D27,'Kalkulator mięs '!$C$5:$H$533,GF$4,0)*$AG27,0)</f>
        <v>0</v>
      </c>
      <c r="GG27">
        <f>IFERROR(VLOOKUP($D27,'Kalkulator mięs '!$C$5:$H$533,GG$4,0)*$AG27,0)</f>
        <v>0</v>
      </c>
      <c r="GH27">
        <f>IFERROR(VLOOKUP($D27,'Kalkulator mięs '!$C$5:$H$533,GH$4,0)*$AH27,0)</f>
        <v>0</v>
      </c>
      <c r="GI27">
        <f>IFERROR(VLOOKUP($D27,'Kalkulator mięs '!$C$5:$H$533,GI$4,0)*$AH27,0)</f>
        <v>0</v>
      </c>
      <c r="GJ27">
        <f>IFERROR(VLOOKUP($D27,'Kalkulator mięs '!$C$5:$H$533,GJ$4,0)*$AH27,0)</f>
        <v>0</v>
      </c>
      <c r="GK27">
        <f>IFERROR(VLOOKUP($D27,'Kalkulator mięs '!$C$5:$H$533,GK$4,0)*$AI27,0)</f>
        <v>0</v>
      </c>
      <c r="GL27">
        <f>IFERROR(VLOOKUP($D27,'Kalkulator mięs '!$C$5:$H$533,GL$4,0)*$AI27,0)</f>
        <v>0</v>
      </c>
      <c r="GM27">
        <f>IFERROR(VLOOKUP($D27,'Kalkulator mięs '!$C$5:$H$533,GM$4,0)*$AI27,0)</f>
        <v>0</v>
      </c>
      <c r="GN27">
        <f>IFERROR(VLOOKUP($D27,'Kalkulator mięs '!$C$5:$H$533,GN$4,0)*$AJ27,0)</f>
        <v>0</v>
      </c>
      <c r="GO27">
        <f>IFERROR(VLOOKUP($D27,'Kalkulator mięs '!$C$5:$H$533,GO$4,0)*$AJ27,0)</f>
        <v>0</v>
      </c>
      <c r="GP27">
        <f>IFERROR(VLOOKUP($D27,'Kalkulator mięs '!$C$5:$H$533,GP$4,0)*$AJ27,0)</f>
        <v>0</v>
      </c>
      <c r="GQ27">
        <f>IFERROR(VLOOKUP($D27,'Kalkulator mięs '!$C$5:$H$533,GQ$4,0)*$AK27,0)</f>
        <v>0</v>
      </c>
      <c r="GR27">
        <f>IFERROR(VLOOKUP($D27,'Kalkulator mięs '!$C$5:$H$533,GR$4,0)*$AK27,0)</f>
        <v>0</v>
      </c>
      <c r="GS27">
        <f>IFERROR(VLOOKUP($D27,'Kalkulator mięs '!$C$5:$H$533,GS$4,0)*$AK27,0)</f>
        <v>0</v>
      </c>
      <c r="GT27">
        <f>IFERROR(VLOOKUP($D27,'Kalkulator mięs '!$C$5:$H$533,GT$4,0)*$AL27,0)</f>
        <v>0</v>
      </c>
      <c r="GU27">
        <f>IFERROR(VLOOKUP($D27,'Kalkulator mięs '!$C$5:$H$533,GU$4,0)*$AL27,0)</f>
        <v>0</v>
      </c>
      <c r="GV27">
        <f>IFERROR(VLOOKUP($D27,'Kalkulator mięs '!$C$5:$H$533,GV$4,0)*$AL27,0)</f>
        <v>0</v>
      </c>
      <c r="GW27">
        <f>IFERROR(VLOOKUP($D27,'Kalkulator mięs '!$C$5:$H$533,GW$4,0)*$AM27,0)</f>
        <v>0</v>
      </c>
      <c r="GX27">
        <f>IFERROR(VLOOKUP($D27,'Kalkulator mięs '!$C$5:$H$533,GX$4,0)*$AM27,0)</f>
        <v>0</v>
      </c>
      <c r="GY27">
        <f>IFERROR(VLOOKUP($D27,'Kalkulator mięs '!$C$5:$H$533,GY$4,0)*$AM27,0)</f>
        <v>0</v>
      </c>
      <c r="GZ27">
        <f>IFERROR(VLOOKUP($D27,'Kalkulator mięs '!$C$5:$H$533,GZ$4,0)*$AN27,0)</f>
        <v>0</v>
      </c>
      <c r="HA27">
        <f>IFERROR(VLOOKUP($D27,'Kalkulator mięs '!$C$5:$H$533,HA$4,0)*$AN27,0)</f>
        <v>0</v>
      </c>
      <c r="HB27">
        <f>IFERROR(VLOOKUP($D27,'Kalkulator mięs '!$C$5:$H$533,HB$4,0)*$AN27,0)</f>
        <v>0</v>
      </c>
      <c r="HC27">
        <f>IFERROR(VLOOKUP($D27,'Kalkulator mięs '!$C$5:$H$533,HC$4,0)*$AO27,0)</f>
        <v>0</v>
      </c>
      <c r="HD27">
        <f>IFERROR(VLOOKUP($D27,'Kalkulator mięs '!$C$5:$H$533,HD$4,0)*$AO27,0)</f>
        <v>0</v>
      </c>
      <c r="HE27">
        <f>IFERROR(VLOOKUP($D27,'Kalkulator mięs '!$C$5:$H$533,HE$4,0)*$AO27,0)</f>
        <v>0</v>
      </c>
      <c r="HF27">
        <f>IFERROR(VLOOKUP($D27,'Kalkulator mięs '!$C$5:$H$533,HF$4,0)*$AP27,0)</f>
        <v>0</v>
      </c>
      <c r="HG27">
        <f>IFERROR(VLOOKUP($D27,'Kalkulator mięs '!$C$5:$H$533,HG$4,0)*$AP27,0)</f>
        <v>0</v>
      </c>
      <c r="HH27">
        <f>IFERROR(VLOOKUP($D27,'Kalkulator mięs '!$C$5:$H$533,HH$4,0)*$AP27,0)</f>
        <v>0</v>
      </c>
      <c r="HI27">
        <f>IFERROR(VLOOKUP($D27,'Kalkulator mięs '!$C$5:$H$533,HI$4,0)*$AQ27,0)</f>
        <v>0</v>
      </c>
      <c r="HJ27">
        <f>IFERROR(VLOOKUP($D27,'Kalkulator mięs '!$C$5:$H$533,HJ$4,0)*$AQ27,0)</f>
        <v>0</v>
      </c>
      <c r="HK27">
        <f>IFERROR(VLOOKUP($D27,'Kalkulator mięs '!$C$5:$H$533,HK$4,0)*$AQ27,0)</f>
        <v>0</v>
      </c>
      <c r="HL27">
        <f>IFERROR(VLOOKUP($D27,'Kalkulator mięs '!$C$5:$H$533,HL$4,0)*$AR27,0)</f>
        <v>0</v>
      </c>
      <c r="HM27">
        <f>IFERROR(VLOOKUP($D27,'Kalkulator mięs '!$C$5:$H$533,HM$4,0)*$AR27,0)</f>
        <v>0</v>
      </c>
      <c r="HN27">
        <f>IFERROR(VLOOKUP($D27,'Kalkulator mięs '!$C$5:$H$533,HN$4,0)*$AR27,0)</f>
        <v>0</v>
      </c>
      <c r="HO27">
        <f>IFERROR(VLOOKUP($D27,'Kalkulator mięs '!$C$5:$H$533,HO$4,0)*$AS27,0)</f>
        <v>0</v>
      </c>
      <c r="HP27">
        <f>IFERROR(VLOOKUP($D27,'Kalkulator mięs '!$C$5:$H$533,HP$4,0)*$AS27,0)</f>
        <v>0</v>
      </c>
      <c r="HQ27">
        <f>IFERROR(VLOOKUP($D27,'Kalkulator mięs '!$C$5:$H$533,HQ$4,0)*$AS27,0)</f>
        <v>0</v>
      </c>
      <c r="HR27">
        <f>IFERROR(VLOOKUP($D27,'Kalkulator mięs '!$C$5:$H$533,HR$4,0)*$AT27,0)</f>
        <v>0</v>
      </c>
      <c r="HS27">
        <f>IFERROR(VLOOKUP($D27,'Kalkulator mięs '!$C$5:$H$533,HS$4,0)*$AT27,0)</f>
        <v>0</v>
      </c>
      <c r="HT27">
        <f>IFERROR(VLOOKUP($D27,'Kalkulator mięs '!$C$5:$H$533,HT$4,0)*$AT27,0)</f>
        <v>0</v>
      </c>
      <c r="HU27">
        <f>IFERROR(VLOOKUP($D27,'Kalkulator mięs '!$C$5:$H$533,HU$4,0)*$AU27,0)</f>
        <v>0</v>
      </c>
      <c r="HV27">
        <f>IFERROR(VLOOKUP($D27,'Kalkulator mięs '!$C$5:$H$533,HV$4,0)*$AU27,0)</f>
        <v>0</v>
      </c>
      <c r="HW27">
        <f>IFERROR(VLOOKUP($D27,'Kalkulator mięs '!$C$5:$H$533,HW$4,0)*$AU27,0)</f>
        <v>0</v>
      </c>
      <c r="HX27">
        <f>IFERROR(VLOOKUP($D27,'Kalkulator mięs '!$C$5:$H$533,HX$4,0)*$AV27,0)</f>
        <v>0</v>
      </c>
      <c r="HY27">
        <f>IFERROR(VLOOKUP($D27,'Kalkulator mięs '!$C$5:$H$533,HY$4,0)*$AV27,0)</f>
        <v>0</v>
      </c>
      <c r="HZ27">
        <f>IFERROR(VLOOKUP($D27,'Kalkulator mięs '!$C$5:$H$533,HZ$4,0)*$AV27,0)</f>
        <v>0</v>
      </c>
      <c r="IA27">
        <f>IFERROR(VLOOKUP($D27,'Kalkulator mięs '!$C$5:$H$533,IA$4,0)*$AW27,0)</f>
        <v>0</v>
      </c>
      <c r="IB27">
        <f>IFERROR(VLOOKUP($D27,'Kalkulator mięs '!$C$5:$H$533,IB$4,0)*$AW27,0)</f>
        <v>0</v>
      </c>
      <c r="IC27">
        <f>IFERROR(VLOOKUP($D27,'Kalkulator mięs '!$C$5:$H$533,IC$4,0)*$AW27,0)</f>
        <v>0</v>
      </c>
      <c r="ID27">
        <f>IFERROR(VLOOKUP($D27,'Kalkulator mięs '!$C$5:$H$533,ID$4,0)*$AX27,0)</f>
        <v>0</v>
      </c>
      <c r="IE27">
        <f>IFERROR(VLOOKUP($D27,'Kalkulator mięs '!$C$5:$H$533,IE$4,0)*$AX27,0)</f>
        <v>0</v>
      </c>
      <c r="IF27">
        <f>IFERROR(VLOOKUP($D27,'Kalkulator mięs '!$C$5:$H$533,IF$4,0)*$AX27,0)</f>
        <v>0</v>
      </c>
      <c r="IG27">
        <f>IFERROR(VLOOKUP($D27,'Kalkulator mięs '!$C$5:$H$533,IG$4,0)*$AY27,0)</f>
        <v>0</v>
      </c>
      <c r="IH27">
        <f>IFERROR(VLOOKUP($D27,'Kalkulator mięs '!$C$5:$H$533,IH$4,0)*$AY27,0)</f>
        <v>0</v>
      </c>
      <c r="II27">
        <f>IFERROR(VLOOKUP($D27,'Kalkulator mięs '!$C$5:$H$533,II$4,0)*$AY27,0)</f>
        <v>0</v>
      </c>
      <c r="IJ27">
        <f>IFERROR(VLOOKUP($D27,'Kalkulator mięs '!$C$5:$H$533,IJ$4,0)*$AZ27,0)</f>
        <v>0</v>
      </c>
      <c r="IK27">
        <f>IFERROR(VLOOKUP($D27,'Kalkulator mięs '!$C$5:$H$533,IK$4,0)*$AZ27,0)</f>
        <v>0</v>
      </c>
      <c r="IL27">
        <f>IFERROR(VLOOKUP($D27,'Kalkulator mięs '!$C$5:$H$533,IL$4,0)*$AZ27,0)</f>
        <v>0</v>
      </c>
      <c r="IM27">
        <f>IFERROR(VLOOKUP($D27,'Kalkulator mięs '!$C$5:$H$533,IM$4,0)*$BA27,0)</f>
        <v>0</v>
      </c>
      <c r="IN27">
        <f>IFERROR(VLOOKUP($D27,'Kalkulator mięs '!$C$5:$H$533,IN$4,0)*$BA27,0)</f>
        <v>0</v>
      </c>
      <c r="IO27">
        <f>IFERROR(VLOOKUP($D27,'Kalkulator mięs '!$C$5:$H$533,IO$4,0)*$BA27,0)</f>
        <v>0</v>
      </c>
    </row>
    <row r="28" spans="1:249" ht="15.75">
      <c r="A28" s="91"/>
      <c r="B28" t="str">
        <f>VLOOKUP(D28,Receptury_z!$A:$B,2,0)</f>
        <v>ON</v>
      </c>
      <c r="C28" s="16">
        <v>5527</v>
      </c>
      <c r="D28" s="19">
        <v>6440</v>
      </c>
      <c r="E28" s="18" t="s">
        <v>205</v>
      </c>
      <c r="F28" s="14">
        <f>IF($B28="OFF",BE28,VLOOKUP($D28,Receptury_z!$D:$AI,F$4,0))</f>
        <v>0</v>
      </c>
      <c r="G28" s="14">
        <f>IF($B28="OFF",BF28,VLOOKUP($D28,Receptury_z!$D:$AI,G$4,0))</f>
        <v>0</v>
      </c>
      <c r="H28" s="14">
        <f>IF($B28="OFF",BG28,VLOOKUP($D28,Receptury_z!$D:$AI,H$4,0))</f>
        <v>0</v>
      </c>
      <c r="I28" s="14">
        <f>IF($B28="OFF",BH28,VLOOKUP($D28,Receptury_z!$D:$AI,I$4,0))</f>
        <v>0</v>
      </c>
      <c r="J28" s="14">
        <f>IF($B28="OFF",BI28,VLOOKUP($D28,Receptury_z!$D:$AI,J$4,0))</f>
        <v>0</v>
      </c>
      <c r="K28" s="14">
        <f>IF($B28="OFF",BJ28,VLOOKUP($D28,Receptury_z!$D:$AI,K$4,0))</f>
        <v>0</v>
      </c>
      <c r="L28" s="14">
        <f>IF($B28="OFF",BK28,VLOOKUP($D28,Receptury_z!$D:$AI,L$4,0))</f>
        <v>507.1</v>
      </c>
      <c r="M28" s="14">
        <f>IF($B28="OFF",BL28,VLOOKUP($D28,Receptury_z!$D:$AI,M$4,0))</f>
        <v>99.8</v>
      </c>
      <c r="N28" s="14">
        <f>IF($B28="OFF",BM28,VLOOKUP($D28,Receptury_z!$D:$AI,N$4,0))</f>
        <v>0</v>
      </c>
      <c r="O28" s="14">
        <f>IF($B28="OFF",BN28,VLOOKUP($D28,Receptury_z!$D:$AI,O$4,0))</f>
        <v>58.2</v>
      </c>
      <c r="P28" s="14">
        <f>IF($B28="OFF",BO28,VLOOKUP($D28,Receptury_z!$D:$AI,P$4,0))</f>
        <v>0</v>
      </c>
      <c r="Q28" s="14">
        <f>IF($B28="OFF",BP28,VLOOKUP($D28,Receptury_z!$D:$AI,Q$4,0))</f>
        <v>0</v>
      </c>
      <c r="R28" s="14">
        <f>IF($B28="OFF",BQ28,VLOOKUP($D28,Receptury_z!$D:$AI,R$4,0))</f>
        <v>0</v>
      </c>
      <c r="S28" s="14">
        <f>IF($B28="OFF",BR28,VLOOKUP($D28,Receptury_z!$D:$AI,S$4,0))</f>
        <v>0</v>
      </c>
      <c r="T28" s="14">
        <f>IF($B28="OFF",BS28,VLOOKUP($D28,Receptury_z!$D:$AI,T$4,0))</f>
        <v>0</v>
      </c>
      <c r="U28" s="14">
        <f>IF($B28="OFF",BT28,VLOOKUP($D28,Receptury_z!$D:$AI,U$4,0))</f>
        <v>0</v>
      </c>
      <c r="V28" s="14">
        <f>IF($B28="OFF",BU28,VLOOKUP($D28,Receptury_z!$D:$AI,V$4,0))</f>
        <v>0</v>
      </c>
      <c r="W28" s="14">
        <f>IF($B28="OFF",BV28,VLOOKUP($D28,Receptury_z!$D:$AI,W$4,0))</f>
        <v>0</v>
      </c>
      <c r="X28" s="14">
        <f>IF($B28="OFF",BW28,VLOOKUP($D28,Receptury_z!$D:$AI,X$4,0))</f>
        <v>0</v>
      </c>
      <c r="Y28" s="14">
        <f>IF($B28="OFF",BX28,VLOOKUP($D28,Receptury_z!$D:$AI,Y$4,0))</f>
        <v>0</v>
      </c>
      <c r="Z28" s="14">
        <f>IF($B28="OFF",BY28,VLOOKUP($D28,Receptury_z!$D:$AI,Z$4,0))</f>
        <v>0</v>
      </c>
      <c r="AA28" s="14">
        <f>IF($B28="OFF",BZ28,VLOOKUP($D28,Receptury_z!$D:$AI,AA$4,0))</f>
        <v>0</v>
      </c>
      <c r="AB28" s="14">
        <f>IF($B28="OFF",CA28,VLOOKUP($D28,Receptury_z!$D:$AI,AB$4,0))</f>
        <v>83.1</v>
      </c>
      <c r="AC28" s="14">
        <f>IF($B28="OFF",CB28,VLOOKUP($D28,Receptury_z!$D:$AI,AC$4,0))</f>
        <v>0</v>
      </c>
      <c r="AD28" s="14">
        <f>IF($B28="OFF",CC28,VLOOKUP($D28,Receptury_z!$D:$AI,AD$4,0))</f>
        <v>0</v>
      </c>
      <c r="AE28" s="14">
        <f>IF($B28="OFF",CD28,VLOOKUP($D28,Receptury_z!$D:$AI,AE$4,0))</f>
        <v>0</v>
      </c>
      <c r="AF28" s="14">
        <f>IF($B28="OFF",CE28,VLOOKUP($D28,Receptury_z!$D:$AI,AF$4,0))</f>
        <v>0</v>
      </c>
      <c r="AG28" s="14">
        <f>IF($B28="OFF",CF28,VLOOKUP($D28,Receptury_z!$D:$AI,AG$4,0))</f>
        <v>0</v>
      </c>
      <c r="AH28" s="14">
        <f>IF($B28="OFF",CG28,VLOOKUP($D28,Receptury_z!$D:$AI,AH$4,0))</f>
        <v>0</v>
      </c>
      <c r="AI28" s="14">
        <f>IF($B28="OFF",CH28,VLOOKUP($D28,Receptury_z!$D:$AI,AI$4,0))</f>
        <v>0</v>
      </c>
      <c r="AJ28" s="14">
        <f>IF($B28="OFF",CI28,VLOOKUP($D28,Receptury_z!$D:$AS,AJ$4,0))</f>
        <v>0</v>
      </c>
      <c r="AK28" s="14">
        <f>IF($B28="OFF",CJ28,VLOOKUP($D28,Receptury_z!$D:$AS,AK$4,0))</f>
        <v>0</v>
      </c>
      <c r="AL28" s="14">
        <f>IF($B28="OFF",CK28,VLOOKUP($D28,Receptury_z!$D:$AS,AL$4,0))</f>
        <v>0</v>
      </c>
      <c r="AM28" s="14">
        <f>IF($B28="OFF",CL28,VLOOKUP($D28,Receptury_z!$D:$AS,AM$4,0))</f>
        <v>0</v>
      </c>
      <c r="AN28" s="14">
        <f>IF($B28="OFF",CM28,VLOOKUP($D28,Receptury_z!$D:$AS,AN$4,0))</f>
        <v>0</v>
      </c>
      <c r="AO28" s="14">
        <f>IF($B28="OFF",CN28,VLOOKUP($D28,Receptury_z!$D:$AS,AO$4,0))</f>
        <v>0</v>
      </c>
      <c r="AP28" s="14">
        <f>IF($B28="OFF",CO28,VLOOKUP($D28,Receptury_z!$D:$AS,AP$4,0))</f>
        <v>0</v>
      </c>
      <c r="AQ28" s="14">
        <f>IF($B28="OFF",CP28,VLOOKUP($D28,Receptury_z!$D:$AS,AQ$4,0))</f>
        <v>0</v>
      </c>
      <c r="AR28" s="14">
        <f>IF($B28="OFF",CQ28,VLOOKUP($D28,Receptury_z!$D:$AS,AR$4,0))</f>
        <v>0</v>
      </c>
      <c r="AS28" s="14">
        <f>IF($B28="OFF",CR28,VLOOKUP($D28,Receptury_z!$D:$AS,AS$4,0))</f>
        <v>0</v>
      </c>
      <c r="AT28" s="14">
        <f>IF($B28="OFF",CS28,VLOOKUP($D28,Receptury_z!$D:$AV,AT$4,0))</f>
        <v>0</v>
      </c>
      <c r="AU28" s="14">
        <f>IF($B28="OFF",CT28,VLOOKUP($D28,Receptury_z!$D:$AV,AU$4,0))</f>
        <v>83.1</v>
      </c>
      <c r="AV28" s="14">
        <f>IF($B28="OFF",CU28,VLOOKUP($D28,Receptury_z!$D:$AV,AV$4,0))</f>
        <v>0</v>
      </c>
      <c r="AW28" s="14">
        <f>IF($B28="OFF",CV28,VLOOKUP($D28,Receptury_z!$D:$BA,AW$4,0))</f>
        <v>0</v>
      </c>
      <c r="AX28" s="14">
        <f>IF($B28="OFF",CW28,VLOOKUP($D28,Receptury_z!$D:$BA,AX$4,0))</f>
        <v>0</v>
      </c>
      <c r="AY28" s="14">
        <f>IF($B28="OFF",CX28,VLOOKUP($D28,Receptury_z!$D:$BA,AY$4,0))</f>
        <v>0</v>
      </c>
      <c r="AZ28" s="14">
        <f>IF($B28="OFF",DA28,VLOOKUP($D28,Receptury_z!$D:$BA,AZ$4,0))</f>
        <v>0</v>
      </c>
      <c r="BA28" s="14">
        <f>IF($B28="OFF",DB28,VLOOKUP($D28,Receptury_z!$D:$BA,BA$4,0))</f>
        <v>0</v>
      </c>
      <c r="BC28" s="19">
        <v>6440</v>
      </c>
      <c r="BD28" s="18" t="s">
        <v>205</v>
      </c>
      <c r="BE28" s="239">
        <v>0</v>
      </c>
      <c r="BF28" s="239">
        <v>0</v>
      </c>
      <c r="BG28" s="239">
        <v>0</v>
      </c>
      <c r="BH28" s="239">
        <v>0</v>
      </c>
      <c r="BI28" s="239">
        <v>0</v>
      </c>
      <c r="BJ28" s="239">
        <v>0</v>
      </c>
      <c r="BK28" s="239">
        <v>507.1</v>
      </c>
      <c r="BL28" s="239">
        <v>99.8</v>
      </c>
      <c r="BM28" s="240"/>
      <c r="BN28" s="240">
        <v>58.2</v>
      </c>
      <c r="BO28" s="240">
        <v>0</v>
      </c>
      <c r="BP28" s="240">
        <v>0</v>
      </c>
      <c r="BQ28" s="240">
        <v>0</v>
      </c>
      <c r="BR28" s="240">
        <v>0</v>
      </c>
      <c r="BS28" s="240">
        <v>0</v>
      </c>
      <c r="BT28" s="240">
        <v>0</v>
      </c>
      <c r="BU28" s="240">
        <v>0</v>
      </c>
      <c r="BV28" s="240">
        <v>0</v>
      </c>
      <c r="BW28" s="240">
        <v>0</v>
      </c>
      <c r="BX28" s="240">
        <v>0</v>
      </c>
      <c r="BY28" s="240">
        <v>0</v>
      </c>
      <c r="BZ28" s="240">
        <v>0</v>
      </c>
      <c r="CA28" s="240">
        <v>83.1</v>
      </c>
      <c r="CB28" s="240">
        <v>0</v>
      </c>
      <c r="CC28" s="240">
        <v>0</v>
      </c>
      <c r="CD28" s="240">
        <v>0</v>
      </c>
      <c r="CE28" s="240">
        <v>0</v>
      </c>
      <c r="CF28" s="240">
        <v>0</v>
      </c>
      <c r="CG28" s="240">
        <v>0</v>
      </c>
      <c r="CH28" s="240">
        <v>0</v>
      </c>
      <c r="CI28" s="240">
        <v>0</v>
      </c>
      <c r="CJ28" s="240">
        <v>0</v>
      </c>
      <c r="CK28" s="240">
        <v>0</v>
      </c>
      <c r="CL28" s="240">
        <v>0</v>
      </c>
      <c r="CM28" s="241"/>
      <c r="CN28" s="241"/>
      <c r="CO28" s="241"/>
      <c r="CP28" s="241"/>
      <c r="CQ28" s="241"/>
      <c r="CR28" s="241"/>
      <c r="CS28" s="241"/>
      <c r="CT28" s="241">
        <v>83.1</v>
      </c>
      <c r="CU28" s="80"/>
      <c r="CV28" s="80"/>
      <c r="CW28" s="80"/>
      <c r="CX28" s="80"/>
      <c r="CY28" s="80"/>
      <c r="CZ28" s="80"/>
      <c r="DB28">
        <f>IFERROR(VLOOKUP($D28,'Kalkulator mięs '!$C$5:$H$533,DB$4,0)*F28,0)</f>
        <v>0</v>
      </c>
      <c r="DC28">
        <f>IFERROR(VLOOKUP($D28,'Kalkulator mięs '!$C$5:$H$533,DC$4,0)*F28,0)</f>
        <v>0</v>
      </c>
      <c r="DD28">
        <f>IFERROR(VLOOKUP($D28,'Kalkulator mięs '!$C$5:$H$533,DD$4,0)*F28,0)</f>
        <v>0</v>
      </c>
      <c r="DE28">
        <f>IFERROR(VLOOKUP($D28,'Kalkulator mięs '!$C$5:$H$533,DE$4,0)*$G28,0)</f>
        <v>0</v>
      </c>
      <c r="DF28">
        <f>IFERROR(VLOOKUP($D28,'Kalkulator mięs '!$C$5:$H$533,DF$4,0)*$G28,0)</f>
        <v>0</v>
      </c>
      <c r="DG28">
        <f>IFERROR(VLOOKUP($D28,'Kalkulator mięs '!$C$5:$H$533,DG$4,0)*$G28,0)</f>
        <v>0</v>
      </c>
      <c r="DH28">
        <f>IFERROR(VLOOKUP($D28,'Kalkulator mięs '!$C$5:$H$533,DH$4,0)*$H28,0)</f>
        <v>0</v>
      </c>
      <c r="DI28">
        <f>IFERROR(VLOOKUP($D28,'Kalkulator mięs '!$C$5:$H$533,DI$4,0)*$H28,0)</f>
        <v>0</v>
      </c>
      <c r="DJ28">
        <f>IFERROR(VLOOKUP($D28,'Kalkulator mięs '!$C$5:$H$533,DJ$4,0)*$H28,0)</f>
        <v>0</v>
      </c>
      <c r="DK28">
        <f>IFERROR(VLOOKUP($D28,'Kalkulator mięs '!$C$5:$H$533,DK$4,0)*$I28,0)</f>
        <v>0</v>
      </c>
      <c r="DL28">
        <f>IFERROR(VLOOKUP($D28,'Kalkulator mięs '!$C$5:$H$533,DL$4,0)*$I28,0)</f>
        <v>0</v>
      </c>
      <c r="DM28">
        <f>IFERROR(VLOOKUP($D28,'Kalkulator mięs '!$C$5:$H$533,DM$4,0)*$I28,0)</f>
        <v>0</v>
      </c>
      <c r="DN28">
        <f>IFERROR(VLOOKUP($D28,'Kalkulator mięs '!$C$5:$H$533,DN$4,0)*$J28,0)</f>
        <v>0</v>
      </c>
      <c r="DO28">
        <f>IFERROR(VLOOKUP($D28,'Kalkulator mięs '!$C$5:$H$533,DO$4,0)*$J28,0)</f>
        <v>0</v>
      </c>
      <c r="DP28">
        <f>IFERROR(VLOOKUP($D28,'Kalkulator mięs '!$C$5:$H$533,DP$4,0)*$J28,0)</f>
        <v>0</v>
      </c>
      <c r="DQ28">
        <f>IFERROR(VLOOKUP($D28,'Kalkulator mięs '!$C$5:$H$533,DQ$4,0)*$K28,0)</f>
        <v>0</v>
      </c>
      <c r="DR28">
        <f>IFERROR(VLOOKUP($D28,'Kalkulator mięs '!$C$5:$H$533,DR$4,0)*$K28,0)</f>
        <v>0</v>
      </c>
      <c r="DS28">
        <f>IFERROR(VLOOKUP($D28,'Kalkulator mięs '!$C$5:$H$533,DS$4,0)*$K28,0)</f>
        <v>0</v>
      </c>
      <c r="DT28">
        <f>IFERROR(VLOOKUP($D28,'Kalkulator mięs '!$C$5:$H$533,DT$4,0)*$L28,0)</f>
        <v>0</v>
      </c>
      <c r="DU28">
        <f>IFERROR(VLOOKUP($D28,'Kalkulator mięs '!$C$5:$H$533,DU$4,0)*$L28,0)</f>
        <v>0</v>
      </c>
      <c r="DV28">
        <f>IFERROR(VLOOKUP($D28,'Kalkulator mięs '!$C$5:$H$533,DV$4,0)*$L28,0)</f>
        <v>0</v>
      </c>
      <c r="DW28">
        <f>IFERROR(VLOOKUP($D28,'Kalkulator mięs '!$C$5:$H$533,DW$4,0)*$M28,0)</f>
        <v>0</v>
      </c>
      <c r="DX28">
        <f>IFERROR(VLOOKUP($D28,'Kalkulator mięs '!$C$5:$H$533,DX$4,0)*$M28,0)</f>
        <v>0</v>
      </c>
      <c r="DY28">
        <f>IFERROR(VLOOKUP($D28,'Kalkulator mięs '!$C$5:$H$533,DY$4,0)*$M28,0)</f>
        <v>0</v>
      </c>
      <c r="DZ28">
        <f>IFERROR(VLOOKUP($D28,'Kalkulator mięs '!$C$5:$H$533,DZ$4,0)*$N28,0)</f>
        <v>0</v>
      </c>
      <c r="EA28">
        <f>IFERROR(VLOOKUP($D28,'Kalkulator mięs '!$C$5:$H$533,EA$4,0)*$N28,0)</f>
        <v>0</v>
      </c>
      <c r="EB28">
        <f>IFERROR(VLOOKUP($D28,'Kalkulator mięs '!$C$5:$H$533,EB$4,0)*$N28,0)</f>
        <v>0</v>
      </c>
      <c r="EC28">
        <f>IFERROR(VLOOKUP($D28,'Kalkulator mięs '!$C$5:$H$533,EC$4,0)*$O28,0)</f>
        <v>0</v>
      </c>
      <c r="ED28">
        <f>IFERROR(VLOOKUP($D28,'Kalkulator mięs '!$C$5:$H$533,ED$4,0)*$O28,0)</f>
        <v>0</v>
      </c>
      <c r="EE28">
        <f>IFERROR(VLOOKUP($D28,'Kalkulator mięs '!$C$5:$H$533,EE$4,0)*$O28,0)</f>
        <v>0</v>
      </c>
      <c r="EF28">
        <f>IFERROR(VLOOKUP($D28,'Kalkulator mięs '!$C$5:$H$533,EF$4,0)*$P28,0)</f>
        <v>0</v>
      </c>
      <c r="EG28">
        <f>IFERROR(VLOOKUP($D28,'Kalkulator mięs '!$C$5:$H$533,EG$4,0)*$P28,0)</f>
        <v>0</v>
      </c>
      <c r="EH28">
        <f>IFERROR(VLOOKUP($D28,'Kalkulator mięs '!$C$5:$H$533,EH$4,0)*$P28,0)</f>
        <v>0</v>
      </c>
      <c r="EI28">
        <f>IFERROR(VLOOKUP($D28,'Kalkulator mięs '!$C$5:$H$533,EI$4,0)*$Q28,0)</f>
        <v>0</v>
      </c>
      <c r="EJ28">
        <f>IFERROR(VLOOKUP($D28,'Kalkulator mięs '!$C$5:$H$533,EJ$4,0)*$Q28,0)</f>
        <v>0</v>
      </c>
      <c r="EK28">
        <f>IFERROR(VLOOKUP($D28,'Kalkulator mięs '!$C$5:$H$533,EK$4,0)*$Q28,0)</f>
        <v>0</v>
      </c>
      <c r="EL28">
        <f>IFERROR(VLOOKUP($D28,'Kalkulator mięs '!$C$5:$H$533,EL$4,0)*$R28,0)</f>
        <v>0</v>
      </c>
      <c r="EM28">
        <f>IFERROR(VLOOKUP($D28,'Kalkulator mięs '!$C$5:$H$533,EM$4,0)*$R28,0)</f>
        <v>0</v>
      </c>
      <c r="EN28">
        <f>IFERROR(VLOOKUP($D28,'Kalkulator mięs '!$C$5:$H$533,EN$4,0)*$R28,0)</f>
        <v>0</v>
      </c>
      <c r="EO28">
        <f>IFERROR(VLOOKUP($D28,'Kalkulator mięs '!$C$5:$H$533,EO$4,0)*$S28,0)</f>
        <v>0</v>
      </c>
      <c r="EP28">
        <f>IFERROR(VLOOKUP($D28,'Kalkulator mięs '!$C$5:$H$533,EP$4,0)*$S28,0)</f>
        <v>0</v>
      </c>
      <c r="EQ28">
        <f>IFERROR(VLOOKUP($D28,'Kalkulator mięs '!$C$5:$H$533,EQ$4,0)*$S28,0)</f>
        <v>0</v>
      </c>
      <c r="ER28">
        <f>IFERROR(VLOOKUP($D28,'Kalkulator mięs '!$C$5:$H$533,ER$4,0)*$T28,0)</f>
        <v>0</v>
      </c>
      <c r="ES28">
        <f>IFERROR(VLOOKUP($D28,'Kalkulator mięs '!$C$5:$H$533,ES$4,0)*$T28,0)</f>
        <v>0</v>
      </c>
      <c r="ET28">
        <f>IFERROR(VLOOKUP($D28,'Kalkulator mięs '!$C$5:$H$533,ET$4,0)*$T28,0)</f>
        <v>0</v>
      </c>
      <c r="EU28">
        <f>IFERROR(VLOOKUP($D28,'Kalkulator mięs '!$C$5:$H$533,EU$4,0)*$U28,0)</f>
        <v>0</v>
      </c>
      <c r="EV28">
        <f>IFERROR(VLOOKUP($D28,'Kalkulator mięs '!$C$5:$H$533,EV$4,0)*$U28,0)</f>
        <v>0</v>
      </c>
      <c r="EW28">
        <f>IFERROR(VLOOKUP($D28,'Kalkulator mięs '!$C$5:$H$533,EW$4,0)*$U28,0)</f>
        <v>0</v>
      </c>
      <c r="EX28">
        <f>IFERROR(VLOOKUP($D28,'Kalkulator mięs '!$C$5:$H$533,EX$4,0)*$V28,0)</f>
        <v>0</v>
      </c>
      <c r="EY28">
        <f>IFERROR(VLOOKUP($D28,'Kalkulator mięs '!$C$5:$H$533,EY$4,0)*$V28,0)</f>
        <v>0</v>
      </c>
      <c r="EZ28">
        <f>IFERROR(VLOOKUP($D28,'Kalkulator mięs '!$C$5:$H$533,EZ$4,0)*$V28,0)</f>
        <v>0</v>
      </c>
      <c r="FA28">
        <f>IFERROR(VLOOKUP($D28,'Kalkulator mięs '!$C$5:$H$533,FA$4,0)*$W28,0)</f>
        <v>0</v>
      </c>
      <c r="FB28">
        <f>IFERROR(VLOOKUP($D28,'Kalkulator mięs '!$C$5:$H$533,FB$4,0)*$W28,0)</f>
        <v>0</v>
      </c>
      <c r="FC28">
        <f>IFERROR(VLOOKUP($D28,'Kalkulator mięs '!$C$5:$H$533,FC$4,0)*$W28,0)</f>
        <v>0</v>
      </c>
      <c r="FD28">
        <f>IFERROR(VLOOKUP($D28,'Kalkulator mięs '!$C$5:$H$533,FD$4,0)*$X28,0)</f>
        <v>0</v>
      </c>
      <c r="FE28">
        <f>IFERROR(VLOOKUP($D28,'Kalkulator mięs '!$C$5:$H$533,FE$4,0)*$X28,0)</f>
        <v>0</v>
      </c>
      <c r="FF28">
        <f>IFERROR(VLOOKUP($D28,'Kalkulator mięs '!$C$5:$H$533,FF$4,0)*$X28,0)</f>
        <v>0</v>
      </c>
      <c r="FG28">
        <f>IFERROR(VLOOKUP($D28,'Kalkulator mięs '!$C$5:$H$533,FG$4,0)*$Y28,0)</f>
        <v>0</v>
      </c>
      <c r="FH28">
        <f>IFERROR(VLOOKUP($D28,'Kalkulator mięs '!$C$5:$H$533,FH$4,0)*$Y28,0)</f>
        <v>0</v>
      </c>
      <c r="FI28">
        <f>IFERROR(VLOOKUP($D28,'Kalkulator mięs '!$C$5:$H$533,FI$4,0)*$Y28,0)</f>
        <v>0</v>
      </c>
      <c r="FJ28">
        <f>IFERROR(VLOOKUP($D28,'Kalkulator mięs '!$C$5:$H$533,FJ$4,0)*$Z28,0)</f>
        <v>0</v>
      </c>
      <c r="FK28">
        <f>IFERROR(VLOOKUP($D28,'Kalkulator mięs '!$C$5:$H$533,FK$4,0)*$Z28,0)</f>
        <v>0</v>
      </c>
      <c r="FL28">
        <f>IFERROR(VLOOKUP($D28,'Kalkulator mięs '!$C$5:$H$533,FL$4,0)*$Z28,0)</f>
        <v>0</v>
      </c>
      <c r="FM28">
        <f>IFERROR(VLOOKUP($D28,'Kalkulator mięs '!$C$5:$H$533,FM$4,0)*$AA28,0)</f>
        <v>0</v>
      </c>
      <c r="FN28">
        <f>IFERROR(VLOOKUP($D28,'Kalkulator mięs '!$C$5:$H$533,FN$4,0)*$AA28,0)</f>
        <v>0</v>
      </c>
      <c r="FO28">
        <f>IFERROR(VLOOKUP($D28,'Kalkulator mięs '!$C$5:$H$533,FO$4,0)*$AA28,0)</f>
        <v>0</v>
      </c>
      <c r="FP28">
        <f>IFERROR(VLOOKUP($D28,'Kalkulator mięs '!$C$5:$H$533,FP$4,0)*$AB28,0)</f>
        <v>0</v>
      </c>
      <c r="FQ28">
        <f>IFERROR(VLOOKUP($D28,'Kalkulator mięs '!$C$5:$H$533,FQ$4,0)*$AB28,0)</f>
        <v>0</v>
      </c>
      <c r="FR28">
        <f>IFERROR(VLOOKUP($D28,'Kalkulator mięs '!$C$5:$H$533,FR$4,0)*$AB28,0)</f>
        <v>0</v>
      </c>
      <c r="FS28">
        <f>IFERROR(VLOOKUP($D28,'Kalkulator mięs '!$C$5:$H$533,FS$4,0)*$AC28,0)</f>
        <v>0</v>
      </c>
      <c r="FT28">
        <f>IFERROR(VLOOKUP($D28,'Kalkulator mięs '!$C$5:$H$533,FT$4,0)*$AC28,0)</f>
        <v>0</v>
      </c>
      <c r="FU28">
        <f>IFERROR(VLOOKUP($D28,'Kalkulator mięs '!$C$5:$H$533,FU$4,0)*$AC28,0)</f>
        <v>0</v>
      </c>
      <c r="FV28">
        <f>IFERROR(VLOOKUP($D28,'Kalkulator mięs '!$C$5:$H$533,FV$4,0)*$AD28,0)</f>
        <v>0</v>
      </c>
      <c r="FW28">
        <f>IFERROR(VLOOKUP($D28,'Kalkulator mięs '!$C$5:$H$533,FW$4,0)*$AD28,0)</f>
        <v>0</v>
      </c>
      <c r="FX28">
        <f>IFERROR(VLOOKUP($D28,'Kalkulator mięs '!$C$5:$H$533,FX$4,0)*$AD28,0)</f>
        <v>0</v>
      </c>
      <c r="FY28">
        <f>IFERROR(VLOOKUP($D28,'Kalkulator mięs '!$C$5:$H$533,FY$4,0)*$AE28,0)</f>
        <v>0</v>
      </c>
      <c r="FZ28">
        <f>IFERROR(VLOOKUP($D28,'Kalkulator mięs '!$C$5:$H$533,FZ$4,0)*$AE28,0)</f>
        <v>0</v>
      </c>
      <c r="GA28">
        <f>IFERROR(VLOOKUP($D28,'Kalkulator mięs '!$C$5:$H$533,GA$4,0)*$AE28,0)</f>
        <v>0</v>
      </c>
      <c r="GB28">
        <f>IFERROR(VLOOKUP($D28,'Kalkulator mięs '!$C$5:$H$533,GB$4,0)*$AF28,0)</f>
        <v>0</v>
      </c>
      <c r="GC28">
        <f>IFERROR(VLOOKUP($D28,'Kalkulator mięs '!$C$5:$H$533,GC$4,0)*$AF28,0)</f>
        <v>0</v>
      </c>
      <c r="GD28">
        <f>IFERROR(VLOOKUP($D28,'Kalkulator mięs '!$C$5:$H$533,GD$4,0)*$AF28,0)</f>
        <v>0</v>
      </c>
      <c r="GE28">
        <f>IFERROR(VLOOKUP($D28,'Kalkulator mięs '!$C$5:$H$533,GE$4,0)*$AG28,0)</f>
        <v>0</v>
      </c>
      <c r="GF28">
        <f>IFERROR(VLOOKUP($D28,'Kalkulator mięs '!$C$5:$H$533,GF$4,0)*$AG28,0)</f>
        <v>0</v>
      </c>
      <c r="GG28">
        <f>IFERROR(VLOOKUP($D28,'Kalkulator mięs '!$C$5:$H$533,GG$4,0)*$AG28,0)</f>
        <v>0</v>
      </c>
      <c r="GH28">
        <f>IFERROR(VLOOKUP($D28,'Kalkulator mięs '!$C$5:$H$533,GH$4,0)*$AH28,0)</f>
        <v>0</v>
      </c>
      <c r="GI28">
        <f>IFERROR(VLOOKUP($D28,'Kalkulator mięs '!$C$5:$H$533,GI$4,0)*$AH28,0)</f>
        <v>0</v>
      </c>
      <c r="GJ28">
        <f>IFERROR(VLOOKUP($D28,'Kalkulator mięs '!$C$5:$H$533,GJ$4,0)*$AH28,0)</f>
        <v>0</v>
      </c>
      <c r="GK28">
        <f>IFERROR(VLOOKUP($D28,'Kalkulator mięs '!$C$5:$H$533,GK$4,0)*$AI28,0)</f>
        <v>0</v>
      </c>
      <c r="GL28">
        <f>IFERROR(VLOOKUP($D28,'Kalkulator mięs '!$C$5:$H$533,GL$4,0)*$AI28,0)</f>
        <v>0</v>
      </c>
      <c r="GM28">
        <f>IFERROR(VLOOKUP($D28,'Kalkulator mięs '!$C$5:$H$533,GM$4,0)*$AI28,0)</f>
        <v>0</v>
      </c>
      <c r="GN28">
        <f>IFERROR(VLOOKUP($D28,'Kalkulator mięs '!$C$5:$H$533,GN$4,0)*$AJ28,0)</f>
        <v>0</v>
      </c>
      <c r="GO28">
        <f>IFERROR(VLOOKUP($D28,'Kalkulator mięs '!$C$5:$H$533,GO$4,0)*$AJ28,0)</f>
        <v>0</v>
      </c>
      <c r="GP28">
        <f>IFERROR(VLOOKUP($D28,'Kalkulator mięs '!$C$5:$H$533,GP$4,0)*$AJ28,0)</f>
        <v>0</v>
      </c>
      <c r="GQ28">
        <f>IFERROR(VLOOKUP($D28,'Kalkulator mięs '!$C$5:$H$533,GQ$4,0)*$AK28,0)</f>
        <v>0</v>
      </c>
      <c r="GR28">
        <f>IFERROR(VLOOKUP($D28,'Kalkulator mięs '!$C$5:$H$533,GR$4,0)*$AK28,0)</f>
        <v>0</v>
      </c>
      <c r="GS28">
        <f>IFERROR(VLOOKUP($D28,'Kalkulator mięs '!$C$5:$H$533,GS$4,0)*$AK28,0)</f>
        <v>0</v>
      </c>
      <c r="GT28">
        <f>IFERROR(VLOOKUP($D28,'Kalkulator mięs '!$C$5:$H$533,GT$4,0)*$AL28,0)</f>
        <v>0</v>
      </c>
      <c r="GU28">
        <f>IFERROR(VLOOKUP($D28,'Kalkulator mięs '!$C$5:$H$533,GU$4,0)*$AL28,0)</f>
        <v>0</v>
      </c>
      <c r="GV28">
        <f>IFERROR(VLOOKUP($D28,'Kalkulator mięs '!$C$5:$H$533,GV$4,0)*$AL28,0)</f>
        <v>0</v>
      </c>
      <c r="GW28">
        <f>IFERROR(VLOOKUP($D28,'Kalkulator mięs '!$C$5:$H$533,GW$4,0)*$AM28,0)</f>
        <v>0</v>
      </c>
      <c r="GX28">
        <f>IFERROR(VLOOKUP($D28,'Kalkulator mięs '!$C$5:$H$533,GX$4,0)*$AM28,0)</f>
        <v>0</v>
      </c>
      <c r="GY28">
        <f>IFERROR(VLOOKUP($D28,'Kalkulator mięs '!$C$5:$H$533,GY$4,0)*$AM28,0)</f>
        <v>0</v>
      </c>
      <c r="GZ28">
        <f>IFERROR(VLOOKUP($D28,'Kalkulator mięs '!$C$5:$H$533,GZ$4,0)*$AN28,0)</f>
        <v>0</v>
      </c>
      <c r="HA28">
        <f>IFERROR(VLOOKUP($D28,'Kalkulator mięs '!$C$5:$H$533,HA$4,0)*$AN28,0)</f>
        <v>0</v>
      </c>
      <c r="HB28">
        <f>IFERROR(VLOOKUP($D28,'Kalkulator mięs '!$C$5:$H$533,HB$4,0)*$AN28,0)</f>
        <v>0</v>
      </c>
      <c r="HC28">
        <f>IFERROR(VLOOKUP($D28,'Kalkulator mięs '!$C$5:$H$533,HC$4,0)*$AO28,0)</f>
        <v>0</v>
      </c>
      <c r="HD28">
        <f>IFERROR(VLOOKUP($D28,'Kalkulator mięs '!$C$5:$H$533,HD$4,0)*$AO28,0)</f>
        <v>0</v>
      </c>
      <c r="HE28">
        <f>IFERROR(VLOOKUP($D28,'Kalkulator mięs '!$C$5:$H$533,HE$4,0)*$AO28,0)</f>
        <v>0</v>
      </c>
      <c r="HF28">
        <f>IFERROR(VLOOKUP($D28,'Kalkulator mięs '!$C$5:$H$533,HF$4,0)*$AP28,0)</f>
        <v>0</v>
      </c>
      <c r="HG28">
        <f>IFERROR(VLOOKUP($D28,'Kalkulator mięs '!$C$5:$H$533,HG$4,0)*$AP28,0)</f>
        <v>0</v>
      </c>
      <c r="HH28">
        <f>IFERROR(VLOOKUP($D28,'Kalkulator mięs '!$C$5:$H$533,HH$4,0)*$AP28,0)</f>
        <v>0</v>
      </c>
      <c r="HI28">
        <f>IFERROR(VLOOKUP($D28,'Kalkulator mięs '!$C$5:$H$533,HI$4,0)*$AQ28,0)</f>
        <v>0</v>
      </c>
      <c r="HJ28">
        <f>IFERROR(VLOOKUP($D28,'Kalkulator mięs '!$C$5:$H$533,HJ$4,0)*$AQ28,0)</f>
        <v>0</v>
      </c>
      <c r="HK28">
        <f>IFERROR(VLOOKUP($D28,'Kalkulator mięs '!$C$5:$H$533,HK$4,0)*$AQ28,0)</f>
        <v>0</v>
      </c>
      <c r="HL28">
        <f>IFERROR(VLOOKUP($D28,'Kalkulator mięs '!$C$5:$H$533,HL$4,0)*$AR28,0)</f>
        <v>0</v>
      </c>
      <c r="HM28">
        <f>IFERROR(VLOOKUP($D28,'Kalkulator mięs '!$C$5:$H$533,HM$4,0)*$AR28,0)</f>
        <v>0</v>
      </c>
      <c r="HN28">
        <f>IFERROR(VLOOKUP($D28,'Kalkulator mięs '!$C$5:$H$533,HN$4,0)*$AR28,0)</f>
        <v>0</v>
      </c>
      <c r="HO28">
        <f>IFERROR(VLOOKUP($D28,'Kalkulator mięs '!$C$5:$H$533,HO$4,0)*$AS28,0)</f>
        <v>0</v>
      </c>
      <c r="HP28">
        <f>IFERROR(VLOOKUP($D28,'Kalkulator mięs '!$C$5:$H$533,HP$4,0)*$AS28,0)</f>
        <v>0</v>
      </c>
      <c r="HQ28">
        <f>IFERROR(VLOOKUP($D28,'Kalkulator mięs '!$C$5:$H$533,HQ$4,0)*$AS28,0)</f>
        <v>0</v>
      </c>
      <c r="HR28">
        <f>IFERROR(VLOOKUP($D28,'Kalkulator mięs '!$C$5:$H$533,HR$4,0)*$AT28,0)</f>
        <v>0</v>
      </c>
      <c r="HS28">
        <f>IFERROR(VLOOKUP($D28,'Kalkulator mięs '!$C$5:$H$533,HS$4,0)*$AT28,0)</f>
        <v>0</v>
      </c>
      <c r="HT28">
        <f>IFERROR(VLOOKUP($D28,'Kalkulator mięs '!$C$5:$H$533,HT$4,0)*$AT28,0)</f>
        <v>0</v>
      </c>
      <c r="HU28">
        <f>IFERROR(VLOOKUP($D28,'Kalkulator mięs '!$C$5:$H$533,HU$4,0)*$AU28,0)</f>
        <v>0</v>
      </c>
      <c r="HV28">
        <f>IFERROR(VLOOKUP($D28,'Kalkulator mięs '!$C$5:$H$533,HV$4,0)*$AU28,0)</f>
        <v>0</v>
      </c>
      <c r="HW28">
        <f>IFERROR(VLOOKUP($D28,'Kalkulator mięs '!$C$5:$H$533,HW$4,0)*$AU28,0)</f>
        <v>0</v>
      </c>
      <c r="HX28">
        <f>IFERROR(VLOOKUP($D28,'Kalkulator mięs '!$C$5:$H$533,HX$4,0)*$AV28,0)</f>
        <v>0</v>
      </c>
      <c r="HY28">
        <f>IFERROR(VLOOKUP($D28,'Kalkulator mięs '!$C$5:$H$533,HY$4,0)*$AV28,0)</f>
        <v>0</v>
      </c>
      <c r="HZ28">
        <f>IFERROR(VLOOKUP($D28,'Kalkulator mięs '!$C$5:$H$533,HZ$4,0)*$AV28,0)</f>
        <v>0</v>
      </c>
      <c r="IA28">
        <f>IFERROR(VLOOKUP($D28,'Kalkulator mięs '!$C$5:$H$533,IA$4,0)*$AW28,0)</f>
        <v>0</v>
      </c>
      <c r="IB28">
        <f>IFERROR(VLOOKUP($D28,'Kalkulator mięs '!$C$5:$H$533,IB$4,0)*$AW28,0)</f>
        <v>0</v>
      </c>
      <c r="IC28">
        <f>IFERROR(VLOOKUP($D28,'Kalkulator mięs '!$C$5:$H$533,IC$4,0)*$AW28,0)</f>
        <v>0</v>
      </c>
      <c r="ID28">
        <f>IFERROR(VLOOKUP($D28,'Kalkulator mięs '!$C$5:$H$533,ID$4,0)*$AX28,0)</f>
        <v>0</v>
      </c>
      <c r="IE28">
        <f>IFERROR(VLOOKUP($D28,'Kalkulator mięs '!$C$5:$H$533,IE$4,0)*$AX28,0)</f>
        <v>0</v>
      </c>
      <c r="IF28">
        <f>IFERROR(VLOOKUP($D28,'Kalkulator mięs '!$C$5:$H$533,IF$4,0)*$AX28,0)</f>
        <v>0</v>
      </c>
      <c r="IG28">
        <f>IFERROR(VLOOKUP($D28,'Kalkulator mięs '!$C$5:$H$533,IG$4,0)*$AY28,0)</f>
        <v>0</v>
      </c>
      <c r="IH28">
        <f>IFERROR(VLOOKUP($D28,'Kalkulator mięs '!$C$5:$H$533,IH$4,0)*$AY28,0)</f>
        <v>0</v>
      </c>
      <c r="II28">
        <f>IFERROR(VLOOKUP($D28,'Kalkulator mięs '!$C$5:$H$533,II$4,0)*$AY28,0)</f>
        <v>0</v>
      </c>
      <c r="IJ28">
        <f>IFERROR(VLOOKUP($D28,'Kalkulator mięs '!$C$5:$H$533,IJ$4,0)*$AZ28,0)</f>
        <v>0</v>
      </c>
      <c r="IK28">
        <f>IFERROR(VLOOKUP($D28,'Kalkulator mięs '!$C$5:$H$533,IK$4,0)*$AZ28,0)</f>
        <v>0</v>
      </c>
      <c r="IL28">
        <f>IFERROR(VLOOKUP($D28,'Kalkulator mięs '!$C$5:$H$533,IL$4,0)*$AZ28,0)</f>
        <v>0</v>
      </c>
      <c r="IM28">
        <f>IFERROR(VLOOKUP($D28,'Kalkulator mięs '!$C$5:$H$533,IM$4,0)*$BA28,0)</f>
        <v>0</v>
      </c>
      <c r="IN28">
        <f>IFERROR(VLOOKUP($D28,'Kalkulator mięs '!$C$5:$H$533,IN$4,0)*$BA28,0)</f>
        <v>0</v>
      </c>
      <c r="IO28">
        <f>IFERROR(VLOOKUP($D28,'Kalkulator mięs '!$C$5:$H$533,IO$4,0)*$BA28,0)</f>
        <v>0</v>
      </c>
    </row>
    <row r="29" spans="1:249" ht="15.75">
      <c r="A29" s="91"/>
      <c r="B29" t="str">
        <f>VLOOKUP(D29,Receptury_z!$A:$B,2,0)</f>
        <v>ON</v>
      </c>
      <c r="C29" s="16">
        <v>5542</v>
      </c>
      <c r="D29" s="19">
        <v>6441</v>
      </c>
      <c r="E29" s="18" t="s">
        <v>146</v>
      </c>
      <c r="F29" s="14">
        <f>IF($B29="OFF",BE29,VLOOKUP($D29,Receptury_z!$D:$AI,F$4,0))</f>
        <v>0</v>
      </c>
      <c r="G29" s="14">
        <f>IF($B29="OFF",BF29,VLOOKUP($D29,Receptury_z!$D:$AI,G$4,0))</f>
        <v>0</v>
      </c>
      <c r="H29" s="14">
        <f>IF($B29="OFF",BG29,VLOOKUP($D29,Receptury_z!$D:$AI,H$4,0))</f>
        <v>0</v>
      </c>
      <c r="I29" s="14">
        <f>IF($B29="OFF",BH29,VLOOKUP($D29,Receptury_z!$D:$AI,I$4,0))</f>
        <v>0</v>
      </c>
      <c r="J29" s="14">
        <f>IF($B29="OFF",BI29,VLOOKUP($D29,Receptury_z!$D:$AI,J$4,0))</f>
        <v>0</v>
      </c>
      <c r="K29" s="14">
        <f>IF($B29="OFF",BJ29,VLOOKUP($D29,Receptury_z!$D:$AI,K$4,0))</f>
        <v>0</v>
      </c>
      <c r="L29" s="14">
        <f>IF($B29="OFF",BK29,VLOOKUP($D29,Receptury_z!$D:$AI,L$4,0))</f>
        <v>0</v>
      </c>
      <c r="M29" s="14">
        <f>IF($B29="OFF",BL29,VLOOKUP($D29,Receptury_z!$D:$AI,M$4,0))</f>
        <v>0</v>
      </c>
      <c r="N29" s="14">
        <f>IF($B29="OFF",BM29,VLOOKUP($D29,Receptury_z!$D:$AI,N$4,0))</f>
        <v>50.4</v>
      </c>
      <c r="O29" s="14">
        <f>IF($B29="OFF",BN29,VLOOKUP($D29,Receptury_z!$D:$AI,O$4,0))</f>
        <v>0</v>
      </c>
      <c r="P29" s="14">
        <f>IF($B29="OFF",BO29,VLOOKUP($D29,Receptury_z!$D:$AI,P$4,0))</f>
        <v>0</v>
      </c>
      <c r="Q29" s="14">
        <f>IF($B29="OFF",BP29,VLOOKUP($D29,Receptury_z!$D:$AI,Q$4,0))</f>
        <v>0</v>
      </c>
      <c r="R29" s="14">
        <f>IF($B29="OFF",BQ29,VLOOKUP($D29,Receptury_z!$D:$AI,R$4,0))</f>
        <v>21.6</v>
      </c>
      <c r="S29" s="14">
        <f>IF($B29="OFF",BR29,VLOOKUP($D29,Receptury_z!$D:$AI,S$4,0))</f>
        <v>0</v>
      </c>
      <c r="T29" s="14">
        <f>IF($B29="OFF",BS29,VLOOKUP($D29,Receptury_z!$D:$AI,T$4,0))</f>
        <v>431.8</v>
      </c>
      <c r="U29" s="14">
        <f>IF($B29="OFF",BT29,VLOOKUP($D29,Receptury_z!$D:$AI,U$4,0))</f>
        <v>215.9</v>
      </c>
      <c r="V29" s="14">
        <f>IF($B29="OFF",BU29,VLOOKUP($D29,Receptury_z!$D:$AI,V$4,0))</f>
        <v>0</v>
      </c>
      <c r="W29" s="14">
        <f>IF($B29="OFF",BV29,VLOOKUP($D29,Receptury_z!$D:$AI,W$4,0))</f>
        <v>0</v>
      </c>
      <c r="X29" s="14">
        <f>IF($B29="OFF",BW29,VLOOKUP($D29,Receptury_z!$D:$AI,X$4,0))</f>
        <v>0</v>
      </c>
      <c r="Y29" s="14">
        <f>IF($B29="OFF",BX29,VLOOKUP($D29,Receptury_z!$D:$AI,Y$4,0))</f>
        <v>0</v>
      </c>
      <c r="Z29" s="14">
        <f>IF($B29="OFF",BY29,VLOOKUP($D29,Receptury_z!$D:$AI,Z$4,0))</f>
        <v>0</v>
      </c>
      <c r="AA29" s="14">
        <f>IF($B29="OFF",BZ29,VLOOKUP($D29,Receptury_z!$D:$AI,AA$4,0))</f>
        <v>0</v>
      </c>
      <c r="AB29" s="14">
        <f>IF($B29="OFF",CA29,VLOOKUP($D29,Receptury_z!$D:$AI,AB$4,0))</f>
        <v>0</v>
      </c>
      <c r="AC29" s="14">
        <f>IF($B29="OFF",CB29,VLOOKUP($D29,Receptury_z!$D:$AI,AC$4,0))</f>
        <v>0</v>
      </c>
      <c r="AD29" s="14">
        <f>IF($B29="OFF",CC29,VLOOKUP($D29,Receptury_z!$D:$AI,AD$4,0))</f>
        <v>0</v>
      </c>
      <c r="AE29" s="14">
        <f>IF($B29="OFF",CD29,VLOOKUP($D29,Receptury_z!$D:$AI,AE$4,0))</f>
        <v>0</v>
      </c>
      <c r="AF29" s="14">
        <f>IF($B29="OFF",CE29,VLOOKUP($D29,Receptury_z!$D:$AI,AF$4,0))</f>
        <v>0</v>
      </c>
      <c r="AG29" s="14">
        <f>IF($B29="OFF",CF29,VLOOKUP($D29,Receptury_z!$D:$AI,AG$4,0))</f>
        <v>0</v>
      </c>
      <c r="AH29" s="14">
        <f>IF($B29="OFF",CG29,VLOOKUP($D29,Receptury_z!$D:$AI,AH$4,0))</f>
        <v>0</v>
      </c>
      <c r="AI29" s="14">
        <f>IF($B29="OFF",CH29,VLOOKUP($D29,Receptury_z!$D:$AI,AI$4,0))</f>
        <v>0</v>
      </c>
      <c r="AJ29" s="14">
        <f>IF($B29="OFF",CI29,VLOOKUP($D29,Receptury_z!$D:$AS,AJ$4,0))</f>
        <v>0</v>
      </c>
      <c r="AK29" s="14">
        <f>IF($B29="OFF",CJ29,VLOOKUP($D29,Receptury_z!$D:$AS,AK$4,0))</f>
        <v>0</v>
      </c>
      <c r="AL29" s="14">
        <f>IF($B29="OFF",CK29,VLOOKUP($D29,Receptury_z!$D:$AS,AL$4,0))</f>
        <v>0</v>
      </c>
      <c r="AM29" s="14">
        <f>IF($B29="OFF",CL29,VLOOKUP($D29,Receptury_z!$D:$AS,AM$4,0))</f>
        <v>0</v>
      </c>
      <c r="AN29" s="14">
        <f>IF($B29="OFF",CM29,VLOOKUP($D29,Receptury_z!$D:$AS,AN$4,0))</f>
        <v>0</v>
      </c>
      <c r="AO29" s="14">
        <f>IF($B29="OFF",CN29,VLOOKUP($D29,Receptury_z!$D:$AS,AO$4,0))</f>
        <v>0</v>
      </c>
      <c r="AP29" s="14">
        <f>IF($B29="OFF",CO29,VLOOKUP($D29,Receptury_z!$D:$AS,AP$4,0))</f>
        <v>0</v>
      </c>
      <c r="AQ29" s="14">
        <f>IF($B29="OFF",CP29,VLOOKUP($D29,Receptury_z!$D:$AS,AQ$4,0))</f>
        <v>0</v>
      </c>
      <c r="AR29" s="14">
        <f>IF($B29="OFF",CQ29,VLOOKUP($D29,Receptury_z!$D:$AS,AR$4,0))</f>
        <v>0</v>
      </c>
      <c r="AS29" s="14">
        <f>IF($B29="OFF",CR29,VLOOKUP($D29,Receptury_z!$D:$AS,AS$4,0))</f>
        <v>0</v>
      </c>
      <c r="AT29" s="14">
        <f>IF($B29="OFF",CS29,VLOOKUP($D29,Receptury_z!$D:$AV,AT$4,0))</f>
        <v>0</v>
      </c>
      <c r="AU29" s="14">
        <f>IF($B29="OFF",CT29,VLOOKUP($D29,Receptury_z!$D:$AV,AU$4,0))</f>
        <v>0</v>
      </c>
      <c r="AV29" s="14">
        <f>IF($B29="OFF",CU29,VLOOKUP($D29,Receptury_z!$D:$AV,AV$4,0))</f>
        <v>0</v>
      </c>
      <c r="AW29" s="14">
        <f>IF($B29="OFF",CV29,VLOOKUP($D29,Receptury_z!$D:$BA,AW$4,0))</f>
        <v>0</v>
      </c>
      <c r="AX29" s="14">
        <f>IF($B29="OFF",CW29,VLOOKUP($D29,Receptury_z!$D:$BA,AX$4,0))</f>
        <v>0</v>
      </c>
      <c r="AY29" s="14">
        <f>IF($B29="OFF",CX29,VLOOKUP($D29,Receptury_z!$D:$BA,AY$4,0))</f>
        <v>0</v>
      </c>
      <c r="AZ29" s="14">
        <f>IF($B29="OFF",DA29,VLOOKUP($D29,Receptury_z!$D:$BA,AZ$4,0))</f>
        <v>0</v>
      </c>
      <c r="BA29" s="14">
        <f>IF($B29="OFF",DB29,VLOOKUP($D29,Receptury_z!$D:$BA,BA$4,0))</f>
        <v>0</v>
      </c>
      <c r="BC29" s="19">
        <v>6441</v>
      </c>
      <c r="BD29" s="18" t="s">
        <v>146</v>
      </c>
      <c r="BE29" s="239">
        <v>0</v>
      </c>
      <c r="BF29" s="239">
        <v>0</v>
      </c>
      <c r="BG29" s="239">
        <v>0</v>
      </c>
      <c r="BH29" s="239">
        <v>0</v>
      </c>
      <c r="BI29" s="239">
        <v>0</v>
      </c>
      <c r="BJ29" s="239">
        <v>0</v>
      </c>
      <c r="BK29" s="239">
        <v>0</v>
      </c>
      <c r="BL29" s="239">
        <v>0</v>
      </c>
      <c r="BM29" s="239">
        <v>50.4</v>
      </c>
      <c r="BN29" s="239">
        <v>0</v>
      </c>
      <c r="BO29" s="239">
        <v>0</v>
      </c>
      <c r="BP29" s="239">
        <v>0</v>
      </c>
      <c r="BQ29" s="239">
        <v>21.6</v>
      </c>
      <c r="BR29" s="239">
        <v>0</v>
      </c>
      <c r="BS29" s="239">
        <v>431.8</v>
      </c>
      <c r="BT29" s="239">
        <v>215.9</v>
      </c>
      <c r="BU29" s="239">
        <v>0</v>
      </c>
      <c r="BV29" s="239">
        <v>0</v>
      </c>
      <c r="BW29" s="239">
        <v>0</v>
      </c>
      <c r="BX29" s="239">
        <v>0</v>
      </c>
      <c r="BY29" s="239">
        <v>0</v>
      </c>
      <c r="BZ29" s="239">
        <v>0</v>
      </c>
      <c r="CA29" s="239">
        <v>0</v>
      </c>
      <c r="CB29" s="239">
        <v>0</v>
      </c>
      <c r="CC29" s="239">
        <v>0</v>
      </c>
      <c r="CD29" s="239">
        <v>0</v>
      </c>
      <c r="CE29" s="239">
        <v>0</v>
      </c>
      <c r="CF29" s="239">
        <v>0</v>
      </c>
      <c r="CG29" s="239">
        <v>0</v>
      </c>
      <c r="CH29" s="239">
        <v>0</v>
      </c>
      <c r="CI29" s="239">
        <v>0</v>
      </c>
      <c r="CJ29" s="239">
        <v>0</v>
      </c>
      <c r="CK29" s="239">
        <v>0</v>
      </c>
      <c r="CL29" s="239">
        <v>0</v>
      </c>
      <c r="CM29" s="80"/>
      <c r="CN29" s="80"/>
      <c r="CO29" s="80"/>
      <c r="CP29" s="80"/>
      <c r="CQ29" s="80"/>
      <c r="CR29" s="80"/>
      <c r="CS29" s="80"/>
      <c r="CT29" s="80"/>
      <c r="CU29" s="80"/>
      <c r="CV29" s="80"/>
      <c r="CW29" s="80"/>
      <c r="CX29" s="80"/>
      <c r="CY29" s="80"/>
      <c r="CZ29" s="80"/>
      <c r="DB29">
        <f>IFERROR(VLOOKUP($D29,'Kalkulator mięs '!$C$5:$H$533,DB$4,0)*F29,0)</f>
        <v>0</v>
      </c>
      <c r="DC29">
        <f>IFERROR(VLOOKUP($D29,'Kalkulator mięs '!$C$5:$H$533,DC$4,0)*F29,0)</f>
        <v>0</v>
      </c>
      <c r="DD29">
        <f>IFERROR(VLOOKUP($D29,'Kalkulator mięs '!$C$5:$H$533,DD$4,0)*F29,0)</f>
        <v>0</v>
      </c>
      <c r="DE29">
        <f>IFERROR(VLOOKUP($D29,'Kalkulator mięs '!$C$5:$H$533,DE$4,0)*$G29,0)</f>
        <v>0</v>
      </c>
      <c r="DF29">
        <f>IFERROR(VLOOKUP($D29,'Kalkulator mięs '!$C$5:$H$533,DF$4,0)*$G29,0)</f>
        <v>0</v>
      </c>
      <c r="DG29">
        <f>IFERROR(VLOOKUP($D29,'Kalkulator mięs '!$C$5:$H$533,DG$4,0)*$G29,0)</f>
        <v>0</v>
      </c>
      <c r="DH29">
        <f>IFERROR(VLOOKUP($D29,'Kalkulator mięs '!$C$5:$H$533,DH$4,0)*$H29,0)</f>
        <v>0</v>
      </c>
      <c r="DI29">
        <f>IFERROR(VLOOKUP($D29,'Kalkulator mięs '!$C$5:$H$533,DI$4,0)*$H29,0)</f>
        <v>0</v>
      </c>
      <c r="DJ29">
        <f>IFERROR(VLOOKUP($D29,'Kalkulator mięs '!$C$5:$H$533,DJ$4,0)*$H29,0)</f>
        <v>0</v>
      </c>
      <c r="DK29">
        <f>IFERROR(VLOOKUP($D29,'Kalkulator mięs '!$C$5:$H$533,DK$4,0)*$I29,0)</f>
        <v>0</v>
      </c>
      <c r="DL29">
        <f>IFERROR(VLOOKUP($D29,'Kalkulator mięs '!$C$5:$H$533,DL$4,0)*$I29,0)</f>
        <v>0</v>
      </c>
      <c r="DM29">
        <f>IFERROR(VLOOKUP($D29,'Kalkulator mięs '!$C$5:$H$533,DM$4,0)*$I29,0)</f>
        <v>0</v>
      </c>
      <c r="DN29">
        <f>IFERROR(VLOOKUP($D29,'Kalkulator mięs '!$C$5:$H$533,DN$4,0)*$J29,0)</f>
        <v>0</v>
      </c>
      <c r="DO29">
        <f>IFERROR(VLOOKUP($D29,'Kalkulator mięs '!$C$5:$H$533,DO$4,0)*$J29,0)</f>
        <v>0</v>
      </c>
      <c r="DP29">
        <f>IFERROR(VLOOKUP($D29,'Kalkulator mięs '!$C$5:$H$533,DP$4,0)*$J29,0)</f>
        <v>0</v>
      </c>
      <c r="DQ29">
        <f>IFERROR(VLOOKUP($D29,'Kalkulator mięs '!$C$5:$H$533,DQ$4,0)*$K29,0)</f>
        <v>0</v>
      </c>
      <c r="DR29">
        <f>IFERROR(VLOOKUP($D29,'Kalkulator mięs '!$C$5:$H$533,DR$4,0)*$K29,0)</f>
        <v>0</v>
      </c>
      <c r="DS29">
        <f>IFERROR(VLOOKUP($D29,'Kalkulator mięs '!$C$5:$H$533,DS$4,0)*$K29,0)</f>
        <v>0</v>
      </c>
      <c r="DT29">
        <f>IFERROR(VLOOKUP($D29,'Kalkulator mięs '!$C$5:$H$533,DT$4,0)*$L29,0)</f>
        <v>0</v>
      </c>
      <c r="DU29">
        <f>IFERROR(VLOOKUP($D29,'Kalkulator mięs '!$C$5:$H$533,DU$4,0)*$L29,0)</f>
        <v>0</v>
      </c>
      <c r="DV29">
        <f>IFERROR(VLOOKUP($D29,'Kalkulator mięs '!$C$5:$H$533,DV$4,0)*$L29,0)</f>
        <v>0</v>
      </c>
      <c r="DW29">
        <f>IFERROR(VLOOKUP($D29,'Kalkulator mięs '!$C$5:$H$533,DW$4,0)*$M29,0)</f>
        <v>0</v>
      </c>
      <c r="DX29">
        <f>IFERROR(VLOOKUP($D29,'Kalkulator mięs '!$C$5:$H$533,DX$4,0)*$M29,0)</f>
        <v>0</v>
      </c>
      <c r="DY29">
        <f>IFERROR(VLOOKUP($D29,'Kalkulator mięs '!$C$5:$H$533,DY$4,0)*$M29,0)</f>
        <v>0</v>
      </c>
      <c r="DZ29">
        <f>IFERROR(VLOOKUP($D29,'Kalkulator mięs '!$C$5:$H$533,DZ$4,0)*$N29,0)</f>
        <v>0</v>
      </c>
      <c r="EA29">
        <f>IFERROR(VLOOKUP($D29,'Kalkulator mięs '!$C$5:$H$533,EA$4,0)*$N29,0)</f>
        <v>0</v>
      </c>
      <c r="EB29">
        <f>IFERROR(VLOOKUP($D29,'Kalkulator mięs '!$C$5:$H$533,EB$4,0)*$N29,0)</f>
        <v>0</v>
      </c>
      <c r="EC29">
        <f>IFERROR(VLOOKUP($D29,'Kalkulator mięs '!$C$5:$H$533,EC$4,0)*$O29,0)</f>
        <v>0</v>
      </c>
      <c r="ED29">
        <f>IFERROR(VLOOKUP($D29,'Kalkulator mięs '!$C$5:$H$533,ED$4,0)*$O29,0)</f>
        <v>0</v>
      </c>
      <c r="EE29">
        <f>IFERROR(VLOOKUP($D29,'Kalkulator mięs '!$C$5:$H$533,EE$4,0)*$O29,0)</f>
        <v>0</v>
      </c>
      <c r="EF29">
        <f>IFERROR(VLOOKUP($D29,'Kalkulator mięs '!$C$5:$H$533,EF$4,0)*$P29,0)</f>
        <v>0</v>
      </c>
      <c r="EG29">
        <f>IFERROR(VLOOKUP($D29,'Kalkulator mięs '!$C$5:$H$533,EG$4,0)*$P29,0)</f>
        <v>0</v>
      </c>
      <c r="EH29">
        <f>IFERROR(VLOOKUP($D29,'Kalkulator mięs '!$C$5:$H$533,EH$4,0)*$P29,0)</f>
        <v>0</v>
      </c>
      <c r="EI29">
        <f>IFERROR(VLOOKUP($D29,'Kalkulator mięs '!$C$5:$H$533,EI$4,0)*$Q29,0)</f>
        <v>0</v>
      </c>
      <c r="EJ29">
        <f>IFERROR(VLOOKUP($D29,'Kalkulator mięs '!$C$5:$H$533,EJ$4,0)*$Q29,0)</f>
        <v>0</v>
      </c>
      <c r="EK29">
        <f>IFERROR(VLOOKUP($D29,'Kalkulator mięs '!$C$5:$H$533,EK$4,0)*$Q29,0)</f>
        <v>0</v>
      </c>
      <c r="EL29">
        <f>IFERROR(VLOOKUP($D29,'Kalkulator mięs '!$C$5:$H$533,EL$4,0)*$R29,0)</f>
        <v>0</v>
      </c>
      <c r="EM29">
        <f>IFERROR(VLOOKUP($D29,'Kalkulator mięs '!$C$5:$H$533,EM$4,0)*$R29,0)</f>
        <v>0</v>
      </c>
      <c r="EN29">
        <f>IFERROR(VLOOKUP($D29,'Kalkulator mięs '!$C$5:$H$533,EN$4,0)*$R29,0)</f>
        <v>0</v>
      </c>
      <c r="EO29">
        <f>IFERROR(VLOOKUP($D29,'Kalkulator mięs '!$C$5:$H$533,EO$4,0)*$S29,0)</f>
        <v>0</v>
      </c>
      <c r="EP29">
        <f>IFERROR(VLOOKUP($D29,'Kalkulator mięs '!$C$5:$H$533,EP$4,0)*$S29,0)</f>
        <v>0</v>
      </c>
      <c r="EQ29">
        <f>IFERROR(VLOOKUP($D29,'Kalkulator mięs '!$C$5:$H$533,EQ$4,0)*$S29,0)</f>
        <v>0</v>
      </c>
      <c r="ER29">
        <f>IFERROR(VLOOKUP($D29,'Kalkulator mięs '!$C$5:$H$533,ER$4,0)*$T29,0)</f>
        <v>0</v>
      </c>
      <c r="ES29">
        <f>IFERROR(VLOOKUP($D29,'Kalkulator mięs '!$C$5:$H$533,ES$4,0)*$T29,0)</f>
        <v>0</v>
      </c>
      <c r="ET29">
        <f>IFERROR(VLOOKUP($D29,'Kalkulator mięs '!$C$5:$H$533,ET$4,0)*$T29,0)</f>
        <v>0</v>
      </c>
      <c r="EU29">
        <f>IFERROR(VLOOKUP($D29,'Kalkulator mięs '!$C$5:$H$533,EU$4,0)*$U29,0)</f>
        <v>0</v>
      </c>
      <c r="EV29">
        <f>IFERROR(VLOOKUP($D29,'Kalkulator mięs '!$C$5:$H$533,EV$4,0)*$U29,0)</f>
        <v>0</v>
      </c>
      <c r="EW29">
        <f>IFERROR(VLOOKUP($D29,'Kalkulator mięs '!$C$5:$H$533,EW$4,0)*$U29,0)</f>
        <v>0</v>
      </c>
      <c r="EX29">
        <f>IFERROR(VLOOKUP($D29,'Kalkulator mięs '!$C$5:$H$533,EX$4,0)*$V29,0)</f>
        <v>0</v>
      </c>
      <c r="EY29">
        <f>IFERROR(VLOOKUP($D29,'Kalkulator mięs '!$C$5:$H$533,EY$4,0)*$V29,0)</f>
        <v>0</v>
      </c>
      <c r="EZ29">
        <f>IFERROR(VLOOKUP($D29,'Kalkulator mięs '!$C$5:$H$533,EZ$4,0)*$V29,0)</f>
        <v>0</v>
      </c>
      <c r="FA29">
        <f>IFERROR(VLOOKUP($D29,'Kalkulator mięs '!$C$5:$H$533,FA$4,0)*$W29,0)</f>
        <v>0</v>
      </c>
      <c r="FB29">
        <f>IFERROR(VLOOKUP($D29,'Kalkulator mięs '!$C$5:$H$533,FB$4,0)*$W29,0)</f>
        <v>0</v>
      </c>
      <c r="FC29">
        <f>IFERROR(VLOOKUP($D29,'Kalkulator mięs '!$C$5:$H$533,FC$4,0)*$W29,0)</f>
        <v>0</v>
      </c>
      <c r="FD29">
        <f>IFERROR(VLOOKUP($D29,'Kalkulator mięs '!$C$5:$H$533,FD$4,0)*$X29,0)</f>
        <v>0</v>
      </c>
      <c r="FE29">
        <f>IFERROR(VLOOKUP($D29,'Kalkulator mięs '!$C$5:$H$533,FE$4,0)*$X29,0)</f>
        <v>0</v>
      </c>
      <c r="FF29">
        <f>IFERROR(VLOOKUP($D29,'Kalkulator mięs '!$C$5:$H$533,FF$4,0)*$X29,0)</f>
        <v>0</v>
      </c>
      <c r="FG29">
        <f>IFERROR(VLOOKUP($D29,'Kalkulator mięs '!$C$5:$H$533,FG$4,0)*$Y29,0)</f>
        <v>0</v>
      </c>
      <c r="FH29">
        <f>IFERROR(VLOOKUP($D29,'Kalkulator mięs '!$C$5:$H$533,FH$4,0)*$Y29,0)</f>
        <v>0</v>
      </c>
      <c r="FI29">
        <f>IFERROR(VLOOKUP($D29,'Kalkulator mięs '!$C$5:$H$533,FI$4,0)*$Y29,0)</f>
        <v>0</v>
      </c>
      <c r="FJ29">
        <f>IFERROR(VLOOKUP($D29,'Kalkulator mięs '!$C$5:$H$533,FJ$4,0)*$Z29,0)</f>
        <v>0</v>
      </c>
      <c r="FK29">
        <f>IFERROR(VLOOKUP($D29,'Kalkulator mięs '!$C$5:$H$533,FK$4,0)*$Z29,0)</f>
        <v>0</v>
      </c>
      <c r="FL29">
        <f>IFERROR(VLOOKUP($D29,'Kalkulator mięs '!$C$5:$H$533,FL$4,0)*$Z29,0)</f>
        <v>0</v>
      </c>
      <c r="FM29">
        <f>IFERROR(VLOOKUP($D29,'Kalkulator mięs '!$C$5:$H$533,FM$4,0)*$AA29,0)</f>
        <v>0</v>
      </c>
      <c r="FN29">
        <f>IFERROR(VLOOKUP($D29,'Kalkulator mięs '!$C$5:$H$533,FN$4,0)*$AA29,0)</f>
        <v>0</v>
      </c>
      <c r="FO29">
        <f>IFERROR(VLOOKUP($D29,'Kalkulator mięs '!$C$5:$H$533,FO$4,0)*$AA29,0)</f>
        <v>0</v>
      </c>
      <c r="FP29">
        <f>IFERROR(VLOOKUP($D29,'Kalkulator mięs '!$C$5:$H$533,FP$4,0)*$AB29,0)</f>
        <v>0</v>
      </c>
      <c r="FQ29">
        <f>IFERROR(VLOOKUP($D29,'Kalkulator mięs '!$C$5:$H$533,FQ$4,0)*$AB29,0)</f>
        <v>0</v>
      </c>
      <c r="FR29">
        <f>IFERROR(VLOOKUP($D29,'Kalkulator mięs '!$C$5:$H$533,FR$4,0)*$AB29,0)</f>
        <v>0</v>
      </c>
      <c r="FS29">
        <f>IFERROR(VLOOKUP($D29,'Kalkulator mięs '!$C$5:$H$533,FS$4,0)*$AC29,0)</f>
        <v>0</v>
      </c>
      <c r="FT29">
        <f>IFERROR(VLOOKUP($D29,'Kalkulator mięs '!$C$5:$H$533,FT$4,0)*$AC29,0)</f>
        <v>0</v>
      </c>
      <c r="FU29">
        <f>IFERROR(VLOOKUP($D29,'Kalkulator mięs '!$C$5:$H$533,FU$4,0)*$AC29,0)</f>
        <v>0</v>
      </c>
      <c r="FV29">
        <f>IFERROR(VLOOKUP($D29,'Kalkulator mięs '!$C$5:$H$533,FV$4,0)*$AD29,0)</f>
        <v>0</v>
      </c>
      <c r="FW29">
        <f>IFERROR(VLOOKUP($D29,'Kalkulator mięs '!$C$5:$H$533,FW$4,0)*$AD29,0)</f>
        <v>0</v>
      </c>
      <c r="FX29">
        <f>IFERROR(VLOOKUP($D29,'Kalkulator mięs '!$C$5:$H$533,FX$4,0)*$AD29,0)</f>
        <v>0</v>
      </c>
      <c r="FY29">
        <f>IFERROR(VLOOKUP($D29,'Kalkulator mięs '!$C$5:$H$533,FY$4,0)*$AE29,0)</f>
        <v>0</v>
      </c>
      <c r="FZ29">
        <f>IFERROR(VLOOKUP($D29,'Kalkulator mięs '!$C$5:$H$533,FZ$4,0)*$AE29,0)</f>
        <v>0</v>
      </c>
      <c r="GA29">
        <f>IFERROR(VLOOKUP($D29,'Kalkulator mięs '!$C$5:$H$533,GA$4,0)*$AE29,0)</f>
        <v>0</v>
      </c>
      <c r="GB29">
        <f>IFERROR(VLOOKUP($D29,'Kalkulator mięs '!$C$5:$H$533,GB$4,0)*$AF29,0)</f>
        <v>0</v>
      </c>
      <c r="GC29">
        <f>IFERROR(VLOOKUP($D29,'Kalkulator mięs '!$C$5:$H$533,GC$4,0)*$AF29,0)</f>
        <v>0</v>
      </c>
      <c r="GD29">
        <f>IFERROR(VLOOKUP($D29,'Kalkulator mięs '!$C$5:$H$533,GD$4,0)*$AF29,0)</f>
        <v>0</v>
      </c>
      <c r="GE29">
        <f>IFERROR(VLOOKUP($D29,'Kalkulator mięs '!$C$5:$H$533,GE$4,0)*$AG29,0)</f>
        <v>0</v>
      </c>
      <c r="GF29">
        <f>IFERROR(VLOOKUP($D29,'Kalkulator mięs '!$C$5:$H$533,GF$4,0)*$AG29,0)</f>
        <v>0</v>
      </c>
      <c r="GG29">
        <f>IFERROR(VLOOKUP($D29,'Kalkulator mięs '!$C$5:$H$533,GG$4,0)*$AG29,0)</f>
        <v>0</v>
      </c>
      <c r="GH29">
        <f>IFERROR(VLOOKUP($D29,'Kalkulator mięs '!$C$5:$H$533,GH$4,0)*$AH29,0)</f>
        <v>0</v>
      </c>
      <c r="GI29">
        <f>IFERROR(VLOOKUP($D29,'Kalkulator mięs '!$C$5:$H$533,GI$4,0)*$AH29,0)</f>
        <v>0</v>
      </c>
      <c r="GJ29">
        <f>IFERROR(VLOOKUP($D29,'Kalkulator mięs '!$C$5:$H$533,GJ$4,0)*$AH29,0)</f>
        <v>0</v>
      </c>
      <c r="GK29">
        <f>IFERROR(VLOOKUP($D29,'Kalkulator mięs '!$C$5:$H$533,GK$4,0)*$AI29,0)</f>
        <v>0</v>
      </c>
      <c r="GL29">
        <f>IFERROR(VLOOKUP($D29,'Kalkulator mięs '!$C$5:$H$533,GL$4,0)*$AI29,0)</f>
        <v>0</v>
      </c>
      <c r="GM29">
        <f>IFERROR(VLOOKUP($D29,'Kalkulator mięs '!$C$5:$H$533,GM$4,0)*$AI29,0)</f>
        <v>0</v>
      </c>
      <c r="GN29">
        <f>IFERROR(VLOOKUP($D29,'Kalkulator mięs '!$C$5:$H$533,GN$4,0)*$AJ29,0)</f>
        <v>0</v>
      </c>
      <c r="GO29">
        <f>IFERROR(VLOOKUP($D29,'Kalkulator mięs '!$C$5:$H$533,GO$4,0)*$AJ29,0)</f>
        <v>0</v>
      </c>
      <c r="GP29">
        <f>IFERROR(VLOOKUP($D29,'Kalkulator mięs '!$C$5:$H$533,GP$4,0)*$AJ29,0)</f>
        <v>0</v>
      </c>
      <c r="GQ29">
        <f>IFERROR(VLOOKUP($D29,'Kalkulator mięs '!$C$5:$H$533,GQ$4,0)*$AK29,0)</f>
        <v>0</v>
      </c>
      <c r="GR29">
        <f>IFERROR(VLOOKUP($D29,'Kalkulator mięs '!$C$5:$H$533,GR$4,0)*$AK29,0)</f>
        <v>0</v>
      </c>
      <c r="GS29">
        <f>IFERROR(VLOOKUP($D29,'Kalkulator mięs '!$C$5:$H$533,GS$4,0)*$AK29,0)</f>
        <v>0</v>
      </c>
      <c r="GT29">
        <f>IFERROR(VLOOKUP($D29,'Kalkulator mięs '!$C$5:$H$533,GT$4,0)*$AL29,0)</f>
        <v>0</v>
      </c>
      <c r="GU29">
        <f>IFERROR(VLOOKUP($D29,'Kalkulator mięs '!$C$5:$H$533,GU$4,0)*$AL29,0)</f>
        <v>0</v>
      </c>
      <c r="GV29">
        <f>IFERROR(VLOOKUP($D29,'Kalkulator mięs '!$C$5:$H$533,GV$4,0)*$AL29,0)</f>
        <v>0</v>
      </c>
      <c r="GW29">
        <f>IFERROR(VLOOKUP($D29,'Kalkulator mięs '!$C$5:$H$533,GW$4,0)*$AM29,0)</f>
        <v>0</v>
      </c>
      <c r="GX29">
        <f>IFERROR(VLOOKUP($D29,'Kalkulator mięs '!$C$5:$H$533,GX$4,0)*$AM29,0)</f>
        <v>0</v>
      </c>
      <c r="GY29">
        <f>IFERROR(VLOOKUP($D29,'Kalkulator mięs '!$C$5:$H$533,GY$4,0)*$AM29,0)</f>
        <v>0</v>
      </c>
      <c r="GZ29">
        <f>IFERROR(VLOOKUP($D29,'Kalkulator mięs '!$C$5:$H$533,GZ$4,0)*$AN29,0)</f>
        <v>0</v>
      </c>
      <c r="HA29">
        <f>IFERROR(VLOOKUP($D29,'Kalkulator mięs '!$C$5:$H$533,HA$4,0)*$AN29,0)</f>
        <v>0</v>
      </c>
      <c r="HB29">
        <f>IFERROR(VLOOKUP($D29,'Kalkulator mięs '!$C$5:$H$533,HB$4,0)*$AN29,0)</f>
        <v>0</v>
      </c>
      <c r="HC29">
        <f>IFERROR(VLOOKUP($D29,'Kalkulator mięs '!$C$5:$H$533,HC$4,0)*$AO29,0)</f>
        <v>0</v>
      </c>
      <c r="HD29">
        <f>IFERROR(VLOOKUP($D29,'Kalkulator mięs '!$C$5:$H$533,HD$4,0)*$AO29,0)</f>
        <v>0</v>
      </c>
      <c r="HE29">
        <f>IFERROR(VLOOKUP($D29,'Kalkulator mięs '!$C$5:$H$533,HE$4,0)*$AO29,0)</f>
        <v>0</v>
      </c>
      <c r="HF29">
        <f>IFERROR(VLOOKUP($D29,'Kalkulator mięs '!$C$5:$H$533,HF$4,0)*$AP29,0)</f>
        <v>0</v>
      </c>
      <c r="HG29">
        <f>IFERROR(VLOOKUP($D29,'Kalkulator mięs '!$C$5:$H$533,HG$4,0)*$AP29,0)</f>
        <v>0</v>
      </c>
      <c r="HH29">
        <f>IFERROR(VLOOKUP($D29,'Kalkulator mięs '!$C$5:$H$533,HH$4,0)*$AP29,0)</f>
        <v>0</v>
      </c>
      <c r="HI29">
        <f>IFERROR(VLOOKUP($D29,'Kalkulator mięs '!$C$5:$H$533,HI$4,0)*$AQ29,0)</f>
        <v>0</v>
      </c>
      <c r="HJ29">
        <f>IFERROR(VLOOKUP($D29,'Kalkulator mięs '!$C$5:$H$533,HJ$4,0)*$AQ29,0)</f>
        <v>0</v>
      </c>
      <c r="HK29">
        <f>IFERROR(VLOOKUP($D29,'Kalkulator mięs '!$C$5:$H$533,HK$4,0)*$AQ29,0)</f>
        <v>0</v>
      </c>
      <c r="HL29">
        <f>IFERROR(VLOOKUP($D29,'Kalkulator mięs '!$C$5:$H$533,HL$4,0)*$AR29,0)</f>
        <v>0</v>
      </c>
      <c r="HM29">
        <f>IFERROR(VLOOKUP($D29,'Kalkulator mięs '!$C$5:$H$533,HM$4,0)*$AR29,0)</f>
        <v>0</v>
      </c>
      <c r="HN29">
        <f>IFERROR(VLOOKUP($D29,'Kalkulator mięs '!$C$5:$H$533,HN$4,0)*$AR29,0)</f>
        <v>0</v>
      </c>
      <c r="HO29">
        <f>IFERROR(VLOOKUP($D29,'Kalkulator mięs '!$C$5:$H$533,HO$4,0)*$AS29,0)</f>
        <v>0</v>
      </c>
      <c r="HP29">
        <f>IFERROR(VLOOKUP($D29,'Kalkulator mięs '!$C$5:$H$533,HP$4,0)*$AS29,0)</f>
        <v>0</v>
      </c>
      <c r="HQ29">
        <f>IFERROR(VLOOKUP($D29,'Kalkulator mięs '!$C$5:$H$533,HQ$4,0)*$AS29,0)</f>
        <v>0</v>
      </c>
      <c r="HR29">
        <f>IFERROR(VLOOKUP($D29,'Kalkulator mięs '!$C$5:$H$533,HR$4,0)*$AT29,0)</f>
        <v>0</v>
      </c>
      <c r="HS29">
        <f>IFERROR(VLOOKUP($D29,'Kalkulator mięs '!$C$5:$H$533,HS$4,0)*$AT29,0)</f>
        <v>0</v>
      </c>
      <c r="HT29">
        <f>IFERROR(VLOOKUP($D29,'Kalkulator mięs '!$C$5:$H$533,HT$4,0)*$AT29,0)</f>
        <v>0</v>
      </c>
      <c r="HU29">
        <f>IFERROR(VLOOKUP($D29,'Kalkulator mięs '!$C$5:$H$533,HU$4,0)*$AU29,0)</f>
        <v>0</v>
      </c>
      <c r="HV29">
        <f>IFERROR(VLOOKUP($D29,'Kalkulator mięs '!$C$5:$H$533,HV$4,0)*$AU29,0)</f>
        <v>0</v>
      </c>
      <c r="HW29">
        <f>IFERROR(VLOOKUP($D29,'Kalkulator mięs '!$C$5:$H$533,HW$4,0)*$AU29,0)</f>
        <v>0</v>
      </c>
      <c r="HX29">
        <f>IFERROR(VLOOKUP($D29,'Kalkulator mięs '!$C$5:$H$533,HX$4,0)*$AV29,0)</f>
        <v>0</v>
      </c>
      <c r="HY29">
        <f>IFERROR(VLOOKUP($D29,'Kalkulator mięs '!$C$5:$H$533,HY$4,0)*$AV29,0)</f>
        <v>0</v>
      </c>
      <c r="HZ29">
        <f>IFERROR(VLOOKUP($D29,'Kalkulator mięs '!$C$5:$H$533,HZ$4,0)*$AV29,0)</f>
        <v>0</v>
      </c>
      <c r="IA29">
        <f>IFERROR(VLOOKUP($D29,'Kalkulator mięs '!$C$5:$H$533,IA$4,0)*$AW29,0)</f>
        <v>0</v>
      </c>
      <c r="IB29">
        <f>IFERROR(VLOOKUP($D29,'Kalkulator mięs '!$C$5:$H$533,IB$4,0)*$AW29,0)</f>
        <v>0</v>
      </c>
      <c r="IC29">
        <f>IFERROR(VLOOKUP($D29,'Kalkulator mięs '!$C$5:$H$533,IC$4,0)*$AW29,0)</f>
        <v>0</v>
      </c>
      <c r="ID29">
        <f>IFERROR(VLOOKUP($D29,'Kalkulator mięs '!$C$5:$H$533,ID$4,0)*$AX29,0)</f>
        <v>0</v>
      </c>
      <c r="IE29">
        <f>IFERROR(VLOOKUP($D29,'Kalkulator mięs '!$C$5:$H$533,IE$4,0)*$AX29,0)</f>
        <v>0</v>
      </c>
      <c r="IF29">
        <f>IFERROR(VLOOKUP($D29,'Kalkulator mięs '!$C$5:$H$533,IF$4,0)*$AX29,0)</f>
        <v>0</v>
      </c>
      <c r="IG29">
        <f>IFERROR(VLOOKUP($D29,'Kalkulator mięs '!$C$5:$H$533,IG$4,0)*$AY29,0)</f>
        <v>0</v>
      </c>
      <c r="IH29">
        <f>IFERROR(VLOOKUP($D29,'Kalkulator mięs '!$C$5:$H$533,IH$4,0)*$AY29,0)</f>
        <v>0</v>
      </c>
      <c r="II29">
        <f>IFERROR(VLOOKUP($D29,'Kalkulator mięs '!$C$5:$H$533,II$4,0)*$AY29,0)</f>
        <v>0</v>
      </c>
      <c r="IJ29">
        <f>IFERROR(VLOOKUP($D29,'Kalkulator mięs '!$C$5:$H$533,IJ$4,0)*$AZ29,0)</f>
        <v>0</v>
      </c>
      <c r="IK29">
        <f>IFERROR(VLOOKUP($D29,'Kalkulator mięs '!$C$5:$H$533,IK$4,0)*$AZ29,0)</f>
        <v>0</v>
      </c>
      <c r="IL29">
        <f>IFERROR(VLOOKUP($D29,'Kalkulator mięs '!$C$5:$H$533,IL$4,0)*$AZ29,0)</f>
        <v>0</v>
      </c>
      <c r="IM29">
        <f>IFERROR(VLOOKUP($D29,'Kalkulator mięs '!$C$5:$H$533,IM$4,0)*$BA29,0)</f>
        <v>0</v>
      </c>
      <c r="IN29">
        <f>IFERROR(VLOOKUP($D29,'Kalkulator mięs '!$C$5:$H$533,IN$4,0)*$BA29,0)</f>
        <v>0</v>
      </c>
      <c r="IO29">
        <f>IFERROR(VLOOKUP($D29,'Kalkulator mięs '!$C$5:$H$533,IO$4,0)*$BA29,0)</f>
        <v>0</v>
      </c>
    </row>
    <row r="30" spans="1:249" ht="15.75">
      <c r="A30" s="91"/>
      <c r="B30" t="str">
        <f>VLOOKUP(D30,Receptury_z!$A:$B,2,0)</f>
        <v>ON</v>
      </c>
      <c r="C30" s="16">
        <v>5543</v>
      </c>
      <c r="D30" s="19">
        <v>6442</v>
      </c>
      <c r="E30" s="18" t="s">
        <v>147</v>
      </c>
      <c r="F30" s="14">
        <f>IF($B30="OFF",BE30,VLOOKUP($D30,Receptury_z!$D:$AI,F$4,0))</f>
        <v>0</v>
      </c>
      <c r="G30" s="14">
        <f>IF($B30="OFF",BF30,VLOOKUP($D30,Receptury_z!$D:$AI,G$4,0))</f>
        <v>0</v>
      </c>
      <c r="H30" s="14">
        <f>IF($B30="OFF",BG30,VLOOKUP($D30,Receptury_z!$D:$AI,H$4,0))</f>
        <v>0</v>
      </c>
      <c r="I30" s="14">
        <f>IF($B30="OFF",BH30,VLOOKUP($D30,Receptury_z!$D:$AI,I$4,0))</f>
        <v>0</v>
      </c>
      <c r="J30" s="14">
        <f>IF($B30="OFF",BI30,VLOOKUP($D30,Receptury_z!$D:$AI,J$4,0))</f>
        <v>0</v>
      </c>
      <c r="K30" s="14">
        <f>IF($B30="OFF",BJ30,VLOOKUP($D30,Receptury_z!$D:$AI,K$4,0))</f>
        <v>0</v>
      </c>
      <c r="L30" s="14">
        <f>IF($B30="OFF",BK30,VLOOKUP($D30,Receptury_z!$D:$AI,L$4,0))</f>
        <v>0</v>
      </c>
      <c r="M30" s="14">
        <f>IF($B30="OFF",BL30,VLOOKUP($D30,Receptury_z!$D:$AI,M$4,0))</f>
        <v>0</v>
      </c>
      <c r="N30" s="14">
        <f>IF($B30="OFF",BM30,VLOOKUP($D30,Receptury_z!$D:$AI,N$4,0))</f>
        <v>0</v>
      </c>
      <c r="O30" s="14">
        <f>IF($B30="OFF",BN30,VLOOKUP($D30,Receptury_z!$D:$AI,O$4,0))</f>
        <v>0</v>
      </c>
      <c r="P30" s="14">
        <f>IF($B30="OFF",BO30,VLOOKUP($D30,Receptury_z!$D:$AI,P$4,0))</f>
        <v>0</v>
      </c>
      <c r="Q30" s="14">
        <f>IF($B30="OFF",BP30,VLOOKUP($D30,Receptury_z!$D:$AI,Q$4,0))</f>
        <v>0</v>
      </c>
      <c r="R30" s="14">
        <f>IF($B30="OFF",BQ30,VLOOKUP($D30,Receptury_z!$D:$AI,R$4,0))</f>
        <v>0</v>
      </c>
      <c r="S30" s="14">
        <f>IF($B30="OFF",BR30,VLOOKUP($D30,Receptury_z!$D:$AI,S$4,0))</f>
        <v>0</v>
      </c>
      <c r="T30" s="14">
        <f>IF($B30="OFF",BS30,VLOOKUP($D30,Receptury_z!$D:$AI,T$4,0))</f>
        <v>505.2</v>
      </c>
      <c r="U30" s="14">
        <f>IF($B30="OFF",BT30,VLOOKUP($D30,Receptury_z!$D:$AI,U$4,0))</f>
        <v>0</v>
      </c>
      <c r="V30" s="14">
        <f>IF($B30="OFF",BU30,VLOOKUP($D30,Receptury_z!$D:$AI,V$4,0))</f>
        <v>0</v>
      </c>
      <c r="W30" s="14">
        <f>IF($B30="OFF",BV30,VLOOKUP($D30,Receptury_z!$D:$AI,W$4,0))</f>
        <v>0</v>
      </c>
      <c r="X30" s="14">
        <f>IF($B30="OFF",BW30,VLOOKUP($D30,Receptury_z!$D:$AI,X$4,0))</f>
        <v>0</v>
      </c>
      <c r="Y30" s="14">
        <f>IF($B30="OFF",BX30,VLOOKUP($D30,Receptury_z!$D:$AI,Y$4,0))</f>
        <v>0</v>
      </c>
      <c r="Z30" s="14">
        <f>IF($B30="OFF",BY30,VLOOKUP($D30,Receptury_z!$D:$AI,Z$4,0))</f>
        <v>0</v>
      </c>
      <c r="AA30" s="14">
        <f>IF($B30="OFF",BZ30,VLOOKUP($D30,Receptury_z!$D:$AI,AA$4,0))</f>
        <v>0</v>
      </c>
      <c r="AB30" s="14">
        <f>IF($B30="OFF",CA30,VLOOKUP($D30,Receptury_z!$D:$AI,AB$4,0))</f>
        <v>0</v>
      </c>
      <c r="AC30" s="14">
        <f>IF($B30="OFF",CB30,VLOOKUP($D30,Receptury_z!$D:$AI,AC$4,0))</f>
        <v>0</v>
      </c>
      <c r="AD30" s="14">
        <f>IF($B30="OFF",CC30,VLOOKUP($D30,Receptury_z!$D:$AI,AD$4,0))</f>
        <v>0</v>
      </c>
      <c r="AE30" s="14">
        <f>IF($B30="OFF",CD30,VLOOKUP($D30,Receptury_z!$D:$AI,AE$4,0))</f>
        <v>0</v>
      </c>
      <c r="AF30" s="14">
        <f>IF($B30="OFF",CE30,VLOOKUP($D30,Receptury_z!$D:$AI,AF$4,0))</f>
        <v>0</v>
      </c>
      <c r="AG30" s="14">
        <f>IF($B30="OFF",CF30,VLOOKUP($D30,Receptury_z!$D:$AI,AG$4,0))</f>
        <v>0</v>
      </c>
      <c r="AH30" s="14">
        <f>IF($B30="OFF",CG30,VLOOKUP($D30,Receptury_z!$D:$AI,AH$4,0))</f>
        <v>0</v>
      </c>
      <c r="AI30" s="14">
        <f>IF($B30="OFF",CH30,VLOOKUP($D30,Receptury_z!$D:$AI,AI$4,0))</f>
        <v>0</v>
      </c>
      <c r="AJ30" s="14">
        <f>IF($B30="OFF",CI30,VLOOKUP($D30,Receptury_z!$D:$AS,AJ$4,0))</f>
        <v>0</v>
      </c>
      <c r="AK30" s="14">
        <f>IF($B30="OFF",CJ30,VLOOKUP($D30,Receptury_z!$D:$AS,AK$4,0))</f>
        <v>0</v>
      </c>
      <c r="AL30" s="14">
        <f>IF($B30="OFF",CK30,VLOOKUP($D30,Receptury_z!$D:$AS,AL$4,0))</f>
        <v>216.5</v>
      </c>
      <c r="AM30" s="14">
        <f>IF($B30="OFF",CL30,VLOOKUP($D30,Receptury_z!$D:$AS,AM$4,0))</f>
        <v>0</v>
      </c>
      <c r="AN30" s="14">
        <f>IF($B30="OFF",CM30,VLOOKUP($D30,Receptury_z!$D:$AS,AN$4,0))</f>
        <v>0</v>
      </c>
      <c r="AO30" s="14">
        <f>IF($B30="OFF",CN30,VLOOKUP($D30,Receptury_z!$D:$AS,AO$4,0))</f>
        <v>0</v>
      </c>
      <c r="AP30" s="14">
        <f>IF($B30="OFF",CO30,VLOOKUP($D30,Receptury_z!$D:$AS,AP$4,0))</f>
        <v>0</v>
      </c>
      <c r="AQ30" s="14">
        <f>IF($B30="OFF",CP30,VLOOKUP($D30,Receptury_z!$D:$AS,AQ$4,0))</f>
        <v>0</v>
      </c>
      <c r="AR30" s="14">
        <f>IF($B30="OFF",CQ30,VLOOKUP($D30,Receptury_z!$D:$AS,AR$4,0))</f>
        <v>0</v>
      </c>
      <c r="AS30" s="14">
        <f>IF($B30="OFF",CR30,VLOOKUP($D30,Receptury_z!$D:$AS,AS$4,0))</f>
        <v>0</v>
      </c>
      <c r="AT30" s="14">
        <f>IF($B30="OFF",CS30,VLOOKUP($D30,Receptury_z!$D:$AV,AT$4,0))</f>
        <v>0</v>
      </c>
      <c r="AU30" s="14">
        <f>IF($B30="OFF",CT30,VLOOKUP($D30,Receptury_z!$D:$AV,AU$4,0))</f>
        <v>0</v>
      </c>
      <c r="AV30" s="14">
        <f>IF($B30="OFF",CU30,VLOOKUP($D30,Receptury_z!$D:$AV,AV$4,0))</f>
        <v>0</v>
      </c>
      <c r="AW30" s="14">
        <f>IF($B30="OFF",CV30,VLOOKUP($D30,Receptury_z!$D:$BA,AW$4,0))</f>
        <v>0</v>
      </c>
      <c r="AX30" s="14">
        <f>IF($B30="OFF",CW30,VLOOKUP($D30,Receptury_z!$D:$BA,AX$4,0))</f>
        <v>0</v>
      </c>
      <c r="AY30" s="14">
        <f>IF($B30="OFF",CX30,VLOOKUP($D30,Receptury_z!$D:$BA,AY$4,0))</f>
        <v>0</v>
      </c>
      <c r="AZ30" s="14">
        <f>IF($B30="OFF",DA30,VLOOKUP($D30,Receptury_z!$D:$BA,AZ$4,0))</f>
        <v>0</v>
      </c>
      <c r="BA30" s="14">
        <f>IF($B30="OFF",DB30,VLOOKUP($D30,Receptury_z!$D:$BA,BA$4,0))</f>
        <v>0</v>
      </c>
      <c r="BC30" s="19">
        <v>6442</v>
      </c>
      <c r="BD30" s="18" t="s">
        <v>147</v>
      </c>
      <c r="BE30" s="239">
        <v>0</v>
      </c>
      <c r="BF30" s="239">
        <v>0</v>
      </c>
      <c r="BG30" s="239">
        <v>0</v>
      </c>
      <c r="BH30" s="239">
        <v>0</v>
      </c>
      <c r="BI30" s="239">
        <v>0</v>
      </c>
      <c r="BJ30" s="239">
        <v>0</v>
      </c>
      <c r="BK30" s="239">
        <v>0</v>
      </c>
      <c r="BL30" s="239">
        <v>0</v>
      </c>
      <c r="BM30" s="239">
        <v>0</v>
      </c>
      <c r="BN30" s="239">
        <v>0</v>
      </c>
      <c r="BO30" s="239">
        <v>0</v>
      </c>
      <c r="BP30" s="239">
        <v>0</v>
      </c>
      <c r="BQ30" s="239">
        <v>0</v>
      </c>
      <c r="BR30" s="239">
        <v>0</v>
      </c>
      <c r="BS30" s="239">
        <v>505.2</v>
      </c>
      <c r="BT30" s="239">
        <v>0</v>
      </c>
      <c r="BU30" s="239">
        <v>0</v>
      </c>
      <c r="BV30" s="239">
        <v>0</v>
      </c>
      <c r="BW30" s="239">
        <v>0</v>
      </c>
      <c r="BX30" s="239">
        <v>0</v>
      </c>
      <c r="BY30" s="239">
        <v>0</v>
      </c>
      <c r="BZ30" s="239">
        <v>0</v>
      </c>
      <c r="CA30" s="239">
        <v>0</v>
      </c>
      <c r="CB30" s="239">
        <v>0</v>
      </c>
      <c r="CC30" s="239">
        <v>0</v>
      </c>
      <c r="CD30" s="239">
        <v>0</v>
      </c>
      <c r="CE30" s="239">
        <v>0</v>
      </c>
      <c r="CF30" s="239">
        <v>0</v>
      </c>
      <c r="CG30" s="239">
        <v>0</v>
      </c>
      <c r="CH30" s="239">
        <v>0</v>
      </c>
      <c r="CI30" s="239">
        <v>0</v>
      </c>
      <c r="CJ30" s="239">
        <v>0</v>
      </c>
      <c r="CK30" s="239">
        <v>216.5</v>
      </c>
      <c r="CL30" s="239">
        <v>0</v>
      </c>
      <c r="CM30" s="80"/>
      <c r="CN30" s="80"/>
      <c r="CO30" s="80"/>
      <c r="CP30" s="80"/>
      <c r="CQ30" s="80"/>
      <c r="CR30" s="80"/>
      <c r="CS30" s="80"/>
      <c r="CT30" s="80"/>
      <c r="CU30" s="80"/>
      <c r="CV30" s="80"/>
      <c r="CW30" s="80"/>
      <c r="CX30" s="80"/>
      <c r="CY30" s="80"/>
      <c r="CZ30" s="80"/>
      <c r="DB30">
        <f>IFERROR(VLOOKUP($D30,'Kalkulator mięs '!$C$5:$H$533,DB$4,0)*F30,0)</f>
        <v>0</v>
      </c>
      <c r="DC30">
        <f>IFERROR(VLOOKUP($D30,'Kalkulator mięs '!$C$5:$H$533,DC$4,0)*F30,0)</f>
        <v>0</v>
      </c>
      <c r="DD30">
        <f>IFERROR(VLOOKUP($D30,'Kalkulator mięs '!$C$5:$H$533,DD$4,0)*F30,0)</f>
        <v>0</v>
      </c>
      <c r="DE30">
        <f>IFERROR(VLOOKUP($D30,'Kalkulator mięs '!$C$5:$H$533,DE$4,0)*$G30,0)</f>
        <v>0</v>
      </c>
      <c r="DF30">
        <f>IFERROR(VLOOKUP($D30,'Kalkulator mięs '!$C$5:$H$533,DF$4,0)*$G30,0)</f>
        <v>0</v>
      </c>
      <c r="DG30">
        <f>IFERROR(VLOOKUP($D30,'Kalkulator mięs '!$C$5:$H$533,DG$4,0)*$G30,0)</f>
        <v>0</v>
      </c>
      <c r="DH30">
        <f>IFERROR(VLOOKUP($D30,'Kalkulator mięs '!$C$5:$H$533,DH$4,0)*$H30,0)</f>
        <v>0</v>
      </c>
      <c r="DI30">
        <f>IFERROR(VLOOKUP($D30,'Kalkulator mięs '!$C$5:$H$533,DI$4,0)*$H30,0)</f>
        <v>0</v>
      </c>
      <c r="DJ30">
        <f>IFERROR(VLOOKUP($D30,'Kalkulator mięs '!$C$5:$H$533,DJ$4,0)*$H30,0)</f>
        <v>0</v>
      </c>
      <c r="DK30">
        <f>IFERROR(VLOOKUP($D30,'Kalkulator mięs '!$C$5:$H$533,DK$4,0)*$I30,0)</f>
        <v>0</v>
      </c>
      <c r="DL30">
        <f>IFERROR(VLOOKUP($D30,'Kalkulator mięs '!$C$5:$H$533,DL$4,0)*$I30,0)</f>
        <v>0</v>
      </c>
      <c r="DM30">
        <f>IFERROR(VLOOKUP($D30,'Kalkulator mięs '!$C$5:$H$533,DM$4,0)*$I30,0)</f>
        <v>0</v>
      </c>
      <c r="DN30">
        <f>IFERROR(VLOOKUP($D30,'Kalkulator mięs '!$C$5:$H$533,DN$4,0)*$J30,0)</f>
        <v>0</v>
      </c>
      <c r="DO30">
        <f>IFERROR(VLOOKUP($D30,'Kalkulator mięs '!$C$5:$H$533,DO$4,0)*$J30,0)</f>
        <v>0</v>
      </c>
      <c r="DP30">
        <f>IFERROR(VLOOKUP($D30,'Kalkulator mięs '!$C$5:$H$533,DP$4,0)*$J30,0)</f>
        <v>0</v>
      </c>
      <c r="DQ30">
        <f>IFERROR(VLOOKUP($D30,'Kalkulator mięs '!$C$5:$H$533,DQ$4,0)*$K30,0)</f>
        <v>0</v>
      </c>
      <c r="DR30">
        <f>IFERROR(VLOOKUP($D30,'Kalkulator mięs '!$C$5:$H$533,DR$4,0)*$K30,0)</f>
        <v>0</v>
      </c>
      <c r="DS30">
        <f>IFERROR(VLOOKUP($D30,'Kalkulator mięs '!$C$5:$H$533,DS$4,0)*$K30,0)</f>
        <v>0</v>
      </c>
      <c r="DT30">
        <f>IFERROR(VLOOKUP($D30,'Kalkulator mięs '!$C$5:$H$533,DT$4,0)*$L30,0)</f>
        <v>0</v>
      </c>
      <c r="DU30">
        <f>IFERROR(VLOOKUP($D30,'Kalkulator mięs '!$C$5:$H$533,DU$4,0)*$L30,0)</f>
        <v>0</v>
      </c>
      <c r="DV30">
        <f>IFERROR(VLOOKUP($D30,'Kalkulator mięs '!$C$5:$H$533,DV$4,0)*$L30,0)</f>
        <v>0</v>
      </c>
      <c r="DW30">
        <f>IFERROR(VLOOKUP($D30,'Kalkulator mięs '!$C$5:$H$533,DW$4,0)*$M30,0)</f>
        <v>0</v>
      </c>
      <c r="DX30">
        <f>IFERROR(VLOOKUP($D30,'Kalkulator mięs '!$C$5:$H$533,DX$4,0)*$M30,0)</f>
        <v>0</v>
      </c>
      <c r="DY30">
        <f>IFERROR(VLOOKUP($D30,'Kalkulator mięs '!$C$5:$H$533,DY$4,0)*$M30,0)</f>
        <v>0</v>
      </c>
      <c r="DZ30">
        <f>IFERROR(VLOOKUP($D30,'Kalkulator mięs '!$C$5:$H$533,DZ$4,0)*$N30,0)</f>
        <v>0</v>
      </c>
      <c r="EA30">
        <f>IFERROR(VLOOKUP($D30,'Kalkulator mięs '!$C$5:$H$533,EA$4,0)*$N30,0)</f>
        <v>0</v>
      </c>
      <c r="EB30">
        <f>IFERROR(VLOOKUP($D30,'Kalkulator mięs '!$C$5:$H$533,EB$4,0)*$N30,0)</f>
        <v>0</v>
      </c>
      <c r="EC30">
        <f>IFERROR(VLOOKUP($D30,'Kalkulator mięs '!$C$5:$H$533,EC$4,0)*$O30,0)</f>
        <v>0</v>
      </c>
      <c r="ED30">
        <f>IFERROR(VLOOKUP($D30,'Kalkulator mięs '!$C$5:$H$533,ED$4,0)*$O30,0)</f>
        <v>0</v>
      </c>
      <c r="EE30">
        <f>IFERROR(VLOOKUP($D30,'Kalkulator mięs '!$C$5:$H$533,EE$4,0)*$O30,0)</f>
        <v>0</v>
      </c>
      <c r="EF30">
        <f>IFERROR(VLOOKUP($D30,'Kalkulator mięs '!$C$5:$H$533,EF$4,0)*$P30,0)</f>
        <v>0</v>
      </c>
      <c r="EG30">
        <f>IFERROR(VLOOKUP($D30,'Kalkulator mięs '!$C$5:$H$533,EG$4,0)*$P30,0)</f>
        <v>0</v>
      </c>
      <c r="EH30">
        <f>IFERROR(VLOOKUP($D30,'Kalkulator mięs '!$C$5:$H$533,EH$4,0)*$P30,0)</f>
        <v>0</v>
      </c>
      <c r="EI30">
        <f>IFERROR(VLOOKUP($D30,'Kalkulator mięs '!$C$5:$H$533,EI$4,0)*$Q30,0)</f>
        <v>0</v>
      </c>
      <c r="EJ30">
        <f>IFERROR(VLOOKUP($D30,'Kalkulator mięs '!$C$5:$H$533,EJ$4,0)*$Q30,0)</f>
        <v>0</v>
      </c>
      <c r="EK30">
        <f>IFERROR(VLOOKUP($D30,'Kalkulator mięs '!$C$5:$H$533,EK$4,0)*$Q30,0)</f>
        <v>0</v>
      </c>
      <c r="EL30">
        <f>IFERROR(VLOOKUP($D30,'Kalkulator mięs '!$C$5:$H$533,EL$4,0)*$R30,0)</f>
        <v>0</v>
      </c>
      <c r="EM30">
        <f>IFERROR(VLOOKUP($D30,'Kalkulator mięs '!$C$5:$H$533,EM$4,0)*$R30,0)</f>
        <v>0</v>
      </c>
      <c r="EN30">
        <f>IFERROR(VLOOKUP($D30,'Kalkulator mięs '!$C$5:$H$533,EN$4,0)*$R30,0)</f>
        <v>0</v>
      </c>
      <c r="EO30">
        <f>IFERROR(VLOOKUP($D30,'Kalkulator mięs '!$C$5:$H$533,EO$4,0)*$S30,0)</f>
        <v>0</v>
      </c>
      <c r="EP30">
        <f>IFERROR(VLOOKUP($D30,'Kalkulator mięs '!$C$5:$H$533,EP$4,0)*$S30,0)</f>
        <v>0</v>
      </c>
      <c r="EQ30">
        <f>IFERROR(VLOOKUP($D30,'Kalkulator mięs '!$C$5:$H$533,EQ$4,0)*$S30,0)</f>
        <v>0</v>
      </c>
      <c r="ER30">
        <f>IFERROR(VLOOKUP($D30,'Kalkulator mięs '!$C$5:$H$533,ER$4,0)*$T30,0)</f>
        <v>0</v>
      </c>
      <c r="ES30">
        <f>IFERROR(VLOOKUP($D30,'Kalkulator mięs '!$C$5:$H$533,ES$4,0)*$T30,0)</f>
        <v>0</v>
      </c>
      <c r="ET30">
        <f>IFERROR(VLOOKUP($D30,'Kalkulator mięs '!$C$5:$H$533,ET$4,0)*$T30,0)</f>
        <v>0</v>
      </c>
      <c r="EU30">
        <f>IFERROR(VLOOKUP($D30,'Kalkulator mięs '!$C$5:$H$533,EU$4,0)*$U30,0)</f>
        <v>0</v>
      </c>
      <c r="EV30">
        <f>IFERROR(VLOOKUP($D30,'Kalkulator mięs '!$C$5:$H$533,EV$4,0)*$U30,0)</f>
        <v>0</v>
      </c>
      <c r="EW30">
        <f>IFERROR(VLOOKUP($D30,'Kalkulator mięs '!$C$5:$H$533,EW$4,0)*$U30,0)</f>
        <v>0</v>
      </c>
      <c r="EX30">
        <f>IFERROR(VLOOKUP($D30,'Kalkulator mięs '!$C$5:$H$533,EX$4,0)*$V30,0)</f>
        <v>0</v>
      </c>
      <c r="EY30">
        <f>IFERROR(VLOOKUP($D30,'Kalkulator mięs '!$C$5:$H$533,EY$4,0)*$V30,0)</f>
        <v>0</v>
      </c>
      <c r="EZ30">
        <f>IFERROR(VLOOKUP($D30,'Kalkulator mięs '!$C$5:$H$533,EZ$4,0)*$V30,0)</f>
        <v>0</v>
      </c>
      <c r="FA30">
        <f>IFERROR(VLOOKUP($D30,'Kalkulator mięs '!$C$5:$H$533,FA$4,0)*$W30,0)</f>
        <v>0</v>
      </c>
      <c r="FB30">
        <f>IFERROR(VLOOKUP($D30,'Kalkulator mięs '!$C$5:$H$533,FB$4,0)*$W30,0)</f>
        <v>0</v>
      </c>
      <c r="FC30">
        <f>IFERROR(VLOOKUP($D30,'Kalkulator mięs '!$C$5:$H$533,FC$4,0)*$W30,0)</f>
        <v>0</v>
      </c>
      <c r="FD30">
        <f>IFERROR(VLOOKUP($D30,'Kalkulator mięs '!$C$5:$H$533,FD$4,0)*$X30,0)</f>
        <v>0</v>
      </c>
      <c r="FE30">
        <f>IFERROR(VLOOKUP($D30,'Kalkulator mięs '!$C$5:$H$533,FE$4,0)*$X30,0)</f>
        <v>0</v>
      </c>
      <c r="FF30">
        <f>IFERROR(VLOOKUP($D30,'Kalkulator mięs '!$C$5:$H$533,FF$4,0)*$X30,0)</f>
        <v>0</v>
      </c>
      <c r="FG30">
        <f>IFERROR(VLOOKUP($D30,'Kalkulator mięs '!$C$5:$H$533,FG$4,0)*$Y30,0)</f>
        <v>0</v>
      </c>
      <c r="FH30">
        <f>IFERROR(VLOOKUP($D30,'Kalkulator mięs '!$C$5:$H$533,FH$4,0)*$Y30,0)</f>
        <v>0</v>
      </c>
      <c r="FI30">
        <f>IFERROR(VLOOKUP($D30,'Kalkulator mięs '!$C$5:$H$533,FI$4,0)*$Y30,0)</f>
        <v>0</v>
      </c>
      <c r="FJ30">
        <f>IFERROR(VLOOKUP($D30,'Kalkulator mięs '!$C$5:$H$533,FJ$4,0)*$Z30,0)</f>
        <v>0</v>
      </c>
      <c r="FK30">
        <f>IFERROR(VLOOKUP($D30,'Kalkulator mięs '!$C$5:$H$533,FK$4,0)*$Z30,0)</f>
        <v>0</v>
      </c>
      <c r="FL30">
        <f>IFERROR(VLOOKUP($D30,'Kalkulator mięs '!$C$5:$H$533,FL$4,0)*$Z30,0)</f>
        <v>0</v>
      </c>
      <c r="FM30">
        <f>IFERROR(VLOOKUP($D30,'Kalkulator mięs '!$C$5:$H$533,FM$4,0)*$AA30,0)</f>
        <v>0</v>
      </c>
      <c r="FN30">
        <f>IFERROR(VLOOKUP($D30,'Kalkulator mięs '!$C$5:$H$533,FN$4,0)*$AA30,0)</f>
        <v>0</v>
      </c>
      <c r="FO30">
        <f>IFERROR(VLOOKUP($D30,'Kalkulator mięs '!$C$5:$H$533,FO$4,0)*$AA30,0)</f>
        <v>0</v>
      </c>
      <c r="FP30">
        <f>IFERROR(VLOOKUP($D30,'Kalkulator mięs '!$C$5:$H$533,FP$4,0)*$AB30,0)</f>
        <v>0</v>
      </c>
      <c r="FQ30">
        <f>IFERROR(VLOOKUP($D30,'Kalkulator mięs '!$C$5:$H$533,FQ$4,0)*$AB30,0)</f>
        <v>0</v>
      </c>
      <c r="FR30">
        <f>IFERROR(VLOOKUP($D30,'Kalkulator mięs '!$C$5:$H$533,FR$4,0)*$AB30,0)</f>
        <v>0</v>
      </c>
      <c r="FS30">
        <f>IFERROR(VLOOKUP($D30,'Kalkulator mięs '!$C$5:$H$533,FS$4,0)*$AC30,0)</f>
        <v>0</v>
      </c>
      <c r="FT30">
        <f>IFERROR(VLOOKUP($D30,'Kalkulator mięs '!$C$5:$H$533,FT$4,0)*$AC30,0)</f>
        <v>0</v>
      </c>
      <c r="FU30">
        <f>IFERROR(VLOOKUP($D30,'Kalkulator mięs '!$C$5:$H$533,FU$4,0)*$AC30,0)</f>
        <v>0</v>
      </c>
      <c r="FV30">
        <f>IFERROR(VLOOKUP($D30,'Kalkulator mięs '!$C$5:$H$533,FV$4,0)*$AD30,0)</f>
        <v>0</v>
      </c>
      <c r="FW30">
        <f>IFERROR(VLOOKUP($D30,'Kalkulator mięs '!$C$5:$H$533,FW$4,0)*$AD30,0)</f>
        <v>0</v>
      </c>
      <c r="FX30">
        <f>IFERROR(VLOOKUP($D30,'Kalkulator mięs '!$C$5:$H$533,FX$4,0)*$AD30,0)</f>
        <v>0</v>
      </c>
      <c r="FY30">
        <f>IFERROR(VLOOKUP($D30,'Kalkulator mięs '!$C$5:$H$533,FY$4,0)*$AE30,0)</f>
        <v>0</v>
      </c>
      <c r="FZ30">
        <f>IFERROR(VLOOKUP($D30,'Kalkulator mięs '!$C$5:$H$533,FZ$4,0)*$AE30,0)</f>
        <v>0</v>
      </c>
      <c r="GA30">
        <f>IFERROR(VLOOKUP($D30,'Kalkulator mięs '!$C$5:$H$533,GA$4,0)*$AE30,0)</f>
        <v>0</v>
      </c>
      <c r="GB30">
        <f>IFERROR(VLOOKUP($D30,'Kalkulator mięs '!$C$5:$H$533,GB$4,0)*$AF30,0)</f>
        <v>0</v>
      </c>
      <c r="GC30">
        <f>IFERROR(VLOOKUP($D30,'Kalkulator mięs '!$C$5:$H$533,GC$4,0)*$AF30,0)</f>
        <v>0</v>
      </c>
      <c r="GD30">
        <f>IFERROR(VLOOKUP($D30,'Kalkulator mięs '!$C$5:$H$533,GD$4,0)*$AF30,0)</f>
        <v>0</v>
      </c>
      <c r="GE30">
        <f>IFERROR(VLOOKUP($D30,'Kalkulator mięs '!$C$5:$H$533,GE$4,0)*$AG30,0)</f>
        <v>0</v>
      </c>
      <c r="GF30">
        <f>IFERROR(VLOOKUP($D30,'Kalkulator mięs '!$C$5:$H$533,GF$4,0)*$AG30,0)</f>
        <v>0</v>
      </c>
      <c r="GG30">
        <f>IFERROR(VLOOKUP($D30,'Kalkulator mięs '!$C$5:$H$533,GG$4,0)*$AG30,0)</f>
        <v>0</v>
      </c>
      <c r="GH30">
        <f>IFERROR(VLOOKUP($D30,'Kalkulator mięs '!$C$5:$H$533,GH$4,0)*$AH30,0)</f>
        <v>0</v>
      </c>
      <c r="GI30">
        <f>IFERROR(VLOOKUP($D30,'Kalkulator mięs '!$C$5:$H$533,GI$4,0)*$AH30,0)</f>
        <v>0</v>
      </c>
      <c r="GJ30">
        <f>IFERROR(VLOOKUP($D30,'Kalkulator mięs '!$C$5:$H$533,GJ$4,0)*$AH30,0)</f>
        <v>0</v>
      </c>
      <c r="GK30">
        <f>IFERROR(VLOOKUP($D30,'Kalkulator mięs '!$C$5:$H$533,GK$4,0)*$AI30,0)</f>
        <v>0</v>
      </c>
      <c r="GL30">
        <f>IFERROR(VLOOKUP($D30,'Kalkulator mięs '!$C$5:$H$533,GL$4,0)*$AI30,0)</f>
        <v>0</v>
      </c>
      <c r="GM30">
        <f>IFERROR(VLOOKUP($D30,'Kalkulator mięs '!$C$5:$H$533,GM$4,0)*$AI30,0)</f>
        <v>0</v>
      </c>
      <c r="GN30">
        <f>IFERROR(VLOOKUP($D30,'Kalkulator mięs '!$C$5:$H$533,GN$4,0)*$AJ30,0)</f>
        <v>0</v>
      </c>
      <c r="GO30">
        <f>IFERROR(VLOOKUP($D30,'Kalkulator mięs '!$C$5:$H$533,GO$4,0)*$AJ30,0)</f>
        <v>0</v>
      </c>
      <c r="GP30">
        <f>IFERROR(VLOOKUP($D30,'Kalkulator mięs '!$C$5:$H$533,GP$4,0)*$AJ30,0)</f>
        <v>0</v>
      </c>
      <c r="GQ30">
        <f>IFERROR(VLOOKUP($D30,'Kalkulator mięs '!$C$5:$H$533,GQ$4,0)*$AK30,0)</f>
        <v>0</v>
      </c>
      <c r="GR30">
        <f>IFERROR(VLOOKUP($D30,'Kalkulator mięs '!$C$5:$H$533,GR$4,0)*$AK30,0)</f>
        <v>0</v>
      </c>
      <c r="GS30">
        <f>IFERROR(VLOOKUP($D30,'Kalkulator mięs '!$C$5:$H$533,GS$4,0)*$AK30,0)</f>
        <v>0</v>
      </c>
      <c r="GT30">
        <f>IFERROR(VLOOKUP($D30,'Kalkulator mięs '!$C$5:$H$533,GT$4,0)*$AL30,0)</f>
        <v>0</v>
      </c>
      <c r="GU30">
        <f>IFERROR(VLOOKUP($D30,'Kalkulator mięs '!$C$5:$H$533,GU$4,0)*$AL30,0)</f>
        <v>0</v>
      </c>
      <c r="GV30">
        <f>IFERROR(VLOOKUP($D30,'Kalkulator mięs '!$C$5:$H$533,GV$4,0)*$AL30,0)</f>
        <v>0</v>
      </c>
      <c r="GW30">
        <f>IFERROR(VLOOKUP($D30,'Kalkulator mięs '!$C$5:$H$533,GW$4,0)*$AM30,0)</f>
        <v>0</v>
      </c>
      <c r="GX30">
        <f>IFERROR(VLOOKUP($D30,'Kalkulator mięs '!$C$5:$H$533,GX$4,0)*$AM30,0)</f>
        <v>0</v>
      </c>
      <c r="GY30">
        <f>IFERROR(VLOOKUP($D30,'Kalkulator mięs '!$C$5:$H$533,GY$4,0)*$AM30,0)</f>
        <v>0</v>
      </c>
      <c r="GZ30">
        <f>IFERROR(VLOOKUP($D30,'Kalkulator mięs '!$C$5:$H$533,GZ$4,0)*$AN30,0)</f>
        <v>0</v>
      </c>
      <c r="HA30">
        <f>IFERROR(VLOOKUP($D30,'Kalkulator mięs '!$C$5:$H$533,HA$4,0)*$AN30,0)</f>
        <v>0</v>
      </c>
      <c r="HB30">
        <f>IFERROR(VLOOKUP($D30,'Kalkulator mięs '!$C$5:$H$533,HB$4,0)*$AN30,0)</f>
        <v>0</v>
      </c>
      <c r="HC30">
        <f>IFERROR(VLOOKUP($D30,'Kalkulator mięs '!$C$5:$H$533,HC$4,0)*$AO30,0)</f>
        <v>0</v>
      </c>
      <c r="HD30">
        <f>IFERROR(VLOOKUP($D30,'Kalkulator mięs '!$C$5:$H$533,HD$4,0)*$AO30,0)</f>
        <v>0</v>
      </c>
      <c r="HE30">
        <f>IFERROR(VLOOKUP($D30,'Kalkulator mięs '!$C$5:$H$533,HE$4,0)*$AO30,0)</f>
        <v>0</v>
      </c>
      <c r="HF30">
        <f>IFERROR(VLOOKUP($D30,'Kalkulator mięs '!$C$5:$H$533,HF$4,0)*$AP30,0)</f>
        <v>0</v>
      </c>
      <c r="HG30">
        <f>IFERROR(VLOOKUP($D30,'Kalkulator mięs '!$C$5:$H$533,HG$4,0)*$AP30,0)</f>
        <v>0</v>
      </c>
      <c r="HH30">
        <f>IFERROR(VLOOKUP($D30,'Kalkulator mięs '!$C$5:$H$533,HH$4,0)*$AP30,0)</f>
        <v>0</v>
      </c>
      <c r="HI30">
        <f>IFERROR(VLOOKUP($D30,'Kalkulator mięs '!$C$5:$H$533,HI$4,0)*$AQ30,0)</f>
        <v>0</v>
      </c>
      <c r="HJ30">
        <f>IFERROR(VLOOKUP($D30,'Kalkulator mięs '!$C$5:$H$533,HJ$4,0)*$AQ30,0)</f>
        <v>0</v>
      </c>
      <c r="HK30">
        <f>IFERROR(VLOOKUP($D30,'Kalkulator mięs '!$C$5:$H$533,HK$4,0)*$AQ30,0)</f>
        <v>0</v>
      </c>
      <c r="HL30">
        <f>IFERROR(VLOOKUP($D30,'Kalkulator mięs '!$C$5:$H$533,HL$4,0)*$AR30,0)</f>
        <v>0</v>
      </c>
      <c r="HM30">
        <f>IFERROR(VLOOKUP($D30,'Kalkulator mięs '!$C$5:$H$533,HM$4,0)*$AR30,0)</f>
        <v>0</v>
      </c>
      <c r="HN30">
        <f>IFERROR(VLOOKUP($D30,'Kalkulator mięs '!$C$5:$H$533,HN$4,0)*$AR30,0)</f>
        <v>0</v>
      </c>
      <c r="HO30">
        <f>IFERROR(VLOOKUP($D30,'Kalkulator mięs '!$C$5:$H$533,HO$4,0)*$AS30,0)</f>
        <v>0</v>
      </c>
      <c r="HP30">
        <f>IFERROR(VLOOKUP($D30,'Kalkulator mięs '!$C$5:$H$533,HP$4,0)*$AS30,0)</f>
        <v>0</v>
      </c>
      <c r="HQ30">
        <f>IFERROR(VLOOKUP($D30,'Kalkulator mięs '!$C$5:$H$533,HQ$4,0)*$AS30,0)</f>
        <v>0</v>
      </c>
      <c r="HR30">
        <f>IFERROR(VLOOKUP($D30,'Kalkulator mięs '!$C$5:$H$533,HR$4,0)*$AT30,0)</f>
        <v>0</v>
      </c>
      <c r="HS30">
        <f>IFERROR(VLOOKUP($D30,'Kalkulator mięs '!$C$5:$H$533,HS$4,0)*$AT30,0)</f>
        <v>0</v>
      </c>
      <c r="HT30">
        <f>IFERROR(VLOOKUP($D30,'Kalkulator mięs '!$C$5:$H$533,HT$4,0)*$AT30,0)</f>
        <v>0</v>
      </c>
      <c r="HU30">
        <f>IFERROR(VLOOKUP($D30,'Kalkulator mięs '!$C$5:$H$533,HU$4,0)*$AU30,0)</f>
        <v>0</v>
      </c>
      <c r="HV30">
        <f>IFERROR(VLOOKUP($D30,'Kalkulator mięs '!$C$5:$H$533,HV$4,0)*$AU30,0)</f>
        <v>0</v>
      </c>
      <c r="HW30">
        <f>IFERROR(VLOOKUP($D30,'Kalkulator mięs '!$C$5:$H$533,HW$4,0)*$AU30,0)</f>
        <v>0</v>
      </c>
      <c r="HX30">
        <f>IFERROR(VLOOKUP($D30,'Kalkulator mięs '!$C$5:$H$533,HX$4,0)*$AV30,0)</f>
        <v>0</v>
      </c>
      <c r="HY30">
        <f>IFERROR(VLOOKUP($D30,'Kalkulator mięs '!$C$5:$H$533,HY$4,0)*$AV30,0)</f>
        <v>0</v>
      </c>
      <c r="HZ30">
        <f>IFERROR(VLOOKUP($D30,'Kalkulator mięs '!$C$5:$H$533,HZ$4,0)*$AV30,0)</f>
        <v>0</v>
      </c>
      <c r="IA30">
        <f>IFERROR(VLOOKUP($D30,'Kalkulator mięs '!$C$5:$H$533,IA$4,0)*$AW30,0)</f>
        <v>0</v>
      </c>
      <c r="IB30">
        <f>IFERROR(VLOOKUP($D30,'Kalkulator mięs '!$C$5:$H$533,IB$4,0)*$AW30,0)</f>
        <v>0</v>
      </c>
      <c r="IC30">
        <f>IFERROR(VLOOKUP($D30,'Kalkulator mięs '!$C$5:$H$533,IC$4,0)*$AW30,0)</f>
        <v>0</v>
      </c>
      <c r="ID30">
        <f>IFERROR(VLOOKUP($D30,'Kalkulator mięs '!$C$5:$H$533,ID$4,0)*$AX30,0)</f>
        <v>0</v>
      </c>
      <c r="IE30">
        <f>IFERROR(VLOOKUP($D30,'Kalkulator mięs '!$C$5:$H$533,IE$4,0)*$AX30,0)</f>
        <v>0</v>
      </c>
      <c r="IF30">
        <f>IFERROR(VLOOKUP($D30,'Kalkulator mięs '!$C$5:$H$533,IF$4,0)*$AX30,0)</f>
        <v>0</v>
      </c>
      <c r="IG30">
        <f>IFERROR(VLOOKUP($D30,'Kalkulator mięs '!$C$5:$H$533,IG$4,0)*$AY30,0)</f>
        <v>0</v>
      </c>
      <c r="IH30">
        <f>IFERROR(VLOOKUP($D30,'Kalkulator mięs '!$C$5:$H$533,IH$4,0)*$AY30,0)</f>
        <v>0</v>
      </c>
      <c r="II30">
        <f>IFERROR(VLOOKUP($D30,'Kalkulator mięs '!$C$5:$H$533,II$4,0)*$AY30,0)</f>
        <v>0</v>
      </c>
      <c r="IJ30">
        <f>IFERROR(VLOOKUP($D30,'Kalkulator mięs '!$C$5:$H$533,IJ$4,0)*$AZ30,0)</f>
        <v>0</v>
      </c>
      <c r="IK30">
        <f>IFERROR(VLOOKUP($D30,'Kalkulator mięs '!$C$5:$H$533,IK$4,0)*$AZ30,0)</f>
        <v>0</v>
      </c>
      <c r="IL30">
        <f>IFERROR(VLOOKUP($D30,'Kalkulator mięs '!$C$5:$H$533,IL$4,0)*$AZ30,0)</f>
        <v>0</v>
      </c>
      <c r="IM30">
        <f>IFERROR(VLOOKUP($D30,'Kalkulator mięs '!$C$5:$H$533,IM$4,0)*$BA30,0)</f>
        <v>0</v>
      </c>
      <c r="IN30">
        <f>IFERROR(VLOOKUP($D30,'Kalkulator mięs '!$C$5:$H$533,IN$4,0)*$BA30,0)</f>
        <v>0</v>
      </c>
      <c r="IO30">
        <f>IFERROR(VLOOKUP($D30,'Kalkulator mięs '!$C$5:$H$533,IO$4,0)*$BA30,0)</f>
        <v>0</v>
      </c>
    </row>
    <row r="31" spans="1:249" ht="15.75">
      <c r="A31" s="91"/>
      <c r="B31" t="str">
        <f>VLOOKUP(D31,Receptury_z!$A:$B,2,0)</f>
        <v>ON</v>
      </c>
      <c r="C31" s="16">
        <v>5555</v>
      </c>
      <c r="D31" s="19">
        <v>6460</v>
      </c>
      <c r="E31" s="18" t="s">
        <v>148</v>
      </c>
      <c r="F31" s="14">
        <f>IF($B31="OFF",BE31,VLOOKUP($D31,Receptury_z!$D:$AI,F$4,0))</f>
        <v>0</v>
      </c>
      <c r="G31" s="14">
        <f>IF($B31="OFF",BF31,VLOOKUP($D31,Receptury_z!$D:$AI,G$4,0))</f>
        <v>0</v>
      </c>
      <c r="H31" s="14">
        <f>IF($B31="OFF",BG31,VLOOKUP($D31,Receptury_z!$D:$AI,H$4,0))</f>
        <v>0</v>
      </c>
      <c r="I31" s="14">
        <f>IF($B31="OFF",BH31,VLOOKUP($D31,Receptury_z!$D:$AI,I$4,0))</f>
        <v>0</v>
      </c>
      <c r="J31" s="14">
        <f>IF($B31="OFF",BI31,VLOOKUP($D31,Receptury_z!$D:$AI,J$4,0))</f>
        <v>0</v>
      </c>
      <c r="K31" s="14">
        <f>IF($B31="OFF",BJ31,VLOOKUP($D31,Receptury_z!$D:$AI,K$4,0))</f>
        <v>0</v>
      </c>
      <c r="L31" s="14">
        <f>IF($B31="OFF",BK31,VLOOKUP($D31,Receptury_z!$D:$AI,L$4,0))</f>
        <v>0</v>
      </c>
      <c r="M31" s="14">
        <f>IF($B31="OFF",BL31,VLOOKUP($D31,Receptury_z!$D:$AI,M$4,0))</f>
        <v>0</v>
      </c>
      <c r="N31" s="14">
        <f>IF($B31="OFF",BM31,VLOOKUP($D31,Receptury_z!$D:$AI,N$4,0))</f>
        <v>0</v>
      </c>
      <c r="O31" s="14">
        <f>IF($B31="OFF",BN31,VLOOKUP($D31,Receptury_z!$D:$AI,O$4,0))</f>
        <v>0</v>
      </c>
      <c r="P31" s="14">
        <f>IF($B31="OFF",BO31,VLOOKUP($D31,Receptury_z!$D:$AI,P$4,0))</f>
        <v>0</v>
      </c>
      <c r="Q31" s="14">
        <f>IF($B31="OFF",BP31,VLOOKUP($D31,Receptury_z!$D:$AI,Q$4,0))</f>
        <v>0</v>
      </c>
      <c r="R31" s="14">
        <f>IF($B31="OFF",BQ31,VLOOKUP($D31,Receptury_z!$D:$AI,R$4,0))</f>
        <v>0</v>
      </c>
      <c r="S31" s="14">
        <f>IF($B31="OFF",BR31,VLOOKUP($D31,Receptury_z!$D:$AI,S$4,0))</f>
        <v>0</v>
      </c>
      <c r="T31" s="14">
        <f>IF($B31="OFF",BS31,VLOOKUP($D31,Receptury_z!$D:$AI,T$4,0))</f>
        <v>389.9</v>
      </c>
      <c r="U31" s="14">
        <f>IF($B31="OFF",BT31,VLOOKUP($D31,Receptury_z!$D:$AI,U$4,0))</f>
        <v>288.8</v>
      </c>
      <c r="V31" s="14">
        <f>IF($B31="OFF",BU31,VLOOKUP($D31,Receptury_z!$D:$AI,V$4,0))</f>
        <v>0</v>
      </c>
      <c r="W31" s="14">
        <f>IF($B31="OFF",BV31,VLOOKUP($D31,Receptury_z!$D:$AI,W$4,0))</f>
        <v>0</v>
      </c>
      <c r="X31" s="14">
        <f>IF($B31="OFF",BW31,VLOOKUP($D31,Receptury_z!$D:$AI,X$4,0))</f>
        <v>0</v>
      </c>
      <c r="Y31" s="14">
        <f>IF($B31="OFF",BX31,VLOOKUP($D31,Receptury_z!$D:$AI,Y$4,0))</f>
        <v>0</v>
      </c>
      <c r="Z31" s="14">
        <f>IF($B31="OFF",BY31,VLOOKUP($D31,Receptury_z!$D:$AI,Z$4,0))</f>
        <v>0</v>
      </c>
      <c r="AA31" s="14">
        <f>IF($B31="OFF",BZ31,VLOOKUP($D31,Receptury_z!$D:$AI,AA$4,0))</f>
        <v>0</v>
      </c>
      <c r="AB31" s="14">
        <f>IF($B31="OFF",CA31,VLOOKUP($D31,Receptury_z!$D:$AI,AB$4,0))</f>
        <v>43.3</v>
      </c>
      <c r="AC31" s="14">
        <f>IF($B31="OFF",CB31,VLOOKUP($D31,Receptury_z!$D:$AI,AC$4,0))</f>
        <v>0</v>
      </c>
      <c r="AD31" s="14">
        <f>IF($B31="OFF",CC31,VLOOKUP($D31,Receptury_z!$D:$AI,AD$4,0))</f>
        <v>0</v>
      </c>
      <c r="AE31" s="14">
        <f>IF($B31="OFF",CD31,VLOOKUP($D31,Receptury_z!$D:$AI,AE$4,0))</f>
        <v>0</v>
      </c>
      <c r="AF31" s="14">
        <f>IF($B31="OFF",CE31,VLOOKUP($D31,Receptury_z!$D:$AI,AF$4,0))</f>
        <v>0</v>
      </c>
      <c r="AG31" s="14">
        <f>IF($B31="OFF",CF31,VLOOKUP($D31,Receptury_z!$D:$AI,AG$4,0))</f>
        <v>0</v>
      </c>
      <c r="AH31" s="14">
        <f>IF($B31="OFF",CG31,VLOOKUP($D31,Receptury_z!$D:$AI,AH$4,0))</f>
        <v>0</v>
      </c>
      <c r="AI31" s="14">
        <f>IF($B31="OFF",CH31,VLOOKUP($D31,Receptury_z!$D:$AI,AI$4,0))</f>
        <v>0</v>
      </c>
      <c r="AJ31" s="14">
        <f>IF($B31="OFF",CI31,VLOOKUP($D31,Receptury_z!$D:$AS,AJ$4,0))</f>
        <v>0</v>
      </c>
      <c r="AK31" s="14">
        <f>IF($B31="OFF",CJ31,VLOOKUP($D31,Receptury_z!$D:$AS,AK$4,0))</f>
        <v>0</v>
      </c>
      <c r="AL31" s="14">
        <f>IF($B31="OFF",CK31,VLOOKUP($D31,Receptury_z!$D:$AS,AL$4,0))</f>
        <v>0</v>
      </c>
      <c r="AM31" s="14">
        <f>IF($B31="OFF",CL31,VLOOKUP($D31,Receptury_z!$D:$AS,AM$4,0))</f>
        <v>0</v>
      </c>
      <c r="AN31" s="14">
        <f>IF($B31="OFF",CM31,VLOOKUP($D31,Receptury_z!$D:$AS,AN$4,0))</f>
        <v>0</v>
      </c>
      <c r="AO31" s="14">
        <f>IF($B31="OFF",CN31,VLOOKUP($D31,Receptury_z!$D:$AS,AO$4,0))</f>
        <v>0</v>
      </c>
      <c r="AP31" s="14">
        <f>IF($B31="OFF",CO31,VLOOKUP($D31,Receptury_z!$D:$AS,AP$4,0))</f>
        <v>0</v>
      </c>
      <c r="AQ31" s="14">
        <f>IF($B31="OFF",CP31,VLOOKUP($D31,Receptury_z!$D:$AS,AQ$4,0))</f>
        <v>0</v>
      </c>
      <c r="AR31" s="14">
        <f>IF($B31="OFF",CQ31,VLOOKUP($D31,Receptury_z!$D:$AS,AR$4,0))</f>
        <v>0</v>
      </c>
      <c r="AS31" s="14">
        <f>IF($B31="OFF",CR31,VLOOKUP($D31,Receptury_z!$D:$AS,AS$4,0))</f>
        <v>0</v>
      </c>
      <c r="AT31" s="14">
        <f>IF($B31="OFF",CS31,VLOOKUP($D31,Receptury_z!$D:$AV,AT$4,0))</f>
        <v>0</v>
      </c>
      <c r="AU31" s="14">
        <f>IF($B31="OFF",CT31,VLOOKUP($D31,Receptury_z!$D:$AV,AU$4,0))</f>
        <v>0</v>
      </c>
      <c r="AV31" s="14">
        <f>IF($B31="OFF",CU31,VLOOKUP($D31,Receptury_z!$D:$AV,AV$4,0))</f>
        <v>0</v>
      </c>
      <c r="AW31" s="14">
        <f>IF($B31="OFF",CV31,VLOOKUP($D31,Receptury_z!$D:$BA,AW$4,0))</f>
        <v>0</v>
      </c>
      <c r="AX31" s="14">
        <f>IF($B31="OFF",CW31,VLOOKUP($D31,Receptury_z!$D:$BA,AX$4,0))</f>
        <v>0</v>
      </c>
      <c r="AY31" s="14">
        <f>IF($B31="OFF",CX31,VLOOKUP($D31,Receptury_z!$D:$BA,AY$4,0))</f>
        <v>0</v>
      </c>
      <c r="AZ31" s="14">
        <f>IF($B31="OFF",DA31,VLOOKUP($D31,Receptury_z!$D:$BA,AZ$4,0))</f>
        <v>0</v>
      </c>
      <c r="BA31" s="14">
        <f>IF($B31="OFF",DB31,VLOOKUP($D31,Receptury_z!$D:$BA,BA$4,0))</f>
        <v>0</v>
      </c>
      <c r="BC31" s="19">
        <v>6460</v>
      </c>
      <c r="BD31" s="18" t="s">
        <v>148</v>
      </c>
      <c r="BE31" s="239">
        <v>0</v>
      </c>
      <c r="BF31" s="239">
        <v>0</v>
      </c>
      <c r="BG31" s="239">
        <v>0</v>
      </c>
      <c r="BH31" s="239">
        <v>0</v>
      </c>
      <c r="BI31" s="239">
        <v>0</v>
      </c>
      <c r="BJ31" s="239">
        <v>0</v>
      </c>
      <c r="BK31" s="239">
        <v>0</v>
      </c>
      <c r="BL31" s="239">
        <v>0</v>
      </c>
      <c r="BM31" s="239">
        <v>0</v>
      </c>
      <c r="BN31" s="239">
        <v>0</v>
      </c>
      <c r="BO31" s="239">
        <v>0</v>
      </c>
      <c r="BP31" s="239">
        <v>0</v>
      </c>
      <c r="BQ31" s="239">
        <v>0</v>
      </c>
      <c r="BR31" s="239">
        <v>0</v>
      </c>
      <c r="BS31" s="239">
        <v>389.9</v>
      </c>
      <c r="BT31" s="239">
        <v>288.8</v>
      </c>
      <c r="BU31" s="239">
        <v>0</v>
      </c>
      <c r="BV31" s="239">
        <v>0</v>
      </c>
      <c r="BW31" s="239">
        <v>0</v>
      </c>
      <c r="BX31" s="239">
        <v>0</v>
      </c>
      <c r="BY31" s="239">
        <v>0</v>
      </c>
      <c r="BZ31" s="239">
        <v>0</v>
      </c>
      <c r="CA31" s="239">
        <v>43.3</v>
      </c>
      <c r="CB31" s="239">
        <v>0</v>
      </c>
      <c r="CC31" s="239">
        <v>0</v>
      </c>
      <c r="CD31" s="239">
        <v>0</v>
      </c>
      <c r="CE31" s="239">
        <v>0</v>
      </c>
      <c r="CF31" s="239">
        <v>0</v>
      </c>
      <c r="CG31" s="239">
        <v>0</v>
      </c>
      <c r="CH31" s="239">
        <v>0</v>
      </c>
      <c r="CI31" s="239">
        <v>0</v>
      </c>
      <c r="CJ31" s="239">
        <v>0</v>
      </c>
      <c r="CK31" s="239">
        <v>0</v>
      </c>
      <c r="CL31" s="239">
        <v>0</v>
      </c>
      <c r="CM31" s="80"/>
      <c r="CN31" s="80"/>
      <c r="CO31" s="80"/>
      <c r="CP31" s="80"/>
      <c r="CQ31" s="80"/>
      <c r="CR31" s="80"/>
      <c r="CS31" s="80"/>
      <c r="CT31" s="80"/>
      <c r="CU31" s="80"/>
      <c r="CV31" s="80"/>
      <c r="CW31" s="80"/>
      <c r="CX31" s="80"/>
      <c r="CY31" s="80"/>
      <c r="CZ31" s="80"/>
      <c r="DB31">
        <f>IFERROR(VLOOKUP($D31,'Kalkulator mięs '!$C$5:$H$533,DB$4,0)*F31,0)</f>
        <v>0</v>
      </c>
      <c r="DC31">
        <f>IFERROR(VLOOKUP($D31,'Kalkulator mięs '!$C$5:$H$533,DC$4,0)*F31,0)</f>
        <v>0</v>
      </c>
      <c r="DD31">
        <f>IFERROR(VLOOKUP($D31,'Kalkulator mięs '!$C$5:$H$533,DD$4,0)*F31,0)</f>
        <v>0</v>
      </c>
      <c r="DE31">
        <f>IFERROR(VLOOKUP($D31,'Kalkulator mięs '!$C$5:$H$533,DE$4,0)*$G31,0)</f>
        <v>0</v>
      </c>
      <c r="DF31">
        <f>IFERROR(VLOOKUP($D31,'Kalkulator mięs '!$C$5:$H$533,DF$4,0)*$G31,0)</f>
        <v>0</v>
      </c>
      <c r="DG31">
        <f>IFERROR(VLOOKUP($D31,'Kalkulator mięs '!$C$5:$H$533,DG$4,0)*$G31,0)</f>
        <v>0</v>
      </c>
      <c r="DH31">
        <f>IFERROR(VLOOKUP($D31,'Kalkulator mięs '!$C$5:$H$533,DH$4,0)*$H31,0)</f>
        <v>0</v>
      </c>
      <c r="DI31">
        <f>IFERROR(VLOOKUP($D31,'Kalkulator mięs '!$C$5:$H$533,DI$4,0)*$H31,0)</f>
        <v>0</v>
      </c>
      <c r="DJ31">
        <f>IFERROR(VLOOKUP($D31,'Kalkulator mięs '!$C$5:$H$533,DJ$4,0)*$H31,0)</f>
        <v>0</v>
      </c>
      <c r="DK31">
        <f>IFERROR(VLOOKUP($D31,'Kalkulator mięs '!$C$5:$H$533,DK$4,0)*$I31,0)</f>
        <v>0</v>
      </c>
      <c r="DL31">
        <f>IFERROR(VLOOKUP($D31,'Kalkulator mięs '!$C$5:$H$533,DL$4,0)*$I31,0)</f>
        <v>0</v>
      </c>
      <c r="DM31">
        <f>IFERROR(VLOOKUP($D31,'Kalkulator mięs '!$C$5:$H$533,DM$4,0)*$I31,0)</f>
        <v>0</v>
      </c>
      <c r="DN31">
        <f>IFERROR(VLOOKUP($D31,'Kalkulator mięs '!$C$5:$H$533,DN$4,0)*$J31,0)</f>
        <v>0</v>
      </c>
      <c r="DO31">
        <f>IFERROR(VLOOKUP($D31,'Kalkulator mięs '!$C$5:$H$533,DO$4,0)*$J31,0)</f>
        <v>0</v>
      </c>
      <c r="DP31">
        <f>IFERROR(VLOOKUP($D31,'Kalkulator mięs '!$C$5:$H$533,DP$4,0)*$J31,0)</f>
        <v>0</v>
      </c>
      <c r="DQ31">
        <f>IFERROR(VLOOKUP($D31,'Kalkulator mięs '!$C$5:$H$533,DQ$4,0)*$K31,0)</f>
        <v>0</v>
      </c>
      <c r="DR31">
        <f>IFERROR(VLOOKUP($D31,'Kalkulator mięs '!$C$5:$H$533,DR$4,0)*$K31,0)</f>
        <v>0</v>
      </c>
      <c r="DS31">
        <f>IFERROR(VLOOKUP($D31,'Kalkulator mięs '!$C$5:$H$533,DS$4,0)*$K31,0)</f>
        <v>0</v>
      </c>
      <c r="DT31">
        <f>IFERROR(VLOOKUP($D31,'Kalkulator mięs '!$C$5:$H$533,DT$4,0)*$L31,0)</f>
        <v>0</v>
      </c>
      <c r="DU31">
        <f>IFERROR(VLOOKUP($D31,'Kalkulator mięs '!$C$5:$H$533,DU$4,0)*$L31,0)</f>
        <v>0</v>
      </c>
      <c r="DV31">
        <f>IFERROR(VLOOKUP($D31,'Kalkulator mięs '!$C$5:$H$533,DV$4,0)*$L31,0)</f>
        <v>0</v>
      </c>
      <c r="DW31">
        <f>IFERROR(VLOOKUP($D31,'Kalkulator mięs '!$C$5:$H$533,DW$4,0)*$M31,0)</f>
        <v>0</v>
      </c>
      <c r="DX31">
        <f>IFERROR(VLOOKUP($D31,'Kalkulator mięs '!$C$5:$H$533,DX$4,0)*$M31,0)</f>
        <v>0</v>
      </c>
      <c r="DY31">
        <f>IFERROR(VLOOKUP($D31,'Kalkulator mięs '!$C$5:$H$533,DY$4,0)*$M31,0)</f>
        <v>0</v>
      </c>
      <c r="DZ31">
        <f>IFERROR(VLOOKUP($D31,'Kalkulator mięs '!$C$5:$H$533,DZ$4,0)*$N31,0)</f>
        <v>0</v>
      </c>
      <c r="EA31">
        <f>IFERROR(VLOOKUP($D31,'Kalkulator mięs '!$C$5:$H$533,EA$4,0)*$N31,0)</f>
        <v>0</v>
      </c>
      <c r="EB31">
        <f>IFERROR(VLOOKUP($D31,'Kalkulator mięs '!$C$5:$H$533,EB$4,0)*$N31,0)</f>
        <v>0</v>
      </c>
      <c r="EC31">
        <f>IFERROR(VLOOKUP($D31,'Kalkulator mięs '!$C$5:$H$533,EC$4,0)*$O31,0)</f>
        <v>0</v>
      </c>
      <c r="ED31">
        <f>IFERROR(VLOOKUP($D31,'Kalkulator mięs '!$C$5:$H$533,ED$4,0)*$O31,0)</f>
        <v>0</v>
      </c>
      <c r="EE31">
        <f>IFERROR(VLOOKUP($D31,'Kalkulator mięs '!$C$5:$H$533,EE$4,0)*$O31,0)</f>
        <v>0</v>
      </c>
      <c r="EF31">
        <f>IFERROR(VLOOKUP($D31,'Kalkulator mięs '!$C$5:$H$533,EF$4,0)*$P31,0)</f>
        <v>0</v>
      </c>
      <c r="EG31">
        <f>IFERROR(VLOOKUP($D31,'Kalkulator mięs '!$C$5:$H$533,EG$4,0)*$P31,0)</f>
        <v>0</v>
      </c>
      <c r="EH31">
        <f>IFERROR(VLOOKUP($D31,'Kalkulator mięs '!$C$5:$H$533,EH$4,0)*$P31,0)</f>
        <v>0</v>
      </c>
      <c r="EI31">
        <f>IFERROR(VLOOKUP($D31,'Kalkulator mięs '!$C$5:$H$533,EI$4,0)*$Q31,0)</f>
        <v>0</v>
      </c>
      <c r="EJ31">
        <f>IFERROR(VLOOKUP($D31,'Kalkulator mięs '!$C$5:$H$533,EJ$4,0)*$Q31,0)</f>
        <v>0</v>
      </c>
      <c r="EK31">
        <f>IFERROR(VLOOKUP($D31,'Kalkulator mięs '!$C$5:$H$533,EK$4,0)*$Q31,0)</f>
        <v>0</v>
      </c>
      <c r="EL31">
        <f>IFERROR(VLOOKUP($D31,'Kalkulator mięs '!$C$5:$H$533,EL$4,0)*$R31,0)</f>
        <v>0</v>
      </c>
      <c r="EM31">
        <f>IFERROR(VLOOKUP($D31,'Kalkulator mięs '!$C$5:$H$533,EM$4,0)*$R31,0)</f>
        <v>0</v>
      </c>
      <c r="EN31">
        <f>IFERROR(VLOOKUP($D31,'Kalkulator mięs '!$C$5:$H$533,EN$4,0)*$R31,0)</f>
        <v>0</v>
      </c>
      <c r="EO31">
        <f>IFERROR(VLOOKUP($D31,'Kalkulator mięs '!$C$5:$H$533,EO$4,0)*$S31,0)</f>
        <v>0</v>
      </c>
      <c r="EP31">
        <f>IFERROR(VLOOKUP($D31,'Kalkulator mięs '!$C$5:$H$533,EP$4,0)*$S31,0)</f>
        <v>0</v>
      </c>
      <c r="EQ31">
        <f>IFERROR(VLOOKUP($D31,'Kalkulator mięs '!$C$5:$H$533,EQ$4,0)*$S31,0)</f>
        <v>0</v>
      </c>
      <c r="ER31">
        <f>IFERROR(VLOOKUP($D31,'Kalkulator mięs '!$C$5:$H$533,ER$4,0)*$T31,0)</f>
        <v>0</v>
      </c>
      <c r="ES31">
        <f>IFERROR(VLOOKUP($D31,'Kalkulator mięs '!$C$5:$H$533,ES$4,0)*$T31,0)</f>
        <v>0</v>
      </c>
      <c r="ET31">
        <f>IFERROR(VLOOKUP($D31,'Kalkulator mięs '!$C$5:$H$533,ET$4,0)*$T31,0)</f>
        <v>0</v>
      </c>
      <c r="EU31">
        <f>IFERROR(VLOOKUP($D31,'Kalkulator mięs '!$C$5:$H$533,EU$4,0)*$U31,0)</f>
        <v>0</v>
      </c>
      <c r="EV31">
        <f>IFERROR(VLOOKUP($D31,'Kalkulator mięs '!$C$5:$H$533,EV$4,0)*$U31,0)</f>
        <v>0</v>
      </c>
      <c r="EW31">
        <f>IFERROR(VLOOKUP($D31,'Kalkulator mięs '!$C$5:$H$533,EW$4,0)*$U31,0)</f>
        <v>0</v>
      </c>
      <c r="EX31">
        <f>IFERROR(VLOOKUP($D31,'Kalkulator mięs '!$C$5:$H$533,EX$4,0)*$V31,0)</f>
        <v>0</v>
      </c>
      <c r="EY31">
        <f>IFERROR(VLOOKUP($D31,'Kalkulator mięs '!$C$5:$H$533,EY$4,0)*$V31,0)</f>
        <v>0</v>
      </c>
      <c r="EZ31">
        <f>IFERROR(VLOOKUP($D31,'Kalkulator mięs '!$C$5:$H$533,EZ$4,0)*$V31,0)</f>
        <v>0</v>
      </c>
      <c r="FA31">
        <f>IFERROR(VLOOKUP($D31,'Kalkulator mięs '!$C$5:$H$533,FA$4,0)*$W31,0)</f>
        <v>0</v>
      </c>
      <c r="FB31">
        <f>IFERROR(VLOOKUP($D31,'Kalkulator mięs '!$C$5:$H$533,FB$4,0)*$W31,0)</f>
        <v>0</v>
      </c>
      <c r="FC31">
        <f>IFERROR(VLOOKUP($D31,'Kalkulator mięs '!$C$5:$H$533,FC$4,0)*$W31,0)</f>
        <v>0</v>
      </c>
      <c r="FD31">
        <f>IFERROR(VLOOKUP($D31,'Kalkulator mięs '!$C$5:$H$533,FD$4,0)*$X31,0)</f>
        <v>0</v>
      </c>
      <c r="FE31">
        <f>IFERROR(VLOOKUP($D31,'Kalkulator mięs '!$C$5:$H$533,FE$4,0)*$X31,0)</f>
        <v>0</v>
      </c>
      <c r="FF31">
        <f>IFERROR(VLOOKUP($D31,'Kalkulator mięs '!$C$5:$H$533,FF$4,0)*$X31,0)</f>
        <v>0</v>
      </c>
      <c r="FG31">
        <f>IFERROR(VLOOKUP($D31,'Kalkulator mięs '!$C$5:$H$533,FG$4,0)*$Y31,0)</f>
        <v>0</v>
      </c>
      <c r="FH31">
        <f>IFERROR(VLOOKUP($D31,'Kalkulator mięs '!$C$5:$H$533,FH$4,0)*$Y31,0)</f>
        <v>0</v>
      </c>
      <c r="FI31">
        <f>IFERROR(VLOOKUP($D31,'Kalkulator mięs '!$C$5:$H$533,FI$4,0)*$Y31,0)</f>
        <v>0</v>
      </c>
      <c r="FJ31">
        <f>IFERROR(VLOOKUP($D31,'Kalkulator mięs '!$C$5:$H$533,FJ$4,0)*$Z31,0)</f>
        <v>0</v>
      </c>
      <c r="FK31">
        <f>IFERROR(VLOOKUP($D31,'Kalkulator mięs '!$C$5:$H$533,FK$4,0)*$Z31,0)</f>
        <v>0</v>
      </c>
      <c r="FL31">
        <f>IFERROR(VLOOKUP($D31,'Kalkulator mięs '!$C$5:$H$533,FL$4,0)*$Z31,0)</f>
        <v>0</v>
      </c>
      <c r="FM31">
        <f>IFERROR(VLOOKUP($D31,'Kalkulator mięs '!$C$5:$H$533,FM$4,0)*$AA31,0)</f>
        <v>0</v>
      </c>
      <c r="FN31">
        <f>IFERROR(VLOOKUP($D31,'Kalkulator mięs '!$C$5:$H$533,FN$4,0)*$AA31,0)</f>
        <v>0</v>
      </c>
      <c r="FO31">
        <f>IFERROR(VLOOKUP($D31,'Kalkulator mięs '!$C$5:$H$533,FO$4,0)*$AA31,0)</f>
        <v>0</v>
      </c>
      <c r="FP31">
        <f>IFERROR(VLOOKUP($D31,'Kalkulator mięs '!$C$5:$H$533,FP$4,0)*$AB31,0)</f>
        <v>0</v>
      </c>
      <c r="FQ31">
        <f>IFERROR(VLOOKUP($D31,'Kalkulator mięs '!$C$5:$H$533,FQ$4,0)*$AB31,0)</f>
        <v>0</v>
      </c>
      <c r="FR31">
        <f>IFERROR(VLOOKUP($D31,'Kalkulator mięs '!$C$5:$H$533,FR$4,0)*$AB31,0)</f>
        <v>0</v>
      </c>
      <c r="FS31">
        <f>IFERROR(VLOOKUP($D31,'Kalkulator mięs '!$C$5:$H$533,FS$4,0)*$AC31,0)</f>
        <v>0</v>
      </c>
      <c r="FT31">
        <f>IFERROR(VLOOKUP($D31,'Kalkulator mięs '!$C$5:$H$533,FT$4,0)*$AC31,0)</f>
        <v>0</v>
      </c>
      <c r="FU31">
        <f>IFERROR(VLOOKUP($D31,'Kalkulator mięs '!$C$5:$H$533,FU$4,0)*$AC31,0)</f>
        <v>0</v>
      </c>
      <c r="FV31">
        <f>IFERROR(VLOOKUP($D31,'Kalkulator mięs '!$C$5:$H$533,FV$4,0)*$AD31,0)</f>
        <v>0</v>
      </c>
      <c r="FW31">
        <f>IFERROR(VLOOKUP($D31,'Kalkulator mięs '!$C$5:$H$533,FW$4,0)*$AD31,0)</f>
        <v>0</v>
      </c>
      <c r="FX31">
        <f>IFERROR(VLOOKUP($D31,'Kalkulator mięs '!$C$5:$H$533,FX$4,0)*$AD31,0)</f>
        <v>0</v>
      </c>
      <c r="FY31">
        <f>IFERROR(VLOOKUP($D31,'Kalkulator mięs '!$C$5:$H$533,FY$4,0)*$AE31,0)</f>
        <v>0</v>
      </c>
      <c r="FZ31">
        <f>IFERROR(VLOOKUP($D31,'Kalkulator mięs '!$C$5:$H$533,FZ$4,0)*$AE31,0)</f>
        <v>0</v>
      </c>
      <c r="GA31">
        <f>IFERROR(VLOOKUP($D31,'Kalkulator mięs '!$C$5:$H$533,GA$4,0)*$AE31,0)</f>
        <v>0</v>
      </c>
      <c r="GB31">
        <f>IFERROR(VLOOKUP($D31,'Kalkulator mięs '!$C$5:$H$533,GB$4,0)*$AF31,0)</f>
        <v>0</v>
      </c>
      <c r="GC31">
        <f>IFERROR(VLOOKUP($D31,'Kalkulator mięs '!$C$5:$H$533,GC$4,0)*$AF31,0)</f>
        <v>0</v>
      </c>
      <c r="GD31">
        <f>IFERROR(VLOOKUP($D31,'Kalkulator mięs '!$C$5:$H$533,GD$4,0)*$AF31,0)</f>
        <v>0</v>
      </c>
      <c r="GE31">
        <f>IFERROR(VLOOKUP($D31,'Kalkulator mięs '!$C$5:$H$533,GE$4,0)*$AG31,0)</f>
        <v>0</v>
      </c>
      <c r="GF31">
        <f>IFERROR(VLOOKUP($D31,'Kalkulator mięs '!$C$5:$H$533,GF$4,0)*$AG31,0)</f>
        <v>0</v>
      </c>
      <c r="GG31">
        <f>IFERROR(VLOOKUP($D31,'Kalkulator mięs '!$C$5:$H$533,GG$4,0)*$AG31,0)</f>
        <v>0</v>
      </c>
      <c r="GH31">
        <f>IFERROR(VLOOKUP($D31,'Kalkulator mięs '!$C$5:$H$533,GH$4,0)*$AH31,0)</f>
        <v>0</v>
      </c>
      <c r="GI31">
        <f>IFERROR(VLOOKUP($D31,'Kalkulator mięs '!$C$5:$H$533,GI$4,0)*$AH31,0)</f>
        <v>0</v>
      </c>
      <c r="GJ31">
        <f>IFERROR(VLOOKUP($D31,'Kalkulator mięs '!$C$5:$H$533,GJ$4,0)*$AH31,0)</f>
        <v>0</v>
      </c>
      <c r="GK31">
        <f>IFERROR(VLOOKUP($D31,'Kalkulator mięs '!$C$5:$H$533,GK$4,0)*$AI31,0)</f>
        <v>0</v>
      </c>
      <c r="GL31">
        <f>IFERROR(VLOOKUP($D31,'Kalkulator mięs '!$C$5:$H$533,GL$4,0)*$AI31,0)</f>
        <v>0</v>
      </c>
      <c r="GM31">
        <f>IFERROR(VLOOKUP($D31,'Kalkulator mięs '!$C$5:$H$533,GM$4,0)*$AI31,0)</f>
        <v>0</v>
      </c>
      <c r="GN31">
        <f>IFERROR(VLOOKUP($D31,'Kalkulator mięs '!$C$5:$H$533,GN$4,0)*$AJ31,0)</f>
        <v>0</v>
      </c>
      <c r="GO31">
        <f>IFERROR(VLOOKUP($D31,'Kalkulator mięs '!$C$5:$H$533,GO$4,0)*$AJ31,0)</f>
        <v>0</v>
      </c>
      <c r="GP31">
        <f>IFERROR(VLOOKUP($D31,'Kalkulator mięs '!$C$5:$H$533,GP$4,0)*$AJ31,0)</f>
        <v>0</v>
      </c>
      <c r="GQ31">
        <f>IFERROR(VLOOKUP($D31,'Kalkulator mięs '!$C$5:$H$533,GQ$4,0)*$AK31,0)</f>
        <v>0</v>
      </c>
      <c r="GR31">
        <f>IFERROR(VLOOKUP($D31,'Kalkulator mięs '!$C$5:$H$533,GR$4,0)*$AK31,0)</f>
        <v>0</v>
      </c>
      <c r="GS31">
        <f>IFERROR(VLOOKUP($D31,'Kalkulator mięs '!$C$5:$H$533,GS$4,0)*$AK31,0)</f>
        <v>0</v>
      </c>
      <c r="GT31">
        <f>IFERROR(VLOOKUP($D31,'Kalkulator mięs '!$C$5:$H$533,GT$4,0)*$AL31,0)</f>
        <v>0</v>
      </c>
      <c r="GU31">
        <f>IFERROR(VLOOKUP($D31,'Kalkulator mięs '!$C$5:$H$533,GU$4,0)*$AL31,0)</f>
        <v>0</v>
      </c>
      <c r="GV31">
        <f>IFERROR(VLOOKUP($D31,'Kalkulator mięs '!$C$5:$H$533,GV$4,0)*$AL31,0)</f>
        <v>0</v>
      </c>
      <c r="GW31">
        <f>IFERROR(VLOOKUP($D31,'Kalkulator mięs '!$C$5:$H$533,GW$4,0)*$AM31,0)</f>
        <v>0</v>
      </c>
      <c r="GX31">
        <f>IFERROR(VLOOKUP($D31,'Kalkulator mięs '!$C$5:$H$533,GX$4,0)*$AM31,0)</f>
        <v>0</v>
      </c>
      <c r="GY31">
        <f>IFERROR(VLOOKUP($D31,'Kalkulator mięs '!$C$5:$H$533,GY$4,0)*$AM31,0)</f>
        <v>0</v>
      </c>
      <c r="GZ31">
        <f>IFERROR(VLOOKUP($D31,'Kalkulator mięs '!$C$5:$H$533,GZ$4,0)*$AN31,0)</f>
        <v>0</v>
      </c>
      <c r="HA31">
        <f>IFERROR(VLOOKUP($D31,'Kalkulator mięs '!$C$5:$H$533,HA$4,0)*$AN31,0)</f>
        <v>0</v>
      </c>
      <c r="HB31">
        <f>IFERROR(VLOOKUP($D31,'Kalkulator mięs '!$C$5:$H$533,HB$4,0)*$AN31,0)</f>
        <v>0</v>
      </c>
      <c r="HC31">
        <f>IFERROR(VLOOKUP($D31,'Kalkulator mięs '!$C$5:$H$533,HC$4,0)*$AO31,0)</f>
        <v>0</v>
      </c>
      <c r="HD31">
        <f>IFERROR(VLOOKUP($D31,'Kalkulator mięs '!$C$5:$H$533,HD$4,0)*$AO31,0)</f>
        <v>0</v>
      </c>
      <c r="HE31">
        <f>IFERROR(VLOOKUP($D31,'Kalkulator mięs '!$C$5:$H$533,HE$4,0)*$AO31,0)</f>
        <v>0</v>
      </c>
      <c r="HF31">
        <f>IFERROR(VLOOKUP($D31,'Kalkulator mięs '!$C$5:$H$533,HF$4,0)*$AP31,0)</f>
        <v>0</v>
      </c>
      <c r="HG31">
        <f>IFERROR(VLOOKUP($D31,'Kalkulator mięs '!$C$5:$H$533,HG$4,0)*$AP31,0)</f>
        <v>0</v>
      </c>
      <c r="HH31">
        <f>IFERROR(VLOOKUP($D31,'Kalkulator mięs '!$C$5:$H$533,HH$4,0)*$AP31,0)</f>
        <v>0</v>
      </c>
      <c r="HI31">
        <f>IFERROR(VLOOKUP($D31,'Kalkulator mięs '!$C$5:$H$533,HI$4,0)*$AQ31,0)</f>
        <v>0</v>
      </c>
      <c r="HJ31">
        <f>IFERROR(VLOOKUP($D31,'Kalkulator mięs '!$C$5:$H$533,HJ$4,0)*$AQ31,0)</f>
        <v>0</v>
      </c>
      <c r="HK31">
        <f>IFERROR(VLOOKUP($D31,'Kalkulator mięs '!$C$5:$H$533,HK$4,0)*$AQ31,0)</f>
        <v>0</v>
      </c>
      <c r="HL31">
        <f>IFERROR(VLOOKUP($D31,'Kalkulator mięs '!$C$5:$H$533,HL$4,0)*$AR31,0)</f>
        <v>0</v>
      </c>
      <c r="HM31">
        <f>IFERROR(VLOOKUP($D31,'Kalkulator mięs '!$C$5:$H$533,HM$4,0)*$AR31,0)</f>
        <v>0</v>
      </c>
      <c r="HN31">
        <f>IFERROR(VLOOKUP($D31,'Kalkulator mięs '!$C$5:$H$533,HN$4,0)*$AR31,0)</f>
        <v>0</v>
      </c>
      <c r="HO31">
        <f>IFERROR(VLOOKUP($D31,'Kalkulator mięs '!$C$5:$H$533,HO$4,0)*$AS31,0)</f>
        <v>0</v>
      </c>
      <c r="HP31">
        <f>IFERROR(VLOOKUP($D31,'Kalkulator mięs '!$C$5:$H$533,HP$4,0)*$AS31,0)</f>
        <v>0</v>
      </c>
      <c r="HQ31">
        <f>IFERROR(VLOOKUP($D31,'Kalkulator mięs '!$C$5:$H$533,HQ$4,0)*$AS31,0)</f>
        <v>0</v>
      </c>
      <c r="HR31">
        <f>IFERROR(VLOOKUP($D31,'Kalkulator mięs '!$C$5:$H$533,HR$4,0)*$AT31,0)</f>
        <v>0</v>
      </c>
      <c r="HS31">
        <f>IFERROR(VLOOKUP($D31,'Kalkulator mięs '!$C$5:$H$533,HS$4,0)*$AT31,0)</f>
        <v>0</v>
      </c>
      <c r="HT31">
        <f>IFERROR(VLOOKUP($D31,'Kalkulator mięs '!$C$5:$H$533,HT$4,0)*$AT31,0)</f>
        <v>0</v>
      </c>
      <c r="HU31">
        <f>IFERROR(VLOOKUP($D31,'Kalkulator mięs '!$C$5:$H$533,HU$4,0)*$AU31,0)</f>
        <v>0</v>
      </c>
      <c r="HV31">
        <f>IFERROR(VLOOKUP($D31,'Kalkulator mięs '!$C$5:$H$533,HV$4,0)*$AU31,0)</f>
        <v>0</v>
      </c>
      <c r="HW31">
        <f>IFERROR(VLOOKUP($D31,'Kalkulator mięs '!$C$5:$H$533,HW$4,0)*$AU31,0)</f>
        <v>0</v>
      </c>
      <c r="HX31">
        <f>IFERROR(VLOOKUP($D31,'Kalkulator mięs '!$C$5:$H$533,HX$4,0)*$AV31,0)</f>
        <v>0</v>
      </c>
      <c r="HY31">
        <f>IFERROR(VLOOKUP($D31,'Kalkulator mięs '!$C$5:$H$533,HY$4,0)*$AV31,0)</f>
        <v>0</v>
      </c>
      <c r="HZ31">
        <f>IFERROR(VLOOKUP($D31,'Kalkulator mięs '!$C$5:$H$533,HZ$4,0)*$AV31,0)</f>
        <v>0</v>
      </c>
      <c r="IA31">
        <f>IFERROR(VLOOKUP($D31,'Kalkulator mięs '!$C$5:$H$533,IA$4,0)*$AW31,0)</f>
        <v>0</v>
      </c>
      <c r="IB31">
        <f>IFERROR(VLOOKUP($D31,'Kalkulator mięs '!$C$5:$H$533,IB$4,0)*$AW31,0)</f>
        <v>0</v>
      </c>
      <c r="IC31">
        <f>IFERROR(VLOOKUP($D31,'Kalkulator mięs '!$C$5:$H$533,IC$4,0)*$AW31,0)</f>
        <v>0</v>
      </c>
      <c r="ID31">
        <f>IFERROR(VLOOKUP($D31,'Kalkulator mięs '!$C$5:$H$533,ID$4,0)*$AX31,0)</f>
        <v>0</v>
      </c>
      <c r="IE31">
        <f>IFERROR(VLOOKUP($D31,'Kalkulator mięs '!$C$5:$H$533,IE$4,0)*$AX31,0)</f>
        <v>0</v>
      </c>
      <c r="IF31">
        <f>IFERROR(VLOOKUP($D31,'Kalkulator mięs '!$C$5:$H$533,IF$4,0)*$AX31,0)</f>
        <v>0</v>
      </c>
      <c r="IG31">
        <f>IFERROR(VLOOKUP($D31,'Kalkulator mięs '!$C$5:$H$533,IG$4,0)*$AY31,0)</f>
        <v>0</v>
      </c>
      <c r="IH31">
        <f>IFERROR(VLOOKUP($D31,'Kalkulator mięs '!$C$5:$H$533,IH$4,0)*$AY31,0)</f>
        <v>0</v>
      </c>
      <c r="II31">
        <f>IFERROR(VLOOKUP($D31,'Kalkulator mięs '!$C$5:$H$533,II$4,0)*$AY31,0)</f>
        <v>0</v>
      </c>
      <c r="IJ31">
        <f>IFERROR(VLOOKUP($D31,'Kalkulator mięs '!$C$5:$H$533,IJ$4,0)*$AZ31,0)</f>
        <v>0</v>
      </c>
      <c r="IK31">
        <f>IFERROR(VLOOKUP($D31,'Kalkulator mięs '!$C$5:$H$533,IK$4,0)*$AZ31,0)</f>
        <v>0</v>
      </c>
      <c r="IL31">
        <f>IFERROR(VLOOKUP($D31,'Kalkulator mięs '!$C$5:$H$533,IL$4,0)*$AZ31,0)</f>
        <v>0</v>
      </c>
      <c r="IM31">
        <f>IFERROR(VLOOKUP($D31,'Kalkulator mięs '!$C$5:$H$533,IM$4,0)*$BA31,0)</f>
        <v>0</v>
      </c>
      <c r="IN31">
        <f>IFERROR(VLOOKUP($D31,'Kalkulator mięs '!$C$5:$H$533,IN$4,0)*$BA31,0)</f>
        <v>0</v>
      </c>
      <c r="IO31">
        <f>IFERROR(VLOOKUP($D31,'Kalkulator mięs '!$C$5:$H$533,IO$4,0)*$BA31,0)</f>
        <v>0</v>
      </c>
    </row>
    <row r="32" spans="1:249" ht="15.75">
      <c r="A32" s="91"/>
      <c r="B32" t="str">
        <f>VLOOKUP(D32,Receptury_z!$A:$B,2,0)</f>
        <v>ON</v>
      </c>
      <c r="C32" s="16">
        <v>5555</v>
      </c>
      <c r="D32" s="19">
        <v>6464</v>
      </c>
      <c r="E32" s="18" t="s">
        <v>206</v>
      </c>
      <c r="F32" s="14">
        <f>IF($B32="OFF",BE32,VLOOKUP($D32,Receptury_z!$D:$AI,F$4,0))</f>
        <v>0</v>
      </c>
      <c r="G32" s="14">
        <f>IF($B32="OFF",BF32,VLOOKUP($D32,Receptury_z!$D:$AI,G$4,0))</f>
        <v>0</v>
      </c>
      <c r="H32" s="14">
        <f>IF($B32="OFF",BG32,VLOOKUP($D32,Receptury_z!$D:$AI,H$4,0))</f>
        <v>0</v>
      </c>
      <c r="I32" s="14">
        <f>IF($B32="OFF",BH32,VLOOKUP($D32,Receptury_z!$D:$AI,I$4,0))</f>
        <v>0</v>
      </c>
      <c r="J32" s="14">
        <f>IF($B32="OFF",BI32,VLOOKUP($D32,Receptury_z!$D:$AI,J$4,0))</f>
        <v>0</v>
      </c>
      <c r="K32" s="14">
        <f>IF($B32="OFF",BJ32,VLOOKUP($D32,Receptury_z!$D:$AI,K$4,0))</f>
        <v>0</v>
      </c>
      <c r="L32" s="14">
        <f>IF($B32="OFF",BK32,VLOOKUP($D32,Receptury_z!$D:$AI,L$4,0))</f>
        <v>0</v>
      </c>
      <c r="M32" s="14">
        <f>IF($B32="OFF",BL32,VLOOKUP($D32,Receptury_z!$D:$AI,M$4,0))</f>
        <v>0</v>
      </c>
      <c r="N32" s="14">
        <f>IF($B32="OFF",BM32,VLOOKUP($D32,Receptury_z!$D:$AI,N$4,0))</f>
        <v>0</v>
      </c>
      <c r="O32" s="14">
        <f>IF($B32="OFF",BN32,VLOOKUP($D32,Receptury_z!$D:$AI,O$4,0))</f>
        <v>0</v>
      </c>
      <c r="P32" s="14">
        <f>IF($B32="OFF",BO32,VLOOKUP($D32,Receptury_z!$D:$AI,P$4,0))</f>
        <v>0</v>
      </c>
      <c r="Q32" s="14">
        <f>IF($B32="OFF",BP32,VLOOKUP($D32,Receptury_z!$D:$AI,Q$4,0))</f>
        <v>0</v>
      </c>
      <c r="R32" s="14">
        <f>IF($B32="OFF",BQ32,VLOOKUP($D32,Receptury_z!$D:$AI,R$4,0))</f>
        <v>0</v>
      </c>
      <c r="S32" s="14">
        <f>IF($B32="OFF",BR32,VLOOKUP($D32,Receptury_z!$D:$AI,S$4,0))</f>
        <v>0</v>
      </c>
      <c r="T32" s="14">
        <f>IF($B32="OFF",BS32,VLOOKUP($D32,Receptury_z!$D:$AI,T$4,0))</f>
        <v>389.9</v>
      </c>
      <c r="U32" s="14">
        <f>IF($B32="OFF",BT32,VLOOKUP($D32,Receptury_z!$D:$AI,U$4,0))</f>
        <v>288.8</v>
      </c>
      <c r="V32" s="14">
        <f>IF($B32="OFF",BU32,VLOOKUP($D32,Receptury_z!$D:$AI,V$4,0))</f>
        <v>0</v>
      </c>
      <c r="W32" s="14">
        <f>IF($B32="OFF",BV32,VLOOKUP($D32,Receptury_z!$D:$AI,W$4,0))</f>
        <v>0</v>
      </c>
      <c r="X32" s="14">
        <f>IF($B32="OFF",BW32,VLOOKUP($D32,Receptury_z!$D:$AI,X$4,0))</f>
        <v>0</v>
      </c>
      <c r="Y32" s="14">
        <f>IF($B32="OFF",BX32,VLOOKUP($D32,Receptury_z!$D:$AI,Y$4,0))</f>
        <v>0</v>
      </c>
      <c r="Z32" s="14">
        <f>IF($B32="OFF",BY32,VLOOKUP($D32,Receptury_z!$D:$AI,Z$4,0))</f>
        <v>0</v>
      </c>
      <c r="AA32" s="14">
        <f>IF($B32="OFF",BZ32,VLOOKUP($D32,Receptury_z!$D:$AI,AA$4,0))</f>
        <v>0</v>
      </c>
      <c r="AB32" s="14">
        <f>IF($B32="OFF",CA32,VLOOKUP($D32,Receptury_z!$D:$AI,AB$4,0))</f>
        <v>43.3</v>
      </c>
      <c r="AC32" s="14">
        <f>IF($B32="OFF",CB32,VLOOKUP($D32,Receptury_z!$D:$AI,AC$4,0))</f>
        <v>0</v>
      </c>
      <c r="AD32" s="14">
        <f>IF($B32="OFF",CC32,VLOOKUP($D32,Receptury_z!$D:$AI,AD$4,0))</f>
        <v>0</v>
      </c>
      <c r="AE32" s="14">
        <f>IF($B32="OFF",CD32,VLOOKUP($D32,Receptury_z!$D:$AI,AE$4,0))</f>
        <v>0</v>
      </c>
      <c r="AF32" s="14">
        <f>IF($B32="OFF",CE32,VLOOKUP($D32,Receptury_z!$D:$AI,AF$4,0))</f>
        <v>0</v>
      </c>
      <c r="AG32" s="14">
        <f>IF($B32="OFF",CF32,VLOOKUP($D32,Receptury_z!$D:$AI,AG$4,0))</f>
        <v>0</v>
      </c>
      <c r="AH32" s="14">
        <f>IF($B32="OFF",CG32,VLOOKUP($D32,Receptury_z!$D:$AI,AH$4,0))</f>
        <v>0</v>
      </c>
      <c r="AI32" s="14">
        <f>IF($B32="OFF",CH32,VLOOKUP($D32,Receptury_z!$D:$AI,AI$4,0))</f>
        <v>0</v>
      </c>
      <c r="AJ32" s="14">
        <f>IF($B32="OFF",CI32,VLOOKUP($D32,Receptury_z!$D:$AS,AJ$4,0))</f>
        <v>0</v>
      </c>
      <c r="AK32" s="14">
        <f>IF($B32="OFF",CJ32,VLOOKUP($D32,Receptury_z!$D:$AS,AK$4,0))</f>
        <v>0</v>
      </c>
      <c r="AL32" s="14">
        <f>IF($B32="OFF",CK32,VLOOKUP($D32,Receptury_z!$D:$AS,AL$4,0))</f>
        <v>0</v>
      </c>
      <c r="AM32" s="14">
        <f>IF($B32="OFF",CL32,VLOOKUP($D32,Receptury_z!$D:$AS,AM$4,0))</f>
        <v>0</v>
      </c>
      <c r="AN32" s="14">
        <f>IF($B32="OFF",CM32,VLOOKUP($D32,Receptury_z!$D:$AS,AN$4,0))</f>
        <v>0</v>
      </c>
      <c r="AO32" s="14">
        <f>IF($B32="OFF",CN32,VLOOKUP($D32,Receptury_z!$D:$AS,AO$4,0))</f>
        <v>0</v>
      </c>
      <c r="AP32" s="14">
        <f>IF($B32="OFF",CO32,VLOOKUP($D32,Receptury_z!$D:$AS,AP$4,0))</f>
        <v>0</v>
      </c>
      <c r="AQ32" s="14">
        <f>IF($B32="OFF",CP32,VLOOKUP($D32,Receptury_z!$D:$AS,AQ$4,0))</f>
        <v>0</v>
      </c>
      <c r="AR32" s="14">
        <f>IF($B32="OFF",CQ32,VLOOKUP($D32,Receptury_z!$D:$AS,AR$4,0))</f>
        <v>0</v>
      </c>
      <c r="AS32" s="14">
        <f>IF($B32="OFF",CR32,VLOOKUP($D32,Receptury_z!$D:$AS,AS$4,0))</f>
        <v>0</v>
      </c>
      <c r="AT32" s="14">
        <f>IF($B32="OFF",CS32,VLOOKUP($D32,Receptury_z!$D:$AV,AT$4,0))</f>
        <v>0</v>
      </c>
      <c r="AU32" s="14">
        <f>IF($B32="OFF",CT32,VLOOKUP($D32,Receptury_z!$D:$AV,AU$4,0))</f>
        <v>0</v>
      </c>
      <c r="AV32" s="14">
        <f>IF($B32="OFF",CU32,VLOOKUP($D32,Receptury_z!$D:$AV,AV$4,0))</f>
        <v>0</v>
      </c>
      <c r="AW32" s="14">
        <f>IF($B32="OFF",CV32,VLOOKUP($D32,Receptury_z!$D:$BA,AW$4,0))</f>
        <v>0</v>
      </c>
      <c r="AX32" s="14">
        <f>IF($B32="OFF",CW32,VLOOKUP($D32,Receptury_z!$D:$BA,AX$4,0))</f>
        <v>0</v>
      </c>
      <c r="AY32" s="14">
        <f>IF($B32="OFF",CX32,VLOOKUP($D32,Receptury_z!$D:$BA,AY$4,0))</f>
        <v>0</v>
      </c>
      <c r="AZ32" s="14">
        <f>IF($B32="OFF",DA32,VLOOKUP($D32,Receptury_z!$D:$BA,AZ$4,0))</f>
        <v>0</v>
      </c>
      <c r="BA32" s="14">
        <f>IF($B32="OFF",DB32,VLOOKUP($D32,Receptury_z!$D:$BA,BA$4,0))</f>
        <v>0</v>
      </c>
      <c r="BC32" s="19">
        <v>6464</v>
      </c>
      <c r="BD32" s="18" t="s">
        <v>206</v>
      </c>
      <c r="BE32" s="239">
        <v>0</v>
      </c>
      <c r="BF32" s="239">
        <v>0</v>
      </c>
      <c r="BG32" s="239">
        <v>0</v>
      </c>
      <c r="BH32" s="239">
        <v>0</v>
      </c>
      <c r="BI32" s="239">
        <v>0</v>
      </c>
      <c r="BJ32" s="239">
        <v>0</v>
      </c>
      <c r="BK32" s="239">
        <v>0</v>
      </c>
      <c r="BL32" s="239">
        <v>0</v>
      </c>
      <c r="BM32" s="239">
        <v>0</v>
      </c>
      <c r="BN32" s="239">
        <v>0</v>
      </c>
      <c r="BO32" s="239">
        <v>0</v>
      </c>
      <c r="BP32" s="239">
        <v>0</v>
      </c>
      <c r="BQ32" s="239">
        <v>0</v>
      </c>
      <c r="BR32" s="239">
        <v>0</v>
      </c>
      <c r="BS32" s="239">
        <v>389.9</v>
      </c>
      <c r="BT32" s="239">
        <v>288.8</v>
      </c>
      <c r="BU32" s="239">
        <v>0</v>
      </c>
      <c r="BV32" s="239">
        <v>0</v>
      </c>
      <c r="BW32" s="239">
        <v>0</v>
      </c>
      <c r="BX32" s="239">
        <v>0</v>
      </c>
      <c r="BY32" s="239">
        <v>0</v>
      </c>
      <c r="BZ32" s="239">
        <v>0</v>
      </c>
      <c r="CA32" s="239">
        <v>43.3</v>
      </c>
      <c r="CB32" s="239">
        <v>0</v>
      </c>
      <c r="CC32" s="239">
        <v>0</v>
      </c>
      <c r="CD32" s="239">
        <v>0</v>
      </c>
      <c r="CE32" s="239">
        <v>0</v>
      </c>
      <c r="CF32" s="239">
        <v>0</v>
      </c>
      <c r="CG32" s="239">
        <v>0</v>
      </c>
      <c r="CH32" s="239">
        <v>0</v>
      </c>
      <c r="CI32" s="239">
        <v>0</v>
      </c>
      <c r="CJ32" s="239">
        <v>0</v>
      </c>
      <c r="CK32" s="239">
        <v>0</v>
      </c>
      <c r="CL32" s="239">
        <v>0</v>
      </c>
      <c r="CM32" s="80"/>
      <c r="CN32" s="80"/>
      <c r="CO32" s="80"/>
      <c r="CP32" s="80"/>
      <c r="CQ32" s="80"/>
      <c r="CR32" s="80"/>
      <c r="CS32" s="80"/>
      <c r="CT32" s="80"/>
      <c r="CU32" s="80"/>
      <c r="CV32" s="80"/>
      <c r="CW32" s="80"/>
      <c r="CX32" s="80"/>
      <c r="CY32" s="80"/>
      <c r="CZ32" s="80"/>
      <c r="DB32">
        <f>IFERROR(VLOOKUP($D32,'Kalkulator mięs '!$C$5:$H$533,DB$4,0)*F32,0)</f>
        <v>0</v>
      </c>
      <c r="DC32">
        <f>IFERROR(VLOOKUP($D32,'Kalkulator mięs '!$C$5:$H$533,DC$4,0)*F32,0)</f>
        <v>0</v>
      </c>
      <c r="DD32">
        <f>IFERROR(VLOOKUP($D32,'Kalkulator mięs '!$C$5:$H$533,DD$4,0)*F32,0)</f>
        <v>0</v>
      </c>
      <c r="DE32">
        <f>IFERROR(VLOOKUP($D32,'Kalkulator mięs '!$C$5:$H$533,DE$4,0)*$G32,0)</f>
        <v>0</v>
      </c>
      <c r="DF32">
        <f>IFERROR(VLOOKUP($D32,'Kalkulator mięs '!$C$5:$H$533,DF$4,0)*$G32,0)</f>
        <v>0</v>
      </c>
      <c r="DG32">
        <f>IFERROR(VLOOKUP($D32,'Kalkulator mięs '!$C$5:$H$533,DG$4,0)*$G32,0)</f>
        <v>0</v>
      </c>
      <c r="DH32">
        <f>IFERROR(VLOOKUP($D32,'Kalkulator mięs '!$C$5:$H$533,DH$4,0)*$H32,0)</f>
        <v>0</v>
      </c>
      <c r="DI32">
        <f>IFERROR(VLOOKUP($D32,'Kalkulator mięs '!$C$5:$H$533,DI$4,0)*$H32,0)</f>
        <v>0</v>
      </c>
      <c r="DJ32">
        <f>IFERROR(VLOOKUP($D32,'Kalkulator mięs '!$C$5:$H$533,DJ$4,0)*$H32,0)</f>
        <v>0</v>
      </c>
      <c r="DK32">
        <f>IFERROR(VLOOKUP($D32,'Kalkulator mięs '!$C$5:$H$533,DK$4,0)*$I32,0)</f>
        <v>0</v>
      </c>
      <c r="DL32">
        <f>IFERROR(VLOOKUP($D32,'Kalkulator mięs '!$C$5:$H$533,DL$4,0)*$I32,0)</f>
        <v>0</v>
      </c>
      <c r="DM32">
        <f>IFERROR(VLOOKUP($D32,'Kalkulator mięs '!$C$5:$H$533,DM$4,0)*$I32,0)</f>
        <v>0</v>
      </c>
      <c r="DN32">
        <f>IFERROR(VLOOKUP($D32,'Kalkulator mięs '!$C$5:$H$533,DN$4,0)*$J32,0)</f>
        <v>0</v>
      </c>
      <c r="DO32">
        <f>IFERROR(VLOOKUP($D32,'Kalkulator mięs '!$C$5:$H$533,DO$4,0)*$J32,0)</f>
        <v>0</v>
      </c>
      <c r="DP32">
        <f>IFERROR(VLOOKUP($D32,'Kalkulator mięs '!$C$5:$H$533,DP$4,0)*$J32,0)</f>
        <v>0</v>
      </c>
      <c r="DQ32">
        <f>IFERROR(VLOOKUP($D32,'Kalkulator mięs '!$C$5:$H$533,DQ$4,0)*$K32,0)</f>
        <v>0</v>
      </c>
      <c r="DR32">
        <f>IFERROR(VLOOKUP($D32,'Kalkulator mięs '!$C$5:$H$533,DR$4,0)*$K32,0)</f>
        <v>0</v>
      </c>
      <c r="DS32">
        <f>IFERROR(VLOOKUP($D32,'Kalkulator mięs '!$C$5:$H$533,DS$4,0)*$K32,0)</f>
        <v>0</v>
      </c>
      <c r="DT32">
        <f>IFERROR(VLOOKUP($D32,'Kalkulator mięs '!$C$5:$H$533,DT$4,0)*$L32,0)</f>
        <v>0</v>
      </c>
      <c r="DU32">
        <f>IFERROR(VLOOKUP($D32,'Kalkulator mięs '!$C$5:$H$533,DU$4,0)*$L32,0)</f>
        <v>0</v>
      </c>
      <c r="DV32">
        <f>IFERROR(VLOOKUP($D32,'Kalkulator mięs '!$C$5:$H$533,DV$4,0)*$L32,0)</f>
        <v>0</v>
      </c>
      <c r="DW32">
        <f>IFERROR(VLOOKUP($D32,'Kalkulator mięs '!$C$5:$H$533,DW$4,0)*$M32,0)</f>
        <v>0</v>
      </c>
      <c r="DX32">
        <f>IFERROR(VLOOKUP($D32,'Kalkulator mięs '!$C$5:$H$533,DX$4,0)*$M32,0)</f>
        <v>0</v>
      </c>
      <c r="DY32">
        <f>IFERROR(VLOOKUP($D32,'Kalkulator mięs '!$C$5:$H$533,DY$4,0)*$M32,0)</f>
        <v>0</v>
      </c>
      <c r="DZ32">
        <f>IFERROR(VLOOKUP($D32,'Kalkulator mięs '!$C$5:$H$533,DZ$4,0)*$N32,0)</f>
        <v>0</v>
      </c>
      <c r="EA32">
        <f>IFERROR(VLOOKUP($D32,'Kalkulator mięs '!$C$5:$H$533,EA$4,0)*$N32,0)</f>
        <v>0</v>
      </c>
      <c r="EB32">
        <f>IFERROR(VLOOKUP($D32,'Kalkulator mięs '!$C$5:$H$533,EB$4,0)*$N32,0)</f>
        <v>0</v>
      </c>
      <c r="EC32">
        <f>IFERROR(VLOOKUP($D32,'Kalkulator mięs '!$C$5:$H$533,EC$4,0)*$O32,0)</f>
        <v>0</v>
      </c>
      <c r="ED32">
        <f>IFERROR(VLOOKUP($D32,'Kalkulator mięs '!$C$5:$H$533,ED$4,0)*$O32,0)</f>
        <v>0</v>
      </c>
      <c r="EE32">
        <f>IFERROR(VLOOKUP($D32,'Kalkulator mięs '!$C$5:$H$533,EE$4,0)*$O32,0)</f>
        <v>0</v>
      </c>
      <c r="EF32">
        <f>IFERROR(VLOOKUP($D32,'Kalkulator mięs '!$C$5:$H$533,EF$4,0)*$P32,0)</f>
        <v>0</v>
      </c>
      <c r="EG32">
        <f>IFERROR(VLOOKUP($D32,'Kalkulator mięs '!$C$5:$H$533,EG$4,0)*$P32,0)</f>
        <v>0</v>
      </c>
      <c r="EH32">
        <f>IFERROR(VLOOKUP($D32,'Kalkulator mięs '!$C$5:$H$533,EH$4,0)*$P32,0)</f>
        <v>0</v>
      </c>
      <c r="EI32">
        <f>IFERROR(VLOOKUP($D32,'Kalkulator mięs '!$C$5:$H$533,EI$4,0)*$Q32,0)</f>
        <v>0</v>
      </c>
      <c r="EJ32">
        <f>IFERROR(VLOOKUP($D32,'Kalkulator mięs '!$C$5:$H$533,EJ$4,0)*$Q32,0)</f>
        <v>0</v>
      </c>
      <c r="EK32">
        <f>IFERROR(VLOOKUP($D32,'Kalkulator mięs '!$C$5:$H$533,EK$4,0)*$Q32,0)</f>
        <v>0</v>
      </c>
      <c r="EL32">
        <f>IFERROR(VLOOKUP($D32,'Kalkulator mięs '!$C$5:$H$533,EL$4,0)*$R32,0)</f>
        <v>0</v>
      </c>
      <c r="EM32">
        <f>IFERROR(VLOOKUP($D32,'Kalkulator mięs '!$C$5:$H$533,EM$4,0)*$R32,0)</f>
        <v>0</v>
      </c>
      <c r="EN32">
        <f>IFERROR(VLOOKUP($D32,'Kalkulator mięs '!$C$5:$H$533,EN$4,0)*$R32,0)</f>
        <v>0</v>
      </c>
      <c r="EO32">
        <f>IFERROR(VLOOKUP($D32,'Kalkulator mięs '!$C$5:$H$533,EO$4,0)*$S32,0)</f>
        <v>0</v>
      </c>
      <c r="EP32">
        <f>IFERROR(VLOOKUP($D32,'Kalkulator mięs '!$C$5:$H$533,EP$4,0)*$S32,0)</f>
        <v>0</v>
      </c>
      <c r="EQ32">
        <f>IFERROR(VLOOKUP($D32,'Kalkulator mięs '!$C$5:$H$533,EQ$4,0)*$S32,0)</f>
        <v>0</v>
      </c>
      <c r="ER32">
        <f>IFERROR(VLOOKUP($D32,'Kalkulator mięs '!$C$5:$H$533,ER$4,0)*$T32,0)</f>
        <v>0</v>
      </c>
      <c r="ES32">
        <f>IFERROR(VLOOKUP($D32,'Kalkulator mięs '!$C$5:$H$533,ES$4,0)*$T32,0)</f>
        <v>0</v>
      </c>
      <c r="ET32">
        <f>IFERROR(VLOOKUP($D32,'Kalkulator mięs '!$C$5:$H$533,ET$4,0)*$T32,0)</f>
        <v>0</v>
      </c>
      <c r="EU32">
        <f>IFERROR(VLOOKUP($D32,'Kalkulator mięs '!$C$5:$H$533,EU$4,0)*$U32,0)</f>
        <v>0</v>
      </c>
      <c r="EV32">
        <f>IFERROR(VLOOKUP($D32,'Kalkulator mięs '!$C$5:$H$533,EV$4,0)*$U32,0)</f>
        <v>0</v>
      </c>
      <c r="EW32">
        <f>IFERROR(VLOOKUP($D32,'Kalkulator mięs '!$C$5:$H$533,EW$4,0)*$U32,0)</f>
        <v>0</v>
      </c>
      <c r="EX32">
        <f>IFERROR(VLOOKUP($D32,'Kalkulator mięs '!$C$5:$H$533,EX$4,0)*$V32,0)</f>
        <v>0</v>
      </c>
      <c r="EY32">
        <f>IFERROR(VLOOKUP($D32,'Kalkulator mięs '!$C$5:$H$533,EY$4,0)*$V32,0)</f>
        <v>0</v>
      </c>
      <c r="EZ32">
        <f>IFERROR(VLOOKUP($D32,'Kalkulator mięs '!$C$5:$H$533,EZ$4,0)*$V32,0)</f>
        <v>0</v>
      </c>
      <c r="FA32">
        <f>IFERROR(VLOOKUP($D32,'Kalkulator mięs '!$C$5:$H$533,FA$4,0)*$W32,0)</f>
        <v>0</v>
      </c>
      <c r="FB32">
        <f>IFERROR(VLOOKUP($D32,'Kalkulator mięs '!$C$5:$H$533,FB$4,0)*$W32,0)</f>
        <v>0</v>
      </c>
      <c r="FC32">
        <f>IFERROR(VLOOKUP($D32,'Kalkulator mięs '!$C$5:$H$533,FC$4,0)*$W32,0)</f>
        <v>0</v>
      </c>
      <c r="FD32">
        <f>IFERROR(VLOOKUP($D32,'Kalkulator mięs '!$C$5:$H$533,FD$4,0)*$X32,0)</f>
        <v>0</v>
      </c>
      <c r="FE32">
        <f>IFERROR(VLOOKUP($D32,'Kalkulator mięs '!$C$5:$H$533,FE$4,0)*$X32,0)</f>
        <v>0</v>
      </c>
      <c r="FF32">
        <f>IFERROR(VLOOKUP($D32,'Kalkulator mięs '!$C$5:$H$533,FF$4,0)*$X32,0)</f>
        <v>0</v>
      </c>
      <c r="FG32">
        <f>IFERROR(VLOOKUP($D32,'Kalkulator mięs '!$C$5:$H$533,FG$4,0)*$Y32,0)</f>
        <v>0</v>
      </c>
      <c r="FH32">
        <f>IFERROR(VLOOKUP($D32,'Kalkulator mięs '!$C$5:$H$533,FH$4,0)*$Y32,0)</f>
        <v>0</v>
      </c>
      <c r="FI32">
        <f>IFERROR(VLOOKUP($D32,'Kalkulator mięs '!$C$5:$H$533,FI$4,0)*$Y32,0)</f>
        <v>0</v>
      </c>
      <c r="FJ32">
        <f>IFERROR(VLOOKUP($D32,'Kalkulator mięs '!$C$5:$H$533,FJ$4,0)*$Z32,0)</f>
        <v>0</v>
      </c>
      <c r="FK32">
        <f>IFERROR(VLOOKUP($D32,'Kalkulator mięs '!$C$5:$H$533,FK$4,0)*$Z32,0)</f>
        <v>0</v>
      </c>
      <c r="FL32">
        <f>IFERROR(VLOOKUP($D32,'Kalkulator mięs '!$C$5:$H$533,FL$4,0)*$Z32,0)</f>
        <v>0</v>
      </c>
      <c r="FM32">
        <f>IFERROR(VLOOKUP($D32,'Kalkulator mięs '!$C$5:$H$533,FM$4,0)*$AA32,0)</f>
        <v>0</v>
      </c>
      <c r="FN32">
        <f>IFERROR(VLOOKUP($D32,'Kalkulator mięs '!$C$5:$H$533,FN$4,0)*$AA32,0)</f>
        <v>0</v>
      </c>
      <c r="FO32">
        <f>IFERROR(VLOOKUP($D32,'Kalkulator mięs '!$C$5:$H$533,FO$4,0)*$AA32,0)</f>
        <v>0</v>
      </c>
      <c r="FP32">
        <f>IFERROR(VLOOKUP($D32,'Kalkulator mięs '!$C$5:$H$533,FP$4,0)*$AB32,0)</f>
        <v>0</v>
      </c>
      <c r="FQ32">
        <f>IFERROR(VLOOKUP($D32,'Kalkulator mięs '!$C$5:$H$533,FQ$4,0)*$AB32,0)</f>
        <v>0</v>
      </c>
      <c r="FR32">
        <f>IFERROR(VLOOKUP($D32,'Kalkulator mięs '!$C$5:$H$533,FR$4,0)*$AB32,0)</f>
        <v>0</v>
      </c>
      <c r="FS32">
        <f>IFERROR(VLOOKUP($D32,'Kalkulator mięs '!$C$5:$H$533,FS$4,0)*$AC32,0)</f>
        <v>0</v>
      </c>
      <c r="FT32">
        <f>IFERROR(VLOOKUP($D32,'Kalkulator mięs '!$C$5:$H$533,FT$4,0)*$AC32,0)</f>
        <v>0</v>
      </c>
      <c r="FU32">
        <f>IFERROR(VLOOKUP($D32,'Kalkulator mięs '!$C$5:$H$533,FU$4,0)*$AC32,0)</f>
        <v>0</v>
      </c>
      <c r="FV32">
        <f>IFERROR(VLOOKUP($D32,'Kalkulator mięs '!$C$5:$H$533,FV$4,0)*$AD32,0)</f>
        <v>0</v>
      </c>
      <c r="FW32">
        <f>IFERROR(VLOOKUP($D32,'Kalkulator mięs '!$C$5:$H$533,FW$4,0)*$AD32,0)</f>
        <v>0</v>
      </c>
      <c r="FX32">
        <f>IFERROR(VLOOKUP($D32,'Kalkulator mięs '!$C$5:$H$533,FX$4,0)*$AD32,0)</f>
        <v>0</v>
      </c>
      <c r="FY32">
        <f>IFERROR(VLOOKUP($D32,'Kalkulator mięs '!$C$5:$H$533,FY$4,0)*$AE32,0)</f>
        <v>0</v>
      </c>
      <c r="FZ32">
        <f>IFERROR(VLOOKUP($D32,'Kalkulator mięs '!$C$5:$H$533,FZ$4,0)*$AE32,0)</f>
        <v>0</v>
      </c>
      <c r="GA32">
        <f>IFERROR(VLOOKUP($D32,'Kalkulator mięs '!$C$5:$H$533,GA$4,0)*$AE32,0)</f>
        <v>0</v>
      </c>
      <c r="GB32">
        <f>IFERROR(VLOOKUP($D32,'Kalkulator mięs '!$C$5:$H$533,GB$4,0)*$AF32,0)</f>
        <v>0</v>
      </c>
      <c r="GC32">
        <f>IFERROR(VLOOKUP($D32,'Kalkulator mięs '!$C$5:$H$533,GC$4,0)*$AF32,0)</f>
        <v>0</v>
      </c>
      <c r="GD32">
        <f>IFERROR(VLOOKUP($D32,'Kalkulator mięs '!$C$5:$H$533,GD$4,0)*$AF32,0)</f>
        <v>0</v>
      </c>
      <c r="GE32">
        <f>IFERROR(VLOOKUP($D32,'Kalkulator mięs '!$C$5:$H$533,GE$4,0)*$AG32,0)</f>
        <v>0</v>
      </c>
      <c r="GF32">
        <f>IFERROR(VLOOKUP($D32,'Kalkulator mięs '!$C$5:$H$533,GF$4,0)*$AG32,0)</f>
        <v>0</v>
      </c>
      <c r="GG32">
        <f>IFERROR(VLOOKUP($D32,'Kalkulator mięs '!$C$5:$H$533,GG$4,0)*$AG32,0)</f>
        <v>0</v>
      </c>
      <c r="GH32">
        <f>IFERROR(VLOOKUP($D32,'Kalkulator mięs '!$C$5:$H$533,GH$4,0)*$AH32,0)</f>
        <v>0</v>
      </c>
      <c r="GI32">
        <f>IFERROR(VLOOKUP($D32,'Kalkulator mięs '!$C$5:$H$533,GI$4,0)*$AH32,0)</f>
        <v>0</v>
      </c>
      <c r="GJ32">
        <f>IFERROR(VLOOKUP($D32,'Kalkulator mięs '!$C$5:$H$533,GJ$4,0)*$AH32,0)</f>
        <v>0</v>
      </c>
      <c r="GK32">
        <f>IFERROR(VLOOKUP($D32,'Kalkulator mięs '!$C$5:$H$533,GK$4,0)*$AI32,0)</f>
        <v>0</v>
      </c>
      <c r="GL32">
        <f>IFERROR(VLOOKUP($D32,'Kalkulator mięs '!$C$5:$H$533,GL$4,0)*$AI32,0)</f>
        <v>0</v>
      </c>
      <c r="GM32">
        <f>IFERROR(VLOOKUP($D32,'Kalkulator mięs '!$C$5:$H$533,GM$4,0)*$AI32,0)</f>
        <v>0</v>
      </c>
      <c r="GN32">
        <f>IFERROR(VLOOKUP($D32,'Kalkulator mięs '!$C$5:$H$533,GN$4,0)*$AJ32,0)</f>
        <v>0</v>
      </c>
      <c r="GO32">
        <f>IFERROR(VLOOKUP($D32,'Kalkulator mięs '!$C$5:$H$533,GO$4,0)*$AJ32,0)</f>
        <v>0</v>
      </c>
      <c r="GP32">
        <f>IFERROR(VLOOKUP($D32,'Kalkulator mięs '!$C$5:$H$533,GP$4,0)*$AJ32,0)</f>
        <v>0</v>
      </c>
      <c r="GQ32">
        <f>IFERROR(VLOOKUP($D32,'Kalkulator mięs '!$C$5:$H$533,GQ$4,0)*$AK32,0)</f>
        <v>0</v>
      </c>
      <c r="GR32">
        <f>IFERROR(VLOOKUP($D32,'Kalkulator mięs '!$C$5:$H$533,GR$4,0)*$AK32,0)</f>
        <v>0</v>
      </c>
      <c r="GS32">
        <f>IFERROR(VLOOKUP($D32,'Kalkulator mięs '!$C$5:$H$533,GS$4,0)*$AK32,0)</f>
        <v>0</v>
      </c>
      <c r="GT32">
        <f>IFERROR(VLOOKUP($D32,'Kalkulator mięs '!$C$5:$H$533,GT$4,0)*$AL32,0)</f>
        <v>0</v>
      </c>
      <c r="GU32">
        <f>IFERROR(VLOOKUP($D32,'Kalkulator mięs '!$C$5:$H$533,GU$4,0)*$AL32,0)</f>
        <v>0</v>
      </c>
      <c r="GV32">
        <f>IFERROR(VLOOKUP($D32,'Kalkulator mięs '!$C$5:$H$533,GV$4,0)*$AL32,0)</f>
        <v>0</v>
      </c>
      <c r="GW32">
        <f>IFERROR(VLOOKUP($D32,'Kalkulator mięs '!$C$5:$H$533,GW$4,0)*$AM32,0)</f>
        <v>0</v>
      </c>
      <c r="GX32">
        <f>IFERROR(VLOOKUP($D32,'Kalkulator mięs '!$C$5:$H$533,GX$4,0)*$AM32,0)</f>
        <v>0</v>
      </c>
      <c r="GY32">
        <f>IFERROR(VLOOKUP($D32,'Kalkulator mięs '!$C$5:$H$533,GY$4,0)*$AM32,0)</f>
        <v>0</v>
      </c>
      <c r="GZ32">
        <f>IFERROR(VLOOKUP($D32,'Kalkulator mięs '!$C$5:$H$533,GZ$4,0)*$AN32,0)</f>
        <v>0</v>
      </c>
      <c r="HA32">
        <f>IFERROR(VLOOKUP($D32,'Kalkulator mięs '!$C$5:$H$533,HA$4,0)*$AN32,0)</f>
        <v>0</v>
      </c>
      <c r="HB32">
        <f>IFERROR(VLOOKUP($D32,'Kalkulator mięs '!$C$5:$H$533,HB$4,0)*$AN32,0)</f>
        <v>0</v>
      </c>
      <c r="HC32">
        <f>IFERROR(VLOOKUP($D32,'Kalkulator mięs '!$C$5:$H$533,HC$4,0)*$AO32,0)</f>
        <v>0</v>
      </c>
      <c r="HD32">
        <f>IFERROR(VLOOKUP($D32,'Kalkulator mięs '!$C$5:$H$533,HD$4,0)*$AO32,0)</f>
        <v>0</v>
      </c>
      <c r="HE32">
        <f>IFERROR(VLOOKUP($D32,'Kalkulator mięs '!$C$5:$H$533,HE$4,0)*$AO32,0)</f>
        <v>0</v>
      </c>
      <c r="HF32">
        <f>IFERROR(VLOOKUP($D32,'Kalkulator mięs '!$C$5:$H$533,HF$4,0)*$AP32,0)</f>
        <v>0</v>
      </c>
      <c r="HG32">
        <f>IFERROR(VLOOKUP($D32,'Kalkulator mięs '!$C$5:$H$533,HG$4,0)*$AP32,0)</f>
        <v>0</v>
      </c>
      <c r="HH32">
        <f>IFERROR(VLOOKUP($D32,'Kalkulator mięs '!$C$5:$H$533,HH$4,0)*$AP32,0)</f>
        <v>0</v>
      </c>
      <c r="HI32">
        <f>IFERROR(VLOOKUP($D32,'Kalkulator mięs '!$C$5:$H$533,HI$4,0)*$AQ32,0)</f>
        <v>0</v>
      </c>
      <c r="HJ32">
        <f>IFERROR(VLOOKUP($D32,'Kalkulator mięs '!$C$5:$H$533,HJ$4,0)*$AQ32,0)</f>
        <v>0</v>
      </c>
      <c r="HK32">
        <f>IFERROR(VLOOKUP($D32,'Kalkulator mięs '!$C$5:$H$533,HK$4,0)*$AQ32,0)</f>
        <v>0</v>
      </c>
      <c r="HL32">
        <f>IFERROR(VLOOKUP($D32,'Kalkulator mięs '!$C$5:$H$533,HL$4,0)*$AR32,0)</f>
        <v>0</v>
      </c>
      <c r="HM32">
        <f>IFERROR(VLOOKUP($D32,'Kalkulator mięs '!$C$5:$H$533,HM$4,0)*$AR32,0)</f>
        <v>0</v>
      </c>
      <c r="HN32">
        <f>IFERROR(VLOOKUP($D32,'Kalkulator mięs '!$C$5:$H$533,HN$4,0)*$AR32,0)</f>
        <v>0</v>
      </c>
      <c r="HO32">
        <f>IFERROR(VLOOKUP($D32,'Kalkulator mięs '!$C$5:$H$533,HO$4,0)*$AS32,0)</f>
        <v>0</v>
      </c>
      <c r="HP32">
        <f>IFERROR(VLOOKUP($D32,'Kalkulator mięs '!$C$5:$H$533,HP$4,0)*$AS32,0)</f>
        <v>0</v>
      </c>
      <c r="HQ32">
        <f>IFERROR(VLOOKUP($D32,'Kalkulator mięs '!$C$5:$H$533,HQ$4,0)*$AS32,0)</f>
        <v>0</v>
      </c>
      <c r="HR32">
        <f>IFERROR(VLOOKUP($D32,'Kalkulator mięs '!$C$5:$H$533,HR$4,0)*$AT32,0)</f>
        <v>0</v>
      </c>
      <c r="HS32">
        <f>IFERROR(VLOOKUP($D32,'Kalkulator mięs '!$C$5:$H$533,HS$4,0)*$AT32,0)</f>
        <v>0</v>
      </c>
      <c r="HT32">
        <f>IFERROR(VLOOKUP($D32,'Kalkulator mięs '!$C$5:$H$533,HT$4,0)*$AT32,0)</f>
        <v>0</v>
      </c>
      <c r="HU32">
        <f>IFERROR(VLOOKUP($D32,'Kalkulator mięs '!$C$5:$H$533,HU$4,0)*$AU32,0)</f>
        <v>0</v>
      </c>
      <c r="HV32">
        <f>IFERROR(VLOOKUP($D32,'Kalkulator mięs '!$C$5:$H$533,HV$4,0)*$AU32,0)</f>
        <v>0</v>
      </c>
      <c r="HW32">
        <f>IFERROR(VLOOKUP($D32,'Kalkulator mięs '!$C$5:$H$533,HW$4,0)*$AU32,0)</f>
        <v>0</v>
      </c>
      <c r="HX32">
        <f>IFERROR(VLOOKUP($D32,'Kalkulator mięs '!$C$5:$H$533,HX$4,0)*$AV32,0)</f>
        <v>0</v>
      </c>
      <c r="HY32">
        <f>IFERROR(VLOOKUP($D32,'Kalkulator mięs '!$C$5:$H$533,HY$4,0)*$AV32,0)</f>
        <v>0</v>
      </c>
      <c r="HZ32">
        <f>IFERROR(VLOOKUP($D32,'Kalkulator mięs '!$C$5:$H$533,HZ$4,0)*$AV32,0)</f>
        <v>0</v>
      </c>
      <c r="IA32">
        <f>IFERROR(VLOOKUP($D32,'Kalkulator mięs '!$C$5:$H$533,IA$4,0)*$AW32,0)</f>
        <v>0</v>
      </c>
      <c r="IB32">
        <f>IFERROR(VLOOKUP($D32,'Kalkulator mięs '!$C$5:$H$533,IB$4,0)*$AW32,0)</f>
        <v>0</v>
      </c>
      <c r="IC32">
        <f>IFERROR(VLOOKUP($D32,'Kalkulator mięs '!$C$5:$H$533,IC$4,0)*$AW32,0)</f>
        <v>0</v>
      </c>
      <c r="ID32">
        <f>IFERROR(VLOOKUP($D32,'Kalkulator mięs '!$C$5:$H$533,ID$4,0)*$AX32,0)</f>
        <v>0</v>
      </c>
      <c r="IE32">
        <f>IFERROR(VLOOKUP($D32,'Kalkulator mięs '!$C$5:$H$533,IE$4,0)*$AX32,0)</f>
        <v>0</v>
      </c>
      <c r="IF32">
        <f>IFERROR(VLOOKUP($D32,'Kalkulator mięs '!$C$5:$H$533,IF$4,0)*$AX32,0)</f>
        <v>0</v>
      </c>
      <c r="IG32">
        <f>IFERROR(VLOOKUP($D32,'Kalkulator mięs '!$C$5:$H$533,IG$4,0)*$AY32,0)</f>
        <v>0</v>
      </c>
      <c r="IH32">
        <f>IFERROR(VLOOKUP($D32,'Kalkulator mięs '!$C$5:$H$533,IH$4,0)*$AY32,0)</f>
        <v>0</v>
      </c>
      <c r="II32">
        <f>IFERROR(VLOOKUP($D32,'Kalkulator mięs '!$C$5:$H$533,II$4,0)*$AY32,0)</f>
        <v>0</v>
      </c>
      <c r="IJ32">
        <f>IFERROR(VLOOKUP($D32,'Kalkulator mięs '!$C$5:$H$533,IJ$4,0)*$AZ32,0)</f>
        <v>0</v>
      </c>
      <c r="IK32">
        <f>IFERROR(VLOOKUP($D32,'Kalkulator mięs '!$C$5:$H$533,IK$4,0)*$AZ32,0)</f>
        <v>0</v>
      </c>
      <c r="IL32">
        <f>IFERROR(VLOOKUP($D32,'Kalkulator mięs '!$C$5:$H$533,IL$4,0)*$AZ32,0)</f>
        <v>0</v>
      </c>
      <c r="IM32">
        <f>IFERROR(VLOOKUP($D32,'Kalkulator mięs '!$C$5:$H$533,IM$4,0)*$BA32,0)</f>
        <v>0</v>
      </c>
      <c r="IN32">
        <f>IFERROR(VLOOKUP($D32,'Kalkulator mięs '!$C$5:$H$533,IN$4,0)*$BA32,0)</f>
        <v>0</v>
      </c>
      <c r="IO32">
        <f>IFERROR(VLOOKUP($D32,'Kalkulator mięs '!$C$5:$H$533,IO$4,0)*$BA32,0)</f>
        <v>0</v>
      </c>
    </row>
    <row r="33" spans="1:249" ht="15.75">
      <c r="A33" s="91"/>
      <c r="B33" t="str">
        <f>VLOOKUP(D33,Receptury_z!$A:$B,2,0)</f>
        <v>ON</v>
      </c>
      <c r="C33" s="16">
        <v>5576</v>
      </c>
      <c r="D33" s="19">
        <v>6465</v>
      </c>
      <c r="E33" s="18" t="s">
        <v>207</v>
      </c>
      <c r="F33" s="14">
        <f>IF($B33="OFF",BE33,VLOOKUP($D33,Receptury_z!$D:$AI,F$4,0))</f>
        <v>0</v>
      </c>
      <c r="G33" s="14">
        <f>IF($B33="OFF",BF33,VLOOKUP($D33,Receptury_z!$D:$AI,G$4,0))</f>
        <v>0</v>
      </c>
      <c r="H33" s="14">
        <f>IF($B33="OFF",BG33,VLOOKUP($D33,Receptury_z!$D:$AI,H$4,0))</f>
        <v>0</v>
      </c>
      <c r="I33" s="14">
        <f>IF($B33="OFF",BH33,VLOOKUP($D33,Receptury_z!$D:$AI,I$4,0))</f>
        <v>0</v>
      </c>
      <c r="J33" s="14">
        <f>IF($B33="OFF",BI33,VLOOKUP($D33,Receptury_z!$D:$AI,J$4,0))</f>
        <v>0</v>
      </c>
      <c r="K33" s="14">
        <f>IF($B33="OFF",BJ33,VLOOKUP($D33,Receptury_z!$D:$AI,K$4,0))</f>
        <v>0</v>
      </c>
      <c r="L33" s="14">
        <f>IF($B33="OFF",BK33,VLOOKUP($D33,Receptury_z!$D:$AI,L$4,0))</f>
        <v>259.3</v>
      </c>
      <c r="M33" s="14">
        <f>IF($B33="OFF",BL33,VLOOKUP($D33,Receptury_z!$D:$AI,M$4,0))</f>
        <v>0</v>
      </c>
      <c r="N33" s="14">
        <f>IF($B33="OFF",BM33,VLOOKUP($D33,Receptury_z!$D:$AI,N$4,0))</f>
        <v>0</v>
      </c>
      <c r="O33" s="14">
        <f>IF($B33="OFF",BN33,VLOOKUP($D33,Receptury_z!$D:$AI,O$4,0))</f>
        <v>0</v>
      </c>
      <c r="P33" s="14">
        <f>IF($B33="OFF",BO33,VLOOKUP($D33,Receptury_z!$D:$AI,P$4,0))</f>
        <v>0</v>
      </c>
      <c r="Q33" s="14">
        <f>IF($B33="OFF",BP33,VLOOKUP($D33,Receptury_z!$D:$AI,Q$4,0))</f>
        <v>0</v>
      </c>
      <c r="R33" s="14">
        <f>IF($B33="OFF",BQ33,VLOOKUP($D33,Receptury_z!$D:$AI,R$4,0))</f>
        <v>0</v>
      </c>
      <c r="S33" s="14">
        <f>IF($B33="OFF",BR33,VLOOKUP($D33,Receptury_z!$D:$AI,S$4,0))</f>
        <v>0</v>
      </c>
      <c r="T33" s="14">
        <f>IF($B33="OFF",BS33,VLOOKUP($D33,Receptury_z!$D:$AI,T$4,0))</f>
        <v>0</v>
      </c>
      <c r="U33" s="14">
        <f>IF($B33="OFF",BT33,VLOOKUP($D33,Receptury_z!$D:$AI,U$4,0))</f>
        <v>407.4</v>
      </c>
      <c r="V33" s="14">
        <f>IF($B33="OFF",BU33,VLOOKUP($D33,Receptury_z!$D:$AI,V$4,0))</f>
        <v>0</v>
      </c>
      <c r="W33" s="14">
        <f>IF($B33="OFF",BV33,VLOOKUP($D33,Receptury_z!$D:$AI,W$4,0))</f>
        <v>0</v>
      </c>
      <c r="X33" s="14">
        <f>IF($B33="OFF",BW33,VLOOKUP($D33,Receptury_z!$D:$AI,X$4,0))</f>
        <v>74.099999999999994</v>
      </c>
      <c r="Y33" s="14">
        <f>IF($B33="OFF",BX33,VLOOKUP($D33,Receptury_z!$D:$AI,Y$4,0))</f>
        <v>0</v>
      </c>
      <c r="Z33" s="14">
        <f>IF($B33="OFF",BY33,VLOOKUP($D33,Receptury_z!$D:$AI,Z$4,0))</f>
        <v>0</v>
      </c>
      <c r="AA33" s="14">
        <f>IF($B33="OFF",BZ33,VLOOKUP($D33,Receptury_z!$D:$AI,AA$4,0))</f>
        <v>0</v>
      </c>
      <c r="AB33" s="14">
        <f>IF($B33="OFF",CA33,VLOOKUP($D33,Receptury_z!$D:$AI,AB$4,0))</f>
        <v>0</v>
      </c>
      <c r="AC33" s="14">
        <f>IF($B33="OFF",CB33,VLOOKUP($D33,Receptury_z!$D:$AI,AC$4,0))</f>
        <v>0</v>
      </c>
      <c r="AD33" s="14">
        <f>IF($B33="OFF",CC33,VLOOKUP($D33,Receptury_z!$D:$AI,AD$4,0))</f>
        <v>0</v>
      </c>
      <c r="AE33" s="14">
        <f>IF($B33="OFF",CD33,VLOOKUP($D33,Receptury_z!$D:$AI,AE$4,0))</f>
        <v>0</v>
      </c>
      <c r="AF33" s="14">
        <f>IF($B33="OFF",CE33,VLOOKUP($D33,Receptury_z!$D:$AI,AF$4,0))</f>
        <v>0</v>
      </c>
      <c r="AG33" s="14">
        <f>IF($B33="OFF",CF33,VLOOKUP($D33,Receptury_z!$D:$AI,AG$4,0))</f>
        <v>0</v>
      </c>
      <c r="AH33" s="14">
        <f>IF($B33="OFF",CG33,VLOOKUP($D33,Receptury_z!$D:$AI,AH$4,0))</f>
        <v>0</v>
      </c>
      <c r="AI33" s="14">
        <f>IF($B33="OFF",CH33,VLOOKUP($D33,Receptury_z!$D:$AI,AI$4,0))</f>
        <v>0</v>
      </c>
      <c r="AJ33" s="14">
        <f>IF($B33="OFF",CI33,VLOOKUP($D33,Receptury_z!$D:$AS,AJ$4,0))</f>
        <v>0</v>
      </c>
      <c r="AK33" s="14">
        <f>IF($B33="OFF",CJ33,VLOOKUP($D33,Receptury_z!$D:$AS,AK$4,0))</f>
        <v>0</v>
      </c>
      <c r="AL33" s="14">
        <f>IF($B33="OFF",CK33,VLOOKUP($D33,Receptury_z!$D:$AS,AL$4,0))</f>
        <v>0</v>
      </c>
      <c r="AM33" s="14">
        <f>IF($B33="OFF",CL33,VLOOKUP($D33,Receptury_z!$D:$AS,AM$4,0))</f>
        <v>0</v>
      </c>
      <c r="AN33" s="14">
        <f>IF($B33="OFF",CM33,VLOOKUP($D33,Receptury_z!$D:$AS,AN$4,0))</f>
        <v>0</v>
      </c>
      <c r="AO33" s="14">
        <f>IF($B33="OFF",CN33,VLOOKUP($D33,Receptury_z!$D:$AS,AO$4,0))</f>
        <v>0</v>
      </c>
      <c r="AP33" s="14">
        <f>IF($B33="OFF",CO33,VLOOKUP($D33,Receptury_z!$D:$AS,AP$4,0))</f>
        <v>0</v>
      </c>
      <c r="AQ33" s="14">
        <f>IF($B33="OFF",CP33,VLOOKUP($D33,Receptury_z!$D:$AS,AQ$4,0))</f>
        <v>0</v>
      </c>
      <c r="AR33" s="14">
        <f>IF($B33="OFF",CQ33,VLOOKUP($D33,Receptury_z!$D:$AS,AR$4,0))</f>
        <v>0</v>
      </c>
      <c r="AS33" s="14">
        <f>IF($B33="OFF",CR33,VLOOKUP($D33,Receptury_z!$D:$AS,AS$4,0))</f>
        <v>0</v>
      </c>
      <c r="AT33" s="14">
        <f>IF($B33="OFF",CS33,VLOOKUP($D33,Receptury_z!$D:$AV,AT$4,0))</f>
        <v>0</v>
      </c>
      <c r="AU33" s="14">
        <f>IF($B33="OFF",CT33,VLOOKUP($D33,Receptury_z!$D:$AV,AU$4,0))</f>
        <v>0</v>
      </c>
      <c r="AV33" s="14">
        <f>IF($B33="OFF",CU33,VLOOKUP($D33,Receptury_z!$D:$AV,AV$4,0))</f>
        <v>0</v>
      </c>
      <c r="AW33" s="14">
        <f>IF($B33="OFF",CV33,VLOOKUP($D33,Receptury_z!$D:$BA,AW$4,0))</f>
        <v>0</v>
      </c>
      <c r="AX33" s="14">
        <f>IF($B33="OFF",CW33,VLOOKUP($D33,Receptury_z!$D:$BA,AX$4,0))</f>
        <v>0</v>
      </c>
      <c r="AY33" s="14">
        <f>IF($B33="OFF",CX33,VLOOKUP($D33,Receptury_z!$D:$BA,AY$4,0))</f>
        <v>0</v>
      </c>
      <c r="AZ33" s="14">
        <f>IF($B33="OFF",DA33,VLOOKUP($D33,Receptury_z!$D:$BA,AZ$4,0))</f>
        <v>0</v>
      </c>
      <c r="BA33" s="14">
        <f>IF($B33="OFF",DB33,VLOOKUP($D33,Receptury_z!$D:$BA,BA$4,0))</f>
        <v>0</v>
      </c>
      <c r="BC33" s="19">
        <v>6465</v>
      </c>
      <c r="BD33" s="18" t="s">
        <v>207</v>
      </c>
      <c r="BE33" s="239">
        <v>0</v>
      </c>
      <c r="BF33" s="239">
        <v>0</v>
      </c>
      <c r="BG33" s="239">
        <v>0</v>
      </c>
      <c r="BH33" s="239">
        <v>0</v>
      </c>
      <c r="BI33" s="239">
        <v>0</v>
      </c>
      <c r="BJ33" s="239">
        <v>0</v>
      </c>
      <c r="BK33" s="239">
        <v>256.3</v>
      </c>
      <c r="BL33" s="239">
        <v>0</v>
      </c>
      <c r="BM33" s="239">
        <v>74.099999999999994</v>
      </c>
      <c r="BN33" s="239">
        <v>0</v>
      </c>
      <c r="BO33" s="239">
        <v>0</v>
      </c>
      <c r="BP33" s="239">
        <v>0</v>
      </c>
      <c r="BQ33" s="239">
        <v>0</v>
      </c>
      <c r="BR33" s="239">
        <v>0</v>
      </c>
      <c r="BS33" s="239">
        <v>0</v>
      </c>
      <c r="BT33" s="239">
        <v>407.4</v>
      </c>
      <c r="BU33" s="239">
        <v>0</v>
      </c>
      <c r="BV33" s="239">
        <v>0</v>
      </c>
      <c r="BW33" s="239">
        <v>0</v>
      </c>
      <c r="BX33" s="239">
        <v>0</v>
      </c>
      <c r="BY33" s="239">
        <v>0</v>
      </c>
      <c r="BZ33" s="239">
        <v>0</v>
      </c>
      <c r="CA33" s="239">
        <v>0</v>
      </c>
      <c r="CB33" s="239">
        <v>0</v>
      </c>
      <c r="CC33" s="239">
        <v>0</v>
      </c>
      <c r="CD33" s="239">
        <v>0</v>
      </c>
      <c r="CE33" s="239">
        <v>0</v>
      </c>
      <c r="CF33" s="239">
        <v>0</v>
      </c>
      <c r="CG33" s="239">
        <v>0</v>
      </c>
      <c r="CH33" s="239">
        <v>0</v>
      </c>
      <c r="CI33" s="239">
        <v>0</v>
      </c>
      <c r="CJ33" s="239">
        <v>0</v>
      </c>
      <c r="CK33" s="239">
        <v>0</v>
      </c>
      <c r="CL33" s="239">
        <v>0</v>
      </c>
      <c r="CM33" s="80"/>
      <c r="CN33" s="80"/>
      <c r="CO33" s="80"/>
      <c r="CP33" s="80"/>
      <c r="CQ33" s="80"/>
      <c r="CR33" s="80"/>
      <c r="CS33" s="80"/>
      <c r="CT33" s="80"/>
      <c r="CU33" s="80"/>
      <c r="CV33" s="80"/>
      <c r="CW33" s="80"/>
      <c r="CX33" s="80"/>
      <c r="CY33" s="80"/>
      <c r="CZ33" s="80"/>
      <c r="DB33">
        <f>IFERROR(VLOOKUP($D33,'Kalkulator mięs '!$C$5:$H$533,DB$4,0)*F33,0)</f>
        <v>0</v>
      </c>
      <c r="DC33">
        <f>IFERROR(VLOOKUP($D33,'Kalkulator mięs '!$C$5:$H$533,DC$4,0)*F33,0)</f>
        <v>0</v>
      </c>
      <c r="DD33">
        <f>IFERROR(VLOOKUP($D33,'Kalkulator mięs '!$C$5:$H$533,DD$4,0)*F33,0)</f>
        <v>0</v>
      </c>
      <c r="DE33">
        <f>IFERROR(VLOOKUP($D33,'Kalkulator mięs '!$C$5:$H$533,DE$4,0)*$G33,0)</f>
        <v>0</v>
      </c>
      <c r="DF33">
        <f>IFERROR(VLOOKUP($D33,'Kalkulator mięs '!$C$5:$H$533,DF$4,0)*$G33,0)</f>
        <v>0</v>
      </c>
      <c r="DG33">
        <f>IFERROR(VLOOKUP($D33,'Kalkulator mięs '!$C$5:$H$533,DG$4,0)*$G33,0)</f>
        <v>0</v>
      </c>
      <c r="DH33">
        <f>IFERROR(VLOOKUP($D33,'Kalkulator mięs '!$C$5:$H$533,DH$4,0)*$H33,0)</f>
        <v>0</v>
      </c>
      <c r="DI33">
        <f>IFERROR(VLOOKUP($D33,'Kalkulator mięs '!$C$5:$H$533,DI$4,0)*$H33,0)</f>
        <v>0</v>
      </c>
      <c r="DJ33">
        <f>IFERROR(VLOOKUP($D33,'Kalkulator mięs '!$C$5:$H$533,DJ$4,0)*$H33,0)</f>
        <v>0</v>
      </c>
      <c r="DK33">
        <f>IFERROR(VLOOKUP($D33,'Kalkulator mięs '!$C$5:$H$533,DK$4,0)*$I33,0)</f>
        <v>0</v>
      </c>
      <c r="DL33">
        <f>IFERROR(VLOOKUP($D33,'Kalkulator mięs '!$C$5:$H$533,DL$4,0)*$I33,0)</f>
        <v>0</v>
      </c>
      <c r="DM33">
        <f>IFERROR(VLOOKUP($D33,'Kalkulator mięs '!$C$5:$H$533,DM$4,0)*$I33,0)</f>
        <v>0</v>
      </c>
      <c r="DN33">
        <f>IFERROR(VLOOKUP($D33,'Kalkulator mięs '!$C$5:$H$533,DN$4,0)*$J33,0)</f>
        <v>0</v>
      </c>
      <c r="DO33">
        <f>IFERROR(VLOOKUP($D33,'Kalkulator mięs '!$C$5:$H$533,DO$4,0)*$J33,0)</f>
        <v>0</v>
      </c>
      <c r="DP33">
        <f>IFERROR(VLOOKUP($D33,'Kalkulator mięs '!$C$5:$H$533,DP$4,0)*$J33,0)</f>
        <v>0</v>
      </c>
      <c r="DQ33">
        <f>IFERROR(VLOOKUP($D33,'Kalkulator mięs '!$C$5:$H$533,DQ$4,0)*$K33,0)</f>
        <v>0</v>
      </c>
      <c r="DR33">
        <f>IFERROR(VLOOKUP($D33,'Kalkulator mięs '!$C$5:$H$533,DR$4,0)*$K33,0)</f>
        <v>0</v>
      </c>
      <c r="DS33">
        <f>IFERROR(VLOOKUP($D33,'Kalkulator mięs '!$C$5:$H$533,DS$4,0)*$K33,0)</f>
        <v>0</v>
      </c>
      <c r="DT33">
        <f>IFERROR(VLOOKUP($D33,'Kalkulator mięs '!$C$5:$H$533,DT$4,0)*$L33,0)</f>
        <v>0</v>
      </c>
      <c r="DU33">
        <f>IFERROR(VLOOKUP($D33,'Kalkulator mięs '!$C$5:$H$533,DU$4,0)*$L33,0)</f>
        <v>0</v>
      </c>
      <c r="DV33">
        <f>IFERROR(VLOOKUP($D33,'Kalkulator mięs '!$C$5:$H$533,DV$4,0)*$L33,0)</f>
        <v>0</v>
      </c>
      <c r="DW33">
        <f>IFERROR(VLOOKUP($D33,'Kalkulator mięs '!$C$5:$H$533,DW$4,0)*$M33,0)</f>
        <v>0</v>
      </c>
      <c r="DX33">
        <f>IFERROR(VLOOKUP($D33,'Kalkulator mięs '!$C$5:$H$533,DX$4,0)*$M33,0)</f>
        <v>0</v>
      </c>
      <c r="DY33">
        <f>IFERROR(VLOOKUP($D33,'Kalkulator mięs '!$C$5:$H$533,DY$4,0)*$M33,0)</f>
        <v>0</v>
      </c>
      <c r="DZ33">
        <f>IFERROR(VLOOKUP($D33,'Kalkulator mięs '!$C$5:$H$533,DZ$4,0)*$N33,0)</f>
        <v>0</v>
      </c>
      <c r="EA33">
        <f>IFERROR(VLOOKUP($D33,'Kalkulator mięs '!$C$5:$H$533,EA$4,0)*$N33,0)</f>
        <v>0</v>
      </c>
      <c r="EB33">
        <f>IFERROR(VLOOKUP($D33,'Kalkulator mięs '!$C$5:$H$533,EB$4,0)*$N33,0)</f>
        <v>0</v>
      </c>
      <c r="EC33">
        <f>IFERROR(VLOOKUP($D33,'Kalkulator mięs '!$C$5:$H$533,EC$4,0)*$O33,0)</f>
        <v>0</v>
      </c>
      <c r="ED33">
        <f>IFERROR(VLOOKUP($D33,'Kalkulator mięs '!$C$5:$H$533,ED$4,0)*$O33,0)</f>
        <v>0</v>
      </c>
      <c r="EE33">
        <f>IFERROR(VLOOKUP($D33,'Kalkulator mięs '!$C$5:$H$533,EE$4,0)*$O33,0)</f>
        <v>0</v>
      </c>
      <c r="EF33">
        <f>IFERROR(VLOOKUP($D33,'Kalkulator mięs '!$C$5:$H$533,EF$4,0)*$P33,0)</f>
        <v>0</v>
      </c>
      <c r="EG33">
        <f>IFERROR(VLOOKUP($D33,'Kalkulator mięs '!$C$5:$H$533,EG$4,0)*$P33,0)</f>
        <v>0</v>
      </c>
      <c r="EH33">
        <f>IFERROR(VLOOKUP($D33,'Kalkulator mięs '!$C$5:$H$533,EH$4,0)*$P33,0)</f>
        <v>0</v>
      </c>
      <c r="EI33">
        <f>IFERROR(VLOOKUP($D33,'Kalkulator mięs '!$C$5:$H$533,EI$4,0)*$Q33,0)</f>
        <v>0</v>
      </c>
      <c r="EJ33">
        <f>IFERROR(VLOOKUP($D33,'Kalkulator mięs '!$C$5:$H$533,EJ$4,0)*$Q33,0)</f>
        <v>0</v>
      </c>
      <c r="EK33">
        <f>IFERROR(VLOOKUP($D33,'Kalkulator mięs '!$C$5:$H$533,EK$4,0)*$Q33,0)</f>
        <v>0</v>
      </c>
      <c r="EL33">
        <f>IFERROR(VLOOKUP($D33,'Kalkulator mięs '!$C$5:$H$533,EL$4,0)*$R33,0)</f>
        <v>0</v>
      </c>
      <c r="EM33">
        <f>IFERROR(VLOOKUP($D33,'Kalkulator mięs '!$C$5:$H$533,EM$4,0)*$R33,0)</f>
        <v>0</v>
      </c>
      <c r="EN33">
        <f>IFERROR(VLOOKUP($D33,'Kalkulator mięs '!$C$5:$H$533,EN$4,0)*$R33,0)</f>
        <v>0</v>
      </c>
      <c r="EO33">
        <f>IFERROR(VLOOKUP($D33,'Kalkulator mięs '!$C$5:$H$533,EO$4,0)*$S33,0)</f>
        <v>0</v>
      </c>
      <c r="EP33">
        <f>IFERROR(VLOOKUP($D33,'Kalkulator mięs '!$C$5:$H$533,EP$4,0)*$S33,0)</f>
        <v>0</v>
      </c>
      <c r="EQ33">
        <f>IFERROR(VLOOKUP($D33,'Kalkulator mięs '!$C$5:$H$533,EQ$4,0)*$S33,0)</f>
        <v>0</v>
      </c>
      <c r="ER33">
        <f>IFERROR(VLOOKUP($D33,'Kalkulator mięs '!$C$5:$H$533,ER$4,0)*$T33,0)</f>
        <v>0</v>
      </c>
      <c r="ES33">
        <f>IFERROR(VLOOKUP($D33,'Kalkulator mięs '!$C$5:$H$533,ES$4,0)*$T33,0)</f>
        <v>0</v>
      </c>
      <c r="ET33">
        <f>IFERROR(VLOOKUP($D33,'Kalkulator mięs '!$C$5:$H$533,ET$4,0)*$T33,0)</f>
        <v>0</v>
      </c>
      <c r="EU33">
        <f>IFERROR(VLOOKUP($D33,'Kalkulator mięs '!$C$5:$H$533,EU$4,0)*$U33,0)</f>
        <v>0</v>
      </c>
      <c r="EV33">
        <f>IFERROR(VLOOKUP($D33,'Kalkulator mięs '!$C$5:$H$533,EV$4,0)*$U33,0)</f>
        <v>0</v>
      </c>
      <c r="EW33">
        <f>IFERROR(VLOOKUP($D33,'Kalkulator mięs '!$C$5:$H$533,EW$4,0)*$U33,0)</f>
        <v>0</v>
      </c>
      <c r="EX33">
        <f>IFERROR(VLOOKUP($D33,'Kalkulator mięs '!$C$5:$H$533,EX$4,0)*$V33,0)</f>
        <v>0</v>
      </c>
      <c r="EY33">
        <f>IFERROR(VLOOKUP($D33,'Kalkulator mięs '!$C$5:$H$533,EY$4,0)*$V33,0)</f>
        <v>0</v>
      </c>
      <c r="EZ33">
        <f>IFERROR(VLOOKUP($D33,'Kalkulator mięs '!$C$5:$H$533,EZ$4,0)*$V33,0)</f>
        <v>0</v>
      </c>
      <c r="FA33">
        <f>IFERROR(VLOOKUP($D33,'Kalkulator mięs '!$C$5:$H$533,FA$4,0)*$W33,0)</f>
        <v>0</v>
      </c>
      <c r="FB33">
        <f>IFERROR(VLOOKUP($D33,'Kalkulator mięs '!$C$5:$H$533,FB$4,0)*$W33,0)</f>
        <v>0</v>
      </c>
      <c r="FC33">
        <f>IFERROR(VLOOKUP($D33,'Kalkulator mięs '!$C$5:$H$533,FC$4,0)*$W33,0)</f>
        <v>0</v>
      </c>
      <c r="FD33">
        <f>IFERROR(VLOOKUP($D33,'Kalkulator mięs '!$C$5:$H$533,FD$4,0)*$X33,0)</f>
        <v>0</v>
      </c>
      <c r="FE33">
        <f>IFERROR(VLOOKUP($D33,'Kalkulator mięs '!$C$5:$H$533,FE$4,0)*$X33,0)</f>
        <v>0</v>
      </c>
      <c r="FF33">
        <f>IFERROR(VLOOKUP($D33,'Kalkulator mięs '!$C$5:$H$533,FF$4,0)*$X33,0)</f>
        <v>0</v>
      </c>
      <c r="FG33">
        <f>IFERROR(VLOOKUP($D33,'Kalkulator mięs '!$C$5:$H$533,FG$4,0)*$Y33,0)</f>
        <v>0</v>
      </c>
      <c r="FH33">
        <f>IFERROR(VLOOKUP($D33,'Kalkulator mięs '!$C$5:$H$533,FH$4,0)*$Y33,0)</f>
        <v>0</v>
      </c>
      <c r="FI33">
        <f>IFERROR(VLOOKUP($D33,'Kalkulator mięs '!$C$5:$H$533,FI$4,0)*$Y33,0)</f>
        <v>0</v>
      </c>
      <c r="FJ33">
        <f>IFERROR(VLOOKUP($D33,'Kalkulator mięs '!$C$5:$H$533,FJ$4,0)*$Z33,0)</f>
        <v>0</v>
      </c>
      <c r="FK33">
        <f>IFERROR(VLOOKUP($D33,'Kalkulator mięs '!$C$5:$H$533,FK$4,0)*$Z33,0)</f>
        <v>0</v>
      </c>
      <c r="FL33">
        <f>IFERROR(VLOOKUP($D33,'Kalkulator mięs '!$C$5:$H$533,FL$4,0)*$Z33,0)</f>
        <v>0</v>
      </c>
      <c r="FM33">
        <f>IFERROR(VLOOKUP($D33,'Kalkulator mięs '!$C$5:$H$533,FM$4,0)*$AA33,0)</f>
        <v>0</v>
      </c>
      <c r="FN33">
        <f>IFERROR(VLOOKUP($D33,'Kalkulator mięs '!$C$5:$H$533,FN$4,0)*$AA33,0)</f>
        <v>0</v>
      </c>
      <c r="FO33">
        <f>IFERROR(VLOOKUP($D33,'Kalkulator mięs '!$C$5:$H$533,FO$4,0)*$AA33,0)</f>
        <v>0</v>
      </c>
      <c r="FP33">
        <f>IFERROR(VLOOKUP($D33,'Kalkulator mięs '!$C$5:$H$533,FP$4,0)*$AB33,0)</f>
        <v>0</v>
      </c>
      <c r="FQ33">
        <f>IFERROR(VLOOKUP($D33,'Kalkulator mięs '!$C$5:$H$533,FQ$4,0)*$AB33,0)</f>
        <v>0</v>
      </c>
      <c r="FR33">
        <f>IFERROR(VLOOKUP($D33,'Kalkulator mięs '!$C$5:$H$533,FR$4,0)*$AB33,0)</f>
        <v>0</v>
      </c>
      <c r="FS33">
        <f>IFERROR(VLOOKUP($D33,'Kalkulator mięs '!$C$5:$H$533,FS$4,0)*$AC33,0)</f>
        <v>0</v>
      </c>
      <c r="FT33">
        <f>IFERROR(VLOOKUP($D33,'Kalkulator mięs '!$C$5:$H$533,FT$4,0)*$AC33,0)</f>
        <v>0</v>
      </c>
      <c r="FU33">
        <f>IFERROR(VLOOKUP($D33,'Kalkulator mięs '!$C$5:$H$533,FU$4,0)*$AC33,0)</f>
        <v>0</v>
      </c>
      <c r="FV33">
        <f>IFERROR(VLOOKUP($D33,'Kalkulator mięs '!$C$5:$H$533,FV$4,0)*$AD33,0)</f>
        <v>0</v>
      </c>
      <c r="FW33">
        <f>IFERROR(VLOOKUP($D33,'Kalkulator mięs '!$C$5:$H$533,FW$4,0)*$AD33,0)</f>
        <v>0</v>
      </c>
      <c r="FX33">
        <f>IFERROR(VLOOKUP($D33,'Kalkulator mięs '!$C$5:$H$533,FX$4,0)*$AD33,0)</f>
        <v>0</v>
      </c>
      <c r="FY33">
        <f>IFERROR(VLOOKUP($D33,'Kalkulator mięs '!$C$5:$H$533,FY$4,0)*$AE33,0)</f>
        <v>0</v>
      </c>
      <c r="FZ33">
        <f>IFERROR(VLOOKUP($D33,'Kalkulator mięs '!$C$5:$H$533,FZ$4,0)*$AE33,0)</f>
        <v>0</v>
      </c>
      <c r="GA33">
        <f>IFERROR(VLOOKUP($D33,'Kalkulator mięs '!$C$5:$H$533,GA$4,0)*$AE33,0)</f>
        <v>0</v>
      </c>
      <c r="GB33">
        <f>IFERROR(VLOOKUP($D33,'Kalkulator mięs '!$C$5:$H$533,GB$4,0)*$AF33,0)</f>
        <v>0</v>
      </c>
      <c r="GC33">
        <f>IFERROR(VLOOKUP($D33,'Kalkulator mięs '!$C$5:$H$533,GC$4,0)*$AF33,0)</f>
        <v>0</v>
      </c>
      <c r="GD33">
        <f>IFERROR(VLOOKUP($D33,'Kalkulator mięs '!$C$5:$H$533,GD$4,0)*$AF33,0)</f>
        <v>0</v>
      </c>
      <c r="GE33">
        <f>IFERROR(VLOOKUP($D33,'Kalkulator mięs '!$C$5:$H$533,GE$4,0)*$AG33,0)</f>
        <v>0</v>
      </c>
      <c r="GF33">
        <f>IFERROR(VLOOKUP($D33,'Kalkulator mięs '!$C$5:$H$533,GF$4,0)*$AG33,0)</f>
        <v>0</v>
      </c>
      <c r="GG33">
        <f>IFERROR(VLOOKUP($D33,'Kalkulator mięs '!$C$5:$H$533,GG$4,0)*$AG33,0)</f>
        <v>0</v>
      </c>
      <c r="GH33">
        <f>IFERROR(VLOOKUP($D33,'Kalkulator mięs '!$C$5:$H$533,GH$4,0)*$AH33,0)</f>
        <v>0</v>
      </c>
      <c r="GI33">
        <f>IFERROR(VLOOKUP($D33,'Kalkulator mięs '!$C$5:$H$533,GI$4,0)*$AH33,0)</f>
        <v>0</v>
      </c>
      <c r="GJ33">
        <f>IFERROR(VLOOKUP($D33,'Kalkulator mięs '!$C$5:$H$533,GJ$4,0)*$AH33,0)</f>
        <v>0</v>
      </c>
      <c r="GK33">
        <f>IFERROR(VLOOKUP($D33,'Kalkulator mięs '!$C$5:$H$533,GK$4,0)*$AI33,0)</f>
        <v>0</v>
      </c>
      <c r="GL33">
        <f>IFERROR(VLOOKUP($D33,'Kalkulator mięs '!$C$5:$H$533,GL$4,0)*$AI33,0)</f>
        <v>0</v>
      </c>
      <c r="GM33">
        <f>IFERROR(VLOOKUP($D33,'Kalkulator mięs '!$C$5:$H$533,GM$4,0)*$AI33,0)</f>
        <v>0</v>
      </c>
      <c r="GN33">
        <f>IFERROR(VLOOKUP($D33,'Kalkulator mięs '!$C$5:$H$533,GN$4,0)*$AJ33,0)</f>
        <v>0</v>
      </c>
      <c r="GO33">
        <f>IFERROR(VLOOKUP($D33,'Kalkulator mięs '!$C$5:$H$533,GO$4,0)*$AJ33,0)</f>
        <v>0</v>
      </c>
      <c r="GP33">
        <f>IFERROR(VLOOKUP($D33,'Kalkulator mięs '!$C$5:$H$533,GP$4,0)*$AJ33,0)</f>
        <v>0</v>
      </c>
      <c r="GQ33">
        <f>IFERROR(VLOOKUP($D33,'Kalkulator mięs '!$C$5:$H$533,GQ$4,0)*$AK33,0)</f>
        <v>0</v>
      </c>
      <c r="GR33">
        <f>IFERROR(VLOOKUP($D33,'Kalkulator mięs '!$C$5:$H$533,GR$4,0)*$AK33,0)</f>
        <v>0</v>
      </c>
      <c r="GS33">
        <f>IFERROR(VLOOKUP($D33,'Kalkulator mięs '!$C$5:$H$533,GS$4,0)*$AK33,0)</f>
        <v>0</v>
      </c>
      <c r="GT33">
        <f>IFERROR(VLOOKUP($D33,'Kalkulator mięs '!$C$5:$H$533,GT$4,0)*$AL33,0)</f>
        <v>0</v>
      </c>
      <c r="GU33">
        <f>IFERROR(VLOOKUP($D33,'Kalkulator mięs '!$C$5:$H$533,GU$4,0)*$AL33,0)</f>
        <v>0</v>
      </c>
      <c r="GV33">
        <f>IFERROR(VLOOKUP($D33,'Kalkulator mięs '!$C$5:$H$533,GV$4,0)*$AL33,0)</f>
        <v>0</v>
      </c>
      <c r="GW33">
        <f>IFERROR(VLOOKUP($D33,'Kalkulator mięs '!$C$5:$H$533,GW$4,0)*$AM33,0)</f>
        <v>0</v>
      </c>
      <c r="GX33">
        <f>IFERROR(VLOOKUP($D33,'Kalkulator mięs '!$C$5:$H$533,GX$4,0)*$AM33,0)</f>
        <v>0</v>
      </c>
      <c r="GY33">
        <f>IFERROR(VLOOKUP($D33,'Kalkulator mięs '!$C$5:$H$533,GY$4,0)*$AM33,0)</f>
        <v>0</v>
      </c>
      <c r="GZ33">
        <f>IFERROR(VLOOKUP($D33,'Kalkulator mięs '!$C$5:$H$533,GZ$4,0)*$AN33,0)</f>
        <v>0</v>
      </c>
      <c r="HA33">
        <f>IFERROR(VLOOKUP($D33,'Kalkulator mięs '!$C$5:$H$533,HA$4,0)*$AN33,0)</f>
        <v>0</v>
      </c>
      <c r="HB33">
        <f>IFERROR(VLOOKUP($D33,'Kalkulator mięs '!$C$5:$H$533,HB$4,0)*$AN33,0)</f>
        <v>0</v>
      </c>
      <c r="HC33">
        <f>IFERROR(VLOOKUP($D33,'Kalkulator mięs '!$C$5:$H$533,HC$4,0)*$AO33,0)</f>
        <v>0</v>
      </c>
      <c r="HD33">
        <f>IFERROR(VLOOKUP($D33,'Kalkulator mięs '!$C$5:$H$533,HD$4,0)*$AO33,0)</f>
        <v>0</v>
      </c>
      <c r="HE33">
        <f>IFERROR(VLOOKUP($D33,'Kalkulator mięs '!$C$5:$H$533,HE$4,0)*$AO33,0)</f>
        <v>0</v>
      </c>
      <c r="HF33">
        <f>IFERROR(VLOOKUP($D33,'Kalkulator mięs '!$C$5:$H$533,HF$4,0)*$AP33,0)</f>
        <v>0</v>
      </c>
      <c r="HG33">
        <f>IFERROR(VLOOKUP($D33,'Kalkulator mięs '!$C$5:$H$533,HG$4,0)*$AP33,0)</f>
        <v>0</v>
      </c>
      <c r="HH33">
        <f>IFERROR(VLOOKUP($D33,'Kalkulator mięs '!$C$5:$H$533,HH$4,0)*$AP33,0)</f>
        <v>0</v>
      </c>
      <c r="HI33">
        <f>IFERROR(VLOOKUP($D33,'Kalkulator mięs '!$C$5:$H$533,HI$4,0)*$AQ33,0)</f>
        <v>0</v>
      </c>
      <c r="HJ33">
        <f>IFERROR(VLOOKUP($D33,'Kalkulator mięs '!$C$5:$H$533,HJ$4,0)*$AQ33,0)</f>
        <v>0</v>
      </c>
      <c r="HK33">
        <f>IFERROR(VLOOKUP($D33,'Kalkulator mięs '!$C$5:$H$533,HK$4,0)*$AQ33,0)</f>
        <v>0</v>
      </c>
      <c r="HL33">
        <f>IFERROR(VLOOKUP($D33,'Kalkulator mięs '!$C$5:$H$533,HL$4,0)*$AR33,0)</f>
        <v>0</v>
      </c>
      <c r="HM33">
        <f>IFERROR(VLOOKUP($D33,'Kalkulator mięs '!$C$5:$H$533,HM$4,0)*$AR33,0)</f>
        <v>0</v>
      </c>
      <c r="HN33">
        <f>IFERROR(VLOOKUP($D33,'Kalkulator mięs '!$C$5:$H$533,HN$4,0)*$AR33,0)</f>
        <v>0</v>
      </c>
      <c r="HO33">
        <f>IFERROR(VLOOKUP($D33,'Kalkulator mięs '!$C$5:$H$533,HO$4,0)*$AS33,0)</f>
        <v>0</v>
      </c>
      <c r="HP33">
        <f>IFERROR(VLOOKUP($D33,'Kalkulator mięs '!$C$5:$H$533,HP$4,0)*$AS33,0)</f>
        <v>0</v>
      </c>
      <c r="HQ33">
        <f>IFERROR(VLOOKUP($D33,'Kalkulator mięs '!$C$5:$H$533,HQ$4,0)*$AS33,0)</f>
        <v>0</v>
      </c>
      <c r="HR33">
        <f>IFERROR(VLOOKUP($D33,'Kalkulator mięs '!$C$5:$H$533,HR$4,0)*$AT33,0)</f>
        <v>0</v>
      </c>
      <c r="HS33">
        <f>IFERROR(VLOOKUP($D33,'Kalkulator mięs '!$C$5:$H$533,HS$4,0)*$AT33,0)</f>
        <v>0</v>
      </c>
      <c r="HT33">
        <f>IFERROR(VLOOKUP($D33,'Kalkulator mięs '!$C$5:$H$533,HT$4,0)*$AT33,0)</f>
        <v>0</v>
      </c>
      <c r="HU33">
        <f>IFERROR(VLOOKUP($D33,'Kalkulator mięs '!$C$5:$H$533,HU$4,0)*$AU33,0)</f>
        <v>0</v>
      </c>
      <c r="HV33">
        <f>IFERROR(VLOOKUP($D33,'Kalkulator mięs '!$C$5:$H$533,HV$4,0)*$AU33,0)</f>
        <v>0</v>
      </c>
      <c r="HW33">
        <f>IFERROR(VLOOKUP($D33,'Kalkulator mięs '!$C$5:$H$533,HW$4,0)*$AU33,0)</f>
        <v>0</v>
      </c>
      <c r="HX33">
        <f>IFERROR(VLOOKUP($D33,'Kalkulator mięs '!$C$5:$H$533,HX$4,0)*$AV33,0)</f>
        <v>0</v>
      </c>
      <c r="HY33">
        <f>IFERROR(VLOOKUP($D33,'Kalkulator mięs '!$C$5:$H$533,HY$4,0)*$AV33,0)</f>
        <v>0</v>
      </c>
      <c r="HZ33">
        <f>IFERROR(VLOOKUP($D33,'Kalkulator mięs '!$C$5:$H$533,HZ$4,0)*$AV33,0)</f>
        <v>0</v>
      </c>
      <c r="IA33">
        <f>IFERROR(VLOOKUP($D33,'Kalkulator mięs '!$C$5:$H$533,IA$4,0)*$AW33,0)</f>
        <v>0</v>
      </c>
      <c r="IB33">
        <f>IFERROR(VLOOKUP($D33,'Kalkulator mięs '!$C$5:$H$533,IB$4,0)*$AW33,0)</f>
        <v>0</v>
      </c>
      <c r="IC33">
        <f>IFERROR(VLOOKUP($D33,'Kalkulator mięs '!$C$5:$H$533,IC$4,0)*$AW33,0)</f>
        <v>0</v>
      </c>
      <c r="ID33">
        <f>IFERROR(VLOOKUP($D33,'Kalkulator mięs '!$C$5:$H$533,ID$4,0)*$AX33,0)</f>
        <v>0</v>
      </c>
      <c r="IE33">
        <f>IFERROR(VLOOKUP($D33,'Kalkulator mięs '!$C$5:$H$533,IE$4,0)*$AX33,0)</f>
        <v>0</v>
      </c>
      <c r="IF33">
        <f>IFERROR(VLOOKUP($D33,'Kalkulator mięs '!$C$5:$H$533,IF$4,0)*$AX33,0)</f>
        <v>0</v>
      </c>
      <c r="IG33">
        <f>IFERROR(VLOOKUP($D33,'Kalkulator mięs '!$C$5:$H$533,IG$4,0)*$AY33,0)</f>
        <v>0</v>
      </c>
      <c r="IH33">
        <f>IFERROR(VLOOKUP($D33,'Kalkulator mięs '!$C$5:$H$533,IH$4,0)*$AY33,0)</f>
        <v>0</v>
      </c>
      <c r="II33">
        <f>IFERROR(VLOOKUP($D33,'Kalkulator mięs '!$C$5:$H$533,II$4,0)*$AY33,0)</f>
        <v>0</v>
      </c>
      <c r="IJ33">
        <f>IFERROR(VLOOKUP($D33,'Kalkulator mięs '!$C$5:$H$533,IJ$4,0)*$AZ33,0)</f>
        <v>0</v>
      </c>
      <c r="IK33">
        <f>IFERROR(VLOOKUP($D33,'Kalkulator mięs '!$C$5:$H$533,IK$4,0)*$AZ33,0)</f>
        <v>0</v>
      </c>
      <c r="IL33">
        <f>IFERROR(VLOOKUP($D33,'Kalkulator mięs '!$C$5:$H$533,IL$4,0)*$AZ33,0)</f>
        <v>0</v>
      </c>
      <c r="IM33">
        <f>IFERROR(VLOOKUP($D33,'Kalkulator mięs '!$C$5:$H$533,IM$4,0)*$BA33,0)</f>
        <v>0</v>
      </c>
      <c r="IN33">
        <f>IFERROR(VLOOKUP($D33,'Kalkulator mięs '!$C$5:$H$533,IN$4,0)*$BA33,0)</f>
        <v>0</v>
      </c>
      <c r="IO33">
        <f>IFERROR(VLOOKUP($D33,'Kalkulator mięs '!$C$5:$H$533,IO$4,0)*$BA33,0)</f>
        <v>0</v>
      </c>
    </row>
    <row r="34" spans="1:249" ht="15.75">
      <c r="A34" s="91"/>
      <c r="B34" t="str">
        <f>VLOOKUP(D34,Receptury_z!$A:$B,2,0)</f>
        <v>ON</v>
      </c>
      <c r="C34" s="16">
        <v>5577</v>
      </c>
      <c r="D34" s="19">
        <v>6466</v>
      </c>
      <c r="E34" s="18" t="s">
        <v>208</v>
      </c>
      <c r="F34" s="14">
        <f>IF($B34="OFF",BE34,VLOOKUP($D34,Receptury_z!$D:$AI,F$4,0))</f>
        <v>0</v>
      </c>
      <c r="G34" s="14">
        <f>IF($B34="OFF",BF34,VLOOKUP($D34,Receptury_z!$D:$AI,G$4,0))</f>
        <v>0</v>
      </c>
      <c r="H34" s="14">
        <f>IF($B34="OFF",BG34,VLOOKUP($D34,Receptury_z!$D:$AI,H$4,0))</f>
        <v>0</v>
      </c>
      <c r="I34" s="14">
        <f>IF($B34="OFF",BH34,VLOOKUP($D34,Receptury_z!$D:$AI,I$4,0))</f>
        <v>0</v>
      </c>
      <c r="J34" s="14">
        <f>IF($B34="OFF",BI34,VLOOKUP($D34,Receptury_z!$D:$AI,J$4,0))</f>
        <v>0</v>
      </c>
      <c r="K34" s="14">
        <f>IF($B34="OFF",BJ34,VLOOKUP($D34,Receptury_z!$D:$AI,K$4,0))</f>
        <v>0</v>
      </c>
      <c r="L34" s="14">
        <f>IF($B34="OFF",BK34,VLOOKUP($D34,Receptury_z!$D:$AI,L$4,0))</f>
        <v>0</v>
      </c>
      <c r="M34" s="14">
        <f>IF($B34="OFF",BL34,VLOOKUP($D34,Receptury_z!$D:$AI,M$4,0))</f>
        <v>0</v>
      </c>
      <c r="N34" s="14">
        <f>IF($B34="OFF",BM34,VLOOKUP($D34,Receptury_z!$D:$AI,N$4,0))</f>
        <v>0</v>
      </c>
      <c r="O34" s="14">
        <f>IF($B34="OFF",BN34,VLOOKUP($D34,Receptury_z!$D:$AI,O$4,0))</f>
        <v>0</v>
      </c>
      <c r="P34" s="14">
        <f>IF($B34="OFF",BO34,VLOOKUP($D34,Receptury_z!$D:$AI,P$4,0))</f>
        <v>0</v>
      </c>
      <c r="Q34" s="14">
        <f>IF($B34="OFF",BP34,VLOOKUP($D34,Receptury_z!$D:$AI,Q$4,0))</f>
        <v>0</v>
      </c>
      <c r="R34" s="14">
        <f>IF($B34="OFF",BQ34,VLOOKUP($D34,Receptury_z!$D:$AI,R$4,0))</f>
        <v>38.51</v>
      </c>
      <c r="S34" s="14">
        <f>IF($B34="OFF",BR34,VLOOKUP($D34,Receptury_z!$D:$AI,S$4,0))</f>
        <v>0</v>
      </c>
      <c r="T34" s="14">
        <f>IF($B34="OFF",BS34,VLOOKUP($D34,Receptury_z!$D:$AI,T$4,0))</f>
        <v>431.27</v>
      </c>
      <c r="U34" s="14">
        <f>IF($B34="OFF",BT34,VLOOKUP($D34,Receptury_z!$D:$AI,U$4,0))</f>
        <v>154.02000000000001</v>
      </c>
      <c r="V34" s="14">
        <f>IF($B34="OFF",BU34,VLOOKUP($D34,Receptury_z!$D:$AI,V$4,0))</f>
        <v>0</v>
      </c>
      <c r="W34" s="14">
        <f>IF($B34="OFF",BV34,VLOOKUP($D34,Receptury_z!$D:$AI,W$4,0))</f>
        <v>0</v>
      </c>
      <c r="X34" s="14">
        <f>IF($B34="OFF",BW34,VLOOKUP($D34,Receptury_z!$D:$AI,X$4,0))</f>
        <v>107.82</v>
      </c>
      <c r="Y34" s="14">
        <f>IF($B34="OFF",BX34,VLOOKUP($D34,Receptury_z!$D:$AI,Y$4,0))</f>
        <v>0</v>
      </c>
      <c r="Z34" s="14">
        <f>IF($B34="OFF",BY34,VLOOKUP($D34,Receptury_z!$D:$AI,Z$4,0))</f>
        <v>0</v>
      </c>
      <c r="AA34" s="14">
        <f>IF($B34="OFF",BZ34,VLOOKUP($D34,Receptury_z!$D:$AI,AA$4,0))</f>
        <v>0</v>
      </c>
      <c r="AB34" s="14">
        <f>IF($B34="OFF",CA34,VLOOKUP($D34,Receptury_z!$D:$AI,AB$4,0))</f>
        <v>0</v>
      </c>
      <c r="AC34" s="14">
        <f>IF($B34="OFF",CB34,VLOOKUP($D34,Receptury_z!$D:$AI,AC$4,0))</f>
        <v>0</v>
      </c>
      <c r="AD34" s="14">
        <f>IF($B34="OFF",CC34,VLOOKUP($D34,Receptury_z!$D:$AI,AD$4,0))</f>
        <v>0</v>
      </c>
      <c r="AE34" s="14">
        <f>IF($B34="OFF",CD34,VLOOKUP($D34,Receptury_z!$D:$AI,AE$4,0))</f>
        <v>0</v>
      </c>
      <c r="AF34" s="14">
        <f>IF($B34="OFF",CE34,VLOOKUP($D34,Receptury_z!$D:$AI,AF$4,0))</f>
        <v>0</v>
      </c>
      <c r="AG34" s="14">
        <f>IF($B34="OFF",CF34,VLOOKUP($D34,Receptury_z!$D:$AI,AG$4,0))</f>
        <v>0</v>
      </c>
      <c r="AH34" s="14">
        <f>IF($B34="OFF",CG34,VLOOKUP($D34,Receptury_z!$D:$AI,AH$4,0))</f>
        <v>0</v>
      </c>
      <c r="AI34" s="14">
        <f>IF($B34="OFF",CH34,VLOOKUP($D34,Receptury_z!$D:$AI,AI$4,0))</f>
        <v>0</v>
      </c>
      <c r="AJ34" s="14">
        <f>IF($B34="OFF",CI34,VLOOKUP($D34,Receptury_z!$D:$AS,AJ$4,0))</f>
        <v>0</v>
      </c>
      <c r="AK34" s="14">
        <f>IF($B34="OFF",CJ34,VLOOKUP($D34,Receptury_z!$D:$AS,AK$4,0))</f>
        <v>0</v>
      </c>
      <c r="AL34" s="14">
        <f>IF($B34="OFF",CK34,VLOOKUP($D34,Receptury_z!$D:$AS,AL$4,0))</f>
        <v>0</v>
      </c>
      <c r="AM34" s="14">
        <f>IF($B34="OFF",CL34,VLOOKUP($D34,Receptury_z!$D:$AS,AM$4,0))</f>
        <v>0</v>
      </c>
      <c r="AN34" s="14">
        <f>IF($B34="OFF",CM34,VLOOKUP($D34,Receptury_z!$D:$AS,AN$4,0))</f>
        <v>38.51</v>
      </c>
      <c r="AO34" s="14">
        <f>IF($B34="OFF",CN34,VLOOKUP($D34,Receptury_z!$D:$AS,AO$4,0))</f>
        <v>0</v>
      </c>
      <c r="AP34" s="14">
        <f>IF($B34="OFF",CO34,VLOOKUP($D34,Receptury_z!$D:$AS,AP$4,0))</f>
        <v>0</v>
      </c>
      <c r="AQ34" s="14">
        <f>IF($B34="OFF",CP34,VLOOKUP($D34,Receptury_z!$D:$AS,AQ$4,0))</f>
        <v>0</v>
      </c>
      <c r="AR34" s="14">
        <f>IF($B34="OFF",CQ34,VLOOKUP($D34,Receptury_z!$D:$AS,AR$4,0))</f>
        <v>0</v>
      </c>
      <c r="AS34" s="14">
        <f>IF($B34="OFF",CR34,VLOOKUP($D34,Receptury_z!$D:$AS,AS$4,0))</f>
        <v>0</v>
      </c>
      <c r="AT34" s="14">
        <f>IF($B34="OFF",CS34,VLOOKUP($D34,Receptury_z!$D:$AV,AT$4,0))</f>
        <v>0</v>
      </c>
      <c r="AU34" s="14">
        <f>IF($B34="OFF",CT34,VLOOKUP($D34,Receptury_z!$D:$AV,AU$4,0))</f>
        <v>0</v>
      </c>
      <c r="AV34" s="14">
        <f>IF($B34="OFF",CU34,VLOOKUP($D34,Receptury_z!$D:$AV,AV$4,0))</f>
        <v>0</v>
      </c>
      <c r="AW34" s="14">
        <f>IF($B34="OFF",CV34,VLOOKUP($D34,Receptury_z!$D:$BA,AW$4,0))</f>
        <v>0</v>
      </c>
      <c r="AX34" s="14">
        <f>IF($B34="OFF",CW34,VLOOKUP($D34,Receptury_z!$D:$BA,AX$4,0))</f>
        <v>0</v>
      </c>
      <c r="AY34" s="14">
        <f>IF($B34="OFF",CX34,VLOOKUP($D34,Receptury_z!$D:$BA,AY$4,0))</f>
        <v>0</v>
      </c>
      <c r="AZ34" s="14">
        <f>IF($B34="OFF",DA34,VLOOKUP($D34,Receptury_z!$D:$BA,AZ$4,0))</f>
        <v>0</v>
      </c>
      <c r="BA34" s="14">
        <f>IF($B34="OFF",DB34,VLOOKUP($D34,Receptury_z!$D:$BA,BA$4,0))</f>
        <v>0</v>
      </c>
      <c r="BC34" s="19">
        <v>6466</v>
      </c>
      <c r="BD34" s="18" t="s">
        <v>208</v>
      </c>
      <c r="BE34" s="239">
        <v>0</v>
      </c>
      <c r="BF34" s="239">
        <v>0</v>
      </c>
      <c r="BG34" s="239">
        <v>0</v>
      </c>
      <c r="BH34" s="239">
        <v>0</v>
      </c>
      <c r="BI34" s="239">
        <v>0</v>
      </c>
      <c r="BJ34" s="239">
        <v>0</v>
      </c>
      <c r="BK34" s="239">
        <v>0</v>
      </c>
      <c r="BL34" s="239">
        <v>0</v>
      </c>
      <c r="BM34" s="239">
        <v>0</v>
      </c>
      <c r="BN34" s="239">
        <v>38.6</v>
      </c>
      <c r="BO34" s="239">
        <v>0</v>
      </c>
      <c r="BP34" s="239">
        <v>0</v>
      </c>
      <c r="BQ34" s="239">
        <v>38.6</v>
      </c>
      <c r="BR34" s="239">
        <v>0</v>
      </c>
      <c r="BS34" s="239">
        <v>432.27</v>
      </c>
      <c r="BT34" s="239">
        <v>154.38</v>
      </c>
      <c r="BU34" s="239">
        <v>0</v>
      </c>
      <c r="BV34" s="239">
        <v>0</v>
      </c>
      <c r="BW34" s="239">
        <v>108.07</v>
      </c>
      <c r="BX34" s="239">
        <v>0</v>
      </c>
      <c r="BY34" s="239">
        <v>0</v>
      </c>
      <c r="BZ34" s="239">
        <v>0</v>
      </c>
      <c r="CA34" s="239">
        <v>0</v>
      </c>
      <c r="CB34" s="239">
        <v>0</v>
      </c>
      <c r="CC34" s="239">
        <v>0</v>
      </c>
      <c r="CD34" s="239">
        <v>0</v>
      </c>
      <c r="CE34" s="239">
        <v>0</v>
      </c>
      <c r="CF34" s="239">
        <v>0</v>
      </c>
      <c r="CG34" s="239">
        <v>0</v>
      </c>
      <c r="CH34" s="239">
        <v>0</v>
      </c>
      <c r="CI34" s="239">
        <v>0</v>
      </c>
      <c r="CJ34" s="239">
        <v>0</v>
      </c>
      <c r="CK34" s="239">
        <v>0</v>
      </c>
      <c r="CL34" s="239">
        <v>0</v>
      </c>
      <c r="CM34" s="80"/>
      <c r="CN34" s="80"/>
      <c r="CO34" s="80"/>
      <c r="CP34" s="80"/>
      <c r="CQ34" s="80"/>
      <c r="CR34" s="80"/>
      <c r="CS34" s="80"/>
      <c r="CT34" s="80"/>
      <c r="CU34" s="80"/>
      <c r="CV34" s="80"/>
      <c r="CW34" s="80"/>
      <c r="CX34" s="80"/>
      <c r="CY34" s="80"/>
      <c r="CZ34" s="80"/>
      <c r="DB34">
        <f>IFERROR(VLOOKUP($D34,'Kalkulator mięs '!$C$5:$H$533,DB$4,0)*F34,0)</f>
        <v>0</v>
      </c>
      <c r="DC34">
        <f>IFERROR(VLOOKUP($D34,'Kalkulator mięs '!$C$5:$H$533,DC$4,0)*F34,0)</f>
        <v>0</v>
      </c>
      <c r="DD34">
        <f>IFERROR(VLOOKUP($D34,'Kalkulator mięs '!$C$5:$H$533,DD$4,0)*F34,0)</f>
        <v>0</v>
      </c>
      <c r="DE34">
        <f>IFERROR(VLOOKUP($D34,'Kalkulator mięs '!$C$5:$H$533,DE$4,0)*$G34,0)</f>
        <v>0</v>
      </c>
      <c r="DF34">
        <f>IFERROR(VLOOKUP($D34,'Kalkulator mięs '!$C$5:$H$533,DF$4,0)*$G34,0)</f>
        <v>0</v>
      </c>
      <c r="DG34">
        <f>IFERROR(VLOOKUP($D34,'Kalkulator mięs '!$C$5:$H$533,DG$4,0)*$G34,0)</f>
        <v>0</v>
      </c>
      <c r="DH34">
        <f>IFERROR(VLOOKUP($D34,'Kalkulator mięs '!$C$5:$H$533,DH$4,0)*$H34,0)</f>
        <v>0</v>
      </c>
      <c r="DI34">
        <f>IFERROR(VLOOKUP($D34,'Kalkulator mięs '!$C$5:$H$533,DI$4,0)*$H34,0)</f>
        <v>0</v>
      </c>
      <c r="DJ34">
        <f>IFERROR(VLOOKUP($D34,'Kalkulator mięs '!$C$5:$H$533,DJ$4,0)*$H34,0)</f>
        <v>0</v>
      </c>
      <c r="DK34">
        <f>IFERROR(VLOOKUP($D34,'Kalkulator mięs '!$C$5:$H$533,DK$4,0)*$I34,0)</f>
        <v>0</v>
      </c>
      <c r="DL34">
        <f>IFERROR(VLOOKUP($D34,'Kalkulator mięs '!$C$5:$H$533,DL$4,0)*$I34,0)</f>
        <v>0</v>
      </c>
      <c r="DM34">
        <f>IFERROR(VLOOKUP($D34,'Kalkulator mięs '!$C$5:$H$533,DM$4,0)*$I34,0)</f>
        <v>0</v>
      </c>
      <c r="DN34">
        <f>IFERROR(VLOOKUP($D34,'Kalkulator mięs '!$C$5:$H$533,DN$4,0)*$J34,0)</f>
        <v>0</v>
      </c>
      <c r="DO34">
        <f>IFERROR(VLOOKUP($D34,'Kalkulator mięs '!$C$5:$H$533,DO$4,0)*$J34,0)</f>
        <v>0</v>
      </c>
      <c r="DP34">
        <f>IFERROR(VLOOKUP($D34,'Kalkulator mięs '!$C$5:$H$533,DP$4,0)*$J34,0)</f>
        <v>0</v>
      </c>
      <c r="DQ34">
        <f>IFERROR(VLOOKUP($D34,'Kalkulator mięs '!$C$5:$H$533,DQ$4,0)*$K34,0)</f>
        <v>0</v>
      </c>
      <c r="DR34">
        <f>IFERROR(VLOOKUP($D34,'Kalkulator mięs '!$C$5:$H$533,DR$4,0)*$K34,0)</f>
        <v>0</v>
      </c>
      <c r="DS34">
        <f>IFERROR(VLOOKUP($D34,'Kalkulator mięs '!$C$5:$H$533,DS$4,0)*$K34,0)</f>
        <v>0</v>
      </c>
      <c r="DT34">
        <f>IFERROR(VLOOKUP($D34,'Kalkulator mięs '!$C$5:$H$533,DT$4,0)*$L34,0)</f>
        <v>0</v>
      </c>
      <c r="DU34">
        <f>IFERROR(VLOOKUP($D34,'Kalkulator mięs '!$C$5:$H$533,DU$4,0)*$L34,0)</f>
        <v>0</v>
      </c>
      <c r="DV34">
        <f>IFERROR(VLOOKUP($D34,'Kalkulator mięs '!$C$5:$H$533,DV$4,0)*$L34,0)</f>
        <v>0</v>
      </c>
      <c r="DW34">
        <f>IFERROR(VLOOKUP($D34,'Kalkulator mięs '!$C$5:$H$533,DW$4,0)*$M34,0)</f>
        <v>0</v>
      </c>
      <c r="DX34">
        <f>IFERROR(VLOOKUP($D34,'Kalkulator mięs '!$C$5:$H$533,DX$4,0)*$M34,0)</f>
        <v>0</v>
      </c>
      <c r="DY34">
        <f>IFERROR(VLOOKUP($D34,'Kalkulator mięs '!$C$5:$H$533,DY$4,0)*$M34,0)</f>
        <v>0</v>
      </c>
      <c r="DZ34">
        <f>IFERROR(VLOOKUP($D34,'Kalkulator mięs '!$C$5:$H$533,DZ$4,0)*$N34,0)</f>
        <v>0</v>
      </c>
      <c r="EA34">
        <f>IFERROR(VLOOKUP($D34,'Kalkulator mięs '!$C$5:$H$533,EA$4,0)*$N34,0)</f>
        <v>0</v>
      </c>
      <c r="EB34">
        <f>IFERROR(VLOOKUP($D34,'Kalkulator mięs '!$C$5:$H$533,EB$4,0)*$N34,0)</f>
        <v>0</v>
      </c>
      <c r="EC34">
        <f>IFERROR(VLOOKUP($D34,'Kalkulator mięs '!$C$5:$H$533,EC$4,0)*$O34,0)</f>
        <v>0</v>
      </c>
      <c r="ED34">
        <f>IFERROR(VLOOKUP($D34,'Kalkulator mięs '!$C$5:$H$533,ED$4,0)*$O34,0)</f>
        <v>0</v>
      </c>
      <c r="EE34">
        <f>IFERROR(VLOOKUP($D34,'Kalkulator mięs '!$C$5:$H$533,EE$4,0)*$O34,0)</f>
        <v>0</v>
      </c>
      <c r="EF34">
        <f>IFERROR(VLOOKUP($D34,'Kalkulator mięs '!$C$5:$H$533,EF$4,0)*$P34,0)</f>
        <v>0</v>
      </c>
      <c r="EG34">
        <f>IFERROR(VLOOKUP($D34,'Kalkulator mięs '!$C$5:$H$533,EG$4,0)*$P34,0)</f>
        <v>0</v>
      </c>
      <c r="EH34">
        <f>IFERROR(VLOOKUP($D34,'Kalkulator mięs '!$C$5:$H$533,EH$4,0)*$P34,0)</f>
        <v>0</v>
      </c>
      <c r="EI34">
        <f>IFERROR(VLOOKUP($D34,'Kalkulator mięs '!$C$5:$H$533,EI$4,0)*$Q34,0)</f>
        <v>0</v>
      </c>
      <c r="EJ34">
        <f>IFERROR(VLOOKUP($D34,'Kalkulator mięs '!$C$5:$H$533,EJ$4,0)*$Q34,0)</f>
        <v>0</v>
      </c>
      <c r="EK34">
        <f>IFERROR(VLOOKUP($D34,'Kalkulator mięs '!$C$5:$H$533,EK$4,0)*$Q34,0)</f>
        <v>0</v>
      </c>
      <c r="EL34">
        <f>IFERROR(VLOOKUP($D34,'Kalkulator mięs '!$C$5:$H$533,EL$4,0)*$R34,0)</f>
        <v>0</v>
      </c>
      <c r="EM34">
        <f>IFERROR(VLOOKUP($D34,'Kalkulator mięs '!$C$5:$H$533,EM$4,0)*$R34,0)</f>
        <v>231.06</v>
      </c>
      <c r="EN34">
        <f>IFERROR(VLOOKUP($D34,'Kalkulator mięs '!$C$5:$H$533,EN$4,0)*$R34,0)</f>
        <v>0</v>
      </c>
      <c r="EO34">
        <f>IFERROR(VLOOKUP($D34,'Kalkulator mięs '!$C$5:$H$533,EO$4,0)*$S34,0)</f>
        <v>0</v>
      </c>
      <c r="EP34">
        <f>IFERROR(VLOOKUP($D34,'Kalkulator mięs '!$C$5:$H$533,EP$4,0)*$S34,0)</f>
        <v>0</v>
      </c>
      <c r="EQ34">
        <f>IFERROR(VLOOKUP($D34,'Kalkulator mięs '!$C$5:$H$533,EQ$4,0)*$S34,0)</f>
        <v>0</v>
      </c>
      <c r="ER34">
        <f>IFERROR(VLOOKUP($D34,'Kalkulator mięs '!$C$5:$H$533,ER$4,0)*$T34,0)</f>
        <v>0</v>
      </c>
      <c r="ES34">
        <f>IFERROR(VLOOKUP($D34,'Kalkulator mięs '!$C$5:$H$533,ES$4,0)*$T34,0)</f>
        <v>2587.62</v>
      </c>
      <c r="ET34">
        <f>IFERROR(VLOOKUP($D34,'Kalkulator mięs '!$C$5:$H$533,ET$4,0)*$T34,0)</f>
        <v>0</v>
      </c>
      <c r="EU34">
        <f>IFERROR(VLOOKUP($D34,'Kalkulator mięs '!$C$5:$H$533,EU$4,0)*$U34,0)</f>
        <v>0</v>
      </c>
      <c r="EV34">
        <f>IFERROR(VLOOKUP($D34,'Kalkulator mięs '!$C$5:$H$533,EV$4,0)*$U34,0)</f>
        <v>924.12000000000012</v>
      </c>
      <c r="EW34">
        <f>IFERROR(VLOOKUP($D34,'Kalkulator mięs '!$C$5:$H$533,EW$4,0)*$U34,0)</f>
        <v>0</v>
      </c>
      <c r="EX34">
        <f>IFERROR(VLOOKUP($D34,'Kalkulator mięs '!$C$5:$H$533,EX$4,0)*$V34,0)</f>
        <v>0</v>
      </c>
      <c r="EY34">
        <f>IFERROR(VLOOKUP($D34,'Kalkulator mięs '!$C$5:$H$533,EY$4,0)*$V34,0)</f>
        <v>0</v>
      </c>
      <c r="EZ34">
        <f>IFERROR(VLOOKUP($D34,'Kalkulator mięs '!$C$5:$H$533,EZ$4,0)*$V34,0)</f>
        <v>0</v>
      </c>
      <c r="FA34">
        <f>IFERROR(VLOOKUP($D34,'Kalkulator mięs '!$C$5:$H$533,FA$4,0)*$W34,0)</f>
        <v>0</v>
      </c>
      <c r="FB34">
        <f>IFERROR(VLOOKUP($D34,'Kalkulator mięs '!$C$5:$H$533,FB$4,0)*$W34,0)</f>
        <v>0</v>
      </c>
      <c r="FC34">
        <f>IFERROR(VLOOKUP($D34,'Kalkulator mięs '!$C$5:$H$533,FC$4,0)*$W34,0)</f>
        <v>0</v>
      </c>
      <c r="FD34">
        <f>IFERROR(VLOOKUP($D34,'Kalkulator mięs '!$C$5:$H$533,FD$4,0)*$X34,0)</f>
        <v>0</v>
      </c>
      <c r="FE34">
        <f>IFERROR(VLOOKUP($D34,'Kalkulator mięs '!$C$5:$H$533,FE$4,0)*$X34,0)</f>
        <v>646.91999999999996</v>
      </c>
      <c r="FF34">
        <f>IFERROR(VLOOKUP($D34,'Kalkulator mięs '!$C$5:$H$533,FF$4,0)*$X34,0)</f>
        <v>0</v>
      </c>
      <c r="FG34">
        <f>IFERROR(VLOOKUP($D34,'Kalkulator mięs '!$C$5:$H$533,FG$4,0)*$Y34,0)</f>
        <v>0</v>
      </c>
      <c r="FH34">
        <f>IFERROR(VLOOKUP($D34,'Kalkulator mięs '!$C$5:$H$533,FH$4,0)*$Y34,0)</f>
        <v>0</v>
      </c>
      <c r="FI34">
        <f>IFERROR(VLOOKUP($D34,'Kalkulator mięs '!$C$5:$H$533,FI$4,0)*$Y34,0)</f>
        <v>0</v>
      </c>
      <c r="FJ34">
        <f>IFERROR(VLOOKUP($D34,'Kalkulator mięs '!$C$5:$H$533,FJ$4,0)*$Z34,0)</f>
        <v>0</v>
      </c>
      <c r="FK34">
        <f>IFERROR(VLOOKUP($D34,'Kalkulator mięs '!$C$5:$H$533,FK$4,0)*$Z34,0)</f>
        <v>0</v>
      </c>
      <c r="FL34">
        <f>IFERROR(VLOOKUP($D34,'Kalkulator mięs '!$C$5:$H$533,FL$4,0)*$Z34,0)</f>
        <v>0</v>
      </c>
      <c r="FM34">
        <f>IFERROR(VLOOKUP($D34,'Kalkulator mięs '!$C$5:$H$533,FM$4,0)*$AA34,0)</f>
        <v>0</v>
      </c>
      <c r="FN34">
        <f>IFERROR(VLOOKUP($D34,'Kalkulator mięs '!$C$5:$H$533,FN$4,0)*$AA34,0)</f>
        <v>0</v>
      </c>
      <c r="FO34">
        <f>IFERROR(VLOOKUP($D34,'Kalkulator mięs '!$C$5:$H$533,FO$4,0)*$AA34,0)</f>
        <v>0</v>
      </c>
      <c r="FP34">
        <f>IFERROR(VLOOKUP($D34,'Kalkulator mięs '!$C$5:$H$533,FP$4,0)*$AB34,0)</f>
        <v>0</v>
      </c>
      <c r="FQ34">
        <f>IFERROR(VLOOKUP($D34,'Kalkulator mięs '!$C$5:$H$533,FQ$4,0)*$AB34,0)</f>
        <v>0</v>
      </c>
      <c r="FR34">
        <f>IFERROR(VLOOKUP($D34,'Kalkulator mięs '!$C$5:$H$533,FR$4,0)*$AB34,0)</f>
        <v>0</v>
      </c>
      <c r="FS34">
        <f>IFERROR(VLOOKUP($D34,'Kalkulator mięs '!$C$5:$H$533,FS$4,0)*$AC34,0)</f>
        <v>0</v>
      </c>
      <c r="FT34">
        <f>IFERROR(VLOOKUP($D34,'Kalkulator mięs '!$C$5:$H$533,FT$4,0)*$AC34,0)</f>
        <v>0</v>
      </c>
      <c r="FU34">
        <f>IFERROR(VLOOKUP($D34,'Kalkulator mięs '!$C$5:$H$533,FU$4,0)*$AC34,0)</f>
        <v>0</v>
      </c>
      <c r="FV34">
        <f>IFERROR(VLOOKUP($D34,'Kalkulator mięs '!$C$5:$H$533,FV$4,0)*$AD34,0)</f>
        <v>0</v>
      </c>
      <c r="FW34">
        <f>IFERROR(VLOOKUP($D34,'Kalkulator mięs '!$C$5:$H$533,FW$4,0)*$AD34,0)</f>
        <v>0</v>
      </c>
      <c r="FX34">
        <f>IFERROR(VLOOKUP($D34,'Kalkulator mięs '!$C$5:$H$533,FX$4,0)*$AD34,0)</f>
        <v>0</v>
      </c>
      <c r="FY34">
        <f>IFERROR(VLOOKUP($D34,'Kalkulator mięs '!$C$5:$H$533,FY$4,0)*$AE34,0)</f>
        <v>0</v>
      </c>
      <c r="FZ34">
        <f>IFERROR(VLOOKUP($D34,'Kalkulator mięs '!$C$5:$H$533,FZ$4,0)*$AE34,0)</f>
        <v>0</v>
      </c>
      <c r="GA34">
        <f>IFERROR(VLOOKUP($D34,'Kalkulator mięs '!$C$5:$H$533,GA$4,0)*$AE34,0)</f>
        <v>0</v>
      </c>
      <c r="GB34">
        <f>IFERROR(VLOOKUP($D34,'Kalkulator mięs '!$C$5:$H$533,GB$4,0)*$AF34,0)</f>
        <v>0</v>
      </c>
      <c r="GC34">
        <f>IFERROR(VLOOKUP($D34,'Kalkulator mięs '!$C$5:$H$533,GC$4,0)*$AF34,0)</f>
        <v>0</v>
      </c>
      <c r="GD34">
        <f>IFERROR(VLOOKUP($D34,'Kalkulator mięs '!$C$5:$H$533,GD$4,0)*$AF34,0)</f>
        <v>0</v>
      </c>
      <c r="GE34">
        <f>IFERROR(VLOOKUP($D34,'Kalkulator mięs '!$C$5:$H$533,GE$4,0)*$AG34,0)</f>
        <v>0</v>
      </c>
      <c r="GF34">
        <f>IFERROR(VLOOKUP($D34,'Kalkulator mięs '!$C$5:$H$533,GF$4,0)*$AG34,0)</f>
        <v>0</v>
      </c>
      <c r="GG34">
        <f>IFERROR(VLOOKUP($D34,'Kalkulator mięs '!$C$5:$H$533,GG$4,0)*$AG34,0)</f>
        <v>0</v>
      </c>
      <c r="GH34">
        <f>IFERROR(VLOOKUP($D34,'Kalkulator mięs '!$C$5:$H$533,GH$4,0)*$AH34,0)</f>
        <v>0</v>
      </c>
      <c r="GI34">
        <f>IFERROR(VLOOKUP($D34,'Kalkulator mięs '!$C$5:$H$533,GI$4,0)*$AH34,0)</f>
        <v>0</v>
      </c>
      <c r="GJ34">
        <f>IFERROR(VLOOKUP($D34,'Kalkulator mięs '!$C$5:$H$533,GJ$4,0)*$AH34,0)</f>
        <v>0</v>
      </c>
      <c r="GK34">
        <f>IFERROR(VLOOKUP($D34,'Kalkulator mięs '!$C$5:$H$533,GK$4,0)*$AI34,0)</f>
        <v>0</v>
      </c>
      <c r="GL34">
        <f>IFERROR(VLOOKUP($D34,'Kalkulator mięs '!$C$5:$H$533,GL$4,0)*$AI34,0)</f>
        <v>0</v>
      </c>
      <c r="GM34">
        <f>IFERROR(VLOOKUP($D34,'Kalkulator mięs '!$C$5:$H$533,GM$4,0)*$AI34,0)</f>
        <v>0</v>
      </c>
      <c r="GN34">
        <f>IFERROR(VLOOKUP($D34,'Kalkulator mięs '!$C$5:$H$533,GN$4,0)*$AJ34,0)</f>
        <v>0</v>
      </c>
      <c r="GO34">
        <f>IFERROR(VLOOKUP($D34,'Kalkulator mięs '!$C$5:$H$533,GO$4,0)*$AJ34,0)</f>
        <v>0</v>
      </c>
      <c r="GP34">
        <f>IFERROR(VLOOKUP($D34,'Kalkulator mięs '!$C$5:$H$533,GP$4,0)*$AJ34,0)</f>
        <v>0</v>
      </c>
      <c r="GQ34">
        <f>IFERROR(VLOOKUP($D34,'Kalkulator mięs '!$C$5:$H$533,GQ$4,0)*$AK34,0)</f>
        <v>0</v>
      </c>
      <c r="GR34">
        <f>IFERROR(VLOOKUP($D34,'Kalkulator mięs '!$C$5:$H$533,GR$4,0)*$AK34,0)</f>
        <v>0</v>
      </c>
      <c r="GS34">
        <f>IFERROR(VLOOKUP($D34,'Kalkulator mięs '!$C$5:$H$533,GS$4,0)*$AK34,0)</f>
        <v>0</v>
      </c>
      <c r="GT34">
        <f>IFERROR(VLOOKUP($D34,'Kalkulator mięs '!$C$5:$H$533,GT$4,0)*$AL34,0)</f>
        <v>0</v>
      </c>
      <c r="GU34">
        <f>IFERROR(VLOOKUP($D34,'Kalkulator mięs '!$C$5:$H$533,GU$4,0)*$AL34,0)</f>
        <v>0</v>
      </c>
      <c r="GV34">
        <f>IFERROR(VLOOKUP($D34,'Kalkulator mięs '!$C$5:$H$533,GV$4,0)*$AL34,0)</f>
        <v>0</v>
      </c>
      <c r="GW34">
        <f>IFERROR(VLOOKUP($D34,'Kalkulator mięs '!$C$5:$H$533,GW$4,0)*$AM34,0)</f>
        <v>0</v>
      </c>
      <c r="GX34">
        <f>IFERROR(VLOOKUP($D34,'Kalkulator mięs '!$C$5:$H$533,GX$4,0)*$AM34,0)</f>
        <v>0</v>
      </c>
      <c r="GY34">
        <f>IFERROR(VLOOKUP($D34,'Kalkulator mięs '!$C$5:$H$533,GY$4,0)*$AM34,0)</f>
        <v>0</v>
      </c>
      <c r="GZ34">
        <f>IFERROR(VLOOKUP($D34,'Kalkulator mięs '!$C$5:$H$533,GZ$4,0)*$AN34,0)</f>
        <v>0</v>
      </c>
      <c r="HA34">
        <f>IFERROR(VLOOKUP($D34,'Kalkulator mięs '!$C$5:$H$533,HA$4,0)*$AN34,0)</f>
        <v>231.06</v>
      </c>
      <c r="HB34">
        <f>IFERROR(VLOOKUP($D34,'Kalkulator mięs '!$C$5:$H$533,HB$4,0)*$AN34,0)</f>
        <v>0</v>
      </c>
      <c r="HC34">
        <f>IFERROR(VLOOKUP($D34,'Kalkulator mięs '!$C$5:$H$533,HC$4,0)*$AO34,0)</f>
        <v>0</v>
      </c>
      <c r="HD34">
        <f>IFERROR(VLOOKUP($D34,'Kalkulator mięs '!$C$5:$H$533,HD$4,0)*$AO34,0)</f>
        <v>0</v>
      </c>
      <c r="HE34">
        <f>IFERROR(VLOOKUP($D34,'Kalkulator mięs '!$C$5:$H$533,HE$4,0)*$AO34,0)</f>
        <v>0</v>
      </c>
      <c r="HF34">
        <f>IFERROR(VLOOKUP($D34,'Kalkulator mięs '!$C$5:$H$533,HF$4,0)*$AP34,0)</f>
        <v>0</v>
      </c>
      <c r="HG34">
        <f>IFERROR(VLOOKUP($D34,'Kalkulator mięs '!$C$5:$H$533,HG$4,0)*$AP34,0)</f>
        <v>0</v>
      </c>
      <c r="HH34">
        <f>IFERROR(VLOOKUP($D34,'Kalkulator mięs '!$C$5:$H$533,HH$4,0)*$AP34,0)</f>
        <v>0</v>
      </c>
      <c r="HI34">
        <f>IFERROR(VLOOKUP($D34,'Kalkulator mięs '!$C$5:$H$533,HI$4,0)*$AQ34,0)</f>
        <v>0</v>
      </c>
      <c r="HJ34">
        <f>IFERROR(VLOOKUP($D34,'Kalkulator mięs '!$C$5:$H$533,HJ$4,0)*$AQ34,0)</f>
        <v>0</v>
      </c>
      <c r="HK34">
        <f>IFERROR(VLOOKUP($D34,'Kalkulator mięs '!$C$5:$H$533,HK$4,0)*$AQ34,0)</f>
        <v>0</v>
      </c>
      <c r="HL34">
        <f>IFERROR(VLOOKUP($D34,'Kalkulator mięs '!$C$5:$H$533,HL$4,0)*$AR34,0)</f>
        <v>0</v>
      </c>
      <c r="HM34">
        <f>IFERROR(VLOOKUP($D34,'Kalkulator mięs '!$C$5:$H$533,HM$4,0)*$AR34,0)</f>
        <v>0</v>
      </c>
      <c r="HN34">
        <f>IFERROR(VLOOKUP($D34,'Kalkulator mięs '!$C$5:$H$533,HN$4,0)*$AR34,0)</f>
        <v>0</v>
      </c>
      <c r="HO34">
        <f>IFERROR(VLOOKUP($D34,'Kalkulator mięs '!$C$5:$H$533,HO$4,0)*$AS34,0)</f>
        <v>0</v>
      </c>
      <c r="HP34">
        <f>IFERROR(VLOOKUP($D34,'Kalkulator mięs '!$C$5:$H$533,HP$4,0)*$AS34,0)</f>
        <v>0</v>
      </c>
      <c r="HQ34">
        <f>IFERROR(VLOOKUP($D34,'Kalkulator mięs '!$C$5:$H$533,HQ$4,0)*$AS34,0)</f>
        <v>0</v>
      </c>
      <c r="HR34">
        <f>IFERROR(VLOOKUP($D34,'Kalkulator mięs '!$C$5:$H$533,HR$4,0)*$AT34,0)</f>
        <v>0</v>
      </c>
      <c r="HS34">
        <f>IFERROR(VLOOKUP($D34,'Kalkulator mięs '!$C$5:$H$533,HS$4,0)*$AT34,0)</f>
        <v>0</v>
      </c>
      <c r="HT34">
        <f>IFERROR(VLOOKUP($D34,'Kalkulator mięs '!$C$5:$H$533,HT$4,0)*$AT34,0)</f>
        <v>0</v>
      </c>
      <c r="HU34">
        <f>IFERROR(VLOOKUP($D34,'Kalkulator mięs '!$C$5:$H$533,HU$4,0)*$AU34,0)</f>
        <v>0</v>
      </c>
      <c r="HV34">
        <f>IFERROR(VLOOKUP($D34,'Kalkulator mięs '!$C$5:$H$533,HV$4,0)*$AU34,0)</f>
        <v>0</v>
      </c>
      <c r="HW34">
        <f>IFERROR(VLOOKUP($D34,'Kalkulator mięs '!$C$5:$H$533,HW$4,0)*$AU34,0)</f>
        <v>0</v>
      </c>
      <c r="HX34">
        <f>IFERROR(VLOOKUP($D34,'Kalkulator mięs '!$C$5:$H$533,HX$4,0)*$AV34,0)</f>
        <v>0</v>
      </c>
      <c r="HY34">
        <f>IFERROR(VLOOKUP($D34,'Kalkulator mięs '!$C$5:$H$533,HY$4,0)*$AV34,0)</f>
        <v>0</v>
      </c>
      <c r="HZ34">
        <f>IFERROR(VLOOKUP($D34,'Kalkulator mięs '!$C$5:$H$533,HZ$4,0)*$AV34,0)</f>
        <v>0</v>
      </c>
      <c r="IA34">
        <f>IFERROR(VLOOKUP($D34,'Kalkulator mięs '!$C$5:$H$533,IA$4,0)*$AW34,0)</f>
        <v>0</v>
      </c>
      <c r="IB34">
        <f>IFERROR(VLOOKUP($D34,'Kalkulator mięs '!$C$5:$H$533,IB$4,0)*$AW34,0)</f>
        <v>0</v>
      </c>
      <c r="IC34">
        <f>IFERROR(VLOOKUP($D34,'Kalkulator mięs '!$C$5:$H$533,IC$4,0)*$AW34,0)</f>
        <v>0</v>
      </c>
      <c r="ID34">
        <f>IFERROR(VLOOKUP($D34,'Kalkulator mięs '!$C$5:$H$533,ID$4,0)*$AX34,0)</f>
        <v>0</v>
      </c>
      <c r="IE34">
        <f>IFERROR(VLOOKUP($D34,'Kalkulator mięs '!$C$5:$H$533,IE$4,0)*$AX34,0)</f>
        <v>0</v>
      </c>
      <c r="IF34">
        <f>IFERROR(VLOOKUP($D34,'Kalkulator mięs '!$C$5:$H$533,IF$4,0)*$AX34,0)</f>
        <v>0</v>
      </c>
      <c r="IG34">
        <f>IFERROR(VLOOKUP($D34,'Kalkulator mięs '!$C$5:$H$533,IG$4,0)*$AY34,0)</f>
        <v>0</v>
      </c>
      <c r="IH34">
        <f>IFERROR(VLOOKUP($D34,'Kalkulator mięs '!$C$5:$H$533,IH$4,0)*$AY34,0)</f>
        <v>0</v>
      </c>
      <c r="II34">
        <f>IFERROR(VLOOKUP($D34,'Kalkulator mięs '!$C$5:$H$533,II$4,0)*$AY34,0)</f>
        <v>0</v>
      </c>
      <c r="IJ34">
        <f>IFERROR(VLOOKUP($D34,'Kalkulator mięs '!$C$5:$H$533,IJ$4,0)*$AZ34,0)</f>
        <v>0</v>
      </c>
      <c r="IK34">
        <f>IFERROR(VLOOKUP($D34,'Kalkulator mięs '!$C$5:$H$533,IK$4,0)*$AZ34,0)</f>
        <v>0</v>
      </c>
      <c r="IL34">
        <f>IFERROR(VLOOKUP($D34,'Kalkulator mięs '!$C$5:$H$533,IL$4,0)*$AZ34,0)</f>
        <v>0</v>
      </c>
      <c r="IM34">
        <f>IFERROR(VLOOKUP($D34,'Kalkulator mięs '!$C$5:$H$533,IM$4,0)*$BA34,0)</f>
        <v>0</v>
      </c>
      <c r="IN34">
        <f>IFERROR(VLOOKUP($D34,'Kalkulator mięs '!$C$5:$H$533,IN$4,0)*$BA34,0)</f>
        <v>0</v>
      </c>
      <c r="IO34">
        <f>IFERROR(VLOOKUP($D34,'Kalkulator mięs '!$C$5:$H$533,IO$4,0)*$BA34,0)</f>
        <v>0</v>
      </c>
    </row>
    <row r="35" spans="1:249" ht="15.75">
      <c r="A35" s="91"/>
      <c r="B35" t="str">
        <f>VLOOKUP(D35,Receptury_z!$A:$B,2,0)</f>
        <v>ON</v>
      </c>
      <c r="C35" s="16">
        <v>5575</v>
      </c>
      <c r="D35" s="19">
        <v>6473</v>
      </c>
      <c r="E35" s="18" t="s">
        <v>252</v>
      </c>
      <c r="F35" s="14">
        <f>IF($B35="OFF",BE35,VLOOKUP($D35,Receptury_z!$D:$AI,F$4,0))</f>
        <v>0</v>
      </c>
      <c r="G35" s="14">
        <f>IF($B35="OFF",BF35,VLOOKUP($D35,Receptury_z!$D:$AI,G$4,0))</f>
        <v>0</v>
      </c>
      <c r="H35" s="14">
        <f>IF($B35="OFF",BG35,VLOOKUP($D35,Receptury_z!$D:$AI,H$4,0))</f>
        <v>0</v>
      </c>
      <c r="I35" s="14">
        <f>IF($B35="OFF",BH35,VLOOKUP($D35,Receptury_z!$D:$AI,I$4,0))</f>
        <v>0</v>
      </c>
      <c r="J35" s="14">
        <f>IF($B35="OFF",BI35,VLOOKUP($D35,Receptury_z!$D:$AI,J$4,0))</f>
        <v>0</v>
      </c>
      <c r="K35" s="14">
        <f>IF($B35="OFF",BJ35,VLOOKUP($D35,Receptury_z!$D:$AI,K$4,0))</f>
        <v>0</v>
      </c>
      <c r="L35" s="14">
        <f>IF($B35="OFF",BK35,VLOOKUP($D35,Receptury_z!$D:$AI,L$4,0))</f>
        <v>0</v>
      </c>
      <c r="M35" s="14">
        <f>IF($B35="OFF",BL35,VLOOKUP($D35,Receptury_z!$D:$AI,M$4,0))</f>
        <v>0</v>
      </c>
      <c r="N35" s="14">
        <f>IF($B35="OFF",BM35,VLOOKUP($D35,Receptury_z!$D:$AI,N$4,0))</f>
        <v>0</v>
      </c>
      <c r="O35" s="14">
        <f>IF($B35="OFF",BN35,VLOOKUP($D35,Receptury_z!$D:$AI,O$4,0))</f>
        <v>0</v>
      </c>
      <c r="P35" s="14">
        <f>IF($B35="OFF",BO35,VLOOKUP($D35,Receptury_z!$D:$AI,P$4,0))</f>
        <v>0</v>
      </c>
      <c r="Q35" s="14">
        <f>IF($B35="OFF",BP35,VLOOKUP($D35,Receptury_z!$D:$AI,Q$4,0))</f>
        <v>0</v>
      </c>
      <c r="R35" s="14">
        <f>IF($B35="OFF",BQ35,VLOOKUP($D35,Receptury_z!$D:$AI,R$4,0))</f>
        <v>0</v>
      </c>
      <c r="S35" s="14">
        <f>IF($B35="OFF",BR35,VLOOKUP($D35,Receptury_z!$D:$AI,S$4,0))</f>
        <v>0</v>
      </c>
      <c r="T35" s="14">
        <f>IF($B35="OFF",BS35,VLOOKUP($D35,Receptury_z!$D:$AI,T$4,0))</f>
        <v>501.8</v>
      </c>
      <c r="U35" s="14">
        <f>IF($B35="OFF",BT35,VLOOKUP($D35,Receptury_z!$D:$AI,U$4,0))</f>
        <v>143.4</v>
      </c>
      <c r="V35" s="14">
        <f>IF($B35="OFF",BU35,VLOOKUP($D35,Receptury_z!$D:$AI,V$4,0))</f>
        <v>0</v>
      </c>
      <c r="W35" s="14">
        <f>IF($B35="OFF",BV35,VLOOKUP($D35,Receptury_z!$D:$AI,W$4,0))</f>
        <v>0</v>
      </c>
      <c r="X35" s="14">
        <f>IF($B35="OFF",BW35,VLOOKUP($D35,Receptury_z!$D:$AI,X$4,0))</f>
        <v>71.7</v>
      </c>
      <c r="Y35" s="14">
        <f>IF($B35="OFF",BX35,VLOOKUP($D35,Receptury_z!$D:$AI,Y$4,0))</f>
        <v>0</v>
      </c>
      <c r="Z35" s="14">
        <f>IF($B35="OFF",BY35,VLOOKUP($D35,Receptury_z!$D:$AI,Z$4,0))</f>
        <v>0</v>
      </c>
      <c r="AA35" s="14">
        <f>IF($B35="OFF",BZ35,VLOOKUP($D35,Receptury_z!$D:$AI,AA$4,0))</f>
        <v>0</v>
      </c>
      <c r="AB35" s="14">
        <f>IF($B35="OFF",CA35,VLOOKUP($D35,Receptury_z!$D:$AI,AB$4,0))</f>
        <v>0</v>
      </c>
      <c r="AC35" s="14">
        <f>IF($B35="OFF",CB35,VLOOKUP($D35,Receptury_z!$D:$AI,AC$4,0))</f>
        <v>0</v>
      </c>
      <c r="AD35" s="14">
        <f>IF($B35="OFF",CC35,VLOOKUP($D35,Receptury_z!$D:$AI,AD$4,0))</f>
        <v>0</v>
      </c>
      <c r="AE35" s="14">
        <f>IF($B35="OFF",CD35,VLOOKUP($D35,Receptury_z!$D:$AI,AE$4,0))</f>
        <v>0</v>
      </c>
      <c r="AF35" s="14">
        <f>IF($B35="OFF",CE35,VLOOKUP($D35,Receptury_z!$D:$AI,AF$4,0))</f>
        <v>0</v>
      </c>
      <c r="AG35" s="14">
        <f>IF($B35="OFF",CF35,VLOOKUP($D35,Receptury_z!$D:$AI,AG$4,0))</f>
        <v>0</v>
      </c>
      <c r="AH35" s="14">
        <f>IF($B35="OFF",CG35,VLOOKUP($D35,Receptury_z!$D:$AI,AH$4,0))</f>
        <v>0</v>
      </c>
      <c r="AI35" s="14">
        <f>IF($B35="OFF",CH35,VLOOKUP($D35,Receptury_z!$D:$AI,AI$4,0))</f>
        <v>0</v>
      </c>
      <c r="AJ35" s="14">
        <f>IF($B35="OFF",CI35,VLOOKUP($D35,Receptury_z!$D:$AS,AJ$4,0))</f>
        <v>0</v>
      </c>
      <c r="AK35" s="14">
        <f>IF($B35="OFF",CJ35,VLOOKUP($D35,Receptury_z!$D:$AS,AK$4,0))</f>
        <v>0</v>
      </c>
      <c r="AL35" s="14">
        <f>IF($B35="OFF",CK35,VLOOKUP($D35,Receptury_z!$D:$AS,AL$4,0))</f>
        <v>0</v>
      </c>
      <c r="AM35" s="14">
        <f>IF($B35="OFF",CL35,VLOOKUP($D35,Receptury_z!$D:$AS,AM$4,0))</f>
        <v>0</v>
      </c>
      <c r="AN35" s="14">
        <f>IF($B35="OFF",CM35,VLOOKUP($D35,Receptury_z!$D:$AS,AN$4,0))</f>
        <v>0</v>
      </c>
      <c r="AO35" s="14">
        <f>IF($B35="OFF",CN35,VLOOKUP($D35,Receptury_z!$D:$AS,AO$4,0))</f>
        <v>0</v>
      </c>
      <c r="AP35" s="14">
        <f>IF($B35="OFF",CO35,VLOOKUP($D35,Receptury_z!$D:$AS,AP$4,0))</f>
        <v>0</v>
      </c>
      <c r="AQ35" s="14">
        <f>IF($B35="OFF",CP35,VLOOKUP($D35,Receptury_z!$D:$AS,AQ$4,0))</f>
        <v>0</v>
      </c>
      <c r="AR35" s="14">
        <f>IF($B35="OFF",CQ35,VLOOKUP($D35,Receptury_z!$D:$AS,AR$4,0))</f>
        <v>0</v>
      </c>
      <c r="AS35" s="14">
        <f>IF($B35="OFF",CR35,VLOOKUP($D35,Receptury_z!$D:$AS,AS$4,0))</f>
        <v>0</v>
      </c>
      <c r="AT35" s="14">
        <f>IF($B35="OFF",CS35,VLOOKUP($D35,Receptury_z!$D:$AV,AT$4,0))</f>
        <v>0</v>
      </c>
      <c r="AU35" s="14">
        <f>IF($B35="OFF",CT35,VLOOKUP($D35,Receptury_z!$D:$AV,AU$4,0))</f>
        <v>0</v>
      </c>
      <c r="AV35" s="14">
        <f>IF($B35="OFF",CU35,VLOOKUP($D35,Receptury_z!$D:$AV,AV$4,0))</f>
        <v>0</v>
      </c>
      <c r="AW35" s="14">
        <f>IF($B35="OFF",CV35,VLOOKUP($D35,Receptury_z!$D:$BA,AW$4,0))</f>
        <v>0</v>
      </c>
      <c r="AX35" s="14">
        <f>IF($B35="OFF",CW35,VLOOKUP($D35,Receptury_z!$D:$BA,AX$4,0))</f>
        <v>0</v>
      </c>
      <c r="AY35" s="14">
        <f>IF($B35="OFF",CX35,VLOOKUP($D35,Receptury_z!$D:$BA,AY$4,0))</f>
        <v>0</v>
      </c>
      <c r="AZ35" s="14">
        <f>IF($B35="OFF",DA35,VLOOKUP($D35,Receptury_z!$D:$BA,AZ$4,0))</f>
        <v>0</v>
      </c>
      <c r="BA35" s="14">
        <f>IF($B35="OFF",DB35,VLOOKUP($D35,Receptury_z!$D:$BA,BA$4,0))</f>
        <v>0</v>
      </c>
      <c r="BC35" s="19">
        <v>6473</v>
      </c>
      <c r="BD35" s="18" t="s">
        <v>252</v>
      </c>
      <c r="BE35" s="239">
        <v>0</v>
      </c>
      <c r="BF35" s="239">
        <v>0</v>
      </c>
      <c r="BG35" s="239">
        <v>0</v>
      </c>
      <c r="BH35" s="239">
        <v>0</v>
      </c>
      <c r="BI35" s="239">
        <v>0</v>
      </c>
      <c r="BJ35" s="239">
        <v>0</v>
      </c>
      <c r="BK35" s="239">
        <v>0</v>
      </c>
      <c r="BL35" s="239">
        <v>0</v>
      </c>
      <c r="BM35" s="239">
        <v>0</v>
      </c>
      <c r="BN35" s="239">
        <v>0</v>
      </c>
      <c r="BO35" s="239">
        <v>0</v>
      </c>
      <c r="BP35" s="239">
        <v>0</v>
      </c>
      <c r="BQ35" s="239">
        <v>0</v>
      </c>
      <c r="BR35" s="239">
        <v>0</v>
      </c>
      <c r="BS35" s="239">
        <v>501.8</v>
      </c>
      <c r="BT35" s="239">
        <v>143.4</v>
      </c>
      <c r="BU35" s="239">
        <v>0</v>
      </c>
      <c r="BV35" s="239">
        <v>0</v>
      </c>
      <c r="BW35" s="239">
        <v>71.7</v>
      </c>
      <c r="BX35" s="239">
        <v>0</v>
      </c>
      <c r="BY35" s="239">
        <v>0</v>
      </c>
      <c r="BZ35" s="239">
        <v>0</v>
      </c>
      <c r="CA35" s="239">
        <v>0</v>
      </c>
      <c r="CB35" s="239">
        <v>0</v>
      </c>
      <c r="CC35" s="239">
        <v>0</v>
      </c>
      <c r="CD35" s="239">
        <v>0</v>
      </c>
      <c r="CE35" s="239">
        <v>0</v>
      </c>
      <c r="CF35" s="239">
        <v>0</v>
      </c>
      <c r="CG35" s="239">
        <v>0</v>
      </c>
      <c r="CH35" s="239">
        <v>0</v>
      </c>
      <c r="CI35" s="239">
        <v>0</v>
      </c>
      <c r="CJ35" s="239">
        <v>0</v>
      </c>
      <c r="CK35" s="239">
        <v>0</v>
      </c>
      <c r="CL35" s="239">
        <v>0</v>
      </c>
      <c r="CM35" s="80"/>
      <c r="CN35" s="80"/>
      <c r="CO35" s="80"/>
      <c r="CP35" s="80"/>
      <c r="CQ35" s="80"/>
      <c r="CR35" s="80"/>
      <c r="CS35" s="80"/>
      <c r="CT35" s="80"/>
      <c r="CU35" s="80"/>
      <c r="CV35" s="80"/>
      <c r="CW35" s="80"/>
      <c r="CX35" s="80"/>
      <c r="CY35" s="80"/>
      <c r="CZ35" s="80"/>
      <c r="DB35">
        <f>IFERROR(VLOOKUP($D35,'Kalkulator mięs '!$C$5:$H$533,DB$4,0)*F35,0)</f>
        <v>0</v>
      </c>
      <c r="DC35">
        <f>IFERROR(VLOOKUP($D35,'Kalkulator mięs '!$C$5:$H$533,DC$4,0)*F35,0)</f>
        <v>0</v>
      </c>
      <c r="DD35">
        <f>IFERROR(VLOOKUP($D35,'Kalkulator mięs '!$C$5:$H$533,DD$4,0)*F35,0)</f>
        <v>0</v>
      </c>
      <c r="DE35">
        <f>IFERROR(VLOOKUP($D35,'Kalkulator mięs '!$C$5:$H$533,DE$4,0)*$G35,0)</f>
        <v>0</v>
      </c>
      <c r="DF35">
        <f>IFERROR(VLOOKUP($D35,'Kalkulator mięs '!$C$5:$H$533,DF$4,0)*$G35,0)</f>
        <v>0</v>
      </c>
      <c r="DG35">
        <f>IFERROR(VLOOKUP($D35,'Kalkulator mięs '!$C$5:$H$533,DG$4,0)*$G35,0)</f>
        <v>0</v>
      </c>
      <c r="DH35">
        <f>IFERROR(VLOOKUP($D35,'Kalkulator mięs '!$C$5:$H$533,DH$4,0)*$H35,0)</f>
        <v>0</v>
      </c>
      <c r="DI35">
        <f>IFERROR(VLOOKUP($D35,'Kalkulator mięs '!$C$5:$H$533,DI$4,0)*$H35,0)</f>
        <v>0</v>
      </c>
      <c r="DJ35">
        <f>IFERROR(VLOOKUP($D35,'Kalkulator mięs '!$C$5:$H$533,DJ$4,0)*$H35,0)</f>
        <v>0</v>
      </c>
      <c r="DK35">
        <f>IFERROR(VLOOKUP($D35,'Kalkulator mięs '!$C$5:$H$533,DK$4,0)*$I35,0)</f>
        <v>0</v>
      </c>
      <c r="DL35">
        <f>IFERROR(VLOOKUP($D35,'Kalkulator mięs '!$C$5:$H$533,DL$4,0)*$I35,0)</f>
        <v>0</v>
      </c>
      <c r="DM35">
        <f>IFERROR(VLOOKUP($D35,'Kalkulator mięs '!$C$5:$H$533,DM$4,0)*$I35,0)</f>
        <v>0</v>
      </c>
      <c r="DN35">
        <f>IFERROR(VLOOKUP($D35,'Kalkulator mięs '!$C$5:$H$533,DN$4,0)*$J35,0)</f>
        <v>0</v>
      </c>
      <c r="DO35">
        <f>IFERROR(VLOOKUP($D35,'Kalkulator mięs '!$C$5:$H$533,DO$4,0)*$J35,0)</f>
        <v>0</v>
      </c>
      <c r="DP35">
        <f>IFERROR(VLOOKUP($D35,'Kalkulator mięs '!$C$5:$H$533,DP$4,0)*$J35,0)</f>
        <v>0</v>
      </c>
      <c r="DQ35">
        <f>IFERROR(VLOOKUP($D35,'Kalkulator mięs '!$C$5:$H$533,DQ$4,0)*$K35,0)</f>
        <v>0</v>
      </c>
      <c r="DR35">
        <f>IFERROR(VLOOKUP($D35,'Kalkulator mięs '!$C$5:$H$533,DR$4,0)*$K35,0)</f>
        <v>0</v>
      </c>
      <c r="DS35">
        <f>IFERROR(VLOOKUP($D35,'Kalkulator mięs '!$C$5:$H$533,DS$4,0)*$K35,0)</f>
        <v>0</v>
      </c>
      <c r="DT35">
        <f>IFERROR(VLOOKUP($D35,'Kalkulator mięs '!$C$5:$H$533,DT$4,0)*$L35,0)</f>
        <v>0</v>
      </c>
      <c r="DU35">
        <f>IFERROR(VLOOKUP($D35,'Kalkulator mięs '!$C$5:$H$533,DU$4,0)*$L35,0)</f>
        <v>0</v>
      </c>
      <c r="DV35">
        <f>IFERROR(VLOOKUP($D35,'Kalkulator mięs '!$C$5:$H$533,DV$4,0)*$L35,0)</f>
        <v>0</v>
      </c>
      <c r="DW35">
        <f>IFERROR(VLOOKUP($D35,'Kalkulator mięs '!$C$5:$H$533,DW$4,0)*$M35,0)</f>
        <v>0</v>
      </c>
      <c r="DX35">
        <f>IFERROR(VLOOKUP($D35,'Kalkulator mięs '!$C$5:$H$533,DX$4,0)*$M35,0)</f>
        <v>0</v>
      </c>
      <c r="DY35">
        <f>IFERROR(VLOOKUP($D35,'Kalkulator mięs '!$C$5:$H$533,DY$4,0)*$M35,0)</f>
        <v>0</v>
      </c>
      <c r="DZ35">
        <f>IFERROR(VLOOKUP($D35,'Kalkulator mięs '!$C$5:$H$533,DZ$4,0)*$N35,0)</f>
        <v>0</v>
      </c>
      <c r="EA35">
        <f>IFERROR(VLOOKUP($D35,'Kalkulator mięs '!$C$5:$H$533,EA$4,0)*$N35,0)</f>
        <v>0</v>
      </c>
      <c r="EB35">
        <f>IFERROR(VLOOKUP($D35,'Kalkulator mięs '!$C$5:$H$533,EB$4,0)*$N35,0)</f>
        <v>0</v>
      </c>
      <c r="EC35">
        <f>IFERROR(VLOOKUP($D35,'Kalkulator mięs '!$C$5:$H$533,EC$4,0)*$O35,0)</f>
        <v>0</v>
      </c>
      <c r="ED35">
        <f>IFERROR(VLOOKUP($D35,'Kalkulator mięs '!$C$5:$H$533,ED$4,0)*$O35,0)</f>
        <v>0</v>
      </c>
      <c r="EE35">
        <f>IFERROR(VLOOKUP($D35,'Kalkulator mięs '!$C$5:$H$533,EE$4,0)*$O35,0)</f>
        <v>0</v>
      </c>
      <c r="EF35">
        <f>IFERROR(VLOOKUP($D35,'Kalkulator mięs '!$C$5:$H$533,EF$4,0)*$P35,0)</f>
        <v>0</v>
      </c>
      <c r="EG35">
        <f>IFERROR(VLOOKUP($D35,'Kalkulator mięs '!$C$5:$H$533,EG$4,0)*$P35,0)</f>
        <v>0</v>
      </c>
      <c r="EH35">
        <f>IFERROR(VLOOKUP($D35,'Kalkulator mięs '!$C$5:$H$533,EH$4,0)*$P35,0)</f>
        <v>0</v>
      </c>
      <c r="EI35">
        <f>IFERROR(VLOOKUP($D35,'Kalkulator mięs '!$C$5:$H$533,EI$4,0)*$Q35,0)</f>
        <v>0</v>
      </c>
      <c r="EJ35">
        <f>IFERROR(VLOOKUP($D35,'Kalkulator mięs '!$C$5:$H$533,EJ$4,0)*$Q35,0)</f>
        <v>0</v>
      </c>
      <c r="EK35">
        <f>IFERROR(VLOOKUP($D35,'Kalkulator mięs '!$C$5:$H$533,EK$4,0)*$Q35,0)</f>
        <v>0</v>
      </c>
      <c r="EL35">
        <f>IFERROR(VLOOKUP($D35,'Kalkulator mięs '!$C$5:$H$533,EL$4,0)*$R35,0)</f>
        <v>0</v>
      </c>
      <c r="EM35">
        <f>IFERROR(VLOOKUP($D35,'Kalkulator mięs '!$C$5:$H$533,EM$4,0)*$R35,0)</f>
        <v>0</v>
      </c>
      <c r="EN35">
        <f>IFERROR(VLOOKUP($D35,'Kalkulator mięs '!$C$5:$H$533,EN$4,0)*$R35,0)</f>
        <v>0</v>
      </c>
      <c r="EO35">
        <f>IFERROR(VLOOKUP($D35,'Kalkulator mięs '!$C$5:$H$533,EO$4,0)*$S35,0)</f>
        <v>0</v>
      </c>
      <c r="EP35">
        <f>IFERROR(VLOOKUP($D35,'Kalkulator mięs '!$C$5:$H$533,EP$4,0)*$S35,0)</f>
        <v>0</v>
      </c>
      <c r="EQ35">
        <f>IFERROR(VLOOKUP($D35,'Kalkulator mięs '!$C$5:$H$533,EQ$4,0)*$S35,0)</f>
        <v>0</v>
      </c>
      <c r="ER35">
        <f>IFERROR(VLOOKUP($D35,'Kalkulator mięs '!$C$5:$H$533,ER$4,0)*$T35,0)</f>
        <v>0</v>
      </c>
      <c r="ES35">
        <f>IFERROR(VLOOKUP($D35,'Kalkulator mięs '!$C$5:$H$533,ES$4,0)*$T35,0)</f>
        <v>0</v>
      </c>
      <c r="ET35">
        <f>IFERROR(VLOOKUP($D35,'Kalkulator mięs '!$C$5:$H$533,ET$4,0)*$T35,0)</f>
        <v>0</v>
      </c>
      <c r="EU35">
        <f>IFERROR(VLOOKUP($D35,'Kalkulator mięs '!$C$5:$H$533,EU$4,0)*$U35,0)</f>
        <v>0</v>
      </c>
      <c r="EV35">
        <f>IFERROR(VLOOKUP($D35,'Kalkulator mięs '!$C$5:$H$533,EV$4,0)*$U35,0)</f>
        <v>0</v>
      </c>
      <c r="EW35">
        <f>IFERROR(VLOOKUP($D35,'Kalkulator mięs '!$C$5:$H$533,EW$4,0)*$U35,0)</f>
        <v>0</v>
      </c>
      <c r="EX35">
        <f>IFERROR(VLOOKUP($D35,'Kalkulator mięs '!$C$5:$H$533,EX$4,0)*$V35,0)</f>
        <v>0</v>
      </c>
      <c r="EY35">
        <f>IFERROR(VLOOKUP($D35,'Kalkulator mięs '!$C$5:$H$533,EY$4,0)*$V35,0)</f>
        <v>0</v>
      </c>
      <c r="EZ35">
        <f>IFERROR(VLOOKUP($D35,'Kalkulator mięs '!$C$5:$H$533,EZ$4,0)*$V35,0)</f>
        <v>0</v>
      </c>
      <c r="FA35">
        <f>IFERROR(VLOOKUP($D35,'Kalkulator mięs '!$C$5:$H$533,FA$4,0)*$W35,0)</f>
        <v>0</v>
      </c>
      <c r="FB35">
        <f>IFERROR(VLOOKUP($D35,'Kalkulator mięs '!$C$5:$H$533,FB$4,0)*$W35,0)</f>
        <v>0</v>
      </c>
      <c r="FC35">
        <f>IFERROR(VLOOKUP($D35,'Kalkulator mięs '!$C$5:$H$533,FC$4,0)*$W35,0)</f>
        <v>0</v>
      </c>
      <c r="FD35">
        <f>IFERROR(VLOOKUP($D35,'Kalkulator mięs '!$C$5:$H$533,FD$4,0)*$X35,0)</f>
        <v>0</v>
      </c>
      <c r="FE35">
        <f>IFERROR(VLOOKUP($D35,'Kalkulator mięs '!$C$5:$H$533,FE$4,0)*$X35,0)</f>
        <v>0</v>
      </c>
      <c r="FF35">
        <f>IFERROR(VLOOKUP($D35,'Kalkulator mięs '!$C$5:$H$533,FF$4,0)*$X35,0)</f>
        <v>0</v>
      </c>
      <c r="FG35">
        <f>IFERROR(VLOOKUP($D35,'Kalkulator mięs '!$C$5:$H$533,FG$4,0)*$Y35,0)</f>
        <v>0</v>
      </c>
      <c r="FH35">
        <f>IFERROR(VLOOKUP($D35,'Kalkulator mięs '!$C$5:$H$533,FH$4,0)*$Y35,0)</f>
        <v>0</v>
      </c>
      <c r="FI35">
        <f>IFERROR(VLOOKUP($D35,'Kalkulator mięs '!$C$5:$H$533,FI$4,0)*$Y35,0)</f>
        <v>0</v>
      </c>
      <c r="FJ35">
        <f>IFERROR(VLOOKUP($D35,'Kalkulator mięs '!$C$5:$H$533,FJ$4,0)*$Z35,0)</f>
        <v>0</v>
      </c>
      <c r="FK35">
        <f>IFERROR(VLOOKUP($D35,'Kalkulator mięs '!$C$5:$H$533,FK$4,0)*$Z35,0)</f>
        <v>0</v>
      </c>
      <c r="FL35">
        <f>IFERROR(VLOOKUP($D35,'Kalkulator mięs '!$C$5:$H$533,FL$4,0)*$Z35,0)</f>
        <v>0</v>
      </c>
      <c r="FM35">
        <f>IFERROR(VLOOKUP($D35,'Kalkulator mięs '!$C$5:$H$533,FM$4,0)*$AA35,0)</f>
        <v>0</v>
      </c>
      <c r="FN35">
        <f>IFERROR(VLOOKUP($D35,'Kalkulator mięs '!$C$5:$H$533,FN$4,0)*$AA35,0)</f>
        <v>0</v>
      </c>
      <c r="FO35">
        <f>IFERROR(VLOOKUP($D35,'Kalkulator mięs '!$C$5:$H$533,FO$4,0)*$AA35,0)</f>
        <v>0</v>
      </c>
      <c r="FP35">
        <f>IFERROR(VLOOKUP($D35,'Kalkulator mięs '!$C$5:$H$533,FP$4,0)*$AB35,0)</f>
        <v>0</v>
      </c>
      <c r="FQ35">
        <f>IFERROR(VLOOKUP($D35,'Kalkulator mięs '!$C$5:$H$533,FQ$4,0)*$AB35,0)</f>
        <v>0</v>
      </c>
      <c r="FR35">
        <f>IFERROR(VLOOKUP($D35,'Kalkulator mięs '!$C$5:$H$533,FR$4,0)*$AB35,0)</f>
        <v>0</v>
      </c>
      <c r="FS35">
        <f>IFERROR(VLOOKUP($D35,'Kalkulator mięs '!$C$5:$H$533,FS$4,0)*$AC35,0)</f>
        <v>0</v>
      </c>
      <c r="FT35">
        <f>IFERROR(VLOOKUP($D35,'Kalkulator mięs '!$C$5:$H$533,FT$4,0)*$AC35,0)</f>
        <v>0</v>
      </c>
      <c r="FU35">
        <f>IFERROR(VLOOKUP($D35,'Kalkulator mięs '!$C$5:$H$533,FU$4,0)*$AC35,0)</f>
        <v>0</v>
      </c>
      <c r="FV35">
        <f>IFERROR(VLOOKUP($D35,'Kalkulator mięs '!$C$5:$H$533,FV$4,0)*$AD35,0)</f>
        <v>0</v>
      </c>
      <c r="FW35">
        <f>IFERROR(VLOOKUP($D35,'Kalkulator mięs '!$C$5:$H$533,FW$4,0)*$AD35,0)</f>
        <v>0</v>
      </c>
      <c r="FX35">
        <f>IFERROR(VLOOKUP($D35,'Kalkulator mięs '!$C$5:$H$533,FX$4,0)*$AD35,0)</f>
        <v>0</v>
      </c>
      <c r="FY35">
        <f>IFERROR(VLOOKUP($D35,'Kalkulator mięs '!$C$5:$H$533,FY$4,0)*$AE35,0)</f>
        <v>0</v>
      </c>
      <c r="FZ35">
        <f>IFERROR(VLOOKUP($D35,'Kalkulator mięs '!$C$5:$H$533,FZ$4,0)*$AE35,0)</f>
        <v>0</v>
      </c>
      <c r="GA35">
        <f>IFERROR(VLOOKUP($D35,'Kalkulator mięs '!$C$5:$H$533,GA$4,0)*$AE35,0)</f>
        <v>0</v>
      </c>
      <c r="GB35">
        <f>IFERROR(VLOOKUP($D35,'Kalkulator mięs '!$C$5:$H$533,GB$4,0)*$AF35,0)</f>
        <v>0</v>
      </c>
      <c r="GC35">
        <f>IFERROR(VLOOKUP($D35,'Kalkulator mięs '!$C$5:$H$533,GC$4,0)*$AF35,0)</f>
        <v>0</v>
      </c>
      <c r="GD35">
        <f>IFERROR(VLOOKUP($D35,'Kalkulator mięs '!$C$5:$H$533,GD$4,0)*$AF35,0)</f>
        <v>0</v>
      </c>
      <c r="GE35">
        <f>IFERROR(VLOOKUP($D35,'Kalkulator mięs '!$C$5:$H$533,GE$4,0)*$AG35,0)</f>
        <v>0</v>
      </c>
      <c r="GF35">
        <f>IFERROR(VLOOKUP($D35,'Kalkulator mięs '!$C$5:$H$533,GF$4,0)*$AG35,0)</f>
        <v>0</v>
      </c>
      <c r="GG35">
        <f>IFERROR(VLOOKUP($D35,'Kalkulator mięs '!$C$5:$H$533,GG$4,0)*$AG35,0)</f>
        <v>0</v>
      </c>
      <c r="GH35">
        <f>IFERROR(VLOOKUP($D35,'Kalkulator mięs '!$C$5:$H$533,GH$4,0)*$AH35,0)</f>
        <v>0</v>
      </c>
      <c r="GI35">
        <f>IFERROR(VLOOKUP($D35,'Kalkulator mięs '!$C$5:$H$533,GI$4,0)*$AH35,0)</f>
        <v>0</v>
      </c>
      <c r="GJ35">
        <f>IFERROR(VLOOKUP($D35,'Kalkulator mięs '!$C$5:$H$533,GJ$4,0)*$AH35,0)</f>
        <v>0</v>
      </c>
      <c r="GK35">
        <f>IFERROR(VLOOKUP($D35,'Kalkulator mięs '!$C$5:$H$533,GK$4,0)*$AI35,0)</f>
        <v>0</v>
      </c>
      <c r="GL35">
        <f>IFERROR(VLOOKUP($D35,'Kalkulator mięs '!$C$5:$H$533,GL$4,0)*$AI35,0)</f>
        <v>0</v>
      </c>
      <c r="GM35">
        <f>IFERROR(VLOOKUP($D35,'Kalkulator mięs '!$C$5:$H$533,GM$4,0)*$AI35,0)</f>
        <v>0</v>
      </c>
      <c r="GN35">
        <f>IFERROR(VLOOKUP($D35,'Kalkulator mięs '!$C$5:$H$533,GN$4,0)*$AJ35,0)</f>
        <v>0</v>
      </c>
      <c r="GO35">
        <f>IFERROR(VLOOKUP($D35,'Kalkulator mięs '!$C$5:$H$533,GO$4,0)*$AJ35,0)</f>
        <v>0</v>
      </c>
      <c r="GP35">
        <f>IFERROR(VLOOKUP($D35,'Kalkulator mięs '!$C$5:$H$533,GP$4,0)*$AJ35,0)</f>
        <v>0</v>
      </c>
      <c r="GQ35">
        <f>IFERROR(VLOOKUP($D35,'Kalkulator mięs '!$C$5:$H$533,GQ$4,0)*$AK35,0)</f>
        <v>0</v>
      </c>
      <c r="GR35">
        <f>IFERROR(VLOOKUP($D35,'Kalkulator mięs '!$C$5:$H$533,GR$4,0)*$AK35,0)</f>
        <v>0</v>
      </c>
      <c r="GS35">
        <f>IFERROR(VLOOKUP($D35,'Kalkulator mięs '!$C$5:$H$533,GS$4,0)*$AK35,0)</f>
        <v>0</v>
      </c>
      <c r="GT35">
        <f>IFERROR(VLOOKUP($D35,'Kalkulator mięs '!$C$5:$H$533,GT$4,0)*$AL35,0)</f>
        <v>0</v>
      </c>
      <c r="GU35">
        <f>IFERROR(VLOOKUP($D35,'Kalkulator mięs '!$C$5:$H$533,GU$4,0)*$AL35,0)</f>
        <v>0</v>
      </c>
      <c r="GV35">
        <f>IFERROR(VLOOKUP($D35,'Kalkulator mięs '!$C$5:$H$533,GV$4,0)*$AL35,0)</f>
        <v>0</v>
      </c>
      <c r="GW35">
        <f>IFERROR(VLOOKUP($D35,'Kalkulator mięs '!$C$5:$H$533,GW$4,0)*$AM35,0)</f>
        <v>0</v>
      </c>
      <c r="GX35">
        <f>IFERROR(VLOOKUP($D35,'Kalkulator mięs '!$C$5:$H$533,GX$4,0)*$AM35,0)</f>
        <v>0</v>
      </c>
      <c r="GY35">
        <f>IFERROR(VLOOKUP($D35,'Kalkulator mięs '!$C$5:$H$533,GY$4,0)*$AM35,0)</f>
        <v>0</v>
      </c>
      <c r="GZ35">
        <f>IFERROR(VLOOKUP($D35,'Kalkulator mięs '!$C$5:$H$533,GZ$4,0)*$AN35,0)</f>
        <v>0</v>
      </c>
      <c r="HA35">
        <f>IFERROR(VLOOKUP($D35,'Kalkulator mięs '!$C$5:$H$533,HA$4,0)*$AN35,0)</f>
        <v>0</v>
      </c>
      <c r="HB35">
        <f>IFERROR(VLOOKUP($D35,'Kalkulator mięs '!$C$5:$H$533,HB$4,0)*$AN35,0)</f>
        <v>0</v>
      </c>
      <c r="HC35">
        <f>IFERROR(VLOOKUP($D35,'Kalkulator mięs '!$C$5:$H$533,HC$4,0)*$AO35,0)</f>
        <v>0</v>
      </c>
      <c r="HD35">
        <f>IFERROR(VLOOKUP($D35,'Kalkulator mięs '!$C$5:$H$533,HD$4,0)*$AO35,0)</f>
        <v>0</v>
      </c>
      <c r="HE35">
        <f>IFERROR(VLOOKUP($D35,'Kalkulator mięs '!$C$5:$H$533,HE$4,0)*$AO35,0)</f>
        <v>0</v>
      </c>
      <c r="HF35">
        <f>IFERROR(VLOOKUP($D35,'Kalkulator mięs '!$C$5:$H$533,HF$4,0)*$AP35,0)</f>
        <v>0</v>
      </c>
      <c r="HG35">
        <f>IFERROR(VLOOKUP($D35,'Kalkulator mięs '!$C$5:$H$533,HG$4,0)*$AP35,0)</f>
        <v>0</v>
      </c>
      <c r="HH35">
        <f>IFERROR(VLOOKUP($D35,'Kalkulator mięs '!$C$5:$H$533,HH$4,0)*$AP35,0)</f>
        <v>0</v>
      </c>
      <c r="HI35">
        <f>IFERROR(VLOOKUP($D35,'Kalkulator mięs '!$C$5:$H$533,HI$4,0)*$AQ35,0)</f>
        <v>0</v>
      </c>
      <c r="HJ35">
        <f>IFERROR(VLOOKUP($D35,'Kalkulator mięs '!$C$5:$H$533,HJ$4,0)*$AQ35,0)</f>
        <v>0</v>
      </c>
      <c r="HK35">
        <f>IFERROR(VLOOKUP($D35,'Kalkulator mięs '!$C$5:$H$533,HK$4,0)*$AQ35,0)</f>
        <v>0</v>
      </c>
      <c r="HL35">
        <f>IFERROR(VLOOKUP($D35,'Kalkulator mięs '!$C$5:$H$533,HL$4,0)*$AR35,0)</f>
        <v>0</v>
      </c>
      <c r="HM35">
        <f>IFERROR(VLOOKUP($D35,'Kalkulator mięs '!$C$5:$H$533,HM$4,0)*$AR35,0)</f>
        <v>0</v>
      </c>
      <c r="HN35">
        <f>IFERROR(VLOOKUP($D35,'Kalkulator mięs '!$C$5:$H$533,HN$4,0)*$AR35,0)</f>
        <v>0</v>
      </c>
      <c r="HO35">
        <f>IFERROR(VLOOKUP($D35,'Kalkulator mięs '!$C$5:$H$533,HO$4,0)*$AS35,0)</f>
        <v>0</v>
      </c>
      <c r="HP35">
        <f>IFERROR(VLOOKUP($D35,'Kalkulator mięs '!$C$5:$H$533,HP$4,0)*$AS35,0)</f>
        <v>0</v>
      </c>
      <c r="HQ35">
        <f>IFERROR(VLOOKUP($D35,'Kalkulator mięs '!$C$5:$H$533,HQ$4,0)*$AS35,0)</f>
        <v>0</v>
      </c>
      <c r="HR35">
        <f>IFERROR(VLOOKUP($D35,'Kalkulator mięs '!$C$5:$H$533,HR$4,0)*$AT35,0)</f>
        <v>0</v>
      </c>
      <c r="HS35">
        <f>IFERROR(VLOOKUP($D35,'Kalkulator mięs '!$C$5:$H$533,HS$4,0)*$AT35,0)</f>
        <v>0</v>
      </c>
      <c r="HT35">
        <f>IFERROR(VLOOKUP($D35,'Kalkulator mięs '!$C$5:$H$533,HT$4,0)*$AT35,0)</f>
        <v>0</v>
      </c>
      <c r="HU35">
        <f>IFERROR(VLOOKUP($D35,'Kalkulator mięs '!$C$5:$H$533,HU$4,0)*$AU35,0)</f>
        <v>0</v>
      </c>
      <c r="HV35">
        <f>IFERROR(VLOOKUP($D35,'Kalkulator mięs '!$C$5:$H$533,HV$4,0)*$AU35,0)</f>
        <v>0</v>
      </c>
      <c r="HW35">
        <f>IFERROR(VLOOKUP($D35,'Kalkulator mięs '!$C$5:$H$533,HW$4,0)*$AU35,0)</f>
        <v>0</v>
      </c>
      <c r="HX35">
        <f>IFERROR(VLOOKUP($D35,'Kalkulator mięs '!$C$5:$H$533,HX$4,0)*$AV35,0)</f>
        <v>0</v>
      </c>
      <c r="HY35">
        <f>IFERROR(VLOOKUP($D35,'Kalkulator mięs '!$C$5:$H$533,HY$4,0)*$AV35,0)</f>
        <v>0</v>
      </c>
      <c r="HZ35">
        <f>IFERROR(VLOOKUP($D35,'Kalkulator mięs '!$C$5:$H$533,HZ$4,0)*$AV35,0)</f>
        <v>0</v>
      </c>
      <c r="IA35">
        <f>IFERROR(VLOOKUP($D35,'Kalkulator mięs '!$C$5:$H$533,IA$4,0)*$AW35,0)</f>
        <v>0</v>
      </c>
      <c r="IB35">
        <f>IFERROR(VLOOKUP($D35,'Kalkulator mięs '!$C$5:$H$533,IB$4,0)*$AW35,0)</f>
        <v>0</v>
      </c>
      <c r="IC35">
        <f>IFERROR(VLOOKUP($D35,'Kalkulator mięs '!$C$5:$H$533,IC$4,0)*$AW35,0)</f>
        <v>0</v>
      </c>
      <c r="ID35">
        <f>IFERROR(VLOOKUP($D35,'Kalkulator mięs '!$C$5:$H$533,ID$4,0)*$AX35,0)</f>
        <v>0</v>
      </c>
      <c r="IE35">
        <f>IFERROR(VLOOKUP($D35,'Kalkulator mięs '!$C$5:$H$533,IE$4,0)*$AX35,0)</f>
        <v>0</v>
      </c>
      <c r="IF35">
        <f>IFERROR(VLOOKUP($D35,'Kalkulator mięs '!$C$5:$H$533,IF$4,0)*$AX35,0)</f>
        <v>0</v>
      </c>
      <c r="IG35">
        <f>IFERROR(VLOOKUP($D35,'Kalkulator mięs '!$C$5:$H$533,IG$4,0)*$AY35,0)</f>
        <v>0</v>
      </c>
      <c r="IH35">
        <f>IFERROR(VLOOKUP($D35,'Kalkulator mięs '!$C$5:$H$533,IH$4,0)*$AY35,0)</f>
        <v>0</v>
      </c>
      <c r="II35">
        <f>IFERROR(VLOOKUP($D35,'Kalkulator mięs '!$C$5:$H$533,II$4,0)*$AY35,0)</f>
        <v>0</v>
      </c>
      <c r="IJ35">
        <f>IFERROR(VLOOKUP($D35,'Kalkulator mięs '!$C$5:$H$533,IJ$4,0)*$AZ35,0)</f>
        <v>0</v>
      </c>
      <c r="IK35">
        <f>IFERROR(VLOOKUP($D35,'Kalkulator mięs '!$C$5:$H$533,IK$4,0)*$AZ35,0)</f>
        <v>0</v>
      </c>
      <c r="IL35">
        <f>IFERROR(VLOOKUP($D35,'Kalkulator mięs '!$C$5:$H$533,IL$4,0)*$AZ35,0)</f>
        <v>0</v>
      </c>
      <c r="IM35">
        <f>IFERROR(VLOOKUP($D35,'Kalkulator mięs '!$C$5:$H$533,IM$4,0)*$BA35,0)</f>
        <v>0</v>
      </c>
      <c r="IN35">
        <f>IFERROR(VLOOKUP($D35,'Kalkulator mięs '!$C$5:$H$533,IN$4,0)*$BA35,0)</f>
        <v>0</v>
      </c>
      <c r="IO35">
        <f>IFERROR(VLOOKUP($D35,'Kalkulator mięs '!$C$5:$H$533,IO$4,0)*$BA35,0)</f>
        <v>0</v>
      </c>
    </row>
    <row r="36" spans="1:249" ht="15.75">
      <c r="B36" t="str">
        <f>VLOOKUP(D36,Receptury_z!$A:$B,2,0)</f>
        <v>ON</v>
      </c>
      <c r="C36" s="16">
        <v>5681</v>
      </c>
      <c r="D36" s="19">
        <v>6480</v>
      </c>
      <c r="E36" s="18" t="s">
        <v>40</v>
      </c>
      <c r="F36" s="14">
        <f>IF($B36="OFF",BE36,VLOOKUP($D36,Receptury_z!$D:$AI,F$4,0))</f>
        <v>0</v>
      </c>
      <c r="G36" s="14">
        <f>IF($B36="OFF",BF36,VLOOKUP($D36,Receptury_z!$D:$AI,G$4,0))</f>
        <v>0</v>
      </c>
      <c r="H36" s="14">
        <f>IF($B36="OFF",BG36,VLOOKUP($D36,Receptury_z!$D:$AI,H$4,0))</f>
        <v>0</v>
      </c>
      <c r="I36" s="14">
        <f>IF($B36="OFF",BH36,VLOOKUP($D36,Receptury_z!$D:$AI,I$4,0))</f>
        <v>0</v>
      </c>
      <c r="J36" s="14">
        <f>IF($B36="OFF",BI36,VLOOKUP($D36,Receptury_z!$D:$AI,J$4,0))</f>
        <v>0</v>
      </c>
      <c r="K36" s="14">
        <f>IF($B36="OFF",BJ36,VLOOKUP($D36,Receptury_z!$D:$AI,K$4,0))</f>
        <v>0</v>
      </c>
      <c r="L36" s="14">
        <f>IF($B36="OFF",BK36,VLOOKUP($D36,Receptury_z!$D:$AI,L$4,0))</f>
        <v>0</v>
      </c>
      <c r="M36" s="14">
        <f>IF($B36="OFF",BL36,VLOOKUP($D36,Receptury_z!$D:$AI,M$4,0))</f>
        <v>0</v>
      </c>
      <c r="N36" s="14">
        <f>IF($B36="OFF",BM36,VLOOKUP($D36,Receptury_z!$D:$AI,N$4,0))</f>
        <v>113.01</v>
      </c>
      <c r="O36" s="14">
        <f>IF($B36="OFF",BN36,VLOOKUP($D36,Receptury_z!$D:$AI,O$4,0))</f>
        <v>0</v>
      </c>
      <c r="P36" s="14">
        <f>IF($B36="OFF",BO36,VLOOKUP($D36,Receptury_z!$D:$AI,P$4,0))</f>
        <v>0</v>
      </c>
      <c r="Q36" s="14">
        <f>IF($B36="OFF",BP36,VLOOKUP($D36,Receptury_z!$D:$AI,Q$4,0))</f>
        <v>0</v>
      </c>
      <c r="R36" s="14">
        <f>IF($B36="OFF",BQ36,VLOOKUP($D36,Receptury_z!$D:$AI,R$4,0))</f>
        <v>60.85</v>
      </c>
      <c r="S36" s="14">
        <f>IF($B36="OFF",BR36,VLOOKUP($D36,Receptury_z!$D:$AI,S$4,0))</f>
        <v>0</v>
      </c>
      <c r="T36" s="14">
        <f>IF($B36="OFF",BS36,VLOOKUP($D36,Receptury_z!$D:$AI,T$4,0))</f>
        <v>591.15</v>
      </c>
      <c r="U36" s="14">
        <f>IF($B36="OFF",BT36,VLOOKUP($D36,Receptury_z!$D:$AI,U$4,0))</f>
        <v>0</v>
      </c>
      <c r="V36" s="14">
        <f>IF($B36="OFF",BU36,VLOOKUP($D36,Receptury_z!$D:$AI,V$4,0))</f>
        <v>0</v>
      </c>
      <c r="W36" s="14">
        <f>IF($B36="OFF",BV36,VLOOKUP($D36,Receptury_z!$D:$AI,W$4,0))</f>
        <v>0</v>
      </c>
      <c r="X36" s="14">
        <f>IF($B36="OFF",BW36,VLOOKUP($D36,Receptury_z!$D:$AI,X$4,0))</f>
        <v>0</v>
      </c>
      <c r="Y36" s="14">
        <f>IF($B36="OFF",BX36,VLOOKUP($D36,Receptury_z!$D:$AI,Y$4,0))</f>
        <v>0</v>
      </c>
      <c r="Z36" s="14">
        <f>IF($B36="OFF",BY36,VLOOKUP($D36,Receptury_z!$D:$AI,Z$4,0))</f>
        <v>0</v>
      </c>
      <c r="AA36" s="14">
        <f>IF($B36="OFF",BZ36,VLOOKUP($D36,Receptury_z!$D:$AI,AA$4,0))</f>
        <v>0</v>
      </c>
      <c r="AB36" s="14">
        <f>IF($B36="OFF",CA36,VLOOKUP($D36,Receptury_z!$D:$AI,AB$4,0))</f>
        <v>104.32</v>
      </c>
      <c r="AC36" s="14">
        <f>IF($B36="OFF",CB36,VLOOKUP($D36,Receptury_z!$D:$AI,AC$4,0))</f>
        <v>0</v>
      </c>
      <c r="AD36" s="14">
        <f>IF($B36="OFF",CC36,VLOOKUP($D36,Receptury_z!$D:$AI,AD$4,0))</f>
        <v>0</v>
      </c>
      <c r="AE36" s="14">
        <f>IF($B36="OFF",CD36,VLOOKUP($D36,Receptury_z!$D:$AI,AE$4,0))</f>
        <v>0</v>
      </c>
      <c r="AF36" s="14">
        <f>IF($B36="OFF",CE36,VLOOKUP($D36,Receptury_z!$D:$AI,AF$4,0))</f>
        <v>0</v>
      </c>
      <c r="AG36" s="14">
        <f>IF($B36="OFF",CF36,VLOOKUP($D36,Receptury_z!$D:$AI,AG$4,0))</f>
        <v>0</v>
      </c>
      <c r="AH36" s="14">
        <f>IF($B36="OFF",CG36,VLOOKUP($D36,Receptury_z!$D:$AI,AH$4,0))</f>
        <v>0</v>
      </c>
      <c r="AI36" s="14">
        <f>IF($B36="OFF",CH36,VLOOKUP($D36,Receptury_z!$D:$AI,AI$4,0))</f>
        <v>0</v>
      </c>
      <c r="AJ36" s="14">
        <f>IF($B36="OFF",CI36,VLOOKUP($D36,Receptury_z!$D:$AS,AJ$4,0))</f>
        <v>0</v>
      </c>
      <c r="AK36" s="14">
        <f>IF($B36="OFF",CJ36,VLOOKUP($D36,Receptury_z!$D:$AS,AK$4,0))</f>
        <v>0</v>
      </c>
      <c r="AL36" s="14">
        <f>IF($B36="OFF",CK36,VLOOKUP($D36,Receptury_z!$D:$AS,AL$4,0))</f>
        <v>0</v>
      </c>
      <c r="AM36" s="14">
        <f>IF($B36="OFF",CL36,VLOOKUP($D36,Receptury_z!$D:$AS,AM$4,0))</f>
        <v>0</v>
      </c>
      <c r="AN36" s="14">
        <f>IF($B36="OFF",CM36,VLOOKUP($D36,Receptury_z!$D:$AS,AN$4,0))</f>
        <v>0</v>
      </c>
      <c r="AO36" s="14">
        <f>IF($B36="OFF",CN36,VLOOKUP($D36,Receptury_z!$D:$AS,AO$4,0))</f>
        <v>0</v>
      </c>
      <c r="AP36" s="14">
        <f>IF($B36="OFF",CO36,VLOOKUP($D36,Receptury_z!$D:$AS,AP$4,0))</f>
        <v>0</v>
      </c>
      <c r="AQ36" s="14">
        <f>IF($B36="OFF",CP36,VLOOKUP($D36,Receptury_z!$D:$AS,AQ$4,0))</f>
        <v>0</v>
      </c>
      <c r="AR36" s="14">
        <f>IF($B36="OFF",CQ36,VLOOKUP($D36,Receptury_z!$D:$AS,AR$4,0))</f>
        <v>0</v>
      </c>
      <c r="AS36" s="14">
        <f>IF($B36="OFF",CR36,VLOOKUP($D36,Receptury_z!$D:$AS,AS$4,0))</f>
        <v>0</v>
      </c>
      <c r="AT36" s="14">
        <f>IF($B36="OFF",CS36,VLOOKUP($D36,Receptury_z!$D:$AV,AT$4,0))</f>
        <v>0</v>
      </c>
      <c r="AU36" s="14">
        <f>IF($B36="OFF",CT36,VLOOKUP($D36,Receptury_z!$D:$AV,AU$4,0))</f>
        <v>0</v>
      </c>
      <c r="AV36" s="14">
        <f>IF($B36="OFF",CU36,VLOOKUP($D36,Receptury_z!$D:$AV,AV$4,0))</f>
        <v>0</v>
      </c>
      <c r="AW36" s="14">
        <f>IF($B36="OFF",CV36,VLOOKUP($D36,Receptury_z!$D:$BA,AW$4,0))</f>
        <v>0</v>
      </c>
      <c r="AX36" s="14">
        <f>IF($B36="OFF",CW36,VLOOKUP($D36,Receptury_z!$D:$BA,AX$4,0))</f>
        <v>0</v>
      </c>
      <c r="AY36" s="14">
        <f>IF($B36="OFF",CX36,VLOOKUP($D36,Receptury_z!$D:$BA,AY$4,0))</f>
        <v>0</v>
      </c>
      <c r="AZ36" s="14">
        <f>IF($B36="OFF",DA36,VLOOKUP($D36,Receptury_z!$D:$BA,AZ$4,0))</f>
        <v>0</v>
      </c>
      <c r="BA36" s="14">
        <f>IF($B36="OFF",DB36,VLOOKUP($D36,Receptury_z!$D:$BA,BA$4,0))</f>
        <v>0</v>
      </c>
      <c r="BC36" s="19">
        <v>6480</v>
      </c>
      <c r="BD36" s="18" t="s">
        <v>40</v>
      </c>
      <c r="BE36" s="239">
        <v>0</v>
      </c>
      <c r="BF36" s="239">
        <v>0</v>
      </c>
      <c r="BG36" s="239">
        <v>0</v>
      </c>
      <c r="BH36" s="239">
        <v>0</v>
      </c>
      <c r="BI36" s="239">
        <v>0</v>
      </c>
      <c r="BJ36" s="239">
        <v>0</v>
      </c>
      <c r="BK36" s="239">
        <v>0</v>
      </c>
      <c r="BL36" s="239">
        <v>0</v>
      </c>
      <c r="BM36" s="239">
        <v>113.1</v>
      </c>
      <c r="BN36" s="239">
        <v>0</v>
      </c>
      <c r="BO36" s="239">
        <v>0</v>
      </c>
      <c r="BP36" s="239">
        <v>0</v>
      </c>
      <c r="BQ36" s="239">
        <v>60.85</v>
      </c>
      <c r="BR36" s="239">
        <v>0</v>
      </c>
      <c r="BS36" s="239">
        <v>591.15</v>
      </c>
      <c r="BT36" s="239">
        <v>0</v>
      </c>
      <c r="BU36" s="239">
        <v>0</v>
      </c>
      <c r="BV36" s="239">
        <v>0</v>
      </c>
      <c r="BW36" s="239">
        <v>0</v>
      </c>
      <c r="BX36" s="239">
        <v>0</v>
      </c>
      <c r="BY36" s="239">
        <v>0</v>
      </c>
      <c r="BZ36" s="239">
        <v>0</v>
      </c>
      <c r="CA36" s="239">
        <v>104.32</v>
      </c>
      <c r="CB36" s="239">
        <v>0</v>
      </c>
      <c r="CC36" s="239">
        <v>0</v>
      </c>
      <c r="CD36" s="239">
        <v>0</v>
      </c>
      <c r="CE36" s="239">
        <v>0</v>
      </c>
      <c r="CF36" s="239">
        <v>0</v>
      </c>
      <c r="CG36" s="239">
        <v>0</v>
      </c>
      <c r="CH36" s="239">
        <v>0</v>
      </c>
      <c r="CI36" s="239">
        <v>0</v>
      </c>
      <c r="CJ36" s="239">
        <v>0</v>
      </c>
      <c r="CK36" s="239">
        <v>0</v>
      </c>
      <c r="CL36" s="239">
        <v>0</v>
      </c>
      <c r="CM36" s="80"/>
      <c r="CN36" s="80"/>
      <c r="CO36" s="80"/>
      <c r="CP36" s="80"/>
      <c r="CQ36" s="80"/>
      <c r="CR36" s="80"/>
      <c r="CS36" s="80"/>
      <c r="CT36" s="80"/>
      <c r="CU36" s="80"/>
      <c r="CV36" s="80"/>
      <c r="CW36" s="80"/>
      <c r="CX36" s="80"/>
      <c r="CY36" s="80"/>
      <c r="CZ36" s="80"/>
      <c r="DB36">
        <f>IFERROR(VLOOKUP($D36,'Kalkulator mięs '!$C$5:$H$533,DB$4,0)*F36,0)</f>
        <v>0</v>
      </c>
      <c r="DC36">
        <f>IFERROR(VLOOKUP($D36,'Kalkulator mięs '!$C$5:$H$533,DC$4,0)*F36,0)</f>
        <v>0</v>
      </c>
      <c r="DD36">
        <f>IFERROR(VLOOKUP($D36,'Kalkulator mięs '!$C$5:$H$533,DD$4,0)*F36,0)</f>
        <v>0</v>
      </c>
      <c r="DE36">
        <f>IFERROR(VLOOKUP($D36,'Kalkulator mięs '!$C$5:$H$533,DE$4,0)*$G36,0)</f>
        <v>0</v>
      </c>
      <c r="DF36">
        <f>IFERROR(VLOOKUP($D36,'Kalkulator mięs '!$C$5:$H$533,DF$4,0)*$G36,0)</f>
        <v>0</v>
      </c>
      <c r="DG36">
        <f>IFERROR(VLOOKUP($D36,'Kalkulator mięs '!$C$5:$H$533,DG$4,0)*$G36,0)</f>
        <v>0</v>
      </c>
      <c r="DH36">
        <f>IFERROR(VLOOKUP($D36,'Kalkulator mięs '!$C$5:$H$533,DH$4,0)*$H36,0)</f>
        <v>0</v>
      </c>
      <c r="DI36">
        <f>IFERROR(VLOOKUP($D36,'Kalkulator mięs '!$C$5:$H$533,DI$4,0)*$H36,0)</f>
        <v>0</v>
      </c>
      <c r="DJ36">
        <f>IFERROR(VLOOKUP($D36,'Kalkulator mięs '!$C$5:$H$533,DJ$4,0)*$H36,0)</f>
        <v>0</v>
      </c>
      <c r="DK36">
        <f>IFERROR(VLOOKUP($D36,'Kalkulator mięs '!$C$5:$H$533,DK$4,0)*$I36,0)</f>
        <v>0</v>
      </c>
      <c r="DL36">
        <f>IFERROR(VLOOKUP($D36,'Kalkulator mięs '!$C$5:$H$533,DL$4,0)*$I36,0)</f>
        <v>0</v>
      </c>
      <c r="DM36">
        <f>IFERROR(VLOOKUP($D36,'Kalkulator mięs '!$C$5:$H$533,DM$4,0)*$I36,0)</f>
        <v>0</v>
      </c>
      <c r="DN36">
        <f>IFERROR(VLOOKUP($D36,'Kalkulator mięs '!$C$5:$H$533,DN$4,0)*$J36,0)</f>
        <v>0</v>
      </c>
      <c r="DO36">
        <f>IFERROR(VLOOKUP($D36,'Kalkulator mięs '!$C$5:$H$533,DO$4,0)*$J36,0)</f>
        <v>0</v>
      </c>
      <c r="DP36">
        <f>IFERROR(VLOOKUP($D36,'Kalkulator mięs '!$C$5:$H$533,DP$4,0)*$J36,0)</f>
        <v>0</v>
      </c>
      <c r="DQ36">
        <f>IFERROR(VLOOKUP($D36,'Kalkulator mięs '!$C$5:$H$533,DQ$4,0)*$K36,0)</f>
        <v>0</v>
      </c>
      <c r="DR36">
        <f>IFERROR(VLOOKUP($D36,'Kalkulator mięs '!$C$5:$H$533,DR$4,0)*$K36,0)</f>
        <v>0</v>
      </c>
      <c r="DS36">
        <f>IFERROR(VLOOKUP($D36,'Kalkulator mięs '!$C$5:$H$533,DS$4,0)*$K36,0)</f>
        <v>0</v>
      </c>
      <c r="DT36">
        <f>IFERROR(VLOOKUP($D36,'Kalkulator mięs '!$C$5:$H$533,DT$4,0)*$L36,0)</f>
        <v>0</v>
      </c>
      <c r="DU36">
        <f>IFERROR(VLOOKUP($D36,'Kalkulator mięs '!$C$5:$H$533,DU$4,0)*$L36,0)</f>
        <v>0</v>
      </c>
      <c r="DV36">
        <f>IFERROR(VLOOKUP($D36,'Kalkulator mięs '!$C$5:$H$533,DV$4,0)*$L36,0)</f>
        <v>0</v>
      </c>
      <c r="DW36">
        <f>IFERROR(VLOOKUP($D36,'Kalkulator mięs '!$C$5:$H$533,DW$4,0)*$M36,0)</f>
        <v>0</v>
      </c>
      <c r="DX36">
        <f>IFERROR(VLOOKUP($D36,'Kalkulator mięs '!$C$5:$H$533,DX$4,0)*$M36,0)</f>
        <v>0</v>
      </c>
      <c r="DY36">
        <f>IFERROR(VLOOKUP($D36,'Kalkulator mięs '!$C$5:$H$533,DY$4,0)*$M36,0)</f>
        <v>0</v>
      </c>
      <c r="DZ36">
        <f>IFERROR(VLOOKUP($D36,'Kalkulator mięs '!$C$5:$H$533,DZ$4,0)*$N36,0)</f>
        <v>0</v>
      </c>
      <c r="EA36">
        <f>IFERROR(VLOOKUP($D36,'Kalkulator mięs '!$C$5:$H$533,EA$4,0)*$N36,0)</f>
        <v>678.06000000000006</v>
      </c>
      <c r="EB36">
        <f>IFERROR(VLOOKUP($D36,'Kalkulator mięs '!$C$5:$H$533,EB$4,0)*$N36,0)</f>
        <v>0</v>
      </c>
      <c r="EC36">
        <f>IFERROR(VLOOKUP($D36,'Kalkulator mięs '!$C$5:$H$533,EC$4,0)*$O36,0)</f>
        <v>0</v>
      </c>
      <c r="ED36">
        <f>IFERROR(VLOOKUP($D36,'Kalkulator mięs '!$C$5:$H$533,ED$4,0)*$O36,0)</f>
        <v>0</v>
      </c>
      <c r="EE36">
        <f>IFERROR(VLOOKUP($D36,'Kalkulator mięs '!$C$5:$H$533,EE$4,0)*$O36,0)</f>
        <v>0</v>
      </c>
      <c r="EF36">
        <f>IFERROR(VLOOKUP($D36,'Kalkulator mięs '!$C$5:$H$533,EF$4,0)*$P36,0)</f>
        <v>0</v>
      </c>
      <c r="EG36">
        <f>IFERROR(VLOOKUP($D36,'Kalkulator mięs '!$C$5:$H$533,EG$4,0)*$P36,0)</f>
        <v>0</v>
      </c>
      <c r="EH36">
        <f>IFERROR(VLOOKUP($D36,'Kalkulator mięs '!$C$5:$H$533,EH$4,0)*$P36,0)</f>
        <v>0</v>
      </c>
      <c r="EI36">
        <f>IFERROR(VLOOKUP($D36,'Kalkulator mięs '!$C$5:$H$533,EI$4,0)*$Q36,0)</f>
        <v>0</v>
      </c>
      <c r="EJ36">
        <f>IFERROR(VLOOKUP($D36,'Kalkulator mięs '!$C$5:$H$533,EJ$4,0)*$Q36,0)</f>
        <v>0</v>
      </c>
      <c r="EK36">
        <f>IFERROR(VLOOKUP($D36,'Kalkulator mięs '!$C$5:$H$533,EK$4,0)*$Q36,0)</f>
        <v>0</v>
      </c>
      <c r="EL36">
        <f>IFERROR(VLOOKUP($D36,'Kalkulator mięs '!$C$5:$H$533,EL$4,0)*$R36,0)</f>
        <v>0</v>
      </c>
      <c r="EM36">
        <f>IFERROR(VLOOKUP($D36,'Kalkulator mięs '!$C$5:$H$533,EM$4,0)*$R36,0)</f>
        <v>365.1</v>
      </c>
      <c r="EN36">
        <f>IFERROR(VLOOKUP($D36,'Kalkulator mięs '!$C$5:$H$533,EN$4,0)*$R36,0)</f>
        <v>0</v>
      </c>
      <c r="EO36">
        <f>IFERROR(VLOOKUP($D36,'Kalkulator mięs '!$C$5:$H$533,EO$4,0)*$S36,0)</f>
        <v>0</v>
      </c>
      <c r="EP36">
        <f>IFERROR(VLOOKUP($D36,'Kalkulator mięs '!$C$5:$H$533,EP$4,0)*$S36,0)</f>
        <v>0</v>
      </c>
      <c r="EQ36">
        <f>IFERROR(VLOOKUP($D36,'Kalkulator mięs '!$C$5:$H$533,EQ$4,0)*$S36,0)</f>
        <v>0</v>
      </c>
      <c r="ER36">
        <f>IFERROR(VLOOKUP($D36,'Kalkulator mięs '!$C$5:$H$533,ER$4,0)*$T36,0)</f>
        <v>0</v>
      </c>
      <c r="ES36">
        <f>IFERROR(VLOOKUP($D36,'Kalkulator mięs '!$C$5:$H$533,ES$4,0)*$T36,0)</f>
        <v>3546.8999999999996</v>
      </c>
      <c r="ET36">
        <f>IFERROR(VLOOKUP($D36,'Kalkulator mięs '!$C$5:$H$533,ET$4,0)*$T36,0)</f>
        <v>0</v>
      </c>
      <c r="EU36">
        <f>IFERROR(VLOOKUP($D36,'Kalkulator mięs '!$C$5:$H$533,EU$4,0)*$U36,0)</f>
        <v>0</v>
      </c>
      <c r="EV36">
        <f>IFERROR(VLOOKUP($D36,'Kalkulator mięs '!$C$5:$H$533,EV$4,0)*$U36,0)</f>
        <v>0</v>
      </c>
      <c r="EW36">
        <f>IFERROR(VLOOKUP($D36,'Kalkulator mięs '!$C$5:$H$533,EW$4,0)*$U36,0)</f>
        <v>0</v>
      </c>
      <c r="EX36">
        <f>IFERROR(VLOOKUP($D36,'Kalkulator mięs '!$C$5:$H$533,EX$4,0)*$V36,0)</f>
        <v>0</v>
      </c>
      <c r="EY36">
        <f>IFERROR(VLOOKUP($D36,'Kalkulator mięs '!$C$5:$H$533,EY$4,0)*$V36,0)</f>
        <v>0</v>
      </c>
      <c r="EZ36">
        <f>IFERROR(VLOOKUP($D36,'Kalkulator mięs '!$C$5:$H$533,EZ$4,0)*$V36,0)</f>
        <v>0</v>
      </c>
      <c r="FA36">
        <f>IFERROR(VLOOKUP($D36,'Kalkulator mięs '!$C$5:$H$533,FA$4,0)*$W36,0)</f>
        <v>0</v>
      </c>
      <c r="FB36">
        <f>IFERROR(VLOOKUP($D36,'Kalkulator mięs '!$C$5:$H$533,FB$4,0)*$W36,0)</f>
        <v>0</v>
      </c>
      <c r="FC36">
        <f>IFERROR(VLOOKUP($D36,'Kalkulator mięs '!$C$5:$H$533,FC$4,0)*$W36,0)</f>
        <v>0</v>
      </c>
      <c r="FD36">
        <f>IFERROR(VLOOKUP($D36,'Kalkulator mięs '!$C$5:$H$533,FD$4,0)*$X36,0)</f>
        <v>0</v>
      </c>
      <c r="FE36">
        <f>IFERROR(VLOOKUP($D36,'Kalkulator mięs '!$C$5:$H$533,FE$4,0)*$X36,0)</f>
        <v>0</v>
      </c>
      <c r="FF36">
        <f>IFERROR(VLOOKUP($D36,'Kalkulator mięs '!$C$5:$H$533,FF$4,0)*$X36,0)</f>
        <v>0</v>
      </c>
      <c r="FG36">
        <f>IFERROR(VLOOKUP($D36,'Kalkulator mięs '!$C$5:$H$533,FG$4,0)*$Y36,0)</f>
        <v>0</v>
      </c>
      <c r="FH36">
        <f>IFERROR(VLOOKUP($D36,'Kalkulator mięs '!$C$5:$H$533,FH$4,0)*$Y36,0)</f>
        <v>0</v>
      </c>
      <c r="FI36">
        <f>IFERROR(VLOOKUP($D36,'Kalkulator mięs '!$C$5:$H$533,FI$4,0)*$Y36,0)</f>
        <v>0</v>
      </c>
      <c r="FJ36">
        <f>IFERROR(VLOOKUP($D36,'Kalkulator mięs '!$C$5:$H$533,FJ$4,0)*$Z36,0)</f>
        <v>0</v>
      </c>
      <c r="FK36">
        <f>IFERROR(VLOOKUP($D36,'Kalkulator mięs '!$C$5:$H$533,FK$4,0)*$Z36,0)</f>
        <v>0</v>
      </c>
      <c r="FL36">
        <f>IFERROR(VLOOKUP($D36,'Kalkulator mięs '!$C$5:$H$533,FL$4,0)*$Z36,0)</f>
        <v>0</v>
      </c>
      <c r="FM36">
        <f>IFERROR(VLOOKUP($D36,'Kalkulator mięs '!$C$5:$H$533,FM$4,0)*$AA36,0)</f>
        <v>0</v>
      </c>
      <c r="FN36">
        <f>IFERROR(VLOOKUP($D36,'Kalkulator mięs '!$C$5:$H$533,FN$4,0)*$AA36,0)</f>
        <v>0</v>
      </c>
      <c r="FO36">
        <f>IFERROR(VLOOKUP($D36,'Kalkulator mięs '!$C$5:$H$533,FO$4,0)*$AA36,0)</f>
        <v>0</v>
      </c>
      <c r="FP36">
        <f>IFERROR(VLOOKUP($D36,'Kalkulator mięs '!$C$5:$H$533,FP$4,0)*$AB36,0)</f>
        <v>0</v>
      </c>
      <c r="FQ36">
        <f>IFERROR(VLOOKUP($D36,'Kalkulator mięs '!$C$5:$H$533,FQ$4,0)*$AB36,0)</f>
        <v>625.91999999999996</v>
      </c>
      <c r="FR36">
        <f>IFERROR(VLOOKUP($D36,'Kalkulator mięs '!$C$5:$H$533,FR$4,0)*$AB36,0)</f>
        <v>0</v>
      </c>
      <c r="FS36">
        <f>IFERROR(VLOOKUP($D36,'Kalkulator mięs '!$C$5:$H$533,FS$4,0)*$AC36,0)</f>
        <v>0</v>
      </c>
      <c r="FT36">
        <f>IFERROR(VLOOKUP($D36,'Kalkulator mięs '!$C$5:$H$533,FT$4,0)*$AC36,0)</f>
        <v>0</v>
      </c>
      <c r="FU36">
        <f>IFERROR(VLOOKUP($D36,'Kalkulator mięs '!$C$5:$H$533,FU$4,0)*$AC36,0)</f>
        <v>0</v>
      </c>
      <c r="FV36">
        <f>IFERROR(VLOOKUP($D36,'Kalkulator mięs '!$C$5:$H$533,FV$4,0)*$AD36,0)</f>
        <v>0</v>
      </c>
      <c r="FW36">
        <f>IFERROR(VLOOKUP($D36,'Kalkulator mięs '!$C$5:$H$533,FW$4,0)*$AD36,0)</f>
        <v>0</v>
      </c>
      <c r="FX36">
        <f>IFERROR(VLOOKUP($D36,'Kalkulator mięs '!$C$5:$H$533,FX$4,0)*$AD36,0)</f>
        <v>0</v>
      </c>
      <c r="FY36">
        <f>IFERROR(VLOOKUP($D36,'Kalkulator mięs '!$C$5:$H$533,FY$4,0)*$AE36,0)</f>
        <v>0</v>
      </c>
      <c r="FZ36">
        <f>IFERROR(VLOOKUP($D36,'Kalkulator mięs '!$C$5:$H$533,FZ$4,0)*$AE36,0)</f>
        <v>0</v>
      </c>
      <c r="GA36">
        <f>IFERROR(VLOOKUP($D36,'Kalkulator mięs '!$C$5:$H$533,GA$4,0)*$AE36,0)</f>
        <v>0</v>
      </c>
      <c r="GB36">
        <f>IFERROR(VLOOKUP($D36,'Kalkulator mięs '!$C$5:$H$533,GB$4,0)*$AF36,0)</f>
        <v>0</v>
      </c>
      <c r="GC36">
        <f>IFERROR(VLOOKUP($D36,'Kalkulator mięs '!$C$5:$H$533,GC$4,0)*$AF36,0)</f>
        <v>0</v>
      </c>
      <c r="GD36">
        <f>IFERROR(VLOOKUP($D36,'Kalkulator mięs '!$C$5:$H$533,GD$4,0)*$AF36,0)</f>
        <v>0</v>
      </c>
      <c r="GE36">
        <f>IFERROR(VLOOKUP($D36,'Kalkulator mięs '!$C$5:$H$533,GE$4,0)*$AG36,0)</f>
        <v>0</v>
      </c>
      <c r="GF36">
        <f>IFERROR(VLOOKUP($D36,'Kalkulator mięs '!$C$5:$H$533,GF$4,0)*$AG36,0)</f>
        <v>0</v>
      </c>
      <c r="GG36">
        <f>IFERROR(VLOOKUP($D36,'Kalkulator mięs '!$C$5:$H$533,GG$4,0)*$AG36,0)</f>
        <v>0</v>
      </c>
      <c r="GH36">
        <f>IFERROR(VLOOKUP($D36,'Kalkulator mięs '!$C$5:$H$533,GH$4,0)*$AH36,0)</f>
        <v>0</v>
      </c>
      <c r="GI36">
        <f>IFERROR(VLOOKUP($D36,'Kalkulator mięs '!$C$5:$H$533,GI$4,0)*$AH36,0)</f>
        <v>0</v>
      </c>
      <c r="GJ36">
        <f>IFERROR(VLOOKUP($D36,'Kalkulator mięs '!$C$5:$H$533,GJ$4,0)*$AH36,0)</f>
        <v>0</v>
      </c>
      <c r="GK36">
        <f>IFERROR(VLOOKUP($D36,'Kalkulator mięs '!$C$5:$H$533,GK$4,0)*$AI36,0)</f>
        <v>0</v>
      </c>
      <c r="GL36">
        <f>IFERROR(VLOOKUP($D36,'Kalkulator mięs '!$C$5:$H$533,GL$4,0)*$AI36,0)</f>
        <v>0</v>
      </c>
      <c r="GM36">
        <f>IFERROR(VLOOKUP($D36,'Kalkulator mięs '!$C$5:$H$533,GM$4,0)*$AI36,0)</f>
        <v>0</v>
      </c>
      <c r="GN36">
        <f>IFERROR(VLOOKUP($D36,'Kalkulator mięs '!$C$5:$H$533,GN$4,0)*$AJ36,0)</f>
        <v>0</v>
      </c>
      <c r="GO36">
        <f>IFERROR(VLOOKUP($D36,'Kalkulator mięs '!$C$5:$H$533,GO$4,0)*$AJ36,0)</f>
        <v>0</v>
      </c>
      <c r="GP36">
        <f>IFERROR(VLOOKUP($D36,'Kalkulator mięs '!$C$5:$H$533,GP$4,0)*$AJ36,0)</f>
        <v>0</v>
      </c>
      <c r="GQ36">
        <f>IFERROR(VLOOKUP($D36,'Kalkulator mięs '!$C$5:$H$533,GQ$4,0)*$AK36,0)</f>
        <v>0</v>
      </c>
      <c r="GR36">
        <f>IFERROR(VLOOKUP($D36,'Kalkulator mięs '!$C$5:$H$533,GR$4,0)*$AK36,0)</f>
        <v>0</v>
      </c>
      <c r="GS36">
        <f>IFERROR(VLOOKUP($D36,'Kalkulator mięs '!$C$5:$H$533,GS$4,0)*$AK36,0)</f>
        <v>0</v>
      </c>
      <c r="GT36">
        <f>IFERROR(VLOOKUP($D36,'Kalkulator mięs '!$C$5:$H$533,GT$4,0)*$AL36,0)</f>
        <v>0</v>
      </c>
      <c r="GU36">
        <f>IFERROR(VLOOKUP($D36,'Kalkulator mięs '!$C$5:$H$533,GU$4,0)*$AL36,0)</f>
        <v>0</v>
      </c>
      <c r="GV36">
        <f>IFERROR(VLOOKUP($D36,'Kalkulator mięs '!$C$5:$H$533,GV$4,0)*$AL36,0)</f>
        <v>0</v>
      </c>
      <c r="GW36">
        <f>IFERROR(VLOOKUP($D36,'Kalkulator mięs '!$C$5:$H$533,GW$4,0)*$AM36,0)</f>
        <v>0</v>
      </c>
      <c r="GX36">
        <f>IFERROR(VLOOKUP($D36,'Kalkulator mięs '!$C$5:$H$533,GX$4,0)*$AM36,0)</f>
        <v>0</v>
      </c>
      <c r="GY36">
        <f>IFERROR(VLOOKUP($D36,'Kalkulator mięs '!$C$5:$H$533,GY$4,0)*$AM36,0)</f>
        <v>0</v>
      </c>
      <c r="GZ36">
        <f>IFERROR(VLOOKUP($D36,'Kalkulator mięs '!$C$5:$H$533,GZ$4,0)*$AN36,0)</f>
        <v>0</v>
      </c>
      <c r="HA36">
        <f>IFERROR(VLOOKUP($D36,'Kalkulator mięs '!$C$5:$H$533,HA$4,0)*$AN36,0)</f>
        <v>0</v>
      </c>
      <c r="HB36">
        <f>IFERROR(VLOOKUP($D36,'Kalkulator mięs '!$C$5:$H$533,HB$4,0)*$AN36,0)</f>
        <v>0</v>
      </c>
      <c r="HC36">
        <f>IFERROR(VLOOKUP($D36,'Kalkulator mięs '!$C$5:$H$533,HC$4,0)*$AO36,0)</f>
        <v>0</v>
      </c>
      <c r="HD36">
        <f>IFERROR(VLOOKUP($D36,'Kalkulator mięs '!$C$5:$H$533,HD$4,0)*$AO36,0)</f>
        <v>0</v>
      </c>
      <c r="HE36">
        <f>IFERROR(VLOOKUP($D36,'Kalkulator mięs '!$C$5:$H$533,HE$4,0)*$AO36,0)</f>
        <v>0</v>
      </c>
      <c r="HF36">
        <f>IFERROR(VLOOKUP($D36,'Kalkulator mięs '!$C$5:$H$533,HF$4,0)*$AP36,0)</f>
        <v>0</v>
      </c>
      <c r="HG36">
        <f>IFERROR(VLOOKUP($D36,'Kalkulator mięs '!$C$5:$H$533,HG$4,0)*$AP36,0)</f>
        <v>0</v>
      </c>
      <c r="HH36">
        <f>IFERROR(VLOOKUP($D36,'Kalkulator mięs '!$C$5:$H$533,HH$4,0)*$AP36,0)</f>
        <v>0</v>
      </c>
      <c r="HI36">
        <f>IFERROR(VLOOKUP($D36,'Kalkulator mięs '!$C$5:$H$533,HI$4,0)*$AQ36,0)</f>
        <v>0</v>
      </c>
      <c r="HJ36">
        <f>IFERROR(VLOOKUP($D36,'Kalkulator mięs '!$C$5:$H$533,HJ$4,0)*$AQ36,0)</f>
        <v>0</v>
      </c>
      <c r="HK36">
        <f>IFERROR(VLOOKUP($D36,'Kalkulator mięs '!$C$5:$H$533,HK$4,0)*$AQ36,0)</f>
        <v>0</v>
      </c>
      <c r="HL36">
        <f>IFERROR(VLOOKUP($D36,'Kalkulator mięs '!$C$5:$H$533,HL$4,0)*$AR36,0)</f>
        <v>0</v>
      </c>
      <c r="HM36">
        <f>IFERROR(VLOOKUP($D36,'Kalkulator mięs '!$C$5:$H$533,HM$4,0)*$AR36,0)</f>
        <v>0</v>
      </c>
      <c r="HN36">
        <f>IFERROR(VLOOKUP($D36,'Kalkulator mięs '!$C$5:$H$533,HN$4,0)*$AR36,0)</f>
        <v>0</v>
      </c>
      <c r="HO36">
        <f>IFERROR(VLOOKUP($D36,'Kalkulator mięs '!$C$5:$H$533,HO$4,0)*$AS36,0)</f>
        <v>0</v>
      </c>
      <c r="HP36">
        <f>IFERROR(VLOOKUP($D36,'Kalkulator mięs '!$C$5:$H$533,HP$4,0)*$AS36,0)</f>
        <v>0</v>
      </c>
      <c r="HQ36">
        <f>IFERROR(VLOOKUP($D36,'Kalkulator mięs '!$C$5:$H$533,HQ$4,0)*$AS36,0)</f>
        <v>0</v>
      </c>
      <c r="HR36">
        <f>IFERROR(VLOOKUP($D36,'Kalkulator mięs '!$C$5:$H$533,HR$4,0)*$AT36,0)</f>
        <v>0</v>
      </c>
      <c r="HS36">
        <f>IFERROR(VLOOKUP($D36,'Kalkulator mięs '!$C$5:$H$533,HS$4,0)*$AT36,0)</f>
        <v>0</v>
      </c>
      <c r="HT36">
        <f>IFERROR(VLOOKUP($D36,'Kalkulator mięs '!$C$5:$H$533,HT$4,0)*$AT36,0)</f>
        <v>0</v>
      </c>
      <c r="HU36">
        <f>IFERROR(VLOOKUP($D36,'Kalkulator mięs '!$C$5:$H$533,HU$4,0)*$AU36,0)</f>
        <v>0</v>
      </c>
      <c r="HV36">
        <f>IFERROR(VLOOKUP($D36,'Kalkulator mięs '!$C$5:$H$533,HV$4,0)*$AU36,0)</f>
        <v>0</v>
      </c>
      <c r="HW36">
        <f>IFERROR(VLOOKUP($D36,'Kalkulator mięs '!$C$5:$H$533,HW$4,0)*$AU36,0)</f>
        <v>0</v>
      </c>
      <c r="HX36">
        <f>IFERROR(VLOOKUP($D36,'Kalkulator mięs '!$C$5:$H$533,HX$4,0)*$AV36,0)</f>
        <v>0</v>
      </c>
      <c r="HY36">
        <f>IFERROR(VLOOKUP($D36,'Kalkulator mięs '!$C$5:$H$533,HY$4,0)*$AV36,0)</f>
        <v>0</v>
      </c>
      <c r="HZ36">
        <f>IFERROR(VLOOKUP($D36,'Kalkulator mięs '!$C$5:$H$533,HZ$4,0)*$AV36,0)</f>
        <v>0</v>
      </c>
      <c r="IA36">
        <f>IFERROR(VLOOKUP($D36,'Kalkulator mięs '!$C$5:$H$533,IA$4,0)*$AW36,0)</f>
        <v>0</v>
      </c>
      <c r="IB36">
        <f>IFERROR(VLOOKUP($D36,'Kalkulator mięs '!$C$5:$H$533,IB$4,0)*$AW36,0)</f>
        <v>0</v>
      </c>
      <c r="IC36">
        <f>IFERROR(VLOOKUP($D36,'Kalkulator mięs '!$C$5:$H$533,IC$4,0)*$AW36,0)</f>
        <v>0</v>
      </c>
      <c r="ID36">
        <f>IFERROR(VLOOKUP($D36,'Kalkulator mięs '!$C$5:$H$533,ID$4,0)*$AX36,0)</f>
        <v>0</v>
      </c>
      <c r="IE36">
        <f>IFERROR(VLOOKUP($D36,'Kalkulator mięs '!$C$5:$H$533,IE$4,0)*$AX36,0)</f>
        <v>0</v>
      </c>
      <c r="IF36">
        <f>IFERROR(VLOOKUP($D36,'Kalkulator mięs '!$C$5:$H$533,IF$4,0)*$AX36,0)</f>
        <v>0</v>
      </c>
      <c r="IG36">
        <f>IFERROR(VLOOKUP($D36,'Kalkulator mięs '!$C$5:$H$533,IG$4,0)*$AY36,0)</f>
        <v>0</v>
      </c>
      <c r="IH36">
        <f>IFERROR(VLOOKUP($D36,'Kalkulator mięs '!$C$5:$H$533,IH$4,0)*$AY36,0)</f>
        <v>0</v>
      </c>
      <c r="II36">
        <f>IFERROR(VLOOKUP($D36,'Kalkulator mięs '!$C$5:$H$533,II$4,0)*$AY36,0)</f>
        <v>0</v>
      </c>
      <c r="IJ36">
        <f>IFERROR(VLOOKUP($D36,'Kalkulator mięs '!$C$5:$H$533,IJ$4,0)*$AZ36,0)</f>
        <v>0</v>
      </c>
      <c r="IK36">
        <f>IFERROR(VLOOKUP($D36,'Kalkulator mięs '!$C$5:$H$533,IK$4,0)*$AZ36,0)</f>
        <v>0</v>
      </c>
      <c r="IL36">
        <f>IFERROR(VLOOKUP($D36,'Kalkulator mięs '!$C$5:$H$533,IL$4,0)*$AZ36,0)</f>
        <v>0</v>
      </c>
      <c r="IM36">
        <f>IFERROR(VLOOKUP($D36,'Kalkulator mięs '!$C$5:$H$533,IM$4,0)*$BA36,0)</f>
        <v>0</v>
      </c>
      <c r="IN36">
        <f>IFERROR(VLOOKUP($D36,'Kalkulator mięs '!$C$5:$H$533,IN$4,0)*$BA36,0)</f>
        <v>0</v>
      </c>
      <c r="IO36">
        <f>IFERROR(VLOOKUP($D36,'Kalkulator mięs '!$C$5:$H$533,IO$4,0)*$BA36,0)</f>
        <v>0</v>
      </c>
    </row>
    <row r="37" spans="1:249" ht="15.75">
      <c r="B37" t="str">
        <f>VLOOKUP(D37,Receptury_z!$A:$B,2,0)</f>
        <v>ON</v>
      </c>
      <c r="C37" s="16">
        <v>5532</v>
      </c>
      <c r="D37" s="19">
        <v>6482</v>
      </c>
      <c r="E37" s="18" t="s">
        <v>42</v>
      </c>
      <c r="F37" s="14">
        <f>IF($B37="OFF",BE37,VLOOKUP($D37,Receptury_z!$D:$AI,F$4,0))</f>
        <v>0</v>
      </c>
      <c r="G37" s="14">
        <f>IF($B37="OFF",BF37,VLOOKUP($D37,Receptury_z!$D:$AI,G$4,0))</f>
        <v>0</v>
      </c>
      <c r="H37" s="14">
        <f>IF($B37="OFF",BG37,VLOOKUP($D37,Receptury_z!$D:$AI,H$4,0))</f>
        <v>0</v>
      </c>
      <c r="I37" s="14">
        <f>IF($B37="OFF",BH37,VLOOKUP($D37,Receptury_z!$D:$AI,I$4,0))</f>
        <v>0</v>
      </c>
      <c r="J37" s="14">
        <f>IF($B37="OFF",BI37,VLOOKUP($D37,Receptury_z!$D:$AI,J$4,0))</f>
        <v>0</v>
      </c>
      <c r="K37" s="14">
        <f>IF($B37="OFF",BJ37,VLOOKUP($D37,Receptury_z!$D:$AI,K$4,0))</f>
        <v>0</v>
      </c>
      <c r="L37" s="14">
        <f>IF($B37="OFF",BK37,VLOOKUP($D37,Receptury_z!$D:$AI,L$4,0))</f>
        <v>0</v>
      </c>
      <c r="M37" s="14">
        <f>IF($B37="OFF",BL37,VLOOKUP($D37,Receptury_z!$D:$AI,M$4,0))</f>
        <v>0</v>
      </c>
      <c r="N37" s="14">
        <f>IF($B37="OFF",BM37,VLOOKUP($D37,Receptury_z!$D:$AI,N$4,0))</f>
        <v>111.4</v>
      </c>
      <c r="O37" s="14">
        <f>IF($B37="OFF",BN37,VLOOKUP($D37,Receptury_z!$D:$AI,O$4,0))</f>
        <v>0</v>
      </c>
      <c r="P37" s="14">
        <f>IF($B37="OFF",BO37,VLOOKUP($D37,Receptury_z!$D:$AI,P$4,0))</f>
        <v>0</v>
      </c>
      <c r="Q37" s="14">
        <f>IF($B37="OFF",BP37,VLOOKUP($D37,Receptury_z!$D:$AI,Q$4,0))</f>
        <v>0</v>
      </c>
      <c r="R37" s="14">
        <f>IF($B37="OFF",BQ37,VLOOKUP($D37,Receptury_z!$D:$AI,R$4,0))</f>
        <v>74.3</v>
      </c>
      <c r="S37" s="14">
        <f>IF($B37="OFF",BR37,VLOOKUP($D37,Receptury_z!$D:$AI,S$4,0))</f>
        <v>0</v>
      </c>
      <c r="T37" s="14">
        <f>IF($B37="OFF",BS37,VLOOKUP($D37,Receptury_z!$D:$AI,T$4,0))</f>
        <v>309.89999999999998</v>
      </c>
      <c r="U37" s="14">
        <f>IF($B37="OFF",BT37,VLOOKUP($D37,Receptury_z!$D:$AI,U$4,0))</f>
        <v>222.8</v>
      </c>
      <c r="V37" s="14">
        <f>IF($B37="OFF",BU37,VLOOKUP($D37,Receptury_z!$D:$AI,V$4,0))</f>
        <v>0</v>
      </c>
      <c r="W37" s="14">
        <f>IF($B37="OFF",BV37,VLOOKUP($D37,Receptury_z!$D:$AI,W$4,0))</f>
        <v>0</v>
      </c>
      <c r="X37" s="14">
        <f>IF($B37="OFF",BW37,VLOOKUP($D37,Receptury_z!$D:$AI,X$4,0))</f>
        <v>0</v>
      </c>
      <c r="Y37" s="14">
        <f>IF($B37="OFF",BX37,VLOOKUP($D37,Receptury_z!$D:$AI,Y$4,0))</f>
        <v>0</v>
      </c>
      <c r="Z37" s="14">
        <f>IF($B37="OFF",BY37,VLOOKUP($D37,Receptury_z!$D:$AI,Z$4,0))</f>
        <v>0</v>
      </c>
      <c r="AA37" s="14">
        <f>IF($B37="OFF",BZ37,VLOOKUP($D37,Receptury_z!$D:$AI,AA$4,0))</f>
        <v>0</v>
      </c>
      <c r="AB37" s="14">
        <f>IF($B37="OFF",CA37,VLOOKUP($D37,Receptury_z!$D:$AI,AB$4,0))</f>
        <v>74.3</v>
      </c>
      <c r="AC37" s="14">
        <f>IF($B37="OFF",CB37,VLOOKUP($D37,Receptury_z!$D:$AI,AC$4,0))</f>
        <v>0</v>
      </c>
      <c r="AD37" s="14">
        <f>IF($B37="OFF",CC37,VLOOKUP($D37,Receptury_z!$D:$AI,AD$4,0))</f>
        <v>0</v>
      </c>
      <c r="AE37" s="14">
        <f>IF($B37="OFF",CD37,VLOOKUP($D37,Receptury_z!$D:$AI,AE$4,0))</f>
        <v>0</v>
      </c>
      <c r="AF37" s="14">
        <f>IF($B37="OFF",CE37,VLOOKUP($D37,Receptury_z!$D:$AI,AF$4,0))</f>
        <v>0</v>
      </c>
      <c r="AG37" s="14">
        <f>IF($B37="OFF",CF37,VLOOKUP($D37,Receptury_z!$D:$AI,AG$4,0))</f>
        <v>0</v>
      </c>
      <c r="AH37" s="14">
        <f>IF($B37="OFF",CG37,VLOOKUP($D37,Receptury_z!$D:$AI,AH$4,0))</f>
        <v>0</v>
      </c>
      <c r="AI37" s="14">
        <f>IF($B37="OFF",CH37,VLOOKUP($D37,Receptury_z!$D:$AI,AI$4,0))</f>
        <v>0</v>
      </c>
      <c r="AJ37" s="14">
        <f>IF($B37="OFF",CI37,VLOOKUP($D37,Receptury_z!$D:$AS,AJ$4,0))</f>
        <v>0</v>
      </c>
      <c r="AK37" s="14">
        <f>IF($B37="OFF",CJ37,VLOOKUP($D37,Receptury_z!$D:$AS,AK$4,0))</f>
        <v>0</v>
      </c>
      <c r="AL37" s="14">
        <f>IF($B37="OFF",CK37,VLOOKUP($D37,Receptury_z!$D:$AS,AL$4,0))</f>
        <v>0</v>
      </c>
      <c r="AM37" s="14">
        <f>IF($B37="OFF",CL37,VLOOKUP($D37,Receptury_z!$D:$AS,AM$4,0))</f>
        <v>0</v>
      </c>
      <c r="AN37" s="14">
        <f>IF($B37="OFF",CM37,VLOOKUP($D37,Receptury_z!$D:$AS,AN$4,0))</f>
        <v>0</v>
      </c>
      <c r="AO37" s="14">
        <f>IF($B37="OFF",CN37,VLOOKUP($D37,Receptury_z!$D:$AS,AO$4,0))</f>
        <v>0</v>
      </c>
      <c r="AP37" s="14">
        <f>IF($B37="OFF",CO37,VLOOKUP($D37,Receptury_z!$D:$AS,AP$4,0))</f>
        <v>0</v>
      </c>
      <c r="AQ37" s="14">
        <f>IF($B37="OFF",CP37,VLOOKUP($D37,Receptury_z!$D:$AS,AQ$4,0))</f>
        <v>0</v>
      </c>
      <c r="AR37" s="14">
        <f>IF($B37="OFF",CQ37,VLOOKUP($D37,Receptury_z!$D:$AS,AR$4,0))</f>
        <v>0</v>
      </c>
      <c r="AS37" s="14">
        <f>IF($B37="OFF",CR37,VLOOKUP($D37,Receptury_z!$D:$AS,AS$4,0))</f>
        <v>0</v>
      </c>
      <c r="AT37" s="14">
        <f>IF($B37="OFF",CS37,VLOOKUP($D37,Receptury_z!$D:$AV,AT$4,0))</f>
        <v>0</v>
      </c>
      <c r="AU37" s="14">
        <f>IF($B37="OFF",CT37,VLOOKUP($D37,Receptury_z!$D:$AV,AU$4,0))</f>
        <v>0</v>
      </c>
      <c r="AV37" s="14">
        <f>IF($B37="OFF",CU37,VLOOKUP($D37,Receptury_z!$D:$AV,AV$4,0))</f>
        <v>0</v>
      </c>
      <c r="AW37" s="14">
        <f>IF($B37="OFF",CV37,VLOOKUP($D37,Receptury_z!$D:$BA,AW$4,0))</f>
        <v>0</v>
      </c>
      <c r="AX37" s="14">
        <f>IF($B37="OFF",CW37,VLOOKUP($D37,Receptury_z!$D:$BA,AX$4,0))</f>
        <v>0</v>
      </c>
      <c r="AY37" s="14">
        <f>IF($B37="OFF",CX37,VLOOKUP($D37,Receptury_z!$D:$BA,AY$4,0))</f>
        <v>0</v>
      </c>
      <c r="AZ37" s="14">
        <f>IF($B37="OFF",DA37,VLOOKUP($D37,Receptury_z!$D:$BA,AZ$4,0))</f>
        <v>0</v>
      </c>
      <c r="BA37" s="14">
        <f>IF($B37="OFF",DB37,VLOOKUP($D37,Receptury_z!$D:$BA,BA$4,0))</f>
        <v>0</v>
      </c>
      <c r="BC37" s="19">
        <v>6482</v>
      </c>
      <c r="BD37" s="18" t="s">
        <v>42</v>
      </c>
      <c r="BE37" s="239">
        <v>0</v>
      </c>
      <c r="BF37" s="239">
        <v>0</v>
      </c>
      <c r="BG37" s="239">
        <v>0</v>
      </c>
      <c r="BH37" s="239">
        <v>0</v>
      </c>
      <c r="BI37" s="240">
        <v>0</v>
      </c>
      <c r="BJ37" s="239">
        <v>0</v>
      </c>
      <c r="BK37" s="239">
        <v>0</v>
      </c>
      <c r="BL37" s="239">
        <v>0</v>
      </c>
      <c r="BM37" s="239">
        <v>0</v>
      </c>
      <c r="BN37" s="239">
        <v>0</v>
      </c>
      <c r="BO37" s="239">
        <v>0</v>
      </c>
      <c r="BP37" s="239">
        <v>0</v>
      </c>
      <c r="BQ37" s="239">
        <v>74.099999999999994</v>
      </c>
      <c r="BR37" s="239">
        <v>0</v>
      </c>
      <c r="BS37" s="239">
        <v>148.30000000000001</v>
      </c>
      <c r="BT37" s="239">
        <v>222.8</v>
      </c>
      <c r="BU37" s="239">
        <v>0</v>
      </c>
      <c r="BV37" s="239">
        <v>0</v>
      </c>
      <c r="BW37" s="239">
        <v>111.4</v>
      </c>
      <c r="BX37" s="239">
        <v>0</v>
      </c>
      <c r="BY37" s="239">
        <v>0</v>
      </c>
      <c r="BZ37" s="239">
        <v>0</v>
      </c>
      <c r="CA37" s="239">
        <v>74.3</v>
      </c>
      <c r="CB37" s="239">
        <v>0</v>
      </c>
      <c r="CC37" s="239">
        <v>0</v>
      </c>
      <c r="CD37" s="239">
        <v>0</v>
      </c>
      <c r="CE37" s="239">
        <v>0</v>
      </c>
      <c r="CF37" s="239">
        <v>0</v>
      </c>
      <c r="CG37" s="239">
        <v>0</v>
      </c>
      <c r="CH37" s="239">
        <v>0</v>
      </c>
      <c r="CI37" s="239">
        <v>0</v>
      </c>
      <c r="CJ37" s="239">
        <v>0</v>
      </c>
      <c r="CK37" s="239">
        <v>0</v>
      </c>
      <c r="CL37" s="239">
        <v>0</v>
      </c>
      <c r="CM37" s="80"/>
      <c r="CN37" s="80"/>
      <c r="CO37" s="80"/>
      <c r="CP37" s="80"/>
      <c r="CQ37" s="80"/>
      <c r="CR37" s="80"/>
      <c r="CS37" s="241">
        <v>111.4</v>
      </c>
      <c r="CT37" s="80"/>
      <c r="CU37" s="80"/>
      <c r="CV37" s="80"/>
      <c r="CW37" s="80"/>
      <c r="CX37" s="80"/>
      <c r="CY37" s="80"/>
      <c r="CZ37" s="80"/>
      <c r="DB37">
        <f>IFERROR(VLOOKUP($D37,'Kalkulator mięs '!$C$5:$H$533,DB$4,0)*F37,0)</f>
        <v>0</v>
      </c>
      <c r="DC37">
        <f>IFERROR(VLOOKUP($D37,'Kalkulator mięs '!$C$5:$H$533,DC$4,0)*F37,0)</f>
        <v>0</v>
      </c>
      <c r="DD37">
        <f>IFERROR(VLOOKUP($D37,'Kalkulator mięs '!$C$5:$H$533,DD$4,0)*F37,0)</f>
        <v>0</v>
      </c>
      <c r="DE37">
        <f>IFERROR(VLOOKUP($D37,'Kalkulator mięs '!$C$5:$H$533,DE$4,0)*$G37,0)</f>
        <v>0</v>
      </c>
      <c r="DF37">
        <f>IFERROR(VLOOKUP($D37,'Kalkulator mięs '!$C$5:$H$533,DF$4,0)*$G37,0)</f>
        <v>0</v>
      </c>
      <c r="DG37">
        <f>IFERROR(VLOOKUP($D37,'Kalkulator mięs '!$C$5:$H$533,DG$4,0)*$G37,0)</f>
        <v>0</v>
      </c>
      <c r="DH37">
        <f>IFERROR(VLOOKUP($D37,'Kalkulator mięs '!$C$5:$H$533,DH$4,0)*$H37,0)</f>
        <v>0</v>
      </c>
      <c r="DI37">
        <f>IFERROR(VLOOKUP($D37,'Kalkulator mięs '!$C$5:$H$533,DI$4,0)*$H37,0)</f>
        <v>0</v>
      </c>
      <c r="DJ37">
        <f>IFERROR(VLOOKUP($D37,'Kalkulator mięs '!$C$5:$H$533,DJ$4,0)*$H37,0)</f>
        <v>0</v>
      </c>
      <c r="DK37">
        <f>IFERROR(VLOOKUP($D37,'Kalkulator mięs '!$C$5:$H$533,DK$4,0)*$I37,0)</f>
        <v>0</v>
      </c>
      <c r="DL37">
        <f>IFERROR(VLOOKUP($D37,'Kalkulator mięs '!$C$5:$H$533,DL$4,0)*$I37,0)</f>
        <v>0</v>
      </c>
      <c r="DM37">
        <f>IFERROR(VLOOKUP($D37,'Kalkulator mięs '!$C$5:$H$533,DM$4,0)*$I37,0)</f>
        <v>0</v>
      </c>
      <c r="DN37">
        <f>IFERROR(VLOOKUP($D37,'Kalkulator mięs '!$C$5:$H$533,DN$4,0)*$J37,0)</f>
        <v>0</v>
      </c>
      <c r="DO37">
        <f>IFERROR(VLOOKUP($D37,'Kalkulator mięs '!$C$5:$H$533,DO$4,0)*$J37,0)</f>
        <v>0</v>
      </c>
      <c r="DP37">
        <f>IFERROR(VLOOKUP($D37,'Kalkulator mięs '!$C$5:$H$533,DP$4,0)*$J37,0)</f>
        <v>0</v>
      </c>
      <c r="DQ37">
        <f>IFERROR(VLOOKUP($D37,'Kalkulator mięs '!$C$5:$H$533,DQ$4,0)*$K37,0)</f>
        <v>0</v>
      </c>
      <c r="DR37">
        <f>IFERROR(VLOOKUP($D37,'Kalkulator mięs '!$C$5:$H$533,DR$4,0)*$K37,0)</f>
        <v>0</v>
      </c>
      <c r="DS37">
        <f>IFERROR(VLOOKUP($D37,'Kalkulator mięs '!$C$5:$H$533,DS$4,0)*$K37,0)</f>
        <v>0</v>
      </c>
      <c r="DT37">
        <f>IFERROR(VLOOKUP($D37,'Kalkulator mięs '!$C$5:$H$533,DT$4,0)*$L37,0)</f>
        <v>0</v>
      </c>
      <c r="DU37">
        <f>IFERROR(VLOOKUP($D37,'Kalkulator mięs '!$C$5:$H$533,DU$4,0)*$L37,0)</f>
        <v>0</v>
      </c>
      <c r="DV37">
        <f>IFERROR(VLOOKUP($D37,'Kalkulator mięs '!$C$5:$H$533,DV$4,0)*$L37,0)</f>
        <v>0</v>
      </c>
      <c r="DW37">
        <f>IFERROR(VLOOKUP($D37,'Kalkulator mięs '!$C$5:$H$533,DW$4,0)*$M37,0)</f>
        <v>0</v>
      </c>
      <c r="DX37">
        <f>IFERROR(VLOOKUP($D37,'Kalkulator mięs '!$C$5:$H$533,DX$4,0)*$M37,0)</f>
        <v>0</v>
      </c>
      <c r="DY37">
        <f>IFERROR(VLOOKUP($D37,'Kalkulator mięs '!$C$5:$H$533,DY$4,0)*$M37,0)</f>
        <v>0</v>
      </c>
      <c r="DZ37">
        <f>IFERROR(VLOOKUP($D37,'Kalkulator mięs '!$C$5:$H$533,DZ$4,0)*$N37,0)</f>
        <v>0</v>
      </c>
      <c r="EA37">
        <f>IFERROR(VLOOKUP($D37,'Kalkulator mięs '!$C$5:$H$533,EA$4,0)*$N37,0)</f>
        <v>0</v>
      </c>
      <c r="EB37">
        <f>IFERROR(VLOOKUP($D37,'Kalkulator mięs '!$C$5:$H$533,EB$4,0)*$N37,0)</f>
        <v>0</v>
      </c>
      <c r="EC37">
        <f>IFERROR(VLOOKUP($D37,'Kalkulator mięs '!$C$5:$H$533,EC$4,0)*$O37,0)</f>
        <v>0</v>
      </c>
      <c r="ED37">
        <f>IFERROR(VLOOKUP($D37,'Kalkulator mięs '!$C$5:$H$533,ED$4,0)*$O37,0)</f>
        <v>0</v>
      </c>
      <c r="EE37">
        <f>IFERROR(VLOOKUP($D37,'Kalkulator mięs '!$C$5:$H$533,EE$4,0)*$O37,0)</f>
        <v>0</v>
      </c>
      <c r="EF37">
        <f>IFERROR(VLOOKUP($D37,'Kalkulator mięs '!$C$5:$H$533,EF$4,0)*$P37,0)</f>
        <v>0</v>
      </c>
      <c r="EG37">
        <f>IFERROR(VLOOKUP($D37,'Kalkulator mięs '!$C$5:$H$533,EG$4,0)*$P37,0)</f>
        <v>0</v>
      </c>
      <c r="EH37">
        <f>IFERROR(VLOOKUP($D37,'Kalkulator mięs '!$C$5:$H$533,EH$4,0)*$P37,0)</f>
        <v>0</v>
      </c>
      <c r="EI37">
        <f>IFERROR(VLOOKUP($D37,'Kalkulator mięs '!$C$5:$H$533,EI$4,0)*$Q37,0)</f>
        <v>0</v>
      </c>
      <c r="EJ37">
        <f>IFERROR(VLOOKUP($D37,'Kalkulator mięs '!$C$5:$H$533,EJ$4,0)*$Q37,0)</f>
        <v>0</v>
      </c>
      <c r="EK37">
        <f>IFERROR(VLOOKUP($D37,'Kalkulator mięs '!$C$5:$H$533,EK$4,0)*$Q37,0)</f>
        <v>0</v>
      </c>
      <c r="EL37">
        <f>IFERROR(VLOOKUP($D37,'Kalkulator mięs '!$C$5:$H$533,EL$4,0)*$R37,0)</f>
        <v>0</v>
      </c>
      <c r="EM37">
        <f>IFERROR(VLOOKUP($D37,'Kalkulator mięs '!$C$5:$H$533,EM$4,0)*$R37,0)</f>
        <v>0</v>
      </c>
      <c r="EN37">
        <f>IFERROR(VLOOKUP($D37,'Kalkulator mięs '!$C$5:$H$533,EN$4,0)*$R37,0)</f>
        <v>0</v>
      </c>
      <c r="EO37">
        <f>IFERROR(VLOOKUP($D37,'Kalkulator mięs '!$C$5:$H$533,EO$4,0)*$S37,0)</f>
        <v>0</v>
      </c>
      <c r="EP37">
        <f>IFERROR(VLOOKUP($D37,'Kalkulator mięs '!$C$5:$H$533,EP$4,0)*$S37,0)</f>
        <v>0</v>
      </c>
      <c r="EQ37">
        <f>IFERROR(VLOOKUP($D37,'Kalkulator mięs '!$C$5:$H$533,EQ$4,0)*$S37,0)</f>
        <v>0</v>
      </c>
      <c r="ER37">
        <f>IFERROR(VLOOKUP($D37,'Kalkulator mięs '!$C$5:$H$533,ER$4,0)*$T37,0)</f>
        <v>0</v>
      </c>
      <c r="ES37">
        <f>IFERROR(VLOOKUP($D37,'Kalkulator mięs '!$C$5:$H$533,ES$4,0)*$T37,0)</f>
        <v>0</v>
      </c>
      <c r="ET37">
        <f>IFERROR(VLOOKUP($D37,'Kalkulator mięs '!$C$5:$H$533,ET$4,0)*$T37,0)</f>
        <v>0</v>
      </c>
      <c r="EU37">
        <f>IFERROR(VLOOKUP($D37,'Kalkulator mięs '!$C$5:$H$533,EU$4,0)*$U37,0)</f>
        <v>0</v>
      </c>
      <c r="EV37">
        <f>IFERROR(VLOOKUP($D37,'Kalkulator mięs '!$C$5:$H$533,EV$4,0)*$U37,0)</f>
        <v>0</v>
      </c>
      <c r="EW37">
        <f>IFERROR(VLOOKUP($D37,'Kalkulator mięs '!$C$5:$H$533,EW$4,0)*$U37,0)</f>
        <v>0</v>
      </c>
      <c r="EX37">
        <f>IFERROR(VLOOKUP($D37,'Kalkulator mięs '!$C$5:$H$533,EX$4,0)*$V37,0)</f>
        <v>0</v>
      </c>
      <c r="EY37">
        <f>IFERROR(VLOOKUP($D37,'Kalkulator mięs '!$C$5:$H$533,EY$4,0)*$V37,0)</f>
        <v>0</v>
      </c>
      <c r="EZ37">
        <f>IFERROR(VLOOKUP($D37,'Kalkulator mięs '!$C$5:$H$533,EZ$4,0)*$V37,0)</f>
        <v>0</v>
      </c>
      <c r="FA37">
        <f>IFERROR(VLOOKUP($D37,'Kalkulator mięs '!$C$5:$H$533,FA$4,0)*$W37,0)</f>
        <v>0</v>
      </c>
      <c r="FB37">
        <f>IFERROR(VLOOKUP($D37,'Kalkulator mięs '!$C$5:$H$533,FB$4,0)*$W37,0)</f>
        <v>0</v>
      </c>
      <c r="FC37">
        <f>IFERROR(VLOOKUP($D37,'Kalkulator mięs '!$C$5:$H$533,FC$4,0)*$W37,0)</f>
        <v>0</v>
      </c>
      <c r="FD37">
        <f>IFERROR(VLOOKUP($D37,'Kalkulator mięs '!$C$5:$H$533,FD$4,0)*$X37,0)</f>
        <v>0</v>
      </c>
      <c r="FE37">
        <f>IFERROR(VLOOKUP($D37,'Kalkulator mięs '!$C$5:$H$533,FE$4,0)*$X37,0)</f>
        <v>0</v>
      </c>
      <c r="FF37">
        <f>IFERROR(VLOOKUP($D37,'Kalkulator mięs '!$C$5:$H$533,FF$4,0)*$X37,0)</f>
        <v>0</v>
      </c>
      <c r="FG37">
        <f>IFERROR(VLOOKUP($D37,'Kalkulator mięs '!$C$5:$H$533,FG$4,0)*$Y37,0)</f>
        <v>0</v>
      </c>
      <c r="FH37">
        <f>IFERROR(VLOOKUP($D37,'Kalkulator mięs '!$C$5:$H$533,FH$4,0)*$Y37,0)</f>
        <v>0</v>
      </c>
      <c r="FI37">
        <f>IFERROR(VLOOKUP($D37,'Kalkulator mięs '!$C$5:$H$533,FI$4,0)*$Y37,0)</f>
        <v>0</v>
      </c>
      <c r="FJ37">
        <f>IFERROR(VLOOKUP($D37,'Kalkulator mięs '!$C$5:$H$533,FJ$4,0)*$Z37,0)</f>
        <v>0</v>
      </c>
      <c r="FK37">
        <f>IFERROR(VLOOKUP($D37,'Kalkulator mięs '!$C$5:$H$533,FK$4,0)*$Z37,0)</f>
        <v>0</v>
      </c>
      <c r="FL37">
        <f>IFERROR(VLOOKUP($D37,'Kalkulator mięs '!$C$5:$H$533,FL$4,0)*$Z37,0)</f>
        <v>0</v>
      </c>
      <c r="FM37">
        <f>IFERROR(VLOOKUP($D37,'Kalkulator mięs '!$C$5:$H$533,FM$4,0)*$AA37,0)</f>
        <v>0</v>
      </c>
      <c r="FN37">
        <f>IFERROR(VLOOKUP($D37,'Kalkulator mięs '!$C$5:$H$533,FN$4,0)*$AA37,0)</f>
        <v>0</v>
      </c>
      <c r="FO37">
        <f>IFERROR(VLOOKUP($D37,'Kalkulator mięs '!$C$5:$H$533,FO$4,0)*$AA37,0)</f>
        <v>0</v>
      </c>
      <c r="FP37">
        <f>IFERROR(VLOOKUP($D37,'Kalkulator mięs '!$C$5:$H$533,FP$4,0)*$AB37,0)</f>
        <v>0</v>
      </c>
      <c r="FQ37">
        <f>IFERROR(VLOOKUP($D37,'Kalkulator mięs '!$C$5:$H$533,FQ$4,0)*$AB37,0)</f>
        <v>0</v>
      </c>
      <c r="FR37">
        <f>IFERROR(VLOOKUP($D37,'Kalkulator mięs '!$C$5:$H$533,FR$4,0)*$AB37,0)</f>
        <v>0</v>
      </c>
      <c r="FS37">
        <f>IFERROR(VLOOKUP($D37,'Kalkulator mięs '!$C$5:$H$533,FS$4,0)*$AC37,0)</f>
        <v>0</v>
      </c>
      <c r="FT37">
        <f>IFERROR(VLOOKUP($D37,'Kalkulator mięs '!$C$5:$H$533,FT$4,0)*$AC37,0)</f>
        <v>0</v>
      </c>
      <c r="FU37">
        <f>IFERROR(VLOOKUP($D37,'Kalkulator mięs '!$C$5:$H$533,FU$4,0)*$AC37,0)</f>
        <v>0</v>
      </c>
      <c r="FV37">
        <f>IFERROR(VLOOKUP($D37,'Kalkulator mięs '!$C$5:$H$533,FV$4,0)*$AD37,0)</f>
        <v>0</v>
      </c>
      <c r="FW37">
        <f>IFERROR(VLOOKUP($D37,'Kalkulator mięs '!$C$5:$H$533,FW$4,0)*$AD37,0)</f>
        <v>0</v>
      </c>
      <c r="FX37">
        <f>IFERROR(VLOOKUP($D37,'Kalkulator mięs '!$C$5:$H$533,FX$4,0)*$AD37,0)</f>
        <v>0</v>
      </c>
      <c r="FY37">
        <f>IFERROR(VLOOKUP($D37,'Kalkulator mięs '!$C$5:$H$533,FY$4,0)*$AE37,0)</f>
        <v>0</v>
      </c>
      <c r="FZ37">
        <f>IFERROR(VLOOKUP($D37,'Kalkulator mięs '!$C$5:$H$533,FZ$4,0)*$AE37,0)</f>
        <v>0</v>
      </c>
      <c r="GA37">
        <f>IFERROR(VLOOKUP($D37,'Kalkulator mięs '!$C$5:$H$533,GA$4,0)*$AE37,0)</f>
        <v>0</v>
      </c>
      <c r="GB37">
        <f>IFERROR(VLOOKUP($D37,'Kalkulator mięs '!$C$5:$H$533,GB$4,0)*$AF37,0)</f>
        <v>0</v>
      </c>
      <c r="GC37">
        <f>IFERROR(VLOOKUP($D37,'Kalkulator mięs '!$C$5:$H$533,GC$4,0)*$AF37,0)</f>
        <v>0</v>
      </c>
      <c r="GD37">
        <f>IFERROR(VLOOKUP($D37,'Kalkulator mięs '!$C$5:$H$533,GD$4,0)*$AF37,0)</f>
        <v>0</v>
      </c>
      <c r="GE37">
        <f>IFERROR(VLOOKUP($D37,'Kalkulator mięs '!$C$5:$H$533,GE$4,0)*$AG37,0)</f>
        <v>0</v>
      </c>
      <c r="GF37">
        <f>IFERROR(VLOOKUP($D37,'Kalkulator mięs '!$C$5:$H$533,GF$4,0)*$AG37,0)</f>
        <v>0</v>
      </c>
      <c r="GG37">
        <f>IFERROR(VLOOKUP($D37,'Kalkulator mięs '!$C$5:$H$533,GG$4,0)*$AG37,0)</f>
        <v>0</v>
      </c>
      <c r="GH37">
        <f>IFERROR(VLOOKUP($D37,'Kalkulator mięs '!$C$5:$H$533,GH$4,0)*$AH37,0)</f>
        <v>0</v>
      </c>
      <c r="GI37">
        <f>IFERROR(VLOOKUP($D37,'Kalkulator mięs '!$C$5:$H$533,GI$4,0)*$AH37,0)</f>
        <v>0</v>
      </c>
      <c r="GJ37">
        <f>IFERROR(VLOOKUP($D37,'Kalkulator mięs '!$C$5:$H$533,GJ$4,0)*$AH37,0)</f>
        <v>0</v>
      </c>
      <c r="GK37">
        <f>IFERROR(VLOOKUP($D37,'Kalkulator mięs '!$C$5:$H$533,GK$4,0)*$AI37,0)</f>
        <v>0</v>
      </c>
      <c r="GL37">
        <f>IFERROR(VLOOKUP($D37,'Kalkulator mięs '!$C$5:$H$533,GL$4,0)*$AI37,0)</f>
        <v>0</v>
      </c>
      <c r="GM37">
        <f>IFERROR(VLOOKUP($D37,'Kalkulator mięs '!$C$5:$H$533,GM$4,0)*$AI37,0)</f>
        <v>0</v>
      </c>
      <c r="GN37">
        <f>IFERROR(VLOOKUP($D37,'Kalkulator mięs '!$C$5:$H$533,GN$4,0)*$AJ37,0)</f>
        <v>0</v>
      </c>
      <c r="GO37">
        <f>IFERROR(VLOOKUP($D37,'Kalkulator mięs '!$C$5:$H$533,GO$4,0)*$AJ37,0)</f>
        <v>0</v>
      </c>
      <c r="GP37">
        <f>IFERROR(VLOOKUP($D37,'Kalkulator mięs '!$C$5:$H$533,GP$4,0)*$AJ37,0)</f>
        <v>0</v>
      </c>
      <c r="GQ37">
        <f>IFERROR(VLOOKUP($D37,'Kalkulator mięs '!$C$5:$H$533,GQ$4,0)*$AK37,0)</f>
        <v>0</v>
      </c>
      <c r="GR37">
        <f>IFERROR(VLOOKUP($D37,'Kalkulator mięs '!$C$5:$H$533,GR$4,0)*$AK37,0)</f>
        <v>0</v>
      </c>
      <c r="GS37">
        <f>IFERROR(VLOOKUP($D37,'Kalkulator mięs '!$C$5:$H$533,GS$4,0)*$AK37,0)</f>
        <v>0</v>
      </c>
      <c r="GT37">
        <f>IFERROR(VLOOKUP($D37,'Kalkulator mięs '!$C$5:$H$533,GT$4,0)*$AL37,0)</f>
        <v>0</v>
      </c>
      <c r="GU37">
        <f>IFERROR(VLOOKUP($D37,'Kalkulator mięs '!$C$5:$H$533,GU$4,0)*$AL37,0)</f>
        <v>0</v>
      </c>
      <c r="GV37">
        <f>IFERROR(VLOOKUP($D37,'Kalkulator mięs '!$C$5:$H$533,GV$4,0)*$AL37,0)</f>
        <v>0</v>
      </c>
      <c r="GW37">
        <f>IFERROR(VLOOKUP($D37,'Kalkulator mięs '!$C$5:$H$533,GW$4,0)*$AM37,0)</f>
        <v>0</v>
      </c>
      <c r="GX37">
        <f>IFERROR(VLOOKUP($D37,'Kalkulator mięs '!$C$5:$H$533,GX$4,0)*$AM37,0)</f>
        <v>0</v>
      </c>
      <c r="GY37">
        <f>IFERROR(VLOOKUP($D37,'Kalkulator mięs '!$C$5:$H$533,GY$4,0)*$AM37,0)</f>
        <v>0</v>
      </c>
      <c r="GZ37">
        <f>IFERROR(VLOOKUP($D37,'Kalkulator mięs '!$C$5:$H$533,GZ$4,0)*$AN37,0)</f>
        <v>0</v>
      </c>
      <c r="HA37">
        <f>IFERROR(VLOOKUP($D37,'Kalkulator mięs '!$C$5:$H$533,HA$4,0)*$AN37,0)</f>
        <v>0</v>
      </c>
      <c r="HB37">
        <f>IFERROR(VLOOKUP($D37,'Kalkulator mięs '!$C$5:$H$533,HB$4,0)*$AN37,0)</f>
        <v>0</v>
      </c>
      <c r="HC37">
        <f>IFERROR(VLOOKUP($D37,'Kalkulator mięs '!$C$5:$H$533,HC$4,0)*$AO37,0)</f>
        <v>0</v>
      </c>
      <c r="HD37">
        <f>IFERROR(VLOOKUP($D37,'Kalkulator mięs '!$C$5:$H$533,HD$4,0)*$AO37,0)</f>
        <v>0</v>
      </c>
      <c r="HE37">
        <f>IFERROR(VLOOKUP($D37,'Kalkulator mięs '!$C$5:$H$533,HE$4,0)*$AO37,0)</f>
        <v>0</v>
      </c>
      <c r="HF37">
        <f>IFERROR(VLOOKUP($D37,'Kalkulator mięs '!$C$5:$H$533,HF$4,0)*$AP37,0)</f>
        <v>0</v>
      </c>
      <c r="HG37">
        <f>IFERROR(VLOOKUP($D37,'Kalkulator mięs '!$C$5:$H$533,HG$4,0)*$AP37,0)</f>
        <v>0</v>
      </c>
      <c r="HH37">
        <f>IFERROR(VLOOKUP($D37,'Kalkulator mięs '!$C$5:$H$533,HH$4,0)*$AP37,0)</f>
        <v>0</v>
      </c>
      <c r="HI37">
        <f>IFERROR(VLOOKUP($D37,'Kalkulator mięs '!$C$5:$H$533,HI$4,0)*$AQ37,0)</f>
        <v>0</v>
      </c>
      <c r="HJ37">
        <f>IFERROR(VLOOKUP($D37,'Kalkulator mięs '!$C$5:$H$533,HJ$4,0)*$AQ37,0)</f>
        <v>0</v>
      </c>
      <c r="HK37">
        <f>IFERROR(VLOOKUP($D37,'Kalkulator mięs '!$C$5:$H$533,HK$4,0)*$AQ37,0)</f>
        <v>0</v>
      </c>
      <c r="HL37">
        <f>IFERROR(VLOOKUP($D37,'Kalkulator mięs '!$C$5:$H$533,HL$4,0)*$AR37,0)</f>
        <v>0</v>
      </c>
      <c r="HM37">
        <f>IFERROR(VLOOKUP($D37,'Kalkulator mięs '!$C$5:$H$533,HM$4,0)*$AR37,0)</f>
        <v>0</v>
      </c>
      <c r="HN37">
        <f>IFERROR(VLOOKUP($D37,'Kalkulator mięs '!$C$5:$H$533,HN$4,0)*$AR37,0)</f>
        <v>0</v>
      </c>
      <c r="HO37">
        <f>IFERROR(VLOOKUP($D37,'Kalkulator mięs '!$C$5:$H$533,HO$4,0)*$AS37,0)</f>
        <v>0</v>
      </c>
      <c r="HP37">
        <f>IFERROR(VLOOKUP($D37,'Kalkulator mięs '!$C$5:$H$533,HP$4,0)*$AS37,0)</f>
        <v>0</v>
      </c>
      <c r="HQ37">
        <f>IFERROR(VLOOKUP($D37,'Kalkulator mięs '!$C$5:$H$533,HQ$4,0)*$AS37,0)</f>
        <v>0</v>
      </c>
      <c r="HR37">
        <f>IFERROR(VLOOKUP($D37,'Kalkulator mięs '!$C$5:$H$533,HR$4,0)*$AT37,0)</f>
        <v>0</v>
      </c>
      <c r="HS37">
        <f>IFERROR(VLOOKUP($D37,'Kalkulator mięs '!$C$5:$H$533,HS$4,0)*$AT37,0)</f>
        <v>0</v>
      </c>
      <c r="HT37">
        <f>IFERROR(VLOOKUP($D37,'Kalkulator mięs '!$C$5:$H$533,HT$4,0)*$AT37,0)</f>
        <v>0</v>
      </c>
      <c r="HU37">
        <f>IFERROR(VLOOKUP($D37,'Kalkulator mięs '!$C$5:$H$533,HU$4,0)*$AU37,0)</f>
        <v>0</v>
      </c>
      <c r="HV37">
        <f>IFERROR(VLOOKUP($D37,'Kalkulator mięs '!$C$5:$H$533,HV$4,0)*$AU37,0)</f>
        <v>0</v>
      </c>
      <c r="HW37">
        <f>IFERROR(VLOOKUP($D37,'Kalkulator mięs '!$C$5:$H$533,HW$4,0)*$AU37,0)</f>
        <v>0</v>
      </c>
      <c r="HX37">
        <f>IFERROR(VLOOKUP($D37,'Kalkulator mięs '!$C$5:$H$533,HX$4,0)*$AV37,0)</f>
        <v>0</v>
      </c>
      <c r="HY37">
        <f>IFERROR(VLOOKUP($D37,'Kalkulator mięs '!$C$5:$H$533,HY$4,0)*$AV37,0)</f>
        <v>0</v>
      </c>
      <c r="HZ37">
        <f>IFERROR(VLOOKUP($D37,'Kalkulator mięs '!$C$5:$H$533,HZ$4,0)*$AV37,0)</f>
        <v>0</v>
      </c>
      <c r="IA37">
        <f>IFERROR(VLOOKUP($D37,'Kalkulator mięs '!$C$5:$H$533,IA$4,0)*$AW37,0)</f>
        <v>0</v>
      </c>
      <c r="IB37">
        <f>IFERROR(VLOOKUP($D37,'Kalkulator mięs '!$C$5:$H$533,IB$4,0)*$AW37,0)</f>
        <v>0</v>
      </c>
      <c r="IC37">
        <f>IFERROR(VLOOKUP($D37,'Kalkulator mięs '!$C$5:$H$533,IC$4,0)*$AW37,0)</f>
        <v>0</v>
      </c>
      <c r="ID37">
        <f>IFERROR(VLOOKUP($D37,'Kalkulator mięs '!$C$5:$H$533,ID$4,0)*$AX37,0)</f>
        <v>0</v>
      </c>
      <c r="IE37">
        <f>IFERROR(VLOOKUP($D37,'Kalkulator mięs '!$C$5:$H$533,IE$4,0)*$AX37,0)</f>
        <v>0</v>
      </c>
      <c r="IF37">
        <f>IFERROR(VLOOKUP($D37,'Kalkulator mięs '!$C$5:$H$533,IF$4,0)*$AX37,0)</f>
        <v>0</v>
      </c>
      <c r="IG37">
        <f>IFERROR(VLOOKUP($D37,'Kalkulator mięs '!$C$5:$H$533,IG$4,0)*$AY37,0)</f>
        <v>0</v>
      </c>
      <c r="IH37">
        <f>IFERROR(VLOOKUP($D37,'Kalkulator mięs '!$C$5:$H$533,IH$4,0)*$AY37,0)</f>
        <v>0</v>
      </c>
      <c r="II37">
        <f>IFERROR(VLOOKUP($D37,'Kalkulator mięs '!$C$5:$H$533,II$4,0)*$AY37,0)</f>
        <v>0</v>
      </c>
      <c r="IJ37">
        <f>IFERROR(VLOOKUP($D37,'Kalkulator mięs '!$C$5:$H$533,IJ$4,0)*$AZ37,0)</f>
        <v>0</v>
      </c>
      <c r="IK37">
        <f>IFERROR(VLOOKUP($D37,'Kalkulator mięs '!$C$5:$H$533,IK$4,0)*$AZ37,0)</f>
        <v>0</v>
      </c>
      <c r="IL37">
        <f>IFERROR(VLOOKUP($D37,'Kalkulator mięs '!$C$5:$H$533,IL$4,0)*$AZ37,0)</f>
        <v>0</v>
      </c>
      <c r="IM37">
        <f>IFERROR(VLOOKUP($D37,'Kalkulator mięs '!$C$5:$H$533,IM$4,0)*$BA37,0)</f>
        <v>0</v>
      </c>
      <c r="IN37">
        <f>IFERROR(VLOOKUP($D37,'Kalkulator mięs '!$C$5:$H$533,IN$4,0)*$BA37,0)</f>
        <v>0</v>
      </c>
      <c r="IO37">
        <f>IFERROR(VLOOKUP($D37,'Kalkulator mięs '!$C$5:$H$533,IO$4,0)*$BA37,0)</f>
        <v>0</v>
      </c>
    </row>
    <row r="38" spans="1:249" ht="31.5">
      <c r="B38" t="str">
        <f>VLOOKUP(D38,Receptury_z!$A:$B,2,0)</f>
        <v>ON</v>
      </c>
      <c r="C38" s="16">
        <v>5526</v>
      </c>
      <c r="D38" s="19">
        <v>6485</v>
      </c>
      <c r="E38" s="18" t="s">
        <v>43</v>
      </c>
      <c r="F38" s="14">
        <f>IF($B38="OFF",BE38,VLOOKUP($D38,Receptury_z!$D:$AI,F$4,0))</f>
        <v>0</v>
      </c>
      <c r="G38" s="14">
        <f>IF($B38="OFF",BF38,VLOOKUP($D38,Receptury_z!$D:$AI,G$4,0))</f>
        <v>0</v>
      </c>
      <c r="H38" s="14">
        <f>IF($B38="OFF",BG38,VLOOKUP($D38,Receptury_z!$D:$AI,H$4,0))</f>
        <v>0</v>
      </c>
      <c r="I38" s="14">
        <f>IF($B38="OFF",BH38,VLOOKUP($D38,Receptury_z!$D:$AI,I$4,0))</f>
        <v>0</v>
      </c>
      <c r="J38" s="14">
        <f>IF($B38="OFF",BI38,VLOOKUP($D38,Receptury_z!$D:$AI,J$4,0))</f>
        <v>0</v>
      </c>
      <c r="K38" s="14">
        <f>IF($B38="OFF",BJ38,VLOOKUP($D38,Receptury_z!$D:$AI,K$4,0))</f>
        <v>0</v>
      </c>
      <c r="L38" s="14">
        <f>IF($B38="OFF",BK38,VLOOKUP($D38,Receptury_z!$D:$AI,L$4,0))</f>
        <v>0</v>
      </c>
      <c r="M38" s="14">
        <f>IF($B38="OFF",BL38,VLOOKUP($D38,Receptury_z!$D:$AI,M$4,0))</f>
        <v>0</v>
      </c>
      <c r="N38" s="14">
        <f>IF($B38="OFF",BM38,VLOOKUP($D38,Receptury_z!$D:$AI,N$4,0))</f>
        <v>0</v>
      </c>
      <c r="O38" s="14">
        <f>IF($B38="OFF",BN38,VLOOKUP($D38,Receptury_z!$D:$AI,O$4,0))</f>
        <v>0</v>
      </c>
      <c r="P38" s="14">
        <f>IF($B38="OFF",BO38,VLOOKUP($D38,Receptury_z!$D:$AI,P$4,0))</f>
        <v>0</v>
      </c>
      <c r="Q38" s="14">
        <f>IF($B38="OFF",BP38,VLOOKUP($D38,Receptury_z!$D:$AI,Q$4,0))</f>
        <v>111.83</v>
      </c>
      <c r="R38" s="14">
        <f>IF($B38="OFF",BQ38,VLOOKUP($D38,Receptury_z!$D:$AI,R$4,0))</f>
        <v>0</v>
      </c>
      <c r="S38" s="14">
        <f>IF($B38="OFF",BR38,VLOOKUP($D38,Receptury_z!$D:$AI,S$4,0))</f>
        <v>0</v>
      </c>
      <c r="T38" s="14">
        <f>IF($B38="OFF",BS38,VLOOKUP($D38,Receptury_z!$D:$AI,T$4,0))</f>
        <v>172.04</v>
      </c>
      <c r="U38" s="14">
        <f>IF($B38="OFF",BT38,VLOOKUP($D38,Receptury_z!$D:$AI,U$4,0))</f>
        <v>25.81</v>
      </c>
      <c r="V38" s="14">
        <f>IF($B38="OFF",BU38,VLOOKUP($D38,Receptury_z!$D:$AI,V$4,0))</f>
        <v>0</v>
      </c>
      <c r="W38" s="14">
        <f>IF($B38="OFF",BV38,VLOOKUP($D38,Receptury_z!$D:$AI,W$4,0))</f>
        <v>404.3</v>
      </c>
      <c r="X38" s="14">
        <f>IF($B38="OFF",BW38,VLOOKUP($D38,Receptury_z!$D:$AI,X$4,0))</f>
        <v>86.05</v>
      </c>
      <c r="Y38" s="14">
        <f>IF($B38="OFF",BX38,VLOOKUP($D38,Receptury_z!$D:$AI,Y$4,0))</f>
        <v>0</v>
      </c>
      <c r="Z38" s="14">
        <f>IF($B38="OFF",BY38,VLOOKUP($D38,Receptury_z!$D:$AI,Z$4,0))</f>
        <v>0</v>
      </c>
      <c r="AA38" s="14">
        <f>IF($B38="OFF",BZ38,VLOOKUP($D38,Receptury_z!$D:$AI,AA$4,0))</f>
        <v>0</v>
      </c>
      <c r="AB38" s="14">
        <f>IF($B38="OFF",CA38,VLOOKUP($D38,Receptury_z!$D:$AI,AB$4,0))</f>
        <v>60.22</v>
      </c>
      <c r="AC38" s="14">
        <f>IF($B38="OFF",CB38,VLOOKUP($D38,Receptury_z!$D:$AI,AC$4,0))</f>
        <v>0</v>
      </c>
      <c r="AD38" s="14">
        <f>IF($B38="OFF",CC38,VLOOKUP($D38,Receptury_z!$D:$AI,AD$4,0))</f>
        <v>0</v>
      </c>
      <c r="AE38" s="14">
        <f>IF($B38="OFF",CD38,VLOOKUP($D38,Receptury_z!$D:$AI,AE$4,0))</f>
        <v>0</v>
      </c>
      <c r="AF38" s="14">
        <f>IF($B38="OFF",CE38,VLOOKUP($D38,Receptury_z!$D:$AI,AF$4,0))</f>
        <v>0</v>
      </c>
      <c r="AG38" s="14">
        <f>IF($B38="OFF",CF38,VLOOKUP($D38,Receptury_z!$D:$AI,AG$4,0))</f>
        <v>0</v>
      </c>
      <c r="AH38" s="14">
        <f>IF($B38="OFF",CG38,VLOOKUP($D38,Receptury_z!$D:$AI,AH$4,0))</f>
        <v>0</v>
      </c>
      <c r="AI38" s="14">
        <f>IF($B38="OFF",CH38,VLOOKUP($D38,Receptury_z!$D:$AI,AI$4,0))</f>
        <v>0</v>
      </c>
      <c r="AJ38" s="14">
        <f>IF($B38="OFF",CI38,VLOOKUP($D38,Receptury_z!$D:$AS,AJ$4,0))</f>
        <v>0</v>
      </c>
      <c r="AK38" s="14">
        <f>IF($B38="OFF",CJ38,VLOOKUP($D38,Receptury_z!$D:$AS,AK$4,0))</f>
        <v>0</v>
      </c>
      <c r="AL38" s="14">
        <f>IF($B38="OFF",CK38,VLOOKUP($D38,Receptury_z!$D:$AS,AL$4,0))</f>
        <v>0</v>
      </c>
      <c r="AM38" s="14">
        <f>IF($B38="OFF",CL38,VLOOKUP($D38,Receptury_z!$D:$AS,AM$4,0))</f>
        <v>0</v>
      </c>
      <c r="AN38" s="14">
        <f>IF($B38="OFF",CM38,VLOOKUP($D38,Receptury_z!$D:$AS,AN$4,0))</f>
        <v>0</v>
      </c>
      <c r="AO38" s="14">
        <f>IF($B38="OFF",CN38,VLOOKUP($D38,Receptury_z!$D:$AS,AO$4,0))</f>
        <v>0</v>
      </c>
      <c r="AP38" s="14">
        <f>IF($B38="OFF",CO38,VLOOKUP($D38,Receptury_z!$D:$AS,AP$4,0))</f>
        <v>0</v>
      </c>
      <c r="AQ38" s="14">
        <f>IF($B38="OFF",CP38,VLOOKUP($D38,Receptury_z!$D:$AS,AQ$4,0))</f>
        <v>0</v>
      </c>
      <c r="AR38" s="14">
        <f>IF($B38="OFF",CQ38,VLOOKUP($D38,Receptury_z!$D:$AS,AR$4,0))</f>
        <v>0</v>
      </c>
      <c r="AS38" s="14">
        <f>IF($B38="OFF",CR38,VLOOKUP($D38,Receptury_z!$D:$AS,AS$4,0))</f>
        <v>0</v>
      </c>
      <c r="AT38" s="14">
        <f>IF($B38="OFF",CS38,VLOOKUP($D38,Receptury_z!$D:$AV,AT$4,0))</f>
        <v>0</v>
      </c>
      <c r="AU38" s="14">
        <f>IF($B38="OFF",CT38,VLOOKUP($D38,Receptury_z!$D:$AV,AU$4,0))</f>
        <v>0</v>
      </c>
      <c r="AV38" s="14">
        <f>IF($B38="OFF",CU38,VLOOKUP($D38,Receptury_z!$D:$AV,AV$4,0))</f>
        <v>0</v>
      </c>
      <c r="AW38" s="14">
        <f>IF($B38="OFF",CV38,VLOOKUP($D38,Receptury_z!$D:$BA,AW$4,0))</f>
        <v>0</v>
      </c>
      <c r="AX38" s="14">
        <f>IF($B38="OFF",CW38,VLOOKUP($D38,Receptury_z!$D:$BA,AX$4,0))</f>
        <v>0</v>
      </c>
      <c r="AY38" s="14">
        <f>IF($B38="OFF",CX38,VLOOKUP($D38,Receptury_z!$D:$BA,AY$4,0))</f>
        <v>0</v>
      </c>
      <c r="AZ38" s="14">
        <f>IF($B38="OFF",DA38,VLOOKUP($D38,Receptury_z!$D:$BA,AZ$4,0))</f>
        <v>0</v>
      </c>
      <c r="BA38" s="14">
        <f>IF($B38="OFF",DB38,VLOOKUP($D38,Receptury_z!$D:$BA,BA$4,0))</f>
        <v>0</v>
      </c>
      <c r="BC38" s="19">
        <v>6485</v>
      </c>
      <c r="BD38" s="18" t="s">
        <v>43</v>
      </c>
      <c r="BE38" s="239">
        <v>0</v>
      </c>
      <c r="BF38" s="239">
        <v>0</v>
      </c>
      <c r="BG38" s="239">
        <v>0</v>
      </c>
      <c r="BH38" s="239">
        <v>0</v>
      </c>
      <c r="BI38" s="239">
        <v>0</v>
      </c>
      <c r="BJ38" s="239">
        <v>0</v>
      </c>
      <c r="BK38" s="239">
        <v>0</v>
      </c>
      <c r="BL38" s="239">
        <v>0</v>
      </c>
      <c r="BM38" s="239">
        <v>0</v>
      </c>
      <c r="BN38" s="239">
        <v>0</v>
      </c>
      <c r="BO38" s="239">
        <v>0</v>
      </c>
      <c r="BP38" s="239">
        <v>111.7</v>
      </c>
      <c r="BQ38" s="239">
        <v>0</v>
      </c>
      <c r="BR38" s="239">
        <v>0</v>
      </c>
      <c r="BS38" s="239">
        <v>171.8</v>
      </c>
      <c r="BT38" s="239">
        <v>25.8</v>
      </c>
      <c r="BU38" s="239">
        <v>0</v>
      </c>
      <c r="BV38" s="239">
        <v>404.3</v>
      </c>
      <c r="BW38" s="239">
        <v>85.9</v>
      </c>
      <c r="BX38" s="239">
        <v>0</v>
      </c>
      <c r="BY38" s="239">
        <v>0</v>
      </c>
      <c r="BZ38" s="239">
        <v>0</v>
      </c>
      <c r="CA38" s="239">
        <v>60.1</v>
      </c>
      <c r="CB38" s="239">
        <v>0</v>
      </c>
      <c r="CC38" s="239">
        <v>0</v>
      </c>
      <c r="CD38" s="239">
        <v>0</v>
      </c>
      <c r="CE38" s="239">
        <v>0</v>
      </c>
      <c r="CF38" s="239">
        <v>0</v>
      </c>
      <c r="CG38" s="239">
        <v>0</v>
      </c>
      <c r="CH38" s="239">
        <v>0</v>
      </c>
      <c r="CI38" s="239">
        <v>0</v>
      </c>
      <c r="CJ38" s="239">
        <v>0</v>
      </c>
      <c r="CK38" s="239">
        <v>0</v>
      </c>
      <c r="CL38" s="239">
        <v>0</v>
      </c>
      <c r="CM38" s="80"/>
      <c r="CN38" s="80"/>
      <c r="CO38" s="80"/>
      <c r="CP38" s="80"/>
      <c r="CQ38" s="80"/>
      <c r="CR38" s="80"/>
      <c r="CS38" s="80"/>
      <c r="CT38" s="80"/>
      <c r="CU38" s="80"/>
      <c r="CV38" s="80"/>
      <c r="CW38" s="80"/>
      <c r="CX38" s="80"/>
      <c r="CY38" s="80"/>
      <c r="CZ38" s="80"/>
      <c r="DB38">
        <f>IFERROR(VLOOKUP($D38,'Kalkulator mięs '!$C$5:$H$533,DB$4,0)*F38,0)</f>
        <v>0</v>
      </c>
      <c r="DC38">
        <f>IFERROR(VLOOKUP($D38,'Kalkulator mięs '!$C$5:$H$533,DC$4,0)*F38,0)</f>
        <v>0</v>
      </c>
      <c r="DD38">
        <f>IFERROR(VLOOKUP($D38,'Kalkulator mięs '!$C$5:$H$533,DD$4,0)*F38,0)</f>
        <v>0</v>
      </c>
      <c r="DE38">
        <f>IFERROR(VLOOKUP($D38,'Kalkulator mięs '!$C$5:$H$533,DE$4,0)*$G38,0)</f>
        <v>0</v>
      </c>
      <c r="DF38">
        <f>IFERROR(VLOOKUP($D38,'Kalkulator mięs '!$C$5:$H$533,DF$4,0)*$G38,0)</f>
        <v>0</v>
      </c>
      <c r="DG38">
        <f>IFERROR(VLOOKUP($D38,'Kalkulator mięs '!$C$5:$H$533,DG$4,0)*$G38,0)</f>
        <v>0</v>
      </c>
      <c r="DH38">
        <f>IFERROR(VLOOKUP($D38,'Kalkulator mięs '!$C$5:$H$533,DH$4,0)*$H38,0)</f>
        <v>0</v>
      </c>
      <c r="DI38">
        <f>IFERROR(VLOOKUP($D38,'Kalkulator mięs '!$C$5:$H$533,DI$4,0)*$H38,0)</f>
        <v>0</v>
      </c>
      <c r="DJ38">
        <f>IFERROR(VLOOKUP($D38,'Kalkulator mięs '!$C$5:$H$533,DJ$4,0)*$H38,0)</f>
        <v>0</v>
      </c>
      <c r="DK38">
        <f>IFERROR(VLOOKUP($D38,'Kalkulator mięs '!$C$5:$H$533,DK$4,0)*$I38,0)</f>
        <v>0</v>
      </c>
      <c r="DL38">
        <f>IFERROR(VLOOKUP($D38,'Kalkulator mięs '!$C$5:$H$533,DL$4,0)*$I38,0)</f>
        <v>0</v>
      </c>
      <c r="DM38">
        <f>IFERROR(VLOOKUP($D38,'Kalkulator mięs '!$C$5:$H$533,DM$4,0)*$I38,0)</f>
        <v>0</v>
      </c>
      <c r="DN38">
        <f>IFERROR(VLOOKUP($D38,'Kalkulator mięs '!$C$5:$H$533,DN$4,0)*$J38,0)</f>
        <v>0</v>
      </c>
      <c r="DO38">
        <f>IFERROR(VLOOKUP($D38,'Kalkulator mięs '!$C$5:$H$533,DO$4,0)*$J38,0)</f>
        <v>0</v>
      </c>
      <c r="DP38">
        <f>IFERROR(VLOOKUP($D38,'Kalkulator mięs '!$C$5:$H$533,DP$4,0)*$J38,0)</f>
        <v>0</v>
      </c>
      <c r="DQ38">
        <f>IFERROR(VLOOKUP($D38,'Kalkulator mięs '!$C$5:$H$533,DQ$4,0)*$K38,0)</f>
        <v>0</v>
      </c>
      <c r="DR38">
        <f>IFERROR(VLOOKUP($D38,'Kalkulator mięs '!$C$5:$H$533,DR$4,0)*$K38,0)</f>
        <v>0</v>
      </c>
      <c r="DS38">
        <f>IFERROR(VLOOKUP($D38,'Kalkulator mięs '!$C$5:$H$533,DS$4,0)*$K38,0)</f>
        <v>0</v>
      </c>
      <c r="DT38">
        <f>IFERROR(VLOOKUP($D38,'Kalkulator mięs '!$C$5:$H$533,DT$4,0)*$L38,0)</f>
        <v>0</v>
      </c>
      <c r="DU38">
        <f>IFERROR(VLOOKUP($D38,'Kalkulator mięs '!$C$5:$H$533,DU$4,0)*$L38,0)</f>
        <v>0</v>
      </c>
      <c r="DV38">
        <f>IFERROR(VLOOKUP($D38,'Kalkulator mięs '!$C$5:$H$533,DV$4,0)*$L38,0)</f>
        <v>0</v>
      </c>
      <c r="DW38">
        <f>IFERROR(VLOOKUP($D38,'Kalkulator mięs '!$C$5:$H$533,DW$4,0)*$M38,0)</f>
        <v>0</v>
      </c>
      <c r="DX38">
        <f>IFERROR(VLOOKUP($D38,'Kalkulator mięs '!$C$5:$H$533,DX$4,0)*$M38,0)</f>
        <v>0</v>
      </c>
      <c r="DY38">
        <f>IFERROR(VLOOKUP($D38,'Kalkulator mięs '!$C$5:$H$533,DY$4,0)*$M38,0)</f>
        <v>0</v>
      </c>
      <c r="DZ38">
        <f>IFERROR(VLOOKUP($D38,'Kalkulator mięs '!$C$5:$H$533,DZ$4,0)*$N38,0)</f>
        <v>0</v>
      </c>
      <c r="EA38">
        <f>IFERROR(VLOOKUP($D38,'Kalkulator mięs '!$C$5:$H$533,EA$4,0)*$N38,0)</f>
        <v>0</v>
      </c>
      <c r="EB38">
        <f>IFERROR(VLOOKUP($D38,'Kalkulator mięs '!$C$5:$H$533,EB$4,0)*$N38,0)</f>
        <v>0</v>
      </c>
      <c r="EC38">
        <f>IFERROR(VLOOKUP($D38,'Kalkulator mięs '!$C$5:$H$533,EC$4,0)*$O38,0)</f>
        <v>0</v>
      </c>
      <c r="ED38">
        <f>IFERROR(VLOOKUP($D38,'Kalkulator mięs '!$C$5:$H$533,ED$4,0)*$O38,0)</f>
        <v>0</v>
      </c>
      <c r="EE38">
        <f>IFERROR(VLOOKUP($D38,'Kalkulator mięs '!$C$5:$H$533,EE$4,0)*$O38,0)</f>
        <v>0</v>
      </c>
      <c r="EF38">
        <f>IFERROR(VLOOKUP($D38,'Kalkulator mięs '!$C$5:$H$533,EF$4,0)*$P38,0)</f>
        <v>0</v>
      </c>
      <c r="EG38">
        <f>IFERROR(VLOOKUP($D38,'Kalkulator mięs '!$C$5:$H$533,EG$4,0)*$P38,0)</f>
        <v>0</v>
      </c>
      <c r="EH38">
        <f>IFERROR(VLOOKUP($D38,'Kalkulator mięs '!$C$5:$H$533,EH$4,0)*$P38,0)</f>
        <v>0</v>
      </c>
      <c r="EI38">
        <f>IFERROR(VLOOKUP($D38,'Kalkulator mięs '!$C$5:$H$533,EI$4,0)*$Q38,0)</f>
        <v>0</v>
      </c>
      <c r="EJ38">
        <f>IFERROR(VLOOKUP($D38,'Kalkulator mięs '!$C$5:$H$533,EJ$4,0)*$Q38,0)</f>
        <v>0</v>
      </c>
      <c r="EK38">
        <f>IFERROR(VLOOKUP($D38,'Kalkulator mięs '!$C$5:$H$533,EK$4,0)*$Q38,0)</f>
        <v>0</v>
      </c>
      <c r="EL38">
        <f>IFERROR(VLOOKUP($D38,'Kalkulator mięs '!$C$5:$H$533,EL$4,0)*$R38,0)</f>
        <v>0</v>
      </c>
      <c r="EM38">
        <f>IFERROR(VLOOKUP($D38,'Kalkulator mięs '!$C$5:$H$533,EM$4,0)*$R38,0)</f>
        <v>0</v>
      </c>
      <c r="EN38">
        <f>IFERROR(VLOOKUP($D38,'Kalkulator mięs '!$C$5:$H$533,EN$4,0)*$R38,0)</f>
        <v>0</v>
      </c>
      <c r="EO38">
        <f>IFERROR(VLOOKUP($D38,'Kalkulator mięs '!$C$5:$H$533,EO$4,0)*$S38,0)</f>
        <v>0</v>
      </c>
      <c r="EP38">
        <f>IFERROR(VLOOKUP($D38,'Kalkulator mięs '!$C$5:$H$533,EP$4,0)*$S38,0)</f>
        <v>0</v>
      </c>
      <c r="EQ38">
        <f>IFERROR(VLOOKUP($D38,'Kalkulator mięs '!$C$5:$H$533,EQ$4,0)*$S38,0)</f>
        <v>0</v>
      </c>
      <c r="ER38">
        <f>IFERROR(VLOOKUP($D38,'Kalkulator mięs '!$C$5:$H$533,ER$4,0)*$T38,0)</f>
        <v>0</v>
      </c>
      <c r="ES38">
        <f>IFERROR(VLOOKUP($D38,'Kalkulator mięs '!$C$5:$H$533,ES$4,0)*$T38,0)</f>
        <v>0</v>
      </c>
      <c r="ET38">
        <f>IFERROR(VLOOKUP($D38,'Kalkulator mięs '!$C$5:$H$533,ET$4,0)*$T38,0)</f>
        <v>0</v>
      </c>
      <c r="EU38">
        <f>IFERROR(VLOOKUP($D38,'Kalkulator mięs '!$C$5:$H$533,EU$4,0)*$U38,0)</f>
        <v>0</v>
      </c>
      <c r="EV38">
        <f>IFERROR(VLOOKUP($D38,'Kalkulator mięs '!$C$5:$H$533,EV$4,0)*$U38,0)</f>
        <v>0</v>
      </c>
      <c r="EW38">
        <f>IFERROR(VLOOKUP($D38,'Kalkulator mięs '!$C$5:$H$533,EW$4,0)*$U38,0)</f>
        <v>0</v>
      </c>
      <c r="EX38">
        <f>IFERROR(VLOOKUP($D38,'Kalkulator mięs '!$C$5:$H$533,EX$4,0)*$V38,0)</f>
        <v>0</v>
      </c>
      <c r="EY38">
        <f>IFERROR(VLOOKUP($D38,'Kalkulator mięs '!$C$5:$H$533,EY$4,0)*$V38,0)</f>
        <v>0</v>
      </c>
      <c r="EZ38">
        <f>IFERROR(VLOOKUP($D38,'Kalkulator mięs '!$C$5:$H$533,EZ$4,0)*$V38,0)</f>
        <v>0</v>
      </c>
      <c r="FA38">
        <f>IFERROR(VLOOKUP($D38,'Kalkulator mięs '!$C$5:$H$533,FA$4,0)*$W38,0)</f>
        <v>0</v>
      </c>
      <c r="FB38">
        <f>IFERROR(VLOOKUP($D38,'Kalkulator mięs '!$C$5:$H$533,FB$4,0)*$W38,0)</f>
        <v>0</v>
      </c>
      <c r="FC38">
        <f>IFERROR(VLOOKUP($D38,'Kalkulator mięs '!$C$5:$H$533,FC$4,0)*$W38,0)</f>
        <v>0</v>
      </c>
      <c r="FD38">
        <f>IFERROR(VLOOKUP($D38,'Kalkulator mięs '!$C$5:$H$533,FD$4,0)*$X38,0)</f>
        <v>0</v>
      </c>
      <c r="FE38">
        <f>IFERROR(VLOOKUP($D38,'Kalkulator mięs '!$C$5:$H$533,FE$4,0)*$X38,0)</f>
        <v>0</v>
      </c>
      <c r="FF38">
        <f>IFERROR(VLOOKUP($D38,'Kalkulator mięs '!$C$5:$H$533,FF$4,0)*$X38,0)</f>
        <v>0</v>
      </c>
      <c r="FG38">
        <f>IFERROR(VLOOKUP($D38,'Kalkulator mięs '!$C$5:$H$533,FG$4,0)*$Y38,0)</f>
        <v>0</v>
      </c>
      <c r="FH38">
        <f>IFERROR(VLOOKUP($D38,'Kalkulator mięs '!$C$5:$H$533,FH$4,0)*$Y38,0)</f>
        <v>0</v>
      </c>
      <c r="FI38">
        <f>IFERROR(VLOOKUP($D38,'Kalkulator mięs '!$C$5:$H$533,FI$4,0)*$Y38,0)</f>
        <v>0</v>
      </c>
      <c r="FJ38">
        <f>IFERROR(VLOOKUP($D38,'Kalkulator mięs '!$C$5:$H$533,FJ$4,0)*$Z38,0)</f>
        <v>0</v>
      </c>
      <c r="FK38">
        <f>IFERROR(VLOOKUP($D38,'Kalkulator mięs '!$C$5:$H$533,FK$4,0)*$Z38,0)</f>
        <v>0</v>
      </c>
      <c r="FL38">
        <f>IFERROR(VLOOKUP($D38,'Kalkulator mięs '!$C$5:$H$533,FL$4,0)*$Z38,0)</f>
        <v>0</v>
      </c>
      <c r="FM38">
        <f>IFERROR(VLOOKUP($D38,'Kalkulator mięs '!$C$5:$H$533,FM$4,0)*$AA38,0)</f>
        <v>0</v>
      </c>
      <c r="FN38">
        <f>IFERROR(VLOOKUP($D38,'Kalkulator mięs '!$C$5:$H$533,FN$4,0)*$AA38,0)</f>
        <v>0</v>
      </c>
      <c r="FO38">
        <f>IFERROR(VLOOKUP($D38,'Kalkulator mięs '!$C$5:$H$533,FO$4,0)*$AA38,0)</f>
        <v>0</v>
      </c>
      <c r="FP38">
        <f>IFERROR(VLOOKUP($D38,'Kalkulator mięs '!$C$5:$H$533,FP$4,0)*$AB38,0)</f>
        <v>0</v>
      </c>
      <c r="FQ38">
        <f>IFERROR(VLOOKUP($D38,'Kalkulator mięs '!$C$5:$H$533,FQ$4,0)*$AB38,0)</f>
        <v>0</v>
      </c>
      <c r="FR38">
        <f>IFERROR(VLOOKUP($D38,'Kalkulator mięs '!$C$5:$H$533,FR$4,0)*$AB38,0)</f>
        <v>0</v>
      </c>
      <c r="FS38">
        <f>IFERROR(VLOOKUP($D38,'Kalkulator mięs '!$C$5:$H$533,FS$4,0)*$AC38,0)</f>
        <v>0</v>
      </c>
      <c r="FT38">
        <f>IFERROR(VLOOKUP($D38,'Kalkulator mięs '!$C$5:$H$533,FT$4,0)*$AC38,0)</f>
        <v>0</v>
      </c>
      <c r="FU38">
        <f>IFERROR(VLOOKUP($D38,'Kalkulator mięs '!$C$5:$H$533,FU$4,0)*$AC38,0)</f>
        <v>0</v>
      </c>
      <c r="FV38">
        <f>IFERROR(VLOOKUP($D38,'Kalkulator mięs '!$C$5:$H$533,FV$4,0)*$AD38,0)</f>
        <v>0</v>
      </c>
      <c r="FW38">
        <f>IFERROR(VLOOKUP($D38,'Kalkulator mięs '!$C$5:$H$533,FW$4,0)*$AD38,0)</f>
        <v>0</v>
      </c>
      <c r="FX38">
        <f>IFERROR(VLOOKUP($D38,'Kalkulator mięs '!$C$5:$H$533,FX$4,0)*$AD38,0)</f>
        <v>0</v>
      </c>
      <c r="FY38">
        <f>IFERROR(VLOOKUP($D38,'Kalkulator mięs '!$C$5:$H$533,FY$4,0)*$AE38,0)</f>
        <v>0</v>
      </c>
      <c r="FZ38">
        <f>IFERROR(VLOOKUP($D38,'Kalkulator mięs '!$C$5:$H$533,FZ$4,0)*$AE38,0)</f>
        <v>0</v>
      </c>
      <c r="GA38">
        <f>IFERROR(VLOOKUP($D38,'Kalkulator mięs '!$C$5:$H$533,GA$4,0)*$AE38,0)</f>
        <v>0</v>
      </c>
      <c r="GB38">
        <f>IFERROR(VLOOKUP($D38,'Kalkulator mięs '!$C$5:$H$533,GB$4,0)*$AF38,0)</f>
        <v>0</v>
      </c>
      <c r="GC38">
        <f>IFERROR(VLOOKUP($D38,'Kalkulator mięs '!$C$5:$H$533,GC$4,0)*$AF38,0)</f>
        <v>0</v>
      </c>
      <c r="GD38">
        <f>IFERROR(VLOOKUP($D38,'Kalkulator mięs '!$C$5:$H$533,GD$4,0)*$AF38,0)</f>
        <v>0</v>
      </c>
      <c r="GE38">
        <f>IFERROR(VLOOKUP($D38,'Kalkulator mięs '!$C$5:$H$533,GE$4,0)*$AG38,0)</f>
        <v>0</v>
      </c>
      <c r="GF38">
        <f>IFERROR(VLOOKUP($D38,'Kalkulator mięs '!$C$5:$H$533,GF$4,0)*$AG38,0)</f>
        <v>0</v>
      </c>
      <c r="GG38">
        <f>IFERROR(VLOOKUP($D38,'Kalkulator mięs '!$C$5:$H$533,GG$4,0)*$AG38,0)</f>
        <v>0</v>
      </c>
      <c r="GH38">
        <f>IFERROR(VLOOKUP($D38,'Kalkulator mięs '!$C$5:$H$533,GH$4,0)*$AH38,0)</f>
        <v>0</v>
      </c>
      <c r="GI38">
        <f>IFERROR(VLOOKUP($D38,'Kalkulator mięs '!$C$5:$H$533,GI$4,0)*$AH38,0)</f>
        <v>0</v>
      </c>
      <c r="GJ38">
        <f>IFERROR(VLOOKUP($D38,'Kalkulator mięs '!$C$5:$H$533,GJ$4,0)*$AH38,0)</f>
        <v>0</v>
      </c>
      <c r="GK38">
        <f>IFERROR(VLOOKUP($D38,'Kalkulator mięs '!$C$5:$H$533,GK$4,0)*$AI38,0)</f>
        <v>0</v>
      </c>
      <c r="GL38">
        <f>IFERROR(VLOOKUP($D38,'Kalkulator mięs '!$C$5:$H$533,GL$4,0)*$AI38,0)</f>
        <v>0</v>
      </c>
      <c r="GM38">
        <f>IFERROR(VLOOKUP($D38,'Kalkulator mięs '!$C$5:$H$533,GM$4,0)*$AI38,0)</f>
        <v>0</v>
      </c>
      <c r="GN38">
        <f>IFERROR(VLOOKUP($D38,'Kalkulator mięs '!$C$5:$H$533,GN$4,0)*$AJ38,0)</f>
        <v>0</v>
      </c>
      <c r="GO38">
        <f>IFERROR(VLOOKUP($D38,'Kalkulator mięs '!$C$5:$H$533,GO$4,0)*$AJ38,0)</f>
        <v>0</v>
      </c>
      <c r="GP38">
        <f>IFERROR(VLOOKUP($D38,'Kalkulator mięs '!$C$5:$H$533,GP$4,0)*$AJ38,0)</f>
        <v>0</v>
      </c>
      <c r="GQ38">
        <f>IFERROR(VLOOKUP($D38,'Kalkulator mięs '!$C$5:$H$533,GQ$4,0)*$AK38,0)</f>
        <v>0</v>
      </c>
      <c r="GR38">
        <f>IFERROR(VLOOKUP($D38,'Kalkulator mięs '!$C$5:$H$533,GR$4,0)*$AK38,0)</f>
        <v>0</v>
      </c>
      <c r="GS38">
        <f>IFERROR(VLOOKUP($D38,'Kalkulator mięs '!$C$5:$H$533,GS$4,0)*$AK38,0)</f>
        <v>0</v>
      </c>
      <c r="GT38">
        <f>IFERROR(VLOOKUP($D38,'Kalkulator mięs '!$C$5:$H$533,GT$4,0)*$AL38,0)</f>
        <v>0</v>
      </c>
      <c r="GU38">
        <f>IFERROR(VLOOKUP($D38,'Kalkulator mięs '!$C$5:$H$533,GU$4,0)*$AL38,0)</f>
        <v>0</v>
      </c>
      <c r="GV38">
        <f>IFERROR(VLOOKUP($D38,'Kalkulator mięs '!$C$5:$H$533,GV$4,0)*$AL38,0)</f>
        <v>0</v>
      </c>
      <c r="GW38">
        <f>IFERROR(VLOOKUP($D38,'Kalkulator mięs '!$C$5:$H$533,GW$4,0)*$AM38,0)</f>
        <v>0</v>
      </c>
      <c r="GX38">
        <f>IFERROR(VLOOKUP($D38,'Kalkulator mięs '!$C$5:$H$533,GX$4,0)*$AM38,0)</f>
        <v>0</v>
      </c>
      <c r="GY38">
        <f>IFERROR(VLOOKUP($D38,'Kalkulator mięs '!$C$5:$H$533,GY$4,0)*$AM38,0)</f>
        <v>0</v>
      </c>
      <c r="GZ38">
        <f>IFERROR(VLOOKUP($D38,'Kalkulator mięs '!$C$5:$H$533,GZ$4,0)*$AN38,0)</f>
        <v>0</v>
      </c>
      <c r="HA38">
        <f>IFERROR(VLOOKUP($D38,'Kalkulator mięs '!$C$5:$H$533,HA$4,0)*$AN38,0)</f>
        <v>0</v>
      </c>
      <c r="HB38">
        <f>IFERROR(VLOOKUP($D38,'Kalkulator mięs '!$C$5:$H$533,HB$4,0)*$AN38,0)</f>
        <v>0</v>
      </c>
      <c r="HC38">
        <f>IFERROR(VLOOKUP($D38,'Kalkulator mięs '!$C$5:$H$533,HC$4,0)*$AO38,0)</f>
        <v>0</v>
      </c>
      <c r="HD38">
        <f>IFERROR(VLOOKUP($D38,'Kalkulator mięs '!$C$5:$H$533,HD$4,0)*$AO38,0)</f>
        <v>0</v>
      </c>
      <c r="HE38">
        <f>IFERROR(VLOOKUP($D38,'Kalkulator mięs '!$C$5:$H$533,HE$4,0)*$AO38,0)</f>
        <v>0</v>
      </c>
      <c r="HF38">
        <f>IFERROR(VLOOKUP($D38,'Kalkulator mięs '!$C$5:$H$533,HF$4,0)*$AP38,0)</f>
        <v>0</v>
      </c>
      <c r="HG38">
        <f>IFERROR(VLOOKUP($D38,'Kalkulator mięs '!$C$5:$H$533,HG$4,0)*$AP38,0)</f>
        <v>0</v>
      </c>
      <c r="HH38">
        <f>IFERROR(VLOOKUP($D38,'Kalkulator mięs '!$C$5:$H$533,HH$4,0)*$AP38,0)</f>
        <v>0</v>
      </c>
      <c r="HI38">
        <f>IFERROR(VLOOKUP($D38,'Kalkulator mięs '!$C$5:$H$533,HI$4,0)*$AQ38,0)</f>
        <v>0</v>
      </c>
      <c r="HJ38">
        <f>IFERROR(VLOOKUP($D38,'Kalkulator mięs '!$C$5:$H$533,HJ$4,0)*$AQ38,0)</f>
        <v>0</v>
      </c>
      <c r="HK38">
        <f>IFERROR(VLOOKUP($D38,'Kalkulator mięs '!$C$5:$H$533,HK$4,0)*$AQ38,0)</f>
        <v>0</v>
      </c>
      <c r="HL38">
        <f>IFERROR(VLOOKUP($D38,'Kalkulator mięs '!$C$5:$H$533,HL$4,0)*$AR38,0)</f>
        <v>0</v>
      </c>
      <c r="HM38">
        <f>IFERROR(VLOOKUP($D38,'Kalkulator mięs '!$C$5:$H$533,HM$4,0)*$AR38,0)</f>
        <v>0</v>
      </c>
      <c r="HN38">
        <f>IFERROR(VLOOKUP($D38,'Kalkulator mięs '!$C$5:$H$533,HN$4,0)*$AR38,0)</f>
        <v>0</v>
      </c>
      <c r="HO38">
        <f>IFERROR(VLOOKUP($D38,'Kalkulator mięs '!$C$5:$H$533,HO$4,0)*$AS38,0)</f>
        <v>0</v>
      </c>
      <c r="HP38">
        <f>IFERROR(VLOOKUP($D38,'Kalkulator mięs '!$C$5:$H$533,HP$4,0)*$AS38,0)</f>
        <v>0</v>
      </c>
      <c r="HQ38">
        <f>IFERROR(VLOOKUP($D38,'Kalkulator mięs '!$C$5:$H$533,HQ$4,0)*$AS38,0)</f>
        <v>0</v>
      </c>
      <c r="HR38">
        <f>IFERROR(VLOOKUP($D38,'Kalkulator mięs '!$C$5:$H$533,HR$4,0)*$AT38,0)</f>
        <v>0</v>
      </c>
      <c r="HS38">
        <f>IFERROR(VLOOKUP($D38,'Kalkulator mięs '!$C$5:$H$533,HS$4,0)*$AT38,0)</f>
        <v>0</v>
      </c>
      <c r="HT38">
        <f>IFERROR(VLOOKUP($D38,'Kalkulator mięs '!$C$5:$H$533,HT$4,0)*$AT38,0)</f>
        <v>0</v>
      </c>
      <c r="HU38">
        <f>IFERROR(VLOOKUP($D38,'Kalkulator mięs '!$C$5:$H$533,HU$4,0)*$AU38,0)</f>
        <v>0</v>
      </c>
      <c r="HV38">
        <f>IFERROR(VLOOKUP($D38,'Kalkulator mięs '!$C$5:$H$533,HV$4,0)*$AU38,0)</f>
        <v>0</v>
      </c>
      <c r="HW38">
        <f>IFERROR(VLOOKUP($D38,'Kalkulator mięs '!$C$5:$H$533,HW$4,0)*$AU38,0)</f>
        <v>0</v>
      </c>
      <c r="HX38">
        <f>IFERROR(VLOOKUP($D38,'Kalkulator mięs '!$C$5:$H$533,HX$4,0)*$AV38,0)</f>
        <v>0</v>
      </c>
      <c r="HY38">
        <f>IFERROR(VLOOKUP($D38,'Kalkulator mięs '!$C$5:$H$533,HY$4,0)*$AV38,0)</f>
        <v>0</v>
      </c>
      <c r="HZ38">
        <f>IFERROR(VLOOKUP($D38,'Kalkulator mięs '!$C$5:$H$533,HZ$4,0)*$AV38,0)</f>
        <v>0</v>
      </c>
      <c r="IA38">
        <f>IFERROR(VLOOKUP($D38,'Kalkulator mięs '!$C$5:$H$533,IA$4,0)*$AW38,0)</f>
        <v>0</v>
      </c>
      <c r="IB38">
        <f>IFERROR(VLOOKUP($D38,'Kalkulator mięs '!$C$5:$H$533,IB$4,0)*$AW38,0)</f>
        <v>0</v>
      </c>
      <c r="IC38">
        <f>IFERROR(VLOOKUP($D38,'Kalkulator mięs '!$C$5:$H$533,IC$4,0)*$AW38,0)</f>
        <v>0</v>
      </c>
      <c r="ID38">
        <f>IFERROR(VLOOKUP($D38,'Kalkulator mięs '!$C$5:$H$533,ID$4,0)*$AX38,0)</f>
        <v>0</v>
      </c>
      <c r="IE38">
        <f>IFERROR(VLOOKUP($D38,'Kalkulator mięs '!$C$5:$H$533,IE$4,0)*$AX38,0)</f>
        <v>0</v>
      </c>
      <c r="IF38">
        <f>IFERROR(VLOOKUP($D38,'Kalkulator mięs '!$C$5:$H$533,IF$4,0)*$AX38,0)</f>
        <v>0</v>
      </c>
      <c r="IG38">
        <f>IFERROR(VLOOKUP($D38,'Kalkulator mięs '!$C$5:$H$533,IG$4,0)*$AY38,0)</f>
        <v>0</v>
      </c>
      <c r="IH38">
        <f>IFERROR(VLOOKUP($D38,'Kalkulator mięs '!$C$5:$H$533,IH$4,0)*$AY38,0)</f>
        <v>0</v>
      </c>
      <c r="II38">
        <f>IFERROR(VLOOKUP($D38,'Kalkulator mięs '!$C$5:$H$533,II$4,0)*$AY38,0)</f>
        <v>0</v>
      </c>
      <c r="IJ38">
        <f>IFERROR(VLOOKUP($D38,'Kalkulator mięs '!$C$5:$H$533,IJ$4,0)*$AZ38,0)</f>
        <v>0</v>
      </c>
      <c r="IK38">
        <f>IFERROR(VLOOKUP($D38,'Kalkulator mięs '!$C$5:$H$533,IK$4,0)*$AZ38,0)</f>
        <v>0</v>
      </c>
      <c r="IL38">
        <f>IFERROR(VLOOKUP($D38,'Kalkulator mięs '!$C$5:$H$533,IL$4,0)*$AZ38,0)</f>
        <v>0</v>
      </c>
      <c r="IM38">
        <f>IFERROR(VLOOKUP($D38,'Kalkulator mięs '!$C$5:$H$533,IM$4,0)*$BA38,0)</f>
        <v>0</v>
      </c>
      <c r="IN38">
        <f>IFERROR(VLOOKUP($D38,'Kalkulator mięs '!$C$5:$H$533,IN$4,0)*$BA38,0)</f>
        <v>0</v>
      </c>
      <c r="IO38">
        <f>IFERROR(VLOOKUP($D38,'Kalkulator mięs '!$C$5:$H$533,IO$4,0)*$BA38,0)</f>
        <v>0</v>
      </c>
    </row>
    <row r="39" spans="1:249" ht="15.75">
      <c r="B39" t="str">
        <f>VLOOKUP(D39,Receptury_z!$A:$B,2,0)</f>
        <v>ON</v>
      </c>
      <c r="C39" s="16">
        <v>5680</v>
      </c>
      <c r="D39" s="19">
        <v>6487</v>
      </c>
      <c r="E39" s="18" t="s">
        <v>221</v>
      </c>
      <c r="F39" s="14">
        <f>IF($B39="OFF",BE39,VLOOKUP($D39,Receptury_z!$D:$AI,F$4,0))</f>
        <v>0</v>
      </c>
      <c r="G39" s="14">
        <f>IF($B39="OFF",BF39,VLOOKUP($D39,Receptury_z!$D:$AI,G$4,0))</f>
        <v>0</v>
      </c>
      <c r="H39" s="14">
        <f>IF($B39="OFF",BG39,VLOOKUP($D39,Receptury_z!$D:$AI,H$4,0))</f>
        <v>0</v>
      </c>
      <c r="I39" s="14">
        <f>IF($B39="OFF",BH39,VLOOKUP($D39,Receptury_z!$D:$AI,I$4,0))</f>
        <v>0</v>
      </c>
      <c r="J39" s="14">
        <f>IF($B39="OFF",BI39,VLOOKUP($D39,Receptury_z!$D:$AI,J$4,0))</f>
        <v>0</v>
      </c>
      <c r="K39" s="14">
        <f>IF($B39="OFF",BJ39,VLOOKUP($D39,Receptury_z!$D:$AI,K$4,0))</f>
        <v>0</v>
      </c>
      <c r="L39" s="14">
        <f>IF($B39="OFF",BK39,VLOOKUP($D39,Receptury_z!$D:$AI,L$4,0))</f>
        <v>0</v>
      </c>
      <c r="M39" s="14">
        <f>IF($B39="OFF",BL39,VLOOKUP($D39,Receptury_z!$D:$AI,M$4,0))</f>
        <v>0</v>
      </c>
      <c r="N39" s="14">
        <f>IF($B39="OFF",BM39,VLOOKUP($D39,Receptury_z!$D:$AI,N$4,0))</f>
        <v>112.87</v>
      </c>
      <c r="O39" s="14">
        <f>IF($B39="OFF",BN39,VLOOKUP($D39,Receptury_z!$D:$AI,O$4,0))</f>
        <v>0</v>
      </c>
      <c r="P39" s="14">
        <f>IF($B39="OFF",BO39,VLOOKUP($D39,Receptury_z!$D:$AI,P$4,0))</f>
        <v>0</v>
      </c>
      <c r="Q39" s="14">
        <f>IF($B39="OFF",BP39,VLOOKUP($D39,Receptury_z!$D:$AI,Q$4,0))</f>
        <v>0</v>
      </c>
      <c r="R39" s="14">
        <f>IF($B39="OFF",BQ39,VLOOKUP($D39,Receptury_z!$D:$AI,R$4,0))</f>
        <v>60.77</v>
      </c>
      <c r="S39" s="14">
        <f>IF($B39="OFF",BR39,VLOOKUP($D39,Receptury_z!$D:$AI,S$4,0))</f>
        <v>0</v>
      </c>
      <c r="T39" s="14">
        <f>IF($B39="OFF",BS39,VLOOKUP($D39,Receptury_z!$D:$AI,T$4,0))</f>
        <v>590.38</v>
      </c>
      <c r="U39" s="14">
        <f>IF($B39="OFF",BT39,VLOOKUP($D39,Receptury_z!$D:$AI,U$4,0))</f>
        <v>0</v>
      </c>
      <c r="V39" s="14">
        <f>IF($B39="OFF",BU39,VLOOKUP($D39,Receptury_z!$D:$AI,V$4,0))</f>
        <v>0</v>
      </c>
      <c r="W39" s="14">
        <f>IF($B39="OFF",BV39,VLOOKUP($D39,Receptury_z!$D:$AI,W$4,0))</f>
        <v>0</v>
      </c>
      <c r="X39" s="14">
        <f>IF($B39="OFF",BW39,VLOOKUP($D39,Receptury_z!$D:$AI,X$4,0))</f>
        <v>0</v>
      </c>
      <c r="Y39" s="14">
        <f>IF($B39="OFF",BX39,VLOOKUP($D39,Receptury_z!$D:$AI,Y$4,0))</f>
        <v>0</v>
      </c>
      <c r="Z39" s="14">
        <f>IF($B39="OFF",BY39,VLOOKUP($D39,Receptury_z!$D:$AI,Z$4,0))</f>
        <v>0</v>
      </c>
      <c r="AA39" s="14">
        <f>IF($B39="OFF",BZ39,VLOOKUP($D39,Receptury_z!$D:$AI,AA$4,0))</f>
        <v>0</v>
      </c>
      <c r="AB39" s="14">
        <f>IF($B39="OFF",CA39,VLOOKUP($D39,Receptury_z!$D:$AI,AB$4,0))</f>
        <v>104.18</v>
      </c>
      <c r="AC39" s="14">
        <f>IF($B39="OFF",CB39,VLOOKUP($D39,Receptury_z!$D:$AI,AC$4,0))</f>
        <v>0</v>
      </c>
      <c r="AD39" s="14">
        <f>IF($B39="OFF",CC39,VLOOKUP($D39,Receptury_z!$D:$AI,AD$4,0))</f>
        <v>0</v>
      </c>
      <c r="AE39" s="14">
        <f>IF($B39="OFF",CD39,VLOOKUP($D39,Receptury_z!$D:$AI,AE$4,0))</f>
        <v>0</v>
      </c>
      <c r="AF39" s="14">
        <f>IF($B39="OFF",CE39,VLOOKUP($D39,Receptury_z!$D:$AI,AF$4,0))</f>
        <v>0</v>
      </c>
      <c r="AG39" s="14">
        <f>IF($B39="OFF",CF39,VLOOKUP($D39,Receptury_z!$D:$AI,AG$4,0))</f>
        <v>0</v>
      </c>
      <c r="AH39" s="14">
        <f>IF($B39="OFF",CG39,VLOOKUP($D39,Receptury_z!$D:$AI,AH$4,0))</f>
        <v>0</v>
      </c>
      <c r="AI39" s="14">
        <f>IF($B39="OFF",CH39,VLOOKUP($D39,Receptury_z!$D:$AI,AI$4,0))</f>
        <v>0</v>
      </c>
      <c r="AJ39" s="14">
        <f>IF($B39="OFF",CI39,VLOOKUP($D39,Receptury_z!$D:$AS,AJ$4,0))</f>
        <v>0</v>
      </c>
      <c r="AK39" s="14">
        <f>IF($B39="OFF",CJ39,VLOOKUP($D39,Receptury_z!$D:$AS,AK$4,0))</f>
        <v>0</v>
      </c>
      <c r="AL39" s="14">
        <f>IF($B39="OFF",CK39,VLOOKUP($D39,Receptury_z!$D:$AS,AL$4,0))</f>
        <v>0</v>
      </c>
      <c r="AM39" s="14">
        <f>IF($B39="OFF",CL39,VLOOKUP($D39,Receptury_z!$D:$AS,AM$4,0))</f>
        <v>0</v>
      </c>
      <c r="AN39" s="14">
        <f>IF($B39="OFF",CM39,VLOOKUP($D39,Receptury_z!$D:$AS,AN$4,0))</f>
        <v>0</v>
      </c>
      <c r="AO39" s="14">
        <f>IF($B39="OFF",CN39,VLOOKUP($D39,Receptury_z!$D:$AS,AO$4,0))</f>
        <v>0</v>
      </c>
      <c r="AP39" s="14">
        <f>IF($B39="OFF",CO39,VLOOKUP($D39,Receptury_z!$D:$AS,AP$4,0))</f>
        <v>0</v>
      </c>
      <c r="AQ39" s="14">
        <f>IF($B39="OFF",CP39,VLOOKUP($D39,Receptury_z!$D:$AS,AQ$4,0))</f>
        <v>0</v>
      </c>
      <c r="AR39" s="14">
        <f>IF($B39="OFF",CQ39,VLOOKUP($D39,Receptury_z!$D:$AS,AR$4,0))</f>
        <v>0</v>
      </c>
      <c r="AS39" s="14">
        <f>IF($B39="OFF",CR39,VLOOKUP($D39,Receptury_z!$D:$AS,AS$4,0))</f>
        <v>0</v>
      </c>
      <c r="AT39" s="14">
        <f>IF($B39="OFF",CS39,VLOOKUP($D39,Receptury_z!$D:$AV,AT$4,0))</f>
        <v>0</v>
      </c>
      <c r="AU39" s="14">
        <f>IF($B39="OFF",CT39,VLOOKUP($D39,Receptury_z!$D:$AV,AU$4,0))</f>
        <v>0</v>
      </c>
      <c r="AV39" s="14">
        <f>IF($B39="OFF",CU39,VLOOKUP($D39,Receptury_z!$D:$AV,AV$4,0))</f>
        <v>0</v>
      </c>
      <c r="AW39" s="14">
        <f>IF($B39="OFF",CV39,VLOOKUP($D39,Receptury_z!$D:$BA,AW$4,0))</f>
        <v>0</v>
      </c>
      <c r="AX39" s="14">
        <f>IF($B39="OFF",CW39,VLOOKUP($D39,Receptury_z!$D:$BA,AX$4,0))</f>
        <v>0</v>
      </c>
      <c r="AY39" s="14">
        <f>IF($B39="OFF",CX39,VLOOKUP($D39,Receptury_z!$D:$BA,AY$4,0))</f>
        <v>0</v>
      </c>
      <c r="AZ39" s="14">
        <f>IF($B39="OFF",DA39,VLOOKUP($D39,Receptury_z!$D:$BA,AZ$4,0))</f>
        <v>0</v>
      </c>
      <c r="BA39" s="14">
        <f>IF($B39="OFF",DB39,VLOOKUP($D39,Receptury_z!$D:$BA,BA$4,0))</f>
        <v>0</v>
      </c>
      <c r="BC39" s="19">
        <v>6487</v>
      </c>
      <c r="BD39" s="18" t="s">
        <v>221</v>
      </c>
      <c r="BE39" s="239">
        <v>0</v>
      </c>
      <c r="BF39" s="239">
        <v>0</v>
      </c>
      <c r="BG39" s="239">
        <v>0</v>
      </c>
      <c r="BH39" s="239">
        <v>0</v>
      </c>
      <c r="BI39" s="239">
        <v>0</v>
      </c>
      <c r="BJ39" s="239">
        <v>0</v>
      </c>
      <c r="BK39" s="239">
        <v>0</v>
      </c>
      <c r="BL39" s="239">
        <v>0</v>
      </c>
      <c r="BM39" s="239">
        <v>112.87</v>
      </c>
      <c r="BN39" s="239">
        <v>0</v>
      </c>
      <c r="BO39" s="239">
        <v>0</v>
      </c>
      <c r="BP39" s="239">
        <v>0</v>
      </c>
      <c r="BQ39" s="239">
        <v>60.77</v>
      </c>
      <c r="BR39" s="239">
        <v>0</v>
      </c>
      <c r="BS39" s="239">
        <v>590.38</v>
      </c>
      <c r="BT39" s="239">
        <v>0</v>
      </c>
      <c r="BU39" s="239">
        <v>0</v>
      </c>
      <c r="BV39" s="239">
        <v>0</v>
      </c>
      <c r="BW39" s="239">
        <v>0</v>
      </c>
      <c r="BX39" s="239">
        <v>0</v>
      </c>
      <c r="BY39" s="239">
        <v>0</v>
      </c>
      <c r="BZ39" s="239">
        <v>0</v>
      </c>
      <c r="CA39" s="239">
        <v>104.18</v>
      </c>
      <c r="CB39" s="239">
        <v>0</v>
      </c>
      <c r="CC39" s="239">
        <v>0</v>
      </c>
      <c r="CD39" s="239">
        <v>0</v>
      </c>
      <c r="CE39" s="239">
        <v>0</v>
      </c>
      <c r="CF39" s="239">
        <v>0</v>
      </c>
      <c r="CG39" s="239">
        <v>0</v>
      </c>
      <c r="CH39" s="239">
        <v>0</v>
      </c>
      <c r="CI39" s="239">
        <v>0</v>
      </c>
      <c r="CJ39" s="239">
        <v>0</v>
      </c>
      <c r="CK39" s="239">
        <v>0</v>
      </c>
      <c r="CL39" s="239">
        <v>0</v>
      </c>
      <c r="CM39" s="80"/>
      <c r="CN39" s="80"/>
      <c r="CO39" s="80"/>
      <c r="CP39" s="80"/>
      <c r="CQ39" s="80"/>
      <c r="CR39" s="80"/>
      <c r="CS39" s="80"/>
      <c r="CT39" s="80"/>
      <c r="CU39" s="80"/>
      <c r="CV39" s="80"/>
      <c r="CW39" s="80"/>
      <c r="CX39" s="80"/>
      <c r="CY39" s="80"/>
      <c r="CZ39" s="80"/>
      <c r="DB39">
        <f>IFERROR(VLOOKUP($D39,'Kalkulator mięs '!$C$5:$H$533,DB$4,0)*F39,0)</f>
        <v>0</v>
      </c>
      <c r="DC39">
        <f>IFERROR(VLOOKUP($D39,'Kalkulator mięs '!$C$5:$H$533,DC$4,0)*F39,0)</f>
        <v>0</v>
      </c>
      <c r="DD39">
        <f>IFERROR(VLOOKUP($D39,'Kalkulator mięs '!$C$5:$H$533,DD$4,0)*F39,0)</f>
        <v>0</v>
      </c>
      <c r="DE39">
        <f>IFERROR(VLOOKUP($D39,'Kalkulator mięs '!$C$5:$H$533,DE$4,0)*$G39,0)</f>
        <v>0</v>
      </c>
      <c r="DF39">
        <f>IFERROR(VLOOKUP($D39,'Kalkulator mięs '!$C$5:$H$533,DF$4,0)*$G39,0)</f>
        <v>0</v>
      </c>
      <c r="DG39">
        <f>IFERROR(VLOOKUP($D39,'Kalkulator mięs '!$C$5:$H$533,DG$4,0)*$G39,0)</f>
        <v>0</v>
      </c>
      <c r="DH39">
        <f>IFERROR(VLOOKUP($D39,'Kalkulator mięs '!$C$5:$H$533,DH$4,0)*$H39,0)</f>
        <v>0</v>
      </c>
      <c r="DI39">
        <f>IFERROR(VLOOKUP($D39,'Kalkulator mięs '!$C$5:$H$533,DI$4,0)*$H39,0)</f>
        <v>0</v>
      </c>
      <c r="DJ39">
        <f>IFERROR(VLOOKUP($D39,'Kalkulator mięs '!$C$5:$H$533,DJ$4,0)*$H39,0)</f>
        <v>0</v>
      </c>
      <c r="DK39">
        <f>IFERROR(VLOOKUP($D39,'Kalkulator mięs '!$C$5:$H$533,DK$4,0)*$I39,0)</f>
        <v>0</v>
      </c>
      <c r="DL39">
        <f>IFERROR(VLOOKUP($D39,'Kalkulator mięs '!$C$5:$H$533,DL$4,0)*$I39,0)</f>
        <v>0</v>
      </c>
      <c r="DM39">
        <f>IFERROR(VLOOKUP($D39,'Kalkulator mięs '!$C$5:$H$533,DM$4,0)*$I39,0)</f>
        <v>0</v>
      </c>
      <c r="DN39">
        <f>IFERROR(VLOOKUP($D39,'Kalkulator mięs '!$C$5:$H$533,DN$4,0)*$J39,0)</f>
        <v>0</v>
      </c>
      <c r="DO39">
        <f>IFERROR(VLOOKUP($D39,'Kalkulator mięs '!$C$5:$H$533,DO$4,0)*$J39,0)</f>
        <v>0</v>
      </c>
      <c r="DP39">
        <f>IFERROR(VLOOKUP($D39,'Kalkulator mięs '!$C$5:$H$533,DP$4,0)*$J39,0)</f>
        <v>0</v>
      </c>
      <c r="DQ39">
        <f>IFERROR(VLOOKUP($D39,'Kalkulator mięs '!$C$5:$H$533,DQ$4,0)*$K39,0)</f>
        <v>0</v>
      </c>
      <c r="DR39">
        <f>IFERROR(VLOOKUP($D39,'Kalkulator mięs '!$C$5:$H$533,DR$4,0)*$K39,0)</f>
        <v>0</v>
      </c>
      <c r="DS39">
        <f>IFERROR(VLOOKUP($D39,'Kalkulator mięs '!$C$5:$H$533,DS$4,0)*$K39,0)</f>
        <v>0</v>
      </c>
      <c r="DT39">
        <f>IFERROR(VLOOKUP($D39,'Kalkulator mięs '!$C$5:$H$533,DT$4,0)*$L39,0)</f>
        <v>0</v>
      </c>
      <c r="DU39">
        <f>IFERROR(VLOOKUP($D39,'Kalkulator mięs '!$C$5:$H$533,DU$4,0)*$L39,0)</f>
        <v>0</v>
      </c>
      <c r="DV39">
        <f>IFERROR(VLOOKUP($D39,'Kalkulator mięs '!$C$5:$H$533,DV$4,0)*$L39,0)</f>
        <v>0</v>
      </c>
      <c r="DW39">
        <f>IFERROR(VLOOKUP($D39,'Kalkulator mięs '!$C$5:$H$533,DW$4,0)*$M39,0)</f>
        <v>0</v>
      </c>
      <c r="DX39">
        <f>IFERROR(VLOOKUP($D39,'Kalkulator mięs '!$C$5:$H$533,DX$4,0)*$M39,0)</f>
        <v>0</v>
      </c>
      <c r="DY39">
        <f>IFERROR(VLOOKUP($D39,'Kalkulator mięs '!$C$5:$H$533,DY$4,0)*$M39,0)</f>
        <v>0</v>
      </c>
      <c r="DZ39">
        <f>IFERROR(VLOOKUP($D39,'Kalkulator mięs '!$C$5:$H$533,DZ$4,0)*$N39,0)</f>
        <v>0</v>
      </c>
      <c r="EA39">
        <f>IFERROR(VLOOKUP($D39,'Kalkulator mięs '!$C$5:$H$533,EA$4,0)*$N39,0)</f>
        <v>0</v>
      </c>
      <c r="EB39">
        <f>IFERROR(VLOOKUP($D39,'Kalkulator mięs '!$C$5:$H$533,EB$4,0)*$N39,0)</f>
        <v>0</v>
      </c>
      <c r="EC39">
        <f>IFERROR(VLOOKUP($D39,'Kalkulator mięs '!$C$5:$H$533,EC$4,0)*$O39,0)</f>
        <v>0</v>
      </c>
      <c r="ED39">
        <f>IFERROR(VLOOKUP($D39,'Kalkulator mięs '!$C$5:$H$533,ED$4,0)*$O39,0)</f>
        <v>0</v>
      </c>
      <c r="EE39">
        <f>IFERROR(VLOOKUP($D39,'Kalkulator mięs '!$C$5:$H$533,EE$4,0)*$O39,0)</f>
        <v>0</v>
      </c>
      <c r="EF39">
        <f>IFERROR(VLOOKUP($D39,'Kalkulator mięs '!$C$5:$H$533,EF$4,0)*$P39,0)</f>
        <v>0</v>
      </c>
      <c r="EG39">
        <f>IFERROR(VLOOKUP($D39,'Kalkulator mięs '!$C$5:$H$533,EG$4,0)*$P39,0)</f>
        <v>0</v>
      </c>
      <c r="EH39">
        <f>IFERROR(VLOOKUP($D39,'Kalkulator mięs '!$C$5:$H$533,EH$4,0)*$P39,0)</f>
        <v>0</v>
      </c>
      <c r="EI39">
        <f>IFERROR(VLOOKUP($D39,'Kalkulator mięs '!$C$5:$H$533,EI$4,0)*$Q39,0)</f>
        <v>0</v>
      </c>
      <c r="EJ39">
        <f>IFERROR(VLOOKUP($D39,'Kalkulator mięs '!$C$5:$H$533,EJ$4,0)*$Q39,0)</f>
        <v>0</v>
      </c>
      <c r="EK39">
        <f>IFERROR(VLOOKUP($D39,'Kalkulator mięs '!$C$5:$H$533,EK$4,0)*$Q39,0)</f>
        <v>0</v>
      </c>
      <c r="EL39">
        <f>IFERROR(VLOOKUP($D39,'Kalkulator mięs '!$C$5:$H$533,EL$4,0)*$R39,0)</f>
        <v>0</v>
      </c>
      <c r="EM39">
        <f>IFERROR(VLOOKUP($D39,'Kalkulator mięs '!$C$5:$H$533,EM$4,0)*$R39,0)</f>
        <v>0</v>
      </c>
      <c r="EN39">
        <f>IFERROR(VLOOKUP($D39,'Kalkulator mięs '!$C$5:$H$533,EN$4,0)*$R39,0)</f>
        <v>0</v>
      </c>
      <c r="EO39">
        <f>IFERROR(VLOOKUP($D39,'Kalkulator mięs '!$C$5:$H$533,EO$4,0)*$S39,0)</f>
        <v>0</v>
      </c>
      <c r="EP39">
        <f>IFERROR(VLOOKUP($D39,'Kalkulator mięs '!$C$5:$H$533,EP$4,0)*$S39,0)</f>
        <v>0</v>
      </c>
      <c r="EQ39">
        <f>IFERROR(VLOOKUP($D39,'Kalkulator mięs '!$C$5:$H$533,EQ$4,0)*$S39,0)</f>
        <v>0</v>
      </c>
      <c r="ER39">
        <f>IFERROR(VLOOKUP($D39,'Kalkulator mięs '!$C$5:$H$533,ER$4,0)*$T39,0)</f>
        <v>0</v>
      </c>
      <c r="ES39">
        <f>IFERROR(VLOOKUP($D39,'Kalkulator mięs '!$C$5:$H$533,ES$4,0)*$T39,0)</f>
        <v>0</v>
      </c>
      <c r="ET39">
        <f>IFERROR(VLOOKUP($D39,'Kalkulator mięs '!$C$5:$H$533,ET$4,0)*$T39,0)</f>
        <v>0</v>
      </c>
      <c r="EU39">
        <f>IFERROR(VLOOKUP($D39,'Kalkulator mięs '!$C$5:$H$533,EU$4,0)*$U39,0)</f>
        <v>0</v>
      </c>
      <c r="EV39">
        <f>IFERROR(VLOOKUP($D39,'Kalkulator mięs '!$C$5:$H$533,EV$4,0)*$U39,0)</f>
        <v>0</v>
      </c>
      <c r="EW39">
        <f>IFERROR(VLOOKUP($D39,'Kalkulator mięs '!$C$5:$H$533,EW$4,0)*$U39,0)</f>
        <v>0</v>
      </c>
      <c r="EX39">
        <f>IFERROR(VLOOKUP($D39,'Kalkulator mięs '!$C$5:$H$533,EX$4,0)*$V39,0)</f>
        <v>0</v>
      </c>
      <c r="EY39">
        <f>IFERROR(VLOOKUP($D39,'Kalkulator mięs '!$C$5:$H$533,EY$4,0)*$V39,0)</f>
        <v>0</v>
      </c>
      <c r="EZ39">
        <f>IFERROR(VLOOKUP($D39,'Kalkulator mięs '!$C$5:$H$533,EZ$4,0)*$V39,0)</f>
        <v>0</v>
      </c>
      <c r="FA39">
        <f>IFERROR(VLOOKUP($D39,'Kalkulator mięs '!$C$5:$H$533,FA$4,0)*$W39,0)</f>
        <v>0</v>
      </c>
      <c r="FB39">
        <f>IFERROR(VLOOKUP($D39,'Kalkulator mięs '!$C$5:$H$533,FB$4,0)*$W39,0)</f>
        <v>0</v>
      </c>
      <c r="FC39">
        <f>IFERROR(VLOOKUP($D39,'Kalkulator mięs '!$C$5:$H$533,FC$4,0)*$W39,0)</f>
        <v>0</v>
      </c>
      <c r="FD39">
        <f>IFERROR(VLOOKUP($D39,'Kalkulator mięs '!$C$5:$H$533,FD$4,0)*$X39,0)</f>
        <v>0</v>
      </c>
      <c r="FE39">
        <f>IFERROR(VLOOKUP($D39,'Kalkulator mięs '!$C$5:$H$533,FE$4,0)*$X39,0)</f>
        <v>0</v>
      </c>
      <c r="FF39">
        <f>IFERROR(VLOOKUP($D39,'Kalkulator mięs '!$C$5:$H$533,FF$4,0)*$X39,0)</f>
        <v>0</v>
      </c>
      <c r="FG39">
        <f>IFERROR(VLOOKUP($D39,'Kalkulator mięs '!$C$5:$H$533,FG$4,0)*$Y39,0)</f>
        <v>0</v>
      </c>
      <c r="FH39">
        <f>IFERROR(VLOOKUP($D39,'Kalkulator mięs '!$C$5:$H$533,FH$4,0)*$Y39,0)</f>
        <v>0</v>
      </c>
      <c r="FI39">
        <f>IFERROR(VLOOKUP($D39,'Kalkulator mięs '!$C$5:$H$533,FI$4,0)*$Y39,0)</f>
        <v>0</v>
      </c>
      <c r="FJ39">
        <f>IFERROR(VLOOKUP($D39,'Kalkulator mięs '!$C$5:$H$533,FJ$4,0)*$Z39,0)</f>
        <v>0</v>
      </c>
      <c r="FK39">
        <f>IFERROR(VLOOKUP($D39,'Kalkulator mięs '!$C$5:$H$533,FK$4,0)*$Z39,0)</f>
        <v>0</v>
      </c>
      <c r="FL39">
        <f>IFERROR(VLOOKUP($D39,'Kalkulator mięs '!$C$5:$H$533,FL$4,0)*$Z39,0)</f>
        <v>0</v>
      </c>
      <c r="FM39">
        <f>IFERROR(VLOOKUP($D39,'Kalkulator mięs '!$C$5:$H$533,FM$4,0)*$AA39,0)</f>
        <v>0</v>
      </c>
      <c r="FN39">
        <f>IFERROR(VLOOKUP($D39,'Kalkulator mięs '!$C$5:$H$533,FN$4,0)*$AA39,0)</f>
        <v>0</v>
      </c>
      <c r="FO39">
        <f>IFERROR(VLOOKUP($D39,'Kalkulator mięs '!$C$5:$H$533,FO$4,0)*$AA39,0)</f>
        <v>0</v>
      </c>
      <c r="FP39">
        <f>IFERROR(VLOOKUP($D39,'Kalkulator mięs '!$C$5:$H$533,FP$4,0)*$AB39,0)</f>
        <v>0</v>
      </c>
      <c r="FQ39">
        <f>IFERROR(VLOOKUP($D39,'Kalkulator mięs '!$C$5:$H$533,FQ$4,0)*$AB39,0)</f>
        <v>0</v>
      </c>
      <c r="FR39">
        <f>IFERROR(VLOOKUP($D39,'Kalkulator mięs '!$C$5:$H$533,FR$4,0)*$AB39,0)</f>
        <v>0</v>
      </c>
      <c r="FS39">
        <f>IFERROR(VLOOKUP($D39,'Kalkulator mięs '!$C$5:$H$533,FS$4,0)*$AC39,0)</f>
        <v>0</v>
      </c>
      <c r="FT39">
        <f>IFERROR(VLOOKUP($D39,'Kalkulator mięs '!$C$5:$H$533,FT$4,0)*$AC39,0)</f>
        <v>0</v>
      </c>
      <c r="FU39">
        <f>IFERROR(VLOOKUP($D39,'Kalkulator mięs '!$C$5:$H$533,FU$4,0)*$AC39,0)</f>
        <v>0</v>
      </c>
      <c r="FV39">
        <f>IFERROR(VLOOKUP($D39,'Kalkulator mięs '!$C$5:$H$533,FV$4,0)*$AD39,0)</f>
        <v>0</v>
      </c>
      <c r="FW39">
        <f>IFERROR(VLOOKUP($D39,'Kalkulator mięs '!$C$5:$H$533,FW$4,0)*$AD39,0)</f>
        <v>0</v>
      </c>
      <c r="FX39">
        <f>IFERROR(VLOOKUP($D39,'Kalkulator mięs '!$C$5:$H$533,FX$4,0)*$AD39,0)</f>
        <v>0</v>
      </c>
      <c r="FY39">
        <f>IFERROR(VLOOKUP($D39,'Kalkulator mięs '!$C$5:$H$533,FY$4,0)*$AE39,0)</f>
        <v>0</v>
      </c>
      <c r="FZ39">
        <f>IFERROR(VLOOKUP($D39,'Kalkulator mięs '!$C$5:$H$533,FZ$4,0)*$AE39,0)</f>
        <v>0</v>
      </c>
      <c r="GA39">
        <f>IFERROR(VLOOKUP($D39,'Kalkulator mięs '!$C$5:$H$533,GA$4,0)*$AE39,0)</f>
        <v>0</v>
      </c>
      <c r="GB39">
        <f>IFERROR(VLOOKUP($D39,'Kalkulator mięs '!$C$5:$H$533,GB$4,0)*$AF39,0)</f>
        <v>0</v>
      </c>
      <c r="GC39">
        <f>IFERROR(VLOOKUP($D39,'Kalkulator mięs '!$C$5:$H$533,GC$4,0)*$AF39,0)</f>
        <v>0</v>
      </c>
      <c r="GD39">
        <f>IFERROR(VLOOKUP($D39,'Kalkulator mięs '!$C$5:$H$533,GD$4,0)*$AF39,0)</f>
        <v>0</v>
      </c>
      <c r="GE39">
        <f>IFERROR(VLOOKUP($D39,'Kalkulator mięs '!$C$5:$H$533,GE$4,0)*$AG39,0)</f>
        <v>0</v>
      </c>
      <c r="GF39">
        <f>IFERROR(VLOOKUP($D39,'Kalkulator mięs '!$C$5:$H$533,GF$4,0)*$AG39,0)</f>
        <v>0</v>
      </c>
      <c r="GG39">
        <f>IFERROR(VLOOKUP($D39,'Kalkulator mięs '!$C$5:$H$533,GG$4,0)*$AG39,0)</f>
        <v>0</v>
      </c>
      <c r="GH39">
        <f>IFERROR(VLOOKUP($D39,'Kalkulator mięs '!$C$5:$H$533,GH$4,0)*$AH39,0)</f>
        <v>0</v>
      </c>
      <c r="GI39">
        <f>IFERROR(VLOOKUP($D39,'Kalkulator mięs '!$C$5:$H$533,GI$4,0)*$AH39,0)</f>
        <v>0</v>
      </c>
      <c r="GJ39">
        <f>IFERROR(VLOOKUP($D39,'Kalkulator mięs '!$C$5:$H$533,GJ$4,0)*$AH39,0)</f>
        <v>0</v>
      </c>
      <c r="GK39">
        <f>IFERROR(VLOOKUP($D39,'Kalkulator mięs '!$C$5:$H$533,GK$4,0)*$AI39,0)</f>
        <v>0</v>
      </c>
      <c r="GL39">
        <f>IFERROR(VLOOKUP($D39,'Kalkulator mięs '!$C$5:$H$533,GL$4,0)*$AI39,0)</f>
        <v>0</v>
      </c>
      <c r="GM39">
        <f>IFERROR(VLOOKUP($D39,'Kalkulator mięs '!$C$5:$H$533,GM$4,0)*$AI39,0)</f>
        <v>0</v>
      </c>
      <c r="GN39">
        <f>IFERROR(VLOOKUP($D39,'Kalkulator mięs '!$C$5:$H$533,GN$4,0)*$AJ39,0)</f>
        <v>0</v>
      </c>
      <c r="GO39">
        <f>IFERROR(VLOOKUP($D39,'Kalkulator mięs '!$C$5:$H$533,GO$4,0)*$AJ39,0)</f>
        <v>0</v>
      </c>
      <c r="GP39">
        <f>IFERROR(VLOOKUP($D39,'Kalkulator mięs '!$C$5:$H$533,GP$4,0)*$AJ39,0)</f>
        <v>0</v>
      </c>
      <c r="GQ39">
        <f>IFERROR(VLOOKUP($D39,'Kalkulator mięs '!$C$5:$H$533,GQ$4,0)*$AK39,0)</f>
        <v>0</v>
      </c>
      <c r="GR39">
        <f>IFERROR(VLOOKUP($D39,'Kalkulator mięs '!$C$5:$H$533,GR$4,0)*$AK39,0)</f>
        <v>0</v>
      </c>
      <c r="GS39">
        <f>IFERROR(VLOOKUP($D39,'Kalkulator mięs '!$C$5:$H$533,GS$4,0)*$AK39,0)</f>
        <v>0</v>
      </c>
      <c r="GT39">
        <f>IFERROR(VLOOKUP($D39,'Kalkulator mięs '!$C$5:$H$533,GT$4,0)*$AL39,0)</f>
        <v>0</v>
      </c>
      <c r="GU39">
        <f>IFERROR(VLOOKUP($D39,'Kalkulator mięs '!$C$5:$H$533,GU$4,0)*$AL39,0)</f>
        <v>0</v>
      </c>
      <c r="GV39">
        <f>IFERROR(VLOOKUP($D39,'Kalkulator mięs '!$C$5:$H$533,GV$4,0)*$AL39,0)</f>
        <v>0</v>
      </c>
      <c r="GW39">
        <f>IFERROR(VLOOKUP($D39,'Kalkulator mięs '!$C$5:$H$533,GW$4,0)*$AM39,0)</f>
        <v>0</v>
      </c>
      <c r="GX39">
        <f>IFERROR(VLOOKUP($D39,'Kalkulator mięs '!$C$5:$H$533,GX$4,0)*$AM39,0)</f>
        <v>0</v>
      </c>
      <c r="GY39">
        <f>IFERROR(VLOOKUP($D39,'Kalkulator mięs '!$C$5:$H$533,GY$4,0)*$AM39,0)</f>
        <v>0</v>
      </c>
      <c r="GZ39">
        <f>IFERROR(VLOOKUP($D39,'Kalkulator mięs '!$C$5:$H$533,GZ$4,0)*$AN39,0)</f>
        <v>0</v>
      </c>
      <c r="HA39">
        <f>IFERROR(VLOOKUP($D39,'Kalkulator mięs '!$C$5:$H$533,HA$4,0)*$AN39,0)</f>
        <v>0</v>
      </c>
      <c r="HB39">
        <f>IFERROR(VLOOKUP($D39,'Kalkulator mięs '!$C$5:$H$533,HB$4,0)*$AN39,0)</f>
        <v>0</v>
      </c>
      <c r="HC39">
        <f>IFERROR(VLOOKUP($D39,'Kalkulator mięs '!$C$5:$H$533,HC$4,0)*$AO39,0)</f>
        <v>0</v>
      </c>
      <c r="HD39">
        <f>IFERROR(VLOOKUP($D39,'Kalkulator mięs '!$C$5:$H$533,HD$4,0)*$AO39,0)</f>
        <v>0</v>
      </c>
      <c r="HE39">
        <f>IFERROR(VLOOKUP($D39,'Kalkulator mięs '!$C$5:$H$533,HE$4,0)*$AO39,0)</f>
        <v>0</v>
      </c>
      <c r="HF39">
        <f>IFERROR(VLOOKUP($D39,'Kalkulator mięs '!$C$5:$H$533,HF$4,0)*$AP39,0)</f>
        <v>0</v>
      </c>
      <c r="HG39">
        <f>IFERROR(VLOOKUP($D39,'Kalkulator mięs '!$C$5:$H$533,HG$4,0)*$AP39,0)</f>
        <v>0</v>
      </c>
      <c r="HH39">
        <f>IFERROR(VLOOKUP($D39,'Kalkulator mięs '!$C$5:$H$533,HH$4,0)*$AP39,0)</f>
        <v>0</v>
      </c>
      <c r="HI39">
        <f>IFERROR(VLOOKUP($D39,'Kalkulator mięs '!$C$5:$H$533,HI$4,0)*$AQ39,0)</f>
        <v>0</v>
      </c>
      <c r="HJ39">
        <f>IFERROR(VLOOKUP($D39,'Kalkulator mięs '!$C$5:$H$533,HJ$4,0)*$AQ39,0)</f>
        <v>0</v>
      </c>
      <c r="HK39">
        <f>IFERROR(VLOOKUP($D39,'Kalkulator mięs '!$C$5:$H$533,HK$4,0)*$AQ39,0)</f>
        <v>0</v>
      </c>
      <c r="HL39">
        <f>IFERROR(VLOOKUP($D39,'Kalkulator mięs '!$C$5:$H$533,HL$4,0)*$AR39,0)</f>
        <v>0</v>
      </c>
      <c r="HM39">
        <f>IFERROR(VLOOKUP($D39,'Kalkulator mięs '!$C$5:$H$533,HM$4,0)*$AR39,0)</f>
        <v>0</v>
      </c>
      <c r="HN39">
        <f>IFERROR(VLOOKUP($D39,'Kalkulator mięs '!$C$5:$H$533,HN$4,0)*$AR39,0)</f>
        <v>0</v>
      </c>
      <c r="HO39">
        <f>IFERROR(VLOOKUP($D39,'Kalkulator mięs '!$C$5:$H$533,HO$4,0)*$AS39,0)</f>
        <v>0</v>
      </c>
      <c r="HP39">
        <f>IFERROR(VLOOKUP($D39,'Kalkulator mięs '!$C$5:$H$533,HP$4,0)*$AS39,0)</f>
        <v>0</v>
      </c>
      <c r="HQ39">
        <f>IFERROR(VLOOKUP($D39,'Kalkulator mięs '!$C$5:$H$533,HQ$4,0)*$AS39,0)</f>
        <v>0</v>
      </c>
      <c r="HR39">
        <f>IFERROR(VLOOKUP($D39,'Kalkulator mięs '!$C$5:$H$533,HR$4,0)*$AT39,0)</f>
        <v>0</v>
      </c>
      <c r="HS39">
        <f>IFERROR(VLOOKUP($D39,'Kalkulator mięs '!$C$5:$H$533,HS$4,0)*$AT39,0)</f>
        <v>0</v>
      </c>
      <c r="HT39">
        <f>IFERROR(VLOOKUP($D39,'Kalkulator mięs '!$C$5:$H$533,HT$4,0)*$AT39,0)</f>
        <v>0</v>
      </c>
      <c r="HU39">
        <f>IFERROR(VLOOKUP($D39,'Kalkulator mięs '!$C$5:$H$533,HU$4,0)*$AU39,0)</f>
        <v>0</v>
      </c>
      <c r="HV39">
        <f>IFERROR(VLOOKUP($D39,'Kalkulator mięs '!$C$5:$H$533,HV$4,0)*$AU39,0)</f>
        <v>0</v>
      </c>
      <c r="HW39">
        <f>IFERROR(VLOOKUP($D39,'Kalkulator mięs '!$C$5:$H$533,HW$4,0)*$AU39,0)</f>
        <v>0</v>
      </c>
      <c r="HX39">
        <f>IFERROR(VLOOKUP($D39,'Kalkulator mięs '!$C$5:$H$533,HX$4,0)*$AV39,0)</f>
        <v>0</v>
      </c>
      <c r="HY39">
        <f>IFERROR(VLOOKUP($D39,'Kalkulator mięs '!$C$5:$H$533,HY$4,0)*$AV39,0)</f>
        <v>0</v>
      </c>
      <c r="HZ39">
        <f>IFERROR(VLOOKUP($D39,'Kalkulator mięs '!$C$5:$H$533,HZ$4,0)*$AV39,0)</f>
        <v>0</v>
      </c>
      <c r="IA39">
        <f>IFERROR(VLOOKUP($D39,'Kalkulator mięs '!$C$5:$H$533,IA$4,0)*$AW39,0)</f>
        <v>0</v>
      </c>
      <c r="IB39">
        <f>IFERROR(VLOOKUP($D39,'Kalkulator mięs '!$C$5:$H$533,IB$4,0)*$AW39,0)</f>
        <v>0</v>
      </c>
      <c r="IC39">
        <f>IFERROR(VLOOKUP($D39,'Kalkulator mięs '!$C$5:$H$533,IC$4,0)*$AW39,0)</f>
        <v>0</v>
      </c>
      <c r="ID39">
        <f>IFERROR(VLOOKUP($D39,'Kalkulator mięs '!$C$5:$H$533,ID$4,0)*$AX39,0)</f>
        <v>0</v>
      </c>
      <c r="IE39">
        <f>IFERROR(VLOOKUP($D39,'Kalkulator mięs '!$C$5:$H$533,IE$4,0)*$AX39,0)</f>
        <v>0</v>
      </c>
      <c r="IF39">
        <f>IFERROR(VLOOKUP($D39,'Kalkulator mięs '!$C$5:$H$533,IF$4,0)*$AX39,0)</f>
        <v>0</v>
      </c>
      <c r="IG39">
        <f>IFERROR(VLOOKUP($D39,'Kalkulator mięs '!$C$5:$H$533,IG$4,0)*$AY39,0)</f>
        <v>0</v>
      </c>
      <c r="IH39">
        <f>IFERROR(VLOOKUP($D39,'Kalkulator mięs '!$C$5:$H$533,IH$4,0)*$AY39,0)</f>
        <v>0</v>
      </c>
      <c r="II39">
        <f>IFERROR(VLOOKUP($D39,'Kalkulator mięs '!$C$5:$H$533,II$4,0)*$AY39,0)</f>
        <v>0</v>
      </c>
      <c r="IJ39">
        <f>IFERROR(VLOOKUP($D39,'Kalkulator mięs '!$C$5:$H$533,IJ$4,0)*$AZ39,0)</f>
        <v>0</v>
      </c>
      <c r="IK39">
        <f>IFERROR(VLOOKUP($D39,'Kalkulator mięs '!$C$5:$H$533,IK$4,0)*$AZ39,0)</f>
        <v>0</v>
      </c>
      <c r="IL39">
        <f>IFERROR(VLOOKUP($D39,'Kalkulator mięs '!$C$5:$H$533,IL$4,0)*$AZ39,0)</f>
        <v>0</v>
      </c>
      <c r="IM39">
        <f>IFERROR(VLOOKUP($D39,'Kalkulator mięs '!$C$5:$H$533,IM$4,0)*$BA39,0)</f>
        <v>0</v>
      </c>
      <c r="IN39">
        <f>IFERROR(VLOOKUP($D39,'Kalkulator mięs '!$C$5:$H$533,IN$4,0)*$BA39,0)</f>
        <v>0</v>
      </c>
      <c r="IO39">
        <f>IFERROR(VLOOKUP($D39,'Kalkulator mięs '!$C$5:$H$533,IO$4,0)*$BA39,0)</f>
        <v>0</v>
      </c>
    </row>
    <row r="40" spans="1:249" ht="15.75">
      <c r="B40" t="str">
        <f>VLOOKUP(D40,Receptury_z!$A:$B,2,0)</f>
        <v>ON</v>
      </c>
      <c r="C40" s="16">
        <v>5445</v>
      </c>
      <c r="D40" s="19">
        <v>6490</v>
      </c>
      <c r="E40" s="18" t="s">
        <v>45</v>
      </c>
      <c r="F40" s="14">
        <f>IF($B40="OFF",BE40,VLOOKUP($D40,Receptury_z!$D:$AI,F$4,0))</f>
        <v>0</v>
      </c>
      <c r="G40" s="14">
        <f>IF($B40="OFF",BF40,VLOOKUP($D40,Receptury_z!$D:$AI,G$4,0))</f>
        <v>0</v>
      </c>
      <c r="H40" s="14">
        <f>IF($B40="OFF",BG40,VLOOKUP($D40,Receptury_z!$D:$AI,H$4,0))</f>
        <v>0</v>
      </c>
      <c r="I40" s="14">
        <f>IF($B40="OFF",BH40,VLOOKUP($D40,Receptury_z!$D:$AI,I$4,0))</f>
        <v>0</v>
      </c>
      <c r="J40" s="14">
        <f>IF($B40="OFF",BI40,VLOOKUP($D40,Receptury_z!$D:$AI,J$4,0))</f>
        <v>0</v>
      </c>
      <c r="K40" s="14">
        <f>IF($B40="OFF",BJ40,VLOOKUP($D40,Receptury_z!$D:$AI,K$4,0))</f>
        <v>0</v>
      </c>
      <c r="L40" s="14">
        <f>IF($B40="OFF",BK40,VLOOKUP($D40,Receptury_z!$D:$AI,L$4,0))</f>
        <v>0</v>
      </c>
      <c r="M40" s="14">
        <f>IF($B40="OFF",BL40,VLOOKUP($D40,Receptury_z!$D:$AI,M$4,0))</f>
        <v>20.900000000000006</v>
      </c>
      <c r="N40" s="14">
        <f>IF($B40="OFF",BM40,VLOOKUP($D40,Receptury_z!$D:$AI,N$4,0))</f>
        <v>0</v>
      </c>
      <c r="O40" s="14">
        <f>IF($B40="OFF",BN40,VLOOKUP($D40,Receptury_z!$D:$AI,O$4,0))</f>
        <v>0</v>
      </c>
      <c r="P40" s="14">
        <f>IF($B40="OFF",BO40,VLOOKUP($D40,Receptury_z!$D:$AI,P$4,0))</f>
        <v>0</v>
      </c>
      <c r="Q40" s="14">
        <f>IF($B40="OFF",BP40,VLOOKUP($D40,Receptury_z!$D:$AI,Q$4,0))</f>
        <v>59.1</v>
      </c>
      <c r="R40" s="14">
        <f>IF($B40="OFF",BQ40,VLOOKUP($D40,Receptury_z!$D:$AI,R$4,0))</f>
        <v>0</v>
      </c>
      <c r="S40" s="14">
        <f>IF($B40="OFF",BR40,VLOOKUP($D40,Receptury_z!$D:$AI,S$4,0))</f>
        <v>0</v>
      </c>
      <c r="T40" s="14">
        <f>IF($B40="OFF",BS40,VLOOKUP($D40,Receptury_z!$D:$AI,T$4,0))</f>
        <v>0</v>
      </c>
      <c r="U40" s="14">
        <f>IF($B40="OFF",BT40,VLOOKUP($D40,Receptury_z!$D:$AI,U$4,0))</f>
        <v>0</v>
      </c>
      <c r="V40" s="14">
        <f>IF($B40="OFF",BU40,VLOOKUP($D40,Receptury_z!$D:$AI,V$4,0))</f>
        <v>0</v>
      </c>
      <c r="W40" s="14">
        <f>IF($B40="OFF",BV40,VLOOKUP($D40,Receptury_z!$D:$AI,W$4,0))</f>
        <v>0</v>
      </c>
      <c r="X40" s="14">
        <f>IF($B40="OFF",BW40,VLOOKUP($D40,Receptury_z!$D:$AI,X$4,0))</f>
        <v>0</v>
      </c>
      <c r="Y40" s="14">
        <f>IF($B40="OFF",BX40,VLOOKUP($D40,Receptury_z!$D:$AI,Y$4,0))</f>
        <v>0</v>
      </c>
      <c r="Z40" s="14">
        <f>IF($B40="OFF",BY40,VLOOKUP($D40,Receptury_z!$D:$AI,Z$4,0))</f>
        <v>0</v>
      </c>
      <c r="AA40" s="14">
        <f>IF($B40="OFF",BZ40,VLOOKUP($D40,Receptury_z!$D:$AI,AA$4,0))</f>
        <v>0</v>
      </c>
      <c r="AB40" s="14">
        <f>IF($B40="OFF",CA40,VLOOKUP($D40,Receptury_z!$D:$AI,AB$4,0))</f>
        <v>0</v>
      </c>
      <c r="AC40" s="14">
        <f>IF($B40="OFF",CB40,VLOOKUP($D40,Receptury_z!$D:$AI,AC$4,0))</f>
        <v>0</v>
      </c>
      <c r="AD40" s="14">
        <f>IF($B40="OFF",CC40,VLOOKUP($D40,Receptury_z!$D:$AI,AD$4,0))</f>
        <v>0</v>
      </c>
      <c r="AE40" s="14">
        <f>IF($B40="OFF",CD40,VLOOKUP($D40,Receptury_z!$D:$AI,AE$4,0))</f>
        <v>445.2</v>
      </c>
      <c r="AF40" s="14">
        <f>IF($B40="OFF",CE40,VLOOKUP($D40,Receptury_z!$D:$AI,AF$4,0))</f>
        <v>0</v>
      </c>
      <c r="AG40" s="14">
        <f>IF($B40="OFF",CF40,VLOOKUP($D40,Receptury_z!$D:$AI,AG$4,0))</f>
        <v>149.69999999999999</v>
      </c>
      <c r="AH40" s="14">
        <f>IF($B40="OFF",CG40,VLOOKUP($D40,Receptury_z!$D:$AI,AH$4,0))</f>
        <v>0</v>
      </c>
      <c r="AI40" s="14">
        <f>IF($B40="OFF",CH40,VLOOKUP($D40,Receptury_z!$D:$AI,AI$4,0))</f>
        <v>50</v>
      </c>
      <c r="AJ40" s="14">
        <f>IF($B40="OFF",CI40,VLOOKUP($D40,Receptury_z!$D:$AS,AJ$4,0))</f>
        <v>0</v>
      </c>
      <c r="AK40" s="14">
        <f>IF($B40="OFF",CJ40,VLOOKUP($D40,Receptury_z!$D:$AS,AK$4,0))</f>
        <v>63</v>
      </c>
      <c r="AL40" s="14">
        <f>IF($B40="OFF",CK40,VLOOKUP($D40,Receptury_z!$D:$AS,AL$4,0))</f>
        <v>0</v>
      </c>
      <c r="AM40" s="14">
        <f>IF($B40="OFF",CL40,VLOOKUP($D40,Receptury_z!$D:$AS,AM$4,0))</f>
        <v>0</v>
      </c>
      <c r="AN40" s="14">
        <f>IF($B40="OFF",CM40,VLOOKUP($D40,Receptury_z!$D:$AS,AN$4,0))</f>
        <v>0</v>
      </c>
      <c r="AO40" s="14">
        <f>IF($B40="OFF",CN40,VLOOKUP($D40,Receptury_z!$D:$AS,AO$4,0))</f>
        <v>0</v>
      </c>
      <c r="AP40" s="14">
        <f>IF($B40="OFF",CO40,VLOOKUP($D40,Receptury_z!$D:$AS,AP$4,0))</f>
        <v>0</v>
      </c>
      <c r="AQ40" s="14">
        <f>IF($B40="OFF",CP40,VLOOKUP($D40,Receptury_z!$D:$AS,AQ$4,0))</f>
        <v>0</v>
      </c>
      <c r="AR40" s="14">
        <f>IF($B40="OFF",CQ40,VLOOKUP($D40,Receptury_z!$D:$AS,AR$4,0))</f>
        <v>0</v>
      </c>
      <c r="AS40" s="14">
        <f>IF($B40="OFF",CR40,VLOOKUP($D40,Receptury_z!$D:$AS,AS$4,0))</f>
        <v>0</v>
      </c>
      <c r="AT40" s="14">
        <f>IF($B40="OFF",CS40,VLOOKUP($D40,Receptury_z!$D:$AV,AT$4,0))</f>
        <v>0</v>
      </c>
      <c r="AU40" s="14">
        <f>IF($B40="OFF",CT40,VLOOKUP($D40,Receptury_z!$D:$AV,AU$4,0))</f>
        <v>0</v>
      </c>
      <c r="AV40" s="14">
        <f>IF($B40="OFF",CU40,VLOOKUP($D40,Receptury_z!$D:$AV,AV$4,0))</f>
        <v>0</v>
      </c>
      <c r="AW40" s="14">
        <f>IF($B40="OFF",CV40,VLOOKUP($D40,Receptury_z!$D:$BA,AW$4,0))</f>
        <v>0</v>
      </c>
      <c r="AX40" s="14">
        <f>IF($B40="OFF",CW40,VLOOKUP($D40,Receptury_z!$D:$BA,AX$4,0))</f>
        <v>0</v>
      </c>
      <c r="AY40" s="14">
        <f>IF($B40="OFF",CX40,VLOOKUP($D40,Receptury_z!$D:$BA,AY$4,0))</f>
        <v>0</v>
      </c>
      <c r="AZ40" s="14">
        <f>IF($B40="OFF",DA40,VLOOKUP($D40,Receptury_z!$D:$BA,AZ$4,0))</f>
        <v>0</v>
      </c>
      <c r="BA40" s="14">
        <f>IF($B40="OFF",DB40,VLOOKUP($D40,Receptury_z!$D:$BA,BA$4,0))</f>
        <v>0</v>
      </c>
      <c r="BC40" s="19">
        <v>6490</v>
      </c>
      <c r="BD40" s="18" t="s">
        <v>45</v>
      </c>
      <c r="BE40" s="239">
        <v>0</v>
      </c>
      <c r="BF40" s="239">
        <v>0</v>
      </c>
      <c r="BG40" s="239">
        <v>0</v>
      </c>
      <c r="BH40" s="239">
        <v>0</v>
      </c>
      <c r="BI40" s="239">
        <v>0</v>
      </c>
      <c r="BJ40" s="239">
        <v>0</v>
      </c>
      <c r="BK40" s="239">
        <v>0</v>
      </c>
      <c r="BL40" s="239">
        <v>70.900000000000006</v>
      </c>
      <c r="BM40" s="239">
        <v>0</v>
      </c>
      <c r="BN40" s="239">
        <v>0</v>
      </c>
      <c r="BO40" s="239">
        <v>0</v>
      </c>
      <c r="BP40" s="239">
        <v>59.1</v>
      </c>
      <c r="BQ40" s="239">
        <v>0</v>
      </c>
      <c r="BR40" s="239">
        <v>0</v>
      </c>
      <c r="BS40" s="239">
        <v>0</v>
      </c>
      <c r="BT40" s="239">
        <v>0</v>
      </c>
      <c r="BU40" s="239">
        <v>0</v>
      </c>
      <c r="BV40" s="239">
        <v>0</v>
      </c>
      <c r="BW40" s="239">
        <v>0</v>
      </c>
      <c r="BX40" s="239">
        <v>0</v>
      </c>
      <c r="BY40" s="239">
        <v>0</v>
      </c>
      <c r="BZ40" s="239">
        <v>0</v>
      </c>
      <c r="CA40" s="239">
        <v>0</v>
      </c>
      <c r="CB40" s="239">
        <v>0</v>
      </c>
      <c r="CC40" s="239">
        <v>0</v>
      </c>
      <c r="CD40" s="239">
        <v>445.2</v>
      </c>
      <c r="CE40" s="239">
        <v>63</v>
      </c>
      <c r="CF40" s="239">
        <v>149.69999999999999</v>
      </c>
      <c r="CG40" s="239">
        <v>0</v>
      </c>
      <c r="CH40" s="239">
        <v>0</v>
      </c>
      <c r="CI40" s="239">
        <v>0</v>
      </c>
      <c r="CJ40" s="239">
        <v>0</v>
      </c>
      <c r="CK40" s="239">
        <v>0</v>
      </c>
      <c r="CL40" s="239">
        <v>0</v>
      </c>
      <c r="CM40" s="80"/>
      <c r="CN40" s="80"/>
      <c r="CO40" s="80"/>
      <c r="CP40" s="80"/>
      <c r="CQ40" s="80"/>
      <c r="CR40" s="80"/>
      <c r="CS40" s="80"/>
      <c r="CT40" s="80"/>
      <c r="CU40" s="80"/>
      <c r="CV40" s="80"/>
      <c r="CW40" s="80"/>
      <c r="CX40" s="80"/>
      <c r="CY40" s="80"/>
      <c r="CZ40" s="80"/>
      <c r="DB40">
        <f>IFERROR(VLOOKUP($D40,'Kalkulator mięs '!$C$5:$H$533,DB$4,0)*F40,0)</f>
        <v>0</v>
      </c>
      <c r="DC40">
        <f>IFERROR(VLOOKUP($D40,'Kalkulator mięs '!$C$5:$H$533,DC$4,0)*F40,0)</f>
        <v>0</v>
      </c>
      <c r="DD40">
        <f>IFERROR(VLOOKUP($D40,'Kalkulator mięs '!$C$5:$H$533,DD$4,0)*F40,0)</f>
        <v>0</v>
      </c>
      <c r="DE40">
        <f>IFERROR(VLOOKUP($D40,'Kalkulator mięs '!$C$5:$H$533,DE$4,0)*$G40,0)</f>
        <v>0</v>
      </c>
      <c r="DF40">
        <f>IFERROR(VLOOKUP($D40,'Kalkulator mięs '!$C$5:$H$533,DF$4,0)*$G40,0)</f>
        <v>0</v>
      </c>
      <c r="DG40">
        <f>IFERROR(VLOOKUP($D40,'Kalkulator mięs '!$C$5:$H$533,DG$4,0)*$G40,0)</f>
        <v>0</v>
      </c>
      <c r="DH40">
        <f>IFERROR(VLOOKUP($D40,'Kalkulator mięs '!$C$5:$H$533,DH$4,0)*$H40,0)</f>
        <v>0</v>
      </c>
      <c r="DI40">
        <f>IFERROR(VLOOKUP($D40,'Kalkulator mięs '!$C$5:$H$533,DI$4,0)*$H40,0)</f>
        <v>0</v>
      </c>
      <c r="DJ40">
        <f>IFERROR(VLOOKUP($D40,'Kalkulator mięs '!$C$5:$H$533,DJ$4,0)*$H40,0)</f>
        <v>0</v>
      </c>
      <c r="DK40">
        <f>IFERROR(VLOOKUP($D40,'Kalkulator mięs '!$C$5:$H$533,DK$4,0)*$I40,0)</f>
        <v>0</v>
      </c>
      <c r="DL40">
        <f>IFERROR(VLOOKUP($D40,'Kalkulator mięs '!$C$5:$H$533,DL$4,0)*$I40,0)</f>
        <v>0</v>
      </c>
      <c r="DM40">
        <f>IFERROR(VLOOKUP($D40,'Kalkulator mięs '!$C$5:$H$533,DM$4,0)*$I40,0)</f>
        <v>0</v>
      </c>
      <c r="DN40">
        <f>IFERROR(VLOOKUP($D40,'Kalkulator mięs '!$C$5:$H$533,DN$4,0)*$J40,0)</f>
        <v>0</v>
      </c>
      <c r="DO40">
        <f>IFERROR(VLOOKUP($D40,'Kalkulator mięs '!$C$5:$H$533,DO$4,0)*$J40,0)</f>
        <v>0</v>
      </c>
      <c r="DP40">
        <f>IFERROR(VLOOKUP($D40,'Kalkulator mięs '!$C$5:$H$533,DP$4,0)*$J40,0)</f>
        <v>0</v>
      </c>
      <c r="DQ40">
        <f>IFERROR(VLOOKUP($D40,'Kalkulator mięs '!$C$5:$H$533,DQ$4,0)*$K40,0)</f>
        <v>0</v>
      </c>
      <c r="DR40">
        <f>IFERROR(VLOOKUP($D40,'Kalkulator mięs '!$C$5:$H$533,DR$4,0)*$K40,0)</f>
        <v>0</v>
      </c>
      <c r="DS40">
        <f>IFERROR(VLOOKUP($D40,'Kalkulator mięs '!$C$5:$H$533,DS$4,0)*$K40,0)</f>
        <v>0</v>
      </c>
      <c r="DT40">
        <f>IFERROR(VLOOKUP($D40,'Kalkulator mięs '!$C$5:$H$533,DT$4,0)*$L40,0)</f>
        <v>0</v>
      </c>
      <c r="DU40">
        <f>IFERROR(VLOOKUP($D40,'Kalkulator mięs '!$C$5:$H$533,DU$4,0)*$L40,0)</f>
        <v>0</v>
      </c>
      <c r="DV40">
        <f>IFERROR(VLOOKUP($D40,'Kalkulator mięs '!$C$5:$H$533,DV$4,0)*$L40,0)</f>
        <v>0</v>
      </c>
      <c r="DW40">
        <f>IFERROR(VLOOKUP($D40,'Kalkulator mięs '!$C$5:$H$533,DW$4,0)*$M40,0)</f>
        <v>0</v>
      </c>
      <c r="DX40">
        <f>IFERROR(VLOOKUP($D40,'Kalkulator mięs '!$C$5:$H$533,DX$4,0)*$M40,0)</f>
        <v>0</v>
      </c>
      <c r="DY40">
        <f>IFERROR(VLOOKUP($D40,'Kalkulator mięs '!$C$5:$H$533,DY$4,0)*$M40,0)</f>
        <v>0</v>
      </c>
      <c r="DZ40">
        <f>IFERROR(VLOOKUP($D40,'Kalkulator mięs '!$C$5:$H$533,DZ$4,0)*$N40,0)</f>
        <v>0</v>
      </c>
      <c r="EA40">
        <f>IFERROR(VLOOKUP($D40,'Kalkulator mięs '!$C$5:$H$533,EA$4,0)*$N40,0)</f>
        <v>0</v>
      </c>
      <c r="EB40">
        <f>IFERROR(VLOOKUP($D40,'Kalkulator mięs '!$C$5:$H$533,EB$4,0)*$N40,0)</f>
        <v>0</v>
      </c>
      <c r="EC40">
        <f>IFERROR(VLOOKUP($D40,'Kalkulator mięs '!$C$5:$H$533,EC$4,0)*$O40,0)</f>
        <v>0</v>
      </c>
      <c r="ED40">
        <f>IFERROR(VLOOKUP($D40,'Kalkulator mięs '!$C$5:$H$533,ED$4,0)*$O40,0)</f>
        <v>0</v>
      </c>
      <c r="EE40">
        <f>IFERROR(VLOOKUP($D40,'Kalkulator mięs '!$C$5:$H$533,EE$4,0)*$O40,0)</f>
        <v>0</v>
      </c>
      <c r="EF40">
        <f>IFERROR(VLOOKUP($D40,'Kalkulator mięs '!$C$5:$H$533,EF$4,0)*$P40,0)</f>
        <v>0</v>
      </c>
      <c r="EG40">
        <f>IFERROR(VLOOKUP($D40,'Kalkulator mięs '!$C$5:$H$533,EG$4,0)*$P40,0)</f>
        <v>0</v>
      </c>
      <c r="EH40">
        <f>IFERROR(VLOOKUP($D40,'Kalkulator mięs '!$C$5:$H$533,EH$4,0)*$P40,0)</f>
        <v>0</v>
      </c>
      <c r="EI40">
        <f>IFERROR(VLOOKUP($D40,'Kalkulator mięs '!$C$5:$H$533,EI$4,0)*$Q40,0)</f>
        <v>0</v>
      </c>
      <c r="EJ40">
        <f>IFERROR(VLOOKUP($D40,'Kalkulator mięs '!$C$5:$H$533,EJ$4,0)*$Q40,0)</f>
        <v>0</v>
      </c>
      <c r="EK40">
        <f>IFERROR(VLOOKUP($D40,'Kalkulator mięs '!$C$5:$H$533,EK$4,0)*$Q40,0)</f>
        <v>0</v>
      </c>
      <c r="EL40">
        <f>IFERROR(VLOOKUP($D40,'Kalkulator mięs '!$C$5:$H$533,EL$4,0)*$R40,0)</f>
        <v>0</v>
      </c>
      <c r="EM40">
        <f>IFERROR(VLOOKUP($D40,'Kalkulator mięs '!$C$5:$H$533,EM$4,0)*$R40,0)</f>
        <v>0</v>
      </c>
      <c r="EN40">
        <f>IFERROR(VLOOKUP($D40,'Kalkulator mięs '!$C$5:$H$533,EN$4,0)*$R40,0)</f>
        <v>0</v>
      </c>
      <c r="EO40">
        <f>IFERROR(VLOOKUP($D40,'Kalkulator mięs '!$C$5:$H$533,EO$4,0)*$S40,0)</f>
        <v>0</v>
      </c>
      <c r="EP40">
        <f>IFERROR(VLOOKUP($D40,'Kalkulator mięs '!$C$5:$H$533,EP$4,0)*$S40,0)</f>
        <v>0</v>
      </c>
      <c r="EQ40">
        <f>IFERROR(VLOOKUP($D40,'Kalkulator mięs '!$C$5:$H$533,EQ$4,0)*$S40,0)</f>
        <v>0</v>
      </c>
      <c r="ER40">
        <f>IFERROR(VLOOKUP($D40,'Kalkulator mięs '!$C$5:$H$533,ER$4,0)*$T40,0)</f>
        <v>0</v>
      </c>
      <c r="ES40">
        <f>IFERROR(VLOOKUP($D40,'Kalkulator mięs '!$C$5:$H$533,ES$4,0)*$T40,0)</f>
        <v>0</v>
      </c>
      <c r="ET40">
        <f>IFERROR(VLOOKUP($D40,'Kalkulator mięs '!$C$5:$H$533,ET$4,0)*$T40,0)</f>
        <v>0</v>
      </c>
      <c r="EU40">
        <f>IFERROR(VLOOKUP($D40,'Kalkulator mięs '!$C$5:$H$533,EU$4,0)*$U40,0)</f>
        <v>0</v>
      </c>
      <c r="EV40">
        <f>IFERROR(VLOOKUP($D40,'Kalkulator mięs '!$C$5:$H$533,EV$4,0)*$U40,0)</f>
        <v>0</v>
      </c>
      <c r="EW40">
        <f>IFERROR(VLOOKUP($D40,'Kalkulator mięs '!$C$5:$H$533,EW$4,0)*$U40,0)</f>
        <v>0</v>
      </c>
      <c r="EX40">
        <f>IFERROR(VLOOKUP($D40,'Kalkulator mięs '!$C$5:$H$533,EX$4,0)*$V40,0)</f>
        <v>0</v>
      </c>
      <c r="EY40">
        <f>IFERROR(VLOOKUP($D40,'Kalkulator mięs '!$C$5:$H$533,EY$4,0)*$V40,0)</f>
        <v>0</v>
      </c>
      <c r="EZ40">
        <f>IFERROR(VLOOKUP($D40,'Kalkulator mięs '!$C$5:$H$533,EZ$4,0)*$V40,0)</f>
        <v>0</v>
      </c>
      <c r="FA40">
        <f>IFERROR(VLOOKUP($D40,'Kalkulator mięs '!$C$5:$H$533,FA$4,0)*$W40,0)</f>
        <v>0</v>
      </c>
      <c r="FB40">
        <f>IFERROR(VLOOKUP($D40,'Kalkulator mięs '!$C$5:$H$533,FB$4,0)*$W40,0)</f>
        <v>0</v>
      </c>
      <c r="FC40">
        <f>IFERROR(VLOOKUP($D40,'Kalkulator mięs '!$C$5:$H$533,FC$4,0)*$W40,0)</f>
        <v>0</v>
      </c>
      <c r="FD40">
        <f>IFERROR(VLOOKUP($D40,'Kalkulator mięs '!$C$5:$H$533,FD$4,0)*$X40,0)</f>
        <v>0</v>
      </c>
      <c r="FE40">
        <f>IFERROR(VLOOKUP($D40,'Kalkulator mięs '!$C$5:$H$533,FE$4,0)*$X40,0)</f>
        <v>0</v>
      </c>
      <c r="FF40">
        <f>IFERROR(VLOOKUP($D40,'Kalkulator mięs '!$C$5:$H$533,FF$4,0)*$X40,0)</f>
        <v>0</v>
      </c>
      <c r="FG40">
        <f>IFERROR(VLOOKUP($D40,'Kalkulator mięs '!$C$5:$H$533,FG$4,0)*$Y40,0)</f>
        <v>0</v>
      </c>
      <c r="FH40">
        <f>IFERROR(VLOOKUP($D40,'Kalkulator mięs '!$C$5:$H$533,FH$4,0)*$Y40,0)</f>
        <v>0</v>
      </c>
      <c r="FI40">
        <f>IFERROR(VLOOKUP($D40,'Kalkulator mięs '!$C$5:$H$533,FI$4,0)*$Y40,0)</f>
        <v>0</v>
      </c>
      <c r="FJ40">
        <f>IFERROR(VLOOKUP($D40,'Kalkulator mięs '!$C$5:$H$533,FJ$4,0)*$Z40,0)</f>
        <v>0</v>
      </c>
      <c r="FK40">
        <f>IFERROR(VLOOKUP($D40,'Kalkulator mięs '!$C$5:$H$533,FK$4,0)*$Z40,0)</f>
        <v>0</v>
      </c>
      <c r="FL40">
        <f>IFERROR(VLOOKUP($D40,'Kalkulator mięs '!$C$5:$H$533,FL$4,0)*$Z40,0)</f>
        <v>0</v>
      </c>
      <c r="FM40">
        <f>IFERROR(VLOOKUP($D40,'Kalkulator mięs '!$C$5:$H$533,FM$4,0)*$AA40,0)</f>
        <v>0</v>
      </c>
      <c r="FN40">
        <f>IFERROR(VLOOKUP($D40,'Kalkulator mięs '!$C$5:$H$533,FN$4,0)*$AA40,0)</f>
        <v>0</v>
      </c>
      <c r="FO40">
        <f>IFERROR(VLOOKUP($D40,'Kalkulator mięs '!$C$5:$H$533,FO$4,0)*$AA40,0)</f>
        <v>0</v>
      </c>
      <c r="FP40">
        <f>IFERROR(VLOOKUP($D40,'Kalkulator mięs '!$C$5:$H$533,FP$4,0)*$AB40,0)</f>
        <v>0</v>
      </c>
      <c r="FQ40">
        <f>IFERROR(VLOOKUP($D40,'Kalkulator mięs '!$C$5:$H$533,FQ$4,0)*$AB40,0)</f>
        <v>0</v>
      </c>
      <c r="FR40">
        <f>IFERROR(VLOOKUP($D40,'Kalkulator mięs '!$C$5:$H$533,FR$4,0)*$AB40,0)</f>
        <v>0</v>
      </c>
      <c r="FS40">
        <f>IFERROR(VLOOKUP($D40,'Kalkulator mięs '!$C$5:$H$533,FS$4,0)*$AC40,0)</f>
        <v>0</v>
      </c>
      <c r="FT40">
        <f>IFERROR(VLOOKUP($D40,'Kalkulator mięs '!$C$5:$H$533,FT$4,0)*$AC40,0)</f>
        <v>0</v>
      </c>
      <c r="FU40">
        <f>IFERROR(VLOOKUP($D40,'Kalkulator mięs '!$C$5:$H$533,FU$4,0)*$AC40,0)</f>
        <v>0</v>
      </c>
      <c r="FV40">
        <f>IFERROR(VLOOKUP($D40,'Kalkulator mięs '!$C$5:$H$533,FV$4,0)*$AD40,0)</f>
        <v>0</v>
      </c>
      <c r="FW40">
        <f>IFERROR(VLOOKUP($D40,'Kalkulator mięs '!$C$5:$H$533,FW$4,0)*$AD40,0)</f>
        <v>0</v>
      </c>
      <c r="FX40">
        <f>IFERROR(VLOOKUP($D40,'Kalkulator mięs '!$C$5:$H$533,FX$4,0)*$AD40,0)</f>
        <v>0</v>
      </c>
      <c r="FY40">
        <f>IFERROR(VLOOKUP($D40,'Kalkulator mięs '!$C$5:$H$533,FY$4,0)*$AE40,0)</f>
        <v>0</v>
      </c>
      <c r="FZ40">
        <f>IFERROR(VLOOKUP($D40,'Kalkulator mięs '!$C$5:$H$533,FZ$4,0)*$AE40,0)</f>
        <v>0</v>
      </c>
      <c r="GA40">
        <f>IFERROR(VLOOKUP($D40,'Kalkulator mięs '!$C$5:$H$533,GA$4,0)*$AE40,0)</f>
        <v>0</v>
      </c>
      <c r="GB40">
        <f>IFERROR(VLOOKUP($D40,'Kalkulator mięs '!$C$5:$H$533,GB$4,0)*$AF40,0)</f>
        <v>0</v>
      </c>
      <c r="GC40">
        <f>IFERROR(VLOOKUP($D40,'Kalkulator mięs '!$C$5:$H$533,GC$4,0)*$AF40,0)</f>
        <v>0</v>
      </c>
      <c r="GD40">
        <f>IFERROR(VLOOKUP($D40,'Kalkulator mięs '!$C$5:$H$533,GD$4,0)*$AF40,0)</f>
        <v>0</v>
      </c>
      <c r="GE40">
        <f>IFERROR(VLOOKUP($D40,'Kalkulator mięs '!$C$5:$H$533,GE$4,0)*$AG40,0)</f>
        <v>0</v>
      </c>
      <c r="GF40">
        <f>IFERROR(VLOOKUP($D40,'Kalkulator mięs '!$C$5:$H$533,GF$4,0)*$AG40,0)</f>
        <v>0</v>
      </c>
      <c r="GG40">
        <f>IFERROR(VLOOKUP($D40,'Kalkulator mięs '!$C$5:$H$533,GG$4,0)*$AG40,0)</f>
        <v>0</v>
      </c>
      <c r="GH40">
        <f>IFERROR(VLOOKUP($D40,'Kalkulator mięs '!$C$5:$H$533,GH$4,0)*$AH40,0)</f>
        <v>0</v>
      </c>
      <c r="GI40">
        <f>IFERROR(VLOOKUP($D40,'Kalkulator mięs '!$C$5:$H$533,GI$4,0)*$AH40,0)</f>
        <v>0</v>
      </c>
      <c r="GJ40">
        <f>IFERROR(VLOOKUP($D40,'Kalkulator mięs '!$C$5:$H$533,GJ$4,0)*$AH40,0)</f>
        <v>0</v>
      </c>
      <c r="GK40">
        <f>IFERROR(VLOOKUP($D40,'Kalkulator mięs '!$C$5:$H$533,GK$4,0)*$AI40,0)</f>
        <v>0</v>
      </c>
      <c r="GL40">
        <f>IFERROR(VLOOKUP($D40,'Kalkulator mięs '!$C$5:$H$533,GL$4,0)*$AI40,0)</f>
        <v>0</v>
      </c>
      <c r="GM40">
        <f>IFERROR(VLOOKUP($D40,'Kalkulator mięs '!$C$5:$H$533,GM$4,0)*$AI40,0)</f>
        <v>0</v>
      </c>
      <c r="GN40">
        <f>IFERROR(VLOOKUP($D40,'Kalkulator mięs '!$C$5:$H$533,GN$4,0)*$AJ40,0)</f>
        <v>0</v>
      </c>
      <c r="GO40">
        <f>IFERROR(VLOOKUP($D40,'Kalkulator mięs '!$C$5:$H$533,GO$4,0)*$AJ40,0)</f>
        <v>0</v>
      </c>
      <c r="GP40">
        <f>IFERROR(VLOOKUP($D40,'Kalkulator mięs '!$C$5:$H$533,GP$4,0)*$AJ40,0)</f>
        <v>0</v>
      </c>
      <c r="GQ40">
        <f>IFERROR(VLOOKUP($D40,'Kalkulator mięs '!$C$5:$H$533,GQ$4,0)*$AK40,0)</f>
        <v>0</v>
      </c>
      <c r="GR40">
        <f>IFERROR(VLOOKUP($D40,'Kalkulator mięs '!$C$5:$H$533,GR$4,0)*$AK40,0)</f>
        <v>0</v>
      </c>
      <c r="GS40">
        <f>IFERROR(VLOOKUP($D40,'Kalkulator mięs '!$C$5:$H$533,GS$4,0)*$AK40,0)</f>
        <v>0</v>
      </c>
      <c r="GT40">
        <f>IFERROR(VLOOKUP($D40,'Kalkulator mięs '!$C$5:$H$533,GT$4,0)*$AL40,0)</f>
        <v>0</v>
      </c>
      <c r="GU40">
        <f>IFERROR(VLOOKUP($D40,'Kalkulator mięs '!$C$5:$H$533,GU$4,0)*$AL40,0)</f>
        <v>0</v>
      </c>
      <c r="GV40">
        <f>IFERROR(VLOOKUP($D40,'Kalkulator mięs '!$C$5:$H$533,GV$4,0)*$AL40,0)</f>
        <v>0</v>
      </c>
      <c r="GW40">
        <f>IFERROR(VLOOKUP($D40,'Kalkulator mięs '!$C$5:$H$533,GW$4,0)*$AM40,0)</f>
        <v>0</v>
      </c>
      <c r="GX40">
        <f>IFERROR(VLOOKUP($D40,'Kalkulator mięs '!$C$5:$H$533,GX$4,0)*$AM40,0)</f>
        <v>0</v>
      </c>
      <c r="GY40">
        <f>IFERROR(VLOOKUP($D40,'Kalkulator mięs '!$C$5:$H$533,GY$4,0)*$AM40,0)</f>
        <v>0</v>
      </c>
      <c r="GZ40">
        <f>IFERROR(VLOOKUP($D40,'Kalkulator mięs '!$C$5:$H$533,GZ$4,0)*$AN40,0)</f>
        <v>0</v>
      </c>
      <c r="HA40">
        <f>IFERROR(VLOOKUP($D40,'Kalkulator mięs '!$C$5:$H$533,HA$4,0)*$AN40,0)</f>
        <v>0</v>
      </c>
      <c r="HB40">
        <f>IFERROR(VLOOKUP($D40,'Kalkulator mięs '!$C$5:$H$533,HB$4,0)*$AN40,0)</f>
        <v>0</v>
      </c>
      <c r="HC40">
        <f>IFERROR(VLOOKUP($D40,'Kalkulator mięs '!$C$5:$H$533,HC$4,0)*$AO40,0)</f>
        <v>0</v>
      </c>
      <c r="HD40">
        <f>IFERROR(VLOOKUP($D40,'Kalkulator mięs '!$C$5:$H$533,HD$4,0)*$AO40,0)</f>
        <v>0</v>
      </c>
      <c r="HE40">
        <f>IFERROR(VLOOKUP($D40,'Kalkulator mięs '!$C$5:$H$533,HE$4,0)*$AO40,0)</f>
        <v>0</v>
      </c>
      <c r="HF40">
        <f>IFERROR(VLOOKUP($D40,'Kalkulator mięs '!$C$5:$H$533,HF$4,0)*$AP40,0)</f>
        <v>0</v>
      </c>
      <c r="HG40">
        <f>IFERROR(VLOOKUP($D40,'Kalkulator mięs '!$C$5:$H$533,HG$4,0)*$AP40,0)</f>
        <v>0</v>
      </c>
      <c r="HH40">
        <f>IFERROR(VLOOKUP($D40,'Kalkulator mięs '!$C$5:$H$533,HH$4,0)*$AP40,0)</f>
        <v>0</v>
      </c>
      <c r="HI40">
        <f>IFERROR(VLOOKUP($D40,'Kalkulator mięs '!$C$5:$H$533,HI$4,0)*$AQ40,0)</f>
        <v>0</v>
      </c>
      <c r="HJ40">
        <f>IFERROR(VLOOKUP($D40,'Kalkulator mięs '!$C$5:$H$533,HJ$4,0)*$AQ40,0)</f>
        <v>0</v>
      </c>
      <c r="HK40">
        <f>IFERROR(VLOOKUP($D40,'Kalkulator mięs '!$C$5:$H$533,HK$4,0)*$AQ40,0)</f>
        <v>0</v>
      </c>
      <c r="HL40">
        <f>IFERROR(VLOOKUP($D40,'Kalkulator mięs '!$C$5:$H$533,HL$4,0)*$AR40,0)</f>
        <v>0</v>
      </c>
      <c r="HM40">
        <f>IFERROR(VLOOKUP($D40,'Kalkulator mięs '!$C$5:$H$533,HM$4,0)*$AR40,0)</f>
        <v>0</v>
      </c>
      <c r="HN40">
        <f>IFERROR(VLOOKUP($D40,'Kalkulator mięs '!$C$5:$H$533,HN$4,0)*$AR40,0)</f>
        <v>0</v>
      </c>
      <c r="HO40">
        <f>IFERROR(VLOOKUP($D40,'Kalkulator mięs '!$C$5:$H$533,HO$4,0)*$AS40,0)</f>
        <v>0</v>
      </c>
      <c r="HP40">
        <f>IFERROR(VLOOKUP($D40,'Kalkulator mięs '!$C$5:$H$533,HP$4,0)*$AS40,0)</f>
        <v>0</v>
      </c>
      <c r="HQ40">
        <f>IFERROR(VLOOKUP($D40,'Kalkulator mięs '!$C$5:$H$533,HQ$4,0)*$AS40,0)</f>
        <v>0</v>
      </c>
      <c r="HR40">
        <f>IFERROR(VLOOKUP($D40,'Kalkulator mięs '!$C$5:$H$533,HR$4,0)*$AT40,0)</f>
        <v>0</v>
      </c>
      <c r="HS40">
        <f>IFERROR(VLOOKUP($D40,'Kalkulator mięs '!$C$5:$H$533,HS$4,0)*$AT40,0)</f>
        <v>0</v>
      </c>
      <c r="HT40">
        <f>IFERROR(VLOOKUP($D40,'Kalkulator mięs '!$C$5:$H$533,HT$4,0)*$AT40,0)</f>
        <v>0</v>
      </c>
      <c r="HU40">
        <f>IFERROR(VLOOKUP($D40,'Kalkulator mięs '!$C$5:$H$533,HU$4,0)*$AU40,0)</f>
        <v>0</v>
      </c>
      <c r="HV40">
        <f>IFERROR(VLOOKUP($D40,'Kalkulator mięs '!$C$5:$H$533,HV$4,0)*$AU40,0)</f>
        <v>0</v>
      </c>
      <c r="HW40">
        <f>IFERROR(VLOOKUP($D40,'Kalkulator mięs '!$C$5:$H$533,HW$4,0)*$AU40,0)</f>
        <v>0</v>
      </c>
      <c r="HX40">
        <f>IFERROR(VLOOKUP($D40,'Kalkulator mięs '!$C$5:$H$533,HX$4,0)*$AV40,0)</f>
        <v>0</v>
      </c>
      <c r="HY40">
        <f>IFERROR(VLOOKUP($D40,'Kalkulator mięs '!$C$5:$H$533,HY$4,0)*$AV40,0)</f>
        <v>0</v>
      </c>
      <c r="HZ40">
        <f>IFERROR(VLOOKUP($D40,'Kalkulator mięs '!$C$5:$H$533,HZ$4,0)*$AV40,0)</f>
        <v>0</v>
      </c>
      <c r="IA40">
        <f>IFERROR(VLOOKUP($D40,'Kalkulator mięs '!$C$5:$H$533,IA$4,0)*$AW40,0)</f>
        <v>0</v>
      </c>
      <c r="IB40">
        <f>IFERROR(VLOOKUP($D40,'Kalkulator mięs '!$C$5:$H$533,IB$4,0)*$AW40,0)</f>
        <v>0</v>
      </c>
      <c r="IC40">
        <f>IFERROR(VLOOKUP($D40,'Kalkulator mięs '!$C$5:$H$533,IC$4,0)*$AW40,0)</f>
        <v>0</v>
      </c>
      <c r="ID40">
        <f>IFERROR(VLOOKUP($D40,'Kalkulator mięs '!$C$5:$H$533,ID$4,0)*$AX40,0)</f>
        <v>0</v>
      </c>
      <c r="IE40">
        <f>IFERROR(VLOOKUP($D40,'Kalkulator mięs '!$C$5:$H$533,IE$4,0)*$AX40,0)</f>
        <v>0</v>
      </c>
      <c r="IF40">
        <f>IFERROR(VLOOKUP($D40,'Kalkulator mięs '!$C$5:$H$533,IF$4,0)*$AX40,0)</f>
        <v>0</v>
      </c>
      <c r="IG40">
        <f>IFERROR(VLOOKUP($D40,'Kalkulator mięs '!$C$5:$H$533,IG$4,0)*$AY40,0)</f>
        <v>0</v>
      </c>
      <c r="IH40">
        <f>IFERROR(VLOOKUP($D40,'Kalkulator mięs '!$C$5:$H$533,IH$4,0)*$AY40,0)</f>
        <v>0</v>
      </c>
      <c r="II40">
        <f>IFERROR(VLOOKUP($D40,'Kalkulator mięs '!$C$5:$H$533,II$4,0)*$AY40,0)</f>
        <v>0</v>
      </c>
      <c r="IJ40">
        <f>IFERROR(VLOOKUP($D40,'Kalkulator mięs '!$C$5:$H$533,IJ$4,0)*$AZ40,0)</f>
        <v>0</v>
      </c>
      <c r="IK40">
        <f>IFERROR(VLOOKUP($D40,'Kalkulator mięs '!$C$5:$H$533,IK$4,0)*$AZ40,0)</f>
        <v>0</v>
      </c>
      <c r="IL40">
        <f>IFERROR(VLOOKUP($D40,'Kalkulator mięs '!$C$5:$H$533,IL$4,0)*$AZ40,0)</f>
        <v>0</v>
      </c>
      <c r="IM40">
        <f>IFERROR(VLOOKUP($D40,'Kalkulator mięs '!$C$5:$H$533,IM$4,0)*$BA40,0)</f>
        <v>0</v>
      </c>
      <c r="IN40">
        <f>IFERROR(VLOOKUP($D40,'Kalkulator mięs '!$C$5:$H$533,IN$4,0)*$BA40,0)</f>
        <v>0</v>
      </c>
      <c r="IO40">
        <f>IFERROR(VLOOKUP($D40,'Kalkulator mięs '!$C$5:$H$533,IO$4,0)*$BA40,0)</f>
        <v>0</v>
      </c>
    </row>
    <row r="41" spans="1:249" ht="15.75">
      <c r="B41" t="str">
        <f>VLOOKUP(D41,Receptury_z!$A:$B,2,0)</f>
        <v>ON</v>
      </c>
      <c r="C41" s="16">
        <v>5450</v>
      </c>
      <c r="D41" s="19">
        <v>6496</v>
      </c>
      <c r="E41" s="18" t="s">
        <v>46</v>
      </c>
      <c r="F41" s="14">
        <f>IF($B41="OFF",BE41,VLOOKUP($D41,Receptury_z!$D:$AI,F$4,0))</f>
        <v>0</v>
      </c>
      <c r="G41" s="14">
        <f>IF($B41="OFF",BF41,VLOOKUP($D41,Receptury_z!$D:$AI,G$4,0))</f>
        <v>0</v>
      </c>
      <c r="H41" s="14">
        <f>IF($B41="OFF",BG41,VLOOKUP($D41,Receptury_z!$D:$AI,H$4,0))</f>
        <v>0</v>
      </c>
      <c r="I41" s="14">
        <f>IF($B41="OFF",BH41,VLOOKUP($D41,Receptury_z!$D:$AI,I$4,0))</f>
        <v>0</v>
      </c>
      <c r="J41" s="14">
        <f>IF($B41="OFF",BI41,VLOOKUP($D41,Receptury_z!$D:$AI,J$4,0))</f>
        <v>0</v>
      </c>
      <c r="K41" s="14">
        <f>IF($B41="OFF",BJ41,VLOOKUP($D41,Receptury_z!$D:$AI,K$4,0))</f>
        <v>0</v>
      </c>
      <c r="L41" s="14">
        <f>IF($B41="OFF",BK41,VLOOKUP($D41,Receptury_z!$D:$AI,L$4,0))</f>
        <v>196</v>
      </c>
      <c r="M41" s="14">
        <f>IF($B41="OFF",BL41,VLOOKUP($D41,Receptury_z!$D:$AI,M$4,0))</f>
        <v>511.5</v>
      </c>
      <c r="N41" s="14">
        <f>IF($B41="OFF",BM41,VLOOKUP($D41,Receptury_z!$D:$AI,N$4,0))</f>
        <v>0</v>
      </c>
      <c r="O41" s="14">
        <f>IF($B41="OFF",BN41,VLOOKUP($D41,Receptury_z!$D:$AI,O$4,0))</f>
        <v>0</v>
      </c>
      <c r="P41" s="14">
        <f>IF($B41="OFF",BO41,VLOOKUP($D41,Receptury_z!$D:$AI,P$4,0))</f>
        <v>0</v>
      </c>
      <c r="Q41" s="14">
        <f>IF($B41="OFF",BP41,VLOOKUP($D41,Receptury_z!$D:$AI,Q$4,0))</f>
        <v>0</v>
      </c>
      <c r="R41" s="14">
        <f>IF($B41="OFF",BQ41,VLOOKUP($D41,Receptury_z!$D:$AI,R$4,0))</f>
        <v>0</v>
      </c>
      <c r="S41" s="14">
        <f>IF($B41="OFF",BR41,VLOOKUP($D41,Receptury_z!$D:$AI,S$4,0))</f>
        <v>0</v>
      </c>
      <c r="T41" s="14">
        <f>IF($B41="OFF",BS41,VLOOKUP($D41,Receptury_z!$D:$AI,T$4,0))</f>
        <v>0</v>
      </c>
      <c r="U41" s="14">
        <f>IF($B41="OFF",BT41,VLOOKUP($D41,Receptury_z!$D:$AI,U$4,0))</f>
        <v>0</v>
      </c>
      <c r="V41" s="14">
        <f>IF($B41="OFF",BU41,VLOOKUP($D41,Receptury_z!$D:$AI,V$4,0))</f>
        <v>0</v>
      </c>
      <c r="W41" s="14">
        <f>IF($B41="OFF",BV41,VLOOKUP($D41,Receptury_z!$D:$AI,W$4,0))</f>
        <v>0</v>
      </c>
      <c r="X41" s="14">
        <f>IF($B41="OFF",BW41,VLOOKUP($D41,Receptury_z!$D:$AI,X$4,0))</f>
        <v>0</v>
      </c>
      <c r="Y41" s="14">
        <f>IF($B41="OFF",BX41,VLOOKUP($D41,Receptury_z!$D:$AI,Y$4,0))</f>
        <v>0</v>
      </c>
      <c r="Z41" s="14">
        <f>IF($B41="OFF",BY41,VLOOKUP($D41,Receptury_z!$D:$AI,Z$4,0))</f>
        <v>0</v>
      </c>
      <c r="AA41" s="14">
        <f>IF($B41="OFF",BZ41,VLOOKUP($D41,Receptury_z!$D:$AI,AA$4,0))</f>
        <v>0</v>
      </c>
      <c r="AB41" s="14">
        <f>IF($B41="OFF",CA41,VLOOKUP($D41,Receptury_z!$D:$AI,AB$4,0))</f>
        <v>0</v>
      </c>
      <c r="AC41" s="14">
        <f>IF($B41="OFF",CB41,VLOOKUP($D41,Receptury_z!$D:$AI,AC$4,0))</f>
        <v>0</v>
      </c>
      <c r="AD41" s="14">
        <f>IF($B41="OFF",CC41,VLOOKUP($D41,Receptury_z!$D:$AI,AD$4,0))</f>
        <v>0</v>
      </c>
      <c r="AE41" s="14">
        <f>IF($B41="OFF",CD41,VLOOKUP($D41,Receptury_z!$D:$AI,AE$4,0))</f>
        <v>0</v>
      </c>
      <c r="AF41" s="14">
        <f>IF($B41="OFF",CE41,VLOOKUP($D41,Receptury_z!$D:$AI,AF$4,0))</f>
        <v>0</v>
      </c>
      <c r="AG41" s="14">
        <f>IF($B41="OFF",CF41,VLOOKUP($D41,Receptury_z!$D:$AI,AG$4,0))</f>
        <v>0</v>
      </c>
      <c r="AH41" s="14">
        <f>IF($B41="OFF",CG41,VLOOKUP($D41,Receptury_z!$D:$AI,AH$4,0))</f>
        <v>0</v>
      </c>
      <c r="AI41" s="14">
        <f>IF($B41="OFF",CH41,VLOOKUP($D41,Receptury_z!$D:$AI,AI$4,0))</f>
        <v>0</v>
      </c>
      <c r="AJ41" s="14">
        <f>IF($B41="OFF",CI41,VLOOKUP($D41,Receptury_z!$D:$AS,AJ$4,0))</f>
        <v>222.6</v>
      </c>
      <c r="AK41" s="14">
        <f>IF($B41="OFF",CJ41,VLOOKUP($D41,Receptury_z!$D:$AS,AK$4,0))</f>
        <v>0</v>
      </c>
      <c r="AL41" s="14">
        <f>IF($B41="OFF",CK41,VLOOKUP($D41,Receptury_z!$D:$AS,AL$4,0))</f>
        <v>0</v>
      </c>
      <c r="AM41" s="14">
        <f>IF($B41="OFF",CL41,VLOOKUP($D41,Receptury_z!$D:$AS,AM$4,0))</f>
        <v>0</v>
      </c>
      <c r="AN41" s="14">
        <f>IF($B41="OFF",CM41,VLOOKUP($D41,Receptury_z!$D:$AS,AN$4,0))</f>
        <v>0</v>
      </c>
      <c r="AO41" s="14">
        <f>IF($B41="OFF",CN41,VLOOKUP($D41,Receptury_z!$D:$AS,AO$4,0))</f>
        <v>0</v>
      </c>
      <c r="AP41" s="14">
        <f>IF($B41="OFF",CO41,VLOOKUP($D41,Receptury_z!$D:$AS,AP$4,0))</f>
        <v>0</v>
      </c>
      <c r="AQ41" s="14">
        <f>IF($B41="OFF",CP41,VLOOKUP($D41,Receptury_z!$D:$AS,AQ$4,0))</f>
        <v>0</v>
      </c>
      <c r="AR41" s="14">
        <f>IF($B41="OFF",CQ41,VLOOKUP($D41,Receptury_z!$D:$AS,AR$4,0))</f>
        <v>0</v>
      </c>
      <c r="AS41" s="14">
        <f>IF($B41="OFF",CR41,VLOOKUP($D41,Receptury_z!$D:$AS,AS$4,0))</f>
        <v>0</v>
      </c>
      <c r="AT41" s="14">
        <f>IF($B41="OFF",CS41,VLOOKUP($D41,Receptury_z!$D:$AV,AT$4,0))</f>
        <v>0</v>
      </c>
      <c r="AU41" s="14">
        <f>IF($B41="OFF",CT41,VLOOKUP($D41,Receptury_z!$D:$AV,AU$4,0))</f>
        <v>0</v>
      </c>
      <c r="AV41" s="14">
        <f>IF($B41="OFF",CU41,VLOOKUP($D41,Receptury_z!$D:$AV,AV$4,0))</f>
        <v>0</v>
      </c>
      <c r="AW41" s="14">
        <f>IF($B41="OFF",CV41,VLOOKUP($D41,Receptury_z!$D:$BA,AW$4,0))</f>
        <v>0</v>
      </c>
      <c r="AX41" s="14">
        <f>IF($B41="OFF",CW41,VLOOKUP($D41,Receptury_z!$D:$BA,AX$4,0))</f>
        <v>0</v>
      </c>
      <c r="AY41" s="14">
        <f>IF($B41="OFF",CX41,VLOOKUP($D41,Receptury_z!$D:$BA,AY$4,0))</f>
        <v>0</v>
      </c>
      <c r="AZ41" s="14">
        <f>IF($B41="OFF",DA41,VLOOKUP($D41,Receptury_z!$D:$BA,AZ$4,0))</f>
        <v>0</v>
      </c>
      <c r="BA41" s="14">
        <f>IF($B41="OFF",DB41,VLOOKUP($D41,Receptury_z!$D:$BA,BA$4,0))</f>
        <v>0</v>
      </c>
      <c r="BC41" s="19">
        <v>6496</v>
      </c>
      <c r="BD41" s="18" t="s">
        <v>46</v>
      </c>
      <c r="BE41" s="239">
        <v>0</v>
      </c>
      <c r="BF41" s="239">
        <v>0</v>
      </c>
      <c r="BG41" s="239">
        <v>0</v>
      </c>
      <c r="BH41" s="239">
        <v>0</v>
      </c>
      <c r="BI41" s="239">
        <v>0</v>
      </c>
      <c r="BJ41" s="239">
        <v>0</v>
      </c>
      <c r="BK41" s="239">
        <v>186</v>
      </c>
      <c r="BL41" s="239">
        <v>511.5</v>
      </c>
      <c r="BM41" s="239">
        <v>0</v>
      </c>
      <c r="BN41" s="239">
        <v>0</v>
      </c>
      <c r="BO41" s="239">
        <v>0</v>
      </c>
      <c r="BP41" s="239">
        <v>0</v>
      </c>
      <c r="BQ41" s="239">
        <v>0</v>
      </c>
      <c r="BR41" s="239">
        <v>0</v>
      </c>
      <c r="BS41" s="239">
        <v>0</v>
      </c>
      <c r="BT41" s="239">
        <v>0</v>
      </c>
      <c r="BU41" s="239">
        <v>0</v>
      </c>
      <c r="BV41" s="239">
        <v>0</v>
      </c>
      <c r="BW41" s="239">
        <v>0</v>
      </c>
      <c r="BX41" s="239">
        <v>0</v>
      </c>
      <c r="BY41" s="239">
        <v>0</v>
      </c>
      <c r="BZ41" s="239">
        <v>0</v>
      </c>
      <c r="CA41" s="239">
        <v>0</v>
      </c>
      <c r="CB41" s="239">
        <v>0</v>
      </c>
      <c r="CC41" s="239">
        <v>0</v>
      </c>
      <c r="CD41" s="239">
        <v>0</v>
      </c>
      <c r="CE41" s="239">
        <v>0</v>
      </c>
      <c r="CF41" s="239">
        <v>0</v>
      </c>
      <c r="CG41" s="239">
        <v>0</v>
      </c>
      <c r="CH41" s="239">
        <v>0</v>
      </c>
      <c r="CI41" s="239">
        <v>232.6</v>
      </c>
      <c r="CJ41" s="239">
        <v>0</v>
      </c>
      <c r="CK41" s="239">
        <v>0</v>
      </c>
      <c r="CL41" s="239">
        <v>0</v>
      </c>
      <c r="CM41" s="80"/>
      <c r="CN41" s="80"/>
      <c r="CO41" s="80"/>
      <c r="CP41" s="80"/>
      <c r="CQ41" s="80"/>
      <c r="CR41" s="80"/>
      <c r="CS41" s="80"/>
      <c r="CT41" s="80"/>
      <c r="CU41" s="80"/>
      <c r="CV41" s="80"/>
      <c r="CW41" s="80"/>
      <c r="CX41" s="80"/>
      <c r="CY41" s="80"/>
      <c r="CZ41" s="80"/>
      <c r="DB41">
        <f>IFERROR(VLOOKUP($D41,'Kalkulator mięs '!$C$5:$H$533,DB$4,0)*F41,0)</f>
        <v>0</v>
      </c>
      <c r="DC41">
        <f>IFERROR(VLOOKUP($D41,'Kalkulator mięs '!$C$5:$H$533,DC$4,0)*F41,0)</f>
        <v>0</v>
      </c>
      <c r="DD41">
        <f>IFERROR(VLOOKUP($D41,'Kalkulator mięs '!$C$5:$H$533,DD$4,0)*F41,0)</f>
        <v>0</v>
      </c>
      <c r="DE41">
        <f>IFERROR(VLOOKUP($D41,'Kalkulator mięs '!$C$5:$H$533,DE$4,0)*$G41,0)</f>
        <v>0</v>
      </c>
      <c r="DF41">
        <f>IFERROR(VLOOKUP($D41,'Kalkulator mięs '!$C$5:$H$533,DF$4,0)*$G41,0)</f>
        <v>0</v>
      </c>
      <c r="DG41">
        <f>IFERROR(VLOOKUP($D41,'Kalkulator mięs '!$C$5:$H$533,DG$4,0)*$G41,0)</f>
        <v>0</v>
      </c>
      <c r="DH41">
        <f>IFERROR(VLOOKUP($D41,'Kalkulator mięs '!$C$5:$H$533,DH$4,0)*$H41,0)</f>
        <v>0</v>
      </c>
      <c r="DI41">
        <f>IFERROR(VLOOKUP($D41,'Kalkulator mięs '!$C$5:$H$533,DI$4,0)*$H41,0)</f>
        <v>0</v>
      </c>
      <c r="DJ41">
        <f>IFERROR(VLOOKUP($D41,'Kalkulator mięs '!$C$5:$H$533,DJ$4,0)*$H41,0)</f>
        <v>0</v>
      </c>
      <c r="DK41">
        <f>IFERROR(VLOOKUP($D41,'Kalkulator mięs '!$C$5:$H$533,DK$4,0)*$I41,0)</f>
        <v>0</v>
      </c>
      <c r="DL41">
        <f>IFERROR(VLOOKUP($D41,'Kalkulator mięs '!$C$5:$H$533,DL$4,0)*$I41,0)</f>
        <v>0</v>
      </c>
      <c r="DM41">
        <f>IFERROR(VLOOKUP($D41,'Kalkulator mięs '!$C$5:$H$533,DM$4,0)*$I41,0)</f>
        <v>0</v>
      </c>
      <c r="DN41">
        <f>IFERROR(VLOOKUP($D41,'Kalkulator mięs '!$C$5:$H$533,DN$4,0)*$J41,0)</f>
        <v>0</v>
      </c>
      <c r="DO41">
        <f>IFERROR(VLOOKUP($D41,'Kalkulator mięs '!$C$5:$H$533,DO$4,0)*$J41,0)</f>
        <v>0</v>
      </c>
      <c r="DP41">
        <f>IFERROR(VLOOKUP($D41,'Kalkulator mięs '!$C$5:$H$533,DP$4,0)*$J41,0)</f>
        <v>0</v>
      </c>
      <c r="DQ41">
        <f>IFERROR(VLOOKUP($D41,'Kalkulator mięs '!$C$5:$H$533,DQ$4,0)*$K41,0)</f>
        <v>0</v>
      </c>
      <c r="DR41">
        <f>IFERROR(VLOOKUP($D41,'Kalkulator mięs '!$C$5:$H$533,DR$4,0)*$K41,0)</f>
        <v>0</v>
      </c>
      <c r="DS41">
        <f>IFERROR(VLOOKUP($D41,'Kalkulator mięs '!$C$5:$H$533,DS$4,0)*$K41,0)</f>
        <v>0</v>
      </c>
      <c r="DT41">
        <f>IFERROR(VLOOKUP($D41,'Kalkulator mięs '!$C$5:$H$533,DT$4,0)*$L41,0)</f>
        <v>0</v>
      </c>
      <c r="DU41">
        <f>IFERROR(VLOOKUP($D41,'Kalkulator mięs '!$C$5:$H$533,DU$4,0)*$L41,0)</f>
        <v>588</v>
      </c>
      <c r="DV41">
        <f>IFERROR(VLOOKUP($D41,'Kalkulator mięs '!$C$5:$H$533,DV$4,0)*$L41,0)</f>
        <v>0</v>
      </c>
      <c r="DW41">
        <f>IFERROR(VLOOKUP($D41,'Kalkulator mięs '!$C$5:$H$533,DW$4,0)*$M41,0)</f>
        <v>0</v>
      </c>
      <c r="DX41">
        <f>IFERROR(VLOOKUP($D41,'Kalkulator mięs '!$C$5:$H$533,DX$4,0)*$M41,0)</f>
        <v>1534.5</v>
      </c>
      <c r="DY41">
        <f>IFERROR(VLOOKUP($D41,'Kalkulator mięs '!$C$5:$H$533,DY$4,0)*$M41,0)</f>
        <v>0</v>
      </c>
      <c r="DZ41">
        <f>IFERROR(VLOOKUP($D41,'Kalkulator mięs '!$C$5:$H$533,DZ$4,0)*$N41,0)</f>
        <v>0</v>
      </c>
      <c r="EA41">
        <f>IFERROR(VLOOKUP($D41,'Kalkulator mięs '!$C$5:$H$533,EA$4,0)*$N41,0)</f>
        <v>0</v>
      </c>
      <c r="EB41">
        <f>IFERROR(VLOOKUP($D41,'Kalkulator mięs '!$C$5:$H$533,EB$4,0)*$N41,0)</f>
        <v>0</v>
      </c>
      <c r="EC41">
        <f>IFERROR(VLOOKUP($D41,'Kalkulator mięs '!$C$5:$H$533,EC$4,0)*$O41,0)</f>
        <v>0</v>
      </c>
      <c r="ED41">
        <f>IFERROR(VLOOKUP($D41,'Kalkulator mięs '!$C$5:$H$533,ED$4,0)*$O41,0)</f>
        <v>0</v>
      </c>
      <c r="EE41">
        <f>IFERROR(VLOOKUP($D41,'Kalkulator mięs '!$C$5:$H$533,EE$4,0)*$O41,0)</f>
        <v>0</v>
      </c>
      <c r="EF41">
        <f>IFERROR(VLOOKUP($D41,'Kalkulator mięs '!$C$5:$H$533,EF$4,0)*$P41,0)</f>
        <v>0</v>
      </c>
      <c r="EG41">
        <f>IFERROR(VLOOKUP($D41,'Kalkulator mięs '!$C$5:$H$533,EG$4,0)*$P41,0)</f>
        <v>0</v>
      </c>
      <c r="EH41">
        <f>IFERROR(VLOOKUP($D41,'Kalkulator mięs '!$C$5:$H$533,EH$4,0)*$P41,0)</f>
        <v>0</v>
      </c>
      <c r="EI41">
        <f>IFERROR(VLOOKUP($D41,'Kalkulator mięs '!$C$5:$H$533,EI$4,0)*$Q41,0)</f>
        <v>0</v>
      </c>
      <c r="EJ41">
        <f>IFERROR(VLOOKUP($D41,'Kalkulator mięs '!$C$5:$H$533,EJ$4,0)*$Q41,0)</f>
        <v>0</v>
      </c>
      <c r="EK41">
        <f>IFERROR(VLOOKUP($D41,'Kalkulator mięs '!$C$5:$H$533,EK$4,0)*$Q41,0)</f>
        <v>0</v>
      </c>
      <c r="EL41">
        <f>IFERROR(VLOOKUP($D41,'Kalkulator mięs '!$C$5:$H$533,EL$4,0)*$R41,0)</f>
        <v>0</v>
      </c>
      <c r="EM41">
        <f>IFERROR(VLOOKUP($D41,'Kalkulator mięs '!$C$5:$H$533,EM$4,0)*$R41,0)</f>
        <v>0</v>
      </c>
      <c r="EN41">
        <f>IFERROR(VLOOKUP($D41,'Kalkulator mięs '!$C$5:$H$533,EN$4,0)*$R41,0)</f>
        <v>0</v>
      </c>
      <c r="EO41">
        <f>IFERROR(VLOOKUP($D41,'Kalkulator mięs '!$C$5:$H$533,EO$4,0)*$S41,0)</f>
        <v>0</v>
      </c>
      <c r="EP41">
        <f>IFERROR(VLOOKUP($D41,'Kalkulator mięs '!$C$5:$H$533,EP$4,0)*$S41,0)</f>
        <v>0</v>
      </c>
      <c r="EQ41">
        <f>IFERROR(VLOOKUP($D41,'Kalkulator mięs '!$C$5:$H$533,EQ$4,0)*$S41,0)</f>
        <v>0</v>
      </c>
      <c r="ER41">
        <f>IFERROR(VLOOKUP($D41,'Kalkulator mięs '!$C$5:$H$533,ER$4,0)*$T41,0)</f>
        <v>0</v>
      </c>
      <c r="ES41">
        <f>IFERROR(VLOOKUP($D41,'Kalkulator mięs '!$C$5:$H$533,ES$4,0)*$T41,0)</f>
        <v>0</v>
      </c>
      <c r="ET41">
        <f>IFERROR(VLOOKUP($D41,'Kalkulator mięs '!$C$5:$H$533,ET$4,0)*$T41,0)</f>
        <v>0</v>
      </c>
      <c r="EU41">
        <f>IFERROR(VLOOKUP($D41,'Kalkulator mięs '!$C$5:$H$533,EU$4,0)*$U41,0)</f>
        <v>0</v>
      </c>
      <c r="EV41">
        <f>IFERROR(VLOOKUP($D41,'Kalkulator mięs '!$C$5:$H$533,EV$4,0)*$U41,0)</f>
        <v>0</v>
      </c>
      <c r="EW41">
        <f>IFERROR(VLOOKUP($D41,'Kalkulator mięs '!$C$5:$H$533,EW$4,0)*$U41,0)</f>
        <v>0</v>
      </c>
      <c r="EX41">
        <f>IFERROR(VLOOKUP($D41,'Kalkulator mięs '!$C$5:$H$533,EX$4,0)*$V41,0)</f>
        <v>0</v>
      </c>
      <c r="EY41">
        <f>IFERROR(VLOOKUP($D41,'Kalkulator mięs '!$C$5:$H$533,EY$4,0)*$V41,0)</f>
        <v>0</v>
      </c>
      <c r="EZ41">
        <f>IFERROR(VLOOKUP($D41,'Kalkulator mięs '!$C$5:$H$533,EZ$4,0)*$V41,0)</f>
        <v>0</v>
      </c>
      <c r="FA41">
        <f>IFERROR(VLOOKUP($D41,'Kalkulator mięs '!$C$5:$H$533,FA$4,0)*$W41,0)</f>
        <v>0</v>
      </c>
      <c r="FB41">
        <f>IFERROR(VLOOKUP($D41,'Kalkulator mięs '!$C$5:$H$533,FB$4,0)*$W41,0)</f>
        <v>0</v>
      </c>
      <c r="FC41">
        <f>IFERROR(VLOOKUP($D41,'Kalkulator mięs '!$C$5:$H$533,FC$4,0)*$W41,0)</f>
        <v>0</v>
      </c>
      <c r="FD41">
        <f>IFERROR(VLOOKUP($D41,'Kalkulator mięs '!$C$5:$H$533,FD$4,0)*$X41,0)</f>
        <v>0</v>
      </c>
      <c r="FE41">
        <f>IFERROR(VLOOKUP($D41,'Kalkulator mięs '!$C$5:$H$533,FE$4,0)*$X41,0)</f>
        <v>0</v>
      </c>
      <c r="FF41">
        <f>IFERROR(VLOOKUP($D41,'Kalkulator mięs '!$C$5:$H$533,FF$4,0)*$X41,0)</f>
        <v>0</v>
      </c>
      <c r="FG41">
        <f>IFERROR(VLOOKUP($D41,'Kalkulator mięs '!$C$5:$H$533,FG$4,0)*$Y41,0)</f>
        <v>0</v>
      </c>
      <c r="FH41">
        <f>IFERROR(VLOOKUP($D41,'Kalkulator mięs '!$C$5:$H$533,FH$4,0)*$Y41,0)</f>
        <v>0</v>
      </c>
      <c r="FI41">
        <f>IFERROR(VLOOKUP($D41,'Kalkulator mięs '!$C$5:$H$533,FI$4,0)*$Y41,0)</f>
        <v>0</v>
      </c>
      <c r="FJ41">
        <f>IFERROR(VLOOKUP($D41,'Kalkulator mięs '!$C$5:$H$533,FJ$4,0)*$Z41,0)</f>
        <v>0</v>
      </c>
      <c r="FK41">
        <f>IFERROR(VLOOKUP($D41,'Kalkulator mięs '!$C$5:$H$533,FK$4,0)*$Z41,0)</f>
        <v>0</v>
      </c>
      <c r="FL41">
        <f>IFERROR(VLOOKUP($D41,'Kalkulator mięs '!$C$5:$H$533,FL$4,0)*$Z41,0)</f>
        <v>0</v>
      </c>
      <c r="FM41">
        <f>IFERROR(VLOOKUP($D41,'Kalkulator mięs '!$C$5:$H$533,FM$4,0)*$AA41,0)</f>
        <v>0</v>
      </c>
      <c r="FN41">
        <f>IFERROR(VLOOKUP($D41,'Kalkulator mięs '!$C$5:$H$533,FN$4,0)*$AA41,0)</f>
        <v>0</v>
      </c>
      <c r="FO41">
        <f>IFERROR(VLOOKUP($D41,'Kalkulator mięs '!$C$5:$H$533,FO$4,0)*$AA41,0)</f>
        <v>0</v>
      </c>
      <c r="FP41">
        <f>IFERROR(VLOOKUP($D41,'Kalkulator mięs '!$C$5:$H$533,FP$4,0)*$AB41,0)</f>
        <v>0</v>
      </c>
      <c r="FQ41">
        <f>IFERROR(VLOOKUP($D41,'Kalkulator mięs '!$C$5:$H$533,FQ$4,0)*$AB41,0)</f>
        <v>0</v>
      </c>
      <c r="FR41">
        <f>IFERROR(VLOOKUP($D41,'Kalkulator mięs '!$C$5:$H$533,FR$4,0)*$AB41,0)</f>
        <v>0</v>
      </c>
      <c r="FS41">
        <f>IFERROR(VLOOKUP($D41,'Kalkulator mięs '!$C$5:$H$533,FS$4,0)*$AC41,0)</f>
        <v>0</v>
      </c>
      <c r="FT41">
        <f>IFERROR(VLOOKUP($D41,'Kalkulator mięs '!$C$5:$H$533,FT$4,0)*$AC41,0)</f>
        <v>0</v>
      </c>
      <c r="FU41">
        <f>IFERROR(VLOOKUP($D41,'Kalkulator mięs '!$C$5:$H$533,FU$4,0)*$AC41,0)</f>
        <v>0</v>
      </c>
      <c r="FV41">
        <f>IFERROR(VLOOKUP($D41,'Kalkulator mięs '!$C$5:$H$533,FV$4,0)*$AD41,0)</f>
        <v>0</v>
      </c>
      <c r="FW41">
        <f>IFERROR(VLOOKUP($D41,'Kalkulator mięs '!$C$5:$H$533,FW$4,0)*$AD41,0)</f>
        <v>0</v>
      </c>
      <c r="FX41">
        <f>IFERROR(VLOOKUP($D41,'Kalkulator mięs '!$C$5:$H$533,FX$4,0)*$AD41,0)</f>
        <v>0</v>
      </c>
      <c r="FY41">
        <f>IFERROR(VLOOKUP($D41,'Kalkulator mięs '!$C$5:$H$533,FY$4,0)*$AE41,0)</f>
        <v>0</v>
      </c>
      <c r="FZ41">
        <f>IFERROR(VLOOKUP($D41,'Kalkulator mięs '!$C$5:$H$533,FZ$4,0)*$AE41,0)</f>
        <v>0</v>
      </c>
      <c r="GA41">
        <f>IFERROR(VLOOKUP($D41,'Kalkulator mięs '!$C$5:$H$533,GA$4,0)*$AE41,0)</f>
        <v>0</v>
      </c>
      <c r="GB41">
        <f>IFERROR(VLOOKUP($D41,'Kalkulator mięs '!$C$5:$H$533,GB$4,0)*$AF41,0)</f>
        <v>0</v>
      </c>
      <c r="GC41">
        <f>IFERROR(VLOOKUP($D41,'Kalkulator mięs '!$C$5:$H$533,GC$4,0)*$AF41,0)</f>
        <v>0</v>
      </c>
      <c r="GD41">
        <f>IFERROR(VLOOKUP($D41,'Kalkulator mięs '!$C$5:$H$533,GD$4,0)*$AF41,0)</f>
        <v>0</v>
      </c>
      <c r="GE41">
        <f>IFERROR(VLOOKUP($D41,'Kalkulator mięs '!$C$5:$H$533,GE$4,0)*$AG41,0)</f>
        <v>0</v>
      </c>
      <c r="GF41">
        <f>IFERROR(VLOOKUP($D41,'Kalkulator mięs '!$C$5:$H$533,GF$4,0)*$AG41,0)</f>
        <v>0</v>
      </c>
      <c r="GG41">
        <f>IFERROR(VLOOKUP($D41,'Kalkulator mięs '!$C$5:$H$533,GG$4,0)*$AG41,0)</f>
        <v>0</v>
      </c>
      <c r="GH41">
        <f>IFERROR(VLOOKUP($D41,'Kalkulator mięs '!$C$5:$H$533,GH$4,0)*$AH41,0)</f>
        <v>0</v>
      </c>
      <c r="GI41">
        <f>IFERROR(VLOOKUP($D41,'Kalkulator mięs '!$C$5:$H$533,GI$4,0)*$AH41,0)</f>
        <v>0</v>
      </c>
      <c r="GJ41">
        <f>IFERROR(VLOOKUP($D41,'Kalkulator mięs '!$C$5:$H$533,GJ$4,0)*$AH41,0)</f>
        <v>0</v>
      </c>
      <c r="GK41">
        <f>IFERROR(VLOOKUP($D41,'Kalkulator mięs '!$C$5:$H$533,GK$4,0)*$AI41,0)</f>
        <v>0</v>
      </c>
      <c r="GL41">
        <f>IFERROR(VLOOKUP($D41,'Kalkulator mięs '!$C$5:$H$533,GL$4,0)*$AI41,0)</f>
        <v>0</v>
      </c>
      <c r="GM41">
        <f>IFERROR(VLOOKUP($D41,'Kalkulator mięs '!$C$5:$H$533,GM$4,0)*$AI41,0)</f>
        <v>0</v>
      </c>
      <c r="GN41">
        <f>IFERROR(VLOOKUP($D41,'Kalkulator mięs '!$C$5:$H$533,GN$4,0)*$AJ41,0)</f>
        <v>0</v>
      </c>
      <c r="GO41">
        <f>IFERROR(VLOOKUP($D41,'Kalkulator mięs '!$C$5:$H$533,GO$4,0)*$AJ41,0)</f>
        <v>667.8</v>
      </c>
      <c r="GP41">
        <f>IFERROR(VLOOKUP($D41,'Kalkulator mięs '!$C$5:$H$533,GP$4,0)*$AJ41,0)</f>
        <v>0</v>
      </c>
      <c r="GQ41">
        <f>IFERROR(VLOOKUP($D41,'Kalkulator mięs '!$C$5:$H$533,GQ$4,0)*$AK41,0)</f>
        <v>0</v>
      </c>
      <c r="GR41">
        <f>IFERROR(VLOOKUP($D41,'Kalkulator mięs '!$C$5:$H$533,GR$4,0)*$AK41,0)</f>
        <v>0</v>
      </c>
      <c r="GS41">
        <f>IFERROR(VLOOKUP($D41,'Kalkulator mięs '!$C$5:$H$533,GS$4,0)*$AK41,0)</f>
        <v>0</v>
      </c>
      <c r="GT41">
        <f>IFERROR(VLOOKUP($D41,'Kalkulator mięs '!$C$5:$H$533,GT$4,0)*$AL41,0)</f>
        <v>0</v>
      </c>
      <c r="GU41">
        <f>IFERROR(VLOOKUP($D41,'Kalkulator mięs '!$C$5:$H$533,GU$4,0)*$AL41,0)</f>
        <v>0</v>
      </c>
      <c r="GV41">
        <f>IFERROR(VLOOKUP($D41,'Kalkulator mięs '!$C$5:$H$533,GV$4,0)*$AL41,0)</f>
        <v>0</v>
      </c>
      <c r="GW41">
        <f>IFERROR(VLOOKUP($D41,'Kalkulator mięs '!$C$5:$H$533,GW$4,0)*$AM41,0)</f>
        <v>0</v>
      </c>
      <c r="GX41">
        <f>IFERROR(VLOOKUP($D41,'Kalkulator mięs '!$C$5:$H$533,GX$4,0)*$AM41,0)</f>
        <v>0</v>
      </c>
      <c r="GY41">
        <f>IFERROR(VLOOKUP($D41,'Kalkulator mięs '!$C$5:$H$533,GY$4,0)*$AM41,0)</f>
        <v>0</v>
      </c>
      <c r="GZ41">
        <f>IFERROR(VLOOKUP($D41,'Kalkulator mięs '!$C$5:$H$533,GZ$4,0)*$AN41,0)</f>
        <v>0</v>
      </c>
      <c r="HA41">
        <f>IFERROR(VLOOKUP($D41,'Kalkulator mięs '!$C$5:$H$533,HA$4,0)*$AN41,0)</f>
        <v>0</v>
      </c>
      <c r="HB41">
        <f>IFERROR(VLOOKUP($D41,'Kalkulator mięs '!$C$5:$H$533,HB$4,0)*$AN41,0)</f>
        <v>0</v>
      </c>
      <c r="HC41">
        <f>IFERROR(VLOOKUP($D41,'Kalkulator mięs '!$C$5:$H$533,HC$4,0)*$AO41,0)</f>
        <v>0</v>
      </c>
      <c r="HD41">
        <f>IFERROR(VLOOKUP($D41,'Kalkulator mięs '!$C$5:$H$533,HD$4,0)*$AO41,0)</f>
        <v>0</v>
      </c>
      <c r="HE41">
        <f>IFERROR(VLOOKUP($D41,'Kalkulator mięs '!$C$5:$H$533,HE$4,0)*$AO41,0)</f>
        <v>0</v>
      </c>
      <c r="HF41">
        <f>IFERROR(VLOOKUP($D41,'Kalkulator mięs '!$C$5:$H$533,HF$4,0)*$AP41,0)</f>
        <v>0</v>
      </c>
      <c r="HG41">
        <f>IFERROR(VLOOKUP($D41,'Kalkulator mięs '!$C$5:$H$533,HG$4,0)*$AP41,0)</f>
        <v>0</v>
      </c>
      <c r="HH41">
        <f>IFERROR(VLOOKUP($D41,'Kalkulator mięs '!$C$5:$H$533,HH$4,0)*$AP41,0)</f>
        <v>0</v>
      </c>
      <c r="HI41">
        <f>IFERROR(VLOOKUP($D41,'Kalkulator mięs '!$C$5:$H$533,HI$4,0)*$AQ41,0)</f>
        <v>0</v>
      </c>
      <c r="HJ41">
        <f>IFERROR(VLOOKUP($D41,'Kalkulator mięs '!$C$5:$H$533,HJ$4,0)*$AQ41,0)</f>
        <v>0</v>
      </c>
      <c r="HK41">
        <f>IFERROR(VLOOKUP($D41,'Kalkulator mięs '!$C$5:$H$533,HK$4,0)*$AQ41,0)</f>
        <v>0</v>
      </c>
      <c r="HL41">
        <f>IFERROR(VLOOKUP($D41,'Kalkulator mięs '!$C$5:$H$533,HL$4,0)*$AR41,0)</f>
        <v>0</v>
      </c>
      <c r="HM41">
        <f>IFERROR(VLOOKUP($D41,'Kalkulator mięs '!$C$5:$H$533,HM$4,0)*$AR41,0)</f>
        <v>0</v>
      </c>
      <c r="HN41">
        <f>IFERROR(VLOOKUP($D41,'Kalkulator mięs '!$C$5:$H$533,HN$4,0)*$AR41,0)</f>
        <v>0</v>
      </c>
      <c r="HO41">
        <f>IFERROR(VLOOKUP($D41,'Kalkulator mięs '!$C$5:$H$533,HO$4,0)*$AS41,0)</f>
        <v>0</v>
      </c>
      <c r="HP41">
        <f>IFERROR(VLOOKUP($D41,'Kalkulator mięs '!$C$5:$H$533,HP$4,0)*$AS41,0)</f>
        <v>0</v>
      </c>
      <c r="HQ41">
        <f>IFERROR(VLOOKUP($D41,'Kalkulator mięs '!$C$5:$H$533,HQ$4,0)*$AS41,0)</f>
        <v>0</v>
      </c>
      <c r="HR41">
        <f>IFERROR(VLOOKUP($D41,'Kalkulator mięs '!$C$5:$H$533,HR$4,0)*$AT41,0)</f>
        <v>0</v>
      </c>
      <c r="HS41">
        <f>IFERROR(VLOOKUP($D41,'Kalkulator mięs '!$C$5:$H$533,HS$4,0)*$AT41,0)</f>
        <v>0</v>
      </c>
      <c r="HT41">
        <f>IFERROR(VLOOKUP($D41,'Kalkulator mięs '!$C$5:$H$533,HT$4,0)*$AT41,0)</f>
        <v>0</v>
      </c>
      <c r="HU41">
        <f>IFERROR(VLOOKUP($D41,'Kalkulator mięs '!$C$5:$H$533,HU$4,0)*$AU41,0)</f>
        <v>0</v>
      </c>
      <c r="HV41">
        <f>IFERROR(VLOOKUP($D41,'Kalkulator mięs '!$C$5:$H$533,HV$4,0)*$AU41,0)</f>
        <v>0</v>
      </c>
      <c r="HW41">
        <f>IFERROR(VLOOKUP($D41,'Kalkulator mięs '!$C$5:$H$533,HW$4,0)*$AU41,0)</f>
        <v>0</v>
      </c>
      <c r="HX41">
        <f>IFERROR(VLOOKUP($D41,'Kalkulator mięs '!$C$5:$H$533,HX$4,0)*$AV41,0)</f>
        <v>0</v>
      </c>
      <c r="HY41">
        <f>IFERROR(VLOOKUP($D41,'Kalkulator mięs '!$C$5:$H$533,HY$4,0)*$AV41,0)</f>
        <v>0</v>
      </c>
      <c r="HZ41">
        <f>IFERROR(VLOOKUP($D41,'Kalkulator mięs '!$C$5:$H$533,HZ$4,0)*$AV41,0)</f>
        <v>0</v>
      </c>
      <c r="IA41">
        <f>IFERROR(VLOOKUP($D41,'Kalkulator mięs '!$C$5:$H$533,IA$4,0)*$AW41,0)</f>
        <v>0</v>
      </c>
      <c r="IB41">
        <f>IFERROR(VLOOKUP($D41,'Kalkulator mięs '!$C$5:$H$533,IB$4,0)*$AW41,0)</f>
        <v>0</v>
      </c>
      <c r="IC41">
        <f>IFERROR(VLOOKUP($D41,'Kalkulator mięs '!$C$5:$H$533,IC$4,0)*$AW41,0)</f>
        <v>0</v>
      </c>
      <c r="ID41">
        <f>IFERROR(VLOOKUP($D41,'Kalkulator mięs '!$C$5:$H$533,ID$4,0)*$AX41,0)</f>
        <v>0</v>
      </c>
      <c r="IE41">
        <f>IFERROR(VLOOKUP($D41,'Kalkulator mięs '!$C$5:$H$533,IE$4,0)*$AX41,0)</f>
        <v>0</v>
      </c>
      <c r="IF41">
        <f>IFERROR(VLOOKUP($D41,'Kalkulator mięs '!$C$5:$H$533,IF$4,0)*$AX41,0)</f>
        <v>0</v>
      </c>
      <c r="IG41">
        <f>IFERROR(VLOOKUP($D41,'Kalkulator mięs '!$C$5:$H$533,IG$4,0)*$AY41,0)</f>
        <v>0</v>
      </c>
      <c r="IH41">
        <f>IFERROR(VLOOKUP($D41,'Kalkulator mięs '!$C$5:$H$533,IH$4,0)*$AY41,0)</f>
        <v>0</v>
      </c>
      <c r="II41">
        <f>IFERROR(VLOOKUP($D41,'Kalkulator mięs '!$C$5:$H$533,II$4,0)*$AY41,0)</f>
        <v>0</v>
      </c>
      <c r="IJ41">
        <f>IFERROR(VLOOKUP($D41,'Kalkulator mięs '!$C$5:$H$533,IJ$4,0)*$AZ41,0)</f>
        <v>0</v>
      </c>
      <c r="IK41">
        <f>IFERROR(VLOOKUP($D41,'Kalkulator mięs '!$C$5:$H$533,IK$4,0)*$AZ41,0)</f>
        <v>0</v>
      </c>
      <c r="IL41">
        <f>IFERROR(VLOOKUP($D41,'Kalkulator mięs '!$C$5:$H$533,IL$4,0)*$AZ41,0)</f>
        <v>0</v>
      </c>
      <c r="IM41">
        <f>IFERROR(VLOOKUP($D41,'Kalkulator mięs '!$C$5:$H$533,IM$4,0)*$BA41,0)</f>
        <v>0</v>
      </c>
      <c r="IN41">
        <f>IFERROR(VLOOKUP($D41,'Kalkulator mięs '!$C$5:$H$533,IN$4,0)*$BA41,0)</f>
        <v>0</v>
      </c>
      <c r="IO41">
        <f>IFERROR(VLOOKUP($D41,'Kalkulator mięs '!$C$5:$H$533,IO$4,0)*$BA41,0)</f>
        <v>0</v>
      </c>
    </row>
    <row r="42" spans="1:249" ht="15.75">
      <c r="B42" t="str">
        <f>VLOOKUP(D42,Receptury_z!$A:$B,2,0)</f>
        <v>ON</v>
      </c>
      <c r="C42" s="16">
        <v>5531</v>
      </c>
      <c r="D42" s="19">
        <v>6548</v>
      </c>
      <c r="E42" s="20" t="s">
        <v>47</v>
      </c>
      <c r="F42" s="14">
        <f>IF($B42="OFF",BE42,VLOOKUP($D42,Receptury_z!$D:$AI,F$4,0))</f>
        <v>0</v>
      </c>
      <c r="G42" s="14">
        <f>IF($B42="OFF",BF42,VLOOKUP($D42,Receptury_z!$D:$AI,G$4,0))</f>
        <v>0</v>
      </c>
      <c r="H42" s="14">
        <f>IF($B42="OFF",BG42,VLOOKUP($D42,Receptury_z!$D:$AI,H$4,0))</f>
        <v>0</v>
      </c>
      <c r="I42" s="14">
        <f>IF($B42="OFF",BH42,VLOOKUP($D42,Receptury_z!$D:$AI,I$4,0))</f>
        <v>0</v>
      </c>
      <c r="J42" s="14">
        <f>IF($B42="OFF",BI42,VLOOKUP($D42,Receptury_z!$D:$AI,J$4,0))</f>
        <v>0</v>
      </c>
      <c r="K42" s="14">
        <f>IF($B42="OFF",BJ42,VLOOKUP($D42,Receptury_z!$D:$AI,K$4,0))</f>
        <v>0</v>
      </c>
      <c r="L42" s="14">
        <f>IF($B42="OFF",BK42,VLOOKUP($D42,Receptury_z!$D:$AI,L$4,0))</f>
        <v>0</v>
      </c>
      <c r="M42" s="14">
        <f>IF($B42="OFF",BL42,VLOOKUP($D42,Receptury_z!$D:$AI,M$4,0))</f>
        <v>0</v>
      </c>
      <c r="N42" s="14">
        <f>IF($B42="OFF",BM42,VLOOKUP($D42,Receptury_z!$D:$AI,N$4,0))</f>
        <v>0</v>
      </c>
      <c r="O42" s="14">
        <f>IF($B42="OFF",BN42,VLOOKUP($D42,Receptury_z!$D:$AI,O$4,0))</f>
        <v>0</v>
      </c>
      <c r="P42" s="14">
        <f>IF($B42="OFF",BO42,VLOOKUP($D42,Receptury_z!$D:$AI,P$4,0))</f>
        <v>0</v>
      </c>
      <c r="Q42" s="14">
        <f>IF($B42="OFF",BP42,VLOOKUP($D42,Receptury_z!$D:$AI,Q$4,0))</f>
        <v>0</v>
      </c>
      <c r="R42" s="14">
        <f>IF($B42="OFF",BQ42,VLOOKUP($D42,Receptury_z!$D:$AI,R$4,0))</f>
        <v>0</v>
      </c>
      <c r="S42" s="14">
        <f>IF($B42="OFF",BR42,VLOOKUP($D42,Receptury_z!$D:$AI,S$4,0))</f>
        <v>0</v>
      </c>
      <c r="T42" s="14">
        <f>IF($B42="OFF",BS42,VLOOKUP($D42,Receptury_z!$D:$AI,T$4,0))</f>
        <v>780.9</v>
      </c>
      <c r="U42" s="14">
        <f>IF($B42="OFF",BT42,VLOOKUP($D42,Receptury_z!$D:$AI,U$4,0))</f>
        <v>195.2</v>
      </c>
      <c r="V42" s="14">
        <f>IF($B42="OFF",BU42,VLOOKUP($D42,Receptury_z!$D:$AI,V$4,0))</f>
        <v>0</v>
      </c>
      <c r="W42" s="14">
        <f>IF($B42="OFF",BV42,VLOOKUP($D42,Receptury_z!$D:$AI,W$4,0))</f>
        <v>0</v>
      </c>
      <c r="X42" s="14">
        <f>IF($B42="OFF",BW42,VLOOKUP($D42,Receptury_z!$D:$AI,X$4,0))</f>
        <v>0</v>
      </c>
      <c r="Y42" s="14">
        <f>IF($B42="OFF",BX42,VLOOKUP($D42,Receptury_z!$D:$AI,Y$4,0))</f>
        <v>0</v>
      </c>
      <c r="Z42" s="14">
        <f>IF($B42="OFF",BY42,VLOOKUP($D42,Receptury_z!$D:$AI,Z$4,0))</f>
        <v>0</v>
      </c>
      <c r="AA42" s="14">
        <f>IF($B42="OFF",BZ42,VLOOKUP($D42,Receptury_z!$D:$AI,AA$4,0))</f>
        <v>0</v>
      </c>
      <c r="AB42" s="14">
        <f>IF($B42="OFF",CA42,VLOOKUP($D42,Receptury_z!$D:$AI,AB$4,0))</f>
        <v>0</v>
      </c>
      <c r="AC42" s="14">
        <f>IF($B42="OFF",CB42,VLOOKUP($D42,Receptury_z!$D:$AI,AC$4,0))</f>
        <v>0</v>
      </c>
      <c r="AD42" s="14">
        <f>IF($B42="OFF",CC42,VLOOKUP($D42,Receptury_z!$D:$AI,AD$4,0))</f>
        <v>0</v>
      </c>
      <c r="AE42" s="14">
        <f>IF($B42="OFF",CD42,VLOOKUP($D42,Receptury_z!$D:$AI,AE$4,0))</f>
        <v>0</v>
      </c>
      <c r="AF42" s="14">
        <f>IF($B42="OFF",CE42,VLOOKUP($D42,Receptury_z!$D:$AI,AF$4,0))</f>
        <v>0</v>
      </c>
      <c r="AG42" s="14">
        <f>IF($B42="OFF",CF42,VLOOKUP($D42,Receptury_z!$D:$AI,AG$4,0))</f>
        <v>0</v>
      </c>
      <c r="AH42" s="14">
        <f>IF($B42="OFF",CG42,VLOOKUP($D42,Receptury_z!$D:$AI,AH$4,0))</f>
        <v>0</v>
      </c>
      <c r="AI42" s="14">
        <f>IF($B42="OFF",CH42,VLOOKUP($D42,Receptury_z!$D:$AI,AI$4,0))</f>
        <v>0</v>
      </c>
      <c r="AJ42" s="14">
        <f>IF($B42="OFF",CI42,VLOOKUP($D42,Receptury_z!$D:$AS,AJ$4,0))</f>
        <v>0</v>
      </c>
      <c r="AK42" s="14">
        <f>IF($B42="OFF",CJ42,VLOOKUP($D42,Receptury_z!$D:$AS,AK$4,0))</f>
        <v>0</v>
      </c>
      <c r="AL42" s="14">
        <f>IF($B42="OFF",CK42,VLOOKUP($D42,Receptury_z!$D:$AS,AL$4,0))</f>
        <v>0</v>
      </c>
      <c r="AM42" s="14">
        <f>IF($B42="OFF",CL42,VLOOKUP($D42,Receptury_z!$D:$AS,AM$4,0))</f>
        <v>0</v>
      </c>
      <c r="AN42" s="14">
        <f>IF($B42="OFF",CM42,VLOOKUP($D42,Receptury_z!$D:$AS,AN$4,0))</f>
        <v>0</v>
      </c>
      <c r="AO42" s="14">
        <f>IF($B42="OFF",CN42,VLOOKUP($D42,Receptury_z!$D:$AS,AO$4,0))</f>
        <v>0</v>
      </c>
      <c r="AP42" s="14">
        <f>IF($B42="OFF",CO42,VLOOKUP($D42,Receptury_z!$D:$AS,AP$4,0))</f>
        <v>0</v>
      </c>
      <c r="AQ42" s="14">
        <f>IF($B42="OFF",CP42,VLOOKUP($D42,Receptury_z!$D:$AS,AQ$4,0))</f>
        <v>0</v>
      </c>
      <c r="AR42" s="14">
        <f>IF($B42="OFF",CQ42,VLOOKUP($D42,Receptury_z!$D:$AS,AR$4,0))</f>
        <v>0</v>
      </c>
      <c r="AS42" s="14">
        <f>IF($B42="OFF",CR42,VLOOKUP($D42,Receptury_z!$D:$AS,AS$4,0))</f>
        <v>0</v>
      </c>
      <c r="AT42" s="14">
        <f>IF($B42="OFF",CS42,VLOOKUP($D42,Receptury_z!$D:$AV,AT$4,0))</f>
        <v>0</v>
      </c>
      <c r="AU42" s="14">
        <f>IF($B42="OFF",CT42,VLOOKUP($D42,Receptury_z!$D:$AV,AU$4,0))</f>
        <v>0</v>
      </c>
      <c r="AV42" s="14">
        <f>IF($B42="OFF",CU42,VLOOKUP($D42,Receptury_z!$D:$AV,AV$4,0))</f>
        <v>0</v>
      </c>
      <c r="AW42" s="14">
        <f>IF($B42="OFF",CV42,VLOOKUP($D42,Receptury_z!$D:$BA,AW$4,0))</f>
        <v>0</v>
      </c>
      <c r="AX42" s="14">
        <f>IF($B42="OFF",CW42,VLOOKUP($D42,Receptury_z!$D:$BA,AX$4,0))</f>
        <v>0</v>
      </c>
      <c r="AY42" s="14">
        <f>IF($B42="OFF",CX42,VLOOKUP($D42,Receptury_z!$D:$BA,AY$4,0))</f>
        <v>0</v>
      </c>
      <c r="AZ42" s="14">
        <f>IF($B42="OFF",DA42,VLOOKUP($D42,Receptury_z!$D:$BA,AZ$4,0))</f>
        <v>0</v>
      </c>
      <c r="BA42" s="14">
        <f>IF($B42="OFF",DB42,VLOOKUP($D42,Receptury_z!$D:$BA,BA$4,0))</f>
        <v>0</v>
      </c>
      <c r="BC42" s="19">
        <v>6548</v>
      </c>
      <c r="BD42" s="20" t="s">
        <v>47</v>
      </c>
      <c r="BE42" s="239">
        <v>0</v>
      </c>
      <c r="BF42" s="239">
        <v>0</v>
      </c>
      <c r="BG42" s="239">
        <v>0</v>
      </c>
      <c r="BH42" s="239">
        <v>0</v>
      </c>
      <c r="BI42" s="239">
        <v>0</v>
      </c>
      <c r="BJ42" s="239">
        <v>0</v>
      </c>
      <c r="BK42" s="239">
        <v>0</v>
      </c>
      <c r="BL42" s="239">
        <v>0</v>
      </c>
      <c r="BM42" s="239">
        <v>0</v>
      </c>
      <c r="BN42" s="239">
        <v>0</v>
      </c>
      <c r="BO42" s="239">
        <v>0</v>
      </c>
      <c r="BP42" s="239">
        <v>0</v>
      </c>
      <c r="BQ42" s="239">
        <v>0</v>
      </c>
      <c r="BR42" s="239">
        <v>0</v>
      </c>
      <c r="BS42" s="239">
        <v>780.9</v>
      </c>
      <c r="BT42" s="239">
        <v>195.2</v>
      </c>
      <c r="BU42" s="239">
        <v>0</v>
      </c>
      <c r="BV42" s="239">
        <v>0</v>
      </c>
      <c r="BW42" s="239">
        <v>0</v>
      </c>
      <c r="BX42" s="239">
        <v>0</v>
      </c>
      <c r="BY42" s="239">
        <v>0</v>
      </c>
      <c r="BZ42" s="239">
        <v>0</v>
      </c>
      <c r="CA42" s="239">
        <v>0</v>
      </c>
      <c r="CB42" s="239">
        <v>0</v>
      </c>
      <c r="CC42" s="239">
        <v>0</v>
      </c>
      <c r="CD42" s="239">
        <v>0</v>
      </c>
      <c r="CE42" s="239">
        <v>0</v>
      </c>
      <c r="CF42" s="239">
        <v>0</v>
      </c>
      <c r="CG42" s="239">
        <v>0</v>
      </c>
      <c r="CH42" s="239">
        <v>0</v>
      </c>
      <c r="CI42" s="239">
        <v>0</v>
      </c>
      <c r="CJ42" s="239">
        <v>0</v>
      </c>
      <c r="CK42" s="239">
        <v>0</v>
      </c>
      <c r="CL42" s="239">
        <v>0</v>
      </c>
      <c r="CM42" s="80"/>
      <c r="CN42" s="80"/>
      <c r="CO42" s="80"/>
      <c r="CP42" s="80"/>
      <c r="CQ42" s="80"/>
      <c r="CR42" s="80"/>
      <c r="CS42" s="80"/>
      <c r="CT42" s="80"/>
      <c r="CU42" s="80"/>
      <c r="CV42" s="80"/>
      <c r="CW42" s="80"/>
      <c r="CX42" s="80"/>
      <c r="CY42" s="80"/>
      <c r="CZ42" s="80"/>
      <c r="DB42">
        <f>IFERROR(VLOOKUP($D42,'Kalkulator mięs '!$C$5:$H$533,DB$4,0)*F42,0)</f>
        <v>0</v>
      </c>
      <c r="DC42">
        <f>IFERROR(VLOOKUP($D42,'Kalkulator mięs '!$C$5:$H$533,DC$4,0)*F42,0)</f>
        <v>0</v>
      </c>
      <c r="DD42">
        <f>IFERROR(VLOOKUP($D42,'Kalkulator mięs '!$C$5:$H$533,DD$4,0)*F42,0)</f>
        <v>0</v>
      </c>
      <c r="DE42">
        <f>IFERROR(VLOOKUP($D42,'Kalkulator mięs '!$C$5:$H$533,DE$4,0)*$G42,0)</f>
        <v>0</v>
      </c>
      <c r="DF42">
        <f>IFERROR(VLOOKUP($D42,'Kalkulator mięs '!$C$5:$H$533,DF$4,0)*$G42,0)</f>
        <v>0</v>
      </c>
      <c r="DG42">
        <f>IFERROR(VLOOKUP($D42,'Kalkulator mięs '!$C$5:$H$533,DG$4,0)*$G42,0)</f>
        <v>0</v>
      </c>
      <c r="DH42">
        <f>IFERROR(VLOOKUP($D42,'Kalkulator mięs '!$C$5:$H$533,DH$4,0)*$H42,0)</f>
        <v>0</v>
      </c>
      <c r="DI42">
        <f>IFERROR(VLOOKUP($D42,'Kalkulator mięs '!$C$5:$H$533,DI$4,0)*$H42,0)</f>
        <v>0</v>
      </c>
      <c r="DJ42">
        <f>IFERROR(VLOOKUP($D42,'Kalkulator mięs '!$C$5:$H$533,DJ$4,0)*$H42,0)</f>
        <v>0</v>
      </c>
      <c r="DK42">
        <f>IFERROR(VLOOKUP($D42,'Kalkulator mięs '!$C$5:$H$533,DK$4,0)*$I42,0)</f>
        <v>0</v>
      </c>
      <c r="DL42">
        <f>IFERROR(VLOOKUP($D42,'Kalkulator mięs '!$C$5:$H$533,DL$4,0)*$I42,0)</f>
        <v>0</v>
      </c>
      <c r="DM42">
        <f>IFERROR(VLOOKUP($D42,'Kalkulator mięs '!$C$5:$H$533,DM$4,0)*$I42,0)</f>
        <v>0</v>
      </c>
      <c r="DN42">
        <f>IFERROR(VLOOKUP($D42,'Kalkulator mięs '!$C$5:$H$533,DN$4,0)*$J42,0)</f>
        <v>0</v>
      </c>
      <c r="DO42">
        <f>IFERROR(VLOOKUP($D42,'Kalkulator mięs '!$C$5:$H$533,DO$4,0)*$J42,0)</f>
        <v>0</v>
      </c>
      <c r="DP42">
        <f>IFERROR(VLOOKUP($D42,'Kalkulator mięs '!$C$5:$H$533,DP$4,0)*$J42,0)</f>
        <v>0</v>
      </c>
      <c r="DQ42">
        <f>IFERROR(VLOOKUP($D42,'Kalkulator mięs '!$C$5:$H$533,DQ$4,0)*$K42,0)</f>
        <v>0</v>
      </c>
      <c r="DR42">
        <f>IFERROR(VLOOKUP($D42,'Kalkulator mięs '!$C$5:$H$533,DR$4,0)*$K42,0)</f>
        <v>0</v>
      </c>
      <c r="DS42">
        <f>IFERROR(VLOOKUP($D42,'Kalkulator mięs '!$C$5:$H$533,DS$4,0)*$K42,0)</f>
        <v>0</v>
      </c>
      <c r="DT42">
        <f>IFERROR(VLOOKUP($D42,'Kalkulator mięs '!$C$5:$H$533,DT$4,0)*$L42,0)</f>
        <v>0</v>
      </c>
      <c r="DU42">
        <f>IFERROR(VLOOKUP($D42,'Kalkulator mięs '!$C$5:$H$533,DU$4,0)*$L42,0)</f>
        <v>0</v>
      </c>
      <c r="DV42">
        <f>IFERROR(VLOOKUP($D42,'Kalkulator mięs '!$C$5:$H$533,DV$4,0)*$L42,0)</f>
        <v>0</v>
      </c>
      <c r="DW42">
        <f>IFERROR(VLOOKUP($D42,'Kalkulator mięs '!$C$5:$H$533,DW$4,0)*$M42,0)</f>
        <v>0</v>
      </c>
      <c r="DX42">
        <f>IFERROR(VLOOKUP($D42,'Kalkulator mięs '!$C$5:$H$533,DX$4,0)*$M42,0)</f>
        <v>0</v>
      </c>
      <c r="DY42">
        <f>IFERROR(VLOOKUP($D42,'Kalkulator mięs '!$C$5:$H$533,DY$4,0)*$M42,0)</f>
        <v>0</v>
      </c>
      <c r="DZ42">
        <f>IFERROR(VLOOKUP($D42,'Kalkulator mięs '!$C$5:$H$533,DZ$4,0)*$N42,0)</f>
        <v>0</v>
      </c>
      <c r="EA42">
        <f>IFERROR(VLOOKUP($D42,'Kalkulator mięs '!$C$5:$H$533,EA$4,0)*$N42,0)</f>
        <v>0</v>
      </c>
      <c r="EB42">
        <f>IFERROR(VLOOKUP($D42,'Kalkulator mięs '!$C$5:$H$533,EB$4,0)*$N42,0)</f>
        <v>0</v>
      </c>
      <c r="EC42">
        <f>IFERROR(VLOOKUP($D42,'Kalkulator mięs '!$C$5:$H$533,EC$4,0)*$O42,0)</f>
        <v>0</v>
      </c>
      <c r="ED42">
        <f>IFERROR(VLOOKUP($D42,'Kalkulator mięs '!$C$5:$H$533,ED$4,0)*$O42,0)</f>
        <v>0</v>
      </c>
      <c r="EE42">
        <f>IFERROR(VLOOKUP($D42,'Kalkulator mięs '!$C$5:$H$533,EE$4,0)*$O42,0)</f>
        <v>0</v>
      </c>
      <c r="EF42">
        <f>IFERROR(VLOOKUP($D42,'Kalkulator mięs '!$C$5:$H$533,EF$4,0)*$P42,0)</f>
        <v>0</v>
      </c>
      <c r="EG42">
        <f>IFERROR(VLOOKUP($D42,'Kalkulator mięs '!$C$5:$H$533,EG$4,0)*$P42,0)</f>
        <v>0</v>
      </c>
      <c r="EH42">
        <f>IFERROR(VLOOKUP($D42,'Kalkulator mięs '!$C$5:$H$533,EH$4,0)*$P42,0)</f>
        <v>0</v>
      </c>
      <c r="EI42">
        <f>IFERROR(VLOOKUP($D42,'Kalkulator mięs '!$C$5:$H$533,EI$4,0)*$Q42,0)</f>
        <v>0</v>
      </c>
      <c r="EJ42">
        <f>IFERROR(VLOOKUP($D42,'Kalkulator mięs '!$C$5:$H$533,EJ$4,0)*$Q42,0)</f>
        <v>0</v>
      </c>
      <c r="EK42">
        <f>IFERROR(VLOOKUP($D42,'Kalkulator mięs '!$C$5:$H$533,EK$4,0)*$Q42,0)</f>
        <v>0</v>
      </c>
      <c r="EL42">
        <f>IFERROR(VLOOKUP($D42,'Kalkulator mięs '!$C$5:$H$533,EL$4,0)*$R42,0)</f>
        <v>0</v>
      </c>
      <c r="EM42">
        <f>IFERROR(VLOOKUP($D42,'Kalkulator mięs '!$C$5:$H$533,EM$4,0)*$R42,0)</f>
        <v>0</v>
      </c>
      <c r="EN42">
        <f>IFERROR(VLOOKUP($D42,'Kalkulator mięs '!$C$5:$H$533,EN$4,0)*$R42,0)</f>
        <v>0</v>
      </c>
      <c r="EO42">
        <f>IFERROR(VLOOKUP($D42,'Kalkulator mięs '!$C$5:$H$533,EO$4,0)*$S42,0)</f>
        <v>0</v>
      </c>
      <c r="EP42">
        <f>IFERROR(VLOOKUP($D42,'Kalkulator mięs '!$C$5:$H$533,EP$4,0)*$S42,0)</f>
        <v>0</v>
      </c>
      <c r="EQ42">
        <f>IFERROR(VLOOKUP($D42,'Kalkulator mięs '!$C$5:$H$533,EQ$4,0)*$S42,0)</f>
        <v>0</v>
      </c>
      <c r="ER42">
        <f>IFERROR(VLOOKUP($D42,'Kalkulator mięs '!$C$5:$H$533,ER$4,0)*$T42,0)</f>
        <v>0</v>
      </c>
      <c r="ES42">
        <f>IFERROR(VLOOKUP($D42,'Kalkulator mięs '!$C$5:$H$533,ES$4,0)*$T42,0)</f>
        <v>0</v>
      </c>
      <c r="ET42">
        <f>IFERROR(VLOOKUP($D42,'Kalkulator mięs '!$C$5:$H$533,ET$4,0)*$T42,0)</f>
        <v>0</v>
      </c>
      <c r="EU42">
        <f>IFERROR(VLOOKUP($D42,'Kalkulator mięs '!$C$5:$H$533,EU$4,0)*$U42,0)</f>
        <v>0</v>
      </c>
      <c r="EV42">
        <f>IFERROR(VLOOKUP($D42,'Kalkulator mięs '!$C$5:$H$533,EV$4,0)*$U42,0)</f>
        <v>0</v>
      </c>
      <c r="EW42">
        <f>IFERROR(VLOOKUP($D42,'Kalkulator mięs '!$C$5:$H$533,EW$4,0)*$U42,0)</f>
        <v>0</v>
      </c>
      <c r="EX42">
        <f>IFERROR(VLOOKUP($D42,'Kalkulator mięs '!$C$5:$H$533,EX$4,0)*$V42,0)</f>
        <v>0</v>
      </c>
      <c r="EY42">
        <f>IFERROR(VLOOKUP($D42,'Kalkulator mięs '!$C$5:$H$533,EY$4,0)*$V42,0)</f>
        <v>0</v>
      </c>
      <c r="EZ42">
        <f>IFERROR(VLOOKUP($D42,'Kalkulator mięs '!$C$5:$H$533,EZ$4,0)*$V42,0)</f>
        <v>0</v>
      </c>
      <c r="FA42">
        <f>IFERROR(VLOOKUP($D42,'Kalkulator mięs '!$C$5:$H$533,FA$4,0)*$W42,0)</f>
        <v>0</v>
      </c>
      <c r="FB42">
        <f>IFERROR(VLOOKUP($D42,'Kalkulator mięs '!$C$5:$H$533,FB$4,0)*$W42,0)</f>
        <v>0</v>
      </c>
      <c r="FC42">
        <f>IFERROR(VLOOKUP($D42,'Kalkulator mięs '!$C$5:$H$533,FC$4,0)*$W42,0)</f>
        <v>0</v>
      </c>
      <c r="FD42">
        <f>IFERROR(VLOOKUP($D42,'Kalkulator mięs '!$C$5:$H$533,FD$4,0)*$X42,0)</f>
        <v>0</v>
      </c>
      <c r="FE42">
        <f>IFERROR(VLOOKUP($D42,'Kalkulator mięs '!$C$5:$H$533,FE$4,0)*$X42,0)</f>
        <v>0</v>
      </c>
      <c r="FF42">
        <f>IFERROR(VLOOKUP($D42,'Kalkulator mięs '!$C$5:$H$533,FF$4,0)*$X42,0)</f>
        <v>0</v>
      </c>
      <c r="FG42">
        <f>IFERROR(VLOOKUP($D42,'Kalkulator mięs '!$C$5:$H$533,FG$4,0)*$Y42,0)</f>
        <v>0</v>
      </c>
      <c r="FH42">
        <f>IFERROR(VLOOKUP($D42,'Kalkulator mięs '!$C$5:$H$533,FH$4,0)*$Y42,0)</f>
        <v>0</v>
      </c>
      <c r="FI42">
        <f>IFERROR(VLOOKUP($D42,'Kalkulator mięs '!$C$5:$H$533,FI$4,0)*$Y42,0)</f>
        <v>0</v>
      </c>
      <c r="FJ42">
        <f>IFERROR(VLOOKUP($D42,'Kalkulator mięs '!$C$5:$H$533,FJ$4,0)*$Z42,0)</f>
        <v>0</v>
      </c>
      <c r="FK42">
        <f>IFERROR(VLOOKUP($D42,'Kalkulator mięs '!$C$5:$H$533,FK$4,0)*$Z42,0)</f>
        <v>0</v>
      </c>
      <c r="FL42">
        <f>IFERROR(VLOOKUP($D42,'Kalkulator mięs '!$C$5:$H$533,FL$4,0)*$Z42,0)</f>
        <v>0</v>
      </c>
      <c r="FM42">
        <f>IFERROR(VLOOKUP($D42,'Kalkulator mięs '!$C$5:$H$533,FM$4,0)*$AA42,0)</f>
        <v>0</v>
      </c>
      <c r="FN42">
        <f>IFERROR(VLOOKUP($D42,'Kalkulator mięs '!$C$5:$H$533,FN$4,0)*$AA42,0)</f>
        <v>0</v>
      </c>
      <c r="FO42">
        <f>IFERROR(VLOOKUP($D42,'Kalkulator mięs '!$C$5:$H$533,FO$4,0)*$AA42,0)</f>
        <v>0</v>
      </c>
      <c r="FP42">
        <f>IFERROR(VLOOKUP($D42,'Kalkulator mięs '!$C$5:$H$533,FP$4,0)*$AB42,0)</f>
        <v>0</v>
      </c>
      <c r="FQ42">
        <f>IFERROR(VLOOKUP($D42,'Kalkulator mięs '!$C$5:$H$533,FQ$4,0)*$AB42,0)</f>
        <v>0</v>
      </c>
      <c r="FR42">
        <f>IFERROR(VLOOKUP($D42,'Kalkulator mięs '!$C$5:$H$533,FR$4,0)*$AB42,0)</f>
        <v>0</v>
      </c>
      <c r="FS42">
        <f>IFERROR(VLOOKUP($D42,'Kalkulator mięs '!$C$5:$H$533,FS$4,0)*$AC42,0)</f>
        <v>0</v>
      </c>
      <c r="FT42">
        <f>IFERROR(VLOOKUP($D42,'Kalkulator mięs '!$C$5:$H$533,FT$4,0)*$AC42,0)</f>
        <v>0</v>
      </c>
      <c r="FU42">
        <f>IFERROR(VLOOKUP($D42,'Kalkulator mięs '!$C$5:$H$533,FU$4,0)*$AC42,0)</f>
        <v>0</v>
      </c>
      <c r="FV42">
        <f>IFERROR(VLOOKUP($D42,'Kalkulator mięs '!$C$5:$H$533,FV$4,0)*$AD42,0)</f>
        <v>0</v>
      </c>
      <c r="FW42">
        <f>IFERROR(VLOOKUP($D42,'Kalkulator mięs '!$C$5:$H$533,FW$4,0)*$AD42,0)</f>
        <v>0</v>
      </c>
      <c r="FX42">
        <f>IFERROR(VLOOKUP($D42,'Kalkulator mięs '!$C$5:$H$533,FX$4,0)*$AD42,0)</f>
        <v>0</v>
      </c>
      <c r="FY42">
        <f>IFERROR(VLOOKUP($D42,'Kalkulator mięs '!$C$5:$H$533,FY$4,0)*$AE42,0)</f>
        <v>0</v>
      </c>
      <c r="FZ42">
        <f>IFERROR(VLOOKUP($D42,'Kalkulator mięs '!$C$5:$H$533,FZ$4,0)*$AE42,0)</f>
        <v>0</v>
      </c>
      <c r="GA42">
        <f>IFERROR(VLOOKUP($D42,'Kalkulator mięs '!$C$5:$H$533,GA$4,0)*$AE42,0)</f>
        <v>0</v>
      </c>
      <c r="GB42">
        <f>IFERROR(VLOOKUP($D42,'Kalkulator mięs '!$C$5:$H$533,GB$4,0)*$AF42,0)</f>
        <v>0</v>
      </c>
      <c r="GC42">
        <f>IFERROR(VLOOKUP($D42,'Kalkulator mięs '!$C$5:$H$533,GC$4,0)*$AF42,0)</f>
        <v>0</v>
      </c>
      <c r="GD42">
        <f>IFERROR(VLOOKUP($D42,'Kalkulator mięs '!$C$5:$H$533,GD$4,0)*$AF42,0)</f>
        <v>0</v>
      </c>
      <c r="GE42">
        <f>IFERROR(VLOOKUP($D42,'Kalkulator mięs '!$C$5:$H$533,GE$4,0)*$AG42,0)</f>
        <v>0</v>
      </c>
      <c r="GF42">
        <f>IFERROR(VLOOKUP($D42,'Kalkulator mięs '!$C$5:$H$533,GF$4,0)*$AG42,0)</f>
        <v>0</v>
      </c>
      <c r="GG42">
        <f>IFERROR(VLOOKUP($D42,'Kalkulator mięs '!$C$5:$H$533,GG$4,0)*$AG42,0)</f>
        <v>0</v>
      </c>
      <c r="GH42">
        <f>IFERROR(VLOOKUP($D42,'Kalkulator mięs '!$C$5:$H$533,GH$4,0)*$AH42,0)</f>
        <v>0</v>
      </c>
      <c r="GI42">
        <f>IFERROR(VLOOKUP($D42,'Kalkulator mięs '!$C$5:$H$533,GI$4,0)*$AH42,0)</f>
        <v>0</v>
      </c>
      <c r="GJ42">
        <f>IFERROR(VLOOKUP($D42,'Kalkulator mięs '!$C$5:$H$533,GJ$4,0)*$AH42,0)</f>
        <v>0</v>
      </c>
      <c r="GK42">
        <f>IFERROR(VLOOKUP($D42,'Kalkulator mięs '!$C$5:$H$533,GK$4,0)*$AI42,0)</f>
        <v>0</v>
      </c>
      <c r="GL42">
        <f>IFERROR(VLOOKUP($D42,'Kalkulator mięs '!$C$5:$H$533,GL$4,0)*$AI42,0)</f>
        <v>0</v>
      </c>
      <c r="GM42">
        <f>IFERROR(VLOOKUP($D42,'Kalkulator mięs '!$C$5:$H$533,GM$4,0)*$AI42,0)</f>
        <v>0</v>
      </c>
      <c r="GN42">
        <f>IFERROR(VLOOKUP($D42,'Kalkulator mięs '!$C$5:$H$533,GN$4,0)*$AJ42,0)</f>
        <v>0</v>
      </c>
      <c r="GO42">
        <f>IFERROR(VLOOKUP($D42,'Kalkulator mięs '!$C$5:$H$533,GO$4,0)*$AJ42,0)</f>
        <v>0</v>
      </c>
      <c r="GP42">
        <f>IFERROR(VLOOKUP($D42,'Kalkulator mięs '!$C$5:$H$533,GP$4,0)*$AJ42,0)</f>
        <v>0</v>
      </c>
      <c r="GQ42">
        <f>IFERROR(VLOOKUP($D42,'Kalkulator mięs '!$C$5:$H$533,GQ$4,0)*$AK42,0)</f>
        <v>0</v>
      </c>
      <c r="GR42">
        <f>IFERROR(VLOOKUP($D42,'Kalkulator mięs '!$C$5:$H$533,GR$4,0)*$AK42,0)</f>
        <v>0</v>
      </c>
      <c r="GS42">
        <f>IFERROR(VLOOKUP($D42,'Kalkulator mięs '!$C$5:$H$533,GS$4,0)*$AK42,0)</f>
        <v>0</v>
      </c>
      <c r="GT42">
        <f>IFERROR(VLOOKUP($D42,'Kalkulator mięs '!$C$5:$H$533,GT$4,0)*$AL42,0)</f>
        <v>0</v>
      </c>
      <c r="GU42">
        <f>IFERROR(VLOOKUP($D42,'Kalkulator mięs '!$C$5:$H$533,GU$4,0)*$AL42,0)</f>
        <v>0</v>
      </c>
      <c r="GV42">
        <f>IFERROR(VLOOKUP($D42,'Kalkulator mięs '!$C$5:$H$533,GV$4,0)*$AL42,0)</f>
        <v>0</v>
      </c>
      <c r="GW42">
        <f>IFERROR(VLOOKUP($D42,'Kalkulator mięs '!$C$5:$H$533,GW$4,0)*$AM42,0)</f>
        <v>0</v>
      </c>
      <c r="GX42">
        <f>IFERROR(VLOOKUP($D42,'Kalkulator mięs '!$C$5:$H$533,GX$4,0)*$AM42,0)</f>
        <v>0</v>
      </c>
      <c r="GY42">
        <f>IFERROR(VLOOKUP($D42,'Kalkulator mięs '!$C$5:$H$533,GY$4,0)*$AM42,0)</f>
        <v>0</v>
      </c>
      <c r="GZ42">
        <f>IFERROR(VLOOKUP($D42,'Kalkulator mięs '!$C$5:$H$533,GZ$4,0)*$AN42,0)</f>
        <v>0</v>
      </c>
      <c r="HA42">
        <f>IFERROR(VLOOKUP($D42,'Kalkulator mięs '!$C$5:$H$533,HA$4,0)*$AN42,0)</f>
        <v>0</v>
      </c>
      <c r="HB42">
        <f>IFERROR(VLOOKUP($D42,'Kalkulator mięs '!$C$5:$H$533,HB$4,0)*$AN42,0)</f>
        <v>0</v>
      </c>
      <c r="HC42">
        <f>IFERROR(VLOOKUP($D42,'Kalkulator mięs '!$C$5:$H$533,HC$4,0)*$AO42,0)</f>
        <v>0</v>
      </c>
      <c r="HD42">
        <f>IFERROR(VLOOKUP($D42,'Kalkulator mięs '!$C$5:$H$533,HD$4,0)*$AO42,0)</f>
        <v>0</v>
      </c>
      <c r="HE42">
        <f>IFERROR(VLOOKUP($D42,'Kalkulator mięs '!$C$5:$H$533,HE$4,0)*$AO42,0)</f>
        <v>0</v>
      </c>
      <c r="HF42">
        <f>IFERROR(VLOOKUP($D42,'Kalkulator mięs '!$C$5:$H$533,HF$4,0)*$AP42,0)</f>
        <v>0</v>
      </c>
      <c r="HG42">
        <f>IFERROR(VLOOKUP($D42,'Kalkulator mięs '!$C$5:$H$533,HG$4,0)*$AP42,0)</f>
        <v>0</v>
      </c>
      <c r="HH42">
        <f>IFERROR(VLOOKUP($D42,'Kalkulator mięs '!$C$5:$H$533,HH$4,0)*$AP42,0)</f>
        <v>0</v>
      </c>
      <c r="HI42">
        <f>IFERROR(VLOOKUP($D42,'Kalkulator mięs '!$C$5:$H$533,HI$4,0)*$AQ42,0)</f>
        <v>0</v>
      </c>
      <c r="HJ42">
        <f>IFERROR(VLOOKUP($D42,'Kalkulator mięs '!$C$5:$H$533,HJ$4,0)*$AQ42,0)</f>
        <v>0</v>
      </c>
      <c r="HK42">
        <f>IFERROR(VLOOKUP($D42,'Kalkulator mięs '!$C$5:$H$533,HK$4,0)*$AQ42,0)</f>
        <v>0</v>
      </c>
      <c r="HL42">
        <f>IFERROR(VLOOKUP($D42,'Kalkulator mięs '!$C$5:$H$533,HL$4,0)*$AR42,0)</f>
        <v>0</v>
      </c>
      <c r="HM42">
        <f>IFERROR(VLOOKUP($D42,'Kalkulator mięs '!$C$5:$H$533,HM$4,0)*$AR42,0)</f>
        <v>0</v>
      </c>
      <c r="HN42">
        <f>IFERROR(VLOOKUP($D42,'Kalkulator mięs '!$C$5:$H$533,HN$4,0)*$AR42,0)</f>
        <v>0</v>
      </c>
      <c r="HO42">
        <f>IFERROR(VLOOKUP($D42,'Kalkulator mięs '!$C$5:$H$533,HO$4,0)*$AS42,0)</f>
        <v>0</v>
      </c>
      <c r="HP42">
        <f>IFERROR(VLOOKUP($D42,'Kalkulator mięs '!$C$5:$H$533,HP$4,0)*$AS42,0)</f>
        <v>0</v>
      </c>
      <c r="HQ42">
        <f>IFERROR(VLOOKUP($D42,'Kalkulator mięs '!$C$5:$H$533,HQ$4,0)*$AS42,0)</f>
        <v>0</v>
      </c>
      <c r="HR42">
        <f>IFERROR(VLOOKUP($D42,'Kalkulator mięs '!$C$5:$H$533,HR$4,0)*$AT42,0)</f>
        <v>0</v>
      </c>
      <c r="HS42">
        <f>IFERROR(VLOOKUP($D42,'Kalkulator mięs '!$C$5:$H$533,HS$4,0)*$AT42,0)</f>
        <v>0</v>
      </c>
      <c r="HT42">
        <f>IFERROR(VLOOKUP($D42,'Kalkulator mięs '!$C$5:$H$533,HT$4,0)*$AT42,0)</f>
        <v>0</v>
      </c>
      <c r="HU42">
        <f>IFERROR(VLOOKUP($D42,'Kalkulator mięs '!$C$5:$H$533,HU$4,0)*$AU42,0)</f>
        <v>0</v>
      </c>
      <c r="HV42">
        <f>IFERROR(VLOOKUP($D42,'Kalkulator mięs '!$C$5:$H$533,HV$4,0)*$AU42,0)</f>
        <v>0</v>
      </c>
      <c r="HW42">
        <f>IFERROR(VLOOKUP($D42,'Kalkulator mięs '!$C$5:$H$533,HW$4,0)*$AU42,0)</f>
        <v>0</v>
      </c>
      <c r="HX42">
        <f>IFERROR(VLOOKUP($D42,'Kalkulator mięs '!$C$5:$H$533,HX$4,0)*$AV42,0)</f>
        <v>0</v>
      </c>
      <c r="HY42">
        <f>IFERROR(VLOOKUP($D42,'Kalkulator mięs '!$C$5:$H$533,HY$4,0)*$AV42,0)</f>
        <v>0</v>
      </c>
      <c r="HZ42">
        <f>IFERROR(VLOOKUP($D42,'Kalkulator mięs '!$C$5:$H$533,HZ$4,0)*$AV42,0)</f>
        <v>0</v>
      </c>
      <c r="IA42">
        <f>IFERROR(VLOOKUP($D42,'Kalkulator mięs '!$C$5:$H$533,IA$4,0)*$AW42,0)</f>
        <v>0</v>
      </c>
      <c r="IB42">
        <f>IFERROR(VLOOKUP($D42,'Kalkulator mięs '!$C$5:$H$533,IB$4,0)*$AW42,0)</f>
        <v>0</v>
      </c>
      <c r="IC42">
        <f>IFERROR(VLOOKUP($D42,'Kalkulator mięs '!$C$5:$H$533,IC$4,0)*$AW42,0)</f>
        <v>0</v>
      </c>
      <c r="ID42">
        <f>IFERROR(VLOOKUP($D42,'Kalkulator mięs '!$C$5:$H$533,ID$4,0)*$AX42,0)</f>
        <v>0</v>
      </c>
      <c r="IE42">
        <f>IFERROR(VLOOKUP($D42,'Kalkulator mięs '!$C$5:$H$533,IE$4,0)*$AX42,0)</f>
        <v>0</v>
      </c>
      <c r="IF42">
        <f>IFERROR(VLOOKUP($D42,'Kalkulator mięs '!$C$5:$H$533,IF$4,0)*$AX42,0)</f>
        <v>0</v>
      </c>
      <c r="IG42">
        <f>IFERROR(VLOOKUP($D42,'Kalkulator mięs '!$C$5:$H$533,IG$4,0)*$AY42,0)</f>
        <v>0</v>
      </c>
      <c r="IH42">
        <f>IFERROR(VLOOKUP($D42,'Kalkulator mięs '!$C$5:$H$533,IH$4,0)*$AY42,0)</f>
        <v>0</v>
      </c>
      <c r="II42">
        <f>IFERROR(VLOOKUP($D42,'Kalkulator mięs '!$C$5:$H$533,II$4,0)*$AY42,0)</f>
        <v>0</v>
      </c>
      <c r="IJ42">
        <f>IFERROR(VLOOKUP($D42,'Kalkulator mięs '!$C$5:$H$533,IJ$4,0)*$AZ42,0)</f>
        <v>0</v>
      </c>
      <c r="IK42">
        <f>IFERROR(VLOOKUP($D42,'Kalkulator mięs '!$C$5:$H$533,IK$4,0)*$AZ42,0)</f>
        <v>0</v>
      </c>
      <c r="IL42">
        <f>IFERROR(VLOOKUP($D42,'Kalkulator mięs '!$C$5:$H$533,IL$4,0)*$AZ42,0)</f>
        <v>0</v>
      </c>
      <c r="IM42">
        <f>IFERROR(VLOOKUP($D42,'Kalkulator mięs '!$C$5:$H$533,IM$4,0)*$BA42,0)</f>
        <v>0</v>
      </c>
      <c r="IN42">
        <f>IFERROR(VLOOKUP($D42,'Kalkulator mięs '!$C$5:$H$533,IN$4,0)*$BA42,0)</f>
        <v>0</v>
      </c>
      <c r="IO42">
        <f>IFERROR(VLOOKUP($D42,'Kalkulator mięs '!$C$5:$H$533,IO$4,0)*$BA42,0)</f>
        <v>0</v>
      </c>
    </row>
    <row r="43" spans="1:249" ht="15.75">
      <c r="B43" t="str">
        <f>VLOOKUP(D43,Receptury_z!$A:$B,2,0)</f>
        <v>ON</v>
      </c>
      <c r="C43" s="16">
        <v>5483</v>
      </c>
      <c r="D43" s="19">
        <v>6627</v>
      </c>
      <c r="E43" s="18" t="s">
        <v>48</v>
      </c>
      <c r="F43" s="14">
        <f>IF($B43="OFF",BE43,VLOOKUP($D43,Receptury_z!$D:$AI,F$4,0))</f>
        <v>0</v>
      </c>
      <c r="G43" s="14">
        <f>IF($B43="OFF",BF43,VLOOKUP($D43,Receptury_z!$D:$AI,G$4,0))</f>
        <v>0</v>
      </c>
      <c r="H43" s="14">
        <f>IF($B43="OFF",BG43,VLOOKUP($D43,Receptury_z!$D:$AI,H$4,0))</f>
        <v>0</v>
      </c>
      <c r="I43" s="14">
        <f>IF($B43="OFF",BH43,VLOOKUP($D43,Receptury_z!$D:$AI,I$4,0))</f>
        <v>0</v>
      </c>
      <c r="J43" s="14">
        <f>IF($B43="OFF",BI43,VLOOKUP($D43,Receptury_z!$D:$AI,J$4,0))</f>
        <v>0</v>
      </c>
      <c r="K43" s="14">
        <f>IF($B43="OFF",BJ43,VLOOKUP($D43,Receptury_z!$D:$AI,K$4,0))</f>
        <v>0</v>
      </c>
      <c r="L43" s="14">
        <f>IF($B43="OFF",BK43,VLOOKUP($D43,Receptury_z!$D:$AI,L$4,0))</f>
        <v>0</v>
      </c>
      <c r="M43" s="14">
        <f>IF($B43="OFF",BL43,VLOOKUP($D43,Receptury_z!$D:$AI,M$4,0))</f>
        <v>0</v>
      </c>
      <c r="N43" s="14">
        <f>IF($B43="OFF",BM43,VLOOKUP($D43,Receptury_z!$D:$AI,N$4,0))</f>
        <v>0</v>
      </c>
      <c r="O43" s="14">
        <f>IF($B43="OFF",BN43,VLOOKUP($D43,Receptury_z!$D:$AI,O$4,0))</f>
        <v>0</v>
      </c>
      <c r="P43" s="14">
        <f>IF($B43="OFF",BO43,VLOOKUP($D43,Receptury_z!$D:$AI,P$4,0))</f>
        <v>0</v>
      </c>
      <c r="Q43" s="14">
        <f>IF($B43="OFF",BP43,VLOOKUP($D43,Receptury_z!$D:$AI,Q$4,0))</f>
        <v>110.6</v>
      </c>
      <c r="R43" s="14">
        <f>IF($B43="OFF",BQ43,VLOOKUP($D43,Receptury_z!$D:$AI,R$4,0))</f>
        <v>61.4</v>
      </c>
      <c r="S43" s="14">
        <f>IF($B43="OFF",BR43,VLOOKUP($D43,Receptury_z!$D:$AI,S$4,0))</f>
        <v>0</v>
      </c>
      <c r="T43" s="14">
        <f>IF($B43="OFF",BS43,VLOOKUP($D43,Receptury_z!$D:$AI,T$4,0))</f>
        <v>0</v>
      </c>
      <c r="U43" s="14">
        <f>IF($B43="OFF",BT43,VLOOKUP($D43,Receptury_z!$D:$AI,U$4,0))</f>
        <v>196.6</v>
      </c>
      <c r="V43" s="14">
        <f>IF($B43="OFF",BU43,VLOOKUP($D43,Receptury_z!$D:$AI,V$4,0))</f>
        <v>0</v>
      </c>
      <c r="W43" s="14">
        <f>IF($B43="OFF",BV43,VLOOKUP($D43,Receptury_z!$D:$AI,W$4,0))</f>
        <v>0</v>
      </c>
      <c r="X43" s="14">
        <f>IF($B43="OFF",BW43,VLOOKUP($D43,Receptury_z!$D:$AI,X$4,0))</f>
        <v>141.30000000000001</v>
      </c>
      <c r="Y43" s="14">
        <f>IF($B43="OFF",BX43,VLOOKUP($D43,Receptury_z!$D:$AI,Y$4,0))</f>
        <v>0</v>
      </c>
      <c r="Z43" s="14">
        <f>IF($B43="OFF",BY43,VLOOKUP($D43,Receptury_z!$D:$AI,Z$4,0))</f>
        <v>0</v>
      </c>
      <c r="AA43" s="14">
        <f>IF($B43="OFF",BZ43,VLOOKUP($D43,Receptury_z!$D:$AI,AA$4,0))</f>
        <v>0</v>
      </c>
      <c r="AB43" s="14">
        <f>IF($B43="OFF",CA43,VLOOKUP($D43,Receptury_z!$D:$AI,AB$4,0))</f>
        <v>104.4</v>
      </c>
      <c r="AC43" s="14">
        <f>IF($B43="OFF",CB43,VLOOKUP($D43,Receptury_z!$D:$AI,AC$4,0))</f>
        <v>0</v>
      </c>
      <c r="AD43" s="14">
        <f>IF($B43="OFF",CC43,VLOOKUP($D43,Receptury_z!$D:$AI,AD$4,0))</f>
        <v>0</v>
      </c>
      <c r="AE43" s="14">
        <f>IF($B43="OFF",CD43,VLOOKUP($D43,Receptury_z!$D:$AI,AE$4,0))</f>
        <v>0</v>
      </c>
      <c r="AF43" s="14">
        <f>IF($B43="OFF",CE43,VLOOKUP($D43,Receptury_z!$D:$AI,AF$4,0))</f>
        <v>0</v>
      </c>
      <c r="AG43" s="14">
        <f>IF($B43="OFF",CF43,VLOOKUP($D43,Receptury_z!$D:$AI,AG$4,0))</f>
        <v>0</v>
      </c>
      <c r="AH43" s="14">
        <f>IF($B43="OFF",CG43,VLOOKUP($D43,Receptury_z!$D:$AI,AH$4,0))</f>
        <v>0</v>
      </c>
      <c r="AI43" s="14">
        <f>IF($B43="OFF",CH43,VLOOKUP($D43,Receptury_z!$D:$AI,AI$4,0))</f>
        <v>0</v>
      </c>
      <c r="AJ43" s="14">
        <f>IF($B43="OFF",CI43,VLOOKUP($D43,Receptury_z!$D:$AS,AJ$4,0))</f>
        <v>0</v>
      </c>
      <c r="AK43" s="14">
        <f>IF($B43="OFF",CJ43,VLOOKUP($D43,Receptury_z!$D:$AS,AK$4,0))</f>
        <v>0</v>
      </c>
      <c r="AL43" s="14">
        <f>IF($B43="OFF",CK43,VLOOKUP($D43,Receptury_z!$D:$AS,AL$4,0))</f>
        <v>0</v>
      </c>
      <c r="AM43" s="14">
        <f>IF($B43="OFF",CL43,VLOOKUP($D43,Receptury_z!$D:$AS,AM$4,0))</f>
        <v>0</v>
      </c>
      <c r="AN43" s="14">
        <f>IF($B43="OFF",CM43,VLOOKUP($D43,Receptury_z!$D:$AS,AN$4,0))</f>
        <v>0</v>
      </c>
      <c r="AO43" s="14">
        <f>IF($B43="OFF",CN43,VLOOKUP($D43,Receptury_z!$D:$AS,AO$4,0))</f>
        <v>0</v>
      </c>
      <c r="AP43" s="14">
        <f>IF($B43="OFF",CO43,VLOOKUP($D43,Receptury_z!$D:$AS,AP$4,0))</f>
        <v>0</v>
      </c>
      <c r="AQ43" s="14">
        <f>IF($B43="OFF",CP43,VLOOKUP($D43,Receptury_z!$D:$AS,AQ$4,0))</f>
        <v>0</v>
      </c>
      <c r="AR43" s="14">
        <f>IF($B43="OFF",CQ43,VLOOKUP($D43,Receptury_z!$D:$AS,AR$4,0))</f>
        <v>0</v>
      </c>
      <c r="AS43" s="14">
        <f>IF($B43="OFF",CR43,VLOOKUP($D43,Receptury_z!$D:$AS,AS$4,0))</f>
        <v>0</v>
      </c>
      <c r="AT43" s="14">
        <f>IF($B43="OFF",CS43,VLOOKUP($D43,Receptury_z!$D:$AV,AT$4,0))</f>
        <v>0</v>
      </c>
      <c r="AU43" s="14">
        <f>IF($B43="OFF",CT43,VLOOKUP($D43,Receptury_z!$D:$AV,AU$4,0))</f>
        <v>0</v>
      </c>
      <c r="AV43" s="14">
        <f>IF($B43="OFF",CU43,VLOOKUP($D43,Receptury_z!$D:$AV,AV$4,0))</f>
        <v>0</v>
      </c>
      <c r="AW43" s="14">
        <f>IF($B43="OFF",CV43,VLOOKUP($D43,Receptury_z!$D:$BA,AW$4,0))</f>
        <v>0</v>
      </c>
      <c r="AX43" s="14">
        <f>IF($B43="OFF",CW43,VLOOKUP($D43,Receptury_z!$D:$BA,AX$4,0))</f>
        <v>0</v>
      </c>
      <c r="AY43" s="14">
        <f>IF($B43="OFF",CX43,VLOOKUP($D43,Receptury_z!$D:$BA,AY$4,0))</f>
        <v>0</v>
      </c>
      <c r="AZ43" s="14">
        <f>IF($B43="OFF",DA43,VLOOKUP($D43,Receptury_z!$D:$BA,AZ$4,0))</f>
        <v>0</v>
      </c>
      <c r="BA43" s="14">
        <f>IF($B43="OFF",DB43,VLOOKUP($D43,Receptury_z!$D:$BA,BA$4,0))</f>
        <v>0</v>
      </c>
      <c r="BC43" s="19">
        <v>6627</v>
      </c>
      <c r="BD43" s="18" t="s">
        <v>48</v>
      </c>
      <c r="BE43" s="239">
        <v>0</v>
      </c>
      <c r="BF43" s="239">
        <v>0</v>
      </c>
      <c r="BG43" s="239">
        <v>0</v>
      </c>
      <c r="BH43" s="239">
        <v>0</v>
      </c>
      <c r="BI43" s="239">
        <v>0</v>
      </c>
      <c r="BJ43" s="239">
        <v>0</v>
      </c>
      <c r="BK43" s="239">
        <v>0</v>
      </c>
      <c r="BL43" s="239">
        <v>0</v>
      </c>
      <c r="BM43" s="239">
        <v>0</v>
      </c>
      <c r="BN43" s="239">
        <v>0</v>
      </c>
      <c r="BO43" s="239">
        <v>0</v>
      </c>
      <c r="BP43" s="239">
        <v>109.6</v>
      </c>
      <c r="BQ43" s="239">
        <v>60.9</v>
      </c>
      <c r="BR43" s="239">
        <v>0</v>
      </c>
      <c r="BS43" s="239">
        <v>0</v>
      </c>
      <c r="BT43" s="239">
        <v>194.9</v>
      </c>
      <c r="BU43" s="239">
        <v>0</v>
      </c>
      <c r="BV43" s="239">
        <v>0</v>
      </c>
      <c r="BW43" s="239">
        <v>140.1</v>
      </c>
      <c r="BX43" s="239">
        <v>0</v>
      </c>
      <c r="BY43" s="239">
        <v>0</v>
      </c>
      <c r="BZ43" s="239">
        <v>0</v>
      </c>
      <c r="CA43" s="239">
        <v>103.6</v>
      </c>
      <c r="CB43" s="239">
        <v>0</v>
      </c>
      <c r="CC43" s="239">
        <v>0</v>
      </c>
      <c r="CD43" s="239">
        <v>0</v>
      </c>
      <c r="CE43" s="239">
        <v>0</v>
      </c>
      <c r="CF43" s="239">
        <v>0</v>
      </c>
      <c r="CG43" s="239">
        <v>0</v>
      </c>
      <c r="CH43" s="239">
        <v>0</v>
      </c>
      <c r="CI43" s="239">
        <v>0</v>
      </c>
      <c r="CJ43" s="239">
        <v>0</v>
      </c>
      <c r="CK43" s="239">
        <v>0</v>
      </c>
      <c r="CL43" s="239">
        <v>0</v>
      </c>
      <c r="CM43" s="80"/>
      <c r="CN43" s="80"/>
      <c r="CO43" s="80"/>
      <c r="CP43" s="80"/>
      <c r="CQ43" s="80"/>
      <c r="CR43" s="80"/>
      <c r="CS43" s="80"/>
      <c r="CT43" s="80"/>
      <c r="CU43" s="80"/>
      <c r="CV43" s="80"/>
      <c r="CW43" s="80"/>
      <c r="CX43" s="80"/>
      <c r="CY43" s="80"/>
      <c r="CZ43" s="80"/>
      <c r="DB43">
        <f>IFERROR(VLOOKUP($D43,'Kalkulator mięs '!$C$5:$H$533,DB$4,0)*F43,0)</f>
        <v>0</v>
      </c>
      <c r="DC43">
        <f>IFERROR(VLOOKUP($D43,'Kalkulator mięs '!$C$5:$H$533,DC$4,0)*F43,0)</f>
        <v>0</v>
      </c>
      <c r="DD43">
        <f>IFERROR(VLOOKUP($D43,'Kalkulator mięs '!$C$5:$H$533,DD$4,0)*F43,0)</f>
        <v>0</v>
      </c>
      <c r="DE43">
        <f>IFERROR(VLOOKUP($D43,'Kalkulator mięs '!$C$5:$H$533,DE$4,0)*$G43,0)</f>
        <v>0</v>
      </c>
      <c r="DF43">
        <f>IFERROR(VLOOKUP($D43,'Kalkulator mięs '!$C$5:$H$533,DF$4,0)*$G43,0)</f>
        <v>0</v>
      </c>
      <c r="DG43">
        <f>IFERROR(VLOOKUP($D43,'Kalkulator mięs '!$C$5:$H$533,DG$4,0)*$G43,0)</f>
        <v>0</v>
      </c>
      <c r="DH43">
        <f>IFERROR(VLOOKUP($D43,'Kalkulator mięs '!$C$5:$H$533,DH$4,0)*$H43,0)</f>
        <v>0</v>
      </c>
      <c r="DI43">
        <f>IFERROR(VLOOKUP($D43,'Kalkulator mięs '!$C$5:$H$533,DI$4,0)*$H43,0)</f>
        <v>0</v>
      </c>
      <c r="DJ43">
        <f>IFERROR(VLOOKUP($D43,'Kalkulator mięs '!$C$5:$H$533,DJ$4,0)*$H43,0)</f>
        <v>0</v>
      </c>
      <c r="DK43">
        <f>IFERROR(VLOOKUP($D43,'Kalkulator mięs '!$C$5:$H$533,DK$4,0)*$I43,0)</f>
        <v>0</v>
      </c>
      <c r="DL43">
        <f>IFERROR(VLOOKUP($D43,'Kalkulator mięs '!$C$5:$H$533,DL$4,0)*$I43,0)</f>
        <v>0</v>
      </c>
      <c r="DM43">
        <f>IFERROR(VLOOKUP($D43,'Kalkulator mięs '!$C$5:$H$533,DM$4,0)*$I43,0)</f>
        <v>0</v>
      </c>
      <c r="DN43">
        <f>IFERROR(VLOOKUP($D43,'Kalkulator mięs '!$C$5:$H$533,DN$4,0)*$J43,0)</f>
        <v>0</v>
      </c>
      <c r="DO43">
        <f>IFERROR(VLOOKUP($D43,'Kalkulator mięs '!$C$5:$H$533,DO$4,0)*$J43,0)</f>
        <v>0</v>
      </c>
      <c r="DP43">
        <f>IFERROR(VLOOKUP($D43,'Kalkulator mięs '!$C$5:$H$533,DP$4,0)*$J43,0)</f>
        <v>0</v>
      </c>
      <c r="DQ43">
        <f>IFERROR(VLOOKUP($D43,'Kalkulator mięs '!$C$5:$H$533,DQ$4,0)*$K43,0)</f>
        <v>0</v>
      </c>
      <c r="DR43">
        <f>IFERROR(VLOOKUP($D43,'Kalkulator mięs '!$C$5:$H$533,DR$4,0)*$K43,0)</f>
        <v>0</v>
      </c>
      <c r="DS43">
        <f>IFERROR(VLOOKUP($D43,'Kalkulator mięs '!$C$5:$H$533,DS$4,0)*$K43,0)</f>
        <v>0</v>
      </c>
      <c r="DT43">
        <f>IFERROR(VLOOKUP($D43,'Kalkulator mięs '!$C$5:$H$533,DT$4,0)*$L43,0)</f>
        <v>0</v>
      </c>
      <c r="DU43">
        <f>IFERROR(VLOOKUP($D43,'Kalkulator mięs '!$C$5:$H$533,DU$4,0)*$L43,0)</f>
        <v>0</v>
      </c>
      <c r="DV43">
        <f>IFERROR(VLOOKUP($D43,'Kalkulator mięs '!$C$5:$H$533,DV$4,0)*$L43,0)</f>
        <v>0</v>
      </c>
      <c r="DW43">
        <f>IFERROR(VLOOKUP($D43,'Kalkulator mięs '!$C$5:$H$533,DW$4,0)*$M43,0)</f>
        <v>0</v>
      </c>
      <c r="DX43">
        <f>IFERROR(VLOOKUP($D43,'Kalkulator mięs '!$C$5:$H$533,DX$4,0)*$M43,0)</f>
        <v>0</v>
      </c>
      <c r="DY43">
        <f>IFERROR(VLOOKUP($D43,'Kalkulator mięs '!$C$5:$H$533,DY$4,0)*$M43,0)</f>
        <v>0</v>
      </c>
      <c r="DZ43">
        <f>IFERROR(VLOOKUP($D43,'Kalkulator mięs '!$C$5:$H$533,DZ$4,0)*$N43,0)</f>
        <v>0</v>
      </c>
      <c r="EA43">
        <f>IFERROR(VLOOKUP($D43,'Kalkulator mięs '!$C$5:$H$533,EA$4,0)*$N43,0)</f>
        <v>0</v>
      </c>
      <c r="EB43">
        <f>IFERROR(VLOOKUP($D43,'Kalkulator mięs '!$C$5:$H$533,EB$4,0)*$N43,0)</f>
        <v>0</v>
      </c>
      <c r="EC43">
        <f>IFERROR(VLOOKUP($D43,'Kalkulator mięs '!$C$5:$H$533,EC$4,0)*$O43,0)</f>
        <v>0</v>
      </c>
      <c r="ED43">
        <f>IFERROR(VLOOKUP($D43,'Kalkulator mięs '!$C$5:$H$533,ED$4,0)*$O43,0)</f>
        <v>0</v>
      </c>
      <c r="EE43">
        <f>IFERROR(VLOOKUP($D43,'Kalkulator mięs '!$C$5:$H$533,EE$4,0)*$O43,0)</f>
        <v>0</v>
      </c>
      <c r="EF43">
        <f>IFERROR(VLOOKUP($D43,'Kalkulator mięs '!$C$5:$H$533,EF$4,0)*$P43,0)</f>
        <v>0</v>
      </c>
      <c r="EG43">
        <f>IFERROR(VLOOKUP($D43,'Kalkulator mięs '!$C$5:$H$533,EG$4,0)*$P43,0)</f>
        <v>0</v>
      </c>
      <c r="EH43">
        <f>IFERROR(VLOOKUP($D43,'Kalkulator mięs '!$C$5:$H$533,EH$4,0)*$P43,0)</f>
        <v>0</v>
      </c>
      <c r="EI43">
        <f>IFERROR(VLOOKUP($D43,'Kalkulator mięs '!$C$5:$H$533,EI$4,0)*$Q43,0)</f>
        <v>0</v>
      </c>
      <c r="EJ43">
        <f>IFERROR(VLOOKUP($D43,'Kalkulator mięs '!$C$5:$H$533,EJ$4,0)*$Q43,0)</f>
        <v>0</v>
      </c>
      <c r="EK43">
        <f>IFERROR(VLOOKUP($D43,'Kalkulator mięs '!$C$5:$H$533,EK$4,0)*$Q43,0)</f>
        <v>0</v>
      </c>
      <c r="EL43">
        <f>IFERROR(VLOOKUP($D43,'Kalkulator mięs '!$C$5:$H$533,EL$4,0)*$R43,0)</f>
        <v>0</v>
      </c>
      <c r="EM43">
        <f>IFERROR(VLOOKUP($D43,'Kalkulator mięs '!$C$5:$H$533,EM$4,0)*$R43,0)</f>
        <v>0</v>
      </c>
      <c r="EN43">
        <f>IFERROR(VLOOKUP($D43,'Kalkulator mięs '!$C$5:$H$533,EN$4,0)*$R43,0)</f>
        <v>0</v>
      </c>
      <c r="EO43">
        <f>IFERROR(VLOOKUP($D43,'Kalkulator mięs '!$C$5:$H$533,EO$4,0)*$S43,0)</f>
        <v>0</v>
      </c>
      <c r="EP43">
        <f>IFERROR(VLOOKUP($D43,'Kalkulator mięs '!$C$5:$H$533,EP$4,0)*$S43,0)</f>
        <v>0</v>
      </c>
      <c r="EQ43">
        <f>IFERROR(VLOOKUP($D43,'Kalkulator mięs '!$C$5:$H$533,EQ$4,0)*$S43,0)</f>
        <v>0</v>
      </c>
      <c r="ER43">
        <f>IFERROR(VLOOKUP($D43,'Kalkulator mięs '!$C$5:$H$533,ER$4,0)*$T43,0)</f>
        <v>0</v>
      </c>
      <c r="ES43">
        <f>IFERROR(VLOOKUP($D43,'Kalkulator mięs '!$C$5:$H$533,ES$4,0)*$T43,0)</f>
        <v>0</v>
      </c>
      <c r="ET43">
        <f>IFERROR(VLOOKUP($D43,'Kalkulator mięs '!$C$5:$H$533,ET$4,0)*$T43,0)</f>
        <v>0</v>
      </c>
      <c r="EU43">
        <f>IFERROR(VLOOKUP($D43,'Kalkulator mięs '!$C$5:$H$533,EU$4,0)*$U43,0)</f>
        <v>0</v>
      </c>
      <c r="EV43">
        <f>IFERROR(VLOOKUP($D43,'Kalkulator mięs '!$C$5:$H$533,EV$4,0)*$U43,0)</f>
        <v>0</v>
      </c>
      <c r="EW43">
        <f>IFERROR(VLOOKUP($D43,'Kalkulator mięs '!$C$5:$H$533,EW$4,0)*$U43,0)</f>
        <v>0</v>
      </c>
      <c r="EX43">
        <f>IFERROR(VLOOKUP($D43,'Kalkulator mięs '!$C$5:$H$533,EX$4,0)*$V43,0)</f>
        <v>0</v>
      </c>
      <c r="EY43">
        <f>IFERROR(VLOOKUP($D43,'Kalkulator mięs '!$C$5:$H$533,EY$4,0)*$V43,0)</f>
        <v>0</v>
      </c>
      <c r="EZ43">
        <f>IFERROR(VLOOKUP($D43,'Kalkulator mięs '!$C$5:$H$533,EZ$4,0)*$V43,0)</f>
        <v>0</v>
      </c>
      <c r="FA43">
        <f>IFERROR(VLOOKUP($D43,'Kalkulator mięs '!$C$5:$H$533,FA$4,0)*$W43,0)</f>
        <v>0</v>
      </c>
      <c r="FB43">
        <f>IFERROR(VLOOKUP($D43,'Kalkulator mięs '!$C$5:$H$533,FB$4,0)*$W43,0)</f>
        <v>0</v>
      </c>
      <c r="FC43">
        <f>IFERROR(VLOOKUP($D43,'Kalkulator mięs '!$C$5:$H$533,FC$4,0)*$W43,0)</f>
        <v>0</v>
      </c>
      <c r="FD43">
        <f>IFERROR(VLOOKUP($D43,'Kalkulator mięs '!$C$5:$H$533,FD$4,0)*$X43,0)</f>
        <v>0</v>
      </c>
      <c r="FE43">
        <f>IFERROR(VLOOKUP($D43,'Kalkulator mięs '!$C$5:$H$533,FE$4,0)*$X43,0)</f>
        <v>0</v>
      </c>
      <c r="FF43">
        <f>IFERROR(VLOOKUP($D43,'Kalkulator mięs '!$C$5:$H$533,FF$4,0)*$X43,0)</f>
        <v>0</v>
      </c>
      <c r="FG43">
        <f>IFERROR(VLOOKUP($D43,'Kalkulator mięs '!$C$5:$H$533,FG$4,0)*$Y43,0)</f>
        <v>0</v>
      </c>
      <c r="FH43">
        <f>IFERROR(VLOOKUP($D43,'Kalkulator mięs '!$C$5:$H$533,FH$4,0)*$Y43,0)</f>
        <v>0</v>
      </c>
      <c r="FI43">
        <f>IFERROR(VLOOKUP($D43,'Kalkulator mięs '!$C$5:$H$533,FI$4,0)*$Y43,0)</f>
        <v>0</v>
      </c>
      <c r="FJ43">
        <f>IFERROR(VLOOKUP($D43,'Kalkulator mięs '!$C$5:$H$533,FJ$4,0)*$Z43,0)</f>
        <v>0</v>
      </c>
      <c r="FK43">
        <f>IFERROR(VLOOKUP($D43,'Kalkulator mięs '!$C$5:$H$533,FK$4,0)*$Z43,0)</f>
        <v>0</v>
      </c>
      <c r="FL43">
        <f>IFERROR(VLOOKUP($D43,'Kalkulator mięs '!$C$5:$H$533,FL$4,0)*$Z43,0)</f>
        <v>0</v>
      </c>
      <c r="FM43">
        <f>IFERROR(VLOOKUP($D43,'Kalkulator mięs '!$C$5:$H$533,FM$4,0)*$AA43,0)</f>
        <v>0</v>
      </c>
      <c r="FN43">
        <f>IFERROR(VLOOKUP($D43,'Kalkulator mięs '!$C$5:$H$533,FN$4,0)*$AA43,0)</f>
        <v>0</v>
      </c>
      <c r="FO43">
        <f>IFERROR(VLOOKUP($D43,'Kalkulator mięs '!$C$5:$H$533,FO$4,0)*$AA43,0)</f>
        <v>0</v>
      </c>
      <c r="FP43">
        <f>IFERROR(VLOOKUP($D43,'Kalkulator mięs '!$C$5:$H$533,FP$4,0)*$AB43,0)</f>
        <v>0</v>
      </c>
      <c r="FQ43">
        <f>IFERROR(VLOOKUP($D43,'Kalkulator mięs '!$C$5:$H$533,FQ$4,0)*$AB43,0)</f>
        <v>0</v>
      </c>
      <c r="FR43">
        <f>IFERROR(VLOOKUP($D43,'Kalkulator mięs '!$C$5:$H$533,FR$4,0)*$AB43,0)</f>
        <v>0</v>
      </c>
      <c r="FS43">
        <f>IFERROR(VLOOKUP($D43,'Kalkulator mięs '!$C$5:$H$533,FS$4,0)*$AC43,0)</f>
        <v>0</v>
      </c>
      <c r="FT43">
        <f>IFERROR(VLOOKUP($D43,'Kalkulator mięs '!$C$5:$H$533,FT$4,0)*$AC43,0)</f>
        <v>0</v>
      </c>
      <c r="FU43">
        <f>IFERROR(VLOOKUP($D43,'Kalkulator mięs '!$C$5:$H$533,FU$4,0)*$AC43,0)</f>
        <v>0</v>
      </c>
      <c r="FV43">
        <f>IFERROR(VLOOKUP($D43,'Kalkulator mięs '!$C$5:$H$533,FV$4,0)*$AD43,0)</f>
        <v>0</v>
      </c>
      <c r="FW43">
        <f>IFERROR(VLOOKUP($D43,'Kalkulator mięs '!$C$5:$H$533,FW$4,0)*$AD43,0)</f>
        <v>0</v>
      </c>
      <c r="FX43">
        <f>IFERROR(VLOOKUP($D43,'Kalkulator mięs '!$C$5:$H$533,FX$4,0)*$AD43,0)</f>
        <v>0</v>
      </c>
      <c r="FY43">
        <f>IFERROR(VLOOKUP($D43,'Kalkulator mięs '!$C$5:$H$533,FY$4,0)*$AE43,0)</f>
        <v>0</v>
      </c>
      <c r="FZ43">
        <f>IFERROR(VLOOKUP($D43,'Kalkulator mięs '!$C$5:$H$533,FZ$4,0)*$AE43,0)</f>
        <v>0</v>
      </c>
      <c r="GA43">
        <f>IFERROR(VLOOKUP($D43,'Kalkulator mięs '!$C$5:$H$533,GA$4,0)*$AE43,0)</f>
        <v>0</v>
      </c>
      <c r="GB43">
        <f>IFERROR(VLOOKUP($D43,'Kalkulator mięs '!$C$5:$H$533,GB$4,0)*$AF43,0)</f>
        <v>0</v>
      </c>
      <c r="GC43">
        <f>IFERROR(VLOOKUP($D43,'Kalkulator mięs '!$C$5:$H$533,GC$4,0)*$AF43,0)</f>
        <v>0</v>
      </c>
      <c r="GD43">
        <f>IFERROR(VLOOKUP($D43,'Kalkulator mięs '!$C$5:$H$533,GD$4,0)*$AF43,0)</f>
        <v>0</v>
      </c>
      <c r="GE43">
        <f>IFERROR(VLOOKUP($D43,'Kalkulator mięs '!$C$5:$H$533,GE$4,0)*$AG43,0)</f>
        <v>0</v>
      </c>
      <c r="GF43">
        <f>IFERROR(VLOOKUP($D43,'Kalkulator mięs '!$C$5:$H$533,GF$4,0)*$AG43,0)</f>
        <v>0</v>
      </c>
      <c r="GG43">
        <f>IFERROR(VLOOKUP($D43,'Kalkulator mięs '!$C$5:$H$533,GG$4,0)*$AG43,0)</f>
        <v>0</v>
      </c>
      <c r="GH43">
        <f>IFERROR(VLOOKUP($D43,'Kalkulator mięs '!$C$5:$H$533,GH$4,0)*$AH43,0)</f>
        <v>0</v>
      </c>
      <c r="GI43">
        <f>IFERROR(VLOOKUP($D43,'Kalkulator mięs '!$C$5:$H$533,GI$4,0)*$AH43,0)</f>
        <v>0</v>
      </c>
      <c r="GJ43">
        <f>IFERROR(VLOOKUP($D43,'Kalkulator mięs '!$C$5:$H$533,GJ$4,0)*$AH43,0)</f>
        <v>0</v>
      </c>
      <c r="GK43">
        <f>IFERROR(VLOOKUP($D43,'Kalkulator mięs '!$C$5:$H$533,GK$4,0)*$AI43,0)</f>
        <v>0</v>
      </c>
      <c r="GL43">
        <f>IFERROR(VLOOKUP($D43,'Kalkulator mięs '!$C$5:$H$533,GL$4,0)*$AI43,0)</f>
        <v>0</v>
      </c>
      <c r="GM43">
        <f>IFERROR(VLOOKUP($D43,'Kalkulator mięs '!$C$5:$H$533,GM$4,0)*$AI43,0)</f>
        <v>0</v>
      </c>
      <c r="GN43">
        <f>IFERROR(VLOOKUP($D43,'Kalkulator mięs '!$C$5:$H$533,GN$4,0)*$AJ43,0)</f>
        <v>0</v>
      </c>
      <c r="GO43">
        <f>IFERROR(VLOOKUP($D43,'Kalkulator mięs '!$C$5:$H$533,GO$4,0)*$AJ43,0)</f>
        <v>0</v>
      </c>
      <c r="GP43">
        <f>IFERROR(VLOOKUP($D43,'Kalkulator mięs '!$C$5:$H$533,GP$4,0)*$AJ43,0)</f>
        <v>0</v>
      </c>
      <c r="GQ43">
        <f>IFERROR(VLOOKUP($D43,'Kalkulator mięs '!$C$5:$H$533,GQ$4,0)*$AK43,0)</f>
        <v>0</v>
      </c>
      <c r="GR43">
        <f>IFERROR(VLOOKUP($D43,'Kalkulator mięs '!$C$5:$H$533,GR$4,0)*$AK43,0)</f>
        <v>0</v>
      </c>
      <c r="GS43">
        <f>IFERROR(VLOOKUP($D43,'Kalkulator mięs '!$C$5:$H$533,GS$4,0)*$AK43,0)</f>
        <v>0</v>
      </c>
      <c r="GT43">
        <f>IFERROR(VLOOKUP($D43,'Kalkulator mięs '!$C$5:$H$533,GT$4,0)*$AL43,0)</f>
        <v>0</v>
      </c>
      <c r="GU43">
        <f>IFERROR(VLOOKUP($D43,'Kalkulator mięs '!$C$5:$H$533,GU$4,0)*$AL43,0)</f>
        <v>0</v>
      </c>
      <c r="GV43">
        <f>IFERROR(VLOOKUP($D43,'Kalkulator mięs '!$C$5:$H$533,GV$4,0)*$AL43,0)</f>
        <v>0</v>
      </c>
      <c r="GW43">
        <f>IFERROR(VLOOKUP($D43,'Kalkulator mięs '!$C$5:$H$533,GW$4,0)*$AM43,0)</f>
        <v>0</v>
      </c>
      <c r="GX43">
        <f>IFERROR(VLOOKUP($D43,'Kalkulator mięs '!$C$5:$H$533,GX$4,0)*$AM43,0)</f>
        <v>0</v>
      </c>
      <c r="GY43">
        <f>IFERROR(VLOOKUP($D43,'Kalkulator mięs '!$C$5:$H$533,GY$4,0)*$AM43,0)</f>
        <v>0</v>
      </c>
      <c r="GZ43">
        <f>IFERROR(VLOOKUP($D43,'Kalkulator mięs '!$C$5:$H$533,GZ$4,0)*$AN43,0)</f>
        <v>0</v>
      </c>
      <c r="HA43">
        <f>IFERROR(VLOOKUP($D43,'Kalkulator mięs '!$C$5:$H$533,HA$4,0)*$AN43,0)</f>
        <v>0</v>
      </c>
      <c r="HB43">
        <f>IFERROR(VLOOKUP($D43,'Kalkulator mięs '!$C$5:$H$533,HB$4,0)*$AN43,0)</f>
        <v>0</v>
      </c>
      <c r="HC43">
        <f>IFERROR(VLOOKUP($D43,'Kalkulator mięs '!$C$5:$H$533,HC$4,0)*$AO43,0)</f>
        <v>0</v>
      </c>
      <c r="HD43">
        <f>IFERROR(VLOOKUP($D43,'Kalkulator mięs '!$C$5:$H$533,HD$4,0)*$AO43,0)</f>
        <v>0</v>
      </c>
      <c r="HE43">
        <f>IFERROR(VLOOKUP($D43,'Kalkulator mięs '!$C$5:$H$533,HE$4,0)*$AO43,0)</f>
        <v>0</v>
      </c>
      <c r="HF43">
        <f>IFERROR(VLOOKUP($D43,'Kalkulator mięs '!$C$5:$H$533,HF$4,0)*$AP43,0)</f>
        <v>0</v>
      </c>
      <c r="HG43">
        <f>IFERROR(VLOOKUP($D43,'Kalkulator mięs '!$C$5:$H$533,HG$4,0)*$AP43,0)</f>
        <v>0</v>
      </c>
      <c r="HH43">
        <f>IFERROR(VLOOKUP($D43,'Kalkulator mięs '!$C$5:$H$533,HH$4,0)*$AP43,0)</f>
        <v>0</v>
      </c>
      <c r="HI43">
        <f>IFERROR(VLOOKUP($D43,'Kalkulator mięs '!$C$5:$H$533,HI$4,0)*$AQ43,0)</f>
        <v>0</v>
      </c>
      <c r="HJ43">
        <f>IFERROR(VLOOKUP($D43,'Kalkulator mięs '!$C$5:$H$533,HJ$4,0)*$AQ43,0)</f>
        <v>0</v>
      </c>
      <c r="HK43">
        <f>IFERROR(VLOOKUP($D43,'Kalkulator mięs '!$C$5:$H$533,HK$4,0)*$AQ43,0)</f>
        <v>0</v>
      </c>
      <c r="HL43">
        <f>IFERROR(VLOOKUP($D43,'Kalkulator mięs '!$C$5:$H$533,HL$4,0)*$AR43,0)</f>
        <v>0</v>
      </c>
      <c r="HM43">
        <f>IFERROR(VLOOKUP($D43,'Kalkulator mięs '!$C$5:$H$533,HM$4,0)*$AR43,0)</f>
        <v>0</v>
      </c>
      <c r="HN43">
        <f>IFERROR(VLOOKUP($D43,'Kalkulator mięs '!$C$5:$H$533,HN$4,0)*$AR43,0)</f>
        <v>0</v>
      </c>
      <c r="HO43">
        <f>IFERROR(VLOOKUP($D43,'Kalkulator mięs '!$C$5:$H$533,HO$4,0)*$AS43,0)</f>
        <v>0</v>
      </c>
      <c r="HP43">
        <f>IFERROR(VLOOKUP($D43,'Kalkulator mięs '!$C$5:$H$533,HP$4,0)*$AS43,0)</f>
        <v>0</v>
      </c>
      <c r="HQ43">
        <f>IFERROR(VLOOKUP($D43,'Kalkulator mięs '!$C$5:$H$533,HQ$4,0)*$AS43,0)</f>
        <v>0</v>
      </c>
      <c r="HR43">
        <f>IFERROR(VLOOKUP($D43,'Kalkulator mięs '!$C$5:$H$533,HR$4,0)*$AT43,0)</f>
        <v>0</v>
      </c>
      <c r="HS43">
        <f>IFERROR(VLOOKUP($D43,'Kalkulator mięs '!$C$5:$H$533,HS$4,0)*$AT43,0)</f>
        <v>0</v>
      </c>
      <c r="HT43">
        <f>IFERROR(VLOOKUP($D43,'Kalkulator mięs '!$C$5:$H$533,HT$4,0)*$AT43,0)</f>
        <v>0</v>
      </c>
      <c r="HU43">
        <f>IFERROR(VLOOKUP($D43,'Kalkulator mięs '!$C$5:$H$533,HU$4,0)*$AU43,0)</f>
        <v>0</v>
      </c>
      <c r="HV43">
        <f>IFERROR(VLOOKUP($D43,'Kalkulator mięs '!$C$5:$H$533,HV$4,0)*$AU43,0)</f>
        <v>0</v>
      </c>
      <c r="HW43">
        <f>IFERROR(VLOOKUP($D43,'Kalkulator mięs '!$C$5:$H$533,HW$4,0)*$AU43,0)</f>
        <v>0</v>
      </c>
      <c r="HX43">
        <f>IFERROR(VLOOKUP($D43,'Kalkulator mięs '!$C$5:$H$533,HX$4,0)*$AV43,0)</f>
        <v>0</v>
      </c>
      <c r="HY43">
        <f>IFERROR(VLOOKUP($D43,'Kalkulator mięs '!$C$5:$H$533,HY$4,0)*$AV43,0)</f>
        <v>0</v>
      </c>
      <c r="HZ43">
        <f>IFERROR(VLOOKUP($D43,'Kalkulator mięs '!$C$5:$H$533,HZ$4,0)*$AV43,0)</f>
        <v>0</v>
      </c>
      <c r="IA43">
        <f>IFERROR(VLOOKUP($D43,'Kalkulator mięs '!$C$5:$H$533,IA$4,0)*$AW43,0)</f>
        <v>0</v>
      </c>
      <c r="IB43">
        <f>IFERROR(VLOOKUP($D43,'Kalkulator mięs '!$C$5:$H$533,IB$4,0)*$AW43,0)</f>
        <v>0</v>
      </c>
      <c r="IC43">
        <f>IFERROR(VLOOKUP($D43,'Kalkulator mięs '!$C$5:$H$533,IC$4,0)*$AW43,0)</f>
        <v>0</v>
      </c>
      <c r="ID43">
        <f>IFERROR(VLOOKUP($D43,'Kalkulator mięs '!$C$5:$H$533,ID$4,0)*$AX43,0)</f>
        <v>0</v>
      </c>
      <c r="IE43">
        <f>IFERROR(VLOOKUP($D43,'Kalkulator mięs '!$C$5:$H$533,IE$4,0)*$AX43,0)</f>
        <v>0</v>
      </c>
      <c r="IF43">
        <f>IFERROR(VLOOKUP($D43,'Kalkulator mięs '!$C$5:$H$533,IF$4,0)*$AX43,0)</f>
        <v>0</v>
      </c>
      <c r="IG43">
        <f>IFERROR(VLOOKUP($D43,'Kalkulator mięs '!$C$5:$H$533,IG$4,0)*$AY43,0)</f>
        <v>0</v>
      </c>
      <c r="IH43">
        <f>IFERROR(VLOOKUP($D43,'Kalkulator mięs '!$C$5:$H$533,IH$4,0)*$AY43,0)</f>
        <v>0</v>
      </c>
      <c r="II43">
        <f>IFERROR(VLOOKUP($D43,'Kalkulator mięs '!$C$5:$H$533,II$4,0)*$AY43,0)</f>
        <v>0</v>
      </c>
      <c r="IJ43">
        <f>IFERROR(VLOOKUP($D43,'Kalkulator mięs '!$C$5:$H$533,IJ$4,0)*$AZ43,0)</f>
        <v>0</v>
      </c>
      <c r="IK43">
        <f>IFERROR(VLOOKUP($D43,'Kalkulator mięs '!$C$5:$H$533,IK$4,0)*$AZ43,0)</f>
        <v>0</v>
      </c>
      <c r="IL43">
        <f>IFERROR(VLOOKUP($D43,'Kalkulator mięs '!$C$5:$H$533,IL$4,0)*$AZ43,0)</f>
        <v>0</v>
      </c>
      <c r="IM43">
        <f>IFERROR(VLOOKUP($D43,'Kalkulator mięs '!$C$5:$H$533,IM$4,0)*$BA43,0)</f>
        <v>0</v>
      </c>
      <c r="IN43">
        <f>IFERROR(VLOOKUP($D43,'Kalkulator mięs '!$C$5:$H$533,IN$4,0)*$BA43,0)</f>
        <v>0</v>
      </c>
      <c r="IO43">
        <f>IFERROR(VLOOKUP($D43,'Kalkulator mięs '!$C$5:$H$533,IO$4,0)*$BA43,0)</f>
        <v>0</v>
      </c>
    </row>
    <row r="44" spans="1:249" ht="15.75">
      <c r="B44" t="str">
        <f>VLOOKUP(D44,Receptury_z!$A:$B,2,0)</f>
        <v>ON</v>
      </c>
      <c r="C44" s="16">
        <v>5447</v>
      </c>
      <c r="D44" s="19">
        <v>6628</v>
      </c>
      <c r="E44" s="18" t="s">
        <v>49</v>
      </c>
      <c r="F44" s="14">
        <f>IF($B44="OFF",BE44,VLOOKUP($D44,Receptury_z!$D:$AI,F$4,0))</f>
        <v>0</v>
      </c>
      <c r="G44" s="14">
        <f>IF($B44="OFF",BF44,VLOOKUP($D44,Receptury_z!$D:$AI,G$4,0))</f>
        <v>0</v>
      </c>
      <c r="H44" s="14">
        <f>IF($B44="OFF",BG44,VLOOKUP($D44,Receptury_z!$D:$AI,H$4,0))</f>
        <v>0</v>
      </c>
      <c r="I44" s="14">
        <f>IF($B44="OFF",BH44,VLOOKUP($D44,Receptury_z!$D:$AI,I$4,0))</f>
        <v>0</v>
      </c>
      <c r="J44" s="14">
        <f>IF($B44="OFF",BI44,VLOOKUP($D44,Receptury_z!$D:$AI,J$4,0))</f>
        <v>0</v>
      </c>
      <c r="K44" s="14">
        <f>IF($B44="OFF",BJ44,VLOOKUP($D44,Receptury_z!$D:$AI,K$4,0))</f>
        <v>0</v>
      </c>
      <c r="L44" s="14">
        <f>IF($B44="OFF",BK44,VLOOKUP($D44,Receptury_z!$D:$AI,L$4,0))</f>
        <v>0</v>
      </c>
      <c r="M44" s="14">
        <f>IF($B44="OFF",BL44,VLOOKUP($D44,Receptury_z!$D:$AI,M$4,0))</f>
        <v>0</v>
      </c>
      <c r="N44" s="14">
        <f>IF($B44="OFF",BM44,VLOOKUP($D44,Receptury_z!$D:$AI,N$4,0))</f>
        <v>0</v>
      </c>
      <c r="O44" s="14">
        <f>IF($B44="OFF",BN44,VLOOKUP($D44,Receptury_z!$D:$AI,O$4,0))</f>
        <v>0</v>
      </c>
      <c r="P44" s="14">
        <f>IF($B44="OFF",BO44,VLOOKUP($D44,Receptury_z!$D:$AI,P$4,0))</f>
        <v>0</v>
      </c>
      <c r="Q44" s="14">
        <f>IF($B44="OFF",BP44,VLOOKUP($D44,Receptury_z!$D:$AI,Q$4,0))</f>
        <v>69.7</v>
      </c>
      <c r="R44" s="14">
        <f>IF($B44="OFF",BQ44,VLOOKUP($D44,Receptury_z!$D:$AI,R$4,0))</f>
        <v>0</v>
      </c>
      <c r="S44" s="14">
        <f>IF($B44="OFF",BR44,VLOOKUP($D44,Receptury_z!$D:$AI,S$4,0))</f>
        <v>0</v>
      </c>
      <c r="T44" s="14">
        <f>IF($B44="OFF",BS44,VLOOKUP($D44,Receptury_z!$D:$AI,T$4,0))</f>
        <v>0</v>
      </c>
      <c r="U44" s="14">
        <f>IF($B44="OFF",BT44,VLOOKUP($D44,Receptury_z!$D:$AI,U$4,0))</f>
        <v>0</v>
      </c>
      <c r="V44" s="14">
        <f>IF($B44="OFF",BU44,VLOOKUP($D44,Receptury_z!$D:$AI,V$4,0))</f>
        <v>0</v>
      </c>
      <c r="W44" s="14">
        <f>IF($B44="OFF",BV44,VLOOKUP($D44,Receptury_z!$D:$AI,W$4,0))</f>
        <v>0</v>
      </c>
      <c r="X44" s="14">
        <f>IF($B44="OFF",BW44,VLOOKUP($D44,Receptury_z!$D:$AI,X$4,0))</f>
        <v>0</v>
      </c>
      <c r="Y44" s="14">
        <f>IF($B44="OFF",BX44,VLOOKUP($D44,Receptury_z!$D:$AI,Y$4,0))</f>
        <v>0</v>
      </c>
      <c r="Z44" s="14">
        <f>IF($B44="OFF",BY44,VLOOKUP($D44,Receptury_z!$D:$AI,Z$4,0))</f>
        <v>0</v>
      </c>
      <c r="AA44" s="14">
        <f>IF($B44="OFF",BZ44,VLOOKUP($D44,Receptury_z!$D:$AI,AA$4,0))</f>
        <v>0</v>
      </c>
      <c r="AB44" s="14">
        <f>IF($B44="OFF",CA44,VLOOKUP($D44,Receptury_z!$D:$AI,AB$4,0))</f>
        <v>0</v>
      </c>
      <c r="AC44" s="14">
        <f>IF($B44="OFF",CB44,VLOOKUP($D44,Receptury_z!$D:$AI,AC$4,0))</f>
        <v>0</v>
      </c>
      <c r="AD44" s="14">
        <f>IF($B44="OFF",CC44,VLOOKUP($D44,Receptury_z!$D:$AI,AD$4,0))</f>
        <v>0</v>
      </c>
      <c r="AE44" s="14">
        <f>IF($B44="OFF",CD44,VLOOKUP($D44,Receptury_z!$D:$AI,AE$4,0))</f>
        <v>348.6</v>
      </c>
      <c r="AF44" s="14">
        <f>IF($B44="OFF",CE44,VLOOKUP($D44,Receptury_z!$D:$AI,AF$4,0))</f>
        <v>0</v>
      </c>
      <c r="AG44" s="14">
        <f>IF($B44="OFF",CF44,VLOOKUP($D44,Receptury_z!$D:$AI,AG$4,0))</f>
        <v>278.89999999999998</v>
      </c>
      <c r="AH44" s="14">
        <f>IF($B44="OFF",CG44,VLOOKUP($D44,Receptury_z!$D:$AI,AH$4,0))</f>
        <v>0</v>
      </c>
      <c r="AI44" s="14">
        <f>IF($B44="OFF",CH44,VLOOKUP($D44,Receptury_z!$D:$AI,AI$4,0))</f>
        <v>0</v>
      </c>
      <c r="AJ44" s="14">
        <f>IF($B44="OFF",CI44,VLOOKUP($D44,Receptury_z!$D:$AS,AJ$4,0))</f>
        <v>0</v>
      </c>
      <c r="AK44" s="14">
        <f>IF($B44="OFF",CJ44,VLOOKUP($D44,Receptury_z!$D:$AS,AK$4,0))</f>
        <v>0</v>
      </c>
      <c r="AL44" s="14">
        <f>IF($B44="OFF",CK44,VLOOKUP($D44,Receptury_z!$D:$AS,AL$4,0))</f>
        <v>0</v>
      </c>
      <c r="AM44" s="14">
        <f>IF($B44="OFF",CL44,VLOOKUP($D44,Receptury_z!$D:$AS,AM$4,0))</f>
        <v>0</v>
      </c>
      <c r="AN44" s="14">
        <f>IF($B44="OFF",CM44,VLOOKUP($D44,Receptury_z!$D:$AS,AN$4,0))</f>
        <v>0</v>
      </c>
      <c r="AO44" s="14">
        <f>IF($B44="OFF",CN44,VLOOKUP($D44,Receptury_z!$D:$AS,AO$4,0))</f>
        <v>0</v>
      </c>
      <c r="AP44" s="14">
        <f>IF($B44="OFF",CO44,VLOOKUP($D44,Receptury_z!$D:$AS,AP$4,0))</f>
        <v>0</v>
      </c>
      <c r="AQ44" s="14">
        <f>IF($B44="OFF",CP44,VLOOKUP($D44,Receptury_z!$D:$AS,AQ$4,0))</f>
        <v>0</v>
      </c>
      <c r="AR44" s="14">
        <f>IF($B44="OFF",CQ44,VLOOKUP($D44,Receptury_z!$D:$AS,AR$4,0))</f>
        <v>0</v>
      </c>
      <c r="AS44" s="14">
        <f>IF($B44="OFF",CR44,VLOOKUP($D44,Receptury_z!$D:$AS,AS$4,0))</f>
        <v>0</v>
      </c>
      <c r="AT44" s="14">
        <f>IF($B44="OFF",CS44,VLOOKUP($D44,Receptury_z!$D:$AV,AT$4,0))</f>
        <v>0</v>
      </c>
      <c r="AU44" s="14">
        <f>IF($B44="OFF",CT44,VLOOKUP($D44,Receptury_z!$D:$AV,AU$4,0))</f>
        <v>0</v>
      </c>
      <c r="AV44" s="14">
        <f>IF($B44="OFF",CU44,VLOOKUP($D44,Receptury_z!$D:$AV,AV$4,0))</f>
        <v>0</v>
      </c>
      <c r="AW44" s="14">
        <f>IF($B44="OFF",CV44,VLOOKUP($D44,Receptury_z!$D:$BA,AW$4,0))</f>
        <v>0</v>
      </c>
      <c r="AX44" s="14">
        <f>IF($B44="OFF",CW44,VLOOKUP($D44,Receptury_z!$D:$BA,AX$4,0))</f>
        <v>0</v>
      </c>
      <c r="AY44" s="14">
        <f>IF($B44="OFF",CX44,VLOOKUP($D44,Receptury_z!$D:$BA,AY$4,0))</f>
        <v>0</v>
      </c>
      <c r="AZ44" s="14">
        <f>IF($B44="OFF",DA44,VLOOKUP($D44,Receptury_z!$D:$BA,AZ$4,0))</f>
        <v>0</v>
      </c>
      <c r="BA44" s="14">
        <f>IF($B44="OFF",DB44,VLOOKUP($D44,Receptury_z!$D:$BA,BA$4,0))</f>
        <v>0</v>
      </c>
      <c r="BC44" s="19">
        <v>6628</v>
      </c>
      <c r="BD44" s="18" t="s">
        <v>49</v>
      </c>
      <c r="BE44" s="239">
        <v>0</v>
      </c>
      <c r="BF44" s="239">
        <v>0</v>
      </c>
      <c r="BG44" s="239">
        <v>0</v>
      </c>
      <c r="BH44" s="239">
        <v>0</v>
      </c>
      <c r="BI44" s="239">
        <v>0</v>
      </c>
      <c r="BJ44" s="239">
        <v>0</v>
      </c>
      <c r="BK44" s="239">
        <v>0</v>
      </c>
      <c r="BL44" s="239">
        <v>0</v>
      </c>
      <c r="BM44" s="239">
        <v>0</v>
      </c>
      <c r="BN44" s="239">
        <v>0</v>
      </c>
      <c r="BO44" s="239">
        <v>0</v>
      </c>
      <c r="BP44" s="239">
        <v>69.7</v>
      </c>
      <c r="BQ44" s="239">
        <v>0</v>
      </c>
      <c r="BR44" s="239">
        <v>0</v>
      </c>
      <c r="BS44" s="239">
        <v>0</v>
      </c>
      <c r="BT44" s="239">
        <v>0</v>
      </c>
      <c r="BU44" s="239">
        <v>0</v>
      </c>
      <c r="BV44" s="239">
        <v>0</v>
      </c>
      <c r="BW44" s="239">
        <v>0</v>
      </c>
      <c r="BX44" s="239">
        <v>0</v>
      </c>
      <c r="BY44" s="239">
        <v>0</v>
      </c>
      <c r="BZ44" s="239">
        <v>0</v>
      </c>
      <c r="CA44" s="239">
        <v>0</v>
      </c>
      <c r="CB44" s="239">
        <v>0</v>
      </c>
      <c r="CC44" s="239">
        <v>0</v>
      </c>
      <c r="CD44" s="239">
        <v>348.6</v>
      </c>
      <c r="CE44" s="239">
        <v>0</v>
      </c>
      <c r="CF44" s="239">
        <v>278.89999999999998</v>
      </c>
      <c r="CG44" s="239">
        <v>0</v>
      </c>
      <c r="CH44" s="239">
        <v>0</v>
      </c>
      <c r="CI44" s="239">
        <v>0</v>
      </c>
      <c r="CJ44" s="239">
        <v>0</v>
      </c>
      <c r="CK44" s="239">
        <v>0</v>
      </c>
      <c r="CL44" s="239">
        <v>0</v>
      </c>
      <c r="CM44" s="80"/>
      <c r="CN44" s="80"/>
      <c r="CO44" s="80"/>
      <c r="CP44" s="80"/>
      <c r="CQ44" s="80"/>
      <c r="CR44" s="80"/>
      <c r="CS44" s="80"/>
      <c r="CT44" s="80"/>
      <c r="CU44" s="80"/>
      <c r="CV44" s="80"/>
      <c r="CW44" s="80"/>
      <c r="CX44" s="80"/>
      <c r="CY44" s="80"/>
      <c r="CZ44" s="80"/>
      <c r="DB44">
        <f>IFERROR(VLOOKUP($D44,'Kalkulator mięs '!$C$5:$H$533,DB$4,0)*F44,0)</f>
        <v>0</v>
      </c>
      <c r="DC44">
        <f>IFERROR(VLOOKUP($D44,'Kalkulator mięs '!$C$5:$H$533,DC$4,0)*F44,0)</f>
        <v>0</v>
      </c>
      <c r="DD44">
        <f>IFERROR(VLOOKUP($D44,'Kalkulator mięs '!$C$5:$H$533,DD$4,0)*F44,0)</f>
        <v>0</v>
      </c>
      <c r="DE44">
        <f>IFERROR(VLOOKUP($D44,'Kalkulator mięs '!$C$5:$H$533,DE$4,0)*$G44,0)</f>
        <v>0</v>
      </c>
      <c r="DF44">
        <f>IFERROR(VLOOKUP($D44,'Kalkulator mięs '!$C$5:$H$533,DF$4,0)*$G44,0)</f>
        <v>0</v>
      </c>
      <c r="DG44">
        <f>IFERROR(VLOOKUP($D44,'Kalkulator mięs '!$C$5:$H$533,DG$4,0)*$G44,0)</f>
        <v>0</v>
      </c>
      <c r="DH44">
        <f>IFERROR(VLOOKUP($D44,'Kalkulator mięs '!$C$5:$H$533,DH$4,0)*$H44,0)</f>
        <v>0</v>
      </c>
      <c r="DI44">
        <f>IFERROR(VLOOKUP($D44,'Kalkulator mięs '!$C$5:$H$533,DI$4,0)*$H44,0)</f>
        <v>0</v>
      </c>
      <c r="DJ44">
        <f>IFERROR(VLOOKUP($D44,'Kalkulator mięs '!$C$5:$H$533,DJ$4,0)*$H44,0)</f>
        <v>0</v>
      </c>
      <c r="DK44">
        <f>IFERROR(VLOOKUP($D44,'Kalkulator mięs '!$C$5:$H$533,DK$4,0)*$I44,0)</f>
        <v>0</v>
      </c>
      <c r="DL44">
        <f>IFERROR(VLOOKUP($D44,'Kalkulator mięs '!$C$5:$H$533,DL$4,0)*$I44,0)</f>
        <v>0</v>
      </c>
      <c r="DM44">
        <f>IFERROR(VLOOKUP($D44,'Kalkulator mięs '!$C$5:$H$533,DM$4,0)*$I44,0)</f>
        <v>0</v>
      </c>
      <c r="DN44">
        <f>IFERROR(VLOOKUP($D44,'Kalkulator mięs '!$C$5:$H$533,DN$4,0)*$J44,0)</f>
        <v>0</v>
      </c>
      <c r="DO44">
        <f>IFERROR(VLOOKUP($D44,'Kalkulator mięs '!$C$5:$H$533,DO$4,0)*$J44,0)</f>
        <v>0</v>
      </c>
      <c r="DP44">
        <f>IFERROR(VLOOKUP($D44,'Kalkulator mięs '!$C$5:$H$533,DP$4,0)*$J44,0)</f>
        <v>0</v>
      </c>
      <c r="DQ44">
        <f>IFERROR(VLOOKUP($D44,'Kalkulator mięs '!$C$5:$H$533,DQ$4,0)*$K44,0)</f>
        <v>0</v>
      </c>
      <c r="DR44">
        <f>IFERROR(VLOOKUP($D44,'Kalkulator mięs '!$C$5:$H$533,DR$4,0)*$K44,0)</f>
        <v>0</v>
      </c>
      <c r="DS44">
        <f>IFERROR(VLOOKUP($D44,'Kalkulator mięs '!$C$5:$H$533,DS$4,0)*$K44,0)</f>
        <v>0</v>
      </c>
      <c r="DT44">
        <f>IFERROR(VLOOKUP($D44,'Kalkulator mięs '!$C$5:$H$533,DT$4,0)*$L44,0)</f>
        <v>0</v>
      </c>
      <c r="DU44">
        <f>IFERROR(VLOOKUP($D44,'Kalkulator mięs '!$C$5:$H$533,DU$4,0)*$L44,0)</f>
        <v>0</v>
      </c>
      <c r="DV44">
        <f>IFERROR(VLOOKUP($D44,'Kalkulator mięs '!$C$5:$H$533,DV$4,0)*$L44,0)</f>
        <v>0</v>
      </c>
      <c r="DW44">
        <f>IFERROR(VLOOKUP($D44,'Kalkulator mięs '!$C$5:$H$533,DW$4,0)*$M44,0)</f>
        <v>0</v>
      </c>
      <c r="DX44">
        <f>IFERROR(VLOOKUP($D44,'Kalkulator mięs '!$C$5:$H$533,DX$4,0)*$M44,0)</f>
        <v>0</v>
      </c>
      <c r="DY44">
        <f>IFERROR(VLOOKUP($D44,'Kalkulator mięs '!$C$5:$H$533,DY$4,0)*$M44,0)</f>
        <v>0</v>
      </c>
      <c r="DZ44">
        <f>IFERROR(VLOOKUP($D44,'Kalkulator mięs '!$C$5:$H$533,DZ$4,0)*$N44,0)</f>
        <v>0</v>
      </c>
      <c r="EA44">
        <f>IFERROR(VLOOKUP($D44,'Kalkulator mięs '!$C$5:$H$533,EA$4,0)*$N44,0)</f>
        <v>0</v>
      </c>
      <c r="EB44">
        <f>IFERROR(VLOOKUP($D44,'Kalkulator mięs '!$C$5:$H$533,EB$4,0)*$N44,0)</f>
        <v>0</v>
      </c>
      <c r="EC44">
        <f>IFERROR(VLOOKUP($D44,'Kalkulator mięs '!$C$5:$H$533,EC$4,0)*$O44,0)</f>
        <v>0</v>
      </c>
      <c r="ED44">
        <f>IFERROR(VLOOKUP($D44,'Kalkulator mięs '!$C$5:$H$533,ED$4,0)*$O44,0)</f>
        <v>0</v>
      </c>
      <c r="EE44">
        <f>IFERROR(VLOOKUP($D44,'Kalkulator mięs '!$C$5:$H$533,EE$4,0)*$O44,0)</f>
        <v>0</v>
      </c>
      <c r="EF44">
        <f>IFERROR(VLOOKUP($D44,'Kalkulator mięs '!$C$5:$H$533,EF$4,0)*$P44,0)</f>
        <v>0</v>
      </c>
      <c r="EG44">
        <f>IFERROR(VLOOKUP($D44,'Kalkulator mięs '!$C$5:$H$533,EG$4,0)*$P44,0)</f>
        <v>0</v>
      </c>
      <c r="EH44">
        <f>IFERROR(VLOOKUP($D44,'Kalkulator mięs '!$C$5:$H$533,EH$4,0)*$P44,0)</f>
        <v>0</v>
      </c>
      <c r="EI44">
        <f>IFERROR(VLOOKUP($D44,'Kalkulator mięs '!$C$5:$H$533,EI$4,0)*$Q44,0)</f>
        <v>0</v>
      </c>
      <c r="EJ44">
        <f>IFERROR(VLOOKUP($D44,'Kalkulator mięs '!$C$5:$H$533,EJ$4,0)*$Q44,0)</f>
        <v>0</v>
      </c>
      <c r="EK44">
        <f>IFERROR(VLOOKUP($D44,'Kalkulator mięs '!$C$5:$H$533,EK$4,0)*$Q44,0)</f>
        <v>0</v>
      </c>
      <c r="EL44">
        <f>IFERROR(VLOOKUP($D44,'Kalkulator mięs '!$C$5:$H$533,EL$4,0)*$R44,0)</f>
        <v>0</v>
      </c>
      <c r="EM44">
        <f>IFERROR(VLOOKUP($D44,'Kalkulator mięs '!$C$5:$H$533,EM$4,0)*$R44,0)</f>
        <v>0</v>
      </c>
      <c r="EN44">
        <f>IFERROR(VLOOKUP($D44,'Kalkulator mięs '!$C$5:$H$533,EN$4,0)*$R44,0)</f>
        <v>0</v>
      </c>
      <c r="EO44">
        <f>IFERROR(VLOOKUP($D44,'Kalkulator mięs '!$C$5:$H$533,EO$4,0)*$S44,0)</f>
        <v>0</v>
      </c>
      <c r="EP44">
        <f>IFERROR(VLOOKUP($D44,'Kalkulator mięs '!$C$5:$H$533,EP$4,0)*$S44,0)</f>
        <v>0</v>
      </c>
      <c r="EQ44">
        <f>IFERROR(VLOOKUP($D44,'Kalkulator mięs '!$C$5:$H$533,EQ$4,0)*$S44,0)</f>
        <v>0</v>
      </c>
      <c r="ER44">
        <f>IFERROR(VLOOKUP($D44,'Kalkulator mięs '!$C$5:$H$533,ER$4,0)*$T44,0)</f>
        <v>0</v>
      </c>
      <c r="ES44">
        <f>IFERROR(VLOOKUP($D44,'Kalkulator mięs '!$C$5:$H$533,ES$4,0)*$T44,0)</f>
        <v>0</v>
      </c>
      <c r="ET44">
        <f>IFERROR(VLOOKUP($D44,'Kalkulator mięs '!$C$5:$H$533,ET$4,0)*$T44,0)</f>
        <v>0</v>
      </c>
      <c r="EU44">
        <f>IFERROR(VLOOKUP($D44,'Kalkulator mięs '!$C$5:$H$533,EU$4,0)*$U44,0)</f>
        <v>0</v>
      </c>
      <c r="EV44">
        <f>IFERROR(VLOOKUP($D44,'Kalkulator mięs '!$C$5:$H$533,EV$4,0)*$U44,0)</f>
        <v>0</v>
      </c>
      <c r="EW44">
        <f>IFERROR(VLOOKUP($D44,'Kalkulator mięs '!$C$5:$H$533,EW$4,0)*$U44,0)</f>
        <v>0</v>
      </c>
      <c r="EX44">
        <f>IFERROR(VLOOKUP($D44,'Kalkulator mięs '!$C$5:$H$533,EX$4,0)*$V44,0)</f>
        <v>0</v>
      </c>
      <c r="EY44">
        <f>IFERROR(VLOOKUP($D44,'Kalkulator mięs '!$C$5:$H$533,EY$4,0)*$V44,0)</f>
        <v>0</v>
      </c>
      <c r="EZ44">
        <f>IFERROR(VLOOKUP($D44,'Kalkulator mięs '!$C$5:$H$533,EZ$4,0)*$V44,0)</f>
        <v>0</v>
      </c>
      <c r="FA44">
        <f>IFERROR(VLOOKUP($D44,'Kalkulator mięs '!$C$5:$H$533,FA$4,0)*$W44,0)</f>
        <v>0</v>
      </c>
      <c r="FB44">
        <f>IFERROR(VLOOKUP($D44,'Kalkulator mięs '!$C$5:$H$533,FB$4,0)*$W44,0)</f>
        <v>0</v>
      </c>
      <c r="FC44">
        <f>IFERROR(VLOOKUP($D44,'Kalkulator mięs '!$C$5:$H$533,FC$4,0)*$W44,0)</f>
        <v>0</v>
      </c>
      <c r="FD44">
        <f>IFERROR(VLOOKUP($D44,'Kalkulator mięs '!$C$5:$H$533,FD$4,0)*$X44,0)</f>
        <v>0</v>
      </c>
      <c r="FE44">
        <f>IFERROR(VLOOKUP($D44,'Kalkulator mięs '!$C$5:$H$533,FE$4,0)*$X44,0)</f>
        <v>0</v>
      </c>
      <c r="FF44">
        <f>IFERROR(VLOOKUP($D44,'Kalkulator mięs '!$C$5:$H$533,FF$4,0)*$X44,0)</f>
        <v>0</v>
      </c>
      <c r="FG44">
        <f>IFERROR(VLOOKUP($D44,'Kalkulator mięs '!$C$5:$H$533,FG$4,0)*$Y44,0)</f>
        <v>0</v>
      </c>
      <c r="FH44">
        <f>IFERROR(VLOOKUP($D44,'Kalkulator mięs '!$C$5:$H$533,FH$4,0)*$Y44,0)</f>
        <v>0</v>
      </c>
      <c r="FI44">
        <f>IFERROR(VLOOKUP($D44,'Kalkulator mięs '!$C$5:$H$533,FI$4,0)*$Y44,0)</f>
        <v>0</v>
      </c>
      <c r="FJ44">
        <f>IFERROR(VLOOKUP($D44,'Kalkulator mięs '!$C$5:$H$533,FJ$4,0)*$Z44,0)</f>
        <v>0</v>
      </c>
      <c r="FK44">
        <f>IFERROR(VLOOKUP($D44,'Kalkulator mięs '!$C$5:$H$533,FK$4,0)*$Z44,0)</f>
        <v>0</v>
      </c>
      <c r="FL44">
        <f>IFERROR(VLOOKUP($D44,'Kalkulator mięs '!$C$5:$H$533,FL$4,0)*$Z44,0)</f>
        <v>0</v>
      </c>
      <c r="FM44">
        <f>IFERROR(VLOOKUP($D44,'Kalkulator mięs '!$C$5:$H$533,FM$4,0)*$AA44,0)</f>
        <v>0</v>
      </c>
      <c r="FN44">
        <f>IFERROR(VLOOKUP($D44,'Kalkulator mięs '!$C$5:$H$533,FN$4,0)*$AA44,0)</f>
        <v>0</v>
      </c>
      <c r="FO44">
        <f>IFERROR(VLOOKUP($D44,'Kalkulator mięs '!$C$5:$H$533,FO$4,0)*$AA44,0)</f>
        <v>0</v>
      </c>
      <c r="FP44">
        <f>IFERROR(VLOOKUP($D44,'Kalkulator mięs '!$C$5:$H$533,FP$4,0)*$AB44,0)</f>
        <v>0</v>
      </c>
      <c r="FQ44">
        <f>IFERROR(VLOOKUP($D44,'Kalkulator mięs '!$C$5:$H$533,FQ$4,0)*$AB44,0)</f>
        <v>0</v>
      </c>
      <c r="FR44">
        <f>IFERROR(VLOOKUP($D44,'Kalkulator mięs '!$C$5:$H$533,FR$4,0)*$AB44,0)</f>
        <v>0</v>
      </c>
      <c r="FS44">
        <f>IFERROR(VLOOKUP($D44,'Kalkulator mięs '!$C$5:$H$533,FS$4,0)*$AC44,0)</f>
        <v>0</v>
      </c>
      <c r="FT44">
        <f>IFERROR(VLOOKUP($D44,'Kalkulator mięs '!$C$5:$H$533,FT$4,0)*$AC44,0)</f>
        <v>0</v>
      </c>
      <c r="FU44">
        <f>IFERROR(VLOOKUP($D44,'Kalkulator mięs '!$C$5:$H$533,FU$4,0)*$AC44,0)</f>
        <v>0</v>
      </c>
      <c r="FV44">
        <f>IFERROR(VLOOKUP($D44,'Kalkulator mięs '!$C$5:$H$533,FV$4,0)*$AD44,0)</f>
        <v>0</v>
      </c>
      <c r="FW44">
        <f>IFERROR(VLOOKUP($D44,'Kalkulator mięs '!$C$5:$H$533,FW$4,0)*$AD44,0)</f>
        <v>0</v>
      </c>
      <c r="FX44">
        <f>IFERROR(VLOOKUP($D44,'Kalkulator mięs '!$C$5:$H$533,FX$4,0)*$AD44,0)</f>
        <v>0</v>
      </c>
      <c r="FY44">
        <f>IFERROR(VLOOKUP($D44,'Kalkulator mięs '!$C$5:$H$533,FY$4,0)*$AE44,0)</f>
        <v>0</v>
      </c>
      <c r="FZ44">
        <f>IFERROR(VLOOKUP($D44,'Kalkulator mięs '!$C$5:$H$533,FZ$4,0)*$AE44,0)</f>
        <v>0</v>
      </c>
      <c r="GA44">
        <f>IFERROR(VLOOKUP($D44,'Kalkulator mięs '!$C$5:$H$533,GA$4,0)*$AE44,0)</f>
        <v>0</v>
      </c>
      <c r="GB44">
        <f>IFERROR(VLOOKUP($D44,'Kalkulator mięs '!$C$5:$H$533,GB$4,0)*$AF44,0)</f>
        <v>0</v>
      </c>
      <c r="GC44">
        <f>IFERROR(VLOOKUP($D44,'Kalkulator mięs '!$C$5:$H$533,GC$4,0)*$AF44,0)</f>
        <v>0</v>
      </c>
      <c r="GD44">
        <f>IFERROR(VLOOKUP($D44,'Kalkulator mięs '!$C$5:$H$533,GD$4,0)*$AF44,0)</f>
        <v>0</v>
      </c>
      <c r="GE44">
        <f>IFERROR(VLOOKUP($D44,'Kalkulator mięs '!$C$5:$H$533,GE$4,0)*$AG44,0)</f>
        <v>0</v>
      </c>
      <c r="GF44">
        <f>IFERROR(VLOOKUP($D44,'Kalkulator mięs '!$C$5:$H$533,GF$4,0)*$AG44,0)</f>
        <v>0</v>
      </c>
      <c r="GG44">
        <f>IFERROR(VLOOKUP($D44,'Kalkulator mięs '!$C$5:$H$533,GG$4,0)*$AG44,0)</f>
        <v>0</v>
      </c>
      <c r="GH44">
        <f>IFERROR(VLOOKUP($D44,'Kalkulator mięs '!$C$5:$H$533,GH$4,0)*$AH44,0)</f>
        <v>0</v>
      </c>
      <c r="GI44">
        <f>IFERROR(VLOOKUP($D44,'Kalkulator mięs '!$C$5:$H$533,GI$4,0)*$AH44,0)</f>
        <v>0</v>
      </c>
      <c r="GJ44">
        <f>IFERROR(VLOOKUP($D44,'Kalkulator mięs '!$C$5:$H$533,GJ$4,0)*$AH44,0)</f>
        <v>0</v>
      </c>
      <c r="GK44">
        <f>IFERROR(VLOOKUP($D44,'Kalkulator mięs '!$C$5:$H$533,GK$4,0)*$AI44,0)</f>
        <v>0</v>
      </c>
      <c r="GL44">
        <f>IFERROR(VLOOKUP($D44,'Kalkulator mięs '!$C$5:$H$533,GL$4,0)*$AI44,0)</f>
        <v>0</v>
      </c>
      <c r="GM44">
        <f>IFERROR(VLOOKUP($D44,'Kalkulator mięs '!$C$5:$H$533,GM$4,0)*$AI44,0)</f>
        <v>0</v>
      </c>
      <c r="GN44">
        <f>IFERROR(VLOOKUP($D44,'Kalkulator mięs '!$C$5:$H$533,GN$4,0)*$AJ44,0)</f>
        <v>0</v>
      </c>
      <c r="GO44">
        <f>IFERROR(VLOOKUP($D44,'Kalkulator mięs '!$C$5:$H$533,GO$4,0)*$AJ44,0)</f>
        <v>0</v>
      </c>
      <c r="GP44">
        <f>IFERROR(VLOOKUP($D44,'Kalkulator mięs '!$C$5:$H$533,GP$4,0)*$AJ44,0)</f>
        <v>0</v>
      </c>
      <c r="GQ44">
        <f>IFERROR(VLOOKUP($D44,'Kalkulator mięs '!$C$5:$H$533,GQ$4,0)*$AK44,0)</f>
        <v>0</v>
      </c>
      <c r="GR44">
        <f>IFERROR(VLOOKUP($D44,'Kalkulator mięs '!$C$5:$H$533,GR$4,0)*$AK44,0)</f>
        <v>0</v>
      </c>
      <c r="GS44">
        <f>IFERROR(VLOOKUP($D44,'Kalkulator mięs '!$C$5:$H$533,GS$4,0)*$AK44,0)</f>
        <v>0</v>
      </c>
      <c r="GT44">
        <f>IFERROR(VLOOKUP($D44,'Kalkulator mięs '!$C$5:$H$533,GT$4,0)*$AL44,0)</f>
        <v>0</v>
      </c>
      <c r="GU44">
        <f>IFERROR(VLOOKUP($D44,'Kalkulator mięs '!$C$5:$H$533,GU$4,0)*$AL44,0)</f>
        <v>0</v>
      </c>
      <c r="GV44">
        <f>IFERROR(VLOOKUP($D44,'Kalkulator mięs '!$C$5:$H$533,GV$4,0)*$AL44,0)</f>
        <v>0</v>
      </c>
      <c r="GW44">
        <f>IFERROR(VLOOKUP($D44,'Kalkulator mięs '!$C$5:$H$533,GW$4,0)*$AM44,0)</f>
        <v>0</v>
      </c>
      <c r="GX44">
        <f>IFERROR(VLOOKUP($D44,'Kalkulator mięs '!$C$5:$H$533,GX$4,0)*$AM44,0)</f>
        <v>0</v>
      </c>
      <c r="GY44">
        <f>IFERROR(VLOOKUP($D44,'Kalkulator mięs '!$C$5:$H$533,GY$4,0)*$AM44,0)</f>
        <v>0</v>
      </c>
      <c r="GZ44">
        <f>IFERROR(VLOOKUP($D44,'Kalkulator mięs '!$C$5:$H$533,GZ$4,0)*$AN44,0)</f>
        <v>0</v>
      </c>
      <c r="HA44">
        <f>IFERROR(VLOOKUP($D44,'Kalkulator mięs '!$C$5:$H$533,HA$4,0)*$AN44,0)</f>
        <v>0</v>
      </c>
      <c r="HB44">
        <f>IFERROR(VLOOKUP($D44,'Kalkulator mięs '!$C$5:$H$533,HB$4,0)*$AN44,0)</f>
        <v>0</v>
      </c>
      <c r="HC44">
        <f>IFERROR(VLOOKUP($D44,'Kalkulator mięs '!$C$5:$H$533,HC$4,0)*$AO44,0)</f>
        <v>0</v>
      </c>
      <c r="HD44">
        <f>IFERROR(VLOOKUP($D44,'Kalkulator mięs '!$C$5:$H$533,HD$4,0)*$AO44,0)</f>
        <v>0</v>
      </c>
      <c r="HE44">
        <f>IFERROR(VLOOKUP($D44,'Kalkulator mięs '!$C$5:$H$533,HE$4,0)*$AO44,0)</f>
        <v>0</v>
      </c>
      <c r="HF44">
        <f>IFERROR(VLOOKUP($D44,'Kalkulator mięs '!$C$5:$H$533,HF$4,0)*$AP44,0)</f>
        <v>0</v>
      </c>
      <c r="HG44">
        <f>IFERROR(VLOOKUP($D44,'Kalkulator mięs '!$C$5:$H$533,HG$4,0)*$AP44,0)</f>
        <v>0</v>
      </c>
      <c r="HH44">
        <f>IFERROR(VLOOKUP($D44,'Kalkulator mięs '!$C$5:$H$533,HH$4,0)*$AP44,0)</f>
        <v>0</v>
      </c>
      <c r="HI44">
        <f>IFERROR(VLOOKUP($D44,'Kalkulator mięs '!$C$5:$H$533,HI$4,0)*$AQ44,0)</f>
        <v>0</v>
      </c>
      <c r="HJ44">
        <f>IFERROR(VLOOKUP($D44,'Kalkulator mięs '!$C$5:$H$533,HJ$4,0)*$AQ44,0)</f>
        <v>0</v>
      </c>
      <c r="HK44">
        <f>IFERROR(VLOOKUP($D44,'Kalkulator mięs '!$C$5:$H$533,HK$4,0)*$AQ44,0)</f>
        <v>0</v>
      </c>
      <c r="HL44">
        <f>IFERROR(VLOOKUP($D44,'Kalkulator mięs '!$C$5:$H$533,HL$4,0)*$AR44,0)</f>
        <v>0</v>
      </c>
      <c r="HM44">
        <f>IFERROR(VLOOKUP($D44,'Kalkulator mięs '!$C$5:$H$533,HM$4,0)*$AR44,0)</f>
        <v>0</v>
      </c>
      <c r="HN44">
        <f>IFERROR(VLOOKUP($D44,'Kalkulator mięs '!$C$5:$H$533,HN$4,0)*$AR44,0)</f>
        <v>0</v>
      </c>
      <c r="HO44">
        <f>IFERROR(VLOOKUP($D44,'Kalkulator mięs '!$C$5:$H$533,HO$4,0)*$AS44,0)</f>
        <v>0</v>
      </c>
      <c r="HP44">
        <f>IFERROR(VLOOKUP($D44,'Kalkulator mięs '!$C$5:$H$533,HP$4,0)*$AS44,0)</f>
        <v>0</v>
      </c>
      <c r="HQ44">
        <f>IFERROR(VLOOKUP($D44,'Kalkulator mięs '!$C$5:$H$533,HQ$4,0)*$AS44,0)</f>
        <v>0</v>
      </c>
      <c r="HR44">
        <f>IFERROR(VLOOKUP($D44,'Kalkulator mięs '!$C$5:$H$533,HR$4,0)*$AT44,0)</f>
        <v>0</v>
      </c>
      <c r="HS44">
        <f>IFERROR(VLOOKUP($D44,'Kalkulator mięs '!$C$5:$H$533,HS$4,0)*$AT44,0)</f>
        <v>0</v>
      </c>
      <c r="HT44">
        <f>IFERROR(VLOOKUP($D44,'Kalkulator mięs '!$C$5:$H$533,HT$4,0)*$AT44,0)</f>
        <v>0</v>
      </c>
      <c r="HU44">
        <f>IFERROR(VLOOKUP($D44,'Kalkulator mięs '!$C$5:$H$533,HU$4,0)*$AU44,0)</f>
        <v>0</v>
      </c>
      <c r="HV44">
        <f>IFERROR(VLOOKUP($D44,'Kalkulator mięs '!$C$5:$H$533,HV$4,0)*$AU44,0)</f>
        <v>0</v>
      </c>
      <c r="HW44">
        <f>IFERROR(VLOOKUP($D44,'Kalkulator mięs '!$C$5:$H$533,HW$4,0)*$AU44,0)</f>
        <v>0</v>
      </c>
      <c r="HX44">
        <f>IFERROR(VLOOKUP($D44,'Kalkulator mięs '!$C$5:$H$533,HX$4,0)*$AV44,0)</f>
        <v>0</v>
      </c>
      <c r="HY44">
        <f>IFERROR(VLOOKUP($D44,'Kalkulator mięs '!$C$5:$H$533,HY$4,0)*$AV44,0)</f>
        <v>0</v>
      </c>
      <c r="HZ44">
        <f>IFERROR(VLOOKUP($D44,'Kalkulator mięs '!$C$5:$H$533,HZ$4,0)*$AV44,0)</f>
        <v>0</v>
      </c>
      <c r="IA44">
        <f>IFERROR(VLOOKUP($D44,'Kalkulator mięs '!$C$5:$H$533,IA$4,0)*$AW44,0)</f>
        <v>0</v>
      </c>
      <c r="IB44">
        <f>IFERROR(VLOOKUP($D44,'Kalkulator mięs '!$C$5:$H$533,IB$4,0)*$AW44,0)</f>
        <v>0</v>
      </c>
      <c r="IC44">
        <f>IFERROR(VLOOKUP($D44,'Kalkulator mięs '!$C$5:$H$533,IC$4,0)*$AW44,0)</f>
        <v>0</v>
      </c>
      <c r="ID44">
        <f>IFERROR(VLOOKUP($D44,'Kalkulator mięs '!$C$5:$H$533,ID$4,0)*$AX44,0)</f>
        <v>0</v>
      </c>
      <c r="IE44">
        <f>IFERROR(VLOOKUP($D44,'Kalkulator mięs '!$C$5:$H$533,IE$4,0)*$AX44,0)</f>
        <v>0</v>
      </c>
      <c r="IF44">
        <f>IFERROR(VLOOKUP($D44,'Kalkulator mięs '!$C$5:$H$533,IF$4,0)*$AX44,0)</f>
        <v>0</v>
      </c>
      <c r="IG44">
        <f>IFERROR(VLOOKUP($D44,'Kalkulator mięs '!$C$5:$H$533,IG$4,0)*$AY44,0)</f>
        <v>0</v>
      </c>
      <c r="IH44">
        <f>IFERROR(VLOOKUP($D44,'Kalkulator mięs '!$C$5:$H$533,IH$4,0)*$AY44,0)</f>
        <v>0</v>
      </c>
      <c r="II44">
        <f>IFERROR(VLOOKUP($D44,'Kalkulator mięs '!$C$5:$H$533,II$4,0)*$AY44,0)</f>
        <v>0</v>
      </c>
      <c r="IJ44">
        <f>IFERROR(VLOOKUP($D44,'Kalkulator mięs '!$C$5:$H$533,IJ$4,0)*$AZ44,0)</f>
        <v>0</v>
      </c>
      <c r="IK44">
        <f>IFERROR(VLOOKUP($D44,'Kalkulator mięs '!$C$5:$H$533,IK$4,0)*$AZ44,0)</f>
        <v>0</v>
      </c>
      <c r="IL44">
        <f>IFERROR(VLOOKUP($D44,'Kalkulator mięs '!$C$5:$H$533,IL$4,0)*$AZ44,0)</f>
        <v>0</v>
      </c>
      <c r="IM44">
        <f>IFERROR(VLOOKUP($D44,'Kalkulator mięs '!$C$5:$H$533,IM$4,0)*$BA44,0)</f>
        <v>0</v>
      </c>
      <c r="IN44">
        <f>IFERROR(VLOOKUP($D44,'Kalkulator mięs '!$C$5:$H$533,IN$4,0)*$BA44,0)</f>
        <v>0</v>
      </c>
      <c r="IO44">
        <f>IFERROR(VLOOKUP($D44,'Kalkulator mięs '!$C$5:$H$533,IO$4,0)*$BA44,0)</f>
        <v>0</v>
      </c>
    </row>
    <row r="45" spans="1:249" ht="15.75">
      <c r="B45" t="str">
        <f>VLOOKUP(D45,Receptury_z!$A:$B,2,0)</f>
        <v>ON</v>
      </c>
      <c r="C45" s="16">
        <v>5592</v>
      </c>
      <c r="D45" s="19">
        <v>6629</v>
      </c>
      <c r="E45" s="18" t="s">
        <v>15286</v>
      </c>
      <c r="F45" s="14">
        <f>IF($B45="OFF",BE45,VLOOKUP($D45,Receptury_z!$D:$AI,F$4,0))</f>
        <v>0</v>
      </c>
      <c r="G45" s="14">
        <f>IF($B45="OFF",BF45,VLOOKUP($D45,Receptury_z!$D:$AI,G$4,0))</f>
        <v>0</v>
      </c>
      <c r="H45" s="14">
        <f>IF($B45="OFF",BG45,VLOOKUP($D45,Receptury_z!$D:$AI,H$4,0))</f>
        <v>0</v>
      </c>
      <c r="I45" s="14">
        <f>IF($B45="OFF",BH45,VLOOKUP($D45,Receptury_z!$D:$AI,I$4,0))</f>
        <v>0</v>
      </c>
      <c r="J45" s="14">
        <f>IF($B45="OFF",BI45,VLOOKUP($D45,Receptury_z!$D:$AI,J$4,0))</f>
        <v>0</v>
      </c>
      <c r="K45" s="14">
        <f>IF($B45="OFF",BJ45,VLOOKUP($D45,Receptury_z!$D:$AI,K$4,0))</f>
        <v>0</v>
      </c>
      <c r="L45" s="14">
        <f>IF($B45="OFF",BK45,VLOOKUP($D45,Receptury_z!$D:$AI,L$4,0))</f>
        <v>0</v>
      </c>
      <c r="M45" s="14">
        <f>IF($B45="OFF",BL45,VLOOKUP($D45,Receptury_z!$D:$AI,M$4,0))</f>
        <v>0</v>
      </c>
      <c r="N45" s="14">
        <f>IF($B45="OFF",BM45,VLOOKUP($D45,Receptury_z!$D:$AI,N$4,0))</f>
        <v>0</v>
      </c>
      <c r="O45" s="14">
        <f>IF($B45="OFF",BN45,VLOOKUP($D45,Receptury_z!$D:$AI,O$4,0))</f>
        <v>0</v>
      </c>
      <c r="P45" s="14">
        <f>IF($B45="OFF",BO45,VLOOKUP($D45,Receptury_z!$D:$AI,P$4,0))</f>
        <v>0</v>
      </c>
      <c r="Q45" s="14">
        <f>IF($B45="OFF",BP45,VLOOKUP($D45,Receptury_z!$D:$AI,Q$4,0))</f>
        <v>0</v>
      </c>
      <c r="R45" s="14">
        <f>IF($B45="OFF",BQ45,VLOOKUP($D45,Receptury_z!$D:$AI,R$4,0))</f>
        <v>153.1</v>
      </c>
      <c r="S45" s="14">
        <f>IF($B45="OFF",BR45,VLOOKUP($D45,Receptury_z!$D:$AI,S$4,0))</f>
        <v>0</v>
      </c>
      <c r="T45" s="14">
        <f>IF($B45="OFF",BS45,VLOOKUP($D45,Receptury_z!$D:$AI,T$4,0))</f>
        <v>181.2</v>
      </c>
      <c r="U45" s="14">
        <f>IF($B45="OFF",BT45,VLOOKUP($D45,Receptury_z!$D:$AI,U$4,0))</f>
        <v>172.8</v>
      </c>
      <c r="V45" s="14">
        <f>IF($B45="OFF",BU45,VLOOKUP($D45,Receptury_z!$D:$AI,V$4,0))</f>
        <v>0</v>
      </c>
      <c r="W45" s="14">
        <f>IF($B45="OFF",BV45,VLOOKUP($D45,Receptury_z!$D:$AI,W$4,0))</f>
        <v>0</v>
      </c>
      <c r="X45" s="14">
        <f>IF($B45="OFF",BW45,VLOOKUP($D45,Receptury_z!$D:$AI,X$4,0))</f>
        <v>0</v>
      </c>
      <c r="Y45" s="14">
        <f>IF($B45="OFF",BX45,VLOOKUP($D45,Receptury_z!$D:$AI,Y$4,0))</f>
        <v>0</v>
      </c>
      <c r="Z45" s="14">
        <f>IF($B45="OFF",BY45,VLOOKUP($D45,Receptury_z!$D:$AI,Z$4,0))</f>
        <v>0</v>
      </c>
      <c r="AA45" s="14">
        <f>IF($B45="OFF",BZ45,VLOOKUP($D45,Receptury_z!$D:$AI,AA$4,0))</f>
        <v>0</v>
      </c>
      <c r="AB45" s="14">
        <f>IF($B45="OFF",CA45,VLOOKUP($D45,Receptury_z!$D:$AI,AB$4,0))</f>
        <v>108.6</v>
      </c>
      <c r="AC45" s="14">
        <f>IF($B45="OFF",CB45,VLOOKUP($D45,Receptury_z!$D:$AI,AC$4,0))</f>
        <v>0</v>
      </c>
      <c r="AD45" s="14">
        <f>IF($B45="OFF",CC45,VLOOKUP($D45,Receptury_z!$D:$AI,AD$4,0))</f>
        <v>0</v>
      </c>
      <c r="AE45" s="14">
        <f>IF($B45="OFF",CD45,VLOOKUP($D45,Receptury_z!$D:$AI,AE$4,0))</f>
        <v>0</v>
      </c>
      <c r="AF45" s="14">
        <f>IF($B45="OFF",CE45,VLOOKUP($D45,Receptury_z!$D:$AI,AF$4,0))</f>
        <v>0</v>
      </c>
      <c r="AG45" s="14">
        <f>IF($B45="OFF",CF45,VLOOKUP($D45,Receptury_z!$D:$AI,AG$4,0))</f>
        <v>0</v>
      </c>
      <c r="AH45" s="14">
        <f>IF($B45="OFF",CG45,VLOOKUP($D45,Receptury_z!$D:$AI,AH$4,0))</f>
        <v>0</v>
      </c>
      <c r="AI45" s="14">
        <f>IF($B45="OFF",CH45,VLOOKUP($D45,Receptury_z!$D:$AI,AI$4,0))</f>
        <v>0</v>
      </c>
      <c r="AJ45" s="14">
        <f>IF($B45="OFF",CI45,VLOOKUP($D45,Receptury_z!$D:$AS,AJ$4,0))</f>
        <v>0</v>
      </c>
      <c r="AK45" s="14">
        <f>IF($B45="OFF",CJ45,VLOOKUP($D45,Receptury_z!$D:$AS,AK$4,0))</f>
        <v>108.6</v>
      </c>
      <c r="AL45" s="14">
        <f>IF($B45="OFF",CK45,VLOOKUP($D45,Receptury_z!$D:$AS,AL$4,0))</f>
        <v>0</v>
      </c>
      <c r="AM45" s="14">
        <f>IF($B45="OFF",CL45,VLOOKUP($D45,Receptury_z!$D:$AS,AM$4,0))</f>
        <v>0</v>
      </c>
      <c r="AN45" s="14">
        <f>IF($B45="OFF",CM45,VLOOKUP($D45,Receptury_z!$D:$AS,AN$4,0))</f>
        <v>0</v>
      </c>
      <c r="AO45" s="14">
        <f>IF($B45="OFF",CN45,VLOOKUP($D45,Receptury_z!$D:$AS,AO$4,0))</f>
        <v>0</v>
      </c>
      <c r="AP45" s="14">
        <f>IF($B45="OFF",CO45,VLOOKUP($D45,Receptury_z!$D:$AS,AP$4,0))</f>
        <v>0</v>
      </c>
      <c r="AQ45" s="14">
        <f>IF($B45="OFF",CP45,VLOOKUP($D45,Receptury_z!$D:$AS,AQ$4,0))</f>
        <v>0</v>
      </c>
      <c r="AR45" s="14">
        <f>IF($B45="OFF",CQ45,VLOOKUP($D45,Receptury_z!$D:$AS,AR$4,0))</f>
        <v>0</v>
      </c>
      <c r="AS45" s="14">
        <f>IF($B45="OFF",CR45,VLOOKUP($D45,Receptury_z!$D:$AS,AS$4,0))</f>
        <v>0</v>
      </c>
      <c r="AT45" s="14">
        <f>IF($B45="OFF",CS45,VLOOKUP($D45,Receptury_z!$D:$AV,AT$4,0))</f>
        <v>0</v>
      </c>
      <c r="AU45" s="14">
        <f>IF($B45="OFF",CT45,VLOOKUP($D45,Receptury_z!$D:$AV,AU$4,0))</f>
        <v>0</v>
      </c>
      <c r="AV45" s="14">
        <f>IF($B45="OFF",CU45,VLOOKUP($D45,Receptury_z!$D:$AV,AV$4,0))</f>
        <v>0</v>
      </c>
      <c r="AW45" s="14">
        <f>IF($B45="OFF",CV45,VLOOKUP($D45,Receptury_z!$D:$BA,AW$4,0))</f>
        <v>0</v>
      </c>
      <c r="AX45" s="14">
        <f>IF($B45="OFF",CW45,VLOOKUP($D45,Receptury_z!$D:$BA,AX$4,0))</f>
        <v>0</v>
      </c>
      <c r="AY45" s="14">
        <f>IF($B45="OFF",CX45,VLOOKUP($D45,Receptury_z!$D:$BA,AY$4,0))</f>
        <v>0</v>
      </c>
      <c r="AZ45" s="14">
        <f>IF($B45="OFF",DA45,VLOOKUP($D45,Receptury_z!$D:$BA,AZ$4,0))</f>
        <v>0</v>
      </c>
      <c r="BA45" s="14">
        <f>IF($B45="OFF",DB45,VLOOKUP($D45,Receptury_z!$D:$BA,BA$4,0))</f>
        <v>0</v>
      </c>
      <c r="BC45" s="19">
        <v>6629</v>
      </c>
      <c r="BD45" s="18" t="s">
        <v>15286</v>
      </c>
      <c r="BE45" s="239">
        <v>0</v>
      </c>
      <c r="BF45" s="239">
        <v>0</v>
      </c>
      <c r="BG45" s="239">
        <v>0</v>
      </c>
      <c r="BH45" s="239">
        <v>0</v>
      </c>
      <c r="BI45" s="239">
        <v>0</v>
      </c>
      <c r="BJ45" s="239">
        <v>0</v>
      </c>
      <c r="BK45" s="239">
        <v>0</v>
      </c>
      <c r="BL45" s="239">
        <v>0</v>
      </c>
      <c r="BM45" s="239">
        <v>0</v>
      </c>
      <c r="BN45" s="239">
        <v>0</v>
      </c>
      <c r="BO45" s="239">
        <v>0</v>
      </c>
      <c r="BP45" s="239">
        <v>0</v>
      </c>
      <c r="BQ45" s="239">
        <v>123.1</v>
      </c>
      <c r="BR45" s="239">
        <v>0</v>
      </c>
      <c r="BS45" s="239">
        <v>181</v>
      </c>
      <c r="BT45" s="239">
        <v>202.8</v>
      </c>
      <c r="BU45" s="239">
        <v>0</v>
      </c>
      <c r="BV45" s="239">
        <v>0</v>
      </c>
      <c r="BW45" s="239">
        <v>0</v>
      </c>
      <c r="BX45" s="239">
        <v>0</v>
      </c>
      <c r="BY45" s="239">
        <v>0</v>
      </c>
      <c r="BZ45" s="239">
        <v>0</v>
      </c>
      <c r="CA45" s="239">
        <v>108.6</v>
      </c>
      <c r="CB45" s="239">
        <v>0</v>
      </c>
      <c r="CC45" s="239">
        <v>108.6</v>
      </c>
      <c r="CD45" s="239">
        <v>0</v>
      </c>
      <c r="CE45" s="239">
        <v>0</v>
      </c>
      <c r="CF45" s="239">
        <v>0</v>
      </c>
      <c r="CG45" s="239">
        <v>0</v>
      </c>
      <c r="CH45" s="239">
        <v>0</v>
      </c>
      <c r="CI45" s="239">
        <v>0</v>
      </c>
      <c r="CJ45" s="239">
        <v>0</v>
      </c>
      <c r="CK45" s="239">
        <v>0</v>
      </c>
      <c r="CL45" s="239">
        <v>0</v>
      </c>
      <c r="CM45" s="80"/>
      <c r="CN45" s="80"/>
      <c r="CO45" s="80"/>
      <c r="CP45" s="80"/>
      <c r="CQ45" s="80"/>
      <c r="CR45" s="80"/>
      <c r="CS45" s="80"/>
      <c r="CT45" s="80"/>
      <c r="CU45" s="80"/>
      <c r="CV45" s="80"/>
      <c r="CW45" s="80"/>
      <c r="CX45" s="80"/>
      <c r="CY45" s="80"/>
      <c r="CZ45" s="80"/>
      <c r="DB45">
        <f>IFERROR(VLOOKUP($D45,'Kalkulator mięs '!$C$5:$H$533,DB$4,0)*F45,0)</f>
        <v>0</v>
      </c>
      <c r="DC45">
        <f>IFERROR(VLOOKUP($D45,'Kalkulator mięs '!$C$5:$H$533,DC$4,0)*F45,0)</f>
        <v>0</v>
      </c>
      <c r="DD45">
        <f>IFERROR(VLOOKUP($D45,'Kalkulator mięs '!$C$5:$H$533,DD$4,0)*F45,0)</f>
        <v>0</v>
      </c>
      <c r="DE45">
        <f>IFERROR(VLOOKUP($D45,'Kalkulator mięs '!$C$5:$H$533,DE$4,0)*$G45,0)</f>
        <v>0</v>
      </c>
      <c r="DF45">
        <f>IFERROR(VLOOKUP($D45,'Kalkulator mięs '!$C$5:$H$533,DF$4,0)*$G45,0)</f>
        <v>0</v>
      </c>
      <c r="DG45">
        <f>IFERROR(VLOOKUP($D45,'Kalkulator mięs '!$C$5:$H$533,DG$4,0)*$G45,0)</f>
        <v>0</v>
      </c>
      <c r="DH45">
        <f>IFERROR(VLOOKUP($D45,'Kalkulator mięs '!$C$5:$H$533,DH$4,0)*$H45,0)</f>
        <v>0</v>
      </c>
      <c r="DI45">
        <f>IFERROR(VLOOKUP($D45,'Kalkulator mięs '!$C$5:$H$533,DI$4,0)*$H45,0)</f>
        <v>0</v>
      </c>
      <c r="DJ45">
        <f>IFERROR(VLOOKUP($D45,'Kalkulator mięs '!$C$5:$H$533,DJ$4,0)*$H45,0)</f>
        <v>0</v>
      </c>
      <c r="DK45">
        <f>IFERROR(VLOOKUP($D45,'Kalkulator mięs '!$C$5:$H$533,DK$4,0)*$I45,0)</f>
        <v>0</v>
      </c>
      <c r="DL45">
        <f>IFERROR(VLOOKUP($D45,'Kalkulator mięs '!$C$5:$H$533,DL$4,0)*$I45,0)</f>
        <v>0</v>
      </c>
      <c r="DM45">
        <f>IFERROR(VLOOKUP($D45,'Kalkulator mięs '!$C$5:$H$533,DM$4,0)*$I45,0)</f>
        <v>0</v>
      </c>
      <c r="DN45">
        <f>IFERROR(VLOOKUP($D45,'Kalkulator mięs '!$C$5:$H$533,DN$4,0)*$J45,0)</f>
        <v>0</v>
      </c>
      <c r="DO45">
        <f>IFERROR(VLOOKUP($D45,'Kalkulator mięs '!$C$5:$H$533,DO$4,0)*$J45,0)</f>
        <v>0</v>
      </c>
      <c r="DP45">
        <f>IFERROR(VLOOKUP($D45,'Kalkulator mięs '!$C$5:$H$533,DP$4,0)*$J45,0)</f>
        <v>0</v>
      </c>
      <c r="DQ45">
        <f>IFERROR(VLOOKUP($D45,'Kalkulator mięs '!$C$5:$H$533,DQ$4,0)*$K45,0)</f>
        <v>0</v>
      </c>
      <c r="DR45">
        <f>IFERROR(VLOOKUP($D45,'Kalkulator mięs '!$C$5:$H$533,DR$4,0)*$K45,0)</f>
        <v>0</v>
      </c>
      <c r="DS45">
        <f>IFERROR(VLOOKUP($D45,'Kalkulator mięs '!$C$5:$H$533,DS$4,0)*$K45,0)</f>
        <v>0</v>
      </c>
      <c r="DT45">
        <f>IFERROR(VLOOKUP($D45,'Kalkulator mięs '!$C$5:$H$533,DT$4,0)*$L45,0)</f>
        <v>0</v>
      </c>
      <c r="DU45">
        <f>IFERROR(VLOOKUP($D45,'Kalkulator mięs '!$C$5:$H$533,DU$4,0)*$L45,0)</f>
        <v>0</v>
      </c>
      <c r="DV45">
        <f>IFERROR(VLOOKUP($D45,'Kalkulator mięs '!$C$5:$H$533,DV$4,0)*$L45,0)</f>
        <v>0</v>
      </c>
      <c r="DW45">
        <f>IFERROR(VLOOKUP($D45,'Kalkulator mięs '!$C$5:$H$533,DW$4,0)*$M45,0)</f>
        <v>0</v>
      </c>
      <c r="DX45">
        <f>IFERROR(VLOOKUP($D45,'Kalkulator mięs '!$C$5:$H$533,DX$4,0)*$M45,0)</f>
        <v>0</v>
      </c>
      <c r="DY45">
        <f>IFERROR(VLOOKUP($D45,'Kalkulator mięs '!$C$5:$H$533,DY$4,0)*$M45,0)</f>
        <v>0</v>
      </c>
      <c r="DZ45">
        <f>IFERROR(VLOOKUP($D45,'Kalkulator mięs '!$C$5:$H$533,DZ$4,0)*$N45,0)</f>
        <v>0</v>
      </c>
      <c r="EA45">
        <f>IFERROR(VLOOKUP($D45,'Kalkulator mięs '!$C$5:$H$533,EA$4,0)*$N45,0)</f>
        <v>0</v>
      </c>
      <c r="EB45">
        <f>IFERROR(VLOOKUP($D45,'Kalkulator mięs '!$C$5:$H$533,EB$4,0)*$N45,0)</f>
        <v>0</v>
      </c>
      <c r="EC45">
        <f>IFERROR(VLOOKUP($D45,'Kalkulator mięs '!$C$5:$H$533,EC$4,0)*$O45,0)</f>
        <v>0</v>
      </c>
      <c r="ED45">
        <f>IFERROR(VLOOKUP($D45,'Kalkulator mięs '!$C$5:$H$533,ED$4,0)*$O45,0)</f>
        <v>0</v>
      </c>
      <c r="EE45">
        <f>IFERROR(VLOOKUP($D45,'Kalkulator mięs '!$C$5:$H$533,EE$4,0)*$O45,0)</f>
        <v>0</v>
      </c>
      <c r="EF45">
        <f>IFERROR(VLOOKUP($D45,'Kalkulator mięs '!$C$5:$H$533,EF$4,0)*$P45,0)</f>
        <v>0</v>
      </c>
      <c r="EG45">
        <f>IFERROR(VLOOKUP($D45,'Kalkulator mięs '!$C$5:$H$533,EG$4,0)*$P45,0)</f>
        <v>0</v>
      </c>
      <c r="EH45">
        <f>IFERROR(VLOOKUP($D45,'Kalkulator mięs '!$C$5:$H$533,EH$4,0)*$P45,0)</f>
        <v>0</v>
      </c>
      <c r="EI45">
        <f>IFERROR(VLOOKUP($D45,'Kalkulator mięs '!$C$5:$H$533,EI$4,0)*$Q45,0)</f>
        <v>0</v>
      </c>
      <c r="EJ45">
        <f>IFERROR(VLOOKUP($D45,'Kalkulator mięs '!$C$5:$H$533,EJ$4,0)*$Q45,0)</f>
        <v>0</v>
      </c>
      <c r="EK45">
        <f>IFERROR(VLOOKUP($D45,'Kalkulator mięs '!$C$5:$H$533,EK$4,0)*$Q45,0)</f>
        <v>0</v>
      </c>
      <c r="EL45">
        <f>IFERROR(VLOOKUP($D45,'Kalkulator mięs '!$C$5:$H$533,EL$4,0)*$R45,0)</f>
        <v>0</v>
      </c>
      <c r="EM45">
        <f>IFERROR(VLOOKUP($D45,'Kalkulator mięs '!$C$5:$H$533,EM$4,0)*$R45,0)</f>
        <v>0</v>
      </c>
      <c r="EN45">
        <f>IFERROR(VLOOKUP($D45,'Kalkulator mięs '!$C$5:$H$533,EN$4,0)*$R45,0)</f>
        <v>0</v>
      </c>
      <c r="EO45">
        <f>IFERROR(VLOOKUP($D45,'Kalkulator mięs '!$C$5:$H$533,EO$4,0)*$S45,0)</f>
        <v>0</v>
      </c>
      <c r="EP45">
        <f>IFERROR(VLOOKUP($D45,'Kalkulator mięs '!$C$5:$H$533,EP$4,0)*$S45,0)</f>
        <v>0</v>
      </c>
      <c r="EQ45">
        <f>IFERROR(VLOOKUP($D45,'Kalkulator mięs '!$C$5:$H$533,EQ$4,0)*$S45,0)</f>
        <v>0</v>
      </c>
      <c r="ER45">
        <f>IFERROR(VLOOKUP($D45,'Kalkulator mięs '!$C$5:$H$533,ER$4,0)*$T45,0)</f>
        <v>0</v>
      </c>
      <c r="ES45">
        <f>IFERROR(VLOOKUP($D45,'Kalkulator mięs '!$C$5:$H$533,ES$4,0)*$T45,0)</f>
        <v>0</v>
      </c>
      <c r="ET45">
        <f>IFERROR(VLOOKUP($D45,'Kalkulator mięs '!$C$5:$H$533,ET$4,0)*$T45,0)</f>
        <v>0</v>
      </c>
      <c r="EU45">
        <f>IFERROR(VLOOKUP($D45,'Kalkulator mięs '!$C$5:$H$533,EU$4,0)*$U45,0)</f>
        <v>0</v>
      </c>
      <c r="EV45">
        <f>IFERROR(VLOOKUP($D45,'Kalkulator mięs '!$C$5:$H$533,EV$4,0)*$U45,0)</f>
        <v>0</v>
      </c>
      <c r="EW45">
        <f>IFERROR(VLOOKUP($D45,'Kalkulator mięs '!$C$5:$H$533,EW$4,0)*$U45,0)</f>
        <v>0</v>
      </c>
      <c r="EX45">
        <f>IFERROR(VLOOKUP($D45,'Kalkulator mięs '!$C$5:$H$533,EX$4,0)*$V45,0)</f>
        <v>0</v>
      </c>
      <c r="EY45">
        <f>IFERROR(VLOOKUP($D45,'Kalkulator mięs '!$C$5:$H$533,EY$4,0)*$V45,0)</f>
        <v>0</v>
      </c>
      <c r="EZ45">
        <f>IFERROR(VLOOKUP($D45,'Kalkulator mięs '!$C$5:$H$533,EZ$4,0)*$V45,0)</f>
        <v>0</v>
      </c>
      <c r="FA45">
        <f>IFERROR(VLOOKUP($D45,'Kalkulator mięs '!$C$5:$H$533,FA$4,0)*$W45,0)</f>
        <v>0</v>
      </c>
      <c r="FB45">
        <f>IFERROR(VLOOKUP($D45,'Kalkulator mięs '!$C$5:$H$533,FB$4,0)*$W45,0)</f>
        <v>0</v>
      </c>
      <c r="FC45">
        <f>IFERROR(VLOOKUP($D45,'Kalkulator mięs '!$C$5:$H$533,FC$4,0)*$W45,0)</f>
        <v>0</v>
      </c>
      <c r="FD45">
        <f>IFERROR(VLOOKUP($D45,'Kalkulator mięs '!$C$5:$H$533,FD$4,0)*$X45,0)</f>
        <v>0</v>
      </c>
      <c r="FE45">
        <f>IFERROR(VLOOKUP($D45,'Kalkulator mięs '!$C$5:$H$533,FE$4,0)*$X45,0)</f>
        <v>0</v>
      </c>
      <c r="FF45">
        <f>IFERROR(VLOOKUP($D45,'Kalkulator mięs '!$C$5:$H$533,FF$4,0)*$X45,0)</f>
        <v>0</v>
      </c>
      <c r="FG45">
        <f>IFERROR(VLOOKUP($D45,'Kalkulator mięs '!$C$5:$H$533,FG$4,0)*$Y45,0)</f>
        <v>0</v>
      </c>
      <c r="FH45">
        <f>IFERROR(VLOOKUP($D45,'Kalkulator mięs '!$C$5:$H$533,FH$4,0)*$Y45,0)</f>
        <v>0</v>
      </c>
      <c r="FI45">
        <f>IFERROR(VLOOKUP($D45,'Kalkulator mięs '!$C$5:$H$533,FI$4,0)*$Y45,0)</f>
        <v>0</v>
      </c>
      <c r="FJ45">
        <f>IFERROR(VLOOKUP($D45,'Kalkulator mięs '!$C$5:$H$533,FJ$4,0)*$Z45,0)</f>
        <v>0</v>
      </c>
      <c r="FK45">
        <f>IFERROR(VLOOKUP($D45,'Kalkulator mięs '!$C$5:$H$533,FK$4,0)*$Z45,0)</f>
        <v>0</v>
      </c>
      <c r="FL45">
        <f>IFERROR(VLOOKUP($D45,'Kalkulator mięs '!$C$5:$H$533,FL$4,0)*$Z45,0)</f>
        <v>0</v>
      </c>
      <c r="FM45">
        <f>IFERROR(VLOOKUP($D45,'Kalkulator mięs '!$C$5:$H$533,FM$4,0)*$AA45,0)</f>
        <v>0</v>
      </c>
      <c r="FN45">
        <f>IFERROR(VLOOKUP($D45,'Kalkulator mięs '!$C$5:$H$533,FN$4,0)*$AA45,0)</f>
        <v>0</v>
      </c>
      <c r="FO45">
        <f>IFERROR(VLOOKUP($D45,'Kalkulator mięs '!$C$5:$H$533,FO$4,0)*$AA45,0)</f>
        <v>0</v>
      </c>
      <c r="FP45">
        <f>IFERROR(VLOOKUP($D45,'Kalkulator mięs '!$C$5:$H$533,FP$4,0)*$AB45,0)</f>
        <v>0</v>
      </c>
      <c r="FQ45">
        <f>IFERROR(VLOOKUP($D45,'Kalkulator mięs '!$C$5:$H$533,FQ$4,0)*$AB45,0)</f>
        <v>0</v>
      </c>
      <c r="FR45">
        <f>IFERROR(VLOOKUP($D45,'Kalkulator mięs '!$C$5:$H$533,FR$4,0)*$AB45,0)</f>
        <v>0</v>
      </c>
      <c r="FS45">
        <f>IFERROR(VLOOKUP($D45,'Kalkulator mięs '!$C$5:$H$533,FS$4,0)*$AC45,0)</f>
        <v>0</v>
      </c>
      <c r="FT45">
        <f>IFERROR(VLOOKUP($D45,'Kalkulator mięs '!$C$5:$H$533,FT$4,0)*$AC45,0)</f>
        <v>0</v>
      </c>
      <c r="FU45">
        <f>IFERROR(VLOOKUP($D45,'Kalkulator mięs '!$C$5:$H$533,FU$4,0)*$AC45,0)</f>
        <v>0</v>
      </c>
      <c r="FV45">
        <f>IFERROR(VLOOKUP($D45,'Kalkulator mięs '!$C$5:$H$533,FV$4,0)*$AD45,0)</f>
        <v>0</v>
      </c>
      <c r="FW45">
        <f>IFERROR(VLOOKUP($D45,'Kalkulator mięs '!$C$5:$H$533,FW$4,0)*$AD45,0)</f>
        <v>0</v>
      </c>
      <c r="FX45">
        <f>IFERROR(VLOOKUP($D45,'Kalkulator mięs '!$C$5:$H$533,FX$4,0)*$AD45,0)</f>
        <v>0</v>
      </c>
      <c r="FY45">
        <f>IFERROR(VLOOKUP($D45,'Kalkulator mięs '!$C$5:$H$533,FY$4,0)*$AE45,0)</f>
        <v>0</v>
      </c>
      <c r="FZ45">
        <f>IFERROR(VLOOKUP($D45,'Kalkulator mięs '!$C$5:$H$533,FZ$4,0)*$AE45,0)</f>
        <v>0</v>
      </c>
      <c r="GA45">
        <f>IFERROR(VLOOKUP($D45,'Kalkulator mięs '!$C$5:$H$533,GA$4,0)*$AE45,0)</f>
        <v>0</v>
      </c>
      <c r="GB45">
        <f>IFERROR(VLOOKUP($D45,'Kalkulator mięs '!$C$5:$H$533,GB$4,0)*$AF45,0)</f>
        <v>0</v>
      </c>
      <c r="GC45">
        <f>IFERROR(VLOOKUP($D45,'Kalkulator mięs '!$C$5:$H$533,GC$4,0)*$AF45,0)</f>
        <v>0</v>
      </c>
      <c r="GD45">
        <f>IFERROR(VLOOKUP($D45,'Kalkulator mięs '!$C$5:$H$533,GD$4,0)*$AF45,0)</f>
        <v>0</v>
      </c>
      <c r="GE45">
        <f>IFERROR(VLOOKUP($D45,'Kalkulator mięs '!$C$5:$H$533,GE$4,0)*$AG45,0)</f>
        <v>0</v>
      </c>
      <c r="GF45">
        <f>IFERROR(VLOOKUP($D45,'Kalkulator mięs '!$C$5:$H$533,GF$4,0)*$AG45,0)</f>
        <v>0</v>
      </c>
      <c r="GG45">
        <f>IFERROR(VLOOKUP($D45,'Kalkulator mięs '!$C$5:$H$533,GG$4,0)*$AG45,0)</f>
        <v>0</v>
      </c>
      <c r="GH45">
        <f>IFERROR(VLOOKUP($D45,'Kalkulator mięs '!$C$5:$H$533,GH$4,0)*$AH45,0)</f>
        <v>0</v>
      </c>
      <c r="GI45">
        <f>IFERROR(VLOOKUP($D45,'Kalkulator mięs '!$C$5:$H$533,GI$4,0)*$AH45,0)</f>
        <v>0</v>
      </c>
      <c r="GJ45">
        <f>IFERROR(VLOOKUP($D45,'Kalkulator mięs '!$C$5:$H$533,GJ$4,0)*$AH45,0)</f>
        <v>0</v>
      </c>
      <c r="GK45">
        <f>IFERROR(VLOOKUP($D45,'Kalkulator mięs '!$C$5:$H$533,GK$4,0)*$AI45,0)</f>
        <v>0</v>
      </c>
      <c r="GL45">
        <f>IFERROR(VLOOKUP($D45,'Kalkulator mięs '!$C$5:$H$533,GL$4,0)*$AI45,0)</f>
        <v>0</v>
      </c>
      <c r="GM45">
        <f>IFERROR(VLOOKUP($D45,'Kalkulator mięs '!$C$5:$H$533,GM$4,0)*$AI45,0)</f>
        <v>0</v>
      </c>
      <c r="GN45">
        <f>IFERROR(VLOOKUP($D45,'Kalkulator mięs '!$C$5:$H$533,GN$4,0)*$AJ45,0)</f>
        <v>0</v>
      </c>
      <c r="GO45">
        <f>IFERROR(VLOOKUP($D45,'Kalkulator mięs '!$C$5:$H$533,GO$4,0)*$AJ45,0)</f>
        <v>0</v>
      </c>
      <c r="GP45">
        <f>IFERROR(VLOOKUP($D45,'Kalkulator mięs '!$C$5:$H$533,GP$4,0)*$AJ45,0)</f>
        <v>0</v>
      </c>
      <c r="GQ45">
        <f>IFERROR(VLOOKUP($D45,'Kalkulator mięs '!$C$5:$H$533,GQ$4,0)*$AK45,0)</f>
        <v>0</v>
      </c>
      <c r="GR45">
        <f>IFERROR(VLOOKUP($D45,'Kalkulator mięs '!$C$5:$H$533,GR$4,0)*$AK45,0)</f>
        <v>0</v>
      </c>
      <c r="GS45">
        <f>IFERROR(VLOOKUP($D45,'Kalkulator mięs '!$C$5:$H$533,GS$4,0)*$AK45,0)</f>
        <v>0</v>
      </c>
      <c r="GT45">
        <f>IFERROR(VLOOKUP($D45,'Kalkulator mięs '!$C$5:$H$533,GT$4,0)*$AL45,0)</f>
        <v>0</v>
      </c>
      <c r="GU45">
        <f>IFERROR(VLOOKUP($D45,'Kalkulator mięs '!$C$5:$H$533,GU$4,0)*$AL45,0)</f>
        <v>0</v>
      </c>
      <c r="GV45">
        <f>IFERROR(VLOOKUP($D45,'Kalkulator mięs '!$C$5:$H$533,GV$4,0)*$AL45,0)</f>
        <v>0</v>
      </c>
      <c r="GW45">
        <f>IFERROR(VLOOKUP($D45,'Kalkulator mięs '!$C$5:$H$533,GW$4,0)*$AM45,0)</f>
        <v>0</v>
      </c>
      <c r="GX45">
        <f>IFERROR(VLOOKUP($D45,'Kalkulator mięs '!$C$5:$H$533,GX$4,0)*$AM45,0)</f>
        <v>0</v>
      </c>
      <c r="GY45">
        <f>IFERROR(VLOOKUP($D45,'Kalkulator mięs '!$C$5:$H$533,GY$4,0)*$AM45,0)</f>
        <v>0</v>
      </c>
      <c r="GZ45">
        <f>IFERROR(VLOOKUP($D45,'Kalkulator mięs '!$C$5:$H$533,GZ$4,0)*$AN45,0)</f>
        <v>0</v>
      </c>
      <c r="HA45">
        <f>IFERROR(VLOOKUP($D45,'Kalkulator mięs '!$C$5:$H$533,HA$4,0)*$AN45,0)</f>
        <v>0</v>
      </c>
      <c r="HB45">
        <f>IFERROR(VLOOKUP($D45,'Kalkulator mięs '!$C$5:$H$533,HB$4,0)*$AN45,0)</f>
        <v>0</v>
      </c>
      <c r="HC45">
        <f>IFERROR(VLOOKUP($D45,'Kalkulator mięs '!$C$5:$H$533,HC$4,0)*$AO45,0)</f>
        <v>0</v>
      </c>
      <c r="HD45">
        <f>IFERROR(VLOOKUP($D45,'Kalkulator mięs '!$C$5:$H$533,HD$4,0)*$AO45,0)</f>
        <v>0</v>
      </c>
      <c r="HE45">
        <f>IFERROR(VLOOKUP($D45,'Kalkulator mięs '!$C$5:$H$533,HE$4,0)*$AO45,0)</f>
        <v>0</v>
      </c>
      <c r="HF45">
        <f>IFERROR(VLOOKUP($D45,'Kalkulator mięs '!$C$5:$H$533,HF$4,0)*$AP45,0)</f>
        <v>0</v>
      </c>
      <c r="HG45">
        <f>IFERROR(VLOOKUP($D45,'Kalkulator mięs '!$C$5:$H$533,HG$4,0)*$AP45,0)</f>
        <v>0</v>
      </c>
      <c r="HH45">
        <f>IFERROR(VLOOKUP($D45,'Kalkulator mięs '!$C$5:$H$533,HH$4,0)*$AP45,0)</f>
        <v>0</v>
      </c>
      <c r="HI45">
        <f>IFERROR(VLOOKUP($D45,'Kalkulator mięs '!$C$5:$H$533,HI$4,0)*$AQ45,0)</f>
        <v>0</v>
      </c>
      <c r="HJ45">
        <f>IFERROR(VLOOKUP($D45,'Kalkulator mięs '!$C$5:$H$533,HJ$4,0)*$AQ45,0)</f>
        <v>0</v>
      </c>
      <c r="HK45">
        <f>IFERROR(VLOOKUP($D45,'Kalkulator mięs '!$C$5:$H$533,HK$4,0)*$AQ45,0)</f>
        <v>0</v>
      </c>
      <c r="HL45">
        <f>IFERROR(VLOOKUP($D45,'Kalkulator mięs '!$C$5:$H$533,HL$4,0)*$AR45,0)</f>
        <v>0</v>
      </c>
      <c r="HM45">
        <f>IFERROR(VLOOKUP($D45,'Kalkulator mięs '!$C$5:$H$533,HM$4,0)*$AR45,0)</f>
        <v>0</v>
      </c>
      <c r="HN45">
        <f>IFERROR(VLOOKUP($D45,'Kalkulator mięs '!$C$5:$H$533,HN$4,0)*$AR45,0)</f>
        <v>0</v>
      </c>
      <c r="HO45">
        <f>IFERROR(VLOOKUP($D45,'Kalkulator mięs '!$C$5:$H$533,HO$4,0)*$AS45,0)</f>
        <v>0</v>
      </c>
      <c r="HP45">
        <f>IFERROR(VLOOKUP($D45,'Kalkulator mięs '!$C$5:$H$533,HP$4,0)*$AS45,0)</f>
        <v>0</v>
      </c>
      <c r="HQ45">
        <f>IFERROR(VLOOKUP($D45,'Kalkulator mięs '!$C$5:$H$533,HQ$4,0)*$AS45,0)</f>
        <v>0</v>
      </c>
      <c r="HR45">
        <f>IFERROR(VLOOKUP($D45,'Kalkulator mięs '!$C$5:$H$533,HR$4,0)*$AT45,0)</f>
        <v>0</v>
      </c>
      <c r="HS45">
        <f>IFERROR(VLOOKUP($D45,'Kalkulator mięs '!$C$5:$H$533,HS$4,0)*$AT45,0)</f>
        <v>0</v>
      </c>
      <c r="HT45">
        <f>IFERROR(VLOOKUP($D45,'Kalkulator mięs '!$C$5:$H$533,HT$4,0)*$AT45,0)</f>
        <v>0</v>
      </c>
      <c r="HU45">
        <f>IFERROR(VLOOKUP($D45,'Kalkulator mięs '!$C$5:$H$533,HU$4,0)*$AU45,0)</f>
        <v>0</v>
      </c>
      <c r="HV45">
        <f>IFERROR(VLOOKUP($D45,'Kalkulator mięs '!$C$5:$H$533,HV$4,0)*$AU45,0)</f>
        <v>0</v>
      </c>
      <c r="HW45">
        <f>IFERROR(VLOOKUP($D45,'Kalkulator mięs '!$C$5:$H$533,HW$4,0)*$AU45,0)</f>
        <v>0</v>
      </c>
      <c r="HX45">
        <f>IFERROR(VLOOKUP($D45,'Kalkulator mięs '!$C$5:$H$533,HX$4,0)*$AV45,0)</f>
        <v>0</v>
      </c>
      <c r="HY45">
        <f>IFERROR(VLOOKUP($D45,'Kalkulator mięs '!$C$5:$H$533,HY$4,0)*$AV45,0)</f>
        <v>0</v>
      </c>
      <c r="HZ45">
        <f>IFERROR(VLOOKUP($D45,'Kalkulator mięs '!$C$5:$H$533,HZ$4,0)*$AV45,0)</f>
        <v>0</v>
      </c>
      <c r="IA45">
        <f>IFERROR(VLOOKUP($D45,'Kalkulator mięs '!$C$5:$H$533,IA$4,0)*$AW45,0)</f>
        <v>0</v>
      </c>
      <c r="IB45">
        <f>IFERROR(VLOOKUP($D45,'Kalkulator mięs '!$C$5:$H$533,IB$4,0)*$AW45,0)</f>
        <v>0</v>
      </c>
      <c r="IC45">
        <f>IFERROR(VLOOKUP($D45,'Kalkulator mięs '!$C$5:$H$533,IC$4,0)*$AW45,0)</f>
        <v>0</v>
      </c>
      <c r="ID45">
        <f>IFERROR(VLOOKUP($D45,'Kalkulator mięs '!$C$5:$H$533,ID$4,0)*$AX45,0)</f>
        <v>0</v>
      </c>
      <c r="IE45">
        <f>IFERROR(VLOOKUP($D45,'Kalkulator mięs '!$C$5:$H$533,IE$4,0)*$AX45,0)</f>
        <v>0</v>
      </c>
      <c r="IF45">
        <f>IFERROR(VLOOKUP($D45,'Kalkulator mięs '!$C$5:$H$533,IF$4,0)*$AX45,0)</f>
        <v>0</v>
      </c>
      <c r="IG45">
        <f>IFERROR(VLOOKUP($D45,'Kalkulator mięs '!$C$5:$H$533,IG$4,0)*$AY45,0)</f>
        <v>0</v>
      </c>
      <c r="IH45">
        <f>IFERROR(VLOOKUP($D45,'Kalkulator mięs '!$C$5:$H$533,IH$4,0)*$AY45,0)</f>
        <v>0</v>
      </c>
      <c r="II45">
        <f>IFERROR(VLOOKUP($D45,'Kalkulator mięs '!$C$5:$H$533,II$4,0)*$AY45,0)</f>
        <v>0</v>
      </c>
      <c r="IJ45">
        <f>IFERROR(VLOOKUP($D45,'Kalkulator mięs '!$C$5:$H$533,IJ$4,0)*$AZ45,0)</f>
        <v>0</v>
      </c>
      <c r="IK45">
        <f>IFERROR(VLOOKUP($D45,'Kalkulator mięs '!$C$5:$H$533,IK$4,0)*$AZ45,0)</f>
        <v>0</v>
      </c>
      <c r="IL45">
        <f>IFERROR(VLOOKUP($D45,'Kalkulator mięs '!$C$5:$H$533,IL$4,0)*$AZ45,0)</f>
        <v>0</v>
      </c>
      <c r="IM45">
        <f>IFERROR(VLOOKUP($D45,'Kalkulator mięs '!$C$5:$H$533,IM$4,0)*$BA45,0)</f>
        <v>0</v>
      </c>
      <c r="IN45">
        <f>IFERROR(VLOOKUP($D45,'Kalkulator mięs '!$C$5:$H$533,IN$4,0)*$BA45,0)</f>
        <v>0</v>
      </c>
      <c r="IO45">
        <f>IFERROR(VLOOKUP($D45,'Kalkulator mięs '!$C$5:$H$533,IO$4,0)*$BA45,0)</f>
        <v>0</v>
      </c>
    </row>
    <row r="46" spans="1:249" ht="15.75">
      <c r="B46" t="str">
        <f>VLOOKUP(D46,Receptury_z!$A:$B,2,0)</f>
        <v>ON</v>
      </c>
      <c r="C46" s="16">
        <v>5694</v>
      </c>
      <c r="D46" s="19">
        <v>6579</v>
      </c>
      <c r="E46" s="18" t="s">
        <v>15676</v>
      </c>
      <c r="F46" s="14">
        <f>IF($B46="OFF",BE46,VLOOKUP($D46,Receptury_z!$D:$AI,F$4,0))</f>
        <v>0</v>
      </c>
      <c r="G46" s="14">
        <f>IF($B46="OFF",BF46,VLOOKUP($D46,Receptury_z!$D:$AI,G$4,0))</f>
        <v>0</v>
      </c>
      <c r="H46" s="14">
        <f>IF($B46="OFF",BG46,VLOOKUP($D46,Receptury_z!$D:$AI,H$4,0))</f>
        <v>0</v>
      </c>
      <c r="I46" s="14">
        <f>IF($B46="OFF",BH46,VLOOKUP($D46,Receptury_z!$D:$AI,I$4,0))</f>
        <v>0</v>
      </c>
      <c r="J46" s="14">
        <f>IF($B46="OFF",BI46,VLOOKUP($D46,Receptury_z!$D:$AI,J$4,0))</f>
        <v>0</v>
      </c>
      <c r="K46" s="14">
        <f>IF($B46="OFF",BJ46,VLOOKUP($D46,Receptury_z!$D:$AI,K$4,0))</f>
        <v>0</v>
      </c>
      <c r="L46" s="14">
        <f>IF($B46="OFF",BK46,VLOOKUP($D46,Receptury_z!$D:$AI,L$4,0))</f>
        <v>0</v>
      </c>
      <c r="M46" s="14">
        <f>IF($B46="OFF",BL46,VLOOKUP($D46,Receptury_z!$D:$AI,M$4,0))</f>
        <v>0</v>
      </c>
      <c r="N46" s="14">
        <f>IF($B46="OFF",BM46,VLOOKUP($D46,Receptury_z!$D:$AI,N$4,0))</f>
        <v>0</v>
      </c>
      <c r="O46" s="14">
        <f>IF($B46="OFF",BN46,VLOOKUP($D46,Receptury_z!$D:$AI,O$4,0))</f>
        <v>0</v>
      </c>
      <c r="P46" s="14">
        <f>IF($B46="OFF",BO46,VLOOKUP($D46,Receptury_z!$D:$AI,P$4,0))</f>
        <v>0</v>
      </c>
      <c r="Q46" s="14">
        <f>IF($B46="OFF",BP46,VLOOKUP($D46,Receptury_z!$D:$AI,Q$4,0))</f>
        <v>74.900000000000006</v>
      </c>
      <c r="R46" s="14">
        <f>IF($B46="OFF",BQ46,VLOOKUP($D46,Receptury_z!$D:$AI,R$4,0))</f>
        <v>0</v>
      </c>
      <c r="S46" s="14">
        <f>IF($B46="OFF",BR46,VLOOKUP($D46,Receptury_z!$D:$AI,S$4,0))</f>
        <v>0</v>
      </c>
      <c r="T46" s="14">
        <f>IF($B46="OFF",BS46,VLOOKUP($D46,Receptury_z!$D:$AI,T$4,0))</f>
        <v>0</v>
      </c>
      <c r="U46" s="14">
        <f>IF($B46="OFF",BT46,VLOOKUP($D46,Receptury_z!$D:$AI,U$4,0))</f>
        <v>0</v>
      </c>
      <c r="V46" s="14">
        <f>IF($B46="OFF",BU46,VLOOKUP($D46,Receptury_z!$D:$AI,V$4,0))</f>
        <v>0</v>
      </c>
      <c r="W46" s="14">
        <f>IF($B46="OFF",BV46,VLOOKUP($D46,Receptury_z!$D:$AI,W$4,0))</f>
        <v>0</v>
      </c>
      <c r="X46" s="14">
        <f>IF($B46="OFF",BW46,VLOOKUP($D46,Receptury_z!$D:$AI,X$4,0))</f>
        <v>0</v>
      </c>
      <c r="Y46" s="14">
        <f>IF($B46="OFF",BX46,VLOOKUP($D46,Receptury_z!$D:$AI,Y$4,0))</f>
        <v>100</v>
      </c>
      <c r="Z46" s="14">
        <f>IF($B46="OFF",BY46,VLOOKUP($D46,Receptury_z!$D:$AI,Z$4,0))</f>
        <v>0</v>
      </c>
      <c r="AA46" s="14">
        <f>IF($B46="OFF",BZ46,VLOOKUP($D46,Receptury_z!$D:$AI,AA$4,0))</f>
        <v>0</v>
      </c>
      <c r="AB46" s="14">
        <f>IF($B46="OFF",CA46,VLOOKUP($D46,Receptury_z!$D:$AI,AB$4,0))</f>
        <v>220.4</v>
      </c>
      <c r="AC46" s="14">
        <f>IF($B46="OFF",CB46,VLOOKUP($D46,Receptury_z!$D:$AI,AC$4,0))</f>
        <v>0</v>
      </c>
      <c r="AD46" s="14">
        <f>IF($B46="OFF",CC46,VLOOKUP($D46,Receptury_z!$D:$AI,AD$4,0))</f>
        <v>0</v>
      </c>
      <c r="AE46" s="14">
        <f>IF($B46="OFF",CD46,VLOOKUP($D46,Receptury_z!$D:$AI,AE$4,0))</f>
        <v>386.8</v>
      </c>
      <c r="AF46" s="14">
        <f>IF($B46="OFF",CE46,VLOOKUP($D46,Receptury_z!$D:$AI,AF$4,0))</f>
        <v>0</v>
      </c>
      <c r="AG46" s="14">
        <f>IF($B46="OFF",CF46,VLOOKUP($D46,Receptury_z!$D:$AI,AG$4,0))</f>
        <v>0</v>
      </c>
      <c r="AH46" s="14">
        <f>IF($B46="OFF",CG46,VLOOKUP($D46,Receptury_z!$D:$AI,AH$4,0))</f>
        <v>0</v>
      </c>
      <c r="AI46" s="14">
        <f>IF($B46="OFF",CH46,VLOOKUP($D46,Receptury_z!$D:$AI,AI$4,0))</f>
        <v>50</v>
      </c>
      <c r="AJ46" s="14">
        <f>IF($B46="OFF",CI46,VLOOKUP($D46,Receptury_z!$D:$AS,AJ$4,0))</f>
        <v>0</v>
      </c>
      <c r="AK46" s="14">
        <f>IF($B46="OFF",CJ46,VLOOKUP($D46,Receptury_z!$D:$AS,AK$4,0))</f>
        <v>0</v>
      </c>
      <c r="AL46" s="14">
        <f>IF($B46="OFF",CK46,VLOOKUP($D46,Receptury_z!$D:$AS,AL$4,0))</f>
        <v>0</v>
      </c>
      <c r="AM46" s="14">
        <f>IF($B46="OFF",CL46,VLOOKUP($D46,Receptury_z!$D:$AS,AM$4,0))</f>
        <v>0</v>
      </c>
      <c r="AN46" s="14">
        <f>IF($B46="OFF",CM46,VLOOKUP($D46,Receptury_z!$D:$AS,AN$4,0))</f>
        <v>0</v>
      </c>
      <c r="AO46" s="14">
        <f>IF($B46="OFF",CN46,VLOOKUP($D46,Receptury_z!$D:$AS,AO$4,0))</f>
        <v>0</v>
      </c>
      <c r="AP46" s="14">
        <f>IF($B46="OFF",CO46,VLOOKUP($D46,Receptury_z!$D:$AS,AP$4,0))</f>
        <v>0</v>
      </c>
      <c r="AQ46" s="14">
        <f>IF($B46="OFF",CP46,VLOOKUP($D46,Receptury_z!$D:$AS,AQ$4,0))</f>
        <v>0</v>
      </c>
      <c r="AR46" s="14">
        <f>IF($B46="OFF",CQ46,VLOOKUP($D46,Receptury_z!$D:$AS,AR$4,0))</f>
        <v>0</v>
      </c>
      <c r="AS46" s="14">
        <f>IF($B46="OFF",CR46,VLOOKUP($D46,Receptury_z!$D:$AS,AS$4,0))</f>
        <v>0</v>
      </c>
      <c r="AT46" s="14">
        <f>IF($B46="OFF",CS46,VLOOKUP($D46,Receptury_z!$D:$AV,AT$4,0))</f>
        <v>0</v>
      </c>
      <c r="AU46" s="14">
        <f>IF($B46="OFF",CT46,VLOOKUP($D46,Receptury_z!$D:$AV,AU$4,0))</f>
        <v>0</v>
      </c>
      <c r="AV46" s="14">
        <f>IF($B46="OFF",CU46,VLOOKUP($D46,Receptury_z!$D:$AV,AV$4,0))</f>
        <v>0</v>
      </c>
      <c r="AW46" s="14">
        <f>IF($B46="OFF",CV46,VLOOKUP($D46,Receptury_z!$D:$BA,AW$4,0))</f>
        <v>0</v>
      </c>
      <c r="AX46" s="14">
        <f>IF($B46="OFF",CW46,VLOOKUP($D46,Receptury_z!$D:$BA,AX$4,0))</f>
        <v>0</v>
      </c>
      <c r="AY46" s="14">
        <f>IF($B46="OFF",CX46,VLOOKUP($D46,Receptury_z!$D:$BA,AY$4,0))</f>
        <v>0</v>
      </c>
      <c r="AZ46" s="14">
        <f>IF($B46="OFF",DA46,VLOOKUP($D46,Receptury_z!$D:$BA,AZ$4,0))</f>
        <v>0</v>
      </c>
      <c r="BA46" s="14">
        <f>IF($B46="OFF",DB46,VLOOKUP($D46,Receptury_z!$D:$BA,BA$4,0))</f>
        <v>0</v>
      </c>
      <c r="BC46" s="19">
        <v>6579</v>
      </c>
      <c r="BD46" s="18" t="s">
        <v>15676</v>
      </c>
      <c r="BE46" s="239">
        <v>0</v>
      </c>
      <c r="BF46" s="239">
        <v>84</v>
      </c>
      <c r="BG46" s="239">
        <v>0</v>
      </c>
      <c r="BH46" s="239">
        <v>0</v>
      </c>
      <c r="BI46" s="239">
        <v>0</v>
      </c>
      <c r="BJ46" s="239">
        <v>0</v>
      </c>
      <c r="BK46" s="239">
        <v>0</v>
      </c>
      <c r="BL46" s="239">
        <v>0</v>
      </c>
      <c r="BM46" s="239">
        <v>42</v>
      </c>
      <c r="BN46" s="239">
        <v>0</v>
      </c>
      <c r="BO46" s="239">
        <v>0</v>
      </c>
      <c r="BP46" s="239">
        <v>75.599999999999994</v>
      </c>
      <c r="BQ46" s="239">
        <v>0</v>
      </c>
      <c r="BR46" s="239">
        <v>0</v>
      </c>
      <c r="BS46" s="239">
        <v>0</v>
      </c>
      <c r="BT46" s="239">
        <v>0</v>
      </c>
      <c r="BU46" s="239">
        <v>0</v>
      </c>
      <c r="BV46" s="239">
        <v>0</v>
      </c>
      <c r="BW46" s="239">
        <v>0</v>
      </c>
      <c r="BX46" s="239">
        <v>0</v>
      </c>
      <c r="BY46" s="239">
        <v>0</v>
      </c>
      <c r="BZ46" s="239">
        <v>0</v>
      </c>
      <c r="CA46" s="239">
        <v>260.5</v>
      </c>
      <c r="CB46" s="239">
        <v>0</v>
      </c>
      <c r="CC46" s="239">
        <v>0</v>
      </c>
      <c r="CD46" s="239">
        <v>378.1</v>
      </c>
      <c r="CE46" s="239">
        <v>0</v>
      </c>
      <c r="CF46" s="239">
        <v>0</v>
      </c>
      <c r="CG46" s="239">
        <v>0</v>
      </c>
      <c r="CH46" s="239">
        <v>0</v>
      </c>
      <c r="CI46" s="239">
        <v>0</v>
      </c>
      <c r="CJ46" s="239">
        <v>0</v>
      </c>
      <c r="CK46" s="239">
        <v>0</v>
      </c>
      <c r="CL46" s="239">
        <v>0</v>
      </c>
      <c r="CM46" s="80"/>
      <c r="CN46" s="80"/>
      <c r="CO46" s="80"/>
      <c r="CP46" s="80"/>
      <c r="CQ46" s="80"/>
      <c r="CR46" s="80"/>
      <c r="CS46" s="80"/>
      <c r="CT46" s="80"/>
      <c r="CU46" s="80"/>
      <c r="CV46" s="80"/>
      <c r="CW46" s="80"/>
      <c r="CX46" s="80"/>
      <c r="CY46" s="80"/>
      <c r="CZ46" s="80"/>
      <c r="DB46">
        <f>IFERROR(VLOOKUP($D46,'Kalkulator mięs '!$C$5:$H$533,DB$4,0)*F46,0)</f>
        <v>0</v>
      </c>
      <c r="DC46">
        <f>IFERROR(VLOOKUP($D46,'Kalkulator mięs '!$C$5:$H$533,DC$4,0)*F46,0)</f>
        <v>0</v>
      </c>
      <c r="DD46">
        <f>IFERROR(VLOOKUP($D46,'Kalkulator mięs '!$C$5:$H$533,DD$4,0)*F46,0)</f>
        <v>0</v>
      </c>
      <c r="DE46">
        <f>IFERROR(VLOOKUP($D46,'Kalkulator mięs '!$C$5:$H$533,DE$4,0)*$G46,0)</f>
        <v>0</v>
      </c>
      <c r="DF46">
        <f>IFERROR(VLOOKUP($D46,'Kalkulator mięs '!$C$5:$H$533,DF$4,0)*$G46,0)</f>
        <v>0</v>
      </c>
      <c r="DG46">
        <f>IFERROR(VLOOKUP($D46,'Kalkulator mięs '!$C$5:$H$533,DG$4,0)*$G46,0)</f>
        <v>0</v>
      </c>
      <c r="DH46">
        <f>IFERROR(VLOOKUP($D46,'Kalkulator mięs '!$C$5:$H$533,DH$4,0)*$H46,0)</f>
        <v>0</v>
      </c>
      <c r="DI46">
        <f>IFERROR(VLOOKUP($D46,'Kalkulator mięs '!$C$5:$H$533,DI$4,0)*$H46,0)</f>
        <v>0</v>
      </c>
      <c r="DJ46">
        <f>IFERROR(VLOOKUP($D46,'Kalkulator mięs '!$C$5:$H$533,DJ$4,0)*$H46,0)</f>
        <v>0</v>
      </c>
      <c r="DK46">
        <f>IFERROR(VLOOKUP($D46,'Kalkulator mięs '!$C$5:$H$533,DK$4,0)*$I46,0)</f>
        <v>0</v>
      </c>
      <c r="DL46">
        <f>IFERROR(VLOOKUP($D46,'Kalkulator mięs '!$C$5:$H$533,DL$4,0)*$I46,0)</f>
        <v>0</v>
      </c>
      <c r="DM46">
        <f>IFERROR(VLOOKUP($D46,'Kalkulator mięs '!$C$5:$H$533,DM$4,0)*$I46,0)</f>
        <v>0</v>
      </c>
      <c r="DN46">
        <f>IFERROR(VLOOKUP($D46,'Kalkulator mięs '!$C$5:$H$533,DN$4,0)*$J46,0)</f>
        <v>0</v>
      </c>
      <c r="DO46">
        <f>IFERROR(VLOOKUP($D46,'Kalkulator mięs '!$C$5:$H$533,DO$4,0)*$J46,0)</f>
        <v>0</v>
      </c>
      <c r="DP46">
        <f>IFERROR(VLOOKUP($D46,'Kalkulator mięs '!$C$5:$H$533,DP$4,0)*$J46,0)</f>
        <v>0</v>
      </c>
      <c r="DQ46">
        <f>IFERROR(VLOOKUP($D46,'Kalkulator mięs '!$C$5:$H$533,DQ$4,0)*$K46,0)</f>
        <v>0</v>
      </c>
      <c r="DR46">
        <f>IFERROR(VLOOKUP($D46,'Kalkulator mięs '!$C$5:$H$533,DR$4,0)*$K46,0)</f>
        <v>0</v>
      </c>
      <c r="DS46">
        <f>IFERROR(VLOOKUP($D46,'Kalkulator mięs '!$C$5:$H$533,DS$4,0)*$K46,0)</f>
        <v>0</v>
      </c>
      <c r="DT46">
        <f>IFERROR(VLOOKUP($D46,'Kalkulator mięs '!$C$5:$H$533,DT$4,0)*$L46,0)</f>
        <v>0</v>
      </c>
      <c r="DU46">
        <f>IFERROR(VLOOKUP($D46,'Kalkulator mięs '!$C$5:$H$533,DU$4,0)*$L46,0)</f>
        <v>0</v>
      </c>
      <c r="DV46">
        <f>IFERROR(VLOOKUP($D46,'Kalkulator mięs '!$C$5:$H$533,DV$4,0)*$L46,0)</f>
        <v>0</v>
      </c>
      <c r="DW46">
        <f>IFERROR(VLOOKUP($D46,'Kalkulator mięs '!$C$5:$H$533,DW$4,0)*$M46,0)</f>
        <v>0</v>
      </c>
      <c r="DX46">
        <f>IFERROR(VLOOKUP($D46,'Kalkulator mięs '!$C$5:$H$533,DX$4,0)*$M46,0)</f>
        <v>0</v>
      </c>
      <c r="DY46">
        <f>IFERROR(VLOOKUP($D46,'Kalkulator mięs '!$C$5:$H$533,DY$4,0)*$M46,0)</f>
        <v>0</v>
      </c>
      <c r="DZ46">
        <f>IFERROR(VLOOKUP($D46,'Kalkulator mięs '!$C$5:$H$533,DZ$4,0)*$N46,0)</f>
        <v>0</v>
      </c>
      <c r="EA46">
        <f>IFERROR(VLOOKUP($D46,'Kalkulator mięs '!$C$5:$H$533,EA$4,0)*$N46,0)</f>
        <v>0</v>
      </c>
      <c r="EB46">
        <f>IFERROR(VLOOKUP($D46,'Kalkulator mięs '!$C$5:$H$533,EB$4,0)*$N46,0)</f>
        <v>0</v>
      </c>
      <c r="EC46">
        <f>IFERROR(VLOOKUP($D46,'Kalkulator mięs '!$C$5:$H$533,EC$4,0)*$O46,0)</f>
        <v>0</v>
      </c>
      <c r="ED46">
        <f>IFERROR(VLOOKUP($D46,'Kalkulator mięs '!$C$5:$H$533,ED$4,0)*$O46,0)</f>
        <v>0</v>
      </c>
      <c r="EE46">
        <f>IFERROR(VLOOKUP($D46,'Kalkulator mięs '!$C$5:$H$533,EE$4,0)*$O46,0)</f>
        <v>0</v>
      </c>
      <c r="EF46">
        <f>IFERROR(VLOOKUP($D46,'Kalkulator mięs '!$C$5:$H$533,EF$4,0)*$P46,0)</f>
        <v>0</v>
      </c>
      <c r="EG46">
        <f>IFERROR(VLOOKUP($D46,'Kalkulator mięs '!$C$5:$H$533,EG$4,0)*$P46,0)</f>
        <v>0</v>
      </c>
      <c r="EH46">
        <f>IFERROR(VLOOKUP($D46,'Kalkulator mięs '!$C$5:$H$533,EH$4,0)*$P46,0)</f>
        <v>0</v>
      </c>
      <c r="EI46">
        <f>IFERROR(VLOOKUP($D46,'Kalkulator mięs '!$C$5:$H$533,EI$4,0)*$Q46,0)</f>
        <v>0</v>
      </c>
      <c r="EJ46">
        <f>IFERROR(VLOOKUP($D46,'Kalkulator mięs '!$C$5:$H$533,EJ$4,0)*$Q46,0)</f>
        <v>898.80000000000007</v>
      </c>
      <c r="EK46">
        <f>IFERROR(VLOOKUP($D46,'Kalkulator mięs '!$C$5:$H$533,EK$4,0)*$Q46,0)</f>
        <v>0</v>
      </c>
      <c r="EL46">
        <f>IFERROR(VLOOKUP($D46,'Kalkulator mięs '!$C$5:$H$533,EL$4,0)*$R46,0)</f>
        <v>0</v>
      </c>
      <c r="EM46">
        <f>IFERROR(VLOOKUP($D46,'Kalkulator mięs '!$C$5:$H$533,EM$4,0)*$R46,0)</f>
        <v>0</v>
      </c>
      <c r="EN46">
        <f>IFERROR(VLOOKUP($D46,'Kalkulator mięs '!$C$5:$H$533,EN$4,0)*$R46,0)</f>
        <v>0</v>
      </c>
      <c r="EO46">
        <f>IFERROR(VLOOKUP($D46,'Kalkulator mięs '!$C$5:$H$533,EO$4,0)*$S46,0)</f>
        <v>0</v>
      </c>
      <c r="EP46">
        <f>IFERROR(VLOOKUP($D46,'Kalkulator mięs '!$C$5:$H$533,EP$4,0)*$S46,0)</f>
        <v>0</v>
      </c>
      <c r="EQ46">
        <f>IFERROR(VLOOKUP($D46,'Kalkulator mięs '!$C$5:$H$533,EQ$4,0)*$S46,0)</f>
        <v>0</v>
      </c>
      <c r="ER46">
        <f>IFERROR(VLOOKUP($D46,'Kalkulator mięs '!$C$5:$H$533,ER$4,0)*$T46,0)</f>
        <v>0</v>
      </c>
      <c r="ES46">
        <f>IFERROR(VLOOKUP($D46,'Kalkulator mięs '!$C$5:$H$533,ES$4,0)*$T46,0)</f>
        <v>0</v>
      </c>
      <c r="ET46">
        <f>IFERROR(VLOOKUP($D46,'Kalkulator mięs '!$C$5:$H$533,ET$4,0)*$T46,0)</f>
        <v>0</v>
      </c>
      <c r="EU46">
        <f>IFERROR(VLOOKUP($D46,'Kalkulator mięs '!$C$5:$H$533,EU$4,0)*$U46,0)</f>
        <v>0</v>
      </c>
      <c r="EV46">
        <f>IFERROR(VLOOKUP($D46,'Kalkulator mięs '!$C$5:$H$533,EV$4,0)*$U46,0)</f>
        <v>0</v>
      </c>
      <c r="EW46">
        <f>IFERROR(VLOOKUP($D46,'Kalkulator mięs '!$C$5:$H$533,EW$4,0)*$U46,0)</f>
        <v>0</v>
      </c>
      <c r="EX46">
        <f>IFERROR(VLOOKUP($D46,'Kalkulator mięs '!$C$5:$H$533,EX$4,0)*$V46,0)</f>
        <v>0</v>
      </c>
      <c r="EY46">
        <f>IFERROR(VLOOKUP($D46,'Kalkulator mięs '!$C$5:$H$533,EY$4,0)*$V46,0)</f>
        <v>0</v>
      </c>
      <c r="EZ46">
        <f>IFERROR(VLOOKUP($D46,'Kalkulator mięs '!$C$5:$H$533,EZ$4,0)*$V46,0)</f>
        <v>0</v>
      </c>
      <c r="FA46">
        <f>IFERROR(VLOOKUP($D46,'Kalkulator mięs '!$C$5:$H$533,FA$4,0)*$W46,0)</f>
        <v>0</v>
      </c>
      <c r="FB46">
        <f>IFERROR(VLOOKUP($D46,'Kalkulator mięs '!$C$5:$H$533,FB$4,0)*$W46,0)</f>
        <v>0</v>
      </c>
      <c r="FC46">
        <f>IFERROR(VLOOKUP($D46,'Kalkulator mięs '!$C$5:$H$533,FC$4,0)*$W46,0)</f>
        <v>0</v>
      </c>
      <c r="FD46">
        <f>IFERROR(VLOOKUP($D46,'Kalkulator mięs '!$C$5:$H$533,FD$4,0)*$X46,0)</f>
        <v>0</v>
      </c>
      <c r="FE46">
        <f>IFERROR(VLOOKUP($D46,'Kalkulator mięs '!$C$5:$H$533,FE$4,0)*$X46,0)</f>
        <v>0</v>
      </c>
      <c r="FF46">
        <f>IFERROR(VLOOKUP($D46,'Kalkulator mięs '!$C$5:$H$533,FF$4,0)*$X46,0)</f>
        <v>0</v>
      </c>
      <c r="FG46">
        <f>IFERROR(VLOOKUP($D46,'Kalkulator mięs '!$C$5:$H$533,FG$4,0)*$Y46,0)</f>
        <v>0</v>
      </c>
      <c r="FH46">
        <f>IFERROR(VLOOKUP($D46,'Kalkulator mięs '!$C$5:$H$533,FH$4,0)*$Y46,0)</f>
        <v>1200</v>
      </c>
      <c r="FI46">
        <f>IFERROR(VLOOKUP($D46,'Kalkulator mięs '!$C$5:$H$533,FI$4,0)*$Y46,0)</f>
        <v>0</v>
      </c>
      <c r="FJ46">
        <f>IFERROR(VLOOKUP($D46,'Kalkulator mięs '!$C$5:$H$533,FJ$4,0)*$Z46,0)</f>
        <v>0</v>
      </c>
      <c r="FK46">
        <f>IFERROR(VLOOKUP($D46,'Kalkulator mięs '!$C$5:$H$533,FK$4,0)*$Z46,0)</f>
        <v>0</v>
      </c>
      <c r="FL46">
        <f>IFERROR(VLOOKUP($D46,'Kalkulator mięs '!$C$5:$H$533,FL$4,0)*$Z46,0)</f>
        <v>0</v>
      </c>
      <c r="FM46">
        <f>IFERROR(VLOOKUP($D46,'Kalkulator mięs '!$C$5:$H$533,FM$4,0)*$AA46,0)</f>
        <v>0</v>
      </c>
      <c r="FN46">
        <f>IFERROR(VLOOKUP($D46,'Kalkulator mięs '!$C$5:$H$533,FN$4,0)*$AA46,0)</f>
        <v>0</v>
      </c>
      <c r="FO46">
        <f>IFERROR(VLOOKUP($D46,'Kalkulator mięs '!$C$5:$H$533,FO$4,0)*$AA46,0)</f>
        <v>0</v>
      </c>
      <c r="FP46">
        <f>IFERROR(VLOOKUP($D46,'Kalkulator mięs '!$C$5:$H$533,FP$4,0)*$AB46,0)</f>
        <v>0</v>
      </c>
      <c r="FQ46">
        <f>IFERROR(VLOOKUP($D46,'Kalkulator mięs '!$C$5:$H$533,FQ$4,0)*$AB46,0)</f>
        <v>2644.8</v>
      </c>
      <c r="FR46">
        <f>IFERROR(VLOOKUP($D46,'Kalkulator mięs '!$C$5:$H$533,FR$4,0)*$AB46,0)</f>
        <v>0</v>
      </c>
      <c r="FS46">
        <f>IFERROR(VLOOKUP($D46,'Kalkulator mięs '!$C$5:$H$533,FS$4,0)*$AC46,0)</f>
        <v>0</v>
      </c>
      <c r="FT46">
        <f>IFERROR(VLOOKUP($D46,'Kalkulator mięs '!$C$5:$H$533,FT$4,0)*$AC46,0)</f>
        <v>0</v>
      </c>
      <c r="FU46">
        <f>IFERROR(VLOOKUP($D46,'Kalkulator mięs '!$C$5:$H$533,FU$4,0)*$AC46,0)</f>
        <v>0</v>
      </c>
      <c r="FV46">
        <f>IFERROR(VLOOKUP($D46,'Kalkulator mięs '!$C$5:$H$533,FV$4,0)*$AD46,0)</f>
        <v>0</v>
      </c>
      <c r="FW46">
        <f>IFERROR(VLOOKUP($D46,'Kalkulator mięs '!$C$5:$H$533,FW$4,0)*$AD46,0)</f>
        <v>0</v>
      </c>
      <c r="FX46">
        <f>IFERROR(VLOOKUP($D46,'Kalkulator mięs '!$C$5:$H$533,FX$4,0)*$AD46,0)</f>
        <v>0</v>
      </c>
      <c r="FY46">
        <f>IFERROR(VLOOKUP($D46,'Kalkulator mięs '!$C$5:$H$533,FY$4,0)*$AE46,0)</f>
        <v>0</v>
      </c>
      <c r="FZ46">
        <f>IFERROR(VLOOKUP($D46,'Kalkulator mięs '!$C$5:$H$533,FZ$4,0)*$AE46,0)</f>
        <v>4641.6000000000004</v>
      </c>
      <c r="GA46">
        <f>IFERROR(VLOOKUP($D46,'Kalkulator mięs '!$C$5:$H$533,GA$4,0)*$AE46,0)</f>
        <v>0</v>
      </c>
      <c r="GB46">
        <f>IFERROR(VLOOKUP($D46,'Kalkulator mięs '!$C$5:$H$533,GB$4,0)*$AF46,0)</f>
        <v>0</v>
      </c>
      <c r="GC46">
        <f>IFERROR(VLOOKUP($D46,'Kalkulator mięs '!$C$5:$H$533,GC$4,0)*$AF46,0)</f>
        <v>0</v>
      </c>
      <c r="GD46">
        <f>IFERROR(VLOOKUP($D46,'Kalkulator mięs '!$C$5:$H$533,GD$4,0)*$AF46,0)</f>
        <v>0</v>
      </c>
      <c r="GE46">
        <f>IFERROR(VLOOKUP($D46,'Kalkulator mięs '!$C$5:$H$533,GE$4,0)*$AG46,0)</f>
        <v>0</v>
      </c>
      <c r="GF46">
        <f>IFERROR(VLOOKUP($D46,'Kalkulator mięs '!$C$5:$H$533,GF$4,0)*$AG46,0)</f>
        <v>0</v>
      </c>
      <c r="GG46">
        <f>IFERROR(VLOOKUP($D46,'Kalkulator mięs '!$C$5:$H$533,GG$4,0)*$AG46,0)</f>
        <v>0</v>
      </c>
      <c r="GH46">
        <f>IFERROR(VLOOKUP($D46,'Kalkulator mięs '!$C$5:$H$533,GH$4,0)*$AH46,0)</f>
        <v>0</v>
      </c>
      <c r="GI46">
        <f>IFERROR(VLOOKUP($D46,'Kalkulator mięs '!$C$5:$H$533,GI$4,0)*$AH46,0)</f>
        <v>0</v>
      </c>
      <c r="GJ46">
        <f>IFERROR(VLOOKUP($D46,'Kalkulator mięs '!$C$5:$H$533,GJ$4,0)*$AH46,0)</f>
        <v>0</v>
      </c>
      <c r="GK46">
        <f>IFERROR(VLOOKUP($D46,'Kalkulator mięs '!$C$5:$H$533,GK$4,0)*$AI46,0)</f>
        <v>0</v>
      </c>
      <c r="GL46">
        <f>IFERROR(VLOOKUP($D46,'Kalkulator mięs '!$C$5:$H$533,GL$4,0)*$AI46,0)</f>
        <v>600</v>
      </c>
      <c r="GM46">
        <f>IFERROR(VLOOKUP($D46,'Kalkulator mięs '!$C$5:$H$533,GM$4,0)*$AI46,0)</f>
        <v>0</v>
      </c>
      <c r="GN46">
        <f>IFERROR(VLOOKUP($D46,'Kalkulator mięs '!$C$5:$H$533,GN$4,0)*$AJ46,0)</f>
        <v>0</v>
      </c>
      <c r="GO46">
        <f>IFERROR(VLOOKUP($D46,'Kalkulator mięs '!$C$5:$H$533,GO$4,0)*$AJ46,0)</f>
        <v>0</v>
      </c>
      <c r="GP46">
        <f>IFERROR(VLOOKUP($D46,'Kalkulator mięs '!$C$5:$H$533,GP$4,0)*$AJ46,0)</f>
        <v>0</v>
      </c>
      <c r="GQ46">
        <f>IFERROR(VLOOKUP($D46,'Kalkulator mięs '!$C$5:$H$533,GQ$4,0)*$AK46,0)</f>
        <v>0</v>
      </c>
      <c r="GR46">
        <f>IFERROR(VLOOKUP($D46,'Kalkulator mięs '!$C$5:$H$533,GR$4,0)*$AK46,0)</f>
        <v>0</v>
      </c>
      <c r="GS46">
        <f>IFERROR(VLOOKUP($D46,'Kalkulator mięs '!$C$5:$H$533,GS$4,0)*$AK46,0)</f>
        <v>0</v>
      </c>
      <c r="GT46">
        <f>IFERROR(VLOOKUP($D46,'Kalkulator mięs '!$C$5:$H$533,GT$4,0)*$AL46,0)</f>
        <v>0</v>
      </c>
      <c r="GU46">
        <f>IFERROR(VLOOKUP($D46,'Kalkulator mięs '!$C$5:$H$533,GU$4,0)*$AL46,0)</f>
        <v>0</v>
      </c>
      <c r="GV46">
        <f>IFERROR(VLOOKUP($D46,'Kalkulator mięs '!$C$5:$H$533,GV$4,0)*$AL46,0)</f>
        <v>0</v>
      </c>
      <c r="GW46">
        <f>IFERROR(VLOOKUP($D46,'Kalkulator mięs '!$C$5:$H$533,GW$4,0)*$AM46,0)</f>
        <v>0</v>
      </c>
      <c r="GX46">
        <f>IFERROR(VLOOKUP($D46,'Kalkulator mięs '!$C$5:$H$533,GX$4,0)*$AM46,0)</f>
        <v>0</v>
      </c>
      <c r="GY46">
        <f>IFERROR(VLOOKUP($D46,'Kalkulator mięs '!$C$5:$H$533,GY$4,0)*$AM46,0)</f>
        <v>0</v>
      </c>
      <c r="GZ46">
        <f>IFERROR(VLOOKUP($D46,'Kalkulator mięs '!$C$5:$H$533,GZ$4,0)*$AN46,0)</f>
        <v>0</v>
      </c>
      <c r="HA46">
        <f>IFERROR(VLOOKUP($D46,'Kalkulator mięs '!$C$5:$H$533,HA$4,0)*$AN46,0)</f>
        <v>0</v>
      </c>
      <c r="HB46">
        <f>IFERROR(VLOOKUP($D46,'Kalkulator mięs '!$C$5:$H$533,HB$4,0)*$AN46,0)</f>
        <v>0</v>
      </c>
      <c r="HC46">
        <f>IFERROR(VLOOKUP($D46,'Kalkulator mięs '!$C$5:$H$533,HC$4,0)*$AO46,0)</f>
        <v>0</v>
      </c>
      <c r="HD46">
        <f>IFERROR(VLOOKUP($D46,'Kalkulator mięs '!$C$5:$H$533,HD$4,0)*$AO46,0)</f>
        <v>0</v>
      </c>
      <c r="HE46">
        <f>IFERROR(VLOOKUP($D46,'Kalkulator mięs '!$C$5:$H$533,HE$4,0)*$AO46,0)</f>
        <v>0</v>
      </c>
      <c r="HF46">
        <f>IFERROR(VLOOKUP($D46,'Kalkulator mięs '!$C$5:$H$533,HF$4,0)*$AP46,0)</f>
        <v>0</v>
      </c>
      <c r="HG46">
        <f>IFERROR(VLOOKUP($D46,'Kalkulator mięs '!$C$5:$H$533,HG$4,0)*$AP46,0)</f>
        <v>0</v>
      </c>
      <c r="HH46">
        <f>IFERROR(VLOOKUP($D46,'Kalkulator mięs '!$C$5:$H$533,HH$4,0)*$AP46,0)</f>
        <v>0</v>
      </c>
      <c r="HI46">
        <f>IFERROR(VLOOKUP($D46,'Kalkulator mięs '!$C$5:$H$533,HI$4,0)*$AQ46,0)</f>
        <v>0</v>
      </c>
      <c r="HJ46">
        <f>IFERROR(VLOOKUP($D46,'Kalkulator mięs '!$C$5:$H$533,HJ$4,0)*$AQ46,0)</f>
        <v>0</v>
      </c>
      <c r="HK46">
        <f>IFERROR(VLOOKUP($D46,'Kalkulator mięs '!$C$5:$H$533,HK$4,0)*$AQ46,0)</f>
        <v>0</v>
      </c>
      <c r="HL46">
        <f>IFERROR(VLOOKUP($D46,'Kalkulator mięs '!$C$5:$H$533,HL$4,0)*$AR46,0)</f>
        <v>0</v>
      </c>
      <c r="HM46">
        <f>IFERROR(VLOOKUP($D46,'Kalkulator mięs '!$C$5:$H$533,HM$4,0)*$AR46,0)</f>
        <v>0</v>
      </c>
      <c r="HN46">
        <f>IFERROR(VLOOKUP($D46,'Kalkulator mięs '!$C$5:$H$533,HN$4,0)*$AR46,0)</f>
        <v>0</v>
      </c>
      <c r="HO46">
        <f>IFERROR(VLOOKUP($D46,'Kalkulator mięs '!$C$5:$H$533,HO$4,0)*$AS46,0)</f>
        <v>0</v>
      </c>
      <c r="HP46">
        <f>IFERROR(VLOOKUP($D46,'Kalkulator mięs '!$C$5:$H$533,HP$4,0)*$AS46,0)</f>
        <v>0</v>
      </c>
      <c r="HQ46">
        <f>IFERROR(VLOOKUP($D46,'Kalkulator mięs '!$C$5:$H$533,HQ$4,0)*$AS46,0)</f>
        <v>0</v>
      </c>
      <c r="HR46">
        <f>IFERROR(VLOOKUP($D46,'Kalkulator mięs '!$C$5:$H$533,HR$4,0)*$AT46,0)</f>
        <v>0</v>
      </c>
      <c r="HS46">
        <f>IFERROR(VLOOKUP($D46,'Kalkulator mięs '!$C$5:$H$533,HS$4,0)*$AT46,0)</f>
        <v>0</v>
      </c>
      <c r="HT46">
        <f>IFERROR(VLOOKUP($D46,'Kalkulator mięs '!$C$5:$H$533,HT$4,0)*$AT46,0)</f>
        <v>0</v>
      </c>
      <c r="HU46">
        <f>IFERROR(VLOOKUP($D46,'Kalkulator mięs '!$C$5:$H$533,HU$4,0)*$AU46,0)</f>
        <v>0</v>
      </c>
      <c r="HV46">
        <f>IFERROR(VLOOKUP($D46,'Kalkulator mięs '!$C$5:$H$533,HV$4,0)*$AU46,0)</f>
        <v>0</v>
      </c>
      <c r="HW46">
        <f>IFERROR(VLOOKUP($D46,'Kalkulator mięs '!$C$5:$H$533,HW$4,0)*$AU46,0)</f>
        <v>0</v>
      </c>
      <c r="HX46">
        <f>IFERROR(VLOOKUP($D46,'Kalkulator mięs '!$C$5:$H$533,HX$4,0)*$AV46,0)</f>
        <v>0</v>
      </c>
      <c r="HY46">
        <f>IFERROR(VLOOKUP($D46,'Kalkulator mięs '!$C$5:$H$533,HY$4,0)*$AV46,0)</f>
        <v>0</v>
      </c>
      <c r="HZ46">
        <f>IFERROR(VLOOKUP($D46,'Kalkulator mięs '!$C$5:$H$533,HZ$4,0)*$AV46,0)</f>
        <v>0</v>
      </c>
      <c r="IA46">
        <f>IFERROR(VLOOKUP($D46,'Kalkulator mięs '!$C$5:$H$533,IA$4,0)*$AW46,0)</f>
        <v>0</v>
      </c>
      <c r="IB46">
        <f>IFERROR(VLOOKUP($D46,'Kalkulator mięs '!$C$5:$H$533,IB$4,0)*$AW46,0)</f>
        <v>0</v>
      </c>
      <c r="IC46">
        <f>IFERROR(VLOOKUP($D46,'Kalkulator mięs '!$C$5:$H$533,IC$4,0)*$AW46,0)</f>
        <v>0</v>
      </c>
      <c r="ID46">
        <f>IFERROR(VLOOKUP($D46,'Kalkulator mięs '!$C$5:$H$533,ID$4,0)*$AX46,0)</f>
        <v>0</v>
      </c>
      <c r="IE46">
        <f>IFERROR(VLOOKUP($D46,'Kalkulator mięs '!$C$5:$H$533,IE$4,0)*$AX46,0)</f>
        <v>0</v>
      </c>
      <c r="IF46">
        <f>IFERROR(VLOOKUP($D46,'Kalkulator mięs '!$C$5:$H$533,IF$4,0)*$AX46,0)</f>
        <v>0</v>
      </c>
      <c r="IG46">
        <f>IFERROR(VLOOKUP($D46,'Kalkulator mięs '!$C$5:$H$533,IG$4,0)*$AY46,0)</f>
        <v>0</v>
      </c>
      <c r="IH46">
        <f>IFERROR(VLOOKUP($D46,'Kalkulator mięs '!$C$5:$H$533,IH$4,0)*$AY46,0)</f>
        <v>0</v>
      </c>
      <c r="II46">
        <f>IFERROR(VLOOKUP($D46,'Kalkulator mięs '!$C$5:$H$533,II$4,0)*$AY46,0)</f>
        <v>0</v>
      </c>
      <c r="IJ46">
        <f>IFERROR(VLOOKUP($D46,'Kalkulator mięs '!$C$5:$H$533,IJ$4,0)*$AZ46,0)</f>
        <v>0</v>
      </c>
      <c r="IK46">
        <f>IFERROR(VLOOKUP($D46,'Kalkulator mięs '!$C$5:$H$533,IK$4,0)*$AZ46,0)</f>
        <v>0</v>
      </c>
      <c r="IL46">
        <f>IFERROR(VLOOKUP($D46,'Kalkulator mięs '!$C$5:$H$533,IL$4,0)*$AZ46,0)</f>
        <v>0</v>
      </c>
      <c r="IM46">
        <f>IFERROR(VLOOKUP($D46,'Kalkulator mięs '!$C$5:$H$533,IM$4,0)*$BA46,0)</f>
        <v>0</v>
      </c>
      <c r="IN46">
        <f>IFERROR(VLOOKUP($D46,'Kalkulator mięs '!$C$5:$H$533,IN$4,0)*$BA46,0)</f>
        <v>0</v>
      </c>
      <c r="IO46">
        <f>IFERROR(VLOOKUP($D46,'Kalkulator mięs '!$C$5:$H$533,IO$4,0)*$BA46,0)</f>
        <v>0</v>
      </c>
    </row>
    <row r="47" spans="1:249" ht="15.75">
      <c r="B47" t="str">
        <f>VLOOKUP(D47,Receptury_z!$A:$B,2,0)</f>
        <v>ON</v>
      </c>
      <c r="C47" s="16">
        <v>5601</v>
      </c>
      <c r="D47" s="19">
        <v>6699</v>
      </c>
      <c r="E47" s="18" t="s">
        <v>15919</v>
      </c>
      <c r="F47" s="14">
        <f>IF($B47="OFF",BE47,VLOOKUP($D47,Receptury_z!$D:$AI,F$4,0))</f>
        <v>0</v>
      </c>
      <c r="G47" s="14">
        <f>IF($B47="OFF",BF47,VLOOKUP($D47,Receptury_z!$D:$AI,G$4,0))</f>
        <v>0</v>
      </c>
      <c r="H47" s="14">
        <f>IF($B47="OFF",BG47,VLOOKUP($D47,Receptury_z!$D:$AI,H$4,0))</f>
        <v>0</v>
      </c>
      <c r="I47" s="14">
        <f>IF($B47="OFF",BH47,VLOOKUP($D47,Receptury_z!$D:$AI,I$4,0))</f>
        <v>0</v>
      </c>
      <c r="J47" s="14">
        <f>IF($B47="OFF",BI47,VLOOKUP($D47,Receptury_z!$D:$AI,J$4,0))</f>
        <v>0</v>
      </c>
      <c r="K47" s="14">
        <f>IF($B47="OFF",BJ47,VLOOKUP($D47,Receptury_z!$D:$AI,K$4,0))</f>
        <v>0</v>
      </c>
      <c r="L47" s="14">
        <f>IF($B47="OFF",BK47,VLOOKUP($D47,Receptury_z!$D:$AI,L$4,0))</f>
        <v>0</v>
      </c>
      <c r="M47" s="14">
        <f>IF($B47="OFF",BL47,VLOOKUP($D47,Receptury_z!$D:$AI,M$4,0))</f>
        <v>0</v>
      </c>
      <c r="N47" s="14">
        <f>IF($B47="OFF",BM47,VLOOKUP($D47,Receptury_z!$D:$AI,N$4,0))</f>
        <v>0</v>
      </c>
      <c r="O47" s="14">
        <f>IF($B47="OFF",BN47,VLOOKUP($D47,Receptury_z!$D:$AI,O$4,0))</f>
        <v>0</v>
      </c>
      <c r="P47" s="14">
        <f>IF($B47="OFF",BO47,VLOOKUP($D47,Receptury_z!$D:$AI,P$4,0))</f>
        <v>0</v>
      </c>
      <c r="Q47" s="14">
        <f>IF($B47="OFF",BP47,VLOOKUP($D47,Receptury_z!$D:$AI,Q$4,0))</f>
        <v>0</v>
      </c>
      <c r="R47" s="14">
        <f>IF($B47="OFF",BQ47,VLOOKUP($D47,Receptury_z!$D:$AI,R$4,0))</f>
        <v>27.5</v>
      </c>
      <c r="S47" s="14">
        <f>IF($B47="OFF",BR47,VLOOKUP($D47,Receptury_z!$D:$AI,S$4,0))</f>
        <v>0</v>
      </c>
      <c r="T47" s="14">
        <f>IF($B47="OFF",BS47,VLOOKUP($D47,Receptury_z!$D:$AI,T$4,0))</f>
        <v>100</v>
      </c>
      <c r="U47" s="14">
        <f>IF($B47="OFF",BT47,VLOOKUP($D47,Receptury_z!$D:$AI,U$4,0))</f>
        <v>104.80000000000001</v>
      </c>
      <c r="V47" s="14">
        <f>IF($B47="OFF",BU47,VLOOKUP($D47,Receptury_z!$D:$AI,V$4,0))</f>
        <v>0</v>
      </c>
      <c r="W47" s="14">
        <f>IF($B47="OFF",BV47,VLOOKUP($D47,Receptury_z!$D:$AI,W$4,0))</f>
        <v>0</v>
      </c>
      <c r="X47" s="14">
        <f>IF($B47="OFF",BW47,VLOOKUP($D47,Receptury_z!$D:$AI,X$4,0))</f>
        <v>0</v>
      </c>
      <c r="Y47" s="14">
        <f>IF($B47="OFF",BX47,VLOOKUP($D47,Receptury_z!$D:$AI,Y$4,0))</f>
        <v>0</v>
      </c>
      <c r="Z47" s="14">
        <f>IF($B47="OFF",BY47,VLOOKUP($D47,Receptury_z!$D:$AI,Z$4,0))</f>
        <v>0</v>
      </c>
      <c r="AA47" s="14">
        <f>IF($B47="OFF",BZ47,VLOOKUP($D47,Receptury_z!$D:$AI,AA$4,0))</f>
        <v>0</v>
      </c>
      <c r="AB47" s="14">
        <f>IF($B47="OFF",CA47,VLOOKUP($D47,Receptury_z!$D:$AI,AB$4,0))</f>
        <v>35.9</v>
      </c>
      <c r="AC47" s="14">
        <f>IF($B47="OFF",CB47,VLOOKUP($D47,Receptury_z!$D:$AI,AC$4,0))</f>
        <v>0</v>
      </c>
      <c r="AD47" s="14">
        <f>IF($B47="OFF",CC47,VLOOKUP($D47,Receptury_z!$D:$AI,AD$4,0))</f>
        <v>0</v>
      </c>
      <c r="AE47" s="14">
        <f>IF($B47="OFF",CD47,VLOOKUP($D47,Receptury_z!$D:$AI,AE$4,0))</f>
        <v>0</v>
      </c>
      <c r="AF47" s="14">
        <f>IF($B47="OFF",CE47,VLOOKUP($D47,Receptury_z!$D:$AI,AF$4,0))</f>
        <v>0</v>
      </c>
      <c r="AG47" s="14">
        <f>IF($B47="OFF",CF47,VLOOKUP($D47,Receptury_z!$D:$AI,AG$4,0))</f>
        <v>0</v>
      </c>
      <c r="AH47" s="14">
        <f>IF($B47="OFF",CG47,VLOOKUP($D47,Receptury_z!$D:$AI,AH$4,0))</f>
        <v>25</v>
      </c>
      <c r="AI47" s="14">
        <f>IF($B47="OFF",CH47,VLOOKUP($D47,Receptury_z!$D:$AI,AI$4,0))</f>
        <v>0</v>
      </c>
      <c r="AJ47" s="14">
        <f>IF($B47="OFF",CI47,VLOOKUP($D47,Receptury_z!$D:$AS,AJ$4,0))</f>
        <v>0</v>
      </c>
      <c r="AK47" s="14">
        <f>IF($B47="OFF",CJ47,VLOOKUP($D47,Receptury_z!$D:$AS,AK$4,0))</f>
        <v>247.3</v>
      </c>
      <c r="AL47" s="14">
        <f>IF($B47="OFF",CK47,VLOOKUP($D47,Receptury_z!$D:$AS,AL$4,0))</f>
        <v>25</v>
      </c>
      <c r="AM47" s="14">
        <f>IF($B47="OFF",CL47,VLOOKUP($D47,Receptury_z!$D:$AS,AM$4,0))</f>
        <v>0</v>
      </c>
      <c r="AN47" s="14">
        <f>IF($B47="OFF",CM47,VLOOKUP($D47,Receptury_z!$D:$AS,AN$4,0))</f>
        <v>121.5</v>
      </c>
      <c r="AO47" s="14">
        <f>IF($B47="OFF",CN47,VLOOKUP($D47,Receptury_z!$D:$AS,AO$4,0))</f>
        <v>0</v>
      </c>
      <c r="AP47" s="14">
        <f>IF($B47="OFF",CO47,VLOOKUP($D47,Receptury_z!$D:$AS,AP$4,0))</f>
        <v>0</v>
      </c>
      <c r="AQ47" s="14">
        <f>IF($B47="OFF",CP47,VLOOKUP($D47,Receptury_z!$D:$AS,AQ$4,0))</f>
        <v>0</v>
      </c>
      <c r="AR47" s="14">
        <f>IF($B47="OFF",CQ47,VLOOKUP($D47,Receptury_z!$D:$AS,AR$4,0))</f>
        <v>0</v>
      </c>
      <c r="AS47" s="14">
        <f>IF($B47="OFF",CR47,VLOOKUP($D47,Receptury_z!$D:$AS,AS$4,0))</f>
        <v>0</v>
      </c>
      <c r="AT47" s="14">
        <f>IF($B47="OFF",CS47,VLOOKUP($D47,Receptury_z!$D:$AV,AT$4,0))</f>
        <v>0</v>
      </c>
      <c r="AU47" s="14">
        <f>IF($B47="OFF",CT47,VLOOKUP($D47,Receptury_z!$D:$AV,AU$4,0))</f>
        <v>0</v>
      </c>
      <c r="AV47" s="14">
        <f>IF($B47="OFF",CU47,VLOOKUP($D47,Receptury_z!$D:$AV,AV$4,0))</f>
        <v>0</v>
      </c>
      <c r="AW47" s="14">
        <f>IF($B47="OFF",CV47,VLOOKUP($D47,Receptury_z!$D:$BA,AW$4,0))</f>
        <v>0</v>
      </c>
      <c r="AX47" s="14">
        <f>IF($B47="OFF",CW47,VLOOKUP($D47,Receptury_z!$D:$BA,AX$4,0))</f>
        <v>0</v>
      </c>
      <c r="AY47" s="14">
        <f>IF($B47="OFF",CX47,VLOOKUP($D47,Receptury_z!$D:$BA,AY$4,0))</f>
        <v>0</v>
      </c>
      <c r="AZ47" s="14">
        <f>IF($B47="OFF",DA47,VLOOKUP($D47,Receptury_z!$D:$BA,AZ$4,0))</f>
        <v>0</v>
      </c>
      <c r="BA47" s="14">
        <f>IF($B47="OFF",DB47,VLOOKUP($D47,Receptury_z!$D:$BA,BA$4,0))</f>
        <v>0</v>
      </c>
      <c r="BC47" s="19">
        <v>6699</v>
      </c>
      <c r="BD47" s="18" t="s">
        <v>15919</v>
      </c>
      <c r="BE47" s="239">
        <v>0</v>
      </c>
      <c r="BF47" s="239">
        <v>0</v>
      </c>
      <c r="BG47" s="239">
        <v>0</v>
      </c>
      <c r="BH47" s="239">
        <v>0</v>
      </c>
      <c r="BI47" s="239">
        <v>0</v>
      </c>
      <c r="BJ47" s="239">
        <v>0</v>
      </c>
      <c r="BK47" s="239">
        <v>0</v>
      </c>
      <c r="BL47" s="239">
        <v>0</v>
      </c>
      <c r="BM47" s="239">
        <v>0</v>
      </c>
      <c r="BN47" s="239">
        <v>71.3</v>
      </c>
      <c r="BO47" s="239">
        <v>0</v>
      </c>
      <c r="BP47" s="239">
        <v>0</v>
      </c>
      <c r="BQ47" s="239">
        <v>27.4</v>
      </c>
      <c r="BR47" s="239">
        <v>0</v>
      </c>
      <c r="BS47" s="239">
        <v>0</v>
      </c>
      <c r="BT47" s="239">
        <v>303.89999999999998</v>
      </c>
      <c r="BU47" s="239">
        <v>0</v>
      </c>
      <c r="BV47" s="239">
        <v>0</v>
      </c>
      <c r="BW47" s="239">
        <v>0</v>
      </c>
      <c r="BX47" s="239">
        <v>0</v>
      </c>
      <c r="BY47" s="239">
        <v>0</v>
      </c>
      <c r="BZ47" s="239">
        <v>0</v>
      </c>
      <c r="CA47" s="239">
        <v>35.700000000000003</v>
      </c>
      <c r="CB47" s="239">
        <v>0</v>
      </c>
      <c r="CC47" s="239">
        <v>246.6</v>
      </c>
      <c r="CD47" s="239">
        <v>0</v>
      </c>
      <c r="CE47" s="239">
        <v>0</v>
      </c>
      <c r="CF47" s="239">
        <v>0</v>
      </c>
      <c r="CG47" s="239">
        <v>0</v>
      </c>
      <c r="CH47" s="239">
        <v>0</v>
      </c>
      <c r="CI47" s="239">
        <v>0</v>
      </c>
      <c r="CJ47" s="239">
        <v>0</v>
      </c>
      <c r="CK47" s="239">
        <v>0</v>
      </c>
      <c r="CL47" s="239">
        <v>0</v>
      </c>
      <c r="CM47" s="80"/>
      <c r="CN47" s="80"/>
      <c r="CO47" s="80"/>
      <c r="CP47" s="80"/>
      <c r="CQ47" s="80"/>
      <c r="CR47" s="80"/>
      <c r="CS47" s="80"/>
      <c r="CT47" s="80"/>
      <c r="CU47" s="80"/>
      <c r="CV47" s="80"/>
      <c r="CW47" s="80"/>
      <c r="CX47" s="80"/>
      <c r="CY47" s="80"/>
      <c r="CZ47" s="80"/>
      <c r="DB47">
        <f>IFERROR(VLOOKUP($D47,'Kalkulator mięs '!$C$5:$H$533,DB$4,0)*F47,0)</f>
        <v>0</v>
      </c>
      <c r="DC47">
        <f>IFERROR(VLOOKUP($D47,'Kalkulator mięs '!$C$5:$H$533,DC$4,0)*F47,0)</f>
        <v>0</v>
      </c>
      <c r="DD47">
        <f>IFERROR(VLOOKUP($D47,'Kalkulator mięs '!$C$5:$H$533,DD$4,0)*F47,0)</f>
        <v>0</v>
      </c>
      <c r="DE47">
        <f>IFERROR(VLOOKUP($D47,'Kalkulator mięs '!$C$5:$H$533,DE$4,0)*$G47,0)</f>
        <v>0</v>
      </c>
      <c r="DF47">
        <f>IFERROR(VLOOKUP($D47,'Kalkulator mięs '!$C$5:$H$533,DF$4,0)*$G47,0)</f>
        <v>0</v>
      </c>
      <c r="DG47">
        <f>IFERROR(VLOOKUP($D47,'Kalkulator mięs '!$C$5:$H$533,DG$4,0)*$G47,0)</f>
        <v>0</v>
      </c>
      <c r="DH47">
        <f>IFERROR(VLOOKUP($D47,'Kalkulator mięs '!$C$5:$H$533,DH$4,0)*$H47,0)</f>
        <v>0</v>
      </c>
      <c r="DI47">
        <f>IFERROR(VLOOKUP($D47,'Kalkulator mięs '!$C$5:$H$533,DI$4,0)*$H47,0)</f>
        <v>0</v>
      </c>
      <c r="DJ47">
        <f>IFERROR(VLOOKUP($D47,'Kalkulator mięs '!$C$5:$H$533,DJ$4,0)*$H47,0)</f>
        <v>0</v>
      </c>
      <c r="DK47">
        <f>IFERROR(VLOOKUP($D47,'Kalkulator mięs '!$C$5:$H$533,DK$4,0)*$I47,0)</f>
        <v>0</v>
      </c>
      <c r="DL47">
        <f>IFERROR(VLOOKUP($D47,'Kalkulator mięs '!$C$5:$H$533,DL$4,0)*$I47,0)</f>
        <v>0</v>
      </c>
      <c r="DM47">
        <f>IFERROR(VLOOKUP($D47,'Kalkulator mięs '!$C$5:$H$533,DM$4,0)*$I47,0)</f>
        <v>0</v>
      </c>
      <c r="DN47">
        <f>IFERROR(VLOOKUP($D47,'Kalkulator mięs '!$C$5:$H$533,DN$4,0)*$J47,0)</f>
        <v>0</v>
      </c>
      <c r="DO47">
        <f>IFERROR(VLOOKUP($D47,'Kalkulator mięs '!$C$5:$H$533,DO$4,0)*$J47,0)</f>
        <v>0</v>
      </c>
      <c r="DP47">
        <f>IFERROR(VLOOKUP($D47,'Kalkulator mięs '!$C$5:$H$533,DP$4,0)*$J47,0)</f>
        <v>0</v>
      </c>
      <c r="DQ47">
        <f>IFERROR(VLOOKUP($D47,'Kalkulator mięs '!$C$5:$H$533,DQ$4,0)*$K47,0)</f>
        <v>0</v>
      </c>
      <c r="DR47">
        <f>IFERROR(VLOOKUP($D47,'Kalkulator mięs '!$C$5:$H$533,DR$4,0)*$K47,0)</f>
        <v>0</v>
      </c>
      <c r="DS47">
        <f>IFERROR(VLOOKUP($D47,'Kalkulator mięs '!$C$5:$H$533,DS$4,0)*$K47,0)</f>
        <v>0</v>
      </c>
      <c r="DT47">
        <f>IFERROR(VLOOKUP($D47,'Kalkulator mięs '!$C$5:$H$533,DT$4,0)*$L47,0)</f>
        <v>0</v>
      </c>
      <c r="DU47">
        <f>IFERROR(VLOOKUP($D47,'Kalkulator mięs '!$C$5:$H$533,DU$4,0)*$L47,0)</f>
        <v>0</v>
      </c>
      <c r="DV47">
        <f>IFERROR(VLOOKUP($D47,'Kalkulator mięs '!$C$5:$H$533,DV$4,0)*$L47,0)</f>
        <v>0</v>
      </c>
      <c r="DW47">
        <f>IFERROR(VLOOKUP($D47,'Kalkulator mięs '!$C$5:$H$533,DW$4,0)*$M47,0)</f>
        <v>0</v>
      </c>
      <c r="DX47">
        <f>IFERROR(VLOOKUP($D47,'Kalkulator mięs '!$C$5:$H$533,DX$4,0)*$M47,0)</f>
        <v>0</v>
      </c>
      <c r="DY47">
        <f>IFERROR(VLOOKUP($D47,'Kalkulator mięs '!$C$5:$H$533,DY$4,0)*$M47,0)</f>
        <v>0</v>
      </c>
      <c r="DZ47">
        <f>IFERROR(VLOOKUP($D47,'Kalkulator mięs '!$C$5:$H$533,DZ$4,0)*$N47,0)</f>
        <v>0</v>
      </c>
      <c r="EA47">
        <f>IFERROR(VLOOKUP($D47,'Kalkulator mięs '!$C$5:$H$533,EA$4,0)*$N47,0)</f>
        <v>0</v>
      </c>
      <c r="EB47">
        <f>IFERROR(VLOOKUP($D47,'Kalkulator mięs '!$C$5:$H$533,EB$4,0)*$N47,0)</f>
        <v>0</v>
      </c>
      <c r="EC47">
        <f>IFERROR(VLOOKUP($D47,'Kalkulator mięs '!$C$5:$H$533,EC$4,0)*$O47,0)</f>
        <v>0</v>
      </c>
      <c r="ED47">
        <f>IFERROR(VLOOKUP($D47,'Kalkulator mięs '!$C$5:$H$533,ED$4,0)*$O47,0)</f>
        <v>0</v>
      </c>
      <c r="EE47">
        <f>IFERROR(VLOOKUP($D47,'Kalkulator mięs '!$C$5:$H$533,EE$4,0)*$O47,0)</f>
        <v>0</v>
      </c>
      <c r="EF47">
        <f>IFERROR(VLOOKUP($D47,'Kalkulator mięs '!$C$5:$H$533,EF$4,0)*$P47,0)</f>
        <v>0</v>
      </c>
      <c r="EG47">
        <f>IFERROR(VLOOKUP($D47,'Kalkulator mięs '!$C$5:$H$533,EG$4,0)*$P47,0)</f>
        <v>0</v>
      </c>
      <c r="EH47">
        <f>IFERROR(VLOOKUP($D47,'Kalkulator mięs '!$C$5:$H$533,EH$4,0)*$P47,0)</f>
        <v>0</v>
      </c>
      <c r="EI47">
        <f>IFERROR(VLOOKUP($D47,'Kalkulator mięs '!$C$5:$H$533,EI$4,0)*$Q47,0)</f>
        <v>0</v>
      </c>
      <c r="EJ47">
        <f>IFERROR(VLOOKUP($D47,'Kalkulator mięs '!$C$5:$H$533,EJ$4,0)*$Q47,0)</f>
        <v>0</v>
      </c>
      <c r="EK47">
        <f>IFERROR(VLOOKUP($D47,'Kalkulator mięs '!$C$5:$H$533,EK$4,0)*$Q47,0)</f>
        <v>0</v>
      </c>
      <c r="EL47">
        <f>IFERROR(VLOOKUP($D47,'Kalkulator mięs '!$C$5:$H$533,EL$4,0)*$R47,0)</f>
        <v>0</v>
      </c>
      <c r="EM47">
        <f>IFERROR(VLOOKUP($D47,'Kalkulator mięs '!$C$5:$H$533,EM$4,0)*$R47,0)</f>
        <v>0</v>
      </c>
      <c r="EN47">
        <f>IFERROR(VLOOKUP($D47,'Kalkulator mięs '!$C$5:$H$533,EN$4,0)*$R47,0)</f>
        <v>0</v>
      </c>
      <c r="EO47">
        <f>IFERROR(VLOOKUP($D47,'Kalkulator mięs '!$C$5:$H$533,EO$4,0)*$S47,0)</f>
        <v>0</v>
      </c>
      <c r="EP47">
        <f>IFERROR(VLOOKUP($D47,'Kalkulator mięs '!$C$5:$H$533,EP$4,0)*$S47,0)</f>
        <v>0</v>
      </c>
      <c r="EQ47">
        <f>IFERROR(VLOOKUP($D47,'Kalkulator mięs '!$C$5:$H$533,EQ$4,0)*$S47,0)</f>
        <v>0</v>
      </c>
      <c r="ER47">
        <f>IFERROR(VLOOKUP($D47,'Kalkulator mięs '!$C$5:$H$533,ER$4,0)*$T47,0)</f>
        <v>0</v>
      </c>
      <c r="ES47">
        <f>IFERROR(VLOOKUP($D47,'Kalkulator mięs '!$C$5:$H$533,ES$4,0)*$T47,0)</f>
        <v>0</v>
      </c>
      <c r="ET47">
        <f>IFERROR(VLOOKUP($D47,'Kalkulator mięs '!$C$5:$H$533,ET$4,0)*$T47,0)</f>
        <v>0</v>
      </c>
      <c r="EU47">
        <f>IFERROR(VLOOKUP($D47,'Kalkulator mięs '!$C$5:$H$533,EU$4,0)*$U47,0)</f>
        <v>0</v>
      </c>
      <c r="EV47">
        <f>IFERROR(VLOOKUP($D47,'Kalkulator mięs '!$C$5:$H$533,EV$4,0)*$U47,0)</f>
        <v>0</v>
      </c>
      <c r="EW47">
        <f>IFERROR(VLOOKUP($D47,'Kalkulator mięs '!$C$5:$H$533,EW$4,0)*$U47,0)</f>
        <v>0</v>
      </c>
      <c r="EX47">
        <f>IFERROR(VLOOKUP($D47,'Kalkulator mięs '!$C$5:$H$533,EX$4,0)*$V47,0)</f>
        <v>0</v>
      </c>
      <c r="EY47">
        <f>IFERROR(VLOOKUP($D47,'Kalkulator mięs '!$C$5:$H$533,EY$4,0)*$V47,0)</f>
        <v>0</v>
      </c>
      <c r="EZ47">
        <f>IFERROR(VLOOKUP($D47,'Kalkulator mięs '!$C$5:$H$533,EZ$4,0)*$V47,0)</f>
        <v>0</v>
      </c>
      <c r="FA47">
        <f>IFERROR(VLOOKUP($D47,'Kalkulator mięs '!$C$5:$H$533,FA$4,0)*$W47,0)</f>
        <v>0</v>
      </c>
      <c r="FB47">
        <f>IFERROR(VLOOKUP($D47,'Kalkulator mięs '!$C$5:$H$533,FB$4,0)*$W47,0)</f>
        <v>0</v>
      </c>
      <c r="FC47">
        <f>IFERROR(VLOOKUP($D47,'Kalkulator mięs '!$C$5:$H$533,FC$4,0)*$W47,0)</f>
        <v>0</v>
      </c>
      <c r="FD47">
        <f>IFERROR(VLOOKUP($D47,'Kalkulator mięs '!$C$5:$H$533,FD$4,0)*$X47,0)</f>
        <v>0</v>
      </c>
      <c r="FE47">
        <f>IFERROR(VLOOKUP($D47,'Kalkulator mięs '!$C$5:$H$533,FE$4,0)*$X47,0)</f>
        <v>0</v>
      </c>
      <c r="FF47">
        <f>IFERROR(VLOOKUP($D47,'Kalkulator mięs '!$C$5:$H$533,FF$4,0)*$X47,0)</f>
        <v>0</v>
      </c>
      <c r="FG47">
        <f>IFERROR(VLOOKUP($D47,'Kalkulator mięs '!$C$5:$H$533,FG$4,0)*$Y47,0)</f>
        <v>0</v>
      </c>
      <c r="FH47">
        <f>IFERROR(VLOOKUP($D47,'Kalkulator mięs '!$C$5:$H$533,FH$4,0)*$Y47,0)</f>
        <v>0</v>
      </c>
      <c r="FI47">
        <f>IFERROR(VLOOKUP($D47,'Kalkulator mięs '!$C$5:$H$533,FI$4,0)*$Y47,0)</f>
        <v>0</v>
      </c>
      <c r="FJ47">
        <f>IFERROR(VLOOKUP($D47,'Kalkulator mięs '!$C$5:$H$533,FJ$4,0)*$Z47,0)</f>
        <v>0</v>
      </c>
      <c r="FK47">
        <f>IFERROR(VLOOKUP($D47,'Kalkulator mięs '!$C$5:$H$533,FK$4,0)*$Z47,0)</f>
        <v>0</v>
      </c>
      <c r="FL47">
        <f>IFERROR(VLOOKUP($D47,'Kalkulator mięs '!$C$5:$H$533,FL$4,0)*$Z47,0)</f>
        <v>0</v>
      </c>
      <c r="FM47">
        <f>IFERROR(VLOOKUP($D47,'Kalkulator mięs '!$C$5:$H$533,FM$4,0)*$AA47,0)</f>
        <v>0</v>
      </c>
      <c r="FN47">
        <f>IFERROR(VLOOKUP($D47,'Kalkulator mięs '!$C$5:$H$533,FN$4,0)*$AA47,0)</f>
        <v>0</v>
      </c>
      <c r="FO47">
        <f>IFERROR(VLOOKUP($D47,'Kalkulator mięs '!$C$5:$H$533,FO$4,0)*$AA47,0)</f>
        <v>0</v>
      </c>
      <c r="FP47">
        <f>IFERROR(VLOOKUP($D47,'Kalkulator mięs '!$C$5:$H$533,FP$4,0)*$AB47,0)</f>
        <v>0</v>
      </c>
      <c r="FQ47">
        <f>IFERROR(VLOOKUP($D47,'Kalkulator mięs '!$C$5:$H$533,FQ$4,0)*$AB47,0)</f>
        <v>0</v>
      </c>
      <c r="FR47">
        <f>IFERROR(VLOOKUP($D47,'Kalkulator mięs '!$C$5:$H$533,FR$4,0)*$AB47,0)</f>
        <v>0</v>
      </c>
      <c r="FS47">
        <f>IFERROR(VLOOKUP($D47,'Kalkulator mięs '!$C$5:$H$533,FS$4,0)*$AC47,0)</f>
        <v>0</v>
      </c>
      <c r="FT47">
        <f>IFERROR(VLOOKUP($D47,'Kalkulator mięs '!$C$5:$H$533,FT$4,0)*$AC47,0)</f>
        <v>0</v>
      </c>
      <c r="FU47">
        <f>IFERROR(VLOOKUP($D47,'Kalkulator mięs '!$C$5:$H$533,FU$4,0)*$AC47,0)</f>
        <v>0</v>
      </c>
      <c r="FV47">
        <f>IFERROR(VLOOKUP($D47,'Kalkulator mięs '!$C$5:$H$533,FV$4,0)*$AD47,0)</f>
        <v>0</v>
      </c>
      <c r="FW47">
        <f>IFERROR(VLOOKUP($D47,'Kalkulator mięs '!$C$5:$H$533,FW$4,0)*$AD47,0)</f>
        <v>0</v>
      </c>
      <c r="FX47">
        <f>IFERROR(VLOOKUP($D47,'Kalkulator mięs '!$C$5:$H$533,FX$4,0)*$AD47,0)</f>
        <v>0</v>
      </c>
      <c r="FY47">
        <f>IFERROR(VLOOKUP($D47,'Kalkulator mięs '!$C$5:$H$533,FY$4,0)*$AE47,0)</f>
        <v>0</v>
      </c>
      <c r="FZ47">
        <f>IFERROR(VLOOKUP($D47,'Kalkulator mięs '!$C$5:$H$533,FZ$4,0)*$AE47,0)</f>
        <v>0</v>
      </c>
      <c r="GA47">
        <f>IFERROR(VLOOKUP($D47,'Kalkulator mięs '!$C$5:$H$533,GA$4,0)*$AE47,0)</f>
        <v>0</v>
      </c>
      <c r="GB47">
        <f>IFERROR(VLOOKUP($D47,'Kalkulator mięs '!$C$5:$H$533,GB$4,0)*$AF47,0)</f>
        <v>0</v>
      </c>
      <c r="GC47">
        <f>IFERROR(VLOOKUP($D47,'Kalkulator mięs '!$C$5:$H$533,GC$4,0)*$AF47,0)</f>
        <v>0</v>
      </c>
      <c r="GD47">
        <f>IFERROR(VLOOKUP($D47,'Kalkulator mięs '!$C$5:$H$533,GD$4,0)*$AF47,0)</f>
        <v>0</v>
      </c>
      <c r="GE47">
        <f>IFERROR(VLOOKUP($D47,'Kalkulator mięs '!$C$5:$H$533,GE$4,0)*$AG47,0)</f>
        <v>0</v>
      </c>
      <c r="GF47">
        <f>IFERROR(VLOOKUP($D47,'Kalkulator mięs '!$C$5:$H$533,GF$4,0)*$AG47,0)</f>
        <v>0</v>
      </c>
      <c r="GG47">
        <f>IFERROR(VLOOKUP($D47,'Kalkulator mięs '!$C$5:$H$533,GG$4,0)*$AG47,0)</f>
        <v>0</v>
      </c>
      <c r="GH47">
        <f>IFERROR(VLOOKUP($D47,'Kalkulator mięs '!$C$5:$H$533,GH$4,0)*$AH47,0)</f>
        <v>0</v>
      </c>
      <c r="GI47">
        <f>IFERROR(VLOOKUP($D47,'Kalkulator mięs '!$C$5:$H$533,GI$4,0)*$AH47,0)</f>
        <v>0</v>
      </c>
      <c r="GJ47">
        <f>IFERROR(VLOOKUP($D47,'Kalkulator mięs '!$C$5:$H$533,GJ$4,0)*$AH47,0)</f>
        <v>0</v>
      </c>
      <c r="GK47">
        <f>IFERROR(VLOOKUP($D47,'Kalkulator mięs '!$C$5:$H$533,GK$4,0)*$AI47,0)</f>
        <v>0</v>
      </c>
      <c r="GL47">
        <f>IFERROR(VLOOKUP($D47,'Kalkulator mięs '!$C$5:$H$533,GL$4,0)*$AI47,0)</f>
        <v>0</v>
      </c>
      <c r="GM47">
        <f>IFERROR(VLOOKUP($D47,'Kalkulator mięs '!$C$5:$H$533,GM$4,0)*$AI47,0)</f>
        <v>0</v>
      </c>
      <c r="GN47">
        <f>IFERROR(VLOOKUP($D47,'Kalkulator mięs '!$C$5:$H$533,GN$4,0)*$AJ47,0)</f>
        <v>0</v>
      </c>
      <c r="GO47">
        <f>IFERROR(VLOOKUP($D47,'Kalkulator mięs '!$C$5:$H$533,GO$4,0)*$AJ47,0)</f>
        <v>0</v>
      </c>
      <c r="GP47">
        <f>IFERROR(VLOOKUP($D47,'Kalkulator mięs '!$C$5:$H$533,GP$4,0)*$AJ47,0)</f>
        <v>0</v>
      </c>
      <c r="GQ47">
        <f>IFERROR(VLOOKUP($D47,'Kalkulator mięs '!$C$5:$H$533,GQ$4,0)*$AK47,0)</f>
        <v>0</v>
      </c>
      <c r="GR47">
        <f>IFERROR(VLOOKUP($D47,'Kalkulator mięs '!$C$5:$H$533,GR$4,0)*$AK47,0)</f>
        <v>0</v>
      </c>
      <c r="GS47">
        <f>IFERROR(VLOOKUP($D47,'Kalkulator mięs '!$C$5:$H$533,GS$4,0)*$AK47,0)</f>
        <v>0</v>
      </c>
      <c r="GT47">
        <f>IFERROR(VLOOKUP($D47,'Kalkulator mięs '!$C$5:$H$533,GT$4,0)*$AL47,0)</f>
        <v>0</v>
      </c>
      <c r="GU47">
        <f>IFERROR(VLOOKUP($D47,'Kalkulator mięs '!$C$5:$H$533,GU$4,0)*$AL47,0)</f>
        <v>0</v>
      </c>
      <c r="GV47">
        <f>IFERROR(VLOOKUP($D47,'Kalkulator mięs '!$C$5:$H$533,GV$4,0)*$AL47,0)</f>
        <v>0</v>
      </c>
      <c r="GW47">
        <f>IFERROR(VLOOKUP($D47,'Kalkulator mięs '!$C$5:$H$533,GW$4,0)*$AM47,0)</f>
        <v>0</v>
      </c>
      <c r="GX47">
        <f>IFERROR(VLOOKUP($D47,'Kalkulator mięs '!$C$5:$H$533,GX$4,0)*$AM47,0)</f>
        <v>0</v>
      </c>
      <c r="GY47">
        <f>IFERROR(VLOOKUP($D47,'Kalkulator mięs '!$C$5:$H$533,GY$4,0)*$AM47,0)</f>
        <v>0</v>
      </c>
      <c r="GZ47">
        <f>IFERROR(VLOOKUP($D47,'Kalkulator mięs '!$C$5:$H$533,GZ$4,0)*$AN47,0)</f>
        <v>0</v>
      </c>
      <c r="HA47">
        <f>IFERROR(VLOOKUP($D47,'Kalkulator mięs '!$C$5:$H$533,HA$4,0)*$AN47,0)</f>
        <v>0</v>
      </c>
      <c r="HB47">
        <f>IFERROR(VLOOKUP($D47,'Kalkulator mięs '!$C$5:$H$533,HB$4,0)*$AN47,0)</f>
        <v>0</v>
      </c>
      <c r="HC47">
        <f>IFERROR(VLOOKUP($D47,'Kalkulator mięs '!$C$5:$H$533,HC$4,0)*$AO47,0)</f>
        <v>0</v>
      </c>
      <c r="HD47">
        <f>IFERROR(VLOOKUP($D47,'Kalkulator mięs '!$C$5:$H$533,HD$4,0)*$AO47,0)</f>
        <v>0</v>
      </c>
      <c r="HE47">
        <f>IFERROR(VLOOKUP($D47,'Kalkulator mięs '!$C$5:$H$533,HE$4,0)*$AO47,0)</f>
        <v>0</v>
      </c>
      <c r="HF47">
        <f>IFERROR(VLOOKUP($D47,'Kalkulator mięs '!$C$5:$H$533,HF$4,0)*$AP47,0)</f>
        <v>0</v>
      </c>
      <c r="HG47">
        <f>IFERROR(VLOOKUP($D47,'Kalkulator mięs '!$C$5:$H$533,HG$4,0)*$AP47,0)</f>
        <v>0</v>
      </c>
      <c r="HH47">
        <f>IFERROR(VLOOKUP($D47,'Kalkulator mięs '!$C$5:$H$533,HH$4,0)*$AP47,0)</f>
        <v>0</v>
      </c>
      <c r="HI47">
        <f>IFERROR(VLOOKUP($D47,'Kalkulator mięs '!$C$5:$H$533,HI$4,0)*$AQ47,0)</f>
        <v>0</v>
      </c>
      <c r="HJ47">
        <f>IFERROR(VLOOKUP($D47,'Kalkulator mięs '!$C$5:$H$533,HJ$4,0)*$AQ47,0)</f>
        <v>0</v>
      </c>
      <c r="HK47">
        <f>IFERROR(VLOOKUP($D47,'Kalkulator mięs '!$C$5:$H$533,HK$4,0)*$AQ47,0)</f>
        <v>0</v>
      </c>
      <c r="HL47">
        <f>IFERROR(VLOOKUP($D47,'Kalkulator mięs '!$C$5:$H$533,HL$4,0)*$AR47,0)</f>
        <v>0</v>
      </c>
      <c r="HM47">
        <f>IFERROR(VLOOKUP($D47,'Kalkulator mięs '!$C$5:$H$533,HM$4,0)*$AR47,0)</f>
        <v>0</v>
      </c>
      <c r="HN47">
        <f>IFERROR(VLOOKUP($D47,'Kalkulator mięs '!$C$5:$H$533,HN$4,0)*$AR47,0)</f>
        <v>0</v>
      </c>
      <c r="HO47">
        <f>IFERROR(VLOOKUP($D47,'Kalkulator mięs '!$C$5:$H$533,HO$4,0)*$AS47,0)</f>
        <v>0</v>
      </c>
      <c r="HP47">
        <f>IFERROR(VLOOKUP($D47,'Kalkulator mięs '!$C$5:$H$533,HP$4,0)*$AS47,0)</f>
        <v>0</v>
      </c>
      <c r="HQ47">
        <f>IFERROR(VLOOKUP($D47,'Kalkulator mięs '!$C$5:$H$533,HQ$4,0)*$AS47,0)</f>
        <v>0</v>
      </c>
      <c r="HR47">
        <f>IFERROR(VLOOKUP($D47,'Kalkulator mięs '!$C$5:$H$533,HR$4,0)*$AT47,0)</f>
        <v>0</v>
      </c>
      <c r="HS47">
        <f>IFERROR(VLOOKUP($D47,'Kalkulator mięs '!$C$5:$H$533,HS$4,0)*$AT47,0)</f>
        <v>0</v>
      </c>
      <c r="HT47">
        <f>IFERROR(VLOOKUP($D47,'Kalkulator mięs '!$C$5:$H$533,HT$4,0)*$AT47,0)</f>
        <v>0</v>
      </c>
      <c r="HU47">
        <f>IFERROR(VLOOKUP($D47,'Kalkulator mięs '!$C$5:$H$533,HU$4,0)*$AU47,0)</f>
        <v>0</v>
      </c>
      <c r="HV47">
        <f>IFERROR(VLOOKUP($D47,'Kalkulator mięs '!$C$5:$H$533,HV$4,0)*$AU47,0)</f>
        <v>0</v>
      </c>
      <c r="HW47">
        <f>IFERROR(VLOOKUP($D47,'Kalkulator mięs '!$C$5:$H$533,HW$4,0)*$AU47,0)</f>
        <v>0</v>
      </c>
      <c r="HX47">
        <f>IFERROR(VLOOKUP($D47,'Kalkulator mięs '!$C$5:$H$533,HX$4,0)*$AV47,0)</f>
        <v>0</v>
      </c>
      <c r="HY47">
        <f>IFERROR(VLOOKUP($D47,'Kalkulator mięs '!$C$5:$H$533,HY$4,0)*$AV47,0)</f>
        <v>0</v>
      </c>
      <c r="HZ47">
        <f>IFERROR(VLOOKUP($D47,'Kalkulator mięs '!$C$5:$H$533,HZ$4,0)*$AV47,0)</f>
        <v>0</v>
      </c>
      <c r="IA47">
        <f>IFERROR(VLOOKUP($D47,'Kalkulator mięs '!$C$5:$H$533,IA$4,0)*$AW47,0)</f>
        <v>0</v>
      </c>
      <c r="IB47">
        <f>IFERROR(VLOOKUP($D47,'Kalkulator mięs '!$C$5:$H$533,IB$4,0)*$AW47,0)</f>
        <v>0</v>
      </c>
      <c r="IC47">
        <f>IFERROR(VLOOKUP($D47,'Kalkulator mięs '!$C$5:$H$533,IC$4,0)*$AW47,0)</f>
        <v>0</v>
      </c>
      <c r="ID47">
        <f>IFERROR(VLOOKUP($D47,'Kalkulator mięs '!$C$5:$H$533,ID$4,0)*$AX47,0)</f>
        <v>0</v>
      </c>
      <c r="IE47">
        <f>IFERROR(VLOOKUP($D47,'Kalkulator mięs '!$C$5:$H$533,IE$4,0)*$AX47,0)</f>
        <v>0</v>
      </c>
      <c r="IF47">
        <f>IFERROR(VLOOKUP($D47,'Kalkulator mięs '!$C$5:$H$533,IF$4,0)*$AX47,0)</f>
        <v>0</v>
      </c>
      <c r="IG47">
        <f>IFERROR(VLOOKUP($D47,'Kalkulator mięs '!$C$5:$H$533,IG$4,0)*$AY47,0)</f>
        <v>0</v>
      </c>
      <c r="IH47">
        <f>IFERROR(VLOOKUP($D47,'Kalkulator mięs '!$C$5:$H$533,IH$4,0)*$AY47,0)</f>
        <v>0</v>
      </c>
      <c r="II47">
        <f>IFERROR(VLOOKUP($D47,'Kalkulator mięs '!$C$5:$H$533,II$4,0)*$AY47,0)</f>
        <v>0</v>
      </c>
      <c r="IJ47">
        <f>IFERROR(VLOOKUP($D47,'Kalkulator mięs '!$C$5:$H$533,IJ$4,0)*$AZ47,0)</f>
        <v>0</v>
      </c>
      <c r="IK47">
        <f>IFERROR(VLOOKUP($D47,'Kalkulator mięs '!$C$5:$H$533,IK$4,0)*$AZ47,0)</f>
        <v>0</v>
      </c>
      <c r="IL47">
        <f>IFERROR(VLOOKUP($D47,'Kalkulator mięs '!$C$5:$H$533,IL$4,0)*$AZ47,0)</f>
        <v>0</v>
      </c>
      <c r="IM47">
        <f>IFERROR(VLOOKUP($D47,'Kalkulator mięs '!$C$5:$H$533,IM$4,0)*$BA47,0)</f>
        <v>0</v>
      </c>
      <c r="IN47">
        <f>IFERROR(VLOOKUP($D47,'Kalkulator mięs '!$C$5:$H$533,IN$4,0)*$BA47,0)</f>
        <v>0</v>
      </c>
      <c r="IO47">
        <f>IFERROR(VLOOKUP($D47,'Kalkulator mięs '!$C$5:$H$533,IO$4,0)*$BA47,0)</f>
        <v>0</v>
      </c>
    </row>
    <row r="48" spans="1:249" s="228" customFormat="1" ht="15.75">
      <c r="B48" s="228" t="str">
        <f>VLOOKUP(D48,Receptury_z!$A:$B,2,0)</f>
        <v>ON</v>
      </c>
      <c r="C48" s="490">
        <v>5560</v>
      </c>
      <c r="D48" s="491">
        <v>7088</v>
      </c>
      <c r="E48" s="492" t="s">
        <v>15937</v>
      </c>
      <c r="F48" s="493">
        <f>IF($B48="OFF",BE48,VLOOKUP($D48,Receptury_z!$D:$AI,F$4,0))</f>
        <v>0</v>
      </c>
      <c r="G48" s="493">
        <f>IF($B48="OFF",BF48,VLOOKUP($D48,Receptury_z!$D:$AI,G$4,0))</f>
        <v>0</v>
      </c>
      <c r="H48" s="493">
        <f>IF($B48="OFF",BG48,VLOOKUP($D48,Receptury_z!$D:$AI,H$4,0))</f>
        <v>0</v>
      </c>
      <c r="I48" s="493">
        <f>IF($B48="OFF",BH48,VLOOKUP($D48,Receptury_z!$D:$AI,I$4,0))</f>
        <v>0</v>
      </c>
      <c r="J48" s="493">
        <f>IF($B48="OFF",BI48,VLOOKUP($D48,Receptury_z!$D:$AI,J$4,0))</f>
        <v>0</v>
      </c>
      <c r="K48" s="493">
        <f>IF($B48="OFF",BJ48,VLOOKUP($D48,Receptury_z!$D:$AI,K$4,0))</f>
        <v>0</v>
      </c>
      <c r="L48" s="493">
        <f>IF($B48="OFF",BK48,VLOOKUP($D48,Receptury_z!$D:$AI,L$4,0))</f>
        <v>0</v>
      </c>
      <c r="M48" s="493">
        <v>0</v>
      </c>
      <c r="N48" s="493">
        <f>IF($B48="OFF",BM48,VLOOKUP($D48,Receptury_z!$D:$AI,N$4,0))</f>
        <v>0</v>
      </c>
      <c r="O48" s="493">
        <f>IF($B48="OFF",BN48,VLOOKUP($D48,Receptury_z!$D:$AI,O$4,0))</f>
        <v>0</v>
      </c>
      <c r="P48" s="493">
        <f>IF($B48="OFF",BO48,VLOOKUP($D48,Receptury_z!$D:$AI,P$4,0))</f>
        <v>0</v>
      </c>
      <c r="Q48" s="493">
        <f>IF($B48="OFF",BP48,VLOOKUP($D48,Receptury_z!$D:$AI,Q$4,0))</f>
        <v>20</v>
      </c>
      <c r="R48" s="493">
        <f>IF($B48="OFF",BQ48,VLOOKUP($D48,Receptury_z!$D:$AI,R$4,0))</f>
        <v>0</v>
      </c>
      <c r="S48" s="493">
        <f>IF($B48="OFF",BR48,VLOOKUP($D48,Receptury_z!$D:$AI,S$4,0))</f>
        <v>0</v>
      </c>
      <c r="T48" s="493">
        <f>IF($B48="OFF",BS48,VLOOKUP($D48,Receptury_z!$D:$AI,T$4,0))</f>
        <v>0</v>
      </c>
      <c r="U48" s="493">
        <f>IF($B48="OFF",BT48,VLOOKUP($D48,Receptury_z!$D:$AI,U$4,0))</f>
        <v>175.35000000000002</v>
      </c>
      <c r="V48" s="493">
        <f>IF($B48="OFF",BU48,VLOOKUP($D48,Receptury_z!$D:$AI,V$4,0))</f>
        <v>0</v>
      </c>
      <c r="W48" s="493">
        <f>IF($B48="OFF",BV48,VLOOKUP($D48,Receptury_z!$D:$AI,W$4,0))</f>
        <v>0</v>
      </c>
      <c r="X48" s="493">
        <f>IF($B48="OFF",BW48,VLOOKUP($D48,Receptury_z!$D:$AI,X$4,0))</f>
        <v>17.2</v>
      </c>
      <c r="Y48" s="493">
        <f>IF($B48="OFF",BX48,VLOOKUP($D48,Receptury_z!$D:$AI,Y$4,0))</f>
        <v>0</v>
      </c>
      <c r="Z48" s="493">
        <f>IF($B48="OFF",BY48,VLOOKUP($D48,Receptury_z!$D:$AI,Z$4,0))</f>
        <v>0</v>
      </c>
      <c r="AA48" s="493">
        <f>IF($B48="OFF",BZ48,VLOOKUP($D48,Receptury_z!$D:$AI,AA$4,0))</f>
        <v>0</v>
      </c>
      <c r="AB48" s="493">
        <f>IF($B48="OFF",CA48,VLOOKUP($D48,Receptury_z!$D:$AI,AB$4,0))</f>
        <v>68.8</v>
      </c>
      <c r="AC48" s="493">
        <f>IF($B48="OFF",CB48,VLOOKUP($D48,Receptury_z!$D:$AI,AC$4,0))</f>
        <v>0</v>
      </c>
      <c r="AD48" s="493">
        <f>IF($B48="OFF",CC48,VLOOKUP($D48,Receptury_z!$D:$AI,AD$4,0))</f>
        <v>0</v>
      </c>
      <c r="AE48" s="493">
        <f>IF($B48="OFF",CD48,VLOOKUP($D48,Receptury_z!$D:$AI,AE$4,0))</f>
        <v>0</v>
      </c>
      <c r="AF48" s="493">
        <f>IF($B48="OFF",CE48,VLOOKUP($D48,Receptury_z!$D:$AI,AF$4,0))</f>
        <v>0</v>
      </c>
      <c r="AG48" s="493">
        <f>IF($B48="OFF",CF48,VLOOKUP($D48,Receptury_z!$D:$AI,AG$4,0))</f>
        <v>0</v>
      </c>
      <c r="AH48" s="493">
        <f>IF($B48="OFF",CG48,VLOOKUP($D48,Receptury_z!$D:$AI,AH$4,0))</f>
        <v>50</v>
      </c>
      <c r="AI48" s="493">
        <f>IF($B48="OFF",CH48,VLOOKUP($D48,Receptury_z!$D:$AI,AI$4,0))</f>
        <v>0</v>
      </c>
      <c r="AJ48" s="493">
        <f>IF($B48="OFF",CI48,VLOOKUP($D48,Receptury_z!$D:$AS,AJ$4,0))</f>
        <v>250</v>
      </c>
      <c r="AK48" s="493">
        <f>IF($B48="OFF",CJ48,VLOOKUP($D48,Receptury_z!$D:$AS,AK$4,0))</f>
        <v>278.05</v>
      </c>
      <c r="AL48" s="493">
        <f>IF($B48="OFF",CK48,VLOOKUP($D48,Receptury_z!$D:$AS,AL$4,0))</f>
        <v>0</v>
      </c>
      <c r="AM48" s="493">
        <f>IF($B48="OFF",CL48,VLOOKUP($D48,Receptury_z!$D:$AS,AM$4,0))</f>
        <v>0</v>
      </c>
      <c r="AN48" s="493">
        <f>IF($B48="OFF",CM48,VLOOKUP($D48,Receptury_z!$D:$AS,AN$4,0))</f>
        <v>0</v>
      </c>
      <c r="AO48" s="493">
        <f>IF($B48="OFF",CN48,VLOOKUP($D48,Receptury_z!$D:$AS,AO$4,0))</f>
        <v>0</v>
      </c>
      <c r="AP48" s="493">
        <f>IF($B48="OFF",CO48,VLOOKUP($D48,Receptury_z!$D:$AS,AP$4,0))</f>
        <v>0</v>
      </c>
      <c r="AQ48" s="493">
        <f>IF($B48="OFF",CP48,VLOOKUP($D48,Receptury_z!$D:$AS,AQ$4,0))</f>
        <v>0</v>
      </c>
      <c r="AR48" s="493">
        <f>IF($B48="OFF",CQ48,VLOOKUP($D48,Receptury_z!$D:$AS,AR$4,0))</f>
        <v>0</v>
      </c>
      <c r="AS48" s="493">
        <f>IF($B48="OFF",CR48,VLOOKUP($D48,Receptury_z!$D:$AS,AS$4,0))</f>
        <v>0</v>
      </c>
      <c r="AT48" s="493">
        <f>IF($B48="OFF",CS48,VLOOKUP($D48,Receptury_z!$D:$AV,AT$4,0))</f>
        <v>0</v>
      </c>
      <c r="AU48" s="493">
        <f>IF($B48="OFF",CT48,VLOOKUP($D48,Receptury_z!$D:$AV,AU$4,0))</f>
        <v>0</v>
      </c>
      <c r="AV48" s="493">
        <f>IF($B48="OFF",CU48,VLOOKUP($D48,Receptury_z!$D:$AV,AV$4,0))</f>
        <v>0</v>
      </c>
      <c r="AW48" s="14">
        <f>IF($B48="OFF",CV48,VLOOKUP($D48,Receptury_z!$D:$BA,AW$4,0))</f>
        <v>0</v>
      </c>
      <c r="AX48" s="14">
        <f>IF($B48="OFF",CW48,VLOOKUP($D48,Receptury_z!$D:$BA,AX$4,0))</f>
        <v>0</v>
      </c>
      <c r="AY48" s="14">
        <f>IF($B48="OFF",CX48,VLOOKUP($D48,Receptury_z!$D:$BA,AY$4,0))</f>
        <v>0</v>
      </c>
      <c r="AZ48" s="14">
        <f>IF($B48="OFF",DA48,VLOOKUP($D48,Receptury_z!$D:$BA,AZ$4,0))</f>
        <v>0</v>
      </c>
      <c r="BA48" s="14">
        <f>IF($B48="OFF",DB48,VLOOKUP($D48,Receptury_z!$D:$BA,BA$4,0))</f>
        <v>0</v>
      </c>
      <c r="BC48" s="491">
        <v>7088</v>
      </c>
      <c r="BD48" s="492" t="s">
        <v>15937</v>
      </c>
      <c r="BE48" s="494">
        <v>0</v>
      </c>
      <c r="BF48" s="494">
        <v>0</v>
      </c>
      <c r="BG48" s="494">
        <v>0</v>
      </c>
      <c r="BH48" s="494">
        <v>0</v>
      </c>
      <c r="BI48" s="494">
        <v>0</v>
      </c>
      <c r="BJ48" s="494">
        <v>0</v>
      </c>
      <c r="BK48" s="494">
        <v>0</v>
      </c>
      <c r="BL48" s="494">
        <v>0</v>
      </c>
      <c r="BM48" s="494">
        <v>0</v>
      </c>
      <c r="BN48" s="494">
        <v>0</v>
      </c>
      <c r="BO48" s="494">
        <v>0</v>
      </c>
      <c r="BP48" s="494">
        <v>0</v>
      </c>
      <c r="BQ48" s="494">
        <v>0</v>
      </c>
      <c r="BR48" s="494">
        <v>0</v>
      </c>
      <c r="BS48" s="494">
        <v>172.5</v>
      </c>
      <c r="BT48" s="494">
        <v>258.8</v>
      </c>
      <c r="BU48" s="494">
        <v>0</v>
      </c>
      <c r="BV48" s="494">
        <v>0</v>
      </c>
      <c r="BW48" s="494">
        <v>51.8</v>
      </c>
      <c r="BX48" s="494">
        <v>0</v>
      </c>
      <c r="BY48" s="494">
        <v>0</v>
      </c>
      <c r="BZ48" s="494">
        <v>0</v>
      </c>
      <c r="CA48" s="494">
        <v>69</v>
      </c>
      <c r="CB48" s="494">
        <v>0</v>
      </c>
      <c r="CC48" s="494">
        <v>0</v>
      </c>
      <c r="CD48" s="494">
        <v>0</v>
      </c>
      <c r="CE48" s="494">
        <v>0</v>
      </c>
      <c r="CF48" s="494">
        <v>0</v>
      </c>
      <c r="CG48" s="494">
        <v>0</v>
      </c>
      <c r="CH48" s="494">
        <v>0</v>
      </c>
      <c r="CI48" s="494">
        <v>310.60000000000002</v>
      </c>
      <c r="CJ48" s="494">
        <v>0</v>
      </c>
      <c r="CK48" s="494">
        <v>0</v>
      </c>
      <c r="CL48" s="494">
        <v>0</v>
      </c>
      <c r="CM48" s="80"/>
      <c r="CN48" s="80"/>
      <c r="CO48" s="80"/>
      <c r="CP48" s="80"/>
      <c r="CQ48" s="80"/>
      <c r="CR48" s="80"/>
      <c r="CS48" s="80"/>
      <c r="CT48" s="80"/>
      <c r="CU48" s="80"/>
      <c r="CV48" s="80"/>
      <c r="CW48" s="80"/>
      <c r="CX48" s="80"/>
      <c r="CY48" s="80"/>
      <c r="CZ48" s="80"/>
      <c r="DB48" s="228">
        <f>IFERROR(VLOOKUP($D48,'Kalkulator mięs '!$C$5:$H$533,DB$4,0)*F48,0)</f>
        <v>0</v>
      </c>
      <c r="DC48" s="228">
        <f>IFERROR(VLOOKUP($D48,'Kalkulator mięs '!$C$5:$H$533,DC$4,0)*F48,0)</f>
        <v>0</v>
      </c>
      <c r="DD48" s="228">
        <f>IFERROR(VLOOKUP($D48,'Kalkulator mięs '!$C$5:$H$533,DD$4,0)*F48,0)</f>
        <v>0</v>
      </c>
      <c r="DE48" s="228">
        <f>IFERROR(VLOOKUP($D48,'Kalkulator mięs '!$C$5:$H$533,DE$4,0)*$G48,0)</f>
        <v>0</v>
      </c>
      <c r="DF48" s="228">
        <f>IFERROR(VLOOKUP($D48,'Kalkulator mięs '!$C$5:$H$533,DF$4,0)*$G48,0)</f>
        <v>0</v>
      </c>
      <c r="DG48" s="228">
        <f>IFERROR(VLOOKUP($D48,'Kalkulator mięs '!$C$5:$H$533,DG$4,0)*$G48,0)</f>
        <v>0</v>
      </c>
      <c r="DH48" s="228">
        <f>IFERROR(VLOOKUP($D48,'Kalkulator mięs '!$C$5:$H$533,DH$4,0)*$H48,0)</f>
        <v>0</v>
      </c>
      <c r="DI48" s="228">
        <f>IFERROR(VLOOKUP($D48,'Kalkulator mięs '!$C$5:$H$533,DI$4,0)*$H48,0)</f>
        <v>0</v>
      </c>
      <c r="DJ48" s="228">
        <f>IFERROR(VLOOKUP($D48,'Kalkulator mięs '!$C$5:$H$533,DJ$4,0)*$H48,0)</f>
        <v>0</v>
      </c>
      <c r="DK48" s="228">
        <f>IFERROR(VLOOKUP($D48,'Kalkulator mięs '!$C$5:$H$533,DK$4,0)*$I48,0)</f>
        <v>0</v>
      </c>
      <c r="DL48" s="228">
        <f>IFERROR(VLOOKUP($D48,'Kalkulator mięs '!$C$5:$H$533,DL$4,0)*$I48,0)</f>
        <v>0</v>
      </c>
      <c r="DM48" s="228">
        <f>IFERROR(VLOOKUP($D48,'Kalkulator mięs '!$C$5:$H$533,DM$4,0)*$I48,0)</f>
        <v>0</v>
      </c>
      <c r="DN48" s="228">
        <f>IFERROR(VLOOKUP($D48,'Kalkulator mięs '!$C$5:$H$533,DN$4,0)*$J48,0)</f>
        <v>0</v>
      </c>
      <c r="DO48" s="228">
        <f>IFERROR(VLOOKUP($D48,'Kalkulator mięs '!$C$5:$H$533,DO$4,0)*$J48,0)</f>
        <v>0</v>
      </c>
      <c r="DP48" s="228">
        <f>IFERROR(VLOOKUP($D48,'Kalkulator mięs '!$C$5:$H$533,DP$4,0)*$J48,0)</f>
        <v>0</v>
      </c>
      <c r="DQ48" s="228">
        <f>IFERROR(VLOOKUP($D48,'Kalkulator mięs '!$C$5:$H$533,DQ$4,0)*$K48,0)</f>
        <v>0</v>
      </c>
      <c r="DR48" s="228">
        <f>IFERROR(VLOOKUP($D48,'Kalkulator mięs '!$C$5:$H$533,DR$4,0)*$K48,0)</f>
        <v>0</v>
      </c>
      <c r="DS48" s="228">
        <f>IFERROR(VLOOKUP($D48,'Kalkulator mięs '!$C$5:$H$533,DS$4,0)*$K48,0)</f>
        <v>0</v>
      </c>
      <c r="DT48" s="228">
        <f>IFERROR(VLOOKUP($D48,'Kalkulator mięs '!$C$5:$H$533,DT$4,0)*$L48,0)</f>
        <v>0</v>
      </c>
      <c r="DU48" s="228">
        <f>IFERROR(VLOOKUP($D48,'Kalkulator mięs '!$C$5:$H$533,DU$4,0)*$L48,0)</f>
        <v>0</v>
      </c>
      <c r="DV48" s="228">
        <f>IFERROR(VLOOKUP($D48,'Kalkulator mięs '!$C$5:$H$533,DV$4,0)*$L48,0)</f>
        <v>0</v>
      </c>
      <c r="DW48" s="228">
        <f>IFERROR(VLOOKUP($D48,'Kalkulator mięs '!$C$5:$H$533,DW$4,0)*$M48,0)</f>
        <v>0</v>
      </c>
      <c r="DX48" s="228">
        <f>IFERROR(VLOOKUP($D48,'Kalkulator mięs '!$C$5:$H$533,DX$4,0)*$M48,0)</f>
        <v>0</v>
      </c>
      <c r="DY48" s="228">
        <f>IFERROR(VLOOKUP($D48,'Kalkulator mięs '!$C$5:$H$533,DY$4,0)*$M48,0)</f>
        <v>0</v>
      </c>
      <c r="DZ48" s="228">
        <f>IFERROR(VLOOKUP($D48,'Kalkulator mięs '!$C$5:$H$533,DZ$4,0)*$N48,0)</f>
        <v>0</v>
      </c>
      <c r="EA48" s="228">
        <f>IFERROR(VLOOKUP($D48,'Kalkulator mięs '!$C$5:$H$533,EA$4,0)*$N48,0)</f>
        <v>0</v>
      </c>
      <c r="EB48" s="228">
        <f>IFERROR(VLOOKUP($D48,'Kalkulator mięs '!$C$5:$H$533,EB$4,0)*$N48,0)</f>
        <v>0</v>
      </c>
      <c r="EC48" s="228">
        <f>IFERROR(VLOOKUP($D48,'Kalkulator mięs '!$C$5:$H$533,EC$4,0)*$O48,0)</f>
        <v>0</v>
      </c>
      <c r="ED48" s="228">
        <f>IFERROR(VLOOKUP($D48,'Kalkulator mięs '!$C$5:$H$533,ED$4,0)*$O48,0)</f>
        <v>0</v>
      </c>
      <c r="EE48" s="228">
        <f>IFERROR(VLOOKUP($D48,'Kalkulator mięs '!$C$5:$H$533,EE$4,0)*$O48,0)</f>
        <v>0</v>
      </c>
      <c r="EF48" s="228">
        <f>IFERROR(VLOOKUP($D48,'Kalkulator mięs '!$C$5:$H$533,EF$4,0)*$P48,0)</f>
        <v>0</v>
      </c>
      <c r="EG48" s="228">
        <f>IFERROR(VLOOKUP($D48,'Kalkulator mięs '!$C$5:$H$533,EG$4,0)*$P48,0)</f>
        <v>0</v>
      </c>
      <c r="EH48" s="228">
        <f>IFERROR(VLOOKUP($D48,'Kalkulator mięs '!$C$5:$H$533,EH$4,0)*$P48,0)</f>
        <v>0</v>
      </c>
      <c r="EI48" s="228">
        <f>IFERROR(VLOOKUP($D48,'Kalkulator mięs '!$C$5:$H$533,EI$4,0)*$Q48,0)</f>
        <v>0</v>
      </c>
      <c r="EJ48" s="228">
        <f>IFERROR(VLOOKUP($D48,'Kalkulator mięs '!$C$5:$H$533,EJ$4,0)*$Q48,0)</f>
        <v>0</v>
      </c>
      <c r="EK48" s="228">
        <f>IFERROR(VLOOKUP($D48,'Kalkulator mięs '!$C$5:$H$533,EK$4,0)*$Q48,0)</f>
        <v>0</v>
      </c>
      <c r="EL48" s="228">
        <f>IFERROR(VLOOKUP($D48,'Kalkulator mięs '!$C$5:$H$533,EL$4,0)*$R48,0)</f>
        <v>0</v>
      </c>
      <c r="EM48" s="228">
        <f>IFERROR(VLOOKUP($D48,'Kalkulator mięs '!$C$5:$H$533,EM$4,0)*$R48,0)</f>
        <v>0</v>
      </c>
      <c r="EN48" s="228">
        <f>IFERROR(VLOOKUP($D48,'Kalkulator mięs '!$C$5:$H$533,EN$4,0)*$R48,0)</f>
        <v>0</v>
      </c>
      <c r="EO48" s="228">
        <f>IFERROR(VLOOKUP($D48,'Kalkulator mięs '!$C$5:$H$533,EO$4,0)*$S48,0)</f>
        <v>0</v>
      </c>
      <c r="EP48" s="228">
        <f>IFERROR(VLOOKUP($D48,'Kalkulator mięs '!$C$5:$H$533,EP$4,0)*$S48,0)</f>
        <v>0</v>
      </c>
      <c r="EQ48" s="228">
        <f>IFERROR(VLOOKUP($D48,'Kalkulator mięs '!$C$5:$H$533,EQ$4,0)*$S48,0)</f>
        <v>0</v>
      </c>
      <c r="ER48" s="228">
        <f>IFERROR(VLOOKUP($D48,'Kalkulator mięs '!$C$5:$H$533,ER$4,0)*$T48,0)</f>
        <v>0</v>
      </c>
      <c r="ES48" s="228">
        <f>IFERROR(VLOOKUP($D48,'Kalkulator mięs '!$C$5:$H$533,ES$4,0)*$T48,0)</f>
        <v>0</v>
      </c>
      <c r="ET48" s="228">
        <f>IFERROR(VLOOKUP($D48,'Kalkulator mięs '!$C$5:$H$533,ET$4,0)*$T48,0)</f>
        <v>0</v>
      </c>
      <c r="EU48" s="228">
        <f>IFERROR(VLOOKUP($D48,'Kalkulator mięs '!$C$5:$H$533,EU$4,0)*$U48,0)</f>
        <v>0</v>
      </c>
      <c r="EV48" s="228">
        <f>IFERROR(VLOOKUP($D48,'Kalkulator mięs '!$C$5:$H$533,EV$4,0)*$U48,0)</f>
        <v>0</v>
      </c>
      <c r="EW48" s="228">
        <f>IFERROR(VLOOKUP($D48,'Kalkulator mięs '!$C$5:$H$533,EW$4,0)*$U48,0)</f>
        <v>0</v>
      </c>
      <c r="EX48" s="228">
        <f>IFERROR(VLOOKUP($D48,'Kalkulator mięs '!$C$5:$H$533,EX$4,0)*$V48,0)</f>
        <v>0</v>
      </c>
      <c r="EY48" s="228">
        <f>IFERROR(VLOOKUP($D48,'Kalkulator mięs '!$C$5:$H$533,EY$4,0)*$V48,0)</f>
        <v>0</v>
      </c>
      <c r="EZ48" s="228">
        <f>IFERROR(VLOOKUP($D48,'Kalkulator mięs '!$C$5:$H$533,EZ$4,0)*$V48,0)</f>
        <v>0</v>
      </c>
      <c r="FA48" s="228">
        <f>IFERROR(VLOOKUP($D48,'Kalkulator mięs '!$C$5:$H$533,FA$4,0)*$W48,0)</f>
        <v>0</v>
      </c>
      <c r="FB48" s="228">
        <f>IFERROR(VLOOKUP($D48,'Kalkulator mięs '!$C$5:$H$533,FB$4,0)*$W48,0)</f>
        <v>0</v>
      </c>
      <c r="FC48" s="228">
        <f>IFERROR(VLOOKUP($D48,'Kalkulator mięs '!$C$5:$H$533,FC$4,0)*$W48,0)</f>
        <v>0</v>
      </c>
      <c r="FD48" s="228">
        <f>IFERROR(VLOOKUP($D48,'Kalkulator mięs '!$C$5:$H$533,FD$4,0)*$X48,0)</f>
        <v>0</v>
      </c>
      <c r="FE48" s="228">
        <f>IFERROR(VLOOKUP($D48,'Kalkulator mięs '!$C$5:$H$533,FE$4,0)*$X48,0)</f>
        <v>0</v>
      </c>
      <c r="FF48" s="228">
        <f>IFERROR(VLOOKUP($D48,'Kalkulator mięs '!$C$5:$H$533,FF$4,0)*$X48,0)</f>
        <v>0</v>
      </c>
      <c r="FG48" s="228">
        <f>IFERROR(VLOOKUP($D48,'Kalkulator mięs '!$C$5:$H$533,FG$4,0)*$Y48,0)</f>
        <v>0</v>
      </c>
      <c r="FH48" s="228">
        <f>IFERROR(VLOOKUP($D48,'Kalkulator mięs '!$C$5:$H$533,FH$4,0)*$Y48,0)</f>
        <v>0</v>
      </c>
      <c r="FI48" s="228">
        <f>IFERROR(VLOOKUP($D48,'Kalkulator mięs '!$C$5:$H$533,FI$4,0)*$Y48,0)</f>
        <v>0</v>
      </c>
      <c r="FJ48" s="228">
        <f>IFERROR(VLOOKUP($D48,'Kalkulator mięs '!$C$5:$H$533,FJ$4,0)*$Z48,0)</f>
        <v>0</v>
      </c>
      <c r="FK48" s="228">
        <f>IFERROR(VLOOKUP($D48,'Kalkulator mięs '!$C$5:$H$533,FK$4,0)*$Z48,0)</f>
        <v>0</v>
      </c>
      <c r="FL48" s="228">
        <f>IFERROR(VLOOKUP($D48,'Kalkulator mięs '!$C$5:$H$533,FL$4,0)*$Z48,0)</f>
        <v>0</v>
      </c>
      <c r="FM48" s="228">
        <f>IFERROR(VLOOKUP($D48,'Kalkulator mięs '!$C$5:$H$533,FM$4,0)*$AA48,0)</f>
        <v>0</v>
      </c>
      <c r="FN48" s="228">
        <f>IFERROR(VLOOKUP($D48,'Kalkulator mięs '!$C$5:$H$533,FN$4,0)*$AA48,0)</f>
        <v>0</v>
      </c>
      <c r="FO48" s="228">
        <f>IFERROR(VLOOKUP($D48,'Kalkulator mięs '!$C$5:$H$533,FO$4,0)*$AA48,0)</f>
        <v>0</v>
      </c>
      <c r="FP48" s="228">
        <f>IFERROR(VLOOKUP($D48,'Kalkulator mięs '!$C$5:$H$533,FP$4,0)*$AB48,0)</f>
        <v>0</v>
      </c>
      <c r="FQ48" s="228">
        <f>IFERROR(VLOOKUP($D48,'Kalkulator mięs '!$C$5:$H$533,FQ$4,0)*$AB48,0)</f>
        <v>0</v>
      </c>
      <c r="FR48" s="228">
        <f>IFERROR(VLOOKUP($D48,'Kalkulator mięs '!$C$5:$H$533,FR$4,0)*$AB48,0)</f>
        <v>0</v>
      </c>
      <c r="FS48" s="228">
        <f>IFERROR(VLOOKUP($D48,'Kalkulator mięs '!$C$5:$H$533,FS$4,0)*$AC48,0)</f>
        <v>0</v>
      </c>
      <c r="FT48" s="228">
        <f>IFERROR(VLOOKUP($D48,'Kalkulator mięs '!$C$5:$H$533,FT$4,0)*$AC48,0)</f>
        <v>0</v>
      </c>
      <c r="FU48" s="228">
        <f>IFERROR(VLOOKUP($D48,'Kalkulator mięs '!$C$5:$H$533,FU$4,0)*$AC48,0)</f>
        <v>0</v>
      </c>
      <c r="FV48" s="228">
        <f>IFERROR(VLOOKUP($D48,'Kalkulator mięs '!$C$5:$H$533,FV$4,0)*$AD48,0)</f>
        <v>0</v>
      </c>
      <c r="FW48" s="228">
        <f>IFERROR(VLOOKUP($D48,'Kalkulator mięs '!$C$5:$H$533,FW$4,0)*$AD48,0)</f>
        <v>0</v>
      </c>
      <c r="FX48" s="228">
        <f>IFERROR(VLOOKUP($D48,'Kalkulator mięs '!$C$5:$H$533,FX$4,0)*$AD48,0)</f>
        <v>0</v>
      </c>
      <c r="FY48" s="228">
        <f>IFERROR(VLOOKUP($D48,'Kalkulator mięs '!$C$5:$H$533,FY$4,0)*$AE48,0)</f>
        <v>0</v>
      </c>
      <c r="FZ48" s="228">
        <f>IFERROR(VLOOKUP($D48,'Kalkulator mięs '!$C$5:$H$533,FZ$4,0)*$AE48,0)</f>
        <v>0</v>
      </c>
      <c r="GA48" s="228">
        <f>IFERROR(VLOOKUP($D48,'Kalkulator mięs '!$C$5:$H$533,GA$4,0)*$AE48,0)</f>
        <v>0</v>
      </c>
      <c r="GB48" s="228">
        <f>IFERROR(VLOOKUP($D48,'Kalkulator mięs '!$C$5:$H$533,GB$4,0)*$AF48,0)</f>
        <v>0</v>
      </c>
      <c r="GC48" s="228">
        <f>IFERROR(VLOOKUP($D48,'Kalkulator mięs '!$C$5:$H$533,GC$4,0)*$AF48,0)</f>
        <v>0</v>
      </c>
      <c r="GD48" s="228">
        <f>IFERROR(VLOOKUP($D48,'Kalkulator mięs '!$C$5:$H$533,GD$4,0)*$AF48,0)</f>
        <v>0</v>
      </c>
      <c r="GE48" s="228">
        <f>IFERROR(VLOOKUP($D48,'Kalkulator mięs '!$C$5:$H$533,GE$4,0)*$AG48,0)</f>
        <v>0</v>
      </c>
      <c r="GF48" s="228">
        <f>IFERROR(VLOOKUP($D48,'Kalkulator mięs '!$C$5:$H$533,GF$4,0)*$AG48,0)</f>
        <v>0</v>
      </c>
      <c r="GG48" s="228">
        <f>IFERROR(VLOOKUP($D48,'Kalkulator mięs '!$C$5:$H$533,GG$4,0)*$AG48,0)</f>
        <v>0</v>
      </c>
      <c r="GH48" s="228">
        <f>IFERROR(VLOOKUP($D48,'Kalkulator mięs '!$C$5:$H$533,GH$4,0)*$AH48,0)</f>
        <v>0</v>
      </c>
      <c r="GI48" s="228">
        <f>IFERROR(VLOOKUP($D48,'Kalkulator mięs '!$C$5:$H$533,GI$4,0)*$AH48,0)</f>
        <v>0</v>
      </c>
      <c r="GJ48" s="228">
        <f>IFERROR(VLOOKUP($D48,'Kalkulator mięs '!$C$5:$H$533,GJ$4,0)*$AH48,0)</f>
        <v>0</v>
      </c>
      <c r="GK48" s="228">
        <f>IFERROR(VLOOKUP($D48,'Kalkulator mięs '!$C$5:$H$533,GK$4,0)*$AI48,0)</f>
        <v>0</v>
      </c>
      <c r="GL48" s="228">
        <f>IFERROR(VLOOKUP($D48,'Kalkulator mięs '!$C$5:$H$533,GL$4,0)*$AI48,0)</f>
        <v>0</v>
      </c>
      <c r="GM48" s="228">
        <f>IFERROR(VLOOKUP($D48,'Kalkulator mięs '!$C$5:$H$533,GM$4,0)*$AI48,0)</f>
        <v>0</v>
      </c>
      <c r="GN48" s="228">
        <f>IFERROR(VLOOKUP($D48,'Kalkulator mięs '!$C$5:$H$533,GN$4,0)*$AJ48,0)</f>
        <v>0</v>
      </c>
      <c r="GO48" s="228">
        <f>IFERROR(VLOOKUP($D48,'Kalkulator mięs '!$C$5:$H$533,GO$4,0)*$AJ48,0)</f>
        <v>0</v>
      </c>
      <c r="GP48" s="228">
        <f>IFERROR(VLOOKUP($D48,'Kalkulator mięs '!$C$5:$H$533,GP$4,0)*$AJ48,0)</f>
        <v>0</v>
      </c>
      <c r="GQ48" s="228">
        <f>IFERROR(VLOOKUP($D48,'Kalkulator mięs '!$C$5:$H$533,GQ$4,0)*$AK48,0)</f>
        <v>0</v>
      </c>
      <c r="GR48" s="228">
        <f>IFERROR(VLOOKUP($D48,'Kalkulator mięs '!$C$5:$H$533,GR$4,0)*$AK48,0)</f>
        <v>0</v>
      </c>
      <c r="GS48" s="228">
        <f>IFERROR(VLOOKUP($D48,'Kalkulator mięs '!$C$5:$H$533,GS$4,0)*$AK48,0)</f>
        <v>0</v>
      </c>
      <c r="GT48" s="228">
        <f>IFERROR(VLOOKUP($D48,'Kalkulator mięs '!$C$5:$H$533,GT$4,0)*$AL48,0)</f>
        <v>0</v>
      </c>
      <c r="GU48" s="228">
        <f>IFERROR(VLOOKUP($D48,'Kalkulator mięs '!$C$5:$H$533,GU$4,0)*$AL48,0)</f>
        <v>0</v>
      </c>
      <c r="GV48" s="228">
        <f>IFERROR(VLOOKUP($D48,'Kalkulator mięs '!$C$5:$H$533,GV$4,0)*$AL48,0)</f>
        <v>0</v>
      </c>
      <c r="GW48" s="228">
        <f>IFERROR(VLOOKUP($D48,'Kalkulator mięs '!$C$5:$H$533,GW$4,0)*$AM48,0)</f>
        <v>0</v>
      </c>
      <c r="GX48" s="228">
        <f>IFERROR(VLOOKUP($D48,'Kalkulator mięs '!$C$5:$H$533,GX$4,0)*$AM48,0)</f>
        <v>0</v>
      </c>
      <c r="GY48" s="228">
        <f>IFERROR(VLOOKUP($D48,'Kalkulator mięs '!$C$5:$H$533,GY$4,0)*$AM48,0)</f>
        <v>0</v>
      </c>
      <c r="GZ48" s="228">
        <f>IFERROR(VLOOKUP($D48,'Kalkulator mięs '!$C$5:$H$533,GZ$4,0)*$AN48,0)</f>
        <v>0</v>
      </c>
      <c r="HA48" s="228">
        <f>IFERROR(VLOOKUP($D48,'Kalkulator mięs '!$C$5:$H$533,HA$4,0)*$AN48,0)</f>
        <v>0</v>
      </c>
      <c r="HB48" s="228">
        <f>IFERROR(VLOOKUP($D48,'Kalkulator mięs '!$C$5:$H$533,HB$4,0)*$AN48,0)</f>
        <v>0</v>
      </c>
      <c r="HC48" s="228">
        <f>IFERROR(VLOOKUP($D48,'Kalkulator mięs '!$C$5:$H$533,HC$4,0)*$AO48,0)</f>
        <v>0</v>
      </c>
      <c r="HD48" s="228">
        <f>IFERROR(VLOOKUP($D48,'Kalkulator mięs '!$C$5:$H$533,HD$4,0)*$AO48,0)</f>
        <v>0</v>
      </c>
      <c r="HE48" s="228">
        <f>IFERROR(VLOOKUP($D48,'Kalkulator mięs '!$C$5:$H$533,HE$4,0)*$AO48,0)</f>
        <v>0</v>
      </c>
      <c r="HF48" s="228">
        <f>IFERROR(VLOOKUP($D48,'Kalkulator mięs '!$C$5:$H$533,HF$4,0)*$AP48,0)</f>
        <v>0</v>
      </c>
      <c r="HG48" s="228">
        <f>IFERROR(VLOOKUP($D48,'Kalkulator mięs '!$C$5:$H$533,HG$4,0)*$AP48,0)</f>
        <v>0</v>
      </c>
      <c r="HH48" s="228">
        <f>IFERROR(VLOOKUP($D48,'Kalkulator mięs '!$C$5:$H$533,HH$4,0)*$AP48,0)</f>
        <v>0</v>
      </c>
      <c r="HI48" s="228">
        <f>IFERROR(VLOOKUP($D48,'Kalkulator mięs '!$C$5:$H$533,HI$4,0)*$AQ48,0)</f>
        <v>0</v>
      </c>
      <c r="HJ48" s="228">
        <f>IFERROR(VLOOKUP($D48,'Kalkulator mięs '!$C$5:$H$533,HJ$4,0)*$AQ48,0)</f>
        <v>0</v>
      </c>
      <c r="HK48" s="228">
        <f>IFERROR(VLOOKUP($D48,'Kalkulator mięs '!$C$5:$H$533,HK$4,0)*$AQ48,0)</f>
        <v>0</v>
      </c>
      <c r="HL48" s="228">
        <f>IFERROR(VLOOKUP($D48,'Kalkulator mięs '!$C$5:$H$533,HL$4,0)*$AR48,0)</f>
        <v>0</v>
      </c>
      <c r="HM48" s="228">
        <f>IFERROR(VLOOKUP($D48,'Kalkulator mięs '!$C$5:$H$533,HM$4,0)*$AR48,0)</f>
        <v>0</v>
      </c>
      <c r="HN48" s="228">
        <f>IFERROR(VLOOKUP($D48,'Kalkulator mięs '!$C$5:$H$533,HN$4,0)*$AR48,0)</f>
        <v>0</v>
      </c>
      <c r="HO48" s="228">
        <f>IFERROR(VLOOKUP($D48,'Kalkulator mięs '!$C$5:$H$533,HO$4,0)*$AS48,0)</f>
        <v>0</v>
      </c>
      <c r="HP48" s="228">
        <f>IFERROR(VLOOKUP($D48,'Kalkulator mięs '!$C$5:$H$533,HP$4,0)*$AS48,0)</f>
        <v>0</v>
      </c>
      <c r="HQ48" s="228">
        <f>IFERROR(VLOOKUP($D48,'Kalkulator mięs '!$C$5:$H$533,HQ$4,0)*$AS48,0)</f>
        <v>0</v>
      </c>
      <c r="HR48" s="228">
        <f>IFERROR(VLOOKUP($D48,'Kalkulator mięs '!$C$5:$H$533,HR$4,0)*$AT48,0)</f>
        <v>0</v>
      </c>
      <c r="HS48" s="228">
        <f>IFERROR(VLOOKUP($D48,'Kalkulator mięs '!$C$5:$H$533,HS$4,0)*$AT48,0)</f>
        <v>0</v>
      </c>
      <c r="HT48" s="228">
        <f>IFERROR(VLOOKUP($D48,'Kalkulator mięs '!$C$5:$H$533,HT$4,0)*$AT48,0)</f>
        <v>0</v>
      </c>
      <c r="HU48" s="228">
        <f>IFERROR(VLOOKUP($D48,'Kalkulator mięs '!$C$5:$H$533,HU$4,0)*$AU48,0)</f>
        <v>0</v>
      </c>
      <c r="HV48" s="228">
        <f>IFERROR(VLOOKUP($D48,'Kalkulator mięs '!$C$5:$H$533,HV$4,0)*$AU48,0)</f>
        <v>0</v>
      </c>
      <c r="HW48" s="228">
        <f>IFERROR(VLOOKUP($D48,'Kalkulator mięs '!$C$5:$H$533,HW$4,0)*$AU48,0)</f>
        <v>0</v>
      </c>
      <c r="HX48" s="228">
        <f>IFERROR(VLOOKUP($D48,'Kalkulator mięs '!$C$5:$H$533,HX$4,0)*$AV48,0)</f>
        <v>0</v>
      </c>
      <c r="HY48" s="228">
        <f>IFERROR(VLOOKUP($D48,'Kalkulator mięs '!$C$5:$H$533,HY$4,0)*$AV48,0)</f>
        <v>0</v>
      </c>
      <c r="HZ48" s="228">
        <f>IFERROR(VLOOKUP($D48,'Kalkulator mięs '!$C$5:$H$533,HZ$4,0)*$AV48,0)</f>
        <v>0</v>
      </c>
      <c r="IA48">
        <f>IFERROR(VLOOKUP($D48,'Kalkulator mięs '!$C$5:$H$533,IA$4,0)*$AW48,0)</f>
        <v>0</v>
      </c>
      <c r="IB48">
        <f>IFERROR(VLOOKUP($D48,'Kalkulator mięs '!$C$5:$H$533,IB$4,0)*$AW48,0)</f>
        <v>0</v>
      </c>
      <c r="IC48">
        <f>IFERROR(VLOOKUP($D48,'Kalkulator mięs '!$C$5:$H$533,IC$4,0)*$AW48,0)</f>
        <v>0</v>
      </c>
      <c r="ID48">
        <f>IFERROR(VLOOKUP($D48,'Kalkulator mięs '!$C$5:$H$533,ID$4,0)*$AX48,0)</f>
        <v>0</v>
      </c>
      <c r="IE48">
        <f>IFERROR(VLOOKUP($D48,'Kalkulator mięs '!$C$5:$H$533,IE$4,0)*$AX48,0)</f>
        <v>0</v>
      </c>
      <c r="IF48">
        <f>IFERROR(VLOOKUP($D48,'Kalkulator mięs '!$C$5:$H$533,IF$4,0)*$AX48,0)</f>
        <v>0</v>
      </c>
      <c r="IG48">
        <f>IFERROR(VLOOKUP($D48,'Kalkulator mięs '!$C$5:$H$533,IG$4,0)*$AY48,0)</f>
        <v>0</v>
      </c>
      <c r="IH48">
        <f>IFERROR(VLOOKUP($D48,'Kalkulator mięs '!$C$5:$H$533,IH$4,0)*$AY48,0)</f>
        <v>0</v>
      </c>
      <c r="II48">
        <f>IFERROR(VLOOKUP($D48,'Kalkulator mięs '!$C$5:$H$533,II$4,0)*$AY48,0)</f>
        <v>0</v>
      </c>
      <c r="IJ48">
        <f>IFERROR(VLOOKUP($D48,'Kalkulator mięs '!$C$5:$H$533,IJ$4,0)*$AZ48,0)</f>
        <v>0</v>
      </c>
      <c r="IK48">
        <f>IFERROR(VLOOKUP($D48,'Kalkulator mięs '!$C$5:$H$533,IK$4,0)*$AZ48,0)</f>
        <v>0</v>
      </c>
      <c r="IL48">
        <f>IFERROR(VLOOKUP($D48,'Kalkulator mięs '!$C$5:$H$533,IL$4,0)*$AZ48,0)</f>
        <v>0</v>
      </c>
      <c r="IM48">
        <f>IFERROR(VLOOKUP($D48,'Kalkulator mięs '!$C$5:$H$533,IM$4,0)*$BA48,0)</f>
        <v>0</v>
      </c>
      <c r="IN48">
        <f>IFERROR(VLOOKUP($D48,'Kalkulator mięs '!$C$5:$H$533,IN$4,0)*$BA48,0)</f>
        <v>0</v>
      </c>
      <c r="IO48">
        <f>IFERROR(VLOOKUP($D48,'Kalkulator mięs '!$C$5:$H$533,IO$4,0)*$BA48,0)</f>
        <v>0</v>
      </c>
    </row>
    <row r="49" spans="1:249" ht="15.75">
      <c r="B49" t="str">
        <f>VLOOKUP(D49,Receptury_z!$A:$B,2,0)</f>
        <v>ON</v>
      </c>
      <c r="C49" s="16">
        <v>5676</v>
      </c>
      <c r="D49" s="19">
        <v>6453</v>
      </c>
      <c r="E49" s="20" t="s">
        <v>56</v>
      </c>
      <c r="F49" s="14">
        <f>IF($B49="OFF",BE49,VLOOKUP($D49,Receptury_z!$D:$AI,F$4,0))</f>
        <v>0</v>
      </c>
      <c r="G49" s="14">
        <f>IF($B49="OFF",BF49,VLOOKUP($D49,Receptury_z!$D:$AI,G$4,0))</f>
        <v>0</v>
      </c>
      <c r="H49" s="14">
        <f>IF($B49="OFF",BG49,VLOOKUP($D49,Receptury_z!$D:$AI,H$4,0))</f>
        <v>0</v>
      </c>
      <c r="I49" s="14">
        <f>IF($B49="OFF",BH49,VLOOKUP($D49,Receptury_z!$D:$AI,I$4,0))</f>
        <v>0</v>
      </c>
      <c r="J49" s="14">
        <f>IF($B49="OFF",BI49,VLOOKUP($D49,Receptury_z!$D:$AI,J$4,0))</f>
        <v>0</v>
      </c>
      <c r="K49" s="14">
        <f>IF($B49="OFF",BJ49,VLOOKUP($D49,Receptury_z!$D:$AI,K$4,0))</f>
        <v>0</v>
      </c>
      <c r="L49" s="14">
        <f>IF($B49="OFF",BK49,VLOOKUP($D49,Receptury_z!$D:$AI,L$4,0))</f>
        <v>0</v>
      </c>
      <c r="M49" s="14">
        <f>IF($B49="OFF",BL49,VLOOKUP($D49,Receptury_z!$D:$AI,M$4,0))</f>
        <v>0</v>
      </c>
      <c r="N49" s="14">
        <f>IF($B49="OFF",BM49,VLOOKUP($D49,Receptury_z!$D:$AI,N$4,0))</f>
        <v>0</v>
      </c>
      <c r="O49" s="14">
        <f>IF($B49="OFF",BN49,VLOOKUP($D49,Receptury_z!$D:$AI,O$4,0))</f>
        <v>0</v>
      </c>
      <c r="P49" s="14">
        <f>IF($B49="OFF",BO49,VLOOKUP($D49,Receptury_z!$D:$AI,P$4,0))</f>
        <v>0</v>
      </c>
      <c r="Q49" s="14">
        <f>IF($B49="OFF",BP49,VLOOKUP($D49,Receptury_z!$D:$AI,Q$4,0))</f>
        <v>0</v>
      </c>
      <c r="R49" s="14">
        <f>IF($B49="OFF",BQ49,VLOOKUP($D49,Receptury_z!$D:$AI,R$4,0))</f>
        <v>0</v>
      </c>
      <c r="S49" s="14">
        <f>IF($B49="OFF",BR49,VLOOKUP($D49,Receptury_z!$D:$AI,S$4,0))</f>
        <v>0</v>
      </c>
      <c r="T49" s="14">
        <f>IF($B49="OFF",BS49,VLOOKUP($D49,Receptury_z!$D:$AI,T$4,0))</f>
        <v>302.2</v>
      </c>
      <c r="U49" s="14">
        <f>IF($B49="OFF",BT49,VLOOKUP($D49,Receptury_z!$D:$AI,U$4,0))</f>
        <v>511.4</v>
      </c>
      <c r="V49" s="14">
        <f>IF($B49="OFF",BU49,VLOOKUP($D49,Receptury_z!$D:$AI,V$4,0))</f>
        <v>0</v>
      </c>
      <c r="W49" s="14">
        <f>IF($B49="OFF",BV49,VLOOKUP($D49,Receptury_z!$D:$AI,W$4,0))</f>
        <v>0</v>
      </c>
      <c r="X49" s="14">
        <f>IF($B49="OFF",BW49,VLOOKUP($D49,Receptury_z!$D:$AI,X$4,0))</f>
        <v>0</v>
      </c>
      <c r="Y49" s="14">
        <f>IF($B49="OFF",BX49,VLOOKUP($D49,Receptury_z!$D:$AI,Y$4,0))</f>
        <v>0</v>
      </c>
      <c r="Z49" s="14">
        <f>IF($B49="OFF",BY49,VLOOKUP($D49,Receptury_z!$D:$AI,Z$4,0))</f>
        <v>0</v>
      </c>
      <c r="AA49" s="14">
        <f>IF($B49="OFF",BZ49,VLOOKUP($D49,Receptury_z!$D:$AI,AA$4,0))</f>
        <v>0</v>
      </c>
      <c r="AB49" s="14">
        <f>IF($B49="OFF",CA49,VLOOKUP($D49,Receptury_z!$D:$AI,AB$4,0))</f>
        <v>0</v>
      </c>
      <c r="AC49" s="14">
        <f>IF($B49="OFF",CB49,VLOOKUP($D49,Receptury_z!$D:$AI,AC$4,0))</f>
        <v>0</v>
      </c>
      <c r="AD49" s="14">
        <f>IF($B49="OFF",CC49,VLOOKUP($D49,Receptury_z!$D:$AI,AD$4,0))</f>
        <v>0</v>
      </c>
      <c r="AE49" s="14">
        <f>IF($B49="OFF",CD49,VLOOKUP($D49,Receptury_z!$D:$AI,AE$4,0))</f>
        <v>0</v>
      </c>
      <c r="AF49" s="14">
        <f>IF($B49="OFF",CE49,VLOOKUP($D49,Receptury_z!$D:$AI,AF$4,0))</f>
        <v>0</v>
      </c>
      <c r="AG49" s="14">
        <f>IF($B49="OFF",CF49,VLOOKUP($D49,Receptury_z!$D:$AI,AG$4,0))</f>
        <v>0</v>
      </c>
      <c r="AH49" s="14">
        <f>IF($B49="OFF",CG49,VLOOKUP($D49,Receptury_z!$D:$AI,AH$4,0))</f>
        <v>0</v>
      </c>
      <c r="AI49" s="14">
        <f>IF($B49="OFF",CH49,VLOOKUP($D49,Receptury_z!$D:$AI,AI$4,0))</f>
        <v>0</v>
      </c>
      <c r="AJ49" s="14">
        <f>IF($B49="OFF",CI49,VLOOKUP($D49,Receptury_z!$D:$AS,AJ$4,0))</f>
        <v>116.2</v>
      </c>
      <c r="AK49" s="14">
        <f>IF($B49="OFF",CJ49,VLOOKUP($D49,Receptury_z!$D:$AS,AK$4,0))</f>
        <v>0</v>
      </c>
      <c r="AL49" s="14">
        <f>IF($B49="OFF",CK49,VLOOKUP($D49,Receptury_z!$D:$AS,AL$4,0))</f>
        <v>0</v>
      </c>
      <c r="AM49" s="14">
        <f>IF($B49="OFF",CL49,VLOOKUP($D49,Receptury_z!$D:$AS,AM$4,0))</f>
        <v>0</v>
      </c>
      <c r="AN49" s="14">
        <f>IF($B49="OFF",CM49,VLOOKUP($D49,Receptury_z!$D:$AS,AN$4,0))</f>
        <v>0</v>
      </c>
      <c r="AO49" s="14">
        <f>IF($B49="OFF",CN49,VLOOKUP($D49,Receptury_z!$D:$AS,AO$4,0))</f>
        <v>0</v>
      </c>
      <c r="AP49" s="14">
        <f>IF($B49="OFF",CO49,VLOOKUP($D49,Receptury_z!$D:$AS,AP$4,0))</f>
        <v>0</v>
      </c>
      <c r="AQ49" s="14">
        <f>IF($B49="OFF",CP49,VLOOKUP($D49,Receptury_z!$D:$AS,AQ$4,0))</f>
        <v>0</v>
      </c>
      <c r="AR49" s="14">
        <f>IF($B49="OFF",CQ49,VLOOKUP($D49,Receptury_z!$D:$AS,AR$4,0))</f>
        <v>0</v>
      </c>
      <c r="AS49" s="14">
        <f>IF($B49="OFF",CR49,VLOOKUP($D49,Receptury_z!$D:$AS,AS$4,0))</f>
        <v>0</v>
      </c>
      <c r="AT49" s="14">
        <f>IF($B49="OFF",CS49,VLOOKUP($D49,Receptury_z!$D:$AV,AT$4,0))</f>
        <v>0</v>
      </c>
      <c r="AU49" s="14">
        <f>IF($B49="OFF",CT49,VLOOKUP($D49,Receptury_z!$D:$AV,AU$4,0))</f>
        <v>0</v>
      </c>
      <c r="AV49" s="14">
        <f>IF($B49="OFF",CU49,VLOOKUP($D49,Receptury_z!$D:$AV,AV$4,0))</f>
        <v>0</v>
      </c>
      <c r="AW49" s="14">
        <f>IF($B49="OFF",CV49,VLOOKUP($D49,Receptury_z!$D:$BA,AW$4,0))</f>
        <v>0</v>
      </c>
      <c r="AX49" s="14">
        <f>IF($B49="OFF",CW49,VLOOKUP($D49,Receptury_z!$D:$BA,AX$4,0))</f>
        <v>0</v>
      </c>
      <c r="AY49" s="14">
        <f>IF($B49="OFF",CX49,VLOOKUP($D49,Receptury_z!$D:$BA,AY$4,0))</f>
        <v>0</v>
      </c>
      <c r="AZ49" s="14">
        <f>IF($B49="OFF",DA49,VLOOKUP($D49,Receptury_z!$D:$BA,AZ$4,0))</f>
        <v>0</v>
      </c>
      <c r="BA49" s="14">
        <f>IF($B49="OFF",DB49,VLOOKUP($D49,Receptury_z!$D:$BA,BA$4,0))</f>
        <v>0</v>
      </c>
      <c r="BC49" s="19">
        <v>6453</v>
      </c>
      <c r="BD49" s="20" t="s">
        <v>56</v>
      </c>
      <c r="BE49" s="239">
        <v>0</v>
      </c>
      <c r="BF49" s="239">
        <v>0</v>
      </c>
      <c r="BG49" s="239">
        <v>0</v>
      </c>
      <c r="BH49" s="239">
        <v>0</v>
      </c>
      <c r="BI49" s="239">
        <v>0</v>
      </c>
      <c r="BJ49" s="239">
        <v>0</v>
      </c>
      <c r="BK49" s="239">
        <v>0</v>
      </c>
      <c r="BL49" s="239">
        <v>0</v>
      </c>
      <c r="BM49" s="239">
        <v>0</v>
      </c>
      <c r="BN49" s="239">
        <v>0</v>
      </c>
      <c r="BO49" s="239">
        <v>0</v>
      </c>
      <c r="BP49" s="239">
        <v>0</v>
      </c>
      <c r="BQ49" s="239">
        <v>0</v>
      </c>
      <c r="BR49" s="239">
        <v>0</v>
      </c>
      <c r="BS49" s="239">
        <v>302.2</v>
      </c>
      <c r="BT49" s="239">
        <v>511.4</v>
      </c>
      <c r="BU49" s="239">
        <v>0</v>
      </c>
      <c r="BV49" s="239">
        <v>0</v>
      </c>
      <c r="BW49" s="239">
        <v>0</v>
      </c>
      <c r="BX49" s="239">
        <v>0</v>
      </c>
      <c r="BY49" s="239">
        <v>0</v>
      </c>
      <c r="BZ49" s="239">
        <v>0</v>
      </c>
      <c r="CA49" s="239">
        <v>0</v>
      </c>
      <c r="CB49" s="239">
        <v>0</v>
      </c>
      <c r="CC49" s="239">
        <v>0</v>
      </c>
      <c r="CD49" s="239">
        <v>0</v>
      </c>
      <c r="CE49" s="239">
        <v>0</v>
      </c>
      <c r="CF49" s="239">
        <v>0</v>
      </c>
      <c r="CG49" s="239">
        <v>0</v>
      </c>
      <c r="CH49" s="239">
        <v>0</v>
      </c>
      <c r="CI49" s="239">
        <v>116.2</v>
      </c>
      <c r="CJ49" s="239">
        <v>0</v>
      </c>
      <c r="CK49" s="239">
        <v>0</v>
      </c>
      <c r="CL49" s="239">
        <v>0</v>
      </c>
      <c r="CM49" s="80"/>
      <c r="CN49" s="80"/>
      <c r="CO49" s="80"/>
      <c r="CP49" s="80"/>
      <c r="CQ49" s="80"/>
      <c r="CR49" s="80"/>
      <c r="CS49" s="80"/>
      <c r="CT49" s="80"/>
      <c r="CU49" s="80"/>
      <c r="CV49" s="80"/>
      <c r="CW49" s="80"/>
      <c r="CX49" s="80"/>
      <c r="CY49" s="80"/>
      <c r="CZ49" s="80"/>
      <c r="DB49">
        <f>IFERROR(VLOOKUP($D49,'Kalkulator mięs '!$C$5:$H$533,DB$4,0)*F49,0)</f>
        <v>0</v>
      </c>
      <c r="DC49">
        <f>IFERROR(VLOOKUP($D49,'Kalkulator mięs '!$C$5:$H$533,DC$4,0)*F49,0)</f>
        <v>0</v>
      </c>
      <c r="DD49">
        <f>IFERROR(VLOOKUP($D49,'Kalkulator mięs '!$C$5:$H$533,DD$4,0)*F49,0)</f>
        <v>0</v>
      </c>
      <c r="DE49">
        <f>IFERROR(VLOOKUP($D49,'Kalkulator mięs '!$C$5:$H$533,DE$4,0)*$G49,0)</f>
        <v>0</v>
      </c>
      <c r="DF49">
        <f>IFERROR(VLOOKUP($D49,'Kalkulator mięs '!$C$5:$H$533,DF$4,0)*$G49,0)</f>
        <v>0</v>
      </c>
      <c r="DG49">
        <f>IFERROR(VLOOKUP($D49,'Kalkulator mięs '!$C$5:$H$533,DG$4,0)*$G49,0)</f>
        <v>0</v>
      </c>
      <c r="DH49">
        <f>IFERROR(VLOOKUP($D49,'Kalkulator mięs '!$C$5:$H$533,DH$4,0)*$H49,0)</f>
        <v>0</v>
      </c>
      <c r="DI49">
        <f>IFERROR(VLOOKUP($D49,'Kalkulator mięs '!$C$5:$H$533,DI$4,0)*$H49,0)</f>
        <v>0</v>
      </c>
      <c r="DJ49">
        <f>IFERROR(VLOOKUP($D49,'Kalkulator mięs '!$C$5:$H$533,DJ$4,0)*$H49,0)</f>
        <v>0</v>
      </c>
      <c r="DK49">
        <f>IFERROR(VLOOKUP($D49,'Kalkulator mięs '!$C$5:$H$533,DK$4,0)*$I49,0)</f>
        <v>0</v>
      </c>
      <c r="DL49">
        <f>IFERROR(VLOOKUP($D49,'Kalkulator mięs '!$C$5:$H$533,DL$4,0)*$I49,0)</f>
        <v>0</v>
      </c>
      <c r="DM49">
        <f>IFERROR(VLOOKUP($D49,'Kalkulator mięs '!$C$5:$H$533,DM$4,0)*$I49,0)</f>
        <v>0</v>
      </c>
      <c r="DN49">
        <f>IFERROR(VLOOKUP($D49,'Kalkulator mięs '!$C$5:$H$533,DN$4,0)*$J49,0)</f>
        <v>0</v>
      </c>
      <c r="DO49">
        <f>IFERROR(VLOOKUP($D49,'Kalkulator mięs '!$C$5:$H$533,DO$4,0)*$J49,0)</f>
        <v>0</v>
      </c>
      <c r="DP49">
        <f>IFERROR(VLOOKUP($D49,'Kalkulator mięs '!$C$5:$H$533,DP$4,0)*$J49,0)</f>
        <v>0</v>
      </c>
      <c r="DQ49">
        <f>IFERROR(VLOOKUP($D49,'Kalkulator mięs '!$C$5:$H$533,DQ$4,0)*$K49,0)</f>
        <v>0</v>
      </c>
      <c r="DR49">
        <f>IFERROR(VLOOKUP($D49,'Kalkulator mięs '!$C$5:$H$533,DR$4,0)*$K49,0)</f>
        <v>0</v>
      </c>
      <c r="DS49">
        <f>IFERROR(VLOOKUP($D49,'Kalkulator mięs '!$C$5:$H$533,DS$4,0)*$K49,0)</f>
        <v>0</v>
      </c>
      <c r="DT49">
        <f>IFERROR(VLOOKUP($D49,'Kalkulator mięs '!$C$5:$H$533,DT$4,0)*$L49,0)</f>
        <v>0</v>
      </c>
      <c r="DU49">
        <f>IFERROR(VLOOKUP($D49,'Kalkulator mięs '!$C$5:$H$533,DU$4,0)*$L49,0)</f>
        <v>0</v>
      </c>
      <c r="DV49">
        <f>IFERROR(VLOOKUP($D49,'Kalkulator mięs '!$C$5:$H$533,DV$4,0)*$L49,0)</f>
        <v>0</v>
      </c>
      <c r="DW49">
        <f>IFERROR(VLOOKUP($D49,'Kalkulator mięs '!$C$5:$H$533,DW$4,0)*$M49,0)</f>
        <v>0</v>
      </c>
      <c r="DX49">
        <f>IFERROR(VLOOKUP($D49,'Kalkulator mięs '!$C$5:$H$533,DX$4,0)*$M49,0)</f>
        <v>0</v>
      </c>
      <c r="DY49">
        <f>IFERROR(VLOOKUP($D49,'Kalkulator mięs '!$C$5:$H$533,DY$4,0)*$M49,0)</f>
        <v>0</v>
      </c>
      <c r="DZ49">
        <f>IFERROR(VLOOKUP($D49,'Kalkulator mięs '!$C$5:$H$533,DZ$4,0)*$N49,0)</f>
        <v>0</v>
      </c>
      <c r="EA49">
        <f>IFERROR(VLOOKUP($D49,'Kalkulator mięs '!$C$5:$H$533,EA$4,0)*$N49,0)</f>
        <v>0</v>
      </c>
      <c r="EB49">
        <f>IFERROR(VLOOKUP($D49,'Kalkulator mięs '!$C$5:$H$533,EB$4,0)*$N49,0)</f>
        <v>0</v>
      </c>
      <c r="EC49">
        <f>IFERROR(VLOOKUP($D49,'Kalkulator mięs '!$C$5:$H$533,EC$4,0)*$O49,0)</f>
        <v>0</v>
      </c>
      <c r="ED49">
        <f>IFERROR(VLOOKUP($D49,'Kalkulator mięs '!$C$5:$H$533,ED$4,0)*$O49,0)</f>
        <v>0</v>
      </c>
      <c r="EE49">
        <f>IFERROR(VLOOKUP($D49,'Kalkulator mięs '!$C$5:$H$533,EE$4,0)*$O49,0)</f>
        <v>0</v>
      </c>
      <c r="EF49">
        <f>IFERROR(VLOOKUP($D49,'Kalkulator mięs '!$C$5:$H$533,EF$4,0)*$P49,0)</f>
        <v>0</v>
      </c>
      <c r="EG49">
        <f>IFERROR(VLOOKUP($D49,'Kalkulator mięs '!$C$5:$H$533,EG$4,0)*$P49,0)</f>
        <v>0</v>
      </c>
      <c r="EH49">
        <f>IFERROR(VLOOKUP($D49,'Kalkulator mięs '!$C$5:$H$533,EH$4,0)*$P49,0)</f>
        <v>0</v>
      </c>
      <c r="EI49">
        <f>IFERROR(VLOOKUP($D49,'Kalkulator mięs '!$C$5:$H$533,EI$4,0)*$Q49,0)</f>
        <v>0</v>
      </c>
      <c r="EJ49">
        <f>IFERROR(VLOOKUP($D49,'Kalkulator mięs '!$C$5:$H$533,EJ$4,0)*$Q49,0)</f>
        <v>0</v>
      </c>
      <c r="EK49">
        <f>IFERROR(VLOOKUP($D49,'Kalkulator mięs '!$C$5:$H$533,EK$4,0)*$Q49,0)</f>
        <v>0</v>
      </c>
      <c r="EL49">
        <f>IFERROR(VLOOKUP($D49,'Kalkulator mięs '!$C$5:$H$533,EL$4,0)*$R49,0)</f>
        <v>0</v>
      </c>
      <c r="EM49">
        <f>IFERROR(VLOOKUP($D49,'Kalkulator mięs '!$C$5:$H$533,EM$4,0)*$R49,0)</f>
        <v>0</v>
      </c>
      <c r="EN49">
        <f>IFERROR(VLOOKUP($D49,'Kalkulator mięs '!$C$5:$H$533,EN$4,0)*$R49,0)</f>
        <v>0</v>
      </c>
      <c r="EO49">
        <f>IFERROR(VLOOKUP($D49,'Kalkulator mięs '!$C$5:$H$533,EO$4,0)*$S49,0)</f>
        <v>0</v>
      </c>
      <c r="EP49">
        <f>IFERROR(VLOOKUP($D49,'Kalkulator mięs '!$C$5:$H$533,EP$4,0)*$S49,0)</f>
        <v>0</v>
      </c>
      <c r="EQ49">
        <f>IFERROR(VLOOKUP($D49,'Kalkulator mięs '!$C$5:$H$533,EQ$4,0)*$S49,0)</f>
        <v>0</v>
      </c>
      <c r="ER49">
        <f>IFERROR(VLOOKUP($D49,'Kalkulator mięs '!$C$5:$H$533,ER$4,0)*$T49,0)</f>
        <v>0</v>
      </c>
      <c r="ES49">
        <f>IFERROR(VLOOKUP($D49,'Kalkulator mięs '!$C$5:$H$533,ES$4,0)*$T49,0)</f>
        <v>0</v>
      </c>
      <c r="ET49">
        <f>IFERROR(VLOOKUP($D49,'Kalkulator mięs '!$C$5:$H$533,ET$4,0)*$T49,0)</f>
        <v>0</v>
      </c>
      <c r="EU49">
        <f>IFERROR(VLOOKUP($D49,'Kalkulator mięs '!$C$5:$H$533,EU$4,0)*$U49,0)</f>
        <v>0</v>
      </c>
      <c r="EV49">
        <f>IFERROR(VLOOKUP($D49,'Kalkulator mięs '!$C$5:$H$533,EV$4,0)*$U49,0)</f>
        <v>0</v>
      </c>
      <c r="EW49">
        <f>IFERROR(VLOOKUP($D49,'Kalkulator mięs '!$C$5:$H$533,EW$4,0)*$U49,0)</f>
        <v>0</v>
      </c>
      <c r="EX49">
        <f>IFERROR(VLOOKUP($D49,'Kalkulator mięs '!$C$5:$H$533,EX$4,0)*$V49,0)</f>
        <v>0</v>
      </c>
      <c r="EY49">
        <f>IFERROR(VLOOKUP($D49,'Kalkulator mięs '!$C$5:$H$533,EY$4,0)*$V49,0)</f>
        <v>0</v>
      </c>
      <c r="EZ49">
        <f>IFERROR(VLOOKUP($D49,'Kalkulator mięs '!$C$5:$H$533,EZ$4,0)*$V49,0)</f>
        <v>0</v>
      </c>
      <c r="FA49">
        <f>IFERROR(VLOOKUP($D49,'Kalkulator mięs '!$C$5:$H$533,FA$4,0)*$W49,0)</f>
        <v>0</v>
      </c>
      <c r="FB49">
        <f>IFERROR(VLOOKUP($D49,'Kalkulator mięs '!$C$5:$H$533,FB$4,0)*$W49,0)</f>
        <v>0</v>
      </c>
      <c r="FC49">
        <f>IFERROR(VLOOKUP($D49,'Kalkulator mięs '!$C$5:$H$533,FC$4,0)*$W49,0)</f>
        <v>0</v>
      </c>
      <c r="FD49">
        <f>IFERROR(VLOOKUP($D49,'Kalkulator mięs '!$C$5:$H$533,FD$4,0)*$X49,0)</f>
        <v>0</v>
      </c>
      <c r="FE49">
        <f>IFERROR(VLOOKUP($D49,'Kalkulator mięs '!$C$5:$H$533,FE$4,0)*$X49,0)</f>
        <v>0</v>
      </c>
      <c r="FF49">
        <f>IFERROR(VLOOKUP($D49,'Kalkulator mięs '!$C$5:$H$533,FF$4,0)*$X49,0)</f>
        <v>0</v>
      </c>
      <c r="FG49">
        <f>IFERROR(VLOOKUP($D49,'Kalkulator mięs '!$C$5:$H$533,FG$4,0)*$Y49,0)</f>
        <v>0</v>
      </c>
      <c r="FH49">
        <f>IFERROR(VLOOKUP($D49,'Kalkulator mięs '!$C$5:$H$533,FH$4,0)*$Y49,0)</f>
        <v>0</v>
      </c>
      <c r="FI49">
        <f>IFERROR(VLOOKUP($D49,'Kalkulator mięs '!$C$5:$H$533,FI$4,0)*$Y49,0)</f>
        <v>0</v>
      </c>
      <c r="FJ49">
        <f>IFERROR(VLOOKUP($D49,'Kalkulator mięs '!$C$5:$H$533,FJ$4,0)*$Z49,0)</f>
        <v>0</v>
      </c>
      <c r="FK49">
        <f>IFERROR(VLOOKUP($D49,'Kalkulator mięs '!$C$5:$H$533,FK$4,0)*$Z49,0)</f>
        <v>0</v>
      </c>
      <c r="FL49">
        <f>IFERROR(VLOOKUP($D49,'Kalkulator mięs '!$C$5:$H$533,FL$4,0)*$Z49,0)</f>
        <v>0</v>
      </c>
      <c r="FM49">
        <f>IFERROR(VLOOKUP($D49,'Kalkulator mięs '!$C$5:$H$533,FM$4,0)*$AA49,0)</f>
        <v>0</v>
      </c>
      <c r="FN49">
        <f>IFERROR(VLOOKUP($D49,'Kalkulator mięs '!$C$5:$H$533,FN$4,0)*$AA49,0)</f>
        <v>0</v>
      </c>
      <c r="FO49">
        <f>IFERROR(VLOOKUP($D49,'Kalkulator mięs '!$C$5:$H$533,FO$4,0)*$AA49,0)</f>
        <v>0</v>
      </c>
      <c r="FP49">
        <f>IFERROR(VLOOKUP($D49,'Kalkulator mięs '!$C$5:$H$533,FP$4,0)*$AB49,0)</f>
        <v>0</v>
      </c>
      <c r="FQ49">
        <f>IFERROR(VLOOKUP($D49,'Kalkulator mięs '!$C$5:$H$533,FQ$4,0)*$AB49,0)</f>
        <v>0</v>
      </c>
      <c r="FR49">
        <f>IFERROR(VLOOKUP($D49,'Kalkulator mięs '!$C$5:$H$533,FR$4,0)*$AB49,0)</f>
        <v>0</v>
      </c>
      <c r="FS49">
        <f>IFERROR(VLOOKUP($D49,'Kalkulator mięs '!$C$5:$H$533,FS$4,0)*$AC49,0)</f>
        <v>0</v>
      </c>
      <c r="FT49">
        <f>IFERROR(VLOOKUP($D49,'Kalkulator mięs '!$C$5:$H$533,FT$4,0)*$AC49,0)</f>
        <v>0</v>
      </c>
      <c r="FU49">
        <f>IFERROR(VLOOKUP($D49,'Kalkulator mięs '!$C$5:$H$533,FU$4,0)*$AC49,0)</f>
        <v>0</v>
      </c>
      <c r="FV49">
        <f>IFERROR(VLOOKUP($D49,'Kalkulator mięs '!$C$5:$H$533,FV$4,0)*$AD49,0)</f>
        <v>0</v>
      </c>
      <c r="FW49">
        <f>IFERROR(VLOOKUP($D49,'Kalkulator mięs '!$C$5:$H$533,FW$4,0)*$AD49,0)</f>
        <v>0</v>
      </c>
      <c r="FX49">
        <f>IFERROR(VLOOKUP($D49,'Kalkulator mięs '!$C$5:$H$533,FX$4,0)*$AD49,0)</f>
        <v>0</v>
      </c>
      <c r="FY49">
        <f>IFERROR(VLOOKUP($D49,'Kalkulator mięs '!$C$5:$H$533,FY$4,0)*$AE49,0)</f>
        <v>0</v>
      </c>
      <c r="FZ49">
        <f>IFERROR(VLOOKUP($D49,'Kalkulator mięs '!$C$5:$H$533,FZ$4,0)*$AE49,0)</f>
        <v>0</v>
      </c>
      <c r="GA49">
        <f>IFERROR(VLOOKUP($D49,'Kalkulator mięs '!$C$5:$H$533,GA$4,0)*$AE49,0)</f>
        <v>0</v>
      </c>
      <c r="GB49">
        <f>IFERROR(VLOOKUP($D49,'Kalkulator mięs '!$C$5:$H$533,GB$4,0)*$AF49,0)</f>
        <v>0</v>
      </c>
      <c r="GC49">
        <f>IFERROR(VLOOKUP($D49,'Kalkulator mięs '!$C$5:$H$533,GC$4,0)*$AF49,0)</f>
        <v>0</v>
      </c>
      <c r="GD49">
        <f>IFERROR(VLOOKUP($D49,'Kalkulator mięs '!$C$5:$H$533,GD$4,0)*$AF49,0)</f>
        <v>0</v>
      </c>
      <c r="GE49">
        <f>IFERROR(VLOOKUP($D49,'Kalkulator mięs '!$C$5:$H$533,GE$4,0)*$AG49,0)</f>
        <v>0</v>
      </c>
      <c r="GF49">
        <f>IFERROR(VLOOKUP($D49,'Kalkulator mięs '!$C$5:$H$533,GF$4,0)*$AG49,0)</f>
        <v>0</v>
      </c>
      <c r="GG49">
        <f>IFERROR(VLOOKUP($D49,'Kalkulator mięs '!$C$5:$H$533,GG$4,0)*$AG49,0)</f>
        <v>0</v>
      </c>
      <c r="GH49">
        <f>IFERROR(VLOOKUP($D49,'Kalkulator mięs '!$C$5:$H$533,GH$4,0)*$AH49,0)</f>
        <v>0</v>
      </c>
      <c r="GI49">
        <f>IFERROR(VLOOKUP($D49,'Kalkulator mięs '!$C$5:$H$533,GI$4,0)*$AH49,0)</f>
        <v>0</v>
      </c>
      <c r="GJ49">
        <f>IFERROR(VLOOKUP($D49,'Kalkulator mięs '!$C$5:$H$533,GJ$4,0)*$AH49,0)</f>
        <v>0</v>
      </c>
      <c r="GK49">
        <f>IFERROR(VLOOKUP($D49,'Kalkulator mięs '!$C$5:$H$533,GK$4,0)*$AI49,0)</f>
        <v>0</v>
      </c>
      <c r="GL49">
        <f>IFERROR(VLOOKUP($D49,'Kalkulator mięs '!$C$5:$H$533,GL$4,0)*$AI49,0)</f>
        <v>0</v>
      </c>
      <c r="GM49">
        <f>IFERROR(VLOOKUP($D49,'Kalkulator mięs '!$C$5:$H$533,GM$4,0)*$AI49,0)</f>
        <v>0</v>
      </c>
      <c r="GN49">
        <f>IFERROR(VLOOKUP($D49,'Kalkulator mięs '!$C$5:$H$533,GN$4,0)*$AJ49,0)</f>
        <v>0</v>
      </c>
      <c r="GO49">
        <f>IFERROR(VLOOKUP($D49,'Kalkulator mięs '!$C$5:$H$533,GO$4,0)*$AJ49,0)</f>
        <v>0</v>
      </c>
      <c r="GP49">
        <f>IFERROR(VLOOKUP($D49,'Kalkulator mięs '!$C$5:$H$533,GP$4,0)*$AJ49,0)</f>
        <v>0</v>
      </c>
      <c r="GQ49">
        <f>IFERROR(VLOOKUP($D49,'Kalkulator mięs '!$C$5:$H$533,GQ$4,0)*$AK49,0)</f>
        <v>0</v>
      </c>
      <c r="GR49">
        <f>IFERROR(VLOOKUP($D49,'Kalkulator mięs '!$C$5:$H$533,GR$4,0)*$AK49,0)</f>
        <v>0</v>
      </c>
      <c r="GS49">
        <f>IFERROR(VLOOKUP($D49,'Kalkulator mięs '!$C$5:$H$533,GS$4,0)*$AK49,0)</f>
        <v>0</v>
      </c>
      <c r="GT49">
        <f>IFERROR(VLOOKUP($D49,'Kalkulator mięs '!$C$5:$H$533,GT$4,0)*$AL49,0)</f>
        <v>0</v>
      </c>
      <c r="GU49">
        <f>IFERROR(VLOOKUP($D49,'Kalkulator mięs '!$C$5:$H$533,GU$4,0)*$AL49,0)</f>
        <v>0</v>
      </c>
      <c r="GV49">
        <f>IFERROR(VLOOKUP($D49,'Kalkulator mięs '!$C$5:$H$533,GV$4,0)*$AL49,0)</f>
        <v>0</v>
      </c>
      <c r="GW49">
        <f>IFERROR(VLOOKUP($D49,'Kalkulator mięs '!$C$5:$H$533,GW$4,0)*$AM49,0)</f>
        <v>0</v>
      </c>
      <c r="GX49">
        <f>IFERROR(VLOOKUP($D49,'Kalkulator mięs '!$C$5:$H$533,GX$4,0)*$AM49,0)</f>
        <v>0</v>
      </c>
      <c r="GY49">
        <f>IFERROR(VLOOKUP($D49,'Kalkulator mięs '!$C$5:$H$533,GY$4,0)*$AM49,0)</f>
        <v>0</v>
      </c>
      <c r="GZ49">
        <f>IFERROR(VLOOKUP($D49,'Kalkulator mięs '!$C$5:$H$533,GZ$4,0)*$AN49,0)</f>
        <v>0</v>
      </c>
      <c r="HA49">
        <f>IFERROR(VLOOKUP($D49,'Kalkulator mięs '!$C$5:$H$533,HA$4,0)*$AN49,0)</f>
        <v>0</v>
      </c>
      <c r="HB49">
        <f>IFERROR(VLOOKUP($D49,'Kalkulator mięs '!$C$5:$H$533,HB$4,0)*$AN49,0)</f>
        <v>0</v>
      </c>
      <c r="HC49">
        <f>IFERROR(VLOOKUP($D49,'Kalkulator mięs '!$C$5:$H$533,HC$4,0)*$AO49,0)</f>
        <v>0</v>
      </c>
      <c r="HD49">
        <f>IFERROR(VLOOKUP($D49,'Kalkulator mięs '!$C$5:$H$533,HD$4,0)*$AO49,0)</f>
        <v>0</v>
      </c>
      <c r="HE49">
        <f>IFERROR(VLOOKUP($D49,'Kalkulator mięs '!$C$5:$H$533,HE$4,0)*$AO49,0)</f>
        <v>0</v>
      </c>
      <c r="HF49">
        <f>IFERROR(VLOOKUP($D49,'Kalkulator mięs '!$C$5:$H$533,HF$4,0)*$AP49,0)</f>
        <v>0</v>
      </c>
      <c r="HG49">
        <f>IFERROR(VLOOKUP($D49,'Kalkulator mięs '!$C$5:$H$533,HG$4,0)*$AP49,0)</f>
        <v>0</v>
      </c>
      <c r="HH49">
        <f>IFERROR(VLOOKUP($D49,'Kalkulator mięs '!$C$5:$H$533,HH$4,0)*$AP49,0)</f>
        <v>0</v>
      </c>
      <c r="HI49">
        <f>IFERROR(VLOOKUP($D49,'Kalkulator mięs '!$C$5:$H$533,HI$4,0)*$AQ49,0)</f>
        <v>0</v>
      </c>
      <c r="HJ49">
        <f>IFERROR(VLOOKUP($D49,'Kalkulator mięs '!$C$5:$H$533,HJ$4,0)*$AQ49,0)</f>
        <v>0</v>
      </c>
      <c r="HK49">
        <f>IFERROR(VLOOKUP($D49,'Kalkulator mięs '!$C$5:$H$533,HK$4,0)*$AQ49,0)</f>
        <v>0</v>
      </c>
      <c r="HL49">
        <f>IFERROR(VLOOKUP($D49,'Kalkulator mięs '!$C$5:$H$533,HL$4,0)*$AR49,0)</f>
        <v>0</v>
      </c>
      <c r="HM49">
        <f>IFERROR(VLOOKUP($D49,'Kalkulator mięs '!$C$5:$H$533,HM$4,0)*$AR49,0)</f>
        <v>0</v>
      </c>
      <c r="HN49">
        <f>IFERROR(VLOOKUP($D49,'Kalkulator mięs '!$C$5:$H$533,HN$4,0)*$AR49,0)</f>
        <v>0</v>
      </c>
      <c r="HO49">
        <f>IFERROR(VLOOKUP($D49,'Kalkulator mięs '!$C$5:$H$533,HO$4,0)*$AS49,0)</f>
        <v>0</v>
      </c>
      <c r="HP49">
        <f>IFERROR(VLOOKUP($D49,'Kalkulator mięs '!$C$5:$H$533,HP$4,0)*$AS49,0)</f>
        <v>0</v>
      </c>
      <c r="HQ49">
        <f>IFERROR(VLOOKUP($D49,'Kalkulator mięs '!$C$5:$H$533,HQ$4,0)*$AS49,0)</f>
        <v>0</v>
      </c>
      <c r="HR49">
        <f>IFERROR(VLOOKUP($D49,'Kalkulator mięs '!$C$5:$H$533,HR$4,0)*$AT49,0)</f>
        <v>0</v>
      </c>
      <c r="HS49">
        <f>IFERROR(VLOOKUP($D49,'Kalkulator mięs '!$C$5:$H$533,HS$4,0)*$AT49,0)</f>
        <v>0</v>
      </c>
      <c r="HT49">
        <f>IFERROR(VLOOKUP($D49,'Kalkulator mięs '!$C$5:$H$533,HT$4,0)*$AT49,0)</f>
        <v>0</v>
      </c>
      <c r="HU49">
        <f>IFERROR(VLOOKUP($D49,'Kalkulator mięs '!$C$5:$H$533,HU$4,0)*$AU49,0)</f>
        <v>0</v>
      </c>
      <c r="HV49">
        <f>IFERROR(VLOOKUP($D49,'Kalkulator mięs '!$C$5:$H$533,HV$4,0)*$AU49,0)</f>
        <v>0</v>
      </c>
      <c r="HW49">
        <f>IFERROR(VLOOKUP($D49,'Kalkulator mięs '!$C$5:$H$533,HW$4,0)*$AU49,0)</f>
        <v>0</v>
      </c>
      <c r="HX49">
        <f>IFERROR(VLOOKUP($D49,'Kalkulator mięs '!$C$5:$H$533,HX$4,0)*$AV49,0)</f>
        <v>0</v>
      </c>
      <c r="HY49">
        <f>IFERROR(VLOOKUP($D49,'Kalkulator mięs '!$C$5:$H$533,HY$4,0)*$AV49,0)</f>
        <v>0</v>
      </c>
      <c r="HZ49">
        <f>IFERROR(VLOOKUP($D49,'Kalkulator mięs '!$C$5:$H$533,HZ$4,0)*$AV49,0)</f>
        <v>0</v>
      </c>
      <c r="IA49">
        <f>IFERROR(VLOOKUP($D49,'Kalkulator mięs '!$C$5:$H$533,IA$4,0)*$AW49,0)</f>
        <v>0</v>
      </c>
      <c r="IB49">
        <f>IFERROR(VLOOKUP($D49,'Kalkulator mięs '!$C$5:$H$533,IB$4,0)*$AW49,0)</f>
        <v>0</v>
      </c>
      <c r="IC49">
        <f>IFERROR(VLOOKUP($D49,'Kalkulator mięs '!$C$5:$H$533,IC$4,0)*$AW49,0)</f>
        <v>0</v>
      </c>
      <c r="ID49">
        <f>IFERROR(VLOOKUP($D49,'Kalkulator mięs '!$C$5:$H$533,ID$4,0)*$AX49,0)</f>
        <v>0</v>
      </c>
      <c r="IE49">
        <f>IFERROR(VLOOKUP($D49,'Kalkulator mięs '!$C$5:$H$533,IE$4,0)*$AX49,0)</f>
        <v>0</v>
      </c>
      <c r="IF49">
        <f>IFERROR(VLOOKUP($D49,'Kalkulator mięs '!$C$5:$H$533,IF$4,0)*$AX49,0)</f>
        <v>0</v>
      </c>
      <c r="IG49">
        <f>IFERROR(VLOOKUP($D49,'Kalkulator mięs '!$C$5:$H$533,IG$4,0)*$AY49,0)</f>
        <v>0</v>
      </c>
      <c r="IH49">
        <f>IFERROR(VLOOKUP($D49,'Kalkulator mięs '!$C$5:$H$533,IH$4,0)*$AY49,0)</f>
        <v>0</v>
      </c>
      <c r="II49">
        <f>IFERROR(VLOOKUP($D49,'Kalkulator mięs '!$C$5:$H$533,II$4,0)*$AY49,0)</f>
        <v>0</v>
      </c>
      <c r="IJ49">
        <f>IFERROR(VLOOKUP($D49,'Kalkulator mięs '!$C$5:$H$533,IJ$4,0)*$AZ49,0)</f>
        <v>0</v>
      </c>
      <c r="IK49">
        <f>IFERROR(VLOOKUP($D49,'Kalkulator mięs '!$C$5:$H$533,IK$4,0)*$AZ49,0)</f>
        <v>0</v>
      </c>
      <c r="IL49">
        <f>IFERROR(VLOOKUP($D49,'Kalkulator mięs '!$C$5:$H$533,IL$4,0)*$AZ49,0)</f>
        <v>0</v>
      </c>
      <c r="IM49">
        <f>IFERROR(VLOOKUP($D49,'Kalkulator mięs '!$C$5:$H$533,IM$4,0)*$BA49,0)</f>
        <v>0</v>
      </c>
      <c r="IN49">
        <f>IFERROR(VLOOKUP($D49,'Kalkulator mięs '!$C$5:$H$533,IN$4,0)*$BA49,0)</f>
        <v>0</v>
      </c>
      <c r="IO49">
        <f>IFERROR(VLOOKUP($D49,'Kalkulator mięs '!$C$5:$H$533,IO$4,0)*$BA49,0)</f>
        <v>0</v>
      </c>
    </row>
    <row r="50" spans="1:249" ht="15.75">
      <c r="A50" s="91"/>
      <c r="B50" t="str">
        <f>VLOOKUP(D50,Receptury_z!$A:$B,2,0)</f>
        <v>ON</v>
      </c>
      <c r="C50" s="16">
        <v>5681</v>
      </c>
      <c r="D50" s="19">
        <v>6512</v>
      </c>
      <c r="E50" s="20" t="s">
        <v>152</v>
      </c>
      <c r="F50" s="14">
        <f>IF($B50="OFF",BE50,VLOOKUP($D50,Receptury_z!$D:$AI,F$4,0))</f>
        <v>0</v>
      </c>
      <c r="G50" s="14">
        <f>IF($B50="OFF",BF50,VLOOKUP($D50,Receptury_z!$D:$AI,G$4,0))</f>
        <v>0</v>
      </c>
      <c r="H50" s="14">
        <f>IF($B50="OFF",BG50,VLOOKUP($D50,Receptury_z!$D:$AI,H$4,0))</f>
        <v>0</v>
      </c>
      <c r="I50" s="14">
        <f>IF($B50="OFF",BH50,VLOOKUP($D50,Receptury_z!$D:$AI,I$4,0))</f>
        <v>0</v>
      </c>
      <c r="J50" s="14">
        <f>IF($B50="OFF",BI50,VLOOKUP($D50,Receptury_z!$D:$AI,J$4,0))</f>
        <v>0</v>
      </c>
      <c r="K50" s="14">
        <f>IF($B50="OFF",BJ50,VLOOKUP($D50,Receptury_z!$D:$AI,K$4,0))</f>
        <v>0</v>
      </c>
      <c r="L50" s="14">
        <f>IF($B50="OFF",BK50,VLOOKUP($D50,Receptury_z!$D:$AI,L$4,0))</f>
        <v>0</v>
      </c>
      <c r="M50" s="14">
        <f>IF($B50="OFF",BL50,VLOOKUP($D50,Receptury_z!$D:$AI,M$4,0))</f>
        <v>0</v>
      </c>
      <c r="N50" s="14">
        <f>IF($B50="OFF",BM50,VLOOKUP($D50,Receptury_z!$D:$AI,N$4,0))</f>
        <v>113.01</v>
      </c>
      <c r="O50" s="14">
        <f>IF($B50="OFF",BN50,VLOOKUP($D50,Receptury_z!$D:$AI,O$4,0))</f>
        <v>0</v>
      </c>
      <c r="P50" s="14">
        <f>IF($B50="OFF",BO50,VLOOKUP($D50,Receptury_z!$D:$AI,P$4,0))</f>
        <v>0</v>
      </c>
      <c r="Q50" s="14">
        <f>IF($B50="OFF",BP50,VLOOKUP($D50,Receptury_z!$D:$AI,Q$4,0))</f>
        <v>0</v>
      </c>
      <c r="R50" s="14">
        <f>IF($B50="OFF",BQ50,VLOOKUP($D50,Receptury_z!$D:$AI,R$4,0))</f>
        <v>60.85</v>
      </c>
      <c r="S50" s="14">
        <f>IF($B50="OFF",BR50,VLOOKUP($D50,Receptury_z!$D:$AI,S$4,0))</f>
        <v>0</v>
      </c>
      <c r="T50" s="14">
        <f>IF($B50="OFF",BS50,VLOOKUP($D50,Receptury_z!$D:$AI,T$4,0))</f>
        <v>591.15</v>
      </c>
      <c r="U50" s="14">
        <f>IF($B50="OFF",BT50,VLOOKUP($D50,Receptury_z!$D:$AI,U$4,0))</f>
        <v>0</v>
      </c>
      <c r="V50" s="14">
        <f>IF($B50="OFF",BU50,VLOOKUP($D50,Receptury_z!$D:$AI,V$4,0))</f>
        <v>0</v>
      </c>
      <c r="W50" s="14">
        <f>IF($B50="OFF",BV50,VLOOKUP($D50,Receptury_z!$D:$AI,W$4,0))</f>
        <v>0</v>
      </c>
      <c r="X50" s="14">
        <f>IF($B50="OFF",BW50,VLOOKUP($D50,Receptury_z!$D:$AI,X$4,0))</f>
        <v>0</v>
      </c>
      <c r="Y50" s="14">
        <f>IF($B50="OFF",BX50,VLOOKUP($D50,Receptury_z!$D:$AI,Y$4,0))</f>
        <v>0</v>
      </c>
      <c r="Z50" s="14">
        <f>IF($B50="OFF",BY50,VLOOKUP($D50,Receptury_z!$D:$AI,Z$4,0))</f>
        <v>0</v>
      </c>
      <c r="AA50" s="14">
        <f>IF($B50="OFF",BZ50,VLOOKUP($D50,Receptury_z!$D:$AI,AA$4,0))</f>
        <v>0</v>
      </c>
      <c r="AB50" s="14">
        <f>IF($B50="OFF",CA50,VLOOKUP($D50,Receptury_z!$D:$AI,AB$4,0))</f>
        <v>104.32</v>
      </c>
      <c r="AC50" s="14">
        <f>IF($B50="OFF",CB50,VLOOKUP($D50,Receptury_z!$D:$AI,AC$4,0))</f>
        <v>0</v>
      </c>
      <c r="AD50" s="14">
        <f>IF($B50="OFF",CC50,VLOOKUP($D50,Receptury_z!$D:$AI,AD$4,0))</f>
        <v>0</v>
      </c>
      <c r="AE50" s="14">
        <f>IF($B50="OFF",CD50,VLOOKUP($D50,Receptury_z!$D:$AI,AE$4,0))</f>
        <v>0</v>
      </c>
      <c r="AF50" s="14">
        <f>IF($B50="OFF",CE50,VLOOKUP($D50,Receptury_z!$D:$AI,AF$4,0))</f>
        <v>0</v>
      </c>
      <c r="AG50" s="14">
        <f>IF($B50="OFF",CF50,VLOOKUP($D50,Receptury_z!$D:$AI,AG$4,0))</f>
        <v>0</v>
      </c>
      <c r="AH50" s="14">
        <f>IF($B50="OFF",CG50,VLOOKUP($D50,Receptury_z!$D:$AI,AH$4,0))</f>
        <v>0</v>
      </c>
      <c r="AI50" s="14">
        <f>IF($B50="OFF",CH50,VLOOKUP($D50,Receptury_z!$D:$AI,AI$4,0))</f>
        <v>0</v>
      </c>
      <c r="AJ50" s="14">
        <f>IF($B50="OFF",CI50,VLOOKUP($D50,Receptury_z!$D:$AS,AJ$4,0))</f>
        <v>0</v>
      </c>
      <c r="AK50" s="14">
        <f>IF($B50="OFF",CJ50,VLOOKUP($D50,Receptury_z!$D:$AS,AK$4,0))</f>
        <v>0</v>
      </c>
      <c r="AL50" s="14">
        <f>IF($B50="OFF",CK50,VLOOKUP($D50,Receptury_z!$D:$AS,AL$4,0))</f>
        <v>0</v>
      </c>
      <c r="AM50" s="14">
        <f>IF($B50="OFF",CL50,VLOOKUP($D50,Receptury_z!$D:$AS,AM$4,0))</f>
        <v>0</v>
      </c>
      <c r="AN50" s="14">
        <f>IF($B50="OFF",CM50,VLOOKUP($D50,Receptury_z!$D:$AS,AN$4,0))</f>
        <v>0</v>
      </c>
      <c r="AO50" s="14">
        <f>IF($B50="OFF",CN50,VLOOKUP($D50,Receptury_z!$D:$AS,AO$4,0))</f>
        <v>0</v>
      </c>
      <c r="AP50" s="14">
        <f>IF($B50="OFF",CO50,VLOOKUP($D50,Receptury_z!$D:$AS,AP$4,0))</f>
        <v>0</v>
      </c>
      <c r="AQ50" s="14">
        <f>IF($B50="OFF",CP50,VLOOKUP($D50,Receptury_z!$D:$AS,AQ$4,0))</f>
        <v>0</v>
      </c>
      <c r="AR50" s="14">
        <f>IF($B50="OFF",CQ50,VLOOKUP($D50,Receptury_z!$D:$AS,AR$4,0))</f>
        <v>0</v>
      </c>
      <c r="AS50" s="14">
        <f>IF($B50="OFF",CR50,VLOOKUP($D50,Receptury_z!$D:$AS,AS$4,0))</f>
        <v>0</v>
      </c>
      <c r="AT50" s="14">
        <f>IF($B50="OFF",CS50,VLOOKUP($D50,Receptury_z!$D:$AV,AT$4,0))</f>
        <v>0</v>
      </c>
      <c r="AU50" s="14">
        <f>IF($B50="OFF",CT50,VLOOKUP($D50,Receptury_z!$D:$AV,AU$4,0))</f>
        <v>0</v>
      </c>
      <c r="AV50" s="14">
        <f>IF($B50="OFF",CU50,VLOOKUP($D50,Receptury_z!$D:$AV,AV$4,0))</f>
        <v>0</v>
      </c>
      <c r="AW50" s="14">
        <f>IF($B50="OFF",CV50,VLOOKUP($D50,Receptury_z!$D:$BA,AW$4,0))</f>
        <v>0</v>
      </c>
      <c r="AX50" s="14">
        <f>IF($B50="OFF",CW50,VLOOKUP($D50,Receptury_z!$D:$BA,AX$4,0))</f>
        <v>0</v>
      </c>
      <c r="AY50" s="14">
        <f>IF($B50="OFF",CX50,VLOOKUP($D50,Receptury_z!$D:$BA,AY$4,0))</f>
        <v>0</v>
      </c>
      <c r="AZ50" s="14">
        <f>IF($B50="OFF",DA50,VLOOKUP($D50,Receptury_z!$D:$BA,AZ$4,0))</f>
        <v>0</v>
      </c>
      <c r="BA50" s="14">
        <f>IF($B50="OFF",DB50,VLOOKUP($D50,Receptury_z!$D:$BA,BA$4,0))</f>
        <v>0</v>
      </c>
      <c r="BC50" s="19">
        <v>6512</v>
      </c>
      <c r="BD50" s="20" t="s">
        <v>152</v>
      </c>
      <c r="BE50" s="239">
        <v>0</v>
      </c>
      <c r="BF50" s="239">
        <v>0</v>
      </c>
      <c r="BG50" s="239">
        <v>0</v>
      </c>
      <c r="BH50" s="239">
        <v>0</v>
      </c>
      <c r="BI50" s="239">
        <v>0</v>
      </c>
      <c r="BJ50" s="239">
        <v>0</v>
      </c>
      <c r="BK50" s="239">
        <v>0</v>
      </c>
      <c r="BL50" s="239">
        <v>0</v>
      </c>
      <c r="BM50" s="239">
        <v>113.01</v>
      </c>
      <c r="BN50" s="239">
        <v>0</v>
      </c>
      <c r="BO50" s="239">
        <v>0</v>
      </c>
      <c r="BP50" s="239">
        <v>0</v>
      </c>
      <c r="BQ50" s="239">
        <v>60.85</v>
      </c>
      <c r="BR50" s="239">
        <v>0</v>
      </c>
      <c r="BS50" s="239">
        <v>591.15</v>
      </c>
      <c r="BT50" s="239">
        <v>0</v>
      </c>
      <c r="BU50" s="239">
        <v>0</v>
      </c>
      <c r="BV50" s="239">
        <v>0</v>
      </c>
      <c r="BW50" s="239">
        <v>0</v>
      </c>
      <c r="BX50" s="239">
        <v>0</v>
      </c>
      <c r="BY50" s="239">
        <v>0</v>
      </c>
      <c r="BZ50" s="239">
        <v>0</v>
      </c>
      <c r="CA50" s="239">
        <v>104.32</v>
      </c>
      <c r="CB50" s="239">
        <v>0</v>
      </c>
      <c r="CC50" s="239">
        <v>0</v>
      </c>
      <c r="CD50" s="239">
        <v>0</v>
      </c>
      <c r="CE50" s="239">
        <v>0</v>
      </c>
      <c r="CF50" s="239">
        <v>0</v>
      </c>
      <c r="CG50" s="239">
        <v>0</v>
      </c>
      <c r="CH50" s="239">
        <v>0</v>
      </c>
      <c r="CI50" s="239">
        <v>0</v>
      </c>
      <c r="CJ50" s="239">
        <v>0</v>
      </c>
      <c r="CK50" s="239">
        <v>0</v>
      </c>
      <c r="CL50" s="239">
        <v>0</v>
      </c>
      <c r="CM50" s="80"/>
      <c r="CN50" s="80"/>
      <c r="CO50" s="80"/>
      <c r="CP50" s="80"/>
      <c r="CQ50" s="80"/>
      <c r="CR50" s="80"/>
      <c r="CS50" s="80"/>
      <c r="CT50" s="80"/>
      <c r="CU50" s="80"/>
      <c r="CV50" s="80"/>
      <c r="CW50" s="80"/>
      <c r="CX50" s="80"/>
      <c r="CY50" s="80"/>
      <c r="CZ50" s="80"/>
      <c r="DB50">
        <f>IFERROR(VLOOKUP($D50,'Kalkulator mięs '!$C$5:$H$533,DB$4,0)*F50,0)</f>
        <v>0</v>
      </c>
      <c r="DC50">
        <f>IFERROR(VLOOKUP($D50,'Kalkulator mięs '!$C$5:$H$533,DC$4,0)*F50,0)</f>
        <v>0</v>
      </c>
      <c r="DD50">
        <f>IFERROR(VLOOKUP($D50,'Kalkulator mięs '!$C$5:$H$533,DD$4,0)*F50,0)</f>
        <v>0</v>
      </c>
      <c r="DE50">
        <f>IFERROR(VLOOKUP($D50,'Kalkulator mięs '!$C$5:$H$533,DE$4,0)*$G50,0)</f>
        <v>0</v>
      </c>
      <c r="DF50">
        <f>IFERROR(VLOOKUP($D50,'Kalkulator mięs '!$C$5:$H$533,DF$4,0)*$G50,0)</f>
        <v>0</v>
      </c>
      <c r="DG50">
        <f>IFERROR(VLOOKUP($D50,'Kalkulator mięs '!$C$5:$H$533,DG$4,0)*$G50,0)</f>
        <v>0</v>
      </c>
      <c r="DH50">
        <f>IFERROR(VLOOKUP($D50,'Kalkulator mięs '!$C$5:$H$533,DH$4,0)*$H50,0)</f>
        <v>0</v>
      </c>
      <c r="DI50">
        <f>IFERROR(VLOOKUP($D50,'Kalkulator mięs '!$C$5:$H$533,DI$4,0)*$H50,0)</f>
        <v>0</v>
      </c>
      <c r="DJ50">
        <f>IFERROR(VLOOKUP($D50,'Kalkulator mięs '!$C$5:$H$533,DJ$4,0)*$H50,0)</f>
        <v>0</v>
      </c>
      <c r="DK50">
        <f>IFERROR(VLOOKUP($D50,'Kalkulator mięs '!$C$5:$H$533,DK$4,0)*$I50,0)</f>
        <v>0</v>
      </c>
      <c r="DL50">
        <f>IFERROR(VLOOKUP($D50,'Kalkulator mięs '!$C$5:$H$533,DL$4,0)*$I50,0)</f>
        <v>0</v>
      </c>
      <c r="DM50">
        <f>IFERROR(VLOOKUP($D50,'Kalkulator mięs '!$C$5:$H$533,DM$4,0)*$I50,0)</f>
        <v>0</v>
      </c>
      <c r="DN50">
        <f>IFERROR(VLOOKUP($D50,'Kalkulator mięs '!$C$5:$H$533,DN$4,0)*$J50,0)</f>
        <v>0</v>
      </c>
      <c r="DO50">
        <f>IFERROR(VLOOKUP($D50,'Kalkulator mięs '!$C$5:$H$533,DO$4,0)*$J50,0)</f>
        <v>0</v>
      </c>
      <c r="DP50">
        <f>IFERROR(VLOOKUP($D50,'Kalkulator mięs '!$C$5:$H$533,DP$4,0)*$J50,0)</f>
        <v>0</v>
      </c>
      <c r="DQ50">
        <f>IFERROR(VLOOKUP($D50,'Kalkulator mięs '!$C$5:$H$533,DQ$4,0)*$K50,0)</f>
        <v>0</v>
      </c>
      <c r="DR50">
        <f>IFERROR(VLOOKUP($D50,'Kalkulator mięs '!$C$5:$H$533,DR$4,0)*$K50,0)</f>
        <v>0</v>
      </c>
      <c r="DS50">
        <f>IFERROR(VLOOKUP($D50,'Kalkulator mięs '!$C$5:$H$533,DS$4,0)*$K50,0)</f>
        <v>0</v>
      </c>
      <c r="DT50">
        <f>IFERROR(VLOOKUP($D50,'Kalkulator mięs '!$C$5:$H$533,DT$4,0)*$L50,0)</f>
        <v>0</v>
      </c>
      <c r="DU50">
        <f>IFERROR(VLOOKUP($D50,'Kalkulator mięs '!$C$5:$H$533,DU$4,0)*$L50,0)</f>
        <v>0</v>
      </c>
      <c r="DV50">
        <f>IFERROR(VLOOKUP($D50,'Kalkulator mięs '!$C$5:$H$533,DV$4,0)*$L50,0)</f>
        <v>0</v>
      </c>
      <c r="DW50">
        <f>IFERROR(VLOOKUP($D50,'Kalkulator mięs '!$C$5:$H$533,DW$4,0)*$M50,0)</f>
        <v>0</v>
      </c>
      <c r="DX50">
        <f>IFERROR(VLOOKUP($D50,'Kalkulator mięs '!$C$5:$H$533,DX$4,0)*$M50,0)</f>
        <v>0</v>
      </c>
      <c r="DY50">
        <f>IFERROR(VLOOKUP($D50,'Kalkulator mięs '!$C$5:$H$533,DY$4,0)*$M50,0)</f>
        <v>0</v>
      </c>
      <c r="DZ50">
        <f>IFERROR(VLOOKUP($D50,'Kalkulator mięs '!$C$5:$H$533,DZ$4,0)*$N50,0)</f>
        <v>0</v>
      </c>
      <c r="EA50">
        <f>IFERROR(VLOOKUP($D50,'Kalkulator mięs '!$C$5:$H$533,EA$4,0)*$N50,0)</f>
        <v>0</v>
      </c>
      <c r="EB50">
        <f>IFERROR(VLOOKUP($D50,'Kalkulator mięs '!$C$5:$H$533,EB$4,0)*$N50,0)</f>
        <v>0</v>
      </c>
      <c r="EC50">
        <f>IFERROR(VLOOKUP($D50,'Kalkulator mięs '!$C$5:$H$533,EC$4,0)*$O50,0)</f>
        <v>0</v>
      </c>
      <c r="ED50">
        <f>IFERROR(VLOOKUP($D50,'Kalkulator mięs '!$C$5:$H$533,ED$4,0)*$O50,0)</f>
        <v>0</v>
      </c>
      <c r="EE50">
        <f>IFERROR(VLOOKUP($D50,'Kalkulator mięs '!$C$5:$H$533,EE$4,0)*$O50,0)</f>
        <v>0</v>
      </c>
      <c r="EF50">
        <f>IFERROR(VLOOKUP($D50,'Kalkulator mięs '!$C$5:$H$533,EF$4,0)*$P50,0)</f>
        <v>0</v>
      </c>
      <c r="EG50">
        <f>IFERROR(VLOOKUP($D50,'Kalkulator mięs '!$C$5:$H$533,EG$4,0)*$P50,0)</f>
        <v>0</v>
      </c>
      <c r="EH50">
        <f>IFERROR(VLOOKUP($D50,'Kalkulator mięs '!$C$5:$H$533,EH$4,0)*$P50,0)</f>
        <v>0</v>
      </c>
      <c r="EI50">
        <f>IFERROR(VLOOKUP($D50,'Kalkulator mięs '!$C$5:$H$533,EI$4,0)*$Q50,0)</f>
        <v>0</v>
      </c>
      <c r="EJ50">
        <f>IFERROR(VLOOKUP($D50,'Kalkulator mięs '!$C$5:$H$533,EJ$4,0)*$Q50,0)</f>
        <v>0</v>
      </c>
      <c r="EK50">
        <f>IFERROR(VLOOKUP($D50,'Kalkulator mięs '!$C$5:$H$533,EK$4,0)*$Q50,0)</f>
        <v>0</v>
      </c>
      <c r="EL50">
        <f>IFERROR(VLOOKUP($D50,'Kalkulator mięs '!$C$5:$H$533,EL$4,0)*$R50,0)</f>
        <v>0</v>
      </c>
      <c r="EM50">
        <f>IFERROR(VLOOKUP($D50,'Kalkulator mięs '!$C$5:$H$533,EM$4,0)*$R50,0)</f>
        <v>0</v>
      </c>
      <c r="EN50">
        <f>IFERROR(VLOOKUP($D50,'Kalkulator mięs '!$C$5:$H$533,EN$4,0)*$R50,0)</f>
        <v>0</v>
      </c>
      <c r="EO50">
        <f>IFERROR(VLOOKUP($D50,'Kalkulator mięs '!$C$5:$H$533,EO$4,0)*$S50,0)</f>
        <v>0</v>
      </c>
      <c r="EP50">
        <f>IFERROR(VLOOKUP($D50,'Kalkulator mięs '!$C$5:$H$533,EP$4,0)*$S50,0)</f>
        <v>0</v>
      </c>
      <c r="EQ50">
        <f>IFERROR(VLOOKUP($D50,'Kalkulator mięs '!$C$5:$H$533,EQ$4,0)*$S50,0)</f>
        <v>0</v>
      </c>
      <c r="ER50">
        <f>IFERROR(VLOOKUP($D50,'Kalkulator mięs '!$C$5:$H$533,ER$4,0)*$T50,0)</f>
        <v>0</v>
      </c>
      <c r="ES50">
        <f>IFERROR(VLOOKUP($D50,'Kalkulator mięs '!$C$5:$H$533,ES$4,0)*$T50,0)</f>
        <v>0</v>
      </c>
      <c r="ET50">
        <f>IFERROR(VLOOKUP($D50,'Kalkulator mięs '!$C$5:$H$533,ET$4,0)*$T50,0)</f>
        <v>0</v>
      </c>
      <c r="EU50">
        <f>IFERROR(VLOOKUP($D50,'Kalkulator mięs '!$C$5:$H$533,EU$4,0)*$U50,0)</f>
        <v>0</v>
      </c>
      <c r="EV50">
        <f>IFERROR(VLOOKUP($D50,'Kalkulator mięs '!$C$5:$H$533,EV$4,0)*$U50,0)</f>
        <v>0</v>
      </c>
      <c r="EW50">
        <f>IFERROR(VLOOKUP($D50,'Kalkulator mięs '!$C$5:$H$533,EW$4,0)*$U50,0)</f>
        <v>0</v>
      </c>
      <c r="EX50">
        <f>IFERROR(VLOOKUP($D50,'Kalkulator mięs '!$C$5:$H$533,EX$4,0)*$V50,0)</f>
        <v>0</v>
      </c>
      <c r="EY50">
        <f>IFERROR(VLOOKUP($D50,'Kalkulator mięs '!$C$5:$H$533,EY$4,0)*$V50,0)</f>
        <v>0</v>
      </c>
      <c r="EZ50">
        <f>IFERROR(VLOOKUP($D50,'Kalkulator mięs '!$C$5:$H$533,EZ$4,0)*$V50,0)</f>
        <v>0</v>
      </c>
      <c r="FA50">
        <f>IFERROR(VLOOKUP($D50,'Kalkulator mięs '!$C$5:$H$533,FA$4,0)*$W50,0)</f>
        <v>0</v>
      </c>
      <c r="FB50">
        <f>IFERROR(VLOOKUP($D50,'Kalkulator mięs '!$C$5:$H$533,FB$4,0)*$W50,0)</f>
        <v>0</v>
      </c>
      <c r="FC50">
        <f>IFERROR(VLOOKUP($D50,'Kalkulator mięs '!$C$5:$H$533,FC$4,0)*$W50,0)</f>
        <v>0</v>
      </c>
      <c r="FD50">
        <f>IFERROR(VLOOKUP($D50,'Kalkulator mięs '!$C$5:$H$533,FD$4,0)*$X50,0)</f>
        <v>0</v>
      </c>
      <c r="FE50">
        <f>IFERROR(VLOOKUP($D50,'Kalkulator mięs '!$C$5:$H$533,FE$4,0)*$X50,0)</f>
        <v>0</v>
      </c>
      <c r="FF50">
        <f>IFERROR(VLOOKUP($D50,'Kalkulator mięs '!$C$5:$H$533,FF$4,0)*$X50,0)</f>
        <v>0</v>
      </c>
      <c r="FG50">
        <f>IFERROR(VLOOKUP($D50,'Kalkulator mięs '!$C$5:$H$533,FG$4,0)*$Y50,0)</f>
        <v>0</v>
      </c>
      <c r="FH50">
        <f>IFERROR(VLOOKUP($D50,'Kalkulator mięs '!$C$5:$H$533,FH$4,0)*$Y50,0)</f>
        <v>0</v>
      </c>
      <c r="FI50">
        <f>IFERROR(VLOOKUP($D50,'Kalkulator mięs '!$C$5:$H$533,FI$4,0)*$Y50,0)</f>
        <v>0</v>
      </c>
      <c r="FJ50">
        <f>IFERROR(VLOOKUP($D50,'Kalkulator mięs '!$C$5:$H$533,FJ$4,0)*$Z50,0)</f>
        <v>0</v>
      </c>
      <c r="FK50">
        <f>IFERROR(VLOOKUP($D50,'Kalkulator mięs '!$C$5:$H$533,FK$4,0)*$Z50,0)</f>
        <v>0</v>
      </c>
      <c r="FL50">
        <f>IFERROR(VLOOKUP($D50,'Kalkulator mięs '!$C$5:$H$533,FL$4,0)*$Z50,0)</f>
        <v>0</v>
      </c>
      <c r="FM50">
        <f>IFERROR(VLOOKUP($D50,'Kalkulator mięs '!$C$5:$H$533,FM$4,0)*$AA50,0)</f>
        <v>0</v>
      </c>
      <c r="FN50">
        <f>IFERROR(VLOOKUP($D50,'Kalkulator mięs '!$C$5:$H$533,FN$4,0)*$AA50,0)</f>
        <v>0</v>
      </c>
      <c r="FO50">
        <f>IFERROR(VLOOKUP($D50,'Kalkulator mięs '!$C$5:$H$533,FO$4,0)*$AA50,0)</f>
        <v>0</v>
      </c>
      <c r="FP50">
        <f>IFERROR(VLOOKUP($D50,'Kalkulator mięs '!$C$5:$H$533,FP$4,0)*$AB50,0)</f>
        <v>0</v>
      </c>
      <c r="FQ50">
        <f>IFERROR(VLOOKUP($D50,'Kalkulator mięs '!$C$5:$H$533,FQ$4,0)*$AB50,0)</f>
        <v>0</v>
      </c>
      <c r="FR50">
        <f>IFERROR(VLOOKUP($D50,'Kalkulator mięs '!$C$5:$H$533,FR$4,0)*$AB50,0)</f>
        <v>0</v>
      </c>
      <c r="FS50">
        <f>IFERROR(VLOOKUP($D50,'Kalkulator mięs '!$C$5:$H$533,FS$4,0)*$AC50,0)</f>
        <v>0</v>
      </c>
      <c r="FT50">
        <f>IFERROR(VLOOKUP($D50,'Kalkulator mięs '!$C$5:$H$533,FT$4,0)*$AC50,0)</f>
        <v>0</v>
      </c>
      <c r="FU50">
        <f>IFERROR(VLOOKUP($D50,'Kalkulator mięs '!$C$5:$H$533,FU$4,0)*$AC50,0)</f>
        <v>0</v>
      </c>
      <c r="FV50">
        <f>IFERROR(VLOOKUP($D50,'Kalkulator mięs '!$C$5:$H$533,FV$4,0)*$AD50,0)</f>
        <v>0</v>
      </c>
      <c r="FW50">
        <f>IFERROR(VLOOKUP($D50,'Kalkulator mięs '!$C$5:$H$533,FW$4,0)*$AD50,0)</f>
        <v>0</v>
      </c>
      <c r="FX50">
        <f>IFERROR(VLOOKUP($D50,'Kalkulator mięs '!$C$5:$H$533,FX$4,0)*$AD50,0)</f>
        <v>0</v>
      </c>
      <c r="FY50">
        <f>IFERROR(VLOOKUP($D50,'Kalkulator mięs '!$C$5:$H$533,FY$4,0)*$AE50,0)</f>
        <v>0</v>
      </c>
      <c r="FZ50">
        <f>IFERROR(VLOOKUP($D50,'Kalkulator mięs '!$C$5:$H$533,FZ$4,0)*$AE50,0)</f>
        <v>0</v>
      </c>
      <c r="GA50">
        <f>IFERROR(VLOOKUP($D50,'Kalkulator mięs '!$C$5:$H$533,GA$4,0)*$AE50,0)</f>
        <v>0</v>
      </c>
      <c r="GB50">
        <f>IFERROR(VLOOKUP($D50,'Kalkulator mięs '!$C$5:$H$533,GB$4,0)*$AF50,0)</f>
        <v>0</v>
      </c>
      <c r="GC50">
        <f>IFERROR(VLOOKUP($D50,'Kalkulator mięs '!$C$5:$H$533,GC$4,0)*$AF50,0)</f>
        <v>0</v>
      </c>
      <c r="GD50">
        <f>IFERROR(VLOOKUP($D50,'Kalkulator mięs '!$C$5:$H$533,GD$4,0)*$AF50,0)</f>
        <v>0</v>
      </c>
      <c r="GE50">
        <f>IFERROR(VLOOKUP($D50,'Kalkulator mięs '!$C$5:$H$533,GE$4,0)*$AG50,0)</f>
        <v>0</v>
      </c>
      <c r="GF50">
        <f>IFERROR(VLOOKUP($D50,'Kalkulator mięs '!$C$5:$H$533,GF$4,0)*$AG50,0)</f>
        <v>0</v>
      </c>
      <c r="GG50">
        <f>IFERROR(VLOOKUP($D50,'Kalkulator mięs '!$C$5:$H$533,GG$4,0)*$AG50,0)</f>
        <v>0</v>
      </c>
      <c r="GH50">
        <f>IFERROR(VLOOKUP($D50,'Kalkulator mięs '!$C$5:$H$533,GH$4,0)*$AH50,0)</f>
        <v>0</v>
      </c>
      <c r="GI50">
        <f>IFERROR(VLOOKUP($D50,'Kalkulator mięs '!$C$5:$H$533,GI$4,0)*$AH50,0)</f>
        <v>0</v>
      </c>
      <c r="GJ50">
        <f>IFERROR(VLOOKUP($D50,'Kalkulator mięs '!$C$5:$H$533,GJ$4,0)*$AH50,0)</f>
        <v>0</v>
      </c>
      <c r="GK50">
        <f>IFERROR(VLOOKUP($D50,'Kalkulator mięs '!$C$5:$H$533,GK$4,0)*$AI50,0)</f>
        <v>0</v>
      </c>
      <c r="GL50">
        <f>IFERROR(VLOOKUP($D50,'Kalkulator mięs '!$C$5:$H$533,GL$4,0)*$AI50,0)</f>
        <v>0</v>
      </c>
      <c r="GM50">
        <f>IFERROR(VLOOKUP($D50,'Kalkulator mięs '!$C$5:$H$533,GM$4,0)*$AI50,0)</f>
        <v>0</v>
      </c>
      <c r="GN50">
        <f>IFERROR(VLOOKUP($D50,'Kalkulator mięs '!$C$5:$H$533,GN$4,0)*$AJ50,0)</f>
        <v>0</v>
      </c>
      <c r="GO50">
        <f>IFERROR(VLOOKUP($D50,'Kalkulator mięs '!$C$5:$H$533,GO$4,0)*$AJ50,0)</f>
        <v>0</v>
      </c>
      <c r="GP50">
        <f>IFERROR(VLOOKUP($D50,'Kalkulator mięs '!$C$5:$H$533,GP$4,0)*$AJ50,0)</f>
        <v>0</v>
      </c>
      <c r="GQ50">
        <f>IFERROR(VLOOKUP($D50,'Kalkulator mięs '!$C$5:$H$533,GQ$4,0)*$AK50,0)</f>
        <v>0</v>
      </c>
      <c r="GR50">
        <f>IFERROR(VLOOKUP($D50,'Kalkulator mięs '!$C$5:$H$533,GR$4,0)*$AK50,0)</f>
        <v>0</v>
      </c>
      <c r="GS50">
        <f>IFERROR(VLOOKUP($D50,'Kalkulator mięs '!$C$5:$H$533,GS$4,0)*$AK50,0)</f>
        <v>0</v>
      </c>
      <c r="GT50">
        <f>IFERROR(VLOOKUP($D50,'Kalkulator mięs '!$C$5:$H$533,GT$4,0)*$AL50,0)</f>
        <v>0</v>
      </c>
      <c r="GU50">
        <f>IFERROR(VLOOKUP($D50,'Kalkulator mięs '!$C$5:$H$533,GU$4,0)*$AL50,0)</f>
        <v>0</v>
      </c>
      <c r="GV50">
        <f>IFERROR(VLOOKUP($D50,'Kalkulator mięs '!$C$5:$H$533,GV$4,0)*$AL50,0)</f>
        <v>0</v>
      </c>
      <c r="GW50">
        <f>IFERROR(VLOOKUP($D50,'Kalkulator mięs '!$C$5:$H$533,GW$4,0)*$AM50,0)</f>
        <v>0</v>
      </c>
      <c r="GX50">
        <f>IFERROR(VLOOKUP($D50,'Kalkulator mięs '!$C$5:$H$533,GX$4,0)*$AM50,0)</f>
        <v>0</v>
      </c>
      <c r="GY50">
        <f>IFERROR(VLOOKUP($D50,'Kalkulator mięs '!$C$5:$H$533,GY$4,0)*$AM50,0)</f>
        <v>0</v>
      </c>
      <c r="GZ50">
        <f>IFERROR(VLOOKUP($D50,'Kalkulator mięs '!$C$5:$H$533,GZ$4,0)*$AN50,0)</f>
        <v>0</v>
      </c>
      <c r="HA50">
        <f>IFERROR(VLOOKUP($D50,'Kalkulator mięs '!$C$5:$H$533,HA$4,0)*$AN50,0)</f>
        <v>0</v>
      </c>
      <c r="HB50">
        <f>IFERROR(VLOOKUP($D50,'Kalkulator mięs '!$C$5:$H$533,HB$4,0)*$AN50,0)</f>
        <v>0</v>
      </c>
      <c r="HC50">
        <f>IFERROR(VLOOKUP($D50,'Kalkulator mięs '!$C$5:$H$533,HC$4,0)*$AO50,0)</f>
        <v>0</v>
      </c>
      <c r="HD50">
        <f>IFERROR(VLOOKUP($D50,'Kalkulator mięs '!$C$5:$H$533,HD$4,0)*$AO50,0)</f>
        <v>0</v>
      </c>
      <c r="HE50">
        <f>IFERROR(VLOOKUP($D50,'Kalkulator mięs '!$C$5:$H$533,HE$4,0)*$AO50,0)</f>
        <v>0</v>
      </c>
      <c r="HF50">
        <f>IFERROR(VLOOKUP($D50,'Kalkulator mięs '!$C$5:$H$533,HF$4,0)*$AP50,0)</f>
        <v>0</v>
      </c>
      <c r="HG50">
        <f>IFERROR(VLOOKUP($D50,'Kalkulator mięs '!$C$5:$H$533,HG$4,0)*$AP50,0)</f>
        <v>0</v>
      </c>
      <c r="HH50">
        <f>IFERROR(VLOOKUP($D50,'Kalkulator mięs '!$C$5:$H$533,HH$4,0)*$AP50,0)</f>
        <v>0</v>
      </c>
      <c r="HI50">
        <f>IFERROR(VLOOKUP($D50,'Kalkulator mięs '!$C$5:$H$533,HI$4,0)*$AQ50,0)</f>
        <v>0</v>
      </c>
      <c r="HJ50">
        <f>IFERROR(VLOOKUP($D50,'Kalkulator mięs '!$C$5:$H$533,HJ$4,0)*$AQ50,0)</f>
        <v>0</v>
      </c>
      <c r="HK50">
        <f>IFERROR(VLOOKUP($D50,'Kalkulator mięs '!$C$5:$H$533,HK$4,0)*$AQ50,0)</f>
        <v>0</v>
      </c>
      <c r="HL50">
        <f>IFERROR(VLOOKUP($D50,'Kalkulator mięs '!$C$5:$H$533,HL$4,0)*$AR50,0)</f>
        <v>0</v>
      </c>
      <c r="HM50">
        <f>IFERROR(VLOOKUP($D50,'Kalkulator mięs '!$C$5:$H$533,HM$4,0)*$AR50,0)</f>
        <v>0</v>
      </c>
      <c r="HN50">
        <f>IFERROR(VLOOKUP($D50,'Kalkulator mięs '!$C$5:$H$533,HN$4,0)*$AR50,0)</f>
        <v>0</v>
      </c>
      <c r="HO50">
        <f>IFERROR(VLOOKUP($D50,'Kalkulator mięs '!$C$5:$H$533,HO$4,0)*$AS50,0)</f>
        <v>0</v>
      </c>
      <c r="HP50">
        <f>IFERROR(VLOOKUP($D50,'Kalkulator mięs '!$C$5:$H$533,HP$4,0)*$AS50,0)</f>
        <v>0</v>
      </c>
      <c r="HQ50">
        <f>IFERROR(VLOOKUP($D50,'Kalkulator mięs '!$C$5:$H$533,HQ$4,0)*$AS50,0)</f>
        <v>0</v>
      </c>
      <c r="HR50">
        <f>IFERROR(VLOOKUP($D50,'Kalkulator mięs '!$C$5:$H$533,HR$4,0)*$AT50,0)</f>
        <v>0</v>
      </c>
      <c r="HS50">
        <f>IFERROR(VLOOKUP($D50,'Kalkulator mięs '!$C$5:$H$533,HS$4,0)*$AT50,0)</f>
        <v>0</v>
      </c>
      <c r="HT50">
        <f>IFERROR(VLOOKUP($D50,'Kalkulator mięs '!$C$5:$H$533,HT$4,0)*$AT50,0)</f>
        <v>0</v>
      </c>
      <c r="HU50">
        <f>IFERROR(VLOOKUP($D50,'Kalkulator mięs '!$C$5:$H$533,HU$4,0)*$AU50,0)</f>
        <v>0</v>
      </c>
      <c r="HV50">
        <f>IFERROR(VLOOKUP($D50,'Kalkulator mięs '!$C$5:$H$533,HV$4,0)*$AU50,0)</f>
        <v>0</v>
      </c>
      <c r="HW50">
        <f>IFERROR(VLOOKUP($D50,'Kalkulator mięs '!$C$5:$H$533,HW$4,0)*$AU50,0)</f>
        <v>0</v>
      </c>
      <c r="HX50">
        <f>IFERROR(VLOOKUP($D50,'Kalkulator mięs '!$C$5:$H$533,HX$4,0)*$AV50,0)</f>
        <v>0</v>
      </c>
      <c r="HY50">
        <f>IFERROR(VLOOKUP($D50,'Kalkulator mięs '!$C$5:$H$533,HY$4,0)*$AV50,0)</f>
        <v>0</v>
      </c>
      <c r="HZ50">
        <f>IFERROR(VLOOKUP($D50,'Kalkulator mięs '!$C$5:$H$533,HZ$4,0)*$AV50,0)</f>
        <v>0</v>
      </c>
      <c r="IA50">
        <f>IFERROR(VLOOKUP($D50,'Kalkulator mięs '!$C$5:$H$533,IA$4,0)*$AW50,0)</f>
        <v>0</v>
      </c>
      <c r="IB50">
        <f>IFERROR(VLOOKUP($D50,'Kalkulator mięs '!$C$5:$H$533,IB$4,0)*$AW50,0)</f>
        <v>0</v>
      </c>
      <c r="IC50">
        <f>IFERROR(VLOOKUP($D50,'Kalkulator mięs '!$C$5:$H$533,IC$4,0)*$AW50,0)</f>
        <v>0</v>
      </c>
      <c r="ID50">
        <f>IFERROR(VLOOKUP($D50,'Kalkulator mięs '!$C$5:$H$533,ID$4,0)*$AX50,0)</f>
        <v>0</v>
      </c>
      <c r="IE50">
        <f>IFERROR(VLOOKUP($D50,'Kalkulator mięs '!$C$5:$H$533,IE$4,0)*$AX50,0)</f>
        <v>0</v>
      </c>
      <c r="IF50">
        <f>IFERROR(VLOOKUP($D50,'Kalkulator mięs '!$C$5:$H$533,IF$4,0)*$AX50,0)</f>
        <v>0</v>
      </c>
      <c r="IG50">
        <f>IFERROR(VLOOKUP($D50,'Kalkulator mięs '!$C$5:$H$533,IG$4,0)*$AY50,0)</f>
        <v>0</v>
      </c>
      <c r="IH50">
        <f>IFERROR(VLOOKUP($D50,'Kalkulator mięs '!$C$5:$H$533,IH$4,0)*$AY50,0)</f>
        <v>0</v>
      </c>
      <c r="II50">
        <f>IFERROR(VLOOKUP($D50,'Kalkulator mięs '!$C$5:$H$533,II$4,0)*$AY50,0)</f>
        <v>0</v>
      </c>
      <c r="IJ50">
        <f>IFERROR(VLOOKUP($D50,'Kalkulator mięs '!$C$5:$H$533,IJ$4,0)*$AZ50,0)</f>
        <v>0</v>
      </c>
      <c r="IK50">
        <f>IFERROR(VLOOKUP($D50,'Kalkulator mięs '!$C$5:$H$533,IK$4,0)*$AZ50,0)</f>
        <v>0</v>
      </c>
      <c r="IL50">
        <f>IFERROR(VLOOKUP($D50,'Kalkulator mięs '!$C$5:$H$533,IL$4,0)*$AZ50,0)</f>
        <v>0</v>
      </c>
      <c r="IM50">
        <f>IFERROR(VLOOKUP($D50,'Kalkulator mięs '!$C$5:$H$533,IM$4,0)*$BA50,0)</f>
        <v>0</v>
      </c>
      <c r="IN50">
        <f>IFERROR(VLOOKUP($D50,'Kalkulator mięs '!$C$5:$H$533,IN$4,0)*$BA50,0)</f>
        <v>0</v>
      </c>
      <c r="IO50">
        <f>IFERROR(VLOOKUP($D50,'Kalkulator mięs '!$C$5:$H$533,IO$4,0)*$BA50,0)</f>
        <v>0</v>
      </c>
    </row>
    <row r="51" spans="1:249" ht="15.75">
      <c r="A51" s="91"/>
      <c r="B51" t="str">
        <f>VLOOKUP(D51,Receptury_z!$A:$B,2,0)</f>
        <v>ON</v>
      </c>
      <c r="C51" s="16">
        <v>5573</v>
      </c>
      <c r="D51" s="19">
        <v>6513</v>
      </c>
      <c r="E51" s="20" t="s">
        <v>190</v>
      </c>
      <c r="F51" s="14">
        <f>IF($B51="OFF",BE51,VLOOKUP($D51,Receptury_z!$D:$AI,F$4,0))</f>
        <v>0</v>
      </c>
      <c r="G51" s="14">
        <f>IF($B51="OFF",BF51,VLOOKUP($D51,Receptury_z!$D:$AI,G$4,0))</f>
        <v>0</v>
      </c>
      <c r="H51" s="14">
        <f>IF($B51="OFF",BG51,VLOOKUP($D51,Receptury_z!$D:$AI,H$4,0))</f>
        <v>0</v>
      </c>
      <c r="I51" s="14">
        <f>IF($B51="OFF",BH51,VLOOKUP($D51,Receptury_z!$D:$AI,I$4,0))</f>
        <v>0</v>
      </c>
      <c r="J51" s="14">
        <f>IF($B51="OFF",BI51,VLOOKUP($D51,Receptury_z!$D:$AI,J$4,0))</f>
        <v>0</v>
      </c>
      <c r="K51" s="14">
        <f>IF($B51="OFF",BJ51,VLOOKUP($D51,Receptury_z!$D:$AI,K$4,0))</f>
        <v>0</v>
      </c>
      <c r="L51" s="14">
        <f>IF($B51="OFF",BK51,VLOOKUP($D51,Receptury_z!$D:$AI,L$4,0))</f>
        <v>0</v>
      </c>
      <c r="M51" s="14">
        <f>IF($B51="OFF",BL51,VLOOKUP($D51,Receptury_z!$D:$AI,M$4,0))</f>
        <v>0</v>
      </c>
      <c r="N51" s="14">
        <f>IF($B51="OFF",BM51,VLOOKUP($D51,Receptury_z!$D:$AI,N$4,0))</f>
        <v>0</v>
      </c>
      <c r="O51" s="14">
        <f>IF($B51="OFF",BN51,VLOOKUP($D51,Receptury_z!$D:$AI,O$4,0))</f>
        <v>0</v>
      </c>
      <c r="P51" s="14">
        <f>IF($B51="OFF",BO51,VLOOKUP($D51,Receptury_z!$D:$AI,P$4,0))</f>
        <v>0</v>
      </c>
      <c r="Q51" s="14">
        <f>IF($B51="OFF",BP51,VLOOKUP($D51,Receptury_z!$D:$AI,Q$4,0))</f>
        <v>0</v>
      </c>
      <c r="R51" s="14">
        <f>IF($B51="OFF",BQ51,VLOOKUP($D51,Receptury_z!$D:$AI,R$4,0))</f>
        <v>74</v>
      </c>
      <c r="S51" s="14">
        <f>IF($B51="OFF",BR51,VLOOKUP($D51,Receptury_z!$D:$AI,S$4,0))</f>
        <v>0</v>
      </c>
      <c r="T51" s="14">
        <f>IF($B51="OFF",BS51,VLOOKUP($D51,Receptury_z!$D:$AI,T$4,0))</f>
        <v>259.5</v>
      </c>
      <c r="U51" s="14">
        <f>IF($B51="OFF",BT51,VLOOKUP($D51,Receptury_z!$D:$AI,U$4,0))</f>
        <v>172.8</v>
      </c>
      <c r="V51" s="14">
        <f>IF($B51="OFF",BU51,VLOOKUP($D51,Receptury_z!$D:$AI,V$4,0))</f>
        <v>0</v>
      </c>
      <c r="W51" s="14">
        <f>IF($B51="OFF",BV51,VLOOKUP($D51,Receptury_z!$D:$AI,W$4,0))</f>
        <v>0</v>
      </c>
      <c r="X51" s="14">
        <f>IF($B51="OFF",BW51,VLOOKUP($D51,Receptury_z!$D:$AI,X$4,0))</f>
        <v>110</v>
      </c>
      <c r="Y51" s="14">
        <f>IF($B51="OFF",BX51,VLOOKUP($D51,Receptury_z!$D:$AI,Y$4,0))</f>
        <v>0</v>
      </c>
      <c r="Z51" s="14">
        <f>IF($B51="OFF",BY51,VLOOKUP($D51,Receptury_z!$D:$AI,Z$4,0))</f>
        <v>0</v>
      </c>
      <c r="AA51" s="14">
        <f>IF($B51="OFF",BZ51,VLOOKUP($D51,Receptury_z!$D:$AI,AA$4,0))</f>
        <v>0</v>
      </c>
      <c r="AB51" s="14">
        <f>IF($B51="OFF",CA51,VLOOKUP($D51,Receptury_z!$D:$AI,AB$4,0))</f>
        <v>75</v>
      </c>
      <c r="AC51" s="14">
        <f>IF($B51="OFF",CB51,VLOOKUP($D51,Receptury_z!$D:$AI,AC$4,0))</f>
        <v>0</v>
      </c>
      <c r="AD51" s="14">
        <f>IF($B51="OFF",CC51,VLOOKUP($D51,Receptury_z!$D:$AI,AD$4,0))</f>
        <v>0</v>
      </c>
      <c r="AE51" s="14">
        <f>IF($B51="OFF",CD51,VLOOKUP($D51,Receptury_z!$D:$AI,AE$4,0))</f>
        <v>0</v>
      </c>
      <c r="AF51" s="14">
        <f>IF($B51="OFF",CE51,VLOOKUP($D51,Receptury_z!$D:$AI,AF$4,0))</f>
        <v>0</v>
      </c>
      <c r="AG51" s="14">
        <f>IF($B51="OFF",CF51,VLOOKUP($D51,Receptury_z!$D:$AI,AG$4,0))</f>
        <v>0</v>
      </c>
      <c r="AH51" s="14">
        <f>IF($B51="OFF",CG51,VLOOKUP($D51,Receptury_z!$D:$AI,AH$4,0))</f>
        <v>50</v>
      </c>
      <c r="AI51" s="14">
        <f>IF($B51="OFF",CH51,VLOOKUP($D51,Receptury_z!$D:$AI,AI$4,0))</f>
        <v>0</v>
      </c>
      <c r="AJ51" s="14">
        <f>IF($B51="OFF",CI51,VLOOKUP($D51,Receptury_z!$D:$AS,AJ$4,0))</f>
        <v>0</v>
      </c>
      <c r="AK51" s="14">
        <f>IF($B51="OFF",CJ51,VLOOKUP($D51,Receptury_z!$D:$AS,AK$4,0))</f>
        <v>0</v>
      </c>
      <c r="AL51" s="14">
        <f>IF($B51="OFF",CK51,VLOOKUP($D51,Receptury_z!$D:$AS,AL$4,0))</f>
        <v>0</v>
      </c>
      <c r="AM51" s="14">
        <f>IF($B51="OFF",CL51,VLOOKUP($D51,Receptury_z!$D:$AS,AM$4,0))</f>
        <v>0</v>
      </c>
      <c r="AN51" s="14">
        <f>IF($B51="OFF",CM51,VLOOKUP($D51,Receptury_z!$D:$AS,AN$4,0))</f>
        <v>0</v>
      </c>
      <c r="AO51" s="14">
        <f>IF($B51="OFF",CN51,VLOOKUP($D51,Receptury_z!$D:$AS,AO$4,0))</f>
        <v>0</v>
      </c>
      <c r="AP51" s="14">
        <f>IF($B51="OFF",CO51,VLOOKUP($D51,Receptury_z!$D:$AS,AP$4,0))</f>
        <v>0</v>
      </c>
      <c r="AQ51" s="14">
        <f>IF($B51="OFF",CP51,VLOOKUP($D51,Receptury_z!$D:$AS,AQ$4,0))</f>
        <v>0</v>
      </c>
      <c r="AR51" s="14">
        <f>IF($B51="OFF",CQ51,VLOOKUP($D51,Receptury_z!$D:$AS,AR$4,0))</f>
        <v>0</v>
      </c>
      <c r="AS51" s="14">
        <f>IF($B51="OFF",CR51,VLOOKUP($D51,Receptury_z!$D:$AS,AS$4,0))</f>
        <v>0</v>
      </c>
      <c r="AT51" s="14">
        <f>IF($B51="OFF",CS51,VLOOKUP($D51,Receptury_z!$D:$AV,AT$4,0))</f>
        <v>0</v>
      </c>
      <c r="AU51" s="14">
        <f>IF($B51="OFF",CT51,VLOOKUP($D51,Receptury_z!$D:$AV,AU$4,0))</f>
        <v>0</v>
      </c>
      <c r="AV51" s="14">
        <f>IF($B51="OFF",CU51,VLOOKUP($D51,Receptury_z!$D:$AV,AV$4,0))</f>
        <v>0</v>
      </c>
      <c r="AW51" s="14">
        <f>IF($B51="OFF",CV51,VLOOKUP($D51,Receptury_z!$D:$BA,AW$4,0))</f>
        <v>0</v>
      </c>
      <c r="AX51" s="14">
        <f>IF($B51="OFF",CW51,VLOOKUP($D51,Receptury_z!$D:$BA,AX$4,0))</f>
        <v>0</v>
      </c>
      <c r="AY51" s="14">
        <f>IF($B51="OFF",CX51,VLOOKUP($D51,Receptury_z!$D:$BA,AY$4,0))</f>
        <v>0</v>
      </c>
      <c r="AZ51" s="14">
        <f>IF($B51="OFF",DA51,VLOOKUP($D51,Receptury_z!$D:$BA,AZ$4,0))</f>
        <v>0</v>
      </c>
      <c r="BA51" s="14">
        <f>IF($B51="OFF",DB51,VLOOKUP($D51,Receptury_z!$D:$BA,BA$4,0))</f>
        <v>0</v>
      </c>
      <c r="BC51" s="19">
        <v>6513</v>
      </c>
      <c r="BD51" s="20" t="s">
        <v>190</v>
      </c>
      <c r="BE51" s="239">
        <v>0</v>
      </c>
      <c r="BF51" s="239">
        <v>0</v>
      </c>
      <c r="BG51" s="239">
        <v>0</v>
      </c>
      <c r="BH51" s="239">
        <v>0</v>
      </c>
      <c r="BI51" s="240">
        <v>0</v>
      </c>
      <c r="BJ51" s="239">
        <v>0</v>
      </c>
      <c r="BK51" s="239">
        <v>0</v>
      </c>
      <c r="BL51" s="239">
        <v>0</v>
      </c>
      <c r="BM51" s="239">
        <v>0</v>
      </c>
      <c r="BN51" s="239">
        <v>0</v>
      </c>
      <c r="BO51" s="239">
        <v>0</v>
      </c>
      <c r="BP51" s="239">
        <v>0</v>
      </c>
      <c r="BQ51" s="239">
        <v>74</v>
      </c>
      <c r="BR51" s="239">
        <v>0</v>
      </c>
      <c r="BS51" s="239">
        <v>148</v>
      </c>
      <c r="BT51" s="239">
        <v>222</v>
      </c>
      <c r="BU51" s="239">
        <v>0</v>
      </c>
      <c r="BV51" s="239">
        <v>0</v>
      </c>
      <c r="BW51" s="239">
        <v>111</v>
      </c>
      <c r="BX51" s="239">
        <v>0</v>
      </c>
      <c r="BY51" s="239">
        <v>0</v>
      </c>
      <c r="BZ51" s="239">
        <v>0</v>
      </c>
      <c r="CA51" s="239">
        <v>74</v>
      </c>
      <c r="CB51" s="239">
        <v>0</v>
      </c>
      <c r="CC51" s="239">
        <v>0</v>
      </c>
      <c r="CD51" s="239">
        <v>0</v>
      </c>
      <c r="CE51" s="239">
        <v>0</v>
      </c>
      <c r="CF51" s="239">
        <v>0</v>
      </c>
      <c r="CG51" s="239">
        <v>0</v>
      </c>
      <c r="CH51" s="239">
        <v>0</v>
      </c>
      <c r="CI51" s="239">
        <v>0</v>
      </c>
      <c r="CJ51" s="239">
        <v>0</v>
      </c>
      <c r="CK51" s="239">
        <v>0</v>
      </c>
      <c r="CL51" s="239">
        <v>0</v>
      </c>
      <c r="CM51" s="80"/>
      <c r="CN51" s="80"/>
      <c r="CO51" s="80"/>
      <c r="CP51" s="80"/>
      <c r="CQ51" s="80"/>
      <c r="CR51" s="80"/>
      <c r="CS51" s="241">
        <v>111</v>
      </c>
      <c r="CT51" s="80"/>
      <c r="CU51" s="80"/>
      <c r="CV51" s="80"/>
      <c r="CW51" s="80"/>
      <c r="CX51" s="80"/>
      <c r="CY51" s="80"/>
      <c r="CZ51" s="80"/>
      <c r="DB51">
        <f>IFERROR(VLOOKUP($D51,'Kalkulator mięs '!$C$5:$H$533,DB$4,0)*F51,0)</f>
        <v>0</v>
      </c>
      <c r="DC51">
        <f>IFERROR(VLOOKUP($D51,'Kalkulator mięs '!$C$5:$H$533,DC$4,0)*F51,0)</f>
        <v>0</v>
      </c>
      <c r="DD51">
        <f>IFERROR(VLOOKUP($D51,'Kalkulator mięs '!$C$5:$H$533,DD$4,0)*F51,0)</f>
        <v>0</v>
      </c>
      <c r="DE51">
        <f>IFERROR(VLOOKUP($D51,'Kalkulator mięs '!$C$5:$H$533,DE$4,0)*$G51,0)</f>
        <v>0</v>
      </c>
      <c r="DF51">
        <f>IFERROR(VLOOKUP($D51,'Kalkulator mięs '!$C$5:$H$533,DF$4,0)*$G51,0)</f>
        <v>0</v>
      </c>
      <c r="DG51">
        <f>IFERROR(VLOOKUP($D51,'Kalkulator mięs '!$C$5:$H$533,DG$4,0)*$G51,0)</f>
        <v>0</v>
      </c>
      <c r="DH51">
        <f>IFERROR(VLOOKUP($D51,'Kalkulator mięs '!$C$5:$H$533,DH$4,0)*$H51,0)</f>
        <v>0</v>
      </c>
      <c r="DI51">
        <f>IFERROR(VLOOKUP($D51,'Kalkulator mięs '!$C$5:$H$533,DI$4,0)*$H51,0)</f>
        <v>0</v>
      </c>
      <c r="DJ51">
        <f>IFERROR(VLOOKUP($D51,'Kalkulator mięs '!$C$5:$H$533,DJ$4,0)*$H51,0)</f>
        <v>0</v>
      </c>
      <c r="DK51">
        <f>IFERROR(VLOOKUP($D51,'Kalkulator mięs '!$C$5:$H$533,DK$4,0)*$I51,0)</f>
        <v>0</v>
      </c>
      <c r="DL51">
        <f>IFERROR(VLOOKUP($D51,'Kalkulator mięs '!$C$5:$H$533,DL$4,0)*$I51,0)</f>
        <v>0</v>
      </c>
      <c r="DM51">
        <f>IFERROR(VLOOKUP($D51,'Kalkulator mięs '!$C$5:$H$533,DM$4,0)*$I51,0)</f>
        <v>0</v>
      </c>
      <c r="DN51">
        <f>IFERROR(VLOOKUP($D51,'Kalkulator mięs '!$C$5:$H$533,DN$4,0)*$J51,0)</f>
        <v>0</v>
      </c>
      <c r="DO51">
        <f>IFERROR(VLOOKUP($D51,'Kalkulator mięs '!$C$5:$H$533,DO$4,0)*$J51,0)</f>
        <v>0</v>
      </c>
      <c r="DP51">
        <f>IFERROR(VLOOKUP($D51,'Kalkulator mięs '!$C$5:$H$533,DP$4,0)*$J51,0)</f>
        <v>0</v>
      </c>
      <c r="DQ51">
        <f>IFERROR(VLOOKUP($D51,'Kalkulator mięs '!$C$5:$H$533,DQ$4,0)*$K51,0)</f>
        <v>0</v>
      </c>
      <c r="DR51">
        <f>IFERROR(VLOOKUP($D51,'Kalkulator mięs '!$C$5:$H$533,DR$4,0)*$K51,0)</f>
        <v>0</v>
      </c>
      <c r="DS51">
        <f>IFERROR(VLOOKUP($D51,'Kalkulator mięs '!$C$5:$H$533,DS$4,0)*$K51,0)</f>
        <v>0</v>
      </c>
      <c r="DT51">
        <f>IFERROR(VLOOKUP($D51,'Kalkulator mięs '!$C$5:$H$533,DT$4,0)*$L51,0)</f>
        <v>0</v>
      </c>
      <c r="DU51">
        <f>IFERROR(VLOOKUP($D51,'Kalkulator mięs '!$C$5:$H$533,DU$4,0)*$L51,0)</f>
        <v>0</v>
      </c>
      <c r="DV51">
        <f>IFERROR(VLOOKUP($D51,'Kalkulator mięs '!$C$5:$H$533,DV$4,0)*$L51,0)</f>
        <v>0</v>
      </c>
      <c r="DW51">
        <f>IFERROR(VLOOKUP($D51,'Kalkulator mięs '!$C$5:$H$533,DW$4,0)*$M51,0)</f>
        <v>0</v>
      </c>
      <c r="DX51">
        <f>IFERROR(VLOOKUP($D51,'Kalkulator mięs '!$C$5:$H$533,DX$4,0)*$M51,0)</f>
        <v>0</v>
      </c>
      <c r="DY51">
        <f>IFERROR(VLOOKUP($D51,'Kalkulator mięs '!$C$5:$H$533,DY$4,0)*$M51,0)</f>
        <v>0</v>
      </c>
      <c r="DZ51">
        <f>IFERROR(VLOOKUP($D51,'Kalkulator mięs '!$C$5:$H$533,DZ$4,0)*$N51,0)</f>
        <v>0</v>
      </c>
      <c r="EA51">
        <f>IFERROR(VLOOKUP($D51,'Kalkulator mięs '!$C$5:$H$533,EA$4,0)*$N51,0)</f>
        <v>0</v>
      </c>
      <c r="EB51">
        <f>IFERROR(VLOOKUP($D51,'Kalkulator mięs '!$C$5:$H$533,EB$4,0)*$N51,0)</f>
        <v>0</v>
      </c>
      <c r="EC51">
        <f>IFERROR(VLOOKUP($D51,'Kalkulator mięs '!$C$5:$H$533,EC$4,0)*$O51,0)</f>
        <v>0</v>
      </c>
      <c r="ED51">
        <f>IFERROR(VLOOKUP($D51,'Kalkulator mięs '!$C$5:$H$533,ED$4,0)*$O51,0)</f>
        <v>0</v>
      </c>
      <c r="EE51">
        <f>IFERROR(VLOOKUP($D51,'Kalkulator mięs '!$C$5:$H$533,EE$4,0)*$O51,0)</f>
        <v>0</v>
      </c>
      <c r="EF51">
        <f>IFERROR(VLOOKUP($D51,'Kalkulator mięs '!$C$5:$H$533,EF$4,0)*$P51,0)</f>
        <v>0</v>
      </c>
      <c r="EG51">
        <f>IFERROR(VLOOKUP($D51,'Kalkulator mięs '!$C$5:$H$533,EG$4,0)*$P51,0)</f>
        <v>0</v>
      </c>
      <c r="EH51">
        <f>IFERROR(VLOOKUP($D51,'Kalkulator mięs '!$C$5:$H$533,EH$4,0)*$P51,0)</f>
        <v>0</v>
      </c>
      <c r="EI51">
        <f>IFERROR(VLOOKUP($D51,'Kalkulator mięs '!$C$5:$H$533,EI$4,0)*$Q51,0)</f>
        <v>0</v>
      </c>
      <c r="EJ51">
        <f>IFERROR(VLOOKUP($D51,'Kalkulator mięs '!$C$5:$H$533,EJ$4,0)*$Q51,0)</f>
        <v>0</v>
      </c>
      <c r="EK51">
        <f>IFERROR(VLOOKUP($D51,'Kalkulator mięs '!$C$5:$H$533,EK$4,0)*$Q51,0)</f>
        <v>0</v>
      </c>
      <c r="EL51">
        <f>IFERROR(VLOOKUP($D51,'Kalkulator mięs '!$C$5:$H$533,EL$4,0)*$R51,0)</f>
        <v>0</v>
      </c>
      <c r="EM51">
        <f>IFERROR(VLOOKUP($D51,'Kalkulator mięs '!$C$5:$H$533,EM$4,0)*$R51,0)</f>
        <v>0</v>
      </c>
      <c r="EN51">
        <f>IFERROR(VLOOKUP($D51,'Kalkulator mięs '!$C$5:$H$533,EN$4,0)*$R51,0)</f>
        <v>666</v>
      </c>
      <c r="EO51">
        <f>IFERROR(VLOOKUP($D51,'Kalkulator mięs '!$C$5:$H$533,EO$4,0)*$S51,0)</f>
        <v>0</v>
      </c>
      <c r="EP51">
        <f>IFERROR(VLOOKUP($D51,'Kalkulator mięs '!$C$5:$H$533,EP$4,0)*$S51,0)</f>
        <v>0</v>
      </c>
      <c r="EQ51">
        <f>IFERROR(VLOOKUP($D51,'Kalkulator mięs '!$C$5:$H$533,EQ$4,0)*$S51,0)</f>
        <v>0</v>
      </c>
      <c r="ER51">
        <f>IFERROR(VLOOKUP($D51,'Kalkulator mięs '!$C$5:$H$533,ER$4,0)*$T51,0)</f>
        <v>0</v>
      </c>
      <c r="ES51">
        <f>IFERROR(VLOOKUP($D51,'Kalkulator mięs '!$C$5:$H$533,ES$4,0)*$T51,0)</f>
        <v>0</v>
      </c>
      <c r="ET51">
        <f>IFERROR(VLOOKUP($D51,'Kalkulator mięs '!$C$5:$H$533,ET$4,0)*$T51,0)</f>
        <v>2335.5</v>
      </c>
      <c r="EU51">
        <f>IFERROR(VLOOKUP($D51,'Kalkulator mięs '!$C$5:$H$533,EU$4,0)*$U51,0)</f>
        <v>0</v>
      </c>
      <c r="EV51">
        <f>IFERROR(VLOOKUP($D51,'Kalkulator mięs '!$C$5:$H$533,EV$4,0)*$U51,0)</f>
        <v>0</v>
      </c>
      <c r="EW51">
        <f>IFERROR(VLOOKUP($D51,'Kalkulator mięs '!$C$5:$H$533,EW$4,0)*$U51,0)</f>
        <v>1555.2</v>
      </c>
      <c r="EX51">
        <f>IFERROR(VLOOKUP($D51,'Kalkulator mięs '!$C$5:$H$533,EX$4,0)*$V51,0)</f>
        <v>0</v>
      </c>
      <c r="EY51">
        <f>IFERROR(VLOOKUP($D51,'Kalkulator mięs '!$C$5:$H$533,EY$4,0)*$V51,0)</f>
        <v>0</v>
      </c>
      <c r="EZ51">
        <f>IFERROR(VLOOKUP($D51,'Kalkulator mięs '!$C$5:$H$533,EZ$4,0)*$V51,0)</f>
        <v>0</v>
      </c>
      <c r="FA51">
        <f>IFERROR(VLOOKUP($D51,'Kalkulator mięs '!$C$5:$H$533,FA$4,0)*$W51,0)</f>
        <v>0</v>
      </c>
      <c r="FB51">
        <f>IFERROR(VLOOKUP($D51,'Kalkulator mięs '!$C$5:$H$533,FB$4,0)*$W51,0)</f>
        <v>0</v>
      </c>
      <c r="FC51">
        <f>IFERROR(VLOOKUP($D51,'Kalkulator mięs '!$C$5:$H$533,FC$4,0)*$W51,0)</f>
        <v>0</v>
      </c>
      <c r="FD51">
        <f>IFERROR(VLOOKUP($D51,'Kalkulator mięs '!$C$5:$H$533,FD$4,0)*$X51,0)</f>
        <v>0</v>
      </c>
      <c r="FE51">
        <f>IFERROR(VLOOKUP($D51,'Kalkulator mięs '!$C$5:$H$533,FE$4,0)*$X51,0)</f>
        <v>0</v>
      </c>
      <c r="FF51">
        <f>IFERROR(VLOOKUP($D51,'Kalkulator mięs '!$C$5:$H$533,FF$4,0)*$X51,0)</f>
        <v>990</v>
      </c>
      <c r="FG51">
        <f>IFERROR(VLOOKUP($D51,'Kalkulator mięs '!$C$5:$H$533,FG$4,0)*$Y51,0)</f>
        <v>0</v>
      </c>
      <c r="FH51">
        <f>IFERROR(VLOOKUP($D51,'Kalkulator mięs '!$C$5:$H$533,FH$4,0)*$Y51,0)</f>
        <v>0</v>
      </c>
      <c r="FI51">
        <f>IFERROR(VLOOKUP($D51,'Kalkulator mięs '!$C$5:$H$533,FI$4,0)*$Y51,0)</f>
        <v>0</v>
      </c>
      <c r="FJ51">
        <f>IFERROR(VLOOKUP($D51,'Kalkulator mięs '!$C$5:$H$533,FJ$4,0)*$Z51,0)</f>
        <v>0</v>
      </c>
      <c r="FK51">
        <f>IFERROR(VLOOKUP($D51,'Kalkulator mięs '!$C$5:$H$533,FK$4,0)*$Z51,0)</f>
        <v>0</v>
      </c>
      <c r="FL51">
        <f>IFERROR(VLOOKUP($D51,'Kalkulator mięs '!$C$5:$H$533,FL$4,0)*$Z51,0)</f>
        <v>0</v>
      </c>
      <c r="FM51">
        <f>IFERROR(VLOOKUP($D51,'Kalkulator mięs '!$C$5:$H$533,FM$4,0)*$AA51,0)</f>
        <v>0</v>
      </c>
      <c r="FN51">
        <f>IFERROR(VLOOKUP($D51,'Kalkulator mięs '!$C$5:$H$533,FN$4,0)*$AA51,0)</f>
        <v>0</v>
      </c>
      <c r="FO51">
        <f>IFERROR(VLOOKUP($D51,'Kalkulator mięs '!$C$5:$H$533,FO$4,0)*$AA51,0)</f>
        <v>0</v>
      </c>
      <c r="FP51">
        <f>IFERROR(VLOOKUP($D51,'Kalkulator mięs '!$C$5:$H$533,FP$4,0)*$AB51,0)</f>
        <v>0</v>
      </c>
      <c r="FQ51">
        <f>IFERROR(VLOOKUP($D51,'Kalkulator mięs '!$C$5:$H$533,FQ$4,0)*$AB51,0)</f>
        <v>0</v>
      </c>
      <c r="FR51">
        <f>IFERROR(VLOOKUP($D51,'Kalkulator mięs '!$C$5:$H$533,FR$4,0)*$AB51,0)</f>
        <v>675</v>
      </c>
      <c r="FS51">
        <f>IFERROR(VLOOKUP($D51,'Kalkulator mięs '!$C$5:$H$533,FS$4,0)*$AC51,0)</f>
        <v>0</v>
      </c>
      <c r="FT51">
        <f>IFERROR(VLOOKUP($D51,'Kalkulator mięs '!$C$5:$H$533,FT$4,0)*$AC51,0)</f>
        <v>0</v>
      </c>
      <c r="FU51">
        <f>IFERROR(VLOOKUP($D51,'Kalkulator mięs '!$C$5:$H$533,FU$4,0)*$AC51,0)</f>
        <v>0</v>
      </c>
      <c r="FV51">
        <f>IFERROR(VLOOKUP($D51,'Kalkulator mięs '!$C$5:$H$533,FV$4,0)*$AD51,0)</f>
        <v>0</v>
      </c>
      <c r="FW51">
        <f>IFERROR(VLOOKUP($D51,'Kalkulator mięs '!$C$5:$H$533,FW$4,0)*$AD51,0)</f>
        <v>0</v>
      </c>
      <c r="FX51">
        <f>IFERROR(VLOOKUP($D51,'Kalkulator mięs '!$C$5:$H$533,FX$4,0)*$AD51,0)</f>
        <v>0</v>
      </c>
      <c r="FY51">
        <f>IFERROR(VLOOKUP($D51,'Kalkulator mięs '!$C$5:$H$533,FY$4,0)*$AE51,0)</f>
        <v>0</v>
      </c>
      <c r="FZ51">
        <f>IFERROR(VLOOKUP($D51,'Kalkulator mięs '!$C$5:$H$533,FZ$4,0)*$AE51,0)</f>
        <v>0</v>
      </c>
      <c r="GA51">
        <f>IFERROR(VLOOKUP($D51,'Kalkulator mięs '!$C$5:$H$533,GA$4,0)*$AE51,0)</f>
        <v>0</v>
      </c>
      <c r="GB51">
        <f>IFERROR(VLOOKUP($D51,'Kalkulator mięs '!$C$5:$H$533,GB$4,0)*$AF51,0)</f>
        <v>0</v>
      </c>
      <c r="GC51">
        <f>IFERROR(VLOOKUP($D51,'Kalkulator mięs '!$C$5:$H$533,GC$4,0)*$AF51,0)</f>
        <v>0</v>
      </c>
      <c r="GD51">
        <f>IFERROR(VLOOKUP($D51,'Kalkulator mięs '!$C$5:$H$533,GD$4,0)*$AF51,0)</f>
        <v>0</v>
      </c>
      <c r="GE51">
        <f>IFERROR(VLOOKUP($D51,'Kalkulator mięs '!$C$5:$H$533,GE$4,0)*$AG51,0)</f>
        <v>0</v>
      </c>
      <c r="GF51">
        <f>IFERROR(VLOOKUP($D51,'Kalkulator mięs '!$C$5:$H$533,GF$4,0)*$AG51,0)</f>
        <v>0</v>
      </c>
      <c r="GG51">
        <f>IFERROR(VLOOKUP($D51,'Kalkulator mięs '!$C$5:$H$533,GG$4,0)*$AG51,0)</f>
        <v>0</v>
      </c>
      <c r="GH51">
        <f>IFERROR(VLOOKUP($D51,'Kalkulator mięs '!$C$5:$H$533,GH$4,0)*$AH51,0)</f>
        <v>0</v>
      </c>
      <c r="GI51">
        <f>IFERROR(VLOOKUP($D51,'Kalkulator mięs '!$C$5:$H$533,GI$4,0)*$AH51,0)</f>
        <v>0</v>
      </c>
      <c r="GJ51">
        <f>IFERROR(VLOOKUP($D51,'Kalkulator mięs '!$C$5:$H$533,GJ$4,0)*$AH51,0)</f>
        <v>450</v>
      </c>
      <c r="GK51">
        <f>IFERROR(VLOOKUP($D51,'Kalkulator mięs '!$C$5:$H$533,GK$4,0)*$AI51,0)</f>
        <v>0</v>
      </c>
      <c r="GL51">
        <f>IFERROR(VLOOKUP($D51,'Kalkulator mięs '!$C$5:$H$533,GL$4,0)*$AI51,0)</f>
        <v>0</v>
      </c>
      <c r="GM51">
        <f>IFERROR(VLOOKUP($D51,'Kalkulator mięs '!$C$5:$H$533,GM$4,0)*$AI51,0)</f>
        <v>0</v>
      </c>
      <c r="GN51">
        <f>IFERROR(VLOOKUP($D51,'Kalkulator mięs '!$C$5:$H$533,GN$4,0)*$AJ51,0)</f>
        <v>0</v>
      </c>
      <c r="GO51">
        <f>IFERROR(VLOOKUP($D51,'Kalkulator mięs '!$C$5:$H$533,GO$4,0)*$AJ51,0)</f>
        <v>0</v>
      </c>
      <c r="GP51">
        <f>IFERROR(VLOOKUP($D51,'Kalkulator mięs '!$C$5:$H$533,GP$4,0)*$AJ51,0)</f>
        <v>0</v>
      </c>
      <c r="GQ51">
        <f>IFERROR(VLOOKUP($D51,'Kalkulator mięs '!$C$5:$H$533,GQ$4,0)*$AK51,0)</f>
        <v>0</v>
      </c>
      <c r="GR51">
        <f>IFERROR(VLOOKUP($D51,'Kalkulator mięs '!$C$5:$H$533,GR$4,0)*$AK51,0)</f>
        <v>0</v>
      </c>
      <c r="GS51">
        <f>IFERROR(VLOOKUP($D51,'Kalkulator mięs '!$C$5:$H$533,GS$4,0)*$AK51,0)</f>
        <v>0</v>
      </c>
      <c r="GT51">
        <f>IFERROR(VLOOKUP($D51,'Kalkulator mięs '!$C$5:$H$533,GT$4,0)*$AL51,0)</f>
        <v>0</v>
      </c>
      <c r="GU51">
        <f>IFERROR(VLOOKUP($D51,'Kalkulator mięs '!$C$5:$H$533,GU$4,0)*$AL51,0)</f>
        <v>0</v>
      </c>
      <c r="GV51">
        <f>IFERROR(VLOOKUP($D51,'Kalkulator mięs '!$C$5:$H$533,GV$4,0)*$AL51,0)</f>
        <v>0</v>
      </c>
      <c r="GW51">
        <f>IFERROR(VLOOKUP($D51,'Kalkulator mięs '!$C$5:$H$533,GW$4,0)*$AM51,0)</f>
        <v>0</v>
      </c>
      <c r="GX51">
        <f>IFERROR(VLOOKUP($D51,'Kalkulator mięs '!$C$5:$H$533,GX$4,0)*$AM51,0)</f>
        <v>0</v>
      </c>
      <c r="GY51">
        <f>IFERROR(VLOOKUP($D51,'Kalkulator mięs '!$C$5:$H$533,GY$4,0)*$AM51,0)</f>
        <v>0</v>
      </c>
      <c r="GZ51">
        <f>IFERROR(VLOOKUP($D51,'Kalkulator mięs '!$C$5:$H$533,GZ$4,0)*$AN51,0)</f>
        <v>0</v>
      </c>
      <c r="HA51">
        <f>IFERROR(VLOOKUP($D51,'Kalkulator mięs '!$C$5:$H$533,HA$4,0)*$AN51,0)</f>
        <v>0</v>
      </c>
      <c r="HB51">
        <f>IFERROR(VLOOKUP($D51,'Kalkulator mięs '!$C$5:$H$533,HB$4,0)*$AN51,0)</f>
        <v>0</v>
      </c>
      <c r="HC51">
        <f>IFERROR(VLOOKUP($D51,'Kalkulator mięs '!$C$5:$H$533,HC$4,0)*$AO51,0)</f>
        <v>0</v>
      </c>
      <c r="HD51">
        <f>IFERROR(VLOOKUP($D51,'Kalkulator mięs '!$C$5:$H$533,HD$4,0)*$AO51,0)</f>
        <v>0</v>
      </c>
      <c r="HE51">
        <f>IFERROR(VLOOKUP($D51,'Kalkulator mięs '!$C$5:$H$533,HE$4,0)*$AO51,0)</f>
        <v>0</v>
      </c>
      <c r="HF51">
        <f>IFERROR(VLOOKUP($D51,'Kalkulator mięs '!$C$5:$H$533,HF$4,0)*$AP51,0)</f>
        <v>0</v>
      </c>
      <c r="HG51">
        <f>IFERROR(VLOOKUP($D51,'Kalkulator mięs '!$C$5:$H$533,HG$4,0)*$AP51,0)</f>
        <v>0</v>
      </c>
      <c r="HH51">
        <f>IFERROR(VLOOKUP($D51,'Kalkulator mięs '!$C$5:$H$533,HH$4,0)*$AP51,0)</f>
        <v>0</v>
      </c>
      <c r="HI51">
        <f>IFERROR(VLOOKUP($D51,'Kalkulator mięs '!$C$5:$H$533,HI$4,0)*$AQ51,0)</f>
        <v>0</v>
      </c>
      <c r="HJ51">
        <f>IFERROR(VLOOKUP($D51,'Kalkulator mięs '!$C$5:$H$533,HJ$4,0)*$AQ51,0)</f>
        <v>0</v>
      </c>
      <c r="HK51">
        <f>IFERROR(VLOOKUP($D51,'Kalkulator mięs '!$C$5:$H$533,HK$4,0)*$AQ51,0)</f>
        <v>0</v>
      </c>
      <c r="HL51">
        <f>IFERROR(VLOOKUP($D51,'Kalkulator mięs '!$C$5:$H$533,HL$4,0)*$AR51,0)</f>
        <v>0</v>
      </c>
      <c r="HM51">
        <f>IFERROR(VLOOKUP($D51,'Kalkulator mięs '!$C$5:$H$533,HM$4,0)*$AR51,0)</f>
        <v>0</v>
      </c>
      <c r="HN51">
        <f>IFERROR(VLOOKUP($D51,'Kalkulator mięs '!$C$5:$H$533,HN$4,0)*$AR51,0)</f>
        <v>0</v>
      </c>
      <c r="HO51">
        <f>IFERROR(VLOOKUP($D51,'Kalkulator mięs '!$C$5:$H$533,HO$4,0)*$AS51,0)</f>
        <v>0</v>
      </c>
      <c r="HP51">
        <f>IFERROR(VLOOKUP($D51,'Kalkulator mięs '!$C$5:$H$533,HP$4,0)*$AS51,0)</f>
        <v>0</v>
      </c>
      <c r="HQ51">
        <f>IFERROR(VLOOKUP($D51,'Kalkulator mięs '!$C$5:$H$533,HQ$4,0)*$AS51,0)</f>
        <v>0</v>
      </c>
      <c r="HR51">
        <f>IFERROR(VLOOKUP($D51,'Kalkulator mięs '!$C$5:$H$533,HR$4,0)*$AT51,0)</f>
        <v>0</v>
      </c>
      <c r="HS51">
        <f>IFERROR(VLOOKUP($D51,'Kalkulator mięs '!$C$5:$H$533,HS$4,0)*$AT51,0)</f>
        <v>0</v>
      </c>
      <c r="HT51">
        <f>IFERROR(VLOOKUP($D51,'Kalkulator mięs '!$C$5:$H$533,HT$4,0)*$AT51,0)</f>
        <v>0</v>
      </c>
      <c r="HU51">
        <f>IFERROR(VLOOKUP($D51,'Kalkulator mięs '!$C$5:$H$533,HU$4,0)*$AU51,0)</f>
        <v>0</v>
      </c>
      <c r="HV51">
        <f>IFERROR(VLOOKUP($D51,'Kalkulator mięs '!$C$5:$H$533,HV$4,0)*$AU51,0)</f>
        <v>0</v>
      </c>
      <c r="HW51">
        <f>IFERROR(VLOOKUP($D51,'Kalkulator mięs '!$C$5:$H$533,HW$4,0)*$AU51,0)</f>
        <v>0</v>
      </c>
      <c r="HX51">
        <f>IFERROR(VLOOKUP($D51,'Kalkulator mięs '!$C$5:$H$533,HX$4,0)*$AV51,0)</f>
        <v>0</v>
      </c>
      <c r="HY51">
        <f>IFERROR(VLOOKUP($D51,'Kalkulator mięs '!$C$5:$H$533,HY$4,0)*$AV51,0)</f>
        <v>0</v>
      </c>
      <c r="HZ51">
        <f>IFERROR(VLOOKUP($D51,'Kalkulator mięs '!$C$5:$H$533,HZ$4,0)*$AV51,0)</f>
        <v>0</v>
      </c>
      <c r="IA51">
        <f>IFERROR(VLOOKUP($D51,'Kalkulator mięs '!$C$5:$H$533,IA$4,0)*$AW51,0)</f>
        <v>0</v>
      </c>
      <c r="IB51">
        <f>IFERROR(VLOOKUP($D51,'Kalkulator mięs '!$C$5:$H$533,IB$4,0)*$AW51,0)</f>
        <v>0</v>
      </c>
      <c r="IC51">
        <f>IFERROR(VLOOKUP($D51,'Kalkulator mięs '!$C$5:$H$533,IC$4,0)*$AW51,0)</f>
        <v>0</v>
      </c>
      <c r="ID51">
        <f>IFERROR(VLOOKUP($D51,'Kalkulator mięs '!$C$5:$H$533,ID$4,0)*$AX51,0)</f>
        <v>0</v>
      </c>
      <c r="IE51">
        <f>IFERROR(VLOOKUP($D51,'Kalkulator mięs '!$C$5:$H$533,IE$4,0)*$AX51,0)</f>
        <v>0</v>
      </c>
      <c r="IF51">
        <f>IFERROR(VLOOKUP($D51,'Kalkulator mięs '!$C$5:$H$533,IF$4,0)*$AX51,0)</f>
        <v>0</v>
      </c>
      <c r="IG51">
        <f>IFERROR(VLOOKUP($D51,'Kalkulator mięs '!$C$5:$H$533,IG$4,0)*$AY51,0)</f>
        <v>0</v>
      </c>
      <c r="IH51">
        <f>IFERROR(VLOOKUP($D51,'Kalkulator mięs '!$C$5:$H$533,IH$4,0)*$AY51,0)</f>
        <v>0</v>
      </c>
      <c r="II51">
        <f>IFERROR(VLOOKUP($D51,'Kalkulator mięs '!$C$5:$H$533,II$4,0)*$AY51,0)</f>
        <v>0</v>
      </c>
      <c r="IJ51">
        <f>IFERROR(VLOOKUP($D51,'Kalkulator mięs '!$C$5:$H$533,IJ$4,0)*$AZ51,0)</f>
        <v>0</v>
      </c>
      <c r="IK51">
        <f>IFERROR(VLOOKUP($D51,'Kalkulator mięs '!$C$5:$H$533,IK$4,0)*$AZ51,0)</f>
        <v>0</v>
      </c>
      <c r="IL51">
        <f>IFERROR(VLOOKUP($D51,'Kalkulator mięs '!$C$5:$H$533,IL$4,0)*$AZ51,0)</f>
        <v>0</v>
      </c>
      <c r="IM51">
        <f>IFERROR(VLOOKUP($D51,'Kalkulator mięs '!$C$5:$H$533,IM$4,0)*$BA51,0)</f>
        <v>0</v>
      </c>
      <c r="IN51">
        <f>IFERROR(VLOOKUP($D51,'Kalkulator mięs '!$C$5:$H$533,IN$4,0)*$BA51,0)</f>
        <v>0</v>
      </c>
      <c r="IO51">
        <f>IFERROR(VLOOKUP($D51,'Kalkulator mięs '!$C$5:$H$533,IO$4,0)*$BA51,0)</f>
        <v>0</v>
      </c>
    </row>
    <row r="52" spans="1:249" ht="15.75">
      <c r="A52" s="91"/>
      <c r="B52" t="str">
        <f>VLOOKUP(D52,Receptury_z!$A:$B,2,0)</f>
        <v>ON</v>
      </c>
      <c r="C52" s="16">
        <v>5696</v>
      </c>
      <c r="D52" s="19">
        <v>6500</v>
      </c>
      <c r="E52" s="664" t="s">
        <v>17952</v>
      </c>
      <c r="F52" s="14">
        <f>IF($B52="OFF",BE52,VLOOKUP($D52,Receptury_z!$D:$AI,F$4,0))</f>
        <v>0</v>
      </c>
      <c r="G52" s="14">
        <f>IF($B52="OFF",BF52,VLOOKUP($D52,Receptury_z!$D:$AI,G$4,0))</f>
        <v>0</v>
      </c>
      <c r="H52" s="14">
        <f>IF($B52="OFF",BG52,VLOOKUP($D52,Receptury_z!$D:$AI,H$4,0))</f>
        <v>0</v>
      </c>
      <c r="I52" s="14">
        <f>IF($B52="OFF",BH52,VLOOKUP($D52,Receptury_z!$D:$AI,I$4,0))</f>
        <v>0</v>
      </c>
      <c r="J52" s="14">
        <f>IF($B52="OFF",BI52,VLOOKUP($D52,Receptury_z!$D:$AI,J$4,0))</f>
        <v>0</v>
      </c>
      <c r="K52" s="14">
        <f>IF($B52="OFF",BJ52,VLOOKUP($D52,Receptury_z!$D:$AI,K$4,0))</f>
        <v>0</v>
      </c>
      <c r="L52" s="14">
        <f>IF($B52="OFF",BK52,VLOOKUP($D52,Receptury_z!$D:$AI,L$4,0))</f>
        <v>0</v>
      </c>
      <c r="M52" s="14">
        <f>IF($B52="OFF",BL52,VLOOKUP($D52,Receptury_z!$D:$AI,M$4,0))</f>
        <v>0</v>
      </c>
      <c r="N52" s="14">
        <f>IF($B52="OFF",BM52,VLOOKUP($D52,Receptury_z!$D:$AI,N$4,0))</f>
        <v>0</v>
      </c>
      <c r="O52" s="14">
        <f>IF($B52="OFF",BN52,VLOOKUP($D52,Receptury_z!$D:$AI,O$4,0))</f>
        <v>0</v>
      </c>
      <c r="P52" s="14">
        <f>IF($B52="OFF",BO52,VLOOKUP($D52,Receptury_z!$D:$AI,P$4,0))</f>
        <v>0</v>
      </c>
      <c r="Q52" s="14">
        <f>IF($B52="OFF",BP52,VLOOKUP($D52,Receptury_z!$D:$AI,Q$4,0))</f>
        <v>0</v>
      </c>
      <c r="R52" s="14">
        <f>IF($B52="OFF",BQ52,VLOOKUP($D52,Receptury_z!$D:$AI,R$4,0))</f>
        <v>0</v>
      </c>
      <c r="S52" s="14">
        <f>IF($B52="OFF",BR52,VLOOKUP($D52,Receptury_z!$D:$AI,S$4,0))</f>
        <v>0</v>
      </c>
      <c r="T52" s="14">
        <f>IF($B52="OFF",BS52,VLOOKUP($D52,Receptury_z!$D:$AI,T$4,0))</f>
        <v>0</v>
      </c>
      <c r="U52" s="14">
        <f>IF($B52="OFF",BT52,VLOOKUP($D52,Receptury_z!$D:$AI,U$4,0))</f>
        <v>0</v>
      </c>
      <c r="V52" s="14">
        <f>IF($B52="OFF",BU52,VLOOKUP($D52,Receptury_z!$D:$AI,V$4,0))</f>
        <v>0</v>
      </c>
      <c r="W52" s="14">
        <f>IF($B52="OFF",BV52,VLOOKUP($D52,Receptury_z!$D:$AI,W$4,0))</f>
        <v>0</v>
      </c>
      <c r="X52" s="14">
        <f>IF($B52="OFF",BW52,VLOOKUP($D52,Receptury_z!$D:$AI,X$4,0))</f>
        <v>0</v>
      </c>
      <c r="Y52" s="14">
        <f>IF($B52="OFF",BX52,VLOOKUP($D52,Receptury_z!$D:$AI,Y$4,0))</f>
        <v>0</v>
      </c>
      <c r="Z52" s="14">
        <f>IF($B52="OFF",BY52,VLOOKUP($D52,Receptury_z!$D:$AI,Z$4,0))</f>
        <v>0</v>
      </c>
      <c r="AA52" s="14">
        <f>IF($B52="OFF",BZ52,VLOOKUP($D52,Receptury_z!$D:$AI,AA$4,0))</f>
        <v>0</v>
      </c>
      <c r="AB52" s="14">
        <f>IF($B52="OFF",CA52,VLOOKUP($D52,Receptury_z!$D:$AI,AB$4,0))</f>
        <v>0</v>
      </c>
      <c r="AC52" s="14">
        <f>IF($B52="OFF",CB52,VLOOKUP($D52,Receptury_z!$D:$AI,AC$4,0))</f>
        <v>0</v>
      </c>
      <c r="AD52" s="14">
        <f>IF($B52="OFF",CC52,VLOOKUP($D52,Receptury_z!$D:$AI,AD$4,0))</f>
        <v>0</v>
      </c>
      <c r="AE52" s="14">
        <f>IF($B52="OFF",CD52,VLOOKUP($D52,Receptury_z!$D:$AI,AE$4,0))</f>
        <v>0</v>
      </c>
      <c r="AF52" s="14">
        <f>IF($B52="OFF",CE52,VLOOKUP($D52,Receptury_z!$D:$AI,AF$4,0))</f>
        <v>241.3</v>
      </c>
      <c r="AG52" s="14">
        <f>IF($B52="OFF",CF52,VLOOKUP($D52,Receptury_z!$D:$AI,AG$4,0))</f>
        <v>158.30000000000001</v>
      </c>
      <c r="AH52" s="14">
        <f>IF($B52="OFF",CG52,VLOOKUP($D52,Receptury_z!$D:$AI,AH$4,0))</f>
        <v>0</v>
      </c>
      <c r="AI52" s="14">
        <f>IF($B52="OFF",CH52,VLOOKUP($D52,Receptury_z!$D:$AI,AI$4,0))</f>
        <v>0</v>
      </c>
      <c r="AJ52" s="14">
        <f>IF($B52="OFF",CI52,VLOOKUP($D52,Receptury_z!$D:$AS,AJ$4,0))</f>
        <v>0</v>
      </c>
      <c r="AK52" s="14">
        <f>IF($B52="OFF",CJ52,VLOOKUP($D52,Receptury_z!$D:$AS,AK$4,0))</f>
        <v>0</v>
      </c>
      <c r="AL52" s="14">
        <f>IF($B52="OFF",CK52,VLOOKUP($D52,Receptury_z!$D:$AS,AL$4,0))</f>
        <v>0</v>
      </c>
      <c r="AM52" s="14">
        <f>IF($B52="OFF",CL52,VLOOKUP($D52,Receptury_z!$D:$AS,AM$4,0))</f>
        <v>0</v>
      </c>
      <c r="AN52" s="14">
        <f>IF($B52="OFF",CM52,VLOOKUP($D52,Receptury_z!$D:$AS,AN$4,0))</f>
        <v>0</v>
      </c>
      <c r="AO52" s="14">
        <f>IF($B52="OFF",CN52,VLOOKUP($D52,Receptury_z!$D:$AS,AO$4,0))</f>
        <v>0</v>
      </c>
      <c r="AP52" s="14">
        <f>IF($B52="OFF",CO52,VLOOKUP($D52,Receptury_z!$D:$AS,AP$4,0))</f>
        <v>0</v>
      </c>
      <c r="AQ52" s="14">
        <f>IF($B52="OFF",CP52,VLOOKUP($D52,Receptury_z!$D:$AS,AQ$4,0))</f>
        <v>0</v>
      </c>
      <c r="AR52" s="14">
        <f>IF($B52="OFF",CQ52,VLOOKUP($D52,Receptury_z!$D:$AS,AR$4,0))</f>
        <v>0</v>
      </c>
      <c r="AS52" s="14">
        <f>IF($B52="OFF",CR52,VLOOKUP($D52,Receptury_z!$D:$AS,AS$4,0))</f>
        <v>0</v>
      </c>
      <c r="AT52" s="14">
        <f>IF($B52="OFF",CS52,VLOOKUP($D52,Receptury_z!$D:$AV,AT$4,0))</f>
        <v>113.1</v>
      </c>
      <c r="AU52" s="14">
        <f>IF($B52="OFF",CT52,VLOOKUP($D52,Receptury_z!$D:$AV,AU$4,0))</f>
        <v>0</v>
      </c>
      <c r="AV52" s="14">
        <f>IF($B52="OFF",CU52,VLOOKUP($D52,Receptury_z!$D:$AV,AV$4,0))</f>
        <v>241.3</v>
      </c>
      <c r="AW52" s="14">
        <f>IF($B52="OFF",CV52,VLOOKUP($D52,Receptury_z!$D:$BA,AW$4,0))</f>
        <v>0</v>
      </c>
      <c r="AX52" s="14">
        <f>IF($B52="OFF",CW52,VLOOKUP($D52,Receptury_z!$D:$BA,AX$4,0))</f>
        <v>0</v>
      </c>
      <c r="AY52" s="14">
        <f>IF($B52="OFF",CX52,VLOOKUP($D52,Receptury_z!$D:$BA,AY$4,0))</f>
        <v>0</v>
      </c>
      <c r="AZ52" s="14">
        <f>IF($B52="OFF",DA52,VLOOKUP($D52,Receptury_z!$D:$BA,AZ$4,0))</f>
        <v>0</v>
      </c>
      <c r="BA52" s="14">
        <f>IF($B52="OFF",DB52,VLOOKUP($D52,Receptury_z!$D:$BA,BA$4,0))</f>
        <v>0</v>
      </c>
      <c r="BC52" s="19">
        <v>6500</v>
      </c>
      <c r="BD52" s="664" t="s">
        <v>17952</v>
      </c>
      <c r="BE52" s="239">
        <v>0</v>
      </c>
      <c r="BF52" s="239">
        <v>0</v>
      </c>
      <c r="BG52" s="239">
        <v>0</v>
      </c>
      <c r="BH52" s="239">
        <v>0</v>
      </c>
      <c r="BI52" s="240">
        <v>0</v>
      </c>
      <c r="BJ52" s="239">
        <v>0</v>
      </c>
      <c r="BK52" s="239">
        <v>0</v>
      </c>
      <c r="BL52" s="239">
        <v>0</v>
      </c>
      <c r="BM52" s="239">
        <v>0</v>
      </c>
      <c r="BN52" s="239">
        <v>0</v>
      </c>
      <c r="BO52" s="239">
        <v>0</v>
      </c>
      <c r="BP52" s="239">
        <v>0</v>
      </c>
      <c r="BQ52" s="239"/>
      <c r="BR52" s="239">
        <v>0</v>
      </c>
      <c r="BS52" s="239"/>
      <c r="BT52" s="239"/>
      <c r="BU52" s="239">
        <v>0</v>
      </c>
      <c r="BV52" s="239">
        <v>0</v>
      </c>
      <c r="BW52" s="239"/>
      <c r="BX52" s="239">
        <v>0</v>
      </c>
      <c r="BY52" s="239">
        <v>0</v>
      </c>
      <c r="BZ52" s="239">
        <v>0</v>
      </c>
      <c r="CA52" s="239"/>
      <c r="CB52" s="239">
        <v>0</v>
      </c>
      <c r="CC52" s="239">
        <v>0</v>
      </c>
      <c r="CD52" s="239">
        <v>0</v>
      </c>
      <c r="CE52" s="239">
        <v>0</v>
      </c>
      <c r="CF52" s="239">
        <v>0</v>
      </c>
      <c r="CG52" s="239">
        <v>0</v>
      </c>
      <c r="CH52" s="239">
        <v>0</v>
      </c>
      <c r="CI52" s="239">
        <v>0</v>
      </c>
      <c r="CJ52" s="239">
        <v>0</v>
      </c>
      <c r="CK52" s="239">
        <v>0</v>
      </c>
      <c r="CL52" s="239">
        <v>0</v>
      </c>
      <c r="CM52" s="80"/>
      <c r="CN52" s="80"/>
      <c r="CO52" s="80"/>
      <c r="CP52" s="80"/>
      <c r="CQ52" s="80"/>
      <c r="CR52" s="80"/>
      <c r="CS52" s="241"/>
      <c r="CT52" s="80"/>
      <c r="CU52" s="80"/>
      <c r="CV52" s="80"/>
      <c r="CW52" s="80"/>
      <c r="CX52" s="80"/>
      <c r="CY52" s="80"/>
      <c r="CZ52" s="80"/>
      <c r="DB52">
        <f>IFERROR(VLOOKUP($D52,'Kalkulator mięs '!$C$5:$H$533,DB$4,0)*F52,0)</f>
        <v>0</v>
      </c>
      <c r="DC52">
        <f>IFERROR(VLOOKUP($D52,'Kalkulator mięs '!$C$5:$H$533,DC$4,0)*F52,0)</f>
        <v>0</v>
      </c>
      <c r="DD52">
        <f>IFERROR(VLOOKUP($D52,'Kalkulator mięs '!$C$5:$H$533,DD$4,0)*F52,0)</f>
        <v>0</v>
      </c>
      <c r="DE52">
        <f>IFERROR(VLOOKUP($D52,'Kalkulator mięs '!$C$5:$H$533,DE$4,0)*$G52,0)</f>
        <v>0</v>
      </c>
      <c r="DF52">
        <f>IFERROR(VLOOKUP($D52,'Kalkulator mięs '!$C$5:$H$533,DF$4,0)*$G52,0)</f>
        <v>0</v>
      </c>
      <c r="DG52">
        <f>IFERROR(VLOOKUP($D52,'Kalkulator mięs '!$C$5:$H$533,DG$4,0)*$G52,0)</f>
        <v>0</v>
      </c>
      <c r="DH52">
        <f>IFERROR(VLOOKUP($D52,'Kalkulator mięs '!$C$5:$H$533,DH$4,0)*$H52,0)</f>
        <v>0</v>
      </c>
      <c r="DI52">
        <f>IFERROR(VLOOKUP($D52,'Kalkulator mięs '!$C$5:$H$533,DI$4,0)*$H52,0)</f>
        <v>0</v>
      </c>
      <c r="DJ52">
        <f>IFERROR(VLOOKUP($D52,'Kalkulator mięs '!$C$5:$H$533,DJ$4,0)*$H52,0)</f>
        <v>0</v>
      </c>
      <c r="DK52">
        <f>IFERROR(VLOOKUP($D52,'Kalkulator mięs '!$C$5:$H$533,DK$4,0)*$I52,0)</f>
        <v>0</v>
      </c>
      <c r="DL52">
        <f>IFERROR(VLOOKUP($D52,'Kalkulator mięs '!$C$5:$H$533,DL$4,0)*$I52,0)</f>
        <v>0</v>
      </c>
      <c r="DM52">
        <f>IFERROR(VLOOKUP($D52,'Kalkulator mięs '!$C$5:$H$533,DM$4,0)*$I52,0)</f>
        <v>0</v>
      </c>
      <c r="DN52">
        <f>IFERROR(VLOOKUP($D52,'Kalkulator mięs '!$C$5:$H$533,DN$4,0)*$J52,0)</f>
        <v>0</v>
      </c>
      <c r="DO52">
        <f>IFERROR(VLOOKUP($D52,'Kalkulator mięs '!$C$5:$H$533,DO$4,0)*$J52,0)</f>
        <v>0</v>
      </c>
      <c r="DP52">
        <f>IFERROR(VLOOKUP($D52,'Kalkulator mięs '!$C$5:$H$533,DP$4,0)*$J52,0)</f>
        <v>0</v>
      </c>
      <c r="DQ52">
        <f>IFERROR(VLOOKUP($D52,'Kalkulator mięs '!$C$5:$H$533,DQ$4,0)*$K52,0)</f>
        <v>0</v>
      </c>
      <c r="DR52">
        <f>IFERROR(VLOOKUP($D52,'Kalkulator mięs '!$C$5:$H$533,DR$4,0)*$K52,0)</f>
        <v>0</v>
      </c>
      <c r="DS52">
        <f>IFERROR(VLOOKUP($D52,'Kalkulator mięs '!$C$5:$H$533,DS$4,0)*$K52,0)</f>
        <v>0</v>
      </c>
      <c r="DT52">
        <f>IFERROR(VLOOKUP($D52,'Kalkulator mięs '!$C$5:$H$533,DT$4,0)*$L52,0)</f>
        <v>0</v>
      </c>
      <c r="DU52">
        <f>IFERROR(VLOOKUP($D52,'Kalkulator mięs '!$C$5:$H$533,DU$4,0)*$L52,0)</f>
        <v>0</v>
      </c>
      <c r="DV52">
        <f>IFERROR(VLOOKUP($D52,'Kalkulator mięs '!$C$5:$H$533,DV$4,0)*$L52,0)</f>
        <v>0</v>
      </c>
      <c r="DW52">
        <f>IFERROR(VLOOKUP($D52,'Kalkulator mięs '!$C$5:$H$533,DW$4,0)*$M52,0)</f>
        <v>0</v>
      </c>
      <c r="DX52">
        <f>IFERROR(VLOOKUP($D52,'Kalkulator mięs '!$C$5:$H$533,DX$4,0)*$M52,0)</f>
        <v>0</v>
      </c>
      <c r="DY52">
        <f>IFERROR(VLOOKUP($D52,'Kalkulator mięs '!$C$5:$H$533,DY$4,0)*$M52,0)</f>
        <v>0</v>
      </c>
      <c r="DZ52">
        <f>IFERROR(VLOOKUP($D52,'Kalkulator mięs '!$C$5:$H$533,DZ$4,0)*$N52,0)</f>
        <v>0</v>
      </c>
      <c r="EA52">
        <f>IFERROR(VLOOKUP($D52,'Kalkulator mięs '!$C$5:$H$533,EA$4,0)*$N52,0)</f>
        <v>0</v>
      </c>
      <c r="EB52">
        <f>IFERROR(VLOOKUP($D52,'Kalkulator mięs '!$C$5:$H$533,EB$4,0)*$N52,0)</f>
        <v>0</v>
      </c>
      <c r="EC52">
        <f>IFERROR(VLOOKUP($D52,'Kalkulator mięs '!$C$5:$H$533,EC$4,0)*$O52,0)</f>
        <v>0</v>
      </c>
      <c r="ED52">
        <f>IFERROR(VLOOKUP($D52,'Kalkulator mięs '!$C$5:$H$533,ED$4,0)*$O52,0)</f>
        <v>0</v>
      </c>
      <c r="EE52">
        <f>IFERROR(VLOOKUP($D52,'Kalkulator mięs '!$C$5:$H$533,EE$4,0)*$O52,0)</f>
        <v>0</v>
      </c>
      <c r="EF52">
        <f>IFERROR(VLOOKUP($D52,'Kalkulator mięs '!$C$5:$H$533,EF$4,0)*$P52,0)</f>
        <v>0</v>
      </c>
      <c r="EG52">
        <f>IFERROR(VLOOKUP($D52,'Kalkulator mięs '!$C$5:$H$533,EG$4,0)*$P52,0)</f>
        <v>0</v>
      </c>
      <c r="EH52">
        <f>IFERROR(VLOOKUP($D52,'Kalkulator mięs '!$C$5:$H$533,EH$4,0)*$P52,0)</f>
        <v>0</v>
      </c>
      <c r="EI52">
        <f>IFERROR(VLOOKUP($D52,'Kalkulator mięs '!$C$5:$H$533,EI$4,0)*$Q52,0)</f>
        <v>0</v>
      </c>
      <c r="EJ52">
        <f>IFERROR(VLOOKUP($D52,'Kalkulator mięs '!$C$5:$H$533,EJ$4,0)*$Q52,0)</f>
        <v>0</v>
      </c>
      <c r="EK52">
        <f>IFERROR(VLOOKUP($D52,'Kalkulator mięs '!$C$5:$H$533,EK$4,0)*$Q52,0)</f>
        <v>0</v>
      </c>
      <c r="EL52">
        <f>IFERROR(VLOOKUP($D52,'Kalkulator mięs '!$C$5:$H$533,EL$4,0)*$R52,0)</f>
        <v>0</v>
      </c>
      <c r="EM52">
        <f>IFERROR(VLOOKUP($D52,'Kalkulator mięs '!$C$5:$H$533,EM$4,0)*$R52,0)</f>
        <v>0</v>
      </c>
      <c r="EN52">
        <f>IFERROR(VLOOKUP($D52,'Kalkulator mięs '!$C$5:$H$533,EN$4,0)*$R52,0)</f>
        <v>0</v>
      </c>
      <c r="EO52">
        <f>IFERROR(VLOOKUP($D52,'Kalkulator mięs '!$C$5:$H$533,EO$4,0)*$S52,0)</f>
        <v>0</v>
      </c>
      <c r="EP52">
        <f>IFERROR(VLOOKUP($D52,'Kalkulator mięs '!$C$5:$H$533,EP$4,0)*$S52,0)</f>
        <v>0</v>
      </c>
      <c r="EQ52">
        <f>IFERROR(VLOOKUP($D52,'Kalkulator mięs '!$C$5:$H$533,EQ$4,0)*$S52,0)</f>
        <v>0</v>
      </c>
      <c r="ER52">
        <f>IFERROR(VLOOKUP($D52,'Kalkulator mięs '!$C$5:$H$533,ER$4,0)*$T52,0)</f>
        <v>0</v>
      </c>
      <c r="ES52">
        <f>IFERROR(VLOOKUP($D52,'Kalkulator mięs '!$C$5:$H$533,ES$4,0)*$T52,0)</f>
        <v>0</v>
      </c>
      <c r="ET52">
        <f>IFERROR(VLOOKUP($D52,'Kalkulator mięs '!$C$5:$H$533,ET$4,0)*$T52,0)</f>
        <v>0</v>
      </c>
      <c r="EU52">
        <f>IFERROR(VLOOKUP($D52,'Kalkulator mięs '!$C$5:$H$533,EU$4,0)*$U52,0)</f>
        <v>0</v>
      </c>
      <c r="EV52">
        <f>IFERROR(VLOOKUP($D52,'Kalkulator mięs '!$C$5:$H$533,EV$4,0)*$U52,0)</f>
        <v>0</v>
      </c>
      <c r="EW52">
        <f>IFERROR(VLOOKUP($D52,'Kalkulator mięs '!$C$5:$H$533,EW$4,0)*$U52,0)</f>
        <v>0</v>
      </c>
      <c r="EX52">
        <f>IFERROR(VLOOKUP($D52,'Kalkulator mięs '!$C$5:$H$533,EX$4,0)*$V52,0)</f>
        <v>0</v>
      </c>
      <c r="EY52">
        <f>IFERROR(VLOOKUP($D52,'Kalkulator mięs '!$C$5:$H$533,EY$4,0)*$V52,0)</f>
        <v>0</v>
      </c>
      <c r="EZ52">
        <f>IFERROR(VLOOKUP($D52,'Kalkulator mięs '!$C$5:$H$533,EZ$4,0)*$V52,0)</f>
        <v>0</v>
      </c>
      <c r="FA52">
        <f>IFERROR(VLOOKUP($D52,'Kalkulator mięs '!$C$5:$H$533,FA$4,0)*$W52,0)</f>
        <v>0</v>
      </c>
      <c r="FB52">
        <f>IFERROR(VLOOKUP($D52,'Kalkulator mięs '!$C$5:$H$533,FB$4,0)*$W52,0)</f>
        <v>0</v>
      </c>
      <c r="FC52">
        <f>IFERROR(VLOOKUP($D52,'Kalkulator mięs '!$C$5:$H$533,FC$4,0)*$W52,0)</f>
        <v>0</v>
      </c>
      <c r="FD52">
        <f>IFERROR(VLOOKUP($D52,'Kalkulator mięs '!$C$5:$H$533,FD$4,0)*$X52,0)</f>
        <v>0</v>
      </c>
      <c r="FE52">
        <f>IFERROR(VLOOKUP($D52,'Kalkulator mięs '!$C$5:$H$533,FE$4,0)*$X52,0)</f>
        <v>0</v>
      </c>
      <c r="FF52">
        <f>IFERROR(VLOOKUP($D52,'Kalkulator mięs '!$C$5:$H$533,FF$4,0)*$X52,0)</f>
        <v>0</v>
      </c>
      <c r="FG52">
        <f>IFERROR(VLOOKUP($D52,'Kalkulator mięs '!$C$5:$H$533,FG$4,0)*$Y52,0)</f>
        <v>0</v>
      </c>
      <c r="FH52">
        <f>IFERROR(VLOOKUP($D52,'Kalkulator mięs '!$C$5:$H$533,FH$4,0)*$Y52,0)</f>
        <v>0</v>
      </c>
      <c r="FI52">
        <f>IFERROR(VLOOKUP($D52,'Kalkulator mięs '!$C$5:$H$533,FI$4,0)*$Y52,0)</f>
        <v>0</v>
      </c>
      <c r="FJ52">
        <f>IFERROR(VLOOKUP($D52,'Kalkulator mięs '!$C$5:$H$533,FJ$4,0)*$Z52,0)</f>
        <v>0</v>
      </c>
      <c r="FK52">
        <f>IFERROR(VLOOKUP($D52,'Kalkulator mięs '!$C$5:$H$533,FK$4,0)*$Z52,0)</f>
        <v>0</v>
      </c>
      <c r="FL52">
        <f>IFERROR(VLOOKUP($D52,'Kalkulator mięs '!$C$5:$H$533,FL$4,0)*$Z52,0)</f>
        <v>0</v>
      </c>
      <c r="FM52">
        <f>IFERROR(VLOOKUP($D52,'Kalkulator mięs '!$C$5:$H$533,FM$4,0)*$AA52,0)</f>
        <v>0</v>
      </c>
      <c r="FN52">
        <f>IFERROR(VLOOKUP($D52,'Kalkulator mięs '!$C$5:$H$533,FN$4,0)*$AA52,0)</f>
        <v>0</v>
      </c>
      <c r="FO52">
        <f>IFERROR(VLOOKUP($D52,'Kalkulator mięs '!$C$5:$H$533,FO$4,0)*$AA52,0)</f>
        <v>0</v>
      </c>
      <c r="FP52">
        <f>IFERROR(VLOOKUP($D52,'Kalkulator mięs '!$C$5:$H$533,FP$4,0)*$AB52,0)</f>
        <v>0</v>
      </c>
      <c r="FQ52">
        <f>IFERROR(VLOOKUP($D52,'Kalkulator mięs '!$C$5:$H$533,FQ$4,0)*$AB52,0)</f>
        <v>0</v>
      </c>
      <c r="FR52">
        <f>IFERROR(VLOOKUP($D52,'Kalkulator mięs '!$C$5:$H$533,FR$4,0)*$AB52,0)</f>
        <v>0</v>
      </c>
      <c r="FS52">
        <f>IFERROR(VLOOKUP($D52,'Kalkulator mięs '!$C$5:$H$533,FS$4,0)*$AC52,0)</f>
        <v>0</v>
      </c>
      <c r="FT52">
        <f>IFERROR(VLOOKUP($D52,'Kalkulator mięs '!$C$5:$H$533,FT$4,0)*$AC52,0)</f>
        <v>0</v>
      </c>
      <c r="FU52">
        <f>IFERROR(VLOOKUP($D52,'Kalkulator mięs '!$C$5:$H$533,FU$4,0)*$AC52,0)</f>
        <v>0</v>
      </c>
      <c r="FV52">
        <f>IFERROR(VLOOKUP($D52,'Kalkulator mięs '!$C$5:$H$533,FV$4,0)*$AD52,0)</f>
        <v>0</v>
      </c>
      <c r="FW52">
        <f>IFERROR(VLOOKUP($D52,'Kalkulator mięs '!$C$5:$H$533,FW$4,0)*$AD52,0)</f>
        <v>0</v>
      </c>
      <c r="FX52">
        <f>IFERROR(VLOOKUP($D52,'Kalkulator mięs '!$C$5:$H$533,FX$4,0)*$AD52,0)</f>
        <v>0</v>
      </c>
      <c r="FY52">
        <f>IFERROR(VLOOKUP($D52,'Kalkulator mięs '!$C$5:$H$533,FY$4,0)*$AE52,0)</f>
        <v>0</v>
      </c>
      <c r="FZ52">
        <f>IFERROR(VLOOKUP($D52,'Kalkulator mięs '!$C$5:$H$533,FZ$4,0)*$AE52,0)</f>
        <v>0</v>
      </c>
      <c r="GA52">
        <f>IFERROR(VLOOKUP($D52,'Kalkulator mięs '!$C$5:$H$533,GA$4,0)*$AE52,0)</f>
        <v>0</v>
      </c>
      <c r="GB52">
        <f>IFERROR(VLOOKUP($D52,'Kalkulator mięs '!$C$5:$H$533,GB$4,0)*$AF52,0)</f>
        <v>0</v>
      </c>
      <c r="GC52">
        <f>IFERROR(VLOOKUP($D52,'Kalkulator mięs '!$C$5:$H$533,GC$4,0)*$AF52,0)</f>
        <v>0</v>
      </c>
      <c r="GD52">
        <f>IFERROR(VLOOKUP($D52,'Kalkulator mięs '!$C$5:$H$533,GD$4,0)*$AF52,0)</f>
        <v>0</v>
      </c>
      <c r="GE52">
        <f>IFERROR(VLOOKUP($D52,'Kalkulator mięs '!$C$5:$H$533,GE$4,0)*$AG52,0)</f>
        <v>0</v>
      </c>
      <c r="GF52">
        <f>IFERROR(VLOOKUP($D52,'Kalkulator mięs '!$C$5:$H$533,GF$4,0)*$AG52,0)</f>
        <v>0</v>
      </c>
      <c r="GG52">
        <f>IFERROR(VLOOKUP($D52,'Kalkulator mięs '!$C$5:$H$533,GG$4,0)*$AG52,0)</f>
        <v>0</v>
      </c>
      <c r="GH52">
        <f>IFERROR(VLOOKUP($D52,'Kalkulator mięs '!$C$5:$H$533,GH$4,0)*$AH52,0)</f>
        <v>0</v>
      </c>
      <c r="GI52">
        <f>IFERROR(VLOOKUP($D52,'Kalkulator mięs '!$C$5:$H$533,GI$4,0)*$AH52,0)</f>
        <v>0</v>
      </c>
      <c r="GJ52">
        <f>IFERROR(VLOOKUP($D52,'Kalkulator mięs '!$C$5:$H$533,GJ$4,0)*$AH52,0)</f>
        <v>0</v>
      </c>
      <c r="GK52">
        <f>IFERROR(VLOOKUP($D52,'Kalkulator mięs '!$C$5:$H$533,GK$4,0)*$AI52,0)</f>
        <v>0</v>
      </c>
      <c r="GL52">
        <f>IFERROR(VLOOKUP($D52,'Kalkulator mięs '!$C$5:$H$533,GL$4,0)*$AI52,0)</f>
        <v>0</v>
      </c>
      <c r="GM52">
        <f>IFERROR(VLOOKUP($D52,'Kalkulator mięs '!$C$5:$H$533,GM$4,0)*$AI52,0)</f>
        <v>0</v>
      </c>
      <c r="GN52">
        <f>IFERROR(VLOOKUP($D52,'Kalkulator mięs '!$C$5:$H$533,GN$4,0)*$AJ52,0)</f>
        <v>0</v>
      </c>
      <c r="GO52">
        <f>IFERROR(VLOOKUP($D52,'Kalkulator mięs '!$C$5:$H$533,GO$4,0)*$AJ52,0)</f>
        <v>0</v>
      </c>
      <c r="GP52">
        <f>IFERROR(VLOOKUP($D52,'Kalkulator mięs '!$C$5:$H$533,GP$4,0)*$AJ52,0)</f>
        <v>0</v>
      </c>
      <c r="GQ52">
        <f>IFERROR(VLOOKUP($D52,'Kalkulator mięs '!$C$5:$H$533,GQ$4,0)*$AK52,0)</f>
        <v>0</v>
      </c>
      <c r="GR52">
        <f>IFERROR(VLOOKUP($D52,'Kalkulator mięs '!$C$5:$H$533,GR$4,0)*$AK52,0)</f>
        <v>0</v>
      </c>
      <c r="GS52">
        <f>IFERROR(VLOOKUP($D52,'Kalkulator mięs '!$C$5:$H$533,GS$4,0)*$AK52,0)</f>
        <v>0</v>
      </c>
      <c r="GT52">
        <f>IFERROR(VLOOKUP($D52,'Kalkulator mięs '!$C$5:$H$533,GT$4,0)*$AL52,0)</f>
        <v>0</v>
      </c>
      <c r="GU52">
        <f>IFERROR(VLOOKUP($D52,'Kalkulator mięs '!$C$5:$H$533,GU$4,0)*$AL52,0)</f>
        <v>0</v>
      </c>
      <c r="GV52">
        <f>IFERROR(VLOOKUP($D52,'Kalkulator mięs '!$C$5:$H$533,GV$4,0)*$AL52,0)</f>
        <v>0</v>
      </c>
      <c r="GW52">
        <f>IFERROR(VLOOKUP($D52,'Kalkulator mięs '!$C$5:$H$533,GW$4,0)*$AM52,0)</f>
        <v>0</v>
      </c>
      <c r="GX52">
        <f>IFERROR(VLOOKUP($D52,'Kalkulator mięs '!$C$5:$H$533,GX$4,0)*$AM52,0)</f>
        <v>0</v>
      </c>
      <c r="GY52">
        <f>IFERROR(VLOOKUP($D52,'Kalkulator mięs '!$C$5:$H$533,GY$4,0)*$AM52,0)</f>
        <v>0</v>
      </c>
      <c r="GZ52">
        <f>IFERROR(VLOOKUP($D52,'Kalkulator mięs '!$C$5:$H$533,GZ$4,0)*$AN52,0)</f>
        <v>0</v>
      </c>
      <c r="HA52">
        <f>IFERROR(VLOOKUP($D52,'Kalkulator mięs '!$C$5:$H$533,HA$4,0)*$AN52,0)</f>
        <v>0</v>
      </c>
      <c r="HB52">
        <f>IFERROR(VLOOKUP($D52,'Kalkulator mięs '!$C$5:$H$533,HB$4,0)*$AN52,0)</f>
        <v>0</v>
      </c>
      <c r="HC52">
        <f>IFERROR(VLOOKUP($D52,'Kalkulator mięs '!$C$5:$H$533,HC$4,0)*$AO52,0)</f>
        <v>0</v>
      </c>
      <c r="HD52">
        <f>IFERROR(VLOOKUP($D52,'Kalkulator mięs '!$C$5:$H$533,HD$4,0)*$AO52,0)</f>
        <v>0</v>
      </c>
      <c r="HE52">
        <f>IFERROR(VLOOKUP($D52,'Kalkulator mięs '!$C$5:$H$533,HE$4,0)*$AO52,0)</f>
        <v>0</v>
      </c>
      <c r="HF52">
        <f>IFERROR(VLOOKUP($D52,'Kalkulator mięs '!$C$5:$H$533,HF$4,0)*$AP52,0)</f>
        <v>0</v>
      </c>
      <c r="HG52">
        <f>IFERROR(VLOOKUP($D52,'Kalkulator mięs '!$C$5:$H$533,HG$4,0)*$AP52,0)</f>
        <v>0</v>
      </c>
      <c r="HH52">
        <f>IFERROR(VLOOKUP($D52,'Kalkulator mięs '!$C$5:$H$533,HH$4,0)*$AP52,0)</f>
        <v>0</v>
      </c>
      <c r="HI52">
        <f>IFERROR(VLOOKUP($D52,'Kalkulator mięs '!$C$5:$H$533,HI$4,0)*$AQ52,0)</f>
        <v>0</v>
      </c>
      <c r="HJ52">
        <f>IFERROR(VLOOKUP($D52,'Kalkulator mięs '!$C$5:$H$533,HJ$4,0)*$AQ52,0)</f>
        <v>0</v>
      </c>
      <c r="HK52">
        <f>IFERROR(VLOOKUP($D52,'Kalkulator mięs '!$C$5:$H$533,HK$4,0)*$AQ52,0)</f>
        <v>0</v>
      </c>
      <c r="HL52">
        <f>IFERROR(VLOOKUP($D52,'Kalkulator mięs '!$C$5:$H$533,HL$4,0)*$AR52,0)</f>
        <v>0</v>
      </c>
      <c r="HM52">
        <f>IFERROR(VLOOKUP($D52,'Kalkulator mięs '!$C$5:$H$533,HM$4,0)*$AR52,0)</f>
        <v>0</v>
      </c>
      <c r="HN52">
        <f>IFERROR(VLOOKUP($D52,'Kalkulator mięs '!$C$5:$H$533,HN$4,0)*$AR52,0)</f>
        <v>0</v>
      </c>
      <c r="HO52">
        <f>IFERROR(VLOOKUP($D52,'Kalkulator mięs '!$C$5:$H$533,HO$4,0)*$AS52,0)</f>
        <v>0</v>
      </c>
      <c r="HP52">
        <f>IFERROR(VLOOKUP($D52,'Kalkulator mięs '!$C$5:$H$533,HP$4,0)*$AS52,0)</f>
        <v>0</v>
      </c>
      <c r="HQ52">
        <f>IFERROR(VLOOKUP($D52,'Kalkulator mięs '!$C$5:$H$533,HQ$4,0)*$AS52,0)</f>
        <v>0</v>
      </c>
      <c r="HR52">
        <f>IFERROR(VLOOKUP($D52,'Kalkulator mięs '!$C$5:$H$533,HR$4,0)*$AT52,0)</f>
        <v>0</v>
      </c>
      <c r="HS52">
        <f>IFERROR(VLOOKUP($D52,'Kalkulator mięs '!$C$5:$H$533,HS$4,0)*$AT52,0)</f>
        <v>0</v>
      </c>
      <c r="HT52">
        <f>IFERROR(VLOOKUP($D52,'Kalkulator mięs '!$C$5:$H$533,HT$4,0)*$AT52,0)</f>
        <v>0</v>
      </c>
      <c r="HU52">
        <f>IFERROR(VLOOKUP($D52,'Kalkulator mięs '!$C$5:$H$533,HU$4,0)*$AU52,0)</f>
        <v>0</v>
      </c>
      <c r="HV52">
        <f>IFERROR(VLOOKUP($D52,'Kalkulator mięs '!$C$5:$H$533,HV$4,0)*$AU52,0)</f>
        <v>0</v>
      </c>
      <c r="HW52">
        <f>IFERROR(VLOOKUP($D52,'Kalkulator mięs '!$C$5:$H$533,HW$4,0)*$AU52,0)</f>
        <v>0</v>
      </c>
      <c r="HX52">
        <f>IFERROR(VLOOKUP($D52,'Kalkulator mięs '!$C$5:$H$533,HX$4,0)*$AV52,0)</f>
        <v>0</v>
      </c>
      <c r="HY52">
        <f>IFERROR(VLOOKUP($D52,'Kalkulator mięs '!$C$5:$H$533,HY$4,0)*$AV52,0)</f>
        <v>0</v>
      </c>
      <c r="HZ52">
        <f>IFERROR(VLOOKUP($D52,'Kalkulator mięs '!$C$5:$H$533,HZ$4,0)*$AV52,0)</f>
        <v>0</v>
      </c>
      <c r="IA52">
        <f>IFERROR(VLOOKUP($D52,'Kalkulator mięs '!$C$5:$H$533,IA$4,0)*$AW52,0)</f>
        <v>0</v>
      </c>
      <c r="IB52">
        <f>IFERROR(VLOOKUP($D52,'Kalkulator mięs '!$C$5:$H$533,IB$4,0)*$AW52,0)</f>
        <v>0</v>
      </c>
      <c r="IC52">
        <f>IFERROR(VLOOKUP($D52,'Kalkulator mięs '!$C$5:$H$533,IC$4,0)*$AW52,0)</f>
        <v>0</v>
      </c>
      <c r="ID52">
        <f>IFERROR(VLOOKUP($D52,'Kalkulator mięs '!$C$5:$H$533,ID$4,0)*$AX52,0)</f>
        <v>0</v>
      </c>
      <c r="IE52">
        <f>IFERROR(VLOOKUP($D52,'Kalkulator mięs '!$C$5:$H$533,IE$4,0)*$AX52,0)</f>
        <v>0</v>
      </c>
      <c r="IF52">
        <f>IFERROR(VLOOKUP($D52,'Kalkulator mięs '!$C$5:$H$533,IF$4,0)*$AX52,0)</f>
        <v>0</v>
      </c>
      <c r="IG52">
        <f>IFERROR(VLOOKUP($D52,'Kalkulator mięs '!$C$5:$H$533,IG$4,0)*$AY52,0)</f>
        <v>0</v>
      </c>
      <c r="IH52">
        <f>IFERROR(VLOOKUP($D52,'Kalkulator mięs '!$C$5:$H$533,IH$4,0)*$AY52,0)</f>
        <v>0</v>
      </c>
      <c r="II52">
        <f>IFERROR(VLOOKUP($D52,'Kalkulator mięs '!$C$5:$H$533,II$4,0)*$AY52,0)</f>
        <v>0</v>
      </c>
      <c r="IJ52">
        <f>IFERROR(VLOOKUP($D52,'Kalkulator mięs '!$C$5:$H$533,IJ$4,0)*$AZ52,0)</f>
        <v>0</v>
      </c>
      <c r="IK52">
        <f>IFERROR(VLOOKUP($D52,'Kalkulator mięs '!$C$5:$H$533,IK$4,0)*$AZ52,0)</f>
        <v>0</v>
      </c>
      <c r="IL52">
        <f>IFERROR(VLOOKUP($D52,'Kalkulator mięs '!$C$5:$H$533,IL$4,0)*$AZ52,0)</f>
        <v>0</v>
      </c>
      <c r="IM52">
        <f>IFERROR(VLOOKUP($D52,'Kalkulator mięs '!$C$5:$H$533,IM$4,0)*$BA52,0)</f>
        <v>0</v>
      </c>
      <c r="IN52">
        <f>IFERROR(VLOOKUP($D52,'Kalkulator mięs '!$C$5:$H$533,IN$4,0)*$BA52,0)</f>
        <v>0</v>
      </c>
      <c r="IO52">
        <f>IFERROR(VLOOKUP($D52,'Kalkulator mięs '!$C$5:$H$533,IO$4,0)*$BA52,0)</f>
        <v>0</v>
      </c>
    </row>
    <row r="53" spans="1:249" ht="15.75">
      <c r="A53" s="91"/>
      <c r="B53" t="str">
        <f>VLOOKUP(D53,Receptury_z!$A:$B,2,0)</f>
        <v>ON</v>
      </c>
      <c r="C53" s="16">
        <v>5430</v>
      </c>
      <c r="D53" s="19">
        <v>6520</v>
      </c>
      <c r="E53" s="20" t="s">
        <v>8521</v>
      </c>
      <c r="F53" s="14">
        <f>IF($B53="OFF",BE53,VLOOKUP($D53,Receptury_z!$D:$AI,F$4,0))</f>
        <v>0</v>
      </c>
      <c r="G53" s="14">
        <f>IF($B53="OFF",BF53,VLOOKUP($D53,Receptury_z!$D:$AI,G$4,0))</f>
        <v>0</v>
      </c>
      <c r="H53" s="14">
        <f>IF($B53="OFF",BG53,VLOOKUP($D53,Receptury_z!$D:$AI,H$4,0))</f>
        <v>0</v>
      </c>
      <c r="I53" s="14">
        <f>IF($B53="OFF",BH53,VLOOKUP($D53,Receptury_z!$D:$AI,I$4,0))</f>
        <v>0</v>
      </c>
      <c r="J53" s="14">
        <f>IF($B53="OFF",BI53,VLOOKUP($D53,Receptury_z!$D:$AI,J$4,0))</f>
        <v>0</v>
      </c>
      <c r="K53" s="14">
        <f>IF($B53="OFF",BJ53,VLOOKUP($D53,Receptury_z!$D:$AI,K$4,0))</f>
        <v>0</v>
      </c>
      <c r="L53" s="14">
        <f>IF($B53="OFF",BK53,VLOOKUP($D53,Receptury_z!$D:$AI,L$4,0))</f>
        <v>69.3</v>
      </c>
      <c r="M53" s="14">
        <f>IF($B53="OFF",BL53,VLOOKUP($D53,Receptury_z!$D:$AI,M$4,0))</f>
        <v>0</v>
      </c>
      <c r="N53" s="14">
        <f>IF($B53="OFF",BM53,VLOOKUP($D53,Receptury_z!$D:$AI,N$4,0))</f>
        <v>0</v>
      </c>
      <c r="O53" s="14">
        <f>IF($B53="OFF",BN53,VLOOKUP($D53,Receptury_z!$D:$AI,O$4,0))</f>
        <v>0</v>
      </c>
      <c r="P53" s="14">
        <f>IF($B53="OFF",BO53,VLOOKUP($D53,Receptury_z!$D:$AI,P$4,0))</f>
        <v>0</v>
      </c>
      <c r="Q53" s="14">
        <f>IF($B53="OFF",BP53,VLOOKUP($D53,Receptury_z!$D:$AI,Q$4,0))</f>
        <v>0</v>
      </c>
      <c r="R53" s="14">
        <f>IF($B53="OFF",BQ53,VLOOKUP($D53,Receptury_z!$D:$AI,R$4,0))</f>
        <v>27</v>
      </c>
      <c r="S53" s="14">
        <f>IF($B53="OFF",BR53,VLOOKUP($D53,Receptury_z!$D:$AI,S$4,0))</f>
        <v>0</v>
      </c>
      <c r="T53" s="14">
        <f>IF($B53="OFF",BS53,VLOOKUP($D53,Receptury_z!$D:$AI,T$4,0))</f>
        <v>0</v>
      </c>
      <c r="U53" s="14">
        <f>IF($B53="OFF",BT53,VLOOKUP($D53,Receptury_z!$D:$AI,U$4,0))</f>
        <v>422</v>
      </c>
      <c r="V53" s="14">
        <f>IF($B53="OFF",BU53,VLOOKUP($D53,Receptury_z!$D:$AI,V$4,0))</f>
        <v>0</v>
      </c>
      <c r="W53" s="14">
        <f>IF($B53="OFF",BV53,VLOOKUP($D53,Receptury_z!$D:$AI,W$4,0))</f>
        <v>0</v>
      </c>
      <c r="X53" s="14">
        <f>IF($B53="OFF",BW53,VLOOKUP($D53,Receptury_z!$D:$AI,X$4,0))</f>
        <v>0</v>
      </c>
      <c r="Y53" s="14">
        <f>IF($B53="OFF",BX53,VLOOKUP($D53,Receptury_z!$D:$AI,Y$4,0))</f>
        <v>0</v>
      </c>
      <c r="Z53" s="14">
        <f>IF($B53="OFF",BY53,VLOOKUP($D53,Receptury_z!$D:$AI,Z$4,0))</f>
        <v>0</v>
      </c>
      <c r="AA53" s="14">
        <f>IF($B53="OFF",BZ53,VLOOKUP($D53,Receptury_z!$D:$AI,AA$4,0))</f>
        <v>0</v>
      </c>
      <c r="AB53" s="14">
        <f>IF($B53="OFF",CA53,VLOOKUP($D53,Receptury_z!$D:$AI,AB$4,0))</f>
        <v>35.200000000000003</v>
      </c>
      <c r="AC53" s="14">
        <f>IF($B53="OFF",CB53,VLOOKUP($D53,Receptury_z!$D:$AI,AC$4,0))</f>
        <v>0</v>
      </c>
      <c r="AD53" s="14">
        <f>IF($B53="OFF",CC53,VLOOKUP($D53,Receptury_z!$D:$AI,AD$4,0))</f>
        <v>0</v>
      </c>
      <c r="AE53" s="14">
        <f>IF($B53="OFF",CD53,VLOOKUP($D53,Receptury_z!$D:$AI,AE$4,0))</f>
        <v>0</v>
      </c>
      <c r="AF53" s="14">
        <f>IF($B53="OFF",CE53,VLOOKUP($D53,Receptury_z!$D:$AI,AF$4,0))</f>
        <v>0</v>
      </c>
      <c r="AG53" s="14">
        <f>IF($B53="OFF",CF53,VLOOKUP($D53,Receptury_z!$D:$AI,AG$4,0))</f>
        <v>0</v>
      </c>
      <c r="AH53" s="14">
        <f>IF($B53="OFF",CG53,VLOOKUP($D53,Receptury_z!$D:$AI,AH$4,0))</f>
        <v>25</v>
      </c>
      <c r="AI53" s="14">
        <f>IF($B53="OFF",CH53,VLOOKUP($D53,Receptury_z!$D:$AI,AI$4,0))</f>
        <v>0</v>
      </c>
      <c r="AJ53" s="14">
        <f>IF($B53="OFF",CI53,VLOOKUP($D53,Receptury_z!$D:$AS,AJ$4,0))</f>
        <v>0</v>
      </c>
      <c r="AK53" s="14">
        <f>IF($B53="OFF",CJ53,VLOOKUP($D53,Receptury_z!$D:$AS,AK$4,0))</f>
        <v>0</v>
      </c>
      <c r="AL53" s="14">
        <f>IF($B53="OFF",CK53,VLOOKUP($D53,Receptury_z!$D:$AS,AL$4,0))</f>
        <v>25</v>
      </c>
      <c r="AM53" s="14">
        <f>IF($B53="OFF",CL53,VLOOKUP($D53,Receptury_z!$D:$AS,AM$4,0))</f>
        <v>0</v>
      </c>
      <c r="AN53" s="14">
        <f>IF($B53="OFF",CM53,VLOOKUP($D53,Receptury_z!$D:$AS,AN$4,0))</f>
        <v>70.8</v>
      </c>
      <c r="AO53" s="14">
        <f>IF($B53="OFF",CN53,VLOOKUP($D53,Receptury_z!$D:$AS,AO$4,0))</f>
        <v>0</v>
      </c>
      <c r="AP53" s="14">
        <f>IF($B53="OFF",CO53,VLOOKUP($D53,Receptury_z!$D:$AS,AP$4,0))</f>
        <v>0</v>
      </c>
      <c r="AQ53" s="14">
        <f>IF($B53="OFF",CP53,VLOOKUP($D53,Receptury_z!$D:$AS,AQ$4,0))</f>
        <v>0</v>
      </c>
      <c r="AR53" s="14">
        <f>IF($B53="OFF",CQ53,VLOOKUP($D53,Receptury_z!$D:$AS,AR$4,0))</f>
        <v>0</v>
      </c>
      <c r="AS53" s="14">
        <f>IF($B53="OFF",CR53,VLOOKUP($D53,Receptury_z!$D:$AS,AS$4,0))</f>
        <v>0</v>
      </c>
      <c r="AT53" s="14">
        <f>IF($B53="OFF",CS53,VLOOKUP($D53,Receptury_z!$D:$AV,AT$4,0))</f>
        <v>0</v>
      </c>
      <c r="AU53" s="14">
        <f>IF($B53="OFF",CT53,VLOOKUP($D53,Receptury_z!$D:$AV,AU$4,0))</f>
        <v>0</v>
      </c>
      <c r="AV53" s="14">
        <f>IF($B53="OFF",CU53,VLOOKUP($D53,Receptury_z!$D:$AV,AV$4,0))</f>
        <v>0</v>
      </c>
      <c r="AW53" s="14">
        <f>IF($B53="OFF",CV53,VLOOKUP($D53,Receptury_z!$D:$BA,AW$4,0))</f>
        <v>0</v>
      </c>
      <c r="AX53" s="14">
        <f>IF($B53="OFF",CW53,VLOOKUP($D53,Receptury_z!$D:$BA,AX$4,0))</f>
        <v>0</v>
      </c>
      <c r="AY53" s="14">
        <f>IF($B53="OFF",CX53,VLOOKUP($D53,Receptury_z!$D:$BA,AY$4,0))</f>
        <v>0</v>
      </c>
      <c r="AZ53" s="14">
        <f>IF($B53="OFF",DA53,VLOOKUP($D53,Receptury_z!$D:$BA,AZ$4,0))</f>
        <v>0</v>
      </c>
      <c r="BA53" s="14">
        <f>IF($B53="OFF",DB53,VLOOKUP($D53,Receptury_z!$D:$BA,BA$4,0))</f>
        <v>0</v>
      </c>
      <c r="BC53" s="19">
        <v>6520</v>
      </c>
      <c r="BD53" s="20" t="s">
        <v>8521</v>
      </c>
      <c r="BE53" s="239"/>
      <c r="BF53" s="239"/>
      <c r="BG53" s="239"/>
      <c r="BH53" s="239"/>
      <c r="BI53" s="240"/>
      <c r="BJ53" s="239"/>
      <c r="BK53" s="239"/>
      <c r="BL53" s="239"/>
      <c r="BM53" s="239"/>
      <c r="BN53" s="239"/>
      <c r="BO53" s="239"/>
      <c r="BP53" s="239"/>
      <c r="BQ53" s="239"/>
      <c r="BR53" s="239"/>
      <c r="BS53" s="239"/>
      <c r="BT53" s="239"/>
      <c r="BU53" s="239"/>
      <c r="BV53" s="239"/>
      <c r="BW53" s="239"/>
      <c r="BX53" s="239"/>
      <c r="BY53" s="239"/>
      <c r="BZ53" s="239"/>
      <c r="CA53" s="239"/>
      <c r="CB53" s="239"/>
      <c r="CC53" s="239"/>
      <c r="CD53" s="239"/>
      <c r="CE53" s="239"/>
      <c r="CF53" s="239"/>
      <c r="CG53" s="239"/>
      <c r="CH53" s="239"/>
      <c r="CI53" s="239"/>
      <c r="CJ53" s="239"/>
      <c r="CK53" s="239"/>
      <c r="CL53" s="239"/>
      <c r="CM53" s="80"/>
      <c r="CN53" s="80"/>
      <c r="CO53" s="80"/>
      <c r="CP53" s="80"/>
      <c r="CQ53" s="80"/>
      <c r="CR53" s="80"/>
      <c r="CS53" s="241"/>
      <c r="CT53" s="80"/>
      <c r="CU53" s="80"/>
      <c r="CV53" s="80"/>
      <c r="CW53" s="80"/>
      <c r="CX53" s="80"/>
      <c r="CY53" s="80"/>
      <c r="CZ53" s="80"/>
      <c r="DB53">
        <f>IFERROR(VLOOKUP($D53,'Kalkulator mięs '!$C$5:$H$533,DB$4,0)*F53,0)</f>
        <v>0</v>
      </c>
      <c r="DC53">
        <f>IFERROR(VLOOKUP($D53,'Kalkulator mięs '!$C$5:$H$533,DC$4,0)*F53,0)</f>
        <v>0</v>
      </c>
      <c r="DD53">
        <f>IFERROR(VLOOKUP($D53,'Kalkulator mięs '!$C$5:$H$533,DD$4,0)*F53,0)</f>
        <v>0</v>
      </c>
      <c r="DE53">
        <f>IFERROR(VLOOKUP($D53,'Kalkulator mięs '!$C$5:$H$533,DE$4,0)*$G53,0)</f>
        <v>0</v>
      </c>
      <c r="DF53">
        <f>IFERROR(VLOOKUP($D53,'Kalkulator mięs '!$C$5:$H$533,DF$4,0)*$G53,0)</f>
        <v>0</v>
      </c>
      <c r="DG53">
        <f>IFERROR(VLOOKUP($D53,'Kalkulator mięs '!$C$5:$H$533,DG$4,0)*$G53,0)</f>
        <v>0</v>
      </c>
      <c r="DH53">
        <f>IFERROR(VLOOKUP($D53,'Kalkulator mięs '!$C$5:$H$533,DH$4,0)*$H53,0)</f>
        <v>0</v>
      </c>
      <c r="DI53">
        <f>IFERROR(VLOOKUP($D53,'Kalkulator mięs '!$C$5:$H$533,DI$4,0)*$H53,0)</f>
        <v>0</v>
      </c>
      <c r="DJ53">
        <f>IFERROR(VLOOKUP($D53,'Kalkulator mięs '!$C$5:$H$533,DJ$4,0)*$H53,0)</f>
        <v>0</v>
      </c>
      <c r="DK53">
        <f>IFERROR(VLOOKUP($D53,'Kalkulator mięs '!$C$5:$H$533,DK$4,0)*$I53,0)</f>
        <v>0</v>
      </c>
      <c r="DL53">
        <f>IFERROR(VLOOKUP($D53,'Kalkulator mięs '!$C$5:$H$533,DL$4,0)*$I53,0)</f>
        <v>0</v>
      </c>
      <c r="DM53">
        <f>IFERROR(VLOOKUP($D53,'Kalkulator mięs '!$C$5:$H$533,DM$4,0)*$I53,0)</f>
        <v>0</v>
      </c>
      <c r="DN53">
        <f>IFERROR(VLOOKUP($D53,'Kalkulator mięs '!$C$5:$H$533,DN$4,0)*$J53,0)</f>
        <v>0</v>
      </c>
      <c r="DO53">
        <f>IFERROR(VLOOKUP($D53,'Kalkulator mięs '!$C$5:$H$533,DO$4,0)*$J53,0)</f>
        <v>0</v>
      </c>
      <c r="DP53">
        <f>IFERROR(VLOOKUP($D53,'Kalkulator mięs '!$C$5:$H$533,DP$4,0)*$J53,0)</f>
        <v>0</v>
      </c>
      <c r="DQ53">
        <f>IFERROR(VLOOKUP($D53,'Kalkulator mięs '!$C$5:$H$533,DQ$4,0)*$K53,0)</f>
        <v>0</v>
      </c>
      <c r="DR53">
        <f>IFERROR(VLOOKUP($D53,'Kalkulator mięs '!$C$5:$H$533,DR$4,0)*$K53,0)</f>
        <v>0</v>
      </c>
      <c r="DS53">
        <f>IFERROR(VLOOKUP($D53,'Kalkulator mięs '!$C$5:$H$533,DS$4,0)*$K53,0)</f>
        <v>0</v>
      </c>
      <c r="DT53">
        <f>IFERROR(VLOOKUP($D53,'Kalkulator mięs '!$C$5:$H$533,DT$4,0)*$L53,0)</f>
        <v>0</v>
      </c>
      <c r="DU53">
        <f>IFERROR(VLOOKUP($D53,'Kalkulator mięs '!$C$5:$H$533,DU$4,0)*$L53,0)</f>
        <v>0</v>
      </c>
      <c r="DV53">
        <f>IFERROR(VLOOKUP($D53,'Kalkulator mięs '!$C$5:$H$533,DV$4,0)*$L53,0)</f>
        <v>0</v>
      </c>
      <c r="DW53">
        <f>IFERROR(VLOOKUP($D53,'Kalkulator mięs '!$C$5:$H$533,DW$4,0)*$M53,0)</f>
        <v>0</v>
      </c>
      <c r="DX53">
        <f>IFERROR(VLOOKUP($D53,'Kalkulator mięs '!$C$5:$H$533,DX$4,0)*$M53,0)</f>
        <v>0</v>
      </c>
      <c r="DY53">
        <f>IFERROR(VLOOKUP($D53,'Kalkulator mięs '!$C$5:$H$533,DY$4,0)*$M53,0)</f>
        <v>0</v>
      </c>
      <c r="DZ53">
        <f>IFERROR(VLOOKUP($D53,'Kalkulator mięs '!$C$5:$H$533,DZ$4,0)*$N53,0)</f>
        <v>0</v>
      </c>
      <c r="EA53">
        <f>IFERROR(VLOOKUP($D53,'Kalkulator mięs '!$C$5:$H$533,EA$4,0)*$N53,0)</f>
        <v>0</v>
      </c>
      <c r="EB53">
        <f>IFERROR(VLOOKUP($D53,'Kalkulator mięs '!$C$5:$H$533,EB$4,0)*$N53,0)</f>
        <v>0</v>
      </c>
      <c r="EC53">
        <f>IFERROR(VLOOKUP($D53,'Kalkulator mięs '!$C$5:$H$533,EC$4,0)*$O53,0)</f>
        <v>0</v>
      </c>
      <c r="ED53">
        <f>IFERROR(VLOOKUP($D53,'Kalkulator mięs '!$C$5:$H$533,ED$4,0)*$O53,0)</f>
        <v>0</v>
      </c>
      <c r="EE53">
        <f>IFERROR(VLOOKUP($D53,'Kalkulator mięs '!$C$5:$H$533,EE$4,0)*$O53,0)</f>
        <v>0</v>
      </c>
      <c r="EF53">
        <f>IFERROR(VLOOKUP($D53,'Kalkulator mięs '!$C$5:$H$533,EF$4,0)*$P53,0)</f>
        <v>0</v>
      </c>
      <c r="EG53">
        <f>IFERROR(VLOOKUP($D53,'Kalkulator mięs '!$C$5:$H$533,EG$4,0)*$P53,0)</f>
        <v>0</v>
      </c>
      <c r="EH53">
        <f>IFERROR(VLOOKUP($D53,'Kalkulator mięs '!$C$5:$H$533,EH$4,0)*$P53,0)</f>
        <v>0</v>
      </c>
      <c r="EI53">
        <f>IFERROR(VLOOKUP($D53,'Kalkulator mięs '!$C$5:$H$533,EI$4,0)*$Q53,0)</f>
        <v>0</v>
      </c>
      <c r="EJ53">
        <f>IFERROR(VLOOKUP($D53,'Kalkulator mięs '!$C$5:$H$533,EJ$4,0)*$Q53,0)</f>
        <v>0</v>
      </c>
      <c r="EK53">
        <f>IFERROR(VLOOKUP($D53,'Kalkulator mięs '!$C$5:$H$533,EK$4,0)*$Q53,0)</f>
        <v>0</v>
      </c>
      <c r="EL53">
        <f>IFERROR(VLOOKUP($D53,'Kalkulator mięs '!$C$5:$H$533,EL$4,0)*$R53,0)</f>
        <v>0</v>
      </c>
      <c r="EM53">
        <f>IFERROR(VLOOKUP($D53,'Kalkulator mięs '!$C$5:$H$533,EM$4,0)*$R53,0)</f>
        <v>0</v>
      </c>
      <c r="EN53">
        <f>IFERROR(VLOOKUP($D53,'Kalkulator mięs '!$C$5:$H$533,EN$4,0)*$R53,0)</f>
        <v>0</v>
      </c>
      <c r="EO53">
        <f>IFERROR(VLOOKUP($D53,'Kalkulator mięs '!$C$5:$H$533,EO$4,0)*$S53,0)</f>
        <v>0</v>
      </c>
      <c r="EP53">
        <f>IFERROR(VLOOKUP($D53,'Kalkulator mięs '!$C$5:$H$533,EP$4,0)*$S53,0)</f>
        <v>0</v>
      </c>
      <c r="EQ53">
        <f>IFERROR(VLOOKUP($D53,'Kalkulator mięs '!$C$5:$H$533,EQ$4,0)*$S53,0)</f>
        <v>0</v>
      </c>
      <c r="ER53">
        <f>IFERROR(VLOOKUP($D53,'Kalkulator mięs '!$C$5:$H$533,ER$4,0)*$T53,0)</f>
        <v>0</v>
      </c>
      <c r="ES53">
        <f>IFERROR(VLOOKUP($D53,'Kalkulator mięs '!$C$5:$H$533,ES$4,0)*$T53,0)</f>
        <v>0</v>
      </c>
      <c r="ET53">
        <f>IFERROR(VLOOKUP($D53,'Kalkulator mięs '!$C$5:$H$533,ET$4,0)*$T53,0)</f>
        <v>0</v>
      </c>
      <c r="EU53">
        <f>IFERROR(VLOOKUP($D53,'Kalkulator mięs '!$C$5:$H$533,EU$4,0)*$U53,0)</f>
        <v>0</v>
      </c>
      <c r="EV53">
        <f>IFERROR(VLOOKUP($D53,'Kalkulator mięs '!$C$5:$H$533,EV$4,0)*$U53,0)</f>
        <v>0</v>
      </c>
      <c r="EW53">
        <f>IFERROR(VLOOKUP($D53,'Kalkulator mięs '!$C$5:$H$533,EW$4,0)*$U53,0)</f>
        <v>0</v>
      </c>
      <c r="EX53">
        <f>IFERROR(VLOOKUP($D53,'Kalkulator mięs '!$C$5:$H$533,EX$4,0)*$V53,0)</f>
        <v>0</v>
      </c>
      <c r="EY53">
        <f>IFERROR(VLOOKUP($D53,'Kalkulator mięs '!$C$5:$H$533,EY$4,0)*$V53,0)</f>
        <v>0</v>
      </c>
      <c r="EZ53">
        <f>IFERROR(VLOOKUP($D53,'Kalkulator mięs '!$C$5:$H$533,EZ$4,0)*$V53,0)</f>
        <v>0</v>
      </c>
      <c r="FA53">
        <f>IFERROR(VLOOKUP($D53,'Kalkulator mięs '!$C$5:$H$533,FA$4,0)*$W53,0)</f>
        <v>0</v>
      </c>
      <c r="FB53">
        <f>IFERROR(VLOOKUP($D53,'Kalkulator mięs '!$C$5:$H$533,FB$4,0)*$W53,0)</f>
        <v>0</v>
      </c>
      <c r="FC53">
        <f>IFERROR(VLOOKUP($D53,'Kalkulator mięs '!$C$5:$H$533,FC$4,0)*$W53,0)</f>
        <v>0</v>
      </c>
      <c r="FD53">
        <f>IFERROR(VLOOKUP($D53,'Kalkulator mięs '!$C$5:$H$533,FD$4,0)*$X53,0)</f>
        <v>0</v>
      </c>
      <c r="FE53">
        <f>IFERROR(VLOOKUP($D53,'Kalkulator mięs '!$C$5:$H$533,FE$4,0)*$X53,0)</f>
        <v>0</v>
      </c>
      <c r="FF53">
        <f>IFERROR(VLOOKUP($D53,'Kalkulator mięs '!$C$5:$H$533,FF$4,0)*$X53,0)</f>
        <v>0</v>
      </c>
      <c r="FG53">
        <f>IFERROR(VLOOKUP($D53,'Kalkulator mięs '!$C$5:$H$533,FG$4,0)*$Y53,0)</f>
        <v>0</v>
      </c>
      <c r="FH53">
        <f>IFERROR(VLOOKUP($D53,'Kalkulator mięs '!$C$5:$H$533,FH$4,0)*$Y53,0)</f>
        <v>0</v>
      </c>
      <c r="FI53">
        <f>IFERROR(VLOOKUP($D53,'Kalkulator mięs '!$C$5:$H$533,FI$4,0)*$Y53,0)</f>
        <v>0</v>
      </c>
      <c r="FJ53">
        <f>IFERROR(VLOOKUP($D53,'Kalkulator mięs '!$C$5:$H$533,FJ$4,0)*$Z53,0)</f>
        <v>0</v>
      </c>
      <c r="FK53">
        <f>IFERROR(VLOOKUP($D53,'Kalkulator mięs '!$C$5:$H$533,FK$4,0)*$Z53,0)</f>
        <v>0</v>
      </c>
      <c r="FL53">
        <f>IFERROR(VLOOKUP($D53,'Kalkulator mięs '!$C$5:$H$533,FL$4,0)*$Z53,0)</f>
        <v>0</v>
      </c>
      <c r="FM53">
        <f>IFERROR(VLOOKUP($D53,'Kalkulator mięs '!$C$5:$H$533,FM$4,0)*$AA53,0)</f>
        <v>0</v>
      </c>
      <c r="FN53">
        <f>IFERROR(VLOOKUP($D53,'Kalkulator mięs '!$C$5:$H$533,FN$4,0)*$AA53,0)</f>
        <v>0</v>
      </c>
      <c r="FO53">
        <f>IFERROR(VLOOKUP($D53,'Kalkulator mięs '!$C$5:$H$533,FO$4,0)*$AA53,0)</f>
        <v>0</v>
      </c>
      <c r="FP53">
        <f>IFERROR(VLOOKUP($D53,'Kalkulator mięs '!$C$5:$H$533,FP$4,0)*$AB53,0)</f>
        <v>0</v>
      </c>
      <c r="FQ53">
        <f>IFERROR(VLOOKUP($D53,'Kalkulator mięs '!$C$5:$H$533,FQ$4,0)*$AB53,0)</f>
        <v>0</v>
      </c>
      <c r="FR53">
        <f>IFERROR(VLOOKUP($D53,'Kalkulator mięs '!$C$5:$H$533,FR$4,0)*$AB53,0)</f>
        <v>0</v>
      </c>
      <c r="FS53">
        <f>IFERROR(VLOOKUP($D53,'Kalkulator mięs '!$C$5:$H$533,FS$4,0)*$AC53,0)</f>
        <v>0</v>
      </c>
      <c r="FT53">
        <f>IFERROR(VLOOKUP($D53,'Kalkulator mięs '!$C$5:$H$533,FT$4,0)*$AC53,0)</f>
        <v>0</v>
      </c>
      <c r="FU53">
        <f>IFERROR(VLOOKUP($D53,'Kalkulator mięs '!$C$5:$H$533,FU$4,0)*$AC53,0)</f>
        <v>0</v>
      </c>
      <c r="FV53">
        <f>IFERROR(VLOOKUP($D53,'Kalkulator mięs '!$C$5:$H$533,FV$4,0)*$AD53,0)</f>
        <v>0</v>
      </c>
      <c r="FW53">
        <f>IFERROR(VLOOKUP($D53,'Kalkulator mięs '!$C$5:$H$533,FW$4,0)*$AD53,0)</f>
        <v>0</v>
      </c>
      <c r="FX53">
        <f>IFERROR(VLOOKUP($D53,'Kalkulator mięs '!$C$5:$H$533,FX$4,0)*$AD53,0)</f>
        <v>0</v>
      </c>
      <c r="FY53">
        <f>IFERROR(VLOOKUP($D53,'Kalkulator mięs '!$C$5:$H$533,FY$4,0)*$AE53,0)</f>
        <v>0</v>
      </c>
      <c r="FZ53">
        <f>IFERROR(VLOOKUP($D53,'Kalkulator mięs '!$C$5:$H$533,FZ$4,0)*$AE53,0)</f>
        <v>0</v>
      </c>
      <c r="GA53">
        <f>IFERROR(VLOOKUP($D53,'Kalkulator mięs '!$C$5:$H$533,GA$4,0)*$AE53,0)</f>
        <v>0</v>
      </c>
      <c r="GB53">
        <f>IFERROR(VLOOKUP($D53,'Kalkulator mięs '!$C$5:$H$533,GB$4,0)*$AF53,0)</f>
        <v>0</v>
      </c>
      <c r="GC53">
        <f>IFERROR(VLOOKUP($D53,'Kalkulator mięs '!$C$5:$H$533,GC$4,0)*$AF53,0)</f>
        <v>0</v>
      </c>
      <c r="GD53">
        <f>IFERROR(VLOOKUP($D53,'Kalkulator mięs '!$C$5:$H$533,GD$4,0)*$AF53,0)</f>
        <v>0</v>
      </c>
      <c r="GE53">
        <f>IFERROR(VLOOKUP($D53,'Kalkulator mięs '!$C$5:$H$533,GE$4,0)*$AG53,0)</f>
        <v>0</v>
      </c>
      <c r="GF53">
        <f>IFERROR(VLOOKUP($D53,'Kalkulator mięs '!$C$5:$H$533,GF$4,0)*$AG53,0)</f>
        <v>0</v>
      </c>
      <c r="GG53">
        <f>IFERROR(VLOOKUP($D53,'Kalkulator mięs '!$C$5:$H$533,GG$4,0)*$AG53,0)</f>
        <v>0</v>
      </c>
      <c r="GH53">
        <f>IFERROR(VLOOKUP($D53,'Kalkulator mięs '!$C$5:$H$533,GH$4,0)*$AH53,0)</f>
        <v>0</v>
      </c>
      <c r="GI53">
        <f>IFERROR(VLOOKUP($D53,'Kalkulator mięs '!$C$5:$H$533,GI$4,0)*$AH53,0)</f>
        <v>0</v>
      </c>
      <c r="GJ53">
        <f>IFERROR(VLOOKUP($D53,'Kalkulator mięs '!$C$5:$H$533,GJ$4,0)*$AH53,0)</f>
        <v>0</v>
      </c>
      <c r="GK53">
        <f>IFERROR(VLOOKUP($D53,'Kalkulator mięs '!$C$5:$H$533,GK$4,0)*$AI53,0)</f>
        <v>0</v>
      </c>
      <c r="GL53">
        <f>IFERROR(VLOOKUP($D53,'Kalkulator mięs '!$C$5:$H$533,GL$4,0)*$AI53,0)</f>
        <v>0</v>
      </c>
      <c r="GM53">
        <f>IFERROR(VLOOKUP($D53,'Kalkulator mięs '!$C$5:$H$533,GM$4,0)*$AI53,0)</f>
        <v>0</v>
      </c>
      <c r="GN53">
        <f>IFERROR(VLOOKUP($D53,'Kalkulator mięs '!$C$5:$H$533,GN$4,0)*$AJ53,0)</f>
        <v>0</v>
      </c>
      <c r="GO53">
        <f>IFERROR(VLOOKUP($D53,'Kalkulator mięs '!$C$5:$H$533,GO$4,0)*$AJ53,0)</f>
        <v>0</v>
      </c>
      <c r="GP53">
        <f>IFERROR(VLOOKUP($D53,'Kalkulator mięs '!$C$5:$H$533,GP$4,0)*$AJ53,0)</f>
        <v>0</v>
      </c>
      <c r="GQ53">
        <f>IFERROR(VLOOKUP($D53,'Kalkulator mięs '!$C$5:$H$533,GQ$4,0)*$AK53,0)</f>
        <v>0</v>
      </c>
      <c r="GR53">
        <f>IFERROR(VLOOKUP($D53,'Kalkulator mięs '!$C$5:$H$533,GR$4,0)*$AK53,0)</f>
        <v>0</v>
      </c>
      <c r="GS53">
        <f>IFERROR(VLOOKUP($D53,'Kalkulator mięs '!$C$5:$H$533,GS$4,0)*$AK53,0)</f>
        <v>0</v>
      </c>
      <c r="GT53">
        <f>IFERROR(VLOOKUP($D53,'Kalkulator mięs '!$C$5:$H$533,GT$4,0)*$AL53,0)</f>
        <v>0</v>
      </c>
      <c r="GU53">
        <f>IFERROR(VLOOKUP($D53,'Kalkulator mięs '!$C$5:$H$533,GU$4,0)*$AL53,0)</f>
        <v>0</v>
      </c>
      <c r="GV53">
        <f>IFERROR(VLOOKUP($D53,'Kalkulator mięs '!$C$5:$H$533,GV$4,0)*$AL53,0)</f>
        <v>0</v>
      </c>
      <c r="GW53">
        <f>IFERROR(VLOOKUP($D53,'Kalkulator mięs '!$C$5:$H$533,GW$4,0)*$AM53,0)</f>
        <v>0</v>
      </c>
      <c r="GX53">
        <f>IFERROR(VLOOKUP($D53,'Kalkulator mięs '!$C$5:$H$533,GX$4,0)*$AM53,0)</f>
        <v>0</v>
      </c>
      <c r="GY53">
        <f>IFERROR(VLOOKUP($D53,'Kalkulator mięs '!$C$5:$H$533,GY$4,0)*$AM53,0)</f>
        <v>0</v>
      </c>
      <c r="GZ53">
        <f>IFERROR(VLOOKUP($D53,'Kalkulator mięs '!$C$5:$H$533,GZ$4,0)*$AN53,0)</f>
        <v>0</v>
      </c>
      <c r="HA53">
        <f>IFERROR(VLOOKUP($D53,'Kalkulator mięs '!$C$5:$H$533,HA$4,0)*$AN53,0)</f>
        <v>0</v>
      </c>
      <c r="HB53">
        <f>IFERROR(VLOOKUP($D53,'Kalkulator mięs '!$C$5:$H$533,HB$4,0)*$AN53,0)</f>
        <v>0</v>
      </c>
      <c r="HC53">
        <f>IFERROR(VLOOKUP($D53,'Kalkulator mięs '!$C$5:$H$533,HC$4,0)*$AO53,0)</f>
        <v>0</v>
      </c>
      <c r="HD53">
        <f>IFERROR(VLOOKUP($D53,'Kalkulator mięs '!$C$5:$H$533,HD$4,0)*$AO53,0)</f>
        <v>0</v>
      </c>
      <c r="HE53">
        <f>IFERROR(VLOOKUP($D53,'Kalkulator mięs '!$C$5:$H$533,HE$4,0)*$AO53,0)</f>
        <v>0</v>
      </c>
      <c r="HF53">
        <f>IFERROR(VLOOKUP($D53,'Kalkulator mięs '!$C$5:$H$533,HF$4,0)*$AP53,0)</f>
        <v>0</v>
      </c>
      <c r="HG53">
        <f>IFERROR(VLOOKUP($D53,'Kalkulator mięs '!$C$5:$H$533,HG$4,0)*$AP53,0)</f>
        <v>0</v>
      </c>
      <c r="HH53">
        <f>IFERROR(VLOOKUP($D53,'Kalkulator mięs '!$C$5:$H$533,HH$4,0)*$AP53,0)</f>
        <v>0</v>
      </c>
      <c r="HI53">
        <f>IFERROR(VLOOKUP($D53,'Kalkulator mięs '!$C$5:$H$533,HI$4,0)*$AQ53,0)</f>
        <v>0</v>
      </c>
      <c r="HJ53">
        <f>IFERROR(VLOOKUP($D53,'Kalkulator mięs '!$C$5:$H$533,HJ$4,0)*$AQ53,0)</f>
        <v>0</v>
      </c>
      <c r="HK53">
        <f>IFERROR(VLOOKUP($D53,'Kalkulator mięs '!$C$5:$H$533,HK$4,0)*$AQ53,0)</f>
        <v>0</v>
      </c>
      <c r="HL53">
        <f>IFERROR(VLOOKUP($D53,'Kalkulator mięs '!$C$5:$H$533,HL$4,0)*$AR53,0)</f>
        <v>0</v>
      </c>
      <c r="HM53">
        <f>IFERROR(VLOOKUP($D53,'Kalkulator mięs '!$C$5:$H$533,HM$4,0)*$AR53,0)</f>
        <v>0</v>
      </c>
      <c r="HN53">
        <f>IFERROR(VLOOKUP($D53,'Kalkulator mięs '!$C$5:$H$533,HN$4,0)*$AR53,0)</f>
        <v>0</v>
      </c>
      <c r="HO53">
        <f>IFERROR(VLOOKUP($D53,'Kalkulator mięs '!$C$5:$H$533,HO$4,0)*$AS53,0)</f>
        <v>0</v>
      </c>
      <c r="HP53">
        <f>IFERROR(VLOOKUP($D53,'Kalkulator mięs '!$C$5:$H$533,HP$4,0)*$AS53,0)</f>
        <v>0</v>
      </c>
      <c r="HQ53">
        <f>IFERROR(VLOOKUP($D53,'Kalkulator mięs '!$C$5:$H$533,HQ$4,0)*$AS53,0)</f>
        <v>0</v>
      </c>
      <c r="HR53">
        <f>IFERROR(VLOOKUP($D53,'Kalkulator mięs '!$C$5:$H$533,HR$4,0)*$AT53,0)</f>
        <v>0</v>
      </c>
      <c r="HS53">
        <f>IFERROR(VLOOKUP($D53,'Kalkulator mięs '!$C$5:$H$533,HS$4,0)*$AT53,0)</f>
        <v>0</v>
      </c>
      <c r="HT53">
        <f>IFERROR(VLOOKUP($D53,'Kalkulator mięs '!$C$5:$H$533,HT$4,0)*$AT53,0)</f>
        <v>0</v>
      </c>
      <c r="HU53">
        <f>IFERROR(VLOOKUP($D53,'Kalkulator mięs '!$C$5:$H$533,HU$4,0)*$AU53,0)</f>
        <v>0</v>
      </c>
      <c r="HV53">
        <f>IFERROR(VLOOKUP($D53,'Kalkulator mięs '!$C$5:$H$533,HV$4,0)*$AU53,0)</f>
        <v>0</v>
      </c>
      <c r="HW53">
        <f>IFERROR(VLOOKUP($D53,'Kalkulator mięs '!$C$5:$H$533,HW$4,0)*$AU53,0)</f>
        <v>0</v>
      </c>
      <c r="HX53">
        <f>IFERROR(VLOOKUP($D53,'Kalkulator mięs '!$C$5:$H$533,HX$4,0)*$AV53,0)</f>
        <v>0</v>
      </c>
      <c r="HY53">
        <f>IFERROR(VLOOKUP($D53,'Kalkulator mięs '!$C$5:$H$533,HY$4,0)*$AV53,0)</f>
        <v>0</v>
      </c>
      <c r="HZ53">
        <f>IFERROR(VLOOKUP($D53,'Kalkulator mięs '!$C$5:$H$533,HZ$4,0)*$AV53,0)</f>
        <v>0</v>
      </c>
      <c r="IA53">
        <f>IFERROR(VLOOKUP($D53,'Kalkulator mięs '!$C$5:$H$533,IA$4,0)*$AW53,0)</f>
        <v>0</v>
      </c>
      <c r="IB53">
        <f>IFERROR(VLOOKUP($D53,'Kalkulator mięs '!$C$5:$H$533,IB$4,0)*$AW53,0)</f>
        <v>0</v>
      </c>
      <c r="IC53">
        <f>IFERROR(VLOOKUP($D53,'Kalkulator mięs '!$C$5:$H$533,IC$4,0)*$AW53,0)</f>
        <v>0</v>
      </c>
      <c r="ID53">
        <f>IFERROR(VLOOKUP($D53,'Kalkulator mięs '!$C$5:$H$533,ID$4,0)*$AX53,0)</f>
        <v>0</v>
      </c>
      <c r="IE53">
        <f>IFERROR(VLOOKUP($D53,'Kalkulator mięs '!$C$5:$H$533,IE$4,0)*$AX53,0)</f>
        <v>0</v>
      </c>
      <c r="IF53">
        <f>IFERROR(VLOOKUP($D53,'Kalkulator mięs '!$C$5:$H$533,IF$4,0)*$AX53,0)</f>
        <v>0</v>
      </c>
      <c r="IG53">
        <f>IFERROR(VLOOKUP($D53,'Kalkulator mięs '!$C$5:$H$533,IG$4,0)*$AY53,0)</f>
        <v>0</v>
      </c>
      <c r="IH53">
        <f>IFERROR(VLOOKUP($D53,'Kalkulator mięs '!$C$5:$H$533,IH$4,0)*$AY53,0)</f>
        <v>0</v>
      </c>
      <c r="II53">
        <f>IFERROR(VLOOKUP($D53,'Kalkulator mięs '!$C$5:$H$533,II$4,0)*$AY53,0)</f>
        <v>0</v>
      </c>
      <c r="IJ53">
        <f>IFERROR(VLOOKUP($D53,'Kalkulator mięs '!$C$5:$H$533,IJ$4,0)*$AZ53,0)</f>
        <v>0</v>
      </c>
      <c r="IK53">
        <f>IFERROR(VLOOKUP($D53,'Kalkulator mięs '!$C$5:$H$533,IK$4,0)*$AZ53,0)</f>
        <v>0</v>
      </c>
      <c r="IL53">
        <f>IFERROR(VLOOKUP($D53,'Kalkulator mięs '!$C$5:$H$533,IL$4,0)*$AZ53,0)</f>
        <v>0</v>
      </c>
      <c r="IM53">
        <f>IFERROR(VLOOKUP($D53,'Kalkulator mięs '!$C$5:$H$533,IM$4,0)*$BA53,0)</f>
        <v>0</v>
      </c>
      <c r="IN53">
        <f>IFERROR(VLOOKUP($D53,'Kalkulator mięs '!$C$5:$H$533,IN$4,0)*$BA53,0)</f>
        <v>0</v>
      </c>
      <c r="IO53">
        <f>IFERROR(VLOOKUP($D53,'Kalkulator mięs '!$C$5:$H$533,IO$4,0)*$BA53,0)</f>
        <v>0</v>
      </c>
    </row>
    <row r="54" spans="1:249" ht="15.75">
      <c r="A54" s="91"/>
      <c r="B54" t="str">
        <f>VLOOKUP(D54,Receptury_z!$A:$B,2,0)</f>
        <v>ON</v>
      </c>
      <c r="C54" s="16">
        <v>5676</v>
      </c>
      <c r="D54" s="19">
        <v>7028</v>
      </c>
      <c r="E54" s="20" t="s">
        <v>57</v>
      </c>
      <c r="F54" s="14">
        <f>IF($B54="OFF",BE54,VLOOKUP($D54,Receptury_z!$D:$AI,F$4,0))</f>
        <v>0</v>
      </c>
      <c r="G54" s="14">
        <f>IF($B54="OFF",BF54,VLOOKUP($D54,Receptury_z!$D:$AI,G$4,0))</f>
        <v>0</v>
      </c>
      <c r="H54" s="14">
        <f>IF($B54="OFF",BG54,VLOOKUP($D54,Receptury_z!$D:$AI,H$4,0))</f>
        <v>0</v>
      </c>
      <c r="I54" s="14">
        <f>IF($B54="OFF",BH54,VLOOKUP($D54,Receptury_z!$D:$AI,I$4,0))</f>
        <v>0</v>
      </c>
      <c r="J54" s="14">
        <f>IF($B54="OFF",BI54,VLOOKUP($D54,Receptury_z!$D:$AI,J$4,0))</f>
        <v>0</v>
      </c>
      <c r="K54" s="14">
        <f>IF($B54="OFF",BJ54,VLOOKUP($D54,Receptury_z!$D:$AI,K$4,0))</f>
        <v>0</v>
      </c>
      <c r="L54" s="14">
        <f>IF($B54="OFF",BK54,VLOOKUP($D54,Receptury_z!$D:$AI,L$4,0))</f>
        <v>0</v>
      </c>
      <c r="M54" s="14">
        <f>IF($B54="OFF",BL54,VLOOKUP($D54,Receptury_z!$D:$AI,M$4,0))</f>
        <v>0</v>
      </c>
      <c r="N54" s="14">
        <f>IF($B54="OFF",BM54,VLOOKUP($D54,Receptury_z!$D:$AI,N$4,0))</f>
        <v>0</v>
      </c>
      <c r="O54" s="14">
        <f>IF($B54="OFF",BN54,VLOOKUP($D54,Receptury_z!$D:$AI,O$4,0))</f>
        <v>0</v>
      </c>
      <c r="P54" s="14">
        <f>IF($B54="OFF",BO54,VLOOKUP($D54,Receptury_z!$D:$AI,P$4,0))</f>
        <v>0</v>
      </c>
      <c r="Q54" s="14">
        <f>IF($B54="OFF",BP54,VLOOKUP($D54,Receptury_z!$D:$AI,Q$4,0))</f>
        <v>0</v>
      </c>
      <c r="R54" s="14">
        <f>IF($B54="OFF",BQ54,VLOOKUP($D54,Receptury_z!$D:$AI,R$4,0))</f>
        <v>0</v>
      </c>
      <c r="S54" s="14">
        <f>IF($B54="OFF",BR54,VLOOKUP($D54,Receptury_z!$D:$AI,S$4,0))</f>
        <v>0</v>
      </c>
      <c r="T54" s="14">
        <f>IF($B54="OFF",BS54,VLOOKUP($D54,Receptury_z!$D:$AI,T$4,0))</f>
        <v>302.2</v>
      </c>
      <c r="U54" s="14">
        <f>IF($B54="OFF",BT54,VLOOKUP($D54,Receptury_z!$D:$AI,U$4,0))</f>
        <v>511.4</v>
      </c>
      <c r="V54" s="14">
        <f>IF($B54="OFF",BU54,VLOOKUP($D54,Receptury_z!$D:$AI,V$4,0))</f>
        <v>0</v>
      </c>
      <c r="W54" s="14">
        <f>IF($B54="OFF",BV54,VLOOKUP($D54,Receptury_z!$D:$AI,W$4,0))</f>
        <v>0</v>
      </c>
      <c r="X54" s="14">
        <f>IF($B54="OFF",BW54,VLOOKUP($D54,Receptury_z!$D:$AI,X$4,0))</f>
        <v>0</v>
      </c>
      <c r="Y54" s="14">
        <f>IF($B54="OFF",BX54,VLOOKUP($D54,Receptury_z!$D:$AI,Y$4,0))</f>
        <v>0</v>
      </c>
      <c r="Z54" s="14">
        <f>IF($B54="OFF",BY54,VLOOKUP($D54,Receptury_z!$D:$AI,Z$4,0))</f>
        <v>0</v>
      </c>
      <c r="AA54" s="14">
        <f>IF($B54="OFF",BZ54,VLOOKUP($D54,Receptury_z!$D:$AI,AA$4,0))</f>
        <v>0</v>
      </c>
      <c r="AB54" s="14">
        <f>IF($B54="OFF",CA54,VLOOKUP($D54,Receptury_z!$D:$AI,AB$4,0))</f>
        <v>0</v>
      </c>
      <c r="AC54" s="14">
        <f>IF($B54="OFF",CB54,VLOOKUP($D54,Receptury_z!$D:$AI,AC$4,0))</f>
        <v>0</v>
      </c>
      <c r="AD54" s="14">
        <f>IF($B54="OFF",CC54,VLOOKUP($D54,Receptury_z!$D:$AI,AD$4,0))</f>
        <v>0</v>
      </c>
      <c r="AE54" s="14">
        <f>IF($B54="OFF",CD54,VLOOKUP($D54,Receptury_z!$D:$AI,AE$4,0))</f>
        <v>0</v>
      </c>
      <c r="AF54" s="14">
        <f>IF($B54="OFF",CE54,VLOOKUP($D54,Receptury_z!$D:$AI,AF$4,0))</f>
        <v>0</v>
      </c>
      <c r="AG54" s="14">
        <f>IF($B54="OFF",CF54,VLOOKUP($D54,Receptury_z!$D:$AI,AG$4,0))</f>
        <v>0</v>
      </c>
      <c r="AH54" s="14">
        <f>IF($B54="OFF",CG54,VLOOKUP($D54,Receptury_z!$D:$AI,AH$4,0))</f>
        <v>0</v>
      </c>
      <c r="AI54" s="14">
        <f>IF($B54="OFF",CH54,VLOOKUP($D54,Receptury_z!$D:$AI,AI$4,0))</f>
        <v>0</v>
      </c>
      <c r="AJ54" s="14">
        <f>IF($B54="OFF",CI54,VLOOKUP($D54,Receptury_z!$D:$AS,AJ$4,0))</f>
        <v>116.2</v>
      </c>
      <c r="AK54" s="14">
        <f>IF($B54="OFF",CJ54,VLOOKUP($D54,Receptury_z!$D:$AS,AK$4,0))</f>
        <v>0</v>
      </c>
      <c r="AL54" s="14">
        <f>IF($B54="OFF",CK54,VLOOKUP($D54,Receptury_z!$D:$AS,AL$4,0))</f>
        <v>0</v>
      </c>
      <c r="AM54" s="14">
        <f>IF($B54="OFF",CL54,VLOOKUP($D54,Receptury_z!$D:$AS,AM$4,0))</f>
        <v>0</v>
      </c>
      <c r="AN54" s="14">
        <f>IF($B54="OFF",CM54,VLOOKUP($D54,Receptury_z!$D:$AS,AN$4,0))</f>
        <v>0</v>
      </c>
      <c r="AO54" s="14">
        <f>IF($B54="OFF",CN54,VLOOKUP($D54,Receptury_z!$D:$AS,AO$4,0))</f>
        <v>0</v>
      </c>
      <c r="AP54" s="14">
        <f>IF($B54="OFF",CO54,VLOOKUP($D54,Receptury_z!$D:$AS,AP$4,0))</f>
        <v>0</v>
      </c>
      <c r="AQ54" s="14">
        <f>IF($B54="OFF",CP54,VLOOKUP($D54,Receptury_z!$D:$AS,AQ$4,0))</f>
        <v>0</v>
      </c>
      <c r="AR54" s="14">
        <f>IF($B54="OFF",CQ54,VLOOKUP($D54,Receptury_z!$D:$AS,AR$4,0))</f>
        <v>0</v>
      </c>
      <c r="AS54" s="14">
        <f>IF($B54="OFF",CR54,VLOOKUP($D54,Receptury_z!$D:$AS,AS$4,0))</f>
        <v>0</v>
      </c>
      <c r="AT54" s="14">
        <f>IF($B54="OFF",CS54,VLOOKUP($D54,Receptury_z!$D:$AV,AT$4,0))</f>
        <v>0</v>
      </c>
      <c r="AU54" s="14">
        <f>IF($B54="OFF",CT54,VLOOKUP($D54,Receptury_z!$D:$AV,AU$4,0))</f>
        <v>0</v>
      </c>
      <c r="AV54" s="14">
        <f>IF($B54="OFF",CU54,VLOOKUP($D54,Receptury_z!$D:$AV,AV$4,0))</f>
        <v>0</v>
      </c>
      <c r="AW54" s="14">
        <f>IF($B54="OFF",CV54,VLOOKUP($D54,Receptury_z!$D:$BA,AW$4,0))</f>
        <v>0</v>
      </c>
      <c r="AX54" s="14">
        <f>IF($B54="OFF",CW54,VLOOKUP($D54,Receptury_z!$D:$BA,AX$4,0))</f>
        <v>0</v>
      </c>
      <c r="AY54" s="14">
        <f>IF($B54="OFF",CX54,VLOOKUP($D54,Receptury_z!$D:$BA,AY$4,0))</f>
        <v>0</v>
      </c>
      <c r="AZ54" s="14">
        <f>IF($B54="OFF",DA54,VLOOKUP($D54,Receptury_z!$D:$BA,AZ$4,0))</f>
        <v>0</v>
      </c>
      <c r="BA54" s="14">
        <f>IF($B54="OFF",DB54,VLOOKUP($D54,Receptury_z!$D:$BA,BA$4,0))</f>
        <v>0</v>
      </c>
      <c r="BC54" s="19">
        <v>7028</v>
      </c>
      <c r="BD54" s="20" t="s">
        <v>57</v>
      </c>
      <c r="BE54" s="239">
        <v>0</v>
      </c>
      <c r="BF54" s="239">
        <v>0</v>
      </c>
      <c r="BG54" s="239">
        <v>0</v>
      </c>
      <c r="BH54" s="239">
        <v>0</v>
      </c>
      <c r="BI54" s="239">
        <v>0</v>
      </c>
      <c r="BJ54" s="239">
        <v>0</v>
      </c>
      <c r="BK54" s="239">
        <v>0</v>
      </c>
      <c r="BL54" s="239">
        <v>0</v>
      </c>
      <c r="BM54" s="239">
        <v>0</v>
      </c>
      <c r="BN54" s="239">
        <v>0</v>
      </c>
      <c r="BO54" s="239">
        <v>0</v>
      </c>
      <c r="BP54" s="239">
        <v>0</v>
      </c>
      <c r="BQ54" s="239">
        <v>0</v>
      </c>
      <c r="BR54" s="239">
        <v>0</v>
      </c>
      <c r="BS54" s="239">
        <v>302.2</v>
      </c>
      <c r="BT54" s="239">
        <v>511.4</v>
      </c>
      <c r="BU54" s="239">
        <v>0</v>
      </c>
      <c r="BV54" s="239">
        <v>0</v>
      </c>
      <c r="BW54" s="239">
        <v>0</v>
      </c>
      <c r="BX54" s="239">
        <v>0</v>
      </c>
      <c r="BY54" s="239">
        <v>0</v>
      </c>
      <c r="BZ54" s="239">
        <v>0</v>
      </c>
      <c r="CA54" s="239">
        <v>0</v>
      </c>
      <c r="CB54" s="239">
        <v>0</v>
      </c>
      <c r="CC54" s="239">
        <v>0</v>
      </c>
      <c r="CD54" s="239">
        <v>0</v>
      </c>
      <c r="CE54" s="239">
        <v>0</v>
      </c>
      <c r="CF54" s="239">
        <v>0</v>
      </c>
      <c r="CG54" s="239">
        <v>0</v>
      </c>
      <c r="CH54" s="239">
        <v>0</v>
      </c>
      <c r="CI54" s="239">
        <v>116.2</v>
      </c>
      <c r="CJ54" s="239">
        <v>0</v>
      </c>
      <c r="CK54" s="239">
        <v>0</v>
      </c>
      <c r="CL54" s="239">
        <v>0</v>
      </c>
      <c r="CM54" s="80"/>
      <c r="CN54" s="80"/>
      <c r="CO54" s="80"/>
      <c r="CP54" s="80"/>
      <c r="CQ54" s="80"/>
      <c r="CR54" s="80"/>
      <c r="CS54" s="80"/>
      <c r="CT54" s="80"/>
      <c r="CU54" s="80"/>
      <c r="CV54" s="80"/>
      <c r="CW54" s="80"/>
      <c r="CX54" s="80"/>
      <c r="CY54" s="80"/>
      <c r="CZ54" s="80"/>
      <c r="DB54">
        <f>IFERROR(VLOOKUP($D54,'Kalkulator mięs '!$C$5:$H$533,DB$4,0)*F54,0)</f>
        <v>0</v>
      </c>
      <c r="DC54">
        <f>IFERROR(VLOOKUP($D54,'Kalkulator mięs '!$C$5:$H$533,DC$4,0)*F54,0)</f>
        <v>0</v>
      </c>
      <c r="DD54">
        <f>IFERROR(VLOOKUP($D54,'Kalkulator mięs '!$C$5:$H$533,DD$4,0)*F54,0)</f>
        <v>0</v>
      </c>
      <c r="DE54">
        <f>IFERROR(VLOOKUP($D54,'Kalkulator mięs '!$C$5:$H$533,DE$4,0)*$G54,0)</f>
        <v>0</v>
      </c>
      <c r="DF54">
        <f>IFERROR(VLOOKUP($D54,'Kalkulator mięs '!$C$5:$H$533,DF$4,0)*$G54,0)</f>
        <v>0</v>
      </c>
      <c r="DG54">
        <f>IFERROR(VLOOKUP($D54,'Kalkulator mięs '!$C$5:$H$533,DG$4,0)*$G54,0)</f>
        <v>0</v>
      </c>
      <c r="DH54">
        <f>IFERROR(VLOOKUP($D54,'Kalkulator mięs '!$C$5:$H$533,DH$4,0)*$H54,0)</f>
        <v>0</v>
      </c>
      <c r="DI54">
        <f>IFERROR(VLOOKUP($D54,'Kalkulator mięs '!$C$5:$H$533,DI$4,0)*$H54,0)</f>
        <v>0</v>
      </c>
      <c r="DJ54">
        <f>IFERROR(VLOOKUP($D54,'Kalkulator mięs '!$C$5:$H$533,DJ$4,0)*$H54,0)</f>
        <v>0</v>
      </c>
      <c r="DK54">
        <f>IFERROR(VLOOKUP($D54,'Kalkulator mięs '!$C$5:$H$533,DK$4,0)*$I54,0)</f>
        <v>0</v>
      </c>
      <c r="DL54">
        <f>IFERROR(VLOOKUP($D54,'Kalkulator mięs '!$C$5:$H$533,DL$4,0)*$I54,0)</f>
        <v>0</v>
      </c>
      <c r="DM54">
        <f>IFERROR(VLOOKUP($D54,'Kalkulator mięs '!$C$5:$H$533,DM$4,0)*$I54,0)</f>
        <v>0</v>
      </c>
      <c r="DN54">
        <f>IFERROR(VLOOKUP($D54,'Kalkulator mięs '!$C$5:$H$533,DN$4,0)*$J54,0)</f>
        <v>0</v>
      </c>
      <c r="DO54">
        <f>IFERROR(VLOOKUP($D54,'Kalkulator mięs '!$C$5:$H$533,DO$4,0)*$J54,0)</f>
        <v>0</v>
      </c>
      <c r="DP54">
        <f>IFERROR(VLOOKUP($D54,'Kalkulator mięs '!$C$5:$H$533,DP$4,0)*$J54,0)</f>
        <v>0</v>
      </c>
      <c r="DQ54">
        <f>IFERROR(VLOOKUP($D54,'Kalkulator mięs '!$C$5:$H$533,DQ$4,0)*$K54,0)</f>
        <v>0</v>
      </c>
      <c r="DR54">
        <f>IFERROR(VLOOKUP($D54,'Kalkulator mięs '!$C$5:$H$533,DR$4,0)*$K54,0)</f>
        <v>0</v>
      </c>
      <c r="DS54">
        <f>IFERROR(VLOOKUP($D54,'Kalkulator mięs '!$C$5:$H$533,DS$4,0)*$K54,0)</f>
        <v>0</v>
      </c>
      <c r="DT54">
        <f>IFERROR(VLOOKUP($D54,'Kalkulator mięs '!$C$5:$H$533,DT$4,0)*$L54,0)</f>
        <v>0</v>
      </c>
      <c r="DU54">
        <f>IFERROR(VLOOKUP($D54,'Kalkulator mięs '!$C$5:$H$533,DU$4,0)*$L54,0)</f>
        <v>0</v>
      </c>
      <c r="DV54">
        <f>IFERROR(VLOOKUP($D54,'Kalkulator mięs '!$C$5:$H$533,DV$4,0)*$L54,0)</f>
        <v>0</v>
      </c>
      <c r="DW54">
        <f>IFERROR(VLOOKUP($D54,'Kalkulator mięs '!$C$5:$H$533,DW$4,0)*$M54,0)</f>
        <v>0</v>
      </c>
      <c r="DX54">
        <f>IFERROR(VLOOKUP($D54,'Kalkulator mięs '!$C$5:$H$533,DX$4,0)*$M54,0)</f>
        <v>0</v>
      </c>
      <c r="DY54">
        <f>IFERROR(VLOOKUP($D54,'Kalkulator mięs '!$C$5:$H$533,DY$4,0)*$M54,0)</f>
        <v>0</v>
      </c>
      <c r="DZ54">
        <f>IFERROR(VLOOKUP($D54,'Kalkulator mięs '!$C$5:$H$533,DZ$4,0)*$N54,0)</f>
        <v>0</v>
      </c>
      <c r="EA54">
        <f>IFERROR(VLOOKUP($D54,'Kalkulator mięs '!$C$5:$H$533,EA$4,0)*$N54,0)</f>
        <v>0</v>
      </c>
      <c r="EB54">
        <f>IFERROR(VLOOKUP($D54,'Kalkulator mięs '!$C$5:$H$533,EB$4,0)*$N54,0)</f>
        <v>0</v>
      </c>
      <c r="EC54">
        <f>IFERROR(VLOOKUP($D54,'Kalkulator mięs '!$C$5:$H$533,EC$4,0)*$O54,0)</f>
        <v>0</v>
      </c>
      <c r="ED54">
        <f>IFERROR(VLOOKUP($D54,'Kalkulator mięs '!$C$5:$H$533,ED$4,0)*$O54,0)</f>
        <v>0</v>
      </c>
      <c r="EE54">
        <f>IFERROR(VLOOKUP($D54,'Kalkulator mięs '!$C$5:$H$533,EE$4,0)*$O54,0)</f>
        <v>0</v>
      </c>
      <c r="EF54">
        <f>IFERROR(VLOOKUP($D54,'Kalkulator mięs '!$C$5:$H$533,EF$4,0)*$P54,0)</f>
        <v>0</v>
      </c>
      <c r="EG54">
        <f>IFERROR(VLOOKUP($D54,'Kalkulator mięs '!$C$5:$H$533,EG$4,0)*$P54,0)</f>
        <v>0</v>
      </c>
      <c r="EH54">
        <f>IFERROR(VLOOKUP($D54,'Kalkulator mięs '!$C$5:$H$533,EH$4,0)*$P54,0)</f>
        <v>0</v>
      </c>
      <c r="EI54">
        <f>IFERROR(VLOOKUP($D54,'Kalkulator mięs '!$C$5:$H$533,EI$4,0)*$Q54,0)</f>
        <v>0</v>
      </c>
      <c r="EJ54">
        <f>IFERROR(VLOOKUP($D54,'Kalkulator mięs '!$C$5:$H$533,EJ$4,0)*$Q54,0)</f>
        <v>0</v>
      </c>
      <c r="EK54">
        <f>IFERROR(VLOOKUP($D54,'Kalkulator mięs '!$C$5:$H$533,EK$4,0)*$Q54,0)</f>
        <v>0</v>
      </c>
      <c r="EL54">
        <f>IFERROR(VLOOKUP($D54,'Kalkulator mięs '!$C$5:$H$533,EL$4,0)*$R54,0)</f>
        <v>0</v>
      </c>
      <c r="EM54">
        <f>IFERROR(VLOOKUP($D54,'Kalkulator mięs '!$C$5:$H$533,EM$4,0)*$R54,0)</f>
        <v>0</v>
      </c>
      <c r="EN54">
        <f>IFERROR(VLOOKUP($D54,'Kalkulator mięs '!$C$5:$H$533,EN$4,0)*$R54,0)</f>
        <v>0</v>
      </c>
      <c r="EO54">
        <f>IFERROR(VLOOKUP($D54,'Kalkulator mięs '!$C$5:$H$533,EO$4,0)*$S54,0)</f>
        <v>0</v>
      </c>
      <c r="EP54">
        <f>IFERROR(VLOOKUP($D54,'Kalkulator mięs '!$C$5:$H$533,EP$4,0)*$S54,0)</f>
        <v>0</v>
      </c>
      <c r="EQ54">
        <f>IFERROR(VLOOKUP($D54,'Kalkulator mięs '!$C$5:$H$533,EQ$4,0)*$S54,0)</f>
        <v>0</v>
      </c>
      <c r="ER54">
        <f>IFERROR(VLOOKUP($D54,'Kalkulator mięs '!$C$5:$H$533,ER$4,0)*$T54,0)</f>
        <v>0</v>
      </c>
      <c r="ES54">
        <f>IFERROR(VLOOKUP($D54,'Kalkulator mięs '!$C$5:$H$533,ES$4,0)*$T54,0)</f>
        <v>0</v>
      </c>
      <c r="ET54">
        <f>IFERROR(VLOOKUP($D54,'Kalkulator mięs '!$C$5:$H$533,ET$4,0)*$T54,0)</f>
        <v>0</v>
      </c>
      <c r="EU54">
        <f>IFERROR(VLOOKUP($D54,'Kalkulator mięs '!$C$5:$H$533,EU$4,0)*$U54,0)</f>
        <v>0</v>
      </c>
      <c r="EV54">
        <f>IFERROR(VLOOKUP($D54,'Kalkulator mięs '!$C$5:$H$533,EV$4,0)*$U54,0)</f>
        <v>0</v>
      </c>
      <c r="EW54">
        <f>IFERROR(VLOOKUP($D54,'Kalkulator mięs '!$C$5:$H$533,EW$4,0)*$U54,0)</f>
        <v>0</v>
      </c>
      <c r="EX54">
        <f>IFERROR(VLOOKUP($D54,'Kalkulator mięs '!$C$5:$H$533,EX$4,0)*$V54,0)</f>
        <v>0</v>
      </c>
      <c r="EY54">
        <f>IFERROR(VLOOKUP($D54,'Kalkulator mięs '!$C$5:$H$533,EY$4,0)*$V54,0)</f>
        <v>0</v>
      </c>
      <c r="EZ54">
        <f>IFERROR(VLOOKUP($D54,'Kalkulator mięs '!$C$5:$H$533,EZ$4,0)*$V54,0)</f>
        <v>0</v>
      </c>
      <c r="FA54">
        <f>IFERROR(VLOOKUP($D54,'Kalkulator mięs '!$C$5:$H$533,FA$4,0)*$W54,0)</f>
        <v>0</v>
      </c>
      <c r="FB54">
        <f>IFERROR(VLOOKUP($D54,'Kalkulator mięs '!$C$5:$H$533,FB$4,0)*$W54,0)</f>
        <v>0</v>
      </c>
      <c r="FC54">
        <f>IFERROR(VLOOKUP($D54,'Kalkulator mięs '!$C$5:$H$533,FC$4,0)*$W54,0)</f>
        <v>0</v>
      </c>
      <c r="FD54">
        <f>IFERROR(VLOOKUP($D54,'Kalkulator mięs '!$C$5:$H$533,FD$4,0)*$X54,0)</f>
        <v>0</v>
      </c>
      <c r="FE54">
        <f>IFERROR(VLOOKUP($D54,'Kalkulator mięs '!$C$5:$H$533,FE$4,0)*$X54,0)</f>
        <v>0</v>
      </c>
      <c r="FF54">
        <f>IFERROR(VLOOKUP($D54,'Kalkulator mięs '!$C$5:$H$533,FF$4,0)*$X54,0)</f>
        <v>0</v>
      </c>
      <c r="FG54">
        <f>IFERROR(VLOOKUP($D54,'Kalkulator mięs '!$C$5:$H$533,FG$4,0)*$Y54,0)</f>
        <v>0</v>
      </c>
      <c r="FH54">
        <f>IFERROR(VLOOKUP($D54,'Kalkulator mięs '!$C$5:$H$533,FH$4,0)*$Y54,0)</f>
        <v>0</v>
      </c>
      <c r="FI54">
        <f>IFERROR(VLOOKUP($D54,'Kalkulator mięs '!$C$5:$H$533,FI$4,0)*$Y54,0)</f>
        <v>0</v>
      </c>
      <c r="FJ54">
        <f>IFERROR(VLOOKUP($D54,'Kalkulator mięs '!$C$5:$H$533,FJ$4,0)*$Z54,0)</f>
        <v>0</v>
      </c>
      <c r="FK54">
        <f>IFERROR(VLOOKUP($D54,'Kalkulator mięs '!$C$5:$H$533,FK$4,0)*$Z54,0)</f>
        <v>0</v>
      </c>
      <c r="FL54">
        <f>IFERROR(VLOOKUP($D54,'Kalkulator mięs '!$C$5:$H$533,FL$4,0)*$Z54,0)</f>
        <v>0</v>
      </c>
      <c r="FM54">
        <f>IFERROR(VLOOKUP($D54,'Kalkulator mięs '!$C$5:$H$533,FM$4,0)*$AA54,0)</f>
        <v>0</v>
      </c>
      <c r="FN54">
        <f>IFERROR(VLOOKUP($D54,'Kalkulator mięs '!$C$5:$H$533,FN$4,0)*$AA54,0)</f>
        <v>0</v>
      </c>
      <c r="FO54">
        <f>IFERROR(VLOOKUP($D54,'Kalkulator mięs '!$C$5:$H$533,FO$4,0)*$AA54,0)</f>
        <v>0</v>
      </c>
      <c r="FP54">
        <f>IFERROR(VLOOKUP($D54,'Kalkulator mięs '!$C$5:$H$533,FP$4,0)*$AB54,0)</f>
        <v>0</v>
      </c>
      <c r="FQ54">
        <f>IFERROR(VLOOKUP($D54,'Kalkulator mięs '!$C$5:$H$533,FQ$4,0)*$AB54,0)</f>
        <v>0</v>
      </c>
      <c r="FR54">
        <f>IFERROR(VLOOKUP($D54,'Kalkulator mięs '!$C$5:$H$533,FR$4,0)*$AB54,0)</f>
        <v>0</v>
      </c>
      <c r="FS54">
        <f>IFERROR(VLOOKUP($D54,'Kalkulator mięs '!$C$5:$H$533,FS$4,0)*$AC54,0)</f>
        <v>0</v>
      </c>
      <c r="FT54">
        <f>IFERROR(VLOOKUP($D54,'Kalkulator mięs '!$C$5:$H$533,FT$4,0)*$AC54,0)</f>
        <v>0</v>
      </c>
      <c r="FU54">
        <f>IFERROR(VLOOKUP($D54,'Kalkulator mięs '!$C$5:$H$533,FU$4,0)*$AC54,0)</f>
        <v>0</v>
      </c>
      <c r="FV54">
        <f>IFERROR(VLOOKUP($D54,'Kalkulator mięs '!$C$5:$H$533,FV$4,0)*$AD54,0)</f>
        <v>0</v>
      </c>
      <c r="FW54">
        <f>IFERROR(VLOOKUP($D54,'Kalkulator mięs '!$C$5:$H$533,FW$4,0)*$AD54,0)</f>
        <v>0</v>
      </c>
      <c r="FX54">
        <f>IFERROR(VLOOKUP($D54,'Kalkulator mięs '!$C$5:$H$533,FX$4,0)*$AD54,0)</f>
        <v>0</v>
      </c>
      <c r="FY54">
        <f>IFERROR(VLOOKUP($D54,'Kalkulator mięs '!$C$5:$H$533,FY$4,0)*$AE54,0)</f>
        <v>0</v>
      </c>
      <c r="FZ54">
        <f>IFERROR(VLOOKUP($D54,'Kalkulator mięs '!$C$5:$H$533,FZ$4,0)*$AE54,0)</f>
        <v>0</v>
      </c>
      <c r="GA54">
        <f>IFERROR(VLOOKUP($D54,'Kalkulator mięs '!$C$5:$H$533,GA$4,0)*$AE54,0)</f>
        <v>0</v>
      </c>
      <c r="GB54">
        <f>IFERROR(VLOOKUP($D54,'Kalkulator mięs '!$C$5:$H$533,GB$4,0)*$AF54,0)</f>
        <v>0</v>
      </c>
      <c r="GC54">
        <f>IFERROR(VLOOKUP($D54,'Kalkulator mięs '!$C$5:$H$533,GC$4,0)*$AF54,0)</f>
        <v>0</v>
      </c>
      <c r="GD54">
        <f>IFERROR(VLOOKUP($D54,'Kalkulator mięs '!$C$5:$H$533,GD$4,0)*$AF54,0)</f>
        <v>0</v>
      </c>
      <c r="GE54">
        <f>IFERROR(VLOOKUP($D54,'Kalkulator mięs '!$C$5:$H$533,GE$4,0)*$AG54,0)</f>
        <v>0</v>
      </c>
      <c r="GF54">
        <f>IFERROR(VLOOKUP($D54,'Kalkulator mięs '!$C$5:$H$533,GF$4,0)*$AG54,0)</f>
        <v>0</v>
      </c>
      <c r="GG54">
        <f>IFERROR(VLOOKUP($D54,'Kalkulator mięs '!$C$5:$H$533,GG$4,0)*$AG54,0)</f>
        <v>0</v>
      </c>
      <c r="GH54">
        <f>IFERROR(VLOOKUP($D54,'Kalkulator mięs '!$C$5:$H$533,GH$4,0)*$AH54,0)</f>
        <v>0</v>
      </c>
      <c r="GI54">
        <f>IFERROR(VLOOKUP($D54,'Kalkulator mięs '!$C$5:$H$533,GI$4,0)*$AH54,0)</f>
        <v>0</v>
      </c>
      <c r="GJ54">
        <f>IFERROR(VLOOKUP($D54,'Kalkulator mięs '!$C$5:$H$533,GJ$4,0)*$AH54,0)</f>
        <v>0</v>
      </c>
      <c r="GK54">
        <f>IFERROR(VLOOKUP($D54,'Kalkulator mięs '!$C$5:$H$533,GK$4,0)*$AI54,0)</f>
        <v>0</v>
      </c>
      <c r="GL54">
        <f>IFERROR(VLOOKUP($D54,'Kalkulator mięs '!$C$5:$H$533,GL$4,0)*$AI54,0)</f>
        <v>0</v>
      </c>
      <c r="GM54">
        <f>IFERROR(VLOOKUP($D54,'Kalkulator mięs '!$C$5:$H$533,GM$4,0)*$AI54,0)</f>
        <v>0</v>
      </c>
      <c r="GN54">
        <f>IFERROR(VLOOKUP($D54,'Kalkulator mięs '!$C$5:$H$533,GN$4,0)*$AJ54,0)</f>
        <v>0</v>
      </c>
      <c r="GO54">
        <f>IFERROR(VLOOKUP($D54,'Kalkulator mięs '!$C$5:$H$533,GO$4,0)*$AJ54,0)</f>
        <v>0</v>
      </c>
      <c r="GP54">
        <f>IFERROR(VLOOKUP($D54,'Kalkulator mięs '!$C$5:$H$533,GP$4,0)*$AJ54,0)</f>
        <v>0</v>
      </c>
      <c r="GQ54">
        <f>IFERROR(VLOOKUP($D54,'Kalkulator mięs '!$C$5:$H$533,GQ$4,0)*$AK54,0)</f>
        <v>0</v>
      </c>
      <c r="GR54">
        <f>IFERROR(VLOOKUP($D54,'Kalkulator mięs '!$C$5:$H$533,GR$4,0)*$AK54,0)</f>
        <v>0</v>
      </c>
      <c r="GS54">
        <f>IFERROR(VLOOKUP($D54,'Kalkulator mięs '!$C$5:$H$533,GS$4,0)*$AK54,0)</f>
        <v>0</v>
      </c>
      <c r="GT54">
        <f>IFERROR(VLOOKUP($D54,'Kalkulator mięs '!$C$5:$H$533,GT$4,0)*$AL54,0)</f>
        <v>0</v>
      </c>
      <c r="GU54">
        <f>IFERROR(VLOOKUP($D54,'Kalkulator mięs '!$C$5:$H$533,GU$4,0)*$AL54,0)</f>
        <v>0</v>
      </c>
      <c r="GV54">
        <f>IFERROR(VLOOKUP($D54,'Kalkulator mięs '!$C$5:$H$533,GV$4,0)*$AL54,0)</f>
        <v>0</v>
      </c>
      <c r="GW54">
        <f>IFERROR(VLOOKUP($D54,'Kalkulator mięs '!$C$5:$H$533,GW$4,0)*$AM54,0)</f>
        <v>0</v>
      </c>
      <c r="GX54">
        <f>IFERROR(VLOOKUP($D54,'Kalkulator mięs '!$C$5:$H$533,GX$4,0)*$AM54,0)</f>
        <v>0</v>
      </c>
      <c r="GY54">
        <f>IFERROR(VLOOKUP($D54,'Kalkulator mięs '!$C$5:$H$533,GY$4,0)*$AM54,0)</f>
        <v>0</v>
      </c>
      <c r="GZ54">
        <f>IFERROR(VLOOKUP($D54,'Kalkulator mięs '!$C$5:$H$533,GZ$4,0)*$AN54,0)</f>
        <v>0</v>
      </c>
      <c r="HA54">
        <f>IFERROR(VLOOKUP($D54,'Kalkulator mięs '!$C$5:$H$533,HA$4,0)*$AN54,0)</f>
        <v>0</v>
      </c>
      <c r="HB54">
        <f>IFERROR(VLOOKUP($D54,'Kalkulator mięs '!$C$5:$H$533,HB$4,0)*$AN54,0)</f>
        <v>0</v>
      </c>
      <c r="HC54">
        <f>IFERROR(VLOOKUP($D54,'Kalkulator mięs '!$C$5:$H$533,HC$4,0)*$AO54,0)</f>
        <v>0</v>
      </c>
      <c r="HD54">
        <f>IFERROR(VLOOKUP($D54,'Kalkulator mięs '!$C$5:$H$533,HD$4,0)*$AO54,0)</f>
        <v>0</v>
      </c>
      <c r="HE54">
        <f>IFERROR(VLOOKUP($D54,'Kalkulator mięs '!$C$5:$H$533,HE$4,0)*$AO54,0)</f>
        <v>0</v>
      </c>
      <c r="HF54">
        <f>IFERROR(VLOOKUP($D54,'Kalkulator mięs '!$C$5:$H$533,HF$4,0)*$AP54,0)</f>
        <v>0</v>
      </c>
      <c r="HG54">
        <f>IFERROR(VLOOKUP($D54,'Kalkulator mięs '!$C$5:$H$533,HG$4,0)*$AP54,0)</f>
        <v>0</v>
      </c>
      <c r="HH54">
        <f>IFERROR(VLOOKUP($D54,'Kalkulator mięs '!$C$5:$H$533,HH$4,0)*$AP54,0)</f>
        <v>0</v>
      </c>
      <c r="HI54">
        <f>IFERROR(VLOOKUP($D54,'Kalkulator mięs '!$C$5:$H$533,HI$4,0)*$AQ54,0)</f>
        <v>0</v>
      </c>
      <c r="HJ54">
        <f>IFERROR(VLOOKUP($D54,'Kalkulator mięs '!$C$5:$H$533,HJ$4,0)*$AQ54,0)</f>
        <v>0</v>
      </c>
      <c r="HK54">
        <f>IFERROR(VLOOKUP($D54,'Kalkulator mięs '!$C$5:$H$533,HK$4,0)*$AQ54,0)</f>
        <v>0</v>
      </c>
      <c r="HL54">
        <f>IFERROR(VLOOKUP($D54,'Kalkulator mięs '!$C$5:$H$533,HL$4,0)*$AR54,0)</f>
        <v>0</v>
      </c>
      <c r="HM54">
        <f>IFERROR(VLOOKUP($D54,'Kalkulator mięs '!$C$5:$H$533,HM$4,0)*$AR54,0)</f>
        <v>0</v>
      </c>
      <c r="HN54">
        <f>IFERROR(VLOOKUP($D54,'Kalkulator mięs '!$C$5:$H$533,HN$4,0)*$AR54,0)</f>
        <v>0</v>
      </c>
      <c r="HO54">
        <f>IFERROR(VLOOKUP($D54,'Kalkulator mięs '!$C$5:$H$533,HO$4,0)*$AS54,0)</f>
        <v>0</v>
      </c>
      <c r="HP54">
        <f>IFERROR(VLOOKUP($D54,'Kalkulator mięs '!$C$5:$H$533,HP$4,0)*$AS54,0)</f>
        <v>0</v>
      </c>
      <c r="HQ54">
        <f>IFERROR(VLOOKUP($D54,'Kalkulator mięs '!$C$5:$H$533,HQ$4,0)*$AS54,0)</f>
        <v>0</v>
      </c>
      <c r="HR54">
        <f>IFERROR(VLOOKUP($D54,'Kalkulator mięs '!$C$5:$H$533,HR$4,0)*$AT54,0)</f>
        <v>0</v>
      </c>
      <c r="HS54">
        <f>IFERROR(VLOOKUP($D54,'Kalkulator mięs '!$C$5:$H$533,HS$4,0)*$AT54,0)</f>
        <v>0</v>
      </c>
      <c r="HT54">
        <f>IFERROR(VLOOKUP($D54,'Kalkulator mięs '!$C$5:$H$533,HT$4,0)*$AT54,0)</f>
        <v>0</v>
      </c>
      <c r="HU54">
        <f>IFERROR(VLOOKUP($D54,'Kalkulator mięs '!$C$5:$H$533,HU$4,0)*$AU54,0)</f>
        <v>0</v>
      </c>
      <c r="HV54">
        <f>IFERROR(VLOOKUP($D54,'Kalkulator mięs '!$C$5:$H$533,HV$4,0)*$AU54,0)</f>
        <v>0</v>
      </c>
      <c r="HW54">
        <f>IFERROR(VLOOKUP($D54,'Kalkulator mięs '!$C$5:$H$533,HW$4,0)*$AU54,0)</f>
        <v>0</v>
      </c>
      <c r="HX54">
        <f>IFERROR(VLOOKUP($D54,'Kalkulator mięs '!$C$5:$H$533,HX$4,0)*$AV54,0)</f>
        <v>0</v>
      </c>
      <c r="HY54">
        <f>IFERROR(VLOOKUP($D54,'Kalkulator mięs '!$C$5:$H$533,HY$4,0)*$AV54,0)</f>
        <v>0</v>
      </c>
      <c r="HZ54">
        <f>IFERROR(VLOOKUP($D54,'Kalkulator mięs '!$C$5:$H$533,HZ$4,0)*$AV54,0)</f>
        <v>0</v>
      </c>
      <c r="IA54">
        <f>IFERROR(VLOOKUP($D54,'Kalkulator mięs '!$C$5:$H$533,IA$4,0)*$AW54,0)</f>
        <v>0</v>
      </c>
      <c r="IB54">
        <f>IFERROR(VLOOKUP($D54,'Kalkulator mięs '!$C$5:$H$533,IB$4,0)*$AW54,0)</f>
        <v>0</v>
      </c>
      <c r="IC54">
        <f>IFERROR(VLOOKUP($D54,'Kalkulator mięs '!$C$5:$H$533,IC$4,0)*$AW54,0)</f>
        <v>0</v>
      </c>
      <c r="ID54">
        <f>IFERROR(VLOOKUP($D54,'Kalkulator mięs '!$C$5:$H$533,ID$4,0)*$AX54,0)</f>
        <v>0</v>
      </c>
      <c r="IE54">
        <f>IFERROR(VLOOKUP($D54,'Kalkulator mięs '!$C$5:$H$533,IE$4,0)*$AX54,0)</f>
        <v>0</v>
      </c>
      <c r="IF54">
        <f>IFERROR(VLOOKUP($D54,'Kalkulator mięs '!$C$5:$H$533,IF$4,0)*$AX54,0)</f>
        <v>0</v>
      </c>
      <c r="IG54">
        <f>IFERROR(VLOOKUP($D54,'Kalkulator mięs '!$C$5:$H$533,IG$4,0)*$AY54,0)</f>
        <v>0</v>
      </c>
      <c r="IH54">
        <f>IFERROR(VLOOKUP($D54,'Kalkulator mięs '!$C$5:$H$533,IH$4,0)*$AY54,0)</f>
        <v>0</v>
      </c>
      <c r="II54">
        <f>IFERROR(VLOOKUP($D54,'Kalkulator mięs '!$C$5:$H$533,II$4,0)*$AY54,0)</f>
        <v>0</v>
      </c>
      <c r="IJ54">
        <f>IFERROR(VLOOKUP($D54,'Kalkulator mięs '!$C$5:$H$533,IJ$4,0)*$AZ54,0)</f>
        <v>0</v>
      </c>
      <c r="IK54">
        <f>IFERROR(VLOOKUP($D54,'Kalkulator mięs '!$C$5:$H$533,IK$4,0)*$AZ54,0)</f>
        <v>0</v>
      </c>
      <c r="IL54">
        <f>IFERROR(VLOOKUP($D54,'Kalkulator mięs '!$C$5:$H$533,IL$4,0)*$AZ54,0)</f>
        <v>0</v>
      </c>
      <c r="IM54">
        <f>IFERROR(VLOOKUP($D54,'Kalkulator mięs '!$C$5:$H$533,IM$4,0)*$BA54,0)</f>
        <v>0</v>
      </c>
      <c r="IN54">
        <f>IFERROR(VLOOKUP($D54,'Kalkulator mięs '!$C$5:$H$533,IN$4,0)*$BA54,0)</f>
        <v>0</v>
      </c>
      <c r="IO54">
        <f>IFERROR(VLOOKUP($D54,'Kalkulator mięs '!$C$5:$H$533,IO$4,0)*$BA54,0)</f>
        <v>0</v>
      </c>
    </row>
    <row r="55" spans="1:249" ht="15.75">
      <c r="B55" t="str">
        <f>VLOOKUP(D55,Receptury_z!$A:$B,2,0)</f>
        <v>ON</v>
      </c>
      <c r="C55" s="16">
        <v>5527</v>
      </c>
      <c r="D55" s="19">
        <v>7038</v>
      </c>
      <c r="E55" s="20" t="s">
        <v>58</v>
      </c>
      <c r="F55" s="14">
        <f>IF($B55="OFF",BE55,VLOOKUP($D55,Receptury_z!$D:$AI,F$4,0))</f>
        <v>0</v>
      </c>
      <c r="G55" s="14">
        <f>IF($B55="OFF",BF55,VLOOKUP($D55,Receptury_z!$D:$AI,G$4,0))</f>
        <v>0</v>
      </c>
      <c r="H55" s="14">
        <f>IF($B55="OFF",BG55,VLOOKUP($D55,Receptury_z!$D:$AI,H$4,0))</f>
        <v>0</v>
      </c>
      <c r="I55" s="14">
        <f>IF($B55="OFF",BH55,VLOOKUP($D55,Receptury_z!$D:$AI,I$4,0))</f>
        <v>0</v>
      </c>
      <c r="J55" s="14">
        <f>IF($B55="OFF",BI55,VLOOKUP($D55,Receptury_z!$D:$AI,J$4,0))</f>
        <v>0</v>
      </c>
      <c r="K55" s="14">
        <f>IF($B55="OFF",BJ55,VLOOKUP($D55,Receptury_z!$D:$AI,K$4,0))</f>
        <v>0</v>
      </c>
      <c r="L55" s="14">
        <f>IF($B55="OFF",BK55,VLOOKUP($D55,Receptury_z!$D:$AI,L$4,0))</f>
        <v>507.1</v>
      </c>
      <c r="M55" s="14">
        <f>IF($B55="OFF",BL55,VLOOKUP($D55,Receptury_z!$D:$AI,M$4,0))</f>
        <v>99.8</v>
      </c>
      <c r="N55" s="14">
        <f>IF($B55="OFF",BM55,VLOOKUP($D55,Receptury_z!$D:$AI,N$4,0))</f>
        <v>83.1</v>
      </c>
      <c r="O55" s="14">
        <f>IF($B55="OFF",BN55,VLOOKUP($D55,Receptury_z!$D:$AI,O$4,0))</f>
        <v>58.2</v>
      </c>
      <c r="P55" s="14">
        <f>IF($B55="OFF",BO55,VLOOKUP($D55,Receptury_z!$D:$AI,P$4,0))</f>
        <v>0</v>
      </c>
      <c r="Q55" s="14">
        <f>IF($B55="OFF",BP55,VLOOKUP($D55,Receptury_z!$D:$AI,Q$4,0))</f>
        <v>0</v>
      </c>
      <c r="R55" s="14">
        <f>IF($B55="OFF",BQ55,VLOOKUP($D55,Receptury_z!$D:$AI,R$4,0))</f>
        <v>0</v>
      </c>
      <c r="S55" s="14">
        <f>IF($B55="OFF",BR55,VLOOKUP($D55,Receptury_z!$D:$AI,S$4,0))</f>
        <v>0</v>
      </c>
      <c r="T55" s="14">
        <f>IF($B55="OFF",BS55,VLOOKUP($D55,Receptury_z!$D:$AI,T$4,0))</f>
        <v>0</v>
      </c>
      <c r="U55" s="14">
        <f>IF($B55="OFF",BT55,VLOOKUP($D55,Receptury_z!$D:$AI,U$4,0))</f>
        <v>0</v>
      </c>
      <c r="V55" s="14">
        <f>IF($B55="OFF",BU55,VLOOKUP($D55,Receptury_z!$D:$AI,V$4,0))</f>
        <v>0</v>
      </c>
      <c r="W55" s="14">
        <f>IF($B55="OFF",BV55,VLOOKUP($D55,Receptury_z!$D:$AI,W$4,0))</f>
        <v>0</v>
      </c>
      <c r="X55" s="14">
        <f>IF($B55="OFF",BW55,VLOOKUP($D55,Receptury_z!$D:$AI,X$4,0))</f>
        <v>0</v>
      </c>
      <c r="Y55" s="14">
        <f>IF($B55="OFF",BX55,VLOOKUP($D55,Receptury_z!$D:$AI,Y$4,0))</f>
        <v>0</v>
      </c>
      <c r="Z55" s="14">
        <f>IF($B55="OFF",BY55,VLOOKUP($D55,Receptury_z!$D:$AI,Z$4,0))</f>
        <v>0</v>
      </c>
      <c r="AA55" s="14">
        <f>IF($B55="OFF",BZ55,VLOOKUP($D55,Receptury_z!$D:$AI,AA$4,0))</f>
        <v>0</v>
      </c>
      <c r="AB55" s="14">
        <f>IF($B55="OFF",CA55,VLOOKUP($D55,Receptury_z!$D:$AI,AB$4,0))</f>
        <v>83.1</v>
      </c>
      <c r="AC55" s="14">
        <f>IF($B55="OFF",CB55,VLOOKUP($D55,Receptury_z!$D:$AI,AC$4,0))</f>
        <v>0</v>
      </c>
      <c r="AD55" s="14">
        <f>IF($B55="OFF",CC55,VLOOKUP($D55,Receptury_z!$D:$AI,AD$4,0))</f>
        <v>0</v>
      </c>
      <c r="AE55" s="14">
        <f>IF($B55="OFF",CD55,VLOOKUP($D55,Receptury_z!$D:$AI,AE$4,0))</f>
        <v>0</v>
      </c>
      <c r="AF55" s="14">
        <f>IF($B55="OFF",CE55,VLOOKUP($D55,Receptury_z!$D:$AI,AF$4,0))</f>
        <v>0</v>
      </c>
      <c r="AG55" s="14">
        <f>IF($B55="OFF",CF55,VLOOKUP($D55,Receptury_z!$D:$AI,AG$4,0))</f>
        <v>0</v>
      </c>
      <c r="AH55" s="14">
        <f>IF($B55="OFF",CG55,VLOOKUP($D55,Receptury_z!$D:$AI,AH$4,0))</f>
        <v>0</v>
      </c>
      <c r="AI55" s="14">
        <f>IF($B55="OFF",CH55,VLOOKUP($D55,Receptury_z!$D:$AI,AI$4,0))</f>
        <v>0</v>
      </c>
      <c r="AJ55" s="14">
        <f>IF($B55="OFF",CI55,VLOOKUP($D55,Receptury_z!$D:$AS,AJ$4,0))</f>
        <v>0</v>
      </c>
      <c r="AK55" s="14">
        <f>IF($B55="OFF",CJ55,VLOOKUP($D55,Receptury_z!$D:$AS,AK$4,0))</f>
        <v>0</v>
      </c>
      <c r="AL55" s="14">
        <f>IF($B55="OFF",CK55,VLOOKUP($D55,Receptury_z!$D:$AS,AL$4,0))</f>
        <v>0</v>
      </c>
      <c r="AM55" s="14">
        <f>IF($B55="OFF",CL55,VLOOKUP($D55,Receptury_z!$D:$AS,AM$4,0))</f>
        <v>0</v>
      </c>
      <c r="AN55" s="14">
        <f>IF($B55="OFF",CM55,VLOOKUP($D55,Receptury_z!$D:$AS,AN$4,0))</f>
        <v>0</v>
      </c>
      <c r="AO55" s="14">
        <f>IF($B55="OFF",CN55,VLOOKUP($D55,Receptury_z!$D:$AS,AO$4,0))</f>
        <v>0</v>
      </c>
      <c r="AP55" s="14">
        <f>IF($B55="OFF",CO55,VLOOKUP($D55,Receptury_z!$D:$AS,AP$4,0))</f>
        <v>0</v>
      </c>
      <c r="AQ55" s="14">
        <f>IF($B55="OFF",CP55,VLOOKUP($D55,Receptury_z!$D:$AS,AQ$4,0))</f>
        <v>0</v>
      </c>
      <c r="AR55" s="14">
        <f>IF($B55="OFF",CQ55,VLOOKUP($D55,Receptury_z!$D:$AS,AR$4,0))</f>
        <v>0</v>
      </c>
      <c r="AS55" s="14">
        <f>IF($B55="OFF",CR55,VLOOKUP($D55,Receptury_z!$D:$AS,AS$4,0))</f>
        <v>0</v>
      </c>
      <c r="AT55" s="14">
        <f>IF($B55="OFF",CS55,VLOOKUP($D55,Receptury_z!$D:$AV,AT$4,0))</f>
        <v>0</v>
      </c>
      <c r="AU55" s="14">
        <f>IF($B55="OFF",CT55,VLOOKUP($D55,Receptury_z!$D:$AV,AU$4,0))</f>
        <v>0</v>
      </c>
      <c r="AV55" s="14">
        <f>IF($B55="OFF",CU55,VLOOKUP($D55,Receptury_z!$D:$AV,AV$4,0))</f>
        <v>0</v>
      </c>
      <c r="AW55" s="14">
        <f>IF($B55="OFF",CV55,VLOOKUP($D55,Receptury_z!$D:$BA,AW$4,0))</f>
        <v>0</v>
      </c>
      <c r="AX55" s="14">
        <f>IF($B55="OFF",CW55,VLOOKUP($D55,Receptury_z!$D:$BA,AX$4,0))</f>
        <v>0</v>
      </c>
      <c r="AY55" s="14">
        <f>IF($B55="OFF",CX55,VLOOKUP($D55,Receptury_z!$D:$BA,AY$4,0))</f>
        <v>0</v>
      </c>
      <c r="AZ55" s="14">
        <f>IF($B55="OFF",DA55,VLOOKUP($D55,Receptury_z!$D:$BA,AZ$4,0))</f>
        <v>0</v>
      </c>
      <c r="BA55" s="14">
        <f>IF($B55="OFF",DB55,VLOOKUP($D55,Receptury_z!$D:$BA,BA$4,0))</f>
        <v>0</v>
      </c>
      <c r="BC55" s="19">
        <v>7038</v>
      </c>
      <c r="BD55" s="20" t="s">
        <v>58</v>
      </c>
      <c r="BE55" s="239">
        <v>0</v>
      </c>
      <c r="BF55" s="239">
        <v>0</v>
      </c>
      <c r="BG55" s="239">
        <v>0</v>
      </c>
      <c r="BH55" s="239">
        <v>0</v>
      </c>
      <c r="BI55" s="239">
        <v>0</v>
      </c>
      <c r="BJ55" s="239">
        <v>0</v>
      </c>
      <c r="BK55" s="239">
        <v>507.1</v>
      </c>
      <c r="BL55" s="239">
        <v>99.8</v>
      </c>
      <c r="BM55" s="240"/>
      <c r="BN55" s="240">
        <v>58.2</v>
      </c>
      <c r="BO55" s="240">
        <v>0</v>
      </c>
      <c r="BP55" s="240">
        <v>0</v>
      </c>
      <c r="BQ55" s="240">
        <v>0</v>
      </c>
      <c r="BR55" s="240">
        <v>0</v>
      </c>
      <c r="BS55" s="240">
        <v>0</v>
      </c>
      <c r="BT55" s="240">
        <v>0</v>
      </c>
      <c r="BU55" s="240">
        <v>0</v>
      </c>
      <c r="BV55" s="240">
        <v>0</v>
      </c>
      <c r="BW55" s="240">
        <v>0</v>
      </c>
      <c r="BX55" s="240">
        <v>0</v>
      </c>
      <c r="BY55" s="240">
        <v>0</v>
      </c>
      <c r="BZ55" s="240">
        <v>0</v>
      </c>
      <c r="CA55" s="240">
        <v>83.1</v>
      </c>
      <c r="CB55" s="240">
        <v>0</v>
      </c>
      <c r="CC55" s="240">
        <v>0</v>
      </c>
      <c r="CD55" s="240">
        <v>0</v>
      </c>
      <c r="CE55" s="240">
        <v>0</v>
      </c>
      <c r="CF55" s="240">
        <v>0</v>
      </c>
      <c r="CG55" s="240">
        <v>0</v>
      </c>
      <c r="CH55" s="240">
        <v>0</v>
      </c>
      <c r="CI55" s="240">
        <v>0</v>
      </c>
      <c r="CJ55" s="240">
        <v>0</v>
      </c>
      <c r="CK55" s="240">
        <v>0</v>
      </c>
      <c r="CL55" s="240">
        <v>0</v>
      </c>
      <c r="CM55" s="241"/>
      <c r="CN55" s="241"/>
      <c r="CO55" s="241"/>
      <c r="CP55" s="241"/>
      <c r="CQ55" s="241"/>
      <c r="CR55" s="241"/>
      <c r="CS55" s="241"/>
      <c r="CT55" s="241">
        <v>83.1</v>
      </c>
      <c r="CU55" s="80"/>
      <c r="CV55" s="80"/>
      <c r="CW55" s="80"/>
      <c r="CX55" s="80"/>
      <c r="CY55" s="80"/>
      <c r="CZ55" s="80"/>
      <c r="DB55">
        <f>IFERROR(VLOOKUP($D55,'Kalkulator mięs '!$C$5:$H$533,DB$4,0)*F55,0)</f>
        <v>0</v>
      </c>
      <c r="DC55">
        <f>IFERROR(VLOOKUP($D55,'Kalkulator mięs '!$C$5:$H$533,DC$4,0)*F55,0)</f>
        <v>0</v>
      </c>
      <c r="DD55">
        <f>IFERROR(VLOOKUP($D55,'Kalkulator mięs '!$C$5:$H$533,DD$4,0)*F55,0)</f>
        <v>0</v>
      </c>
      <c r="DE55">
        <f>IFERROR(VLOOKUP($D55,'Kalkulator mięs '!$C$5:$H$533,DE$4,0)*$G55,0)</f>
        <v>0</v>
      </c>
      <c r="DF55">
        <f>IFERROR(VLOOKUP($D55,'Kalkulator mięs '!$C$5:$H$533,DF$4,0)*$G55,0)</f>
        <v>0</v>
      </c>
      <c r="DG55">
        <f>IFERROR(VLOOKUP($D55,'Kalkulator mięs '!$C$5:$H$533,DG$4,0)*$G55,0)</f>
        <v>0</v>
      </c>
      <c r="DH55">
        <f>IFERROR(VLOOKUP($D55,'Kalkulator mięs '!$C$5:$H$533,DH$4,0)*$H55,0)</f>
        <v>0</v>
      </c>
      <c r="DI55">
        <f>IFERROR(VLOOKUP($D55,'Kalkulator mięs '!$C$5:$H$533,DI$4,0)*$H55,0)</f>
        <v>0</v>
      </c>
      <c r="DJ55">
        <f>IFERROR(VLOOKUP($D55,'Kalkulator mięs '!$C$5:$H$533,DJ$4,0)*$H55,0)</f>
        <v>0</v>
      </c>
      <c r="DK55">
        <f>IFERROR(VLOOKUP($D55,'Kalkulator mięs '!$C$5:$H$533,DK$4,0)*$I55,0)</f>
        <v>0</v>
      </c>
      <c r="DL55">
        <f>IFERROR(VLOOKUP($D55,'Kalkulator mięs '!$C$5:$H$533,DL$4,0)*$I55,0)</f>
        <v>0</v>
      </c>
      <c r="DM55">
        <f>IFERROR(VLOOKUP($D55,'Kalkulator mięs '!$C$5:$H$533,DM$4,0)*$I55,0)</f>
        <v>0</v>
      </c>
      <c r="DN55">
        <f>IFERROR(VLOOKUP($D55,'Kalkulator mięs '!$C$5:$H$533,DN$4,0)*$J55,0)</f>
        <v>0</v>
      </c>
      <c r="DO55">
        <f>IFERROR(VLOOKUP($D55,'Kalkulator mięs '!$C$5:$H$533,DO$4,0)*$J55,0)</f>
        <v>0</v>
      </c>
      <c r="DP55">
        <f>IFERROR(VLOOKUP($D55,'Kalkulator mięs '!$C$5:$H$533,DP$4,0)*$J55,0)</f>
        <v>0</v>
      </c>
      <c r="DQ55">
        <f>IFERROR(VLOOKUP($D55,'Kalkulator mięs '!$C$5:$H$533,DQ$4,0)*$K55,0)</f>
        <v>0</v>
      </c>
      <c r="DR55">
        <f>IFERROR(VLOOKUP($D55,'Kalkulator mięs '!$C$5:$H$533,DR$4,0)*$K55,0)</f>
        <v>0</v>
      </c>
      <c r="DS55">
        <f>IFERROR(VLOOKUP($D55,'Kalkulator mięs '!$C$5:$H$533,DS$4,0)*$K55,0)</f>
        <v>0</v>
      </c>
      <c r="DT55">
        <f>IFERROR(VLOOKUP($D55,'Kalkulator mięs '!$C$5:$H$533,DT$4,0)*$L55,0)</f>
        <v>0</v>
      </c>
      <c r="DU55">
        <f>IFERROR(VLOOKUP($D55,'Kalkulator mięs '!$C$5:$H$533,DU$4,0)*$L55,0)</f>
        <v>0</v>
      </c>
      <c r="DV55">
        <f>IFERROR(VLOOKUP($D55,'Kalkulator mięs '!$C$5:$H$533,DV$4,0)*$L55,0)</f>
        <v>0</v>
      </c>
      <c r="DW55">
        <f>IFERROR(VLOOKUP($D55,'Kalkulator mięs '!$C$5:$H$533,DW$4,0)*$M55,0)</f>
        <v>0</v>
      </c>
      <c r="DX55">
        <f>IFERROR(VLOOKUP($D55,'Kalkulator mięs '!$C$5:$H$533,DX$4,0)*$M55,0)</f>
        <v>0</v>
      </c>
      <c r="DY55">
        <f>IFERROR(VLOOKUP($D55,'Kalkulator mięs '!$C$5:$H$533,DY$4,0)*$M55,0)</f>
        <v>0</v>
      </c>
      <c r="DZ55">
        <f>IFERROR(VLOOKUP($D55,'Kalkulator mięs '!$C$5:$H$533,DZ$4,0)*$N55,0)</f>
        <v>0</v>
      </c>
      <c r="EA55">
        <f>IFERROR(VLOOKUP($D55,'Kalkulator mięs '!$C$5:$H$533,EA$4,0)*$N55,0)</f>
        <v>0</v>
      </c>
      <c r="EB55">
        <f>IFERROR(VLOOKUP($D55,'Kalkulator mięs '!$C$5:$H$533,EB$4,0)*$N55,0)</f>
        <v>0</v>
      </c>
      <c r="EC55">
        <f>IFERROR(VLOOKUP($D55,'Kalkulator mięs '!$C$5:$H$533,EC$4,0)*$O55,0)</f>
        <v>0</v>
      </c>
      <c r="ED55">
        <f>IFERROR(VLOOKUP($D55,'Kalkulator mięs '!$C$5:$H$533,ED$4,0)*$O55,0)</f>
        <v>0</v>
      </c>
      <c r="EE55">
        <f>IFERROR(VLOOKUP($D55,'Kalkulator mięs '!$C$5:$H$533,EE$4,0)*$O55,0)</f>
        <v>0</v>
      </c>
      <c r="EF55">
        <f>IFERROR(VLOOKUP($D55,'Kalkulator mięs '!$C$5:$H$533,EF$4,0)*$P55,0)</f>
        <v>0</v>
      </c>
      <c r="EG55">
        <f>IFERROR(VLOOKUP($D55,'Kalkulator mięs '!$C$5:$H$533,EG$4,0)*$P55,0)</f>
        <v>0</v>
      </c>
      <c r="EH55">
        <f>IFERROR(VLOOKUP($D55,'Kalkulator mięs '!$C$5:$H$533,EH$4,0)*$P55,0)</f>
        <v>0</v>
      </c>
      <c r="EI55">
        <f>IFERROR(VLOOKUP($D55,'Kalkulator mięs '!$C$5:$H$533,EI$4,0)*$Q55,0)</f>
        <v>0</v>
      </c>
      <c r="EJ55">
        <f>IFERROR(VLOOKUP($D55,'Kalkulator mięs '!$C$5:$H$533,EJ$4,0)*$Q55,0)</f>
        <v>0</v>
      </c>
      <c r="EK55">
        <f>IFERROR(VLOOKUP($D55,'Kalkulator mięs '!$C$5:$H$533,EK$4,0)*$Q55,0)</f>
        <v>0</v>
      </c>
      <c r="EL55">
        <f>IFERROR(VLOOKUP($D55,'Kalkulator mięs '!$C$5:$H$533,EL$4,0)*$R55,0)</f>
        <v>0</v>
      </c>
      <c r="EM55">
        <f>IFERROR(VLOOKUP($D55,'Kalkulator mięs '!$C$5:$H$533,EM$4,0)*$R55,0)</f>
        <v>0</v>
      </c>
      <c r="EN55">
        <f>IFERROR(VLOOKUP($D55,'Kalkulator mięs '!$C$5:$H$533,EN$4,0)*$R55,0)</f>
        <v>0</v>
      </c>
      <c r="EO55">
        <f>IFERROR(VLOOKUP($D55,'Kalkulator mięs '!$C$5:$H$533,EO$4,0)*$S55,0)</f>
        <v>0</v>
      </c>
      <c r="EP55">
        <f>IFERROR(VLOOKUP($D55,'Kalkulator mięs '!$C$5:$H$533,EP$4,0)*$S55,0)</f>
        <v>0</v>
      </c>
      <c r="EQ55">
        <f>IFERROR(VLOOKUP($D55,'Kalkulator mięs '!$C$5:$H$533,EQ$4,0)*$S55,0)</f>
        <v>0</v>
      </c>
      <c r="ER55">
        <f>IFERROR(VLOOKUP($D55,'Kalkulator mięs '!$C$5:$H$533,ER$4,0)*$T55,0)</f>
        <v>0</v>
      </c>
      <c r="ES55">
        <f>IFERROR(VLOOKUP($D55,'Kalkulator mięs '!$C$5:$H$533,ES$4,0)*$T55,0)</f>
        <v>0</v>
      </c>
      <c r="ET55">
        <f>IFERROR(VLOOKUP($D55,'Kalkulator mięs '!$C$5:$H$533,ET$4,0)*$T55,0)</f>
        <v>0</v>
      </c>
      <c r="EU55">
        <f>IFERROR(VLOOKUP($D55,'Kalkulator mięs '!$C$5:$H$533,EU$4,0)*$U55,0)</f>
        <v>0</v>
      </c>
      <c r="EV55">
        <f>IFERROR(VLOOKUP($D55,'Kalkulator mięs '!$C$5:$H$533,EV$4,0)*$U55,0)</f>
        <v>0</v>
      </c>
      <c r="EW55">
        <f>IFERROR(VLOOKUP($D55,'Kalkulator mięs '!$C$5:$H$533,EW$4,0)*$U55,0)</f>
        <v>0</v>
      </c>
      <c r="EX55">
        <f>IFERROR(VLOOKUP($D55,'Kalkulator mięs '!$C$5:$H$533,EX$4,0)*$V55,0)</f>
        <v>0</v>
      </c>
      <c r="EY55">
        <f>IFERROR(VLOOKUP($D55,'Kalkulator mięs '!$C$5:$H$533,EY$4,0)*$V55,0)</f>
        <v>0</v>
      </c>
      <c r="EZ55">
        <f>IFERROR(VLOOKUP($D55,'Kalkulator mięs '!$C$5:$H$533,EZ$4,0)*$V55,0)</f>
        <v>0</v>
      </c>
      <c r="FA55">
        <f>IFERROR(VLOOKUP($D55,'Kalkulator mięs '!$C$5:$H$533,FA$4,0)*$W55,0)</f>
        <v>0</v>
      </c>
      <c r="FB55">
        <f>IFERROR(VLOOKUP($D55,'Kalkulator mięs '!$C$5:$H$533,FB$4,0)*$W55,0)</f>
        <v>0</v>
      </c>
      <c r="FC55">
        <f>IFERROR(VLOOKUP($D55,'Kalkulator mięs '!$C$5:$H$533,FC$4,0)*$W55,0)</f>
        <v>0</v>
      </c>
      <c r="FD55">
        <f>IFERROR(VLOOKUP($D55,'Kalkulator mięs '!$C$5:$H$533,FD$4,0)*$X55,0)</f>
        <v>0</v>
      </c>
      <c r="FE55">
        <f>IFERROR(VLOOKUP($D55,'Kalkulator mięs '!$C$5:$H$533,FE$4,0)*$X55,0)</f>
        <v>0</v>
      </c>
      <c r="FF55">
        <f>IFERROR(VLOOKUP($D55,'Kalkulator mięs '!$C$5:$H$533,FF$4,0)*$X55,0)</f>
        <v>0</v>
      </c>
      <c r="FG55">
        <f>IFERROR(VLOOKUP($D55,'Kalkulator mięs '!$C$5:$H$533,FG$4,0)*$Y55,0)</f>
        <v>0</v>
      </c>
      <c r="FH55">
        <f>IFERROR(VLOOKUP($D55,'Kalkulator mięs '!$C$5:$H$533,FH$4,0)*$Y55,0)</f>
        <v>0</v>
      </c>
      <c r="FI55">
        <f>IFERROR(VLOOKUP($D55,'Kalkulator mięs '!$C$5:$H$533,FI$4,0)*$Y55,0)</f>
        <v>0</v>
      </c>
      <c r="FJ55">
        <f>IFERROR(VLOOKUP($D55,'Kalkulator mięs '!$C$5:$H$533,FJ$4,0)*$Z55,0)</f>
        <v>0</v>
      </c>
      <c r="FK55">
        <f>IFERROR(VLOOKUP($D55,'Kalkulator mięs '!$C$5:$H$533,FK$4,0)*$Z55,0)</f>
        <v>0</v>
      </c>
      <c r="FL55">
        <f>IFERROR(VLOOKUP($D55,'Kalkulator mięs '!$C$5:$H$533,FL$4,0)*$Z55,0)</f>
        <v>0</v>
      </c>
      <c r="FM55">
        <f>IFERROR(VLOOKUP($D55,'Kalkulator mięs '!$C$5:$H$533,FM$4,0)*$AA55,0)</f>
        <v>0</v>
      </c>
      <c r="FN55">
        <f>IFERROR(VLOOKUP($D55,'Kalkulator mięs '!$C$5:$H$533,FN$4,0)*$AA55,0)</f>
        <v>0</v>
      </c>
      <c r="FO55">
        <f>IFERROR(VLOOKUP($D55,'Kalkulator mięs '!$C$5:$H$533,FO$4,0)*$AA55,0)</f>
        <v>0</v>
      </c>
      <c r="FP55">
        <f>IFERROR(VLOOKUP($D55,'Kalkulator mięs '!$C$5:$H$533,FP$4,0)*$AB55,0)</f>
        <v>0</v>
      </c>
      <c r="FQ55">
        <f>IFERROR(VLOOKUP($D55,'Kalkulator mięs '!$C$5:$H$533,FQ$4,0)*$AB55,0)</f>
        <v>0</v>
      </c>
      <c r="FR55">
        <f>IFERROR(VLOOKUP($D55,'Kalkulator mięs '!$C$5:$H$533,FR$4,0)*$AB55,0)</f>
        <v>0</v>
      </c>
      <c r="FS55">
        <f>IFERROR(VLOOKUP($D55,'Kalkulator mięs '!$C$5:$H$533,FS$4,0)*$AC55,0)</f>
        <v>0</v>
      </c>
      <c r="FT55">
        <f>IFERROR(VLOOKUP($D55,'Kalkulator mięs '!$C$5:$H$533,FT$4,0)*$AC55,0)</f>
        <v>0</v>
      </c>
      <c r="FU55">
        <f>IFERROR(VLOOKUP($D55,'Kalkulator mięs '!$C$5:$H$533,FU$4,0)*$AC55,0)</f>
        <v>0</v>
      </c>
      <c r="FV55">
        <f>IFERROR(VLOOKUP($D55,'Kalkulator mięs '!$C$5:$H$533,FV$4,0)*$AD55,0)</f>
        <v>0</v>
      </c>
      <c r="FW55">
        <f>IFERROR(VLOOKUP($D55,'Kalkulator mięs '!$C$5:$H$533,FW$4,0)*$AD55,0)</f>
        <v>0</v>
      </c>
      <c r="FX55">
        <f>IFERROR(VLOOKUP($D55,'Kalkulator mięs '!$C$5:$H$533,FX$4,0)*$AD55,0)</f>
        <v>0</v>
      </c>
      <c r="FY55">
        <f>IFERROR(VLOOKUP($D55,'Kalkulator mięs '!$C$5:$H$533,FY$4,0)*$AE55,0)</f>
        <v>0</v>
      </c>
      <c r="FZ55">
        <f>IFERROR(VLOOKUP($D55,'Kalkulator mięs '!$C$5:$H$533,FZ$4,0)*$AE55,0)</f>
        <v>0</v>
      </c>
      <c r="GA55">
        <f>IFERROR(VLOOKUP($D55,'Kalkulator mięs '!$C$5:$H$533,GA$4,0)*$AE55,0)</f>
        <v>0</v>
      </c>
      <c r="GB55">
        <f>IFERROR(VLOOKUP($D55,'Kalkulator mięs '!$C$5:$H$533,GB$4,0)*$AF55,0)</f>
        <v>0</v>
      </c>
      <c r="GC55">
        <f>IFERROR(VLOOKUP($D55,'Kalkulator mięs '!$C$5:$H$533,GC$4,0)*$AF55,0)</f>
        <v>0</v>
      </c>
      <c r="GD55">
        <f>IFERROR(VLOOKUP($D55,'Kalkulator mięs '!$C$5:$H$533,GD$4,0)*$AF55,0)</f>
        <v>0</v>
      </c>
      <c r="GE55">
        <f>IFERROR(VLOOKUP($D55,'Kalkulator mięs '!$C$5:$H$533,GE$4,0)*$AG55,0)</f>
        <v>0</v>
      </c>
      <c r="GF55">
        <f>IFERROR(VLOOKUP($D55,'Kalkulator mięs '!$C$5:$H$533,GF$4,0)*$AG55,0)</f>
        <v>0</v>
      </c>
      <c r="GG55">
        <f>IFERROR(VLOOKUP($D55,'Kalkulator mięs '!$C$5:$H$533,GG$4,0)*$AG55,0)</f>
        <v>0</v>
      </c>
      <c r="GH55">
        <f>IFERROR(VLOOKUP($D55,'Kalkulator mięs '!$C$5:$H$533,GH$4,0)*$AH55,0)</f>
        <v>0</v>
      </c>
      <c r="GI55">
        <f>IFERROR(VLOOKUP($D55,'Kalkulator mięs '!$C$5:$H$533,GI$4,0)*$AH55,0)</f>
        <v>0</v>
      </c>
      <c r="GJ55">
        <f>IFERROR(VLOOKUP($D55,'Kalkulator mięs '!$C$5:$H$533,GJ$4,0)*$AH55,0)</f>
        <v>0</v>
      </c>
      <c r="GK55">
        <f>IFERROR(VLOOKUP($D55,'Kalkulator mięs '!$C$5:$H$533,GK$4,0)*$AI55,0)</f>
        <v>0</v>
      </c>
      <c r="GL55">
        <f>IFERROR(VLOOKUP($D55,'Kalkulator mięs '!$C$5:$H$533,GL$4,0)*$AI55,0)</f>
        <v>0</v>
      </c>
      <c r="GM55">
        <f>IFERROR(VLOOKUP($D55,'Kalkulator mięs '!$C$5:$H$533,GM$4,0)*$AI55,0)</f>
        <v>0</v>
      </c>
      <c r="GN55">
        <f>IFERROR(VLOOKUP($D55,'Kalkulator mięs '!$C$5:$H$533,GN$4,0)*$AJ55,0)</f>
        <v>0</v>
      </c>
      <c r="GO55">
        <f>IFERROR(VLOOKUP($D55,'Kalkulator mięs '!$C$5:$H$533,GO$4,0)*$AJ55,0)</f>
        <v>0</v>
      </c>
      <c r="GP55">
        <f>IFERROR(VLOOKUP($D55,'Kalkulator mięs '!$C$5:$H$533,GP$4,0)*$AJ55,0)</f>
        <v>0</v>
      </c>
      <c r="GQ55">
        <f>IFERROR(VLOOKUP($D55,'Kalkulator mięs '!$C$5:$H$533,GQ$4,0)*$AK55,0)</f>
        <v>0</v>
      </c>
      <c r="GR55">
        <f>IFERROR(VLOOKUP($D55,'Kalkulator mięs '!$C$5:$H$533,GR$4,0)*$AK55,0)</f>
        <v>0</v>
      </c>
      <c r="GS55">
        <f>IFERROR(VLOOKUP($D55,'Kalkulator mięs '!$C$5:$H$533,GS$4,0)*$AK55,0)</f>
        <v>0</v>
      </c>
      <c r="GT55">
        <f>IFERROR(VLOOKUP($D55,'Kalkulator mięs '!$C$5:$H$533,GT$4,0)*$AL55,0)</f>
        <v>0</v>
      </c>
      <c r="GU55">
        <f>IFERROR(VLOOKUP($D55,'Kalkulator mięs '!$C$5:$H$533,GU$4,0)*$AL55,0)</f>
        <v>0</v>
      </c>
      <c r="GV55">
        <f>IFERROR(VLOOKUP($D55,'Kalkulator mięs '!$C$5:$H$533,GV$4,0)*$AL55,0)</f>
        <v>0</v>
      </c>
      <c r="GW55">
        <f>IFERROR(VLOOKUP($D55,'Kalkulator mięs '!$C$5:$H$533,GW$4,0)*$AM55,0)</f>
        <v>0</v>
      </c>
      <c r="GX55">
        <f>IFERROR(VLOOKUP($D55,'Kalkulator mięs '!$C$5:$H$533,GX$4,0)*$AM55,0)</f>
        <v>0</v>
      </c>
      <c r="GY55">
        <f>IFERROR(VLOOKUP($D55,'Kalkulator mięs '!$C$5:$H$533,GY$4,0)*$AM55,0)</f>
        <v>0</v>
      </c>
      <c r="GZ55">
        <f>IFERROR(VLOOKUP($D55,'Kalkulator mięs '!$C$5:$H$533,GZ$4,0)*$AN55,0)</f>
        <v>0</v>
      </c>
      <c r="HA55">
        <f>IFERROR(VLOOKUP($D55,'Kalkulator mięs '!$C$5:$H$533,HA$4,0)*$AN55,0)</f>
        <v>0</v>
      </c>
      <c r="HB55">
        <f>IFERROR(VLOOKUP($D55,'Kalkulator mięs '!$C$5:$H$533,HB$4,0)*$AN55,0)</f>
        <v>0</v>
      </c>
      <c r="HC55">
        <f>IFERROR(VLOOKUP($D55,'Kalkulator mięs '!$C$5:$H$533,HC$4,0)*$AO55,0)</f>
        <v>0</v>
      </c>
      <c r="HD55">
        <f>IFERROR(VLOOKUP($D55,'Kalkulator mięs '!$C$5:$H$533,HD$4,0)*$AO55,0)</f>
        <v>0</v>
      </c>
      <c r="HE55">
        <f>IFERROR(VLOOKUP($D55,'Kalkulator mięs '!$C$5:$H$533,HE$4,0)*$AO55,0)</f>
        <v>0</v>
      </c>
      <c r="HF55">
        <f>IFERROR(VLOOKUP($D55,'Kalkulator mięs '!$C$5:$H$533,HF$4,0)*$AP55,0)</f>
        <v>0</v>
      </c>
      <c r="HG55">
        <f>IFERROR(VLOOKUP($D55,'Kalkulator mięs '!$C$5:$H$533,HG$4,0)*$AP55,0)</f>
        <v>0</v>
      </c>
      <c r="HH55">
        <f>IFERROR(VLOOKUP($D55,'Kalkulator mięs '!$C$5:$H$533,HH$4,0)*$AP55,0)</f>
        <v>0</v>
      </c>
      <c r="HI55">
        <f>IFERROR(VLOOKUP($D55,'Kalkulator mięs '!$C$5:$H$533,HI$4,0)*$AQ55,0)</f>
        <v>0</v>
      </c>
      <c r="HJ55">
        <f>IFERROR(VLOOKUP($D55,'Kalkulator mięs '!$C$5:$H$533,HJ$4,0)*$AQ55,0)</f>
        <v>0</v>
      </c>
      <c r="HK55">
        <f>IFERROR(VLOOKUP($D55,'Kalkulator mięs '!$C$5:$H$533,HK$4,0)*$AQ55,0)</f>
        <v>0</v>
      </c>
      <c r="HL55">
        <f>IFERROR(VLOOKUP($D55,'Kalkulator mięs '!$C$5:$H$533,HL$4,0)*$AR55,0)</f>
        <v>0</v>
      </c>
      <c r="HM55">
        <f>IFERROR(VLOOKUP($D55,'Kalkulator mięs '!$C$5:$H$533,HM$4,0)*$AR55,0)</f>
        <v>0</v>
      </c>
      <c r="HN55">
        <f>IFERROR(VLOOKUP($D55,'Kalkulator mięs '!$C$5:$H$533,HN$4,0)*$AR55,0)</f>
        <v>0</v>
      </c>
      <c r="HO55">
        <f>IFERROR(VLOOKUP($D55,'Kalkulator mięs '!$C$5:$H$533,HO$4,0)*$AS55,0)</f>
        <v>0</v>
      </c>
      <c r="HP55">
        <f>IFERROR(VLOOKUP($D55,'Kalkulator mięs '!$C$5:$H$533,HP$4,0)*$AS55,0)</f>
        <v>0</v>
      </c>
      <c r="HQ55">
        <f>IFERROR(VLOOKUP($D55,'Kalkulator mięs '!$C$5:$H$533,HQ$4,0)*$AS55,0)</f>
        <v>0</v>
      </c>
      <c r="HR55">
        <f>IFERROR(VLOOKUP($D55,'Kalkulator mięs '!$C$5:$H$533,HR$4,0)*$AT55,0)</f>
        <v>0</v>
      </c>
      <c r="HS55">
        <f>IFERROR(VLOOKUP($D55,'Kalkulator mięs '!$C$5:$H$533,HS$4,0)*$AT55,0)</f>
        <v>0</v>
      </c>
      <c r="HT55">
        <f>IFERROR(VLOOKUP($D55,'Kalkulator mięs '!$C$5:$H$533,HT$4,0)*$AT55,0)</f>
        <v>0</v>
      </c>
      <c r="HU55">
        <f>IFERROR(VLOOKUP($D55,'Kalkulator mięs '!$C$5:$H$533,HU$4,0)*$AU55,0)</f>
        <v>0</v>
      </c>
      <c r="HV55">
        <f>IFERROR(VLOOKUP($D55,'Kalkulator mięs '!$C$5:$H$533,HV$4,0)*$AU55,0)</f>
        <v>0</v>
      </c>
      <c r="HW55">
        <f>IFERROR(VLOOKUP($D55,'Kalkulator mięs '!$C$5:$H$533,HW$4,0)*$AU55,0)</f>
        <v>0</v>
      </c>
      <c r="HX55">
        <f>IFERROR(VLOOKUP($D55,'Kalkulator mięs '!$C$5:$H$533,HX$4,0)*$AV55,0)</f>
        <v>0</v>
      </c>
      <c r="HY55">
        <f>IFERROR(VLOOKUP($D55,'Kalkulator mięs '!$C$5:$H$533,HY$4,0)*$AV55,0)</f>
        <v>0</v>
      </c>
      <c r="HZ55">
        <f>IFERROR(VLOOKUP($D55,'Kalkulator mięs '!$C$5:$H$533,HZ$4,0)*$AV55,0)</f>
        <v>0</v>
      </c>
      <c r="IA55">
        <f>IFERROR(VLOOKUP($D55,'Kalkulator mięs '!$C$5:$H$533,IA$4,0)*$AW55,0)</f>
        <v>0</v>
      </c>
      <c r="IB55">
        <f>IFERROR(VLOOKUP($D55,'Kalkulator mięs '!$C$5:$H$533,IB$4,0)*$AW55,0)</f>
        <v>0</v>
      </c>
      <c r="IC55">
        <f>IFERROR(VLOOKUP($D55,'Kalkulator mięs '!$C$5:$H$533,IC$4,0)*$AW55,0)</f>
        <v>0</v>
      </c>
      <c r="ID55">
        <f>IFERROR(VLOOKUP($D55,'Kalkulator mięs '!$C$5:$H$533,ID$4,0)*$AX55,0)</f>
        <v>0</v>
      </c>
      <c r="IE55">
        <f>IFERROR(VLOOKUP($D55,'Kalkulator mięs '!$C$5:$H$533,IE$4,0)*$AX55,0)</f>
        <v>0</v>
      </c>
      <c r="IF55">
        <f>IFERROR(VLOOKUP($D55,'Kalkulator mięs '!$C$5:$H$533,IF$4,0)*$AX55,0)</f>
        <v>0</v>
      </c>
      <c r="IG55">
        <f>IFERROR(VLOOKUP($D55,'Kalkulator mięs '!$C$5:$H$533,IG$4,0)*$AY55,0)</f>
        <v>0</v>
      </c>
      <c r="IH55">
        <f>IFERROR(VLOOKUP($D55,'Kalkulator mięs '!$C$5:$H$533,IH$4,0)*$AY55,0)</f>
        <v>0</v>
      </c>
      <c r="II55">
        <f>IFERROR(VLOOKUP($D55,'Kalkulator mięs '!$C$5:$H$533,II$4,0)*$AY55,0)</f>
        <v>0</v>
      </c>
      <c r="IJ55">
        <f>IFERROR(VLOOKUP($D55,'Kalkulator mięs '!$C$5:$H$533,IJ$4,0)*$AZ55,0)</f>
        <v>0</v>
      </c>
      <c r="IK55">
        <f>IFERROR(VLOOKUP($D55,'Kalkulator mięs '!$C$5:$H$533,IK$4,0)*$AZ55,0)</f>
        <v>0</v>
      </c>
      <c r="IL55">
        <f>IFERROR(VLOOKUP($D55,'Kalkulator mięs '!$C$5:$H$533,IL$4,0)*$AZ55,0)</f>
        <v>0</v>
      </c>
      <c r="IM55">
        <f>IFERROR(VLOOKUP($D55,'Kalkulator mięs '!$C$5:$H$533,IM$4,0)*$BA55,0)</f>
        <v>0</v>
      </c>
      <c r="IN55">
        <f>IFERROR(VLOOKUP($D55,'Kalkulator mięs '!$C$5:$H$533,IN$4,0)*$BA55,0)</f>
        <v>0</v>
      </c>
      <c r="IO55">
        <f>IFERROR(VLOOKUP($D55,'Kalkulator mięs '!$C$5:$H$533,IO$4,0)*$BA55,0)</f>
        <v>0</v>
      </c>
    </row>
    <row r="56" spans="1:249" ht="15.75">
      <c r="B56" t="str">
        <f>VLOOKUP(D56,Receptury_z!$A:$B,2,0)</f>
        <v>ON</v>
      </c>
      <c r="C56" s="16">
        <v>5457</v>
      </c>
      <c r="D56" s="19">
        <v>7050</v>
      </c>
      <c r="E56" s="18" t="s">
        <v>62</v>
      </c>
      <c r="F56" s="14">
        <f>IF($B56="OFF",BE56,VLOOKUP($D56,Receptury_z!$D:$AI,F$4,0))</f>
        <v>0</v>
      </c>
      <c r="G56" s="14">
        <f>IF($B56="OFF",BF56,VLOOKUP($D56,Receptury_z!$D:$AI,G$4,0))</f>
        <v>0</v>
      </c>
      <c r="H56" s="14">
        <f>IF($B56="OFF",BG56,VLOOKUP($D56,Receptury_z!$D:$AI,H$4,0))</f>
        <v>0</v>
      </c>
      <c r="I56" s="14">
        <f>IF($B56="OFF",BH56,VLOOKUP($D56,Receptury_z!$D:$AI,I$4,0))</f>
        <v>0</v>
      </c>
      <c r="J56" s="14">
        <f>IF($B56="OFF",BI56,VLOOKUP($D56,Receptury_z!$D:$AI,J$4,0))</f>
        <v>0</v>
      </c>
      <c r="K56" s="14">
        <f>IF($B56="OFF",BJ56,VLOOKUP($D56,Receptury_z!$D:$AI,K$4,0))</f>
        <v>0</v>
      </c>
      <c r="L56" s="14">
        <f>IF($B56="OFF",BK56,VLOOKUP($D56,Receptury_z!$D:$AI,L$4,0))</f>
        <v>0</v>
      </c>
      <c r="M56" s="14">
        <f>IF($B56="OFF",BL56,VLOOKUP($D56,Receptury_z!$D:$AI,M$4,0))</f>
        <v>179.3</v>
      </c>
      <c r="N56" s="14">
        <f>IF($B56="OFF",BM56,VLOOKUP($D56,Receptury_z!$D:$AI,N$4,0))</f>
        <v>0</v>
      </c>
      <c r="O56" s="14">
        <f>IF($B56="OFF",BN56,VLOOKUP($D56,Receptury_z!$D:$AI,O$4,0))</f>
        <v>0</v>
      </c>
      <c r="P56" s="14">
        <f>IF($B56="OFF",BO56,VLOOKUP($D56,Receptury_z!$D:$AI,P$4,0))</f>
        <v>0</v>
      </c>
      <c r="Q56" s="14">
        <f>IF($B56="OFF",BP56,VLOOKUP($D56,Receptury_z!$D:$AI,Q$4,0))</f>
        <v>0</v>
      </c>
      <c r="R56" s="14">
        <f>IF($B56="OFF",BQ56,VLOOKUP($D56,Receptury_z!$D:$AI,R$4,0))</f>
        <v>89.7</v>
      </c>
      <c r="S56" s="14">
        <f>IF($B56="OFF",BR56,VLOOKUP($D56,Receptury_z!$D:$AI,S$4,0))</f>
        <v>0</v>
      </c>
      <c r="T56" s="14">
        <f>IF($B56="OFF",BS56,VLOOKUP($D56,Receptury_z!$D:$AI,T$4,0))</f>
        <v>0</v>
      </c>
      <c r="U56" s="14">
        <f>IF($B56="OFF",BT56,VLOOKUP($D56,Receptury_z!$D:$AI,U$4,0))</f>
        <v>0</v>
      </c>
      <c r="V56" s="14">
        <f>IF($B56="OFF",BU56,VLOOKUP($D56,Receptury_z!$D:$AI,V$4,0))</f>
        <v>0</v>
      </c>
      <c r="W56" s="14">
        <f>IF($B56="OFF",BV56,VLOOKUP($D56,Receptury_z!$D:$AI,W$4,0))</f>
        <v>0</v>
      </c>
      <c r="X56" s="14">
        <f>IF($B56="OFF",BW56,VLOOKUP($D56,Receptury_z!$D:$AI,X$4,0))</f>
        <v>0</v>
      </c>
      <c r="Y56" s="14">
        <f>IF($B56="OFF",BX56,VLOOKUP($D56,Receptury_z!$D:$AI,Y$4,0))</f>
        <v>0</v>
      </c>
      <c r="Z56" s="14">
        <f>IF($B56="OFF",BY56,VLOOKUP($D56,Receptury_z!$D:$AI,Z$4,0))</f>
        <v>0</v>
      </c>
      <c r="AA56" s="14">
        <f>IF($B56="OFF",BZ56,VLOOKUP($D56,Receptury_z!$D:$AI,AA$4,0))</f>
        <v>0</v>
      </c>
      <c r="AB56" s="14">
        <f>IF($B56="OFF",CA56,VLOOKUP($D56,Receptury_z!$D:$AI,AB$4,0))</f>
        <v>0</v>
      </c>
      <c r="AC56" s="14">
        <f>IF($B56="OFF",CB56,VLOOKUP($D56,Receptury_z!$D:$AI,AC$4,0))</f>
        <v>0</v>
      </c>
      <c r="AD56" s="14">
        <f>IF($B56="OFF",CC56,VLOOKUP($D56,Receptury_z!$D:$AI,AD$4,0))</f>
        <v>0</v>
      </c>
      <c r="AE56" s="14">
        <f>IF($B56="OFF",CD56,VLOOKUP($D56,Receptury_z!$D:$AI,AE$4,0))</f>
        <v>0</v>
      </c>
      <c r="AF56" s="14">
        <f>IF($B56="OFF",CE56,VLOOKUP($D56,Receptury_z!$D:$AI,AF$4,0))</f>
        <v>0</v>
      </c>
      <c r="AG56" s="14">
        <f>IF($B56="OFF",CF56,VLOOKUP($D56,Receptury_z!$D:$AI,AG$4,0))</f>
        <v>0</v>
      </c>
      <c r="AH56" s="14">
        <f>IF($B56="OFF",CG56,VLOOKUP($D56,Receptury_z!$D:$AI,AH$4,0))</f>
        <v>0</v>
      </c>
      <c r="AI56" s="14">
        <f>IF($B56="OFF",CH56,VLOOKUP($D56,Receptury_z!$D:$AI,AI$4,0))</f>
        <v>0</v>
      </c>
      <c r="AJ56" s="14">
        <f>IF($B56="OFF",CI56,VLOOKUP($D56,Receptury_z!$D:$AS,AJ$4,0))</f>
        <v>627.70000000000005</v>
      </c>
      <c r="AK56" s="14">
        <f>IF($B56="OFF",CJ56,VLOOKUP($D56,Receptury_z!$D:$AS,AK$4,0))</f>
        <v>0</v>
      </c>
      <c r="AL56" s="14">
        <f>IF($B56="OFF",CK56,VLOOKUP($D56,Receptury_z!$D:$AS,AL$4,0))</f>
        <v>0</v>
      </c>
      <c r="AM56" s="14">
        <f>IF($B56="OFF",CL56,VLOOKUP($D56,Receptury_z!$D:$AS,AM$4,0))</f>
        <v>0</v>
      </c>
      <c r="AN56" s="14">
        <f>IF($B56="OFF",CM56,VLOOKUP($D56,Receptury_z!$D:$AS,AN$4,0))</f>
        <v>0</v>
      </c>
      <c r="AO56" s="14">
        <f>IF($B56="OFF",CN56,VLOOKUP($D56,Receptury_z!$D:$AS,AO$4,0))</f>
        <v>0</v>
      </c>
      <c r="AP56" s="14">
        <f>IF($B56="OFF",CO56,VLOOKUP($D56,Receptury_z!$D:$AS,AP$4,0))</f>
        <v>0</v>
      </c>
      <c r="AQ56" s="14">
        <f>IF($B56="OFF",CP56,VLOOKUP($D56,Receptury_z!$D:$AS,AQ$4,0))</f>
        <v>0</v>
      </c>
      <c r="AR56" s="14">
        <f>IF($B56="OFF",CQ56,VLOOKUP($D56,Receptury_z!$D:$AS,AR$4,0))</f>
        <v>0</v>
      </c>
      <c r="AS56" s="14">
        <f>IF($B56="OFF",CR56,VLOOKUP($D56,Receptury_z!$D:$AS,AS$4,0))</f>
        <v>0</v>
      </c>
      <c r="AT56" s="14">
        <f>IF($B56="OFF",CS56,VLOOKUP($D56,Receptury_z!$D:$AV,AT$4,0))</f>
        <v>0</v>
      </c>
      <c r="AU56" s="14">
        <f>IF($B56="OFF",CT56,VLOOKUP($D56,Receptury_z!$D:$AV,AU$4,0))</f>
        <v>0</v>
      </c>
      <c r="AV56" s="14">
        <f>IF($B56="OFF",CU56,VLOOKUP($D56,Receptury_z!$D:$AV,AV$4,0))</f>
        <v>0</v>
      </c>
      <c r="AW56" s="14">
        <f>IF($B56="OFF",CV56,VLOOKUP($D56,Receptury_z!$D:$BA,AW$4,0))</f>
        <v>0</v>
      </c>
      <c r="AX56" s="14">
        <f>IF($B56="OFF",CW56,VLOOKUP($D56,Receptury_z!$D:$BA,AX$4,0))</f>
        <v>0</v>
      </c>
      <c r="AY56" s="14">
        <f>IF($B56="OFF",CX56,VLOOKUP($D56,Receptury_z!$D:$BA,AY$4,0))</f>
        <v>0</v>
      </c>
      <c r="AZ56" s="14">
        <f>IF($B56="OFF",DA56,VLOOKUP($D56,Receptury_z!$D:$BA,AZ$4,0))</f>
        <v>0</v>
      </c>
      <c r="BA56" s="14">
        <f>IF($B56="OFF",DB56,VLOOKUP($D56,Receptury_z!$D:$BA,BA$4,0))</f>
        <v>0</v>
      </c>
      <c r="BC56" s="19">
        <v>7050</v>
      </c>
      <c r="BD56" s="18" t="s">
        <v>62</v>
      </c>
      <c r="BE56" s="239">
        <v>0</v>
      </c>
      <c r="BF56" s="239">
        <v>0</v>
      </c>
      <c r="BG56" s="239">
        <v>0</v>
      </c>
      <c r="BH56" s="239">
        <v>0</v>
      </c>
      <c r="BI56" s="239">
        <v>0</v>
      </c>
      <c r="BJ56" s="239">
        <v>0</v>
      </c>
      <c r="BK56" s="239">
        <v>0</v>
      </c>
      <c r="BL56" s="239">
        <v>179.3</v>
      </c>
      <c r="BM56" s="239">
        <v>0</v>
      </c>
      <c r="BN56" s="239">
        <v>0</v>
      </c>
      <c r="BO56" s="239">
        <v>0</v>
      </c>
      <c r="BP56" s="239">
        <v>0</v>
      </c>
      <c r="BQ56" s="239">
        <v>89.7</v>
      </c>
      <c r="BR56" s="239">
        <v>0</v>
      </c>
      <c r="BS56" s="239">
        <v>0</v>
      </c>
      <c r="BT56" s="239">
        <v>0</v>
      </c>
      <c r="BU56" s="239">
        <v>0</v>
      </c>
      <c r="BV56" s="239">
        <v>0</v>
      </c>
      <c r="BW56" s="239">
        <v>0</v>
      </c>
      <c r="BX56" s="239">
        <v>0</v>
      </c>
      <c r="BY56" s="239">
        <v>0</v>
      </c>
      <c r="BZ56" s="239">
        <v>0</v>
      </c>
      <c r="CA56" s="239">
        <v>0</v>
      </c>
      <c r="CB56" s="239">
        <v>0</v>
      </c>
      <c r="CC56" s="239">
        <v>0</v>
      </c>
      <c r="CD56" s="239">
        <v>0</v>
      </c>
      <c r="CE56" s="239">
        <v>0</v>
      </c>
      <c r="CF56" s="239">
        <v>0</v>
      </c>
      <c r="CG56" s="239">
        <v>0</v>
      </c>
      <c r="CH56" s="239">
        <v>0</v>
      </c>
      <c r="CI56" s="239">
        <v>627.70000000000005</v>
      </c>
      <c r="CJ56" s="239">
        <v>0</v>
      </c>
      <c r="CK56" s="239">
        <v>0</v>
      </c>
      <c r="CL56" s="239">
        <v>0</v>
      </c>
      <c r="CM56" s="80"/>
      <c r="CN56" s="80"/>
      <c r="CO56" s="80"/>
      <c r="CP56" s="80"/>
      <c r="CQ56" s="80"/>
      <c r="CR56" s="80"/>
      <c r="CS56" s="80"/>
      <c r="CT56" s="80"/>
      <c r="CU56" s="80"/>
      <c r="CV56" s="80"/>
      <c r="CW56" s="80"/>
      <c r="CX56" s="80"/>
      <c r="CY56" s="80"/>
      <c r="CZ56" s="80"/>
      <c r="DB56">
        <f>IFERROR(VLOOKUP($D56,'Kalkulator mięs '!$C$5:$H$533,DB$4,0)*F56,0)</f>
        <v>0</v>
      </c>
      <c r="DC56">
        <f>IFERROR(VLOOKUP($D56,'Kalkulator mięs '!$C$5:$H$533,DC$4,0)*F56,0)</f>
        <v>0</v>
      </c>
      <c r="DD56">
        <f>IFERROR(VLOOKUP($D56,'Kalkulator mięs '!$C$5:$H$533,DD$4,0)*F56,0)</f>
        <v>0</v>
      </c>
      <c r="DE56">
        <f>IFERROR(VLOOKUP($D56,'Kalkulator mięs '!$C$5:$H$533,DE$4,0)*$G56,0)</f>
        <v>0</v>
      </c>
      <c r="DF56">
        <f>IFERROR(VLOOKUP($D56,'Kalkulator mięs '!$C$5:$H$533,DF$4,0)*$G56,0)</f>
        <v>0</v>
      </c>
      <c r="DG56">
        <f>IFERROR(VLOOKUP($D56,'Kalkulator mięs '!$C$5:$H$533,DG$4,0)*$G56,0)</f>
        <v>0</v>
      </c>
      <c r="DH56">
        <f>IFERROR(VLOOKUP($D56,'Kalkulator mięs '!$C$5:$H$533,DH$4,0)*$H56,0)</f>
        <v>0</v>
      </c>
      <c r="DI56">
        <f>IFERROR(VLOOKUP($D56,'Kalkulator mięs '!$C$5:$H$533,DI$4,0)*$H56,0)</f>
        <v>0</v>
      </c>
      <c r="DJ56">
        <f>IFERROR(VLOOKUP($D56,'Kalkulator mięs '!$C$5:$H$533,DJ$4,0)*$H56,0)</f>
        <v>0</v>
      </c>
      <c r="DK56">
        <f>IFERROR(VLOOKUP($D56,'Kalkulator mięs '!$C$5:$H$533,DK$4,0)*$I56,0)</f>
        <v>0</v>
      </c>
      <c r="DL56">
        <f>IFERROR(VLOOKUP($D56,'Kalkulator mięs '!$C$5:$H$533,DL$4,0)*$I56,0)</f>
        <v>0</v>
      </c>
      <c r="DM56">
        <f>IFERROR(VLOOKUP($D56,'Kalkulator mięs '!$C$5:$H$533,DM$4,0)*$I56,0)</f>
        <v>0</v>
      </c>
      <c r="DN56">
        <f>IFERROR(VLOOKUP($D56,'Kalkulator mięs '!$C$5:$H$533,DN$4,0)*$J56,0)</f>
        <v>0</v>
      </c>
      <c r="DO56">
        <f>IFERROR(VLOOKUP($D56,'Kalkulator mięs '!$C$5:$H$533,DO$4,0)*$J56,0)</f>
        <v>0</v>
      </c>
      <c r="DP56">
        <f>IFERROR(VLOOKUP($D56,'Kalkulator mięs '!$C$5:$H$533,DP$4,0)*$J56,0)</f>
        <v>0</v>
      </c>
      <c r="DQ56">
        <f>IFERROR(VLOOKUP($D56,'Kalkulator mięs '!$C$5:$H$533,DQ$4,0)*$K56,0)</f>
        <v>0</v>
      </c>
      <c r="DR56">
        <f>IFERROR(VLOOKUP($D56,'Kalkulator mięs '!$C$5:$H$533,DR$4,0)*$K56,0)</f>
        <v>0</v>
      </c>
      <c r="DS56">
        <f>IFERROR(VLOOKUP($D56,'Kalkulator mięs '!$C$5:$H$533,DS$4,0)*$K56,0)</f>
        <v>0</v>
      </c>
      <c r="DT56">
        <f>IFERROR(VLOOKUP($D56,'Kalkulator mięs '!$C$5:$H$533,DT$4,0)*$L56,0)</f>
        <v>0</v>
      </c>
      <c r="DU56">
        <f>IFERROR(VLOOKUP($D56,'Kalkulator mięs '!$C$5:$H$533,DU$4,0)*$L56,0)</f>
        <v>0</v>
      </c>
      <c r="DV56">
        <f>IFERROR(VLOOKUP($D56,'Kalkulator mięs '!$C$5:$H$533,DV$4,0)*$L56,0)</f>
        <v>0</v>
      </c>
      <c r="DW56">
        <f>IFERROR(VLOOKUP($D56,'Kalkulator mięs '!$C$5:$H$533,DW$4,0)*$M56,0)</f>
        <v>0</v>
      </c>
      <c r="DX56">
        <f>IFERROR(VLOOKUP($D56,'Kalkulator mięs '!$C$5:$H$533,DX$4,0)*$M56,0)</f>
        <v>268.95000000000005</v>
      </c>
      <c r="DY56">
        <f>IFERROR(VLOOKUP($D56,'Kalkulator mięs '!$C$5:$H$533,DY$4,0)*$M56,0)</f>
        <v>0</v>
      </c>
      <c r="DZ56">
        <f>IFERROR(VLOOKUP($D56,'Kalkulator mięs '!$C$5:$H$533,DZ$4,0)*$N56,0)</f>
        <v>0</v>
      </c>
      <c r="EA56">
        <f>IFERROR(VLOOKUP($D56,'Kalkulator mięs '!$C$5:$H$533,EA$4,0)*$N56,0)</f>
        <v>0</v>
      </c>
      <c r="EB56">
        <f>IFERROR(VLOOKUP($D56,'Kalkulator mięs '!$C$5:$H$533,EB$4,0)*$N56,0)</f>
        <v>0</v>
      </c>
      <c r="EC56">
        <f>IFERROR(VLOOKUP($D56,'Kalkulator mięs '!$C$5:$H$533,EC$4,0)*$O56,0)</f>
        <v>0</v>
      </c>
      <c r="ED56">
        <f>IFERROR(VLOOKUP($D56,'Kalkulator mięs '!$C$5:$H$533,ED$4,0)*$O56,0)</f>
        <v>0</v>
      </c>
      <c r="EE56">
        <f>IFERROR(VLOOKUP($D56,'Kalkulator mięs '!$C$5:$H$533,EE$4,0)*$O56,0)</f>
        <v>0</v>
      </c>
      <c r="EF56">
        <f>IFERROR(VLOOKUP($D56,'Kalkulator mięs '!$C$5:$H$533,EF$4,0)*$P56,0)</f>
        <v>0</v>
      </c>
      <c r="EG56">
        <f>IFERROR(VLOOKUP($D56,'Kalkulator mięs '!$C$5:$H$533,EG$4,0)*$P56,0)</f>
        <v>0</v>
      </c>
      <c r="EH56">
        <f>IFERROR(VLOOKUP($D56,'Kalkulator mięs '!$C$5:$H$533,EH$4,0)*$P56,0)</f>
        <v>0</v>
      </c>
      <c r="EI56">
        <f>IFERROR(VLOOKUP($D56,'Kalkulator mięs '!$C$5:$H$533,EI$4,0)*$Q56,0)</f>
        <v>0</v>
      </c>
      <c r="EJ56">
        <f>IFERROR(VLOOKUP($D56,'Kalkulator mięs '!$C$5:$H$533,EJ$4,0)*$Q56,0)</f>
        <v>0</v>
      </c>
      <c r="EK56">
        <f>IFERROR(VLOOKUP($D56,'Kalkulator mięs '!$C$5:$H$533,EK$4,0)*$Q56,0)</f>
        <v>0</v>
      </c>
      <c r="EL56">
        <f>IFERROR(VLOOKUP($D56,'Kalkulator mięs '!$C$5:$H$533,EL$4,0)*$R56,0)</f>
        <v>0</v>
      </c>
      <c r="EM56">
        <f>IFERROR(VLOOKUP($D56,'Kalkulator mięs '!$C$5:$H$533,EM$4,0)*$R56,0)</f>
        <v>134.55000000000001</v>
      </c>
      <c r="EN56">
        <f>IFERROR(VLOOKUP($D56,'Kalkulator mięs '!$C$5:$H$533,EN$4,0)*$R56,0)</f>
        <v>0</v>
      </c>
      <c r="EO56">
        <f>IFERROR(VLOOKUP($D56,'Kalkulator mięs '!$C$5:$H$533,EO$4,0)*$S56,0)</f>
        <v>0</v>
      </c>
      <c r="EP56">
        <f>IFERROR(VLOOKUP($D56,'Kalkulator mięs '!$C$5:$H$533,EP$4,0)*$S56,0)</f>
        <v>0</v>
      </c>
      <c r="EQ56">
        <f>IFERROR(VLOOKUP($D56,'Kalkulator mięs '!$C$5:$H$533,EQ$4,0)*$S56,0)</f>
        <v>0</v>
      </c>
      <c r="ER56">
        <f>IFERROR(VLOOKUP($D56,'Kalkulator mięs '!$C$5:$H$533,ER$4,0)*$T56,0)</f>
        <v>0</v>
      </c>
      <c r="ES56">
        <f>IFERROR(VLOOKUP($D56,'Kalkulator mięs '!$C$5:$H$533,ES$4,0)*$T56,0)</f>
        <v>0</v>
      </c>
      <c r="ET56">
        <f>IFERROR(VLOOKUP($D56,'Kalkulator mięs '!$C$5:$H$533,ET$4,0)*$T56,0)</f>
        <v>0</v>
      </c>
      <c r="EU56">
        <f>IFERROR(VLOOKUP($D56,'Kalkulator mięs '!$C$5:$H$533,EU$4,0)*$U56,0)</f>
        <v>0</v>
      </c>
      <c r="EV56">
        <f>IFERROR(VLOOKUP($D56,'Kalkulator mięs '!$C$5:$H$533,EV$4,0)*$U56,0)</f>
        <v>0</v>
      </c>
      <c r="EW56">
        <f>IFERROR(VLOOKUP($D56,'Kalkulator mięs '!$C$5:$H$533,EW$4,0)*$U56,0)</f>
        <v>0</v>
      </c>
      <c r="EX56">
        <f>IFERROR(VLOOKUP($D56,'Kalkulator mięs '!$C$5:$H$533,EX$4,0)*$V56,0)</f>
        <v>0</v>
      </c>
      <c r="EY56">
        <f>IFERROR(VLOOKUP($D56,'Kalkulator mięs '!$C$5:$H$533,EY$4,0)*$V56,0)</f>
        <v>0</v>
      </c>
      <c r="EZ56">
        <f>IFERROR(VLOOKUP($D56,'Kalkulator mięs '!$C$5:$H$533,EZ$4,0)*$V56,0)</f>
        <v>0</v>
      </c>
      <c r="FA56">
        <f>IFERROR(VLOOKUP($D56,'Kalkulator mięs '!$C$5:$H$533,FA$4,0)*$W56,0)</f>
        <v>0</v>
      </c>
      <c r="FB56">
        <f>IFERROR(VLOOKUP($D56,'Kalkulator mięs '!$C$5:$H$533,FB$4,0)*$W56,0)</f>
        <v>0</v>
      </c>
      <c r="FC56">
        <f>IFERROR(VLOOKUP($D56,'Kalkulator mięs '!$C$5:$H$533,FC$4,0)*$W56,0)</f>
        <v>0</v>
      </c>
      <c r="FD56">
        <f>IFERROR(VLOOKUP($D56,'Kalkulator mięs '!$C$5:$H$533,FD$4,0)*$X56,0)</f>
        <v>0</v>
      </c>
      <c r="FE56">
        <f>IFERROR(VLOOKUP($D56,'Kalkulator mięs '!$C$5:$H$533,FE$4,0)*$X56,0)</f>
        <v>0</v>
      </c>
      <c r="FF56">
        <f>IFERROR(VLOOKUP($D56,'Kalkulator mięs '!$C$5:$H$533,FF$4,0)*$X56,0)</f>
        <v>0</v>
      </c>
      <c r="FG56">
        <f>IFERROR(VLOOKUP($D56,'Kalkulator mięs '!$C$5:$H$533,FG$4,0)*$Y56,0)</f>
        <v>0</v>
      </c>
      <c r="FH56">
        <f>IFERROR(VLOOKUP($D56,'Kalkulator mięs '!$C$5:$H$533,FH$4,0)*$Y56,0)</f>
        <v>0</v>
      </c>
      <c r="FI56">
        <f>IFERROR(VLOOKUP($D56,'Kalkulator mięs '!$C$5:$H$533,FI$4,0)*$Y56,0)</f>
        <v>0</v>
      </c>
      <c r="FJ56">
        <f>IFERROR(VLOOKUP($D56,'Kalkulator mięs '!$C$5:$H$533,FJ$4,0)*$Z56,0)</f>
        <v>0</v>
      </c>
      <c r="FK56">
        <f>IFERROR(VLOOKUP($D56,'Kalkulator mięs '!$C$5:$H$533,FK$4,0)*$Z56,0)</f>
        <v>0</v>
      </c>
      <c r="FL56">
        <f>IFERROR(VLOOKUP($D56,'Kalkulator mięs '!$C$5:$H$533,FL$4,0)*$Z56,0)</f>
        <v>0</v>
      </c>
      <c r="FM56">
        <f>IFERROR(VLOOKUP($D56,'Kalkulator mięs '!$C$5:$H$533,FM$4,0)*$AA56,0)</f>
        <v>0</v>
      </c>
      <c r="FN56">
        <f>IFERROR(VLOOKUP($D56,'Kalkulator mięs '!$C$5:$H$533,FN$4,0)*$AA56,0)</f>
        <v>0</v>
      </c>
      <c r="FO56">
        <f>IFERROR(VLOOKUP($D56,'Kalkulator mięs '!$C$5:$H$533,FO$4,0)*$AA56,0)</f>
        <v>0</v>
      </c>
      <c r="FP56">
        <f>IFERROR(VLOOKUP($D56,'Kalkulator mięs '!$C$5:$H$533,FP$4,0)*$AB56,0)</f>
        <v>0</v>
      </c>
      <c r="FQ56">
        <f>IFERROR(VLOOKUP($D56,'Kalkulator mięs '!$C$5:$H$533,FQ$4,0)*$AB56,0)</f>
        <v>0</v>
      </c>
      <c r="FR56">
        <f>IFERROR(VLOOKUP($D56,'Kalkulator mięs '!$C$5:$H$533,FR$4,0)*$AB56,0)</f>
        <v>0</v>
      </c>
      <c r="FS56">
        <f>IFERROR(VLOOKUP($D56,'Kalkulator mięs '!$C$5:$H$533,FS$4,0)*$AC56,0)</f>
        <v>0</v>
      </c>
      <c r="FT56">
        <f>IFERROR(VLOOKUP($D56,'Kalkulator mięs '!$C$5:$H$533,FT$4,0)*$AC56,0)</f>
        <v>0</v>
      </c>
      <c r="FU56">
        <f>IFERROR(VLOOKUP($D56,'Kalkulator mięs '!$C$5:$H$533,FU$4,0)*$AC56,0)</f>
        <v>0</v>
      </c>
      <c r="FV56">
        <f>IFERROR(VLOOKUP($D56,'Kalkulator mięs '!$C$5:$H$533,FV$4,0)*$AD56,0)</f>
        <v>0</v>
      </c>
      <c r="FW56">
        <f>IFERROR(VLOOKUP($D56,'Kalkulator mięs '!$C$5:$H$533,FW$4,0)*$AD56,0)</f>
        <v>0</v>
      </c>
      <c r="FX56">
        <f>IFERROR(VLOOKUP($D56,'Kalkulator mięs '!$C$5:$H$533,FX$4,0)*$AD56,0)</f>
        <v>0</v>
      </c>
      <c r="FY56">
        <f>IFERROR(VLOOKUP($D56,'Kalkulator mięs '!$C$5:$H$533,FY$4,0)*$AE56,0)</f>
        <v>0</v>
      </c>
      <c r="FZ56">
        <f>IFERROR(VLOOKUP($D56,'Kalkulator mięs '!$C$5:$H$533,FZ$4,0)*$AE56,0)</f>
        <v>0</v>
      </c>
      <c r="GA56">
        <f>IFERROR(VLOOKUP($D56,'Kalkulator mięs '!$C$5:$H$533,GA$4,0)*$AE56,0)</f>
        <v>0</v>
      </c>
      <c r="GB56">
        <f>IFERROR(VLOOKUP($D56,'Kalkulator mięs '!$C$5:$H$533,GB$4,0)*$AF56,0)</f>
        <v>0</v>
      </c>
      <c r="GC56">
        <f>IFERROR(VLOOKUP($D56,'Kalkulator mięs '!$C$5:$H$533,GC$4,0)*$AF56,0)</f>
        <v>0</v>
      </c>
      <c r="GD56">
        <f>IFERROR(VLOOKUP($D56,'Kalkulator mięs '!$C$5:$H$533,GD$4,0)*$AF56,0)</f>
        <v>0</v>
      </c>
      <c r="GE56">
        <f>IFERROR(VLOOKUP($D56,'Kalkulator mięs '!$C$5:$H$533,GE$4,0)*$AG56,0)</f>
        <v>0</v>
      </c>
      <c r="GF56">
        <f>IFERROR(VLOOKUP($D56,'Kalkulator mięs '!$C$5:$H$533,GF$4,0)*$AG56,0)</f>
        <v>0</v>
      </c>
      <c r="GG56">
        <f>IFERROR(VLOOKUP($D56,'Kalkulator mięs '!$C$5:$H$533,GG$4,0)*$AG56,0)</f>
        <v>0</v>
      </c>
      <c r="GH56">
        <f>IFERROR(VLOOKUP($D56,'Kalkulator mięs '!$C$5:$H$533,GH$4,0)*$AH56,0)</f>
        <v>0</v>
      </c>
      <c r="GI56">
        <f>IFERROR(VLOOKUP($D56,'Kalkulator mięs '!$C$5:$H$533,GI$4,0)*$AH56,0)</f>
        <v>0</v>
      </c>
      <c r="GJ56">
        <f>IFERROR(VLOOKUP($D56,'Kalkulator mięs '!$C$5:$H$533,GJ$4,0)*$AH56,0)</f>
        <v>0</v>
      </c>
      <c r="GK56">
        <f>IFERROR(VLOOKUP($D56,'Kalkulator mięs '!$C$5:$H$533,GK$4,0)*$AI56,0)</f>
        <v>0</v>
      </c>
      <c r="GL56">
        <f>IFERROR(VLOOKUP($D56,'Kalkulator mięs '!$C$5:$H$533,GL$4,0)*$AI56,0)</f>
        <v>0</v>
      </c>
      <c r="GM56">
        <f>IFERROR(VLOOKUP($D56,'Kalkulator mięs '!$C$5:$H$533,GM$4,0)*$AI56,0)</f>
        <v>0</v>
      </c>
      <c r="GN56">
        <f>IFERROR(VLOOKUP($D56,'Kalkulator mięs '!$C$5:$H$533,GN$4,0)*$AJ56,0)</f>
        <v>0</v>
      </c>
      <c r="GO56">
        <f>IFERROR(VLOOKUP($D56,'Kalkulator mięs '!$C$5:$H$533,GO$4,0)*$AJ56,0)</f>
        <v>941.55000000000007</v>
      </c>
      <c r="GP56">
        <f>IFERROR(VLOOKUP($D56,'Kalkulator mięs '!$C$5:$H$533,GP$4,0)*$AJ56,0)</f>
        <v>0</v>
      </c>
      <c r="GQ56">
        <f>IFERROR(VLOOKUP($D56,'Kalkulator mięs '!$C$5:$H$533,GQ$4,0)*$AK56,0)</f>
        <v>0</v>
      </c>
      <c r="GR56">
        <f>IFERROR(VLOOKUP($D56,'Kalkulator mięs '!$C$5:$H$533,GR$4,0)*$AK56,0)</f>
        <v>0</v>
      </c>
      <c r="GS56">
        <f>IFERROR(VLOOKUP($D56,'Kalkulator mięs '!$C$5:$H$533,GS$4,0)*$AK56,0)</f>
        <v>0</v>
      </c>
      <c r="GT56">
        <f>IFERROR(VLOOKUP($D56,'Kalkulator mięs '!$C$5:$H$533,GT$4,0)*$AL56,0)</f>
        <v>0</v>
      </c>
      <c r="GU56">
        <f>IFERROR(VLOOKUP($D56,'Kalkulator mięs '!$C$5:$H$533,GU$4,0)*$AL56,0)</f>
        <v>0</v>
      </c>
      <c r="GV56">
        <f>IFERROR(VLOOKUP($D56,'Kalkulator mięs '!$C$5:$H$533,GV$4,0)*$AL56,0)</f>
        <v>0</v>
      </c>
      <c r="GW56">
        <f>IFERROR(VLOOKUP($D56,'Kalkulator mięs '!$C$5:$H$533,GW$4,0)*$AM56,0)</f>
        <v>0</v>
      </c>
      <c r="GX56">
        <f>IFERROR(VLOOKUP($D56,'Kalkulator mięs '!$C$5:$H$533,GX$4,0)*$AM56,0)</f>
        <v>0</v>
      </c>
      <c r="GY56">
        <f>IFERROR(VLOOKUP($D56,'Kalkulator mięs '!$C$5:$H$533,GY$4,0)*$AM56,0)</f>
        <v>0</v>
      </c>
      <c r="GZ56">
        <f>IFERROR(VLOOKUP($D56,'Kalkulator mięs '!$C$5:$H$533,GZ$4,0)*$AN56,0)</f>
        <v>0</v>
      </c>
      <c r="HA56">
        <f>IFERROR(VLOOKUP($D56,'Kalkulator mięs '!$C$5:$H$533,HA$4,0)*$AN56,0)</f>
        <v>0</v>
      </c>
      <c r="HB56">
        <f>IFERROR(VLOOKUP($D56,'Kalkulator mięs '!$C$5:$H$533,HB$4,0)*$AN56,0)</f>
        <v>0</v>
      </c>
      <c r="HC56">
        <f>IFERROR(VLOOKUP($D56,'Kalkulator mięs '!$C$5:$H$533,HC$4,0)*$AO56,0)</f>
        <v>0</v>
      </c>
      <c r="HD56">
        <f>IFERROR(VLOOKUP($D56,'Kalkulator mięs '!$C$5:$H$533,HD$4,0)*$AO56,0)</f>
        <v>0</v>
      </c>
      <c r="HE56">
        <f>IFERROR(VLOOKUP($D56,'Kalkulator mięs '!$C$5:$H$533,HE$4,0)*$AO56,0)</f>
        <v>0</v>
      </c>
      <c r="HF56">
        <f>IFERROR(VLOOKUP($D56,'Kalkulator mięs '!$C$5:$H$533,HF$4,0)*$AP56,0)</f>
        <v>0</v>
      </c>
      <c r="HG56">
        <f>IFERROR(VLOOKUP($D56,'Kalkulator mięs '!$C$5:$H$533,HG$4,0)*$AP56,0)</f>
        <v>0</v>
      </c>
      <c r="HH56">
        <f>IFERROR(VLOOKUP($D56,'Kalkulator mięs '!$C$5:$H$533,HH$4,0)*$AP56,0)</f>
        <v>0</v>
      </c>
      <c r="HI56">
        <f>IFERROR(VLOOKUP($D56,'Kalkulator mięs '!$C$5:$H$533,HI$4,0)*$AQ56,0)</f>
        <v>0</v>
      </c>
      <c r="HJ56">
        <f>IFERROR(VLOOKUP($D56,'Kalkulator mięs '!$C$5:$H$533,HJ$4,0)*$AQ56,0)</f>
        <v>0</v>
      </c>
      <c r="HK56">
        <f>IFERROR(VLOOKUP($D56,'Kalkulator mięs '!$C$5:$H$533,HK$4,0)*$AQ56,0)</f>
        <v>0</v>
      </c>
      <c r="HL56">
        <f>IFERROR(VLOOKUP($D56,'Kalkulator mięs '!$C$5:$H$533,HL$4,0)*$AR56,0)</f>
        <v>0</v>
      </c>
      <c r="HM56">
        <f>IFERROR(VLOOKUP($D56,'Kalkulator mięs '!$C$5:$H$533,HM$4,0)*$AR56,0)</f>
        <v>0</v>
      </c>
      <c r="HN56">
        <f>IFERROR(VLOOKUP($D56,'Kalkulator mięs '!$C$5:$H$533,HN$4,0)*$AR56,0)</f>
        <v>0</v>
      </c>
      <c r="HO56">
        <f>IFERROR(VLOOKUP($D56,'Kalkulator mięs '!$C$5:$H$533,HO$4,0)*$AS56,0)</f>
        <v>0</v>
      </c>
      <c r="HP56">
        <f>IFERROR(VLOOKUP($D56,'Kalkulator mięs '!$C$5:$H$533,HP$4,0)*$AS56,0)</f>
        <v>0</v>
      </c>
      <c r="HQ56">
        <f>IFERROR(VLOOKUP($D56,'Kalkulator mięs '!$C$5:$H$533,HQ$4,0)*$AS56,0)</f>
        <v>0</v>
      </c>
      <c r="HR56">
        <f>IFERROR(VLOOKUP($D56,'Kalkulator mięs '!$C$5:$H$533,HR$4,0)*$AT56,0)</f>
        <v>0</v>
      </c>
      <c r="HS56">
        <f>IFERROR(VLOOKUP($D56,'Kalkulator mięs '!$C$5:$H$533,HS$4,0)*$AT56,0)</f>
        <v>0</v>
      </c>
      <c r="HT56">
        <f>IFERROR(VLOOKUP($D56,'Kalkulator mięs '!$C$5:$H$533,HT$4,0)*$AT56,0)</f>
        <v>0</v>
      </c>
      <c r="HU56">
        <f>IFERROR(VLOOKUP($D56,'Kalkulator mięs '!$C$5:$H$533,HU$4,0)*$AU56,0)</f>
        <v>0</v>
      </c>
      <c r="HV56">
        <f>IFERROR(VLOOKUP($D56,'Kalkulator mięs '!$C$5:$H$533,HV$4,0)*$AU56,0)</f>
        <v>0</v>
      </c>
      <c r="HW56">
        <f>IFERROR(VLOOKUP($D56,'Kalkulator mięs '!$C$5:$H$533,HW$4,0)*$AU56,0)</f>
        <v>0</v>
      </c>
      <c r="HX56">
        <f>IFERROR(VLOOKUP($D56,'Kalkulator mięs '!$C$5:$H$533,HX$4,0)*$AV56,0)</f>
        <v>0</v>
      </c>
      <c r="HY56">
        <f>IFERROR(VLOOKUP($D56,'Kalkulator mięs '!$C$5:$H$533,HY$4,0)*$AV56,0)</f>
        <v>0</v>
      </c>
      <c r="HZ56">
        <f>IFERROR(VLOOKUP($D56,'Kalkulator mięs '!$C$5:$H$533,HZ$4,0)*$AV56,0)</f>
        <v>0</v>
      </c>
      <c r="IA56">
        <f>IFERROR(VLOOKUP($D56,'Kalkulator mięs '!$C$5:$H$533,IA$4,0)*$AW56,0)</f>
        <v>0</v>
      </c>
      <c r="IB56">
        <f>IFERROR(VLOOKUP($D56,'Kalkulator mięs '!$C$5:$H$533,IB$4,0)*$AW56,0)</f>
        <v>0</v>
      </c>
      <c r="IC56">
        <f>IFERROR(VLOOKUP($D56,'Kalkulator mięs '!$C$5:$H$533,IC$4,0)*$AW56,0)</f>
        <v>0</v>
      </c>
      <c r="ID56">
        <f>IFERROR(VLOOKUP($D56,'Kalkulator mięs '!$C$5:$H$533,ID$4,0)*$AX56,0)</f>
        <v>0</v>
      </c>
      <c r="IE56">
        <f>IFERROR(VLOOKUP($D56,'Kalkulator mięs '!$C$5:$H$533,IE$4,0)*$AX56,0)</f>
        <v>0</v>
      </c>
      <c r="IF56">
        <f>IFERROR(VLOOKUP($D56,'Kalkulator mięs '!$C$5:$H$533,IF$4,0)*$AX56,0)</f>
        <v>0</v>
      </c>
      <c r="IG56">
        <f>IFERROR(VLOOKUP($D56,'Kalkulator mięs '!$C$5:$H$533,IG$4,0)*$AY56,0)</f>
        <v>0</v>
      </c>
      <c r="IH56">
        <f>IFERROR(VLOOKUP($D56,'Kalkulator mięs '!$C$5:$H$533,IH$4,0)*$AY56,0)</f>
        <v>0</v>
      </c>
      <c r="II56">
        <f>IFERROR(VLOOKUP($D56,'Kalkulator mięs '!$C$5:$H$533,II$4,0)*$AY56,0)</f>
        <v>0</v>
      </c>
      <c r="IJ56">
        <f>IFERROR(VLOOKUP($D56,'Kalkulator mięs '!$C$5:$H$533,IJ$4,0)*$AZ56,0)</f>
        <v>0</v>
      </c>
      <c r="IK56">
        <f>IFERROR(VLOOKUP($D56,'Kalkulator mięs '!$C$5:$H$533,IK$4,0)*$AZ56,0)</f>
        <v>0</v>
      </c>
      <c r="IL56">
        <f>IFERROR(VLOOKUP($D56,'Kalkulator mięs '!$C$5:$H$533,IL$4,0)*$AZ56,0)</f>
        <v>0</v>
      </c>
      <c r="IM56">
        <f>IFERROR(VLOOKUP($D56,'Kalkulator mięs '!$C$5:$H$533,IM$4,0)*$BA56,0)</f>
        <v>0</v>
      </c>
      <c r="IN56">
        <f>IFERROR(VLOOKUP($D56,'Kalkulator mięs '!$C$5:$H$533,IN$4,0)*$BA56,0)</f>
        <v>0</v>
      </c>
      <c r="IO56">
        <f>IFERROR(VLOOKUP($D56,'Kalkulator mięs '!$C$5:$H$533,IO$4,0)*$BA56,0)</f>
        <v>0</v>
      </c>
    </row>
    <row r="57" spans="1:249" ht="15.75">
      <c r="B57" t="str">
        <f>VLOOKUP(D57,Receptury_z!$A:$B,2,0)</f>
        <v>ON</v>
      </c>
      <c r="C57" s="16">
        <v>5595</v>
      </c>
      <c r="D57" s="19">
        <v>7080</v>
      </c>
      <c r="E57" s="18" t="s">
        <v>15544</v>
      </c>
      <c r="F57" s="14">
        <f>IF($B57="OFF",BE57,VLOOKUP($D57,Receptury_z!$D:$AI,F$4,0))</f>
        <v>0</v>
      </c>
      <c r="G57" s="14">
        <f>IF($B57="OFF",BF57,VLOOKUP($D57,Receptury_z!$D:$AI,G$4,0))</f>
        <v>0</v>
      </c>
      <c r="H57" s="14">
        <f>IF($B57="OFF",BG57,VLOOKUP($D57,Receptury_z!$D:$AI,H$4,0))</f>
        <v>0</v>
      </c>
      <c r="I57" s="14">
        <f>IF($B57="OFF",BH57,VLOOKUP($D57,Receptury_z!$D:$AI,I$4,0))</f>
        <v>0</v>
      </c>
      <c r="J57" s="14">
        <f>IF($B57="OFF",BI57,VLOOKUP($D57,Receptury_z!$D:$AI,J$4,0))</f>
        <v>0</v>
      </c>
      <c r="K57" s="14">
        <f>IF($B57="OFF",BJ57,VLOOKUP($D57,Receptury_z!$D:$AI,K$4,0))</f>
        <v>0</v>
      </c>
      <c r="L57" s="14">
        <f>IF($B57="OFF",BK57,VLOOKUP($D57,Receptury_z!$D:$AI,L$4,0))</f>
        <v>510.95000000000005</v>
      </c>
      <c r="M57" s="14">
        <f>IF($B57="OFF",BL57,VLOOKUP($D57,Receptury_z!$D:$AI,M$4,0))</f>
        <v>262.91999999999996</v>
      </c>
      <c r="N57" s="14">
        <f>IF($B57="OFF",BM57,VLOOKUP($D57,Receptury_z!$D:$AI,N$4,0))</f>
        <v>0</v>
      </c>
      <c r="O57" s="14">
        <f>IF($B57="OFF",BN57,VLOOKUP($D57,Receptury_z!$D:$AI,O$4,0))</f>
        <v>0</v>
      </c>
      <c r="P57" s="14">
        <f>IF($B57="OFF",BO57,VLOOKUP($D57,Receptury_z!$D:$AI,P$4,0))</f>
        <v>0</v>
      </c>
      <c r="Q57" s="14">
        <f>IF($B57="OFF",BP57,VLOOKUP($D57,Receptury_z!$D:$AI,Q$4,0))</f>
        <v>0</v>
      </c>
      <c r="R57" s="14">
        <f>IF($B57="OFF",BQ57,VLOOKUP($D57,Receptury_z!$D:$AI,R$4,0))</f>
        <v>0</v>
      </c>
      <c r="S57" s="14">
        <f>IF($B57="OFF",BR57,VLOOKUP($D57,Receptury_z!$D:$AI,S$4,0))</f>
        <v>0</v>
      </c>
      <c r="T57" s="14">
        <f>IF($B57="OFF",BS57,VLOOKUP($D57,Receptury_z!$D:$AI,T$4,0))</f>
        <v>0</v>
      </c>
      <c r="U57" s="14">
        <f>IF($B57="OFF",BT57,VLOOKUP($D57,Receptury_z!$D:$AI,U$4,0))</f>
        <v>0</v>
      </c>
      <c r="V57" s="14">
        <f>IF($B57="OFF",BU57,VLOOKUP($D57,Receptury_z!$D:$AI,V$4,0))</f>
        <v>0</v>
      </c>
      <c r="W57" s="14">
        <f>IF($B57="OFF",BV57,VLOOKUP($D57,Receptury_z!$D:$AI,W$4,0))</f>
        <v>0</v>
      </c>
      <c r="X57" s="14">
        <f>IF($B57="OFF",BW57,VLOOKUP($D57,Receptury_z!$D:$AI,X$4,0))</f>
        <v>0</v>
      </c>
      <c r="Y57" s="14">
        <f>IF($B57="OFF",BX57,VLOOKUP($D57,Receptury_z!$D:$AI,Y$4,0))</f>
        <v>0</v>
      </c>
      <c r="Z57" s="14">
        <f>IF($B57="OFF",BY57,VLOOKUP($D57,Receptury_z!$D:$AI,Z$4,0))</f>
        <v>0</v>
      </c>
      <c r="AA57" s="14">
        <f>IF($B57="OFF",BZ57,VLOOKUP($D57,Receptury_z!$D:$AI,AA$4,0))</f>
        <v>0</v>
      </c>
      <c r="AB57" s="14">
        <f>IF($B57="OFF",CA57,VLOOKUP($D57,Receptury_z!$D:$AI,AB$4,0))</f>
        <v>0</v>
      </c>
      <c r="AC57" s="14">
        <f>IF($B57="OFF",CB57,VLOOKUP($D57,Receptury_z!$D:$AI,AC$4,0))</f>
        <v>0</v>
      </c>
      <c r="AD57" s="14">
        <f>IF($B57="OFF",CC57,VLOOKUP($D57,Receptury_z!$D:$AI,AD$4,0))</f>
        <v>0</v>
      </c>
      <c r="AE57" s="14">
        <f>IF($B57="OFF",CD57,VLOOKUP($D57,Receptury_z!$D:$AI,AE$4,0))</f>
        <v>0</v>
      </c>
      <c r="AF57" s="14">
        <f>IF($B57="OFF",CE57,VLOOKUP($D57,Receptury_z!$D:$AI,AF$4,0))</f>
        <v>0</v>
      </c>
      <c r="AG57" s="14">
        <f>IF($B57="OFF",CF57,VLOOKUP($D57,Receptury_z!$D:$AI,AG$4,0))</f>
        <v>0</v>
      </c>
      <c r="AH57" s="14">
        <f>IF($B57="OFF",CG57,VLOOKUP($D57,Receptury_z!$D:$AI,AH$4,0))</f>
        <v>0</v>
      </c>
      <c r="AI57" s="14">
        <f>IF($B57="OFF",CH57,VLOOKUP($D57,Receptury_z!$D:$AI,AI$4,0))</f>
        <v>0</v>
      </c>
      <c r="AJ57" s="14">
        <f>IF($B57="OFF",CI57,VLOOKUP($D57,Receptury_z!$D:$AS,AJ$4,0))</f>
        <v>0</v>
      </c>
      <c r="AK57" s="14">
        <f>IF($B57="OFF",CJ57,VLOOKUP($D57,Receptury_z!$D:$AS,AK$4,0))</f>
        <v>0</v>
      </c>
      <c r="AL57" s="14">
        <f>IF($B57="OFF",CK57,VLOOKUP($D57,Receptury_z!$D:$AS,AL$4,0))</f>
        <v>0</v>
      </c>
      <c r="AM57" s="14">
        <f>IF($B57="OFF",CL57,VLOOKUP($D57,Receptury_z!$D:$AS,AM$4,0))</f>
        <v>0</v>
      </c>
      <c r="AN57" s="14">
        <f>IF($B57="OFF",CM57,VLOOKUP($D57,Receptury_z!$D:$AS,AN$4,0))</f>
        <v>40.729999999999997</v>
      </c>
      <c r="AO57" s="14">
        <f>IF($B57="OFF",CN57,VLOOKUP($D57,Receptury_z!$D:$AS,AO$4,0))</f>
        <v>0</v>
      </c>
      <c r="AP57" s="14">
        <f>IF($B57="OFF",CO57,VLOOKUP($D57,Receptury_z!$D:$AS,AP$4,0))</f>
        <v>0</v>
      </c>
      <c r="AQ57" s="14">
        <f>IF($B57="OFF",CP57,VLOOKUP($D57,Receptury_z!$D:$AS,AQ$4,0))</f>
        <v>0</v>
      </c>
      <c r="AR57" s="14">
        <f>IF($B57="OFF",CQ57,VLOOKUP($D57,Receptury_z!$D:$AS,AR$4,0))</f>
        <v>0</v>
      </c>
      <c r="AS57" s="14">
        <f>IF($B57="OFF",CR57,VLOOKUP($D57,Receptury_z!$D:$AS,AS$4,0))</f>
        <v>0</v>
      </c>
      <c r="AT57" s="14">
        <f>IF($B57="OFF",CS57,VLOOKUP($D57,Receptury_z!$D:$AV,AT$4,0))</f>
        <v>0</v>
      </c>
      <c r="AU57" s="14">
        <f>IF($B57="OFF",CT57,VLOOKUP($D57,Receptury_z!$D:$AV,AU$4,0))</f>
        <v>0</v>
      </c>
      <c r="AV57" s="14">
        <f>IF($B57="OFF",CU57,VLOOKUP($D57,Receptury_z!$D:$AV,AV$4,0))</f>
        <v>0</v>
      </c>
      <c r="AW57" s="14">
        <f>IF($B57="OFF",CV57,VLOOKUP($D57,Receptury_z!$D:$BA,AW$4,0))</f>
        <v>0</v>
      </c>
      <c r="AX57" s="14">
        <f>IF($B57="OFF",CW57,VLOOKUP($D57,Receptury_z!$D:$BA,AX$4,0))</f>
        <v>0</v>
      </c>
      <c r="AY57" s="14">
        <f>IF($B57="OFF",CX57,VLOOKUP($D57,Receptury_z!$D:$BA,AY$4,0))</f>
        <v>0</v>
      </c>
      <c r="AZ57" s="14">
        <f>IF($B57="OFF",DA57,VLOOKUP($D57,Receptury_z!$D:$BA,AZ$4,0))</f>
        <v>0</v>
      </c>
      <c r="BA57" s="14">
        <f>IF($B57="OFF",DB57,VLOOKUP($D57,Receptury_z!$D:$BA,BA$4,0))</f>
        <v>0</v>
      </c>
      <c r="BC57" s="19">
        <v>7080</v>
      </c>
      <c r="BD57" s="18" t="s">
        <v>15544</v>
      </c>
      <c r="BE57" s="239">
        <v>0</v>
      </c>
      <c r="BF57" s="239">
        <v>0</v>
      </c>
      <c r="BG57" s="239">
        <v>0</v>
      </c>
      <c r="BH57" s="239">
        <v>0</v>
      </c>
      <c r="BI57" s="239">
        <v>0</v>
      </c>
      <c r="BJ57" s="239">
        <v>0</v>
      </c>
      <c r="BK57" s="239">
        <v>610.95000000000005</v>
      </c>
      <c r="BL57" s="239">
        <v>162.91999999999999</v>
      </c>
      <c r="BM57" s="239">
        <v>0</v>
      </c>
      <c r="BN57" s="239">
        <v>40.729999999999997</v>
      </c>
      <c r="BO57" s="239">
        <v>0</v>
      </c>
      <c r="BP57" s="239">
        <v>0</v>
      </c>
      <c r="BQ57" s="239">
        <v>0</v>
      </c>
      <c r="BR57" s="239">
        <v>0</v>
      </c>
      <c r="BS57" s="239">
        <v>0</v>
      </c>
      <c r="BT57" s="239">
        <v>0</v>
      </c>
      <c r="BU57" s="239">
        <v>0</v>
      </c>
      <c r="BV57" s="239">
        <v>0</v>
      </c>
      <c r="BW57" s="239">
        <v>0</v>
      </c>
      <c r="BX57" s="239"/>
      <c r="BY57" s="239">
        <v>0</v>
      </c>
      <c r="BZ57" s="239">
        <v>0</v>
      </c>
      <c r="CA57" s="239">
        <v>0</v>
      </c>
      <c r="CB57" s="239">
        <v>0</v>
      </c>
      <c r="CC57" s="239">
        <v>0</v>
      </c>
      <c r="CD57" s="239">
        <v>0</v>
      </c>
      <c r="CE57" s="239">
        <v>0</v>
      </c>
      <c r="CF57" s="239">
        <v>0</v>
      </c>
      <c r="CG57" s="239">
        <v>0</v>
      </c>
      <c r="CH57" s="239">
        <v>0</v>
      </c>
      <c r="CI57" s="239">
        <v>0</v>
      </c>
      <c r="CJ57" s="239">
        <v>0</v>
      </c>
      <c r="CK57" s="239">
        <v>0</v>
      </c>
      <c r="CL57" s="239">
        <v>0</v>
      </c>
      <c r="CM57" s="80"/>
      <c r="CN57" s="80"/>
      <c r="CO57" s="80"/>
      <c r="CP57" s="80"/>
      <c r="CQ57" s="80"/>
      <c r="CR57" s="80"/>
      <c r="CS57" s="80"/>
      <c r="CT57" s="80"/>
      <c r="CU57" s="80"/>
      <c r="CV57" s="80"/>
      <c r="CW57" s="80"/>
      <c r="CX57" s="80"/>
      <c r="CY57" s="80"/>
      <c r="CZ57" s="80"/>
      <c r="DB57">
        <f>IFERROR(VLOOKUP($D57,'Kalkulator mięs '!$C$5:$H$533,DB$4,0)*F57,0)</f>
        <v>0</v>
      </c>
      <c r="DC57">
        <f>IFERROR(VLOOKUP($D57,'Kalkulator mięs '!$C$5:$H$533,DC$4,0)*F57,0)</f>
        <v>0</v>
      </c>
      <c r="DD57">
        <f>IFERROR(VLOOKUP($D57,'Kalkulator mięs '!$C$5:$H$533,DD$4,0)*F57,0)</f>
        <v>0</v>
      </c>
      <c r="DE57">
        <f>IFERROR(VLOOKUP($D57,'Kalkulator mięs '!$C$5:$H$533,DE$4,0)*$G57,0)</f>
        <v>0</v>
      </c>
      <c r="DF57">
        <f>IFERROR(VLOOKUP($D57,'Kalkulator mięs '!$C$5:$H$533,DF$4,0)*$G57,0)</f>
        <v>0</v>
      </c>
      <c r="DG57">
        <f>IFERROR(VLOOKUP($D57,'Kalkulator mięs '!$C$5:$H$533,DG$4,0)*$G57,0)</f>
        <v>0</v>
      </c>
      <c r="DH57">
        <f>IFERROR(VLOOKUP($D57,'Kalkulator mięs '!$C$5:$H$533,DH$4,0)*$H57,0)</f>
        <v>0</v>
      </c>
      <c r="DI57">
        <f>IFERROR(VLOOKUP($D57,'Kalkulator mięs '!$C$5:$H$533,DI$4,0)*$H57,0)</f>
        <v>0</v>
      </c>
      <c r="DJ57">
        <f>IFERROR(VLOOKUP($D57,'Kalkulator mięs '!$C$5:$H$533,DJ$4,0)*$H57,0)</f>
        <v>0</v>
      </c>
      <c r="DK57">
        <f>IFERROR(VLOOKUP($D57,'Kalkulator mięs '!$C$5:$H$533,DK$4,0)*$I57,0)</f>
        <v>0</v>
      </c>
      <c r="DL57">
        <f>IFERROR(VLOOKUP($D57,'Kalkulator mięs '!$C$5:$H$533,DL$4,0)*$I57,0)</f>
        <v>0</v>
      </c>
      <c r="DM57">
        <f>IFERROR(VLOOKUP($D57,'Kalkulator mięs '!$C$5:$H$533,DM$4,0)*$I57,0)</f>
        <v>0</v>
      </c>
      <c r="DN57">
        <f>IFERROR(VLOOKUP($D57,'Kalkulator mięs '!$C$5:$H$533,DN$4,0)*$J57,0)</f>
        <v>0</v>
      </c>
      <c r="DO57">
        <f>IFERROR(VLOOKUP($D57,'Kalkulator mięs '!$C$5:$H$533,DO$4,0)*$J57,0)</f>
        <v>0</v>
      </c>
      <c r="DP57">
        <f>IFERROR(VLOOKUP($D57,'Kalkulator mięs '!$C$5:$H$533,DP$4,0)*$J57,0)</f>
        <v>0</v>
      </c>
      <c r="DQ57">
        <f>IFERROR(VLOOKUP($D57,'Kalkulator mięs '!$C$5:$H$533,DQ$4,0)*$K57,0)</f>
        <v>0</v>
      </c>
      <c r="DR57">
        <f>IFERROR(VLOOKUP($D57,'Kalkulator mięs '!$C$5:$H$533,DR$4,0)*$K57,0)</f>
        <v>0</v>
      </c>
      <c r="DS57">
        <f>IFERROR(VLOOKUP($D57,'Kalkulator mięs '!$C$5:$H$533,DS$4,0)*$K57,0)</f>
        <v>0</v>
      </c>
      <c r="DT57">
        <f>IFERROR(VLOOKUP($D57,'Kalkulator mięs '!$C$5:$H$533,DT$4,0)*$L57,0)</f>
        <v>0</v>
      </c>
      <c r="DU57">
        <f>IFERROR(VLOOKUP($D57,'Kalkulator mięs '!$C$5:$H$533,DU$4,0)*$L57,0)</f>
        <v>0</v>
      </c>
      <c r="DV57">
        <f>IFERROR(VLOOKUP($D57,'Kalkulator mięs '!$C$5:$H$533,DV$4,0)*$L57,0)</f>
        <v>766.42500000000007</v>
      </c>
      <c r="DW57">
        <f>IFERROR(VLOOKUP($D57,'Kalkulator mięs '!$C$5:$H$533,DW$4,0)*$M57,0)</f>
        <v>0</v>
      </c>
      <c r="DX57">
        <f>IFERROR(VLOOKUP($D57,'Kalkulator mięs '!$C$5:$H$533,DX$4,0)*$M57,0)</f>
        <v>0</v>
      </c>
      <c r="DY57">
        <f>IFERROR(VLOOKUP($D57,'Kalkulator mięs '!$C$5:$H$533,DY$4,0)*$M57,0)</f>
        <v>394.37999999999994</v>
      </c>
      <c r="DZ57">
        <f>IFERROR(VLOOKUP($D57,'Kalkulator mięs '!$C$5:$H$533,DZ$4,0)*$N57,0)</f>
        <v>0</v>
      </c>
      <c r="EA57">
        <f>IFERROR(VLOOKUP($D57,'Kalkulator mięs '!$C$5:$H$533,EA$4,0)*$N57,0)</f>
        <v>0</v>
      </c>
      <c r="EB57">
        <f>IFERROR(VLOOKUP($D57,'Kalkulator mięs '!$C$5:$H$533,EB$4,0)*$N57,0)</f>
        <v>0</v>
      </c>
      <c r="EC57">
        <f>IFERROR(VLOOKUP($D57,'Kalkulator mięs '!$C$5:$H$533,EC$4,0)*$O57,0)</f>
        <v>0</v>
      </c>
      <c r="ED57">
        <f>IFERROR(VLOOKUP($D57,'Kalkulator mięs '!$C$5:$H$533,ED$4,0)*$O57,0)</f>
        <v>0</v>
      </c>
      <c r="EE57">
        <f>IFERROR(VLOOKUP($D57,'Kalkulator mięs '!$C$5:$H$533,EE$4,0)*$O57,0)</f>
        <v>0</v>
      </c>
      <c r="EF57">
        <f>IFERROR(VLOOKUP($D57,'Kalkulator mięs '!$C$5:$H$533,EF$4,0)*$P57,0)</f>
        <v>0</v>
      </c>
      <c r="EG57">
        <f>IFERROR(VLOOKUP($D57,'Kalkulator mięs '!$C$5:$H$533,EG$4,0)*$P57,0)</f>
        <v>0</v>
      </c>
      <c r="EH57">
        <f>IFERROR(VLOOKUP($D57,'Kalkulator mięs '!$C$5:$H$533,EH$4,0)*$P57,0)</f>
        <v>0</v>
      </c>
      <c r="EI57">
        <f>IFERROR(VLOOKUP($D57,'Kalkulator mięs '!$C$5:$H$533,EI$4,0)*$Q57,0)</f>
        <v>0</v>
      </c>
      <c r="EJ57">
        <f>IFERROR(VLOOKUP($D57,'Kalkulator mięs '!$C$5:$H$533,EJ$4,0)*$Q57,0)</f>
        <v>0</v>
      </c>
      <c r="EK57">
        <f>IFERROR(VLOOKUP($D57,'Kalkulator mięs '!$C$5:$H$533,EK$4,0)*$Q57,0)</f>
        <v>0</v>
      </c>
      <c r="EL57">
        <f>IFERROR(VLOOKUP($D57,'Kalkulator mięs '!$C$5:$H$533,EL$4,0)*$R57,0)</f>
        <v>0</v>
      </c>
      <c r="EM57">
        <f>IFERROR(VLOOKUP($D57,'Kalkulator mięs '!$C$5:$H$533,EM$4,0)*$R57,0)</f>
        <v>0</v>
      </c>
      <c r="EN57">
        <f>IFERROR(VLOOKUP($D57,'Kalkulator mięs '!$C$5:$H$533,EN$4,0)*$R57,0)</f>
        <v>0</v>
      </c>
      <c r="EO57">
        <f>IFERROR(VLOOKUP($D57,'Kalkulator mięs '!$C$5:$H$533,EO$4,0)*$S57,0)</f>
        <v>0</v>
      </c>
      <c r="EP57">
        <f>IFERROR(VLOOKUP($D57,'Kalkulator mięs '!$C$5:$H$533,EP$4,0)*$S57,0)</f>
        <v>0</v>
      </c>
      <c r="EQ57">
        <f>IFERROR(VLOOKUP($D57,'Kalkulator mięs '!$C$5:$H$533,EQ$4,0)*$S57,0)</f>
        <v>0</v>
      </c>
      <c r="ER57">
        <f>IFERROR(VLOOKUP($D57,'Kalkulator mięs '!$C$5:$H$533,ER$4,0)*$T57,0)</f>
        <v>0</v>
      </c>
      <c r="ES57">
        <f>IFERROR(VLOOKUP($D57,'Kalkulator mięs '!$C$5:$H$533,ES$4,0)*$T57,0)</f>
        <v>0</v>
      </c>
      <c r="ET57">
        <f>IFERROR(VLOOKUP($D57,'Kalkulator mięs '!$C$5:$H$533,ET$4,0)*$T57,0)</f>
        <v>0</v>
      </c>
      <c r="EU57">
        <f>IFERROR(VLOOKUP($D57,'Kalkulator mięs '!$C$5:$H$533,EU$4,0)*$U57,0)</f>
        <v>0</v>
      </c>
      <c r="EV57">
        <f>IFERROR(VLOOKUP($D57,'Kalkulator mięs '!$C$5:$H$533,EV$4,0)*$U57,0)</f>
        <v>0</v>
      </c>
      <c r="EW57">
        <f>IFERROR(VLOOKUP($D57,'Kalkulator mięs '!$C$5:$H$533,EW$4,0)*$U57,0)</f>
        <v>0</v>
      </c>
      <c r="EX57">
        <f>IFERROR(VLOOKUP($D57,'Kalkulator mięs '!$C$5:$H$533,EX$4,0)*$V57,0)</f>
        <v>0</v>
      </c>
      <c r="EY57">
        <f>IFERROR(VLOOKUP($D57,'Kalkulator mięs '!$C$5:$H$533,EY$4,0)*$V57,0)</f>
        <v>0</v>
      </c>
      <c r="EZ57">
        <f>IFERROR(VLOOKUP($D57,'Kalkulator mięs '!$C$5:$H$533,EZ$4,0)*$V57,0)</f>
        <v>0</v>
      </c>
      <c r="FA57">
        <f>IFERROR(VLOOKUP($D57,'Kalkulator mięs '!$C$5:$H$533,FA$4,0)*$W57,0)</f>
        <v>0</v>
      </c>
      <c r="FB57">
        <f>IFERROR(VLOOKUP($D57,'Kalkulator mięs '!$C$5:$H$533,FB$4,0)*$W57,0)</f>
        <v>0</v>
      </c>
      <c r="FC57">
        <f>IFERROR(VLOOKUP($D57,'Kalkulator mięs '!$C$5:$H$533,FC$4,0)*$W57,0)</f>
        <v>0</v>
      </c>
      <c r="FD57">
        <f>IFERROR(VLOOKUP($D57,'Kalkulator mięs '!$C$5:$H$533,FD$4,0)*$X57,0)</f>
        <v>0</v>
      </c>
      <c r="FE57">
        <f>IFERROR(VLOOKUP($D57,'Kalkulator mięs '!$C$5:$H$533,FE$4,0)*$X57,0)</f>
        <v>0</v>
      </c>
      <c r="FF57">
        <f>IFERROR(VLOOKUP($D57,'Kalkulator mięs '!$C$5:$H$533,FF$4,0)*$X57,0)</f>
        <v>0</v>
      </c>
      <c r="FG57">
        <f>IFERROR(VLOOKUP($D57,'Kalkulator mięs '!$C$5:$H$533,FG$4,0)*$Y57,0)</f>
        <v>0</v>
      </c>
      <c r="FH57">
        <f>IFERROR(VLOOKUP($D57,'Kalkulator mięs '!$C$5:$H$533,FH$4,0)*$Y57,0)</f>
        <v>0</v>
      </c>
      <c r="FI57">
        <f>IFERROR(VLOOKUP($D57,'Kalkulator mięs '!$C$5:$H$533,FI$4,0)*$Y57,0)</f>
        <v>0</v>
      </c>
      <c r="FJ57">
        <f>IFERROR(VLOOKUP($D57,'Kalkulator mięs '!$C$5:$H$533,FJ$4,0)*$Z57,0)</f>
        <v>0</v>
      </c>
      <c r="FK57">
        <f>IFERROR(VLOOKUP($D57,'Kalkulator mięs '!$C$5:$H$533,FK$4,0)*$Z57,0)</f>
        <v>0</v>
      </c>
      <c r="FL57">
        <f>IFERROR(VLOOKUP($D57,'Kalkulator mięs '!$C$5:$H$533,FL$4,0)*$Z57,0)</f>
        <v>0</v>
      </c>
      <c r="FM57">
        <f>IFERROR(VLOOKUP($D57,'Kalkulator mięs '!$C$5:$H$533,FM$4,0)*$AA57,0)</f>
        <v>0</v>
      </c>
      <c r="FN57">
        <f>IFERROR(VLOOKUP($D57,'Kalkulator mięs '!$C$5:$H$533,FN$4,0)*$AA57,0)</f>
        <v>0</v>
      </c>
      <c r="FO57">
        <f>IFERROR(VLOOKUP($D57,'Kalkulator mięs '!$C$5:$H$533,FO$4,0)*$AA57,0)</f>
        <v>0</v>
      </c>
      <c r="FP57">
        <f>IFERROR(VLOOKUP($D57,'Kalkulator mięs '!$C$5:$H$533,FP$4,0)*$AB57,0)</f>
        <v>0</v>
      </c>
      <c r="FQ57">
        <f>IFERROR(VLOOKUP($D57,'Kalkulator mięs '!$C$5:$H$533,FQ$4,0)*$AB57,0)</f>
        <v>0</v>
      </c>
      <c r="FR57">
        <f>IFERROR(VLOOKUP($D57,'Kalkulator mięs '!$C$5:$H$533,FR$4,0)*$AB57,0)</f>
        <v>0</v>
      </c>
      <c r="FS57">
        <f>IFERROR(VLOOKUP($D57,'Kalkulator mięs '!$C$5:$H$533,FS$4,0)*$AC57,0)</f>
        <v>0</v>
      </c>
      <c r="FT57">
        <f>IFERROR(VLOOKUP($D57,'Kalkulator mięs '!$C$5:$H$533,FT$4,0)*$AC57,0)</f>
        <v>0</v>
      </c>
      <c r="FU57">
        <f>IFERROR(VLOOKUP($D57,'Kalkulator mięs '!$C$5:$H$533,FU$4,0)*$AC57,0)</f>
        <v>0</v>
      </c>
      <c r="FV57">
        <f>IFERROR(VLOOKUP($D57,'Kalkulator mięs '!$C$5:$H$533,FV$4,0)*$AD57,0)</f>
        <v>0</v>
      </c>
      <c r="FW57">
        <f>IFERROR(VLOOKUP($D57,'Kalkulator mięs '!$C$5:$H$533,FW$4,0)*$AD57,0)</f>
        <v>0</v>
      </c>
      <c r="FX57">
        <f>IFERROR(VLOOKUP($D57,'Kalkulator mięs '!$C$5:$H$533,FX$4,0)*$AD57,0)</f>
        <v>0</v>
      </c>
      <c r="FY57">
        <f>IFERROR(VLOOKUP($D57,'Kalkulator mięs '!$C$5:$H$533,FY$4,0)*$AE57,0)</f>
        <v>0</v>
      </c>
      <c r="FZ57">
        <f>IFERROR(VLOOKUP($D57,'Kalkulator mięs '!$C$5:$H$533,FZ$4,0)*$AE57,0)</f>
        <v>0</v>
      </c>
      <c r="GA57">
        <f>IFERROR(VLOOKUP($D57,'Kalkulator mięs '!$C$5:$H$533,GA$4,0)*$AE57,0)</f>
        <v>0</v>
      </c>
      <c r="GB57">
        <f>IFERROR(VLOOKUP($D57,'Kalkulator mięs '!$C$5:$H$533,GB$4,0)*$AF57,0)</f>
        <v>0</v>
      </c>
      <c r="GC57">
        <f>IFERROR(VLOOKUP($D57,'Kalkulator mięs '!$C$5:$H$533,GC$4,0)*$AF57,0)</f>
        <v>0</v>
      </c>
      <c r="GD57">
        <f>IFERROR(VLOOKUP($D57,'Kalkulator mięs '!$C$5:$H$533,GD$4,0)*$AF57,0)</f>
        <v>0</v>
      </c>
      <c r="GE57">
        <f>IFERROR(VLOOKUP($D57,'Kalkulator mięs '!$C$5:$H$533,GE$4,0)*$AG57,0)</f>
        <v>0</v>
      </c>
      <c r="GF57">
        <f>IFERROR(VLOOKUP($D57,'Kalkulator mięs '!$C$5:$H$533,GF$4,0)*$AG57,0)</f>
        <v>0</v>
      </c>
      <c r="GG57">
        <f>IFERROR(VLOOKUP($D57,'Kalkulator mięs '!$C$5:$H$533,GG$4,0)*$AG57,0)</f>
        <v>0</v>
      </c>
      <c r="GH57">
        <f>IFERROR(VLOOKUP($D57,'Kalkulator mięs '!$C$5:$H$533,GH$4,0)*$AH57,0)</f>
        <v>0</v>
      </c>
      <c r="GI57">
        <f>IFERROR(VLOOKUP($D57,'Kalkulator mięs '!$C$5:$H$533,GI$4,0)*$AH57,0)</f>
        <v>0</v>
      </c>
      <c r="GJ57">
        <f>IFERROR(VLOOKUP($D57,'Kalkulator mięs '!$C$5:$H$533,GJ$4,0)*$AH57,0)</f>
        <v>0</v>
      </c>
      <c r="GK57">
        <f>IFERROR(VLOOKUP($D57,'Kalkulator mięs '!$C$5:$H$533,GK$4,0)*$AI57,0)</f>
        <v>0</v>
      </c>
      <c r="GL57">
        <f>IFERROR(VLOOKUP($D57,'Kalkulator mięs '!$C$5:$H$533,GL$4,0)*$AI57,0)</f>
        <v>0</v>
      </c>
      <c r="GM57">
        <f>IFERROR(VLOOKUP($D57,'Kalkulator mięs '!$C$5:$H$533,GM$4,0)*$AI57,0)</f>
        <v>0</v>
      </c>
      <c r="GN57">
        <f>IFERROR(VLOOKUP($D57,'Kalkulator mięs '!$C$5:$H$533,GN$4,0)*$AJ57,0)</f>
        <v>0</v>
      </c>
      <c r="GO57">
        <f>IFERROR(VLOOKUP($D57,'Kalkulator mięs '!$C$5:$H$533,GO$4,0)*$AJ57,0)</f>
        <v>0</v>
      </c>
      <c r="GP57">
        <f>IFERROR(VLOOKUP($D57,'Kalkulator mięs '!$C$5:$H$533,GP$4,0)*$AJ57,0)</f>
        <v>0</v>
      </c>
      <c r="GQ57">
        <f>IFERROR(VLOOKUP($D57,'Kalkulator mięs '!$C$5:$H$533,GQ$4,0)*$AK57,0)</f>
        <v>0</v>
      </c>
      <c r="GR57">
        <f>IFERROR(VLOOKUP($D57,'Kalkulator mięs '!$C$5:$H$533,GR$4,0)*$AK57,0)</f>
        <v>0</v>
      </c>
      <c r="GS57">
        <f>IFERROR(VLOOKUP($D57,'Kalkulator mięs '!$C$5:$H$533,GS$4,0)*$AK57,0)</f>
        <v>0</v>
      </c>
      <c r="GT57">
        <f>IFERROR(VLOOKUP($D57,'Kalkulator mięs '!$C$5:$H$533,GT$4,0)*$AL57,0)</f>
        <v>0</v>
      </c>
      <c r="GU57">
        <f>IFERROR(VLOOKUP($D57,'Kalkulator mięs '!$C$5:$H$533,GU$4,0)*$AL57,0)</f>
        <v>0</v>
      </c>
      <c r="GV57">
        <f>IFERROR(VLOOKUP($D57,'Kalkulator mięs '!$C$5:$H$533,GV$4,0)*$AL57,0)</f>
        <v>0</v>
      </c>
      <c r="GW57">
        <f>IFERROR(VLOOKUP($D57,'Kalkulator mięs '!$C$5:$H$533,GW$4,0)*$AM57,0)</f>
        <v>0</v>
      </c>
      <c r="GX57">
        <f>IFERROR(VLOOKUP($D57,'Kalkulator mięs '!$C$5:$H$533,GX$4,0)*$AM57,0)</f>
        <v>0</v>
      </c>
      <c r="GY57">
        <f>IFERROR(VLOOKUP($D57,'Kalkulator mięs '!$C$5:$H$533,GY$4,0)*$AM57,0)</f>
        <v>0</v>
      </c>
      <c r="GZ57">
        <f>IFERROR(VLOOKUP($D57,'Kalkulator mięs '!$C$5:$H$533,GZ$4,0)*$AN57,0)</f>
        <v>0</v>
      </c>
      <c r="HA57">
        <f>IFERROR(VLOOKUP($D57,'Kalkulator mięs '!$C$5:$H$533,HA$4,0)*$AN57,0)</f>
        <v>0</v>
      </c>
      <c r="HB57">
        <f>IFERROR(VLOOKUP($D57,'Kalkulator mięs '!$C$5:$H$533,HB$4,0)*$AN57,0)</f>
        <v>61.094999999999999</v>
      </c>
      <c r="HC57">
        <f>IFERROR(VLOOKUP($D57,'Kalkulator mięs '!$C$5:$H$533,HC$4,0)*$AO57,0)</f>
        <v>0</v>
      </c>
      <c r="HD57">
        <f>IFERROR(VLOOKUP($D57,'Kalkulator mięs '!$C$5:$H$533,HD$4,0)*$AO57,0)</f>
        <v>0</v>
      </c>
      <c r="HE57">
        <f>IFERROR(VLOOKUP($D57,'Kalkulator mięs '!$C$5:$H$533,HE$4,0)*$AO57,0)</f>
        <v>0</v>
      </c>
      <c r="HF57">
        <f>IFERROR(VLOOKUP($D57,'Kalkulator mięs '!$C$5:$H$533,HF$4,0)*$AP57,0)</f>
        <v>0</v>
      </c>
      <c r="HG57">
        <f>IFERROR(VLOOKUP($D57,'Kalkulator mięs '!$C$5:$H$533,HG$4,0)*$AP57,0)</f>
        <v>0</v>
      </c>
      <c r="HH57">
        <f>IFERROR(VLOOKUP($D57,'Kalkulator mięs '!$C$5:$H$533,HH$4,0)*$AP57,0)</f>
        <v>0</v>
      </c>
      <c r="HI57">
        <f>IFERROR(VLOOKUP($D57,'Kalkulator mięs '!$C$5:$H$533,HI$4,0)*$AQ57,0)</f>
        <v>0</v>
      </c>
      <c r="HJ57">
        <f>IFERROR(VLOOKUP($D57,'Kalkulator mięs '!$C$5:$H$533,HJ$4,0)*$AQ57,0)</f>
        <v>0</v>
      </c>
      <c r="HK57">
        <f>IFERROR(VLOOKUP($D57,'Kalkulator mięs '!$C$5:$H$533,HK$4,0)*$AQ57,0)</f>
        <v>0</v>
      </c>
      <c r="HL57">
        <f>IFERROR(VLOOKUP($D57,'Kalkulator mięs '!$C$5:$H$533,HL$4,0)*$AR57,0)</f>
        <v>0</v>
      </c>
      <c r="HM57">
        <f>IFERROR(VLOOKUP($D57,'Kalkulator mięs '!$C$5:$H$533,HM$4,0)*$AR57,0)</f>
        <v>0</v>
      </c>
      <c r="HN57">
        <f>IFERROR(VLOOKUP($D57,'Kalkulator mięs '!$C$5:$H$533,HN$4,0)*$AR57,0)</f>
        <v>0</v>
      </c>
      <c r="HO57">
        <f>IFERROR(VLOOKUP($D57,'Kalkulator mięs '!$C$5:$H$533,HO$4,0)*$AS57,0)</f>
        <v>0</v>
      </c>
      <c r="HP57">
        <f>IFERROR(VLOOKUP($D57,'Kalkulator mięs '!$C$5:$H$533,HP$4,0)*$AS57,0)</f>
        <v>0</v>
      </c>
      <c r="HQ57">
        <f>IFERROR(VLOOKUP($D57,'Kalkulator mięs '!$C$5:$H$533,HQ$4,0)*$AS57,0)</f>
        <v>0</v>
      </c>
      <c r="HR57">
        <f>IFERROR(VLOOKUP($D57,'Kalkulator mięs '!$C$5:$H$533,HR$4,0)*$AT57,0)</f>
        <v>0</v>
      </c>
      <c r="HS57">
        <f>IFERROR(VLOOKUP($D57,'Kalkulator mięs '!$C$5:$H$533,HS$4,0)*$AT57,0)</f>
        <v>0</v>
      </c>
      <c r="HT57">
        <f>IFERROR(VLOOKUP($D57,'Kalkulator mięs '!$C$5:$H$533,HT$4,0)*$AT57,0)</f>
        <v>0</v>
      </c>
      <c r="HU57">
        <f>IFERROR(VLOOKUP($D57,'Kalkulator mięs '!$C$5:$H$533,HU$4,0)*$AU57,0)</f>
        <v>0</v>
      </c>
      <c r="HV57">
        <f>IFERROR(VLOOKUP($D57,'Kalkulator mięs '!$C$5:$H$533,HV$4,0)*$AU57,0)</f>
        <v>0</v>
      </c>
      <c r="HW57">
        <f>IFERROR(VLOOKUP($D57,'Kalkulator mięs '!$C$5:$H$533,HW$4,0)*$AU57,0)</f>
        <v>0</v>
      </c>
      <c r="HX57">
        <f>IFERROR(VLOOKUP($D57,'Kalkulator mięs '!$C$5:$H$533,HX$4,0)*$AV57,0)</f>
        <v>0</v>
      </c>
      <c r="HY57">
        <f>IFERROR(VLOOKUP($D57,'Kalkulator mięs '!$C$5:$H$533,HY$4,0)*$AV57,0)</f>
        <v>0</v>
      </c>
      <c r="HZ57">
        <f>IFERROR(VLOOKUP($D57,'Kalkulator mięs '!$C$5:$H$533,HZ$4,0)*$AV57,0)</f>
        <v>0</v>
      </c>
      <c r="IA57">
        <f>IFERROR(VLOOKUP($D57,'Kalkulator mięs '!$C$5:$H$533,IA$4,0)*$AW57,0)</f>
        <v>0</v>
      </c>
      <c r="IB57">
        <f>IFERROR(VLOOKUP($D57,'Kalkulator mięs '!$C$5:$H$533,IB$4,0)*$AW57,0)</f>
        <v>0</v>
      </c>
      <c r="IC57">
        <f>IFERROR(VLOOKUP($D57,'Kalkulator mięs '!$C$5:$H$533,IC$4,0)*$AW57,0)</f>
        <v>0</v>
      </c>
      <c r="ID57">
        <f>IFERROR(VLOOKUP($D57,'Kalkulator mięs '!$C$5:$H$533,ID$4,0)*$AX57,0)</f>
        <v>0</v>
      </c>
      <c r="IE57">
        <f>IFERROR(VLOOKUP($D57,'Kalkulator mięs '!$C$5:$H$533,IE$4,0)*$AX57,0)</f>
        <v>0</v>
      </c>
      <c r="IF57">
        <f>IFERROR(VLOOKUP($D57,'Kalkulator mięs '!$C$5:$H$533,IF$4,0)*$AX57,0)</f>
        <v>0</v>
      </c>
      <c r="IG57">
        <f>IFERROR(VLOOKUP($D57,'Kalkulator mięs '!$C$5:$H$533,IG$4,0)*$AY57,0)</f>
        <v>0</v>
      </c>
      <c r="IH57">
        <f>IFERROR(VLOOKUP($D57,'Kalkulator mięs '!$C$5:$H$533,IH$4,0)*$AY57,0)</f>
        <v>0</v>
      </c>
      <c r="II57">
        <f>IFERROR(VLOOKUP($D57,'Kalkulator mięs '!$C$5:$H$533,II$4,0)*$AY57,0)</f>
        <v>0</v>
      </c>
      <c r="IJ57">
        <f>IFERROR(VLOOKUP($D57,'Kalkulator mięs '!$C$5:$H$533,IJ$4,0)*$AZ57,0)</f>
        <v>0</v>
      </c>
      <c r="IK57">
        <f>IFERROR(VLOOKUP($D57,'Kalkulator mięs '!$C$5:$H$533,IK$4,0)*$AZ57,0)</f>
        <v>0</v>
      </c>
      <c r="IL57">
        <f>IFERROR(VLOOKUP($D57,'Kalkulator mięs '!$C$5:$H$533,IL$4,0)*$AZ57,0)</f>
        <v>0</v>
      </c>
      <c r="IM57">
        <f>IFERROR(VLOOKUP($D57,'Kalkulator mięs '!$C$5:$H$533,IM$4,0)*$BA57,0)</f>
        <v>0</v>
      </c>
      <c r="IN57">
        <f>IFERROR(VLOOKUP($D57,'Kalkulator mięs '!$C$5:$H$533,IN$4,0)*$BA57,0)</f>
        <v>0</v>
      </c>
      <c r="IO57">
        <f>IFERROR(VLOOKUP($D57,'Kalkulator mięs '!$C$5:$H$533,IO$4,0)*$BA57,0)</f>
        <v>0</v>
      </c>
    </row>
    <row r="58" spans="1:249" ht="15.75">
      <c r="B58" t="str">
        <f>VLOOKUP(D58,Receptury_z!$A:$B,2,0)</f>
        <v>ON</v>
      </c>
      <c r="C58" s="16">
        <v>5533</v>
      </c>
      <c r="D58" s="19">
        <v>7054</v>
      </c>
      <c r="E58" s="18" t="s">
        <v>64</v>
      </c>
      <c r="F58" s="14">
        <f>IF($B58="OFF",BE58,VLOOKUP($D58,Receptury_z!$D:$AI,F$4,0))</f>
        <v>0</v>
      </c>
      <c r="G58" s="14">
        <f>IF($B58="OFF",BF58,VLOOKUP($D58,Receptury_z!$D:$AI,G$4,0))</f>
        <v>0</v>
      </c>
      <c r="H58" s="14">
        <f>IF($B58="OFF",BG58,VLOOKUP($D58,Receptury_z!$D:$AI,H$4,0))</f>
        <v>0</v>
      </c>
      <c r="I58" s="14">
        <f>IF($B58="OFF",BH58,VLOOKUP($D58,Receptury_z!$D:$AI,I$4,0))</f>
        <v>0</v>
      </c>
      <c r="J58" s="14">
        <f>IF($B58="OFF",BI58,VLOOKUP($D58,Receptury_z!$D:$AI,J$4,0))</f>
        <v>0</v>
      </c>
      <c r="K58" s="14">
        <f>IF($B58="OFF",BJ58,VLOOKUP($D58,Receptury_z!$D:$AI,K$4,0))</f>
        <v>0</v>
      </c>
      <c r="L58" s="14">
        <f>IF($B58="OFF",BK58,VLOOKUP($D58,Receptury_z!$D:$AI,L$4,0))</f>
        <v>0</v>
      </c>
      <c r="M58" s="14">
        <f>IF($B58="OFF",BL58,VLOOKUP($D58,Receptury_z!$D:$AI,M$4,0))</f>
        <v>0</v>
      </c>
      <c r="N58" s="14">
        <f>IF($B58="OFF",BM58,VLOOKUP($D58,Receptury_z!$D:$AI,N$4,0))</f>
        <v>0</v>
      </c>
      <c r="O58" s="14">
        <f>IF($B58="OFF",BN58,VLOOKUP($D58,Receptury_z!$D:$AI,O$4,0))</f>
        <v>0</v>
      </c>
      <c r="P58" s="14">
        <f>IF($B58="OFF",BO58,VLOOKUP($D58,Receptury_z!$D:$AI,P$4,0))</f>
        <v>0</v>
      </c>
      <c r="Q58" s="14">
        <f>IF($B58="OFF",BP58,VLOOKUP($D58,Receptury_z!$D:$AI,Q$4,0))</f>
        <v>0</v>
      </c>
      <c r="R58" s="14">
        <f>IF($B58="OFF",BQ58,VLOOKUP($D58,Receptury_z!$D:$AI,R$4,0))</f>
        <v>0</v>
      </c>
      <c r="S58" s="14">
        <f>IF($B58="OFF",BR58,VLOOKUP($D58,Receptury_z!$D:$AI,S$4,0))</f>
        <v>0</v>
      </c>
      <c r="T58" s="14">
        <f>IF($B58="OFF",BS58,VLOOKUP($D58,Receptury_z!$D:$AI,T$4,0))</f>
        <v>0</v>
      </c>
      <c r="U58" s="14">
        <f>IF($B58="OFF",BT58,VLOOKUP($D58,Receptury_z!$D:$AI,U$4,0))</f>
        <v>141.69999999999999</v>
      </c>
      <c r="V58" s="14">
        <f>IF($B58="OFF",BU58,VLOOKUP($D58,Receptury_z!$D:$AI,V$4,0))</f>
        <v>0</v>
      </c>
      <c r="W58" s="14">
        <f>IF($B58="OFF",BV58,VLOOKUP($D58,Receptury_z!$D:$AI,W$4,0))</f>
        <v>0</v>
      </c>
      <c r="X58" s="14">
        <f>IF($B58="OFF",BW58,VLOOKUP($D58,Receptury_z!$D:$AI,X$4,0))</f>
        <v>70.8</v>
      </c>
      <c r="Y58" s="14">
        <f>IF($B58="OFF",BX58,VLOOKUP($D58,Receptury_z!$D:$AI,Y$4,0))</f>
        <v>0</v>
      </c>
      <c r="Z58" s="14">
        <f>IF($B58="OFF",BY58,VLOOKUP($D58,Receptury_z!$D:$AI,Z$4,0))</f>
        <v>0</v>
      </c>
      <c r="AA58" s="14">
        <f>IF($B58="OFF",BZ58,VLOOKUP($D58,Receptury_z!$D:$AI,AA$4,0))</f>
        <v>0</v>
      </c>
      <c r="AB58" s="14">
        <f>IF($B58="OFF",CA58,VLOOKUP($D58,Receptury_z!$D:$AI,AB$4,0))</f>
        <v>0</v>
      </c>
      <c r="AC58" s="14">
        <f>IF($B58="OFF",CB58,VLOOKUP($D58,Receptury_z!$D:$AI,AC$4,0))</f>
        <v>0</v>
      </c>
      <c r="AD58" s="14">
        <f>IF($B58="OFF",CC58,VLOOKUP($D58,Receptury_z!$D:$AI,AD$4,0))</f>
        <v>0</v>
      </c>
      <c r="AE58" s="14">
        <f>IF($B58="OFF",CD58,VLOOKUP($D58,Receptury_z!$D:$AI,AE$4,0))</f>
        <v>0</v>
      </c>
      <c r="AF58" s="14">
        <f>IF($B58="OFF",CE58,VLOOKUP($D58,Receptury_z!$D:$AI,AF$4,0))</f>
        <v>0</v>
      </c>
      <c r="AG58" s="14">
        <f>IF($B58="OFF",CF58,VLOOKUP($D58,Receptury_z!$D:$AI,AG$4,0))</f>
        <v>0</v>
      </c>
      <c r="AH58" s="14">
        <f>IF($B58="OFF",CG58,VLOOKUP($D58,Receptury_z!$D:$AI,AH$4,0))</f>
        <v>0</v>
      </c>
      <c r="AI58" s="14">
        <f>IF($B58="OFF",CH58,VLOOKUP($D58,Receptury_z!$D:$AI,AI$4,0))</f>
        <v>0</v>
      </c>
      <c r="AJ58" s="14">
        <f>IF($B58="OFF",CI58,VLOOKUP($D58,Receptury_z!$D:$AS,AJ$4,0))</f>
        <v>495.8</v>
      </c>
      <c r="AK58" s="14">
        <f>IF($B58="OFF",CJ58,VLOOKUP($D58,Receptury_z!$D:$AS,AK$4,0))</f>
        <v>0</v>
      </c>
      <c r="AL58" s="14">
        <f>IF($B58="OFF",CK58,VLOOKUP($D58,Receptury_z!$D:$AS,AL$4,0))</f>
        <v>0</v>
      </c>
      <c r="AM58" s="14">
        <f>IF($B58="OFF",CL58,VLOOKUP($D58,Receptury_z!$D:$AS,AM$4,0))</f>
        <v>0</v>
      </c>
      <c r="AN58" s="14">
        <f>IF($B58="OFF",CM58,VLOOKUP($D58,Receptury_z!$D:$AS,AN$4,0))</f>
        <v>0</v>
      </c>
      <c r="AO58" s="14">
        <f>IF($B58="OFF",CN58,VLOOKUP($D58,Receptury_z!$D:$AS,AO$4,0))</f>
        <v>0</v>
      </c>
      <c r="AP58" s="14">
        <f>IF($B58="OFF",CO58,VLOOKUP($D58,Receptury_z!$D:$AS,AP$4,0))</f>
        <v>0</v>
      </c>
      <c r="AQ58" s="14">
        <f>IF($B58="OFF",CP58,VLOOKUP($D58,Receptury_z!$D:$AS,AQ$4,0))</f>
        <v>0</v>
      </c>
      <c r="AR58" s="14">
        <f>IF($B58="OFF",CQ58,VLOOKUP($D58,Receptury_z!$D:$AS,AR$4,0))</f>
        <v>0</v>
      </c>
      <c r="AS58" s="14">
        <f>IF($B58="OFF",CR58,VLOOKUP($D58,Receptury_z!$D:$AS,AS$4,0))</f>
        <v>0</v>
      </c>
      <c r="AT58" s="14">
        <f>IF($B58="OFF",CS58,VLOOKUP($D58,Receptury_z!$D:$AV,AT$4,0))</f>
        <v>0</v>
      </c>
      <c r="AU58" s="14">
        <f>IF($B58="OFF",CT58,VLOOKUP($D58,Receptury_z!$D:$AV,AU$4,0))</f>
        <v>0</v>
      </c>
      <c r="AV58" s="14">
        <f>IF($B58="OFF",CU58,VLOOKUP($D58,Receptury_z!$D:$AV,AV$4,0))</f>
        <v>0</v>
      </c>
      <c r="AW58" s="14">
        <f>IF($B58="OFF",CV58,VLOOKUP($D58,Receptury_z!$D:$BA,AW$4,0))</f>
        <v>0</v>
      </c>
      <c r="AX58" s="14">
        <f>IF($B58="OFF",CW58,VLOOKUP($D58,Receptury_z!$D:$BA,AX$4,0))</f>
        <v>0</v>
      </c>
      <c r="AY58" s="14">
        <f>IF($B58="OFF",CX58,VLOOKUP($D58,Receptury_z!$D:$BA,AY$4,0))</f>
        <v>0</v>
      </c>
      <c r="AZ58" s="14">
        <f>IF($B58="OFF",DA58,VLOOKUP($D58,Receptury_z!$D:$BA,AZ$4,0))</f>
        <v>0</v>
      </c>
      <c r="BA58" s="14">
        <f>IF($B58="OFF",DB58,VLOOKUP($D58,Receptury_z!$D:$BA,BA$4,0))</f>
        <v>0</v>
      </c>
      <c r="BC58" s="19">
        <v>7054</v>
      </c>
      <c r="BD58" s="18" t="s">
        <v>64</v>
      </c>
      <c r="BE58" s="239">
        <v>0</v>
      </c>
      <c r="BF58" s="239">
        <v>0</v>
      </c>
      <c r="BG58" s="239">
        <v>0</v>
      </c>
      <c r="BH58" s="239">
        <v>0</v>
      </c>
      <c r="BI58" s="239">
        <v>0</v>
      </c>
      <c r="BJ58" s="239">
        <v>0</v>
      </c>
      <c r="BK58" s="239">
        <v>0</v>
      </c>
      <c r="BL58" s="239">
        <v>0</v>
      </c>
      <c r="BM58" s="239">
        <v>0</v>
      </c>
      <c r="BN58" s="239">
        <v>0</v>
      </c>
      <c r="BO58" s="239">
        <v>0</v>
      </c>
      <c r="BP58" s="239">
        <v>0</v>
      </c>
      <c r="BQ58" s="239">
        <v>0</v>
      </c>
      <c r="BR58" s="239">
        <v>0</v>
      </c>
      <c r="BS58" s="239">
        <v>0</v>
      </c>
      <c r="BT58" s="239">
        <v>141.19999999999999</v>
      </c>
      <c r="BU58" s="239">
        <v>0</v>
      </c>
      <c r="BV58" s="239">
        <v>494.3</v>
      </c>
      <c r="BW58" s="239">
        <v>70.599999999999994</v>
      </c>
      <c r="BX58" s="239">
        <v>0</v>
      </c>
      <c r="BY58" s="239">
        <v>0</v>
      </c>
      <c r="BZ58" s="239">
        <v>0</v>
      </c>
      <c r="CA58" s="239">
        <v>0</v>
      </c>
      <c r="CB58" s="239">
        <v>0</v>
      </c>
      <c r="CC58" s="239">
        <v>0</v>
      </c>
      <c r="CD58" s="239">
        <v>0</v>
      </c>
      <c r="CE58" s="239">
        <v>0</v>
      </c>
      <c r="CF58" s="239">
        <v>0</v>
      </c>
      <c r="CG58" s="239">
        <v>0</v>
      </c>
      <c r="CH58" s="239">
        <v>0</v>
      </c>
      <c r="CI58" s="239">
        <v>0</v>
      </c>
      <c r="CJ58" s="239">
        <v>0</v>
      </c>
      <c r="CK58" s="239">
        <v>0</v>
      </c>
      <c r="CL58" s="239">
        <v>0</v>
      </c>
      <c r="CM58" s="80"/>
      <c r="CN58" s="80"/>
      <c r="CO58" s="80"/>
      <c r="CP58" s="80"/>
      <c r="CQ58" s="80"/>
      <c r="CR58" s="80"/>
      <c r="CS58" s="80"/>
      <c r="CT58" s="80"/>
      <c r="CU58" s="80"/>
      <c r="CV58" s="80"/>
      <c r="CW58" s="80"/>
      <c r="CX58" s="80"/>
      <c r="CY58" s="80"/>
      <c r="CZ58" s="80"/>
      <c r="DB58">
        <f>IFERROR(VLOOKUP($D58,'Kalkulator mięs '!$C$5:$H$533,DB$4,0)*F58,0)</f>
        <v>0</v>
      </c>
      <c r="DC58">
        <f>IFERROR(VLOOKUP($D58,'Kalkulator mięs '!$C$5:$H$533,DC$4,0)*F58,0)</f>
        <v>0</v>
      </c>
      <c r="DD58">
        <f>IFERROR(VLOOKUP($D58,'Kalkulator mięs '!$C$5:$H$533,DD$4,0)*F58,0)</f>
        <v>0</v>
      </c>
      <c r="DE58">
        <f>IFERROR(VLOOKUP($D58,'Kalkulator mięs '!$C$5:$H$533,DE$4,0)*$G58,0)</f>
        <v>0</v>
      </c>
      <c r="DF58">
        <f>IFERROR(VLOOKUP($D58,'Kalkulator mięs '!$C$5:$H$533,DF$4,0)*$G58,0)</f>
        <v>0</v>
      </c>
      <c r="DG58">
        <f>IFERROR(VLOOKUP($D58,'Kalkulator mięs '!$C$5:$H$533,DG$4,0)*$G58,0)</f>
        <v>0</v>
      </c>
      <c r="DH58">
        <f>IFERROR(VLOOKUP($D58,'Kalkulator mięs '!$C$5:$H$533,DH$4,0)*$H58,0)</f>
        <v>0</v>
      </c>
      <c r="DI58">
        <f>IFERROR(VLOOKUP($D58,'Kalkulator mięs '!$C$5:$H$533,DI$4,0)*$H58,0)</f>
        <v>0</v>
      </c>
      <c r="DJ58">
        <f>IFERROR(VLOOKUP($D58,'Kalkulator mięs '!$C$5:$H$533,DJ$4,0)*$H58,0)</f>
        <v>0</v>
      </c>
      <c r="DK58">
        <f>IFERROR(VLOOKUP($D58,'Kalkulator mięs '!$C$5:$H$533,DK$4,0)*$I58,0)</f>
        <v>0</v>
      </c>
      <c r="DL58">
        <f>IFERROR(VLOOKUP($D58,'Kalkulator mięs '!$C$5:$H$533,DL$4,0)*$I58,0)</f>
        <v>0</v>
      </c>
      <c r="DM58">
        <f>IFERROR(VLOOKUP($D58,'Kalkulator mięs '!$C$5:$H$533,DM$4,0)*$I58,0)</f>
        <v>0</v>
      </c>
      <c r="DN58">
        <f>IFERROR(VLOOKUP($D58,'Kalkulator mięs '!$C$5:$H$533,DN$4,0)*$J58,0)</f>
        <v>0</v>
      </c>
      <c r="DO58">
        <f>IFERROR(VLOOKUP($D58,'Kalkulator mięs '!$C$5:$H$533,DO$4,0)*$J58,0)</f>
        <v>0</v>
      </c>
      <c r="DP58">
        <f>IFERROR(VLOOKUP($D58,'Kalkulator mięs '!$C$5:$H$533,DP$4,0)*$J58,0)</f>
        <v>0</v>
      </c>
      <c r="DQ58">
        <f>IFERROR(VLOOKUP($D58,'Kalkulator mięs '!$C$5:$H$533,DQ$4,0)*$K58,0)</f>
        <v>0</v>
      </c>
      <c r="DR58">
        <f>IFERROR(VLOOKUP($D58,'Kalkulator mięs '!$C$5:$H$533,DR$4,0)*$K58,0)</f>
        <v>0</v>
      </c>
      <c r="DS58">
        <f>IFERROR(VLOOKUP($D58,'Kalkulator mięs '!$C$5:$H$533,DS$4,0)*$K58,0)</f>
        <v>0</v>
      </c>
      <c r="DT58">
        <f>IFERROR(VLOOKUP($D58,'Kalkulator mięs '!$C$5:$H$533,DT$4,0)*$L58,0)</f>
        <v>0</v>
      </c>
      <c r="DU58">
        <f>IFERROR(VLOOKUP($D58,'Kalkulator mięs '!$C$5:$H$533,DU$4,0)*$L58,0)</f>
        <v>0</v>
      </c>
      <c r="DV58">
        <f>IFERROR(VLOOKUP($D58,'Kalkulator mięs '!$C$5:$H$533,DV$4,0)*$L58,0)</f>
        <v>0</v>
      </c>
      <c r="DW58">
        <f>IFERROR(VLOOKUP($D58,'Kalkulator mięs '!$C$5:$H$533,DW$4,0)*$M58,0)</f>
        <v>0</v>
      </c>
      <c r="DX58">
        <f>IFERROR(VLOOKUP($D58,'Kalkulator mięs '!$C$5:$H$533,DX$4,0)*$M58,0)</f>
        <v>0</v>
      </c>
      <c r="DY58">
        <f>IFERROR(VLOOKUP($D58,'Kalkulator mięs '!$C$5:$H$533,DY$4,0)*$M58,0)</f>
        <v>0</v>
      </c>
      <c r="DZ58">
        <f>IFERROR(VLOOKUP($D58,'Kalkulator mięs '!$C$5:$H$533,DZ$4,0)*$N58,0)</f>
        <v>0</v>
      </c>
      <c r="EA58">
        <f>IFERROR(VLOOKUP($D58,'Kalkulator mięs '!$C$5:$H$533,EA$4,0)*$N58,0)</f>
        <v>0</v>
      </c>
      <c r="EB58">
        <f>IFERROR(VLOOKUP($D58,'Kalkulator mięs '!$C$5:$H$533,EB$4,0)*$N58,0)</f>
        <v>0</v>
      </c>
      <c r="EC58">
        <f>IFERROR(VLOOKUP($D58,'Kalkulator mięs '!$C$5:$H$533,EC$4,0)*$O58,0)</f>
        <v>0</v>
      </c>
      <c r="ED58">
        <f>IFERROR(VLOOKUP($D58,'Kalkulator mięs '!$C$5:$H$533,ED$4,0)*$O58,0)</f>
        <v>0</v>
      </c>
      <c r="EE58">
        <f>IFERROR(VLOOKUP($D58,'Kalkulator mięs '!$C$5:$H$533,EE$4,0)*$O58,0)</f>
        <v>0</v>
      </c>
      <c r="EF58">
        <f>IFERROR(VLOOKUP($D58,'Kalkulator mięs '!$C$5:$H$533,EF$4,0)*$P58,0)</f>
        <v>0</v>
      </c>
      <c r="EG58">
        <f>IFERROR(VLOOKUP($D58,'Kalkulator mięs '!$C$5:$H$533,EG$4,0)*$P58,0)</f>
        <v>0</v>
      </c>
      <c r="EH58">
        <f>IFERROR(VLOOKUP($D58,'Kalkulator mięs '!$C$5:$H$533,EH$4,0)*$P58,0)</f>
        <v>0</v>
      </c>
      <c r="EI58">
        <f>IFERROR(VLOOKUP($D58,'Kalkulator mięs '!$C$5:$H$533,EI$4,0)*$Q58,0)</f>
        <v>0</v>
      </c>
      <c r="EJ58">
        <f>IFERROR(VLOOKUP($D58,'Kalkulator mięs '!$C$5:$H$533,EJ$4,0)*$Q58,0)</f>
        <v>0</v>
      </c>
      <c r="EK58">
        <f>IFERROR(VLOOKUP($D58,'Kalkulator mięs '!$C$5:$H$533,EK$4,0)*$Q58,0)</f>
        <v>0</v>
      </c>
      <c r="EL58">
        <f>IFERROR(VLOOKUP($D58,'Kalkulator mięs '!$C$5:$H$533,EL$4,0)*$R58,0)</f>
        <v>0</v>
      </c>
      <c r="EM58">
        <f>IFERROR(VLOOKUP($D58,'Kalkulator mięs '!$C$5:$H$533,EM$4,0)*$R58,0)</f>
        <v>0</v>
      </c>
      <c r="EN58">
        <f>IFERROR(VLOOKUP($D58,'Kalkulator mięs '!$C$5:$H$533,EN$4,0)*$R58,0)</f>
        <v>0</v>
      </c>
      <c r="EO58">
        <f>IFERROR(VLOOKUP($D58,'Kalkulator mięs '!$C$5:$H$533,EO$4,0)*$S58,0)</f>
        <v>0</v>
      </c>
      <c r="EP58">
        <f>IFERROR(VLOOKUP($D58,'Kalkulator mięs '!$C$5:$H$533,EP$4,0)*$S58,0)</f>
        <v>0</v>
      </c>
      <c r="EQ58">
        <f>IFERROR(VLOOKUP($D58,'Kalkulator mięs '!$C$5:$H$533,EQ$4,0)*$S58,0)</f>
        <v>0</v>
      </c>
      <c r="ER58">
        <f>IFERROR(VLOOKUP($D58,'Kalkulator mięs '!$C$5:$H$533,ER$4,0)*$T58,0)</f>
        <v>0</v>
      </c>
      <c r="ES58">
        <f>IFERROR(VLOOKUP($D58,'Kalkulator mięs '!$C$5:$H$533,ES$4,0)*$T58,0)</f>
        <v>0</v>
      </c>
      <c r="ET58">
        <f>IFERROR(VLOOKUP($D58,'Kalkulator mięs '!$C$5:$H$533,ET$4,0)*$T58,0)</f>
        <v>0</v>
      </c>
      <c r="EU58">
        <f>IFERROR(VLOOKUP($D58,'Kalkulator mięs '!$C$5:$H$533,EU$4,0)*$U58,0)</f>
        <v>0</v>
      </c>
      <c r="EV58">
        <f>IFERROR(VLOOKUP($D58,'Kalkulator mięs '!$C$5:$H$533,EV$4,0)*$U58,0)</f>
        <v>0</v>
      </c>
      <c r="EW58">
        <f>IFERROR(VLOOKUP($D58,'Kalkulator mięs '!$C$5:$H$533,EW$4,0)*$U58,0)</f>
        <v>0</v>
      </c>
      <c r="EX58">
        <f>IFERROR(VLOOKUP($D58,'Kalkulator mięs '!$C$5:$H$533,EX$4,0)*$V58,0)</f>
        <v>0</v>
      </c>
      <c r="EY58">
        <f>IFERROR(VLOOKUP($D58,'Kalkulator mięs '!$C$5:$H$533,EY$4,0)*$V58,0)</f>
        <v>0</v>
      </c>
      <c r="EZ58">
        <f>IFERROR(VLOOKUP($D58,'Kalkulator mięs '!$C$5:$H$533,EZ$4,0)*$V58,0)</f>
        <v>0</v>
      </c>
      <c r="FA58">
        <f>IFERROR(VLOOKUP($D58,'Kalkulator mięs '!$C$5:$H$533,FA$4,0)*$W58,0)</f>
        <v>0</v>
      </c>
      <c r="FB58">
        <f>IFERROR(VLOOKUP($D58,'Kalkulator mięs '!$C$5:$H$533,FB$4,0)*$W58,0)</f>
        <v>0</v>
      </c>
      <c r="FC58">
        <f>IFERROR(VLOOKUP($D58,'Kalkulator mięs '!$C$5:$H$533,FC$4,0)*$W58,0)</f>
        <v>0</v>
      </c>
      <c r="FD58">
        <f>IFERROR(VLOOKUP($D58,'Kalkulator mięs '!$C$5:$H$533,FD$4,0)*$X58,0)</f>
        <v>0</v>
      </c>
      <c r="FE58">
        <f>IFERROR(VLOOKUP($D58,'Kalkulator mięs '!$C$5:$H$533,FE$4,0)*$X58,0)</f>
        <v>0</v>
      </c>
      <c r="FF58">
        <f>IFERROR(VLOOKUP($D58,'Kalkulator mięs '!$C$5:$H$533,FF$4,0)*$X58,0)</f>
        <v>0</v>
      </c>
      <c r="FG58">
        <f>IFERROR(VLOOKUP($D58,'Kalkulator mięs '!$C$5:$H$533,FG$4,0)*$Y58,0)</f>
        <v>0</v>
      </c>
      <c r="FH58">
        <f>IFERROR(VLOOKUP($D58,'Kalkulator mięs '!$C$5:$H$533,FH$4,0)*$Y58,0)</f>
        <v>0</v>
      </c>
      <c r="FI58">
        <f>IFERROR(VLOOKUP($D58,'Kalkulator mięs '!$C$5:$H$533,FI$4,0)*$Y58,0)</f>
        <v>0</v>
      </c>
      <c r="FJ58">
        <f>IFERROR(VLOOKUP($D58,'Kalkulator mięs '!$C$5:$H$533,FJ$4,0)*$Z58,0)</f>
        <v>0</v>
      </c>
      <c r="FK58">
        <f>IFERROR(VLOOKUP($D58,'Kalkulator mięs '!$C$5:$H$533,FK$4,0)*$Z58,0)</f>
        <v>0</v>
      </c>
      <c r="FL58">
        <f>IFERROR(VLOOKUP($D58,'Kalkulator mięs '!$C$5:$H$533,FL$4,0)*$Z58,0)</f>
        <v>0</v>
      </c>
      <c r="FM58">
        <f>IFERROR(VLOOKUP($D58,'Kalkulator mięs '!$C$5:$H$533,FM$4,0)*$AA58,0)</f>
        <v>0</v>
      </c>
      <c r="FN58">
        <f>IFERROR(VLOOKUP($D58,'Kalkulator mięs '!$C$5:$H$533,FN$4,0)*$AA58,0)</f>
        <v>0</v>
      </c>
      <c r="FO58">
        <f>IFERROR(VLOOKUP($D58,'Kalkulator mięs '!$C$5:$H$533,FO$4,0)*$AA58,0)</f>
        <v>0</v>
      </c>
      <c r="FP58">
        <f>IFERROR(VLOOKUP($D58,'Kalkulator mięs '!$C$5:$H$533,FP$4,0)*$AB58,0)</f>
        <v>0</v>
      </c>
      <c r="FQ58">
        <f>IFERROR(VLOOKUP($D58,'Kalkulator mięs '!$C$5:$H$533,FQ$4,0)*$AB58,0)</f>
        <v>0</v>
      </c>
      <c r="FR58">
        <f>IFERROR(VLOOKUP($D58,'Kalkulator mięs '!$C$5:$H$533,FR$4,0)*$AB58,0)</f>
        <v>0</v>
      </c>
      <c r="FS58">
        <f>IFERROR(VLOOKUP($D58,'Kalkulator mięs '!$C$5:$H$533,FS$4,0)*$AC58,0)</f>
        <v>0</v>
      </c>
      <c r="FT58">
        <f>IFERROR(VLOOKUP($D58,'Kalkulator mięs '!$C$5:$H$533,FT$4,0)*$AC58,0)</f>
        <v>0</v>
      </c>
      <c r="FU58">
        <f>IFERROR(VLOOKUP($D58,'Kalkulator mięs '!$C$5:$H$533,FU$4,0)*$AC58,0)</f>
        <v>0</v>
      </c>
      <c r="FV58">
        <f>IFERROR(VLOOKUP($D58,'Kalkulator mięs '!$C$5:$H$533,FV$4,0)*$AD58,0)</f>
        <v>0</v>
      </c>
      <c r="FW58">
        <f>IFERROR(VLOOKUP($D58,'Kalkulator mięs '!$C$5:$H$533,FW$4,0)*$AD58,0)</f>
        <v>0</v>
      </c>
      <c r="FX58">
        <f>IFERROR(VLOOKUP($D58,'Kalkulator mięs '!$C$5:$H$533,FX$4,0)*$AD58,0)</f>
        <v>0</v>
      </c>
      <c r="FY58">
        <f>IFERROR(VLOOKUP($D58,'Kalkulator mięs '!$C$5:$H$533,FY$4,0)*$AE58,0)</f>
        <v>0</v>
      </c>
      <c r="FZ58">
        <f>IFERROR(VLOOKUP($D58,'Kalkulator mięs '!$C$5:$H$533,FZ$4,0)*$AE58,0)</f>
        <v>0</v>
      </c>
      <c r="GA58">
        <f>IFERROR(VLOOKUP($D58,'Kalkulator mięs '!$C$5:$H$533,GA$4,0)*$AE58,0)</f>
        <v>0</v>
      </c>
      <c r="GB58">
        <f>IFERROR(VLOOKUP($D58,'Kalkulator mięs '!$C$5:$H$533,GB$4,0)*$AF58,0)</f>
        <v>0</v>
      </c>
      <c r="GC58">
        <f>IFERROR(VLOOKUP($D58,'Kalkulator mięs '!$C$5:$H$533,GC$4,0)*$AF58,0)</f>
        <v>0</v>
      </c>
      <c r="GD58">
        <f>IFERROR(VLOOKUP($D58,'Kalkulator mięs '!$C$5:$H$533,GD$4,0)*$AF58,0)</f>
        <v>0</v>
      </c>
      <c r="GE58">
        <f>IFERROR(VLOOKUP($D58,'Kalkulator mięs '!$C$5:$H$533,GE$4,0)*$AG58,0)</f>
        <v>0</v>
      </c>
      <c r="GF58">
        <f>IFERROR(VLOOKUP($D58,'Kalkulator mięs '!$C$5:$H$533,GF$4,0)*$AG58,0)</f>
        <v>0</v>
      </c>
      <c r="GG58">
        <f>IFERROR(VLOOKUP($D58,'Kalkulator mięs '!$C$5:$H$533,GG$4,0)*$AG58,0)</f>
        <v>0</v>
      </c>
      <c r="GH58">
        <f>IFERROR(VLOOKUP($D58,'Kalkulator mięs '!$C$5:$H$533,GH$4,0)*$AH58,0)</f>
        <v>0</v>
      </c>
      <c r="GI58">
        <f>IFERROR(VLOOKUP($D58,'Kalkulator mięs '!$C$5:$H$533,GI$4,0)*$AH58,0)</f>
        <v>0</v>
      </c>
      <c r="GJ58">
        <f>IFERROR(VLOOKUP($D58,'Kalkulator mięs '!$C$5:$H$533,GJ$4,0)*$AH58,0)</f>
        <v>0</v>
      </c>
      <c r="GK58">
        <f>IFERROR(VLOOKUP($D58,'Kalkulator mięs '!$C$5:$H$533,GK$4,0)*$AI58,0)</f>
        <v>0</v>
      </c>
      <c r="GL58">
        <f>IFERROR(VLOOKUP($D58,'Kalkulator mięs '!$C$5:$H$533,GL$4,0)*$AI58,0)</f>
        <v>0</v>
      </c>
      <c r="GM58">
        <f>IFERROR(VLOOKUP($D58,'Kalkulator mięs '!$C$5:$H$533,GM$4,0)*$AI58,0)</f>
        <v>0</v>
      </c>
      <c r="GN58">
        <f>IFERROR(VLOOKUP($D58,'Kalkulator mięs '!$C$5:$H$533,GN$4,0)*$AJ58,0)</f>
        <v>0</v>
      </c>
      <c r="GO58">
        <f>IFERROR(VLOOKUP($D58,'Kalkulator mięs '!$C$5:$H$533,GO$4,0)*$AJ58,0)</f>
        <v>0</v>
      </c>
      <c r="GP58">
        <f>IFERROR(VLOOKUP($D58,'Kalkulator mięs '!$C$5:$H$533,GP$4,0)*$AJ58,0)</f>
        <v>0</v>
      </c>
      <c r="GQ58">
        <f>IFERROR(VLOOKUP($D58,'Kalkulator mięs '!$C$5:$H$533,GQ$4,0)*$AK58,0)</f>
        <v>0</v>
      </c>
      <c r="GR58">
        <f>IFERROR(VLOOKUP($D58,'Kalkulator mięs '!$C$5:$H$533,GR$4,0)*$AK58,0)</f>
        <v>0</v>
      </c>
      <c r="GS58">
        <f>IFERROR(VLOOKUP($D58,'Kalkulator mięs '!$C$5:$H$533,GS$4,0)*$AK58,0)</f>
        <v>0</v>
      </c>
      <c r="GT58">
        <f>IFERROR(VLOOKUP($D58,'Kalkulator mięs '!$C$5:$H$533,GT$4,0)*$AL58,0)</f>
        <v>0</v>
      </c>
      <c r="GU58">
        <f>IFERROR(VLOOKUP($D58,'Kalkulator mięs '!$C$5:$H$533,GU$4,0)*$AL58,0)</f>
        <v>0</v>
      </c>
      <c r="GV58">
        <f>IFERROR(VLOOKUP($D58,'Kalkulator mięs '!$C$5:$H$533,GV$4,0)*$AL58,0)</f>
        <v>0</v>
      </c>
      <c r="GW58">
        <f>IFERROR(VLOOKUP($D58,'Kalkulator mięs '!$C$5:$H$533,GW$4,0)*$AM58,0)</f>
        <v>0</v>
      </c>
      <c r="GX58">
        <f>IFERROR(VLOOKUP($D58,'Kalkulator mięs '!$C$5:$H$533,GX$4,0)*$AM58,0)</f>
        <v>0</v>
      </c>
      <c r="GY58">
        <f>IFERROR(VLOOKUP($D58,'Kalkulator mięs '!$C$5:$H$533,GY$4,0)*$AM58,0)</f>
        <v>0</v>
      </c>
      <c r="GZ58">
        <f>IFERROR(VLOOKUP($D58,'Kalkulator mięs '!$C$5:$H$533,GZ$4,0)*$AN58,0)</f>
        <v>0</v>
      </c>
      <c r="HA58">
        <f>IFERROR(VLOOKUP($D58,'Kalkulator mięs '!$C$5:$H$533,HA$4,0)*$AN58,0)</f>
        <v>0</v>
      </c>
      <c r="HB58">
        <f>IFERROR(VLOOKUP($D58,'Kalkulator mięs '!$C$5:$H$533,HB$4,0)*$AN58,0)</f>
        <v>0</v>
      </c>
      <c r="HC58">
        <f>IFERROR(VLOOKUP($D58,'Kalkulator mięs '!$C$5:$H$533,HC$4,0)*$AO58,0)</f>
        <v>0</v>
      </c>
      <c r="HD58">
        <f>IFERROR(VLOOKUP($D58,'Kalkulator mięs '!$C$5:$H$533,HD$4,0)*$AO58,0)</f>
        <v>0</v>
      </c>
      <c r="HE58">
        <f>IFERROR(VLOOKUP($D58,'Kalkulator mięs '!$C$5:$H$533,HE$4,0)*$AO58,0)</f>
        <v>0</v>
      </c>
      <c r="HF58">
        <f>IFERROR(VLOOKUP($D58,'Kalkulator mięs '!$C$5:$H$533,HF$4,0)*$AP58,0)</f>
        <v>0</v>
      </c>
      <c r="HG58">
        <f>IFERROR(VLOOKUP($D58,'Kalkulator mięs '!$C$5:$H$533,HG$4,0)*$AP58,0)</f>
        <v>0</v>
      </c>
      <c r="HH58">
        <f>IFERROR(VLOOKUP($D58,'Kalkulator mięs '!$C$5:$H$533,HH$4,0)*$AP58,0)</f>
        <v>0</v>
      </c>
      <c r="HI58">
        <f>IFERROR(VLOOKUP($D58,'Kalkulator mięs '!$C$5:$H$533,HI$4,0)*$AQ58,0)</f>
        <v>0</v>
      </c>
      <c r="HJ58">
        <f>IFERROR(VLOOKUP($D58,'Kalkulator mięs '!$C$5:$H$533,HJ$4,0)*$AQ58,0)</f>
        <v>0</v>
      </c>
      <c r="HK58">
        <f>IFERROR(VLOOKUP($D58,'Kalkulator mięs '!$C$5:$H$533,HK$4,0)*$AQ58,0)</f>
        <v>0</v>
      </c>
      <c r="HL58">
        <f>IFERROR(VLOOKUP($D58,'Kalkulator mięs '!$C$5:$H$533,HL$4,0)*$AR58,0)</f>
        <v>0</v>
      </c>
      <c r="HM58">
        <f>IFERROR(VLOOKUP($D58,'Kalkulator mięs '!$C$5:$H$533,HM$4,0)*$AR58,0)</f>
        <v>0</v>
      </c>
      <c r="HN58">
        <f>IFERROR(VLOOKUP($D58,'Kalkulator mięs '!$C$5:$H$533,HN$4,0)*$AR58,0)</f>
        <v>0</v>
      </c>
      <c r="HO58">
        <f>IFERROR(VLOOKUP($D58,'Kalkulator mięs '!$C$5:$H$533,HO$4,0)*$AS58,0)</f>
        <v>0</v>
      </c>
      <c r="HP58">
        <f>IFERROR(VLOOKUP($D58,'Kalkulator mięs '!$C$5:$H$533,HP$4,0)*$AS58,0)</f>
        <v>0</v>
      </c>
      <c r="HQ58">
        <f>IFERROR(VLOOKUP($D58,'Kalkulator mięs '!$C$5:$H$533,HQ$4,0)*$AS58,0)</f>
        <v>0</v>
      </c>
      <c r="HR58">
        <f>IFERROR(VLOOKUP($D58,'Kalkulator mięs '!$C$5:$H$533,HR$4,0)*$AT58,0)</f>
        <v>0</v>
      </c>
      <c r="HS58">
        <f>IFERROR(VLOOKUP($D58,'Kalkulator mięs '!$C$5:$H$533,HS$4,0)*$AT58,0)</f>
        <v>0</v>
      </c>
      <c r="HT58">
        <f>IFERROR(VLOOKUP($D58,'Kalkulator mięs '!$C$5:$H$533,HT$4,0)*$AT58,0)</f>
        <v>0</v>
      </c>
      <c r="HU58">
        <f>IFERROR(VLOOKUP($D58,'Kalkulator mięs '!$C$5:$H$533,HU$4,0)*$AU58,0)</f>
        <v>0</v>
      </c>
      <c r="HV58">
        <f>IFERROR(VLOOKUP($D58,'Kalkulator mięs '!$C$5:$H$533,HV$4,0)*$AU58,0)</f>
        <v>0</v>
      </c>
      <c r="HW58">
        <f>IFERROR(VLOOKUP($D58,'Kalkulator mięs '!$C$5:$H$533,HW$4,0)*$AU58,0)</f>
        <v>0</v>
      </c>
      <c r="HX58">
        <f>IFERROR(VLOOKUP($D58,'Kalkulator mięs '!$C$5:$H$533,HX$4,0)*$AV58,0)</f>
        <v>0</v>
      </c>
      <c r="HY58">
        <f>IFERROR(VLOOKUP($D58,'Kalkulator mięs '!$C$5:$H$533,HY$4,0)*$AV58,0)</f>
        <v>0</v>
      </c>
      <c r="HZ58">
        <f>IFERROR(VLOOKUP($D58,'Kalkulator mięs '!$C$5:$H$533,HZ$4,0)*$AV58,0)</f>
        <v>0</v>
      </c>
      <c r="IA58">
        <f>IFERROR(VLOOKUP($D58,'Kalkulator mięs '!$C$5:$H$533,IA$4,0)*$AW58,0)</f>
        <v>0</v>
      </c>
      <c r="IB58">
        <f>IFERROR(VLOOKUP($D58,'Kalkulator mięs '!$C$5:$H$533,IB$4,0)*$AW58,0)</f>
        <v>0</v>
      </c>
      <c r="IC58">
        <f>IFERROR(VLOOKUP($D58,'Kalkulator mięs '!$C$5:$H$533,IC$4,0)*$AW58,0)</f>
        <v>0</v>
      </c>
      <c r="ID58">
        <f>IFERROR(VLOOKUP($D58,'Kalkulator mięs '!$C$5:$H$533,ID$4,0)*$AX58,0)</f>
        <v>0</v>
      </c>
      <c r="IE58">
        <f>IFERROR(VLOOKUP($D58,'Kalkulator mięs '!$C$5:$H$533,IE$4,0)*$AX58,0)</f>
        <v>0</v>
      </c>
      <c r="IF58">
        <f>IFERROR(VLOOKUP($D58,'Kalkulator mięs '!$C$5:$H$533,IF$4,0)*$AX58,0)</f>
        <v>0</v>
      </c>
      <c r="IG58">
        <f>IFERROR(VLOOKUP($D58,'Kalkulator mięs '!$C$5:$H$533,IG$4,0)*$AY58,0)</f>
        <v>0</v>
      </c>
      <c r="IH58">
        <f>IFERROR(VLOOKUP($D58,'Kalkulator mięs '!$C$5:$H$533,IH$4,0)*$AY58,0)</f>
        <v>0</v>
      </c>
      <c r="II58">
        <f>IFERROR(VLOOKUP($D58,'Kalkulator mięs '!$C$5:$H$533,II$4,0)*$AY58,0)</f>
        <v>0</v>
      </c>
      <c r="IJ58">
        <f>IFERROR(VLOOKUP($D58,'Kalkulator mięs '!$C$5:$H$533,IJ$4,0)*$AZ58,0)</f>
        <v>0</v>
      </c>
      <c r="IK58">
        <f>IFERROR(VLOOKUP($D58,'Kalkulator mięs '!$C$5:$H$533,IK$4,0)*$AZ58,0)</f>
        <v>0</v>
      </c>
      <c r="IL58">
        <f>IFERROR(VLOOKUP($D58,'Kalkulator mięs '!$C$5:$H$533,IL$4,0)*$AZ58,0)</f>
        <v>0</v>
      </c>
      <c r="IM58">
        <f>IFERROR(VLOOKUP($D58,'Kalkulator mięs '!$C$5:$H$533,IM$4,0)*$BA58,0)</f>
        <v>0</v>
      </c>
      <c r="IN58">
        <f>IFERROR(VLOOKUP($D58,'Kalkulator mięs '!$C$5:$H$533,IN$4,0)*$BA58,0)</f>
        <v>0</v>
      </c>
      <c r="IO58">
        <f>IFERROR(VLOOKUP($D58,'Kalkulator mięs '!$C$5:$H$533,IO$4,0)*$BA58,0)</f>
        <v>0</v>
      </c>
    </row>
    <row r="59" spans="1:249" ht="15.75">
      <c r="B59" t="str">
        <f>VLOOKUP(D59,Receptury_z!$A:$B,2,0)</f>
        <v>ON</v>
      </c>
      <c r="C59" s="21">
        <v>5465</v>
      </c>
      <c r="D59" s="22">
        <v>7008</v>
      </c>
      <c r="E59" s="3" t="s">
        <v>51</v>
      </c>
      <c r="F59" s="14">
        <f>IF($B59="OFF",BE59,VLOOKUP($D59,Receptury_z!$D:$AI,F$4,0))</f>
        <v>0</v>
      </c>
      <c r="G59" s="14">
        <f>IF($B59="OFF",BF59,VLOOKUP($D59,Receptury_z!$D:$AI,G$4,0))</f>
        <v>0</v>
      </c>
      <c r="H59" s="14">
        <f>IF($B59="OFF",BG59,VLOOKUP($D59,Receptury_z!$D:$AI,H$4,0))</f>
        <v>0</v>
      </c>
      <c r="I59" s="14">
        <f>IF($B59="OFF",BH59,VLOOKUP($D59,Receptury_z!$D:$AI,I$4,0))</f>
        <v>0</v>
      </c>
      <c r="J59" s="14">
        <f>IF($B59="OFF",BI59,VLOOKUP($D59,Receptury_z!$D:$AI,J$4,0))</f>
        <v>0</v>
      </c>
      <c r="K59" s="14">
        <f>IF($B59="OFF",BJ59,VLOOKUP($D59,Receptury_z!$D:$AI,K$4,0))</f>
        <v>0</v>
      </c>
      <c r="L59" s="14">
        <f>IF($B59="OFF",BK59,VLOOKUP($D59,Receptury_z!$D:$AI,L$4,0))</f>
        <v>0</v>
      </c>
      <c r="M59" s="14">
        <f>IF($B59="OFF",BL59,VLOOKUP($D59,Receptury_z!$D:$AI,M$4,0))</f>
        <v>0</v>
      </c>
      <c r="N59" s="14">
        <f>IF($B59="OFF",BM59,VLOOKUP($D59,Receptury_z!$D:$AI,N$4,0))</f>
        <v>0</v>
      </c>
      <c r="O59" s="14">
        <f>IF($B59="OFF",BN59,VLOOKUP($D59,Receptury_z!$D:$AI,O$4,0))</f>
        <v>0</v>
      </c>
      <c r="P59" s="14">
        <f>IF($B59="OFF",BO59,VLOOKUP($D59,Receptury_z!$D:$AI,P$4,0))</f>
        <v>0</v>
      </c>
      <c r="Q59" s="14">
        <f>IF($B59="OFF",BP59,VLOOKUP($D59,Receptury_z!$D:$AI,Q$4,0))</f>
        <v>47.9</v>
      </c>
      <c r="R59" s="14">
        <f>IF($B59="OFF",BQ59,VLOOKUP($D59,Receptury_z!$D:$AI,R$4,0))</f>
        <v>0</v>
      </c>
      <c r="S59" s="14">
        <f>IF($B59="OFF",BR59,VLOOKUP($D59,Receptury_z!$D:$AI,S$4,0))</f>
        <v>0</v>
      </c>
      <c r="T59" s="14">
        <f>IF($B59="OFF",BS59,VLOOKUP($D59,Receptury_z!$D:$AI,T$4,0))</f>
        <v>210.6</v>
      </c>
      <c r="U59" s="14">
        <f>IF($B59="OFF",BT59,VLOOKUP($D59,Receptury_z!$D:$AI,U$4,0))</f>
        <v>28.7</v>
      </c>
      <c r="V59" s="14">
        <f>IF($B59="OFF",BU59,VLOOKUP($D59,Receptury_z!$D:$AI,V$4,0))</f>
        <v>0</v>
      </c>
      <c r="W59" s="14">
        <f>IF($B59="OFF",BV59,VLOOKUP($D59,Receptury_z!$D:$AI,W$4,0))</f>
        <v>0</v>
      </c>
      <c r="X59" s="14">
        <f>IF($B59="OFF",BW59,VLOOKUP($D59,Receptury_z!$D:$AI,X$4,0))</f>
        <v>0</v>
      </c>
      <c r="Y59" s="14">
        <f>IF($B59="OFF",BX59,VLOOKUP($D59,Receptury_z!$D:$AI,Y$4,0))</f>
        <v>0</v>
      </c>
      <c r="Z59" s="14">
        <f>IF($B59="OFF",BY59,VLOOKUP($D59,Receptury_z!$D:$AI,Z$4,0))</f>
        <v>670.1</v>
      </c>
      <c r="AA59" s="14">
        <f>IF($B59="OFF",BZ59,VLOOKUP($D59,Receptury_z!$D:$AI,AA$4,0))</f>
        <v>0</v>
      </c>
      <c r="AB59" s="14">
        <f>IF($B59="OFF",CA59,VLOOKUP($D59,Receptury_z!$D:$AI,AB$4,0))</f>
        <v>0</v>
      </c>
      <c r="AC59" s="14">
        <f>IF($B59="OFF",CB59,VLOOKUP($D59,Receptury_z!$D:$AI,AC$4,0))</f>
        <v>0</v>
      </c>
      <c r="AD59" s="14">
        <f>IF($B59="OFF",CC59,VLOOKUP($D59,Receptury_z!$D:$AI,AD$4,0))</f>
        <v>0</v>
      </c>
      <c r="AE59" s="14">
        <f>IF($B59="OFF",CD59,VLOOKUP($D59,Receptury_z!$D:$AI,AE$4,0))</f>
        <v>0</v>
      </c>
      <c r="AF59" s="14">
        <f>IF($B59="OFF",CE59,VLOOKUP($D59,Receptury_z!$D:$AI,AF$4,0))</f>
        <v>0</v>
      </c>
      <c r="AG59" s="14">
        <f>IF($B59="OFF",CF59,VLOOKUP($D59,Receptury_z!$D:$AI,AG$4,0))</f>
        <v>0</v>
      </c>
      <c r="AH59" s="14">
        <f>IF($B59="OFF",CG59,VLOOKUP($D59,Receptury_z!$D:$AI,AH$4,0))</f>
        <v>0</v>
      </c>
      <c r="AI59" s="14">
        <f>IF($B59="OFF",CH59,VLOOKUP($D59,Receptury_z!$D:$AI,AI$4,0))</f>
        <v>0</v>
      </c>
      <c r="AJ59" s="14">
        <f>IF($B59="OFF",CI59,VLOOKUP($D59,Receptury_z!$D:$AS,AJ$4,0))</f>
        <v>0</v>
      </c>
      <c r="AK59" s="14">
        <f>IF($B59="OFF",CJ59,VLOOKUP($D59,Receptury_z!$D:$AS,AK$4,0))</f>
        <v>0</v>
      </c>
      <c r="AL59" s="14">
        <f>IF($B59="OFF",CK59,VLOOKUP($D59,Receptury_z!$D:$AS,AL$4,0))</f>
        <v>0</v>
      </c>
      <c r="AM59" s="14">
        <f>IF($B59="OFF",CL59,VLOOKUP($D59,Receptury_z!$D:$AS,AM$4,0))</f>
        <v>0</v>
      </c>
      <c r="AN59" s="14">
        <f>IF($B59="OFF",CM59,VLOOKUP($D59,Receptury_z!$D:$AS,AN$4,0))</f>
        <v>0</v>
      </c>
      <c r="AO59" s="14">
        <f>IF($B59="OFF",CN59,VLOOKUP($D59,Receptury_z!$D:$AS,AO$4,0))</f>
        <v>0</v>
      </c>
      <c r="AP59" s="14">
        <f>IF($B59="OFF",CO59,VLOOKUP($D59,Receptury_z!$D:$AS,AP$4,0))</f>
        <v>0</v>
      </c>
      <c r="AQ59" s="14">
        <f>IF($B59="OFF",CP59,VLOOKUP($D59,Receptury_z!$D:$AS,AQ$4,0))</f>
        <v>0</v>
      </c>
      <c r="AR59" s="14">
        <f>IF($B59="OFF",CQ59,VLOOKUP($D59,Receptury_z!$D:$AS,AR$4,0))</f>
        <v>0</v>
      </c>
      <c r="AS59" s="14">
        <f>IF($B59="OFF",CR59,VLOOKUP($D59,Receptury_z!$D:$AS,AS$4,0))</f>
        <v>0</v>
      </c>
      <c r="AT59" s="14">
        <f>IF($B59="OFF",CS59,VLOOKUP($D59,Receptury_z!$D:$AV,AT$4,0))</f>
        <v>0</v>
      </c>
      <c r="AU59" s="14">
        <f>IF($B59="OFF",CT59,VLOOKUP($D59,Receptury_z!$D:$AV,AU$4,0))</f>
        <v>0</v>
      </c>
      <c r="AV59" s="14">
        <f>IF($B59="OFF",CU59,VLOOKUP($D59,Receptury_z!$D:$AV,AV$4,0))</f>
        <v>0</v>
      </c>
      <c r="AW59" s="14">
        <f>IF($B59="OFF",CV59,VLOOKUP($D59,Receptury_z!$D:$BA,AW$4,0))</f>
        <v>0</v>
      </c>
      <c r="AX59" s="14">
        <f>IF($B59="OFF",CW59,VLOOKUP($D59,Receptury_z!$D:$BA,AX$4,0))</f>
        <v>0</v>
      </c>
      <c r="AY59" s="14">
        <f>IF($B59="OFF",CX59,VLOOKUP($D59,Receptury_z!$D:$BA,AY$4,0))</f>
        <v>0</v>
      </c>
      <c r="AZ59" s="14">
        <f>IF($B59="OFF",DA59,VLOOKUP($D59,Receptury_z!$D:$BA,AZ$4,0))</f>
        <v>0</v>
      </c>
      <c r="BA59" s="14">
        <f>IF($B59="OFF",DB59,VLOOKUP($D59,Receptury_z!$D:$BA,BA$4,0))</f>
        <v>0</v>
      </c>
      <c r="BC59" s="22">
        <v>7008</v>
      </c>
      <c r="BD59" s="3" t="s">
        <v>51</v>
      </c>
      <c r="BE59" s="239">
        <v>0</v>
      </c>
      <c r="BF59" s="239">
        <v>0</v>
      </c>
      <c r="BG59" s="239">
        <v>0</v>
      </c>
      <c r="BH59" s="239">
        <v>0</v>
      </c>
      <c r="BI59" s="239">
        <v>0</v>
      </c>
      <c r="BJ59" s="239">
        <v>0</v>
      </c>
      <c r="BK59" s="239">
        <v>0</v>
      </c>
      <c r="BL59" s="239">
        <v>0</v>
      </c>
      <c r="BM59" s="239">
        <v>0</v>
      </c>
      <c r="BN59" s="239">
        <v>0</v>
      </c>
      <c r="BO59" s="239">
        <v>0</v>
      </c>
      <c r="BP59" s="239">
        <v>47.9</v>
      </c>
      <c r="BQ59" s="239">
        <v>0</v>
      </c>
      <c r="BR59" s="239">
        <v>0</v>
      </c>
      <c r="BS59" s="239">
        <v>210.74</v>
      </c>
      <c r="BT59" s="239">
        <v>28.7</v>
      </c>
      <c r="BU59" s="239">
        <v>0</v>
      </c>
      <c r="BV59" s="239">
        <v>0</v>
      </c>
      <c r="BW59" s="239">
        <v>0</v>
      </c>
      <c r="BX59" s="239">
        <v>0</v>
      </c>
      <c r="BY59" s="239">
        <v>670.54</v>
      </c>
      <c r="BZ59" s="239">
        <v>0</v>
      </c>
      <c r="CA59" s="239">
        <v>0</v>
      </c>
      <c r="CB59" s="239">
        <v>0</v>
      </c>
      <c r="CC59" s="239">
        <v>0</v>
      </c>
      <c r="CD59" s="239">
        <v>0</v>
      </c>
      <c r="CE59" s="239">
        <v>0</v>
      </c>
      <c r="CF59" s="239">
        <v>0</v>
      </c>
      <c r="CG59" s="239">
        <v>0</v>
      </c>
      <c r="CH59" s="239">
        <v>0</v>
      </c>
      <c r="CI59" s="239">
        <v>0</v>
      </c>
      <c r="CJ59" s="239">
        <v>0</v>
      </c>
      <c r="CK59" s="239">
        <v>0</v>
      </c>
      <c r="CL59" s="239">
        <v>0</v>
      </c>
      <c r="CM59" s="80"/>
      <c r="CN59" s="80"/>
      <c r="CO59" s="80"/>
      <c r="CP59" s="80"/>
      <c r="CQ59" s="80"/>
      <c r="CR59" s="80"/>
      <c r="CS59" s="80"/>
      <c r="CT59" s="80"/>
      <c r="CU59" s="80"/>
      <c r="CV59" s="80"/>
      <c r="CW59" s="80"/>
      <c r="CX59" s="80"/>
      <c r="CY59" s="80"/>
      <c r="CZ59" s="80"/>
      <c r="DB59">
        <f>IFERROR(VLOOKUP($D59,'Kalkulator mięs '!$C$5:$H$533,DB$4,0)*F59,0)</f>
        <v>0</v>
      </c>
      <c r="DC59">
        <f>IFERROR(VLOOKUP($D59,'Kalkulator mięs '!$C$5:$H$533,DC$4,0)*F59,0)</f>
        <v>0</v>
      </c>
      <c r="DD59">
        <f>IFERROR(VLOOKUP($D59,'Kalkulator mięs '!$C$5:$H$533,DD$4,0)*F59,0)</f>
        <v>0</v>
      </c>
      <c r="DE59">
        <f>IFERROR(VLOOKUP($D59,'Kalkulator mięs '!$C$5:$H$533,DE$4,0)*$G59,0)</f>
        <v>0</v>
      </c>
      <c r="DF59">
        <f>IFERROR(VLOOKUP($D59,'Kalkulator mięs '!$C$5:$H$533,DF$4,0)*$G59,0)</f>
        <v>0</v>
      </c>
      <c r="DG59">
        <f>IFERROR(VLOOKUP($D59,'Kalkulator mięs '!$C$5:$H$533,DG$4,0)*$G59,0)</f>
        <v>0</v>
      </c>
      <c r="DH59">
        <f>IFERROR(VLOOKUP($D59,'Kalkulator mięs '!$C$5:$H$533,DH$4,0)*$H59,0)</f>
        <v>0</v>
      </c>
      <c r="DI59">
        <f>IFERROR(VLOOKUP($D59,'Kalkulator mięs '!$C$5:$H$533,DI$4,0)*$H59,0)</f>
        <v>0</v>
      </c>
      <c r="DJ59">
        <f>IFERROR(VLOOKUP($D59,'Kalkulator mięs '!$C$5:$H$533,DJ$4,0)*$H59,0)</f>
        <v>0</v>
      </c>
      <c r="DK59">
        <f>IFERROR(VLOOKUP($D59,'Kalkulator mięs '!$C$5:$H$533,DK$4,0)*$I59,0)</f>
        <v>0</v>
      </c>
      <c r="DL59">
        <f>IFERROR(VLOOKUP($D59,'Kalkulator mięs '!$C$5:$H$533,DL$4,0)*$I59,0)</f>
        <v>0</v>
      </c>
      <c r="DM59">
        <f>IFERROR(VLOOKUP($D59,'Kalkulator mięs '!$C$5:$H$533,DM$4,0)*$I59,0)</f>
        <v>0</v>
      </c>
      <c r="DN59">
        <f>IFERROR(VLOOKUP($D59,'Kalkulator mięs '!$C$5:$H$533,DN$4,0)*$J59,0)</f>
        <v>0</v>
      </c>
      <c r="DO59">
        <f>IFERROR(VLOOKUP($D59,'Kalkulator mięs '!$C$5:$H$533,DO$4,0)*$J59,0)</f>
        <v>0</v>
      </c>
      <c r="DP59">
        <f>IFERROR(VLOOKUP($D59,'Kalkulator mięs '!$C$5:$H$533,DP$4,0)*$J59,0)</f>
        <v>0</v>
      </c>
      <c r="DQ59">
        <f>IFERROR(VLOOKUP($D59,'Kalkulator mięs '!$C$5:$H$533,DQ$4,0)*$K59,0)</f>
        <v>0</v>
      </c>
      <c r="DR59">
        <f>IFERROR(VLOOKUP($D59,'Kalkulator mięs '!$C$5:$H$533,DR$4,0)*$K59,0)</f>
        <v>0</v>
      </c>
      <c r="DS59">
        <f>IFERROR(VLOOKUP($D59,'Kalkulator mięs '!$C$5:$H$533,DS$4,0)*$K59,0)</f>
        <v>0</v>
      </c>
      <c r="DT59">
        <f>IFERROR(VLOOKUP($D59,'Kalkulator mięs '!$C$5:$H$533,DT$4,0)*$L59,0)</f>
        <v>0</v>
      </c>
      <c r="DU59">
        <f>IFERROR(VLOOKUP($D59,'Kalkulator mięs '!$C$5:$H$533,DU$4,0)*$L59,0)</f>
        <v>0</v>
      </c>
      <c r="DV59">
        <f>IFERROR(VLOOKUP($D59,'Kalkulator mięs '!$C$5:$H$533,DV$4,0)*$L59,0)</f>
        <v>0</v>
      </c>
      <c r="DW59">
        <f>IFERROR(VLOOKUP($D59,'Kalkulator mięs '!$C$5:$H$533,DW$4,0)*$M59,0)</f>
        <v>0</v>
      </c>
      <c r="DX59">
        <f>IFERROR(VLOOKUP($D59,'Kalkulator mięs '!$C$5:$H$533,DX$4,0)*$M59,0)</f>
        <v>0</v>
      </c>
      <c r="DY59">
        <f>IFERROR(VLOOKUP($D59,'Kalkulator mięs '!$C$5:$H$533,DY$4,0)*$M59,0)</f>
        <v>0</v>
      </c>
      <c r="DZ59">
        <f>IFERROR(VLOOKUP($D59,'Kalkulator mięs '!$C$5:$H$533,DZ$4,0)*$N59,0)</f>
        <v>0</v>
      </c>
      <c r="EA59">
        <f>IFERROR(VLOOKUP($D59,'Kalkulator mięs '!$C$5:$H$533,EA$4,0)*$N59,0)</f>
        <v>0</v>
      </c>
      <c r="EB59">
        <f>IFERROR(VLOOKUP($D59,'Kalkulator mięs '!$C$5:$H$533,EB$4,0)*$N59,0)</f>
        <v>0</v>
      </c>
      <c r="EC59">
        <f>IFERROR(VLOOKUP($D59,'Kalkulator mięs '!$C$5:$H$533,EC$4,0)*$O59,0)</f>
        <v>0</v>
      </c>
      <c r="ED59">
        <f>IFERROR(VLOOKUP($D59,'Kalkulator mięs '!$C$5:$H$533,ED$4,0)*$O59,0)</f>
        <v>0</v>
      </c>
      <c r="EE59">
        <f>IFERROR(VLOOKUP($D59,'Kalkulator mięs '!$C$5:$H$533,EE$4,0)*$O59,0)</f>
        <v>0</v>
      </c>
      <c r="EF59">
        <f>IFERROR(VLOOKUP($D59,'Kalkulator mięs '!$C$5:$H$533,EF$4,0)*$P59,0)</f>
        <v>0</v>
      </c>
      <c r="EG59">
        <f>IFERROR(VLOOKUP($D59,'Kalkulator mięs '!$C$5:$H$533,EG$4,0)*$P59,0)</f>
        <v>0</v>
      </c>
      <c r="EH59">
        <f>IFERROR(VLOOKUP($D59,'Kalkulator mięs '!$C$5:$H$533,EH$4,0)*$P59,0)</f>
        <v>0</v>
      </c>
      <c r="EI59">
        <f>IFERROR(VLOOKUP($D59,'Kalkulator mięs '!$C$5:$H$533,EI$4,0)*$Q59,0)</f>
        <v>0</v>
      </c>
      <c r="EJ59">
        <f>IFERROR(VLOOKUP($D59,'Kalkulator mięs '!$C$5:$H$533,EJ$4,0)*$Q59,0)</f>
        <v>0</v>
      </c>
      <c r="EK59">
        <f>IFERROR(VLOOKUP($D59,'Kalkulator mięs '!$C$5:$H$533,EK$4,0)*$Q59,0)</f>
        <v>0</v>
      </c>
      <c r="EL59">
        <f>IFERROR(VLOOKUP($D59,'Kalkulator mięs '!$C$5:$H$533,EL$4,0)*$R59,0)</f>
        <v>0</v>
      </c>
      <c r="EM59">
        <f>IFERROR(VLOOKUP($D59,'Kalkulator mięs '!$C$5:$H$533,EM$4,0)*$R59,0)</f>
        <v>0</v>
      </c>
      <c r="EN59">
        <f>IFERROR(VLOOKUP($D59,'Kalkulator mięs '!$C$5:$H$533,EN$4,0)*$R59,0)</f>
        <v>0</v>
      </c>
      <c r="EO59">
        <f>IFERROR(VLOOKUP($D59,'Kalkulator mięs '!$C$5:$H$533,EO$4,0)*$S59,0)</f>
        <v>0</v>
      </c>
      <c r="EP59">
        <f>IFERROR(VLOOKUP($D59,'Kalkulator mięs '!$C$5:$H$533,EP$4,0)*$S59,0)</f>
        <v>0</v>
      </c>
      <c r="EQ59">
        <f>IFERROR(VLOOKUP($D59,'Kalkulator mięs '!$C$5:$H$533,EQ$4,0)*$S59,0)</f>
        <v>0</v>
      </c>
      <c r="ER59">
        <f>IFERROR(VLOOKUP($D59,'Kalkulator mięs '!$C$5:$H$533,ER$4,0)*$T59,0)</f>
        <v>0</v>
      </c>
      <c r="ES59">
        <f>IFERROR(VLOOKUP($D59,'Kalkulator mięs '!$C$5:$H$533,ES$4,0)*$T59,0)</f>
        <v>0</v>
      </c>
      <c r="ET59">
        <f>IFERROR(VLOOKUP($D59,'Kalkulator mięs '!$C$5:$H$533,ET$4,0)*$T59,0)</f>
        <v>0</v>
      </c>
      <c r="EU59">
        <f>IFERROR(VLOOKUP($D59,'Kalkulator mięs '!$C$5:$H$533,EU$4,0)*$U59,0)</f>
        <v>0</v>
      </c>
      <c r="EV59">
        <f>IFERROR(VLOOKUP($D59,'Kalkulator mięs '!$C$5:$H$533,EV$4,0)*$U59,0)</f>
        <v>0</v>
      </c>
      <c r="EW59">
        <f>IFERROR(VLOOKUP($D59,'Kalkulator mięs '!$C$5:$H$533,EW$4,0)*$U59,0)</f>
        <v>0</v>
      </c>
      <c r="EX59">
        <f>IFERROR(VLOOKUP($D59,'Kalkulator mięs '!$C$5:$H$533,EX$4,0)*$V59,0)</f>
        <v>0</v>
      </c>
      <c r="EY59">
        <f>IFERROR(VLOOKUP($D59,'Kalkulator mięs '!$C$5:$H$533,EY$4,0)*$V59,0)</f>
        <v>0</v>
      </c>
      <c r="EZ59">
        <f>IFERROR(VLOOKUP($D59,'Kalkulator mięs '!$C$5:$H$533,EZ$4,0)*$V59,0)</f>
        <v>0</v>
      </c>
      <c r="FA59">
        <f>IFERROR(VLOOKUP($D59,'Kalkulator mięs '!$C$5:$H$533,FA$4,0)*$W59,0)</f>
        <v>0</v>
      </c>
      <c r="FB59">
        <f>IFERROR(VLOOKUP($D59,'Kalkulator mięs '!$C$5:$H$533,FB$4,0)*$W59,0)</f>
        <v>0</v>
      </c>
      <c r="FC59">
        <f>IFERROR(VLOOKUP($D59,'Kalkulator mięs '!$C$5:$H$533,FC$4,0)*$W59,0)</f>
        <v>0</v>
      </c>
      <c r="FD59">
        <f>IFERROR(VLOOKUP($D59,'Kalkulator mięs '!$C$5:$H$533,FD$4,0)*$X59,0)</f>
        <v>0</v>
      </c>
      <c r="FE59">
        <f>IFERROR(VLOOKUP($D59,'Kalkulator mięs '!$C$5:$H$533,FE$4,0)*$X59,0)</f>
        <v>0</v>
      </c>
      <c r="FF59">
        <f>IFERROR(VLOOKUP($D59,'Kalkulator mięs '!$C$5:$H$533,FF$4,0)*$X59,0)</f>
        <v>0</v>
      </c>
      <c r="FG59">
        <f>IFERROR(VLOOKUP($D59,'Kalkulator mięs '!$C$5:$H$533,FG$4,0)*$Y59,0)</f>
        <v>0</v>
      </c>
      <c r="FH59">
        <f>IFERROR(VLOOKUP($D59,'Kalkulator mięs '!$C$5:$H$533,FH$4,0)*$Y59,0)</f>
        <v>0</v>
      </c>
      <c r="FI59">
        <f>IFERROR(VLOOKUP($D59,'Kalkulator mięs '!$C$5:$H$533,FI$4,0)*$Y59,0)</f>
        <v>0</v>
      </c>
      <c r="FJ59">
        <f>IFERROR(VLOOKUP($D59,'Kalkulator mięs '!$C$5:$H$533,FJ$4,0)*$Z59,0)</f>
        <v>0</v>
      </c>
      <c r="FK59">
        <f>IFERROR(VLOOKUP($D59,'Kalkulator mięs '!$C$5:$H$533,FK$4,0)*$Z59,0)</f>
        <v>0</v>
      </c>
      <c r="FL59">
        <f>IFERROR(VLOOKUP($D59,'Kalkulator mięs '!$C$5:$H$533,FL$4,0)*$Z59,0)</f>
        <v>0</v>
      </c>
      <c r="FM59">
        <f>IFERROR(VLOOKUP($D59,'Kalkulator mięs '!$C$5:$H$533,FM$4,0)*$AA59,0)</f>
        <v>0</v>
      </c>
      <c r="FN59">
        <f>IFERROR(VLOOKUP($D59,'Kalkulator mięs '!$C$5:$H$533,FN$4,0)*$AA59,0)</f>
        <v>0</v>
      </c>
      <c r="FO59">
        <f>IFERROR(VLOOKUP($D59,'Kalkulator mięs '!$C$5:$H$533,FO$4,0)*$AA59,0)</f>
        <v>0</v>
      </c>
      <c r="FP59">
        <f>IFERROR(VLOOKUP($D59,'Kalkulator mięs '!$C$5:$H$533,FP$4,0)*$AB59,0)</f>
        <v>0</v>
      </c>
      <c r="FQ59">
        <f>IFERROR(VLOOKUP($D59,'Kalkulator mięs '!$C$5:$H$533,FQ$4,0)*$AB59,0)</f>
        <v>0</v>
      </c>
      <c r="FR59">
        <f>IFERROR(VLOOKUP($D59,'Kalkulator mięs '!$C$5:$H$533,FR$4,0)*$AB59,0)</f>
        <v>0</v>
      </c>
      <c r="FS59">
        <f>IFERROR(VLOOKUP($D59,'Kalkulator mięs '!$C$5:$H$533,FS$4,0)*$AC59,0)</f>
        <v>0</v>
      </c>
      <c r="FT59">
        <f>IFERROR(VLOOKUP($D59,'Kalkulator mięs '!$C$5:$H$533,FT$4,0)*$AC59,0)</f>
        <v>0</v>
      </c>
      <c r="FU59">
        <f>IFERROR(VLOOKUP($D59,'Kalkulator mięs '!$C$5:$H$533,FU$4,0)*$AC59,0)</f>
        <v>0</v>
      </c>
      <c r="FV59">
        <f>IFERROR(VLOOKUP($D59,'Kalkulator mięs '!$C$5:$H$533,FV$4,0)*$AD59,0)</f>
        <v>0</v>
      </c>
      <c r="FW59">
        <f>IFERROR(VLOOKUP($D59,'Kalkulator mięs '!$C$5:$H$533,FW$4,0)*$AD59,0)</f>
        <v>0</v>
      </c>
      <c r="FX59">
        <f>IFERROR(VLOOKUP($D59,'Kalkulator mięs '!$C$5:$H$533,FX$4,0)*$AD59,0)</f>
        <v>0</v>
      </c>
      <c r="FY59">
        <f>IFERROR(VLOOKUP($D59,'Kalkulator mięs '!$C$5:$H$533,FY$4,0)*$AE59,0)</f>
        <v>0</v>
      </c>
      <c r="FZ59">
        <f>IFERROR(VLOOKUP($D59,'Kalkulator mięs '!$C$5:$H$533,FZ$4,0)*$AE59,0)</f>
        <v>0</v>
      </c>
      <c r="GA59">
        <f>IFERROR(VLOOKUP($D59,'Kalkulator mięs '!$C$5:$H$533,GA$4,0)*$AE59,0)</f>
        <v>0</v>
      </c>
      <c r="GB59">
        <f>IFERROR(VLOOKUP($D59,'Kalkulator mięs '!$C$5:$H$533,GB$4,0)*$AF59,0)</f>
        <v>0</v>
      </c>
      <c r="GC59">
        <f>IFERROR(VLOOKUP($D59,'Kalkulator mięs '!$C$5:$H$533,GC$4,0)*$AF59,0)</f>
        <v>0</v>
      </c>
      <c r="GD59">
        <f>IFERROR(VLOOKUP($D59,'Kalkulator mięs '!$C$5:$H$533,GD$4,0)*$AF59,0)</f>
        <v>0</v>
      </c>
      <c r="GE59">
        <f>IFERROR(VLOOKUP($D59,'Kalkulator mięs '!$C$5:$H$533,GE$4,0)*$AG59,0)</f>
        <v>0</v>
      </c>
      <c r="GF59">
        <f>IFERROR(VLOOKUP($D59,'Kalkulator mięs '!$C$5:$H$533,GF$4,0)*$AG59,0)</f>
        <v>0</v>
      </c>
      <c r="GG59">
        <f>IFERROR(VLOOKUP($D59,'Kalkulator mięs '!$C$5:$H$533,GG$4,0)*$AG59,0)</f>
        <v>0</v>
      </c>
      <c r="GH59">
        <f>IFERROR(VLOOKUP($D59,'Kalkulator mięs '!$C$5:$H$533,GH$4,0)*$AH59,0)</f>
        <v>0</v>
      </c>
      <c r="GI59">
        <f>IFERROR(VLOOKUP($D59,'Kalkulator mięs '!$C$5:$H$533,GI$4,0)*$AH59,0)</f>
        <v>0</v>
      </c>
      <c r="GJ59">
        <f>IFERROR(VLOOKUP($D59,'Kalkulator mięs '!$C$5:$H$533,GJ$4,0)*$AH59,0)</f>
        <v>0</v>
      </c>
      <c r="GK59">
        <f>IFERROR(VLOOKUP($D59,'Kalkulator mięs '!$C$5:$H$533,GK$4,0)*$AI59,0)</f>
        <v>0</v>
      </c>
      <c r="GL59">
        <f>IFERROR(VLOOKUP($D59,'Kalkulator mięs '!$C$5:$H$533,GL$4,0)*$AI59,0)</f>
        <v>0</v>
      </c>
      <c r="GM59">
        <f>IFERROR(VLOOKUP($D59,'Kalkulator mięs '!$C$5:$H$533,GM$4,0)*$AI59,0)</f>
        <v>0</v>
      </c>
      <c r="GN59">
        <f>IFERROR(VLOOKUP($D59,'Kalkulator mięs '!$C$5:$H$533,GN$4,0)*$AJ59,0)</f>
        <v>0</v>
      </c>
      <c r="GO59">
        <f>IFERROR(VLOOKUP($D59,'Kalkulator mięs '!$C$5:$H$533,GO$4,0)*$AJ59,0)</f>
        <v>0</v>
      </c>
      <c r="GP59">
        <f>IFERROR(VLOOKUP($D59,'Kalkulator mięs '!$C$5:$H$533,GP$4,0)*$AJ59,0)</f>
        <v>0</v>
      </c>
      <c r="GQ59">
        <f>IFERROR(VLOOKUP($D59,'Kalkulator mięs '!$C$5:$H$533,GQ$4,0)*$AK59,0)</f>
        <v>0</v>
      </c>
      <c r="GR59">
        <f>IFERROR(VLOOKUP($D59,'Kalkulator mięs '!$C$5:$H$533,GR$4,0)*$AK59,0)</f>
        <v>0</v>
      </c>
      <c r="GS59">
        <f>IFERROR(VLOOKUP($D59,'Kalkulator mięs '!$C$5:$H$533,GS$4,0)*$AK59,0)</f>
        <v>0</v>
      </c>
      <c r="GT59">
        <f>IFERROR(VLOOKUP($D59,'Kalkulator mięs '!$C$5:$H$533,GT$4,0)*$AL59,0)</f>
        <v>0</v>
      </c>
      <c r="GU59">
        <f>IFERROR(VLOOKUP($D59,'Kalkulator mięs '!$C$5:$H$533,GU$4,0)*$AL59,0)</f>
        <v>0</v>
      </c>
      <c r="GV59">
        <f>IFERROR(VLOOKUP($D59,'Kalkulator mięs '!$C$5:$H$533,GV$4,0)*$AL59,0)</f>
        <v>0</v>
      </c>
      <c r="GW59">
        <f>IFERROR(VLOOKUP($D59,'Kalkulator mięs '!$C$5:$H$533,GW$4,0)*$AM59,0)</f>
        <v>0</v>
      </c>
      <c r="GX59">
        <f>IFERROR(VLOOKUP($D59,'Kalkulator mięs '!$C$5:$H$533,GX$4,0)*$AM59,0)</f>
        <v>0</v>
      </c>
      <c r="GY59">
        <f>IFERROR(VLOOKUP($D59,'Kalkulator mięs '!$C$5:$H$533,GY$4,0)*$AM59,0)</f>
        <v>0</v>
      </c>
      <c r="GZ59">
        <f>IFERROR(VLOOKUP($D59,'Kalkulator mięs '!$C$5:$H$533,GZ$4,0)*$AN59,0)</f>
        <v>0</v>
      </c>
      <c r="HA59">
        <f>IFERROR(VLOOKUP($D59,'Kalkulator mięs '!$C$5:$H$533,HA$4,0)*$AN59,0)</f>
        <v>0</v>
      </c>
      <c r="HB59">
        <f>IFERROR(VLOOKUP($D59,'Kalkulator mięs '!$C$5:$H$533,HB$4,0)*$AN59,0)</f>
        <v>0</v>
      </c>
      <c r="HC59">
        <f>IFERROR(VLOOKUP($D59,'Kalkulator mięs '!$C$5:$H$533,HC$4,0)*$AO59,0)</f>
        <v>0</v>
      </c>
      <c r="HD59">
        <f>IFERROR(VLOOKUP($D59,'Kalkulator mięs '!$C$5:$H$533,HD$4,0)*$AO59,0)</f>
        <v>0</v>
      </c>
      <c r="HE59">
        <f>IFERROR(VLOOKUP($D59,'Kalkulator mięs '!$C$5:$H$533,HE$4,0)*$AO59,0)</f>
        <v>0</v>
      </c>
      <c r="HF59">
        <f>IFERROR(VLOOKUP($D59,'Kalkulator mięs '!$C$5:$H$533,HF$4,0)*$AP59,0)</f>
        <v>0</v>
      </c>
      <c r="HG59">
        <f>IFERROR(VLOOKUP($D59,'Kalkulator mięs '!$C$5:$H$533,HG$4,0)*$AP59,0)</f>
        <v>0</v>
      </c>
      <c r="HH59">
        <f>IFERROR(VLOOKUP($D59,'Kalkulator mięs '!$C$5:$H$533,HH$4,0)*$AP59,0)</f>
        <v>0</v>
      </c>
      <c r="HI59">
        <f>IFERROR(VLOOKUP($D59,'Kalkulator mięs '!$C$5:$H$533,HI$4,0)*$AQ59,0)</f>
        <v>0</v>
      </c>
      <c r="HJ59">
        <f>IFERROR(VLOOKUP($D59,'Kalkulator mięs '!$C$5:$H$533,HJ$4,0)*$AQ59,0)</f>
        <v>0</v>
      </c>
      <c r="HK59">
        <f>IFERROR(VLOOKUP($D59,'Kalkulator mięs '!$C$5:$H$533,HK$4,0)*$AQ59,0)</f>
        <v>0</v>
      </c>
      <c r="HL59">
        <f>IFERROR(VLOOKUP($D59,'Kalkulator mięs '!$C$5:$H$533,HL$4,0)*$AR59,0)</f>
        <v>0</v>
      </c>
      <c r="HM59">
        <f>IFERROR(VLOOKUP($D59,'Kalkulator mięs '!$C$5:$H$533,HM$4,0)*$AR59,0)</f>
        <v>0</v>
      </c>
      <c r="HN59">
        <f>IFERROR(VLOOKUP($D59,'Kalkulator mięs '!$C$5:$H$533,HN$4,0)*$AR59,0)</f>
        <v>0</v>
      </c>
      <c r="HO59">
        <f>IFERROR(VLOOKUP($D59,'Kalkulator mięs '!$C$5:$H$533,HO$4,0)*$AS59,0)</f>
        <v>0</v>
      </c>
      <c r="HP59">
        <f>IFERROR(VLOOKUP($D59,'Kalkulator mięs '!$C$5:$H$533,HP$4,0)*$AS59,0)</f>
        <v>0</v>
      </c>
      <c r="HQ59">
        <f>IFERROR(VLOOKUP($D59,'Kalkulator mięs '!$C$5:$H$533,HQ$4,0)*$AS59,0)</f>
        <v>0</v>
      </c>
      <c r="HR59">
        <f>IFERROR(VLOOKUP($D59,'Kalkulator mięs '!$C$5:$H$533,HR$4,0)*$AT59,0)</f>
        <v>0</v>
      </c>
      <c r="HS59">
        <f>IFERROR(VLOOKUP($D59,'Kalkulator mięs '!$C$5:$H$533,HS$4,0)*$AT59,0)</f>
        <v>0</v>
      </c>
      <c r="HT59">
        <f>IFERROR(VLOOKUP($D59,'Kalkulator mięs '!$C$5:$H$533,HT$4,0)*$AT59,0)</f>
        <v>0</v>
      </c>
      <c r="HU59">
        <f>IFERROR(VLOOKUP($D59,'Kalkulator mięs '!$C$5:$H$533,HU$4,0)*$AU59,0)</f>
        <v>0</v>
      </c>
      <c r="HV59">
        <f>IFERROR(VLOOKUP($D59,'Kalkulator mięs '!$C$5:$H$533,HV$4,0)*$AU59,0)</f>
        <v>0</v>
      </c>
      <c r="HW59">
        <f>IFERROR(VLOOKUP($D59,'Kalkulator mięs '!$C$5:$H$533,HW$4,0)*$AU59,0)</f>
        <v>0</v>
      </c>
      <c r="HX59">
        <f>IFERROR(VLOOKUP($D59,'Kalkulator mięs '!$C$5:$H$533,HX$4,0)*$AV59,0)</f>
        <v>0</v>
      </c>
      <c r="HY59">
        <f>IFERROR(VLOOKUP($D59,'Kalkulator mięs '!$C$5:$H$533,HY$4,0)*$AV59,0)</f>
        <v>0</v>
      </c>
      <c r="HZ59">
        <f>IFERROR(VLOOKUP($D59,'Kalkulator mięs '!$C$5:$H$533,HZ$4,0)*$AV59,0)</f>
        <v>0</v>
      </c>
      <c r="IA59">
        <f>IFERROR(VLOOKUP($D59,'Kalkulator mięs '!$C$5:$H$533,IA$4,0)*$AW59,0)</f>
        <v>0</v>
      </c>
      <c r="IB59">
        <f>IFERROR(VLOOKUP($D59,'Kalkulator mięs '!$C$5:$H$533,IB$4,0)*$AW59,0)</f>
        <v>0</v>
      </c>
      <c r="IC59">
        <f>IFERROR(VLOOKUP($D59,'Kalkulator mięs '!$C$5:$H$533,IC$4,0)*$AW59,0)</f>
        <v>0</v>
      </c>
      <c r="ID59">
        <f>IFERROR(VLOOKUP($D59,'Kalkulator mięs '!$C$5:$H$533,ID$4,0)*$AX59,0)</f>
        <v>0</v>
      </c>
      <c r="IE59">
        <f>IFERROR(VLOOKUP($D59,'Kalkulator mięs '!$C$5:$H$533,IE$4,0)*$AX59,0)</f>
        <v>0</v>
      </c>
      <c r="IF59">
        <f>IFERROR(VLOOKUP($D59,'Kalkulator mięs '!$C$5:$H$533,IF$4,0)*$AX59,0)</f>
        <v>0</v>
      </c>
      <c r="IG59">
        <f>IFERROR(VLOOKUP($D59,'Kalkulator mięs '!$C$5:$H$533,IG$4,0)*$AY59,0)</f>
        <v>0</v>
      </c>
      <c r="IH59">
        <f>IFERROR(VLOOKUP($D59,'Kalkulator mięs '!$C$5:$H$533,IH$4,0)*$AY59,0)</f>
        <v>0</v>
      </c>
      <c r="II59">
        <f>IFERROR(VLOOKUP($D59,'Kalkulator mięs '!$C$5:$H$533,II$4,0)*$AY59,0)</f>
        <v>0</v>
      </c>
      <c r="IJ59">
        <f>IFERROR(VLOOKUP($D59,'Kalkulator mięs '!$C$5:$H$533,IJ$4,0)*$AZ59,0)</f>
        <v>0</v>
      </c>
      <c r="IK59">
        <f>IFERROR(VLOOKUP($D59,'Kalkulator mięs '!$C$5:$H$533,IK$4,0)*$AZ59,0)</f>
        <v>0</v>
      </c>
      <c r="IL59">
        <f>IFERROR(VLOOKUP($D59,'Kalkulator mięs '!$C$5:$H$533,IL$4,0)*$AZ59,0)</f>
        <v>0</v>
      </c>
      <c r="IM59">
        <f>IFERROR(VLOOKUP($D59,'Kalkulator mięs '!$C$5:$H$533,IM$4,0)*$BA59,0)</f>
        <v>0</v>
      </c>
      <c r="IN59">
        <f>IFERROR(VLOOKUP($D59,'Kalkulator mięs '!$C$5:$H$533,IN$4,0)*$BA59,0)</f>
        <v>0</v>
      </c>
      <c r="IO59">
        <f>IFERROR(VLOOKUP($D59,'Kalkulator mięs '!$C$5:$H$533,IO$4,0)*$BA59,0)</f>
        <v>0</v>
      </c>
    </row>
    <row r="60" spans="1:249" ht="15.75">
      <c r="B60" t="str">
        <f>VLOOKUP(D60,Receptury_z!$A:$B,2,0)</f>
        <v>ON</v>
      </c>
      <c r="C60" s="21">
        <v>5465</v>
      </c>
      <c r="D60" s="22">
        <v>7034</v>
      </c>
      <c r="E60" s="3" t="s">
        <v>54</v>
      </c>
      <c r="F60" s="14">
        <f>IF($B60="OFF",BE60,VLOOKUP($D60,Receptury_z!$D:$AI,F$4,0))</f>
        <v>0</v>
      </c>
      <c r="G60" s="14">
        <f>IF($B60="OFF",BF60,VLOOKUP($D60,Receptury_z!$D:$AI,G$4,0))</f>
        <v>0</v>
      </c>
      <c r="H60" s="14">
        <f>IF($B60="OFF",BG60,VLOOKUP($D60,Receptury_z!$D:$AI,H$4,0))</f>
        <v>0</v>
      </c>
      <c r="I60" s="14">
        <f>IF($B60="OFF",BH60,VLOOKUP($D60,Receptury_z!$D:$AI,I$4,0))</f>
        <v>0</v>
      </c>
      <c r="J60" s="14">
        <f>IF($B60="OFF",BI60,VLOOKUP($D60,Receptury_z!$D:$AI,J$4,0))</f>
        <v>0</v>
      </c>
      <c r="K60" s="14">
        <f>IF($B60="OFF",BJ60,VLOOKUP($D60,Receptury_z!$D:$AI,K$4,0))</f>
        <v>0</v>
      </c>
      <c r="L60" s="14">
        <f>IF($B60="OFF",BK60,VLOOKUP($D60,Receptury_z!$D:$AI,L$4,0))</f>
        <v>0</v>
      </c>
      <c r="M60" s="14">
        <f>IF($B60="OFF",BL60,VLOOKUP($D60,Receptury_z!$D:$AI,M$4,0))</f>
        <v>0</v>
      </c>
      <c r="N60" s="14">
        <f>IF($B60="OFF",BM60,VLOOKUP($D60,Receptury_z!$D:$AI,N$4,0))</f>
        <v>0</v>
      </c>
      <c r="O60" s="14">
        <f>IF($B60="OFF",BN60,VLOOKUP($D60,Receptury_z!$D:$AI,O$4,0))</f>
        <v>0</v>
      </c>
      <c r="P60" s="14">
        <f>IF($B60="OFF",BO60,VLOOKUP($D60,Receptury_z!$D:$AI,P$4,0))</f>
        <v>0</v>
      </c>
      <c r="Q60" s="14">
        <f>IF($B60="OFF",BP60,VLOOKUP($D60,Receptury_z!$D:$AI,Q$4,0))</f>
        <v>47.9</v>
      </c>
      <c r="R60" s="14">
        <f>IF($B60="OFF",BQ60,VLOOKUP($D60,Receptury_z!$D:$AI,R$4,0))</f>
        <v>0</v>
      </c>
      <c r="S60" s="14">
        <f>IF($B60="OFF",BR60,VLOOKUP($D60,Receptury_z!$D:$AI,S$4,0))</f>
        <v>0</v>
      </c>
      <c r="T60" s="14">
        <f>IF($B60="OFF",BS60,VLOOKUP($D60,Receptury_z!$D:$AI,T$4,0))</f>
        <v>210.6</v>
      </c>
      <c r="U60" s="14">
        <f>IF($B60="OFF",BT60,VLOOKUP($D60,Receptury_z!$D:$AI,U$4,0))</f>
        <v>28.7</v>
      </c>
      <c r="V60" s="14">
        <f>IF($B60="OFF",BU60,VLOOKUP($D60,Receptury_z!$D:$AI,V$4,0))</f>
        <v>0</v>
      </c>
      <c r="W60" s="14">
        <f>IF($B60="OFF",BV60,VLOOKUP($D60,Receptury_z!$D:$AI,W$4,0))</f>
        <v>0</v>
      </c>
      <c r="X60" s="14">
        <f>IF($B60="OFF",BW60,VLOOKUP($D60,Receptury_z!$D:$AI,X$4,0))</f>
        <v>0</v>
      </c>
      <c r="Y60" s="14">
        <f>IF($B60="OFF",BX60,VLOOKUP($D60,Receptury_z!$D:$AI,Y$4,0))</f>
        <v>0</v>
      </c>
      <c r="Z60" s="14">
        <f>IF($B60="OFF",BY60,VLOOKUP($D60,Receptury_z!$D:$AI,Z$4,0))</f>
        <v>670.1</v>
      </c>
      <c r="AA60" s="14">
        <f>IF($B60="OFF",BZ60,VLOOKUP($D60,Receptury_z!$D:$AI,AA$4,0))</f>
        <v>0</v>
      </c>
      <c r="AB60" s="14">
        <f>IF($B60="OFF",CA60,VLOOKUP($D60,Receptury_z!$D:$AI,AB$4,0))</f>
        <v>0</v>
      </c>
      <c r="AC60" s="14">
        <f>IF($B60="OFF",CB60,VLOOKUP($D60,Receptury_z!$D:$AI,AC$4,0))</f>
        <v>0</v>
      </c>
      <c r="AD60" s="14">
        <f>IF($B60="OFF",CC60,VLOOKUP($D60,Receptury_z!$D:$AI,AD$4,0))</f>
        <v>0</v>
      </c>
      <c r="AE60" s="14">
        <f>IF($B60="OFF",CD60,VLOOKUP($D60,Receptury_z!$D:$AI,AE$4,0))</f>
        <v>0</v>
      </c>
      <c r="AF60" s="14">
        <f>IF($B60="OFF",CE60,VLOOKUP($D60,Receptury_z!$D:$AI,AF$4,0))</f>
        <v>0</v>
      </c>
      <c r="AG60" s="14">
        <f>IF($B60="OFF",CF60,VLOOKUP($D60,Receptury_z!$D:$AI,AG$4,0))</f>
        <v>0</v>
      </c>
      <c r="AH60" s="14">
        <f>IF($B60="OFF",CG60,VLOOKUP($D60,Receptury_z!$D:$AI,AH$4,0))</f>
        <v>0</v>
      </c>
      <c r="AI60" s="14">
        <f>IF($B60="OFF",CH60,VLOOKUP($D60,Receptury_z!$D:$AI,AI$4,0))</f>
        <v>0</v>
      </c>
      <c r="AJ60" s="14">
        <f>IF($B60="OFF",CI60,VLOOKUP($D60,Receptury_z!$D:$AS,AJ$4,0))</f>
        <v>0</v>
      </c>
      <c r="AK60" s="14">
        <f>IF($B60="OFF",CJ60,VLOOKUP($D60,Receptury_z!$D:$AS,AK$4,0))</f>
        <v>0</v>
      </c>
      <c r="AL60" s="14">
        <f>IF($B60="OFF",CK60,VLOOKUP($D60,Receptury_z!$D:$AS,AL$4,0))</f>
        <v>0</v>
      </c>
      <c r="AM60" s="14">
        <f>IF($B60="OFF",CL60,VLOOKUP($D60,Receptury_z!$D:$AS,AM$4,0))</f>
        <v>0</v>
      </c>
      <c r="AN60" s="14">
        <f>IF($B60="OFF",CM60,VLOOKUP($D60,Receptury_z!$D:$AS,AN$4,0))</f>
        <v>0</v>
      </c>
      <c r="AO60" s="14">
        <f>IF($B60="OFF",CN60,VLOOKUP($D60,Receptury_z!$D:$AS,AO$4,0))</f>
        <v>0</v>
      </c>
      <c r="AP60" s="14">
        <f>IF($B60="OFF",CO60,VLOOKUP($D60,Receptury_z!$D:$AS,AP$4,0))</f>
        <v>0</v>
      </c>
      <c r="AQ60" s="14">
        <f>IF($B60="OFF",CP60,VLOOKUP($D60,Receptury_z!$D:$AS,AQ$4,0))</f>
        <v>0</v>
      </c>
      <c r="AR60" s="14">
        <f>IF($B60="OFF",CQ60,VLOOKUP($D60,Receptury_z!$D:$AS,AR$4,0))</f>
        <v>0</v>
      </c>
      <c r="AS60" s="14">
        <f>IF($B60="OFF",CR60,VLOOKUP($D60,Receptury_z!$D:$AS,AS$4,0))</f>
        <v>0</v>
      </c>
      <c r="AT60" s="14">
        <f>IF($B60="OFF",CS60,VLOOKUP($D60,Receptury_z!$D:$AV,AT$4,0))</f>
        <v>0</v>
      </c>
      <c r="AU60" s="14">
        <f>IF($B60="OFF",CT60,VLOOKUP($D60,Receptury_z!$D:$AV,AU$4,0))</f>
        <v>0</v>
      </c>
      <c r="AV60" s="14">
        <f>IF($B60="OFF",CU60,VLOOKUP($D60,Receptury_z!$D:$AV,AV$4,0))</f>
        <v>0</v>
      </c>
      <c r="AW60" s="14">
        <f>IF($B60="OFF",CV60,VLOOKUP($D60,Receptury_z!$D:$BA,AW$4,0))</f>
        <v>0</v>
      </c>
      <c r="AX60" s="14">
        <f>IF($B60="OFF",CW60,VLOOKUP($D60,Receptury_z!$D:$BA,AX$4,0))</f>
        <v>0</v>
      </c>
      <c r="AY60" s="14">
        <f>IF($B60="OFF",CX60,VLOOKUP($D60,Receptury_z!$D:$BA,AY$4,0))</f>
        <v>0</v>
      </c>
      <c r="AZ60" s="14">
        <f>IF($B60="OFF",DA60,VLOOKUP($D60,Receptury_z!$D:$BA,AZ$4,0))</f>
        <v>0</v>
      </c>
      <c r="BA60" s="14">
        <f>IF($B60="OFF",DB60,VLOOKUP($D60,Receptury_z!$D:$BA,BA$4,0))</f>
        <v>0</v>
      </c>
      <c r="BC60" s="22">
        <v>7034</v>
      </c>
      <c r="BD60" s="3" t="s">
        <v>54</v>
      </c>
      <c r="BE60" s="239">
        <v>0</v>
      </c>
      <c r="BF60" s="239">
        <v>0</v>
      </c>
      <c r="BG60" s="239">
        <v>0</v>
      </c>
      <c r="BH60" s="239">
        <v>0</v>
      </c>
      <c r="BI60" s="239">
        <v>0</v>
      </c>
      <c r="BJ60" s="239">
        <v>0</v>
      </c>
      <c r="BK60" s="239">
        <v>0</v>
      </c>
      <c r="BL60" s="239">
        <v>0</v>
      </c>
      <c r="BM60" s="239">
        <v>0</v>
      </c>
      <c r="BN60" s="239">
        <v>0</v>
      </c>
      <c r="BO60" s="239">
        <v>0</v>
      </c>
      <c r="BP60" s="239">
        <v>47.9</v>
      </c>
      <c r="BQ60" s="239">
        <v>0</v>
      </c>
      <c r="BR60" s="239">
        <v>0</v>
      </c>
      <c r="BS60" s="239">
        <v>210.74</v>
      </c>
      <c r="BT60" s="239">
        <v>28.7</v>
      </c>
      <c r="BU60" s="239">
        <v>0</v>
      </c>
      <c r="BV60" s="239">
        <v>0</v>
      </c>
      <c r="BW60" s="239">
        <v>0</v>
      </c>
      <c r="BX60" s="239">
        <v>0</v>
      </c>
      <c r="BY60" s="239">
        <v>670.54</v>
      </c>
      <c r="BZ60" s="239">
        <v>0</v>
      </c>
      <c r="CA60" s="239">
        <v>0</v>
      </c>
      <c r="CB60" s="239">
        <v>0</v>
      </c>
      <c r="CC60" s="239">
        <v>0</v>
      </c>
      <c r="CD60" s="239">
        <v>0</v>
      </c>
      <c r="CE60" s="239">
        <v>0</v>
      </c>
      <c r="CF60" s="239">
        <v>0</v>
      </c>
      <c r="CG60" s="239">
        <v>0</v>
      </c>
      <c r="CH60" s="239">
        <v>0</v>
      </c>
      <c r="CI60" s="239">
        <v>0</v>
      </c>
      <c r="CJ60" s="239">
        <v>0</v>
      </c>
      <c r="CK60" s="239">
        <v>0</v>
      </c>
      <c r="CL60" s="239">
        <v>0</v>
      </c>
      <c r="CM60" s="80"/>
      <c r="CN60" s="80"/>
      <c r="CO60" s="80"/>
      <c r="CP60" s="80"/>
      <c r="CQ60" s="80"/>
      <c r="CR60" s="80"/>
      <c r="CS60" s="80"/>
      <c r="CT60" s="80"/>
      <c r="CU60" s="80"/>
      <c r="CV60" s="80"/>
      <c r="CW60" s="80"/>
      <c r="CX60" s="80"/>
      <c r="CY60" s="80"/>
      <c r="CZ60" s="80"/>
      <c r="DB60">
        <f>IFERROR(VLOOKUP($D60,'Kalkulator mięs '!$C$5:$H$533,DB$4,0)*F60,0)</f>
        <v>0</v>
      </c>
      <c r="DC60">
        <f>IFERROR(VLOOKUP($D60,'Kalkulator mięs '!$C$5:$H$533,DC$4,0)*F60,0)</f>
        <v>0</v>
      </c>
      <c r="DD60">
        <f>IFERROR(VLOOKUP($D60,'Kalkulator mięs '!$C$5:$H$533,DD$4,0)*F60,0)</f>
        <v>0</v>
      </c>
      <c r="DE60">
        <f>IFERROR(VLOOKUP($D60,'Kalkulator mięs '!$C$5:$H$533,DE$4,0)*$G60,0)</f>
        <v>0</v>
      </c>
      <c r="DF60">
        <f>IFERROR(VLOOKUP($D60,'Kalkulator mięs '!$C$5:$H$533,DF$4,0)*$G60,0)</f>
        <v>0</v>
      </c>
      <c r="DG60">
        <f>IFERROR(VLOOKUP($D60,'Kalkulator mięs '!$C$5:$H$533,DG$4,0)*$G60,0)</f>
        <v>0</v>
      </c>
      <c r="DH60">
        <f>IFERROR(VLOOKUP($D60,'Kalkulator mięs '!$C$5:$H$533,DH$4,0)*$H60,0)</f>
        <v>0</v>
      </c>
      <c r="DI60">
        <f>IFERROR(VLOOKUP($D60,'Kalkulator mięs '!$C$5:$H$533,DI$4,0)*$H60,0)</f>
        <v>0</v>
      </c>
      <c r="DJ60">
        <f>IFERROR(VLOOKUP($D60,'Kalkulator mięs '!$C$5:$H$533,DJ$4,0)*$H60,0)</f>
        <v>0</v>
      </c>
      <c r="DK60">
        <f>IFERROR(VLOOKUP($D60,'Kalkulator mięs '!$C$5:$H$533,DK$4,0)*$I60,0)</f>
        <v>0</v>
      </c>
      <c r="DL60">
        <f>IFERROR(VLOOKUP($D60,'Kalkulator mięs '!$C$5:$H$533,DL$4,0)*$I60,0)</f>
        <v>0</v>
      </c>
      <c r="DM60">
        <f>IFERROR(VLOOKUP($D60,'Kalkulator mięs '!$C$5:$H$533,DM$4,0)*$I60,0)</f>
        <v>0</v>
      </c>
      <c r="DN60">
        <f>IFERROR(VLOOKUP($D60,'Kalkulator mięs '!$C$5:$H$533,DN$4,0)*$J60,0)</f>
        <v>0</v>
      </c>
      <c r="DO60">
        <f>IFERROR(VLOOKUP($D60,'Kalkulator mięs '!$C$5:$H$533,DO$4,0)*$J60,0)</f>
        <v>0</v>
      </c>
      <c r="DP60">
        <f>IFERROR(VLOOKUP($D60,'Kalkulator mięs '!$C$5:$H$533,DP$4,0)*$J60,0)</f>
        <v>0</v>
      </c>
      <c r="DQ60">
        <f>IFERROR(VLOOKUP($D60,'Kalkulator mięs '!$C$5:$H$533,DQ$4,0)*$K60,0)</f>
        <v>0</v>
      </c>
      <c r="DR60">
        <f>IFERROR(VLOOKUP($D60,'Kalkulator mięs '!$C$5:$H$533,DR$4,0)*$K60,0)</f>
        <v>0</v>
      </c>
      <c r="DS60">
        <f>IFERROR(VLOOKUP($D60,'Kalkulator mięs '!$C$5:$H$533,DS$4,0)*$K60,0)</f>
        <v>0</v>
      </c>
      <c r="DT60">
        <f>IFERROR(VLOOKUP($D60,'Kalkulator mięs '!$C$5:$H$533,DT$4,0)*$L60,0)</f>
        <v>0</v>
      </c>
      <c r="DU60">
        <f>IFERROR(VLOOKUP($D60,'Kalkulator mięs '!$C$5:$H$533,DU$4,0)*$L60,0)</f>
        <v>0</v>
      </c>
      <c r="DV60">
        <f>IFERROR(VLOOKUP($D60,'Kalkulator mięs '!$C$5:$H$533,DV$4,0)*$L60,0)</f>
        <v>0</v>
      </c>
      <c r="DW60">
        <f>IFERROR(VLOOKUP($D60,'Kalkulator mięs '!$C$5:$H$533,DW$4,0)*$M60,0)</f>
        <v>0</v>
      </c>
      <c r="DX60">
        <f>IFERROR(VLOOKUP($D60,'Kalkulator mięs '!$C$5:$H$533,DX$4,0)*$M60,0)</f>
        <v>0</v>
      </c>
      <c r="DY60">
        <f>IFERROR(VLOOKUP($D60,'Kalkulator mięs '!$C$5:$H$533,DY$4,0)*$M60,0)</f>
        <v>0</v>
      </c>
      <c r="DZ60">
        <f>IFERROR(VLOOKUP($D60,'Kalkulator mięs '!$C$5:$H$533,DZ$4,0)*$N60,0)</f>
        <v>0</v>
      </c>
      <c r="EA60">
        <f>IFERROR(VLOOKUP($D60,'Kalkulator mięs '!$C$5:$H$533,EA$4,0)*$N60,0)</f>
        <v>0</v>
      </c>
      <c r="EB60">
        <f>IFERROR(VLOOKUP($D60,'Kalkulator mięs '!$C$5:$H$533,EB$4,0)*$N60,0)</f>
        <v>0</v>
      </c>
      <c r="EC60">
        <f>IFERROR(VLOOKUP($D60,'Kalkulator mięs '!$C$5:$H$533,EC$4,0)*$O60,0)</f>
        <v>0</v>
      </c>
      <c r="ED60">
        <f>IFERROR(VLOOKUP($D60,'Kalkulator mięs '!$C$5:$H$533,ED$4,0)*$O60,0)</f>
        <v>0</v>
      </c>
      <c r="EE60">
        <f>IFERROR(VLOOKUP($D60,'Kalkulator mięs '!$C$5:$H$533,EE$4,0)*$O60,0)</f>
        <v>0</v>
      </c>
      <c r="EF60">
        <f>IFERROR(VLOOKUP($D60,'Kalkulator mięs '!$C$5:$H$533,EF$4,0)*$P60,0)</f>
        <v>0</v>
      </c>
      <c r="EG60">
        <f>IFERROR(VLOOKUP($D60,'Kalkulator mięs '!$C$5:$H$533,EG$4,0)*$P60,0)</f>
        <v>0</v>
      </c>
      <c r="EH60">
        <f>IFERROR(VLOOKUP($D60,'Kalkulator mięs '!$C$5:$H$533,EH$4,0)*$P60,0)</f>
        <v>0</v>
      </c>
      <c r="EI60">
        <f>IFERROR(VLOOKUP($D60,'Kalkulator mięs '!$C$5:$H$533,EI$4,0)*$Q60,0)</f>
        <v>0</v>
      </c>
      <c r="EJ60">
        <f>IFERROR(VLOOKUP($D60,'Kalkulator mięs '!$C$5:$H$533,EJ$4,0)*$Q60,0)</f>
        <v>0</v>
      </c>
      <c r="EK60">
        <f>IFERROR(VLOOKUP($D60,'Kalkulator mięs '!$C$5:$H$533,EK$4,0)*$Q60,0)</f>
        <v>0</v>
      </c>
      <c r="EL60">
        <f>IFERROR(VLOOKUP($D60,'Kalkulator mięs '!$C$5:$H$533,EL$4,0)*$R60,0)</f>
        <v>0</v>
      </c>
      <c r="EM60">
        <f>IFERROR(VLOOKUP($D60,'Kalkulator mięs '!$C$5:$H$533,EM$4,0)*$R60,0)</f>
        <v>0</v>
      </c>
      <c r="EN60">
        <f>IFERROR(VLOOKUP($D60,'Kalkulator mięs '!$C$5:$H$533,EN$4,0)*$R60,0)</f>
        <v>0</v>
      </c>
      <c r="EO60">
        <f>IFERROR(VLOOKUP($D60,'Kalkulator mięs '!$C$5:$H$533,EO$4,0)*$S60,0)</f>
        <v>0</v>
      </c>
      <c r="EP60">
        <f>IFERROR(VLOOKUP($D60,'Kalkulator mięs '!$C$5:$H$533,EP$4,0)*$S60,0)</f>
        <v>0</v>
      </c>
      <c r="EQ60">
        <f>IFERROR(VLOOKUP($D60,'Kalkulator mięs '!$C$5:$H$533,EQ$4,0)*$S60,0)</f>
        <v>0</v>
      </c>
      <c r="ER60">
        <f>IFERROR(VLOOKUP($D60,'Kalkulator mięs '!$C$5:$H$533,ER$4,0)*$T60,0)</f>
        <v>0</v>
      </c>
      <c r="ES60">
        <f>IFERROR(VLOOKUP($D60,'Kalkulator mięs '!$C$5:$H$533,ES$4,0)*$T60,0)</f>
        <v>0</v>
      </c>
      <c r="ET60">
        <f>IFERROR(VLOOKUP($D60,'Kalkulator mięs '!$C$5:$H$533,ET$4,0)*$T60,0)</f>
        <v>0</v>
      </c>
      <c r="EU60">
        <f>IFERROR(VLOOKUP($D60,'Kalkulator mięs '!$C$5:$H$533,EU$4,0)*$U60,0)</f>
        <v>0</v>
      </c>
      <c r="EV60">
        <f>IFERROR(VLOOKUP($D60,'Kalkulator mięs '!$C$5:$H$533,EV$4,0)*$U60,0)</f>
        <v>0</v>
      </c>
      <c r="EW60">
        <f>IFERROR(VLOOKUP($D60,'Kalkulator mięs '!$C$5:$H$533,EW$4,0)*$U60,0)</f>
        <v>0</v>
      </c>
      <c r="EX60">
        <f>IFERROR(VLOOKUP($D60,'Kalkulator mięs '!$C$5:$H$533,EX$4,0)*$V60,0)</f>
        <v>0</v>
      </c>
      <c r="EY60">
        <f>IFERROR(VLOOKUP($D60,'Kalkulator mięs '!$C$5:$H$533,EY$4,0)*$V60,0)</f>
        <v>0</v>
      </c>
      <c r="EZ60">
        <f>IFERROR(VLOOKUP($D60,'Kalkulator mięs '!$C$5:$H$533,EZ$4,0)*$V60,0)</f>
        <v>0</v>
      </c>
      <c r="FA60">
        <f>IFERROR(VLOOKUP($D60,'Kalkulator mięs '!$C$5:$H$533,FA$4,0)*$W60,0)</f>
        <v>0</v>
      </c>
      <c r="FB60">
        <f>IFERROR(VLOOKUP($D60,'Kalkulator mięs '!$C$5:$H$533,FB$4,0)*$W60,0)</f>
        <v>0</v>
      </c>
      <c r="FC60">
        <f>IFERROR(VLOOKUP($D60,'Kalkulator mięs '!$C$5:$H$533,FC$4,0)*$W60,0)</f>
        <v>0</v>
      </c>
      <c r="FD60">
        <f>IFERROR(VLOOKUP($D60,'Kalkulator mięs '!$C$5:$H$533,FD$4,0)*$X60,0)</f>
        <v>0</v>
      </c>
      <c r="FE60">
        <f>IFERROR(VLOOKUP($D60,'Kalkulator mięs '!$C$5:$H$533,FE$4,0)*$X60,0)</f>
        <v>0</v>
      </c>
      <c r="FF60">
        <f>IFERROR(VLOOKUP($D60,'Kalkulator mięs '!$C$5:$H$533,FF$4,0)*$X60,0)</f>
        <v>0</v>
      </c>
      <c r="FG60">
        <f>IFERROR(VLOOKUP($D60,'Kalkulator mięs '!$C$5:$H$533,FG$4,0)*$Y60,0)</f>
        <v>0</v>
      </c>
      <c r="FH60">
        <f>IFERROR(VLOOKUP($D60,'Kalkulator mięs '!$C$5:$H$533,FH$4,0)*$Y60,0)</f>
        <v>0</v>
      </c>
      <c r="FI60">
        <f>IFERROR(VLOOKUP($D60,'Kalkulator mięs '!$C$5:$H$533,FI$4,0)*$Y60,0)</f>
        <v>0</v>
      </c>
      <c r="FJ60">
        <f>IFERROR(VLOOKUP($D60,'Kalkulator mięs '!$C$5:$H$533,FJ$4,0)*$Z60,0)</f>
        <v>0</v>
      </c>
      <c r="FK60">
        <f>IFERROR(VLOOKUP($D60,'Kalkulator mięs '!$C$5:$H$533,FK$4,0)*$Z60,0)</f>
        <v>0</v>
      </c>
      <c r="FL60">
        <f>IFERROR(VLOOKUP($D60,'Kalkulator mięs '!$C$5:$H$533,FL$4,0)*$Z60,0)</f>
        <v>0</v>
      </c>
      <c r="FM60">
        <f>IFERROR(VLOOKUP($D60,'Kalkulator mięs '!$C$5:$H$533,FM$4,0)*$AA60,0)</f>
        <v>0</v>
      </c>
      <c r="FN60">
        <f>IFERROR(VLOOKUP($D60,'Kalkulator mięs '!$C$5:$H$533,FN$4,0)*$AA60,0)</f>
        <v>0</v>
      </c>
      <c r="FO60">
        <f>IFERROR(VLOOKUP($D60,'Kalkulator mięs '!$C$5:$H$533,FO$4,0)*$AA60,0)</f>
        <v>0</v>
      </c>
      <c r="FP60">
        <f>IFERROR(VLOOKUP($D60,'Kalkulator mięs '!$C$5:$H$533,FP$4,0)*$AB60,0)</f>
        <v>0</v>
      </c>
      <c r="FQ60">
        <f>IFERROR(VLOOKUP($D60,'Kalkulator mięs '!$C$5:$H$533,FQ$4,0)*$AB60,0)</f>
        <v>0</v>
      </c>
      <c r="FR60">
        <f>IFERROR(VLOOKUP($D60,'Kalkulator mięs '!$C$5:$H$533,FR$4,0)*$AB60,0)</f>
        <v>0</v>
      </c>
      <c r="FS60">
        <f>IFERROR(VLOOKUP($D60,'Kalkulator mięs '!$C$5:$H$533,FS$4,0)*$AC60,0)</f>
        <v>0</v>
      </c>
      <c r="FT60">
        <f>IFERROR(VLOOKUP($D60,'Kalkulator mięs '!$C$5:$H$533,FT$4,0)*$AC60,0)</f>
        <v>0</v>
      </c>
      <c r="FU60">
        <f>IFERROR(VLOOKUP($D60,'Kalkulator mięs '!$C$5:$H$533,FU$4,0)*$AC60,0)</f>
        <v>0</v>
      </c>
      <c r="FV60">
        <f>IFERROR(VLOOKUP($D60,'Kalkulator mięs '!$C$5:$H$533,FV$4,0)*$AD60,0)</f>
        <v>0</v>
      </c>
      <c r="FW60">
        <f>IFERROR(VLOOKUP($D60,'Kalkulator mięs '!$C$5:$H$533,FW$4,0)*$AD60,0)</f>
        <v>0</v>
      </c>
      <c r="FX60">
        <f>IFERROR(VLOOKUP($D60,'Kalkulator mięs '!$C$5:$H$533,FX$4,0)*$AD60,0)</f>
        <v>0</v>
      </c>
      <c r="FY60">
        <f>IFERROR(VLOOKUP($D60,'Kalkulator mięs '!$C$5:$H$533,FY$4,0)*$AE60,0)</f>
        <v>0</v>
      </c>
      <c r="FZ60">
        <f>IFERROR(VLOOKUP($D60,'Kalkulator mięs '!$C$5:$H$533,FZ$4,0)*$AE60,0)</f>
        <v>0</v>
      </c>
      <c r="GA60">
        <f>IFERROR(VLOOKUP($D60,'Kalkulator mięs '!$C$5:$H$533,GA$4,0)*$AE60,0)</f>
        <v>0</v>
      </c>
      <c r="GB60">
        <f>IFERROR(VLOOKUP($D60,'Kalkulator mięs '!$C$5:$H$533,GB$4,0)*$AF60,0)</f>
        <v>0</v>
      </c>
      <c r="GC60">
        <f>IFERROR(VLOOKUP($D60,'Kalkulator mięs '!$C$5:$H$533,GC$4,0)*$AF60,0)</f>
        <v>0</v>
      </c>
      <c r="GD60">
        <f>IFERROR(VLOOKUP($D60,'Kalkulator mięs '!$C$5:$H$533,GD$4,0)*$AF60,0)</f>
        <v>0</v>
      </c>
      <c r="GE60">
        <f>IFERROR(VLOOKUP($D60,'Kalkulator mięs '!$C$5:$H$533,GE$4,0)*$AG60,0)</f>
        <v>0</v>
      </c>
      <c r="GF60">
        <f>IFERROR(VLOOKUP($D60,'Kalkulator mięs '!$C$5:$H$533,GF$4,0)*$AG60,0)</f>
        <v>0</v>
      </c>
      <c r="GG60">
        <f>IFERROR(VLOOKUP($D60,'Kalkulator mięs '!$C$5:$H$533,GG$4,0)*$AG60,0)</f>
        <v>0</v>
      </c>
      <c r="GH60">
        <f>IFERROR(VLOOKUP($D60,'Kalkulator mięs '!$C$5:$H$533,GH$4,0)*$AH60,0)</f>
        <v>0</v>
      </c>
      <c r="GI60">
        <f>IFERROR(VLOOKUP($D60,'Kalkulator mięs '!$C$5:$H$533,GI$4,0)*$AH60,0)</f>
        <v>0</v>
      </c>
      <c r="GJ60">
        <f>IFERROR(VLOOKUP($D60,'Kalkulator mięs '!$C$5:$H$533,GJ$4,0)*$AH60,0)</f>
        <v>0</v>
      </c>
      <c r="GK60">
        <f>IFERROR(VLOOKUP($D60,'Kalkulator mięs '!$C$5:$H$533,GK$4,0)*$AI60,0)</f>
        <v>0</v>
      </c>
      <c r="GL60">
        <f>IFERROR(VLOOKUP($D60,'Kalkulator mięs '!$C$5:$H$533,GL$4,0)*$AI60,0)</f>
        <v>0</v>
      </c>
      <c r="GM60">
        <f>IFERROR(VLOOKUP($D60,'Kalkulator mięs '!$C$5:$H$533,GM$4,0)*$AI60,0)</f>
        <v>0</v>
      </c>
      <c r="GN60">
        <f>IFERROR(VLOOKUP($D60,'Kalkulator mięs '!$C$5:$H$533,GN$4,0)*$AJ60,0)</f>
        <v>0</v>
      </c>
      <c r="GO60">
        <f>IFERROR(VLOOKUP($D60,'Kalkulator mięs '!$C$5:$H$533,GO$4,0)*$AJ60,0)</f>
        <v>0</v>
      </c>
      <c r="GP60">
        <f>IFERROR(VLOOKUP($D60,'Kalkulator mięs '!$C$5:$H$533,GP$4,0)*$AJ60,0)</f>
        <v>0</v>
      </c>
      <c r="GQ60">
        <f>IFERROR(VLOOKUP($D60,'Kalkulator mięs '!$C$5:$H$533,GQ$4,0)*$AK60,0)</f>
        <v>0</v>
      </c>
      <c r="GR60">
        <f>IFERROR(VLOOKUP($D60,'Kalkulator mięs '!$C$5:$H$533,GR$4,0)*$AK60,0)</f>
        <v>0</v>
      </c>
      <c r="GS60">
        <f>IFERROR(VLOOKUP($D60,'Kalkulator mięs '!$C$5:$H$533,GS$4,0)*$AK60,0)</f>
        <v>0</v>
      </c>
      <c r="GT60">
        <f>IFERROR(VLOOKUP($D60,'Kalkulator mięs '!$C$5:$H$533,GT$4,0)*$AL60,0)</f>
        <v>0</v>
      </c>
      <c r="GU60">
        <f>IFERROR(VLOOKUP($D60,'Kalkulator mięs '!$C$5:$H$533,GU$4,0)*$AL60,0)</f>
        <v>0</v>
      </c>
      <c r="GV60">
        <f>IFERROR(VLOOKUP($D60,'Kalkulator mięs '!$C$5:$H$533,GV$4,0)*$AL60,0)</f>
        <v>0</v>
      </c>
      <c r="GW60">
        <f>IFERROR(VLOOKUP($D60,'Kalkulator mięs '!$C$5:$H$533,GW$4,0)*$AM60,0)</f>
        <v>0</v>
      </c>
      <c r="GX60">
        <f>IFERROR(VLOOKUP($D60,'Kalkulator mięs '!$C$5:$H$533,GX$4,0)*$AM60,0)</f>
        <v>0</v>
      </c>
      <c r="GY60">
        <f>IFERROR(VLOOKUP($D60,'Kalkulator mięs '!$C$5:$H$533,GY$4,0)*$AM60,0)</f>
        <v>0</v>
      </c>
      <c r="GZ60">
        <f>IFERROR(VLOOKUP($D60,'Kalkulator mięs '!$C$5:$H$533,GZ$4,0)*$AN60,0)</f>
        <v>0</v>
      </c>
      <c r="HA60">
        <f>IFERROR(VLOOKUP($D60,'Kalkulator mięs '!$C$5:$H$533,HA$4,0)*$AN60,0)</f>
        <v>0</v>
      </c>
      <c r="HB60">
        <f>IFERROR(VLOOKUP($D60,'Kalkulator mięs '!$C$5:$H$533,HB$4,0)*$AN60,0)</f>
        <v>0</v>
      </c>
      <c r="HC60">
        <f>IFERROR(VLOOKUP($D60,'Kalkulator mięs '!$C$5:$H$533,HC$4,0)*$AO60,0)</f>
        <v>0</v>
      </c>
      <c r="HD60">
        <f>IFERROR(VLOOKUP($D60,'Kalkulator mięs '!$C$5:$H$533,HD$4,0)*$AO60,0)</f>
        <v>0</v>
      </c>
      <c r="HE60">
        <f>IFERROR(VLOOKUP($D60,'Kalkulator mięs '!$C$5:$H$533,HE$4,0)*$AO60,0)</f>
        <v>0</v>
      </c>
      <c r="HF60">
        <f>IFERROR(VLOOKUP($D60,'Kalkulator mięs '!$C$5:$H$533,HF$4,0)*$AP60,0)</f>
        <v>0</v>
      </c>
      <c r="HG60">
        <f>IFERROR(VLOOKUP($D60,'Kalkulator mięs '!$C$5:$H$533,HG$4,0)*$AP60,0)</f>
        <v>0</v>
      </c>
      <c r="HH60">
        <f>IFERROR(VLOOKUP($D60,'Kalkulator mięs '!$C$5:$H$533,HH$4,0)*$AP60,0)</f>
        <v>0</v>
      </c>
      <c r="HI60">
        <f>IFERROR(VLOOKUP($D60,'Kalkulator mięs '!$C$5:$H$533,HI$4,0)*$AQ60,0)</f>
        <v>0</v>
      </c>
      <c r="HJ60">
        <f>IFERROR(VLOOKUP($D60,'Kalkulator mięs '!$C$5:$H$533,HJ$4,0)*$AQ60,0)</f>
        <v>0</v>
      </c>
      <c r="HK60">
        <f>IFERROR(VLOOKUP($D60,'Kalkulator mięs '!$C$5:$H$533,HK$4,0)*$AQ60,0)</f>
        <v>0</v>
      </c>
      <c r="HL60">
        <f>IFERROR(VLOOKUP($D60,'Kalkulator mięs '!$C$5:$H$533,HL$4,0)*$AR60,0)</f>
        <v>0</v>
      </c>
      <c r="HM60">
        <f>IFERROR(VLOOKUP($D60,'Kalkulator mięs '!$C$5:$H$533,HM$4,0)*$AR60,0)</f>
        <v>0</v>
      </c>
      <c r="HN60">
        <f>IFERROR(VLOOKUP($D60,'Kalkulator mięs '!$C$5:$H$533,HN$4,0)*$AR60,0)</f>
        <v>0</v>
      </c>
      <c r="HO60">
        <f>IFERROR(VLOOKUP($D60,'Kalkulator mięs '!$C$5:$H$533,HO$4,0)*$AS60,0)</f>
        <v>0</v>
      </c>
      <c r="HP60">
        <f>IFERROR(VLOOKUP($D60,'Kalkulator mięs '!$C$5:$H$533,HP$4,0)*$AS60,0)</f>
        <v>0</v>
      </c>
      <c r="HQ60">
        <f>IFERROR(VLOOKUP($D60,'Kalkulator mięs '!$C$5:$H$533,HQ$4,0)*$AS60,0)</f>
        <v>0</v>
      </c>
      <c r="HR60">
        <f>IFERROR(VLOOKUP($D60,'Kalkulator mięs '!$C$5:$H$533,HR$4,0)*$AT60,0)</f>
        <v>0</v>
      </c>
      <c r="HS60">
        <f>IFERROR(VLOOKUP($D60,'Kalkulator mięs '!$C$5:$H$533,HS$4,0)*$AT60,0)</f>
        <v>0</v>
      </c>
      <c r="HT60">
        <f>IFERROR(VLOOKUP($D60,'Kalkulator mięs '!$C$5:$H$533,HT$4,0)*$AT60,0)</f>
        <v>0</v>
      </c>
      <c r="HU60">
        <f>IFERROR(VLOOKUP($D60,'Kalkulator mięs '!$C$5:$H$533,HU$4,0)*$AU60,0)</f>
        <v>0</v>
      </c>
      <c r="HV60">
        <f>IFERROR(VLOOKUP($D60,'Kalkulator mięs '!$C$5:$H$533,HV$4,0)*$AU60,0)</f>
        <v>0</v>
      </c>
      <c r="HW60">
        <f>IFERROR(VLOOKUP($D60,'Kalkulator mięs '!$C$5:$H$533,HW$4,0)*$AU60,0)</f>
        <v>0</v>
      </c>
      <c r="HX60">
        <f>IFERROR(VLOOKUP($D60,'Kalkulator mięs '!$C$5:$H$533,HX$4,0)*$AV60,0)</f>
        <v>0</v>
      </c>
      <c r="HY60">
        <f>IFERROR(VLOOKUP($D60,'Kalkulator mięs '!$C$5:$H$533,HY$4,0)*$AV60,0)</f>
        <v>0</v>
      </c>
      <c r="HZ60">
        <f>IFERROR(VLOOKUP($D60,'Kalkulator mięs '!$C$5:$H$533,HZ$4,0)*$AV60,0)</f>
        <v>0</v>
      </c>
      <c r="IA60">
        <f>IFERROR(VLOOKUP($D60,'Kalkulator mięs '!$C$5:$H$533,IA$4,0)*$AW60,0)</f>
        <v>0</v>
      </c>
      <c r="IB60">
        <f>IFERROR(VLOOKUP($D60,'Kalkulator mięs '!$C$5:$H$533,IB$4,0)*$AW60,0)</f>
        <v>0</v>
      </c>
      <c r="IC60">
        <f>IFERROR(VLOOKUP($D60,'Kalkulator mięs '!$C$5:$H$533,IC$4,0)*$AW60,0)</f>
        <v>0</v>
      </c>
      <c r="ID60">
        <f>IFERROR(VLOOKUP($D60,'Kalkulator mięs '!$C$5:$H$533,ID$4,0)*$AX60,0)</f>
        <v>0</v>
      </c>
      <c r="IE60">
        <f>IFERROR(VLOOKUP($D60,'Kalkulator mięs '!$C$5:$H$533,IE$4,0)*$AX60,0)</f>
        <v>0</v>
      </c>
      <c r="IF60">
        <f>IFERROR(VLOOKUP($D60,'Kalkulator mięs '!$C$5:$H$533,IF$4,0)*$AX60,0)</f>
        <v>0</v>
      </c>
      <c r="IG60">
        <f>IFERROR(VLOOKUP($D60,'Kalkulator mięs '!$C$5:$H$533,IG$4,0)*$AY60,0)</f>
        <v>0</v>
      </c>
      <c r="IH60">
        <f>IFERROR(VLOOKUP($D60,'Kalkulator mięs '!$C$5:$H$533,IH$4,0)*$AY60,0)</f>
        <v>0</v>
      </c>
      <c r="II60">
        <f>IFERROR(VLOOKUP($D60,'Kalkulator mięs '!$C$5:$H$533,II$4,0)*$AY60,0)</f>
        <v>0</v>
      </c>
      <c r="IJ60">
        <f>IFERROR(VLOOKUP($D60,'Kalkulator mięs '!$C$5:$H$533,IJ$4,0)*$AZ60,0)</f>
        <v>0</v>
      </c>
      <c r="IK60">
        <f>IFERROR(VLOOKUP($D60,'Kalkulator mięs '!$C$5:$H$533,IK$4,0)*$AZ60,0)</f>
        <v>0</v>
      </c>
      <c r="IL60">
        <f>IFERROR(VLOOKUP($D60,'Kalkulator mięs '!$C$5:$H$533,IL$4,0)*$AZ60,0)</f>
        <v>0</v>
      </c>
      <c r="IM60">
        <f>IFERROR(VLOOKUP($D60,'Kalkulator mięs '!$C$5:$H$533,IM$4,0)*$BA60,0)</f>
        <v>0</v>
      </c>
      <c r="IN60">
        <f>IFERROR(VLOOKUP($D60,'Kalkulator mięs '!$C$5:$H$533,IN$4,0)*$BA60,0)</f>
        <v>0</v>
      </c>
      <c r="IO60">
        <f>IFERROR(VLOOKUP($D60,'Kalkulator mięs '!$C$5:$H$533,IO$4,0)*$BA60,0)</f>
        <v>0</v>
      </c>
    </row>
    <row r="61" spans="1:249" ht="15.75">
      <c r="B61" t="str">
        <f>VLOOKUP(D61,Receptury_z!$A:$B,2,0)</f>
        <v>ON</v>
      </c>
      <c r="C61" s="21">
        <v>5465</v>
      </c>
      <c r="D61" s="22">
        <v>7051</v>
      </c>
      <c r="E61" s="3" t="s">
        <v>63</v>
      </c>
      <c r="F61" s="14">
        <f>IF($B61="OFF",BE61,VLOOKUP($D61,Receptury_z!$D:$AI,F$4,0))</f>
        <v>0</v>
      </c>
      <c r="G61" s="14">
        <f>IF($B61="OFF",BF61,VLOOKUP($D61,Receptury_z!$D:$AI,G$4,0))</f>
        <v>0</v>
      </c>
      <c r="H61" s="14">
        <f>IF($B61="OFF",BG61,VLOOKUP($D61,Receptury_z!$D:$AI,H$4,0))</f>
        <v>0</v>
      </c>
      <c r="I61" s="14">
        <f>IF($B61="OFF",BH61,VLOOKUP($D61,Receptury_z!$D:$AI,I$4,0))</f>
        <v>0</v>
      </c>
      <c r="J61" s="14">
        <f>IF($B61="OFF",BI61,VLOOKUP($D61,Receptury_z!$D:$AI,J$4,0))</f>
        <v>0</v>
      </c>
      <c r="K61" s="14">
        <f>IF($B61="OFF",BJ61,VLOOKUP($D61,Receptury_z!$D:$AI,K$4,0))</f>
        <v>0</v>
      </c>
      <c r="L61" s="14">
        <f>IF($B61="OFF",BK61,VLOOKUP($D61,Receptury_z!$D:$AI,L$4,0))</f>
        <v>0</v>
      </c>
      <c r="M61" s="14">
        <f>IF($B61="OFF",BL61,VLOOKUP($D61,Receptury_z!$D:$AI,M$4,0))</f>
        <v>0</v>
      </c>
      <c r="N61" s="14">
        <f>IF($B61="OFF",BM61,VLOOKUP($D61,Receptury_z!$D:$AI,N$4,0))</f>
        <v>0</v>
      </c>
      <c r="O61" s="14">
        <f>IF($B61="OFF",BN61,VLOOKUP($D61,Receptury_z!$D:$AI,O$4,0))</f>
        <v>0</v>
      </c>
      <c r="P61" s="14">
        <f>IF($B61="OFF",BO61,VLOOKUP($D61,Receptury_z!$D:$AI,P$4,0))</f>
        <v>0</v>
      </c>
      <c r="Q61" s="14">
        <f>IF($B61="OFF",BP61,VLOOKUP($D61,Receptury_z!$D:$AI,Q$4,0))</f>
        <v>47.9</v>
      </c>
      <c r="R61" s="14">
        <f>IF($B61="OFF",BQ61,VLOOKUP($D61,Receptury_z!$D:$AI,R$4,0))</f>
        <v>0</v>
      </c>
      <c r="S61" s="14">
        <f>IF($B61="OFF",BR61,VLOOKUP($D61,Receptury_z!$D:$AI,S$4,0))</f>
        <v>0</v>
      </c>
      <c r="T61" s="14">
        <f>IF($B61="OFF",BS61,VLOOKUP($D61,Receptury_z!$D:$AI,T$4,0))</f>
        <v>210.6</v>
      </c>
      <c r="U61" s="14">
        <f>IF($B61="OFF",BT61,VLOOKUP($D61,Receptury_z!$D:$AI,U$4,0))</f>
        <v>28.7</v>
      </c>
      <c r="V61" s="14">
        <f>IF($B61="OFF",BU61,VLOOKUP($D61,Receptury_z!$D:$AI,V$4,0))</f>
        <v>0</v>
      </c>
      <c r="W61" s="14">
        <f>IF($B61="OFF",BV61,VLOOKUP($D61,Receptury_z!$D:$AI,W$4,0))</f>
        <v>0</v>
      </c>
      <c r="X61" s="14">
        <f>IF($B61="OFF",BW61,VLOOKUP($D61,Receptury_z!$D:$AI,X$4,0))</f>
        <v>0</v>
      </c>
      <c r="Y61" s="14">
        <f>IF($B61="OFF",BX61,VLOOKUP($D61,Receptury_z!$D:$AI,Y$4,0))</f>
        <v>0</v>
      </c>
      <c r="Z61" s="14">
        <f>IF($B61="OFF",BY61,VLOOKUP($D61,Receptury_z!$D:$AI,Z$4,0))</f>
        <v>670.1</v>
      </c>
      <c r="AA61" s="14">
        <f>IF($B61="OFF",BZ61,VLOOKUP($D61,Receptury_z!$D:$AI,AA$4,0))</f>
        <v>0</v>
      </c>
      <c r="AB61" s="14">
        <f>IF($B61="OFF",CA61,VLOOKUP($D61,Receptury_z!$D:$AI,AB$4,0))</f>
        <v>0</v>
      </c>
      <c r="AC61" s="14">
        <f>IF($B61="OFF",CB61,VLOOKUP($D61,Receptury_z!$D:$AI,AC$4,0))</f>
        <v>0</v>
      </c>
      <c r="AD61" s="14">
        <f>IF($B61="OFF",CC61,VLOOKUP($D61,Receptury_z!$D:$AI,AD$4,0))</f>
        <v>0</v>
      </c>
      <c r="AE61" s="14">
        <f>IF($B61="OFF",CD61,VLOOKUP($D61,Receptury_z!$D:$AI,AE$4,0))</f>
        <v>0</v>
      </c>
      <c r="AF61" s="14">
        <f>IF($B61="OFF",CE61,VLOOKUP($D61,Receptury_z!$D:$AI,AF$4,0))</f>
        <v>0</v>
      </c>
      <c r="AG61" s="14">
        <f>IF($B61="OFF",CF61,VLOOKUP($D61,Receptury_z!$D:$AI,AG$4,0))</f>
        <v>0</v>
      </c>
      <c r="AH61" s="14">
        <f>IF($B61="OFF",CG61,VLOOKUP($D61,Receptury_z!$D:$AI,AH$4,0))</f>
        <v>0</v>
      </c>
      <c r="AI61" s="14">
        <f>IF($B61="OFF",CH61,VLOOKUP($D61,Receptury_z!$D:$AI,AI$4,0))</f>
        <v>0</v>
      </c>
      <c r="AJ61" s="14">
        <f>IF($B61="OFF",CI61,VLOOKUP($D61,Receptury_z!$D:$AS,AJ$4,0))</f>
        <v>0</v>
      </c>
      <c r="AK61" s="14">
        <f>IF($B61="OFF",CJ61,VLOOKUP($D61,Receptury_z!$D:$AS,AK$4,0))</f>
        <v>0</v>
      </c>
      <c r="AL61" s="14">
        <f>IF($B61="OFF",CK61,VLOOKUP($D61,Receptury_z!$D:$AS,AL$4,0))</f>
        <v>0</v>
      </c>
      <c r="AM61" s="14">
        <f>IF($B61="OFF",CL61,VLOOKUP($D61,Receptury_z!$D:$AS,AM$4,0))</f>
        <v>0</v>
      </c>
      <c r="AN61" s="14">
        <f>IF($B61="OFF",CM61,VLOOKUP($D61,Receptury_z!$D:$AS,AN$4,0))</f>
        <v>0</v>
      </c>
      <c r="AO61" s="14">
        <f>IF($B61="OFF",CN61,VLOOKUP($D61,Receptury_z!$D:$AS,AO$4,0))</f>
        <v>0</v>
      </c>
      <c r="AP61" s="14">
        <f>IF($B61="OFF",CO61,VLOOKUP($D61,Receptury_z!$D:$AS,AP$4,0))</f>
        <v>0</v>
      </c>
      <c r="AQ61" s="14">
        <f>IF($B61="OFF",CP61,VLOOKUP($D61,Receptury_z!$D:$AS,AQ$4,0))</f>
        <v>0</v>
      </c>
      <c r="AR61" s="14">
        <f>IF($B61="OFF",CQ61,VLOOKUP($D61,Receptury_z!$D:$AS,AR$4,0))</f>
        <v>0</v>
      </c>
      <c r="AS61" s="14">
        <f>IF($B61="OFF",CR61,VLOOKUP($D61,Receptury_z!$D:$AS,AS$4,0))</f>
        <v>0</v>
      </c>
      <c r="AT61" s="14">
        <f>IF($B61="OFF",CS61,VLOOKUP($D61,Receptury_z!$D:$AV,AT$4,0))</f>
        <v>0</v>
      </c>
      <c r="AU61" s="14">
        <f>IF($B61="OFF",CT61,VLOOKUP($D61,Receptury_z!$D:$AV,AU$4,0))</f>
        <v>0</v>
      </c>
      <c r="AV61" s="14">
        <f>IF($B61="OFF",CU61,VLOOKUP($D61,Receptury_z!$D:$AV,AV$4,0))</f>
        <v>0</v>
      </c>
      <c r="AW61" s="14">
        <f>IF($B61="OFF",CV61,VLOOKUP($D61,Receptury_z!$D:$BA,AW$4,0))</f>
        <v>0</v>
      </c>
      <c r="AX61" s="14">
        <f>IF($B61="OFF",CW61,VLOOKUP($D61,Receptury_z!$D:$BA,AX$4,0))</f>
        <v>0</v>
      </c>
      <c r="AY61" s="14">
        <f>IF($B61="OFF",CX61,VLOOKUP($D61,Receptury_z!$D:$BA,AY$4,0))</f>
        <v>0</v>
      </c>
      <c r="AZ61" s="14">
        <f>IF($B61="OFF",DA61,VLOOKUP($D61,Receptury_z!$D:$BA,AZ$4,0))</f>
        <v>0</v>
      </c>
      <c r="BA61" s="14">
        <f>IF($B61="OFF",DB61,VLOOKUP($D61,Receptury_z!$D:$BA,BA$4,0))</f>
        <v>0</v>
      </c>
      <c r="BC61" s="22">
        <v>7051</v>
      </c>
      <c r="BD61" s="3" t="s">
        <v>63</v>
      </c>
      <c r="BE61" s="239">
        <v>0</v>
      </c>
      <c r="BF61" s="239">
        <v>0</v>
      </c>
      <c r="BG61" s="239">
        <v>0</v>
      </c>
      <c r="BH61" s="239">
        <v>0</v>
      </c>
      <c r="BI61" s="239">
        <v>0</v>
      </c>
      <c r="BJ61" s="239">
        <v>0</v>
      </c>
      <c r="BK61" s="239">
        <v>0</v>
      </c>
      <c r="BL61" s="239">
        <v>0</v>
      </c>
      <c r="BM61" s="239">
        <v>0</v>
      </c>
      <c r="BN61" s="239">
        <v>0</v>
      </c>
      <c r="BO61" s="239">
        <v>0</v>
      </c>
      <c r="BP61" s="239">
        <v>47.9</v>
      </c>
      <c r="BQ61" s="239">
        <v>0</v>
      </c>
      <c r="BR61" s="239">
        <v>0</v>
      </c>
      <c r="BS61" s="239">
        <v>210.74</v>
      </c>
      <c r="BT61" s="239">
        <v>28.7</v>
      </c>
      <c r="BU61" s="239">
        <v>0</v>
      </c>
      <c r="BV61" s="239">
        <v>0</v>
      </c>
      <c r="BW61" s="239">
        <v>0</v>
      </c>
      <c r="BX61" s="239">
        <v>0</v>
      </c>
      <c r="BY61" s="239">
        <v>670.54</v>
      </c>
      <c r="BZ61" s="239">
        <v>0</v>
      </c>
      <c r="CA61" s="239">
        <v>0</v>
      </c>
      <c r="CB61" s="239">
        <v>0</v>
      </c>
      <c r="CC61" s="239">
        <v>0</v>
      </c>
      <c r="CD61" s="239">
        <v>0</v>
      </c>
      <c r="CE61" s="239">
        <v>0</v>
      </c>
      <c r="CF61" s="239">
        <v>0</v>
      </c>
      <c r="CG61" s="239">
        <v>0</v>
      </c>
      <c r="CH61" s="239">
        <v>0</v>
      </c>
      <c r="CI61" s="239">
        <v>0</v>
      </c>
      <c r="CJ61" s="239">
        <v>0</v>
      </c>
      <c r="CK61" s="239">
        <v>0</v>
      </c>
      <c r="CL61" s="239">
        <v>0</v>
      </c>
      <c r="CM61" s="80"/>
      <c r="CN61" s="80"/>
      <c r="CO61" s="80"/>
      <c r="CP61" s="80"/>
      <c r="CQ61" s="80"/>
      <c r="CR61" s="80"/>
      <c r="CS61" s="80"/>
      <c r="CT61" s="80"/>
      <c r="CU61" s="80"/>
      <c r="CV61" s="80"/>
      <c r="CW61" s="80"/>
      <c r="CX61" s="80"/>
      <c r="CY61" s="80"/>
      <c r="CZ61" s="80"/>
      <c r="DB61">
        <f>IFERROR(VLOOKUP($D61,'Kalkulator mięs '!$C$5:$H$533,DB$4,0)*F61,0)</f>
        <v>0</v>
      </c>
      <c r="DC61">
        <f>IFERROR(VLOOKUP($D61,'Kalkulator mięs '!$C$5:$H$533,DC$4,0)*F61,0)</f>
        <v>0</v>
      </c>
      <c r="DD61">
        <f>IFERROR(VLOOKUP($D61,'Kalkulator mięs '!$C$5:$H$533,DD$4,0)*F61,0)</f>
        <v>0</v>
      </c>
      <c r="DE61">
        <f>IFERROR(VLOOKUP($D61,'Kalkulator mięs '!$C$5:$H$533,DE$4,0)*$G61,0)</f>
        <v>0</v>
      </c>
      <c r="DF61">
        <f>IFERROR(VLOOKUP($D61,'Kalkulator mięs '!$C$5:$H$533,DF$4,0)*$G61,0)</f>
        <v>0</v>
      </c>
      <c r="DG61">
        <f>IFERROR(VLOOKUP($D61,'Kalkulator mięs '!$C$5:$H$533,DG$4,0)*$G61,0)</f>
        <v>0</v>
      </c>
      <c r="DH61">
        <f>IFERROR(VLOOKUP($D61,'Kalkulator mięs '!$C$5:$H$533,DH$4,0)*$H61,0)</f>
        <v>0</v>
      </c>
      <c r="DI61">
        <f>IFERROR(VLOOKUP($D61,'Kalkulator mięs '!$C$5:$H$533,DI$4,0)*$H61,0)</f>
        <v>0</v>
      </c>
      <c r="DJ61">
        <f>IFERROR(VLOOKUP($D61,'Kalkulator mięs '!$C$5:$H$533,DJ$4,0)*$H61,0)</f>
        <v>0</v>
      </c>
      <c r="DK61">
        <f>IFERROR(VLOOKUP($D61,'Kalkulator mięs '!$C$5:$H$533,DK$4,0)*$I61,0)</f>
        <v>0</v>
      </c>
      <c r="DL61">
        <f>IFERROR(VLOOKUP($D61,'Kalkulator mięs '!$C$5:$H$533,DL$4,0)*$I61,0)</f>
        <v>0</v>
      </c>
      <c r="DM61">
        <f>IFERROR(VLOOKUP($D61,'Kalkulator mięs '!$C$5:$H$533,DM$4,0)*$I61,0)</f>
        <v>0</v>
      </c>
      <c r="DN61">
        <f>IFERROR(VLOOKUP($D61,'Kalkulator mięs '!$C$5:$H$533,DN$4,0)*$J61,0)</f>
        <v>0</v>
      </c>
      <c r="DO61">
        <f>IFERROR(VLOOKUP($D61,'Kalkulator mięs '!$C$5:$H$533,DO$4,0)*$J61,0)</f>
        <v>0</v>
      </c>
      <c r="DP61">
        <f>IFERROR(VLOOKUP($D61,'Kalkulator mięs '!$C$5:$H$533,DP$4,0)*$J61,0)</f>
        <v>0</v>
      </c>
      <c r="DQ61">
        <f>IFERROR(VLOOKUP($D61,'Kalkulator mięs '!$C$5:$H$533,DQ$4,0)*$K61,0)</f>
        <v>0</v>
      </c>
      <c r="DR61">
        <f>IFERROR(VLOOKUP($D61,'Kalkulator mięs '!$C$5:$H$533,DR$4,0)*$K61,0)</f>
        <v>0</v>
      </c>
      <c r="DS61">
        <f>IFERROR(VLOOKUP($D61,'Kalkulator mięs '!$C$5:$H$533,DS$4,0)*$K61,0)</f>
        <v>0</v>
      </c>
      <c r="DT61">
        <f>IFERROR(VLOOKUP($D61,'Kalkulator mięs '!$C$5:$H$533,DT$4,0)*$L61,0)</f>
        <v>0</v>
      </c>
      <c r="DU61">
        <f>IFERROR(VLOOKUP($D61,'Kalkulator mięs '!$C$5:$H$533,DU$4,0)*$L61,0)</f>
        <v>0</v>
      </c>
      <c r="DV61">
        <f>IFERROR(VLOOKUP($D61,'Kalkulator mięs '!$C$5:$H$533,DV$4,0)*$L61,0)</f>
        <v>0</v>
      </c>
      <c r="DW61">
        <f>IFERROR(VLOOKUP($D61,'Kalkulator mięs '!$C$5:$H$533,DW$4,0)*$M61,0)</f>
        <v>0</v>
      </c>
      <c r="DX61">
        <f>IFERROR(VLOOKUP($D61,'Kalkulator mięs '!$C$5:$H$533,DX$4,0)*$M61,0)</f>
        <v>0</v>
      </c>
      <c r="DY61">
        <f>IFERROR(VLOOKUP($D61,'Kalkulator mięs '!$C$5:$H$533,DY$4,0)*$M61,0)</f>
        <v>0</v>
      </c>
      <c r="DZ61">
        <f>IFERROR(VLOOKUP($D61,'Kalkulator mięs '!$C$5:$H$533,DZ$4,0)*$N61,0)</f>
        <v>0</v>
      </c>
      <c r="EA61">
        <f>IFERROR(VLOOKUP($D61,'Kalkulator mięs '!$C$5:$H$533,EA$4,0)*$N61,0)</f>
        <v>0</v>
      </c>
      <c r="EB61">
        <f>IFERROR(VLOOKUP($D61,'Kalkulator mięs '!$C$5:$H$533,EB$4,0)*$N61,0)</f>
        <v>0</v>
      </c>
      <c r="EC61">
        <f>IFERROR(VLOOKUP($D61,'Kalkulator mięs '!$C$5:$H$533,EC$4,0)*$O61,0)</f>
        <v>0</v>
      </c>
      <c r="ED61">
        <f>IFERROR(VLOOKUP($D61,'Kalkulator mięs '!$C$5:$H$533,ED$4,0)*$O61,0)</f>
        <v>0</v>
      </c>
      <c r="EE61">
        <f>IFERROR(VLOOKUP($D61,'Kalkulator mięs '!$C$5:$H$533,EE$4,0)*$O61,0)</f>
        <v>0</v>
      </c>
      <c r="EF61">
        <f>IFERROR(VLOOKUP($D61,'Kalkulator mięs '!$C$5:$H$533,EF$4,0)*$P61,0)</f>
        <v>0</v>
      </c>
      <c r="EG61">
        <f>IFERROR(VLOOKUP($D61,'Kalkulator mięs '!$C$5:$H$533,EG$4,0)*$P61,0)</f>
        <v>0</v>
      </c>
      <c r="EH61">
        <f>IFERROR(VLOOKUP($D61,'Kalkulator mięs '!$C$5:$H$533,EH$4,0)*$P61,0)</f>
        <v>0</v>
      </c>
      <c r="EI61">
        <f>IFERROR(VLOOKUP($D61,'Kalkulator mięs '!$C$5:$H$533,EI$4,0)*$Q61,0)</f>
        <v>0</v>
      </c>
      <c r="EJ61">
        <f>IFERROR(VLOOKUP($D61,'Kalkulator mięs '!$C$5:$H$533,EJ$4,0)*$Q61,0)</f>
        <v>0</v>
      </c>
      <c r="EK61">
        <f>IFERROR(VLOOKUP($D61,'Kalkulator mięs '!$C$5:$H$533,EK$4,0)*$Q61,0)</f>
        <v>335.3</v>
      </c>
      <c r="EL61">
        <f>IFERROR(VLOOKUP($D61,'Kalkulator mięs '!$C$5:$H$533,EL$4,0)*$R61,0)</f>
        <v>0</v>
      </c>
      <c r="EM61">
        <f>IFERROR(VLOOKUP($D61,'Kalkulator mięs '!$C$5:$H$533,EM$4,0)*$R61,0)</f>
        <v>0</v>
      </c>
      <c r="EN61">
        <f>IFERROR(VLOOKUP($D61,'Kalkulator mięs '!$C$5:$H$533,EN$4,0)*$R61,0)</f>
        <v>0</v>
      </c>
      <c r="EO61">
        <f>IFERROR(VLOOKUP($D61,'Kalkulator mięs '!$C$5:$H$533,EO$4,0)*$S61,0)</f>
        <v>0</v>
      </c>
      <c r="EP61">
        <f>IFERROR(VLOOKUP($D61,'Kalkulator mięs '!$C$5:$H$533,EP$4,0)*$S61,0)</f>
        <v>0</v>
      </c>
      <c r="EQ61">
        <f>IFERROR(VLOOKUP($D61,'Kalkulator mięs '!$C$5:$H$533,EQ$4,0)*$S61,0)</f>
        <v>0</v>
      </c>
      <c r="ER61">
        <f>IFERROR(VLOOKUP($D61,'Kalkulator mięs '!$C$5:$H$533,ER$4,0)*$T61,0)</f>
        <v>0</v>
      </c>
      <c r="ES61">
        <f>IFERROR(VLOOKUP($D61,'Kalkulator mięs '!$C$5:$H$533,ES$4,0)*$T61,0)</f>
        <v>0</v>
      </c>
      <c r="ET61">
        <f>IFERROR(VLOOKUP($D61,'Kalkulator mięs '!$C$5:$H$533,ET$4,0)*$T61,0)</f>
        <v>1474.2</v>
      </c>
      <c r="EU61">
        <f>IFERROR(VLOOKUP($D61,'Kalkulator mięs '!$C$5:$H$533,EU$4,0)*$U61,0)</f>
        <v>0</v>
      </c>
      <c r="EV61">
        <f>IFERROR(VLOOKUP($D61,'Kalkulator mięs '!$C$5:$H$533,EV$4,0)*$U61,0)</f>
        <v>0</v>
      </c>
      <c r="EW61">
        <f>IFERROR(VLOOKUP($D61,'Kalkulator mięs '!$C$5:$H$533,EW$4,0)*$U61,0)</f>
        <v>200.9</v>
      </c>
      <c r="EX61">
        <f>IFERROR(VLOOKUP($D61,'Kalkulator mięs '!$C$5:$H$533,EX$4,0)*$V61,0)</f>
        <v>0</v>
      </c>
      <c r="EY61">
        <f>IFERROR(VLOOKUP($D61,'Kalkulator mięs '!$C$5:$H$533,EY$4,0)*$V61,0)</f>
        <v>0</v>
      </c>
      <c r="EZ61">
        <f>IFERROR(VLOOKUP($D61,'Kalkulator mięs '!$C$5:$H$533,EZ$4,0)*$V61,0)</f>
        <v>0</v>
      </c>
      <c r="FA61">
        <f>IFERROR(VLOOKUP($D61,'Kalkulator mięs '!$C$5:$H$533,FA$4,0)*$W61,0)</f>
        <v>0</v>
      </c>
      <c r="FB61">
        <f>IFERROR(VLOOKUP($D61,'Kalkulator mięs '!$C$5:$H$533,FB$4,0)*$W61,0)</f>
        <v>0</v>
      </c>
      <c r="FC61">
        <f>IFERROR(VLOOKUP($D61,'Kalkulator mięs '!$C$5:$H$533,FC$4,0)*$W61,0)</f>
        <v>0</v>
      </c>
      <c r="FD61">
        <f>IFERROR(VLOOKUP($D61,'Kalkulator mięs '!$C$5:$H$533,FD$4,0)*$X61,0)</f>
        <v>0</v>
      </c>
      <c r="FE61">
        <f>IFERROR(VLOOKUP($D61,'Kalkulator mięs '!$C$5:$H$533,FE$4,0)*$X61,0)</f>
        <v>0</v>
      </c>
      <c r="FF61">
        <f>IFERROR(VLOOKUP($D61,'Kalkulator mięs '!$C$5:$H$533,FF$4,0)*$X61,0)</f>
        <v>0</v>
      </c>
      <c r="FG61">
        <f>IFERROR(VLOOKUP($D61,'Kalkulator mięs '!$C$5:$H$533,FG$4,0)*$Y61,0)</f>
        <v>0</v>
      </c>
      <c r="FH61">
        <f>IFERROR(VLOOKUP($D61,'Kalkulator mięs '!$C$5:$H$533,FH$4,0)*$Y61,0)</f>
        <v>0</v>
      </c>
      <c r="FI61">
        <f>IFERROR(VLOOKUP($D61,'Kalkulator mięs '!$C$5:$H$533,FI$4,0)*$Y61,0)</f>
        <v>0</v>
      </c>
      <c r="FJ61">
        <f>IFERROR(VLOOKUP($D61,'Kalkulator mięs '!$C$5:$H$533,FJ$4,0)*$Z61,0)</f>
        <v>0</v>
      </c>
      <c r="FK61">
        <f>IFERROR(VLOOKUP($D61,'Kalkulator mięs '!$C$5:$H$533,FK$4,0)*$Z61,0)</f>
        <v>0</v>
      </c>
      <c r="FL61">
        <f>IFERROR(VLOOKUP($D61,'Kalkulator mięs '!$C$5:$H$533,FL$4,0)*$Z61,0)</f>
        <v>4690.7</v>
      </c>
      <c r="FM61">
        <f>IFERROR(VLOOKUP($D61,'Kalkulator mięs '!$C$5:$H$533,FM$4,0)*$AA61,0)</f>
        <v>0</v>
      </c>
      <c r="FN61">
        <f>IFERROR(VLOOKUP($D61,'Kalkulator mięs '!$C$5:$H$533,FN$4,0)*$AA61,0)</f>
        <v>0</v>
      </c>
      <c r="FO61">
        <f>IFERROR(VLOOKUP($D61,'Kalkulator mięs '!$C$5:$H$533,FO$4,0)*$AA61,0)</f>
        <v>0</v>
      </c>
      <c r="FP61">
        <f>IFERROR(VLOOKUP($D61,'Kalkulator mięs '!$C$5:$H$533,FP$4,0)*$AB61,0)</f>
        <v>0</v>
      </c>
      <c r="FQ61">
        <f>IFERROR(VLOOKUP($D61,'Kalkulator mięs '!$C$5:$H$533,FQ$4,0)*$AB61,0)</f>
        <v>0</v>
      </c>
      <c r="FR61">
        <f>IFERROR(VLOOKUP($D61,'Kalkulator mięs '!$C$5:$H$533,FR$4,0)*$AB61,0)</f>
        <v>0</v>
      </c>
      <c r="FS61">
        <f>IFERROR(VLOOKUP($D61,'Kalkulator mięs '!$C$5:$H$533,FS$4,0)*$AC61,0)</f>
        <v>0</v>
      </c>
      <c r="FT61">
        <f>IFERROR(VLOOKUP($D61,'Kalkulator mięs '!$C$5:$H$533,FT$4,0)*$AC61,0)</f>
        <v>0</v>
      </c>
      <c r="FU61">
        <f>IFERROR(VLOOKUP($D61,'Kalkulator mięs '!$C$5:$H$533,FU$4,0)*$AC61,0)</f>
        <v>0</v>
      </c>
      <c r="FV61">
        <f>IFERROR(VLOOKUP($D61,'Kalkulator mięs '!$C$5:$H$533,FV$4,0)*$AD61,0)</f>
        <v>0</v>
      </c>
      <c r="FW61">
        <f>IFERROR(VLOOKUP($D61,'Kalkulator mięs '!$C$5:$H$533,FW$4,0)*$AD61,0)</f>
        <v>0</v>
      </c>
      <c r="FX61">
        <f>IFERROR(VLOOKUP($D61,'Kalkulator mięs '!$C$5:$H$533,FX$4,0)*$AD61,0)</f>
        <v>0</v>
      </c>
      <c r="FY61">
        <f>IFERROR(VLOOKUP($D61,'Kalkulator mięs '!$C$5:$H$533,FY$4,0)*$AE61,0)</f>
        <v>0</v>
      </c>
      <c r="FZ61">
        <f>IFERROR(VLOOKUP($D61,'Kalkulator mięs '!$C$5:$H$533,FZ$4,0)*$AE61,0)</f>
        <v>0</v>
      </c>
      <c r="GA61">
        <f>IFERROR(VLOOKUP($D61,'Kalkulator mięs '!$C$5:$H$533,GA$4,0)*$AE61,0)</f>
        <v>0</v>
      </c>
      <c r="GB61">
        <f>IFERROR(VLOOKUP($D61,'Kalkulator mięs '!$C$5:$H$533,GB$4,0)*$AF61,0)</f>
        <v>0</v>
      </c>
      <c r="GC61">
        <f>IFERROR(VLOOKUP($D61,'Kalkulator mięs '!$C$5:$H$533,GC$4,0)*$AF61,0)</f>
        <v>0</v>
      </c>
      <c r="GD61">
        <f>IFERROR(VLOOKUP($D61,'Kalkulator mięs '!$C$5:$H$533,GD$4,0)*$AF61,0)</f>
        <v>0</v>
      </c>
      <c r="GE61">
        <f>IFERROR(VLOOKUP($D61,'Kalkulator mięs '!$C$5:$H$533,GE$4,0)*$AG61,0)</f>
        <v>0</v>
      </c>
      <c r="GF61">
        <f>IFERROR(VLOOKUP($D61,'Kalkulator mięs '!$C$5:$H$533,GF$4,0)*$AG61,0)</f>
        <v>0</v>
      </c>
      <c r="GG61">
        <f>IFERROR(VLOOKUP($D61,'Kalkulator mięs '!$C$5:$H$533,GG$4,0)*$AG61,0)</f>
        <v>0</v>
      </c>
      <c r="GH61">
        <f>IFERROR(VLOOKUP($D61,'Kalkulator mięs '!$C$5:$H$533,GH$4,0)*$AH61,0)</f>
        <v>0</v>
      </c>
      <c r="GI61">
        <f>IFERROR(VLOOKUP($D61,'Kalkulator mięs '!$C$5:$H$533,GI$4,0)*$AH61,0)</f>
        <v>0</v>
      </c>
      <c r="GJ61">
        <f>IFERROR(VLOOKUP($D61,'Kalkulator mięs '!$C$5:$H$533,GJ$4,0)*$AH61,0)</f>
        <v>0</v>
      </c>
      <c r="GK61">
        <f>IFERROR(VLOOKUP($D61,'Kalkulator mięs '!$C$5:$H$533,GK$4,0)*$AI61,0)</f>
        <v>0</v>
      </c>
      <c r="GL61">
        <f>IFERROR(VLOOKUP($D61,'Kalkulator mięs '!$C$5:$H$533,GL$4,0)*$AI61,0)</f>
        <v>0</v>
      </c>
      <c r="GM61">
        <f>IFERROR(VLOOKUP($D61,'Kalkulator mięs '!$C$5:$H$533,GM$4,0)*$AI61,0)</f>
        <v>0</v>
      </c>
      <c r="GN61">
        <f>IFERROR(VLOOKUP($D61,'Kalkulator mięs '!$C$5:$H$533,GN$4,0)*$AJ61,0)</f>
        <v>0</v>
      </c>
      <c r="GO61">
        <f>IFERROR(VLOOKUP($D61,'Kalkulator mięs '!$C$5:$H$533,GO$4,0)*$AJ61,0)</f>
        <v>0</v>
      </c>
      <c r="GP61">
        <f>IFERROR(VLOOKUP($D61,'Kalkulator mięs '!$C$5:$H$533,GP$4,0)*$AJ61,0)</f>
        <v>0</v>
      </c>
      <c r="GQ61">
        <f>IFERROR(VLOOKUP($D61,'Kalkulator mięs '!$C$5:$H$533,GQ$4,0)*$AK61,0)</f>
        <v>0</v>
      </c>
      <c r="GR61">
        <f>IFERROR(VLOOKUP($D61,'Kalkulator mięs '!$C$5:$H$533,GR$4,0)*$AK61,0)</f>
        <v>0</v>
      </c>
      <c r="GS61">
        <f>IFERROR(VLOOKUP($D61,'Kalkulator mięs '!$C$5:$H$533,GS$4,0)*$AK61,0)</f>
        <v>0</v>
      </c>
      <c r="GT61">
        <f>IFERROR(VLOOKUP($D61,'Kalkulator mięs '!$C$5:$H$533,GT$4,0)*$AL61,0)</f>
        <v>0</v>
      </c>
      <c r="GU61">
        <f>IFERROR(VLOOKUP($D61,'Kalkulator mięs '!$C$5:$H$533,GU$4,0)*$AL61,0)</f>
        <v>0</v>
      </c>
      <c r="GV61">
        <f>IFERROR(VLOOKUP($D61,'Kalkulator mięs '!$C$5:$H$533,GV$4,0)*$AL61,0)</f>
        <v>0</v>
      </c>
      <c r="GW61">
        <f>IFERROR(VLOOKUP($D61,'Kalkulator mięs '!$C$5:$H$533,GW$4,0)*$AM61,0)</f>
        <v>0</v>
      </c>
      <c r="GX61">
        <f>IFERROR(VLOOKUP($D61,'Kalkulator mięs '!$C$5:$H$533,GX$4,0)*$AM61,0)</f>
        <v>0</v>
      </c>
      <c r="GY61">
        <f>IFERROR(VLOOKUP($D61,'Kalkulator mięs '!$C$5:$H$533,GY$4,0)*$AM61,0)</f>
        <v>0</v>
      </c>
      <c r="GZ61">
        <f>IFERROR(VLOOKUP($D61,'Kalkulator mięs '!$C$5:$H$533,GZ$4,0)*$AN61,0)</f>
        <v>0</v>
      </c>
      <c r="HA61">
        <f>IFERROR(VLOOKUP($D61,'Kalkulator mięs '!$C$5:$H$533,HA$4,0)*$AN61,0)</f>
        <v>0</v>
      </c>
      <c r="HB61">
        <f>IFERROR(VLOOKUP($D61,'Kalkulator mięs '!$C$5:$H$533,HB$4,0)*$AN61,0)</f>
        <v>0</v>
      </c>
      <c r="HC61">
        <f>IFERROR(VLOOKUP($D61,'Kalkulator mięs '!$C$5:$H$533,HC$4,0)*$AO61,0)</f>
        <v>0</v>
      </c>
      <c r="HD61">
        <f>IFERROR(VLOOKUP($D61,'Kalkulator mięs '!$C$5:$H$533,HD$4,0)*$AO61,0)</f>
        <v>0</v>
      </c>
      <c r="HE61">
        <f>IFERROR(VLOOKUP($D61,'Kalkulator mięs '!$C$5:$H$533,HE$4,0)*$AO61,0)</f>
        <v>0</v>
      </c>
      <c r="HF61">
        <f>IFERROR(VLOOKUP($D61,'Kalkulator mięs '!$C$5:$H$533,HF$4,0)*$AP61,0)</f>
        <v>0</v>
      </c>
      <c r="HG61">
        <f>IFERROR(VLOOKUP($D61,'Kalkulator mięs '!$C$5:$H$533,HG$4,0)*$AP61,0)</f>
        <v>0</v>
      </c>
      <c r="HH61">
        <f>IFERROR(VLOOKUP($D61,'Kalkulator mięs '!$C$5:$H$533,HH$4,0)*$AP61,0)</f>
        <v>0</v>
      </c>
      <c r="HI61">
        <f>IFERROR(VLOOKUP($D61,'Kalkulator mięs '!$C$5:$H$533,HI$4,0)*$AQ61,0)</f>
        <v>0</v>
      </c>
      <c r="HJ61">
        <f>IFERROR(VLOOKUP($D61,'Kalkulator mięs '!$C$5:$H$533,HJ$4,0)*$AQ61,0)</f>
        <v>0</v>
      </c>
      <c r="HK61">
        <f>IFERROR(VLOOKUP($D61,'Kalkulator mięs '!$C$5:$H$533,HK$4,0)*$AQ61,0)</f>
        <v>0</v>
      </c>
      <c r="HL61">
        <f>IFERROR(VLOOKUP($D61,'Kalkulator mięs '!$C$5:$H$533,HL$4,0)*$AR61,0)</f>
        <v>0</v>
      </c>
      <c r="HM61">
        <f>IFERROR(VLOOKUP($D61,'Kalkulator mięs '!$C$5:$H$533,HM$4,0)*$AR61,0)</f>
        <v>0</v>
      </c>
      <c r="HN61">
        <f>IFERROR(VLOOKUP($D61,'Kalkulator mięs '!$C$5:$H$533,HN$4,0)*$AR61,0)</f>
        <v>0</v>
      </c>
      <c r="HO61">
        <f>IFERROR(VLOOKUP($D61,'Kalkulator mięs '!$C$5:$H$533,HO$4,0)*$AS61,0)</f>
        <v>0</v>
      </c>
      <c r="HP61">
        <f>IFERROR(VLOOKUP($D61,'Kalkulator mięs '!$C$5:$H$533,HP$4,0)*$AS61,0)</f>
        <v>0</v>
      </c>
      <c r="HQ61">
        <f>IFERROR(VLOOKUP($D61,'Kalkulator mięs '!$C$5:$H$533,HQ$4,0)*$AS61,0)</f>
        <v>0</v>
      </c>
      <c r="HR61">
        <f>IFERROR(VLOOKUP($D61,'Kalkulator mięs '!$C$5:$H$533,HR$4,0)*$AT61,0)</f>
        <v>0</v>
      </c>
      <c r="HS61">
        <f>IFERROR(VLOOKUP($D61,'Kalkulator mięs '!$C$5:$H$533,HS$4,0)*$AT61,0)</f>
        <v>0</v>
      </c>
      <c r="HT61">
        <f>IFERROR(VLOOKUP($D61,'Kalkulator mięs '!$C$5:$H$533,HT$4,0)*$AT61,0)</f>
        <v>0</v>
      </c>
      <c r="HU61">
        <f>IFERROR(VLOOKUP($D61,'Kalkulator mięs '!$C$5:$H$533,HU$4,0)*$AU61,0)</f>
        <v>0</v>
      </c>
      <c r="HV61">
        <f>IFERROR(VLOOKUP($D61,'Kalkulator mięs '!$C$5:$H$533,HV$4,0)*$AU61,0)</f>
        <v>0</v>
      </c>
      <c r="HW61">
        <f>IFERROR(VLOOKUP($D61,'Kalkulator mięs '!$C$5:$H$533,HW$4,0)*$AU61,0)</f>
        <v>0</v>
      </c>
      <c r="HX61">
        <f>IFERROR(VLOOKUP($D61,'Kalkulator mięs '!$C$5:$H$533,HX$4,0)*$AV61,0)</f>
        <v>0</v>
      </c>
      <c r="HY61">
        <f>IFERROR(VLOOKUP($D61,'Kalkulator mięs '!$C$5:$H$533,HY$4,0)*$AV61,0)</f>
        <v>0</v>
      </c>
      <c r="HZ61">
        <f>IFERROR(VLOOKUP($D61,'Kalkulator mięs '!$C$5:$H$533,HZ$4,0)*$AV61,0)</f>
        <v>0</v>
      </c>
      <c r="IA61">
        <f>IFERROR(VLOOKUP($D61,'Kalkulator mięs '!$C$5:$H$533,IA$4,0)*$AW61,0)</f>
        <v>0</v>
      </c>
      <c r="IB61">
        <f>IFERROR(VLOOKUP($D61,'Kalkulator mięs '!$C$5:$H$533,IB$4,0)*$AW61,0)</f>
        <v>0</v>
      </c>
      <c r="IC61">
        <f>IFERROR(VLOOKUP($D61,'Kalkulator mięs '!$C$5:$H$533,IC$4,0)*$AW61,0)</f>
        <v>0</v>
      </c>
      <c r="ID61">
        <f>IFERROR(VLOOKUP($D61,'Kalkulator mięs '!$C$5:$H$533,ID$4,0)*$AX61,0)</f>
        <v>0</v>
      </c>
      <c r="IE61">
        <f>IFERROR(VLOOKUP($D61,'Kalkulator mięs '!$C$5:$H$533,IE$4,0)*$AX61,0)</f>
        <v>0</v>
      </c>
      <c r="IF61">
        <f>IFERROR(VLOOKUP($D61,'Kalkulator mięs '!$C$5:$H$533,IF$4,0)*$AX61,0)</f>
        <v>0</v>
      </c>
      <c r="IG61">
        <f>IFERROR(VLOOKUP($D61,'Kalkulator mięs '!$C$5:$H$533,IG$4,0)*$AY61,0)</f>
        <v>0</v>
      </c>
      <c r="IH61">
        <f>IFERROR(VLOOKUP($D61,'Kalkulator mięs '!$C$5:$H$533,IH$4,0)*$AY61,0)</f>
        <v>0</v>
      </c>
      <c r="II61">
        <f>IFERROR(VLOOKUP($D61,'Kalkulator mięs '!$C$5:$H$533,II$4,0)*$AY61,0)</f>
        <v>0</v>
      </c>
      <c r="IJ61">
        <f>IFERROR(VLOOKUP($D61,'Kalkulator mięs '!$C$5:$H$533,IJ$4,0)*$AZ61,0)</f>
        <v>0</v>
      </c>
      <c r="IK61">
        <f>IFERROR(VLOOKUP($D61,'Kalkulator mięs '!$C$5:$H$533,IK$4,0)*$AZ61,0)</f>
        <v>0</v>
      </c>
      <c r="IL61">
        <f>IFERROR(VLOOKUP($D61,'Kalkulator mięs '!$C$5:$H$533,IL$4,0)*$AZ61,0)</f>
        <v>0</v>
      </c>
      <c r="IM61">
        <f>IFERROR(VLOOKUP($D61,'Kalkulator mięs '!$C$5:$H$533,IM$4,0)*$BA61,0)</f>
        <v>0</v>
      </c>
      <c r="IN61">
        <f>IFERROR(VLOOKUP($D61,'Kalkulator mięs '!$C$5:$H$533,IN$4,0)*$BA61,0)</f>
        <v>0</v>
      </c>
      <c r="IO61">
        <f>IFERROR(VLOOKUP($D61,'Kalkulator mięs '!$C$5:$H$533,IO$4,0)*$BA61,0)</f>
        <v>0</v>
      </c>
    </row>
    <row r="62" spans="1:249" ht="15.75">
      <c r="B62" t="str">
        <f>VLOOKUP(D62,Receptury_z!$A:$B,2,0)</f>
        <v>ON</v>
      </c>
      <c r="C62" s="23">
        <v>5492</v>
      </c>
      <c r="D62" s="24">
        <v>7004</v>
      </c>
      <c r="E62" s="25" t="s">
        <v>50</v>
      </c>
      <c r="F62" s="14">
        <f>IF($B62="OFF",BE62,VLOOKUP($D62,Receptury_z!$D:$AI,F$4,0))</f>
        <v>0</v>
      </c>
      <c r="G62" s="14">
        <f>IF($B62="OFF",BF62,VLOOKUP($D62,Receptury_z!$D:$AI,G$4,0))</f>
        <v>0</v>
      </c>
      <c r="H62" s="14">
        <f>IF($B62="OFF",BG62,VLOOKUP($D62,Receptury_z!$D:$AI,H$4,0))</f>
        <v>0</v>
      </c>
      <c r="I62" s="14">
        <f>IF($B62="OFF",BH62,VLOOKUP($D62,Receptury_z!$D:$AI,I$4,0))</f>
        <v>98.6</v>
      </c>
      <c r="J62" s="14">
        <f>IF($B62="OFF",BI62,VLOOKUP($D62,Receptury_z!$D:$AI,J$4,0))</f>
        <v>0</v>
      </c>
      <c r="K62" s="14">
        <f>IF($B62="OFF",BJ62,VLOOKUP($D62,Receptury_z!$D:$AI,K$4,0))</f>
        <v>0</v>
      </c>
      <c r="L62" s="14">
        <f>IF($B62="OFF",BK62,VLOOKUP($D62,Receptury_z!$D:$AI,L$4,0))</f>
        <v>98.6</v>
      </c>
      <c r="M62" s="14">
        <f>IF($B62="OFF",BL62,VLOOKUP($D62,Receptury_z!$D:$AI,M$4,0))</f>
        <v>0</v>
      </c>
      <c r="N62" s="14">
        <f>IF($B62="OFF",BM62,VLOOKUP($D62,Receptury_z!$D:$AI,N$4,0))</f>
        <v>0</v>
      </c>
      <c r="O62" s="14">
        <f>IF($B62="OFF",BN62,VLOOKUP($D62,Receptury_z!$D:$AI,O$4,0))</f>
        <v>0</v>
      </c>
      <c r="P62" s="14">
        <f>IF($B62="OFF",BO62,VLOOKUP($D62,Receptury_z!$D:$AI,P$4,0))</f>
        <v>0</v>
      </c>
      <c r="Q62" s="14">
        <f>IF($B62="OFF",BP62,VLOOKUP($D62,Receptury_z!$D:$AI,Q$4,0))</f>
        <v>39.4</v>
      </c>
      <c r="R62" s="14">
        <f>IF($B62="OFF",BQ62,VLOOKUP($D62,Receptury_z!$D:$AI,R$4,0))</f>
        <v>0</v>
      </c>
      <c r="S62" s="14">
        <f>IF($B62="OFF",BR62,VLOOKUP($D62,Receptury_z!$D:$AI,S$4,0))</f>
        <v>0</v>
      </c>
      <c r="T62" s="14">
        <f>IF($B62="OFF",BS62,VLOOKUP($D62,Receptury_z!$D:$AI,T$4,0))</f>
        <v>0</v>
      </c>
      <c r="U62" s="14">
        <f>IF($B62="OFF",BT62,VLOOKUP($D62,Receptury_z!$D:$AI,U$4,0))</f>
        <v>448.9</v>
      </c>
      <c r="V62" s="14">
        <f>IF($B62="OFF",BU62,VLOOKUP($D62,Receptury_z!$D:$AI,V$4,0))</f>
        <v>0</v>
      </c>
      <c r="W62" s="14">
        <f>IF($B62="OFF",BV62,VLOOKUP($D62,Receptury_z!$D:$AI,W$4,0))</f>
        <v>0</v>
      </c>
      <c r="X62" s="14">
        <f>IF($B62="OFF",BW62,VLOOKUP($D62,Receptury_z!$D:$AI,X$4,0))</f>
        <v>49.9</v>
      </c>
      <c r="Y62" s="14">
        <f>IF($B62="OFF",BX62,VLOOKUP($D62,Receptury_z!$D:$AI,Y$4,0))</f>
        <v>100</v>
      </c>
      <c r="Z62" s="14">
        <f>IF($B62="OFF",BY62,VLOOKUP($D62,Receptury_z!$D:$AI,Z$4,0))</f>
        <v>0</v>
      </c>
      <c r="AA62" s="14">
        <f>IF($B62="OFF",BZ62,VLOOKUP($D62,Receptury_z!$D:$AI,AA$4,0))</f>
        <v>129.69999999999999</v>
      </c>
      <c r="AB62" s="14">
        <f>IF($B62="OFF",CA62,VLOOKUP($D62,Receptury_z!$D:$AI,AB$4,0))</f>
        <v>0</v>
      </c>
      <c r="AC62" s="14">
        <f>IF($B62="OFF",CB62,VLOOKUP($D62,Receptury_z!$D:$AI,AC$4,0))</f>
        <v>0</v>
      </c>
      <c r="AD62" s="14">
        <f>IF($B62="OFF",CC62,VLOOKUP($D62,Receptury_z!$D:$AI,AD$4,0))</f>
        <v>0</v>
      </c>
      <c r="AE62" s="14">
        <f>IF($B62="OFF",CD62,VLOOKUP($D62,Receptury_z!$D:$AI,AE$4,0))</f>
        <v>0</v>
      </c>
      <c r="AF62" s="14">
        <f>IF($B62="OFF",CE62,VLOOKUP($D62,Receptury_z!$D:$AI,AF$4,0))</f>
        <v>0</v>
      </c>
      <c r="AG62" s="14">
        <f>IF($B62="OFF",CF62,VLOOKUP($D62,Receptury_z!$D:$AI,AG$4,0))</f>
        <v>0</v>
      </c>
      <c r="AH62" s="14">
        <f>IF($B62="OFF",CG62,VLOOKUP($D62,Receptury_z!$D:$AI,AH$4,0))</f>
        <v>0</v>
      </c>
      <c r="AI62" s="14">
        <f>IF($B62="OFF",CH62,VLOOKUP($D62,Receptury_z!$D:$AI,AI$4,0))</f>
        <v>0</v>
      </c>
      <c r="AJ62" s="14">
        <f>IF($B62="OFF",CI62,VLOOKUP($D62,Receptury_z!$D:$AS,AJ$4,0))</f>
        <v>31.4</v>
      </c>
      <c r="AK62" s="14">
        <f>IF($B62="OFF",CJ62,VLOOKUP($D62,Receptury_z!$D:$AS,AK$4,0))</f>
        <v>0</v>
      </c>
      <c r="AL62" s="14">
        <f>IF($B62="OFF",CK62,VLOOKUP($D62,Receptury_z!$D:$AS,AL$4,0))</f>
        <v>0</v>
      </c>
      <c r="AM62" s="14">
        <f>IF($B62="OFF",CL62,VLOOKUP($D62,Receptury_z!$D:$AS,AM$4,0))</f>
        <v>0</v>
      </c>
      <c r="AN62" s="14">
        <f>IF($B62="OFF",CM62,VLOOKUP($D62,Receptury_z!$D:$AS,AN$4,0))</f>
        <v>0</v>
      </c>
      <c r="AO62" s="14">
        <f>IF($B62="OFF",CN62,VLOOKUP($D62,Receptury_z!$D:$AS,AO$4,0))</f>
        <v>0</v>
      </c>
      <c r="AP62" s="14">
        <f>IF($B62="OFF",CO62,VLOOKUP($D62,Receptury_z!$D:$AS,AP$4,0))</f>
        <v>0</v>
      </c>
      <c r="AQ62" s="14">
        <f>IF($B62="OFF",CP62,VLOOKUP($D62,Receptury_z!$D:$AS,AQ$4,0))</f>
        <v>0</v>
      </c>
      <c r="AR62" s="14">
        <f>IF($B62="OFF",CQ62,VLOOKUP($D62,Receptury_z!$D:$AS,AR$4,0))</f>
        <v>0</v>
      </c>
      <c r="AS62" s="14">
        <f>IF($B62="OFF",CR62,VLOOKUP($D62,Receptury_z!$D:$AS,AS$4,0))</f>
        <v>0</v>
      </c>
      <c r="AT62" s="14">
        <f>IF($B62="OFF",CS62,VLOOKUP($D62,Receptury_z!$D:$AV,AT$4,0))</f>
        <v>0</v>
      </c>
      <c r="AU62" s="14">
        <f>IF($B62="OFF",CT62,VLOOKUP($D62,Receptury_z!$D:$AV,AU$4,0))</f>
        <v>0</v>
      </c>
      <c r="AV62" s="14">
        <f>IF($B62="OFF",CU62,VLOOKUP($D62,Receptury_z!$D:$AV,AV$4,0))</f>
        <v>0</v>
      </c>
      <c r="AW62" s="14">
        <f>IF($B62="OFF",CV62,VLOOKUP($D62,Receptury_z!$D:$BA,AW$4,0))</f>
        <v>0</v>
      </c>
      <c r="AX62" s="14">
        <f>IF($B62="OFF",CW62,VLOOKUP($D62,Receptury_z!$D:$BA,AX$4,0))</f>
        <v>0</v>
      </c>
      <c r="AY62" s="14">
        <f>IF($B62="OFF",CX62,VLOOKUP($D62,Receptury_z!$D:$BA,AY$4,0))</f>
        <v>0</v>
      </c>
      <c r="AZ62" s="14">
        <f>IF($B62="OFF",DA62,VLOOKUP($D62,Receptury_z!$D:$BA,AZ$4,0))</f>
        <v>0</v>
      </c>
      <c r="BA62" s="14">
        <f>IF($B62="OFF",DB62,VLOOKUP($D62,Receptury_z!$D:$BA,BA$4,0))</f>
        <v>0</v>
      </c>
      <c r="BC62" s="24">
        <v>7004</v>
      </c>
      <c r="BD62" s="25" t="s">
        <v>50</v>
      </c>
      <c r="BE62" s="239">
        <v>0</v>
      </c>
      <c r="BF62" s="239">
        <v>68.900000000000006</v>
      </c>
      <c r="BG62" s="239">
        <v>0</v>
      </c>
      <c r="BH62" s="239"/>
      <c r="BI62" s="239">
        <v>0</v>
      </c>
      <c r="BJ62" s="239">
        <v>0</v>
      </c>
      <c r="BK62" s="239">
        <v>99.8</v>
      </c>
      <c r="BL62" s="239">
        <v>0</v>
      </c>
      <c r="BM62" s="239">
        <v>0</v>
      </c>
      <c r="BN62" s="239">
        <v>0</v>
      </c>
      <c r="BO62" s="239">
        <v>0</v>
      </c>
      <c r="BP62" s="239">
        <v>0</v>
      </c>
      <c r="BQ62" s="239">
        <v>0</v>
      </c>
      <c r="BR62" s="239">
        <v>0</v>
      </c>
      <c r="BS62" s="239">
        <v>0</v>
      </c>
      <c r="BT62" s="239">
        <v>499</v>
      </c>
      <c r="BU62" s="239">
        <v>0</v>
      </c>
      <c r="BV62" s="239">
        <v>0</v>
      </c>
      <c r="BW62" s="239">
        <v>49.9</v>
      </c>
      <c r="BX62" s="239">
        <v>0</v>
      </c>
      <c r="BY62" s="239">
        <v>0</v>
      </c>
      <c r="BZ62" s="239">
        <v>129.69999999999999</v>
      </c>
      <c r="CA62" s="239">
        <v>0</v>
      </c>
      <c r="CB62" s="239">
        <v>0</v>
      </c>
      <c r="CC62" s="239">
        <v>0</v>
      </c>
      <c r="CD62" s="239">
        <v>0</v>
      </c>
      <c r="CE62" s="239">
        <v>0</v>
      </c>
      <c r="CF62" s="239">
        <v>0</v>
      </c>
      <c r="CG62" s="239">
        <v>0</v>
      </c>
      <c r="CH62" s="239">
        <v>0</v>
      </c>
      <c r="CI62" s="239">
        <v>49.9</v>
      </c>
      <c r="CJ62" s="239">
        <v>0</v>
      </c>
      <c r="CK62" s="239">
        <v>0</v>
      </c>
      <c r="CL62" s="239">
        <v>0</v>
      </c>
      <c r="CM62" s="80"/>
      <c r="CN62" s="80"/>
      <c r="CO62" s="80"/>
      <c r="CP62" s="80"/>
      <c r="CQ62" s="80">
        <v>99.8</v>
      </c>
      <c r="CR62" s="80"/>
      <c r="CS62" s="80"/>
      <c r="CT62" s="80"/>
      <c r="CU62" s="80"/>
      <c r="CV62" s="80"/>
      <c r="CW62" s="80"/>
      <c r="CX62" s="80"/>
      <c r="CY62" s="80"/>
      <c r="CZ62" s="80"/>
      <c r="DB62">
        <f>IFERROR(VLOOKUP($D62,'Kalkulator mięs '!$C$5:$H$533,DB$4,0)*F62,0)</f>
        <v>0</v>
      </c>
      <c r="DC62">
        <f>IFERROR(VLOOKUP($D62,'Kalkulator mięs '!$C$5:$H$533,DC$4,0)*F62,0)</f>
        <v>0</v>
      </c>
      <c r="DD62">
        <f>IFERROR(VLOOKUP($D62,'Kalkulator mięs '!$C$5:$H$533,DD$4,0)*F62,0)</f>
        <v>0</v>
      </c>
      <c r="DE62">
        <f>IFERROR(VLOOKUP($D62,'Kalkulator mięs '!$C$5:$H$533,DE$4,0)*$G62,0)</f>
        <v>0</v>
      </c>
      <c r="DF62">
        <f>IFERROR(VLOOKUP($D62,'Kalkulator mięs '!$C$5:$H$533,DF$4,0)*$G62,0)</f>
        <v>0</v>
      </c>
      <c r="DG62">
        <f>IFERROR(VLOOKUP($D62,'Kalkulator mięs '!$C$5:$H$533,DG$4,0)*$G62,0)</f>
        <v>0</v>
      </c>
      <c r="DH62">
        <f>IFERROR(VLOOKUP($D62,'Kalkulator mięs '!$C$5:$H$533,DH$4,0)*$H62,0)</f>
        <v>0</v>
      </c>
      <c r="DI62">
        <f>IFERROR(VLOOKUP($D62,'Kalkulator mięs '!$C$5:$H$533,DI$4,0)*$H62,0)</f>
        <v>0</v>
      </c>
      <c r="DJ62">
        <f>IFERROR(VLOOKUP($D62,'Kalkulator mięs '!$C$5:$H$533,DJ$4,0)*$H62,0)</f>
        <v>0</v>
      </c>
      <c r="DK62">
        <f>IFERROR(VLOOKUP($D62,'Kalkulator mięs '!$C$5:$H$533,DK$4,0)*$I62,0)</f>
        <v>0</v>
      </c>
      <c r="DL62">
        <f>IFERROR(VLOOKUP($D62,'Kalkulator mięs '!$C$5:$H$533,DL$4,0)*$I62,0)</f>
        <v>0</v>
      </c>
      <c r="DM62">
        <f>IFERROR(VLOOKUP($D62,'Kalkulator mięs '!$C$5:$H$533,DM$4,0)*$I62,0)</f>
        <v>591.59999999999991</v>
      </c>
      <c r="DN62">
        <f>IFERROR(VLOOKUP($D62,'Kalkulator mięs '!$C$5:$H$533,DN$4,0)*$J62,0)</f>
        <v>0</v>
      </c>
      <c r="DO62">
        <f>IFERROR(VLOOKUP($D62,'Kalkulator mięs '!$C$5:$H$533,DO$4,0)*$J62,0)</f>
        <v>0</v>
      </c>
      <c r="DP62">
        <f>IFERROR(VLOOKUP($D62,'Kalkulator mięs '!$C$5:$H$533,DP$4,0)*$J62,0)</f>
        <v>0</v>
      </c>
      <c r="DQ62">
        <f>IFERROR(VLOOKUP($D62,'Kalkulator mięs '!$C$5:$H$533,DQ$4,0)*$K62,0)</f>
        <v>0</v>
      </c>
      <c r="DR62">
        <f>IFERROR(VLOOKUP($D62,'Kalkulator mięs '!$C$5:$H$533,DR$4,0)*$K62,0)</f>
        <v>0</v>
      </c>
      <c r="DS62">
        <f>IFERROR(VLOOKUP($D62,'Kalkulator mięs '!$C$5:$H$533,DS$4,0)*$K62,0)</f>
        <v>0</v>
      </c>
      <c r="DT62">
        <f>IFERROR(VLOOKUP($D62,'Kalkulator mięs '!$C$5:$H$533,DT$4,0)*$L62,0)</f>
        <v>0</v>
      </c>
      <c r="DU62">
        <f>IFERROR(VLOOKUP($D62,'Kalkulator mięs '!$C$5:$H$533,DU$4,0)*$L62,0)</f>
        <v>0</v>
      </c>
      <c r="DV62">
        <f>IFERROR(VLOOKUP($D62,'Kalkulator mięs '!$C$5:$H$533,DV$4,0)*$L62,0)</f>
        <v>591.59999999999991</v>
      </c>
      <c r="DW62">
        <f>IFERROR(VLOOKUP($D62,'Kalkulator mięs '!$C$5:$H$533,DW$4,0)*$M62,0)</f>
        <v>0</v>
      </c>
      <c r="DX62">
        <f>IFERROR(VLOOKUP($D62,'Kalkulator mięs '!$C$5:$H$533,DX$4,0)*$M62,0)</f>
        <v>0</v>
      </c>
      <c r="DY62">
        <f>IFERROR(VLOOKUP($D62,'Kalkulator mięs '!$C$5:$H$533,DY$4,0)*$M62,0)</f>
        <v>0</v>
      </c>
      <c r="DZ62">
        <f>IFERROR(VLOOKUP($D62,'Kalkulator mięs '!$C$5:$H$533,DZ$4,0)*$N62,0)</f>
        <v>0</v>
      </c>
      <c r="EA62">
        <f>IFERROR(VLOOKUP($D62,'Kalkulator mięs '!$C$5:$H$533,EA$4,0)*$N62,0)</f>
        <v>0</v>
      </c>
      <c r="EB62">
        <f>IFERROR(VLOOKUP($D62,'Kalkulator mięs '!$C$5:$H$533,EB$4,0)*$N62,0)</f>
        <v>0</v>
      </c>
      <c r="EC62">
        <f>IFERROR(VLOOKUP($D62,'Kalkulator mięs '!$C$5:$H$533,EC$4,0)*$O62,0)</f>
        <v>0</v>
      </c>
      <c r="ED62">
        <f>IFERROR(VLOOKUP($D62,'Kalkulator mięs '!$C$5:$H$533,ED$4,0)*$O62,0)</f>
        <v>0</v>
      </c>
      <c r="EE62">
        <f>IFERROR(VLOOKUP($D62,'Kalkulator mięs '!$C$5:$H$533,EE$4,0)*$O62,0)</f>
        <v>0</v>
      </c>
      <c r="EF62">
        <f>IFERROR(VLOOKUP($D62,'Kalkulator mięs '!$C$5:$H$533,EF$4,0)*$P62,0)</f>
        <v>0</v>
      </c>
      <c r="EG62">
        <f>IFERROR(VLOOKUP($D62,'Kalkulator mięs '!$C$5:$H$533,EG$4,0)*$P62,0)</f>
        <v>0</v>
      </c>
      <c r="EH62">
        <f>IFERROR(VLOOKUP($D62,'Kalkulator mięs '!$C$5:$H$533,EH$4,0)*$P62,0)</f>
        <v>0</v>
      </c>
      <c r="EI62">
        <f>IFERROR(VLOOKUP($D62,'Kalkulator mięs '!$C$5:$H$533,EI$4,0)*$Q62,0)</f>
        <v>0</v>
      </c>
      <c r="EJ62">
        <f>IFERROR(VLOOKUP($D62,'Kalkulator mięs '!$C$5:$H$533,EJ$4,0)*$Q62,0)</f>
        <v>0</v>
      </c>
      <c r="EK62">
        <f>IFERROR(VLOOKUP($D62,'Kalkulator mięs '!$C$5:$H$533,EK$4,0)*$Q62,0)</f>
        <v>236.39999999999998</v>
      </c>
      <c r="EL62">
        <f>IFERROR(VLOOKUP($D62,'Kalkulator mięs '!$C$5:$H$533,EL$4,0)*$R62,0)</f>
        <v>0</v>
      </c>
      <c r="EM62">
        <f>IFERROR(VLOOKUP($D62,'Kalkulator mięs '!$C$5:$H$533,EM$4,0)*$R62,0)</f>
        <v>0</v>
      </c>
      <c r="EN62">
        <f>IFERROR(VLOOKUP($D62,'Kalkulator mięs '!$C$5:$H$533,EN$4,0)*$R62,0)</f>
        <v>0</v>
      </c>
      <c r="EO62">
        <f>IFERROR(VLOOKUP($D62,'Kalkulator mięs '!$C$5:$H$533,EO$4,0)*$S62,0)</f>
        <v>0</v>
      </c>
      <c r="EP62">
        <f>IFERROR(VLOOKUP($D62,'Kalkulator mięs '!$C$5:$H$533,EP$4,0)*$S62,0)</f>
        <v>0</v>
      </c>
      <c r="EQ62">
        <f>IFERROR(VLOOKUP($D62,'Kalkulator mięs '!$C$5:$H$533,EQ$4,0)*$S62,0)</f>
        <v>0</v>
      </c>
      <c r="ER62">
        <f>IFERROR(VLOOKUP($D62,'Kalkulator mięs '!$C$5:$H$533,ER$4,0)*$T62,0)</f>
        <v>0</v>
      </c>
      <c r="ES62">
        <f>IFERROR(VLOOKUP($D62,'Kalkulator mięs '!$C$5:$H$533,ES$4,0)*$T62,0)</f>
        <v>0</v>
      </c>
      <c r="ET62">
        <f>IFERROR(VLOOKUP($D62,'Kalkulator mięs '!$C$5:$H$533,ET$4,0)*$T62,0)</f>
        <v>0</v>
      </c>
      <c r="EU62">
        <f>IFERROR(VLOOKUP($D62,'Kalkulator mięs '!$C$5:$H$533,EU$4,0)*$U62,0)</f>
        <v>0</v>
      </c>
      <c r="EV62">
        <f>IFERROR(VLOOKUP($D62,'Kalkulator mięs '!$C$5:$H$533,EV$4,0)*$U62,0)</f>
        <v>0</v>
      </c>
      <c r="EW62">
        <f>IFERROR(VLOOKUP($D62,'Kalkulator mięs '!$C$5:$H$533,EW$4,0)*$U62,0)</f>
        <v>2693.3999999999996</v>
      </c>
      <c r="EX62">
        <f>IFERROR(VLOOKUP($D62,'Kalkulator mięs '!$C$5:$H$533,EX$4,0)*$V62,0)</f>
        <v>0</v>
      </c>
      <c r="EY62">
        <f>IFERROR(VLOOKUP($D62,'Kalkulator mięs '!$C$5:$H$533,EY$4,0)*$V62,0)</f>
        <v>0</v>
      </c>
      <c r="EZ62">
        <f>IFERROR(VLOOKUP($D62,'Kalkulator mięs '!$C$5:$H$533,EZ$4,0)*$V62,0)</f>
        <v>0</v>
      </c>
      <c r="FA62">
        <f>IFERROR(VLOOKUP($D62,'Kalkulator mięs '!$C$5:$H$533,FA$4,0)*$W62,0)</f>
        <v>0</v>
      </c>
      <c r="FB62">
        <f>IFERROR(VLOOKUP($D62,'Kalkulator mięs '!$C$5:$H$533,FB$4,0)*$W62,0)</f>
        <v>0</v>
      </c>
      <c r="FC62">
        <f>IFERROR(VLOOKUP($D62,'Kalkulator mięs '!$C$5:$H$533,FC$4,0)*$W62,0)</f>
        <v>0</v>
      </c>
      <c r="FD62">
        <f>IFERROR(VLOOKUP($D62,'Kalkulator mięs '!$C$5:$H$533,FD$4,0)*$X62,0)</f>
        <v>0</v>
      </c>
      <c r="FE62">
        <f>IFERROR(VLOOKUP($D62,'Kalkulator mięs '!$C$5:$H$533,FE$4,0)*$X62,0)</f>
        <v>0</v>
      </c>
      <c r="FF62">
        <f>IFERROR(VLOOKUP($D62,'Kalkulator mięs '!$C$5:$H$533,FF$4,0)*$X62,0)</f>
        <v>299.39999999999998</v>
      </c>
      <c r="FG62">
        <f>IFERROR(VLOOKUP($D62,'Kalkulator mięs '!$C$5:$H$533,FG$4,0)*$Y62,0)</f>
        <v>0</v>
      </c>
      <c r="FH62">
        <f>IFERROR(VLOOKUP($D62,'Kalkulator mięs '!$C$5:$H$533,FH$4,0)*$Y62,0)</f>
        <v>0</v>
      </c>
      <c r="FI62">
        <f>IFERROR(VLOOKUP($D62,'Kalkulator mięs '!$C$5:$H$533,FI$4,0)*$Y62,0)</f>
        <v>600</v>
      </c>
      <c r="FJ62">
        <f>IFERROR(VLOOKUP($D62,'Kalkulator mięs '!$C$5:$H$533,FJ$4,0)*$Z62,0)</f>
        <v>0</v>
      </c>
      <c r="FK62">
        <f>IFERROR(VLOOKUP($D62,'Kalkulator mięs '!$C$5:$H$533,FK$4,0)*$Z62,0)</f>
        <v>0</v>
      </c>
      <c r="FL62">
        <f>IFERROR(VLOOKUP($D62,'Kalkulator mięs '!$C$5:$H$533,FL$4,0)*$Z62,0)</f>
        <v>0</v>
      </c>
      <c r="FM62">
        <f>IFERROR(VLOOKUP($D62,'Kalkulator mięs '!$C$5:$H$533,FM$4,0)*$AA62,0)</f>
        <v>0</v>
      </c>
      <c r="FN62">
        <f>IFERROR(VLOOKUP($D62,'Kalkulator mięs '!$C$5:$H$533,FN$4,0)*$AA62,0)</f>
        <v>0</v>
      </c>
      <c r="FO62">
        <f>IFERROR(VLOOKUP($D62,'Kalkulator mięs '!$C$5:$H$533,FO$4,0)*$AA62,0)</f>
        <v>778.19999999999993</v>
      </c>
      <c r="FP62">
        <f>IFERROR(VLOOKUP($D62,'Kalkulator mięs '!$C$5:$H$533,FP$4,0)*$AB62,0)</f>
        <v>0</v>
      </c>
      <c r="FQ62">
        <f>IFERROR(VLOOKUP($D62,'Kalkulator mięs '!$C$5:$H$533,FQ$4,0)*$AB62,0)</f>
        <v>0</v>
      </c>
      <c r="FR62">
        <f>IFERROR(VLOOKUP($D62,'Kalkulator mięs '!$C$5:$H$533,FR$4,0)*$AB62,0)</f>
        <v>0</v>
      </c>
      <c r="FS62">
        <f>IFERROR(VLOOKUP($D62,'Kalkulator mięs '!$C$5:$H$533,FS$4,0)*$AC62,0)</f>
        <v>0</v>
      </c>
      <c r="FT62">
        <f>IFERROR(VLOOKUP($D62,'Kalkulator mięs '!$C$5:$H$533,FT$4,0)*$AC62,0)</f>
        <v>0</v>
      </c>
      <c r="FU62">
        <f>IFERROR(VLOOKUP($D62,'Kalkulator mięs '!$C$5:$H$533,FU$4,0)*$AC62,0)</f>
        <v>0</v>
      </c>
      <c r="FV62">
        <f>IFERROR(VLOOKUP($D62,'Kalkulator mięs '!$C$5:$H$533,FV$4,0)*$AD62,0)</f>
        <v>0</v>
      </c>
      <c r="FW62">
        <f>IFERROR(VLOOKUP($D62,'Kalkulator mięs '!$C$5:$H$533,FW$4,0)*$AD62,0)</f>
        <v>0</v>
      </c>
      <c r="FX62">
        <f>IFERROR(VLOOKUP($D62,'Kalkulator mięs '!$C$5:$H$533,FX$4,0)*$AD62,0)</f>
        <v>0</v>
      </c>
      <c r="FY62">
        <f>IFERROR(VLOOKUP($D62,'Kalkulator mięs '!$C$5:$H$533,FY$4,0)*$AE62,0)</f>
        <v>0</v>
      </c>
      <c r="FZ62">
        <f>IFERROR(VLOOKUP($D62,'Kalkulator mięs '!$C$5:$H$533,FZ$4,0)*$AE62,0)</f>
        <v>0</v>
      </c>
      <c r="GA62">
        <f>IFERROR(VLOOKUP($D62,'Kalkulator mięs '!$C$5:$H$533,GA$4,0)*$AE62,0)</f>
        <v>0</v>
      </c>
      <c r="GB62">
        <f>IFERROR(VLOOKUP($D62,'Kalkulator mięs '!$C$5:$H$533,GB$4,0)*$AF62,0)</f>
        <v>0</v>
      </c>
      <c r="GC62">
        <f>IFERROR(VLOOKUP($D62,'Kalkulator mięs '!$C$5:$H$533,GC$4,0)*$AF62,0)</f>
        <v>0</v>
      </c>
      <c r="GD62">
        <f>IFERROR(VLOOKUP($D62,'Kalkulator mięs '!$C$5:$H$533,GD$4,0)*$AF62,0)</f>
        <v>0</v>
      </c>
      <c r="GE62">
        <f>IFERROR(VLOOKUP($D62,'Kalkulator mięs '!$C$5:$H$533,GE$4,0)*$AG62,0)</f>
        <v>0</v>
      </c>
      <c r="GF62">
        <f>IFERROR(VLOOKUP($D62,'Kalkulator mięs '!$C$5:$H$533,GF$4,0)*$AG62,0)</f>
        <v>0</v>
      </c>
      <c r="GG62">
        <f>IFERROR(VLOOKUP($D62,'Kalkulator mięs '!$C$5:$H$533,GG$4,0)*$AG62,0)</f>
        <v>0</v>
      </c>
      <c r="GH62">
        <f>IFERROR(VLOOKUP($D62,'Kalkulator mięs '!$C$5:$H$533,GH$4,0)*$AH62,0)</f>
        <v>0</v>
      </c>
      <c r="GI62">
        <f>IFERROR(VLOOKUP($D62,'Kalkulator mięs '!$C$5:$H$533,GI$4,0)*$AH62,0)</f>
        <v>0</v>
      </c>
      <c r="GJ62">
        <f>IFERROR(VLOOKUP($D62,'Kalkulator mięs '!$C$5:$H$533,GJ$4,0)*$AH62,0)</f>
        <v>0</v>
      </c>
      <c r="GK62">
        <f>IFERROR(VLOOKUP($D62,'Kalkulator mięs '!$C$5:$H$533,GK$4,0)*$AI62,0)</f>
        <v>0</v>
      </c>
      <c r="GL62">
        <f>IFERROR(VLOOKUP($D62,'Kalkulator mięs '!$C$5:$H$533,GL$4,0)*$AI62,0)</f>
        <v>0</v>
      </c>
      <c r="GM62">
        <f>IFERROR(VLOOKUP($D62,'Kalkulator mięs '!$C$5:$H$533,GM$4,0)*$AI62,0)</f>
        <v>0</v>
      </c>
      <c r="GN62">
        <f>IFERROR(VLOOKUP($D62,'Kalkulator mięs '!$C$5:$H$533,GN$4,0)*$AJ62,0)</f>
        <v>0</v>
      </c>
      <c r="GO62">
        <f>IFERROR(VLOOKUP($D62,'Kalkulator mięs '!$C$5:$H$533,GO$4,0)*$AJ62,0)</f>
        <v>0</v>
      </c>
      <c r="GP62">
        <f>IFERROR(VLOOKUP($D62,'Kalkulator mięs '!$C$5:$H$533,GP$4,0)*$AJ62,0)</f>
        <v>188.39999999999998</v>
      </c>
      <c r="GQ62">
        <f>IFERROR(VLOOKUP($D62,'Kalkulator mięs '!$C$5:$H$533,GQ$4,0)*$AK62,0)</f>
        <v>0</v>
      </c>
      <c r="GR62">
        <f>IFERROR(VLOOKUP($D62,'Kalkulator mięs '!$C$5:$H$533,GR$4,0)*$AK62,0)</f>
        <v>0</v>
      </c>
      <c r="GS62">
        <f>IFERROR(VLOOKUP($D62,'Kalkulator mięs '!$C$5:$H$533,GS$4,0)*$AK62,0)</f>
        <v>0</v>
      </c>
      <c r="GT62">
        <f>IFERROR(VLOOKUP($D62,'Kalkulator mięs '!$C$5:$H$533,GT$4,0)*$AL62,0)</f>
        <v>0</v>
      </c>
      <c r="GU62">
        <f>IFERROR(VLOOKUP($D62,'Kalkulator mięs '!$C$5:$H$533,GU$4,0)*$AL62,0)</f>
        <v>0</v>
      </c>
      <c r="GV62">
        <f>IFERROR(VLOOKUP($D62,'Kalkulator mięs '!$C$5:$H$533,GV$4,0)*$AL62,0)</f>
        <v>0</v>
      </c>
      <c r="GW62">
        <f>IFERROR(VLOOKUP($D62,'Kalkulator mięs '!$C$5:$H$533,GW$4,0)*$AM62,0)</f>
        <v>0</v>
      </c>
      <c r="GX62">
        <f>IFERROR(VLOOKUP($D62,'Kalkulator mięs '!$C$5:$H$533,GX$4,0)*$AM62,0)</f>
        <v>0</v>
      </c>
      <c r="GY62">
        <f>IFERROR(VLOOKUP($D62,'Kalkulator mięs '!$C$5:$H$533,GY$4,0)*$AM62,0)</f>
        <v>0</v>
      </c>
      <c r="GZ62">
        <f>IFERROR(VLOOKUP($D62,'Kalkulator mięs '!$C$5:$H$533,GZ$4,0)*$AN62,0)</f>
        <v>0</v>
      </c>
      <c r="HA62">
        <f>IFERROR(VLOOKUP($D62,'Kalkulator mięs '!$C$5:$H$533,HA$4,0)*$AN62,0)</f>
        <v>0</v>
      </c>
      <c r="HB62">
        <f>IFERROR(VLOOKUP($D62,'Kalkulator mięs '!$C$5:$H$533,HB$4,0)*$AN62,0)</f>
        <v>0</v>
      </c>
      <c r="HC62">
        <f>IFERROR(VLOOKUP($D62,'Kalkulator mięs '!$C$5:$H$533,HC$4,0)*$AO62,0)</f>
        <v>0</v>
      </c>
      <c r="HD62">
        <f>IFERROR(VLOOKUP($D62,'Kalkulator mięs '!$C$5:$H$533,HD$4,0)*$AO62,0)</f>
        <v>0</v>
      </c>
      <c r="HE62">
        <f>IFERROR(VLOOKUP($D62,'Kalkulator mięs '!$C$5:$H$533,HE$4,0)*$AO62,0)</f>
        <v>0</v>
      </c>
      <c r="HF62">
        <f>IFERROR(VLOOKUP($D62,'Kalkulator mięs '!$C$5:$H$533,HF$4,0)*$AP62,0)</f>
        <v>0</v>
      </c>
      <c r="HG62">
        <f>IFERROR(VLOOKUP($D62,'Kalkulator mięs '!$C$5:$H$533,HG$4,0)*$AP62,0)</f>
        <v>0</v>
      </c>
      <c r="HH62">
        <f>IFERROR(VLOOKUP($D62,'Kalkulator mięs '!$C$5:$H$533,HH$4,0)*$AP62,0)</f>
        <v>0</v>
      </c>
      <c r="HI62">
        <f>IFERROR(VLOOKUP($D62,'Kalkulator mięs '!$C$5:$H$533,HI$4,0)*$AQ62,0)</f>
        <v>0</v>
      </c>
      <c r="HJ62">
        <f>IFERROR(VLOOKUP($D62,'Kalkulator mięs '!$C$5:$H$533,HJ$4,0)*$AQ62,0)</f>
        <v>0</v>
      </c>
      <c r="HK62">
        <f>IFERROR(VLOOKUP($D62,'Kalkulator mięs '!$C$5:$H$533,HK$4,0)*$AQ62,0)</f>
        <v>0</v>
      </c>
      <c r="HL62">
        <f>IFERROR(VLOOKUP($D62,'Kalkulator mięs '!$C$5:$H$533,HL$4,0)*$AR62,0)</f>
        <v>0</v>
      </c>
      <c r="HM62">
        <f>IFERROR(VLOOKUP($D62,'Kalkulator mięs '!$C$5:$H$533,HM$4,0)*$AR62,0)</f>
        <v>0</v>
      </c>
      <c r="HN62">
        <f>IFERROR(VLOOKUP($D62,'Kalkulator mięs '!$C$5:$H$533,HN$4,0)*$AR62,0)</f>
        <v>0</v>
      </c>
      <c r="HO62">
        <f>IFERROR(VLOOKUP($D62,'Kalkulator mięs '!$C$5:$H$533,HO$4,0)*$AS62,0)</f>
        <v>0</v>
      </c>
      <c r="HP62">
        <f>IFERROR(VLOOKUP($D62,'Kalkulator mięs '!$C$5:$H$533,HP$4,0)*$AS62,0)</f>
        <v>0</v>
      </c>
      <c r="HQ62">
        <f>IFERROR(VLOOKUP($D62,'Kalkulator mięs '!$C$5:$H$533,HQ$4,0)*$AS62,0)</f>
        <v>0</v>
      </c>
      <c r="HR62">
        <f>IFERROR(VLOOKUP($D62,'Kalkulator mięs '!$C$5:$H$533,HR$4,0)*$AT62,0)</f>
        <v>0</v>
      </c>
      <c r="HS62">
        <f>IFERROR(VLOOKUP($D62,'Kalkulator mięs '!$C$5:$H$533,HS$4,0)*$AT62,0)</f>
        <v>0</v>
      </c>
      <c r="HT62">
        <f>IFERROR(VLOOKUP($D62,'Kalkulator mięs '!$C$5:$H$533,HT$4,0)*$AT62,0)</f>
        <v>0</v>
      </c>
      <c r="HU62">
        <f>IFERROR(VLOOKUP($D62,'Kalkulator mięs '!$C$5:$H$533,HU$4,0)*$AU62,0)</f>
        <v>0</v>
      </c>
      <c r="HV62">
        <f>IFERROR(VLOOKUP($D62,'Kalkulator mięs '!$C$5:$H$533,HV$4,0)*$AU62,0)</f>
        <v>0</v>
      </c>
      <c r="HW62">
        <f>IFERROR(VLOOKUP($D62,'Kalkulator mięs '!$C$5:$H$533,HW$4,0)*$AU62,0)</f>
        <v>0</v>
      </c>
      <c r="HX62">
        <f>IFERROR(VLOOKUP($D62,'Kalkulator mięs '!$C$5:$H$533,HX$4,0)*$AV62,0)</f>
        <v>0</v>
      </c>
      <c r="HY62">
        <f>IFERROR(VLOOKUP($D62,'Kalkulator mięs '!$C$5:$H$533,HY$4,0)*$AV62,0)</f>
        <v>0</v>
      </c>
      <c r="HZ62">
        <f>IFERROR(VLOOKUP($D62,'Kalkulator mięs '!$C$5:$H$533,HZ$4,0)*$AV62,0)</f>
        <v>0</v>
      </c>
      <c r="IA62">
        <f>IFERROR(VLOOKUP($D62,'Kalkulator mięs '!$C$5:$H$533,IA$4,0)*$AW62,0)</f>
        <v>0</v>
      </c>
      <c r="IB62">
        <f>IFERROR(VLOOKUP($D62,'Kalkulator mięs '!$C$5:$H$533,IB$4,0)*$AW62,0)</f>
        <v>0</v>
      </c>
      <c r="IC62">
        <f>IFERROR(VLOOKUP($D62,'Kalkulator mięs '!$C$5:$H$533,IC$4,0)*$AW62,0)</f>
        <v>0</v>
      </c>
      <c r="ID62">
        <f>IFERROR(VLOOKUP($D62,'Kalkulator mięs '!$C$5:$H$533,ID$4,0)*$AX62,0)</f>
        <v>0</v>
      </c>
      <c r="IE62">
        <f>IFERROR(VLOOKUP($D62,'Kalkulator mięs '!$C$5:$H$533,IE$4,0)*$AX62,0)</f>
        <v>0</v>
      </c>
      <c r="IF62">
        <f>IFERROR(VLOOKUP($D62,'Kalkulator mięs '!$C$5:$H$533,IF$4,0)*$AX62,0)</f>
        <v>0</v>
      </c>
      <c r="IG62">
        <f>IFERROR(VLOOKUP($D62,'Kalkulator mięs '!$C$5:$H$533,IG$4,0)*$AY62,0)</f>
        <v>0</v>
      </c>
      <c r="IH62">
        <f>IFERROR(VLOOKUP($D62,'Kalkulator mięs '!$C$5:$H$533,IH$4,0)*$AY62,0)</f>
        <v>0</v>
      </c>
      <c r="II62">
        <f>IFERROR(VLOOKUP($D62,'Kalkulator mięs '!$C$5:$H$533,II$4,0)*$AY62,0)</f>
        <v>0</v>
      </c>
      <c r="IJ62">
        <f>IFERROR(VLOOKUP($D62,'Kalkulator mięs '!$C$5:$H$533,IJ$4,0)*$AZ62,0)</f>
        <v>0</v>
      </c>
      <c r="IK62">
        <f>IFERROR(VLOOKUP($D62,'Kalkulator mięs '!$C$5:$H$533,IK$4,0)*$AZ62,0)</f>
        <v>0</v>
      </c>
      <c r="IL62">
        <f>IFERROR(VLOOKUP($D62,'Kalkulator mięs '!$C$5:$H$533,IL$4,0)*$AZ62,0)</f>
        <v>0</v>
      </c>
      <c r="IM62">
        <f>IFERROR(VLOOKUP($D62,'Kalkulator mięs '!$C$5:$H$533,IM$4,0)*$BA62,0)</f>
        <v>0</v>
      </c>
      <c r="IN62">
        <f>IFERROR(VLOOKUP($D62,'Kalkulator mięs '!$C$5:$H$533,IN$4,0)*$BA62,0)</f>
        <v>0</v>
      </c>
      <c r="IO62">
        <f>IFERROR(VLOOKUP($D62,'Kalkulator mięs '!$C$5:$H$533,IO$4,0)*$BA62,0)</f>
        <v>0</v>
      </c>
    </row>
    <row r="63" spans="1:249" ht="15.75">
      <c r="B63" t="str">
        <f>VLOOKUP(D63,Receptury_z!$A:$B,2,0)</f>
        <v>ON</v>
      </c>
      <c r="C63" s="23">
        <v>5524</v>
      </c>
      <c r="D63" s="24">
        <v>7035</v>
      </c>
      <c r="E63" s="25" t="s">
        <v>55</v>
      </c>
      <c r="F63" s="14">
        <f>IF($B63="OFF",BE63,VLOOKUP($D63,Receptury_z!$D:$AI,F$4,0))</f>
        <v>0</v>
      </c>
      <c r="G63" s="14">
        <f>IF($B63="OFF",BF63,VLOOKUP($D63,Receptury_z!$D:$AI,G$4,0))</f>
        <v>581.79999999999995</v>
      </c>
      <c r="H63" s="14">
        <f>IF($B63="OFF",BG63,VLOOKUP($D63,Receptury_z!$D:$AI,H$4,0))</f>
        <v>0</v>
      </c>
      <c r="I63" s="14">
        <f>IF($B63="OFF",BH63,VLOOKUP($D63,Receptury_z!$D:$AI,I$4,0))</f>
        <v>0</v>
      </c>
      <c r="J63" s="14">
        <f>IF($B63="OFF",BI63,VLOOKUP($D63,Receptury_z!$D:$AI,J$4,0))</f>
        <v>0</v>
      </c>
      <c r="K63" s="14">
        <f>IF($B63="OFF",BJ63,VLOOKUP($D63,Receptury_z!$D:$AI,K$4,0))</f>
        <v>0</v>
      </c>
      <c r="L63" s="14">
        <f>IF($B63="OFF",BK63,VLOOKUP($D63,Receptury_z!$D:$AI,L$4,0))</f>
        <v>176.7</v>
      </c>
      <c r="M63" s="14">
        <f>IF($B63="OFF",BL63,VLOOKUP($D63,Receptury_z!$D:$AI,M$4,0))</f>
        <v>0</v>
      </c>
      <c r="N63" s="14">
        <f>IF($B63="OFF",BM63,VLOOKUP($D63,Receptury_z!$D:$AI,N$4,0))</f>
        <v>0</v>
      </c>
      <c r="O63" s="14">
        <f>IF($B63="OFF",BN63,VLOOKUP($D63,Receptury_z!$D:$AI,O$4,0))</f>
        <v>0</v>
      </c>
      <c r="P63" s="14">
        <f>IF($B63="OFF",BO63,VLOOKUP($D63,Receptury_z!$D:$AI,P$4,0))</f>
        <v>0</v>
      </c>
      <c r="Q63" s="14">
        <f>IF($B63="OFF",BP63,VLOOKUP($D63,Receptury_z!$D:$AI,Q$4,0))</f>
        <v>120</v>
      </c>
      <c r="R63" s="14">
        <f>IF($B63="OFF",BQ63,VLOOKUP($D63,Receptury_z!$D:$AI,R$4,0))</f>
        <v>0</v>
      </c>
      <c r="S63" s="14">
        <f>IF($B63="OFF",BR63,VLOOKUP($D63,Receptury_z!$D:$AI,S$4,0))</f>
        <v>0</v>
      </c>
      <c r="T63" s="14">
        <f>IF($B63="OFF",BS63,VLOOKUP($D63,Receptury_z!$D:$AI,T$4,0))</f>
        <v>0</v>
      </c>
      <c r="U63" s="14">
        <f>IF($B63="OFF",BT63,VLOOKUP($D63,Receptury_z!$D:$AI,U$4,0))</f>
        <v>107.6</v>
      </c>
      <c r="V63" s="14">
        <f>IF($B63="OFF",BU63,VLOOKUP($D63,Receptury_z!$D:$AI,V$4,0))</f>
        <v>0</v>
      </c>
      <c r="W63" s="14">
        <f>IF($B63="OFF",BV63,VLOOKUP($D63,Receptury_z!$D:$AI,W$4,0))</f>
        <v>0</v>
      </c>
      <c r="X63" s="14">
        <f>IF($B63="OFF",BW63,VLOOKUP($D63,Receptury_z!$D:$AI,X$4,0))</f>
        <v>0</v>
      </c>
      <c r="Y63" s="14">
        <f>IF($B63="OFF",BX63,VLOOKUP($D63,Receptury_z!$D:$AI,Y$4,0))</f>
        <v>0</v>
      </c>
      <c r="Z63" s="14">
        <f>IF($B63="OFF",BY63,VLOOKUP($D63,Receptury_z!$D:$AI,Z$4,0))</f>
        <v>0</v>
      </c>
      <c r="AA63" s="14">
        <f>IF($B63="OFF",BZ63,VLOOKUP($D63,Receptury_z!$D:$AI,AA$4,0))</f>
        <v>0</v>
      </c>
      <c r="AB63" s="14">
        <f>IF($B63="OFF",CA63,VLOOKUP($D63,Receptury_z!$D:$AI,AB$4,0))</f>
        <v>0</v>
      </c>
      <c r="AC63" s="14">
        <f>IF($B63="OFF",CB63,VLOOKUP($D63,Receptury_z!$D:$AI,AC$4,0))</f>
        <v>0</v>
      </c>
      <c r="AD63" s="14">
        <f>IF($B63="OFF",CC63,VLOOKUP($D63,Receptury_z!$D:$AI,AD$4,0))</f>
        <v>0</v>
      </c>
      <c r="AE63" s="14">
        <f>IF($B63="OFF",CD63,VLOOKUP($D63,Receptury_z!$D:$AI,AE$4,0))</f>
        <v>0</v>
      </c>
      <c r="AF63" s="14">
        <f>IF($B63="OFF",CE63,VLOOKUP($D63,Receptury_z!$D:$AI,AF$4,0))</f>
        <v>0</v>
      </c>
      <c r="AG63" s="14">
        <f>IF($B63="OFF",CF63,VLOOKUP($D63,Receptury_z!$D:$AI,AG$4,0))</f>
        <v>0</v>
      </c>
      <c r="AH63" s="14">
        <f>IF($B63="OFF",CG63,VLOOKUP($D63,Receptury_z!$D:$AI,AH$4,0))</f>
        <v>0</v>
      </c>
      <c r="AI63" s="14">
        <f>IF($B63="OFF",CH63,VLOOKUP($D63,Receptury_z!$D:$AI,AI$4,0))</f>
        <v>0</v>
      </c>
      <c r="AJ63" s="14">
        <f>IF($B63="OFF",CI63,VLOOKUP($D63,Receptury_z!$D:$AS,AJ$4,0))</f>
        <v>0</v>
      </c>
      <c r="AK63" s="14">
        <f>IF($B63="OFF",CJ63,VLOOKUP($D63,Receptury_z!$D:$AS,AK$4,0))</f>
        <v>0</v>
      </c>
      <c r="AL63" s="14">
        <f>IF($B63="OFF",CK63,VLOOKUP($D63,Receptury_z!$D:$AS,AL$4,0))</f>
        <v>0</v>
      </c>
      <c r="AM63" s="14">
        <f>IF($B63="OFF",CL63,VLOOKUP($D63,Receptury_z!$D:$AS,AM$4,0))</f>
        <v>0</v>
      </c>
      <c r="AN63" s="14">
        <f>IF($B63="OFF",CM63,VLOOKUP($D63,Receptury_z!$D:$AS,AN$4,0))</f>
        <v>0</v>
      </c>
      <c r="AO63" s="14">
        <f>IF($B63="OFF",CN63,VLOOKUP($D63,Receptury_z!$D:$AS,AO$4,0))</f>
        <v>0</v>
      </c>
      <c r="AP63" s="14">
        <f>IF($B63="OFF",CO63,VLOOKUP($D63,Receptury_z!$D:$AS,AP$4,0))</f>
        <v>0</v>
      </c>
      <c r="AQ63" s="14">
        <f>IF($B63="OFF",CP63,VLOOKUP($D63,Receptury_z!$D:$AS,AQ$4,0))</f>
        <v>0</v>
      </c>
      <c r="AR63" s="14">
        <f>IF($B63="OFF",CQ63,VLOOKUP($D63,Receptury_z!$D:$AS,AR$4,0))</f>
        <v>0</v>
      </c>
      <c r="AS63" s="14">
        <f>IF($B63="OFF",CR63,VLOOKUP($D63,Receptury_z!$D:$AS,AS$4,0))</f>
        <v>0</v>
      </c>
      <c r="AT63" s="14">
        <f>IF($B63="OFF",CS63,VLOOKUP($D63,Receptury_z!$D:$AV,AT$4,0))</f>
        <v>0</v>
      </c>
      <c r="AU63" s="14">
        <f>IF($B63="OFF",CT63,VLOOKUP($D63,Receptury_z!$D:$AV,AU$4,0))</f>
        <v>0</v>
      </c>
      <c r="AV63" s="14">
        <f>IF($B63="OFF",CU63,VLOOKUP($D63,Receptury_z!$D:$AV,AV$4,0))</f>
        <v>0</v>
      </c>
      <c r="AW63" s="14">
        <f>IF($B63="OFF",CV63,VLOOKUP($D63,Receptury_z!$D:$BA,AW$4,0))</f>
        <v>0</v>
      </c>
      <c r="AX63" s="14">
        <f>IF($B63="OFF",CW63,VLOOKUP($D63,Receptury_z!$D:$BA,AX$4,0))</f>
        <v>0</v>
      </c>
      <c r="AY63" s="14">
        <f>IF($B63="OFF",CX63,VLOOKUP($D63,Receptury_z!$D:$BA,AY$4,0))</f>
        <v>0</v>
      </c>
      <c r="AZ63" s="14">
        <f>IF($B63="OFF",DA63,VLOOKUP($D63,Receptury_z!$D:$BA,AZ$4,0))</f>
        <v>0</v>
      </c>
      <c r="BA63" s="14">
        <f>IF($B63="OFF",DB63,VLOOKUP($D63,Receptury_z!$D:$BA,BA$4,0))</f>
        <v>0</v>
      </c>
      <c r="BC63" s="24">
        <v>7035</v>
      </c>
      <c r="BD63" s="25" t="s">
        <v>55</v>
      </c>
      <c r="BE63" s="239">
        <v>0</v>
      </c>
      <c r="BF63" s="239">
        <v>0</v>
      </c>
      <c r="BG63" s="239">
        <v>0</v>
      </c>
      <c r="BH63" s="239">
        <v>0</v>
      </c>
      <c r="BI63" s="239">
        <v>0</v>
      </c>
      <c r="BJ63" s="239">
        <v>0</v>
      </c>
      <c r="BK63" s="239">
        <v>236.7</v>
      </c>
      <c r="BL63" s="239">
        <v>0</v>
      </c>
      <c r="BM63" s="239">
        <v>0</v>
      </c>
      <c r="BN63" s="239">
        <v>0</v>
      </c>
      <c r="BO63" s="239">
        <v>0</v>
      </c>
      <c r="BP63" s="239">
        <v>0</v>
      </c>
      <c r="BQ63" s="239">
        <v>0</v>
      </c>
      <c r="BR63" s="239">
        <v>0</v>
      </c>
      <c r="BS63" s="239">
        <v>0</v>
      </c>
      <c r="BT63" s="239">
        <v>167.6</v>
      </c>
      <c r="BU63" s="239">
        <v>0</v>
      </c>
      <c r="BV63" s="239">
        <v>0</v>
      </c>
      <c r="BW63" s="239">
        <v>0</v>
      </c>
      <c r="BX63" s="239">
        <v>0</v>
      </c>
      <c r="BY63" s="239">
        <v>0</v>
      </c>
      <c r="BZ63" s="239">
        <v>0</v>
      </c>
      <c r="CA63" s="239">
        <v>0</v>
      </c>
      <c r="CB63" s="239">
        <v>0</v>
      </c>
      <c r="CC63" s="239">
        <v>581.79999999999995</v>
      </c>
      <c r="CD63" s="239">
        <v>0</v>
      </c>
      <c r="CE63" s="239">
        <v>0</v>
      </c>
      <c r="CF63" s="239">
        <v>0</v>
      </c>
      <c r="CG63" s="239">
        <v>0</v>
      </c>
      <c r="CH63" s="239">
        <v>0</v>
      </c>
      <c r="CI63" s="239">
        <v>0</v>
      </c>
      <c r="CJ63" s="239">
        <v>0</v>
      </c>
      <c r="CK63" s="239">
        <v>0</v>
      </c>
      <c r="CL63" s="239">
        <v>0</v>
      </c>
      <c r="CM63" s="80"/>
      <c r="CN63" s="80"/>
      <c r="CO63" s="80"/>
      <c r="CP63" s="80"/>
      <c r="CQ63" s="80"/>
      <c r="CR63" s="80"/>
      <c r="CS63" s="80"/>
      <c r="CT63" s="80"/>
      <c r="CU63" s="80"/>
      <c r="CV63" s="80"/>
      <c r="CW63" s="80"/>
      <c r="CX63" s="80"/>
      <c r="CY63" s="80"/>
      <c r="CZ63" s="80"/>
      <c r="DB63">
        <f>IFERROR(VLOOKUP($D63,'Kalkulator mięs '!$C$5:$H$533,DB$4,0)*F63,0)</f>
        <v>0</v>
      </c>
      <c r="DC63">
        <f>IFERROR(VLOOKUP($D63,'Kalkulator mięs '!$C$5:$H$533,DC$4,0)*F63,0)</f>
        <v>0</v>
      </c>
      <c r="DD63">
        <f>IFERROR(VLOOKUP($D63,'Kalkulator mięs '!$C$5:$H$533,DD$4,0)*F63,0)</f>
        <v>0</v>
      </c>
      <c r="DE63">
        <f>IFERROR(VLOOKUP($D63,'Kalkulator mięs '!$C$5:$H$533,DE$4,0)*$G63,0)</f>
        <v>0</v>
      </c>
      <c r="DF63">
        <f>IFERROR(VLOOKUP($D63,'Kalkulator mięs '!$C$5:$H$533,DF$4,0)*$G63,0)</f>
        <v>0</v>
      </c>
      <c r="DG63">
        <f>IFERROR(VLOOKUP($D63,'Kalkulator mięs '!$C$5:$H$533,DG$4,0)*$G63,0)</f>
        <v>2036.2999999999997</v>
      </c>
      <c r="DH63">
        <f>IFERROR(VLOOKUP($D63,'Kalkulator mięs '!$C$5:$H$533,DH$4,0)*$H63,0)</f>
        <v>0</v>
      </c>
      <c r="DI63">
        <f>IFERROR(VLOOKUP($D63,'Kalkulator mięs '!$C$5:$H$533,DI$4,0)*$H63,0)</f>
        <v>0</v>
      </c>
      <c r="DJ63">
        <f>IFERROR(VLOOKUP($D63,'Kalkulator mięs '!$C$5:$H$533,DJ$4,0)*$H63,0)</f>
        <v>0</v>
      </c>
      <c r="DK63">
        <f>IFERROR(VLOOKUP($D63,'Kalkulator mięs '!$C$5:$H$533,DK$4,0)*$I63,0)</f>
        <v>0</v>
      </c>
      <c r="DL63">
        <f>IFERROR(VLOOKUP($D63,'Kalkulator mięs '!$C$5:$H$533,DL$4,0)*$I63,0)</f>
        <v>0</v>
      </c>
      <c r="DM63">
        <f>IFERROR(VLOOKUP($D63,'Kalkulator mięs '!$C$5:$H$533,DM$4,0)*$I63,0)</f>
        <v>0</v>
      </c>
      <c r="DN63">
        <f>IFERROR(VLOOKUP($D63,'Kalkulator mięs '!$C$5:$H$533,DN$4,0)*$J63,0)</f>
        <v>0</v>
      </c>
      <c r="DO63">
        <f>IFERROR(VLOOKUP($D63,'Kalkulator mięs '!$C$5:$H$533,DO$4,0)*$J63,0)</f>
        <v>0</v>
      </c>
      <c r="DP63">
        <f>IFERROR(VLOOKUP($D63,'Kalkulator mięs '!$C$5:$H$533,DP$4,0)*$J63,0)</f>
        <v>0</v>
      </c>
      <c r="DQ63">
        <f>IFERROR(VLOOKUP($D63,'Kalkulator mięs '!$C$5:$H$533,DQ$4,0)*$K63,0)</f>
        <v>0</v>
      </c>
      <c r="DR63">
        <f>IFERROR(VLOOKUP($D63,'Kalkulator mięs '!$C$5:$H$533,DR$4,0)*$K63,0)</f>
        <v>0</v>
      </c>
      <c r="DS63">
        <f>IFERROR(VLOOKUP($D63,'Kalkulator mięs '!$C$5:$H$533,DS$4,0)*$K63,0)</f>
        <v>0</v>
      </c>
      <c r="DT63">
        <f>IFERROR(VLOOKUP($D63,'Kalkulator mięs '!$C$5:$H$533,DT$4,0)*$L63,0)</f>
        <v>0</v>
      </c>
      <c r="DU63">
        <f>IFERROR(VLOOKUP($D63,'Kalkulator mięs '!$C$5:$H$533,DU$4,0)*$L63,0)</f>
        <v>0</v>
      </c>
      <c r="DV63">
        <f>IFERROR(VLOOKUP($D63,'Kalkulator mięs '!$C$5:$H$533,DV$4,0)*$L63,0)</f>
        <v>618.44999999999993</v>
      </c>
      <c r="DW63">
        <f>IFERROR(VLOOKUP($D63,'Kalkulator mięs '!$C$5:$H$533,DW$4,0)*$M63,0)</f>
        <v>0</v>
      </c>
      <c r="DX63">
        <f>IFERROR(VLOOKUP($D63,'Kalkulator mięs '!$C$5:$H$533,DX$4,0)*$M63,0)</f>
        <v>0</v>
      </c>
      <c r="DY63">
        <f>IFERROR(VLOOKUP($D63,'Kalkulator mięs '!$C$5:$H$533,DY$4,0)*$M63,0)</f>
        <v>0</v>
      </c>
      <c r="DZ63">
        <f>IFERROR(VLOOKUP($D63,'Kalkulator mięs '!$C$5:$H$533,DZ$4,0)*$N63,0)</f>
        <v>0</v>
      </c>
      <c r="EA63">
        <f>IFERROR(VLOOKUP($D63,'Kalkulator mięs '!$C$5:$H$533,EA$4,0)*$N63,0)</f>
        <v>0</v>
      </c>
      <c r="EB63">
        <f>IFERROR(VLOOKUP($D63,'Kalkulator mięs '!$C$5:$H$533,EB$4,0)*$N63,0)</f>
        <v>0</v>
      </c>
      <c r="EC63">
        <f>IFERROR(VLOOKUP($D63,'Kalkulator mięs '!$C$5:$H$533,EC$4,0)*$O63,0)</f>
        <v>0</v>
      </c>
      <c r="ED63">
        <f>IFERROR(VLOOKUP($D63,'Kalkulator mięs '!$C$5:$H$533,ED$4,0)*$O63,0)</f>
        <v>0</v>
      </c>
      <c r="EE63">
        <f>IFERROR(VLOOKUP($D63,'Kalkulator mięs '!$C$5:$H$533,EE$4,0)*$O63,0)</f>
        <v>0</v>
      </c>
      <c r="EF63">
        <f>IFERROR(VLOOKUP($D63,'Kalkulator mięs '!$C$5:$H$533,EF$4,0)*$P63,0)</f>
        <v>0</v>
      </c>
      <c r="EG63">
        <f>IFERROR(VLOOKUP($D63,'Kalkulator mięs '!$C$5:$H$533,EG$4,0)*$P63,0)</f>
        <v>0</v>
      </c>
      <c r="EH63">
        <f>IFERROR(VLOOKUP($D63,'Kalkulator mięs '!$C$5:$H$533,EH$4,0)*$P63,0)</f>
        <v>0</v>
      </c>
      <c r="EI63">
        <f>IFERROR(VLOOKUP($D63,'Kalkulator mięs '!$C$5:$H$533,EI$4,0)*$Q63,0)</f>
        <v>0</v>
      </c>
      <c r="EJ63">
        <f>IFERROR(VLOOKUP($D63,'Kalkulator mięs '!$C$5:$H$533,EJ$4,0)*$Q63,0)</f>
        <v>0</v>
      </c>
      <c r="EK63">
        <f>IFERROR(VLOOKUP($D63,'Kalkulator mięs '!$C$5:$H$533,EK$4,0)*$Q63,0)</f>
        <v>420</v>
      </c>
      <c r="EL63">
        <f>IFERROR(VLOOKUP($D63,'Kalkulator mięs '!$C$5:$H$533,EL$4,0)*$R63,0)</f>
        <v>0</v>
      </c>
      <c r="EM63">
        <f>IFERROR(VLOOKUP($D63,'Kalkulator mięs '!$C$5:$H$533,EM$4,0)*$R63,0)</f>
        <v>0</v>
      </c>
      <c r="EN63">
        <f>IFERROR(VLOOKUP($D63,'Kalkulator mięs '!$C$5:$H$533,EN$4,0)*$R63,0)</f>
        <v>0</v>
      </c>
      <c r="EO63">
        <f>IFERROR(VLOOKUP($D63,'Kalkulator mięs '!$C$5:$H$533,EO$4,0)*$S63,0)</f>
        <v>0</v>
      </c>
      <c r="EP63">
        <f>IFERROR(VLOOKUP($D63,'Kalkulator mięs '!$C$5:$H$533,EP$4,0)*$S63,0)</f>
        <v>0</v>
      </c>
      <c r="EQ63">
        <f>IFERROR(VLOOKUP($D63,'Kalkulator mięs '!$C$5:$H$533,EQ$4,0)*$S63,0)</f>
        <v>0</v>
      </c>
      <c r="ER63">
        <f>IFERROR(VLOOKUP($D63,'Kalkulator mięs '!$C$5:$H$533,ER$4,0)*$T63,0)</f>
        <v>0</v>
      </c>
      <c r="ES63">
        <f>IFERROR(VLOOKUP($D63,'Kalkulator mięs '!$C$5:$H$533,ES$4,0)*$T63,0)</f>
        <v>0</v>
      </c>
      <c r="ET63">
        <f>IFERROR(VLOOKUP($D63,'Kalkulator mięs '!$C$5:$H$533,ET$4,0)*$T63,0)</f>
        <v>0</v>
      </c>
      <c r="EU63">
        <f>IFERROR(VLOOKUP($D63,'Kalkulator mięs '!$C$5:$H$533,EU$4,0)*$U63,0)</f>
        <v>0</v>
      </c>
      <c r="EV63">
        <f>IFERROR(VLOOKUP($D63,'Kalkulator mięs '!$C$5:$H$533,EV$4,0)*$U63,0)</f>
        <v>0</v>
      </c>
      <c r="EW63">
        <f>IFERROR(VLOOKUP($D63,'Kalkulator mięs '!$C$5:$H$533,EW$4,0)*$U63,0)</f>
        <v>376.59999999999997</v>
      </c>
      <c r="EX63">
        <f>IFERROR(VLOOKUP($D63,'Kalkulator mięs '!$C$5:$H$533,EX$4,0)*$V63,0)</f>
        <v>0</v>
      </c>
      <c r="EY63">
        <f>IFERROR(VLOOKUP($D63,'Kalkulator mięs '!$C$5:$H$533,EY$4,0)*$V63,0)</f>
        <v>0</v>
      </c>
      <c r="EZ63">
        <f>IFERROR(VLOOKUP($D63,'Kalkulator mięs '!$C$5:$H$533,EZ$4,0)*$V63,0)</f>
        <v>0</v>
      </c>
      <c r="FA63">
        <f>IFERROR(VLOOKUP($D63,'Kalkulator mięs '!$C$5:$H$533,FA$4,0)*$W63,0)</f>
        <v>0</v>
      </c>
      <c r="FB63">
        <f>IFERROR(VLOOKUP($D63,'Kalkulator mięs '!$C$5:$H$533,FB$4,0)*$W63,0)</f>
        <v>0</v>
      </c>
      <c r="FC63">
        <f>IFERROR(VLOOKUP($D63,'Kalkulator mięs '!$C$5:$H$533,FC$4,0)*$W63,0)</f>
        <v>0</v>
      </c>
      <c r="FD63">
        <f>IFERROR(VLOOKUP($D63,'Kalkulator mięs '!$C$5:$H$533,FD$4,0)*$X63,0)</f>
        <v>0</v>
      </c>
      <c r="FE63">
        <f>IFERROR(VLOOKUP($D63,'Kalkulator mięs '!$C$5:$H$533,FE$4,0)*$X63,0)</f>
        <v>0</v>
      </c>
      <c r="FF63">
        <f>IFERROR(VLOOKUP($D63,'Kalkulator mięs '!$C$5:$H$533,FF$4,0)*$X63,0)</f>
        <v>0</v>
      </c>
      <c r="FG63">
        <f>IFERROR(VLOOKUP($D63,'Kalkulator mięs '!$C$5:$H$533,FG$4,0)*$Y63,0)</f>
        <v>0</v>
      </c>
      <c r="FH63">
        <f>IFERROR(VLOOKUP($D63,'Kalkulator mięs '!$C$5:$H$533,FH$4,0)*$Y63,0)</f>
        <v>0</v>
      </c>
      <c r="FI63">
        <f>IFERROR(VLOOKUP($D63,'Kalkulator mięs '!$C$5:$H$533,FI$4,0)*$Y63,0)</f>
        <v>0</v>
      </c>
      <c r="FJ63">
        <f>IFERROR(VLOOKUP($D63,'Kalkulator mięs '!$C$5:$H$533,FJ$4,0)*$Z63,0)</f>
        <v>0</v>
      </c>
      <c r="FK63">
        <f>IFERROR(VLOOKUP($D63,'Kalkulator mięs '!$C$5:$H$533,FK$4,0)*$Z63,0)</f>
        <v>0</v>
      </c>
      <c r="FL63">
        <f>IFERROR(VLOOKUP($D63,'Kalkulator mięs '!$C$5:$H$533,FL$4,0)*$Z63,0)</f>
        <v>0</v>
      </c>
      <c r="FM63">
        <f>IFERROR(VLOOKUP($D63,'Kalkulator mięs '!$C$5:$H$533,FM$4,0)*$AA63,0)</f>
        <v>0</v>
      </c>
      <c r="FN63">
        <f>IFERROR(VLOOKUP($D63,'Kalkulator mięs '!$C$5:$H$533,FN$4,0)*$AA63,0)</f>
        <v>0</v>
      </c>
      <c r="FO63">
        <f>IFERROR(VLOOKUP($D63,'Kalkulator mięs '!$C$5:$H$533,FO$4,0)*$AA63,0)</f>
        <v>0</v>
      </c>
      <c r="FP63">
        <f>IFERROR(VLOOKUP($D63,'Kalkulator mięs '!$C$5:$H$533,FP$4,0)*$AB63,0)</f>
        <v>0</v>
      </c>
      <c r="FQ63">
        <f>IFERROR(VLOOKUP($D63,'Kalkulator mięs '!$C$5:$H$533,FQ$4,0)*$AB63,0)</f>
        <v>0</v>
      </c>
      <c r="FR63">
        <f>IFERROR(VLOOKUP($D63,'Kalkulator mięs '!$C$5:$H$533,FR$4,0)*$AB63,0)</f>
        <v>0</v>
      </c>
      <c r="FS63">
        <f>IFERROR(VLOOKUP($D63,'Kalkulator mięs '!$C$5:$H$533,FS$4,0)*$AC63,0)</f>
        <v>0</v>
      </c>
      <c r="FT63">
        <f>IFERROR(VLOOKUP($D63,'Kalkulator mięs '!$C$5:$H$533,FT$4,0)*$AC63,0)</f>
        <v>0</v>
      </c>
      <c r="FU63">
        <f>IFERROR(VLOOKUP($D63,'Kalkulator mięs '!$C$5:$H$533,FU$4,0)*$AC63,0)</f>
        <v>0</v>
      </c>
      <c r="FV63">
        <f>IFERROR(VLOOKUP($D63,'Kalkulator mięs '!$C$5:$H$533,FV$4,0)*$AD63,0)</f>
        <v>0</v>
      </c>
      <c r="FW63">
        <f>IFERROR(VLOOKUP($D63,'Kalkulator mięs '!$C$5:$H$533,FW$4,0)*$AD63,0)</f>
        <v>0</v>
      </c>
      <c r="FX63">
        <f>IFERROR(VLOOKUP($D63,'Kalkulator mięs '!$C$5:$H$533,FX$4,0)*$AD63,0)</f>
        <v>0</v>
      </c>
      <c r="FY63">
        <f>IFERROR(VLOOKUP($D63,'Kalkulator mięs '!$C$5:$H$533,FY$4,0)*$AE63,0)</f>
        <v>0</v>
      </c>
      <c r="FZ63">
        <f>IFERROR(VLOOKUP($D63,'Kalkulator mięs '!$C$5:$H$533,FZ$4,0)*$AE63,0)</f>
        <v>0</v>
      </c>
      <c r="GA63">
        <f>IFERROR(VLOOKUP($D63,'Kalkulator mięs '!$C$5:$H$533,GA$4,0)*$AE63,0)</f>
        <v>0</v>
      </c>
      <c r="GB63">
        <f>IFERROR(VLOOKUP($D63,'Kalkulator mięs '!$C$5:$H$533,GB$4,0)*$AF63,0)</f>
        <v>0</v>
      </c>
      <c r="GC63">
        <f>IFERROR(VLOOKUP($D63,'Kalkulator mięs '!$C$5:$H$533,GC$4,0)*$AF63,0)</f>
        <v>0</v>
      </c>
      <c r="GD63">
        <f>IFERROR(VLOOKUP($D63,'Kalkulator mięs '!$C$5:$H$533,GD$4,0)*$AF63,0)</f>
        <v>0</v>
      </c>
      <c r="GE63">
        <f>IFERROR(VLOOKUP($D63,'Kalkulator mięs '!$C$5:$H$533,GE$4,0)*$AG63,0)</f>
        <v>0</v>
      </c>
      <c r="GF63">
        <f>IFERROR(VLOOKUP($D63,'Kalkulator mięs '!$C$5:$H$533,GF$4,0)*$AG63,0)</f>
        <v>0</v>
      </c>
      <c r="GG63">
        <f>IFERROR(VLOOKUP($D63,'Kalkulator mięs '!$C$5:$H$533,GG$4,0)*$AG63,0)</f>
        <v>0</v>
      </c>
      <c r="GH63">
        <f>IFERROR(VLOOKUP($D63,'Kalkulator mięs '!$C$5:$H$533,GH$4,0)*$AH63,0)</f>
        <v>0</v>
      </c>
      <c r="GI63">
        <f>IFERROR(VLOOKUP($D63,'Kalkulator mięs '!$C$5:$H$533,GI$4,0)*$AH63,0)</f>
        <v>0</v>
      </c>
      <c r="GJ63">
        <f>IFERROR(VLOOKUP($D63,'Kalkulator mięs '!$C$5:$H$533,GJ$4,0)*$AH63,0)</f>
        <v>0</v>
      </c>
      <c r="GK63">
        <f>IFERROR(VLOOKUP($D63,'Kalkulator mięs '!$C$5:$H$533,GK$4,0)*$AI63,0)</f>
        <v>0</v>
      </c>
      <c r="GL63">
        <f>IFERROR(VLOOKUP($D63,'Kalkulator mięs '!$C$5:$H$533,GL$4,0)*$AI63,0)</f>
        <v>0</v>
      </c>
      <c r="GM63">
        <f>IFERROR(VLOOKUP($D63,'Kalkulator mięs '!$C$5:$H$533,GM$4,0)*$AI63,0)</f>
        <v>0</v>
      </c>
      <c r="GN63">
        <f>IFERROR(VLOOKUP($D63,'Kalkulator mięs '!$C$5:$H$533,GN$4,0)*$AJ63,0)</f>
        <v>0</v>
      </c>
      <c r="GO63">
        <f>IFERROR(VLOOKUP($D63,'Kalkulator mięs '!$C$5:$H$533,GO$4,0)*$AJ63,0)</f>
        <v>0</v>
      </c>
      <c r="GP63">
        <f>IFERROR(VLOOKUP($D63,'Kalkulator mięs '!$C$5:$H$533,GP$4,0)*$AJ63,0)</f>
        <v>0</v>
      </c>
      <c r="GQ63">
        <f>IFERROR(VLOOKUP($D63,'Kalkulator mięs '!$C$5:$H$533,GQ$4,0)*$AK63,0)</f>
        <v>0</v>
      </c>
      <c r="GR63">
        <f>IFERROR(VLOOKUP($D63,'Kalkulator mięs '!$C$5:$H$533,GR$4,0)*$AK63,0)</f>
        <v>0</v>
      </c>
      <c r="GS63">
        <f>IFERROR(VLOOKUP($D63,'Kalkulator mięs '!$C$5:$H$533,GS$4,0)*$AK63,0)</f>
        <v>0</v>
      </c>
      <c r="GT63">
        <f>IFERROR(VLOOKUP($D63,'Kalkulator mięs '!$C$5:$H$533,GT$4,0)*$AL63,0)</f>
        <v>0</v>
      </c>
      <c r="GU63">
        <f>IFERROR(VLOOKUP($D63,'Kalkulator mięs '!$C$5:$H$533,GU$4,0)*$AL63,0)</f>
        <v>0</v>
      </c>
      <c r="GV63">
        <f>IFERROR(VLOOKUP($D63,'Kalkulator mięs '!$C$5:$H$533,GV$4,0)*$AL63,0)</f>
        <v>0</v>
      </c>
      <c r="GW63">
        <f>IFERROR(VLOOKUP($D63,'Kalkulator mięs '!$C$5:$H$533,GW$4,0)*$AM63,0)</f>
        <v>0</v>
      </c>
      <c r="GX63">
        <f>IFERROR(VLOOKUP($D63,'Kalkulator mięs '!$C$5:$H$533,GX$4,0)*$AM63,0)</f>
        <v>0</v>
      </c>
      <c r="GY63">
        <f>IFERROR(VLOOKUP($D63,'Kalkulator mięs '!$C$5:$H$533,GY$4,0)*$AM63,0)</f>
        <v>0</v>
      </c>
      <c r="GZ63">
        <f>IFERROR(VLOOKUP($D63,'Kalkulator mięs '!$C$5:$H$533,GZ$4,0)*$AN63,0)</f>
        <v>0</v>
      </c>
      <c r="HA63">
        <f>IFERROR(VLOOKUP($D63,'Kalkulator mięs '!$C$5:$H$533,HA$4,0)*$AN63,0)</f>
        <v>0</v>
      </c>
      <c r="HB63">
        <f>IFERROR(VLOOKUP($D63,'Kalkulator mięs '!$C$5:$H$533,HB$4,0)*$AN63,0)</f>
        <v>0</v>
      </c>
      <c r="HC63">
        <f>IFERROR(VLOOKUP($D63,'Kalkulator mięs '!$C$5:$H$533,HC$4,0)*$AO63,0)</f>
        <v>0</v>
      </c>
      <c r="HD63">
        <f>IFERROR(VLOOKUP($D63,'Kalkulator mięs '!$C$5:$H$533,HD$4,0)*$AO63,0)</f>
        <v>0</v>
      </c>
      <c r="HE63">
        <f>IFERROR(VLOOKUP($D63,'Kalkulator mięs '!$C$5:$H$533,HE$4,0)*$AO63,0)</f>
        <v>0</v>
      </c>
      <c r="HF63">
        <f>IFERROR(VLOOKUP($D63,'Kalkulator mięs '!$C$5:$H$533,HF$4,0)*$AP63,0)</f>
        <v>0</v>
      </c>
      <c r="HG63">
        <f>IFERROR(VLOOKUP($D63,'Kalkulator mięs '!$C$5:$H$533,HG$4,0)*$AP63,0)</f>
        <v>0</v>
      </c>
      <c r="HH63">
        <f>IFERROR(VLOOKUP($D63,'Kalkulator mięs '!$C$5:$H$533,HH$4,0)*$AP63,0)</f>
        <v>0</v>
      </c>
      <c r="HI63">
        <f>IFERROR(VLOOKUP($D63,'Kalkulator mięs '!$C$5:$H$533,HI$4,0)*$AQ63,0)</f>
        <v>0</v>
      </c>
      <c r="HJ63">
        <f>IFERROR(VLOOKUP($D63,'Kalkulator mięs '!$C$5:$H$533,HJ$4,0)*$AQ63,0)</f>
        <v>0</v>
      </c>
      <c r="HK63">
        <f>IFERROR(VLOOKUP($D63,'Kalkulator mięs '!$C$5:$H$533,HK$4,0)*$AQ63,0)</f>
        <v>0</v>
      </c>
      <c r="HL63">
        <f>IFERROR(VLOOKUP($D63,'Kalkulator mięs '!$C$5:$H$533,HL$4,0)*$AR63,0)</f>
        <v>0</v>
      </c>
      <c r="HM63">
        <f>IFERROR(VLOOKUP($D63,'Kalkulator mięs '!$C$5:$H$533,HM$4,0)*$AR63,0)</f>
        <v>0</v>
      </c>
      <c r="HN63">
        <f>IFERROR(VLOOKUP($D63,'Kalkulator mięs '!$C$5:$H$533,HN$4,0)*$AR63,0)</f>
        <v>0</v>
      </c>
      <c r="HO63">
        <f>IFERROR(VLOOKUP($D63,'Kalkulator mięs '!$C$5:$H$533,HO$4,0)*$AS63,0)</f>
        <v>0</v>
      </c>
      <c r="HP63">
        <f>IFERROR(VLOOKUP($D63,'Kalkulator mięs '!$C$5:$H$533,HP$4,0)*$AS63,0)</f>
        <v>0</v>
      </c>
      <c r="HQ63">
        <f>IFERROR(VLOOKUP($D63,'Kalkulator mięs '!$C$5:$H$533,HQ$4,0)*$AS63,0)</f>
        <v>0</v>
      </c>
      <c r="HR63">
        <f>IFERROR(VLOOKUP($D63,'Kalkulator mięs '!$C$5:$H$533,HR$4,0)*$AT63,0)</f>
        <v>0</v>
      </c>
      <c r="HS63">
        <f>IFERROR(VLOOKUP($D63,'Kalkulator mięs '!$C$5:$H$533,HS$4,0)*$AT63,0)</f>
        <v>0</v>
      </c>
      <c r="HT63">
        <f>IFERROR(VLOOKUP($D63,'Kalkulator mięs '!$C$5:$H$533,HT$4,0)*$AT63,0)</f>
        <v>0</v>
      </c>
      <c r="HU63">
        <f>IFERROR(VLOOKUP($D63,'Kalkulator mięs '!$C$5:$H$533,HU$4,0)*$AU63,0)</f>
        <v>0</v>
      </c>
      <c r="HV63">
        <f>IFERROR(VLOOKUP($D63,'Kalkulator mięs '!$C$5:$H$533,HV$4,0)*$AU63,0)</f>
        <v>0</v>
      </c>
      <c r="HW63">
        <f>IFERROR(VLOOKUP($D63,'Kalkulator mięs '!$C$5:$H$533,HW$4,0)*$AU63,0)</f>
        <v>0</v>
      </c>
      <c r="HX63">
        <f>IFERROR(VLOOKUP($D63,'Kalkulator mięs '!$C$5:$H$533,HX$4,0)*$AV63,0)</f>
        <v>0</v>
      </c>
      <c r="HY63">
        <f>IFERROR(VLOOKUP($D63,'Kalkulator mięs '!$C$5:$H$533,HY$4,0)*$AV63,0)</f>
        <v>0</v>
      </c>
      <c r="HZ63">
        <f>IFERROR(VLOOKUP($D63,'Kalkulator mięs '!$C$5:$H$533,HZ$4,0)*$AV63,0)</f>
        <v>0</v>
      </c>
      <c r="IA63">
        <f>IFERROR(VLOOKUP($D63,'Kalkulator mięs '!$C$5:$H$533,IA$4,0)*$AW63,0)</f>
        <v>0</v>
      </c>
      <c r="IB63">
        <f>IFERROR(VLOOKUP($D63,'Kalkulator mięs '!$C$5:$H$533,IB$4,0)*$AW63,0)</f>
        <v>0</v>
      </c>
      <c r="IC63">
        <f>IFERROR(VLOOKUP($D63,'Kalkulator mięs '!$C$5:$H$533,IC$4,0)*$AW63,0)</f>
        <v>0</v>
      </c>
      <c r="ID63">
        <f>IFERROR(VLOOKUP($D63,'Kalkulator mięs '!$C$5:$H$533,ID$4,0)*$AX63,0)</f>
        <v>0</v>
      </c>
      <c r="IE63">
        <f>IFERROR(VLOOKUP($D63,'Kalkulator mięs '!$C$5:$H$533,IE$4,0)*$AX63,0)</f>
        <v>0</v>
      </c>
      <c r="IF63">
        <f>IFERROR(VLOOKUP($D63,'Kalkulator mięs '!$C$5:$H$533,IF$4,0)*$AX63,0)</f>
        <v>0</v>
      </c>
      <c r="IG63">
        <f>IFERROR(VLOOKUP($D63,'Kalkulator mięs '!$C$5:$H$533,IG$4,0)*$AY63,0)</f>
        <v>0</v>
      </c>
      <c r="IH63">
        <f>IFERROR(VLOOKUP($D63,'Kalkulator mięs '!$C$5:$H$533,IH$4,0)*$AY63,0)</f>
        <v>0</v>
      </c>
      <c r="II63">
        <f>IFERROR(VLOOKUP($D63,'Kalkulator mięs '!$C$5:$H$533,II$4,0)*$AY63,0)</f>
        <v>0</v>
      </c>
      <c r="IJ63">
        <f>IFERROR(VLOOKUP($D63,'Kalkulator mięs '!$C$5:$H$533,IJ$4,0)*$AZ63,0)</f>
        <v>0</v>
      </c>
      <c r="IK63">
        <f>IFERROR(VLOOKUP($D63,'Kalkulator mięs '!$C$5:$H$533,IK$4,0)*$AZ63,0)</f>
        <v>0</v>
      </c>
      <c r="IL63">
        <f>IFERROR(VLOOKUP($D63,'Kalkulator mięs '!$C$5:$H$533,IL$4,0)*$AZ63,0)</f>
        <v>0</v>
      </c>
      <c r="IM63">
        <f>IFERROR(VLOOKUP($D63,'Kalkulator mięs '!$C$5:$H$533,IM$4,0)*$BA63,0)</f>
        <v>0</v>
      </c>
      <c r="IN63">
        <f>IFERROR(VLOOKUP($D63,'Kalkulator mięs '!$C$5:$H$533,IN$4,0)*$BA63,0)</f>
        <v>0</v>
      </c>
      <c r="IO63">
        <f>IFERROR(VLOOKUP($D63,'Kalkulator mięs '!$C$5:$H$533,IO$4,0)*$BA63,0)</f>
        <v>0</v>
      </c>
    </row>
    <row r="64" spans="1:249" ht="31.5">
      <c r="B64" t="str">
        <f>VLOOKUP(D64,Receptury_z!$A:$B,2,0)</f>
        <v>ON</v>
      </c>
      <c r="C64" s="23">
        <v>5522</v>
      </c>
      <c r="D64" s="24" t="s">
        <v>17998</v>
      </c>
      <c r="E64" s="25" t="s">
        <v>52</v>
      </c>
      <c r="F64" s="14">
        <f>IF($B64="OFF",BE64,VLOOKUP($D64,Receptury_z!$D:$AI,F$4,0))</f>
        <v>0</v>
      </c>
      <c r="G64" s="14">
        <f>IF($B64="OFF",BF64,VLOOKUP($D64,Receptury_z!$D:$AI,G$4,0))</f>
        <v>0</v>
      </c>
      <c r="H64" s="14">
        <f>IF($B64="OFF",BG64,VLOOKUP($D64,Receptury_z!$D:$AI,H$4,0))</f>
        <v>0</v>
      </c>
      <c r="I64" s="14">
        <f>IF($B64="OFF",BH64,VLOOKUP($D64,Receptury_z!$D:$AI,I$4,0))</f>
        <v>0</v>
      </c>
      <c r="J64" s="14">
        <f>IF($B64="OFF",BI64,VLOOKUP($D64,Receptury_z!$D:$AI,J$4,0))</f>
        <v>0</v>
      </c>
      <c r="K64" s="14">
        <f>IF($B64="OFF",BJ64,VLOOKUP($D64,Receptury_z!$D:$AI,K$4,0))</f>
        <v>0</v>
      </c>
      <c r="L64" s="14">
        <f>IF($B64="OFF",BK64,VLOOKUP($D64,Receptury_z!$D:$AI,L$4,0))</f>
        <v>0</v>
      </c>
      <c r="M64" s="14">
        <f>IF($B64="OFF",BL64,VLOOKUP($D64,Receptury_z!$D:$AI,M$4,0))</f>
        <v>0</v>
      </c>
      <c r="N64" s="14">
        <f>IF($B64="OFF",BM64,VLOOKUP($D64,Receptury_z!$D:$AI,N$4,0))</f>
        <v>0</v>
      </c>
      <c r="O64" s="14">
        <f>IF($B64="OFF",BN64,VLOOKUP($D64,Receptury_z!$D:$AI,O$4,0))</f>
        <v>0</v>
      </c>
      <c r="P64" s="14">
        <f>IF($B64="OFF",BO64,VLOOKUP($D64,Receptury_z!$D:$AI,P$4,0))</f>
        <v>0</v>
      </c>
      <c r="Q64" s="14">
        <f>IF($B64="OFF",BP64,VLOOKUP($D64,Receptury_z!$D:$AI,Q$4,0))</f>
        <v>0</v>
      </c>
      <c r="R64" s="14">
        <f>IF($B64="OFF",BQ64,VLOOKUP($D64,Receptury_z!$D:$AI,R$4,0))</f>
        <v>0</v>
      </c>
      <c r="S64" s="14">
        <f>IF($B64="OFF",BR64,VLOOKUP($D64,Receptury_z!$D:$AI,S$4,0))</f>
        <v>0</v>
      </c>
      <c r="T64" s="14">
        <f>IF($B64="OFF",BS64,VLOOKUP($D64,Receptury_z!$D:$AI,T$4,0))</f>
        <v>0</v>
      </c>
      <c r="U64" s="14">
        <f>IF($B64="OFF",BT64,VLOOKUP($D64,Receptury_z!$D:$AI,U$4,0))</f>
        <v>0</v>
      </c>
      <c r="V64" s="14">
        <f>IF($B64="OFF",BU64,VLOOKUP($D64,Receptury_z!$D:$AI,V$4,0))</f>
        <v>0</v>
      </c>
      <c r="W64" s="14">
        <f>IF($B64="OFF",BV64,VLOOKUP($D64,Receptury_z!$D:$AI,W$4,0))</f>
        <v>0</v>
      </c>
      <c r="X64" s="14">
        <f>IF($B64="OFF",BW64,VLOOKUP($D64,Receptury_z!$D:$AI,X$4,0))</f>
        <v>0</v>
      </c>
      <c r="Y64" s="14">
        <f>IF($B64="OFF",BX64,VLOOKUP($D64,Receptury_z!$D:$AI,Y$4,0))</f>
        <v>186.8</v>
      </c>
      <c r="Z64" s="14">
        <f>IF($B64="OFF",BY64,VLOOKUP($D64,Receptury_z!$D:$AI,Z$4,0))</f>
        <v>0</v>
      </c>
      <c r="AA64" s="14">
        <f>IF($B64="OFF",BZ64,VLOOKUP($D64,Receptury_z!$D:$AI,AA$4,0))</f>
        <v>699.90000000000009</v>
      </c>
      <c r="AB64" s="14">
        <f>IF($B64="OFF",CA64,VLOOKUP($D64,Receptury_z!$D:$AI,AB$4,0))</f>
        <v>46.7</v>
      </c>
      <c r="AC64" s="14">
        <f>IF($B64="OFF",CB64,VLOOKUP($D64,Receptury_z!$D:$AI,AC$4,0))</f>
        <v>0</v>
      </c>
      <c r="AD64" s="14">
        <f>IF($B64="OFF",CC64,VLOOKUP($D64,Receptury_z!$D:$AI,AD$4,0))</f>
        <v>0</v>
      </c>
      <c r="AE64" s="14">
        <f>IF($B64="OFF",CD64,VLOOKUP($D64,Receptury_z!$D:$AI,AE$4,0))</f>
        <v>0</v>
      </c>
      <c r="AF64" s="14">
        <f>IF($B64="OFF",CE64,VLOOKUP($D64,Receptury_z!$D:$AI,AF$4,0))</f>
        <v>0</v>
      </c>
      <c r="AG64" s="14">
        <f>IF($B64="OFF",CF64,VLOOKUP($D64,Receptury_z!$D:$AI,AG$4,0))</f>
        <v>0</v>
      </c>
      <c r="AH64" s="14">
        <f>IF($B64="OFF",CG64,VLOOKUP($D64,Receptury_z!$D:$AI,AH$4,0))</f>
        <v>0</v>
      </c>
      <c r="AI64" s="14">
        <f>IF($B64="OFF",CH64,VLOOKUP($D64,Receptury_z!$D:$AI,AI$4,0))</f>
        <v>0</v>
      </c>
      <c r="AJ64" s="14">
        <f>IF($B64="OFF",CI64,VLOOKUP($D64,Receptury_z!$D:$AS,AJ$4,0))</f>
        <v>0</v>
      </c>
      <c r="AK64" s="14">
        <f>IF($B64="OFF",CJ64,VLOOKUP($D64,Receptury_z!$D:$AS,AK$4,0))</f>
        <v>0</v>
      </c>
      <c r="AL64" s="14">
        <f>IF($B64="OFF",CK64,VLOOKUP($D64,Receptury_z!$D:$AS,AL$4,0))</f>
        <v>0</v>
      </c>
      <c r="AM64" s="14">
        <f>IF($B64="OFF",CL64,VLOOKUP($D64,Receptury_z!$D:$AS,AM$4,0))</f>
        <v>100</v>
      </c>
      <c r="AN64" s="14">
        <f>IF($B64="OFF",CM64,VLOOKUP($D64,Receptury_z!$D:$AS,AN$4,0))</f>
        <v>0</v>
      </c>
      <c r="AO64" s="14">
        <f>IF($B64="OFF",CN64,VLOOKUP($D64,Receptury_z!$D:$AS,AO$4,0))</f>
        <v>0</v>
      </c>
      <c r="AP64" s="14">
        <f>IF($B64="OFF",CO64,VLOOKUP($D64,Receptury_z!$D:$AS,AP$4,0))</f>
        <v>0</v>
      </c>
      <c r="AQ64" s="14">
        <f>IF($B64="OFF",CP64,VLOOKUP($D64,Receptury_z!$D:$AS,AQ$4,0))</f>
        <v>0</v>
      </c>
      <c r="AR64" s="14">
        <f>IF($B64="OFF",CQ64,VLOOKUP($D64,Receptury_z!$D:$AS,AR$4,0))</f>
        <v>0</v>
      </c>
      <c r="AS64" s="14">
        <f>IF($B64="OFF",CR64,VLOOKUP($D64,Receptury_z!$D:$AS,AS$4,0))</f>
        <v>0</v>
      </c>
      <c r="AT64" s="14">
        <f>IF($B64="OFF",CS64,VLOOKUP($D64,Receptury_z!$D:$AV,AT$4,0))</f>
        <v>0</v>
      </c>
      <c r="AU64" s="14">
        <f>IF($B64="OFF",CT64,VLOOKUP($D64,Receptury_z!$D:$AV,AU$4,0))</f>
        <v>0</v>
      </c>
      <c r="AV64" s="14">
        <f>IF($B64="OFF",CU64,VLOOKUP($D64,Receptury_z!$D:$AV,AV$4,0))</f>
        <v>0</v>
      </c>
      <c r="AW64" s="14">
        <f>IF($B64="OFF",CV64,VLOOKUP($D64,Receptury_z!$D:$BA,AW$4,0))</f>
        <v>0</v>
      </c>
      <c r="AX64" s="14">
        <f>IF($B64="OFF",CW64,VLOOKUP($D64,Receptury_z!$D:$BA,AX$4,0))</f>
        <v>0</v>
      </c>
      <c r="AY64" s="14">
        <f>IF($B64="OFF",CX64,VLOOKUP($D64,Receptury_z!$D:$BA,AY$4,0))</f>
        <v>0</v>
      </c>
      <c r="AZ64" s="14">
        <f>IF($B64="OFF",DA64,VLOOKUP($D64,Receptury_z!$D:$BA,AZ$4,0))</f>
        <v>0</v>
      </c>
      <c r="BA64" s="14">
        <f>IF($B64="OFF",DB64,VLOOKUP($D64,Receptury_z!$D:$BA,BA$4,0))</f>
        <v>0</v>
      </c>
      <c r="BC64" s="24" t="s">
        <v>17998</v>
      </c>
      <c r="BD64" s="25" t="s">
        <v>52</v>
      </c>
      <c r="BE64" s="239">
        <v>0</v>
      </c>
      <c r="BF64" s="239">
        <v>0</v>
      </c>
      <c r="BG64" s="239">
        <v>0</v>
      </c>
      <c r="BH64" s="239">
        <v>0</v>
      </c>
      <c r="BI64" s="239">
        <v>0</v>
      </c>
      <c r="BJ64" s="239">
        <v>0</v>
      </c>
      <c r="BK64" s="240"/>
      <c r="BL64" s="239">
        <v>0</v>
      </c>
      <c r="BM64" s="239">
        <v>0</v>
      </c>
      <c r="BN64" s="239">
        <v>0</v>
      </c>
      <c r="BO64" s="239">
        <v>0</v>
      </c>
      <c r="BP64" s="239">
        <v>0</v>
      </c>
      <c r="BQ64" s="239">
        <v>0</v>
      </c>
      <c r="BR64" s="239">
        <v>0</v>
      </c>
      <c r="BS64" s="239">
        <v>0</v>
      </c>
      <c r="BT64" s="239">
        <v>0</v>
      </c>
      <c r="BU64" s="239">
        <v>0</v>
      </c>
      <c r="BV64" s="239">
        <v>0</v>
      </c>
      <c r="BW64" s="239">
        <v>0</v>
      </c>
      <c r="BX64" s="239">
        <v>0</v>
      </c>
      <c r="BY64" s="239">
        <v>0</v>
      </c>
      <c r="BZ64" s="240">
        <f>754.3+141.4</f>
        <v>895.69999999999993</v>
      </c>
      <c r="CA64" s="239">
        <v>47.1</v>
      </c>
      <c r="CB64" s="239">
        <v>0</v>
      </c>
      <c r="CC64" s="239">
        <v>0</v>
      </c>
      <c r="CD64" s="239">
        <v>0</v>
      </c>
      <c r="CE64" s="239">
        <v>0</v>
      </c>
      <c r="CF64" s="239">
        <v>0</v>
      </c>
      <c r="CG64" s="239">
        <v>0</v>
      </c>
      <c r="CH64" s="239">
        <v>0</v>
      </c>
      <c r="CI64" s="239">
        <v>0</v>
      </c>
      <c r="CJ64" s="239">
        <v>0</v>
      </c>
      <c r="CK64" s="239">
        <v>0</v>
      </c>
      <c r="CL64" s="239">
        <v>0</v>
      </c>
      <c r="CM64" s="80"/>
      <c r="CN64" s="80"/>
      <c r="CO64" s="80"/>
      <c r="CP64" s="80"/>
      <c r="CQ64" s="80"/>
      <c r="CR64" s="80"/>
      <c r="CS64" s="80"/>
      <c r="CT64" s="80"/>
      <c r="CU64" s="80"/>
      <c r="CV64" s="80"/>
      <c r="CW64" s="80"/>
      <c r="CX64" s="80"/>
      <c r="CY64" s="80"/>
      <c r="CZ64" s="80"/>
      <c r="DB64">
        <f>IFERROR(VLOOKUP($D64,'Kalkulator mięs '!$C$5:$H$533,DB$4,0)*F64,0)</f>
        <v>0</v>
      </c>
      <c r="DC64">
        <f>IFERROR(VLOOKUP($D64,'Kalkulator mięs '!$C$5:$H$533,DC$4,0)*F64,0)</f>
        <v>0</v>
      </c>
      <c r="DD64">
        <f>IFERROR(VLOOKUP($D64,'Kalkulator mięs '!$C$5:$H$533,DD$4,0)*F64,0)</f>
        <v>0</v>
      </c>
      <c r="DE64">
        <f>IFERROR(VLOOKUP($D64,'Kalkulator mięs '!$C$5:$H$533,DE$4,0)*$G64,0)</f>
        <v>0</v>
      </c>
      <c r="DF64">
        <f>IFERROR(VLOOKUP($D64,'Kalkulator mięs '!$C$5:$H$533,DF$4,0)*$G64,0)</f>
        <v>0</v>
      </c>
      <c r="DG64">
        <f>IFERROR(VLOOKUP($D64,'Kalkulator mięs '!$C$5:$H$533,DG$4,0)*$G64,0)</f>
        <v>0</v>
      </c>
      <c r="DH64">
        <f>IFERROR(VLOOKUP($D64,'Kalkulator mięs '!$C$5:$H$533,DH$4,0)*$H64,0)</f>
        <v>0</v>
      </c>
      <c r="DI64">
        <f>IFERROR(VLOOKUP($D64,'Kalkulator mięs '!$C$5:$H$533,DI$4,0)*$H64,0)</f>
        <v>0</v>
      </c>
      <c r="DJ64">
        <f>IFERROR(VLOOKUP($D64,'Kalkulator mięs '!$C$5:$H$533,DJ$4,0)*$H64,0)</f>
        <v>0</v>
      </c>
      <c r="DK64">
        <f>IFERROR(VLOOKUP($D64,'Kalkulator mięs '!$C$5:$H$533,DK$4,0)*$I64,0)</f>
        <v>0</v>
      </c>
      <c r="DL64">
        <f>IFERROR(VLOOKUP($D64,'Kalkulator mięs '!$C$5:$H$533,DL$4,0)*$I64,0)</f>
        <v>0</v>
      </c>
      <c r="DM64">
        <f>IFERROR(VLOOKUP($D64,'Kalkulator mięs '!$C$5:$H$533,DM$4,0)*$I64,0)</f>
        <v>0</v>
      </c>
      <c r="DN64">
        <f>IFERROR(VLOOKUP($D64,'Kalkulator mięs '!$C$5:$H$533,DN$4,0)*$J64,0)</f>
        <v>0</v>
      </c>
      <c r="DO64">
        <f>IFERROR(VLOOKUP($D64,'Kalkulator mięs '!$C$5:$H$533,DO$4,0)*$J64,0)</f>
        <v>0</v>
      </c>
      <c r="DP64">
        <f>IFERROR(VLOOKUP($D64,'Kalkulator mięs '!$C$5:$H$533,DP$4,0)*$J64,0)</f>
        <v>0</v>
      </c>
      <c r="DQ64">
        <f>IFERROR(VLOOKUP($D64,'Kalkulator mięs '!$C$5:$H$533,DQ$4,0)*$K64,0)</f>
        <v>0</v>
      </c>
      <c r="DR64">
        <f>IFERROR(VLOOKUP($D64,'Kalkulator mięs '!$C$5:$H$533,DR$4,0)*$K64,0)</f>
        <v>0</v>
      </c>
      <c r="DS64">
        <f>IFERROR(VLOOKUP($D64,'Kalkulator mięs '!$C$5:$H$533,DS$4,0)*$K64,0)</f>
        <v>0</v>
      </c>
      <c r="DT64">
        <f>IFERROR(VLOOKUP($D64,'Kalkulator mięs '!$C$5:$H$533,DT$4,0)*$L64,0)</f>
        <v>0</v>
      </c>
      <c r="DU64">
        <f>IFERROR(VLOOKUP($D64,'Kalkulator mięs '!$C$5:$H$533,DU$4,0)*$L64,0)</f>
        <v>0</v>
      </c>
      <c r="DV64">
        <f>IFERROR(VLOOKUP($D64,'Kalkulator mięs '!$C$5:$H$533,DV$4,0)*$L64,0)</f>
        <v>0</v>
      </c>
      <c r="DW64">
        <f>IFERROR(VLOOKUP($D64,'Kalkulator mięs '!$C$5:$H$533,DW$4,0)*$M64,0)</f>
        <v>0</v>
      </c>
      <c r="DX64">
        <f>IFERROR(VLOOKUP($D64,'Kalkulator mięs '!$C$5:$H$533,DX$4,0)*$M64,0)</f>
        <v>0</v>
      </c>
      <c r="DY64">
        <f>IFERROR(VLOOKUP($D64,'Kalkulator mięs '!$C$5:$H$533,DY$4,0)*$M64,0)</f>
        <v>0</v>
      </c>
      <c r="DZ64">
        <f>IFERROR(VLOOKUP($D64,'Kalkulator mięs '!$C$5:$H$533,DZ$4,0)*$N64,0)</f>
        <v>0</v>
      </c>
      <c r="EA64">
        <f>IFERROR(VLOOKUP($D64,'Kalkulator mięs '!$C$5:$H$533,EA$4,0)*$N64,0)</f>
        <v>0</v>
      </c>
      <c r="EB64">
        <f>IFERROR(VLOOKUP($D64,'Kalkulator mięs '!$C$5:$H$533,EB$4,0)*$N64,0)</f>
        <v>0</v>
      </c>
      <c r="EC64">
        <f>IFERROR(VLOOKUP($D64,'Kalkulator mięs '!$C$5:$H$533,EC$4,0)*$O64,0)</f>
        <v>0</v>
      </c>
      <c r="ED64">
        <f>IFERROR(VLOOKUP($D64,'Kalkulator mięs '!$C$5:$H$533,ED$4,0)*$O64,0)</f>
        <v>0</v>
      </c>
      <c r="EE64">
        <f>IFERROR(VLOOKUP($D64,'Kalkulator mięs '!$C$5:$H$533,EE$4,0)*$O64,0)</f>
        <v>0</v>
      </c>
      <c r="EF64">
        <f>IFERROR(VLOOKUP($D64,'Kalkulator mięs '!$C$5:$H$533,EF$4,0)*$P64,0)</f>
        <v>0</v>
      </c>
      <c r="EG64">
        <f>IFERROR(VLOOKUP($D64,'Kalkulator mięs '!$C$5:$H$533,EG$4,0)*$P64,0)</f>
        <v>0</v>
      </c>
      <c r="EH64">
        <f>IFERROR(VLOOKUP($D64,'Kalkulator mięs '!$C$5:$H$533,EH$4,0)*$P64,0)</f>
        <v>0</v>
      </c>
      <c r="EI64">
        <f>IFERROR(VLOOKUP($D64,'Kalkulator mięs '!$C$5:$H$533,EI$4,0)*$Q64,0)</f>
        <v>0</v>
      </c>
      <c r="EJ64">
        <f>IFERROR(VLOOKUP($D64,'Kalkulator mięs '!$C$5:$H$533,EJ$4,0)*$Q64,0)</f>
        <v>0</v>
      </c>
      <c r="EK64">
        <f>IFERROR(VLOOKUP($D64,'Kalkulator mięs '!$C$5:$H$533,EK$4,0)*$Q64,0)</f>
        <v>0</v>
      </c>
      <c r="EL64">
        <f>IFERROR(VLOOKUP($D64,'Kalkulator mięs '!$C$5:$H$533,EL$4,0)*$R64,0)</f>
        <v>0</v>
      </c>
      <c r="EM64">
        <f>IFERROR(VLOOKUP($D64,'Kalkulator mięs '!$C$5:$H$533,EM$4,0)*$R64,0)</f>
        <v>0</v>
      </c>
      <c r="EN64">
        <f>IFERROR(VLOOKUP($D64,'Kalkulator mięs '!$C$5:$H$533,EN$4,0)*$R64,0)</f>
        <v>0</v>
      </c>
      <c r="EO64">
        <f>IFERROR(VLOOKUP($D64,'Kalkulator mięs '!$C$5:$H$533,EO$4,0)*$S64,0)</f>
        <v>0</v>
      </c>
      <c r="EP64">
        <f>IFERROR(VLOOKUP($D64,'Kalkulator mięs '!$C$5:$H$533,EP$4,0)*$S64,0)</f>
        <v>0</v>
      </c>
      <c r="EQ64">
        <f>IFERROR(VLOOKUP($D64,'Kalkulator mięs '!$C$5:$H$533,EQ$4,0)*$S64,0)</f>
        <v>0</v>
      </c>
      <c r="ER64">
        <f>IFERROR(VLOOKUP($D64,'Kalkulator mięs '!$C$5:$H$533,ER$4,0)*$T64,0)</f>
        <v>0</v>
      </c>
      <c r="ES64">
        <f>IFERROR(VLOOKUP($D64,'Kalkulator mięs '!$C$5:$H$533,ES$4,0)*$T64,0)</f>
        <v>0</v>
      </c>
      <c r="ET64">
        <f>IFERROR(VLOOKUP($D64,'Kalkulator mięs '!$C$5:$H$533,ET$4,0)*$T64,0)</f>
        <v>0</v>
      </c>
      <c r="EU64">
        <f>IFERROR(VLOOKUP($D64,'Kalkulator mięs '!$C$5:$H$533,EU$4,0)*$U64,0)</f>
        <v>0</v>
      </c>
      <c r="EV64">
        <f>IFERROR(VLOOKUP($D64,'Kalkulator mięs '!$C$5:$H$533,EV$4,0)*$U64,0)</f>
        <v>0</v>
      </c>
      <c r="EW64">
        <f>IFERROR(VLOOKUP($D64,'Kalkulator mięs '!$C$5:$H$533,EW$4,0)*$U64,0)</f>
        <v>0</v>
      </c>
      <c r="EX64">
        <f>IFERROR(VLOOKUP($D64,'Kalkulator mięs '!$C$5:$H$533,EX$4,0)*$V64,0)</f>
        <v>0</v>
      </c>
      <c r="EY64">
        <f>IFERROR(VLOOKUP($D64,'Kalkulator mięs '!$C$5:$H$533,EY$4,0)*$V64,0)</f>
        <v>0</v>
      </c>
      <c r="EZ64">
        <f>IFERROR(VLOOKUP($D64,'Kalkulator mięs '!$C$5:$H$533,EZ$4,0)*$V64,0)</f>
        <v>0</v>
      </c>
      <c r="FA64">
        <f>IFERROR(VLOOKUP($D64,'Kalkulator mięs '!$C$5:$H$533,FA$4,0)*$W64,0)</f>
        <v>0</v>
      </c>
      <c r="FB64">
        <f>IFERROR(VLOOKUP($D64,'Kalkulator mięs '!$C$5:$H$533,FB$4,0)*$W64,0)</f>
        <v>0</v>
      </c>
      <c r="FC64">
        <f>IFERROR(VLOOKUP($D64,'Kalkulator mięs '!$C$5:$H$533,FC$4,0)*$W64,0)</f>
        <v>0</v>
      </c>
      <c r="FD64">
        <f>IFERROR(VLOOKUP($D64,'Kalkulator mięs '!$C$5:$H$533,FD$4,0)*$X64,0)</f>
        <v>0</v>
      </c>
      <c r="FE64">
        <f>IFERROR(VLOOKUP($D64,'Kalkulator mięs '!$C$5:$H$533,FE$4,0)*$X64,0)</f>
        <v>0</v>
      </c>
      <c r="FF64">
        <f>IFERROR(VLOOKUP($D64,'Kalkulator mięs '!$C$5:$H$533,FF$4,0)*$X64,0)</f>
        <v>0</v>
      </c>
      <c r="FG64">
        <f>IFERROR(VLOOKUP($D64,'Kalkulator mięs '!$C$5:$H$533,FG$4,0)*$Y64,0)</f>
        <v>0</v>
      </c>
      <c r="FH64">
        <f>IFERROR(VLOOKUP($D64,'Kalkulator mięs '!$C$5:$H$533,FH$4,0)*$Y64,0)</f>
        <v>0</v>
      </c>
      <c r="FI64">
        <f>IFERROR(VLOOKUP($D64,'Kalkulator mięs '!$C$5:$H$533,FI$4,0)*$Y64,0)</f>
        <v>0</v>
      </c>
      <c r="FJ64">
        <f>IFERROR(VLOOKUP($D64,'Kalkulator mięs '!$C$5:$H$533,FJ$4,0)*$Z64,0)</f>
        <v>0</v>
      </c>
      <c r="FK64">
        <f>IFERROR(VLOOKUP($D64,'Kalkulator mięs '!$C$5:$H$533,FK$4,0)*$Z64,0)</f>
        <v>0</v>
      </c>
      <c r="FL64">
        <f>IFERROR(VLOOKUP($D64,'Kalkulator mięs '!$C$5:$H$533,FL$4,0)*$Z64,0)</f>
        <v>0</v>
      </c>
      <c r="FM64">
        <f>IFERROR(VLOOKUP($D64,'Kalkulator mięs '!$C$5:$H$533,FM$4,0)*$AA64,0)</f>
        <v>0</v>
      </c>
      <c r="FN64">
        <f>IFERROR(VLOOKUP($D64,'Kalkulator mięs '!$C$5:$H$533,FN$4,0)*$AA64,0)</f>
        <v>0</v>
      </c>
      <c r="FO64">
        <f>IFERROR(VLOOKUP($D64,'Kalkulator mięs '!$C$5:$H$533,FO$4,0)*$AA64,0)</f>
        <v>0</v>
      </c>
      <c r="FP64">
        <f>IFERROR(VLOOKUP($D64,'Kalkulator mięs '!$C$5:$H$533,FP$4,0)*$AB64,0)</f>
        <v>0</v>
      </c>
      <c r="FQ64">
        <f>IFERROR(VLOOKUP($D64,'Kalkulator mięs '!$C$5:$H$533,FQ$4,0)*$AB64,0)</f>
        <v>0</v>
      </c>
      <c r="FR64">
        <f>IFERROR(VLOOKUP($D64,'Kalkulator mięs '!$C$5:$H$533,FR$4,0)*$AB64,0)</f>
        <v>0</v>
      </c>
      <c r="FS64">
        <f>IFERROR(VLOOKUP($D64,'Kalkulator mięs '!$C$5:$H$533,FS$4,0)*$AC64,0)</f>
        <v>0</v>
      </c>
      <c r="FT64">
        <f>IFERROR(VLOOKUP($D64,'Kalkulator mięs '!$C$5:$H$533,FT$4,0)*$AC64,0)</f>
        <v>0</v>
      </c>
      <c r="FU64">
        <f>IFERROR(VLOOKUP($D64,'Kalkulator mięs '!$C$5:$H$533,FU$4,0)*$AC64,0)</f>
        <v>0</v>
      </c>
      <c r="FV64">
        <f>IFERROR(VLOOKUP($D64,'Kalkulator mięs '!$C$5:$H$533,FV$4,0)*$AD64,0)</f>
        <v>0</v>
      </c>
      <c r="FW64">
        <f>IFERROR(VLOOKUP($D64,'Kalkulator mięs '!$C$5:$H$533,FW$4,0)*$AD64,0)</f>
        <v>0</v>
      </c>
      <c r="FX64">
        <f>IFERROR(VLOOKUP($D64,'Kalkulator mięs '!$C$5:$H$533,FX$4,0)*$AD64,0)</f>
        <v>0</v>
      </c>
      <c r="FY64">
        <f>IFERROR(VLOOKUP($D64,'Kalkulator mięs '!$C$5:$H$533,FY$4,0)*$AE64,0)</f>
        <v>0</v>
      </c>
      <c r="FZ64">
        <f>IFERROR(VLOOKUP($D64,'Kalkulator mięs '!$C$5:$H$533,FZ$4,0)*$AE64,0)</f>
        <v>0</v>
      </c>
      <c r="GA64">
        <f>IFERROR(VLOOKUP($D64,'Kalkulator mięs '!$C$5:$H$533,GA$4,0)*$AE64,0)</f>
        <v>0</v>
      </c>
      <c r="GB64">
        <f>IFERROR(VLOOKUP($D64,'Kalkulator mięs '!$C$5:$H$533,GB$4,0)*$AF64,0)</f>
        <v>0</v>
      </c>
      <c r="GC64">
        <f>IFERROR(VLOOKUP($D64,'Kalkulator mięs '!$C$5:$H$533,GC$4,0)*$AF64,0)</f>
        <v>0</v>
      </c>
      <c r="GD64">
        <f>IFERROR(VLOOKUP($D64,'Kalkulator mięs '!$C$5:$H$533,GD$4,0)*$AF64,0)</f>
        <v>0</v>
      </c>
      <c r="GE64">
        <f>IFERROR(VLOOKUP($D64,'Kalkulator mięs '!$C$5:$H$533,GE$4,0)*$AG64,0)</f>
        <v>0</v>
      </c>
      <c r="GF64">
        <f>IFERROR(VLOOKUP($D64,'Kalkulator mięs '!$C$5:$H$533,GF$4,0)*$AG64,0)</f>
        <v>0</v>
      </c>
      <c r="GG64">
        <f>IFERROR(VLOOKUP($D64,'Kalkulator mięs '!$C$5:$H$533,GG$4,0)*$AG64,0)</f>
        <v>0</v>
      </c>
      <c r="GH64">
        <f>IFERROR(VLOOKUP($D64,'Kalkulator mięs '!$C$5:$H$533,GH$4,0)*$AH64,0)</f>
        <v>0</v>
      </c>
      <c r="GI64">
        <f>IFERROR(VLOOKUP($D64,'Kalkulator mięs '!$C$5:$H$533,GI$4,0)*$AH64,0)</f>
        <v>0</v>
      </c>
      <c r="GJ64">
        <f>IFERROR(VLOOKUP($D64,'Kalkulator mięs '!$C$5:$H$533,GJ$4,0)*$AH64,0)</f>
        <v>0</v>
      </c>
      <c r="GK64">
        <f>IFERROR(VLOOKUP($D64,'Kalkulator mięs '!$C$5:$H$533,GK$4,0)*$AI64,0)</f>
        <v>0</v>
      </c>
      <c r="GL64">
        <f>IFERROR(VLOOKUP($D64,'Kalkulator mięs '!$C$5:$H$533,GL$4,0)*$AI64,0)</f>
        <v>0</v>
      </c>
      <c r="GM64">
        <f>IFERROR(VLOOKUP($D64,'Kalkulator mięs '!$C$5:$H$533,GM$4,0)*$AI64,0)</f>
        <v>0</v>
      </c>
      <c r="GN64">
        <f>IFERROR(VLOOKUP($D64,'Kalkulator mięs '!$C$5:$H$533,GN$4,0)*$AJ64,0)</f>
        <v>0</v>
      </c>
      <c r="GO64">
        <f>IFERROR(VLOOKUP($D64,'Kalkulator mięs '!$C$5:$H$533,GO$4,0)*$AJ64,0)</f>
        <v>0</v>
      </c>
      <c r="GP64">
        <f>IFERROR(VLOOKUP($D64,'Kalkulator mięs '!$C$5:$H$533,GP$4,0)*$AJ64,0)</f>
        <v>0</v>
      </c>
      <c r="GQ64">
        <f>IFERROR(VLOOKUP($D64,'Kalkulator mięs '!$C$5:$H$533,GQ$4,0)*$AK64,0)</f>
        <v>0</v>
      </c>
      <c r="GR64">
        <f>IFERROR(VLOOKUP($D64,'Kalkulator mięs '!$C$5:$H$533,GR$4,0)*$AK64,0)</f>
        <v>0</v>
      </c>
      <c r="GS64">
        <f>IFERROR(VLOOKUP($D64,'Kalkulator mięs '!$C$5:$H$533,GS$4,0)*$AK64,0)</f>
        <v>0</v>
      </c>
      <c r="GT64">
        <f>IFERROR(VLOOKUP($D64,'Kalkulator mięs '!$C$5:$H$533,GT$4,0)*$AL64,0)</f>
        <v>0</v>
      </c>
      <c r="GU64">
        <f>IFERROR(VLOOKUP($D64,'Kalkulator mięs '!$C$5:$H$533,GU$4,0)*$AL64,0)</f>
        <v>0</v>
      </c>
      <c r="GV64">
        <f>IFERROR(VLOOKUP($D64,'Kalkulator mięs '!$C$5:$H$533,GV$4,0)*$AL64,0)</f>
        <v>0</v>
      </c>
      <c r="GW64">
        <f>IFERROR(VLOOKUP($D64,'Kalkulator mięs '!$C$5:$H$533,GW$4,0)*$AM64,0)</f>
        <v>0</v>
      </c>
      <c r="GX64">
        <f>IFERROR(VLOOKUP($D64,'Kalkulator mięs '!$C$5:$H$533,GX$4,0)*$AM64,0)</f>
        <v>0</v>
      </c>
      <c r="GY64">
        <f>IFERROR(VLOOKUP($D64,'Kalkulator mięs '!$C$5:$H$533,GY$4,0)*$AM64,0)</f>
        <v>0</v>
      </c>
      <c r="GZ64">
        <f>IFERROR(VLOOKUP($D64,'Kalkulator mięs '!$C$5:$H$533,GZ$4,0)*$AN64,0)</f>
        <v>0</v>
      </c>
      <c r="HA64">
        <f>IFERROR(VLOOKUP($D64,'Kalkulator mięs '!$C$5:$H$533,HA$4,0)*$AN64,0)</f>
        <v>0</v>
      </c>
      <c r="HB64">
        <f>IFERROR(VLOOKUP($D64,'Kalkulator mięs '!$C$5:$H$533,HB$4,0)*$AN64,0)</f>
        <v>0</v>
      </c>
      <c r="HC64">
        <f>IFERROR(VLOOKUP($D64,'Kalkulator mięs '!$C$5:$H$533,HC$4,0)*$AO64,0)</f>
        <v>0</v>
      </c>
      <c r="HD64">
        <f>IFERROR(VLOOKUP($D64,'Kalkulator mięs '!$C$5:$H$533,HD$4,0)*$AO64,0)</f>
        <v>0</v>
      </c>
      <c r="HE64">
        <f>IFERROR(VLOOKUP($D64,'Kalkulator mięs '!$C$5:$H$533,HE$4,0)*$AO64,0)</f>
        <v>0</v>
      </c>
      <c r="HF64">
        <f>IFERROR(VLOOKUP($D64,'Kalkulator mięs '!$C$5:$H$533,HF$4,0)*$AP64,0)</f>
        <v>0</v>
      </c>
      <c r="HG64">
        <f>IFERROR(VLOOKUP($D64,'Kalkulator mięs '!$C$5:$H$533,HG$4,0)*$AP64,0)</f>
        <v>0</v>
      </c>
      <c r="HH64">
        <f>IFERROR(VLOOKUP($D64,'Kalkulator mięs '!$C$5:$H$533,HH$4,0)*$AP64,0)</f>
        <v>0</v>
      </c>
      <c r="HI64">
        <f>IFERROR(VLOOKUP($D64,'Kalkulator mięs '!$C$5:$H$533,HI$4,0)*$AQ64,0)</f>
        <v>0</v>
      </c>
      <c r="HJ64">
        <f>IFERROR(VLOOKUP($D64,'Kalkulator mięs '!$C$5:$H$533,HJ$4,0)*$AQ64,0)</f>
        <v>0</v>
      </c>
      <c r="HK64">
        <f>IFERROR(VLOOKUP($D64,'Kalkulator mięs '!$C$5:$H$533,HK$4,0)*$AQ64,0)</f>
        <v>0</v>
      </c>
      <c r="HL64">
        <f>IFERROR(VLOOKUP($D64,'Kalkulator mięs '!$C$5:$H$533,HL$4,0)*$AR64,0)</f>
        <v>0</v>
      </c>
      <c r="HM64">
        <f>IFERROR(VLOOKUP($D64,'Kalkulator mięs '!$C$5:$H$533,HM$4,0)*$AR64,0)</f>
        <v>0</v>
      </c>
      <c r="HN64">
        <f>IFERROR(VLOOKUP($D64,'Kalkulator mięs '!$C$5:$H$533,HN$4,0)*$AR64,0)</f>
        <v>0</v>
      </c>
      <c r="HO64">
        <f>IFERROR(VLOOKUP($D64,'Kalkulator mięs '!$C$5:$H$533,HO$4,0)*$AS64,0)</f>
        <v>0</v>
      </c>
      <c r="HP64">
        <f>IFERROR(VLOOKUP($D64,'Kalkulator mięs '!$C$5:$H$533,HP$4,0)*$AS64,0)</f>
        <v>0</v>
      </c>
      <c r="HQ64">
        <f>IFERROR(VLOOKUP($D64,'Kalkulator mięs '!$C$5:$H$533,HQ$4,0)*$AS64,0)</f>
        <v>0</v>
      </c>
      <c r="HR64">
        <f>IFERROR(VLOOKUP($D64,'Kalkulator mięs '!$C$5:$H$533,HR$4,0)*$AT64,0)</f>
        <v>0</v>
      </c>
      <c r="HS64">
        <f>IFERROR(VLOOKUP($D64,'Kalkulator mięs '!$C$5:$H$533,HS$4,0)*$AT64,0)</f>
        <v>0</v>
      </c>
      <c r="HT64">
        <f>IFERROR(VLOOKUP($D64,'Kalkulator mięs '!$C$5:$H$533,HT$4,0)*$AT64,0)</f>
        <v>0</v>
      </c>
      <c r="HU64">
        <f>IFERROR(VLOOKUP($D64,'Kalkulator mięs '!$C$5:$H$533,HU$4,0)*$AU64,0)</f>
        <v>0</v>
      </c>
      <c r="HV64">
        <f>IFERROR(VLOOKUP($D64,'Kalkulator mięs '!$C$5:$H$533,HV$4,0)*$AU64,0)</f>
        <v>0</v>
      </c>
      <c r="HW64">
        <f>IFERROR(VLOOKUP($D64,'Kalkulator mięs '!$C$5:$H$533,HW$4,0)*$AU64,0)</f>
        <v>0</v>
      </c>
      <c r="HX64">
        <f>IFERROR(VLOOKUP($D64,'Kalkulator mięs '!$C$5:$H$533,HX$4,0)*$AV64,0)</f>
        <v>0</v>
      </c>
      <c r="HY64">
        <f>IFERROR(VLOOKUP($D64,'Kalkulator mięs '!$C$5:$H$533,HY$4,0)*$AV64,0)</f>
        <v>0</v>
      </c>
      <c r="HZ64">
        <f>IFERROR(VLOOKUP($D64,'Kalkulator mięs '!$C$5:$H$533,HZ$4,0)*$AV64,0)</f>
        <v>0</v>
      </c>
      <c r="IA64">
        <f>IFERROR(VLOOKUP($D64,'Kalkulator mięs '!$C$5:$H$533,IA$4,0)*$AW64,0)</f>
        <v>0</v>
      </c>
      <c r="IB64">
        <f>IFERROR(VLOOKUP($D64,'Kalkulator mięs '!$C$5:$H$533,IB$4,0)*$AW64,0)</f>
        <v>0</v>
      </c>
      <c r="IC64">
        <f>IFERROR(VLOOKUP($D64,'Kalkulator mięs '!$C$5:$H$533,IC$4,0)*$AW64,0)</f>
        <v>0</v>
      </c>
      <c r="ID64">
        <f>IFERROR(VLOOKUP($D64,'Kalkulator mięs '!$C$5:$H$533,ID$4,0)*$AX64,0)</f>
        <v>0</v>
      </c>
      <c r="IE64">
        <f>IFERROR(VLOOKUP($D64,'Kalkulator mięs '!$C$5:$H$533,IE$4,0)*$AX64,0)</f>
        <v>0</v>
      </c>
      <c r="IF64">
        <f>IFERROR(VLOOKUP($D64,'Kalkulator mięs '!$C$5:$H$533,IF$4,0)*$AX64,0)</f>
        <v>0</v>
      </c>
      <c r="IG64">
        <f>IFERROR(VLOOKUP($D64,'Kalkulator mięs '!$C$5:$H$533,IG$4,0)*$AY64,0)</f>
        <v>0</v>
      </c>
      <c r="IH64">
        <f>IFERROR(VLOOKUP($D64,'Kalkulator mięs '!$C$5:$H$533,IH$4,0)*$AY64,0)</f>
        <v>0</v>
      </c>
      <c r="II64">
        <f>IFERROR(VLOOKUP($D64,'Kalkulator mięs '!$C$5:$H$533,II$4,0)*$AY64,0)</f>
        <v>0</v>
      </c>
      <c r="IJ64">
        <f>IFERROR(VLOOKUP($D64,'Kalkulator mięs '!$C$5:$H$533,IJ$4,0)*$AZ64,0)</f>
        <v>0</v>
      </c>
      <c r="IK64">
        <f>IFERROR(VLOOKUP($D64,'Kalkulator mięs '!$C$5:$H$533,IK$4,0)*$AZ64,0)</f>
        <v>0</v>
      </c>
      <c r="IL64">
        <f>IFERROR(VLOOKUP($D64,'Kalkulator mięs '!$C$5:$H$533,IL$4,0)*$AZ64,0)</f>
        <v>0</v>
      </c>
      <c r="IM64">
        <f>IFERROR(VLOOKUP($D64,'Kalkulator mięs '!$C$5:$H$533,IM$4,0)*$BA64,0)</f>
        <v>0</v>
      </c>
      <c r="IN64">
        <f>IFERROR(VLOOKUP($D64,'Kalkulator mięs '!$C$5:$H$533,IN$4,0)*$BA64,0)</f>
        <v>0</v>
      </c>
      <c r="IO64">
        <f>IFERROR(VLOOKUP($D64,'Kalkulator mięs '!$C$5:$H$533,IO$4,0)*$BA64,0)</f>
        <v>0</v>
      </c>
    </row>
    <row r="65" spans="2:249" ht="31.5">
      <c r="B65" t="str">
        <f>VLOOKUP(D65,Receptury_z!$A:$B,2,0)</f>
        <v>ON</v>
      </c>
      <c r="C65" s="23">
        <v>5523</v>
      </c>
      <c r="D65" s="24" t="s">
        <v>17999</v>
      </c>
      <c r="E65" s="25" t="s">
        <v>53</v>
      </c>
      <c r="F65" s="14">
        <f>IF($B65="OFF",BE65,VLOOKUP($D65,Receptury_z!$D:$AI,F$4,0))</f>
        <v>0</v>
      </c>
      <c r="G65" s="14">
        <f>IF($B65="OFF",BF65,VLOOKUP($D65,Receptury_z!$D:$AI,G$4,0))</f>
        <v>324.63</v>
      </c>
      <c r="H65" s="14">
        <f>IF($B65="OFF",BG65,VLOOKUP($D65,Receptury_z!$D:$AI,H$4,0))</f>
        <v>0</v>
      </c>
      <c r="I65" s="14">
        <f>IF($B65="OFF",BH65,VLOOKUP($D65,Receptury_z!$D:$AI,I$4,0))</f>
        <v>0</v>
      </c>
      <c r="J65" s="14">
        <f>IF($B65="OFF",BI65,VLOOKUP($D65,Receptury_z!$D:$AI,J$4,0))</f>
        <v>0</v>
      </c>
      <c r="K65" s="14">
        <f>IF($B65="OFF",BJ65,VLOOKUP($D65,Receptury_z!$D:$AI,K$4,0))</f>
        <v>0</v>
      </c>
      <c r="L65" s="14">
        <f>IF($B65="OFF",BK65,VLOOKUP($D65,Receptury_z!$D:$AI,L$4,0))</f>
        <v>0</v>
      </c>
      <c r="M65" s="14">
        <f>IF($B65="OFF",BL65,VLOOKUP($D65,Receptury_z!$D:$AI,M$4,0))</f>
        <v>0</v>
      </c>
      <c r="N65" s="14">
        <f>IF($B65="OFF",BM65,VLOOKUP($D65,Receptury_z!$D:$AI,N$4,0))</f>
        <v>0</v>
      </c>
      <c r="O65" s="14">
        <f>IF($B65="OFF",BN65,VLOOKUP($D65,Receptury_z!$D:$AI,O$4,0))</f>
        <v>0</v>
      </c>
      <c r="P65" s="14">
        <f>IF($B65="OFF",BO65,VLOOKUP($D65,Receptury_z!$D:$AI,P$4,0))</f>
        <v>0</v>
      </c>
      <c r="Q65" s="14">
        <f>IF($B65="OFF",BP65,VLOOKUP($D65,Receptury_z!$D:$AI,Q$4,0))</f>
        <v>0</v>
      </c>
      <c r="R65" s="14">
        <f>IF($B65="OFF",BQ65,VLOOKUP($D65,Receptury_z!$D:$AI,R$4,0))</f>
        <v>0</v>
      </c>
      <c r="S65" s="14">
        <f>IF($B65="OFF",BR65,VLOOKUP($D65,Receptury_z!$D:$AI,S$4,0))</f>
        <v>0</v>
      </c>
      <c r="T65" s="14">
        <f>IF($B65="OFF",BS65,VLOOKUP($D65,Receptury_z!$D:$AI,T$4,0))</f>
        <v>0</v>
      </c>
      <c r="U65" s="14">
        <f>IF($B65="OFF",BT65,VLOOKUP($D65,Receptury_z!$D:$AI,U$4,0))</f>
        <v>0</v>
      </c>
      <c r="V65" s="14">
        <f>IF($B65="OFF",BU65,VLOOKUP($D65,Receptury_z!$D:$AI,V$4,0))</f>
        <v>0</v>
      </c>
      <c r="W65" s="14">
        <f>IF($B65="OFF",BV65,VLOOKUP($D65,Receptury_z!$D:$AI,W$4,0))</f>
        <v>0</v>
      </c>
      <c r="X65" s="14">
        <f>IF($B65="OFF",BW65,VLOOKUP($D65,Receptury_z!$D:$AI,X$4,0))</f>
        <v>0</v>
      </c>
      <c r="Y65" s="14">
        <f>IF($B65="OFF",BX65,VLOOKUP($D65,Receptury_z!$D:$AI,Y$4,0))</f>
        <v>146.5</v>
      </c>
      <c r="Z65" s="14">
        <f>IF($B65="OFF",BY65,VLOOKUP($D65,Receptury_z!$D:$AI,Z$4,0))</f>
        <v>0</v>
      </c>
      <c r="AA65" s="14">
        <f>IF($B65="OFF",BZ65,VLOOKUP($D65,Receptury_z!$D:$AI,AA$4,0))</f>
        <v>0</v>
      </c>
      <c r="AB65" s="14">
        <f>IF($B65="OFF",CA65,VLOOKUP($D65,Receptury_z!$D:$AI,AB$4,0))</f>
        <v>25.02</v>
      </c>
      <c r="AC65" s="14">
        <f>IF($B65="OFF",CB65,VLOOKUP($D65,Receptury_z!$D:$AI,AC$4,0))</f>
        <v>0</v>
      </c>
      <c r="AD65" s="14">
        <f>IF($B65="OFF",CC65,VLOOKUP($D65,Receptury_z!$D:$AI,AD$4,0))</f>
        <v>0</v>
      </c>
      <c r="AE65" s="14">
        <f>IF($B65="OFF",CD65,VLOOKUP($D65,Receptury_z!$D:$AI,AE$4,0))</f>
        <v>61.2</v>
      </c>
      <c r="AF65" s="14">
        <f>IF($B65="OFF",CE65,VLOOKUP($D65,Receptury_z!$D:$AI,AF$4,0))</f>
        <v>0</v>
      </c>
      <c r="AG65" s="14">
        <f>IF($B65="OFF",CF65,VLOOKUP($D65,Receptury_z!$D:$AI,AG$4,0))</f>
        <v>46.67</v>
      </c>
      <c r="AH65" s="14">
        <f>IF($B65="OFF",CG65,VLOOKUP($D65,Receptury_z!$D:$AI,AH$4,0))</f>
        <v>0</v>
      </c>
      <c r="AI65" s="14">
        <f>IF($B65="OFF",CH65,VLOOKUP($D65,Receptury_z!$D:$AI,AI$4,0))</f>
        <v>0</v>
      </c>
      <c r="AJ65" s="14">
        <f>IF($B65="OFF",CI65,VLOOKUP($D65,Receptury_z!$D:$AS,AJ$4,0))</f>
        <v>0</v>
      </c>
      <c r="AK65" s="14">
        <f>IF($B65="OFF",CJ65,VLOOKUP($D65,Receptury_z!$D:$AS,AK$4,0))</f>
        <v>0</v>
      </c>
      <c r="AL65" s="14">
        <f>IF($B65="OFF",CK65,VLOOKUP($D65,Receptury_z!$D:$AS,AL$4,0))</f>
        <v>0</v>
      </c>
      <c r="AM65" s="14">
        <f>IF($B65="OFF",CL65,VLOOKUP($D65,Receptury_z!$D:$AS,AM$4,0))</f>
        <v>100</v>
      </c>
      <c r="AN65" s="14">
        <f>IF($B65="OFF",CM65,VLOOKUP($D65,Receptury_z!$D:$AS,AN$4,0))</f>
        <v>0</v>
      </c>
      <c r="AO65" s="14">
        <f>IF($B65="OFF",CN65,VLOOKUP($D65,Receptury_z!$D:$AS,AO$4,0))</f>
        <v>0</v>
      </c>
      <c r="AP65" s="14">
        <f>IF($B65="OFF",CO65,VLOOKUP($D65,Receptury_z!$D:$AS,AP$4,0))</f>
        <v>331.98</v>
      </c>
      <c r="AQ65" s="14">
        <f>IF($B65="OFF",CP65,VLOOKUP($D65,Receptury_z!$D:$AS,AQ$4,0))</f>
        <v>0</v>
      </c>
      <c r="AR65" s="14">
        <f>IF($B65="OFF",CQ65,VLOOKUP($D65,Receptury_z!$D:$AS,AR$4,0))</f>
        <v>0</v>
      </c>
      <c r="AS65" s="14">
        <f>IF($B65="OFF",CR65,VLOOKUP($D65,Receptury_z!$D:$AS,AS$4,0))</f>
        <v>0</v>
      </c>
      <c r="AT65" s="14">
        <f>IF($B65="OFF",CS65,VLOOKUP($D65,Receptury_z!$D:$AV,AT$4,0))</f>
        <v>0</v>
      </c>
      <c r="AU65" s="14">
        <f>IF($B65="OFF",CT65,VLOOKUP($D65,Receptury_z!$D:$AV,AU$4,0))</f>
        <v>0</v>
      </c>
      <c r="AV65" s="14">
        <f>IF($B65="OFF",CU65,VLOOKUP($D65,Receptury_z!$D:$AV,AV$4,0))</f>
        <v>0</v>
      </c>
      <c r="AW65" s="14">
        <f>IF($B65="OFF",CV65,VLOOKUP($D65,Receptury_z!$D:$BA,AW$4,0))</f>
        <v>0</v>
      </c>
      <c r="AX65" s="14">
        <f>IF($B65="OFF",CW65,VLOOKUP($D65,Receptury_z!$D:$BA,AX$4,0))</f>
        <v>0</v>
      </c>
      <c r="AY65" s="14">
        <f>IF($B65="OFF",CX65,VLOOKUP($D65,Receptury_z!$D:$BA,AY$4,0))</f>
        <v>0</v>
      </c>
      <c r="AZ65" s="14">
        <f>IF($B65="OFF",DA65,VLOOKUP($D65,Receptury_z!$D:$BA,AZ$4,0))</f>
        <v>0</v>
      </c>
      <c r="BA65" s="14">
        <f>IF($B65="OFF",DB65,VLOOKUP($D65,Receptury_z!$D:$BA,BA$4,0))</f>
        <v>0</v>
      </c>
      <c r="BC65" s="24" t="s">
        <v>17999</v>
      </c>
      <c r="BD65" s="25" t="s">
        <v>53</v>
      </c>
      <c r="BE65" s="239">
        <v>0</v>
      </c>
      <c r="BF65" s="239">
        <v>0</v>
      </c>
      <c r="BG65" s="239">
        <v>0</v>
      </c>
      <c r="BH65" s="239">
        <v>0</v>
      </c>
      <c r="BI65" s="239">
        <v>0</v>
      </c>
      <c r="BJ65" s="239">
        <v>0</v>
      </c>
      <c r="BK65" s="239">
        <v>0</v>
      </c>
      <c r="BL65" s="239">
        <v>0</v>
      </c>
      <c r="BM65" s="239">
        <v>0</v>
      </c>
      <c r="BN65" s="239">
        <v>0</v>
      </c>
      <c r="BO65" s="239">
        <v>0</v>
      </c>
      <c r="BP65" s="239">
        <v>0</v>
      </c>
      <c r="BQ65" s="239">
        <v>0</v>
      </c>
      <c r="BR65" s="239">
        <v>0</v>
      </c>
      <c r="BS65" s="239">
        <v>0</v>
      </c>
      <c r="BT65" s="239">
        <v>0</v>
      </c>
      <c r="BU65" s="239">
        <v>0</v>
      </c>
      <c r="BV65" s="239">
        <v>0</v>
      </c>
      <c r="BW65" s="239">
        <v>0</v>
      </c>
      <c r="BX65" s="239">
        <v>0</v>
      </c>
      <c r="BY65" s="239">
        <v>0</v>
      </c>
      <c r="BZ65" s="240"/>
      <c r="CA65" s="239">
        <v>0</v>
      </c>
      <c r="CB65" s="239">
        <v>0</v>
      </c>
      <c r="CC65" s="240"/>
      <c r="CD65" s="239">
        <v>0</v>
      </c>
      <c r="CE65" s="239">
        <v>0</v>
      </c>
      <c r="CF65" s="239">
        <v>0</v>
      </c>
      <c r="CG65" s="239">
        <v>0</v>
      </c>
      <c r="CH65" s="239">
        <v>0</v>
      </c>
      <c r="CI65" s="239">
        <v>0</v>
      </c>
      <c r="CJ65" s="239">
        <v>0</v>
      </c>
      <c r="CK65" s="239">
        <v>0</v>
      </c>
      <c r="CL65" s="239">
        <v>0</v>
      </c>
      <c r="CM65" s="241">
        <v>949.3</v>
      </c>
      <c r="CN65" s="80"/>
      <c r="CO65" s="80"/>
      <c r="CP65" s="80"/>
      <c r="CQ65" s="80"/>
      <c r="CR65" s="80"/>
      <c r="CS65" s="80"/>
      <c r="CT65" s="80"/>
      <c r="CU65" s="80"/>
      <c r="CV65" s="80"/>
      <c r="CW65" s="80"/>
      <c r="CX65" s="80"/>
      <c r="CY65" s="80"/>
      <c r="CZ65" s="80"/>
      <c r="DB65">
        <f>IFERROR(VLOOKUP($D65,'Kalkulator mięs '!$C$5:$H$533,DB$4,0)*F65,0)</f>
        <v>0</v>
      </c>
      <c r="DC65">
        <f>IFERROR(VLOOKUP($D65,'Kalkulator mięs '!$C$5:$H$533,DC$4,0)*F65,0)</f>
        <v>0</v>
      </c>
      <c r="DD65">
        <f>IFERROR(VLOOKUP($D65,'Kalkulator mięs '!$C$5:$H$533,DD$4,0)*F65,0)</f>
        <v>0</v>
      </c>
      <c r="DE65">
        <f>IFERROR(VLOOKUP($D65,'Kalkulator mięs '!$C$5:$H$533,DE$4,0)*$G65,0)</f>
        <v>0</v>
      </c>
      <c r="DF65">
        <f>IFERROR(VLOOKUP($D65,'Kalkulator mięs '!$C$5:$H$533,DF$4,0)*$G65,0)</f>
        <v>0</v>
      </c>
      <c r="DG65">
        <f>IFERROR(VLOOKUP($D65,'Kalkulator mięs '!$C$5:$H$533,DG$4,0)*$G65,0)</f>
        <v>0</v>
      </c>
      <c r="DH65">
        <f>IFERROR(VLOOKUP($D65,'Kalkulator mięs '!$C$5:$H$533,DH$4,0)*$H65,0)</f>
        <v>0</v>
      </c>
      <c r="DI65">
        <f>IFERROR(VLOOKUP($D65,'Kalkulator mięs '!$C$5:$H$533,DI$4,0)*$H65,0)</f>
        <v>0</v>
      </c>
      <c r="DJ65">
        <f>IFERROR(VLOOKUP($D65,'Kalkulator mięs '!$C$5:$H$533,DJ$4,0)*$H65,0)</f>
        <v>0</v>
      </c>
      <c r="DK65">
        <f>IFERROR(VLOOKUP($D65,'Kalkulator mięs '!$C$5:$H$533,DK$4,0)*$I65,0)</f>
        <v>0</v>
      </c>
      <c r="DL65">
        <f>IFERROR(VLOOKUP($D65,'Kalkulator mięs '!$C$5:$H$533,DL$4,0)*$I65,0)</f>
        <v>0</v>
      </c>
      <c r="DM65">
        <f>IFERROR(VLOOKUP($D65,'Kalkulator mięs '!$C$5:$H$533,DM$4,0)*$I65,0)</f>
        <v>0</v>
      </c>
      <c r="DN65">
        <f>IFERROR(VLOOKUP($D65,'Kalkulator mięs '!$C$5:$H$533,DN$4,0)*$J65,0)</f>
        <v>0</v>
      </c>
      <c r="DO65">
        <f>IFERROR(VLOOKUP($D65,'Kalkulator mięs '!$C$5:$H$533,DO$4,0)*$J65,0)</f>
        <v>0</v>
      </c>
      <c r="DP65">
        <f>IFERROR(VLOOKUP($D65,'Kalkulator mięs '!$C$5:$H$533,DP$4,0)*$J65,0)</f>
        <v>0</v>
      </c>
      <c r="DQ65">
        <f>IFERROR(VLOOKUP($D65,'Kalkulator mięs '!$C$5:$H$533,DQ$4,0)*$K65,0)</f>
        <v>0</v>
      </c>
      <c r="DR65">
        <f>IFERROR(VLOOKUP($D65,'Kalkulator mięs '!$C$5:$H$533,DR$4,0)*$K65,0)</f>
        <v>0</v>
      </c>
      <c r="DS65">
        <f>IFERROR(VLOOKUP($D65,'Kalkulator mięs '!$C$5:$H$533,DS$4,0)*$K65,0)</f>
        <v>0</v>
      </c>
      <c r="DT65">
        <f>IFERROR(VLOOKUP($D65,'Kalkulator mięs '!$C$5:$H$533,DT$4,0)*$L65,0)</f>
        <v>0</v>
      </c>
      <c r="DU65">
        <f>IFERROR(VLOOKUP($D65,'Kalkulator mięs '!$C$5:$H$533,DU$4,0)*$L65,0)</f>
        <v>0</v>
      </c>
      <c r="DV65">
        <f>IFERROR(VLOOKUP($D65,'Kalkulator mięs '!$C$5:$H$533,DV$4,0)*$L65,0)</f>
        <v>0</v>
      </c>
      <c r="DW65">
        <f>IFERROR(VLOOKUP($D65,'Kalkulator mięs '!$C$5:$H$533,DW$4,0)*$M65,0)</f>
        <v>0</v>
      </c>
      <c r="DX65">
        <f>IFERROR(VLOOKUP($D65,'Kalkulator mięs '!$C$5:$H$533,DX$4,0)*$M65,0)</f>
        <v>0</v>
      </c>
      <c r="DY65">
        <f>IFERROR(VLOOKUP($D65,'Kalkulator mięs '!$C$5:$H$533,DY$4,0)*$M65,0)</f>
        <v>0</v>
      </c>
      <c r="DZ65">
        <f>IFERROR(VLOOKUP($D65,'Kalkulator mięs '!$C$5:$H$533,DZ$4,0)*$N65,0)</f>
        <v>0</v>
      </c>
      <c r="EA65">
        <f>IFERROR(VLOOKUP($D65,'Kalkulator mięs '!$C$5:$H$533,EA$4,0)*$N65,0)</f>
        <v>0</v>
      </c>
      <c r="EB65">
        <f>IFERROR(VLOOKUP($D65,'Kalkulator mięs '!$C$5:$H$533,EB$4,0)*$N65,0)</f>
        <v>0</v>
      </c>
      <c r="EC65">
        <f>IFERROR(VLOOKUP($D65,'Kalkulator mięs '!$C$5:$H$533,EC$4,0)*$O65,0)</f>
        <v>0</v>
      </c>
      <c r="ED65">
        <f>IFERROR(VLOOKUP($D65,'Kalkulator mięs '!$C$5:$H$533,ED$4,0)*$O65,0)</f>
        <v>0</v>
      </c>
      <c r="EE65">
        <f>IFERROR(VLOOKUP($D65,'Kalkulator mięs '!$C$5:$H$533,EE$4,0)*$O65,0)</f>
        <v>0</v>
      </c>
      <c r="EF65">
        <f>IFERROR(VLOOKUP($D65,'Kalkulator mięs '!$C$5:$H$533,EF$4,0)*$P65,0)</f>
        <v>0</v>
      </c>
      <c r="EG65">
        <f>IFERROR(VLOOKUP($D65,'Kalkulator mięs '!$C$5:$H$533,EG$4,0)*$P65,0)</f>
        <v>0</v>
      </c>
      <c r="EH65">
        <f>IFERROR(VLOOKUP($D65,'Kalkulator mięs '!$C$5:$H$533,EH$4,0)*$P65,0)</f>
        <v>0</v>
      </c>
      <c r="EI65">
        <f>IFERROR(VLOOKUP($D65,'Kalkulator mięs '!$C$5:$H$533,EI$4,0)*$Q65,0)</f>
        <v>0</v>
      </c>
      <c r="EJ65">
        <f>IFERROR(VLOOKUP($D65,'Kalkulator mięs '!$C$5:$H$533,EJ$4,0)*$Q65,0)</f>
        <v>0</v>
      </c>
      <c r="EK65">
        <f>IFERROR(VLOOKUP($D65,'Kalkulator mięs '!$C$5:$H$533,EK$4,0)*$Q65,0)</f>
        <v>0</v>
      </c>
      <c r="EL65">
        <f>IFERROR(VLOOKUP($D65,'Kalkulator mięs '!$C$5:$H$533,EL$4,0)*$R65,0)</f>
        <v>0</v>
      </c>
      <c r="EM65">
        <f>IFERROR(VLOOKUP($D65,'Kalkulator mięs '!$C$5:$H$533,EM$4,0)*$R65,0)</f>
        <v>0</v>
      </c>
      <c r="EN65">
        <f>IFERROR(VLOOKUP($D65,'Kalkulator mięs '!$C$5:$H$533,EN$4,0)*$R65,0)</f>
        <v>0</v>
      </c>
      <c r="EO65">
        <f>IFERROR(VLOOKUP($D65,'Kalkulator mięs '!$C$5:$H$533,EO$4,0)*$S65,0)</f>
        <v>0</v>
      </c>
      <c r="EP65">
        <f>IFERROR(VLOOKUP($D65,'Kalkulator mięs '!$C$5:$H$533,EP$4,0)*$S65,0)</f>
        <v>0</v>
      </c>
      <c r="EQ65">
        <f>IFERROR(VLOOKUP($D65,'Kalkulator mięs '!$C$5:$H$533,EQ$4,0)*$S65,0)</f>
        <v>0</v>
      </c>
      <c r="ER65">
        <f>IFERROR(VLOOKUP($D65,'Kalkulator mięs '!$C$5:$H$533,ER$4,0)*$T65,0)</f>
        <v>0</v>
      </c>
      <c r="ES65">
        <f>IFERROR(VLOOKUP($D65,'Kalkulator mięs '!$C$5:$H$533,ES$4,0)*$T65,0)</f>
        <v>0</v>
      </c>
      <c r="ET65">
        <f>IFERROR(VLOOKUP($D65,'Kalkulator mięs '!$C$5:$H$533,ET$4,0)*$T65,0)</f>
        <v>0</v>
      </c>
      <c r="EU65">
        <f>IFERROR(VLOOKUP($D65,'Kalkulator mięs '!$C$5:$H$533,EU$4,0)*$U65,0)</f>
        <v>0</v>
      </c>
      <c r="EV65">
        <f>IFERROR(VLOOKUP($D65,'Kalkulator mięs '!$C$5:$H$533,EV$4,0)*$U65,0)</f>
        <v>0</v>
      </c>
      <c r="EW65">
        <f>IFERROR(VLOOKUP($D65,'Kalkulator mięs '!$C$5:$H$533,EW$4,0)*$U65,0)</f>
        <v>0</v>
      </c>
      <c r="EX65">
        <f>IFERROR(VLOOKUP($D65,'Kalkulator mięs '!$C$5:$H$533,EX$4,0)*$V65,0)</f>
        <v>0</v>
      </c>
      <c r="EY65">
        <f>IFERROR(VLOOKUP($D65,'Kalkulator mięs '!$C$5:$H$533,EY$4,0)*$V65,0)</f>
        <v>0</v>
      </c>
      <c r="EZ65">
        <f>IFERROR(VLOOKUP($D65,'Kalkulator mięs '!$C$5:$H$533,EZ$4,0)*$V65,0)</f>
        <v>0</v>
      </c>
      <c r="FA65">
        <f>IFERROR(VLOOKUP($D65,'Kalkulator mięs '!$C$5:$H$533,FA$4,0)*$W65,0)</f>
        <v>0</v>
      </c>
      <c r="FB65">
        <f>IFERROR(VLOOKUP($D65,'Kalkulator mięs '!$C$5:$H$533,FB$4,0)*$W65,0)</f>
        <v>0</v>
      </c>
      <c r="FC65">
        <f>IFERROR(VLOOKUP($D65,'Kalkulator mięs '!$C$5:$H$533,FC$4,0)*$W65,0)</f>
        <v>0</v>
      </c>
      <c r="FD65">
        <f>IFERROR(VLOOKUP($D65,'Kalkulator mięs '!$C$5:$H$533,FD$4,0)*$X65,0)</f>
        <v>0</v>
      </c>
      <c r="FE65">
        <f>IFERROR(VLOOKUP($D65,'Kalkulator mięs '!$C$5:$H$533,FE$4,0)*$X65,0)</f>
        <v>0</v>
      </c>
      <c r="FF65">
        <f>IFERROR(VLOOKUP($D65,'Kalkulator mięs '!$C$5:$H$533,FF$4,0)*$X65,0)</f>
        <v>0</v>
      </c>
      <c r="FG65">
        <f>IFERROR(VLOOKUP($D65,'Kalkulator mięs '!$C$5:$H$533,FG$4,0)*$Y65,0)</f>
        <v>0</v>
      </c>
      <c r="FH65">
        <f>IFERROR(VLOOKUP($D65,'Kalkulator mięs '!$C$5:$H$533,FH$4,0)*$Y65,0)</f>
        <v>0</v>
      </c>
      <c r="FI65">
        <f>IFERROR(VLOOKUP($D65,'Kalkulator mięs '!$C$5:$H$533,FI$4,0)*$Y65,0)</f>
        <v>0</v>
      </c>
      <c r="FJ65">
        <f>IFERROR(VLOOKUP($D65,'Kalkulator mięs '!$C$5:$H$533,FJ$4,0)*$Z65,0)</f>
        <v>0</v>
      </c>
      <c r="FK65">
        <f>IFERROR(VLOOKUP($D65,'Kalkulator mięs '!$C$5:$H$533,FK$4,0)*$Z65,0)</f>
        <v>0</v>
      </c>
      <c r="FL65">
        <f>IFERROR(VLOOKUP($D65,'Kalkulator mięs '!$C$5:$H$533,FL$4,0)*$Z65,0)</f>
        <v>0</v>
      </c>
      <c r="FM65">
        <f>IFERROR(VLOOKUP($D65,'Kalkulator mięs '!$C$5:$H$533,FM$4,0)*$AA65,0)</f>
        <v>0</v>
      </c>
      <c r="FN65">
        <f>IFERROR(VLOOKUP($D65,'Kalkulator mięs '!$C$5:$H$533,FN$4,0)*$AA65,0)</f>
        <v>0</v>
      </c>
      <c r="FO65">
        <f>IFERROR(VLOOKUP($D65,'Kalkulator mięs '!$C$5:$H$533,FO$4,0)*$AA65,0)</f>
        <v>0</v>
      </c>
      <c r="FP65">
        <f>IFERROR(VLOOKUP($D65,'Kalkulator mięs '!$C$5:$H$533,FP$4,0)*$AB65,0)</f>
        <v>0</v>
      </c>
      <c r="FQ65">
        <f>IFERROR(VLOOKUP($D65,'Kalkulator mięs '!$C$5:$H$533,FQ$4,0)*$AB65,0)</f>
        <v>0</v>
      </c>
      <c r="FR65">
        <f>IFERROR(VLOOKUP($D65,'Kalkulator mięs '!$C$5:$H$533,FR$4,0)*$AB65,0)</f>
        <v>0</v>
      </c>
      <c r="FS65">
        <f>IFERROR(VLOOKUP($D65,'Kalkulator mięs '!$C$5:$H$533,FS$4,0)*$AC65,0)</f>
        <v>0</v>
      </c>
      <c r="FT65">
        <f>IFERROR(VLOOKUP($D65,'Kalkulator mięs '!$C$5:$H$533,FT$4,0)*$AC65,0)</f>
        <v>0</v>
      </c>
      <c r="FU65">
        <f>IFERROR(VLOOKUP($D65,'Kalkulator mięs '!$C$5:$H$533,FU$4,0)*$AC65,0)</f>
        <v>0</v>
      </c>
      <c r="FV65">
        <f>IFERROR(VLOOKUP($D65,'Kalkulator mięs '!$C$5:$H$533,FV$4,0)*$AD65,0)</f>
        <v>0</v>
      </c>
      <c r="FW65">
        <f>IFERROR(VLOOKUP($D65,'Kalkulator mięs '!$C$5:$H$533,FW$4,0)*$AD65,0)</f>
        <v>0</v>
      </c>
      <c r="FX65">
        <f>IFERROR(VLOOKUP($D65,'Kalkulator mięs '!$C$5:$H$533,FX$4,0)*$AD65,0)</f>
        <v>0</v>
      </c>
      <c r="FY65">
        <f>IFERROR(VLOOKUP($D65,'Kalkulator mięs '!$C$5:$H$533,FY$4,0)*$AE65,0)</f>
        <v>0</v>
      </c>
      <c r="FZ65">
        <f>IFERROR(VLOOKUP($D65,'Kalkulator mięs '!$C$5:$H$533,FZ$4,0)*$AE65,0)</f>
        <v>0</v>
      </c>
      <c r="GA65">
        <f>IFERROR(VLOOKUP($D65,'Kalkulator mięs '!$C$5:$H$533,GA$4,0)*$AE65,0)</f>
        <v>0</v>
      </c>
      <c r="GB65">
        <f>IFERROR(VLOOKUP($D65,'Kalkulator mięs '!$C$5:$H$533,GB$4,0)*$AF65,0)</f>
        <v>0</v>
      </c>
      <c r="GC65">
        <f>IFERROR(VLOOKUP($D65,'Kalkulator mięs '!$C$5:$H$533,GC$4,0)*$AF65,0)</f>
        <v>0</v>
      </c>
      <c r="GD65">
        <f>IFERROR(VLOOKUP($D65,'Kalkulator mięs '!$C$5:$H$533,GD$4,0)*$AF65,0)</f>
        <v>0</v>
      </c>
      <c r="GE65">
        <f>IFERROR(VLOOKUP($D65,'Kalkulator mięs '!$C$5:$H$533,GE$4,0)*$AG65,0)</f>
        <v>0</v>
      </c>
      <c r="GF65">
        <f>IFERROR(VLOOKUP($D65,'Kalkulator mięs '!$C$5:$H$533,GF$4,0)*$AG65,0)</f>
        <v>0</v>
      </c>
      <c r="GG65">
        <f>IFERROR(VLOOKUP($D65,'Kalkulator mięs '!$C$5:$H$533,GG$4,0)*$AG65,0)</f>
        <v>0</v>
      </c>
      <c r="GH65">
        <f>IFERROR(VLOOKUP($D65,'Kalkulator mięs '!$C$5:$H$533,GH$4,0)*$AH65,0)</f>
        <v>0</v>
      </c>
      <c r="GI65">
        <f>IFERROR(VLOOKUP($D65,'Kalkulator mięs '!$C$5:$H$533,GI$4,0)*$AH65,0)</f>
        <v>0</v>
      </c>
      <c r="GJ65">
        <f>IFERROR(VLOOKUP($D65,'Kalkulator mięs '!$C$5:$H$533,GJ$4,0)*$AH65,0)</f>
        <v>0</v>
      </c>
      <c r="GK65">
        <f>IFERROR(VLOOKUP($D65,'Kalkulator mięs '!$C$5:$H$533,GK$4,0)*$AI65,0)</f>
        <v>0</v>
      </c>
      <c r="GL65">
        <f>IFERROR(VLOOKUP($D65,'Kalkulator mięs '!$C$5:$H$533,GL$4,0)*$AI65,0)</f>
        <v>0</v>
      </c>
      <c r="GM65">
        <f>IFERROR(VLOOKUP($D65,'Kalkulator mięs '!$C$5:$H$533,GM$4,0)*$AI65,0)</f>
        <v>0</v>
      </c>
      <c r="GN65">
        <f>IFERROR(VLOOKUP($D65,'Kalkulator mięs '!$C$5:$H$533,GN$4,0)*$AJ65,0)</f>
        <v>0</v>
      </c>
      <c r="GO65">
        <f>IFERROR(VLOOKUP($D65,'Kalkulator mięs '!$C$5:$H$533,GO$4,0)*$AJ65,0)</f>
        <v>0</v>
      </c>
      <c r="GP65">
        <f>IFERROR(VLOOKUP($D65,'Kalkulator mięs '!$C$5:$H$533,GP$4,0)*$AJ65,0)</f>
        <v>0</v>
      </c>
      <c r="GQ65">
        <f>IFERROR(VLOOKUP($D65,'Kalkulator mięs '!$C$5:$H$533,GQ$4,0)*$AK65,0)</f>
        <v>0</v>
      </c>
      <c r="GR65">
        <f>IFERROR(VLOOKUP($D65,'Kalkulator mięs '!$C$5:$H$533,GR$4,0)*$AK65,0)</f>
        <v>0</v>
      </c>
      <c r="GS65">
        <f>IFERROR(VLOOKUP($D65,'Kalkulator mięs '!$C$5:$H$533,GS$4,0)*$AK65,0)</f>
        <v>0</v>
      </c>
      <c r="GT65">
        <f>IFERROR(VLOOKUP($D65,'Kalkulator mięs '!$C$5:$H$533,GT$4,0)*$AL65,0)</f>
        <v>0</v>
      </c>
      <c r="GU65">
        <f>IFERROR(VLOOKUP($D65,'Kalkulator mięs '!$C$5:$H$533,GU$4,0)*$AL65,0)</f>
        <v>0</v>
      </c>
      <c r="GV65">
        <f>IFERROR(VLOOKUP($D65,'Kalkulator mięs '!$C$5:$H$533,GV$4,0)*$AL65,0)</f>
        <v>0</v>
      </c>
      <c r="GW65">
        <f>IFERROR(VLOOKUP($D65,'Kalkulator mięs '!$C$5:$H$533,GW$4,0)*$AM65,0)</f>
        <v>0</v>
      </c>
      <c r="GX65">
        <f>IFERROR(VLOOKUP($D65,'Kalkulator mięs '!$C$5:$H$533,GX$4,0)*$AM65,0)</f>
        <v>0</v>
      </c>
      <c r="GY65">
        <f>IFERROR(VLOOKUP($D65,'Kalkulator mięs '!$C$5:$H$533,GY$4,0)*$AM65,0)</f>
        <v>0</v>
      </c>
      <c r="GZ65">
        <f>IFERROR(VLOOKUP($D65,'Kalkulator mięs '!$C$5:$H$533,GZ$4,0)*$AN65,0)</f>
        <v>0</v>
      </c>
      <c r="HA65">
        <f>IFERROR(VLOOKUP($D65,'Kalkulator mięs '!$C$5:$H$533,HA$4,0)*$AN65,0)</f>
        <v>0</v>
      </c>
      <c r="HB65">
        <f>IFERROR(VLOOKUP($D65,'Kalkulator mięs '!$C$5:$H$533,HB$4,0)*$AN65,0)</f>
        <v>0</v>
      </c>
      <c r="HC65">
        <f>IFERROR(VLOOKUP($D65,'Kalkulator mięs '!$C$5:$H$533,HC$4,0)*$AO65,0)</f>
        <v>0</v>
      </c>
      <c r="HD65">
        <f>IFERROR(VLOOKUP($D65,'Kalkulator mięs '!$C$5:$H$533,HD$4,0)*$AO65,0)</f>
        <v>0</v>
      </c>
      <c r="HE65">
        <f>IFERROR(VLOOKUP($D65,'Kalkulator mięs '!$C$5:$H$533,HE$4,0)*$AO65,0)</f>
        <v>0</v>
      </c>
      <c r="HF65">
        <f>IFERROR(VLOOKUP($D65,'Kalkulator mięs '!$C$5:$H$533,HF$4,0)*$AP65,0)</f>
        <v>0</v>
      </c>
      <c r="HG65">
        <f>IFERROR(VLOOKUP($D65,'Kalkulator mięs '!$C$5:$H$533,HG$4,0)*$AP65,0)</f>
        <v>0</v>
      </c>
      <c r="HH65">
        <f>IFERROR(VLOOKUP($D65,'Kalkulator mięs '!$C$5:$H$533,HH$4,0)*$AP65,0)</f>
        <v>0</v>
      </c>
      <c r="HI65">
        <f>IFERROR(VLOOKUP($D65,'Kalkulator mięs '!$C$5:$H$533,HI$4,0)*$AQ65,0)</f>
        <v>0</v>
      </c>
      <c r="HJ65">
        <f>IFERROR(VLOOKUP($D65,'Kalkulator mięs '!$C$5:$H$533,HJ$4,0)*$AQ65,0)</f>
        <v>0</v>
      </c>
      <c r="HK65">
        <f>IFERROR(VLOOKUP($D65,'Kalkulator mięs '!$C$5:$H$533,HK$4,0)*$AQ65,0)</f>
        <v>0</v>
      </c>
      <c r="HL65">
        <f>IFERROR(VLOOKUP($D65,'Kalkulator mięs '!$C$5:$H$533,HL$4,0)*$AR65,0)</f>
        <v>0</v>
      </c>
      <c r="HM65">
        <f>IFERROR(VLOOKUP($D65,'Kalkulator mięs '!$C$5:$H$533,HM$4,0)*$AR65,0)</f>
        <v>0</v>
      </c>
      <c r="HN65">
        <f>IFERROR(VLOOKUP($D65,'Kalkulator mięs '!$C$5:$H$533,HN$4,0)*$AR65,0)</f>
        <v>0</v>
      </c>
      <c r="HO65">
        <f>IFERROR(VLOOKUP($D65,'Kalkulator mięs '!$C$5:$H$533,HO$4,0)*$AS65,0)</f>
        <v>0</v>
      </c>
      <c r="HP65">
        <f>IFERROR(VLOOKUP($D65,'Kalkulator mięs '!$C$5:$H$533,HP$4,0)*$AS65,0)</f>
        <v>0</v>
      </c>
      <c r="HQ65">
        <f>IFERROR(VLOOKUP($D65,'Kalkulator mięs '!$C$5:$H$533,HQ$4,0)*$AS65,0)</f>
        <v>0</v>
      </c>
      <c r="HR65">
        <f>IFERROR(VLOOKUP($D65,'Kalkulator mięs '!$C$5:$H$533,HR$4,0)*$AT65,0)</f>
        <v>0</v>
      </c>
      <c r="HS65">
        <f>IFERROR(VLOOKUP($D65,'Kalkulator mięs '!$C$5:$H$533,HS$4,0)*$AT65,0)</f>
        <v>0</v>
      </c>
      <c r="HT65">
        <f>IFERROR(VLOOKUP($D65,'Kalkulator mięs '!$C$5:$H$533,HT$4,0)*$AT65,0)</f>
        <v>0</v>
      </c>
      <c r="HU65">
        <f>IFERROR(VLOOKUP($D65,'Kalkulator mięs '!$C$5:$H$533,HU$4,0)*$AU65,0)</f>
        <v>0</v>
      </c>
      <c r="HV65">
        <f>IFERROR(VLOOKUP($D65,'Kalkulator mięs '!$C$5:$H$533,HV$4,0)*$AU65,0)</f>
        <v>0</v>
      </c>
      <c r="HW65">
        <f>IFERROR(VLOOKUP($D65,'Kalkulator mięs '!$C$5:$H$533,HW$4,0)*$AU65,0)</f>
        <v>0</v>
      </c>
      <c r="HX65">
        <f>IFERROR(VLOOKUP($D65,'Kalkulator mięs '!$C$5:$H$533,HX$4,0)*$AV65,0)</f>
        <v>0</v>
      </c>
      <c r="HY65">
        <f>IFERROR(VLOOKUP($D65,'Kalkulator mięs '!$C$5:$H$533,HY$4,0)*$AV65,0)</f>
        <v>0</v>
      </c>
      <c r="HZ65">
        <f>IFERROR(VLOOKUP($D65,'Kalkulator mięs '!$C$5:$H$533,HZ$4,0)*$AV65,0)</f>
        <v>0</v>
      </c>
      <c r="IA65">
        <f>IFERROR(VLOOKUP($D65,'Kalkulator mięs '!$C$5:$H$533,IA$4,0)*$AW65,0)</f>
        <v>0</v>
      </c>
      <c r="IB65">
        <f>IFERROR(VLOOKUP($D65,'Kalkulator mięs '!$C$5:$H$533,IB$4,0)*$AW65,0)</f>
        <v>0</v>
      </c>
      <c r="IC65">
        <f>IFERROR(VLOOKUP($D65,'Kalkulator mięs '!$C$5:$H$533,IC$4,0)*$AW65,0)</f>
        <v>0</v>
      </c>
      <c r="ID65">
        <f>IFERROR(VLOOKUP($D65,'Kalkulator mięs '!$C$5:$H$533,ID$4,0)*$AX65,0)</f>
        <v>0</v>
      </c>
      <c r="IE65">
        <f>IFERROR(VLOOKUP($D65,'Kalkulator mięs '!$C$5:$H$533,IE$4,0)*$AX65,0)</f>
        <v>0</v>
      </c>
      <c r="IF65">
        <f>IFERROR(VLOOKUP($D65,'Kalkulator mięs '!$C$5:$H$533,IF$4,0)*$AX65,0)</f>
        <v>0</v>
      </c>
      <c r="IG65">
        <f>IFERROR(VLOOKUP($D65,'Kalkulator mięs '!$C$5:$H$533,IG$4,0)*$AY65,0)</f>
        <v>0</v>
      </c>
      <c r="IH65">
        <f>IFERROR(VLOOKUP($D65,'Kalkulator mięs '!$C$5:$H$533,IH$4,0)*$AY65,0)</f>
        <v>0</v>
      </c>
      <c r="II65">
        <f>IFERROR(VLOOKUP($D65,'Kalkulator mięs '!$C$5:$H$533,II$4,0)*$AY65,0)</f>
        <v>0</v>
      </c>
      <c r="IJ65">
        <f>IFERROR(VLOOKUP($D65,'Kalkulator mięs '!$C$5:$H$533,IJ$4,0)*$AZ65,0)</f>
        <v>0</v>
      </c>
      <c r="IK65">
        <f>IFERROR(VLOOKUP($D65,'Kalkulator mięs '!$C$5:$H$533,IK$4,0)*$AZ65,0)</f>
        <v>0</v>
      </c>
      <c r="IL65">
        <f>IFERROR(VLOOKUP($D65,'Kalkulator mięs '!$C$5:$H$533,IL$4,0)*$AZ65,0)</f>
        <v>0</v>
      </c>
      <c r="IM65">
        <f>IFERROR(VLOOKUP($D65,'Kalkulator mięs '!$C$5:$H$533,IM$4,0)*$BA65,0)</f>
        <v>0</v>
      </c>
      <c r="IN65">
        <f>IFERROR(VLOOKUP($D65,'Kalkulator mięs '!$C$5:$H$533,IN$4,0)*$BA65,0)</f>
        <v>0</v>
      </c>
      <c r="IO65">
        <f>IFERROR(VLOOKUP($D65,'Kalkulator mięs '!$C$5:$H$533,IO$4,0)*$BA65,0)</f>
        <v>0</v>
      </c>
    </row>
    <row r="66" spans="2:249" ht="15.75">
      <c r="B66" t="str">
        <f>VLOOKUP(D66,Receptury_z!$A:$B,2,0)</f>
        <v>ON</v>
      </c>
      <c r="C66" s="23">
        <v>5698</v>
      </c>
      <c r="D66" s="24">
        <v>7933</v>
      </c>
      <c r="E66" s="26" t="s">
        <v>59</v>
      </c>
      <c r="F66" s="14">
        <f>IF($B66="OFF",BE66,VLOOKUP($D66,Receptury_z!$D:$AI,F$4,0))</f>
        <v>0</v>
      </c>
      <c r="G66" s="14">
        <f>IF($B66="OFF",BF66,VLOOKUP($D66,Receptury_z!$D:$AI,G$4,0))</f>
        <v>147</v>
      </c>
      <c r="H66" s="14">
        <f>IF($B66="OFF",BG66,VLOOKUP($D66,Receptury_z!$D:$AI,H$4,0))</f>
        <v>0</v>
      </c>
      <c r="I66" s="14">
        <f>IF($B66="OFF",BH66,VLOOKUP($D66,Receptury_z!$D:$AI,I$4,0))</f>
        <v>0</v>
      </c>
      <c r="J66" s="14">
        <f>IF($B66="OFF",BI66,VLOOKUP($D66,Receptury_z!$D:$AI,J$4,0))</f>
        <v>0</v>
      </c>
      <c r="K66" s="14">
        <f>IF($B66="OFF",BJ66,VLOOKUP($D66,Receptury_z!$D:$AI,K$4,0))</f>
        <v>0</v>
      </c>
      <c r="L66" s="14">
        <f>IF($B66="OFF",BK66,VLOOKUP($D66,Receptury_z!$D:$AI,L$4,0))</f>
        <v>0</v>
      </c>
      <c r="M66" s="14">
        <f>IF($B66="OFF",BL66,VLOOKUP($D66,Receptury_z!$D:$AI,M$4,0))</f>
        <v>0</v>
      </c>
      <c r="N66" s="14">
        <f>IF($B66="OFF",BM66,VLOOKUP($D66,Receptury_z!$D:$AI,N$4,0))</f>
        <v>0</v>
      </c>
      <c r="O66" s="14">
        <f>IF($B66="OFF",BN66,VLOOKUP($D66,Receptury_z!$D:$AI,O$4,0))</f>
        <v>64.3</v>
      </c>
      <c r="P66" s="14">
        <f>IF($B66="OFF",BO66,VLOOKUP($D66,Receptury_z!$D:$AI,P$4,0))</f>
        <v>0</v>
      </c>
      <c r="Q66" s="14">
        <f>IF($B66="OFF",BP66,VLOOKUP($D66,Receptury_z!$D:$AI,Q$4,0))</f>
        <v>27.6</v>
      </c>
      <c r="R66" s="14">
        <f>IF($B66="OFF",BQ66,VLOOKUP($D66,Receptury_z!$D:$AI,R$4,0))</f>
        <v>0</v>
      </c>
      <c r="S66" s="14">
        <f>IF($B66="OFF",BR66,VLOOKUP($D66,Receptury_z!$D:$AI,S$4,0))</f>
        <v>0</v>
      </c>
      <c r="T66" s="14">
        <f>IF($B66="OFF",BS66,VLOOKUP($D66,Receptury_z!$D:$AI,T$4,0))</f>
        <v>0</v>
      </c>
      <c r="U66" s="14">
        <f>IF($B66="OFF",BT66,VLOOKUP($D66,Receptury_z!$D:$AI,U$4,0))</f>
        <v>0</v>
      </c>
      <c r="V66" s="14">
        <f>IF($B66="OFF",BU66,VLOOKUP($D66,Receptury_z!$D:$AI,V$4,0))</f>
        <v>340</v>
      </c>
      <c r="W66" s="14">
        <f>IF($B66="OFF",BV66,VLOOKUP($D66,Receptury_z!$D:$AI,W$4,0))</f>
        <v>0</v>
      </c>
      <c r="X66" s="14">
        <f>IF($B66="OFF",BW66,VLOOKUP($D66,Receptury_z!$D:$AI,X$4,0))</f>
        <v>0</v>
      </c>
      <c r="Y66" s="14">
        <f>IF($B66="OFF",BX66,VLOOKUP($D66,Receptury_z!$D:$AI,Y$4,0))</f>
        <v>0</v>
      </c>
      <c r="Z66" s="14">
        <f>IF($B66="OFF",BY66,VLOOKUP($D66,Receptury_z!$D:$AI,Z$4,0))</f>
        <v>0</v>
      </c>
      <c r="AA66" s="14">
        <f>IF($B66="OFF",BZ66,VLOOKUP($D66,Receptury_z!$D:$AI,AA$4,0))</f>
        <v>0</v>
      </c>
      <c r="AB66" s="14">
        <f>IF($B66="OFF",CA66,VLOOKUP($D66,Receptury_z!$D:$AI,AB$4,0))</f>
        <v>27.6</v>
      </c>
      <c r="AC66" s="14">
        <f>IF($B66="OFF",CB66,VLOOKUP($D66,Receptury_z!$D:$AI,AC$4,0))</f>
        <v>0</v>
      </c>
      <c r="AD66" s="14">
        <f>IF($B66="OFF",CC66,VLOOKUP($D66,Receptury_z!$D:$AI,AD$4,0))</f>
        <v>0</v>
      </c>
      <c r="AE66" s="14">
        <f>IF($B66="OFF",CD66,VLOOKUP($D66,Receptury_z!$D:$AI,AE$4,0))</f>
        <v>0</v>
      </c>
      <c r="AF66" s="14">
        <f>IF($B66="OFF",CE66,VLOOKUP($D66,Receptury_z!$D:$AI,AF$4,0))</f>
        <v>0</v>
      </c>
      <c r="AG66" s="14">
        <f>IF($B66="OFF",CF66,VLOOKUP($D66,Receptury_z!$D:$AI,AG$4,0))</f>
        <v>0</v>
      </c>
      <c r="AH66" s="14">
        <f>IF($B66="OFF",CG66,VLOOKUP($D66,Receptury_z!$D:$AI,AH$4,0))</f>
        <v>0</v>
      </c>
      <c r="AI66" s="14">
        <f>IF($B66="OFF",CH66,VLOOKUP($D66,Receptury_z!$D:$AI,AI$4,0))</f>
        <v>0</v>
      </c>
      <c r="AJ66" s="14">
        <f>IF($B66="OFF",CI66,VLOOKUP($D66,Receptury_z!$D:$AS,AJ$4,0))</f>
        <v>0</v>
      </c>
      <c r="AK66" s="14">
        <f>IF($B66="OFF",CJ66,VLOOKUP($D66,Receptury_z!$D:$AS,AK$4,0))</f>
        <v>0</v>
      </c>
      <c r="AL66" s="14">
        <f>IF($B66="OFF",CK66,VLOOKUP($D66,Receptury_z!$D:$AS,AL$4,0))</f>
        <v>0</v>
      </c>
      <c r="AM66" s="14">
        <f>IF($B66="OFF",CL66,VLOOKUP($D66,Receptury_z!$D:$AS,AM$4,0))</f>
        <v>0</v>
      </c>
      <c r="AN66" s="14">
        <f>IF($B66="OFF",CM66,VLOOKUP($D66,Receptury_z!$D:$AS,AN$4,0))</f>
        <v>0</v>
      </c>
      <c r="AO66" s="14">
        <f>IF($B66="OFF",CN66,VLOOKUP($D66,Receptury_z!$D:$AS,AO$4,0))</f>
        <v>0</v>
      </c>
      <c r="AP66" s="14">
        <f>IF($B66="OFF",CO66,VLOOKUP($D66,Receptury_z!$D:$AS,AP$4,0))</f>
        <v>312.39999999999998</v>
      </c>
      <c r="AQ66" s="14">
        <f>IF($B66="OFF",CP66,VLOOKUP($D66,Receptury_z!$D:$AS,AQ$4,0))</f>
        <v>0</v>
      </c>
      <c r="AR66" s="14">
        <f>IF($B66="OFF",CQ66,VLOOKUP($D66,Receptury_z!$D:$AS,AR$4,0))</f>
        <v>0</v>
      </c>
      <c r="AS66" s="14">
        <f>IF($B66="OFF",CR66,VLOOKUP($D66,Receptury_z!$D:$AS,AS$4,0))</f>
        <v>0</v>
      </c>
      <c r="AT66" s="14">
        <f>IF($B66="OFF",CS66,VLOOKUP($D66,Receptury_z!$D:$AV,AT$4,0))</f>
        <v>0</v>
      </c>
      <c r="AU66" s="14">
        <f>IF($B66="OFF",CT66,VLOOKUP($D66,Receptury_z!$D:$AV,AU$4,0))</f>
        <v>0</v>
      </c>
      <c r="AV66" s="14">
        <f>IF($B66="OFF",CU66,VLOOKUP($D66,Receptury_z!$D:$AV,AV$4,0))</f>
        <v>0</v>
      </c>
      <c r="AW66" s="14">
        <f>IF($B66="OFF",CV66,VLOOKUP($D66,Receptury_z!$D:$BA,AW$4,0))</f>
        <v>0</v>
      </c>
      <c r="AX66" s="14">
        <f>IF($B66="OFF",CW66,VLOOKUP($D66,Receptury_z!$D:$BA,AX$4,0))</f>
        <v>0</v>
      </c>
      <c r="AY66" s="14">
        <f>IF($B66="OFF",CX66,VLOOKUP($D66,Receptury_z!$D:$BA,AY$4,0))</f>
        <v>0</v>
      </c>
      <c r="AZ66" s="14">
        <f>IF($B66="OFF",DA66,VLOOKUP($D66,Receptury_z!$D:$BA,AZ$4,0))</f>
        <v>0</v>
      </c>
      <c r="BA66" s="14">
        <f>IF($B66="OFF",DB66,VLOOKUP($D66,Receptury_z!$D:$BA,BA$4,0))</f>
        <v>0</v>
      </c>
      <c r="BC66" s="24">
        <v>7933</v>
      </c>
      <c r="BD66" s="26" t="s">
        <v>59</v>
      </c>
      <c r="BE66" s="239">
        <v>0</v>
      </c>
      <c r="BF66" s="239">
        <v>0</v>
      </c>
      <c r="BG66" s="239">
        <v>0</v>
      </c>
      <c r="BH66" s="239">
        <v>0</v>
      </c>
      <c r="BI66" s="239">
        <v>0</v>
      </c>
      <c r="BJ66" s="239">
        <v>0</v>
      </c>
      <c r="BK66" s="240"/>
      <c r="BL66" s="239">
        <v>0</v>
      </c>
      <c r="BM66" s="239">
        <v>0</v>
      </c>
      <c r="BN66" s="239">
        <v>0</v>
      </c>
      <c r="BO66" s="239">
        <v>0</v>
      </c>
      <c r="BP66" s="239">
        <v>0</v>
      </c>
      <c r="BQ66" s="239">
        <v>0</v>
      </c>
      <c r="BR66" s="239">
        <v>0</v>
      </c>
      <c r="BS66" s="239">
        <v>0</v>
      </c>
      <c r="BT66" s="239">
        <v>0</v>
      </c>
      <c r="BU66" s="239">
        <v>0</v>
      </c>
      <c r="BV66" s="239">
        <v>0</v>
      </c>
      <c r="BW66" s="239">
        <v>0</v>
      </c>
      <c r="BX66" s="239">
        <v>0</v>
      </c>
      <c r="BY66" s="239">
        <v>0</v>
      </c>
      <c r="BZ66" s="240">
        <f>745.3+141.4</f>
        <v>886.69999999999993</v>
      </c>
      <c r="CA66" s="239">
        <v>47.1</v>
      </c>
      <c r="CB66" s="239">
        <v>0</v>
      </c>
      <c r="CC66" s="239">
        <v>0</v>
      </c>
      <c r="CD66" s="239">
        <v>0</v>
      </c>
      <c r="CE66" s="239">
        <v>0</v>
      </c>
      <c r="CF66" s="239">
        <v>0</v>
      </c>
      <c r="CG66" s="239">
        <v>0</v>
      </c>
      <c r="CH66" s="239">
        <v>0</v>
      </c>
      <c r="CI66" s="239">
        <v>0</v>
      </c>
      <c r="CJ66" s="239">
        <v>0</v>
      </c>
      <c r="CK66" s="239">
        <v>0</v>
      </c>
      <c r="CL66" s="239">
        <v>0</v>
      </c>
      <c r="CM66" s="80"/>
      <c r="CN66" s="80"/>
      <c r="CO66" s="80"/>
      <c r="CP66" s="80"/>
      <c r="CQ66" s="80"/>
      <c r="CR66" s="80"/>
      <c r="CS66" s="80"/>
      <c r="CT66" s="80"/>
      <c r="CU66" s="80"/>
      <c r="CV66" s="80"/>
      <c r="CW66" s="80"/>
      <c r="CX66" s="80"/>
      <c r="CY66" s="80"/>
      <c r="CZ66" s="80"/>
      <c r="DB66">
        <f>IFERROR(VLOOKUP($D66,'Kalkulator mięs '!$C$5:$H$533,DB$4,0)*F66,0)</f>
        <v>0</v>
      </c>
      <c r="DC66">
        <f>IFERROR(VLOOKUP($D66,'Kalkulator mięs '!$C$5:$H$533,DC$4,0)*F66,0)</f>
        <v>0</v>
      </c>
      <c r="DD66">
        <f>IFERROR(VLOOKUP($D66,'Kalkulator mięs '!$C$5:$H$533,DD$4,0)*F66,0)</f>
        <v>0</v>
      </c>
      <c r="DE66">
        <f>IFERROR(VLOOKUP($D66,'Kalkulator mięs '!$C$5:$H$533,DE$4,0)*$G66,0)</f>
        <v>0</v>
      </c>
      <c r="DF66">
        <f>IFERROR(VLOOKUP($D66,'Kalkulator mięs '!$C$5:$H$533,DF$4,0)*$G66,0)</f>
        <v>0</v>
      </c>
      <c r="DG66">
        <f>IFERROR(VLOOKUP($D66,'Kalkulator mięs '!$C$5:$H$533,DG$4,0)*$G66,0)</f>
        <v>264.60000000000002</v>
      </c>
      <c r="DH66">
        <f>IFERROR(VLOOKUP($D66,'Kalkulator mięs '!$C$5:$H$533,DH$4,0)*$H66,0)</f>
        <v>0</v>
      </c>
      <c r="DI66">
        <f>IFERROR(VLOOKUP($D66,'Kalkulator mięs '!$C$5:$H$533,DI$4,0)*$H66,0)</f>
        <v>0</v>
      </c>
      <c r="DJ66">
        <f>IFERROR(VLOOKUP($D66,'Kalkulator mięs '!$C$5:$H$533,DJ$4,0)*$H66,0)</f>
        <v>0</v>
      </c>
      <c r="DK66">
        <f>IFERROR(VLOOKUP($D66,'Kalkulator mięs '!$C$5:$H$533,DK$4,0)*$I66,0)</f>
        <v>0</v>
      </c>
      <c r="DL66">
        <f>IFERROR(VLOOKUP($D66,'Kalkulator mięs '!$C$5:$H$533,DL$4,0)*$I66,0)</f>
        <v>0</v>
      </c>
      <c r="DM66">
        <f>IFERROR(VLOOKUP($D66,'Kalkulator mięs '!$C$5:$H$533,DM$4,0)*$I66,0)</f>
        <v>0</v>
      </c>
      <c r="DN66">
        <f>IFERROR(VLOOKUP($D66,'Kalkulator mięs '!$C$5:$H$533,DN$4,0)*$J66,0)</f>
        <v>0</v>
      </c>
      <c r="DO66">
        <f>IFERROR(VLOOKUP($D66,'Kalkulator mięs '!$C$5:$H$533,DO$4,0)*$J66,0)</f>
        <v>0</v>
      </c>
      <c r="DP66">
        <f>IFERROR(VLOOKUP($D66,'Kalkulator mięs '!$C$5:$H$533,DP$4,0)*$J66,0)</f>
        <v>0</v>
      </c>
      <c r="DQ66">
        <f>IFERROR(VLOOKUP($D66,'Kalkulator mięs '!$C$5:$H$533,DQ$4,0)*$K66,0)</f>
        <v>0</v>
      </c>
      <c r="DR66">
        <f>IFERROR(VLOOKUP($D66,'Kalkulator mięs '!$C$5:$H$533,DR$4,0)*$K66,0)</f>
        <v>0</v>
      </c>
      <c r="DS66">
        <f>IFERROR(VLOOKUP($D66,'Kalkulator mięs '!$C$5:$H$533,DS$4,0)*$K66,0)</f>
        <v>0</v>
      </c>
      <c r="DT66">
        <f>IFERROR(VLOOKUP($D66,'Kalkulator mięs '!$C$5:$H$533,DT$4,0)*$L66,0)</f>
        <v>0</v>
      </c>
      <c r="DU66">
        <f>IFERROR(VLOOKUP($D66,'Kalkulator mięs '!$C$5:$H$533,DU$4,0)*$L66,0)</f>
        <v>0</v>
      </c>
      <c r="DV66">
        <f>IFERROR(VLOOKUP($D66,'Kalkulator mięs '!$C$5:$H$533,DV$4,0)*$L66,0)</f>
        <v>0</v>
      </c>
      <c r="DW66">
        <f>IFERROR(VLOOKUP($D66,'Kalkulator mięs '!$C$5:$H$533,DW$4,0)*$M66,0)</f>
        <v>0</v>
      </c>
      <c r="DX66">
        <f>IFERROR(VLOOKUP($D66,'Kalkulator mięs '!$C$5:$H$533,DX$4,0)*$M66,0)</f>
        <v>0</v>
      </c>
      <c r="DY66">
        <f>IFERROR(VLOOKUP($D66,'Kalkulator mięs '!$C$5:$H$533,DY$4,0)*$M66,0)</f>
        <v>0</v>
      </c>
      <c r="DZ66">
        <f>IFERROR(VLOOKUP($D66,'Kalkulator mięs '!$C$5:$H$533,DZ$4,0)*$N66,0)</f>
        <v>0</v>
      </c>
      <c r="EA66">
        <f>IFERROR(VLOOKUP($D66,'Kalkulator mięs '!$C$5:$H$533,EA$4,0)*$N66,0)</f>
        <v>0</v>
      </c>
      <c r="EB66">
        <f>IFERROR(VLOOKUP($D66,'Kalkulator mięs '!$C$5:$H$533,EB$4,0)*$N66,0)</f>
        <v>0</v>
      </c>
      <c r="EC66">
        <f>IFERROR(VLOOKUP($D66,'Kalkulator mięs '!$C$5:$H$533,EC$4,0)*$O66,0)</f>
        <v>0</v>
      </c>
      <c r="ED66">
        <f>IFERROR(VLOOKUP($D66,'Kalkulator mięs '!$C$5:$H$533,ED$4,0)*$O66,0)</f>
        <v>0</v>
      </c>
      <c r="EE66">
        <f>IFERROR(VLOOKUP($D66,'Kalkulator mięs '!$C$5:$H$533,EE$4,0)*$O66,0)</f>
        <v>115.74</v>
      </c>
      <c r="EF66">
        <f>IFERROR(VLOOKUP($D66,'Kalkulator mięs '!$C$5:$H$533,EF$4,0)*$P66,0)</f>
        <v>0</v>
      </c>
      <c r="EG66">
        <f>IFERROR(VLOOKUP($D66,'Kalkulator mięs '!$C$5:$H$533,EG$4,0)*$P66,0)</f>
        <v>0</v>
      </c>
      <c r="EH66">
        <f>IFERROR(VLOOKUP($D66,'Kalkulator mięs '!$C$5:$H$533,EH$4,0)*$P66,0)</f>
        <v>0</v>
      </c>
      <c r="EI66">
        <f>IFERROR(VLOOKUP($D66,'Kalkulator mięs '!$C$5:$H$533,EI$4,0)*$Q66,0)</f>
        <v>0</v>
      </c>
      <c r="EJ66">
        <f>IFERROR(VLOOKUP($D66,'Kalkulator mięs '!$C$5:$H$533,EJ$4,0)*$Q66,0)</f>
        <v>0</v>
      </c>
      <c r="EK66">
        <f>IFERROR(VLOOKUP($D66,'Kalkulator mięs '!$C$5:$H$533,EK$4,0)*$Q66,0)</f>
        <v>49.680000000000007</v>
      </c>
      <c r="EL66">
        <f>IFERROR(VLOOKUP($D66,'Kalkulator mięs '!$C$5:$H$533,EL$4,0)*$R66,0)</f>
        <v>0</v>
      </c>
      <c r="EM66">
        <f>IFERROR(VLOOKUP($D66,'Kalkulator mięs '!$C$5:$H$533,EM$4,0)*$R66,0)</f>
        <v>0</v>
      </c>
      <c r="EN66">
        <f>IFERROR(VLOOKUP($D66,'Kalkulator mięs '!$C$5:$H$533,EN$4,0)*$R66,0)</f>
        <v>0</v>
      </c>
      <c r="EO66">
        <f>IFERROR(VLOOKUP($D66,'Kalkulator mięs '!$C$5:$H$533,EO$4,0)*$S66,0)</f>
        <v>0</v>
      </c>
      <c r="EP66">
        <f>IFERROR(VLOOKUP($D66,'Kalkulator mięs '!$C$5:$H$533,EP$4,0)*$S66,0)</f>
        <v>0</v>
      </c>
      <c r="EQ66">
        <f>IFERROR(VLOOKUP($D66,'Kalkulator mięs '!$C$5:$H$533,EQ$4,0)*$S66,0)</f>
        <v>0</v>
      </c>
      <c r="ER66">
        <f>IFERROR(VLOOKUP($D66,'Kalkulator mięs '!$C$5:$H$533,ER$4,0)*$T66,0)</f>
        <v>0</v>
      </c>
      <c r="ES66">
        <f>IFERROR(VLOOKUP($D66,'Kalkulator mięs '!$C$5:$H$533,ES$4,0)*$T66,0)</f>
        <v>0</v>
      </c>
      <c r="ET66">
        <f>IFERROR(VLOOKUP($D66,'Kalkulator mięs '!$C$5:$H$533,ET$4,0)*$T66,0)</f>
        <v>0</v>
      </c>
      <c r="EU66">
        <f>IFERROR(VLOOKUP($D66,'Kalkulator mięs '!$C$5:$H$533,EU$4,0)*$U66,0)</f>
        <v>0</v>
      </c>
      <c r="EV66">
        <f>IFERROR(VLOOKUP($D66,'Kalkulator mięs '!$C$5:$H$533,EV$4,0)*$U66,0)</f>
        <v>0</v>
      </c>
      <c r="EW66">
        <f>IFERROR(VLOOKUP($D66,'Kalkulator mięs '!$C$5:$H$533,EW$4,0)*$U66,0)</f>
        <v>0</v>
      </c>
      <c r="EX66">
        <f>IFERROR(VLOOKUP($D66,'Kalkulator mięs '!$C$5:$H$533,EX$4,0)*$V66,0)</f>
        <v>0</v>
      </c>
      <c r="EY66">
        <f>IFERROR(VLOOKUP($D66,'Kalkulator mięs '!$C$5:$H$533,EY$4,0)*$V66,0)</f>
        <v>0</v>
      </c>
      <c r="EZ66">
        <f>IFERROR(VLOOKUP($D66,'Kalkulator mięs '!$C$5:$H$533,EZ$4,0)*$V66,0)</f>
        <v>612</v>
      </c>
      <c r="FA66">
        <f>IFERROR(VLOOKUP($D66,'Kalkulator mięs '!$C$5:$H$533,FA$4,0)*$W66,0)</f>
        <v>0</v>
      </c>
      <c r="FB66">
        <f>IFERROR(VLOOKUP($D66,'Kalkulator mięs '!$C$5:$H$533,FB$4,0)*$W66,0)</f>
        <v>0</v>
      </c>
      <c r="FC66">
        <f>IFERROR(VLOOKUP($D66,'Kalkulator mięs '!$C$5:$H$533,FC$4,0)*$W66,0)</f>
        <v>0</v>
      </c>
      <c r="FD66">
        <f>IFERROR(VLOOKUP($D66,'Kalkulator mięs '!$C$5:$H$533,FD$4,0)*$X66,0)</f>
        <v>0</v>
      </c>
      <c r="FE66">
        <f>IFERROR(VLOOKUP($D66,'Kalkulator mięs '!$C$5:$H$533,FE$4,0)*$X66,0)</f>
        <v>0</v>
      </c>
      <c r="FF66">
        <f>IFERROR(VLOOKUP($D66,'Kalkulator mięs '!$C$5:$H$533,FF$4,0)*$X66,0)</f>
        <v>0</v>
      </c>
      <c r="FG66">
        <f>IFERROR(VLOOKUP($D66,'Kalkulator mięs '!$C$5:$H$533,FG$4,0)*$Y66,0)</f>
        <v>0</v>
      </c>
      <c r="FH66">
        <f>IFERROR(VLOOKUP($D66,'Kalkulator mięs '!$C$5:$H$533,FH$4,0)*$Y66,0)</f>
        <v>0</v>
      </c>
      <c r="FI66">
        <f>IFERROR(VLOOKUP($D66,'Kalkulator mięs '!$C$5:$H$533,FI$4,0)*$Y66,0)</f>
        <v>0</v>
      </c>
      <c r="FJ66">
        <f>IFERROR(VLOOKUP($D66,'Kalkulator mięs '!$C$5:$H$533,FJ$4,0)*$Z66,0)</f>
        <v>0</v>
      </c>
      <c r="FK66">
        <f>IFERROR(VLOOKUP($D66,'Kalkulator mięs '!$C$5:$H$533,FK$4,0)*$Z66,0)</f>
        <v>0</v>
      </c>
      <c r="FL66">
        <f>IFERROR(VLOOKUP($D66,'Kalkulator mięs '!$C$5:$H$533,FL$4,0)*$Z66,0)</f>
        <v>0</v>
      </c>
      <c r="FM66">
        <f>IFERROR(VLOOKUP($D66,'Kalkulator mięs '!$C$5:$H$533,FM$4,0)*$AA66,0)</f>
        <v>0</v>
      </c>
      <c r="FN66">
        <f>IFERROR(VLOOKUP($D66,'Kalkulator mięs '!$C$5:$H$533,FN$4,0)*$AA66,0)</f>
        <v>0</v>
      </c>
      <c r="FO66">
        <f>IFERROR(VLOOKUP($D66,'Kalkulator mięs '!$C$5:$H$533,FO$4,0)*$AA66,0)</f>
        <v>0</v>
      </c>
      <c r="FP66">
        <f>IFERROR(VLOOKUP($D66,'Kalkulator mięs '!$C$5:$H$533,FP$4,0)*$AB66,0)</f>
        <v>0</v>
      </c>
      <c r="FQ66">
        <f>IFERROR(VLOOKUP($D66,'Kalkulator mięs '!$C$5:$H$533,FQ$4,0)*$AB66,0)</f>
        <v>0</v>
      </c>
      <c r="FR66">
        <f>IFERROR(VLOOKUP($D66,'Kalkulator mięs '!$C$5:$H$533,FR$4,0)*$AB66,0)</f>
        <v>49.680000000000007</v>
      </c>
      <c r="FS66">
        <f>IFERROR(VLOOKUP($D66,'Kalkulator mięs '!$C$5:$H$533,FS$4,0)*$AC66,0)</f>
        <v>0</v>
      </c>
      <c r="FT66">
        <f>IFERROR(VLOOKUP($D66,'Kalkulator mięs '!$C$5:$H$533,FT$4,0)*$AC66,0)</f>
        <v>0</v>
      </c>
      <c r="FU66">
        <f>IFERROR(VLOOKUP($D66,'Kalkulator mięs '!$C$5:$H$533,FU$4,0)*$AC66,0)</f>
        <v>0</v>
      </c>
      <c r="FV66">
        <f>IFERROR(VLOOKUP($D66,'Kalkulator mięs '!$C$5:$H$533,FV$4,0)*$AD66,0)</f>
        <v>0</v>
      </c>
      <c r="FW66">
        <f>IFERROR(VLOOKUP($D66,'Kalkulator mięs '!$C$5:$H$533,FW$4,0)*$AD66,0)</f>
        <v>0</v>
      </c>
      <c r="FX66">
        <f>IFERROR(VLOOKUP($D66,'Kalkulator mięs '!$C$5:$H$533,FX$4,0)*$AD66,0)</f>
        <v>0</v>
      </c>
      <c r="FY66">
        <f>IFERROR(VLOOKUP($D66,'Kalkulator mięs '!$C$5:$H$533,FY$4,0)*$AE66,0)</f>
        <v>0</v>
      </c>
      <c r="FZ66">
        <f>IFERROR(VLOOKUP($D66,'Kalkulator mięs '!$C$5:$H$533,FZ$4,0)*$AE66,0)</f>
        <v>0</v>
      </c>
      <c r="GA66">
        <f>IFERROR(VLOOKUP($D66,'Kalkulator mięs '!$C$5:$H$533,GA$4,0)*$AE66,0)</f>
        <v>0</v>
      </c>
      <c r="GB66">
        <f>IFERROR(VLOOKUP($D66,'Kalkulator mięs '!$C$5:$H$533,GB$4,0)*$AF66,0)</f>
        <v>0</v>
      </c>
      <c r="GC66">
        <f>IFERROR(VLOOKUP($D66,'Kalkulator mięs '!$C$5:$H$533,GC$4,0)*$AF66,0)</f>
        <v>0</v>
      </c>
      <c r="GD66">
        <f>IFERROR(VLOOKUP($D66,'Kalkulator mięs '!$C$5:$H$533,GD$4,0)*$AF66,0)</f>
        <v>0</v>
      </c>
      <c r="GE66">
        <f>IFERROR(VLOOKUP($D66,'Kalkulator mięs '!$C$5:$H$533,GE$4,0)*$AG66,0)</f>
        <v>0</v>
      </c>
      <c r="GF66">
        <f>IFERROR(VLOOKUP($D66,'Kalkulator mięs '!$C$5:$H$533,GF$4,0)*$AG66,0)</f>
        <v>0</v>
      </c>
      <c r="GG66">
        <f>IFERROR(VLOOKUP($D66,'Kalkulator mięs '!$C$5:$H$533,GG$4,0)*$AG66,0)</f>
        <v>0</v>
      </c>
      <c r="GH66">
        <f>IFERROR(VLOOKUP($D66,'Kalkulator mięs '!$C$5:$H$533,GH$4,0)*$AH66,0)</f>
        <v>0</v>
      </c>
      <c r="GI66">
        <f>IFERROR(VLOOKUP($D66,'Kalkulator mięs '!$C$5:$H$533,GI$4,0)*$AH66,0)</f>
        <v>0</v>
      </c>
      <c r="GJ66">
        <f>IFERROR(VLOOKUP($D66,'Kalkulator mięs '!$C$5:$H$533,GJ$4,0)*$AH66,0)</f>
        <v>0</v>
      </c>
      <c r="GK66">
        <f>IFERROR(VLOOKUP($D66,'Kalkulator mięs '!$C$5:$H$533,GK$4,0)*$AI66,0)</f>
        <v>0</v>
      </c>
      <c r="GL66">
        <f>IFERROR(VLOOKUP($D66,'Kalkulator mięs '!$C$5:$H$533,GL$4,0)*$AI66,0)</f>
        <v>0</v>
      </c>
      <c r="GM66">
        <f>IFERROR(VLOOKUP($D66,'Kalkulator mięs '!$C$5:$H$533,GM$4,0)*$AI66,0)</f>
        <v>0</v>
      </c>
      <c r="GN66">
        <f>IFERROR(VLOOKUP($D66,'Kalkulator mięs '!$C$5:$H$533,GN$4,0)*$AJ66,0)</f>
        <v>0</v>
      </c>
      <c r="GO66">
        <f>IFERROR(VLOOKUP($D66,'Kalkulator mięs '!$C$5:$H$533,GO$4,0)*$AJ66,0)</f>
        <v>0</v>
      </c>
      <c r="GP66">
        <f>IFERROR(VLOOKUP($D66,'Kalkulator mięs '!$C$5:$H$533,GP$4,0)*$AJ66,0)</f>
        <v>0</v>
      </c>
      <c r="GQ66">
        <f>IFERROR(VLOOKUP($D66,'Kalkulator mięs '!$C$5:$H$533,GQ$4,0)*$AK66,0)</f>
        <v>0</v>
      </c>
      <c r="GR66">
        <f>IFERROR(VLOOKUP($D66,'Kalkulator mięs '!$C$5:$H$533,GR$4,0)*$AK66,0)</f>
        <v>0</v>
      </c>
      <c r="GS66">
        <f>IFERROR(VLOOKUP($D66,'Kalkulator mięs '!$C$5:$H$533,GS$4,0)*$AK66,0)</f>
        <v>0</v>
      </c>
      <c r="GT66">
        <f>IFERROR(VLOOKUP($D66,'Kalkulator mięs '!$C$5:$H$533,GT$4,0)*$AL66,0)</f>
        <v>0</v>
      </c>
      <c r="GU66">
        <f>IFERROR(VLOOKUP($D66,'Kalkulator mięs '!$C$5:$H$533,GU$4,0)*$AL66,0)</f>
        <v>0</v>
      </c>
      <c r="GV66">
        <f>IFERROR(VLOOKUP($D66,'Kalkulator mięs '!$C$5:$H$533,GV$4,0)*$AL66,0)</f>
        <v>0</v>
      </c>
      <c r="GW66">
        <f>IFERROR(VLOOKUP($D66,'Kalkulator mięs '!$C$5:$H$533,GW$4,0)*$AM66,0)</f>
        <v>0</v>
      </c>
      <c r="GX66">
        <f>IFERROR(VLOOKUP($D66,'Kalkulator mięs '!$C$5:$H$533,GX$4,0)*$AM66,0)</f>
        <v>0</v>
      </c>
      <c r="GY66">
        <f>IFERROR(VLOOKUP($D66,'Kalkulator mięs '!$C$5:$H$533,GY$4,0)*$AM66,0)</f>
        <v>0</v>
      </c>
      <c r="GZ66">
        <f>IFERROR(VLOOKUP($D66,'Kalkulator mięs '!$C$5:$H$533,GZ$4,0)*$AN66,0)</f>
        <v>0</v>
      </c>
      <c r="HA66">
        <f>IFERROR(VLOOKUP($D66,'Kalkulator mięs '!$C$5:$H$533,HA$4,0)*$AN66,0)</f>
        <v>0</v>
      </c>
      <c r="HB66">
        <f>IFERROR(VLOOKUP($D66,'Kalkulator mięs '!$C$5:$H$533,HB$4,0)*$AN66,0)</f>
        <v>0</v>
      </c>
      <c r="HC66">
        <f>IFERROR(VLOOKUP($D66,'Kalkulator mięs '!$C$5:$H$533,HC$4,0)*$AO66,0)</f>
        <v>0</v>
      </c>
      <c r="HD66">
        <f>IFERROR(VLOOKUP($D66,'Kalkulator mięs '!$C$5:$H$533,HD$4,0)*$AO66,0)</f>
        <v>0</v>
      </c>
      <c r="HE66">
        <f>IFERROR(VLOOKUP($D66,'Kalkulator mięs '!$C$5:$H$533,HE$4,0)*$AO66,0)</f>
        <v>0</v>
      </c>
      <c r="HF66">
        <f>IFERROR(VLOOKUP($D66,'Kalkulator mięs '!$C$5:$H$533,HF$4,0)*$AP66,0)</f>
        <v>0</v>
      </c>
      <c r="HG66">
        <f>IFERROR(VLOOKUP($D66,'Kalkulator mięs '!$C$5:$H$533,HG$4,0)*$AP66,0)</f>
        <v>0</v>
      </c>
      <c r="HH66">
        <f>IFERROR(VLOOKUP($D66,'Kalkulator mięs '!$C$5:$H$533,HH$4,0)*$AP66,0)</f>
        <v>562.31999999999994</v>
      </c>
      <c r="HI66">
        <f>IFERROR(VLOOKUP($D66,'Kalkulator mięs '!$C$5:$H$533,HI$4,0)*$AQ66,0)</f>
        <v>0</v>
      </c>
      <c r="HJ66">
        <f>IFERROR(VLOOKUP($D66,'Kalkulator mięs '!$C$5:$H$533,HJ$4,0)*$AQ66,0)</f>
        <v>0</v>
      </c>
      <c r="HK66">
        <f>IFERROR(VLOOKUP($D66,'Kalkulator mięs '!$C$5:$H$533,HK$4,0)*$AQ66,0)</f>
        <v>0</v>
      </c>
      <c r="HL66">
        <f>IFERROR(VLOOKUP($D66,'Kalkulator mięs '!$C$5:$H$533,HL$4,0)*$AR66,0)</f>
        <v>0</v>
      </c>
      <c r="HM66">
        <f>IFERROR(VLOOKUP($D66,'Kalkulator mięs '!$C$5:$H$533,HM$4,0)*$AR66,0)</f>
        <v>0</v>
      </c>
      <c r="HN66">
        <f>IFERROR(VLOOKUP($D66,'Kalkulator mięs '!$C$5:$H$533,HN$4,0)*$AR66,0)</f>
        <v>0</v>
      </c>
      <c r="HO66">
        <f>IFERROR(VLOOKUP($D66,'Kalkulator mięs '!$C$5:$H$533,HO$4,0)*$AS66,0)</f>
        <v>0</v>
      </c>
      <c r="HP66">
        <f>IFERROR(VLOOKUP($D66,'Kalkulator mięs '!$C$5:$H$533,HP$4,0)*$AS66,0)</f>
        <v>0</v>
      </c>
      <c r="HQ66">
        <f>IFERROR(VLOOKUP($D66,'Kalkulator mięs '!$C$5:$H$533,HQ$4,0)*$AS66,0)</f>
        <v>0</v>
      </c>
      <c r="HR66">
        <f>IFERROR(VLOOKUP($D66,'Kalkulator mięs '!$C$5:$H$533,HR$4,0)*$AT66,0)</f>
        <v>0</v>
      </c>
      <c r="HS66">
        <f>IFERROR(VLOOKUP($D66,'Kalkulator mięs '!$C$5:$H$533,HS$4,0)*$AT66,0)</f>
        <v>0</v>
      </c>
      <c r="HT66">
        <f>IFERROR(VLOOKUP($D66,'Kalkulator mięs '!$C$5:$H$533,HT$4,0)*$AT66,0)</f>
        <v>0</v>
      </c>
      <c r="HU66">
        <f>IFERROR(VLOOKUP($D66,'Kalkulator mięs '!$C$5:$H$533,HU$4,0)*$AU66,0)</f>
        <v>0</v>
      </c>
      <c r="HV66">
        <f>IFERROR(VLOOKUP($D66,'Kalkulator mięs '!$C$5:$H$533,HV$4,0)*$AU66,0)</f>
        <v>0</v>
      </c>
      <c r="HW66">
        <f>IFERROR(VLOOKUP($D66,'Kalkulator mięs '!$C$5:$H$533,HW$4,0)*$AU66,0)</f>
        <v>0</v>
      </c>
      <c r="HX66">
        <f>IFERROR(VLOOKUP($D66,'Kalkulator mięs '!$C$5:$H$533,HX$4,0)*$AV66,0)</f>
        <v>0</v>
      </c>
      <c r="HY66">
        <f>IFERROR(VLOOKUP($D66,'Kalkulator mięs '!$C$5:$H$533,HY$4,0)*$AV66,0)</f>
        <v>0</v>
      </c>
      <c r="HZ66">
        <f>IFERROR(VLOOKUP($D66,'Kalkulator mięs '!$C$5:$H$533,HZ$4,0)*$AV66,0)</f>
        <v>0</v>
      </c>
      <c r="IA66">
        <f>IFERROR(VLOOKUP($D66,'Kalkulator mięs '!$C$5:$H$533,IA$4,0)*$AW66,0)</f>
        <v>0</v>
      </c>
      <c r="IB66">
        <f>IFERROR(VLOOKUP($D66,'Kalkulator mięs '!$C$5:$H$533,IB$4,0)*$AW66,0)</f>
        <v>0</v>
      </c>
      <c r="IC66">
        <f>IFERROR(VLOOKUP($D66,'Kalkulator mięs '!$C$5:$H$533,IC$4,0)*$AW66,0)</f>
        <v>0</v>
      </c>
      <c r="ID66">
        <f>IFERROR(VLOOKUP($D66,'Kalkulator mięs '!$C$5:$H$533,ID$4,0)*$AX66,0)</f>
        <v>0</v>
      </c>
      <c r="IE66">
        <f>IFERROR(VLOOKUP($D66,'Kalkulator mięs '!$C$5:$H$533,IE$4,0)*$AX66,0)</f>
        <v>0</v>
      </c>
      <c r="IF66">
        <f>IFERROR(VLOOKUP($D66,'Kalkulator mięs '!$C$5:$H$533,IF$4,0)*$AX66,0)</f>
        <v>0</v>
      </c>
      <c r="IG66">
        <f>IFERROR(VLOOKUP($D66,'Kalkulator mięs '!$C$5:$H$533,IG$4,0)*$AY66,0)</f>
        <v>0</v>
      </c>
      <c r="IH66">
        <f>IFERROR(VLOOKUP($D66,'Kalkulator mięs '!$C$5:$H$533,IH$4,0)*$AY66,0)</f>
        <v>0</v>
      </c>
      <c r="II66">
        <f>IFERROR(VLOOKUP($D66,'Kalkulator mięs '!$C$5:$H$533,II$4,0)*$AY66,0)</f>
        <v>0</v>
      </c>
      <c r="IJ66">
        <f>IFERROR(VLOOKUP($D66,'Kalkulator mięs '!$C$5:$H$533,IJ$4,0)*$AZ66,0)</f>
        <v>0</v>
      </c>
      <c r="IK66">
        <f>IFERROR(VLOOKUP($D66,'Kalkulator mięs '!$C$5:$H$533,IK$4,0)*$AZ66,0)</f>
        <v>0</v>
      </c>
      <c r="IL66">
        <f>IFERROR(VLOOKUP($D66,'Kalkulator mięs '!$C$5:$H$533,IL$4,0)*$AZ66,0)</f>
        <v>0</v>
      </c>
      <c r="IM66">
        <f>IFERROR(VLOOKUP($D66,'Kalkulator mięs '!$C$5:$H$533,IM$4,0)*$BA66,0)</f>
        <v>0</v>
      </c>
      <c r="IN66">
        <f>IFERROR(VLOOKUP($D66,'Kalkulator mięs '!$C$5:$H$533,IN$4,0)*$BA66,0)</f>
        <v>0</v>
      </c>
      <c r="IO66">
        <f>IFERROR(VLOOKUP($D66,'Kalkulator mięs '!$C$5:$H$533,IO$4,0)*$BA66,0)</f>
        <v>0</v>
      </c>
    </row>
    <row r="67" spans="2:249" ht="15.75">
      <c r="B67" t="str">
        <f>VLOOKUP(D67,Receptury_z!$A:$B,2,0)</f>
        <v>ON</v>
      </c>
      <c r="C67" s="23">
        <v>5551</v>
      </c>
      <c r="D67" s="24">
        <v>7043</v>
      </c>
      <c r="E67" s="26" t="s">
        <v>60</v>
      </c>
      <c r="F67" s="14">
        <f>IF($B67="OFF",BE67,VLOOKUP($D67,Receptury_z!$D:$AI,F$4,0))</f>
        <v>0</v>
      </c>
      <c r="G67" s="14">
        <f>IF($B67="OFF",BF67,VLOOKUP($D67,Receptury_z!$D:$AI,G$4,0))</f>
        <v>331.56</v>
      </c>
      <c r="H67" s="14">
        <f>IF($B67="OFF",BG67,VLOOKUP($D67,Receptury_z!$D:$AI,H$4,0))</f>
        <v>0</v>
      </c>
      <c r="I67" s="14">
        <f>IF($B67="OFF",BH67,VLOOKUP($D67,Receptury_z!$D:$AI,I$4,0))</f>
        <v>0</v>
      </c>
      <c r="J67" s="14">
        <f>IF($B67="OFF",BI67,VLOOKUP($D67,Receptury_z!$D:$AI,J$4,0))</f>
        <v>0</v>
      </c>
      <c r="K67" s="14">
        <f>IF($B67="OFF",BJ67,VLOOKUP($D67,Receptury_z!$D:$AI,K$4,0))</f>
        <v>0</v>
      </c>
      <c r="L67" s="14">
        <f>IF($B67="OFF",BK67,VLOOKUP($D67,Receptury_z!$D:$AI,L$4,0))</f>
        <v>0</v>
      </c>
      <c r="M67" s="14">
        <f>IF($B67="OFF",BL67,VLOOKUP($D67,Receptury_z!$D:$AI,M$4,0))</f>
        <v>0</v>
      </c>
      <c r="N67" s="14">
        <f>IF($B67="OFF",BM67,VLOOKUP($D67,Receptury_z!$D:$AI,N$4,0))</f>
        <v>0</v>
      </c>
      <c r="O67" s="14">
        <f>IF($B67="OFF",BN67,VLOOKUP($D67,Receptury_z!$D:$AI,O$4,0))</f>
        <v>0</v>
      </c>
      <c r="P67" s="14">
        <f>IF($B67="OFF",BO67,VLOOKUP($D67,Receptury_z!$D:$AI,P$4,0))</f>
        <v>100</v>
      </c>
      <c r="Q67" s="14">
        <f>IF($B67="OFF",BP67,VLOOKUP($D67,Receptury_z!$D:$AI,Q$4,0))</f>
        <v>0</v>
      </c>
      <c r="R67" s="14">
        <f>IF($B67="OFF",BQ67,VLOOKUP($D67,Receptury_z!$D:$AI,R$4,0))</f>
        <v>0</v>
      </c>
      <c r="S67" s="14">
        <f>IF($B67="OFF",BR67,VLOOKUP($D67,Receptury_z!$D:$AI,S$4,0))</f>
        <v>0</v>
      </c>
      <c r="T67" s="14">
        <f>IF($B67="OFF",BS67,VLOOKUP($D67,Receptury_z!$D:$AI,T$4,0))</f>
        <v>0</v>
      </c>
      <c r="U67" s="14">
        <f>IF($B67="OFF",BT67,VLOOKUP($D67,Receptury_z!$D:$AI,U$4,0))</f>
        <v>0</v>
      </c>
      <c r="V67" s="14">
        <f>IF($B67="OFF",BU67,VLOOKUP($D67,Receptury_z!$D:$AI,V$4,0))</f>
        <v>0</v>
      </c>
      <c r="W67" s="14">
        <f>IF($B67="OFF",BV67,VLOOKUP($D67,Receptury_z!$D:$AI,W$4,0))</f>
        <v>0</v>
      </c>
      <c r="X67" s="14">
        <f>IF($B67="OFF",BW67,VLOOKUP($D67,Receptury_z!$D:$AI,X$4,0))</f>
        <v>0</v>
      </c>
      <c r="Y67" s="14">
        <f>IF($B67="OFF",BX67,VLOOKUP($D67,Receptury_z!$D:$AI,Y$4,0))</f>
        <v>41.4</v>
      </c>
      <c r="Z67" s="14">
        <f>IF($B67="OFF",BY67,VLOOKUP($D67,Receptury_z!$D:$AI,Z$4,0))</f>
        <v>0</v>
      </c>
      <c r="AA67" s="14">
        <f>IF($B67="OFF",BZ67,VLOOKUP($D67,Receptury_z!$D:$AI,AA$4,0))</f>
        <v>0</v>
      </c>
      <c r="AB67" s="14">
        <f>IF($B67="OFF",CA67,VLOOKUP($D67,Receptury_z!$D:$AI,AB$4,0))</f>
        <v>25.02</v>
      </c>
      <c r="AC67" s="14">
        <f>IF($B67="OFF",CB67,VLOOKUP($D67,Receptury_z!$D:$AI,AC$4,0))</f>
        <v>0</v>
      </c>
      <c r="AD67" s="14">
        <f>IF($B67="OFF",CC67,VLOOKUP($D67,Receptury_z!$D:$AI,AD$4,0))</f>
        <v>0</v>
      </c>
      <c r="AE67" s="14">
        <f>IF($B67="OFF",CD67,VLOOKUP($D67,Receptury_z!$D:$AI,AE$4,0))</f>
        <v>41.49</v>
      </c>
      <c r="AF67" s="14">
        <f>IF($B67="OFF",CE67,VLOOKUP($D67,Receptury_z!$D:$AI,AF$4,0))</f>
        <v>0</v>
      </c>
      <c r="AG67" s="14">
        <f>IF($B67="OFF",CF67,VLOOKUP($D67,Receptury_z!$D:$AI,AG$4,0))</f>
        <v>41.49</v>
      </c>
      <c r="AH67" s="14">
        <f>IF($B67="OFF",CG67,VLOOKUP($D67,Receptury_z!$D:$AI,AH$4,0))</f>
        <v>0</v>
      </c>
      <c r="AI67" s="14">
        <f>IF($B67="OFF",CH67,VLOOKUP($D67,Receptury_z!$D:$AI,AI$4,0))</f>
        <v>0</v>
      </c>
      <c r="AJ67" s="14">
        <f>IF($B67="OFF",CI67,VLOOKUP($D67,Receptury_z!$D:$AS,AJ$4,0))</f>
        <v>0</v>
      </c>
      <c r="AK67" s="14">
        <f>IF($B67="OFF",CJ67,VLOOKUP($D67,Receptury_z!$D:$AS,AK$4,0))</f>
        <v>0</v>
      </c>
      <c r="AL67" s="14">
        <f>IF($B67="OFF",CK67,VLOOKUP($D67,Receptury_z!$D:$AS,AL$4,0))</f>
        <v>0</v>
      </c>
      <c r="AM67" s="14">
        <f>IF($B67="OFF",CL67,VLOOKUP($D67,Receptury_z!$D:$AS,AM$4,0))</f>
        <v>0</v>
      </c>
      <c r="AN67" s="14">
        <f>IF($B67="OFF",CM67,VLOOKUP($D67,Receptury_z!$D:$AS,AN$4,0))</f>
        <v>0</v>
      </c>
      <c r="AO67" s="14">
        <f>IF($B67="OFF",CN67,VLOOKUP($D67,Receptury_z!$D:$AS,AO$4,0))</f>
        <v>0</v>
      </c>
      <c r="AP67" s="14">
        <f>IF($B67="OFF",CO67,VLOOKUP($D67,Receptury_z!$D:$AS,AP$4,0))</f>
        <v>449.34000000000003</v>
      </c>
      <c r="AQ67" s="14">
        <f>IF($B67="OFF",CP67,VLOOKUP($D67,Receptury_z!$D:$AS,AQ$4,0))</f>
        <v>0</v>
      </c>
      <c r="AR67" s="14">
        <f>IF($B67="OFF",CQ67,VLOOKUP($D67,Receptury_z!$D:$AS,AR$4,0))</f>
        <v>0</v>
      </c>
      <c r="AS67" s="14">
        <f>IF($B67="OFF",CR67,VLOOKUP($D67,Receptury_z!$D:$AS,AS$4,0))</f>
        <v>0</v>
      </c>
      <c r="AT67" s="14">
        <f>IF($B67="OFF",CS67,VLOOKUP($D67,Receptury_z!$D:$AV,AT$4,0))</f>
        <v>0</v>
      </c>
      <c r="AU67" s="14">
        <f>IF($B67="OFF",CT67,VLOOKUP($D67,Receptury_z!$D:$AV,AU$4,0))</f>
        <v>0</v>
      </c>
      <c r="AV67" s="14">
        <f>IF($B67="OFF",CU67,VLOOKUP($D67,Receptury_z!$D:$AV,AV$4,0))</f>
        <v>0</v>
      </c>
      <c r="AW67" s="14">
        <f>IF($B67="OFF",CV67,VLOOKUP($D67,Receptury_z!$D:$BA,AW$4,0))</f>
        <v>0</v>
      </c>
      <c r="AX67" s="14">
        <f>IF($B67="OFF",CW67,VLOOKUP($D67,Receptury_z!$D:$BA,AX$4,0))</f>
        <v>0</v>
      </c>
      <c r="AY67" s="14">
        <f>IF($B67="OFF",CX67,VLOOKUP($D67,Receptury_z!$D:$BA,AY$4,0))</f>
        <v>0</v>
      </c>
      <c r="AZ67" s="14">
        <f>IF($B67="OFF",DA67,VLOOKUP($D67,Receptury_z!$D:$BA,AZ$4,0))</f>
        <v>0</v>
      </c>
      <c r="BA67" s="14">
        <f>IF($B67="OFF",DB67,VLOOKUP($D67,Receptury_z!$D:$BA,BA$4,0))</f>
        <v>0</v>
      </c>
      <c r="BC67" s="24">
        <v>7043</v>
      </c>
      <c r="BD67" s="26" t="s">
        <v>60</v>
      </c>
      <c r="BE67" s="239">
        <v>0</v>
      </c>
      <c r="BF67" s="239">
        <v>0</v>
      </c>
      <c r="BG67" s="239">
        <v>0</v>
      </c>
      <c r="BH67" s="239">
        <v>0</v>
      </c>
      <c r="BI67" s="239">
        <v>0</v>
      </c>
      <c r="BJ67" s="239">
        <v>0</v>
      </c>
      <c r="BK67" s="239">
        <v>0</v>
      </c>
      <c r="BL67" s="239"/>
      <c r="BM67" s="239">
        <v>0</v>
      </c>
      <c r="BN67" s="239"/>
      <c r="BO67" s="239">
        <v>0</v>
      </c>
      <c r="BP67" s="239"/>
      <c r="BQ67" s="239">
        <v>0</v>
      </c>
      <c r="BR67" s="239">
        <v>0</v>
      </c>
      <c r="BS67" s="239">
        <v>0</v>
      </c>
      <c r="BT67" s="239">
        <v>0</v>
      </c>
      <c r="BU67" s="239">
        <v>0</v>
      </c>
      <c r="BV67" s="239">
        <v>0</v>
      </c>
      <c r="BW67" s="239">
        <v>0</v>
      </c>
      <c r="BX67" s="239">
        <v>0</v>
      </c>
      <c r="BY67" s="239">
        <v>0</v>
      </c>
      <c r="BZ67" s="240"/>
      <c r="CA67" s="370">
        <v>27.6</v>
      </c>
      <c r="CB67" s="239">
        <v>0</v>
      </c>
      <c r="CC67" s="370">
        <v>412.21</v>
      </c>
      <c r="CD67" s="239">
        <v>0</v>
      </c>
      <c r="CE67" s="239">
        <v>0</v>
      </c>
      <c r="CF67" s="370">
        <v>53.1</v>
      </c>
      <c r="CG67" s="239">
        <v>0</v>
      </c>
      <c r="CH67" s="239">
        <v>0</v>
      </c>
      <c r="CI67" s="239">
        <v>0</v>
      </c>
      <c r="CJ67" s="239">
        <v>0</v>
      </c>
      <c r="CK67" s="239">
        <v>0</v>
      </c>
      <c r="CL67" s="239">
        <v>0</v>
      </c>
      <c r="CM67" s="241"/>
      <c r="CN67" s="80"/>
      <c r="CO67" s="371">
        <v>428.3</v>
      </c>
      <c r="CP67" s="80"/>
      <c r="CQ67" s="80"/>
      <c r="CR67" s="80"/>
      <c r="CS67" s="80"/>
      <c r="CT67" s="80"/>
      <c r="CU67" s="80"/>
      <c r="CV67" s="80"/>
      <c r="CW67" s="80"/>
      <c r="CX67" s="80"/>
      <c r="CY67" s="80"/>
      <c r="CZ67" s="80"/>
      <c r="DB67">
        <f>IFERROR(VLOOKUP($D67,'Kalkulator mięs '!$C$5:$H$533,DB$4,0)*F67,0)</f>
        <v>0</v>
      </c>
      <c r="DC67">
        <f>IFERROR(VLOOKUP($D67,'Kalkulator mięs '!$C$5:$H$533,DC$4,0)*F67,0)</f>
        <v>0</v>
      </c>
      <c r="DD67">
        <f>IFERROR(VLOOKUP($D67,'Kalkulator mięs '!$C$5:$H$533,DD$4,0)*F67,0)</f>
        <v>0</v>
      </c>
      <c r="DE67">
        <f>IFERROR(VLOOKUP($D67,'Kalkulator mięs '!$C$5:$H$533,DE$4,0)*$G67,0)</f>
        <v>0</v>
      </c>
      <c r="DF67">
        <f>IFERROR(VLOOKUP($D67,'Kalkulator mięs '!$C$5:$H$533,DF$4,0)*$G67,0)</f>
        <v>2917.7280000000001</v>
      </c>
      <c r="DG67">
        <f>IFERROR(VLOOKUP($D67,'Kalkulator mięs '!$C$5:$H$533,DG$4,0)*$G67,0)</f>
        <v>0</v>
      </c>
      <c r="DH67">
        <f>IFERROR(VLOOKUP($D67,'Kalkulator mięs '!$C$5:$H$533,DH$4,0)*$H67,0)</f>
        <v>0</v>
      </c>
      <c r="DI67">
        <f>IFERROR(VLOOKUP($D67,'Kalkulator mięs '!$C$5:$H$533,DI$4,0)*$H67,0)</f>
        <v>0</v>
      </c>
      <c r="DJ67">
        <f>IFERROR(VLOOKUP($D67,'Kalkulator mięs '!$C$5:$H$533,DJ$4,0)*$H67,0)</f>
        <v>0</v>
      </c>
      <c r="DK67">
        <f>IFERROR(VLOOKUP($D67,'Kalkulator mięs '!$C$5:$H$533,DK$4,0)*$I67,0)</f>
        <v>0</v>
      </c>
      <c r="DL67">
        <f>IFERROR(VLOOKUP($D67,'Kalkulator mięs '!$C$5:$H$533,DL$4,0)*$I67,0)</f>
        <v>0</v>
      </c>
      <c r="DM67">
        <f>IFERROR(VLOOKUP($D67,'Kalkulator mięs '!$C$5:$H$533,DM$4,0)*$I67,0)</f>
        <v>0</v>
      </c>
      <c r="DN67">
        <f>IFERROR(VLOOKUP($D67,'Kalkulator mięs '!$C$5:$H$533,DN$4,0)*$J67,0)</f>
        <v>0</v>
      </c>
      <c r="DO67">
        <f>IFERROR(VLOOKUP($D67,'Kalkulator mięs '!$C$5:$H$533,DO$4,0)*$J67,0)</f>
        <v>0</v>
      </c>
      <c r="DP67">
        <f>IFERROR(VLOOKUP($D67,'Kalkulator mięs '!$C$5:$H$533,DP$4,0)*$J67,0)</f>
        <v>0</v>
      </c>
      <c r="DQ67">
        <f>IFERROR(VLOOKUP($D67,'Kalkulator mięs '!$C$5:$H$533,DQ$4,0)*$K67,0)</f>
        <v>0</v>
      </c>
      <c r="DR67">
        <f>IFERROR(VLOOKUP($D67,'Kalkulator mięs '!$C$5:$H$533,DR$4,0)*$K67,0)</f>
        <v>0</v>
      </c>
      <c r="DS67">
        <f>IFERROR(VLOOKUP($D67,'Kalkulator mięs '!$C$5:$H$533,DS$4,0)*$K67,0)</f>
        <v>0</v>
      </c>
      <c r="DT67">
        <f>IFERROR(VLOOKUP($D67,'Kalkulator mięs '!$C$5:$H$533,DT$4,0)*$L67,0)</f>
        <v>0</v>
      </c>
      <c r="DU67">
        <f>IFERROR(VLOOKUP($D67,'Kalkulator mięs '!$C$5:$H$533,DU$4,0)*$L67,0)</f>
        <v>0</v>
      </c>
      <c r="DV67">
        <f>IFERROR(VLOOKUP($D67,'Kalkulator mięs '!$C$5:$H$533,DV$4,0)*$L67,0)</f>
        <v>0</v>
      </c>
      <c r="DW67">
        <f>IFERROR(VLOOKUP($D67,'Kalkulator mięs '!$C$5:$H$533,DW$4,0)*$M67,0)</f>
        <v>0</v>
      </c>
      <c r="DX67">
        <f>IFERROR(VLOOKUP($D67,'Kalkulator mięs '!$C$5:$H$533,DX$4,0)*$M67,0)</f>
        <v>0</v>
      </c>
      <c r="DY67">
        <f>IFERROR(VLOOKUP($D67,'Kalkulator mięs '!$C$5:$H$533,DY$4,0)*$M67,0)</f>
        <v>0</v>
      </c>
      <c r="DZ67">
        <f>IFERROR(VLOOKUP($D67,'Kalkulator mięs '!$C$5:$H$533,DZ$4,0)*$N67,0)</f>
        <v>0</v>
      </c>
      <c r="EA67">
        <f>IFERROR(VLOOKUP($D67,'Kalkulator mięs '!$C$5:$H$533,EA$4,0)*$N67,0)</f>
        <v>0</v>
      </c>
      <c r="EB67">
        <f>IFERROR(VLOOKUP($D67,'Kalkulator mięs '!$C$5:$H$533,EB$4,0)*$N67,0)</f>
        <v>0</v>
      </c>
      <c r="EC67">
        <f>IFERROR(VLOOKUP($D67,'Kalkulator mięs '!$C$5:$H$533,EC$4,0)*$O67,0)</f>
        <v>0</v>
      </c>
      <c r="ED67">
        <f>IFERROR(VLOOKUP($D67,'Kalkulator mięs '!$C$5:$H$533,ED$4,0)*$O67,0)</f>
        <v>0</v>
      </c>
      <c r="EE67">
        <f>IFERROR(VLOOKUP($D67,'Kalkulator mięs '!$C$5:$H$533,EE$4,0)*$O67,0)</f>
        <v>0</v>
      </c>
      <c r="EF67">
        <f>IFERROR(VLOOKUP($D67,'Kalkulator mięs '!$C$5:$H$533,EF$4,0)*$P67,0)</f>
        <v>0</v>
      </c>
      <c r="EG67">
        <f>IFERROR(VLOOKUP($D67,'Kalkulator mięs '!$C$5:$H$533,EG$4,0)*$P67,0)</f>
        <v>880.00000000000011</v>
      </c>
      <c r="EH67">
        <f>IFERROR(VLOOKUP($D67,'Kalkulator mięs '!$C$5:$H$533,EH$4,0)*$P67,0)</f>
        <v>0</v>
      </c>
      <c r="EI67">
        <f>IFERROR(VLOOKUP($D67,'Kalkulator mięs '!$C$5:$H$533,EI$4,0)*$Q67,0)</f>
        <v>0</v>
      </c>
      <c r="EJ67">
        <f>IFERROR(VLOOKUP($D67,'Kalkulator mięs '!$C$5:$H$533,EJ$4,0)*$Q67,0)</f>
        <v>0</v>
      </c>
      <c r="EK67">
        <f>IFERROR(VLOOKUP($D67,'Kalkulator mięs '!$C$5:$H$533,EK$4,0)*$Q67,0)</f>
        <v>0</v>
      </c>
      <c r="EL67">
        <f>IFERROR(VLOOKUP($D67,'Kalkulator mięs '!$C$5:$H$533,EL$4,0)*$R67,0)</f>
        <v>0</v>
      </c>
      <c r="EM67">
        <f>IFERROR(VLOOKUP($D67,'Kalkulator mięs '!$C$5:$H$533,EM$4,0)*$R67,0)</f>
        <v>0</v>
      </c>
      <c r="EN67">
        <f>IFERROR(VLOOKUP($D67,'Kalkulator mięs '!$C$5:$H$533,EN$4,0)*$R67,0)</f>
        <v>0</v>
      </c>
      <c r="EO67">
        <f>IFERROR(VLOOKUP($D67,'Kalkulator mięs '!$C$5:$H$533,EO$4,0)*$S67,0)</f>
        <v>0</v>
      </c>
      <c r="EP67">
        <f>IFERROR(VLOOKUP($D67,'Kalkulator mięs '!$C$5:$H$533,EP$4,0)*$S67,0)</f>
        <v>0</v>
      </c>
      <c r="EQ67">
        <f>IFERROR(VLOOKUP($D67,'Kalkulator mięs '!$C$5:$H$533,EQ$4,0)*$S67,0)</f>
        <v>0</v>
      </c>
      <c r="ER67">
        <f>IFERROR(VLOOKUP($D67,'Kalkulator mięs '!$C$5:$H$533,ER$4,0)*$T67,0)</f>
        <v>0</v>
      </c>
      <c r="ES67">
        <f>IFERROR(VLOOKUP($D67,'Kalkulator mięs '!$C$5:$H$533,ES$4,0)*$T67,0)</f>
        <v>0</v>
      </c>
      <c r="ET67">
        <f>IFERROR(VLOOKUP($D67,'Kalkulator mięs '!$C$5:$H$533,ET$4,0)*$T67,0)</f>
        <v>0</v>
      </c>
      <c r="EU67">
        <f>IFERROR(VLOOKUP($D67,'Kalkulator mięs '!$C$5:$H$533,EU$4,0)*$U67,0)</f>
        <v>0</v>
      </c>
      <c r="EV67">
        <f>IFERROR(VLOOKUP($D67,'Kalkulator mięs '!$C$5:$H$533,EV$4,0)*$U67,0)</f>
        <v>0</v>
      </c>
      <c r="EW67">
        <f>IFERROR(VLOOKUP($D67,'Kalkulator mięs '!$C$5:$H$533,EW$4,0)*$U67,0)</f>
        <v>0</v>
      </c>
      <c r="EX67">
        <f>IFERROR(VLOOKUP($D67,'Kalkulator mięs '!$C$5:$H$533,EX$4,0)*$V67,0)</f>
        <v>0</v>
      </c>
      <c r="EY67">
        <f>IFERROR(VLOOKUP($D67,'Kalkulator mięs '!$C$5:$H$533,EY$4,0)*$V67,0)</f>
        <v>0</v>
      </c>
      <c r="EZ67">
        <f>IFERROR(VLOOKUP($D67,'Kalkulator mięs '!$C$5:$H$533,EZ$4,0)*$V67,0)</f>
        <v>0</v>
      </c>
      <c r="FA67">
        <f>IFERROR(VLOOKUP($D67,'Kalkulator mięs '!$C$5:$H$533,FA$4,0)*$W67,0)</f>
        <v>0</v>
      </c>
      <c r="FB67">
        <f>IFERROR(VLOOKUP($D67,'Kalkulator mięs '!$C$5:$H$533,FB$4,0)*$W67,0)</f>
        <v>0</v>
      </c>
      <c r="FC67">
        <f>IFERROR(VLOOKUP($D67,'Kalkulator mięs '!$C$5:$H$533,FC$4,0)*$W67,0)</f>
        <v>0</v>
      </c>
      <c r="FD67">
        <f>IFERROR(VLOOKUP($D67,'Kalkulator mięs '!$C$5:$H$533,FD$4,0)*$X67,0)</f>
        <v>0</v>
      </c>
      <c r="FE67">
        <f>IFERROR(VLOOKUP($D67,'Kalkulator mięs '!$C$5:$H$533,FE$4,0)*$X67,0)</f>
        <v>0</v>
      </c>
      <c r="FF67">
        <f>IFERROR(VLOOKUP($D67,'Kalkulator mięs '!$C$5:$H$533,FF$4,0)*$X67,0)</f>
        <v>0</v>
      </c>
      <c r="FG67">
        <f>IFERROR(VLOOKUP($D67,'Kalkulator mięs '!$C$5:$H$533,FG$4,0)*$Y67,0)</f>
        <v>0</v>
      </c>
      <c r="FH67">
        <f>IFERROR(VLOOKUP($D67,'Kalkulator mięs '!$C$5:$H$533,FH$4,0)*$Y67,0)</f>
        <v>364.32</v>
      </c>
      <c r="FI67">
        <f>IFERROR(VLOOKUP($D67,'Kalkulator mięs '!$C$5:$H$533,FI$4,0)*$Y67,0)</f>
        <v>0</v>
      </c>
      <c r="FJ67">
        <f>IFERROR(VLOOKUP($D67,'Kalkulator mięs '!$C$5:$H$533,FJ$4,0)*$Z67,0)</f>
        <v>0</v>
      </c>
      <c r="FK67">
        <f>IFERROR(VLOOKUP($D67,'Kalkulator mięs '!$C$5:$H$533,FK$4,0)*$Z67,0)</f>
        <v>0</v>
      </c>
      <c r="FL67">
        <f>IFERROR(VLOOKUP($D67,'Kalkulator mięs '!$C$5:$H$533,FL$4,0)*$Z67,0)</f>
        <v>0</v>
      </c>
      <c r="FM67">
        <f>IFERROR(VLOOKUP($D67,'Kalkulator mięs '!$C$5:$H$533,FM$4,0)*$AA67,0)</f>
        <v>0</v>
      </c>
      <c r="FN67">
        <f>IFERROR(VLOOKUP($D67,'Kalkulator mięs '!$C$5:$H$533,FN$4,0)*$AA67,0)</f>
        <v>0</v>
      </c>
      <c r="FO67">
        <f>IFERROR(VLOOKUP($D67,'Kalkulator mięs '!$C$5:$H$533,FO$4,0)*$AA67,0)</f>
        <v>0</v>
      </c>
      <c r="FP67">
        <f>IFERROR(VLOOKUP($D67,'Kalkulator mięs '!$C$5:$H$533,FP$4,0)*$AB67,0)</f>
        <v>0</v>
      </c>
      <c r="FQ67">
        <f>IFERROR(VLOOKUP($D67,'Kalkulator mięs '!$C$5:$H$533,FQ$4,0)*$AB67,0)</f>
        <v>220.17600000000002</v>
      </c>
      <c r="FR67">
        <f>IFERROR(VLOOKUP($D67,'Kalkulator mięs '!$C$5:$H$533,FR$4,0)*$AB67,0)</f>
        <v>0</v>
      </c>
      <c r="FS67">
        <f>IFERROR(VLOOKUP($D67,'Kalkulator mięs '!$C$5:$H$533,FS$4,0)*$AC67,0)</f>
        <v>0</v>
      </c>
      <c r="FT67">
        <f>IFERROR(VLOOKUP($D67,'Kalkulator mięs '!$C$5:$H$533,FT$4,0)*$AC67,0)</f>
        <v>0</v>
      </c>
      <c r="FU67">
        <f>IFERROR(VLOOKUP($D67,'Kalkulator mięs '!$C$5:$H$533,FU$4,0)*$AC67,0)</f>
        <v>0</v>
      </c>
      <c r="FV67">
        <f>IFERROR(VLOOKUP($D67,'Kalkulator mięs '!$C$5:$H$533,FV$4,0)*$AD67,0)</f>
        <v>0</v>
      </c>
      <c r="FW67">
        <f>IFERROR(VLOOKUP($D67,'Kalkulator mięs '!$C$5:$H$533,FW$4,0)*$AD67,0)</f>
        <v>0</v>
      </c>
      <c r="FX67">
        <f>IFERROR(VLOOKUP($D67,'Kalkulator mięs '!$C$5:$H$533,FX$4,0)*$AD67,0)</f>
        <v>0</v>
      </c>
      <c r="FY67">
        <f>IFERROR(VLOOKUP($D67,'Kalkulator mięs '!$C$5:$H$533,FY$4,0)*$AE67,0)</f>
        <v>0</v>
      </c>
      <c r="FZ67">
        <f>IFERROR(VLOOKUP($D67,'Kalkulator mięs '!$C$5:$H$533,FZ$4,0)*$AE67,0)</f>
        <v>365.11200000000002</v>
      </c>
      <c r="GA67">
        <f>IFERROR(VLOOKUP($D67,'Kalkulator mięs '!$C$5:$H$533,GA$4,0)*$AE67,0)</f>
        <v>0</v>
      </c>
      <c r="GB67">
        <f>IFERROR(VLOOKUP($D67,'Kalkulator mięs '!$C$5:$H$533,GB$4,0)*$AF67,0)</f>
        <v>0</v>
      </c>
      <c r="GC67">
        <f>IFERROR(VLOOKUP($D67,'Kalkulator mięs '!$C$5:$H$533,GC$4,0)*$AF67,0)</f>
        <v>0</v>
      </c>
      <c r="GD67">
        <f>IFERROR(VLOOKUP($D67,'Kalkulator mięs '!$C$5:$H$533,GD$4,0)*$AF67,0)</f>
        <v>0</v>
      </c>
      <c r="GE67">
        <f>IFERROR(VLOOKUP($D67,'Kalkulator mięs '!$C$5:$H$533,GE$4,0)*$AG67,0)</f>
        <v>0</v>
      </c>
      <c r="GF67">
        <f>IFERROR(VLOOKUP($D67,'Kalkulator mięs '!$C$5:$H$533,GF$4,0)*$AG67,0)</f>
        <v>365.11200000000002</v>
      </c>
      <c r="GG67">
        <f>IFERROR(VLOOKUP($D67,'Kalkulator mięs '!$C$5:$H$533,GG$4,0)*$AG67,0)</f>
        <v>0</v>
      </c>
      <c r="GH67">
        <f>IFERROR(VLOOKUP($D67,'Kalkulator mięs '!$C$5:$H$533,GH$4,0)*$AH67,0)</f>
        <v>0</v>
      </c>
      <c r="GI67">
        <f>IFERROR(VLOOKUP($D67,'Kalkulator mięs '!$C$5:$H$533,GI$4,0)*$AH67,0)</f>
        <v>0</v>
      </c>
      <c r="GJ67">
        <f>IFERROR(VLOOKUP($D67,'Kalkulator mięs '!$C$5:$H$533,GJ$4,0)*$AH67,0)</f>
        <v>0</v>
      </c>
      <c r="GK67">
        <f>IFERROR(VLOOKUP($D67,'Kalkulator mięs '!$C$5:$H$533,GK$4,0)*$AI67,0)</f>
        <v>0</v>
      </c>
      <c r="GL67">
        <f>IFERROR(VLOOKUP($D67,'Kalkulator mięs '!$C$5:$H$533,GL$4,0)*$AI67,0)</f>
        <v>0</v>
      </c>
      <c r="GM67">
        <f>IFERROR(VLOOKUP($D67,'Kalkulator mięs '!$C$5:$H$533,GM$4,0)*$AI67,0)</f>
        <v>0</v>
      </c>
      <c r="GN67">
        <f>IFERROR(VLOOKUP($D67,'Kalkulator mięs '!$C$5:$H$533,GN$4,0)*$AJ67,0)</f>
        <v>0</v>
      </c>
      <c r="GO67">
        <f>IFERROR(VLOOKUP($D67,'Kalkulator mięs '!$C$5:$H$533,GO$4,0)*$AJ67,0)</f>
        <v>0</v>
      </c>
      <c r="GP67">
        <f>IFERROR(VLOOKUP($D67,'Kalkulator mięs '!$C$5:$H$533,GP$4,0)*$AJ67,0)</f>
        <v>0</v>
      </c>
      <c r="GQ67">
        <f>IFERROR(VLOOKUP($D67,'Kalkulator mięs '!$C$5:$H$533,GQ$4,0)*$AK67,0)</f>
        <v>0</v>
      </c>
      <c r="GR67">
        <f>IFERROR(VLOOKUP($D67,'Kalkulator mięs '!$C$5:$H$533,GR$4,0)*$AK67,0)</f>
        <v>0</v>
      </c>
      <c r="GS67">
        <f>IFERROR(VLOOKUP($D67,'Kalkulator mięs '!$C$5:$H$533,GS$4,0)*$AK67,0)</f>
        <v>0</v>
      </c>
      <c r="GT67">
        <f>IFERROR(VLOOKUP($D67,'Kalkulator mięs '!$C$5:$H$533,GT$4,0)*$AL67,0)</f>
        <v>0</v>
      </c>
      <c r="GU67">
        <f>IFERROR(VLOOKUP($D67,'Kalkulator mięs '!$C$5:$H$533,GU$4,0)*$AL67,0)</f>
        <v>0</v>
      </c>
      <c r="GV67">
        <f>IFERROR(VLOOKUP($D67,'Kalkulator mięs '!$C$5:$H$533,GV$4,0)*$AL67,0)</f>
        <v>0</v>
      </c>
      <c r="GW67">
        <f>IFERROR(VLOOKUP($D67,'Kalkulator mięs '!$C$5:$H$533,GW$4,0)*$AM67,0)</f>
        <v>0</v>
      </c>
      <c r="GX67">
        <f>IFERROR(VLOOKUP($D67,'Kalkulator mięs '!$C$5:$H$533,GX$4,0)*$AM67,0)</f>
        <v>0</v>
      </c>
      <c r="GY67">
        <f>IFERROR(VLOOKUP($D67,'Kalkulator mięs '!$C$5:$H$533,GY$4,0)*$AM67,0)</f>
        <v>0</v>
      </c>
      <c r="GZ67">
        <f>IFERROR(VLOOKUP($D67,'Kalkulator mięs '!$C$5:$H$533,GZ$4,0)*$AN67,0)</f>
        <v>0</v>
      </c>
      <c r="HA67">
        <f>IFERROR(VLOOKUP($D67,'Kalkulator mięs '!$C$5:$H$533,HA$4,0)*$AN67,0)</f>
        <v>0</v>
      </c>
      <c r="HB67">
        <f>IFERROR(VLOOKUP($D67,'Kalkulator mięs '!$C$5:$H$533,HB$4,0)*$AN67,0)</f>
        <v>0</v>
      </c>
      <c r="HC67">
        <f>IFERROR(VLOOKUP($D67,'Kalkulator mięs '!$C$5:$H$533,HC$4,0)*$AO67,0)</f>
        <v>0</v>
      </c>
      <c r="HD67">
        <f>IFERROR(VLOOKUP($D67,'Kalkulator mięs '!$C$5:$H$533,HD$4,0)*$AO67,0)</f>
        <v>0</v>
      </c>
      <c r="HE67">
        <f>IFERROR(VLOOKUP($D67,'Kalkulator mięs '!$C$5:$H$533,HE$4,0)*$AO67,0)</f>
        <v>0</v>
      </c>
      <c r="HF67">
        <f>IFERROR(VLOOKUP($D67,'Kalkulator mięs '!$C$5:$H$533,HF$4,0)*$AP67,0)</f>
        <v>0</v>
      </c>
      <c r="HG67">
        <f>IFERROR(VLOOKUP($D67,'Kalkulator mięs '!$C$5:$H$533,HG$4,0)*$AP67,0)</f>
        <v>3954.1920000000005</v>
      </c>
      <c r="HH67">
        <f>IFERROR(VLOOKUP($D67,'Kalkulator mięs '!$C$5:$H$533,HH$4,0)*$AP67,0)</f>
        <v>0</v>
      </c>
      <c r="HI67">
        <f>IFERROR(VLOOKUP($D67,'Kalkulator mięs '!$C$5:$H$533,HI$4,0)*$AQ67,0)</f>
        <v>0</v>
      </c>
      <c r="HJ67">
        <f>IFERROR(VLOOKUP($D67,'Kalkulator mięs '!$C$5:$H$533,HJ$4,0)*$AQ67,0)</f>
        <v>0</v>
      </c>
      <c r="HK67">
        <f>IFERROR(VLOOKUP($D67,'Kalkulator mięs '!$C$5:$H$533,HK$4,0)*$AQ67,0)</f>
        <v>0</v>
      </c>
      <c r="HL67">
        <f>IFERROR(VLOOKUP($D67,'Kalkulator mięs '!$C$5:$H$533,HL$4,0)*$AR67,0)</f>
        <v>0</v>
      </c>
      <c r="HM67">
        <f>IFERROR(VLOOKUP($D67,'Kalkulator mięs '!$C$5:$H$533,HM$4,0)*$AR67,0)</f>
        <v>0</v>
      </c>
      <c r="HN67">
        <f>IFERROR(VLOOKUP($D67,'Kalkulator mięs '!$C$5:$H$533,HN$4,0)*$AR67,0)</f>
        <v>0</v>
      </c>
      <c r="HO67">
        <f>IFERROR(VLOOKUP($D67,'Kalkulator mięs '!$C$5:$H$533,HO$4,0)*$AS67,0)</f>
        <v>0</v>
      </c>
      <c r="HP67">
        <f>IFERROR(VLOOKUP($D67,'Kalkulator mięs '!$C$5:$H$533,HP$4,0)*$AS67,0)</f>
        <v>0</v>
      </c>
      <c r="HQ67">
        <f>IFERROR(VLOOKUP($D67,'Kalkulator mięs '!$C$5:$H$533,HQ$4,0)*$AS67,0)</f>
        <v>0</v>
      </c>
      <c r="HR67">
        <f>IFERROR(VLOOKUP($D67,'Kalkulator mięs '!$C$5:$H$533,HR$4,0)*$AT67,0)</f>
        <v>0</v>
      </c>
      <c r="HS67">
        <f>IFERROR(VLOOKUP($D67,'Kalkulator mięs '!$C$5:$H$533,HS$4,0)*$AT67,0)</f>
        <v>0</v>
      </c>
      <c r="HT67">
        <f>IFERROR(VLOOKUP($D67,'Kalkulator mięs '!$C$5:$H$533,HT$4,0)*$AT67,0)</f>
        <v>0</v>
      </c>
      <c r="HU67">
        <f>IFERROR(VLOOKUP($D67,'Kalkulator mięs '!$C$5:$H$533,HU$4,0)*$AU67,0)</f>
        <v>0</v>
      </c>
      <c r="HV67">
        <f>IFERROR(VLOOKUP($D67,'Kalkulator mięs '!$C$5:$H$533,HV$4,0)*$AU67,0)</f>
        <v>0</v>
      </c>
      <c r="HW67">
        <f>IFERROR(VLOOKUP($D67,'Kalkulator mięs '!$C$5:$H$533,HW$4,0)*$AU67,0)</f>
        <v>0</v>
      </c>
      <c r="HX67">
        <f>IFERROR(VLOOKUP($D67,'Kalkulator mięs '!$C$5:$H$533,HX$4,0)*$AV67,0)</f>
        <v>0</v>
      </c>
      <c r="HY67">
        <f>IFERROR(VLOOKUP($D67,'Kalkulator mięs '!$C$5:$H$533,HY$4,0)*$AV67,0)</f>
        <v>0</v>
      </c>
      <c r="HZ67">
        <f>IFERROR(VLOOKUP($D67,'Kalkulator mięs '!$C$5:$H$533,HZ$4,0)*$AV67,0)</f>
        <v>0</v>
      </c>
      <c r="IA67">
        <f>IFERROR(VLOOKUP($D67,'Kalkulator mięs '!$C$5:$H$533,IA$4,0)*$AW67,0)</f>
        <v>0</v>
      </c>
      <c r="IB67">
        <f>IFERROR(VLOOKUP($D67,'Kalkulator mięs '!$C$5:$H$533,IB$4,0)*$AW67,0)</f>
        <v>0</v>
      </c>
      <c r="IC67">
        <f>IFERROR(VLOOKUP($D67,'Kalkulator mięs '!$C$5:$H$533,IC$4,0)*$AW67,0)</f>
        <v>0</v>
      </c>
      <c r="ID67">
        <f>IFERROR(VLOOKUP($D67,'Kalkulator mięs '!$C$5:$H$533,ID$4,0)*$AX67,0)</f>
        <v>0</v>
      </c>
      <c r="IE67">
        <f>IFERROR(VLOOKUP($D67,'Kalkulator mięs '!$C$5:$H$533,IE$4,0)*$AX67,0)</f>
        <v>0</v>
      </c>
      <c r="IF67">
        <f>IFERROR(VLOOKUP($D67,'Kalkulator mięs '!$C$5:$H$533,IF$4,0)*$AX67,0)</f>
        <v>0</v>
      </c>
      <c r="IG67">
        <f>IFERROR(VLOOKUP($D67,'Kalkulator mięs '!$C$5:$H$533,IG$4,0)*$AY67,0)</f>
        <v>0</v>
      </c>
      <c r="IH67">
        <f>IFERROR(VLOOKUP($D67,'Kalkulator mięs '!$C$5:$H$533,IH$4,0)*$AY67,0)</f>
        <v>0</v>
      </c>
      <c r="II67">
        <f>IFERROR(VLOOKUP($D67,'Kalkulator mięs '!$C$5:$H$533,II$4,0)*$AY67,0)</f>
        <v>0</v>
      </c>
      <c r="IJ67">
        <f>IFERROR(VLOOKUP($D67,'Kalkulator mięs '!$C$5:$H$533,IJ$4,0)*$AZ67,0)</f>
        <v>0</v>
      </c>
      <c r="IK67">
        <f>IFERROR(VLOOKUP($D67,'Kalkulator mięs '!$C$5:$H$533,IK$4,0)*$AZ67,0)</f>
        <v>0</v>
      </c>
      <c r="IL67">
        <f>IFERROR(VLOOKUP($D67,'Kalkulator mięs '!$C$5:$H$533,IL$4,0)*$AZ67,0)</f>
        <v>0</v>
      </c>
      <c r="IM67">
        <f>IFERROR(VLOOKUP($D67,'Kalkulator mięs '!$C$5:$H$533,IM$4,0)*$BA67,0)</f>
        <v>0</v>
      </c>
      <c r="IN67">
        <f>IFERROR(VLOOKUP($D67,'Kalkulator mięs '!$C$5:$H$533,IN$4,0)*$BA67,0)</f>
        <v>0</v>
      </c>
      <c r="IO67">
        <f>IFERROR(VLOOKUP($D67,'Kalkulator mięs '!$C$5:$H$533,IO$4,0)*$BA67,0)</f>
        <v>0</v>
      </c>
    </row>
    <row r="68" spans="2:249" ht="15.75">
      <c r="B68" t="str">
        <f>VLOOKUP(D68,Receptury_z!$A:$B,2,0)</f>
        <v>ON</v>
      </c>
      <c r="C68" s="23">
        <v>5552</v>
      </c>
      <c r="D68" s="24">
        <v>7053</v>
      </c>
      <c r="E68" s="26" t="s">
        <v>61</v>
      </c>
      <c r="F68" s="14">
        <f>IF($B68="OFF",BE68,VLOOKUP($D68,Receptury_z!$D:$AI,F$4,0))</f>
        <v>0</v>
      </c>
      <c r="G68" s="14">
        <f>IF($B68="OFF",BF68,VLOOKUP($D68,Receptury_z!$D:$AI,G$4,0))</f>
        <v>332.73</v>
      </c>
      <c r="H68" s="14">
        <f>IF($B68="OFF",BG68,VLOOKUP($D68,Receptury_z!$D:$AI,H$4,0))</f>
        <v>0</v>
      </c>
      <c r="I68" s="14">
        <f>IF($B68="OFF",BH68,VLOOKUP($D68,Receptury_z!$D:$AI,I$4,0))</f>
        <v>0</v>
      </c>
      <c r="J68" s="14">
        <f>IF($B68="OFF",BI68,VLOOKUP($D68,Receptury_z!$D:$AI,J$4,0))</f>
        <v>0</v>
      </c>
      <c r="K68" s="14">
        <f>IF($B68="OFF",BJ68,VLOOKUP($D68,Receptury_z!$D:$AI,K$4,0))</f>
        <v>0</v>
      </c>
      <c r="L68" s="14">
        <f>IF($B68="OFF",BK68,VLOOKUP($D68,Receptury_z!$D:$AI,L$4,0))</f>
        <v>0</v>
      </c>
      <c r="M68" s="14">
        <f>IF($B68="OFF",BL68,VLOOKUP($D68,Receptury_z!$D:$AI,M$4,0))</f>
        <v>0</v>
      </c>
      <c r="N68" s="14">
        <f>IF($B68="OFF",BM68,VLOOKUP($D68,Receptury_z!$D:$AI,N$4,0))</f>
        <v>0</v>
      </c>
      <c r="O68" s="14">
        <f>IF($B68="OFF",BN68,VLOOKUP($D68,Receptury_z!$D:$AI,O$4,0))</f>
        <v>0</v>
      </c>
      <c r="P68" s="14">
        <f>IF($B68="OFF",BO68,VLOOKUP($D68,Receptury_z!$D:$AI,P$4,0))</f>
        <v>100</v>
      </c>
      <c r="Q68" s="14">
        <f>IF($B68="OFF",BP68,VLOOKUP($D68,Receptury_z!$D:$AI,Q$4,0))</f>
        <v>0</v>
      </c>
      <c r="R68" s="14">
        <f>IF($B68="OFF",BQ68,VLOOKUP($D68,Receptury_z!$D:$AI,R$4,0))</f>
        <v>0</v>
      </c>
      <c r="S68" s="14">
        <f>IF($B68="OFF",BR68,VLOOKUP($D68,Receptury_z!$D:$AI,S$4,0))</f>
        <v>0</v>
      </c>
      <c r="T68" s="14">
        <f>IF($B68="OFF",BS68,VLOOKUP($D68,Receptury_z!$D:$AI,T$4,0))</f>
        <v>0</v>
      </c>
      <c r="U68" s="14">
        <f>IF($B68="OFF",BT68,VLOOKUP($D68,Receptury_z!$D:$AI,U$4,0))</f>
        <v>0</v>
      </c>
      <c r="V68" s="14">
        <f>IF($B68="OFF",BU68,VLOOKUP($D68,Receptury_z!$D:$AI,V$4,0))</f>
        <v>0</v>
      </c>
      <c r="W68" s="14">
        <f>IF($B68="OFF",BV68,VLOOKUP($D68,Receptury_z!$D:$AI,W$4,0))</f>
        <v>0</v>
      </c>
      <c r="X68" s="14">
        <f>IF($B68="OFF",BW68,VLOOKUP($D68,Receptury_z!$D:$AI,X$4,0))</f>
        <v>0</v>
      </c>
      <c r="Y68" s="14">
        <f>IF($B68="OFF",BX68,VLOOKUP($D68,Receptury_z!$D:$AI,Y$4,0))</f>
        <v>41.67</v>
      </c>
      <c r="Z68" s="14">
        <f>IF($B68="OFF",BY68,VLOOKUP($D68,Receptury_z!$D:$AI,Z$4,0))</f>
        <v>0</v>
      </c>
      <c r="AA68" s="14">
        <f>IF($B68="OFF",BZ68,VLOOKUP($D68,Receptury_z!$D:$AI,AA$4,0))</f>
        <v>0</v>
      </c>
      <c r="AB68" s="14">
        <f>IF($B68="OFF",CA68,VLOOKUP($D68,Receptury_z!$D:$AI,AB$4,0))</f>
        <v>24.93</v>
      </c>
      <c r="AC68" s="14">
        <f>IF($B68="OFF",CB68,VLOOKUP($D68,Receptury_z!$D:$AI,AC$4,0))</f>
        <v>0</v>
      </c>
      <c r="AD68" s="14">
        <f>IF($B68="OFF",CC68,VLOOKUP($D68,Receptury_z!$D:$AI,AD$4,0))</f>
        <v>0</v>
      </c>
      <c r="AE68" s="14">
        <f>IF($B68="OFF",CD68,VLOOKUP($D68,Receptury_z!$D:$AI,AE$4,0))</f>
        <v>41.58</v>
      </c>
      <c r="AF68" s="14">
        <f>IF($B68="OFF",CE68,VLOOKUP($D68,Receptury_z!$D:$AI,AF$4,0))</f>
        <v>0</v>
      </c>
      <c r="AG68" s="14">
        <f>IF($B68="OFF",CF68,VLOOKUP($D68,Receptury_z!$D:$AI,AG$4,0))</f>
        <v>41.58</v>
      </c>
      <c r="AH68" s="14">
        <f>IF($B68="OFF",CG68,VLOOKUP($D68,Receptury_z!$D:$AI,AH$4,0))</f>
        <v>0</v>
      </c>
      <c r="AI68" s="14">
        <f>IF($B68="OFF",CH68,VLOOKUP($D68,Receptury_z!$D:$AI,AI$4,0))</f>
        <v>0</v>
      </c>
      <c r="AJ68" s="14">
        <f>IF($B68="OFF",CI68,VLOOKUP($D68,Receptury_z!$D:$AS,AJ$4,0))</f>
        <v>0</v>
      </c>
      <c r="AK68" s="14">
        <f>IF($B68="OFF",CJ68,VLOOKUP($D68,Receptury_z!$D:$AS,AK$4,0))</f>
        <v>0</v>
      </c>
      <c r="AL68" s="14">
        <f>IF($B68="OFF",CK68,VLOOKUP($D68,Receptury_z!$D:$AS,AL$4,0))</f>
        <v>0</v>
      </c>
      <c r="AM68" s="14">
        <f>IF($B68="OFF",CL68,VLOOKUP($D68,Receptury_z!$D:$AS,AM$4,0))</f>
        <v>0</v>
      </c>
      <c r="AN68" s="14">
        <f>IF($B68="OFF",CM68,VLOOKUP($D68,Receptury_z!$D:$AS,AN$4,0))</f>
        <v>0</v>
      </c>
      <c r="AO68" s="14">
        <f>IF($B68="OFF",CN68,VLOOKUP($D68,Receptury_z!$D:$AS,AO$4,0))</f>
        <v>0</v>
      </c>
      <c r="AP68" s="14">
        <f>IF($B68="OFF",CO68,VLOOKUP($D68,Receptury_z!$D:$AS,AP$4,0))</f>
        <v>451.01</v>
      </c>
      <c r="AQ68" s="14">
        <f>IF($B68="OFF",CP68,VLOOKUP($D68,Receptury_z!$D:$AS,AQ$4,0))</f>
        <v>0</v>
      </c>
      <c r="AR68" s="14">
        <f>IF($B68="OFF",CQ68,VLOOKUP($D68,Receptury_z!$D:$AS,AR$4,0))</f>
        <v>0</v>
      </c>
      <c r="AS68" s="14">
        <f>IF($B68="OFF",CR68,VLOOKUP($D68,Receptury_z!$D:$AS,AS$4,0))</f>
        <v>0</v>
      </c>
      <c r="AT68" s="14">
        <f>IF($B68="OFF",CS68,VLOOKUP($D68,Receptury_z!$D:$AV,AT$4,0))</f>
        <v>0</v>
      </c>
      <c r="AU68" s="14">
        <f>IF($B68="OFF",CT68,VLOOKUP($D68,Receptury_z!$D:$AV,AU$4,0))</f>
        <v>0</v>
      </c>
      <c r="AV68" s="14">
        <f>IF($B68="OFF",CU68,VLOOKUP($D68,Receptury_z!$D:$AV,AV$4,0))</f>
        <v>0</v>
      </c>
      <c r="AW68" s="14">
        <f>IF($B68="OFF",CV68,VLOOKUP($D68,Receptury_z!$D:$BA,AW$4,0))</f>
        <v>0</v>
      </c>
      <c r="AX68" s="14">
        <f>IF($B68="OFF",CW68,VLOOKUP($D68,Receptury_z!$D:$BA,AX$4,0))</f>
        <v>0</v>
      </c>
      <c r="AY68" s="14">
        <f>IF($B68="OFF",CX68,VLOOKUP($D68,Receptury_z!$D:$BA,AY$4,0))</f>
        <v>0</v>
      </c>
      <c r="AZ68" s="14">
        <f>IF($B68="OFF",DA68,VLOOKUP($D68,Receptury_z!$D:$BA,AZ$4,0))</f>
        <v>0</v>
      </c>
      <c r="BA68" s="14">
        <f>IF($B68="OFF",DB68,VLOOKUP($D68,Receptury_z!$D:$BA,BA$4,0))</f>
        <v>0</v>
      </c>
      <c r="BC68" s="24">
        <v>7053</v>
      </c>
      <c r="BD68" s="26" t="s">
        <v>61</v>
      </c>
      <c r="BE68" s="239">
        <v>0</v>
      </c>
      <c r="BF68" s="239">
        <v>0</v>
      </c>
      <c r="BG68" s="239">
        <v>0</v>
      </c>
      <c r="BH68" s="239">
        <v>0</v>
      </c>
      <c r="BI68" s="239">
        <v>0</v>
      </c>
      <c r="BJ68" s="239">
        <v>0</v>
      </c>
      <c r="BK68" s="239"/>
      <c r="BL68" s="239"/>
      <c r="BM68" s="239">
        <v>0</v>
      </c>
      <c r="BN68" s="239"/>
      <c r="BO68" s="239">
        <v>0</v>
      </c>
      <c r="BP68" s="239"/>
      <c r="BQ68" s="239">
        <v>0</v>
      </c>
      <c r="BR68" s="239">
        <v>0</v>
      </c>
      <c r="BS68" s="239">
        <v>0</v>
      </c>
      <c r="BT68" s="239">
        <v>0</v>
      </c>
      <c r="BU68" s="239">
        <v>0</v>
      </c>
      <c r="BV68" s="239">
        <v>0</v>
      </c>
      <c r="BW68" s="239">
        <v>0</v>
      </c>
      <c r="BX68" s="239">
        <v>0</v>
      </c>
      <c r="BY68" s="239">
        <v>0</v>
      </c>
      <c r="BZ68" s="240"/>
      <c r="CA68" s="370">
        <v>27.7</v>
      </c>
      <c r="CB68" s="239">
        <v>0</v>
      </c>
      <c r="CC68" s="370">
        <v>413.5</v>
      </c>
      <c r="CD68" s="239">
        <v>0</v>
      </c>
      <c r="CE68" s="239">
        <v>0</v>
      </c>
      <c r="CF68" s="370">
        <v>53.2</v>
      </c>
      <c r="CG68" s="239">
        <v>0</v>
      </c>
      <c r="CH68" s="239">
        <v>0</v>
      </c>
      <c r="CI68" s="239">
        <v>0</v>
      </c>
      <c r="CJ68" s="239">
        <v>0</v>
      </c>
      <c r="CK68" s="239">
        <v>0</v>
      </c>
      <c r="CL68" s="239">
        <v>0</v>
      </c>
      <c r="CM68" s="241"/>
      <c r="CN68" s="80"/>
      <c r="CO68" s="371">
        <v>429.7</v>
      </c>
      <c r="CP68" s="80"/>
      <c r="CQ68" s="80"/>
      <c r="CR68" s="80"/>
      <c r="CS68" s="80"/>
      <c r="CT68" s="80"/>
      <c r="CU68" s="80"/>
      <c r="CV68" s="80"/>
      <c r="CW68" s="80"/>
      <c r="CX68" s="80"/>
      <c r="CY68" s="80"/>
      <c r="CZ68" s="80"/>
      <c r="DB68">
        <f>IFERROR(VLOOKUP($D68,'Kalkulator mięs '!$C$5:$H$533,DB$4,0)*F68,0)</f>
        <v>0</v>
      </c>
      <c r="DC68">
        <f>IFERROR(VLOOKUP($D68,'Kalkulator mięs '!$C$5:$H$533,DC$4,0)*F68,0)</f>
        <v>0</v>
      </c>
      <c r="DD68">
        <f>IFERROR(VLOOKUP($D68,'Kalkulator mięs '!$C$5:$H$533,DD$4,0)*F68,0)</f>
        <v>0</v>
      </c>
      <c r="DE68">
        <f>IFERROR(VLOOKUP($D68,'Kalkulator mięs '!$C$5:$H$533,DE$4,0)*$G68,0)</f>
        <v>0</v>
      </c>
      <c r="DF68">
        <f>IFERROR(VLOOKUP($D68,'Kalkulator mięs '!$C$5:$H$533,DF$4,0)*$G68,0)</f>
        <v>0</v>
      </c>
      <c r="DG68">
        <f>IFERROR(VLOOKUP($D68,'Kalkulator mięs '!$C$5:$H$533,DG$4,0)*$G68,0)</f>
        <v>0</v>
      </c>
      <c r="DH68">
        <f>IFERROR(VLOOKUP($D68,'Kalkulator mięs '!$C$5:$H$533,DH$4,0)*$H68,0)</f>
        <v>0</v>
      </c>
      <c r="DI68">
        <f>IFERROR(VLOOKUP($D68,'Kalkulator mięs '!$C$5:$H$533,DI$4,0)*$H68,0)</f>
        <v>0</v>
      </c>
      <c r="DJ68">
        <f>IFERROR(VLOOKUP($D68,'Kalkulator mięs '!$C$5:$H$533,DJ$4,0)*$H68,0)</f>
        <v>0</v>
      </c>
      <c r="DK68">
        <f>IFERROR(VLOOKUP($D68,'Kalkulator mięs '!$C$5:$H$533,DK$4,0)*$I68,0)</f>
        <v>0</v>
      </c>
      <c r="DL68">
        <f>IFERROR(VLOOKUP($D68,'Kalkulator mięs '!$C$5:$H$533,DL$4,0)*$I68,0)</f>
        <v>0</v>
      </c>
      <c r="DM68">
        <f>IFERROR(VLOOKUP($D68,'Kalkulator mięs '!$C$5:$H$533,DM$4,0)*$I68,0)</f>
        <v>0</v>
      </c>
      <c r="DN68">
        <f>IFERROR(VLOOKUP($D68,'Kalkulator mięs '!$C$5:$H$533,DN$4,0)*$J68,0)</f>
        <v>0</v>
      </c>
      <c r="DO68">
        <f>IFERROR(VLOOKUP($D68,'Kalkulator mięs '!$C$5:$H$533,DO$4,0)*$J68,0)</f>
        <v>0</v>
      </c>
      <c r="DP68">
        <f>IFERROR(VLOOKUP($D68,'Kalkulator mięs '!$C$5:$H$533,DP$4,0)*$J68,0)</f>
        <v>0</v>
      </c>
      <c r="DQ68">
        <f>IFERROR(VLOOKUP($D68,'Kalkulator mięs '!$C$5:$H$533,DQ$4,0)*$K68,0)</f>
        <v>0</v>
      </c>
      <c r="DR68">
        <f>IFERROR(VLOOKUP($D68,'Kalkulator mięs '!$C$5:$H$533,DR$4,0)*$K68,0)</f>
        <v>0</v>
      </c>
      <c r="DS68">
        <f>IFERROR(VLOOKUP($D68,'Kalkulator mięs '!$C$5:$H$533,DS$4,0)*$K68,0)</f>
        <v>0</v>
      </c>
      <c r="DT68">
        <f>IFERROR(VLOOKUP($D68,'Kalkulator mięs '!$C$5:$H$533,DT$4,0)*$L68,0)</f>
        <v>0</v>
      </c>
      <c r="DU68">
        <f>IFERROR(VLOOKUP($D68,'Kalkulator mięs '!$C$5:$H$533,DU$4,0)*$L68,0)</f>
        <v>0</v>
      </c>
      <c r="DV68">
        <f>IFERROR(VLOOKUP($D68,'Kalkulator mięs '!$C$5:$H$533,DV$4,0)*$L68,0)</f>
        <v>0</v>
      </c>
      <c r="DW68">
        <f>IFERROR(VLOOKUP($D68,'Kalkulator mięs '!$C$5:$H$533,DW$4,0)*$M68,0)</f>
        <v>0</v>
      </c>
      <c r="DX68">
        <f>IFERROR(VLOOKUP($D68,'Kalkulator mięs '!$C$5:$H$533,DX$4,0)*$M68,0)</f>
        <v>0</v>
      </c>
      <c r="DY68">
        <f>IFERROR(VLOOKUP($D68,'Kalkulator mięs '!$C$5:$H$533,DY$4,0)*$M68,0)</f>
        <v>0</v>
      </c>
      <c r="DZ68">
        <f>IFERROR(VLOOKUP($D68,'Kalkulator mięs '!$C$5:$H$533,DZ$4,0)*$N68,0)</f>
        <v>0</v>
      </c>
      <c r="EA68">
        <f>IFERROR(VLOOKUP($D68,'Kalkulator mięs '!$C$5:$H$533,EA$4,0)*$N68,0)</f>
        <v>0</v>
      </c>
      <c r="EB68">
        <f>IFERROR(VLOOKUP($D68,'Kalkulator mięs '!$C$5:$H$533,EB$4,0)*$N68,0)</f>
        <v>0</v>
      </c>
      <c r="EC68">
        <f>IFERROR(VLOOKUP($D68,'Kalkulator mięs '!$C$5:$H$533,EC$4,0)*$O68,0)</f>
        <v>0</v>
      </c>
      <c r="ED68">
        <f>IFERROR(VLOOKUP($D68,'Kalkulator mięs '!$C$5:$H$533,ED$4,0)*$O68,0)</f>
        <v>0</v>
      </c>
      <c r="EE68">
        <f>IFERROR(VLOOKUP($D68,'Kalkulator mięs '!$C$5:$H$533,EE$4,0)*$O68,0)</f>
        <v>0</v>
      </c>
      <c r="EF68">
        <f>IFERROR(VLOOKUP($D68,'Kalkulator mięs '!$C$5:$H$533,EF$4,0)*$P68,0)</f>
        <v>0</v>
      </c>
      <c r="EG68">
        <f>IFERROR(VLOOKUP($D68,'Kalkulator mięs '!$C$5:$H$533,EG$4,0)*$P68,0)</f>
        <v>0</v>
      </c>
      <c r="EH68">
        <f>IFERROR(VLOOKUP($D68,'Kalkulator mięs '!$C$5:$H$533,EH$4,0)*$P68,0)</f>
        <v>0</v>
      </c>
      <c r="EI68">
        <f>IFERROR(VLOOKUP($D68,'Kalkulator mięs '!$C$5:$H$533,EI$4,0)*$Q68,0)</f>
        <v>0</v>
      </c>
      <c r="EJ68">
        <f>IFERROR(VLOOKUP($D68,'Kalkulator mięs '!$C$5:$H$533,EJ$4,0)*$Q68,0)</f>
        <v>0</v>
      </c>
      <c r="EK68">
        <f>IFERROR(VLOOKUP($D68,'Kalkulator mięs '!$C$5:$H$533,EK$4,0)*$Q68,0)</f>
        <v>0</v>
      </c>
      <c r="EL68">
        <f>IFERROR(VLOOKUP($D68,'Kalkulator mięs '!$C$5:$H$533,EL$4,0)*$R68,0)</f>
        <v>0</v>
      </c>
      <c r="EM68">
        <f>IFERROR(VLOOKUP($D68,'Kalkulator mięs '!$C$5:$H$533,EM$4,0)*$R68,0)</f>
        <v>0</v>
      </c>
      <c r="EN68">
        <f>IFERROR(VLOOKUP($D68,'Kalkulator mięs '!$C$5:$H$533,EN$4,0)*$R68,0)</f>
        <v>0</v>
      </c>
      <c r="EO68">
        <f>IFERROR(VLOOKUP($D68,'Kalkulator mięs '!$C$5:$H$533,EO$4,0)*$S68,0)</f>
        <v>0</v>
      </c>
      <c r="EP68">
        <f>IFERROR(VLOOKUP($D68,'Kalkulator mięs '!$C$5:$H$533,EP$4,0)*$S68,0)</f>
        <v>0</v>
      </c>
      <c r="EQ68">
        <f>IFERROR(VLOOKUP($D68,'Kalkulator mięs '!$C$5:$H$533,EQ$4,0)*$S68,0)</f>
        <v>0</v>
      </c>
      <c r="ER68">
        <f>IFERROR(VLOOKUP($D68,'Kalkulator mięs '!$C$5:$H$533,ER$4,0)*$T68,0)</f>
        <v>0</v>
      </c>
      <c r="ES68">
        <f>IFERROR(VLOOKUP($D68,'Kalkulator mięs '!$C$5:$H$533,ES$4,0)*$T68,0)</f>
        <v>0</v>
      </c>
      <c r="ET68">
        <f>IFERROR(VLOOKUP($D68,'Kalkulator mięs '!$C$5:$H$533,ET$4,0)*$T68,0)</f>
        <v>0</v>
      </c>
      <c r="EU68">
        <f>IFERROR(VLOOKUP($D68,'Kalkulator mięs '!$C$5:$H$533,EU$4,0)*$U68,0)</f>
        <v>0</v>
      </c>
      <c r="EV68">
        <f>IFERROR(VLOOKUP($D68,'Kalkulator mięs '!$C$5:$H$533,EV$4,0)*$U68,0)</f>
        <v>0</v>
      </c>
      <c r="EW68">
        <f>IFERROR(VLOOKUP($D68,'Kalkulator mięs '!$C$5:$H$533,EW$4,0)*$U68,0)</f>
        <v>0</v>
      </c>
      <c r="EX68">
        <f>IFERROR(VLOOKUP($D68,'Kalkulator mięs '!$C$5:$H$533,EX$4,0)*$V68,0)</f>
        <v>0</v>
      </c>
      <c r="EY68">
        <f>IFERROR(VLOOKUP($D68,'Kalkulator mięs '!$C$5:$H$533,EY$4,0)*$V68,0)</f>
        <v>0</v>
      </c>
      <c r="EZ68">
        <f>IFERROR(VLOOKUP($D68,'Kalkulator mięs '!$C$5:$H$533,EZ$4,0)*$V68,0)</f>
        <v>0</v>
      </c>
      <c r="FA68">
        <f>IFERROR(VLOOKUP($D68,'Kalkulator mięs '!$C$5:$H$533,FA$4,0)*$W68,0)</f>
        <v>0</v>
      </c>
      <c r="FB68">
        <f>IFERROR(VLOOKUP($D68,'Kalkulator mięs '!$C$5:$H$533,FB$4,0)*$W68,0)</f>
        <v>0</v>
      </c>
      <c r="FC68">
        <f>IFERROR(VLOOKUP($D68,'Kalkulator mięs '!$C$5:$H$533,FC$4,0)*$W68,0)</f>
        <v>0</v>
      </c>
      <c r="FD68">
        <f>IFERROR(VLOOKUP($D68,'Kalkulator mięs '!$C$5:$H$533,FD$4,0)*$X68,0)</f>
        <v>0</v>
      </c>
      <c r="FE68">
        <f>IFERROR(VLOOKUP($D68,'Kalkulator mięs '!$C$5:$H$533,FE$4,0)*$X68,0)</f>
        <v>0</v>
      </c>
      <c r="FF68">
        <f>IFERROR(VLOOKUP($D68,'Kalkulator mięs '!$C$5:$H$533,FF$4,0)*$X68,0)</f>
        <v>0</v>
      </c>
      <c r="FG68">
        <f>IFERROR(VLOOKUP($D68,'Kalkulator mięs '!$C$5:$H$533,FG$4,0)*$Y68,0)</f>
        <v>0</v>
      </c>
      <c r="FH68">
        <f>IFERROR(VLOOKUP($D68,'Kalkulator mięs '!$C$5:$H$533,FH$4,0)*$Y68,0)</f>
        <v>0</v>
      </c>
      <c r="FI68">
        <f>IFERROR(VLOOKUP($D68,'Kalkulator mięs '!$C$5:$H$533,FI$4,0)*$Y68,0)</f>
        <v>0</v>
      </c>
      <c r="FJ68">
        <f>IFERROR(VLOOKUP($D68,'Kalkulator mięs '!$C$5:$H$533,FJ$4,0)*$Z68,0)</f>
        <v>0</v>
      </c>
      <c r="FK68">
        <f>IFERROR(VLOOKUP($D68,'Kalkulator mięs '!$C$5:$H$533,FK$4,0)*$Z68,0)</f>
        <v>0</v>
      </c>
      <c r="FL68">
        <f>IFERROR(VLOOKUP($D68,'Kalkulator mięs '!$C$5:$H$533,FL$4,0)*$Z68,0)</f>
        <v>0</v>
      </c>
      <c r="FM68">
        <f>IFERROR(VLOOKUP($D68,'Kalkulator mięs '!$C$5:$H$533,FM$4,0)*$AA68,0)</f>
        <v>0</v>
      </c>
      <c r="FN68">
        <f>IFERROR(VLOOKUP($D68,'Kalkulator mięs '!$C$5:$H$533,FN$4,0)*$AA68,0)</f>
        <v>0</v>
      </c>
      <c r="FO68">
        <f>IFERROR(VLOOKUP($D68,'Kalkulator mięs '!$C$5:$H$533,FO$4,0)*$AA68,0)</f>
        <v>0</v>
      </c>
      <c r="FP68">
        <f>IFERROR(VLOOKUP($D68,'Kalkulator mięs '!$C$5:$H$533,FP$4,0)*$AB68,0)</f>
        <v>0</v>
      </c>
      <c r="FQ68">
        <f>IFERROR(VLOOKUP($D68,'Kalkulator mięs '!$C$5:$H$533,FQ$4,0)*$AB68,0)</f>
        <v>0</v>
      </c>
      <c r="FR68">
        <f>IFERROR(VLOOKUP($D68,'Kalkulator mięs '!$C$5:$H$533,FR$4,0)*$AB68,0)</f>
        <v>0</v>
      </c>
      <c r="FS68">
        <f>IFERROR(VLOOKUP($D68,'Kalkulator mięs '!$C$5:$H$533,FS$4,0)*$AC68,0)</f>
        <v>0</v>
      </c>
      <c r="FT68">
        <f>IFERROR(VLOOKUP($D68,'Kalkulator mięs '!$C$5:$H$533,FT$4,0)*$AC68,0)</f>
        <v>0</v>
      </c>
      <c r="FU68">
        <f>IFERROR(VLOOKUP($D68,'Kalkulator mięs '!$C$5:$H$533,FU$4,0)*$AC68,0)</f>
        <v>0</v>
      </c>
      <c r="FV68">
        <f>IFERROR(VLOOKUP($D68,'Kalkulator mięs '!$C$5:$H$533,FV$4,0)*$AD68,0)</f>
        <v>0</v>
      </c>
      <c r="FW68">
        <f>IFERROR(VLOOKUP($D68,'Kalkulator mięs '!$C$5:$H$533,FW$4,0)*$AD68,0)</f>
        <v>0</v>
      </c>
      <c r="FX68">
        <f>IFERROR(VLOOKUP($D68,'Kalkulator mięs '!$C$5:$H$533,FX$4,0)*$AD68,0)</f>
        <v>0</v>
      </c>
      <c r="FY68">
        <f>IFERROR(VLOOKUP($D68,'Kalkulator mięs '!$C$5:$H$533,FY$4,0)*$AE68,0)</f>
        <v>0</v>
      </c>
      <c r="FZ68">
        <f>IFERROR(VLOOKUP($D68,'Kalkulator mięs '!$C$5:$H$533,FZ$4,0)*$AE68,0)</f>
        <v>0</v>
      </c>
      <c r="GA68">
        <f>IFERROR(VLOOKUP($D68,'Kalkulator mięs '!$C$5:$H$533,GA$4,0)*$AE68,0)</f>
        <v>0</v>
      </c>
      <c r="GB68">
        <f>IFERROR(VLOOKUP($D68,'Kalkulator mięs '!$C$5:$H$533,GB$4,0)*$AF68,0)</f>
        <v>0</v>
      </c>
      <c r="GC68">
        <f>IFERROR(VLOOKUP($D68,'Kalkulator mięs '!$C$5:$H$533,GC$4,0)*$AF68,0)</f>
        <v>0</v>
      </c>
      <c r="GD68">
        <f>IFERROR(VLOOKUP($D68,'Kalkulator mięs '!$C$5:$H$533,GD$4,0)*$AF68,0)</f>
        <v>0</v>
      </c>
      <c r="GE68">
        <f>IFERROR(VLOOKUP($D68,'Kalkulator mięs '!$C$5:$H$533,GE$4,0)*$AG68,0)</f>
        <v>0</v>
      </c>
      <c r="GF68">
        <f>IFERROR(VLOOKUP($D68,'Kalkulator mięs '!$C$5:$H$533,GF$4,0)*$AG68,0)</f>
        <v>0</v>
      </c>
      <c r="GG68">
        <f>IFERROR(VLOOKUP($D68,'Kalkulator mięs '!$C$5:$H$533,GG$4,0)*$AG68,0)</f>
        <v>0</v>
      </c>
      <c r="GH68">
        <f>IFERROR(VLOOKUP($D68,'Kalkulator mięs '!$C$5:$H$533,GH$4,0)*$AH68,0)</f>
        <v>0</v>
      </c>
      <c r="GI68">
        <f>IFERROR(VLOOKUP($D68,'Kalkulator mięs '!$C$5:$H$533,GI$4,0)*$AH68,0)</f>
        <v>0</v>
      </c>
      <c r="GJ68">
        <f>IFERROR(VLOOKUP($D68,'Kalkulator mięs '!$C$5:$H$533,GJ$4,0)*$AH68,0)</f>
        <v>0</v>
      </c>
      <c r="GK68">
        <f>IFERROR(VLOOKUP($D68,'Kalkulator mięs '!$C$5:$H$533,GK$4,0)*$AI68,0)</f>
        <v>0</v>
      </c>
      <c r="GL68">
        <f>IFERROR(VLOOKUP($D68,'Kalkulator mięs '!$C$5:$H$533,GL$4,0)*$AI68,0)</f>
        <v>0</v>
      </c>
      <c r="GM68">
        <f>IFERROR(VLOOKUP($D68,'Kalkulator mięs '!$C$5:$H$533,GM$4,0)*$AI68,0)</f>
        <v>0</v>
      </c>
      <c r="GN68">
        <f>IFERROR(VLOOKUP($D68,'Kalkulator mięs '!$C$5:$H$533,GN$4,0)*$AJ68,0)</f>
        <v>0</v>
      </c>
      <c r="GO68">
        <f>IFERROR(VLOOKUP($D68,'Kalkulator mięs '!$C$5:$H$533,GO$4,0)*$AJ68,0)</f>
        <v>0</v>
      </c>
      <c r="GP68">
        <f>IFERROR(VLOOKUP($D68,'Kalkulator mięs '!$C$5:$H$533,GP$4,0)*$AJ68,0)</f>
        <v>0</v>
      </c>
      <c r="GQ68">
        <f>IFERROR(VLOOKUP($D68,'Kalkulator mięs '!$C$5:$H$533,GQ$4,0)*$AK68,0)</f>
        <v>0</v>
      </c>
      <c r="GR68">
        <f>IFERROR(VLOOKUP($D68,'Kalkulator mięs '!$C$5:$H$533,GR$4,0)*$AK68,0)</f>
        <v>0</v>
      </c>
      <c r="GS68">
        <f>IFERROR(VLOOKUP($D68,'Kalkulator mięs '!$C$5:$H$533,GS$4,0)*$AK68,0)</f>
        <v>0</v>
      </c>
      <c r="GT68">
        <f>IFERROR(VLOOKUP($D68,'Kalkulator mięs '!$C$5:$H$533,GT$4,0)*$AL68,0)</f>
        <v>0</v>
      </c>
      <c r="GU68">
        <f>IFERROR(VLOOKUP($D68,'Kalkulator mięs '!$C$5:$H$533,GU$4,0)*$AL68,0)</f>
        <v>0</v>
      </c>
      <c r="GV68">
        <f>IFERROR(VLOOKUP($D68,'Kalkulator mięs '!$C$5:$H$533,GV$4,0)*$AL68,0)</f>
        <v>0</v>
      </c>
      <c r="GW68">
        <f>IFERROR(VLOOKUP($D68,'Kalkulator mięs '!$C$5:$H$533,GW$4,0)*$AM68,0)</f>
        <v>0</v>
      </c>
      <c r="GX68">
        <f>IFERROR(VLOOKUP($D68,'Kalkulator mięs '!$C$5:$H$533,GX$4,0)*$AM68,0)</f>
        <v>0</v>
      </c>
      <c r="GY68">
        <f>IFERROR(VLOOKUP($D68,'Kalkulator mięs '!$C$5:$H$533,GY$4,0)*$AM68,0)</f>
        <v>0</v>
      </c>
      <c r="GZ68">
        <f>IFERROR(VLOOKUP($D68,'Kalkulator mięs '!$C$5:$H$533,GZ$4,0)*$AN68,0)</f>
        <v>0</v>
      </c>
      <c r="HA68">
        <f>IFERROR(VLOOKUP($D68,'Kalkulator mięs '!$C$5:$H$533,HA$4,0)*$AN68,0)</f>
        <v>0</v>
      </c>
      <c r="HB68">
        <f>IFERROR(VLOOKUP($D68,'Kalkulator mięs '!$C$5:$H$533,HB$4,0)*$AN68,0)</f>
        <v>0</v>
      </c>
      <c r="HC68">
        <f>IFERROR(VLOOKUP($D68,'Kalkulator mięs '!$C$5:$H$533,HC$4,0)*$AO68,0)</f>
        <v>0</v>
      </c>
      <c r="HD68">
        <f>IFERROR(VLOOKUP($D68,'Kalkulator mięs '!$C$5:$H$533,HD$4,0)*$AO68,0)</f>
        <v>0</v>
      </c>
      <c r="HE68">
        <f>IFERROR(VLOOKUP($D68,'Kalkulator mięs '!$C$5:$H$533,HE$4,0)*$AO68,0)</f>
        <v>0</v>
      </c>
      <c r="HF68">
        <f>IFERROR(VLOOKUP($D68,'Kalkulator mięs '!$C$5:$H$533,HF$4,0)*$AP68,0)</f>
        <v>0</v>
      </c>
      <c r="HG68">
        <f>IFERROR(VLOOKUP($D68,'Kalkulator mięs '!$C$5:$H$533,HG$4,0)*$AP68,0)</f>
        <v>0</v>
      </c>
      <c r="HH68">
        <f>IFERROR(VLOOKUP($D68,'Kalkulator mięs '!$C$5:$H$533,HH$4,0)*$AP68,0)</f>
        <v>0</v>
      </c>
      <c r="HI68">
        <f>IFERROR(VLOOKUP($D68,'Kalkulator mięs '!$C$5:$H$533,HI$4,0)*$AQ68,0)</f>
        <v>0</v>
      </c>
      <c r="HJ68">
        <f>IFERROR(VLOOKUP($D68,'Kalkulator mięs '!$C$5:$H$533,HJ$4,0)*$AQ68,0)</f>
        <v>0</v>
      </c>
      <c r="HK68">
        <f>IFERROR(VLOOKUP($D68,'Kalkulator mięs '!$C$5:$H$533,HK$4,0)*$AQ68,0)</f>
        <v>0</v>
      </c>
      <c r="HL68">
        <f>IFERROR(VLOOKUP($D68,'Kalkulator mięs '!$C$5:$H$533,HL$4,0)*$AR68,0)</f>
        <v>0</v>
      </c>
      <c r="HM68">
        <f>IFERROR(VLOOKUP($D68,'Kalkulator mięs '!$C$5:$H$533,HM$4,0)*$AR68,0)</f>
        <v>0</v>
      </c>
      <c r="HN68">
        <f>IFERROR(VLOOKUP($D68,'Kalkulator mięs '!$C$5:$H$533,HN$4,0)*$AR68,0)</f>
        <v>0</v>
      </c>
      <c r="HO68">
        <f>IFERROR(VLOOKUP($D68,'Kalkulator mięs '!$C$5:$H$533,HO$4,0)*$AS68,0)</f>
        <v>0</v>
      </c>
      <c r="HP68">
        <f>IFERROR(VLOOKUP($D68,'Kalkulator mięs '!$C$5:$H$533,HP$4,0)*$AS68,0)</f>
        <v>0</v>
      </c>
      <c r="HQ68">
        <f>IFERROR(VLOOKUP($D68,'Kalkulator mięs '!$C$5:$H$533,HQ$4,0)*$AS68,0)</f>
        <v>0</v>
      </c>
      <c r="HR68">
        <f>IFERROR(VLOOKUP($D68,'Kalkulator mięs '!$C$5:$H$533,HR$4,0)*$AT68,0)</f>
        <v>0</v>
      </c>
      <c r="HS68">
        <f>IFERROR(VLOOKUP($D68,'Kalkulator mięs '!$C$5:$H$533,HS$4,0)*$AT68,0)</f>
        <v>0</v>
      </c>
      <c r="HT68">
        <f>IFERROR(VLOOKUP($D68,'Kalkulator mięs '!$C$5:$H$533,HT$4,0)*$AT68,0)</f>
        <v>0</v>
      </c>
      <c r="HU68">
        <f>IFERROR(VLOOKUP($D68,'Kalkulator mięs '!$C$5:$H$533,HU$4,0)*$AU68,0)</f>
        <v>0</v>
      </c>
      <c r="HV68">
        <f>IFERROR(VLOOKUP($D68,'Kalkulator mięs '!$C$5:$H$533,HV$4,0)*$AU68,0)</f>
        <v>0</v>
      </c>
      <c r="HW68">
        <f>IFERROR(VLOOKUP($D68,'Kalkulator mięs '!$C$5:$H$533,HW$4,0)*$AU68,0)</f>
        <v>0</v>
      </c>
      <c r="HX68">
        <f>IFERROR(VLOOKUP($D68,'Kalkulator mięs '!$C$5:$H$533,HX$4,0)*$AV68,0)</f>
        <v>0</v>
      </c>
      <c r="HY68">
        <f>IFERROR(VLOOKUP($D68,'Kalkulator mięs '!$C$5:$H$533,HY$4,0)*$AV68,0)</f>
        <v>0</v>
      </c>
      <c r="HZ68">
        <f>IFERROR(VLOOKUP($D68,'Kalkulator mięs '!$C$5:$H$533,HZ$4,0)*$AV68,0)</f>
        <v>0</v>
      </c>
      <c r="IA68">
        <f>IFERROR(VLOOKUP($D68,'Kalkulator mięs '!$C$5:$H$533,IA$4,0)*$AW68,0)</f>
        <v>0</v>
      </c>
      <c r="IB68">
        <f>IFERROR(VLOOKUP($D68,'Kalkulator mięs '!$C$5:$H$533,IB$4,0)*$AW68,0)</f>
        <v>0</v>
      </c>
      <c r="IC68">
        <f>IFERROR(VLOOKUP($D68,'Kalkulator mięs '!$C$5:$H$533,IC$4,0)*$AW68,0)</f>
        <v>0</v>
      </c>
      <c r="ID68">
        <f>IFERROR(VLOOKUP($D68,'Kalkulator mięs '!$C$5:$H$533,ID$4,0)*$AX68,0)</f>
        <v>0</v>
      </c>
      <c r="IE68">
        <f>IFERROR(VLOOKUP($D68,'Kalkulator mięs '!$C$5:$H$533,IE$4,0)*$AX68,0)</f>
        <v>0</v>
      </c>
      <c r="IF68">
        <f>IFERROR(VLOOKUP($D68,'Kalkulator mięs '!$C$5:$H$533,IF$4,0)*$AX68,0)</f>
        <v>0</v>
      </c>
      <c r="IG68">
        <f>IFERROR(VLOOKUP($D68,'Kalkulator mięs '!$C$5:$H$533,IG$4,0)*$AY68,0)</f>
        <v>0</v>
      </c>
      <c r="IH68">
        <f>IFERROR(VLOOKUP($D68,'Kalkulator mięs '!$C$5:$H$533,IH$4,0)*$AY68,0)</f>
        <v>0</v>
      </c>
      <c r="II68">
        <f>IFERROR(VLOOKUP($D68,'Kalkulator mięs '!$C$5:$H$533,II$4,0)*$AY68,0)</f>
        <v>0</v>
      </c>
      <c r="IJ68">
        <f>IFERROR(VLOOKUP($D68,'Kalkulator mięs '!$C$5:$H$533,IJ$4,0)*$AZ68,0)</f>
        <v>0</v>
      </c>
      <c r="IK68">
        <f>IFERROR(VLOOKUP($D68,'Kalkulator mięs '!$C$5:$H$533,IK$4,0)*$AZ68,0)</f>
        <v>0</v>
      </c>
      <c r="IL68">
        <f>IFERROR(VLOOKUP($D68,'Kalkulator mięs '!$C$5:$H$533,IL$4,0)*$AZ68,0)</f>
        <v>0</v>
      </c>
      <c r="IM68">
        <f>IFERROR(VLOOKUP($D68,'Kalkulator mięs '!$C$5:$H$533,IM$4,0)*$BA68,0)</f>
        <v>0</v>
      </c>
      <c r="IN68">
        <f>IFERROR(VLOOKUP($D68,'Kalkulator mięs '!$C$5:$H$533,IN$4,0)*$BA68,0)</f>
        <v>0</v>
      </c>
      <c r="IO68">
        <f>IFERROR(VLOOKUP($D68,'Kalkulator mięs '!$C$5:$H$533,IO$4,0)*$BA68,0)</f>
        <v>0</v>
      </c>
    </row>
    <row r="69" spans="2:249" ht="15.75">
      <c r="B69" t="str">
        <f>VLOOKUP(D69,Receptury_z!$A:$B,2,0)</f>
        <v>ON</v>
      </c>
      <c r="C69" s="23">
        <v>5554</v>
      </c>
      <c r="D69" s="24">
        <v>7055</v>
      </c>
      <c r="E69" s="26" t="s">
        <v>65</v>
      </c>
      <c r="F69" s="14">
        <f>IF($B69="OFF",BE69,VLOOKUP($D69,Receptury_z!$D:$AI,F$4,0))</f>
        <v>0</v>
      </c>
      <c r="G69" s="14">
        <f>IF($B69="OFF",BF69,VLOOKUP($D69,Receptury_z!$D:$AI,G$4,0))</f>
        <v>331.56</v>
      </c>
      <c r="H69" s="14">
        <f>IF($B69="OFF",BG69,VLOOKUP($D69,Receptury_z!$D:$AI,H$4,0))</f>
        <v>0</v>
      </c>
      <c r="I69" s="14">
        <f>IF($B69="OFF",BH69,VLOOKUP($D69,Receptury_z!$D:$AI,I$4,0))</f>
        <v>0</v>
      </c>
      <c r="J69" s="14">
        <f>IF($B69="OFF",BI69,VLOOKUP($D69,Receptury_z!$D:$AI,J$4,0))</f>
        <v>0</v>
      </c>
      <c r="K69" s="14">
        <f>IF($B69="OFF",BJ69,VLOOKUP($D69,Receptury_z!$D:$AI,K$4,0))</f>
        <v>0</v>
      </c>
      <c r="L69" s="14">
        <f>IF($B69="OFF",BK69,VLOOKUP($D69,Receptury_z!$D:$AI,L$4,0))</f>
        <v>0</v>
      </c>
      <c r="M69" s="14">
        <f>IF($B69="OFF",BL69,VLOOKUP($D69,Receptury_z!$D:$AI,M$4,0))</f>
        <v>0</v>
      </c>
      <c r="N69" s="14">
        <f>IF($B69="OFF",BM69,VLOOKUP($D69,Receptury_z!$D:$AI,N$4,0))</f>
        <v>0</v>
      </c>
      <c r="O69" s="14">
        <f>IF($B69="OFF",BN69,VLOOKUP($D69,Receptury_z!$D:$AI,O$4,0))</f>
        <v>0</v>
      </c>
      <c r="P69" s="14">
        <f>IF($B69="OFF",BO69,VLOOKUP($D69,Receptury_z!$D:$AI,P$4,0))</f>
        <v>0</v>
      </c>
      <c r="Q69" s="14">
        <f>IF($B69="OFF",BP69,VLOOKUP($D69,Receptury_z!$D:$AI,Q$4,0))</f>
        <v>0</v>
      </c>
      <c r="R69" s="14">
        <f>IF($B69="OFF",BQ69,VLOOKUP($D69,Receptury_z!$D:$AI,R$4,0))</f>
        <v>0</v>
      </c>
      <c r="S69" s="14">
        <f>IF($B69="OFF",BR69,VLOOKUP($D69,Receptury_z!$D:$AI,S$4,0))</f>
        <v>0</v>
      </c>
      <c r="T69" s="14">
        <f>IF($B69="OFF",BS69,VLOOKUP($D69,Receptury_z!$D:$AI,T$4,0))</f>
        <v>0</v>
      </c>
      <c r="U69" s="14">
        <f>IF($B69="OFF",BT69,VLOOKUP($D69,Receptury_z!$D:$AI,U$4,0))</f>
        <v>0</v>
      </c>
      <c r="V69" s="14">
        <f>IF($B69="OFF",BU69,VLOOKUP($D69,Receptury_z!$D:$AI,V$4,0))</f>
        <v>0</v>
      </c>
      <c r="W69" s="14">
        <f>IF($B69="OFF",BV69,VLOOKUP($D69,Receptury_z!$D:$AI,W$4,0))</f>
        <v>0</v>
      </c>
      <c r="X69" s="14">
        <f>IF($B69="OFF",BW69,VLOOKUP($D69,Receptury_z!$D:$AI,X$4,0))</f>
        <v>0</v>
      </c>
      <c r="Y69" s="14">
        <f>IF($B69="OFF",BX69,VLOOKUP($D69,Receptury_z!$D:$AI,Y$4,0))</f>
        <v>41.4</v>
      </c>
      <c r="Z69" s="14">
        <f>IF($B69="OFF",BY69,VLOOKUP($D69,Receptury_z!$D:$AI,Z$4,0))</f>
        <v>0</v>
      </c>
      <c r="AA69" s="14">
        <f>IF($B69="OFF",BZ69,VLOOKUP($D69,Receptury_z!$D:$AI,AA$4,0))</f>
        <v>0</v>
      </c>
      <c r="AB69" s="14">
        <f>IF($B69="OFF",CA69,VLOOKUP($D69,Receptury_z!$D:$AI,AB$4,0))</f>
        <v>25.02</v>
      </c>
      <c r="AC69" s="14">
        <f>IF($B69="OFF",CB69,VLOOKUP($D69,Receptury_z!$D:$AI,AC$4,0))</f>
        <v>0</v>
      </c>
      <c r="AD69" s="14">
        <f>IF($B69="OFF",CC69,VLOOKUP($D69,Receptury_z!$D:$AI,AD$4,0))</f>
        <v>0</v>
      </c>
      <c r="AE69" s="14">
        <f>IF($B69="OFF",CD69,VLOOKUP($D69,Receptury_z!$D:$AI,AE$4,0))</f>
        <v>41.49</v>
      </c>
      <c r="AF69" s="14">
        <f>IF($B69="OFF",CE69,VLOOKUP($D69,Receptury_z!$D:$AI,AF$4,0))</f>
        <v>0</v>
      </c>
      <c r="AG69" s="14">
        <f>IF($B69="OFF",CF69,VLOOKUP($D69,Receptury_z!$D:$AI,AG$4,0))</f>
        <v>41.49</v>
      </c>
      <c r="AH69" s="14">
        <f>IF($B69="OFF",CG69,VLOOKUP($D69,Receptury_z!$D:$AI,AH$4,0))</f>
        <v>0</v>
      </c>
      <c r="AI69" s="14">
        <f>IF($B69="OFF",CH69,VLOOKUP($D69,Receptury_z!$D:$AI,AI$4,0))</f>
        <v>0</v>
      </c>
      <c r="AJ69" s="14">
        <f>IF($B69="OFF",CI69,VLOOKUP($D69,Receptury_z!$D:$AS,AJ$4,0))</f>
        <v>0</v>
      </c>
      <c r="AK69" s="14">
        <f>IF($B69="OFF",CJ69,VLOOKUP($D69,Receptury_z!$D:$AS,AK$4,0))</f>
        <v>0</v>
      </c>
      <c r="AL69" s="14">
        <f>IF($B69="OFF",CK69,VLOOKUP($D69,Receptury_z!$D:$AS,AL$4,0))</f>
        <v>0</v>
      </c>
      <c r="AM69" s="14">
        <f>IF($B69="OFF",CL69,VLOOKUP($D69,Receptury_z!$D:$AS,AM$4,0))</f>
        <v>100</v>
      </c>
      <c r="AN69" s="14">
        <f>IF($B69="OFF",CM69,VLOOKUP($D69,Receptury_z!$D:$AS,AN$4,0))</f>
        <v>0</v>
      </c>
      <c r="AO69" s="14">
        <f>IF($B69="OFF",CN69,VLOOKUP($D69,Receptury_z!$D:$AS,AO$4,0))</f>
        <v>0</v>
      </c>
      <c r="AP69" s="14">
        <f>IF($B69="OFF",CO69,VLOOKUP($D69,Receptury_z!$D:$AS,AP$4,0))</f>
        <v>449.34000000000003</v>
      </c>
      <c r="AQ69" s="14">
        <f>IF($B69="OFF",CP69,VLOOKUP($D69,Receptury_z!$D:$AS,AQ$4,0))</f>
        <v>0</v>
      </c>
      <c r="AR69" s="14">
        <f>IF($B69="OFF",CQ69,VLOOKUP($D69,Receptury_z!$D:$AS,AR$4,0))</f>
        <v>0</v>
      </c>
      <c r="AS69" s="14">
        <f>IF($B69="OFF",CR69,VLOOKUP($D69,Receptury_z!$D:$AS,AS$4,0))</f>
        <v>0</v>
      </c>
      <c r="AT69" s="14">
        <f>IF($B69="OFF",CS69,VLOOKUP($D69,Receptury_z!$D:$AV,AT$4,0))</f>
        <v>0</v>
      </c>
      <c r="AU69" s="14">
        <f>IF($B69="OFF",CT69,VLOOKUP($D69,Receptury_z!$D:$AV,AU$4,0))</f>
        <v>0</v>
      </c>
      <c r="AV69" s="14">
        <f>IF($B69="OFF",CU69,VLOOKUP($D69,Receptury_z!$D:$AV,AV$4,0))</f>
        <v>0</v>
      </c>
      <c r="AW69" s="14">
        <f>IF($B69="OFF",CV69,VLOOKUP($D69,Receptury_z!$D:$BA,AW$4,0))</f>
        <v>0</v>
      </c>
      <c r="AX69" s="14">
        <f>IF($B69="OFF",CW69,VLOOKUP($D69,Receptury_z!$D:$BA,AX$4,0))</f>
        <v>0</v>
      </c>
      <c r="AY69" s="14">
        <f>IF($B69="OFF",CX69,VLOOKUP($D69,Receptury_z!$D:$BA,AY$4,0))</f>
        <v>0</v>
      </c>
      <c r="AZ69" s="14">
        <f>IF($B69="OFF",DA69,VLOOKUP($D69,Receptury_z!$D:$BA,AZ$4,0))</f>
        <v>0</v>
      </c>
      <c r="BA69" s="14">
        <f>IF($B69="OFF",DB69,VLOOKUP($D69,Receptury_z!$D:$BA,BA$4,0))</f>
        <v>0</v>
      </c>
      <c r="BC69" s="24">
        <v>7055</v>
      </c>
      <c r="BD69" s="26" t="s">
        <v>65</v>
      </c>
      <c r="BE69" s="239">
        <v>0</v>
      </c>
      <c r="BF69" s="239">
        <v>0</v>
      </c>
      <c r="BG69" s="239">
        <v>0</v>
      </c>
      <c r="BH69" s="239">
        <v>0</v>
      </c>
      <c r="BI69" s="239">
        <v>0</v>
      </c>
      <c r="BJ69" s="239">
        <v>0</v>
      </c>
      <c r="BK69" s="239">
        <v>0</v>
      </c>
      <c r="BL69" s="239"/>
      <c r="BM69" s="239"/>
      <c r="BN69" s="239"/>
      <c r="BO69" s="239"/>
      <c r="BP69" s="239"/>
      <c r="BQ69" s="239">
        <v>0</v>
      </c>
      <c r="BR69" s="239">
        <v>0</v>
      </c>
      <c r="BS69" s="239">
        <v>0</v>
      </c>
      <c r="BT69" s="239">
        <v>0</v>
      </c>
      <c r="BU69" s="239">
        <v>0</v>
      </c>
      <c r="BV69" s="239">
        <v>0</v>
      </c>
      <c r="BW69" s="239">
        <v>0</v>
      </c>
      <c r="BX69" s="239">
        <v>0</v>
      </c>
      <c r="BY69" s="239">
        <v>0</v>
      </c>
      <c r="BZ69" s="240"/>
      <c r="CA69" s="370">
        <v>27.6</v>
      </c>
      <c r="CB69" s="239">
        <v>0</v>
      </c>
      <c r="CC69" s="370">
        <v>412</v>
      </c>
      <c r="CD69" s="239">
        <v>0</v>
      </c>
      <c r="CE69" s="239">
        <v>0</v>
      </c>
      <c r="CF69" s="370">
        <v>53</v>
      </c>
      <c r="CG69" s="239">
        <v>0</v>
      </c>
      <c r="CH69" s="239">
        <v>0</v>
      </c>
      <c r="CI69" s="239">
        <v>0</v>
      </c>
      <c r="CJ69" s="239">
        <v>0</v>
      </c>
      <c r="CK69" s="239">
        <v>0</v>
      </c>
      <c r="CL69" s="239">
        <v>0</v>
      </c>
      <c r="CM69" s="241"/>
      <c r="CN69" s="80"/>
      <c r="CO69" s="371">
        <v>428.3</v>
      </c>
      <c r="CP69" s="80"/>
      <c r="CQ69" s="80"/>
      <c r="CR69" s="80"/>
      <c r="CS69" s="80"/>
      <c r="CT69" s="80"/>
      <c r="CU69" s="80"/>
      <c r="CV69" s="80"/>
      <c r="CW69" s="80"/>
      <c r="CX69" s="80"/>
      <c r="CY69" s="80"/>
      <c r="CZ69" s="80"/>
      <c r="DB69">
        <f>IFERROR(VLOOKUP($D69,'Kalkulator mięs '!$C$5:$H$533,DB$4,0)*F69,0)</f>
        <v>0</v>
      </c>
      <c r="DC69">
        <f>IFERROR(VLOOKUP($D69,'Kalkulator mięs '!$C$5:$H$533,DC$4,0)*F69,0)</f>
        <v>0</v>
      </c>
      <c r="DD69">
        <f>IFERROR(VLOOKUP($D69,'Kalkulator mięs '!$C$5:$H$533,DD$4,0)*F69,0)</f>
        <v>0</v>
      </c>
      <c r="DE69">
        <f>IFERROR(VLOOKUP($D69,'Kalkulator mięs '!$C$5:$H$533,DE$4,0)*$G69,0)</f>
        <v>0</v>
      </c>
      <c r="DF69">
        <f>IFERROR(VLOOKUP($D69,'Kalkulator mięs '!$C$5:$H$533,DF$4,0)*$G69,0)</f>
        <v>0</v>
      </c>
      <c r="DG69">
        <f>IFERROR(VLOOKUP($D69,'Kalkulator mięs '!$C$5:$H$533,DG$4,0)*$G69,0)</f>
        <v>0</v>
      </c>
      <c r="DH69">
        <f>IFERROR(VLOOKUP($D69,'Kalkulator mięs '!$C$5:$H$533,DH$4,0)*$H69,0)</f>
        <v>0</v>
      </c>
      <c r="DI69">
        <f>IFERROR(VLOOKUP($D69,'Kalkulator mięs '!$C$5:$H$533,DI$4,0)*$H69,0)</f>
        <v>0</v>
      </c>
      <c r="DJ69">
        <f>IFERROR(VLOOKUP($D69,'Kalkulator mięs '!$C$5:$H$533,DJ$4,0)*$H69,0)</f>
        <v>0</v>
      </c>
      <c r="DK69">
        <f>IFERROR(VLOOKUP($D69,'Kalkulator mięs '!$C$5:$H$533,DK$4,0)*$I69,0)</f>
        <v>0</v>
      </c>
      <c r="DL69">
        <f>IFERROR(VLOOKUP($D69,'Kalkulator mięs '!$C$5:$H$533,DL$4,0)*$I69,0)</f>
        <v>0</v>
      </c>
      <c r="DM69">
        <f>IFERROR(VLOOKUP($D69,'Kalkulator mięs '!$C$5:$H$533,DM$4,0)*$I69,0)</f>
        <v>0</v>
      </c>
      <c r="DN69">
        <f>IFERROR(VLOOKUP($D69,'Kalkulator mięs '!$C$5:$H$533,DN$4,0)*$J69,0)</f>
        <v>0</v>
      </c>
      <c r="DO69">
        <f>IFERROR(VLOOKUP($D69,'Kalkulator mięs '!$C$5:$H$533,DO$4,0)*$J69,0)</f>
        <v>0</v>
      </c>
      <c r="DP69">
        <f>IFERROR(VLOOKUP($D69,'Kalkulator mięs '!$C$5:$H$533,DP$4,0)*$J69,0)</f>
        <v>0</v>
      </c>
      <c r="DQ69">
        <f>IFERROR(VLOOKUP($D69,'Kalkulator mięs '!$C$5:$H$533,DQ$4,0)*$K69,0)</f>
        <v>0</v>
      </c>
      <c r="DR69">
        <f>IFERROR(VLOOKUP($D69,'Kalkulator mięs '!$C$5:$H$533,DR$4,0)*$K69,0)</f>
        <v>0</v>
      </c>
      <c r="DS69">
        <f>IFERROR(VLOOKUP($D69,'Kalkulator mięs '!$C$5:$H$533,DS$4,0)*$K69,0)</f>
        <v>0</v>
      </c>
      <c r="DT69">
        <f>IFERROR(VLOOKUP($D69,'Kalkulator mięs '!$C$5:$H$533,DT$4,0)*$L69,0)</f>
        <v>0</v>
      </c>
      <c r="DU69">
        <f>IFERROR(VLOOKUP($D69,'Kalkulator mięs '!$C$5:$H$533,DU$4,0)*$L69,0)</f>
        <v>0</v>
      </c>
      <c r="DV69">
        <f>IFERROR(VLOOKUP($D69,'Kalkulator mięs '!$C$5:$H$533,DV$4,0)*$L69,0)</f>
        <v>0</v>
      </c>
      <c r="DW69">
        <f>IFERROR(VLOOKUP($D69,'Kalkulator mięs '!$C$5:$H$533,DW$4,0)*$M69,0)</f>
        <v>0</v>
      </c>
      <c r="DX69">
        <f>IFERROR(VLOOKUP($D69,'Kalkulator mięs '!$C$5:$H$533,DX$4,0)*$M69,0)</f>
        <v>0</v>
      </c>
      <c r="DY69">
        <f>IFERROR(VLOOKUP($D69,'Kalkulator mięs '!$C$5:$H$533,DY$4,0)*$M69,0)</f>
        <v>0</v>
      </c>
      <c r="DZ69">
        <f>IFERROR(VLOOKUP($D69,'Kalkulator mięs '!$C$5:$H$533,DZ$4,0)*$N69,0)</f>
        <v>0</v>
      </c>
      <c r="EA69">
        <f>IFERROR(VLOOKUP($D69,'Kalkulator mięs '!$C$5:$H$533,EA$4,0)*$N69,0)</f>
        <v>0</v>
      </c>
      <c r="EB69">
        <f>IFERROR(VLOOKUP($D69,'Kalkulator mięs '!$C$5:$H$533,EB$4,0)*$N69,0)</f>
        <v>0</v>
      </c>
      <c r="EC69">
        <f>IFERROR(VLOOKUP($D69,'Kalkulator mięs '!$C$5:$H$533,EC$4,0)*$O69,0)</f>
        <v>0</v>
      </c>
      <c r="ED69">
        <f>IFERROR(VLOOKUP($D69,'Kalkulator mięs '!$C$5:$H$533,ED$4,0)*$O69,0)</f>
        <v>0</v>
      </c>
      <c r="EE69">
        <f>IFERROR(VLOOKUP($D69,'Kalkulator mięs '!$C$5:$H$533,EE$4,0)*$O69,0)</f>
        <v>0</v>
      </c>
      <c r="EF69">
        <f>IFERROR(VLOOKUP($D69,'Kalkulator mięs '!$C$5:$H$533,EF$4,0)*$P69,0)</f>
        <v>0</v>
      </c>
      <c r="EG69">
        <f>IFERROR(VLOOKUP($D69,'Kalkulator mięs '!$C$5:$H$533,EG$4,0)*$P69,0)</f>
        <v>0</v>
      </c>
      <c r="EH69">
        <f>IFERROR(VLOOKUP($D69,'Kalkulator mięs '!$C$5:$H$533,EH$4,0)*$P69,0)</f>
        <v>0</v>
      </c>
      <c r="EI69">
        <f>IFERROR(VLOOKUP($D69,'Kalkulator mięs '!$C$5:$H$533,EI$4,0)*$Q69,0)</f>
        <v>0</v>
      </c>
      <c r="EJ69">
        <f>IFERROR(VLOOKUP($D69,'Kalkulator mięs '!$C$5:$H$533,EJ$4,0)*$Q69,0)</f>
        <v>0</v>
      </c>
      <c r="EK69">
        <f>IFERROR(VLOOKUP($D69,'Kalkulator mięs '!$C$5:$H$533,EK$4,0)*$Q69,0)</f>
        <v>0</v>
      </c>
      <c r="EL69">
        <f>IFERROR(VLOOKUP($D69,'Kalkulator mięs '!$C$5:$H$533,EL$4,0)*$R69,0)</f>
        <v>0</v>
      </c>
      <c r="EM69">
        <f>IFERROR(VLOOKUP($D69,'Kalkulator mięs '!$C$5:$H$533,EM$4,0)*$R69,0)</f>
        <v>0</v>
      </c>
      <c r="EN69">
        <f>IFERROR(VLOOKUP($D69,'Kalkulator mięs '!$C$5:$H$533,EN$4,0)*$R69,0)</f>
        <v>0</v>
      </c>
      <c r="EO69">
        <f>IFERROR(VLOOKUP($D69,'Kalkulator mięs '!$C$5:$H$533,EO$4,0)*$S69,0)</f>
        <v>0</v>
      </c>
      <c r="EP69">
        <f>IFERROR(VLOOKUP($D69,'Kalkulator mięs '!$C$5:$H$533,EP$4,0)*$S69,0)</f>
        <v>0</v>
      </c>
      <c r="EQ69">
        <f>IFERROR(VLOOKUP($D69,'Kalkulator mięs '!$C$5:$H$533,EQ$4,0)*$S69,0)</f>
        <v>0</v>
      </c>
      <c r="ER69">
        <f>IFERROR(VLOOKUP($D69,'Kalkulator mięs '!$C$5:$H$533,ER$4,0)*$T69,0)</f>
        <v>0</v>
      </c>
      <c r="ES69">
        <f>IFERROR(VLOOKUP($D69,'Kalkulator mięs '!$C$5:$H$533,ES$4,0)*$T69,0)</f>
        <v>0</v>
      </c>
      <c r="ET69">
        <f>IFERROR(VLOOKUP($D69,'Kalkulator mięs '!$C$5:$H$533,ET$4,0)*$T69,0)</f>
        <v>0</v>
      </c>
      <c r="EU69">
        <f>IFERROR(VLOOKUP($D69,'Kalkulator mięs '!$C$5:$H$533,EU$4,0)*$U69,0)</f>
        <v>0</v>
      </c>
      <c r="EV69">
        <f>IFERROR(VLOOKUP($D69,'Kalkulator mięs '!$C$5:$H$533,EV$4,0)*$U69,0)</f>
        <v>0</v>
      </c>
      <c r="EW69">
        <f>IFERROR(VLOOKUP($D69,'Kalkulator mięs '!$C$5:$H$533,EW$4,0)*$U69,0)</f>
        <v>0</v>
      </c>
      <c r="EX69">
        <f>IFERROR(VLOOKUP($D69,'Kalkulator mięs '!$C$5:$H$533,EX$4,0)*$V69,0)</f>
        <v>0</v>
      </c>
      <c r="EY69">
        <f>IFERROR(VLOOKUP($D69,'Kalkulator mięs '!$C$5:$H$533,EY$4,0)*$V69,0)</f>
        <v>0</v>
      </c>
      <c r="EZ69">
        <f>IFERROR(VLOOKUP($D69,'Kalkulator mięs '!$C$5:$H$533,EZ$4,0)*$V69,0)</f>
        <v>0</v>
      </c>
      <c r="FA69">
        <f>IFERROR(VLOOKUP($D69,'Kalkulator mięs '!$C$5:$H$533,FA$4,0)*$W69,0)</f>
        <v>0</v>
      </c>
      <c r="FB69">
        <f>IFERROR(VLOOKUP($D69,'Kalkulator mięs '!$C$5:$H$533,FB$4,0)*$W69,0)</f>
        <v>0</v>
      </c>
      <c r="FC69">
        <f>IFERROR(VLOOKUP($D69,'Kalkulator mięs '!$C$5:$H$533,FC$4,0)*$W69,0)</f>
        <v>0</v>
      </c>
      <c r="FD69">
        <f>IFERROR(VLOOKUP($D69,'Kalkulator mięs '!$C$5:$H$533,FD$4,0)*$X69,0)</f>
        <v>0</v>
      </c>
      <c r="FE69">
        <f>IFERROR(VLOOKUP($D69,'Kalkulator mięs '!$C$5:$H$533,FE$4,0)*$X69,0)</f>
        <v>0</v>
      </c>
      <c r="FF69">
        <f>IFERROR(VLOOKUP($D69,'Kalkulator mięs '!$C$5:$H$533,FF$4,0)*$X69,0)</f>
        <v>0</v>
      </c>
      <c r="FG69">
        <f>IFERROR(VLOOKUP($D69,'Kalkulator mięs '!$C$5:$H$533,FG$4,0)*$Y69,0)</f>
        <v>0</v>
      </c>
      <c r="FH69">
        <f>IFERROR(VLOOKUP($D69,'Kalkulator mięs '!$C$5:$H$533,FH$4,0)*$Y69,0)</f>
        <v>0</v>
      </c>
      <c r="FI69">
        <f>IFERROR(VLOOKUP($D69,'Kalkulator mięs '!$C$5:$H$533,FI$4,0)*$Y69,0)</f>
        <v>0</v>
      </c>
      <c r="FJ69">
        <f>IFERROR(VLOOKUP($D69,'Kalkulator mięs '!$C$5:$H$533,FJ$4,0)*$Z69,0)</f>
        <v>0</v>
      </c>
      <c r="FK69">
        <f>IFERROR(VLOOKUP($D69,'Kalkulator mięs '!$C$5:$H$533,FK$4,0)*$Z69,0)</f>
        <v>0</v>
      </c>
      <c r="FL69">
        <f>IFERROR(VLOOKUP($D69,'Kalkulator mięs '!$C$5:$H$533,FL$4,0)*$Z69,0)</f>
        <v>0</v>
      </c>
      <c r="FM69">
        <f>IFERROR(VLOOKUP($D69,'Kalkulator mięs '!$C$5:$H$533,FM$4,0)*$AA69,0)</f>
        <v>0</v>
      </c>
      <c r="FN69">
        <f>IFERROR(VLOOKUP($D69,'Kalkulator mięs '!$C$5:$H$533,FN$4,0)*$AA69,0)</f>
        <v>0</v>
      </c>
      <c r="FO69">
        <f>IFERROR(VLOOKUP($D69,'Kalkulator mięs '!$C$5:$H$533,FO$4,0)*$AA69,0)</f>
        <v>0</v>
      </c>
      <c r="FP69">
        <f>IFERROR(VLOOKUP($D69,'Kalkulator mięs '!$C$5:$H$533,FP$4,0)*$AB69,0)</f>
        <v>0</v>
      </c>
      <c r="FQ69">
        <f>IFERROR(VLOOKUP($D69,'Kalkulator mięs '!$C$5:$H$533,FQ$4,0)*$AB69,0)</f>
        <v>0</v>
      </c>
      <c r="FR69">
        <f>IFERROR(VLOOKUP($D69,'Kalkulator mięs '!$C$5:$H$533,FR$4,0)*$AB69,0)</f>
        <v>0</v>
      </c>
      <c r="FS69">
        <f>IFERROR(VLOOKUP($D69,'Kalkulator mięs '!$C$5:$H$533,FS$4,0)*$AC69,0)</f>
        <v>0</v>
      </c>
      <c r="FT69">
        <f>IFERROR(VLOOKUP($D69,'Kalkulator mięs '!$C$5:$H$533,FT$4,0)*$AC69,0)</f>
        <v>0</v>
      </c>
      <c r="FU69">
        <f>IFERROR(VLOOKUP($D69,'Kalkulator mięs '!$C$5:$H$533,FU$4,0)*$AC69,0)</f>
        <v>0</v>
      </c>
      <c r="FV69">
        <f>IFERROR(VLOOKUP($D69,'Kalkulator mięs '!$C$5:$H$533,FV$4,0)*$AD69,0)</f>
        <v>0</v>
      </c>
      <c r="FW69">
        <f>IFERROR(VLOOKUP($D69,'Kalkulator mięs '!$C$5:$H$533,FW$4,0)*$AD69,0)</f>
        <v>0</v>
      </c>
      <c r="FX69">
        <f>IFERROR(VLOOKUP($D69,'Kalkulator mięs '!$C$5:$H$533,FX$4,0)*$AD69,0)</f>
        <v>0</v>
      </c>
      <c r="FY69">
        <f>IFERROR(VLOOKUP($D69,'Kalkulator mięs '!$C$5:$H$533,FY$4,0)*$AE69,0)</f>
        <v>0</v>
      </c>
      <c r="FZ69">
        <f>IFERROR(VLOOKUP($D69,'Kalkulator mięs '!$C$5:$H$533,FZ$4,0)*$AE69,0)</f>
        <v>0</v>
      </c>
      <c r="GA69">
        <f>IFERROR(VLOOKUP($D69,'Kalkulator mięs '!$C$5:$H$533,GA$4,0)*$AE69,0)</f>
        <v>0</v>
      </c>
      <c r="GB69">
        <f>IFERROR(VLOOKUP($D69,'Kalkulator mięs '!$C$5:$H$533,GB$4,0)*$AF69,0)</f>
        <v>0</v>
      </c>
      <c r="GC69">
        <f>IFERROR(VLOOKUP($D69,'Kalkulator mięs '!$C$5:$H$533,GC$4,0)*$AF69,0)</f>
        <v>0</v>
      </c>
      <c r="GD69">
        <f>IFERROR(VLOOKUP($D69,'Kalkulator mięs '!$C$5:$H$533,GD$4,0)*$AF69,0)</f>
        <v>0</v>
      </c>
      <c r="GE69">
        <f>IFERROR(VLOOKUP($D69,'Kalkulator mięs '!$C$5:$H$533,GE$4,0)*$AG69,0)</f>
        <v>0</v>
      </c>
      <c r="GF69">
        <f>IFERROR(VLOOKUP($D69,'Kalkulator mięs '!$C$5:$H$533,GF$4,0)*$AG69,0)</f>
        <v>0</v>
      </c>
      <c r="GG69">
        <f>IFERROR(VLOOKUP($D69,'Kalkulator mięs '!$C$5:$H$533,GG$4,0)*$AG69,0)</f>
        <v>0</v>
      </c>
      <c r="GH69">
        <f>IFERROR(VLOOKUP($D69,'Kalkulator mięs '!$C$5:$H$533,GH$4,0)*$AH69,0)</f>
        <v>0</v>
      </c>
      <c r="GI69">
        <f>IFERROR(VLOOKUP($D69,'Kalkulator mięs '!$C$5:$H$533,GI$4,0)*$AH69,0)</f>
        <v>0</v>
      </c>
      <c r="GJ69">
        <f>IFERROR(VLOOKUP($D69,'Kalkulator mięs '!$C$5:$H$533,GJ$4,0)*$AH69,0)</f>
        <v>0</v>
      </c>
      <c r="GK69">
        <f>IFERROR(VLOOKUP($D69,'Kalkulator mięs '!$C$5:$H$533,GK$4,0)*$AI69,0)</f>
        <v>0</v>
      </c>
      <c r="GL69">
        <f>IFERROR(VLOOKUP($D69,'Kalkulator mięs '!$C$5:$H$533,GL$4,0)*$AI69,0)</f>
        <v>0</v>
      </c>
      <c r="GM69">
        <f>IFERROR(VLOOKUP($D69,'Kalkulator mięs '!$C$5:$H$533,GM$4,0)*$AI69,0)</f>
        <v>0</v>
      </c>
      <c r="GN69">
        <f>IFERROR(VLOOKUP($D69,'Kalkulator mięs '!$C$5:$H$533,GN$4,0)*$AJ69,0)</f>
        <v>0</v>
      </c>
      <c r="GO69">
        <f>IFERROR(VLOOKUP($D69,'Kalkulator mięs '!$C$5:$H$533,GO$4,0)*$AJ69,0)</f>
        <v>0</v>
      </c>
      <c r="GP69">
        <f>IFERROR(VLOOKUP($D69,'Kalkulator mięs '!$C$5:$H$533,GP$4,0)*$AJ69,0)</f>
        <v>0</v>
      </c>
      <c r="GQ69">
        <f>IFERROR(VLOOKUP($D69,'Kalkulator mięs '!$C$5:$H$533,GQ$4,0)*$AK69,0)</f>
        <v>0</v>
      </c>
      <c r="GR69">
        <f>IFERROR(VLOOKUP($D69,'Kalkulator mięs '!$C$5:$H$533,GR$4,0)*$AK69,0)</f>
        <v>0</v>
      </c>
      <c r="GS69">
        <f>IFERROR(VLOOKUP($D69,'Kalkulator mięs '!$C$5:$H$533,GS$4,0)*$AK69,0)</f>
        <v>0</v>
      </c>
      <c r="GT69">
        <f>IFERROR(VLOOKUP($D69,'Kalkulator mięs '!$C$5:$H$533,GT$4,0)*$AL69,0)</f>
        <v>0</v>
      </c>
      <c r="GU69">
        <f>IFERROR(VLOOKUP($D69,'Kalkulator mięs '!$C$5:$H$533,GU$4,0)*$AL69,0)</f>
        <v>0</v>
      </c>
      <c r="GV69">
        <f>IFERROR(VLOOKUP($D69,'Kalkulator mięs '!$C$5:$H$533,GV$4,0)*$AL69,0)</f>
        <v>0</v>
      </c>
      <c r="GW69">
        <f>IFERROR(VLOOKUP($D69,'Kalkulator mięs '!$C$5:$H$533,GW$4,0)*$AM69,0)</f>
        <v>0</v>
      </c>
      <c r="GX69">
        <f>IFERROR(VLOOKUP($D69,'Kalkulator mięs '!$C$5:$H$533,GX$4,0)*$AM69,0)</f>
        <v>0</v>
      </c>
      <c r="GY69">
        <f>IFERROR(VLOOKUP($D69,'Kalkulator mięs '!$C$5:$H$533,GY$4,0)*$AM69,0)</f>
        <v>0</v>
      </c>
      <c r="GZ69">
        <f>IFERROR(VLOOKUP($D69,'Kalkulator mięs '!$C$5:$H$533,GZ$4,0)*$AN69,0)</f>
        <v>0</v>
      </c>
      <c r="HA69">
        <f>IFERROR(VLOOKUP($D69,'Kalkulator mięs '!$C$5:$H$533,HA$4,0)*$AN69,0)</f>
        <v>0</v>
      </c>
      <c r="HB69">
        <f>IFERROR(VLOOKUP($D69,'Kalkulator mięs '!$C$5:$H$533,HB$4,0)*$AN69,0)</f>
        <v>0</v>
      </c>
      <c r="HC69">
        <f>IFERROR(VLOOKUP($D69,'Kalkulator mięs '!$C$5:$H$533,HC$4,0)*$AO69,0)</f>
        <v>0</v>
      </c>
      <c r="HD69">
        <f>IFERROR(VLOOKUP($D69,'Kalkulator mięs '!$C$5:$H$533,HD$4,0)*$AO69,0)</f>
        <v>0</v>
      </c>
      <c r="HE69">
        <f>IFERROR(VLOOKUP($D69,'Kalkulator mięs '!$C$5:$H$533,HE$4,0)*$AO69,0)</f>
        <v>0</v>
      </c>
      <c r="HF69">
        <f>IFERROR(VLOOKUP($D69,'Kalkulator mięs '!$C$5:$H$533,HF$4,0)*$AP69,0)</f>
        <v>0</v>
      </c>
      <c r="HG69">
        <f>IFERROR(VLOOKUP($D69,'Kalkulator mięs '!$C$5:$H$533,HG$4,0)*$AP69,0)</f>
        <v>0</v>
      </c>
      <c r="HH69">
        <f>IFERROR(VLOOKUP($D69,'Kalkulator mięs '!$C$5:$H$533,HH$4,0)*$AP69,0)</f>
        <v>0</v>
      </c>
      <c r="HI69">
        <f>IFERROR(VLOOKUP($D69,'Kalkulator mięs '!$C$5:$H$533,HI$4,0)*$AQ69,0)</f>
        <v>0</v>
      </c>
      <c r="HJ69">
        <f>IFERROR(VLOOKUP($D69,'Kalkulator mięs '!$C$5:$H$533,HJ$4,0)*$AQ69,0)</f>
        <v>0</v>
      </c>
      <c r="HK69">
        <f>IFERROR(VLOOKUP($D69,'Kalkulator mięs '!$C$5:$H$533,HK$4,0)*$AQ69,0)</f>
        <v>0</v>
      </c>
      <c r="HL69">
        <f>IFERROR(VLOOKUP($D69,'Kalkulator mięs '!$C$5:$H$533,HL$4,0)*$AR69,0)</f>
        <v>0</v>
      </c>
      <c r="HM69">
        <f>IFERROR(VLOOKUP($D69,'Kalkulator mięs '!$C$5:$H$533,HM$4,0)*$AR69,0)</f>
        <v>0</v>
      </c>
      <c r="HN69">
        <f>IFERROR(VLOOKUP($D69,'Kalkulator mięs '!$C$5:$H$533,HN$4,0)*$AR69,0)</f>
        <v>0</v>
      </c>
      <c r="HO69">
        <f>IFERROR(VLOOKUP($D69,'Kalkulator mięs '!$C$5:$H$533,HO$4,0)*$AS69,0)</f>
        <v>0</v>
      </c>
      <c r="HP69">
        <f>IFERROR(VLOOKUP($D69,'Kalkulator mięs '!$C$5:$H$533,HP$4,0)*$AS69,0)</f>
        <v>0</v>
      </c>
      <c r="HQ69">
        <f>IFERROR(VLOOKUP($D69,'Kalkulator mięs '!$C$5:$H$533,HQ$4,0)*$AS69,0)</f>
        <v>0</v>
      </c>
      <c r="HR69">
        <f>IFERROR(VLOOKUP($D69,'Kalkulator mięs '!$C$5:$H$533,HR$4,0)*$AT69,0)</f>
        <v>0</v>
      </c>
      <c r="HS69">
        <f>IFERROR(VLOOKUP($D69,'Kalkulator mięs '!$C$5:$H$533,HS$4,0)*$AT69,0)</f>
        <v>0</v>
      </c>
      <c r="HT69">
        <f>IFERROR(VLOOKUP($D69,'Kalkulator mięs '!$C$5:$H$533,HT$4,0)*$AT69,0)</f>
        <v>0</v>
      </c>
      <c r="HU69">
        <f>IFERROR(VLOOKUP($D69,'Kalkulator mięs '!$C$5:$H$533,HU$4,0)*$AU69,0)</f>
        <v>0</v>
      </c>
      <c r="HV69">
        <f>IFERROR(VLOOKUP($D69,'Kalkulator mięs '!$C$5:$H$533,HV$4,0)*$AU69,0)</f>
        <v>0</v>
      </c>
      <c r="HW69">
        <f>IFERROR(VLOOKUP($D69,'Kalkulator mięs '!$C$5:$H$533,HW$4,0)*$AU69,0)</f>
        <v>0</v>
      </c>
      <c r="HX69">
        <f>IFERROR(VLOOKUP($D69,'Kalkulator mięs '!$C$5:$H$533,HX$4,0)*$AV69,0)</f>
        <v>0</v>
      </c>
      <c r="HY69">
        <f>IFERROR(VLOOKUP($D69,'Kalkulator mięs '!$C$5:$H$533,HY$4,0)*$AV69,0)</f>
        <v>0</v>
      </c>
      <c r="HZ69">
        <f>IFERROR(VLOOKUP($D69,'Kalkulator mięs '!$C$5:$H$533,HZ$4,0)*$AV69,0)</f>
        <v>0</v>
      </c>
      <c r="IA69">
        <f>IFERROR(VLOOKUP($D69,'Kalkulator mięs '!$C$5:$H$533,IA$4,0)*$AW69,0)</f>
        <v>0</v>
      </c>
      <c r="IB69">
        <f>IFERROR(VLOOKUP($D69,'Kalkulator mięs '!$C$5:$H$533,IB$4,0)*$AW69,0)</f>
        <v>0</v>
      </c>
      <c r="IC69">
        <f>IFERROR(VLOOKUP($D69,'Kalkulator mięs '!$C$5:$H$533,IC$4,0)*$AW69,0)</f>
        <v>0</v>
      </c>
      <c r="ID69">
        <f>IFERROR(VLOOKUP($D69,'Kalkulator mięs '!$C$5:$H$533,ID$4,0)*$AX69,0)</f>
        <v>0</v>
      </c>
      <c r="IE69">
        <f>IFERROR(VLOOKUP($D69,'Kalkulator mięs '!$C$5:$H$533,IE$4,0)*$AX69,0)</f>
        <v>0</v>
      </c>
      <c r="IF69">
        <f>IFERROR(VLOOKUP($D69,'Kalkulator mięs '!$C$5:$H$533,IF$4,0)*$AX69,0)</f>
        <v>0</v>
      </c>
      <c r="IG69">
        <f>IFERROR(VLOOKUP($D69,'Kalkulator mięs '!$C$5:$H$533,IG$4,0)*$AY69,0)</f>
        <v>0</v>
      </c>
      <c r="IH69">
        <f>IFERROR(VLOOKUP($D69,'Kalkulator mięs '!$C$5:$H$533,IH$4,0)*$AY69,0)</f>
        <v>0</v>
      </c>
      <c r="II69">
        <f>IFERROR(VLOOKUP($D69,'Kalkulator mięs '!$C$5:$H$533,II$4,0)*$AY69,0)</f>
        <v>0</v>
      </c>
      <c r="IJ69">
        <f>IFERROR(VLOOKUP($D69,'Kalkulator mięs '!$C$5:$H$533,IJ$4,0)*$AZ69,0)</f>
        <v>0</v>
      </c>
      <c r="IK69">
        <f>IFERROR(VLOOKUP($D69,'Kalkulator mięs '!$C$5:$H$533,IK$4,0)*$AZ69,0)</f>
        <v>0</v>
      </c>
      <c r="IL69">
        <f>IFERROR(VLOOKUP($D69,'Kalkulator mięs '!$C$5:$H$533,IL$4,0)*$AZ69,0)</f>
        <v>0</v>
      </c>
      <c r="IM69">
        <f>IFERROR(VLOOKUP($D69,'Kalkulator mięs '!$C$5:$H$533,IM$4,0)*$BA69,0)</f>
        <v>0</v>
      </c>
      <c r="IN69">
        <f>IFERROR(VLOOKUP($D69,'Kalkulator mięs '!$C$5:$H$533,IN$4,0)*$BA69,0)</f>
        <v>0</v>
      </c>
      <c r="IO69">
        <f>IFERROR(VLOOKUP($D69,'Kalkulator mięs '!$C$5:$H$533,IO$4,0)*$BA69,0)</f>
        <v>0</v>
      </c>
    </row>
    <row r="70" spans="2:249" ht="15.75">
      <c r="B70" t="str">
        <f>VLOOKUP(D70,Receptury_z!$A:$B,2,0)</f>
        <v>ON</v>
      </c>
      <c r="C70" s="23">
        <v>5558</v>
      </c>
      <c r="D70" s="24">
        <v>7056</v>
      </c>
      <c r="E70" s="26" t="s">
        <v>66</v>
      </c>
      <c r="F70" s="14">
        <f>IF($B70="OFF",BE70,VLOOKUP($D70,Receptury_z!$D:$AI,F$4,0))</f>
        <v>0</v>
      </c>
      <c r="G70" s="14">
        <f>IF($B70="OFF",BF70,VLOOKUP($D70,Receptury_z!$D:$AI,G$4,0))</f>
        <v>369.18</v>
      </c>
      <c r="H70" s="14">
        <f>IF($B70="OFF",BG70,VLOOKUP($D70,Receptury_z!$D:$AI,H$4,0))</f>
        <v>0</v>
      </c>
      <c r="I70" s="14">
        <f>IF($B70="OFF",BH70,VLOOKUP($D70,Receptury_z!$D:$AI,I$4,0))</f>
        <v>0</v>
      </c>
      <c r="J70" s="14">
        <f>IF($B70="OFF",BI70,VLOOKUP($D70,Receptury_z!$D:$AI,J$4,0))</f>
        <v>0</v>
      </c>
      <c r="K70" s="14">
        <f>IF($B70="OFF",BJ70,VLOOKUP($D70,Receptury_z!$D:$AI,K$4,0))</f>
        <v>0</v>
      </c>
      <c r="L70" s="14">
        <f>IF($B70="OFF",BK70,VLOOKUP($D70,Receptury_z!$D:$AI,L$4,0))</f>
        <v>0</v>
      </c>
      <c r="M70" s="14">
        <f>IF($B70="OFF",BL70,VLOOKUP($D70,Receptury_z!$D:$AI,M$4,0))</f>
        <v>0</v>
      </c>
      <c r="N70" s="14">
        <f>IF($B70="OFF",BM70,VLOOKUP($D70,Receptury_z!$D:$AI,N$4,0))</f>
        <v>0</v>
      </c>
      <c r="O70" s="14">
        <f>IF($B70="OFF",BN70,VLOOKUP($D70,Receptury_z!$D:$AI,O$4,0))</f>
        <v>0</v>
      </c>
      <c r="P70" s="14">
        <f>IF($B70="OFF",BO70,VLOOKUP($D70,Receptury_z!$D:$AI,P$4,0))</f>
        <v>0</v>
      </c>
      <c r="Q70" s="14">
        <f>IF($B70="OFF",BP70,VLOOKUP($D70,Receptury_z!$D:$AI,Q$4,0))</f>
        <v>0</v>
      </c>
      <c r="R70" s="14">
        <f>IF($B70="OFF",BQ70,VLOOKUP($D70,Receptury_z!$D:$AI,R$4,0))</f>
        <v>0</v>
      </c>
      <c r="S70" s="14">
        <f>IF($B70="OFF",BR70,VLOOKUP($D70,Receptury_z!$D:$AI,S$4,0))</f>
        <v>0</v>
      </c>
      <c r="T70" s="14">
        <f>IF($B70="OFF",BS70,VLOOKUP($D70,Receptury_z!$D:$AI,T$4,0))</f>
        <v>0</v>
      </c>
      <c r="U70" s="14">
        <f>IF($B70="OFF",BT70,VLOOKUP($D70,Receptury_z!$D:$AI,U$4,0))</f>
        <v>0</v>
      </c>
      <c r="V70" s="14">
        <f>IF($B70="OFF",BU70,VLOOKUP($D70,Receptury_z!$D:$AI,V$4,0))</f>
        <v>0</v>
      </c>
      <c r="W70" s="14">
        <f>IF($B70="OFF",BV70,VLOOKUP($D70,Receptury_z!$D:$AI,W$4,0))</f>
        <v>0</v>
      </c>
      <c r="X70" s="14">
        <f>IF($B70="OFF",BW70,VLOOKUP($D70,Receptury_z!$D:$AI,X$4,0))</f>
        <v>0</v>
      </c>
      <c r="Y70" s="14">
        <f>IF($B70="OFF",BX70,VLOOKUP($D70,Receptury_z!$D:$AI,Y$4,0))</f>
        <v>12.24</v>
      </c>
      <c r="Z70" s="14">
        <f>IF($B70="OFF",BY70,VLOOKUP($D70,Receptury_z!$D:$AI,Z$4,0))</f>
        <v>0</v>
      </c>
      <c r="AA70" s="14">
        <f>IF($B70="OFF",BZ70,VLOOKUP($D70,Receptury_z!$D:$AI,AA$4,0))</f>
        <v>0</v>
      </c>
      <c r="AB70" s="14">
        <f>IF($B70="OFF",CA70,VLOOKUP($D70,Receptury_z!$D:$AI,AB$4,0))</f>
        <v>25.02</v>
      </c>
      <c r="AC70" s="14">
        <f>IF($B70="OFF",CB70,VLOOKUP($D70,Receptury_z!$D:$AI,AC$4,0))</f>
        <v>0</v>
      </c>
      <c r="AD70" s="14">
        <f>IF($B70="OFF",CC70,VLOOKUP($D70,Receptury_z!$D:$AI,AD$4,0))</f>
        <v>0</v>
      </c>
      <c r="AE70" s="14">
        <f>IF($B70="OFF",CD70,VLOOKUP($D70,Receptury_z!$D:$AI,AE$4,0))</f>
        <v>0</v>
      </c>
      <c r="AF70" s="14">
        <f>IF($B70="OFF",CE70,VLOOKUP($D70,Receptury_z!$D:$AI,AF$4,0))</f>
        <v>0</v>
      </c>
      <c r="AG70" s="14">
        <f>IF($B70="OFF",CF70,VLOOKUP($D70,Receptury_z!$D:$AI,AG$4,0))</f>
        <v>47.79</v>
      </c>
      <c r="AH70" s="14">
        <f>IF($B70="OFF",CG70,VLOOKUP($D70,Receptury_z!$D:$AI,AH$4,0))</f>
        <v>0</v>
      </c>
      <c r="AI70" s="14">
        <f>IF($B70="OFF",CH70,VLOOKUP($D70,Receptury_z!$D:$AI,AI$4,0))</f>
        <v>0</v>
      </c>
      <c r="AJ70" s="14">
        <f>IF($B70="OFF",CI70,VLOOKUP($D70,Receptury_z!$D:$AS,AJ$4,0))</f>
        <v>0</v>
      </c>
      <c r="AK70" s="14">
        <f>IF($B70="OFF",CJ70,VLOOKUP($D70,Receptury_z!$D:$AS,AK$4,0))</f>
        <v>0</v>
      </c>
      <c r="AL70" s="14">
        <f>IF($B70="OFF",CK70,VLOOKUP($D70,Receptury_z!$D:$AS,AL$4,0))</f>
        <v>0</v>
      </c>
      <c r="AM70" s="14">
        <f>IF($B70="OFF",CL70,VLOOKUP($D70,Receptury_z!$D:$AS,AM$4,0))</f>
        <v>100</v>
      </c>
      <c r="AN70" s="14">
        <f>IF($B70="OFF",CM70,VLOOKUP($D70,Receptury_z!$D:$AS,AN$4,0))</f>
        <v>0</v>
      </c>
      <c r="AO70" s="14">
        <f>IF($B70="OFF",CN70,VLOOKUP($D70,Receptury_z!$D:$AS,AO$4,0))</f>
        <v>0</v>
      </c>
      <c r="AP70" s="14">
        <f>IF($B70="OFF",CO70,VLOOKUP($D70,Receptury_z!$D:$AS,AP$4,0))</f>
        <v>486.07</v>
      </c>
      <c r="AQ70" s="14">
        <f>IF($B70="OFF",CP70,VLOOKUP($D70,Receptury_z!$D:$AS,AQ$4,0))</f>
        <v>0</v>
      </c>
      <c r="AR70" s="14">
        <f>IF($B70="OFF",CQ70,VLOOKUP($D70,Receptury_z!$D:$AS,AR$4,0))</f>
        <v>0</v>
      </c>
      <c r="AS70" s="14">
        <f>IF($B70="OFF",CR70,VLOOKUP($D70,Receptury_z!$D:$AS,AS$4,0))</f>
        <v>0</v>
      </c>
      <c r="AT70" s="14">
        <f>IF($B70="OFF",CS70,VLOOKUP($D70,Receptury_z!$D:$AV,AT$4,0))</f>
        <v>0</v>
      </c>
      <c r="AU70" s="14">
        <f>IF($B70="OFF",CT70,VLOOKUP($D70,Receptury_z!$D:$AV,AU$4,0))</f>
        <v>0</v>
      </c>
      <c r="AV70" s="14">
        <f>IF($B70="OFF",CU70,VLOOKUP($D70,Receptury_z!$D:$AV,AV$4,0))</f>
        <v>0</v>
      </c>
      <c r="AW70" s="14">
        <f>IF($B70="OFF",CV70,VLOOKUP($D70,Receptury_z!$D:$BA,AW$4,0))</f>
        <v>0</v>
      </c>
      <c r="AX70" s="14">
        <f>IF($B70="OFF",CW70,VLOOKUP($D70,Receptury_z!$D:$BA,AX$4,0))</f>
        <v>0</v>
      </c>
      <c r="AY70" s="14">
        <f>IF($B70="OFF",CX70,VLOOKUP($D70,Receptury_z!$D:$BA,AY$4,0))</f>
        <v>0</v>
      </c>
      <c r="AZ70" s="14">
        <f>IF($B70="OFF",DA70,VLOOKUP($D70,Receptury_z!$D:$BA,AZ$4,0))</f>
        <v>0</v>
      </c>
      <c r="BA70" s="14">
        <f>IF($B70="OFF",DB70,VLOOKUP($D70,Receptury_z!$D:$BA,BA$4,0))</f>
        <v>0</v>
      </c>
      <c r="BC70" s="24">
        <v>7056</v>
      </c>
      <c r="BD70" s="26" t="s">
        <v>66</v>
      </c>
      <c r="BE70" s="239">
        <v>0</v>
      </c>
      <c r="BF70" s="239">
        <v>0</v>
      </c>
      <c r="BG70" s="239">
        <v>0</v>
      </c>
      <c r="BH70" s="239">
        <v>0</v>
      </c>
      <c r="BI70" s="239">
        <v>0</v>
      </c>
      <c r="BJ70" s="239">
        <v>0</v>
      </c>
      <c r="BK70" s="239"/>
      <c r="BL70" s="239"/>
      <c r="BM70" s="239"/>
      <c r="BN70" s="239"/>
      <c r="BO70" s="239"/>
      <c r="BP70" s="239"/>
      <c r="BQ70" s="239">
        <v>0</v>
      </c>
      <c r="BR70" s="239">
        <v>0</v>
      </c>
      <c r="BS70" s="239">
        <v>0</v>
      </c>
      <c r="BT70" s="239">
        <v>0</v>
      </c>
      <c r="BU70" s="239">
        <v>0</v>
      </c>
      <c r="BV70" s="239">
        <v>0</v>
      </c>
      <c r="BW70" s="239">
        <v>0</v>
      </c>
      <c r="BX70" s="239">
        <v>0</v>
      </c>
      <c r="BY70" s="239">
        <v>0</v>
      </c>
      <c r="BZ70" s="240"/>
      <c r="CA70" s="370">
        <v>27.9</v>
      </c>
      <c r="CB70" s="239">
        <v>0</v>
      </c>
      <c r="CC70" s="370">
        <v>421.6</v>
      </c>
      <c r="CD70" s="239">
        <v>0</v>
      </c>
      <c r="CE70" s="239">
        <v>0</v>
      </c>
      <c r="CF70" s="370">
        <v>53.1</v>
      </c>
      <c r="CG70" s="239">
        <v>0</v>
      </c>
      <c r="CH70" s="239">
        <v>0</v>
      </c>
      <c r="CI70" s="239">
        <v>0</v>
      </c>
      <c r="CJ70" s="239">
        <v>0</v>
      </c>
      <c r="CK70" s="239">
        <v>0</v>
      </c>
      <c r="CL70" s="239">
        <v>0</v>
      </c>
      <c r="CM70" s="241"/>
      <c r="CN70" s="80"/>
      <c r="CO70" s="371">
        <v>428.1</v>
      </c>
      <c r="CP70" s="80"/>
      <c r="CQ70" s="80"/>
      <c r="CR70" s="80"/>
      <c r="CS70" s="80"/>
      <c r="CT70" s="80"/>
      <c r="CU70" s="80"/>
      <c r="CV70" s="80"/>
      <c r="CW70" s="80"/>
      <c r="CX70" s="80"/>
      <c r="CY70" s="80"/>
      <c r="CZ70" s="80"/>
      <c r="DB70">
        <f>IFERROR(VLOOKUP($D70,'Kalkulator mięs '!$C$5:$H$533,DB$4,0)*F70,0)</f>
        <v>0</v>
      </c>
      <c r="DC70">
        <f>IFERROR(VLOOKUP($D70,'Kalkulator mięs '!$C$5:$H$533,DC$4,0)*F70,0)</f>
        <v>0</v>
      </c>
      <c r="DD70">
        <f>IFERROR(VLOOKUP($D70,'Kalkulator mięs '!$C$5:$H$533,DD$4,0)*F70,0)</f>
        <v>0</v>
      </c>
      <c r="DE70">
        <f>IFERROR(VLOOKUP($D70,'Kalkulator mięs '!$C$5:$H$533,DE$4,0)*$G70,0)</f>
        <v>0</v>
      </c>
      <c r="DF70">
        <f>IFERROR(VLOOKUP($D70,'Kalkulator mięs '!$C$5:$H$533,DF$4,0)*$G70,0)</f>
        <v>0</v>
      </c>
      <c r="DG70">
        <f>IFERROR(VLOOKUP($D70,'Kalkulator mięs '!$C$5:$H$533,DG$4,0)*$G70,0)</f>
        <v>0</v>
      </c>
      <c r="DH70">
        <f>IFERROR(VLOOKUP($D70,'Kalkulator mięs '!$C$5:$H$533,DH$4,0)*$H70,0)</f>
        <v>0</v>
      </c>
      <c r="DI70">
        <f>IFERROR(VLOOKUP($D70,'Kalkulator mięs '!$C$5:$H$533,DI$4,0)*$H70,0)</f>
        <v>0</v>
      </c>
      <c r="DJ70">
        <f>IFERROR(VLOOKUP($D70,'Kalkulator mięs '!$C$5:$H$533,DJ$4,0)*$H70,0)</f>
        <v>0</v>
      </c>
      <c r="DK70">
        <f>IFERROR(VLOOKUP($D70,'Kalkulator mięs '!$C$5:$H$533,DK$4,0)*$I70,0)</f>
        <v>0</v>
      </c>
      <c r="DL70">
        <f>IFERROR(VLOOKUP($D70,'Kalkulator mięs '!$C$5:$H$533,DL$4,0)*$I70,0)</f>
        <v>0</v>
      </c>
      <c r="DM70">
        <f>IFERROR(VLOOKUP($D70,'Kalkulator mięs '!$C$5:$H$533,DM$4,0)*$I70,0)</f>
        <v>0</v>
      </c>
      <c r="DN70">
        <f>IFERROR(VLOOKUP($D70,'Kalkulator mięs '!$C$5:$H$533,DN$4,0)*$J70,0)</f>
        <v>0</v>
      </c>
      <c r="DO70">
        <f>IFERROR(VLOOKUP($D70,'Kalkulator mięs '!$C$5:$H$533,DO$4,0)*$J70,0)</f>
        <v>0</v>
      </c>
      <c r="DP70">
        <f>IFERROR(VLOOKUP($D70,'Kalkulator mięs '!$C$5:$H$533,DP$4,0)*$J70,0)</f>
        <v>0</v>
      </c>
      <c r="DQ70">
        <f>IFERROR(VLOOKUP($D70,'Kalkulator mięs '!$C$5:$H$533,DQ$4,0)*$K70,0)</f>
        <v>0</v>
      </c>
      <c r="DR70">
        <f>IFERROR(VLOOKUP($D70,'Kalkulator mięs '!$C$5:$H$533,DR$4,0)*$K70,0)</f>
        <v>0</v>
      </c>
      <c r="DS70">
        <f>IFERROR(VLOOKUP($D70,'Kalkulator mięs '!$C$5:$H$533,DS$4,0)*$K70,0)</f>
        <v>0</v>
      </c>
      <c r="DT70">
        <f>IFERROR(VLOOKUP($D70,'Kalkulator mięs '!$C$5:$H$533,DT$4,0)*$L70,0)</f>
        <v>0</v>
      </c>
      <c r="DU70">
        <f>IFERROR(VLOOKUP($D70,'Kalkulator mięs '!$C$5:$H$533,DU$4,0)*$L70,0)</f>
        <v>0</v>
      </c>
      <c r="DV70">
        <f>IFERROR(VLOOKUP($D70,'Kalkulator mięs '!$C$5:$H$533,DV$4,0)*$L70,0)</f>
        <v>0</v>
      </c>
      <c r="DW70">
        <f>IFERROR(VLOOKUP($D70,'Kalkulator mięs '!$C$5:$H$533,DW$4,0)*$M70,0)</f>
        <v>0</v>
      </c>
      <c r="DX70">
        <f>IFERROR(VLOOKUP($D70,'Kalkulator mięs '!$C$5:$H$533,DX$4,0)*$M70,0)</f>
        <v>0</v>
      </c>
      <c r="DY70">
        <f>IFERROR(VLOOKUP($D70,'Kalkulator mięs '!$C$5:$H$533,DY$4,0)*$M70,0)</f>
        <v>0</v>
      </c>
      <c r="DZ70">
        <f>IFERROR(VLOOKUP($D70,'Kalkulator mięs '!$C$5:$H$533,DZ$4,0)*$N70,0)</f>
        <v>0</v>
      </c>
      <c r="EA70">
        <f>IFERROR(VLOOKUP($D70,'Kalkulator mięs '!$C$5:$H$533,EA$4,0)*$N70,0)</f>
        <v>0</v>
      </c>
      <c r="EB70">
        <f>IFERROR(VLOOKUP($D70,'Kalkulator mięs '!$C$5:$H$533,EB$4,0)*$N70,0)</f>
        <v>0</v>
      </c>
      <c r="EC70">
        <f>IFERROR(VLOOKUP($D70,'Kalkulator mięs '!$C$5:$H$533,EC$4,0)*$O70,0)</f>
        <v>0</v>
      </c>
      <c r="ED70">
        <f>IFERROR(VLOOKUP($D70,'Kalkulator mięs '!$C$5:$H$533,ED$4,0)*$O70,0)</f>
        <v>0</v>
      </c>
      <c r="EE70">
        <f>IFERROR(VLOOKUP($D70,'Kalkulator mięs '!$C$5:$H$533,EE$4,0)*$O70,0)</f>
        <v>0</v>
      </c>
      <c r="EF70">
        <f>IFERROR(VLOOKUP($D70,'Kalkulator mięs '!$C$5:$H$533,EF$4,0)*$P70,0)</f>
        <v>0</v>
      </c>
      <c r="EG70">
        <f>IFERROR(VLOOKUP($D70,'Kalkulator mięs '!$C$5:$H$533,EG$4,0)*$P70,0)</f>
        <v>0</v>
      </c>
      <c r="EH70">
        <f>IFERROR(VLOOKUP($D70,'Kalkulator mięs '!$C$5:$H$533,EH$4,0)*$P70,0)</f>
        <v>0</v>
      </c>
      <c r="EI70">
        <f>IFERROR(VLOOKUP($D70,'Kalkulator mięs '!$C$5:$H$533,EI$4,0)*$Q70,0)</f>
        <v>0</v>
      </c>
      <c r="EJ70">
        <f>IFERROR(VLOOKUP($D70,'Kalkulator mięs '!$C$5:$H$533,EJ$4,0)*$Q70,0)</f>
        <v>0</v>
      </c>
      <c r="EK70">
        <f>IFERROR(VLOOKUP($D70,'Kalkulator mięs '!$C$5:$H$533,EK$4,0)*$Q70,0)</f>
        <v>0</v>
      </c>
      <c r="EL70">
        <f>IFERROR(VLOOKUP($D70,'Kalkulator mięs '!$C$5:$H$533,EL$4,0)*$R70,0)</f>
        <v>0</v>
      </c>
      <c r="EM70">
        <f>IFERROR(VLOOKUP($D70,'Kalkulator mięs '!$C$5:$H$533,EM$4,0)*$R70,0)</f>
        <v>0</v>
      </c>
      <c r="EN70">
        <f>IFERROR(VLOOKUP($D70,'Kalkulator mięs '!$C$5:$H$533,EN$4,0)*$R70,0)</f>
        <v>0</v>
      </c>
      <c r="EO70">
        <f>IFERROR(VLOOKUP($D70,'Kalkulator mięs '!$C$5:$H$533,EO$4,0)*$S70,0)</f>
        <v>0</v>
      </c>
      <c r="EP70">
        <f>IFERROR(VLOOKUP($D70,'Kalkulator mięs '!$C$5:$H$533,EP$4,0)*$S70,0)</f>
        <v>0</v>
      </c>
      <c r="EQ70">
        <f>IFERROR(VLOOKUP($D70,'Kalkulator mięs '!$C$5:$H$533,EQ$4,0)*$S70,0)</f>
        <v>0</v>
      </c>
      <c r="ER70">
        <f>IFERROR(VLOOKUP($D70,'Kalkulator mięs '!$C$5:$H$533,ER$4,0)*$T70,0)</f>
        <v>0</v>
      </c>
      <c r="ES70">
        <f>IFERROR(VLOOKUP($D70,'Kalkulator mięs '!$C$5:$H$533,ES$4,0)*$T70,0)</f>
        <v>0</v>
      </c>
      <c r="ET70">
        <f>IFERROR(VLOOKUP($D70,'Kalkulator mięs '!$C$5:$H$533,ET$4,0)*$T70,0)</f>
        <v>0</v>
      </c>
      <c r="EU70">
        <f>IFERROR(VLOOKUP($D70,'Kalkulator mięs '!$C$5:$H$533,EU$4,0)*$U70,0)</f>
        <v>0</v>
      </c>
      <c r="EV70">
        <f>IFERROR(VLOOKUP($D70,'Kalkulator mięs '!$C$5:$H$533,EV$4,0)*$U70,0)</f>
        <v>0</v>
      </c>
      <c r="EW70">
        <f>IFERROR(VLOOKUP($D70,'Kalkulator mięs '!$C$5:$H$533,EW$4,0)*$U70,0)</f>
        <v>0</v>
      </c>
      <c r="EX70">
        <f>IFERROR(VLOOKUP($D70,'Kalkulator mięs '!$C$5:$H$533,EX$4,0)*$V70,0)</f>
        <v>0</v>
      </c>
      <c r="EY70">
        <f>IFERROR(VLOOKUP($D70,'Kalkulator mięs '!$C$5:$H$533,EY$4,0)*$V70,0)</f>
        <v>0</v>
      </c>
      <c r="EZ70">
        <f>IFERROR(VLOOKUP($D70,'Kalkulator mięs '!$C$5:$H$533,EZ$4,0)*$V70,0)</f>
        <v>0</v>
      </c>
      <c r="FA70">
        <f>IFERROR(VLOOKUP($D70,'Kalkulator mięs '!$C$5:$H$533,FA$4,0)*$W70,0)</f>
        <v>0</v>
      </c>
      <c r="FB70">
        <f>IFERROR(VLOOKUP($D70,'Kalkulator mięs '!$C$5:$H$533,FB$4,0)*$W70,0)</f>
        <v>0</v>
      </c>
      <c r="FC70">
        <f>IFERROR(VLOOKUP($D70,'Kalkulator mięs '!$C$5:$H$533,FC$4,0)*$W70,0)</f>
        <v>0</v>
      </c>
      <c r="FD70">
        <f>IFERROR(VLOOKUP($D70,'Kalkulator mięs '!$C$5:$H$533,FD$4,0)*$X70,0)</f>
        <v>0</v>
      </c>
      <c r="FE70">
        <f>IFERROR(VLOOKUP($D70,'Kalkulator mięs '!$C$5:$H$533,FE$4,0)*$X70,0)</f>
        <v>0</v>
      </c>
      <c r="FF70">
        <f>IFERROR(VLOOKUP($D70,'Kalkulator mięs '!$C$5:$H$533,FF$4,0)*$X70,0)</f>
        <v>0</v>
      </c>
      <c r="FG70">
        <f>IFERROR(VLOOKUP($D70,'Kalkulator mięs '!$C$5:$H$533,FG$4,0)*$Y70,0)</f>
        <v>0</v>
      </c>
      <c r="FH70">
        <f>IFERROR(VLOOKUP($D70,'Kalkulator mięs '!$C$5:$H$533,FH$4,0)*$Y70,0)</f>
        <v>0</v>
      </c>
      <c r="FI70">
        <f>IFERROR(VLOOKUP($D70,'Kalkulator mięs '!$C$5:$H$533,FI$4,0)*$Y70,0)</f>
        <v>0</v>
      </c>
      <c r="FJ70">
        <f>IFERROR(VLOOKUP($D70,'Kalkulator mięs '!$C$5:$H$533,FJ$4,0)*$Z70,0)</f>
        <v>0</v>
      </c>
      <c r="FK70">
        <f>IFERROR(VLOOKUP($D70,'Kalkulator mięs '!$C$5:$H$533,FK$4,0)*$Z70,0)</f>
        <v>0</v>
      </c>
      <c r="FL70">
        <f>IFERROR(VLOOKUP($D70,'Kalkulator mięs '!$C$5:$H$533,FL$4,0)*$Z70,0)</f>
        <v>0</v>
      </c>
      <c r="FM70">
        <f>IFERROR(VLOOKUP($D70,'Kalkulator mięs '!$C$5:$H$533,FM$4,0)*$AA70,0)</f>
        <v>0</v>
      </c>
      <c r="FN70">
        <f>IFERROR(VLOOKUP($D70,'Kalkulator mięs '!$C$5:$H$533,FN$4,0)*$AA70,0)</f>
        <v>0</v>
      </c>
      <c r="FO70">
        <f>IFERROR(VLOOKUP($D70,'Kalkulator mięs '!$C$5:$H$533,FO$4,0)*$AA70,0)</f>
        <v>0</v>
      </c>
      <c r="FP70">
        <f>IFERROR(VLOOKUP($D70,'Kalkulator mięs '!$C$5:$H$533,FP$4,0)*$AB70,0)</f>
        <v>0</v>
      </c>
      <c r="FQ70">
        <f>IFERROR(VLOOKUP($D70,'Kalkulator mięs '!$C$5:$H$533,FQ$4,0)*$AB70,0)</f>
        <v>0</v>
      </c>
      <c r="FR70">
        <f>IFERROR(VLOOKUP($D70,'Kalkulator mięs '!$C$5:$H$533,FR$4,0)*$AB70,0)</f>
        <v>0</v>
      </c>
      <c r="FS70">
        <f>IFERROR(VLOOKUP($D70,'Kalkulator mięs '!$C$5:$H$533,FS$4,0)*$AC70,0)</f>
        <v>0</v>
      </c>
      <c r="FT70">
        <f>IFERROR(VLOOKUP($D70,'Kalkulator mięs '!$C$5:$H$533,FT$4,0)*$AC70,0)</f>
        <v>0</v>
      </c>
      <c r="FU70">
        <f>IFERROR(VLOOKUP($D70,'Kalkulator mięs '!$C$5:$H$533,FU$4,0)*$AC70,0)</f>
        <v>0</v>
      </c>
      <c r="FV70">
        <f>IFERROR(VLOOKUP($D70,'Kalkulator mięs '!$C$5:$H$533,FV$4,0)*$AD70,0)</f>
        <v>0</v>
      </c>
      <c r="FW70">
        <f>IFERROR(VLOOKUP($D70,'Kalkulator mięs '!$C$5:$H$533,FW$4,0)*$AD70,0)</f>
        <v>0</v>
      </c>
      <c r="FX70">
        <f>IFERROR(VLOOKUP($D70,'Kalkulator mięs '!$C$5:$H$533,FX$4,0)*$AD70,0)</f>
        <v>0</v>
      </c>
      <c r="FY70">
        <f>IFERROR(VLOOKUP($D70,'Kalkulator mięs '!$C$5:$H$533,FY$4,0)*$AE70,0)</f>
        <v>0</v>
      </c>
      <c r="FZ70">
        <f>IFERROR(VLOOKUP($D70,'Kalkulator mięs '!$C$5:$H$533,FZ$4,0)*$AE70,0)</f>
        <v>0</v>
      </c>
      <c r="GA70">
        <f>IFERROR(VLOOKUP($D70,'Kalkulator mięs '!$C$5:$H$533,GA$4,0)*$AE70,0)</f>
        <v>0</v>
      </c>
      <c r="GB70">
        <f>IFERROR(VLOOKUP($D70,'Kalkulator mięs '!$C$5:$H$533,GB$4,0)*$AF70,0)</f>
        <v>0</v>
      </c>
      <c r="GC70">
        <f>IFERROR(VLOOKUP($D70,'Kalkulator mięs '!$C$5:$H$533,GC$4,0)*$AF70,0)</f>
        <v>0</v>
      </c>
      <c r="GD70">
        <f>IFERROR(VLOOKUP($D70,'Kalkulator mięs '!$C$5:$H$533,GD$4,0)*$AF70,0)</f>
        <v>0</v>
      </c>
      <c r="GE70">
        <f>IFERROR(VLOOKUP($D70,'Kalkulator mięs '!$C$5:$H$533,GE$4,0)*$AG70,0)</f>
        <v>0</v>
      </c>
      <c r="GF70">
        <f>IFERROR(VLOOKUP($D70,'Kalkulator mięs '!$C$5:$H$533,GF$4,0)*$AG70,0)</f>
        <v>0</v>
      </c>
      <c r="GG70">
        <f>IFERROR(VLOOKUP($D70,'Kalkulator mięs '!$C$5:$H$533,GG$4,0)*$AG70,0)</f>
        <v>0</v>
      </c>
      <c r="GH70">
        <f>IFERROR(VLOOKUP($D70,'Kalkulator mięs '!$C$5:$H$533,GH$4,0)*$AH70,0)</f>
        <v>0</v>
      </c>
      <c r="GI70">
        <f>IFERROR(VLOOKUP($D70,'Kalkulator mięs '!$C$5:$H$533,GI$4,0)*$AH70,0)</f>
        <v>0</v>
      </c>
      <c r="GJ70">
        <f>IFERROR(VLOOKUP($D70,'Kalkulator mięs '!$C$5:$H$533,GJ$4,0)*$AH70,0)</f>
        <v>0</v>
      </c>
      <c r="GK70">
        <f>IFERROR(VLOOKUP($D70,'Kalkulator mięs '!$C$5:$H$533,GK$4,0)*$AI70,0)</f>
        <v>0</v>
      </c>
      <c r="GL70">
        <f>IFERROR(VLOOKUP($D70,'Kalkulator mięs '!$C$5:$H$533,GL$4,0)*$AI70,0)</f>
        <v>0</v>
      </c>
      <c r="GM70">
        <f>IFERROR(VLOOKUP($D70,'Kalkulator mięs '!$C$5:$H$533,GM$4,0)*$AI70,0)</f>
        <v>0</v>
      </c>
      <c r="GN70">
        <f>IFERROR(VLOOKUP($D70,'Kalkulator mięs '!$C$5:$H$533,GN$4,0)*$AJ70,0)</f>
        <v>0</v>
      </c>
      <c r="GO70">
        <f>IFERROR(VLOOKUP($D70,'Kalkulator mięs '!$C$5:$H$533,GO$4,0)*$AJ70,0)</f>
        <v>0</v>
      </c>
      <c r="GP70">
        <f>IFERROR(VLOOKUP($D70,'Kalkulator mięs '!$C$5:$H$533,GP$4,0)*$AJ70,0)</f>
        <v>0</v>
      </c>
      <c r="GQ70">
        <f>IFERROR(VLOOKUP($D70,'Kalkulator mięs '!$C$5:$H$533,GQ$4,0)*$AK70,0)</f>
        <v>0</v>
      </c>
      <c r="GR70">
        <f>IFERROR(VLOOKUP($D70,'Kalkulator mięs '!$C$5:$H$533,GR$4,0)*$AK70,0)</f>
        <v>0</v>
      </c>
      <c r="GS70">
        <f>IFERROR(VLOOKUP($D70,'Kalkulator mięs '!$C$5:$H$533,GS$4,0)*$AK70,0)</f>
        <v>0</v>
      </c>
      <c r="GT70">
        <f>IFERROR(VLOOKUP($D70,'Kalkulator mięs '!$C$5:$H$533,GT$4,0)*$AL70,0)</f>
        <v>0</v>
      </c>
      <c r="GU70">
        <f>IFERROR(VLOOKUP($D70,'Kalkulator mięs '!$C$5:$H$533,GU$4,0)*$AL70,0)</f>
        <v>0</v>
      </c>
      <c r="GV70">
        <f>IFERROR(VLOOKUP($D70,'Kalkulator mięs '!$C$5:$H$533,GV$4,0)*$AL70,0)</f>
        <v>0</v>
      </c>
      <c r="GW70">
        <f>IFERROR(VLOOKUP($D70,'Kalkulator mięs '!$C$5:$H$533,GW$4,0)*$AM70,0)</f>
        <v>0</v>
      </c>
      <c r="GX70">
        <f>IFERROR(VLOOKUP($D70,'Kalkulator mięs '!$C$5:$H$533,GX$4,0)*$AM70,0)</f>
        <v>0</v>
      </c>
      <c r="GY70">
        <f>IFERROR(VLOOKUP($D70,'Kalkulator mięs '!$C$5:$H$533,GY$4,0)*$AM70,0)</f>
        <v>0</v>
      </c>
      <c r="GZ70">
        <f>IFERROR(VLOOKUP($D70,'Kalkulator mięs '!$C$5:$H$533,GZ$4,0)*$AN70,0)</f>
        <v>0</v>
      </c>
      <c r="HA70">
        <f>IFERROR(VLOOKUP($D70,'Kalkulator mięs '!$C$5:$H$533,HA$4,0)*$AN70,0)</f>
        <v>0</v>
      </c>
      <c r="HB70">
        <f>IFERROR(VLOOKUP($D70,'Kalkulator mięs '!$C$5:$H$533,HB$4,0)*$AN70,0)</f>
        <v>0</v>
      </c>
      <c r="HC70">
        <f>IFERROR(VLOOKUP($D70,'Kalkulator mięs '!$C$5:$H$533,HC$4,0)*$AO70,0)</f>
        <v>0</v>
      </c>
      <c r="HD70">
        <f>IFERROR(VLOOKUP($D70,'Kalkulator mięs '!$C$5:$H$533,HD$4,0)*$AO70,0)</f>
        <v>0</v>
      </c>
      <c r="HE70">
        <f>IFERROR(VLOOKUP($D70,'Kalkulator mięs '!$C$5:$H$533,HE$4,0)*$AO70,0)</f>
        <v>0</v>
      </c>
      <c r="HF70">
        <f>IFERROR(VLOOKUP($D70,'Kalkulator mięs '!$C$5:$H$533,HF$4,0)*$AP70,0)</f>
        <v>0</v>
      </c>
      <c r="HG70">
        <f>IFERROR(VLOOKUP($D70,'Kalkulator mięs '!$C$5:$H$533,HG$4,0)*$AP70,0)</f>
        <v>0</v>
      </c>
      <c r="HH70">
        <f>IFERROR(VLOOKUP($D70,'Kalkulator mięs '!$C$5:$H$533,HH$4,0)*$AP70,0)</f>
        <v>0</v>
      </c>
      <c r="HI70">
        <f>IFERROR(VLOOKUP($D70,'Kalkulator mięs '!$C$5:$H$533,HI$4,0)*$AQ70,0)</f>
        <v>0</v>
      </c>
      <c r="HJ70">
        <f>IFERROR(VLOOKUP($D70,'Kalkulator mięs '!$C$5:$H$533,HJ$4,0)*$AQ70,0)</f>
        <v>0</v>
      </c>
      <c r="HK70">
        <f>IFERROR(VLOOKUP($D70,'Kalkulator mięs '!$C$5:$H$533,HK$4,0)*$AQ70,0)</f>
        <v>0</v>
      </c>
      <c r="HL70">
        <f>IFERROR(VLOOKUP($D70,'Kalkulator mięs '!$C$5:$H$533,HL$4,0)*$AR70,0)</f>
        <v>0</v>
      </c>
      <c r="HM70">
        <f>IFERROR(VLOOKUP($D70,'Kalkulator mięs '!$C$5:$H$533,HM$4,0)*$AR70,0)</f>
        <v>0</v>
      </c>
      <c r="HN70">
        <f>IFERROR(VLOOKUP($D70,'Kalkulator mięs '!$C$5:$H$533,HN$4,0)*$AR70,0)</f>
        <v>0</v>
      </c>
      <c r="HO70">
        <f>IFERROR(VLOOKUP($D70,'Kalkulator mięs '!$C$5:$H$533,HO$4,0)*$AS70,0)</f>
        <v>0</v>
      </c>
      <c r="HP70">
        <f>IFERROR(VLOOKUP($D70,'Kalkulator mięs '!$C$5:$H$533,HP$4,0)*$AS70,0)</f>
        <v>0</v>
      </c>
      <c r="HQ70">
        <f>IFERROR(VLOOKUP($D70,'Kalkulator mięs '!$C$5:$H$533,HQ$4,0)*$AS70,0)</f>
        <v>0</v>
      </c>
      <c r="HR70">
        <f>IFERROR(VLOOKUP($D70,'Kalkulator mięs '!$C$5:$H$533,HR$4,0)*$AT70,0)</f>
        <v>0</v>
      </c>
      <c r="HS70">
        <f>IFERROR(VLOOKUP($D70,'Kalkulator mięs '!$C$5:$H$533,HS$4,0)*$AT70,0)</f>
        <v>0</v>
      </c>
      <c r="HT70">
        <f>IFERROR(VLOOKUP($D70,'Kalkulator mięs '!$C$5:$H$533,HT$4,0)*$AT70,0)</f>
        <v>0</v>
      </c>
      <c r="HU70">
        <f>IFERROR(VLOOKUP($D70,'Kalkulator mięs '!$C$5:$H$533,HU$4,0)*$AU70,0)</f>
        <v>0</v>
      </c>
      <c r="HV70">
        <f>IFERROR(VLOOKUP($D70,'Kalkulator mięs '!$C$5:$H$533,HV$4,0)*$AU70,0)</f>
        <v>0</v>
      </c>
      <c r="HW70">
        <f>IFERROR(VLOOKUP($D70,'Kalkulator mięs '!$C$5:$H$533,HW$4,0)*$AU70,0)</f>
        <v>0</v>
      </c>
      <c r="HX70">
        <f>IFERROR(VLOOKUP($D70,'Kalkulator mięs '!$C$5:$H$533,HX$4,0)*$AV70,0)</f>
        <v>0</v>
      </c>
      <c r="HY70">
        <f>IFERROR(VLOOKUP($D70,'Kalkulator mięs '!$C$5:$H$533,HY$4,0)*$AV70,0)</f>
        <v>0</v>
      </c>
      <c r="HZ70">
        <f>IFERROR(VLOOKUP($D70,'Kalkulator mięs '!$C$5:$H$533,HZ$4,0)*$AV70,0)</f>
        <v>0</v>
      </c>
      <c r="IA70">
        <f>IFERROR(VLOOKUP($D70,'Kalkulator mięs '!$C$5:$H$533,IA$4,0)*$AW70,0)</f>
        <v>0</v>
      </c>
      <c r="IB70">
        <f>IFERROR(VLOOKUP($D70,'Kalkulator mięs '!$C$5:$H$533,IB$4,0)*$AW70,0)</f>
        <v>0</v>
      </c>
      <c r="IC70">
        <f>IFERROR(VLOOKUP($D70,'Kalkulator mięs '!$C$5:$H$533,IC$4,0)*$AW70,0)</f>
        <v>0</v>
      </c>
      <c r="ID70">
        <f>IFERROR(VLOOKUP($D70,'Kalkulator mięs '!$C$5:$H$533,ID$4,0)*$AX70,0)</f>
        <v>0</v>
      </c>
      <c r="IE70">
        <f>IFERROR(VLOOKUP($D70,'Kalkulator mięs '!$C$5:$H$533,IE$4,0)*$AX70,0)</f>
        <v>0</v>
      </c>
      <c r="IF70">
        <f>IFERROR(VLOOKUP($D70,'Kalkulator mięs '!$C$5:$H$533,IF$4,0)*$AX70,0)</f>
        <v>0</v>
      </c>
      <c r="IG70">
        <f>IFERROR(VLOOKUP($D70,'Kalkulator mięs '!$C$5:$H$533,IG$4,0)*$AY70,0)</f>
        <v>0</v>
      </c>
      <c r="IH70">
        <f>IFERROR(VLOOKUP($D70,'Kalkulator mięs '!$C$5:$H$533,IH$4,0)*$AY70,0)</f>
        <v>0</v>
      </c>
      <c r="II70">
        <f>IFERROR(VLOOKUP($D70,'Kalkulator mięs '!$C$5:$H$533,II$4,0)*$AY70,0)</f>
        <v>0</v>
      </c>
      <c r="IJ70">
        <f>IFERROR(VLOOKUP($D70,'Kalkulator mięs '!$C$5:$H$533,IJ$4,0)*$AZ70,0)</f>
        <v>0</v>
      </c>
      <c r="IK70">
        <f>IFERROR(VLOOKUP($D70,'Kalkulator mięs '!$C$5:$H$533,IK$4,0)*$AZ70,0)</f>
        <v>0</v>
      </c>
      <c r="IL70">
        <f>IFERROR(VLOOKUP($D70,'Kalkulator mięs '!$C$5:$H$533,IL$4,0)*$AZ70,0)</f>
        <v>0</v>
      </c>
      <c r="IM70">
        <f>IFERROR(VLOOKUP($D70,'Kalkulator mięs '!$C$5:$H$533,IM$4,0)*$BA70,0)</f>
        <v>0</v>
      </c>
      <c r="IN70">
        <f>IFERROR(VLOOKUP($D70,'Kalkulator mięs '!$C$5:$H$533,IN$4,0)*$BA70,0)</f>
        <v>0</v>
      </c>
      <c r="IO70">
        <f>IFERROR(VLOOKUP($D70,'Kalkulator mięs '!$C$5:$H$533,IO$4,0)*$BA70,0)</f>
        <v>0</v>
      </c>
    </row>
    <row r="71" spans="2:249" ht="15.75">
      <c r="B71" t="str">
        <f>VLOOKUP(D71,Receptury_z!$A:$B,2,0)</f>
        <v>ON</v>
      </c>
      <c r="C71" s="23">
        <v>5562</v>
      </c>
      <c r="D71" s="24">
        <v>7059</v>
      </c>
      <c r="E71" s="26" t="s">
        <v>329</v>
      </c>
      <c r="F71" s="14">
        <f>IF($B71="OFF",BE71,VLOOKUP($D71,Receptury_z!$D:$AI,F$4,0))</f>
        <v>0</v>
      </c>
      <c r="G71" s="14">
        <f>IF($B71="OFF",BF71,VLOOKUP($D71,Receptury_z!$D:$AI,G$4,0))</f>
        <v>0</v>
      </c>
      <c r="H71" s="14">
        <f>IF($B71="OFF",BG71,VLOOKUP($D71,Receptury_z!$D:$AI,H$4,0))</f>
        <v>0</v>
      </c>
      <c r="I71" s="14">
        <f>IF($B71="OFF",BH71,VLOOKUP($D71,Receptury_z!$D:$AI,I$4,0))</f>
        <v>0</v>
      </c>
      <c r="J71" s="14">
        <f>IF($B71="OFF",BI71,VLOOKUP($D71,Receptury_z!$D:$AI,J$4,0))</f>
        <v>0</v>
      </c>
      <c r="K71" s="14">
        <f>IF($B71="OFF",BJ71,VLOOKUP($D71,Receptury_z!$D:$AI,K$4,0))</f>
        <v>0</v>
      </c>
      <c r="L71" s="14">
        <f>IF($B71="OFF",BK71,VLOOKUP($D71,Receptury_z!$D:$AI,L$4,0))</f>
        <v>0</v>
      </c>
      <c r="M71" s="14">
        <f>IF($B71="OFF",BL71,VLOOKUP($D71,Receptury_z!$D:$AI,M$4,0))</f>
        <v>0</v>
      </c>
      <c r="N71" s="14">
        <f>IF($B71="OFF",BM71,VLOOKUP($D71,Receptury_z!$D:$AI,N$4,0))</f>
        <v>0</v>
      </c>
      <c r="O71" s="14">
        <f>IF($B71="OFF",BN71,VLOOKUP($D71,Receptury_z!$D:$AI,O$4,0))</f>
        <v>0</v>
      </c>
      <c r="P71" s="14">
        <f>IF($B71="OFF",BO71,VLOOKUP($D71,Receptury_z!$D:$AI,P$4,0))</f>
        <v>0</v>
      </c>
      <c r="Q71" s="14">
        <f>IF($B71="OFF",BP71,VLOOKUP($D71,Receptury_z!$D:$AI,Q$4,0))</f>
        <v>0</v>
      </c>
      <c r="R71" s="14">
        <f>IF($B71="OFF",BQ71,VLOOKUP($D71,Receptury_z!$D:$AI,R$4,0))</f>
        <v>0</v>
      </c>
      <c r="S71" s="14">
        <f>IF($B71="OFF",BR71,VLOOKUP($D71,Receptury_z!$D:$AI,S$4,0))</f>
        <v>0</v>
      </c>
      <c r="T71" s="14">
        <f>IF($B71="OFF",BS71,VLOOKUP($D71,Receptury_z!$D:$AI,T$4,0))</f>
        <v>0</v>
      </c>
      <c r="U71" s="14">
        <f>IF($B71="OFF",BT71,VLOOKUP($D71,Receptury_z!$D:$AI,U$4,0))</f>
        <v>0</v>
      </c>
      <c r="V71" s="14">
        <f>IF($B71="OFF",BU71,VLOOKUP($D71,Receptury_z!$D:$AI,V$4,0))</f>
        <v>0</v>
      </c>
      <c r="W71" s="14">
        <f>IF($B71="OFF",BV71,VLOOKUP($D71,Receptury_z!$D:$AI,W$4,0))</f>
        <v>0</v>
      </c>
      <c r="X71" s="14">
        <f>IF($B71="OFF",BW71,VLOOKUP($D71,Receptury_z!$D:$AI,X$4,0))</f>
        <v>0</v>
      </c>
      <c r="Y71" s="14">
        <f>IF($B71="OFF",BX71,VLOOKUP($D71,Receptury_z!$D:$AI,Y$4,0))</f>
        <v>46.7</v>
      </c>
      <c r="Z71" s="14">
        <f>IF($B71="OFF",BY71,VLOOKUP($D71,Receptury_z!$D:$AI,Z$4,0))</f>
        <v>0</v>
      </c>
      <c r="AA71" s="14">
        <f>IF($B71="OFF",BZ71,VLOOKUP($D71,Receptury_z!$D:$AI,AA$4,0))</f>
        <v>765.69999999999993</v>
      </c>
      <c r="AB71" s="14">
        <f>IF($B71="OFF",CA71,VLOOKUP($D71,Receptury_z!$D:$AI,AB$4,0))</f>
        <v>46.7</v>
      </c>
      <c r="AC71" s="14">
        <f>IF($B71="OFF",CB71,VLOOKUP($D71,Receptury_z!$D:$AI,AC$4,0))</f>
        <v>0</v>
      </c>
      <c r="AD71" s="14">
        <f>IF($B71="OFF",CC71,VLOOKUP($D71,Receptury_z!$D:$AI,AD$4,0))</f>
        <v>0</v>
      </c>
      <c r="AE71" s="14">
        <f>IF($B71="OFF",CD71,VLOOKUP($D71,Receptury_z!$D:$AI,AE$4,0))</f>
        <v>0</v>
      </c>
      <c r="AF71" s="14">
        <f>IF($B71="OFF",CE71,VLOOKUP($D71,Receptury_z!$D:$AI,AF$4,0))</f>
        <v>0</v>
      </c>
      <c r="AG71" s="14">
        <f>IF($B71="OFF",CF71,VLOOKUP($D71,Receptury_z!$D:$AI,AG$4,0))</f>
        <v>0</v>
      </c>
      <c r="AH71" s="14">
        <f>IF($B71="OFF",CG71,VLOOKUP($D71,Receptury_z!$D:$AI,AH$4,0))</f>
        <v>0</v>
      </c>
      <c r="AI71" s="14">
        <f>IF($B71="OFF",CH71,VLOOKUP($D71,Receptury_z!$D:$AI,AI$4,0))</f>
        <v>0</v>
      </c>
      <c r="AJ71" s="14">
        <f>IF($B71="OFF",CI71,VLOOKUP($D71,Receptury_z!$D:$AS,AJ$4,0))</f>
        <v>0</v>
      </c>
      <c r="AK71" s="14">
        <f>IF($B71="OFF",CJ71,VLOOKUP($D71,Receptury_z!$D:$AS,AK$4,0))</f>
        <v>0</v>
      </c>
      <c r="AL71" s="14">
        <f>IF($B71="OFF",CK71,VLOOKUP($D71,Receptury_z!$D:$AS,AL$4,0))</f>
        <v>84.1</v>
      </c>
      <c r="AM71" s="14">
        <f>IF($B71="OFF",CL71,VLOOKUP($D71,Receptury_z!$D:$AS,AM$4,0))</f>
        <v>100</v>
      </c>
      <c r="AN71" s="14">
        <f>IF($B71="OFF",CM71,VLOOKUP($D71,Receptury_z!$D:$AS,AN$4,0))</f>
        <v>0</v>
      </c>
      <c r="AO71" s="14">
        <f>IF($B71="OFF",CN71,VLOOKUP($D71,Receptury_z!$D:$AS,AO$4,0))</f>
        <v>0</v>
      </c>
      <c r="AP71" s="14">
        <f>IF($B71="OFF",CO71,VLOOKUP($D71,Receptury_z!$D:$AS,AP$4,0))</f>
        <v>0</v>
      </c>
      <c r="AQ71" s="14">
        <f>IF($B71="OFF",CP71,VLOOKUP($D71,Receptury_z!$D:$AS,AQ$4,0))</f>
        <v>0</v>
      </c>
      <c r="AR71" s="14">
        <f>IF($B71="OFF",CQ71,VLOOKUP($D71,Receptury_z!$D:$AS,AR$4,0))</f>
        <v>0</v>
      </c>
      <c r="AS71" s="14">
        <f>IF($B71="OFF",CR71,VLOOKUP($D71,Receptury_z!$D:$AS,AS$4,0))</f>
        <v>0</v>
      </c>
      <c r="AT71" s="14">
        <f>IF($B71="OFF",CS71,VLOOKUP($D71,Receptury_z!$D:$AV,AT$4,0))</f>
        <v>0</v>
      </c>
      <c r="AU71" s="14">
        <f>IF($B71="OFF",CT71,VLOOKUP($D71,Receptury_z!$D:$AV,AU$4,0))</f>
        <v>0</v>
      </c>
      <c r="AV71" s="14">
        <f>IF($B71="OFF",CU71,VLOOKUP($D71,Receptury_z!$D:$AV,AV$4,0))</f>
        <v>0</v>
      </c>
      <c r="AW71" s="14">
        <f>IF($B71="OFF",CV71,VLOOKUP($D71,Receptury_z!$D:$BA,AW$4,0))</f>
        <v>0</v>
      </c>
      <c r="AX71" s="14">
        <f>IF($B71="OFF",CW71,VLOOKUP($D71,Receptury_z!$D:$BA,AX$4,0))</f>
        <v>0</v>
      </c>
      <c r="AY71" s="14">
        <f>IF($B71="OFF",CX71,VLOOKUP($D71,Receptury_z!$D:$BA,AY$4,0))</f>
        <v>0</v>
      </c>
      <c r="AZ71" s="14">
        <f>IF($B71="OFF",DA71,VLOOKUP($D71,Receptury_z!$D:$BA,AZ$4,0))</f>
        <v>0</v>
      </c>
      <c r="BA71" s="14">
        <f>IF($B71="OFF",DB71,VLOOKUP($D71,Receptury_z!$D:$BA,BA$4,0))</f>
        <v>0</v>
      </c>
      <c r="BC71" s="24">
        <v>7059</v>
      </c>
      <c r="BD71" s="26" t="s">
        <v>329</v>
      </c>
      <c r="BE71" s="239"/>
      <c r="BF71" s="239"/>
      <c r="BG71" s="239"/>
      <c r="BH71" s="239"/>
      <c r="BI71" s="239"/>
      <c r="BJ71" s="239"/>
      <c r="BK71" s="239">
        <v>94.3</v>
      </c>
      <c r="BL71" s="239"/>
      <c r="BM71" s="239"/>
      <c r="BN71" s="239"/>
      <c r="BO71" s="239"/>
      <c r="BP71" s="239"/>
      <c r="BQ71" s="239"/>
      <c r="BR71" s="239"/>
      <c r="BS71" s="239"/>
      <c r="BT71" s="239"/>
      <c r="BU71" s="239"/>
      <c r="BV71" s="239"/>
      <c r="BW71" s="239"/>
      <c r="BX71" s="239"/>
      <c r="BY71" s="239"/>
      <c r="BZ71" s="240">
        <v>726.2</v>
      </c>
      <c r="CA71" s="239">
        <v>47.2</v>
      </c>
      <c r="CB71" s="239"/>
      <c r="CC71" s="240"/>
      <c r="CD71" s="239"/>
      <c r="CE71" s="239"/>
      <c r="CF71" s="239"/>
      <c r="CG71" s="239"/>
      <c r="CH71" s="239"/>
      <c r="CI71" s="239"/>
      <c r="CJ71" s="239"/>
      <c r="CK71" s="239">
        <v>75.5</v>
      </c>
      <c r="CL71" s="239"/>
      <c r="CM71" s="241"/>
      <c r="CN71" s="80"/>
      <c r="CO71" s="80"/>
      <c r="CP71" s="80"/>
      <c r="CQ71" s="80"/>
      <c r="CR71" s="80"/>
      <c r="CS71" s="80"/>
      <c r="CT71" s="80"/>
      <c r="CU71" s="80"/>
      <c r="CV71" s="80"/>
      <c r="CW71" s="80"/>
      <c r="CX71" s="80"/>
      <c r="CY71" s="80"/>
      <c r="CZ71" s="80"/>
      <c r="DB71">
        <f>IFERROR(VLOOKUP($D71,'Kalkulator mięs '!$C$5:$H$533,DB$4,0)*F71,0)</f>
        <v>0</v>
      </c>
      <c r="DC71">
        <f>IFERROR(VLOOKUP($D71,'Kalkulator mięs '!$C$5:$H$533,DC$4,0)*F71,0)</f>
        <v>0</v>
      </c>
      <c r="DD71">
        <f>IFERROR(VLOOKUP($D71,'Kalkulator mięs '!$C$5:$H$533,DD$4,0)*F71,0)</f>
        <v>0</v>
      </c>
      <c r="DE71">
        <f>IFERROR(VLOOKUP($D71,'Kalkulator mięs '!$C$5:$H$533,DE$4,0)*$G71,0)</f>
        <v>0</v>
      </c>
      <c r="DF71">
        <f>IFERROR(VLOOKUP($D71,'Kalkulator mięs '!$C$5:$H$533,DF$4,0)*$G71,0)</f>
        <v>0</v>
      </c>
      <c r="DG71">
        <f>IFERROR(VLOOKUP($D71,'Kalkulator mięs '!$C$5:$H$533,DG$4,0)*$G71,0)</f>
        <v>0</v>
      </c>
      <c r="DH71">
        <f>IFERROR(VLOOKUP($D71,'Kalkulator mięs '!$C$5:$H$533,DH$4,0)*$H71,0)</f>
        <v>0</v>
      </c>
      <c r="DI71">
        <f>IFERROR(VLOOKUP($D71,'Kalkulator mięs '!$C$5:$H$533,DI$4,0)*$H71,0)</f>
        <v>0</v>
      </c>
      <c r="DJ71">
        <f>IFERROR(VLOOKUP($D71,'Kalkulator mięs '!$C$5:$H$533,DJ$4,0)*$H71,0)</f>
        <v>0</v>
      </c>
      <c r="DK71">
        <f>IFERROR(VLOOKUP($D71,'Kalkulator mięs '!$C$5:$H$533,DK$4,0)*$I71,0)</f>
        <v>0</v>
      </c>
      <c r="DL71">
        <f>IFERROR(VLOOKUP($D71,'Kalkulator mięs '!$C$5:$H$533,DL$4,0)*$I71,0)</f>
        <v>0</v>
      </c>
      <c r="DM71">
        <f>IFERROR(VLOOKUP($D71,'Kalkulator mięs '!$C$5:$H$533,DM$4,0)*$I71,0)</f>
        <v>0</v>
      </c>
      <c r="DN71">
        <f>IFERROR(VLOOKUP($D71,'Kalkulator mięs '!$C$5:$H$533,DN$4,0)*$J71,0)</f>
        <v>0</v>
      </c>
      <c r="DO71">
        <f>IFERROR(VLOOKUP($D71,'Kalkulator mięs '!$C$5:$H$533,DO$4,0)*$J71,0)</f>
        <v>0</v>
      </c>
      <c r="DP71">
        <f>IFERROR(VLOOKUP($D71,'Kalkulator mięs '!$C$5:$H$533,DP$4,0)*$J71,0)</f>
        <v>0</v>
      </c>
      <c r="DQ71">
        <f>IFERROR(VLOOKUP($D71,'Kalkulator mięs '!$C$5:$H$533,DQ$4,0)*$K71,0)</f>
        <v>0</v>
      </c>
      <c r="DR71">
        <f>IFERROR(VLOOKUP($D71,'Kalkulator mięs '!$C$5:$H$533,DR$4,0)*$K71,0)</f>
        <v>0</v>
      </c>
      <c r="DS71">
        <f>IFERROR(VLOOKUP($D71,'Kalkulator mięs '!$C$5:$H$533,DS$4,0)*$K71,0)</f>
        <v>0</v>
      </c>
      <c r="DT71">
        <f>IFERROR(VLOOKUP($D71,'Kalkulator mięs '!$C$5:$H$533,DT$4,0)*$L71,0)</f>
        <v>0</v>
      </c>
      <c r="DU71">
        <f>IFERROR(VLOOKUP($D71,'Kalkulator mięs '!$C$5:$H$533,DU$4,0)*$L71,0)</f>
        <v>0</v>
      </c>
      <c r="DV71">
        <f>IFERROR(VLOOKUP($D71,'Kalkulator mięs '!$C$5:$H$533,DV$4,0)*$L71,0)</f>
        <v>0</v>
      </c>
      <c r="DW71">
        <f>IFERROR(VLOOKUP($D71,'Kalkulator mięs '!$C$5:$H$533,DW$4,0)*$M71,0)</f>
        <v>0</v>
      </c>
      <c r="DX71">
        <f>IFERROR(VLOOKUP($D71,'Kalkulator mięs '!$C$5:$H$533,DX$4,0)*$M71,0)</f>
        <v>0</v>
      </c>
      <c r="DY71">
        <f>IFERROR(VLOOKUP($D71,'Kalkulator mięs '!$C$5:$H$533,DY$4,0)*$M71,0)</f>
        <v>0</v>
      </c>
      <c r="DZ71">
        <f>IFERROR(VLOOKUP($D71,'Kalkulator mięs '!$C$5:$H$533,DZ$4,0)*$N71,0)</f>
        <v>0</v>
      </c>
      <c r="EA71">
        <f>IFERROR(VLOOKUP($D71,'Kalkulator mięs '!$C$5:$H$533,EA$4,0)*$N71,0)</f>
        <v>0</v>
      </c>
      <c r="EB71">
        <f>IFERROR(VLOOKUP($D71,'Kalkulator mięs '!$C$5:$H$533,EB$4,0)*$N71,0)</f>
        <v>0</v>
      </c>
      <c r="EC71">
        <f>IFERROR(VLOOKUP($D71,'Kalkulator mięs '!$C$5:$H$533,EC$4,0)*$O71,0)</f>
        <v>0</v>
      </c>
      <c r="ED71">
        <f>IFERROR(VLOOKUP($D71,'Kalkulator mięs '!$C$5:$H$533,ED$4,0)*$O71,0)</f>
        <v>0</v>
      </c>
      <c r="EE71">
        <f>IFERROR(VLOOKUP($D71,'Kalkulator mięs '!$C$5:$H$533,EE$4,0)*$O71,0)</f>
        <v>0</v>
      </c>
      <c r="EF71">
        <f>IFERROR(VLOOKUP($D71,'Kalkulator mięs '!$C$5:$H$533,EF$4,0)*$P71,0)</f>
        <v>0</v>
      </c>
      <c r="EG71">
        <f>IFERROR(VLOOKUP($D71,'Kalkulator mięs '!$C$5:$H$533,EG$4,0)*$P71,0)</f>
        <v>0</v>
      </c>
      <c r="EH71">
        <f>IFERROR(VLOOKUP($D71,'Kalkulator mięs '!$C$5:$H$533,EH$4,0)*$P71,0)</f>
        <v>0</v>
      </c>
      <c r="EI71">
        <f>IFERROR(VLOOKUP($D71,'Kalkulator mięs '!$C$5:$H$533,EI$4,0)*$Q71,0)</f>
        <v>0</v>
      </c>
      <c r="EJ71">
        <f>IFERROR(VLOOKUP($D71,'Kalkulator mięs '!$C$5:$H$533,EJ$4,0)*$Q71,0)</f>
        <v>0</v>
      </c>
      <c r="EK71">
        <f>IFERROR(VLOOKUP($D71,'Kalkulator mięs '!$C$5:$H$533,EK$4,0)*$Q71,0)</f>
        <v>0</v>
      </c>
      <c r="EL71">
        <f>IFERROR(VLOOKUP($D71,'Kalkulator mięs '!$C$5:$H$533,EL$4,0)*$R71,0)</f>
        <v>0</v>
      </c>
      <c r="EM71">
        <f>IFERROR(VLOOKUP($D71,'Kalkulator mięs '!$C$5:$H$533,EM$4,0)*$R71,0)</f>
        <v>0</v>
      </c>
      <c r="EN71">
        <f>IFERROR(VLOOKUP($D71,'Kalkulator mięs '!$C$5:$H$533,EN$4,0)*$R71,0)</f>
        <v>0</v>
      </c>
      <c r="EO71">
        <f>IFERROR(VLOOKUP($D71,'Kalkulator mięs '!$C$5:$H$533,EO$4,0)*$S71,0)</f>
        <v>0</v>
      </c>
      <c r="EP71">
        <f>IFERROR(VLOOKUP($D71,'Kalkulator mięs '!$C$5:$H$533,EP$4,0)*$S71,0)</f>
        <v>0</v>
      </c>
      <c r="EQ71">
        <f>IFERROR(VLOOKUP($D71,'Kalkulator mięs '!$C$5:$H$533,EQ$4,0)*$S71,0)</f>
        <v>0</v>
      </c>
      <c r="ER71">
        <f>IFERROR(VLOOKUP($D71,'Kalkulator mięs '!$C$5:$H$533,ER$4,0)*$T71,0)</f>
        <v>0</v>
      </c>
      <c r="ES71">
        <f>IFERROR(VLOOKUP($D71,'Kalkulator mięs '!$C$5:$H$533,ES$4,0)*$T71,0)</f>
        <v>0</v>
      </c>
      <c r="ET71">
        <f>IFERROR(VLOOKUP($D71,'Kalkulator mięs '!$C$5:$H$533,ET$4,0)*$T71,0)</f>
        <v>0</v>
      </c>
      <c r="EU71">
        <f>IFERROR(VLOOKUP($D71,'Kalkulator mięs '!$C$5:$H$533,EU$4,0)*$U71,0)</f>
        <v>0</v>
      </c>
      <c r="EV71">
        <f>IFERROR(VLOOKUP($D71,'Kalkulator mięs '!$C$5:$H$533,EV$4,0)*$U71,0)</f>
        <v>0</v>
      </c>
      <c r="EW71">
        <f>IFERROR(VLOOKUP($D71,'Kalkulator mięs '!$C$5:$H$533,EW$4,0)*$U71,0)</f>
        <v>0</v>
      </c>
      <c r="EX71">
        <f>IFERROR(VLOOKUP($D71,'Kalkulator mięs '!$C$5:$H$533,EX$4,0)*$V71,0)</f>
        <v>0</v>
      </c>
      <c r="EY71">
        <f>IFERROR(VLOOKUP($D71,'Kalkulator mięs '!$C$5:$H$533,EY$4,0)*$V71,0)</f>
        <v>0</v>
      </c>
      <c r="EZ71">
        <f>IFERROR(VLOOKUP($D71,'Kalkulator mięs '!$C$5:$H$533,EZ$4,0)*$V71,0)</f>
        <v>0</v>
      </c>
      <c r="FA71">
        <f>IFERROR(VLOOKUP($D71,'Kalkulator mięs '!$C$5:$H$533,FA$4,0)*$W71,0)</f>
        <v>0</v>
      </c>
      <c r="FB71">
        <f>IFERROR(VLOOKUP($D71,'Kalkulator mięs '!$C$5:$H$533,FB$4,0)*$W71,0)</f>
        <v>0</v>
      </c>
      <c r="FC71">
        <f>IFERROR(VLOOKUP($D71,'Kalkulator mięs '!$C$5:$H$533,FC$4,0)*$W71,0)</f>
        <v>0</v>
      </c>
      <c r="FD71">
        <f>IFERROR(VLOOKUP($D71,'Kalkulator mięs '!$C$5:$H$533,FD$4,0)*$X71,0)</f>
        <v>0</v>
      </c>
      <c r="FE71">
        <f>IFERROR(VLOOKUP($D71,'Kalkulator mięs '!$C$5:$H$533,FE$4,0)*$X71,0)</f>
        <v>0</v>
      </c>
      <c r="FF71">
        <f>IFERROR(VLOOKUP($D71,'Kalkulator mięs '!$C$5:$H$533,FF$4,0)*$X71,0)</f>
        <v>0</v>
      </c>
      <c r="FG71">
        <f>IFERROR(VLOOKUP($D71,'Kalkulator mięs '!$C$5:$H$533,FG$4,0)*$Y71,0)</f>
        <v>0</v>
      </c>
      <c r="FH71">
        <f>IFERROR(VLOOKUP($D71,'Kalkulator mięs '!$C$5:$H$533,FH$4,0)*$Y71,0)</f>
        <v>0</v>
      </c>
      <c r="FI71">
        <f>IFERROR(VLOOKUP($D71,'Kalkulator mięs '!$C$5:$H$533,FI$4,0)*$Y71,0)</f>
        <v>0</v>
      </c>
      <c r="FJ71">
        <f>IFERROR(VLOOKUP($D71,'Kalkulator mięs '!$C$5:$H$533,FJ$4,0)*$Z71,0)</f>
        <v>0</v>
      </c>
      <c r="FK71">
        <f>IFERROR(VLOOKUP($D71,'Kalkulator mięs '!$C$5:$H$533,FK$4,0)*$Z71,0)</f>
        <v>0</v>
      </c>
      <c r="FL71">
        <f>IFERROR(VLOOKUP($D71,'Kalkulator mięs '!$C$5:$H$533,FL$4,0)*$Z71,0)</f>
        <v>0</v>
      </c>
      <c r="FM71">
        <f>IFERROR(VLOOKUP($D71,'Kalkulator mięs '!$C$5:$H$533,FM$4,0)*$AA71,0)</f>
        <v>0</v>
      </c>
      <c r="FN71">
        <f>IFERROR(VLOOKUP($D71,'Kalkulator mięs '!$C$5:$H$533,FN$4,0)*$AA71,0)</f>
        <v>0</v>
      </c>
      <c r="FO71">
        <f>IFERROR(VLOOKUP($D71,'Kalkulator mięs '!$C$5:$H$533,FO$4,0)*$AA71,0)</f>
        <v>0</v>
      </c>
      <c r="FP71">
        <f>IFERROR(VLOOKUP($D71,'Kalkulator mięs '!$C$5:$H$533,FP$4,0)*$AB71,0)</f>
        <v>0</v>
      </c>
      <c r="FQ71">
        <f>IFERROR(VLOOKUP($D71,'Kalkulator mięs '!$C$5:$H$533,FQ$4,0)*$AB71,0)</f>
        <v>0</v>
      </c>
      <c r="FR71">
        <f>IFERROR(VLOOKUP($D71,'Kalkulator mięs '!$C$5:$H$533,FR$4,0)*$AB71,0)</f>
        <v>0</v>
      </c>
      <c r="FS71">
        <f>IFERROR(VLOOKUP($D71,'Kalkulator mięs '!$C$5:$H$533,FS$4,0)*$AC71,0)</f>
        <v>0</v>
      </c>
      <c r="FT71">
        <f>IFERROR(VLOOKUP($D71,'Kalkulator mięs '!$C$5:$H$533,FT$4,0)*$AC71,0)</f>
        <v>0</v>
      </c>
      <c r="FU71">
        <f>IFERROR(VLOOKUP($D71,'Kalkulator mięs '!$C$5:$H$533,FU$4,0)*$AC71,0)</f>
        <v>0</v>
      </c>
      <c r="FV71">
        <f>IFERROR(VLOOKUP($D71,'Kalkulator mięs '!$C$5:$H$533,FV$4,0)*$AD71,0)</f>
        <v>0</v>
      </c>
      <c r="FW71">
        <f>IFERROR(VLOOKUP($D71,'Kalkulator mięs '!$C$5:$H$533,FW$4,0)*$AD71,0)</f>
        <v>0</v>
      </c>
      <c r="FX71">
        <f>IFERROR(VLOOKUP($D71,'Kalkulator mięs '!$C$5:$H$533,FX$4,0)*$AD71,0)</f>
        <v>0</v>
      </c>
      <c r="FY71">
        <f>IFERROR(VLOOKUP($D71,'Kalkulator mięs '!$C$5:$H$533,FY$4,0)*$AE71,0)</f>
        <v>0</v>
      </c>
      <c r="FZ71">
        <f>IFERROR(VLOOKUP($D71,'Kalkulator mięs '!$C$5:$H$533,FZ$4,0)*$AE71,0)</f>
        <v>0</v>
      </c>
      <c r="GA71">
        <f>IFERROR(VLOOKUP($D71,'Kalkulator mięs '!$C$5:$H$533,GA$4,0)*$AE71,0)</f>
        <v>0</v>
      </c>
      <c r="GB71">
        <f>IFERROR(VLOOKUP($D71,'Kalkulator mięs '!$C$5:$H$533,GB$4,0)*$AF71,0)</f>
        <v>0</v>
      </c>
      <c r="GC71">
        <f>IFERROR(VLOOKUP($D71,'Kalkulator mięs '!$C$5:$H$533,GC$4,0)*$AF71,0)</f>
        <v>0</v>
      </c>
      <c r="GD71">
        <f>IFERROR(VLOOKUP($D71,'Kalkulator mięs '!$C$5:$H$533,GD$4,0)*$AF71,0)</f>
        <v>0</v>
      </c>
      <c r="GE71">
        <f>IFERROR(VLOOKUP($D71,'Kalkulator mięs '!$C$5:$H$533,GE$4,0)*$AG71,0)</f>
        <v>0</v>
      </c>
      <c r="GF71">
        <f>IFERROR(VLOOKUP($D71,'Kalkulator mięs '!$C$5:$H$533,GF$4,0)*$AG71,0)</f>
        <v>0</v>
      </c>
      <c r="GG71">
        <f>IFERROR(VLOOKUP($D71,'Kalkulator mięs '!$C$5:$H$533,GG$4,0)*$AG71,0)</f>
        <v>0</v>
      </c>
      <c r="GH71">
        <f>IFERROR(VLOOKUP($D71,'Kalkulator mięs '!$C$5:$H$533,GH$4,0)*$AH71,0)</f>
        <v>0</v>
      </c>
      <c r="GI71">
        <f>IFERROR(VLOOKUP($D71,'Kalkulator mięs '!$C$5:$H$533,GI$4,0)*$AH71,0)</f>
        <v>0</v>
      </c>
      <c r="GJ71">
        <f>IFERROR(VLOOKUP($D71,'Kalkulator mięs '!$C$5:$H$533,GJ$4,0)*$AH71,0)</f>
        <v>0</v>
      </c>
      <c r="GK71">
        <f>IFERROR(VLOOKUP($D71,'Kalkulator mięs '!$C$5:$H$533,GK$4,0)*$AI71,0)</f>
        <v>0</v>
      </c>
      <c r="GL71">
        <f>IFERROR(VLOOKUP($D71,'Kalkulator mięs '!$C$5:$H$533,GL$4,0)*$AI71,0)</f>
        <v>0</v>
      </c>
      <c r="GM71">
        <f>IFERROR(VLOOKUP($D71,'Kalkulator mięs '!$C$5:$H$533,GM$4,0)*$AI71,0)</f>
        <v>0</v>
      </c>
      <c r="GN71">
        <f>IFERROR(VLOOKUP($D71,'Kalkulator mięs '!$C$5:$H$533,GN$4,0)*$AJ71,0)</f>
        <v>0</v>
      </c>
      <c r="GO71">
        <f>IFERROR(VLOOKUP($D71,'Kalkulator mięs '!$C$5:$H$533,GO$4,0)*$AJ71,0)</f>
        <v>0</v>
      </c>
      <c r="GP71">
        <f>IFERROR(VLOOKUP($D71,'Kalkulator mięs '!$C$5:$H$533,GP$4,0)*$AJ71,0)</f>
        <v>0</v>
      </c>
      <c r="GQ71">
        <f>IFERROR(VLOOKUP($D71,'Kalkulator mięs '!$C$5:$H$533,GQ$4,0)*$AK71,0)</f>
        <v>0</v>
      </c>
      <c r="GR71">
        <f>IFERROR(VLOOKUP($D71,'Kalkulator mięs '!$C$5:$H$533,GR$4,0)*$AK71,0)</f>
        <v>0</v>
      </c>
      <c r="GS71">
        <f>IFERROR(VLOOKUP($D71,'Kalkulator mięs '!$C$5:$H$533,GS$4,0)*$AK71,0)</f>
        <v>0</v>
      </c>
      <c r="GT71">
        <f>IFERROR(VLOOKUP($D71,'Kalkulator mięs '!$C$5:$H$533,GT$4,0)*$AL71,0)</f>
        <v>0</v>
      </c>
      <c r="GU71">
        <f>IFERROR(VLOOKUP($D71,'Kalkulator mięs '!$C$5:$H$533,GU$4,0)*$AL71,0)</f>
        <v>0</v>
      </c>
      <c r="GV71">
        <f>IFERROR(VLOOKUP($D71,'Kalkulator mięs '!$C$5:$H$533,GV$4,0)*$AL71,0)</f>
        <v>0</v>
      </c>
      <c r="GW71">
        <f>IFERROR(VLOOKUP($D71,'Kalkulator mięs '!$C$5:$H$533,GW$4,0)*$AM71,0)</f>
        <v>0</v>
      </c>
      <c r="GX71">
        <f>IFERROR(VLOOKUP($D71,'Kalkulator mięs '!$C$5:$H$533,GX$4,0)*$AM71,0)</f>
        <v>0</v>
      </c>
      <c r="GY71">
        <f>IFERROR(VLOOKUP($D71,'Kalkulator mięs '!$C$5:$H$533,GY$4,0)*$AM71,0)</f>
        <v>0</v>
      </c>
      <c r="GZ71">
        <f>IFERROR(VLOOKUP($D71,'Kalkulator mięs '!$C$5:$H$533,GZ$4,0)*$AN71,0)</f>
        <v>0</v>
      </c>
      <c r="HA71">
        <f>IFERROR(VLOOKUP($D71,'Kalkulator mięs '!$C$5:$H$533,HA$4,0)*$AN71,0)</f>
        <v>0</v>
      </c>
      <c r="HB71">
        <f>IFERROR(VLOOKUP($D71,'Kalkulator mięs '!$C$5:$H$533,HB$4,0)*$AN71,0)</f>
        <v>0</v>
      </c>
      <c r="HC71">
        <f>IFERROR(VLOOKUP($D71,'Kalkulator mięs '!$C$5:$H$533,HC$4,0)*$AO71,0)</f>
        <v>0</v>
      </c>
      <c r="HD71">
        <f>IFERROR(VLOOKUP($D71,'Kalkulator mięs '!$C$5:$H$533,HD$4,0)*$AO71,0)</f>
        <v>0</v>
      </c>
      <c r="HE71">
        <f>IFERROR(VLOOKUP($D71,'Kalkulator mięs '!$C$5:$H$533,HE$4,0)*$AO71,0)</f>
        <v>0</v>
      </c>
      <c r="HF71">
        <f>IFERROR(VLOOKUP($D71,'Kalkulator mięs '!$C$5:$H$533,HF$4,0)*$AP71,0)</f>
        <v>0</v>
      </c>
      <c r="HG71">
        <f>IFERROR(VLOOKUP($D71,'Kalkulator mięs '!$C$5:$H$533,HG$4,0)*$AP71,0)</f>
        <v>0</v>
      </c>
      <c r="HH71">
        <f>IFERROR(VLOOKUP($D71,'Kalkulator mięs '!$C$5:$H$533,HH$4,0)*$AP71,0)</f>
        <v>0</v>
      </c>
      <c r="HI71">
        <f>IFERROR(VLOOKUP($D71,'Kalkulator mięs '!$C$5:$H$533,HI$4,0)*$AQ71,0)</f>
        <v>0</v>
      </c>
      <c r="HJ71">
        <f>IFERROR(VLOOKUP($D71,'Kalkulator mięs '!$C$5:$H$533,HJ$4,0)*$AQ71,0)</f>
        <v>0</v>
      </c>
      <c r="HK71">
        <f>IFERROR(VLOOKUP($D71,'Kalkulator mięs '!$C$5:$H$533,HK$4,0)*$AQ71,0)</f>
        <v>0</v>
      </c>
      <c r="HL71">
        <f>IFERROR(VLOOKUP($D71,'Kalkulator mięs '!$C$5:$H$533,HL$4,0)*$AR71,0)</f>
        <v>0</v>
      </c>
      <c r="HM71">
        <f>IFERROR(VLOOKUP($D71,'Kalkulator mięs '!$C$5:$H$533,HM$4,0)*$AR71,0)</f>
        <v>0</v>
      </c>
      <c r="HN71">
        <f>IFERROR(VLOOKUP($D71,'Kalkulator mięs '!$C$5:$H$533,HN$4,0)*$AR71,0)</f>
        <v>0</v>
      </c>
      <c r="HO71">
        <f>IFERROR(VLOOKUP($D71,'Kalkulator mięs '!$C$5:$H$533,HO$4,0)*$AS71,0)</f>
        <v>0</v>
      </c>
      <c r="HP71">
        <f>IFERROR(VLOOKUP($D71,'Kalkulator mięs '!$C$5:$H$533,HP$4,0)*$AS71,0)</f>
        <v>0</v>
      </c>
      <c r="HQ71">
        <f>IFERROR(VLOOKUP($D71,'Kalkulator mięs '!$C$5:$H$533,HQ$4,0)*$AS71,0)</f>
        <v>0</v>
      </c>
      <c r="HR71">
        <f>IFERROR(VLOOKUP($D71,'Kalkulator mięs '!$C$5:$H$533,HR$4,0)*$AT71,0)</f>
        <v>0</v>
      </c>
      <c r="HS71">
        <f>IFERROR(VLOOKUP($D71,'Kalkulator mięs '!$C$5:$H$533,HS$4,0)*$AT71,0)</f>
        <v>0</v>
      </c>
      <c r="HT71">
        <f>IFERROR(VLOOKUP($D71,'Kalkulator mięs '!$C$5:$H$533,HT$4,0)*$AT71,0)</f>
        <v>0</v>
      </c>
      <c r="HU71">
        <f>IFERROR(VLOOKUP($D71,'Kalkulator mięs '!$C$5:$H$533,HU$4,0)*$AU71,0)</f>
        <v>0</v>
      </c>
      <c r="HV71">
        <f>IFERROR(VLOOKUP($D71,'Kalkulator mięs '!$C$5:$H$533,HV$4,0)*$AU71,0)</f>
        <v>0</v>
      </c>
      <c r="HW71">
        <f>IFERROR(VLOOKUP($D71,'Kalkulator mięs '!$C$5:$H$533,HW$4,0)*$AU71,0)</f>
        <v>0</v>
      </c>
      <c r="HX71">
        <f>IFERROR(VLOOKUP($D71,'Kalkulator mięs '!$C$5:$H$533,HX$4,0)*$AV71,0)</f>
        <v>0</v>
      </c>
      <c r="HY71">
        <f>IFERROR(VLOOKUP($D71,'Kalkulator mięs '!$C$5:$H$533,HY$4,0)*$AV71,0)</f>
        <v>0</v>
      </c>
      <c r="HZ71">
        <f>IFERROR(VLOOKUP($D71,'Kalkulator mięs '!$C$5:$H$533,HZ$4,0)*$AV71,0)</f>
        <v>0</v>
      </c>
      <c r="IA71">
        <f>IFERROR(VLOOKUP($D71,'Kalkulator mięs '!$C$5:$H$533,IA$4,0)*$AW71,0)</f>
        <v>0</v>
      </c>
      <c r="IB71">
        <f>IFERROR(VLOOKUP($D71,'Kalkulator mięs '!$C$5:$H$533,IB$4,0)*$AW71,0)</f>
        <v>0</v>
      </c>
      <c r="IC71">
        <f>IFERROR(VLOOKUP($D71,'Kalkulator mięs '!$C$5:$H$533,IC$4,0)*$AW71,0)</f>
        <v>0</v>
      </c>
      <c r="ID71">
        <f>IFERROR(VLOOKUP($D71,'Kalkulator mięs '!$C$5:$H$533,ID$4,0)*$AX71,0)</f>
        <v>0</v>
      </c>
      <c r="IE71">
        <f>IFERROR(VLOOKUP($D71,'Kalkulator mięs '!$C$5:$H$533,IE$4,0)*$AX71,0)</f>
        <v>0</v>
      </c>
      <c r="IF71">
        <f>IFERROR(VLOOKUP($D71,'Kalkulator mięs '!$C$5:$H$533,IF$4,0)*$AX71,0)</f>
        <v>0</v>
      </c>
      <c r="IG71">
        <f>IFERROR(VLOOKUP($D71,'Kalkulator mięs '!$C$5:$H$533,IG$4,0)*$AY71,0)</f>
        <v>0</v>
      </c>
      <c r="IH71">
        <f>IFERROR(VLOOKUP($D71,'Kalkulator mięs '!$C$5:$H$533,IH$4,0)*$AY71,0)</f>
        <v>0</v>
      </c>
      <c r="II71">
        <f>IFERROR(VLOOKUP($D71,'Kalkulator mięs '!$C$5:$H$533,II$4,0)*$AY71,0)</f>
        <v>0</v>
      </c>
      <c r="IJ71">
        <f>IFERROR(VLOOKUP($D71,'Kalkulator mięs '!$C$5:$H$533,IJ$4,0)*$AZ71,0)</f>
        <v>0</v>
      </c>
      <c r="IK71">
        <f>IFERROR(VLOOKUP($D71,'Kalkulator mięs '!$C$5:$H$533,IK$4,0)*$AZ71,0)</f>
        <v>0</v>
      </c>
      <c r="IL71">
        <f>IFERROR(VLOOKUP($D71,'Kalkulator mięs '!$C$5:$H$533,IL$4,0)*$AZ71,0)</f>
        <v>0</v>
      </c>
      <c r="IM71">
        <f>IFERROR(VLOOKUP($D71,'Kalkulator mięs '!$C$5:$H$533,IM$4,0)*$BA71,0)</f>
        <v>0</v>
      </c>
      <c r="IN71">
        <f>IFERROR(VLOOKUP($D71,'Kalkulator mięs '!$C$5:$H$533,IN$4,0)*$BA71,0)</f>
        <v>0</v>
      </c>
      <c r="IO71">
        <f>IFERROR(VLOOKUP($D71,'Kalkulator mięs '!$C$5:$H$533,IO$4,0)*$BA71,0)</f>
        <v>0</v>
      </c>
    </row>
    <row r="72" spans="2:249" ht="15.75">
      <c r="B72" t="str">
        <f>VLOOKUP(D72,Receptury_z!$A:$B,2,0)</f>
        <v>ON</v>
      </c>
      <c r="C72" s="23">
        <v>5534</v>
      </c>
      <c r="D72" s="24">
        <v>7061</v>
      </c>
      <c r="E72" s="26" t="s">
        <v>5436</v>
      </c>
      <c r="F72" s="14">
        <f>IF($B72="OFF",BE72,VLOOKUP($D72,Receptury_z!$D:$AI,F$4,0))</f>
        <v>0</v>
      </c>
      <c r="G72" s="14">
        <f>IF($B72="OFF",BF72,VLOOKUP($D72,Receptury_z!$D:$AI,G$4,0))</f>
        <v>377.46</v>
      </c>
      <c r="H72" s="14">
        <f>IF($B72="OFF",BG72,VLOOKUP($D72,Receptury_z!$D:$AI,H$4,0))</f>
        <v>0</v>
      </c>
      <c r="I72" s="14">
        <f>IF($B72="OFF",BH72,VLOOKUP($D72,Receptury_z!$D:$AI,I$4,0))</f>
        <v>0</v>
      </c>
      <c r="J72" s="14">
        <f>IF($B72="OFF",BI72,VLOOKUP($D72,Receptury_z!$D:$AI,J$4,0))</f>
        <v>0</v>
      </c>
      <c r="K72" s="14">
        <f>IF($B72="OFF",BJ72,VLOOKUP($D72,Receptury_z!$D:$AI,K$4,0))</f>
        <v>0</v>
      </c>
      <c r="L72" s="14">
        <f>IF($B72="OFF",BK72,VLOOKUP($D72,Receptury_z!$D:$AI,L$4,0))</f>
        <v>0</v>
      </c>
      <c r="M72" s="14">
        <f>IF($B72="OFF",BL72,VLOOKUP($D72,Receptury_z!$D:$AI,M$4,0))</f>
        <v>0</v>
      </c>
      <c r="N72" s="14">
        <f>IF($B72="OFF",BM72,VLOOKUP($D72,Receptury_z!$D:$AI,N$4,0))</f>
        <v>0</v>
      </c>
      <c r="O72" s="14">
        <f>IF($B72="OFF",BN72,VLOOKUP($D72,Receptury_z!$D:$AI,O$4,0))</f>
        <v>0</v>
      </c>
      <c r="P72" s="14">
        <f>IF($B72="OFF",BO72,VLOOKUP($D72,Receptury_z!$D:$AI,P$4,0))</f>
        <v>0</v>
      </c>
      <c r="Q72" s="14">
        <f>IF($B72="OFF",BP72,VLOOKUP($D72,Receptury_z!$D:$AI,Q$4,0))</f>
        <v>0</v>
      </c>
      <c r="R72" s="14">
        <f>IF($B72="OFF",BQ72,VLOOKUP($D72,Receptury_z!$D:$AI,R$4,0))</f>
        <v>0</v>
      </c>
      <c r="S72" s="14">
        <f>IF($B72="OFF",BR72,VLOOKUP($D72,Receptury_z!$D:$AI,S$4,0))</f>
        <v>0</v>
      </c>
      <c r="T72" s="14">
        <f>IF($B72="OFF",BS72,VLOOKUP($D72,Receptury_z!$D:$AI,T$4,0))</f>
        <v>0</v>
      </c>
      <c r="U72" s="14">
        <f>IF($B72="OFF",BT72,VLOOKUP($D72,Receptury_z!$D:$AI,U$4,0))</f>
        <v>0</v>
      </c>
      <c r="V72" s="14">
        <f>IF($B72="OFF",BU72,VLOOKUP($D72,Receptury_z!$D:$AI,V$4,0))</f>
        <v>0</v>
      </c>
      <c r="W72" s="14">
        <f>IF($B72="OFF",BV72,VLOOKUP($D72,Receptury_z!$D:$AI,W$4,0))</f>
        <v>0</v>
      </c>
      <c r="X72" s="14">
        <f>IF($B72="OFF",BW72,VLOOKUP($D72,Receptury_z!$D:$AI,X$4,0))</f>
        <v>0</v>
      </c>
      <c r="Y72" s="14">
        <f>IF($B72="OFF",BX72,VLOOKUP($D72,Receptury_z!$D:$AI,Y$4,0))</f>
        <v>41.4</v>
      </c>
      <c r="Z72" s="14">
        <f>IF($B72="OFF",BY72,VLOOKUP($D72,Receptury_z!$D:$AI,Z$4,0))</f>
        <v>0</v>
      </c>
      <c r="AA72" s="14">
        <f>IF($B72="OFF",BZ72,VLOOKUP($D72,Receptury_z!$D:$AI,AA$4,0))</f>
        <v>0</v>
      </c>
      <c r="AB72" s="14">
        <f>IF($B72="OFF",CA72,VLOOKUP($D72,Receptury_z!$D:$AI,AB$4,0))</f>
        <v>25.02</v>
      </c>
      <c r="AC72" s="14">
        <f>IF($B72="OFF",CB72,VLOOKUP($D72,Receptury_z!$D:$AI,AC$4,0))</f>
        <v>0</v>
      </c>
      <c r="AD72" s="14">
        <f>IF($B72="OFF",CC72,VLOOKUP($D72,Receptury_z!$D:$AI,AD$4,0))</f>
        <v>0</v>
      </c>
      <c r="AE72" s="14">
        <f>IF($B72="OFF",CD72,VLOOKUP($D72,Receptury_z!$D:$AI,AE$4,0))</f>
        <v>0</v>
      </c>
      <c r="AF72" s="14">
        <f>IF($B72="OFF",CE72,VLOOKUP($D72,Receptury_z!$D:$AI,AF$4,0))</f>
        <v>0</v>
      </c>
      <c r="AG72" s="14">
        <f>IF($B72="OFF",CF72,VLOOKUP($D72,Receptury_z!$D:$AI,AG$4,0))</f>
        <v>47.79</v>
      </c>
      <c r="AH72" s="14">
        <f>IF($B72="OFF",CG72,VLOOKUP($D72,Receptury_z!$D:$AI,AH$4,0))</f>
        <v>0</v>
      </c>
      <c r="AI72" s="14">
        <f>IF($B72="OFF",CH72,VLOOKUP($D72,Receptury_z!$D:$AI,AI$4,0))</f>
        <v>0</v>
      </c>
      <c r="AJ72" s="14">
        <f>IF($B72="OFF",CI72,VLOOKUP($D72,Receptury_z!$D:$AS,AJ$4,0))</f>
        <v>0</v>
      </c>
      <c r="AK72" s="14">
        <f>IF($B72="OFF",CJ72,VLOOKUP($D72,Receptury_z!$D:$AS,AK$4,0))</f>
        <v>0</v>
      </c>
      <c r="AL72" s="14">
        <f>IF($B72="OFF",CK72,VLOOKUP($D72,Receptury_z!$D:$AS,AL$4,0))</f>
        <v>0</v>
      </c>
      <c r="AM72" s="14">
        <f>IF($B72="OFF",CL72,VLOOKUP($D72,Receptury_z!$D:$AS,AM$4,0))</f>
        <v>100</v>
      </c>
      <c r="AN72" s="14">
        <f>IF($B72="OFF",CM72,VLOOKUP($D72,Receptury_z!$D:$AS,AN$4,0))</f>
        <v>0</v>
      </c>
      <c r="AO72" s="14">
        <f>IF($B72="OFF",CN72,VLOOKUP($D72,Receptury_z!$D:$AS,AO$4,0))</f>
        <v>0</v>
      </c>
      <c r="AP72" s="14">
        <f>IF($B72="OFF",CO72,VLOOKUP($D72,Receptury_z!$D:$AS,AP$4,0))</f>
        <v>444.13</v>
      </c>
      <c r="AQ72" s="14">
        <f>IF($B72="OFF",CP72,VLOOKUP($D72,Receptury_z!$D:$AS,AQ$4,0))</f>
        <v>0</v>
      </c>
      <c r="AR72" s="14">
        <f>IF($B72="OFF",CQ72,VLOOKUP($D72,Receptury_z!$D:$AS,AR$4,0))</f>
        <v>0</v>
      </c>
      <c r="AS72" s="14">
        <f>IF($B72="OFF",CR72,VLOOKUP($D72,Receptury_z!$D:$AS,AS$4,0))</f>
        <v>0</v>
      </c>
      <c r="AT72" s="14">
        <f>IF($B72="OFF",CS72,VLOOKUP($D72,Receptury_z!$D:$AV,AT$4,0))</f>
        <v>0</v>
      </c>
      <c r="AU72" s="14">
        <f>IF($B72="OFF",CT72,VLOOKUP($D72,Receptury_z!$D:$AV,AU$4,0))</f>
        <v>0</v>
      </c>
      <c r="AV72" s="14">
        <f>IF($B72="OFF",CU72,VLOOKUP($D72,Receptury_z!$D:$AV,AV$4,0))</f>
        <v>0</v>
      </c>
      <c r="AW72" s="14">
        <f>IF($B72="OFF",CV72,VLOOKUP($D72,Receptury_z!$D:$BA,AW$4,0))</f>
        <v>0</v>
      </c>
      <c r="AX72" s="14">
        <f>IF($B72="OFF",CW72,VLOOKUP($D72,Receptury_z!$D:$BA,AX$4,0))</f>
        <v>0</v>
      </c>
      <c r="AY72" s="14">
        <f>IF($B72="OFF",CX72,VLOOKUP($D72,Receptury_z!$D:$BA,AY$4,0))</f>
        <v>0</v>
      </c>
      <c r="AZ72" s="14">
        <f>IF($B72="OFF",DA72,VLOOKUP($D72,Receptury_z!$D:$BA,AZ$4,0))</f>
        <v>0</v>
      </c>
      <c r="BA72" s="14">
        <f>IF($B72="OFF",DB72,VLOOKUP($D72,Receptury_z!$D:$BA,BA$4,0))</f>
        <v>0</v>
      </c>
      <c r="BC72" s="24">
        <v>7061</v>
      </c>
      <c r="BD72" s="26" t="s">
        <v>5436</v>
      </c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370">
        <v>27.8</v>
      </c>
      <c r="CB72" s="239"/>
      <c r="CC72" s="370">
        <v>414.5</v>
      </c>
      <c r="CD72" s="239"/>
      <c r="CE72" s="239"/>
      <c r="CF72" s="370">
        <v>53.4</v>
      </c>
      <c r="CG72" s="239"/>
      <c r="CH72" s="239"/>
      <c r="CI72" s="239"/>
      <c r="CJ72" s="239"/>
      <c r="CK72" s="239"/>
      <c r="CL72" s="239"/>
      <c r="CM72" s="239"/>
      <c r="CN72" s="239"/>
      <c r="CO72" s="370">
        <v>430.8</v>
      </c>
      <c r="CP72" s="239"/>
      <c r="CQ72" s="239"/>
      <c r="CR72" s="239"/>
      <c r="CS72" s="239"/>
      <c r="CT72" s="239"/>
      <c r="CU72" s="239"/>
      <c r="CV72" s="80"/>
      <c r="CW72" s="80"/>
      <c r="CX72" s="80"/>
      <c r="CY72" s="80"/>
      <c r="CZ72" s="80"/>
      <c r="DB72">
        <f>IFERROR(VLOOKUP($D72,'Kalkulator mięs '!$C$5:$H$533,DB$4,0)*F72,0)</f>
        <v>0</v>
      </c>
      <c r="DC72">
        <f>IFERROR(VLOOKUP($D72,'Kalkulator mięs '!$C$5:$H$533,DC$4,0)*F72,0)</f>
        <v>0</v>
      </c>
      <c r="DD72">
        <f>IFERROR(VLOOKUP($D72,'Kalkulator mięs '!$C$5:$H$533,DD$4,0)*F72,0)</f>
        <v>0</v>
      </c>
      <c r="DE72">
        <f>IFERROR(VLOOKUP($D72,'Kalkulator mięs '!$C$5:$H$533,DE$4,0)*$G72,0)</f>
        <v>0</v>
      </c>
      <c r="DF72">
        <f>IFERROR(VLOOKUP($D72,'Kalkulator mięs '!$C$5:$H$533,DF$4,0)*$G72,0)</f>
        <v>0</v>
      </c>
      <c r="DG72">
        <f>IFERROR(VLOOKUP($D72,'Kalkulator mięs '!$C$5:$H$533,DG$4,0)*$G72,0)</f>
        <v>0</v>
      </c>
      <c r="DH72">
        <f>IFERROR(VLOOKUP($D72,'Kalkulator mięs '!$C$5:$H$533,DH$4,0)*$H72,0)</f>
        <v>0</v>
      </c>
      <c r="DI72">
        <f>IFERROR(VLOOKUP($D72,'Kalkulator mięs '!$C$5:$H$533,DI$4,0)*$H72,0)</f>
        <v>0</v>
      </c>
      <c r="DJ72">
        <f>IFERROR(VLOOKUP($D72,'Kalkulator mięs '!$C$5:$H$533,DJ$4,0)*$H72,0)</f>
        <v>0</v>
      </c>
      <c r="DK72">
        <f>IFERROR(VLOOKUP($D72,'Kalkulator mięs '!$C$5:$H$533,DK$4,0)*$I72,0)</f>
        <v>0</v>
      </c>
      <c r="DL72">
        <f>IFERROR(VLOOKUP($D72,'Kalkulator mięs '!$C$5:$H$533,DL$4,0)*$I72,0)</f>
        <v>0</v>
      </c>
      <c r="DM72">
        <f>IFERROR(VLOOKUP($D72,'Kalkulator mięs '!$C$5:$H$533,DM$4,0)*$I72,0)</f>
        <v>0</v>
      </c>
      <c r="DN72">
        <f>IFERROR(VLOOKUP($D72,'Kalkulator mięs '!$C$5:$H$533,DN$4,0)*$J72,0)</f>
        <v>0</v>
      </c>
      <c r="DO72">
        <f>IFERROR(VLOOKUP($D72,'Kalkulator mięs '!$C$5:$H$533,DO$4,0)*$J72,0)</f>
        <v>0</v>
      </c>
      <c r="DP72">
        <f>IFERROR(VLOOKUP($D72,'Kalkulator mięs '!$C$5:$H$533,DP$4,0)*$J72,0)</f>
        <v>0</v>
      </c>
      <c r="DQ72">
        <f>IFERROR(VLOOKUP($D72,'Kalkulator mięs '!$C$5:$H$533,DQ$4,0)*$K72,0)</f>
        <v>0</v>
      </c>
      <c r="DR72">
        <f>IFERROR(VLOOKUP($D72,'Kalkulator mięs '!$C$5:$H$533,DR$4,0)*$K72,0)</f>
        <v>0</v>
      </c>
      <c r="DS72">
        <f>IFERROR(VLOOKUP($D72,'Kalkulator mięs '!$C$5:$H$533,DS$4,0)*$K72,0)</f>
        <v>0</v>
      </c>
      <c r="DT72">
        <f>IFERROR(VLOOKUP($D72,'Kalkulator mięs '!$C$5:$H$533,DT$4,0)*$L72,0)</f>
        <v>0</v>
      </c>
      <c r="DU72">
        <f>IFERROR(VLOOKUP($D72,'Kalkulator mięs '!$C$5:$H$533,DU$4,0)*$L72,0)</f>
        <v>0</v>
      </c>
      <c r="DV72">
        <f>IFERROR(VLOOKUP($D72,'Kalkulator mięs '!$C$5:$H$533,DV$4,0)*$L72,0)</f>
        <v>0</v>
      </c>
      <c r="DW72">
        <f>IFERROR(VLOOKUP($D72,'Kalkulator mięs '!$C$5:$H$533,DW$4,0)*$M72,0)</f>
        <v>0</v>
      </c>
      <c r="DX72">
        <f>IFERROR(VLOOKUP($D72,'Kalkulator mięs '!$C$5:$H$533,DX$4,0)*$M72,0)</f>
        <v>0</v>
      </c>
      <c r="DY72">
        <f>IFERROR(VLOOKUP($D72,'Kalkulator mięs '!$C$5:$H$533,DY$4,0)*$M72,0)</f>
        <v>0</v>
      </c>
      <c r="DZ72">
        <f>IFERROR(VLOOKUP($D72,'Kalkulator mięs '!$C$5:$H$533,DZ$4,0)*$N72,0)</f>
        <v>0</v>
      </c>
      <c r="EA72">
        <f>IFERROR(VLOOKUP($D72,'Kalkulator mięs '!$C$5:$H$533,EA$4,0)*$N72,0)</f>
        <v>0</v>
      </c>
      <c r="EB72">
        <f>IFERROR(VLOOKUP($D72,'Kalkulator mięs '!$C$5:$H$533,EB$4,0)*$N72,0)</f>
        <v>0</v>
      </c>
      <c r="EC72">
        <f>IFERROR(VLOOKUP($D72,'Kalkulator mięs '!$C$5:$H$533,EC$4,0)*$O72,0)</f>
        <v>0</v>
      </c>
      <c r="ED72">
        <f>IFERROR(VLOOKUP($D72,'Kalkulator mięs '!$C$5:$H$533,ED$4,0)*$O72,0)</f>
        <v>0</v>
      </c>
      <c r="EE72">
        <f>IFERROR(VLOOKUP($D72,'Kalkulator mięs '!$C$5:$H$533,EE$4,0)*$O72,0)</f>
        <v>0</v>
      </c>
      <c r="EF72">
        <f>IFERROR(VLOOKUP($D72,'Kalkulator mięs '!$C$5:$H$533,EF$4,0)*$P72,0)</f>
        <v>0</v>
      </c>
      <c r="EG72">
        <f>IFERROR(VLOOKUP($D72,'Kalkulator mięs '!$C$5:$H$533,EG$4,0)*$P72,0)</f>
        <v>0</v>
      </c>
      <c r="EH72">
        <f>IFERROR(VLOOKUP($D72,'Kalkulator mięs '!$C$5:$H$533,EH$4,0)*$P72,0)</f>
        <v>0</v>
      </c>
      <c r="EI72">
        <f>IFERROR(VLOOKUP($D72,'Kalkulator mięs '!$C$5:$H$533,EI$4,0)*$Q72,0)</f>
        <v>0</v>
      </c>
      <c r="EJ72">
        <f>IFERROR(VLOOKUP($D72,'Kalkulator mięs '!$C$5:$H$533,EJ$4,0)*$Q72,0)</f>
        <v>0</v>
      </c>
      <c r="EK72">
        <f>IFERROR(VLOOKUP($D72,'Kalkulator mięs '!$C$5:$H$533,EK$4,0)*$Q72,0)</f>
        <v>0</v>
      </c>
      <c r="EL72">
        <f>IFERROR(VLOOKUP($D72,'Kalkulator mięs '!$C$5:$H$533,EL$4,0)*$R72,0)</f>
        <v>0</v>
      </c>
      <c r="EM72">
        <f>IFERROR(VLOOKUP($D72,'Kalkulator mięs '!$C$5:$H$533,EM$4,0)*$R72,0)</f>
        <v>0</v>
      </c>
      <c r="EN72">
        <f>IFERROR(VLOOKUP($D72,'Kalkulator mięs '!$C$5:$H$533,EN$4,0)*$R72,0)</f>
        <v>0</v>
      </c>
      <c r="EO72">
        <f>IFERROR(VLOOKUP($D72,'Kalkulator mięs '!$C$5:$H$533,EO$4,0)*$S72,0)</f>
        <v>0</v>
      </c>
      <c r="EP72">
        <f>IFERROR(VLOOKUP($D72,'Kalkulator mięs '!$C$5:$H$533,EP$4,0)*$S72,0)</f>
        <v>0</v>
      </c>
      <c r="EQ72">
        <f>IFERROR(VLOOKUP($D72,'Kalkulator mięs '!$C$5:$H$533,EQ$4,0)*$S72,0)</f>
        <v>0</v>
      </c>
      <c r="ER72">
        <f>IFERROR(VLOOKUP($D72,'Kalkulator mięs '!$C$5:$H$533,ER$4,0)*$T72,0)</f>
        <v>0</v>
      </c>
      <c r="ES72">
        <f>IFERROR(VLOOKUP($D72,'Kalkulator mięs '!$C$5:$H$533,ES$4,0)*$T72,0)</f>
        <v>0</v>
      </c>
      <c r="ET72">
        <f>IFERROR(VLOOKUP($D72,'Kalkulator mięs '!$C$5:$H$533,ET$4,0)*$T72,0)</f>
        <v>0</v>
      </c>
      <c r="EU72">
        <f>IFERROR(VLOOKUP($D72,'Kalkulator mięs '!$C$5:$H$533,EU$4,0)*$U72,0)</f>
        <v>0</v>
      </c>
      <c r="EV72">
        <f>IFERROR(VLOOKUP($D72,'Kalkulator mięs '!$C$5:$H$533,EV$4,0)*$U72,0)</f>
        <v>0</v>
      </c>
      <c r="EW72">
        <f>IFERROR(VLOOKUP($D72,'Kalkulator mięs '!$C$5:$H$533,EW$4,0)*$U72,0)</f>
        <v>0</v>
      </c>
      <c r="EX72">
        <f>IFERROR(VLOOKUP($D72,'Kalkulator mięs '!$C$5:$H$533,EX$4,0)*$V72,0)</f>
        <v>0</v>
      </c>
      <c r="EY72">
        <f>IFERROR(VLOOKUP($D72,'Kalkulator mięs '!$C$5:$H$533,EY$4,0)*$V72,0)</f>
        <v>0</v>
      </c>
      <c r="EZ72">
        <f>IFERROR(VLOOKUP($D72,'Kalkulator mięs '!$C$5:$H$533,EZ$4,0)*$V72,0)</f>
        <v>0</v>
      </c>
      <c r="FA72">
        <f>IFERROR(VLOOKUP($D72,'Kalkulator mięs '!$C$5:$H$533,FA$4,0)*$W72,0)</f>
        <v>0</v>
      </c>
      <c r="FB72">
        <f>IFERROR(VLOOKUP($D72,'Kalkulator mięs '!$C$5:$H$533,FB$4,0)*$W72,0)</f>
        <v>0</v>
      </c>
      <c r="FC72">
        <f>IFERROR(VLOOKUP($D72,'Kalkulator mięs '!$C$5:$H$533,FC$4,0)*$W72,0)</f>
        <v>0</v>
      </c>
      <c r="FD72">
        <f>IFERROR(VLOOKUP($D72,'Kalkulator mięs '!$C$5:$H$533,FD$4,0)*$X72,0)</f>
        <v>0</v>
      </c>
      <c r="FE72">
        <f>IFERROR(VLOOKUP($D72,'Kalkulator mięs '!$C$5:$H$533,FE$4,0)*$X72,0)</f>
        <v>0</v>
      </c>
      <c r="FF72">
        <f>IFERROR(VLOOKUP($D72,'Kalkulator mięs '!$C$5:$H$533,FF$4,0)*$X72,0)</f>
        <v>0</v>
      </c>
      <c r="FG72">
        <f>IFERROR(VLOOKUP($D72,'Kalkulator mięs '!$C$5:$H$533,FG$4,0)*$Y72,0)</f>
        <v>0</v>
      </c>
      <c r="FH72">
        <f>IFERROR(VLOOKUP($D72,'Kalkulator mięs '!$C$5:$H$533,FH$4,0)*$Y72,0)</f>
        <v>0</v>
      </c>
      <c r="FI72">
        <f>IFERROR(VLOOKUP($D72,'Kalkulator mięs '!$C$5:$H$533,FI$4,0)*$Y72,0)</f>
        <v>0</v>
      </c>
      <c r="FJ72">
        <f>IFERROR(VLOOKUP($D72,'Kalkulator mięs '!$C$5:$H$533,FJ$4,0)*$Z72,0)</f>
        <v>0</v>
      </c>
      <c r="FK72">
        <f>IFERROR(VLOOKUP($D72,'Kalkulator mięs '!$C$5:$H$533,FK$4,0)*$Z72,0)</f>
        <v>0</v>
      </c>
      <c r="FL72">
        <f>IFERROR(VLOOKUP($D72,'Kalkulator mięs '!$C$5:$H$533,FL$4,0)*$Z72,0)</f>
        <v>0</v>
      </c>
      <c r="FM72">
        <f>IFERROR(VLOOKUP($D72,'Kalkulator mięs '!$C$5:$H$533,FM$4,0)*$AA72,0)</f>
        <v>0</v>
      </c>
      <c r="FN72">
        <f>IFERROR(VLOOKUP($D72,'Kalkulator mięs '!$C$5:$H$533,FN$4,0)*$AA72,0)</f>
        <v>0</v>
      </c>
      <c r="FO72">
        <f>IFERROR(VLOOKUP($D72,'Kalkulator mięs '!$C$5:$H$533,FO$4,0)*$AA72,0)</f>
        <v>0</v>
      </c>
      <c r="FP72">
        <f>IFERROR(VLOOKUP($D72,'Kalkulator mięs '!$C$5:$H$533,FP$4,0)*$AB72,0)</f>
        <v>0</v>
      </c>
      <c r="FQ72">
        <f>IFERROR(VLOOKUP($D72,'Kalkulator mięs '!$C$5:$H$533,FQ$4,0)*$AB72,0)</f>
        <v>0</v>
      </c>
      <c r="FR72">
        <f>IFERROR(VLOOKUP($D72,'Kalkulator mięs '!$C$5:$H$533,FR$4,0)*$AB72,0)</f>
        <v>0</v>
      </c>
      <c r="FS72">
        <f>IFERROR(VLOOKUP($D72,'Kalkulator mięs '!$C$5:$H$533,FS$4,0)*$AC72,0)</f>
        <v>0</v>
      </c>
      <c r="FT72">
        <f>IFERROR(VLOOKUP($D72,'Kalkulator mięs '!$C$5:$H$533,FT$4,0)*$AC72,0)</f>
        <v>0</v>
      </c>
      <c r="FU72">
        <f>IFERROR(VLOOKUP($D72,'Kalkulator mięs '!$C$5:$H$533,FU$4,0)*$AC72,0)</f>
        <v>0</v>
      </c>
      <c r="FV72">
        <f>IFERROR(VLOOKUP($D72,'Kalkulator mięs '!$C$5:$H$533,FV$4,0)*$AD72,0)</f>
        <v>0</v>
      </c>
      <c r="FW72">
        <f>IFERROR(VLOOKUP($D72,'Kalkulator mięs '!$C$5:$H$533,FW$4,0)*$AD72,0)</f>
        <v>0</v>
      </c>
      <c r="FX72">
        <f>IFERROR(VLOOKUP($D72,'Kalkulator mięs '!$C$5:$H$533,FX$4,0)*$AD72,0)</f>
        <v>0</v>
      </c>
      <c r="FY72">
        <f>IFERROR(VLOOKUP($D72,'Kalkulator mięs '!$C$5:$H$533,FY$4,0)*$AE72,0)</f>
        <v>0</v>
      </c>
      <c r="FZ72">
        <f>IFERROR(VLOOKUP($D72,'Kalkulator mięs '!$C$5:$H$533,FZ$4,0)*$AE72,0)</f>
        <v>0</v>
      </c>
      <c r="GA72">
        <f>IFERROR(VLOOKUP($D72,'Kalkulator mięs '!$C$5:$H$533,GA$4,0)*$AE72,0)</f>
        <v>0</v>
      </c>
      <c r="GB72">
        <f>IFERROR(VLOOKUP($D72,'Kalkulator mięs '!$C$5:$H$533,GB$4,0)*$AF72,0)</f>
        <v>0</v>
      </c>
      <c r="GC72">
        <f>IFERROR(VLOOKUP($D72,'Kalkulator mięs '!$C$5:$H$533,GC$4,0)*$AF72,0)</f>
        <v>0</v>
      </c>
      <c r="GD72">
        <f>IFERROR(VLOOKUP($D72,'Kalkulator mięs '!$C$5:$H$533,GD$4,0)*$AF72,0)</f>
        <v>0</v>
      </c>
      <c r="GE72">
        <f>IFERROR(VLOOKUP($D72,'Kalkulator mięs '!$C$5:$H$533,GE$4,0)*$AG72,0)</f>
        <v>0</v>
      </c>
      <c r="GF72">
        <f>IFERROR(VLOOKUP($D72,'Kalkulator mięs '!$C$5:$H$533,GF$4,0)*$AG72,0)</f>
        <v>0</v>
      </c>
      <c r="GG72">
        <f>IFERROR(VLOOKUP($D72,'Kalkulator mięs '!$C$5:$H$533,GG$4,0)*$AG72,0)</f>
        <v>0</v>
      </c>
      <c r="GH72">
        <f>IFERROR(VLOOKUP($D72,'Kalkulator mięs '!$C$5:$H$533,GH$4,0)*$AH72,0)</f>
        <v>0</v>
      </c>
      <c r="GI72">
        <f>IFERROR(VLOOKUP($D72,'Kalkulator mięs '!$C$5:$H$533,GI$4,0)*$AH72,0)</f>
        <v>0</v>
      </c>
      <c r="GJ72">
        <f>IFERROR(VLOOKUP($D72,'Kalkulator mięs '!$C$5:$H$533,GJ$4,0)*$AH72,0)</f>
        <v>0</v>
      </c>
      <c r="GK72">
        <f>IFERROR(VLOOKUP($D72,'Kalkulator mięs '!$C$5:$H$533,GK$4,0)*$AI72,0)</f>
        <v>0</v>
      </c>
      <c r="GL72">
        <f>IFERROR(VLOOKUP($D72,'Kalkulator mięs '!$C$5:$H$533,GL$4,0)*$AI72,0)</f>
        <v>0</v>
      </c>
      <c r="GM72">
        <f>IFERROR(VLOOKUP($D72,'Kalkulator mięs '!$C$5:$H$533,GM$4,0)*$AI72,0)</f>
        <v>0</v>
      </c>
      <c r="GN72">
        <f>IFERROR(VLOOKUP($D72,'Kalkulator mięs '!$C$5:$H$533,GN$4,0)*$AJ72,0)</f>
        <v>0</v>
      </c>
      <c r="GO72">
        <f>IFERROR(VLOOKUP($D72,'Kalkulator mięs '!$C$5:$H$533,GO$4,0)*$AJ72,0)</f>
        <v>0</v>
      </c>
      <c r="GP72">
        <f>IFERROR(VLOOKUP($D72,'Kalkulator mięs '!$C$5:$H$533,GP$4,0)*$AJ72,0)</f>
        <v>0</v>
      </c>
      <c r="GQ72">
        <f>IFERROR(VLOOKUP($D72,'Kalkulator mięs '!$C$5:$H$533,GQ$4,0)*$AK72,0)</f>
        <v>0</v>
      </c>
      <c r="GR72">
        <f>IFERROR(VLOOKUP($D72,'Kalkulator mięs '!$C$5:$H$533,GR$4,0)*$AK72,0)</f>
        <v>0</v>
      </c>
      <c r="GS72">
        <f>IFERROR(VLOOKUP($D72,'Kalkulator mięs '!$C$5:$H$533,GS$4,0)*$AK72,0)</f>
        <v>0</v>
      </c>
      <c r="GT72">
        <f>IFERROR(VLOOKUP($D72,'Kalkulator mięs '!$C$5:$H$533,GT$4,0)*$AL72,0)</f>
        <v>0</v>
      </c>
      <c r="GU72">
        <f>IFERROR(VLOOKUP($D72,'Kalkulator mięs '!$C$5:$H$533,GU$4,0)*$AL72,0)</f>
        <v>0</v>
      </c>
      <c r="GV72">
        <f>IFERROR(VLOOKUP($D72,'Kalkulator mięs '!$C$5:$H$533,GV$4,0)*$AL72,0)</f>
        <v>0</v>
      </c>
      <c r="GW72">
        <f>IFERROR(VLOOKUP($D72,'Kalkulator mięs '!$C$5:$H$533,GW$4,0)*$AM72,0)</f>
        <v>0</v>
      </c>
      <c r="GX72">
        <f>IFERROR(VLOOKUP($D72,'Kalkulator mięs '!$C$5:$H$533,GX$4,0)*$AM72,0)</f>
        <v>0</v>
      </c>
      <c r="GY72">
        <f>IFERROR(VLOOKUP($D72,'Kalkulator mięs '!$C$5:$H$533,GY$4,0)*$AM72,0)</f>
        <v>0</v>
      </c>
      <c r="GZ72">
        <f>IFERROR(VLOOKUP($D72,'Kalkulator mięs '!$C$5:$H$533,GZ$4,0)*$AN72,0)</f>
        <v>0</v>
      </c>
      <c r="HA72">
        <f>IFERROR(VLOOKUP($D72,'Kalkulator mięs '!$C$5:$H$533,HA$4,0)*$AN72,0)</f>
        <v>0</v>
      </c>
      <c r="HB72">
        <f>IFERROR(VLOOKUP($D72,'Kalkulator mięs '!$C$5:$H$533,HB$4,0)*$AN72,0)</f>
        <v>0</v>
      </c>
      <c r="HC72">
        <f>IFERROR(VLOOKUP($D72,'Kalkulator mięs '!$C$5:$H$533,HC$4,0)*$AO72,0)</f>
        <v>0</v>
      </c>
      <c r="HD72">
        <f>IFERROR(VLOOKUP($D72,'Kalkulator mięs '!$C$5:$H$533,HD$4,0)*$AO72,0)</f>
        <v>0</v>
      </c>
      <c r="HE72">
        <f>IFERROR(VLOOKUP($D72,'Kalkulator mięs '!$C$5:$H$533,HE$4,0)*$AO72,0)</f>
        <v>0</v>
      </c>
      <c r="HF72">
        <f>IFERROR(VLOOKUP($D72,'Kalkulator mięs '!$C$5:$H$533,HF$4,0)*$AP72,0)</f>
        <v>0</v>
      </c>
      <c r="HG72">
        <f>IFERROR(VLOOKUP($D72,'Kalkulator mięs '!$C$5:$H$533,HG$4,0)*$AP72,0)</f>
        <v>0</v>
      </c>
      <c r="HH72">
        <f>IFERROR(VLOOKUP($D72,'Kalkulator mięs '!$C$5:$H$533,HH$4,0)*$AP72,0)</f>
        <v>0</v>
      </c>
      <c r="HI72">
        <f>IFERROR(VLOOKUP($D72,'Kalkulator mięs '!$C$5:$H$533,HI$4,0)*$AQ72,0)</f>
        <v>0</v>
      </c>
      <c r="HJ72">
        <f>IFERROR(VLOOKUP($D72,'Kalkulator mięs '!$C$5:$H$533,HJ$4,0)*$AQ72,0)</f>
        <v>0</v>
      </c>
      <c r="HK72">
        <f>IFERROR(VLOOKUP($D72,'Kalkulator mięs '!$C$5:$H$533,HK$4,0)*$AQ72,0)</f>
        <v>0</v>
      </c>
      <c r="HL72">
        <f>IFERROR(VLOOKUP($D72,'Kalkulator mięs '!$C$5:$H$533,HL$4,0)*$AR72,0)</f>
        <v>0</v>
      </c>
      <c r="HM72">
        <f>IFERROR(VLOOKUP($D72,'Kalkulator mięs '!$C$5:$H$533,HM$4,0)*$AR72,0)</f>
        <v>0</v>
      </c>
      <c r="HN72">
        <f>IFERROR(VLOOKUP($D72,'Kalkulator mięs '!$C$5:$H$533,HN$4,0)*$AR72,0)</f>
        <v>0</v>
      </c>
      <c r="HO72">
        <f>IFERROR(VLOOKUP($D72,'Kalkulator mięs '!$C$5:$H$533,HO$4,0)*$AS72,0)</f>
        <v>0</v>
      </c>
      <c r="HP72">
        <f>IFERROR(VLOOKUP($D72,'Kalkulator mięs '!$C$5:$H$533,HP$4,0)*$AS72,0)</f>
        <v>0</v>
      </c>
      <c r="HQ72">
        <f>IFERROR(VLOOKUP($D72,'Kalkulator mięs '!$C$5:$H$533,HQ$4,0)*$AS72,0)</f>
        <v>0</v>
      </c>
      <c r="HR72">
        <f>IFERROR(VLOOKUP($D72,'Kalkulator mięs '!$C$5:$H$533,HR$4,0)*$AT72,0)</f>
        <v>0</v>
      </c>
      <c r="HS72">
        <f>IFERROR(VLOOKUP($D72,'Kalkulator mięs '!$C$5:$H$533,HS$4,0)*$AT72,0)</f>
        <v>0</v>
      </c>
      <c r="HT72">
        <f>IFERROR(VLOOKUP($D72,'Kalkulator mięs '!$C$5:$H$533,HT$4,0)*$AT72,0)</f>
        <v>0</v>
      </c>
      <c r="HU72">
        <f>IFERROR(VLOOKUP($D72,'Kalkulator mięs '!$C$5:$H$533,HU$4,0)*$AU72,0)</f>
        <v>0</v>
      </c>
      <c r="HV72">
        <f>IFERROR(VLOOKUP($D72,'Kalkulator mięs '!$C$5:$H$533,HV$4,0)*$AU72,0)</f>
        <v>0</v>
      </c>
      <c r="HW72">
        <f>IFERROR(VLOOKUP($D72,'Kalkulator mięs '!$C$5:$H$533,HW$4,0)*$AU72,0)</f>
        <v>0</v>
      </c>
      <c r="HX72">
        <f>IFERROR(VLOOKUP($D72,'Kalkulator mięs '!$C$5:$H$533,HX$4,0)*$AV72,0)</f>
        <v>0</v>
      </c>
      <c r="HY72">
        <f>IFERROR(VLOOKUP($D72,'Kalkulator mięs '!$C$5:$H$533,HY$4,0)*$AV72,0)</f>
        <v>0</v>
      </c>
      <c r="HZ72">
        <f>IFERROR(VLOOKUP($D72,'Kalkulator mięs '!$C$5:$H$533,HZ$4,0)*$AV72,0)</f>
        <v>0</v>
      </c>
      <c r="IA72">
        <f>IFERROR(VLOOKUP($D72,'Kalkulator mięs '!$C$5:$H$533,IA$4,0)*$AW72,0)</f>
        <v>0</v>
      </c>
      <c r="IB72">
        <f>IFERROR(VLOOKUP($D72,'Kalkulator mięs '!$C$5:$H$533,IB$4,0)*$AW72,0)</f>
        <v>0</v>
      </c>
      <c r="IC72">
        <f>IFERROR(VLOOKUP($D72,'Kalkulator mięs '!$C$5:$H$533,IC$4,0)*$AW72,0)</f>
        <v>0</v>
      </c>
      <c r="ID72">
        <f>IFERROR(VLOOKUP($D72,'Kalkulator mięs '!$C$5:$H$533,ID$4,0)*$AX72,0)</f>
        <v>0</v>
      </c>
      <c r="IE72">
        <f>IFERROR(VLOOKUP($D72,'Kalkulator mięs '!$C$5:$H$533,IE$4,0)*$AX72,0)</f>
        <v>0</v>
      </c>
      <c r="IF72">
        <f>IFERROR(VLOOKUP($D72,'Kalkulator mięs '!$C$5:$H$533,IF$4,0)*$AX72,0)</f>
        <v>0</v>
      </c>
      <c r="IG72">
        <f>IFERROR(VLOOKUP($D72,'Kalkulator mięs '!$C$5:$H$533,IG$4,0)*$AY72,0)</f>
        <v>0</v>
      </c>
      <c r="IH72">
        <f>IFERROR(VLOOKUP($D72,'Kalkulator mięs '!$C$5:$H$533,IH$4,0)*$AY72,0)</f>
        <v>0</v>
      </c>
      <c r="II72">
        <f>IFERROR(VLOOKUP($D72,'Kalkulator mięs '!$C$5:$H$533,II$4,0)*$AY72,0)</f>
        <v>0</v>
      </c>
      <c r="IJ72">
        <f>IFERROR(VLOOKUP($D72,'Kalkulator mięs '!$C$5:$H$533,IJ$4,0)*$AZ72,0)</f>
        <v>0</v>
      </c>
      <c r="IK72">
        <f>IFERROR(VLOOKUP($D72,'Kalkulator mięs '!$C$5:$H$533,IK$4,0)*$AZ72,0)</f>
        <v>0</v>
      </c>
      <c r="IL72">
        <f>IFERROR(VLOOKUP($D72,'Kalkulator mięs '!$C$5:$H$533,IL$4,0)*$AZ72,0)</f>
        <v>0</v>
      </c>
      <c r="IM72">
        <f>IFERROR(VLOOKUP($D72,'Kalkulator mięs '!$C$5:$H$533,IM$4,0)*$BA72,0)</f>
        <v>0</v>
      </c>
      <c r="IN72">
        <f>IFERROR(VLOOKUP($D72,'Kalkulator mięs '!$C$5:$H$533,IN$4,0)*$BA72,0)</f>
        <v>0</v>
      </c>
      <c r="IO72">
        <f>IFERROR(VLOOKUP($D72,'Kalkulator mięs '!$C$5:$H$533,IO$4,0)*$BA72,0)</f>
        <v>0</v>
      </c>
    </row>
    <row r="73" spans="2:249" ht="15.75">
      <c r="B73" t="str">
        <f>VLOOKUP(D73,Receptury_z!$A:$B,2,0)</f>
        <v>ON</v>
      </c>
      <c r="C73" s="23">
        <v>5535</v>
      </c>
      <c r="D73" s="24">
        <v>7064</v>
      </c>
      <c r="E73" s="26" t="s">
        <v>8519</v>
      </c>
      <c r="F73" s="14">
        <f>IF($B73="OFF",BE73,VLOOKUP($D73,Receptury_z!$D:$AI,F$4,0))</f>
        <v>0</v>
      </c>
      <c r="G73" s="14">
        <f>IF($B73="OFF",BF73,VLOOKUP($D73,Receptury_z!$D:$AI,G$4,0))</f>
        <v>331.47</v>
      </c>
      <c r="H73" s="14">
        <f>IF($B73="OFF",BG73,VLOOKUP($D73,Receptury_z!$D:$AI,H$4,0))</f>
        <v>0</v>
      </c>
      <c r="I73" s="14">
        <f>IF($B73="OFF",BH73,VLOOKUP($D73,Receptury_z!$D:$AI,I$4,0))</f>
        <v>0</v>
      </c>
      <c r="J73" s="14">
        <f>IF($B73="OFF",BI73,VLOOKUP($D73,Receptury_z!$D:$AI,J$4,0))</f>
        <v>0</v>
      </c>
      <c r="K73" s="14">
        <f>IF($B73="OFF",BJ73,VLOOKUP($D73,Receptury_z!$D:$AI,K$4,0))</f>
        <v>0</v>
      </c>
      <c r="L73" s="14">
        <f>IF($B73="OFF",BK73,VLOOKUP($D73,Receptury_z!$D:$AI,L$4,0))</f>
        <v>0</v>
      </c>
      <c r="M73" s="14">
        <f>IF($B73="OFF",BL73,VLOOKUP($D73,Receptury_z!$D:$AI,M$4,0))</f>
        <v>0</v>
      </c>
      <c r="N73" s="14">
        <f>IF($B73="OFF",BM73,VLOOKUP($D73,Receptury_z!$D:$AI,N$4,0))</f>
        <v>0</v>
      </c>
      <c r="O73" s="14">
        <f>IF($B73="OFF",BN73,VLOOKUP($D73,Receptury_z!$D:$AI,O$4,0))</f>
        <v>0</v>
      </c>
      <c r="P73" s="14">
        <f>IF($B73="OFF",BO73,VLOOKUP($D73,Receptury_z!$D:$AI,P$4,0))</f>
        <v>0</v>
      </c>
      <c r="Q73" s="14">
        <f>IF($B73="OFF",BP73,VLOOKUP($D73,Receptury_z!$D:$AI,Q$4,0))</f>
        <v>0</v>
      </c>
      <c r="R73" s="14">
        <f>IF($B73="OFF",BQ73,VLOOKUP($D73,Receptury_z!$D:$AI,R$4,0))</f>
        <v>0</v>
      </c>
      <c r="S73" s="14">
        <f>IF($B73="OFF",BR73,VLOOKUP($D73,Receptury_z!$D:$AI,S$4,0))</f>
        <v>0</v>
      </c>
      <c r="T73" s="14">
        <f>IF($B73="OFF",BS73,VLOOKUP($D73,Receptury_z!$D:$AI,T$4,0))</f>
        <v>0</v>
      </c>
      <c r="U73" s="14">
        <f>IF($B73="OFF",BT73,VLOOKUP($D73,Receptury_z!$D:$AI,U$4,0))</f>
        <v>0</v>
      </c>
      <c r="V73" s="14">
        <f>IF($B73="OFF",BU73,VLOOKUP($D73,Receptury_z!$D:$AI,V$4,0))</f>
        <v>0</v>
      </c>
      <c r="W73" s="14">
        <f>IF($B73="OFF",BV73,VLOOKUP($D73,Receptury_z!$D:$AI,W$4,0))</f>
        <v>0</v>
      </c>
      <c r="X73" s="14">
        <f>IF($B73="OFF",BW73,VLOOKUP($D73,Receptury_z!$D:$AI,X$4,0))</f>
        <v>0</v>
      </c>
      <c r="Y73" s="14">
        <f>IF($B73="OFF",BX73,VLOOKUP($D73,Receptury_z!$D:$AI,Y$4,0))</f>
        <v>41.4</v>
      </c>
      <c r="Z73" s="14">
        <f>IF($B73="OFF",BY73,VLOOKUP($D73,Receptury_z!$D:$AI,Z$4,0))</f>
        <v>0</v>
      </c>
      <c r="AA73" s="14">
        <f>IF($B73="OFF",BZ73,VLOOKUP($D73,Receptury_z!$D:$AI,AA$4,0))</f>
        <v>0</v>
      </c>
      <c r="AB73" s="14">
        <f>IF($B73="OFF",CA73,VLOOKUP($D73,Receptury_z!$D:$AI,AB$4,0))</f>
        <v>25.02</v>
      </c>
      <c r="AC73" s="14">
        <f>IF($B73="OFF",CB73,VLOOKUP($D73,Receptury_z!$D:$AI,AC$4,0))</f>
        <v>0</v>
      </c>
      <c r="AD73" s="14">
        <f>IF($B73="OFF",CC73,VLOOKUP($D73,Receptury_z!$D:$AI,AD$4,0))</f>
        <v>0</v>
      </c>
      <c r="AE73" s="14">
        <f>IF($B73="OFF",CD73,VLOOKUP($D73,Receptury_z!$D:$AI,AE$4,0))</f>
        <v>41.4</v>
      </c>
      <c r="AF73" s="14">
        <f>IF($B73="OFF",CE73,VLOOKUP($D73,Receptury_z!$D:$AI,AF$4,0))</f>
        <v>0</v>
      </c>
      <c r="AG73" s="14">
        <f>IF($B73="OFF",CF73,VLOOKUP($D73,Receptury_z!$D:$AI,AG$4,0))</f>
        <v>41.4</v>
      </c>
      <c r="AH73" s="14">
        <f>IF($B73="OFF",CG73,VLOOKUP($D73,Receptury_z!$D:$AI,AH$4,0))</f>
        <v>0</v>
      </c>
      <c r="AI73" s="14">
        <f>IF($B73="OFF",CH73,VLOOKUP($D73,Receptury_z!$D:$AI,AI$4,0))</f>
        <v>0</v>
      </c>
      <c r="AJ73" s="14">
        <f>IF($B73="OFF",CI73,VLOOKUP($D73,Receptury_z!$D:$AS,AJ$4,0))</f>
        <v>0</v>
      </c>
      <c r="AK73" s="14">
        <f>IF($B73="OFF",CJ73,VLOOKUP($D73,Receptury_z!$D:$AS,AK$4,0))</f>
        <v>0</v>
      </c>
      <c r="AL73" s="14">
        <f>IF($B73="OFF",CK73,VLOOKUP($D73,Receptury_z!$D:$AS,AL$4,0))</f>
        <v>0</v>
      </c>
      <c r="AM73" s="14">
        <f>IF($B73="OFF",CL73,VLOOKUP($D73,Receptury_z!$D:$AS,AM$4,0))</f>
        <v>100</v>
      </c>
      <c r="AN73" s="14">
        <f>IF($B73="OFF",CM73,VLOOKUP($D73,Receptury_z!$D:$AS,AN$4,0))</f>
        <v>0</v>
      </c>
      <c r="AO73" s="14">
        <f>IF($B73="OFF",CN73,VLOOKUP($D73,Receptury_z!$D:$AS,AO$4,0))</f>
        <v>0</v>
      </c>
      <c r="AP73" s="14">
        <f>IF($B73="OFF",CO73,VLOOKUP($D73,Receptury_z!$D:$AS,AP$4,0))</f>
        <v>449.31000000000006</v>
      </c>
      <c r="AQ73" s="14">
        <f>IF($B73="OFF",CP73,VLOOKUP($D73,Receptury_z!$D:$AS,AQ$4,0))</f>
        <v>0</v>
      </c>
      <c r="AR73" s="14">
        <f>IF($B73="OFF",CQ73,VLOOKUP($D73,Receptury_z!$D:$AS,AR$4,0))</f>
        <v>0</v>
      </c>
      <c r="AS73" s="14">
        <f>IF($B73="OFF",CR73,VLOOKUP($D73,Receptury_z!$D:$AS,AS$4,0))</f>
        <v>0</v>
      </c>
      <c r="AT73" s="14">
        <f>IF($B73="OFF",CS73,VLOOKUP($D73,Receptury_z!$D:$AV,AT$4,0))</f>
        <v>0</v>
      </c>
      <c r="AU73" s="14">
        <f>IF($B73="OFF",CT73,VLOOKUP($D73,Receptury_z!$D:$AV,AU$4,0))</f>
        <v>0</v>
      </c>
      <c r="AV73" s="14">
        <f>IF($B73="OFF",CU73,VLOOKUP($D73,Receptury_z!$D:$AV,AV$4,0))</f>
        <v>0</v>
      </c>
      <c r="AW73" s="14">
        <f>IF($B73="OFF",CV73,VLOOKUP($D73,Receptury_z!$D:$BA,AW$4,0))</f>
        <v>0</v>
      </c>
      <c r="AX73" s="14">
        <f>IF($B73="OFF",CW73,VLOOKUP($D73,Receptury_z!$D:$BA,AX$4,0))</f>
        <v>0</v>
      </c>
      <c r="AY73" s="14">
        <f>IF($B73="OFF",CX73,VLOOKUP($D73,Receptury_z!$D:$BA,AY$4,0))</f>
        <v>0</v>
      </c>
      <c r="AZ73" s="14">
        <f>IF($B73="OFF",DA73,VLOOKUP($D73,Receptury_z!$D:$BA,AZ$4,0))</f>
        <v>0</v>
      </c>
      <c r="BA73" s="14">
        <f>IF($B73="OFF",DB73,VLOOKUP($D73,Receptury_z!$D:$BA,BA$4,0))</f>
        <v>0</v>
      </c>
      <c r="BC73" s="24">
        <v>7064</v>
      </c>
      <c r="BD73" s="26" t="s">
        <v>8519</v>
      </c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370">
        <v>27.6</v>
      </c>
      <c r="CB73" s="239"/>
      <c r="CC73" s="370">
        <v>411.9</v>
      </c>
      <c r="CD73" s="239"/>
      <c r="CE73" s="239"/>
      <c r="CF73" s="370">
        <v>53</v>
      </c>
      <c r="CG73" s="239"/>
      <c r="CH73" s="239"/>
      <c r="CI73" s="239"/>
      <c r="CJ73" s="239"/>
      <c r="CK73" s="239"/>
      <c r="CL73" s="239"/>
      <c r="CM73" s="239"/>
      <c r="CN73" s="239"/>
      <c r="CO73" s="370">
        <v>428.1</v>
      </c>
      <c r="CP73" s="239"/>
      <c r="CQ73" s="239"/>
      <c r="CR73" s="239"/>
      <c r="CS73" s="239"/>
      <c r="CT73" s="239"/>
      <c r="CU73" s="239"/>
      <c r="CV73" s="80"/>
      <c r="CW73" s="80"/>
      <c r="CX73" s="80"/>
      <c r="CY73" s="80"/>
      <c r="CZ73" s="80"/>
      <c r="DB73">
        <f>IFERROR(VLOOKUP($D73,'Kalkulator mięs '!$C$5:$H$533,DB$4,0)*F73,0)</f>
        <v>0</v>
      </c>
      <c r="DC73">
        <f>IFERROR(VLOOKUP($D73,'Kalkulator mięs '!$C$5:$H$533,DC$4,0)*F73,0)</f>
        <v>0</v>
      </c>
      <c r="DD73">
        <f>IFERROR(VLOOKUP($D73,'Kalkulator mięs '!$C$5:$H$533,DD$4,0)*F73,0)</f>
        <v>0</v>
      </c>
      <c r="DE73">
        <f>IFERROR(VLOOKUP($D73,'Kalkulator mięs '!$C$5:$H$533,DE$4,0)*$G73,0)</f>
        <v>0</v>
      </c>
      <c r="DF73">
        <f>IFERROR(VLOOKUP($D73,'Kalkulator mięs '!$C$5:$H$533,DF$4,0)*$G73,0)</f>
        <v>0</v>
      </c>
      <c r="DG73">
        <f>IFERROR(VLOOKUP($D73,'Kalkulator mięs '!$C$5:$H$533,DG$4,0)*$G73,0)</f>
        <v>0</v>
      </c>
      <c r="DH73">
        <f>IFERROR(VLOOKUP($D73,'Kalkulator mięs '!$C$5:$H$533,DH$4,0)*$H73,0)</f>
        <v>0</v>
      </c>
      <c r="DI73">
        <f>IFERROR(VLOOKUP($D73,'Kalkulator mięs '!$C$5:$H$533,DI$4,0)*$H73,0)</f>
        <v>0</v>
      </c>
      <c r="DJ73">
        <f>IFERROR(VLOOKUP($D73,'Kalkulator mięs '!$C$5:$H$533,DJ$4,0)*$H73,0)</f>
        <v>0</v>
      </c>
      <c r="DK73">
        <f>IFERROR(VLOOKUP($D73,'Kalkulator mięs '!$C$5:$H$533,DK$4,0)*$I73,0)</f>
        <v>0</v>
      </c>
      <c r="DL73">
        <f>IFERROR(VLOOKUP($D73,'Kalkulator mięs '!$C$5:$H$533,DL$4,0)*$I73,0)</f>
        <v>0</v>
      </c>
      <c r="DM73">
        <f>IFERROR(VLOOKUP($D73,'Kalkulator mięs '!$C$5:$H$533,DM$4,0)*$I73,0)</f>
        <v>0</v>
      </c>
      <c r="DN73">
        <f>IFERROR(VLOOKUP($D73,'Kalkulator mięs '!$C$5:$H$533,DN$4,0)*$J73,0)</f>
        <v>0</v>
      </c>
      <c r="DO73">
        <f>IFERROR(VLOOKUP($D73,'Kalkulator mięs '!$C$5:$H$533,DO$4,0)*$J73,0)</f>
        <v>0</v>
      </c>
      <c r="DP73">
        <f>IFERROR(VLOOKUP($D73,'Kalkulator mięs '!$C$5:$H$533,DP$4,0)*$J73,0)</f>
        <v>0</v>
      </c>
      <c r="DQ73">
        <f>IFERROR(VLOOKUP($D73,'Kalkulator mięs '!$C$5:$H$533,DQ$4,0)*$K73,0)</f>
        <v>0</v>
      </c>
      <c r="DR73">
        <f>IFERROR(VLOOKUP($D73,'Kalkulator mięs '!$C$5:$H$533,DR$4,0)*$K73,0)</f>
        <v>0</v>
      </c>
      <c r="DS73">
        <f>IFERROR(VLOOKUP($D73,'Kalkulator mięs '!$C$5:$H$533,DS$4,0)*$K73,0)</f>
        <v>0</v>
      </c>
      <c r="DT73">
        <f>IFERROR(VLOOKUP($D73,'Kalkulator mięs '!$C$5:$H$533,DT$4,0)*$L73,0)</f>
        <v>0</v>
      </c>
      <c r="DU73">
        <f>IFERROR(VLOOKUP($D73,'Kalkulator mięs '!$C$5:$H$533,DU$4,0)*$L73,0)</f>
        <v>0</v>
      </c>
      <c r="DV73">
        <f>IFERROR(VLOOKUP($D73,'Kalkulator mięs '!$C$5:$H$533,DV$4,0)*$L73,0)</f>
        <v>0</v>
      </c>
      <c r="DW73">
        <f>IFERROR(VLOOKUP($D73,'Kalkulator mięs '!$C$5:$H$533,DW$4,0)*$M73,0)</f>
        <v>0</v>
      </c>
      <c r="DX73">
        <f>IFERROR(VLOOKUP($D73,'Kalkulator mięs '!$C$5:$H$533,DX$4,0)*$M73,0)</f>
        <v>0</v>
      </c>
      <c r="DY73">
        <f>IFERROR(VLOOKUP($D73,'Kalkulator mięs '!$C$5:$H$533,DY$4,0)*$M73,0)</f>
        <v>0</v>
      </c>
      <c r="DZ73">
        <f>IFERROR(VLOOKUP($D73,'Kalkulator mięs '!$C$5:$H$533,DZ$4,0)*$N73,0)</f>
        <v>0</v>
      </c>
      <c r="EA73">
        <f>IFERROR(VLOOKUP($D73,'Kalkulator mięs '!$C$5:$H$533,EA$4,0)*$N73,0)</f>
        <v>0</v>
      </c>
      <c r="EB73">
        <f>IFERROR(VLOOKUP($D73,'Kalkulator mięs '!$C$5:$H$533,EB$4,0)*$N73,0)</f>
        <v>0</v>
      </c>
      <c r="EC73">
        <f>IFERROR(VLOOKUP($D73,'Kalkulator mięs '!$C$5:$H$533,EC$4,0)*$O73,0)</f>
        <v>0</v>
      </c>
      <c r="ED73">
        <f>IFERROR(VLOOKUP($D73,'Kalkulator mięs '!$C$5:$H$533,ED$4,0)*$O73,0)</f>
        <v>0</v>
      </c>
      <c r="EE73">
        <f>IFERROR(VLOOKUP($D73,'Kalkulator mięs '!$C$5:$H$533,EE$4,0)*$O73,0)</f>
        <v>0</v>
      </c>
      <c r="EF73">
        <f>IFERROR(VLOOKUP($D73,'Kalkulator mięs '!$C$5:$H$533,EF$4,0)*$P73,0)</f>
        <v>0</v>
      </c>
      <c r="EG73">
        <f>IFERROR(VLOOKUP($D73,'Kalkulator mięs '!$C$5:$H$533,EG$4,0)*$P73,0)</f>
        <v>0</v>
      </c>
      <c r="EH73">
        <f>IFERROR(VLOOKUP($D73,'Kalkulator mięs '!$C$5:$H$533,EH$4,0)*$P73,0)</f>
        <v>0</v>
      </c>
      <c r="EI73">
        <f>IFERROR(VLOOKUP($D73,'Kalkulator mięs '!$C$5:$H$533,EI$4,0)*$Q73,0)</f>
        <v>0</v>
      </c>
      <c r="EJ73">
        <f>IFERROR(VLOOKUP($D73,'Kalkulator mięs '!$C$5:$H$533,EJ$4,0)*$Q73,0)</f>
        <v>0</v>
      </c>
      <c r="EK73">
        <f>IFERROR(VLOOKUP($D73,'Kalkulator mięs '!$C$5:$H$533,EK$4,0)*$Q73,0)</f>
        <v>0</v>
      </c>
      <c r="EL73">
        <f>IFERROR(VLOOKUP($D73,'Kalkulator mięs '!$C$5:$H$533,EL$4,0)*$R73,0)</f>
        <v>0</v>
      </c>
      <c r="EM73">
        <f>IFERROR(VLOOKUP($D73,'Kalkulator mięs '!$C$5:$H$533,EM$4,0)*$R73,0)</f>
        <v>0</v>
      </c>
      <c r="EN73">
        <f>IFERROR(VLOOKUP($D73,'Kalkulator mięs '!$C$5:$H$533,EN$4,0)*$R73,0)</f>
        <v>0</v>
      </c>
      <c r="EO73">
        <f>IFERROR(VLOOKUP($D73,'Kalkulator mięs '!$C$5:$H$533,EO$4,0)*$S73,0)</f>
        <v>0</v>
      </c>
      <c r="EP73">
        <f>IFERROR(VLOOKUP($D73,'Kalkulator mięs '!$C$5:$H$533,EP$4,0)*$S73,0)</f>
        <v>0</v>
      </c>
      <c r="EQ73">
        <f>IFERROR(VLOOKUP($D73,'Kalkulator mięs '!$C$5:$H$533,EQ$4,0)*$S73,0)</f>
        <v>0</v>
      </c>
      <c r="ER73">
        <f>IFERROR(VLOOKUP($D73,'Kalkulator mięs '!$C$5:$H$533,ER$4,0)*$T73,0)</f>
        <v>0</v>
      </c>
      <c r="ES73">
        <f>IFERROR(VLOOKUP($D73,'Kalkulator mięs '!$C$5:$H$533,ES$4,0)*$T73,0)</f>
        <v>0</v>
      </c>
      <c r="ET73">
        <f>IFERROR(VLOOKUP($D73,'Kalkulator mięs '!$C$5:$H$533,ET$4,0)*$T73,0)</f>
        <v>0</v>
      </c>
      <c r="EU73">
        <f>IFERROR(VLOOKUP($D73,'Kalkulator mięs '!$C$5:$H$533,EU$4,0)*$U73,0)</f>
        <v>0</v>
      </c>
      <c r="EV73">
        <f>IFERROR(VLOOKUP($D73,'Kalkulator mięs '!$C$5:$H$533,EV$4,0)*$U73,0)</f>
        <v>0</v>
      </c>
      <c r="EW73">
        <f>IFERROR(VLOOKUP($D73,'Kalkulator mięs '!$C$5:$H$533,EW$4,0)*$U73,0)</f>
        <v>0</v>
      </c>
      <c r="EX73">
        <f>IFERROR(VLOOKUP($D73,'Kalkulator mięs '!$C$5:$H$533,EX$4,0)*$V73,0)</f>
        <v>0</v>
      </c>
      <c r="EY73">
        <f>IFERROR(VLOOKUP($D73,'Kalkulator mięs '!$C$5:$H$533,EY$4,0)*$V73,0)</f>
        <v>0</v>
      </c>
      <c r="EZ73">
        <f>IFERROR(VLOOKUP($D73,'Kalkulator mięs '!$C$5:$H$533,EZ$4,0)*$V73,0)</f>
        <v>0</v>
      </c>
      <c r="FA73">
        <f>IFERROR(VLOOKUP($D73,'Kalkulator mięs '!$C$5:$H$533,FA$4,0)*$W73,0)</f>
        <v>0</v>
      </c>
      <c r="FB73">
        <f>IFERROR(VLOOKUP($D73,'Kalkulator mięs '!$C$5:$H$533,FB$4,0)*$W73,0)</f>
        <v>0</v>
      </c>
      <c r="FC73">
        <f>IFERROR(VLOOKUP($D73,'Kalkulator mięs '!$C$5:$H$533,FC$4,0)*$W73,0)</f>
        <v>0</v>
      </c>
      <c r="FD73">
        <f>IFERROR(VLOOKUP($D73,'Kalkulator mięs '!$C$5:$H$533,FD$4,0)*$X73,0)</f>
        <v>0</v>
      </c>
      <c r="FE73">
        <f>IFERROR(VLOOKUP($D73,'Kalkulator mięs '!$C$5:$H$533,FE$4,0)*$X73,0)</f>
        <v>0</v>
      </c>
      <c r="FF73">
        <f>IFERROR(VLOOKUP($D73,'Kalkulator mięs '!$C$5:$H$533,FF$4,0)*$X73,0)</f>
        <v>0</v>
      </c>
      <c r="FG73">
        <f>IFERROR(VLOOKUP($D73,'Kalkulator mięs '!$C$5:$H$533,FG$4,0)*$Y73,0)</f>
        <v>0</v>
      </c>
      <c r="FH73">
        <f>IFERROR(VLOOKUP($D73,'Kalkulator mięs '!$C$5:$H$533,FH$4,0)*$Y73,0)</f>
        <v>0</v>
      </c>
      <c r="FI73">
        <f>IFERROR(VLOOKUP($D73,'Kalkulator mięs '!$C$5:$H$533,FI$4,0)*$Y73,0)</f>
        <v>0</v>
      </c>
      <c r="FJ73">
        <f>IFERROR(VLOOKUP($D73,'Kalkulator mięs '!$C$5:$H$533,FJ$4,0)*$Z73,0)</f>
        <v>0</v>
      </c>
      <c r="FK73">
        <f>IFERROR(VLOOKUP($D73,'Kalkulator mięs '!$C$5:$H$533,FK$4,0)*$Z73,0)</f>
        <v>0</v>
      </c>
      <c r="FL73">
        <f>IFERROR(VLOOKUP($D73,'Kalkulator mięs '!$C$5:$H$533,FL$4,0)*$Z73,0)</f>
        <v>0</v>
      </c>
      <c r="FM73">
        <f>IFERROR(VLOOKUP($D73,'Kalkulator mięs '!$C$5:$H$533,FM$4,0)*$AA73,0)</f>
        <v>0</v>
      </c>
      <c r="FN73">
        <f>IFERROR(VLOOKUP($D73,'Kalkulator mięs '!$C$5:$H$533,FN$4,0)*$AA73,0)</f>
        <v>0</v>
      </c>
      <c r="FO73">
        <f>IFERROR(VLOOKUP($D73,'Kalkulator mięs '!$C$5:$H$533,FO$4,0)*$AA73,0)</f>
        <v>0</v>
      </c>
      <c r="FP73">
        <f>IFERROR(VLOOKUP($D73,'Kalkulator mięs '!$C$5:$H$533,FP$4,0)*$AB73,0)</f>
        <v>0</v>
      </c>
      <c r="FQ73">
        <f>IFERROR(VLOOKUP($D73,'Kalkulator mięs '!$C$5:$H$533,FQ$4,0)*$AB73,0)</f>
        <v>0</v>
      </c>
      <c r="FR73">
        <f>IFERROR(VLOOKUP($D73,'Kalkulator mięs '!$C$5:$H$533,FR$4,0)*$AB73,0)</f>
        <v>0</v>
      </c>
      <c r="FS73">
        <f>IFERROR(VLOOKUP($D73,'Kalkulator mięs '!$C$5:$H$533,FS$4,0)*$AC73,0)</f>
        <v>0</v>
      </c>
      <c r="FT73">
        <f>IFERROR(VLOOKUP($D73,'Kalkulator mięs '!$C$5:$H$533,FT$4,0)*$AC73,0)</f>
        <v>0</v>
      </c>
      <c r="FU73">
        <f>IFERROR(VLOOKUP($D73,'Kalkulator mięs '!$C$5:$H$533,FU$4,0)*$AC73,0)</f>
        <v>0</v>
      </c>
      <c r="FV73">
        <f>IFERROR(VLOOKUP($D73,'Kalkulator mięs '!$C$5:$H$533,FV$4,0)*$AD73,0)</f>
        <v>0</v>
      </c>
      <c r="FW73">
        <f>IFERROR(VLOOKUP($D73,'Kalkulator mięs '!$C$5:$H$533,FW$4,0)*$AD73,0)</f>
        <v>0</v>
      </c>
      <c r="FX73">
        <f>IFERROR(VLOOKUP($D73,'Kalkulator mięs '!$C$5:$H$533,FX$4,0)*$AD73,0)</f>
        <v>0</v>
      </c>
      <c r="FY73">
        <f>IFERROR(VLOOKUP($D73,'Kalkulator mięs '!$C$5:$H$533,FY$4,0)*$AE73,0)</f>
        <v>0</v>
      </c>
      <c r="FZ73">
        <f>IFERROR(VLOOKUP($D73,'Kalkulator mięs '!$C$5:$H$533,FZ$4,0)*$AE73,0)</f>
        <v>0</v>
      </c>
      <c r="GA73">
        <f>IFERROR(VLOOKUP($D73,'Kalkulator mięs '!$C$5:$H$533,GA$4,0)*$AE73,0)</f>
        <v>0</v>
      </c>
      <c r="GB73">
        <f>IFERROR(VLOOKUP($D73,'Kalkulator mięs '!$C$5:$H$533,GB$4,0)*$AF73,0)</f>
        <v>0</v>
      </c>
      <c r="GC73">
        <f>IFERROR(VLOOKUP($D73,'Kalkulator mięs '!$C$5:$H$533,GC$4,0)*$AF73,0)</f>
        <v>0</v>
      </c>
      <c r="GD73">
        <f>IFERROR(VLOOKUP($D73,'Kalkulator mięs '!$C$5:$H$533,GD$4,0)*$AF73,0)</f>
        <v>0</v>
      </c>
      <c r="GE73">
        <f>IFERROR(VLOOKUP($D73,'Kalkulator mięs '!$C$5:$H$533,GE$4,0)*$AG73,0)</f>
        <v>0</v>
      </c>
      <c r="GF73">
        <f>IFERROR(VLOOKUP($D73,'Kalkulator mięs '!$C$5:$H$533,GF$4,0)*$AG73,0)</f>
        <v>0</v>
      </c>
      <c r="GG73">
        <f>IFERROR(VLOOKUP($D73,'Kalkulator mięs '!$C$5:$H$533,GG$4,0)*$AG73,0)</f>
        <v>0</v>
      </c>
      <c r="GH73">
        <f>IFERROR(VLOOKUP($D73,'Kalkulator mięs '!$C$5:$H$533,GH$4,0)*$AH73,0)</f>
        <v>0</v>
      </c>
      <c r="GI73">
        <f>IFERROR(VLOOKUP($D73,'Kalkulator mięs '!$C$5:$H$533,GI$4,0)*$AH73,0)</f>
        <v>0</v>
      </c>
      <c r="GJ73">
        <f>IFERROR(VLOOKUP($D73,'Kalkulator mięs '!$C$5:$H$533,GJ$4,0)*$AH73,0)</f>
        <v>0</v>
      </c>
      <c r="GK73">
        <f>IFERROR(VLOOKUP($D73,'Kalkulator mięs '!$C$5:$H$533,GK$4,0)*$AI73,0)</f>
        <v>0</v>
      </c>
      <c r="GL73">
        <f>IFERROR(VLOOKUP($D73,'Kalkulator mięs '!$C$5:$H$533,GL$4,0)*$AI73,0)</f>
        <v>0</v>
      </c>
      <c r="GM73">
        <f>IFERROR(VLOOKUP($D73,'Kalkulator mięs '!$C$5:$H$533,GM$4,0)*$AI73,0)</f>
        <v>0</v>
      </c>
      <c r="GN73">
        <f>IFERROR(VLOOKUP($D73,'Kalkulator mięs '!$C$5:$H$533,GN$4,0)*$AJ73,0)</f>
        <v>0</v>
      </c>
      <c r="GO73">
        <f>IFERROR(VLOOKUP($D73,'Kalkulator mięs '!$C$5:$H$533,GO$4,0)*$AJ73,0)</f>
        <v>0</v>
      </c>
      <c r="GP73">
        <f>IFERROR(VLOOKUP($D73,'Kalkulator mięs '!$C$5:$H$533,GP$4,0)*$AJ73,0)</f>
        <v>0</v>
      </c>
      <c r="GQ73">
        <f>IFERROR(VLOOKUP($D73,'Kalkulator mięs '!$C$5:$H$533,GQ$4,0)*$AK73,0)</f>
        <v>0</v>
      </c>
      <c r="GR73">
        <f>IFERROR(VLOOKUP($D73,'Kalkulator mięs '!$C$5:$H$533,GR$4,0)*$AK73,0)</f>
        <v>0</v>
      </c>
      <c r="GS73">
        <f>IFERROR(VLOOKUP($D73,'Kalkulator mięs '!$C$5:$H$533,GS$4,0)*$AK73,0)</f>
        <v>0</v>
      </c>
      <c r="GT73">
        <f>IFERROR(VLOOKUP($D73,'Kalkulator mięs '!$C$5:$H$533,GT$4,0)*$AL73,0)</f>
        <v>0</v>
      </c>
      <c r="GU73">
        <f>IFERROR(VLOOKUP($D73,'Kalkulator mięs '!$C$5:$H$533,GU$4,0)*$AL73,0)</f>
        <v>0</v>
      </c>
      <c r="GV73">
        <f>IFERROR(VLOOKUP($D73,'Kalkulator mięs '!$C$5:$H$533,GV$4,0)*$AL73,0)</f>
        <v>0</v>
      </c>
      <c r="GW73">
        <f>IFERROR(VLOOKUP($D73,'Kalkulator mięs '!$C$5:$H$533,GW$4,0)*$AM73,0)</f>
        <v>0</v>
      </c>
      <c r="GX73">
        <f>IFERROR(VLOOKUP($D73,'Kalkulator mięs '!$C$5:$H$533,GX$4,0)*$AM73,0)</f>
        <v>0</v>
      </c>
      <c r="GY73">
        <f>IFERROR(VLOOKUP($D73,'Kalkulator mięs '!$C$5:$H$533,GY$4,0)*$AM73,0)</f>
        <v>0</v>
      </c>
      <c r="GZ73">
        <f>IFERROR(VLOOKUP($D73,'Kalkulator mięs '!$C$5:$H$533,GZ$4,0)*$AN73,0)</f>
        <v>0</v>
      </c>
      <c r="HA73">
        <f>IFERROR(VLOOKUP($D73,'Kalkulator mięs '!$C$5:$H$533,HA$4,0)*$AN73,0)</f>
        <v>0</v>
      </c>
      <c r="HB73">
        <f>IFERROR(VLOOKUP($D73,'Kalkulator mięs '!$C$5:$H$533,HB$4,0)*$AN73,0)</f>
        <v>0</v>
      </c>
      <c r="HC73">
        <f>IFERROR(VLOOKUP($D73,'Kalkulator mięs '!$C$5:$H$533,HC$4,0)*$AO73,0)</f>
        <v>0</v>
      </c>
      <c r="HD73">
        <f>IFERROR(VLOOKUP($D73,'Kalkulator mięs '!$C$5:$H$533,HD$4,0)*$AO73,0)</f>
        <v>0</v>
      </c>
      <c r="HE73">
        <f>IFERROR(VLOOKUP($D73,'Kalkulator mięs '!$C$5:$H$533,HE$4,0)*$AO73,0)</f>
        <v>0</v>
      </c>
      <c r="HF73">
        <f>IFERROR(VLOOKUP($D73,'Kalkulator mięs '!$C$5:$H$533,HF$4,0)*$AP73,0)</f>
        <v>0</v>
      </c>
      <c r="HG73">
        <f>IFERROR(VLOOKUP($D73,'Kalkulator mięs '!$C$5:$H$533,HG$4,0)*$AP73,0)</f>
        <v>0</v>
      </c>
      <c r="HH73">
        <f>IFERROR(VLOOKUP($D73,'Kalkulator mięs '!$C$5:$H$533,HH$4,0)*$AP73,0)</f>
        <v>0</v>
      </c>
      <c r="HI73">
        <f>IFERROR(VLOOKUP($D73,'Kalkulator mięs '!$C$5:$H$533,HI$4,0)*$AQ73,0)</f>
        <v>0</v>
      </c>
      <c r="HJ73">
        <f>IFERROR(VLOOKUP($D73,'Kalkulator mięs '!$C$5:$H$533,HJ$4,0)*$AQ73,0)</f>
        <v>0</v>
      </c>
      <c r="HK73">
        <f>IFERROR(VLOOKUP($D73,'Kalkulator mięs '!$C$5:$H$533,HK$4,0)*$AQ73,0)</f>
        <v>0</v>
      </c>
      <c r="HL73">
        <f>IFERROR(VLOOKUP($D73,'Kalkulator mięs '!$C$5:$H$533,HL$4,0)*$AR73,0)</f>
        <v>0</v>
      </c>
      <c r="HM73">
        <f>IFERROR(VLOOKUP($D73,'Kalkulator mięs '!$C$5:$H$533,HM$4,0)*$AR73,0)</f>
        <v>0</v>
      </c>
      <c r="HN73">
        <f>IFERROR(VLOOKUP($D73,'Kalkulator mięs '!$C$5:$H$533,HN$4,0)*$AR73,0)</f>
        <v>0</v>
      </c>
      <c r="HO73">
        <f>IFERROR(VLOOKUP($D73,'Kalkulator mięs '!$C$5:$H$533,HO$4,0)*$AS73,0)</f>
        <v>0</v>
      </c>
      <c r="HP73">
        <f>IFERROR(VLOOKUP($D73,'Kalkulator mięs '!$C$5:$H$533,HP$4,0)*$AS73,0)</f>
        <v>0</v>
      </c>
      <c r="HQ73">
        <f>IFERROR(VLOOKUP($D73,'Kalkulator mięs '!$C$5:$H$533,HQ$4,0)*$AS73,0)</f>
        <v>0</v>
      </c>
      <c r="HR73">
        <f>IFERROR(VLOOKUP($D73,'Kalkulator mięs '!$C$5:$H$533,HR$4,0)*$AT73,0)</f>
        <v>0</v>
      </c>
      <c r="HS73">
        <f>IFERROR(VLOOKUP($D73,'Kalkulator mięs '!$C$5:$H$533,HS$4,0)*$AT73,0)</f>
        <v>0</v>
      </c>
      <c r="HT73">
        <f>IFERROR(VLOOKUP($D73,'Kalkulator mięs '!$C$5:$H$533,HT$4,0)*$AT73,0)</f>
        <v>0</v>
      </c>
      <c r="HU73">
        <f>IFERROR(VLOOKUP($D73,'Kalkulator mięs '!$C$5:$H$533,HU$4,0)*$AU73,0)</f>
        <v>0</v>
      </c>
      <c r="HV73">
        <f>IFERROR(VLOOKUP($D73,'Kalkulator mięs '!$C$5:$H$533,HV$4,0)*$AU73,0)</f>
        <v>0</v>
      </c>
      <c r="HW73">
        <f>IFERROR(VLOOKUP($D73,'Kalkulator mięs '!$C$5:$H$533,HW$4,0)*$AU73,0)</f>
        <v>0</v>
      </c>
      <c r="HX73">
        <f>IFERROR(VLOOKUP($D73,'Kalkulator mięs '!$C$5:$H$533,HX$4,0)*$AV73,0)</f>
        <v>0</v>
      </c>
      <c r="HY73">
        <f>IFERROR(VLOOKUP($D73,'Kalkulator mięs '!$C$5:$H$533,HY$4,0)*$AV73,0)</f>
        <v>0</v>
      </c>
      <c r="HZ73">
        <f>IFERROR(VLOOKUP($D73,'Kalkulator mięs '!$C$5:$H$533,HZ$4,0)*$AV73,0)</f>
        <v>0</v>
      </c>
      <c r="IA73">
        <f>IFERROR(VLOOKUP($D73,'Kalkulator mięs '!$C$5:$H$533,IA$4,0)*$AW73,0)</f>
        <v>0</v>
      </c>
      <c r="IB73">
        <f>IFERROR(VLOOKUP($D73,'Kalkulator mięs '!$C$5:$H$533,IB$4,0)*$AW73,0)</f>
        <v>0</v>
      </c>
      <c r="IC73">
        <f>IFERROR(VLOOKUP($D73,'Kalkulator mięs '!$C$5:$H$533,IC$4,0)*$AW73,0)</f>
        <v>0</v>
      </c>
      <c r="ID73">
        <f>IFERROR(VLOOKUP($D73,'Kalkulator mięs '!$C$5:$H$533,ID$4,0)*$AX73,0)</f>
        <v>0</v>
      </c>
      <c r="IE73">
        <f>IFERROR(VLOOKUP($D73,'Kalkulator mięs '!$C$5:$H$533,IE$4,0)*$AX73,0)</f>
        <v>0</v>
      </c>
      <c r="IF73">
        <f>IFERROR(VLOOKUP($D73,'Kalkulator mięs '!$C$5:$H$533,IF$4,0)*$AX73,0)</f>
        <v>0</v>
      </c>
      <c r="IG73">
        <f>IFERROR(VLOOKUP($D73,'Kalkulator mięs '!$C$5:$H$533,IG$4,0)*$AY73,0)</f>
        <v>0</v>
      </c>
      <c r="IH73">
        <f>IFERROR(VLOOKUP($D73,'Kalkulator mięs '!$C$5:$H$533,IH$4,0)*$AY73,0)</f>
        <v>0</v>
      </c>
      <c r="II73">
        <f>IFERROR(VLOOKUP($D73,'Kalkulator mięs '!$C$5:$H$533,II$4,0)*$AY73,0)</f>
        <v>0</v>
      </c>
      <c r="IJ73">
        <f>IFERROR(VLOOKUP($D73,'Kalkulator mięs '!$C$5:$H$533,IJ$4,0)*$AZ73,0)</f>
        <v>0</v>
      </c>
      <c r="IK73">
        <f>IFERROR(VLOOKUP($D73,'Kalkulator mięs '!$C$5:$H$533,IK$4,0)*$AZ73,0)</f>
        <v>0</v>
      </c>
      <c r="IL73">
        <f>IFERROR(VLOOKUP($D73,'Kalkulator mięs '!$C$5:$H$533,IL$4,0)*$AZ73,0)</f>
        <v>0</v>
      </c>
      <c r="IM73">
        <f>IFERROR(VLOOKUP($D73,'Kalkulator mięs '!$C$5:$H$533,IM$4,0)*$BA73,0)</f>
        <v>0</v>
      </c>
      <c r="IN73">
        <f>IFERROR(VLOOKUP($D73,'Kalkulator mięs '!$C$5:$H$533,IN$4,0)*$BA73,0)</f>
        <v>0</v>
      </c>
      <c r="IO73">
        <f>IFERROR(VLOOKUP($D73,'Kalkulator mięs '!$C$5:$H$533,IO$4,0)*$BA73,0)</f>
        <v>0</v>
      </c>
    </row>
    <row r="74" spans="2:249" ht="15.75">
      <c r="B74" t="str">
        <f>VLOOKUP(D74,Receptury_z!$A:$B,2,0)</f>
        <v>ON</v>
      </c>
      <c r="C74" s="23">
        <v>5562</v>
      </c>
      <c r="D74" s="24">
        <v>7065</v>
      </c>
      <c r="E74" s="26" t="s">
        <v>8520</v>
      </c>
      <c r="F74" s="14">
        <f>IF($B74="OFF",BE74,VLOOKUP($D74,Receptury_z!$D:$AI,F$4,0))</f>
        <v>0</v>
      </c>
      <c r="G74" s="14">
        <f>IF($B74="OFF",BF74,VLOOKUP($D74,Receptury_z!$D:$AI,G$4,0))</f>
        <v>0</v>
      </c>
      <c r="H74" s="14">
        <f>IF($B74="OFF",BG74,VLOOKUP($D74,Receptury_z!$D:$AI,H$4,0))</f>
        <v>0</v>
      </c>
      <c r="I74" s="14">
        <f>IF($B74="OFF",BH74,VLOOKUP($D74,Receptury_z!$D:$AI,I$4,0))</f>
        <v>0</v>
      </c>
      <c r="J74" s="14">
        <f>IF($B74="OFF",BI74,VLOOKUP($D74,Receptury_z!$D:$AI,J$4,0))</f>
        <v>0</v>
      </c>
      <c r="K74" s="14">
        <f>IF($B74="OFF",BJ74,VLOOKUP($D74,Receptury_z!$D:$AI,K$4,0))</f>
        <v>0</v>
      </c>
      <c r="L74" s="14">
        <f>IF($B74="OFF",BK74,VLOOKUP($D74,Receptury_z!$D:$AI,L$4,0))</f>
        <v>0</v>
      </c>
      <c r="M74" s="14">
        <f>IF($B74="OFF",BL74,VLOOKUP($D74,Receptury_z!$D:$AI,M$4,0))</f>
        <v>0</v>
      </c>
      <c r="N74" s="14">
        <f>IF($B74="OFF",BM74,VLOOKUP($D74,Receptury_z!$D:$AI,N$4,0))</f>
        <v>0</v>
      </c>
      <c r="O74" s="14">
        <f>IF($B74="OFF",BN74,VLOOKUP($D74,Receptury_z!$D:$AI,O$4,0))</f>
        <v>0</v>
      </c>
      <c r="P74" s="14">
        <f>IF($B74="OFF",BO74,VLOOKUP($D74,Receptury_z!$D:$AI,P$4,0))</f>
        <v>0</v>
      </c>
      <c r="Q74" s="14">
        <f>IF($B74="OFF",BP74,VLOOKUP($D74,Receptury_z!$D:$AI,Q$4,0))</f>
        <v>0</v>
      </c>
      <c r="R74" s="14">
        <f>IF($B74="OFF",BQ74,VLOOKUP($D74,Receptury_z!$D:$AI,R$4,0))</f>
        <v>0</v>
      </c>
      <c r="S74" s="14">
        <f>IF($B74="OFF",BR74,VLOOKUP($D74,Receptury_z!$D:$AI,S$4,0))</f>
        <v>0</v>
      </c>
      <c r="T74" s="14">
        <f>IF($B74="OFF",BS74,VLOOKUP($D74,Receptury_z!$D:$AI,T$4,0))</f>
        <v>0</v>
      </c>
      <c r="U74" s="14">
        <f>IF($B74="OFF",BT74,VLOOKUP($D74,Receptury_z!$D:$AI,U$4,0))</f>
        <v>0</v>
      </c>
      <c r="V74" s="14">
        <f>IF($B74="OFF",BU74,VLOOKUP($D74,Receptury_z!$D:$AI,V$4,0))</f>
        <v>0</v>
      </c>
      <c r="W74" s="14">
        <f>IF($B74="OFF",BV74,VLOOKUP($D74,Receptury_z!$D:$AI,W$4,0))</f>
        <v>0</v>
      </c>
      <c r="X74" s="14">
        <f>IF($B74="OFF",BW74,VLOOKUP($D74,Receptury_z!$D:$AI,X$4,0))</f>
        <v>0</v>
      </c>
      <c r="Y74" s="14">
        <f>IF($B74="OFF",BX74,VLOOKUP($D74,Receptury_z!$D:$AI,Y$4,0))</f>
        <v>46.7</v>
      </c>
      <c r="Z74" s="14">
        <f>IF($B74="OFF",BY74,VLOOKUP($D74,Receptury_z!$D:$AI,Z$4,0))</f>
        <v>0</v>
      </c>
      <c r="AA74" s="14">
        <f>IF($B74="OFF",BZ74,VLOOKUP($D74,Receptury_z!$D:$AI,AA$4,0))</f>
        <v>765.69999999999993</v>
      </c>
      <c r="AB74" s="14">
        <f>IF($B74="OFF",CA74,VLOOKUP($D74,Receptury_z!$D:$AI,AB$4,0))</f>
        <v>46.7</v>
      </c>
      <c r="AC74" s="14">
        <f>IF($B74="OFF",CB74,VLOOKUP($D74,Receptury_z!$D:$AI,AC$4,0))</f>
        <v>0</v>
      </c>
      <c r="AD74" s="14">
        <f>IF($B74="OFF",CC74,VLOOKUP($D74,Receptury_z!$D:$AI,AD$4,0))</f>
        <v>0</v>
      </c>
      <c r="AE74" s="14">
        <f>IF($B74="OFF",CD74,VLOOKUP($D74,Receptury_z!$D:$AI,AE$4,0))</f>
        <v>0</v>
      </c>
      <c r="AF74" s="14">
        <f>IF($B74="OFF",CE74,VLOOKUP($D74,Receptury_z!$D:$AI,AF$4,0))</f>
        <v>0</v>
      </c>
      <c r="AG74" s="14">
        <f>IF($B74="OFF",CF74,VLOOKUP($D74,Receptury_z!$D:$AI,AG$4,0))</f>
        <v>0</v>
      </c>
      <c r="AH74" s="14">
        <f>IF($B74="OFF",CG74,VLOOKUP($D74,Receptury_z!$D:$AI,AH$4,0))</f>
        <v>0</v>
      </c>
      <c r="AI74" s="14">
        <f>IF($B74="OFF",CH74,VLOOKUP($D74,Receptury_z!$D:$AI,AI$4,0))</f>
        <v>0</v>
      </c>
      <c r="AJ74" s="14">
        <f>IF($B74="OFF",CI74,VLOOKUP($D74,Receptury_z!$D:$AS,AJ$4,0))</f>
        <v>0</v>
      </c>
      <c r="AK74" s="14">
        <f>IF($B74="OFF",CJ74,VLOOKUP($D74,Receptury_z!$D:$AS,AK$4,0))</f>
        <v>0</v>
      </c>
      <c r="AL74" s="14">
        <f>IF($B74="OFF",CK74,VLOOKUP($D74,Receptury_z!$D:$AS,AL$4,0))</f>
        <v>84.1</v>
      </c>
      <c r="AM74" s="14">
        <f>IF($B74="OFF",CL74,VLOOKUP($D74,Receptury_z!$D:$AS,AM$4,0))</f>
        <v>100</v>
      </c>
      <c r="AN74" s="14">
        <f>IF($B74="OFF",CM74,VLOOKUP($D74,Receptury_z!$D:$AS,AN$4,0))</f>
        <v>0</v>
      </c>
      <c r="AO74" s="14">
        <f>IF($B74="OFF",CN74,VLOOKUP($D74,Receptury_z!$D:$AS,AO$4,0))</f>
        <v>0</v>
      </c>
      <c r="AP74" s="14">
        <f>IF($B74="OFF",CO74,VLOOKUP($D74,Receptury_z!$D:$AS,AP$4,0))</f>
        <v>0</v>
      </c>
      <c r="AQ74" s="14">
        <f>IF($B74="OFF",CP74,VLOOKUP($D74,Receptury_z!$D:$AS,AQ$4,0))</f>
        <v>0</v>
      </c>
      <c r="AR74" s="14">
        <f>IF($B74="OFF",CQ74,VLOOKUP($D74,Receptury_z!$D:$AS,AR$4,0))</f>
        <v>0</v>
      </c>
      <c r="AS74" s="14">
        <f>IF($B74="OFF",CR74,VLOOKUP($D74,Receptury_z!$D:$AS,AS$4,0))</f>
        <v>0</v>
      </c>
      <c r="AT74" s="14">
        <f>IF($B74="OFF",CS74,VLOOKUP($D74,Receptury_z!$D:$AV,AT$4,0))</f>
        <v>0</v>
      </c>
      <c r="AU74" s="14">
        <f>IF($B74="OFF",CT74,VLOOKUP($D74,Receptury_z!$D:$AV,AU$4,0))</f>
        <v>0</v>
      </c>
      <c r="AV74" s="14">
        <f>IF($B74="OFF",CU74,VLOOKUP($D74,Receptury_z!$D:$AV,AV$4,0))</f>
        <v>0</v>
      </c>
      <c r="AW74" s="14">
        <f>IF($B74="OFF",CV74,VLOOKUP($D74,Receptury_z!$D:$BA,AW$4,0))</f>
        <v>0</v>
      </c>
      <c r="AX74" s="14">
        <f>IF($B74="OFF",CW74,VLOOKUP($D74,Receptury_z!$D:$BA,AX$4,0))</f>
        <v>0</v>
      </c>
      <c r="AY74" s="14">
        <f>IF($B74="OFF",CX74,VLOOKUP($D74,Receptury_z!$D:$BA,AY$4,0))</f>
        <v>0</v>
      </c>
      <c r="AZ74" s="14">
        <f>IF($B74="OFF",DA74,VLOOKUP($D74,Receptury_z!$D:$BA,AZ$4,0))</f>
        <v>0</v>
      </c>
      <c r="BA74" s="14">
        <f>IF($B74="OFF",DB74,VLOOKUP($D74,Receptury_z!$D:$BA,BA$4,0))</f>
        <v>0</v>
      </c>
      <c r="BC74" s="24">
        <v>7065</v>
      </c>
      <c r="BD74" s="26" t="s">
        <v>8520</v>
      </c>
      <c r="BE74" s="239"/>
      <c r="BF74" s="239"/>
      <c r="BG74" s="239"/>
      <c r="BH74" s="239"/>
      <c r="BI74" s="239"/>
      <c r="BJ74" s="239"/>
      <c r="BK74" s="239">
        <v>94.3</v>
      </c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40">
        <v>726.2</v>
      </c>
      <c r="CA74" s="370">
        <v>47.2</v>
      </c>
      <c r="CB74" s="239"/>
      <c r="CC74" s="370"/>
      <c r="CD74" s="239"/>
      <c r="CE74" s="239"/>
      <c r="CF74" s="370"/>
      <c r="CG74" s="239"/>
      <c r="CH74" s="239"/>
      <c r="CI74" s="239"/>
      <c r="CJ74" s="239"/>
      <c r="CK74" s="239">
        <v>75.5</v>
      </c>
      <c r="CL74" s="239"/>
      <c r="CM74" s="239"/>
      <c r="CN74" s="239"/>
      <c r="CO74" s="370"/>
      <c r="CP74" s="239"/>
      <c r="CQ74" s="239"/>
      <c r="CR74" s="239"/>
      <c r="CS74" s="239"/>
      <c r="CT74" s="239"/>
      <c r="CU74" s="239"/>
      <c r="CV74" s="80"/>
      <c r="CW74" s="80"/>
      <c r="CX74" s="80"/>
      <c r="CY74" s="80"/>
      <c r="CZ74" s="80"/>
      <c r="DB74">
        <f>IFERROR(VLOOKUP($D74,'Kalkulator mięs '!$C$5:$H$533,DB$4,0)*F74,0)</f>
        <v>0</v>
      </c>
      <c r="DC74">
        <f>IFERROR(VLOOKUP($D74,'Kalkulator mięs '!$C$5:$H$533,DC$4,0)*F74,0)</f>
        <v>0</v>
      </c>
      <c r="DD74">
        <f>IFERROR(VLOOKUP($D74,'Kalkulator mięs '!$C$5:$H$533,DD$4,0)*F74,0)</f>
        <v>0</v>
      </c>
      <c r="DE74">
        <f>IFERROR(VLOOKUP($D74,'Kalkulator mięs '!$C$5:$H$533,DE$4,0)*$G74,0)</f>
        <v>0</v>
      </c>
      <c r="DF74">
        <f>IFERROR(VLOOKUP($D74,'Kalkulator mięs '!$C$5:$H$533,DF$4,0)*$G74,0)</f>
        <v>0</v>
      </c>
      <c r="DG74">
        <f>IFERROR(VLOOKUP($D74,'Kalkulator mięs '!$C$5:$H$533,DG$4,0)*$G74,0)</f>
        <v>0</v>
      </c>
      <c r="DH74">
        <f>IFERROR(VLOOKUP($D74,'Kalkulator mięs '!$C$5:$H$533,DH$4,0)*$H74,0)</f>
        <v>0</v>
      </c>
      <c r="DI74">
        <f>IFERROR(VLOOKUP($D74,'Kalkulator mięs '!$C$5:$H$533,DI$4,0)*$H74,0)</f>
        <v>0</v>
      </c>
      <c r="DJ74">
        <f>IFERROR(VLOOKUP($D74,'Kalkulator mięs '!$C$5:$H$533,DJ$4,0)*$H74,0)</f>
        <v>0</v>
      </c>
      <c r="DK74">
        <f>IFERROR(VLOOKUP($D74,'Kalkulator mięs '!$C$5:$H$533,DK$4,0)*$I74,0)</f>
        <v>0</v>
      </c>
      <c r="DL74">
        <f>IFERROR(VLOOKUP($D74,'Kalkulator mięs '!$C$5:$H$533,DL$4,0)*$I74,0)</f>
        <v>0</v>
      </c>
      <c r="DM74">
        <f>IFERROR(VLOOKUP($D74,'Kalkulator mięs '!$C$5:$H$533,DM$4,0)*$I74,0)</f>
        <v>0</v>
      </c>
      <c r="DN74">
        <f>IFERROR(VLOOKUP($D74,'Kalkulator mięs '!$C$5:$H$533,DN$4,0)*$J74,0)</f>
        <v>0</v>
      </c>
      <c r="DO74">
        <f>IFERROR(VLOOKUP($D74,'Kalkulator mięs '!$C$5:$H$533,DO$4,0)*$J74,0)</f>
        <v>0</v>
      </c>
      <c r="DP74">
        <f>IFERROR(VLOOKUP($D74,'Kalkulator mięs '!$C$5:$H$533,DP$4,0)*$J74,0)</f>
        <v>0</v>
      </c>
      <c r="DQ74">
        <f>IFERROR(VLOOKUP($D74,'Kalkulator mięs '!$C$5:$H$533,DQ$4,0)*$K74,0)</f>
        <v>0</v>
      </c>
      <c r="DR74">
        <f>IFERROR(VLOOKUP($D74,'Kalkulator mięs '!$C$5:$H$533,DR$4,0)*$K74,0)</f>
        <v>0</v>
      </c>
      <c r="DS74">
        <f>IFERROR(VLOOKUP($D74,'Kalkulator mięs '!$C$5:$H$533,DS$4,0)*$K74,0)</f>
        <v>0</v>
      </c>
      <c r="DT74">
        <f>IFERROR(VLOOKUP($D74,'Kalkulator mięs '!$C$5:$H$533,DT$4,0)*$L74,0)</f>
        <v>0</v>
      </c>
      <c r="DU74">
        <f>IFERROR(VLOOKUP($D74,'Kalkulator mięs '!$C$5:$H$533,DU$4,0)*$L74,0)</f>
        <v>0</v>
      </c>
      <c r="DV74">
        <f>IFERROR(VLOOKUP($D74,'Kalkulator mięs '!$C$5:$H$533,DV$4,0)*$L74,0)</f>
        <v>0</v>
      </c>
      <c r="DW74">
        <f>IFERROR(VLOOKUP($D74,'Kalkulator mięs '!$C$5:$H$533,DW$4,0)*$M74,0)</f>
        <v>0</v>
      </c>
      <c r="DX74">
        <f>IFERROR(VLOOKUP($D74,'Kalkulator mięs '!$C$5:$H$533,DX$4,0)*$M74,0)</f>
        <v>0</v>
      </c>
      <c r="DY74">
        <f>IFERROR(VLOOKUP($D74,'Kalkulator mięs '!$C$5:$H$533,DY$4,0)*$M74,0)</f>
        <v>0</v>
      </c>
      <c r="DZ74">
        <f>IFERROR(VLOOKUP($D74,'Kalkulator mięs '!$C$5:$H$533,DZ$4,0)*$N74,0)</f>
        <v>0</v>
      </c>
      <c r="EA74">
        <f>IFERROR(VLOOKUP($D74,'Kalkulator mięs '!$C$5:$H$533,EA$4,0)*$N74,0)</f>
        <v>0</v>
      </c>
      <c r="EB74">
        <f>IFERROR(VLOOKUP($D74,'Kalkulator mięs '!$C$5:$H$533,EB$4,0)*$N74,0)</f>
        <v>0</v>
      </c>
      <c r="EC74">
        <f>IFERROR(VLOOKUP($D74,'Kalkulator mięs '!$C$5:$H$533,EC$4,0)*$O74,0)</f>
        <v>0</v>
      </c>
      <c r="ED74">
        <f>IFERROR(VLOOKUP($D74,'Kalkulator mięs '!$C$5:$H$533,ED$4,0)*$O74,0)</f>
        <v>0</v>
      </c>
      <c r="EE74">
        <f>IFERROR(VLOOKUP($D74,'Kalkulator mięs '!$C$5:$H$533,EE$4,0)*$O74,0)</f>
        <v>0</v>
      </c>
      <c r="EF74">
        <f>IFERROR(VLOOKUP($D74,'Kalkulator mięs '!$C$5:$H$533,EF$4,0)*$P74,0)</f>
        <v>0</v>
      </c>
      <c r="EG74">
        <f>IFERROR(VLOOKUP($D74,'Kalkulator mięs '!$C$5:$H$533,EG$4,0)*$P74,0)</f>
        <v>0</v>
      </c>
      <c r="EH74">
        <f>IFERROR(VLOOKUP($D74,'Kalkulator mięs '!$C$5:$H$533,EH$4,0)*$P74,0)</f>
        <v>0</v>
      </c>
      <c r="EI74">
        <f>IFERROR(VLOOKUP($D74,'Kalkulator mięs '!$C$5:$H$533,EI$4,0)*$Q74,0)</f>
        <v>0</v>
      </c>
      <c r="EJ74">
        <f>IFERROR(VLOOKUP($D74,'Kalkulator mięs '!$C$5:$H$533,EJ$4,0)*$Q74,0)</f>
        <v>0</v>
      </c>
      <c r="EK74">
        <f>IFERROR(VLOOKUP($D74,'Kalkulator mięs '!$C$5:$H$533,EK$4,0)*$Q74,0)</f>
        <v>0</v>
      </c>
      <c r="EL74">
        <f>IFERROR(VLOOKUP($D74,'Kalkulator mięs '!$C$5:$H$533,EL$4,0)*$R74,0)</f>
        <v>0</v>
      </c>
      <c r="EM74">
        <f>IFERROR(VLOOKUP($D74,'Kalkulator mięs '!$C$5:$H$533,EM$4,0)*$R74,0)</f>
        <v>0</v>
      </c>
      <c r="EN74">
        <f>IFERROR(VLOOKUP($D74,'Kalkulator mięs '!$C$5:$H$533,EN$4,0)*$R74,0)</f>
        <v>0</v>
      </c>
      <c r="EO74">
        <f>IFERROR(VLOOKUP($D74,'Kalkulator mięs '!$C$5:$H$533,EO$4,0)*$S74,0)</f>
        <v>0</v>
      </c>
      <c r="EP74">
        <f>IFERROR(VLOOKUP($D74,'Kalkulator mięs '!$C$5:$H$533,EP$4,0)*$S74,0)</f>
        <v>0</v>
      </c>
      <c r="EQ74">
        <f>IFERROR(VLOOKUP($D74,'Kalkulator mięs '!$C$5:$H$533,EQ$4,0)*$S74,0)</f>
        <v>0</v>
      </c>
      <c r="ER74">
        <f>IFERROR(VLOOKUP($D74,'Kalkulator mięs '!$C$5:$H$533,ER$4,0)*$T74,0)</f>
        <v>0</v>
      </c>
      <c r="ES74">
        <f>IFERROR(VLOOKUP($D74,'Kalkulator mięs '!$C$5:$H$533,ES$4,0)*$T74,0)</f>
        <v>0</v>
      </c>
      <c r="ET74">
        <f>IFERROR(VLOOKUP($D74,'Kalkulator mięs '!$C$5:$H$533,ET$4,0)*$T74,0)</f>
        <v>0</v>
      </c>
      <c r="EU74">
        <f>IFERROR(VLOOKUP($D74,'Kalkulator mięs '!$C$5:$H$533,EU$4,0)*$U74,0)</f>
        <v>0</v>
      </c>
      <c r="EV74">
        <f>IFERROR(VLOOKUP($D74,'Kalkulator mięs '!$C$5:$H$533,EV$4,0)*$U74,0)</f>
        <v>0</v>
      </c>
      <c r="EW74">
        <f>IFERROR(VLOOKUP($D74,'Kalkulator mięs '!$C$5:$H$533,EW$4,0)*$U74,0)</f>
        <v>0</v>
      </c>
      <c r="EX74">
        <f>IFERROR(VLOOKUP($D74,'Kalkulator mięs '!$C$5:$H$533,EX$4,0)*$V74,0)</f>
        <v>0</v>
      </c>
      <c r="EY74">
        <f>IFERROR(VLOOKUP($D74,'Kalkulator mięs '!$C$5:$H$533,EY$4,0)*$V74,0)</f>
        <v>0</v>
      </c>
      <c r="EZ74">
        <f>IFERROR(VLOOKUP($D74,'Kalkulator mięs '!$C$5:$H$533,EZ$4,0)*$V74,0)</f>
        <v>0</v>
      </c>
      <c r="FA74">
        <f>IFERROR(VLOOKUP($D74,'Kalkulator mięs '!$C$5:$H$533,FA$4,0)*$W74,0)</f>
        <v>0</v>
      </c>
      <c r="FB74">
        <f>IFERROR(VLOOKUP($D74,'Kalkulator mięs '!$C$5:$H$533,FB$4,0)*$W74,0)</f>
        <v>0</v>
      </c>
      <c r="FC74">
        <f>IFERROR(VLOOKUP($D74,'Kalkulator mięs '!$C$5:$H$533,FC$4,0)*$W74,0)</f>
        <v>0</v>
      </c>
      <c r="FD74">
        <f>IFERROR(VLOOKUP($D74,'Kalkulator mięs '!$C$5:$H$533,FD$4,0)*$X74,0)</f>
        <v>0</v>
      </c>
      <c r="FE74">
        <f>IFERROR(VLOOKUP($D74,'Kalkulator mięs '!$C$5:$H$533,FE$4,0)*$X74,0)</f>
        <v>0</v>
      </c>
      <c r="FF74">
        <f>IFERROR(VLOOKUP($D74,'Kalkulator mięs '!$C$5:$H$533,FF$4,0)*$X74,0)</f>
        <v>0</v>
      </c>
      <c r="FG74">
        <f>IFERROR(VLOOKUP($D74,'Kalkulator mięs '!$C$5:$H$533,FG$4,0)*$Y74,0)</f>
        <v>0</v>
      </c>
      <c r="FH74">
        <f>IFERROR(VLOOKUP($D74,'Kalkulator mięs '!$C$5:$H$533,FH$4,0)*$Y74,0)</f>
        <v>0</v>
      </c>
      <c r="FI74">
        <f>IFERROR(VLOOKUP($D74,'Kalkulator mięs '!$C$5:$H$533,FI$4,0)*$Y74,0)</f>
        <v>0</v>
      </c>
      <c r="FJ74">
        <f>IFERROR(VLOOKUP($D74,'Kalkulator mięs '!$C$5:$H$533,FJ$4,0)*$Z74,0)</f>
        <v>0</v>
      </c>
      <c r="FK74">
        <f>IFERROR(VLOOKUP($D74,'Kalkulator mięs '!$C$5:$H$533,FK$4,0)*$Z74,0)</f>
        <v>0</v>
      </c>
      <c r="FL74">
        <f>IFERROR(VLOOKUP($D74,'Kalkulator mięs '!$C$5:$H$533,FL$4,0)*$Z74,0)</f>
        <v>0</v>
      </c>
      <c r="FM74">
        <f>IFERROR(VLOOKUP($D74,'Kalkulator mięs '!$C$5:$H$533,FM$4,0)*$AA74,0)</f>
        <v>0</v>
      </c>
      <c r="FN74">
        <f>IFERROR(VLOOKUP($D74,'Kalkulator mięs '!$C$5:$H$533,FN$4,0)*$AA74,0)</f>
        <v>0</v>
      </c>
      <c r="FO74">
        <f>IFERROR(VLOOKUP($D74,'Kalkulator mięs '!$C$5:$H$533,FO$4,0)*$AA74,0)</f>
        <v>0</v>
      </c>
      <c r="FP74">
        <f>IFERROR(VLOOKUP($D74,'Kalkulator mięs '!$C$5:$H$533,FP$4,0)*$AB74,0)</f>
        <v>0</v>
      </c>
      <c r="FQ74">
        <f>IFERROR(VLOOKUP($D74,'Kalkulator mięs '!$C$5:$H$533,FQ$4,0)*$AB74,0)</f>
        <v>0</v>
      </c>
      <c r="FR74">
        <f>IFERROR(VLOOKUP($D74,'Kalkulator mięs '!$C$5:$H$533,FR$4,0)*$AB74,0)</f>
        <v>0</v>
      </c>
      <c r="FS74">
        <f>IFERROR(VLOOKUP($D74,'Kalkulator mięs '!$C$5:$H$533,FS$4,0)*$AC74,0)</f>
        <v>0</v>
      </c>
      <c r="FT74">
        <f>IFERROR(VLOOKUP($D74,'Kalkulator mięs '!$C$5:$H$533,FT$4,0)*$AC74,0)</f>
        <v>0</v>
      </c>
      <c r="FU74">
        <f>IFERROR(VLOOKUP($D74,'Kalkulator mięs '!$C$5:$H$533,FU$4,0)*$AC74,0)</f>
        <v>0</v>
      </c>
      <c r="FV74">
        <f>IFERROR(VLOOKUP($D74,'Kalkulator mięs '!$C$5:$H$533,FV$4,0)*$AD74,0)</f>
        <v>0</v>
      </c>
      <c r="FW74">
        <f>IFERROR(VLOOKUP($D74,'Kalkulator mięs '!$C$5:$H$533,FW$4,0)*$AD74,0)</f>
        <v>0</v>
      </c>
      <c r="FX74">
        <f>IFERROR(VLOOKUP($D74,'Kalkulator mięs '!$C$5:$H$533,FX$4,0)*$AD74,0)</f>
        <v>0</v>
      </c>
      <c r="FY74">
        <f>IFERROR(VLOOKUP($D74,'Kalkulator mięs '!$C$5:$H$533,FY$4,0)*$AE74,0)</f>
        <v>0</v>
      </c>
      <c r="FZ74">
        <f>IFERROR(VLOOKUP($D74,'Kalkulator mięs '!$C$5:$H$533,FZ$4,0)*$AE74,0)</f>
        <v>0</v>
      </c>
      <c r="GA74">
        <f>IFERROR(VLOOKUP($D74,'Kalkulator mięs '!$C$5:$H$533,GA$4,0)*$AE74,0)</f>
        <v>0</v>
      </c>
      <c r="GB74">
        <f>IFERROR(VLOOKUP($D74,'Kalkulator mięs '!$C$5:$H$533,GB$4,0)*$AF74,0)</f>
        <v>0</v>
      </c>
      <c r="GC74">
        <f>IFERROR(VLOOKUP($D74,'Kalkulator mięs '!$C$5:$H$533,GC$4,0)*$AF74,0)</f>
        <v>0</v>
      </c>
      <c r="GD74">
        <f>IFERROR(VLOOKUP($D74,'Kalkulator mięs '!$C$5:$H$533,GD$4,0)*$AF74,0)</f>
        <v>0</v>
      </c>
      <c r="GE74">
        <f>IFERROR(VLOOKUP($D74,'Kalkulator mięs '!$C$5:$H$533,GE$4,0)*$AG74,0)</f>
        <v>0</v>
      </c>
      <c r="GF74">
        <f>IFERROR(VLOOKUP($D74,'Kalkulator mięs '!$C$5:$H$533,GF$4,0)*$AG74,0)</f>
        <v>0</v>
      </c>
      <c r="GG74">
        <f>IFERROR(VLOOKUP($D74,'Kalkulator mięs '!$C$5:$H$533,GG$4,0)*$AG74,0)</f>
        <v>0</v>
      </c>
      <c r="GH74">
        <f>IFERROR(VLOOKUP($D74,'Kalkulator mięs '!$C$5:$H$533,GH$4,0)*$AH74,0)</f>
        <v>0</v>
      </c>
      <c r="GI74">
        <f>IFERROR(VLOOKUP($D74,'Kalkulator mięs '!$C$5:$H$533,GI$4,0)*$AH74,0)</f>
        <v>0</v>
      </c>
      <c r="GJ74">
        <f>IFERROR(VLOOKUP($D74,'Kalkulator mięs '!$C$5:$H$533,GJ$4,0)*$AH74,0)</f>
        <v>0</v>
      </c>
      <c r="GK74">
        <f>IFERROR(VLOOKUP($D74,'Kalkulator mięs '!$C$5:$H$533,GK$4,0)*$AI74,0)</f>
        <v>0</v>
      </c>
      <c r="GL74">
        <f>IFERROR(VLOOKUP($D74,'Kalkulator mięs '!$C$5:$H$533,GL$4,0)*$AI74,0)</f>
        <v>0</v>
      </c>
      <c r="GM74">
        <f>IFERROR(VLOOKUP($D74,'Kalkulator mięs '!$C$5:$H$533,GM$4,0)*$AI74,0)</f>
        <v>0</v>
      </c>
      <c r="GN74">
        <f>IFERROR(VLOOKUP($D74,'Kalkulator mięs '!$C$5:$H$533,GN$4,0)*$AJ74,0)</f>
        <v>0</v>
      </c>
      <c r="GO74">
        <f>IFERROR(VLOOKUP($D74,'Kalkulator mięs '!$C$5:$H$533,GO$4,0)*$AJ74,0)</f>
        <v>0</v>
      </c>
      <c r="GP74">
        <f>IFERROR(VLOOKUP($D74,'Kalkulator mięs '!$C$5:$H$533,GP$4,0)*$AJ74,0)</f>
        <v>0</v>
      </c>
      <c r="GQ74">
        <f>IFERROR(VLOOKUP($D74,'Kalkulator mięs '!$C$5:$H$533,GQ$4,0)*$AK74,0)</f>
        <v>0</v>
      </c>
      <c r="GR74">
        <f>IFERROR(VLOOKUP($D74,'Kalkulator mięs '!$C$5:$H$533,GR$4,0)*$AK74,0)</f>
        <v>0</v>
      </c>
      <c r="GS74">
        <f>IFERROR(VLOOKUP($D74,'Kalkulator mięs '!$C$5:$H$533,GS$4,0)*$AK74,0)</f>
        <v>0</v>
      </c>
      <c r="GT74">
        <f>IFERROR(VLOOKUP($D74,'Kalkulator mięs '!$C$5:$H$533,GT$4,0)*$AL74,0)</f>
        <v>0</v>
      </c>
      <c r="GU74">
        <f>IFERROR(VLOOKUP($D74,'Kalkulator mięs '!$C$5:$H$533,GU$4,0)*$AL74,0)</f>
        <v>0</v>
      </c>
      <c r="GV74">
        <f>IFERROR(VLOOKUP($D74,'Kalkulator mięs '!$C$5:$H$533,GV$4,0)*$AL74,0)</f>
        <v>0</v>
      </c>
      <c r="GW74">
        <f>IFERROR(VLOOKUP($D74,'Kalkulator mięs '!$C$5:$H$533,GW$4,0)*$AM74,0)</f>
        <v>0</v>
      </c>
      <c r="GX74">
        <f>IFERROR(VLOOKUP($D74,'Kalkulator mięs '!$C$5:$H$533,GX$4,0)*$AM74,0)</f>
        <v>0</v>
      </c>
      <c r="GY74">
        <f>IFERROR(VLOOKUP($D74,'Kalkulator mięs '!$C$5:$H$533,GY$4,0)*$AM74,0)</f>
        <v>0</v>
      </c>
      <c r="GZ74">
        <f>IFERROR(VLOOKUP($D74,'Kalkulator mięs '!$C$5:$H$533,GZ$4,0)*$AN74,0)</f>
        <v>0</v>
      </c>
      <c r="HA74">
        <f>IFERROR(VLOOKUP($D74,'Kalkulator mięs '!$C$5:$H$533,HA$4,0)*$AN74,0)</f>
        <v>0</v>
      </c>
      <c r="HB74">
        <f>IFERROR(VLOOKUP($D74,'Kalkulator mięs '!$C$5:$H$533,HB$4,0)*$AN74,0)</f>
        <v>0</v>
      </c>
      <c r="HC74">
        <f>IFERROR(VLOOKUP($D74,'Kalkulator mięs '!$C$5:$H$533,HC$4,0)*$AO74,0)</f>
        <v>0</v>
      </c>
      <c r="HD74">
        <f>IFERROR(VLOOKUP($D74,'Kalkulator mięs '!$C$5:$H$533,HD$4,0)*$AO74,0)</f>
        <v>0</v>
      </c>
      <c r="HE74">
        <f>IFERROR(VLOOKUP($D74,'Kalkulator mięs '!$C$5:$H$533,HE$4,0)*$AO74,0)</f>
        <v>0</v>
      </c>
      <c r="HF74">
        <f>IFERROR(VLOOKUP($D74,'Kalkulator mięs '!$C$5:$H$533,HF$4,0)*$AP74,0)</f>
        <v>0</v>
      </c>
      <c r="HG74">
        <f>IFERROR(VLOOKUP($D74,'Kalkulator mięs '!$C$5:$H$533,HG$4,0)*$AP74,0)</f>
        <v>0</v>
      </c>
      <c r="HH74">
        <f>IFERROR(VLOOKUP($D74,'Kalkulator mięs '!$C$5:$H$533,HH$4,0)*$AP74,0)</f>
        <v>0</v>
      </c>
      <c r="HI74">
        <f>IFERROR(VLOOKUP($D74,'Kalkulator mięs '!$C$5:$H$533,HI$4,0)*$AQ74,0)</f>
        <v>0</v>
      </c>
      <c r="HJ74">
        <f>IFERROR(VLOOKUP($D74,'Kalkulator mięs '!$C$5:$H$533,HJ$4,0)*$AQ74,0)</f>
        <v>0</v>
      </c>
      <c r="HK74">
        <f>IFERROR(VLOOKUP($D74,'Kalkulator mięs '!$C$5:$H$533,HK$4,0)*$AQ74,0)</f>
        <v>0</v>
      </c>
      <c r="HL74">
        <f>IFERROR(VLOOKUP($D74,'Kalkulator mięs '!$C$5:$H$533,HL$4,0)*$AR74,0)</f>
        <v>0</v>
      </c>
      <c r="HM74">
        <f>IFERROR(VLOOKUP($D74,'Kalkulator mięs '!$C$5:$H$533,HM$4,0)*$AR74,0)</f>
        <v>0</v>
      </c>
      <c r="HN74">
        <f>IFERROR(VLOOKUP($D74,'Kalkulator mięs '!$C$5:$H$533,HN$4,0)*$AR74,0)</f>
        <v>0</v>
      </c>
      <c r="HO74">
        <f>IFERROR(VLOOKUP($D74,'Kalkulator mięs '!$C$5:$H$533,HO$4,0)*$AS74,0)</f>
        <v>0</v>
      </c>
      <c r="HP74">
        <f>IFERROR(VLOOKUP($D74,'Kalkulator mięs '!$C$5:$H$533,HP$4,0)*$AS74,0)</f>
        <v>0</v>
      </c>
      <c r="HQ74">
        <f>IFERROR(VLOOKUP($D74,'Kalkulator mięs '!$C$5:$H$533,HQ$4,0)*$AS74,0)</f>
        <v>0</v>
      </c>
      <c r="HR74">
        <f>IFERROR(VLOOKUP($D74,'Kalkulator mięs '!$C$5:$H$533,HR$4,0)*$AT74,0)</f>
        <v>0</v>
      </c>
      <c r="HS74">
        <f>IFERROR(VLOOKUP($D74,'Kalkulator mięs '!$C$5:$H$533,HS$4,0)*$AT74,0)</f>
        <v>0</v>
      </c>
      <c r="HT74">
        <f>IFERROR(VLOOKUP($D74,'Kalkulator mięs '!$C$5:$H$533,HT$4,0)*$AT74,0)</f>
        <v>0</v>
      </c>
      <c r="HU74">
        <f>IFERROR(VLOOKUP($D74,'Kalkulator mięs '!$C$5:$H$533,HU$4,0)*$AU74,0)</f>
        <v>0</v>
      </c>
      <c r="HV74">
        <f>IFERROR(VLOOKUP($D74,'Kalkulator mięs '!$C$5:$H$533,HV$4,0)*$AU74,0)</f>
        <v>0</v>
      </c>
      <c r="HW74">
        <f>IFERROR(VLOOKUP($D74,'Kalkulator mięs '!$C$5:$H$533,HW$4,0)*$AU74,0)</f>
        <v>0</v>
      </c>
      <c r="HX74">
        <f>IFERROR(VLOOKUP($D74,'Kalkulator mięs '!$C$5:$H$533,HX$4,0)*$AV74,0)</f>
        <v>0</v>
      </c>
      <c r="HY74">
        <f>IFERROR(VLOOKUP($D74,'Kalkulator mięs '!$C$5:$H$533,HY$4,0)*$AV74,0)</f>
        <v>0</v>
      </c>
      <c r="HZ74">
        <f>IFERROR(VLOOKUP($D74,'Kalkulator mięs '!$C$5:$H$533,HZ$4,0)*$AV74,0)</f>
        <v>0</v>
      </c>
      <c r="IA74">
        <f>IFERROR(VLOOKUP($D74,'Kalkulator mięs '!$C$5:$H$533,IA$4,0)*$AW74,0)</f>
        <v>0</v>
      </c>
      <c r="IB74">
        <f>IFERROR(VLOOKUP($D74,'Kalkulator mięs '!$C$5:$H$533,IB$4,0)*$AW74,0)</f>
        <v>0</v>
      </c>
      <c r="IC74">
        <f>IFERROR(VLOOKUP($D74,'Kalkulator mięs '!$C$5:$H$533,IC$4,0)*$AW74,0)</f>
        <v>0</v>
      </c>
      <c r="ID74">
        <f>IFERROR(VLOOKUP($D74,'Kalkulator mięs '!$C$5:$H$533,ID$4,0)*$AX74,0)</f>
        <v>0</v>
      </c>
      <c r="IE74">
        <f>IFERROR(VLOOKUP($D74,'Kalkulator mięs '!$C$5:$H$533,IE$4,0)*$AX74,0)</f>
        <v>0</v>
      </c>
      <c r="IF74">
        <f>IFERROR(VLOOKUP($D74,'Kalkulator mięs '!$C$5:$H$533,IF$4,0)*$AX74,0)</f>
        <v>0</v>
      </c>
      <c r="IG74">
        <f>IFERROR(VLOOKUP($D74,'Kalkulator mięs '!$C$5:$H$533,IG$4,0)*$AY74,0)</f>
        <v>0</v>
      </c>
      <c r="IH74">
        <f>IFERROR(VLOOKUP($D74,'Kalkulator mięs '!$C$5:$H$533,IH$4,0)*$AY74,0)</f>
        <v>0</v>
      </c>
      <c r="II74">
        <f>IFERROR(VLOOKUP($D74,'Kalkulator mięs '!$C$5:$H$533,II$4,0)*$AY74,0)</f>
        <v>0</v>
      </c>
      <c r="IJ74">
        <f>IFERROR(VLOOKUP($D74,'Kalkulator mięs '!$C$5:$H$533,IJ$4,0)*$AZ74,0)</f>
        <v>0</v>
      </c>
      <c r="IK74">
        <f>IFERROR(VLOOKUP($D74,'Kalkulator mięs '!$C$5:$H$533,IK$4,0)*$AZ74,0)</f>
        <v>0</v>
      </c>
      <c r="IL74">
        <f>IFERROR(VLOOKUP($D74,'Kalkulator mięs '!$C$5:$H$533,IL$4,0)*$AZ74,0)</f>
        <v>0</v>
      </c>
      <c r="IM74">
        <f>IFERROR(VLOOKUP($D74,'Kalkulator mięs '!$C$5:$H$533,IM$4,0)*$BA74,0)</f>
        <v>0</v>
      </c>
      <c r="IN74">
        <f>IFERROR(VLOOKUP($D74,'Kalkulator mięs '!$C$5:$H$533,IN$4,0)*$BA74,0)</f>
        <v>0</v>
      </c>
      <c r="IO74">
        <f>IFERROR(VLOOKUP($D74,'Kalkulator mięs '!$C$5:$H$533,IO$4,0)*$BA74,0)</f>
        <v>0</v>
      </c>
    </row>
    <row r="75" spans="2:249" ht="15.75">
      <c r="B75" t="str">
        <f>VLOOKUP(D75,Receptury_z!$A:$B,2,0)</f>
        <v>ON</v>
      </c>
      <c r="C75" s="23">
        <v>5523</v>
      </c>
      <c r="D75" s="24">
        <v>7077</v>
      </c>
      <c r="E75" s="26" t="s">
        <v>15213</v>
      </c>
      <c r="F75" s="14">
        <f>IF($B75="OFF",BE75,VLOOKUP($D75,Receptury_z!$D:$AI,F$4,0))</f>
        <v>0</v>
      </c>
      <c r="G75" s="14">
        <f>IF($B75="OFF",BF75,VLOOKUP($D75,Receptury_z!$D:$AI,G$4,0))</f>
        <v>324.63</v>
      </c>
      <c r="H75" s="14">
        <f>IF($B75="OFF",BG75,VLOOKUP($D75,Receptury_z!$D:$AI,H$4,0))</f>
        <v>0</v>
      </c>
      <c r="I75" s="14">
        <f>IF($B75="OFF",BH75,VLOOKUP($D75,Receptury_z!$D:$AI,I$4,0))</f>
        <v>0</v>
      </c>
      <c r="J75" s="14">
        <f>IF($B75="OFF",BI75,VLOOKUP($D75,Receptury_z!$D:$AI,J$4,0))</f>
        <v>0</v>
      </c>
      <c r="K75" s="14">
        <f>IF($B75="OFF",BJ75,VLOOKUP($D75,Receptury_z!$D:$AI,K$4,0))</f>
        <v>0</v>
      </c>
      <c r="L75" s="14">
        <f>IF($B75="OFF",BK75,VLOOKUP($D75,Receptury_z!$D:$AI,L$4,0))</f>
        <v>0</v>
      </c>
      <c r="M75" s="14">
        <f>IF($B75="OFF",BL75,VLOOKUP($D75,Receptury_z!$D:$AI,M$4,0))</f>
        <v>0</v>
      </c>
      <c r="N75" s="14">
        <f>IF($B75="OFF",BM75,VLOOKUP($D75,Receptury_z!$D:$AI,N$4,0))</f>
        <v>0</v>
      </c>
      <c r="O75" s="14">
        <f>IF($B75="OFF",BN75,VLOOKUP($D75,Receptury_z!$D:$AI,O$4,0))</f>
        <v>0</v>
      </c>
      <c r="P75" s="14">
        <f>IF($B75="OFF",BO75,VLOOKUP($D75,Receptury_z!$D:$AI,P$4,0))</f>
        <v>0</v>
      </c>
      <c r="Q75" s="14">
        <f>IF($B75="OFF",BP75,VLOOKUP($D75,Receptury_z!$D:$AI,Q$4,0))</f>
        <v>0</v>
      </c>
      <c r="R75" s="14">
        <f>IF($B75="OFF",BQ75,VLOOKUP($D75,Receptury_z!$D:$AI,R$4,0))</f>
        <v>0</v>
      </c>
      <c r="S75" s="14">
        <f>IF($B75="OFF",BR75,VLOOKUP($D75,Receptury_z!$D:$AI,S$4,0))</f>
        <v>0</v>
      </c>
      <c r="T75" s="14">
        <f>IF($B75="OFF",BS75,VLOOKUP($D75,Receptury_z!$D:$AI,T$4,0))</f>
        <v>0</v>
      </c>
      <c r="U75" s="14">
        <f>IF($B75="OFF",BT75,VLOOKUP($D75,Receptury_z!$D:$AI,U$4,0))</f>
        <v>0</v>
      </c>
      <c r="V75" s="14">
        <f>IF($B75="OFF",BU75,VLOOKUP($D75,Receptury_z!$D:$AI,V$4,0))</f>
        <v>0</v>
      </c>
      <c r="W75" s="14">
        <f>IF($B75="OFF",BV75,VLOOKUP($D75,Receptury_z!$D:$AI,W$4,0))</f>
        <v>0</v>
      </c>
      <c r="X75" s="14">
        <f>IF($B75="OFF",BW75,VLOOKUP($D75,Receptury_z!$D:$AI,X$4,0))</f>
        <v>0</v>
      </c>
      <c r="Y75" s="14">
        <f>IF($B75="OFF",BX75,VLOOKUP($D75,Receptury_z!$D:$AI,Y$4,0))</f>
        <v>146.5</v>
      </c>
      <c r="Z75" s="14">
        <f>IF($B75="OFF",BY75,VLOOKUP($D75,Receptury_z!$D:$AI,Z$4,0))</f>
        <v>0</v>
      </c>
      <c r="AA75" s="14">
        <f>IF($B75="OFF",BZ75,VLOOKUP($D75,Receptury_z!$D:$AI,AA$4,0))</f>
        <v>0</v>
      </c>
      <c r="AB75" s="14">
        <f>IF($B75="OFF",CA75,VLOOKUP($D75,Receptury_z!$D:$AI,AB$4,0))</f>
        <v>25.02</v>
      </c>
      <c r="AC75" s="14">
        <f>IF($B75="OFF",CB75,VLOOKUP($D75,Receptury_z!$D:$AI,AC$4,0))</f>
        <v>0</v>
      </c>
      <c r="AD75" s="14">
        <f>IF($B75="OFF",CC75,VLOOKUP($D75,Receptury_z!$D:$AI,AD$4,0))</f>
        <v>0</v>
      </c>
      <c r="AE75" s="14">
        <f>IF($B75="OFF",CD75,VLOOKUP($D75,Receptury_z!$D:$AI,AE$4,0))</f>
        <v>61.2</v>
      </c>
      <c r="AF75" s="14">
        <f>IF($B75="OFF",CE75,VLOOKUP($D75,Receptury_z!$D:$AI,AF$4,0))</f>
        <v>0</v>
      </c>
      <c r="AG75" s="14">
        <f>IF($B75="OFF",CF75,VLOOKUP($D75,Receptury_z!$D:$AI,AG$4,0))</f>
        <v>46.67</v>
      </c>
      <c r="AH75" s="14">
        <f>IF($B75="OFF",CG75,VLOOKUP($D75,Receptury_z!$D:$AI,AH$4,0))</f>
        <v>0</v>
      </c>
      <c r="AI75" s="14">
        <f>IF($B75="OFF",CH75,VLOOKUP($D75,Receptury_z!$D:$AI,AI$4,0))</f>
        <v>0</v>
      </c>
      <c r="AJ75" s="14">
        <f>IF($B75="OFF",CI75,VLOOKUP($D75,Receptury_z!$D:$AS,AJ$4,0))</f>
        <v>0</v>
      </c>
      <c r="AK75" s="14">
        <f>IF($B75="OFF",CJ75,VLOOKUP($D75,Receptury_z!$D:$AS,AK$4,0))</f>
        <v>0</v>
      </c>
      <c r="AL75" s="14">
        <f>IF($B75="OFF",CK75,VLOOKUP($D75,Receptury_z!$D:$AS,AL$4,0))</f>
        <v>0</v>
      </c>
      <c r="AM75" s="14">
        <f>IF($B75="OFF",CL75,VLOOKUP($D75,Receptury_z!$D:$AS,AM$4,0))</f>
        <v>100</v>
      </c>
      <c r="AN75" s="14">
        <f>IF($B75="OFF",CM75,VLOOKUP($D75,Receptury_z!$D:$AS,AN$4,0))</f>
        <v>0</v>
      </c>
      <c r="AO75" s="14">
        <f>IF($B75="OFF",CN75,VLOOKUP($D75,Receptury_z!$D:$AS,AO$4,0))</f>
        <v>0</v>
      </c>
      <c r="AP75" s="14">
        <f>IF($B75="OFF",CO75,VLOOKUP($D75,Receptury_z!$D:$AS,AP$4,0))</f>
        <v>331.98</v>
      </c>
      <c r="AQ75" s="14">
        <f>IF($B75="OFF",CP75,VLOOKUP($D75,Receptury_z!$D:$AS,AQ$4,0))</f>
        <v>0</v>
      </c>
      <c r="AR75" s="14">
        <f>IF($B75="OFF",CQ75,VLOOKUP($D75,Receptury_z!$D:$AS,AR$4,0))</f>
        <v>0</v>
      </c>
      <c r="AS75" s="14">
        <f>IF($B75="OFF",CR75,VLOOKUP($D75,Receptury_z!$D:$AS,AS$4,0))</f>
        <v>0</v>
      </c>
      <c r="AT75" s="14">
        <f>IF($B75="OFF",CS75,VLOOKUP($D75,Receptury_z!$D:$AV,AT$4,0))</f>
        <v>0</v>
      </c>
      <c r="AU75" s="14">
        <f>IF($B75="OFF",CT75,VLOOKUP($D75,Receptury_z!$D:$AV,AU$4,0))</f>
        <v>0</v>
      </c>
      <c r="AV75" s="14">
        <f>IF($B75="OFF",CU75,VLOOKUP($D75,Receptury_z!$D:$AV,AV$4,0))</f>
        <v>0</v>
      </c>
      <c r="AW75" s="14">
        <f>IF($B75="OFF",CV75,VLOOKUP($D75,Receptury_z!$D:$BA,AW$4,0))</f>
        <v>0</v>
      </c>
      <c r="AX75" s="14">
        <f>IF($B75="OFF",CW75,VLOOKUP($D75,Receptury_z!$D:$BA,AX$4,0))</f>
        <v>0</v>
      </c>
      <c r="AY75" s="14">
        <f>IF($B75="OFF",CX75,VLOOKUP($D75,Receptury_z!$D:$BA,AY$4,0))</f>
        <v>0</v>
      </c>
      <c r="AZ75" s="14">
        <f>IF($B75="OFF",DA75,VLOOKUP($D75,Receptury_z!$D:$BA,AZ$4,0))</f>
        <v>0</v>
      </c>
      <c r="BA75" s="14">
        <f>IF($B75="OFF",DB75,VLOOKUP($D75,Receptury_z!$D:$BA,BA$4,0))</f>
        <v>0</v>
      </c>
      <c r="BC75" s="24">
        <v>7077</v>
      </c>
      <c r="BD75" s="26" t="s">
        <v>15213</v>
      </c>
      <c r="BE75" s="239"/>
      <c r="BF75" s="239"/>
      <c r="BG75" s="239"/>
      <c r="BH75" s="239"/>
      <c r="BI75" s="239"/>
      <c r="BJ75" s="239"/>
      <c r="BK75" s="239"/>
      <c r="BL75" s="239"/>
      <c r="BM75" s="239"/>
      <c r="BN75" s="239"/>
      <c r="BO75" s="239"/>
      <c r="BP75" s="239"/>
      <c r="BQ75" s="239"/>
      <c r="BR75" s="239"/>
      <c r="BS75" s="239"/>
      <c r="BT75" s="239"/>
      <c r="BU75" s="239"/>
      <c r="BV75" s="239"/>
      <c r="BW75" s="239"/>
      <c r="BX75" s="239"/>
      <c r="BY75" s="239"/>
      <c r="BZ75" s="240"/>
      <c r="CA75" s="239"/>
      <c r="CB75" s="239"/>
      <c r="CC75" s="239">
        <v>468</v>
      </c>
      <c r="CD75" s="239"/>
      <c r="CE75" s="239"/>
      <c r="CF75" s="239"/>
      <c r="CG75" s="239"/>
      <c r="CH75" s="239"/>
      <c r="CI75" s="239"/>
      <c r="CJ75" s="239"/>
      <c r="CK75" s="239"/>
      <c r="CL75" s="239"/>
      <c r="CM75" s="80"/>
      <c r="CN75" s="80"/>
      <c r="CO75" s="80">
        <v>468</v>
      </c>
      <c r="CP75" s="239"/>
      <c r="CQ75" s="239"/>
      <c r="CR75" s="239"/>
      <c r="CS75" s="239"/>
      <c r="CT75" s="239"/>
      <c r="CU75" s="239"/>
      <c r="CV75" s="80"/>
      <c r="CW75" s="80"/>
      <c r="CX75" s="80"/>
      <c r="CY75" s="80"/>
      <c r="CZ75" s="80"/>
      <c r="DB75">
        <f>IFERROR(VLOOKUP($D75,'Kalkulator mięs '!$C$5:$H$533,DB$4,0)*F75,0)</f>
        <v>0</v>
      </c>
      <c r="DC75">
        <f>IFERROR(VLOOKUP($D75,'Kalkulator mięs '!$C$5:$H$533,DC$4,0)*F75,0)</f>
        <v>0</v>
      </c>
      <c r="DD75">
        <f>IFERROR(VLOOKUP($D75,'Kalkulator mięs '!$C$5:$H$533,DD$4,0)*F75,0)</f>
        <v>0</v>
      </c>
      <c r="DE75">
        <f>IFERROR(VLOOKUP($D75,'Kalkulator mięs '!$C$5:$H$533,DE$4,0)*$G75,0)</f>
        <v>0</v>
      </c>
      <c r="DF75">
        <f>IFERROR(VLOOKUP($D75,'Kalkulator mięs '!$C$5:$H$533,DF$4,0)*$G75,0)</f>
        <v>0</v>
      </c>
      <c r="DG75">
        <f>IFERROR(VLOOKUP($D75,'Kalkulator mięs '!$C$5:$H$533,DG$4,0)*$G75,0)</f>
        <v>0</v>
      </c>
      <c r="DH75">
        <f>IFERROR(VLOOKUP($D75,'Kalkulator mięs '!$C$5:$H$533,DH$4,0)*$H75,0)</f>
        <v>0</v>
      </c>
      <c r="DI75">
        <f>IFERROR(VLOOKUP($D75,'Kalkulator mięs '!$C$5:$H$533,DI$4,0)*$H75,0)</f>
        <v>0</v>
      </c>
      <c r="DJ75">
        <f>IFERROR(VLOOKUP($D75,'Kalkulator mięs '!$C$5:$H$533,DJ$4,0)*$H75,0)</f>
        <v>0</v>
      </c>
      <c r="DK75">
        <f>IFERROR(VLOOKUP($D75,'Kalkulator mięs '!$C$5:$H$533,DK$4,0)*$I75,0)</f>
        <v>0</v>
      </c>
      <c r="DL75">
        <f>IFERROR(VLOOKUP($D75,'Kalkulator mięs '!$C$5:$H$533,DL$4,0)*$I75,0)</f>
        <v>0</v>
      </c>
      <c r="DM75">
        <f>IFERROR(VLOOKUP($D75,'Kalkulator mięs '!$C$5:$H$533,DM$4,0)*$I75,0)</f>
        <v>0</v>
      </c>
      <c r="DN75">
        <f>IFERROR(VLOOKUP($D75,'Kalkulator mięs '!$C$5:$H$533,DN$4,0)*$J75,0)</f>
        <v>0</v>
      </c>
      <c r="DO75">
        <f>IFERROR(VLOOKUP($D75,'Kalkulator mięs '!$C$5:$H$533,DO$4,0)*$J75,0)</f>
        <v>0</v>
      </c>
      <c r="DP75">
        <f>IFERROR(VLOOKUP($D75,'Kalkulator mięs '!$C$5:$H$533,DP$4,0)*$J75,0)</f>
        <v>0</v>
      </c>
      <c r="DQ75">
        <f>IFERROR(VLOOKUP($D75,'Kalkulator mięs '!$C$5:$H$533,DQ$4,0)*$K75,0)</f>
        <v>0</v>
      </c>
      <c r="DR75">
        <f>IFERROR(VLOOKUP($D75,'Kalkulator mięs '!$C$5:$H$533,DR$4,0)*$K75,0)</f>
        <v>0</v>
      </c>
      <c r="DS75">
        <f>IFERROR(VLOOKUP($D75,'Kalkulator mięs '!$C$5:$H$533,DS$4,0)*$K75,0)</f>
        <v>0</v>
      </c>
      <c r="DT75">
        <f>IFERROR(VLOOKUP($D75,'Kalkulator mięs '!$C$5:$H$533,DT$4,0)*$L75,0)</f>
        <v>0</v>
      </c>
      <c r="DU75">
        <f>IFERROR(VLOOKUP($D75,'Kalkulator mięs '!$C$5:$H$533,DU$4,0)*$L75,0)</f>
        <v>0</v>
      </c>
      <c r="DV75">
        <f>IFERROR(VLOOKUP($D75,'Kalkulator mięs '!$C$5:$H$533,DV$4,0)*$L75,0)</f>
        <v>0</v>
      </c>
      <c r="DW75">
        <f>IFERROR(VLOOKUP($D75,'Kalkulator mięs '!$C$5:$H$533,DW$4,0)*$M75,0)</f>
        <v>0</v>
      </c>
      <c r="DX75">
        <f>IFERROR(VLOOKUP($D75,'Kalkulator mięs '!$C$5:$H$533,DX$4,0)*$M75,0)</f>
        <v>0</v>
      </c>
      <c r="DY75">
        <f>IFERROR(VLOOKUP($D75,'Kalkulator mięs '!$C$5:$H$533,DY$4,0)*$M75,0)</f>
        <v>0</v>
      </c>
      <c r="DZ75">
        <f>IFERROR(VLOOKUP($D75,'Kalkulator mięs '!$C$5:$H$533,DZ$4,0)*$N75,0)</f>
        <v>0</v>
      </c>
      <c r="EA75">
        <f>IFERROR(VLOOKUP($D75,'Kalkulator mięs '!$C$5:$H$533,EA$4,0)*$N75,0)</f>
        <v>0</v>
      </c>
      <c r="EB75">
        <f>IFERROR(VLOOKUP($D75,'Kalkulator mięs '!$C$5:$H$533,EB$4,0)*$N75,0)</f>
        <v>0</v>
      </c>
      <c r="EC75">
        <f>IFERROR(VLOOKUP($D75,'Kalkulator mięs '!$C$5:$H$533,EC$4,0)*$O75,0)</f>
        <v>0</v>
      </c>
      <c r="ED75">
        <f>IFERROR(VLOOKUP($D75,'Kalkulator mięs '!$C$5:$H$533,ED$4,0)*$O75,0)</f>
        <v>0</v>
      </c>
      <c r="EE75">
        <f>IFERROR(VLOOKUP($D75,'Kalkulator mięs '!$C$5:$H$533,EE$4,0)*$O75,0)</f>
        <v>0</v>
      </c>
      <c r="EF75">
        <f>IFERROR(VLOOKUP($D75,'Kalkulator mięs '!$C$5:$H$533,EF$4,0)*$P75,0)</f>
        <v>0</v>
      </c>
      <c r="EG75">
        <f>IFERROR(VLOOKUP($D75,'Kalkulator mięs '!$C$5:$H$533,EG$4,0)*$P75,0)</f>
        <v>0</v>
      </c>
      <c r="EH75">
        <f>IFERROR(VLOOKUP($D75,'Kalkulator mięs '!$C$5:$H$533,EH$4,0)*$P75,0)</f>
        <v>0</v>
      </c>
      <c r="EI75">
        <f>IFERROR(VLOOKUP($D75,'Kalkulator mięs '!$C$5:$H$533,EI$4,0)*$Q75,0)</f>
        <v>0</v>
      </c>
      <c r="EJ75">
        <f>IFERROR(VLOOKUP($D75,'Kalkulator mięs '!$C$5:$H$533,EJ$4,0)*$Q75,0)</f>
        <v>0</v>
      </c>
      <c r="EK75">
        <f>IFERROR(VLOOKUP($D75,'Kalkulator mięs '!$C$5:$H$533,EK$4,0)*$Q75,0)</f>
        <v>0</v>
      </c>
      <c r="EL75">
        <f>IFERROR(VLOOKUP($D75,'Kalkulator mięs '!$C$5:$H$533,EL$4,0)*$R75,0)</f>
        <v>0</v>
      </c>
      <c r="EM75">
        <f>IFERROR(VLOOKUP($D75,'Kalkulator mięs '!$C$5:$H$533,EM$4,0)*$R75,0)</f>
        <v>0</v>
      </c>
      <c r="EN75">
        <f>IFERROR(VLOOKUP($D75,'Kalkulator mięs '!$C$5:$H$533,EN$4,0)*$R75,0)</f>
        <v>0</v>
      </c>
      <c r="EO75">
        <f>IFERROR(VLOOKUP($D75,'Kalkulator mięs '!$C$5:$H$533,EO$4,0)*$S75,0)</f>
        <v>0</v>
      </c>
      <c r="EP75">
        <f>IFERROR(VLOOKUP($D75,'Kalkulator mięs '!$C$5:$H$533,EP$4,0)*$S75,0)</f>
        <v>0</v>
      </c>
      <c r="EQ75">
        <f>IFERROR(VLOOKUP($D75,'Kalkulator mięs '!$C$5:$H$533,EQ$4,0)*$S75,0)</f>
        <v>0</v>
      </c>
      <c r="ER75">
        <f>IFERROR(VLOOKUP($D75,'Kalkulator mięs '!$C$5:$H$533,ER$4,0)*$T75,0)</f>
        <v>0</v>
      </c>
      <c r="ES75">
        <f>IFERROR(VLOOKUP($D75,'Kalkulator mięs '!$C$5:$H$533,ES$4,0)*$T75,0)</f>
        <v>0</v>
      </c>
      <c r="ET75">
        <f>IFERROR(VLOOKUP($D75,'Kalkulator mięs '!$C$5:$H$533,ET$4,0)*$T75,0)</f>
        <v>0</v>
      </c>
      <c r="EU75">
        <f>IFERROR(VLOOKUP($D75,'Kalkulator mięs '!$C$5:$H$533,EU$4,0)*$U75,0)</f>
        <v>0</v>
      </c>
      <c r="EV75">
        <f>IFERROR(VLOOKUP($D75,'Kalkulator mięs '!$C$5:$H$533,EV$4,0)*$U75,0)</f>
        <v>0</v>
      </c>
      <c r="EW75">
        <f>IFERROR(VLOOKUP($D75,'Kalkulator mięs '!$C$5:$H$533,EW$4,0)*$U75,0)</f>
        <v>0</v>
      </c>
      <c r="EX75">
        <f>IFERROR(VLOOKUP($D75,'Kalkulator mięs '!$C$5:$H$533,EX$4,0)*$V75,0)</f>
        <v>0</v>
      </c>
      <c r="EY75">
        <f>IFERROR(VLOOKUP($D75,'Kalkulator mięs '!$C$5:$H$533,EY$4,0)*$V75,0)</f>
        <v>0</v>
      </c>
      <c r="EZ75">
        <f>IFERROR(VLOOKUP($D75,'Kalkulator mięs '!$C$5:$H$533,EZ$4,0)*$V75,0)</f>
        <v>0</v>
      </c>
      <c r="FA75">
        <f>IFERROR(VLOOKUP($D75,'Kalkulator mięs '!$C$5:$H$533,FA$4,0)*$W75,0)</f>
        <v>0</v>
      </c>
      <c r="FB75">
        <f>IFERROR(VLOOKUP($D75,'Kalkulator mięs '!$C$5:$H$533,FB$4,0)*$W75,0)</f>
        <v>0</v>
      </c>
      <c r="FC75">
        <f>IFERROR(VLOOKUP($D75,'Kalkulator mięs '!$C$5:$H$533,FC$4,0)*$W75,0)</f>
        <v>0</v>
      </c>
      <c r="FD75">
        <f>IFERROR(VLOOKUP($D75,'Kalkulator mięs '!$C$5:$H$533,FD$4,0)*$X75,0)</f>
        <v>0</v>
      </c>
      <c r="FE75">
        <f>IFERROR(VLOOKUP($D75,'Kalkulator mięs '!$C$5:$H$533,FE$4,0)*$X75,0)</f>
        <v>0</v>
      </c>
      <c r="FF75">
        <f>IFERROR(VLOOKUP($D75,'Kalkulator mięs '!$C$5:$H$533,FF$4,0)*$X75,0)</f>
        <v>0</v>
      </c>
      <c r="FG75">
        <f>IFERROR(VLOOKUP($D75,'Kalkulator mięs '!$C$5:$H$533,FG$4,0)*$Y75,0)</f>
        <v>0</v>
      </c>
      <c r="FH75">
        <f>IFERROR(VLOOKUP($D75,'Kalkulator mięs '!$C$5:$H$533,FH$4,0)*$Y75,0)</f>
        <v>0</v>
      </c>
      <c r="FI75">
        <f>IFERROR(VLOOKUP($D75,'Kalkulator mięs '!$C$5:$H$533,FI$4,0)*$Y75,0)</f>
        <v>0</v>
      </c>
      <c r="FJ75">
        <f>IFERROR(VLOOKUP($D75,'Kalkulator mięs '!$C$5:$H$533,FJ$4,0)*$Z75,0)</f>
        <v>0</v>
      </c>
      <c r="FK75">
        <f>IFERROR(VLOOKUP($D75,'Kalkulator mięs '!$C$5:$H$533,FK$4,0)*$Z75,0)</f>
        <v>0</v>
      </c>
      <c r="FL75">
        <f>IFERROR(VLOOKUP($D75,'Kalkulator mięs '!$C$5:$H$533,FL$4,0)*$Z75,0)</f>
        <v>0</v>
      </c>
      <c r="FM75">
        <f>IFERROR(VLOOKUP($D75,'Kalkulator mięs '!$C$5:$H$533,FM$4,0)*$AA75,0)</f>
        <v>0</v>
      </c>
      <c r="FN75">
        <f>IFERROR(VLOOKUP($D75,'Kalkulator mięs '!$C$5:$H$533,FN$4,0)*$AA75,0)</f>
        <v>0</v>
      </c>
      <c r="FO75">
        <f>IFERROR(VLOOKUP($D75,'Kalkulator mięs '!$C$5:$H$533,FO$4,0)*$AA75,0)</f>
        <v>0</v>
      </c>
      <c r="FP75">
        <f>IFERROR(VLOOKUP($D75,'Kalkulator mięs '!$C$5:$H$533,FP$4,0)*$AB75,0)</f>
        <v>0</v>
      </c>
      <c r="FQ75">
        <f>IFERROR(VLOOKUP($D75,'Kalkulator mięs '!$C$5:$H$533,FQ$4,0)*$AB75,0)</f>
        <v>0</v>
      </c>
      <c r="FR75">
        <f>IFERROR(VLOOKUP($D75,'Kalkulator mięs '!$C$5:$H$533,FR$4,0)*$AB75,0)</f>
        <v>0</v>
      </c>
      <c r="FS75">
        <f>IFERROR(VLOOKUP($D75,'Kalkulator mięs '!$C$5:$H$533,FS$4,0)*$AC75,0)</f>
        <v>0</v>
      </c>
      <c r="FT75">
        <f>IFERROR(VLOOKUP($D75,'Kalkulator mięs '!$C$5:$H$533,FT$4,0)*$AC75,0)</f>
        <v>0</v>
      </c>
      <c r="FU75">
        <f>IFERROR(VLOOKUP($D75,'Kalkulator mięs '!$C$5:$H$533,FU$4,0)*$AC75,0)</f>
        <v>0</v>
      </c>
      <c r="FV75">
        <f>IFERROR(VLOOKUP($D75,'Kalkulator mięs '!$C$5:$H$533,FV$4,0)*$AD75,0)</f>
        <v>0</v>
      </c>
      <c r="FW75">
        <f>IFERROR(VLOOKUP($D75,'Kalkulator mięs '!$C$5:$H$533,FW$4,0)*$AD75,0)</f>
        <v>0</v>
      </c>
      <c r="FX75">
        <f>IFERROR(VLOOKUP($D75,'Kalkulator mięs '!$C$5:$H$533,FX$4,0)*$AD75,0)</f>
        <v>0</v>
      </c>
      <c r="FY75">
        <f>IFERROR(VLOOKUP($D75,'Kalkulator mięs '!$C$5:$H$533,FY$4,0)*$AE75,0)</f>
        <v>0</v>
      </c>
      <c r="FZ75">
        <f>IFERROR(VLOOKUP($D75,'Kalkulator mięs '!$C$5:$H$533,FZ$4,0)*$AE75,0)</f>
        <v>0</v>
      </c>
      <c r="GA75">
        <f>IFERROR(VLOOKUP($D75,'Kalkulator mięs '!$C$5:$H$533,GA$4,0)*$AE75,0)</f>
        <v>0</v>
      </c>
      <c r="GB75">
        <f>IFERROR(VLOOKUP($D75,'Kalkulator mięs '!$C$5:$H$533,GB$4,0)*$AF75,0)</f>
        <v>0</v>
      </c>
      <c r="GC75">
        <f>IFERROR(VLOOKUP($D75,'Kalkulator mięs '!$C$5:$H$533,GC$4,0)*$AF75,0)</f>
        <v>0</v>
      </c>
      <c r="GD75">
        <f>IFERROR(VLOOKUP($D75,'Kalkulator mięs '!$C$5:$H$533,GD$4,0)*$AF75,0)</f>
        <v>0</v>
      </c>
      <c r="GE75">
        <f>IFERROR(VLOOKUP($D75,'Kalkulator mięs '!$C$5:$H$533,GE$4,0)*$AG75,0)</f>
        <v>0</v>
      </c>
      <c r="GF75">
        <f>IFERROR(VLOOKUP($D75,'Kalkulator mięs '!$C$5:$H$533,GF$4,0)*$AG75,0)</f>
        <v>0</v>
      </c>
      <c r="GG75">
        <f>IFERROR(VLOOKUP($D75,'Kalkulator mięs '!$C$5:$H$533,GG$4,0)*$AG75,0)</f>
        <v>0</v>
      </c>
      <c r="GH75">
        <f>IFERROR(VLOOKUP($D75,'Kalkulator mięs '!$C$5:$H$533,GH$4,0)*$AH75,0)</f>
        <v>0</v>
      </c>
      <c r="GI75">
        <f>IFERROR(VLOOKUP($D75,'Kalkulator mięs '!$C$5:$H$533,GI$4,0)*$AH75,0)</f>
        <v>0</v>
      </c>
      <c r="GJ75">
        <f>IFERROR(VLOOKUP($D75,'Kalkulator mięs '!$C$5:$H$533,GJ$4,0)*$AH75,0)</f>
        <v>0</v>
      </c>
      <c r="GK75">
        <f>IFERROR(VLOOKUP($D75,'Kalkulator mięs '!$C$5:$H$533,GK$4,0)*$AI75,0)</f>
        <v>0</v>
      </c>
      <c r="GL75">
        <f>IFERROR(VLOOKUP($D75,'Kalkulator mięs '!$C$5:$H$533,GL$4,0)*$AI75,0)</f>
        <v>0</v>
      </c>
      <c r="GM75">
        <f>IFERROR(VLOOKUP($D75,'Kalkulator mięs '!$C$5:$H$533,GM$4,0)*$AI75,0)</f>
        <v>0</v>
      </c>
      <c r="GN75">
        <f>IFERROR(VLOOKUP($D75,'Kalkulator mięs '!$C$5:$H$533,GN$4,0)*$AJ75,0)</f>
        <v>0</v>
      </c>
      <c r="GO75">
        <f>IFERROR(VLOOKUP($D75,'Kalkulator mięs '!$C$5:$H$533,GO$4,0)*$AJ75,0)</f>
        <v>0</v>
      </c>
      <c r="GP75">
        <f>IFERROR(VLOOKUP($D75,'Kalkulator mięs '!$C$5:$H$533,GP$4,0)*$AJ75,0)</f>
        <v>0</v>
      </c>
      <c r="GQ75">
        <f>IFERROR(VLOOKUP($D75,'Kalkulator mięs '!$C$5:$H$533,GQ$4,0)*$AK75,0)</f>
        <v>0</v>
      </c>
      <c r="GR75">
        <f>IFERROR(VLOOKUP($D75,'Kalkulator mięs '!$C$5:$H$533,GR$4,0)*$AK75,0)</f>
        <v>0</v>
      </c>
      <c r="GS75">
        <f>IFERROR(VLOOKUP($D75,'Kalkulator mięs '!$C$5:$H$533,GS$4,0)*$AK75,0)</f>
        <v>0</v>
      </c>
      <c r="GT75">
        <f>IFERROR(VLOOKUP($D75,'Kalkulator mięs '!$C$5:$H$533,GT$4,0)*$AL75,0)</f>
        <v>0</v>
      </c>
      <c r="GU75">
        <f>IFERROR(VLOOKUP($D75,'Kalkulator mięs '!$C$5:$H$533,GU$4,0)*$AL75,0)</f>
        <v>0</v>
      </c>
      <c r="GV75">
        <f>IFERROR(VLOOKUP($D75,'Kalkulator mięs '!$C$5:$H$533,GV$4,0)*$AL75,0)</f>
        <v>0</v>
      </c>
      <c r="GW75">
        <f>IFERROR(VLOOKUP($D75,'Kalkulator mięs '!$C$5:$H$533,GW$4,0)*$AM75,0)</f>
        <v>0</v>
      </c>
      <c r="GX75">
        <f>IFERROR(VLOOKUP($D75,'Kalkulator mięs '!$C$5:$H$533,GX$4,0)*$AM75,0)</f>
        <v>0</v>
      </c>
      <c r="GY75">
        <f>IFERROR(VLOOKUP($D75,'Kalkulator mięs '!$C$5:$H$533,GY$4,0)*$AM75,0)</f>
        <v>0</v>
      </c>
      <c r="GZ75">
        <f>IFERROR(VLOOKUP($D75,'Kalkulator mięs '!$C$5:$H$533,GZ$4,0)*$AN75,0)</f>
        <v>0</v>
      </c>
      <c r="HA75">
        <f>IFERROR(VLOOKUP($D75,'Kalkulator mięs '!$C$5:$H$533,HA$4,0)*$AN75,0)</f>
        <v>0</v>
      </c>
      <c r="HB75">
        <f>IFERROR(VLOOKUP($D75,'Kalkulator mięs '!$C$5:$H$533,HB$4,0)*$AN75,0)</f>
        <v>0</v>
      </c>
      <c r="HC75">
        <f>IFERROR(VLOOKUP($D75,'Kalkulator mięs '!$C$5:$H$533,HC$4,0)*$AO75,0)</f>
        <v>0</v>
      </c>
      <c r="HD75">
        <f>IFERROR(VLOOKUP($D75,'Kalkulator mięs '!$C$5:$H$533,HD$4,0)*$AO75,0)</f>
        <v>0</v>
      </c>
      <c r="HE75">
        <f>IFERROR(VLOOKUP($D75,'Kalkulator mięs '!$C$5:$H$533,HE$4,0)*$AO75,0)</f>
        <v>0</v>
      </c>
      <c r="HF75">
        <f>IFERROR(VLOOKUP($D75,'Kalkulator mięs '!$C$5:$H$533,HF$4,0)*$AP75,0)</f>
        <v>0</v>
      </c>
      <c r="HG75">
        <f>IFERROR(VLOOKUP($D75,'Kalkulator mięs '!$C$5:$H$533,HG$4,0)*$AP75,0)</f>
        <v>0</v>
      </c>
      <c r="HH75">
        <f>IFERROR(VLOOKUP($D75,'Kalkulator mięs '!$C$5:$H$533,HH$4,0)*$AP75,0)</f>
        <v>0</v>
      </c>
      <c r="HI75">
        <f>IFERROR(VLOOKUP($D75,'Kalkulator mięs '!$C$5:$H$533,HI$4,0)*$AQ75,0)</f>
        <v>0</v>
      </c>
      <c r="HJ75">
        <f>IFERROR(VLOOKUP($D75,'Kalkulator mięs '!$C$5:$H$533,HJ$4,0)*$AQ75,0)</f>
        <v>0</v>
      </c>
      <c r="HK75">
        <f>IFERROR(VLOOKUP($D75,'Kalkulator mięs '!$C$5:$H$533,HK$4,0)*$AQ75,0)</f>
        <v>0</v>
      </c>
      <c r="HL75">
        <f>IFERROR(VLOOKUP($D75,'Kalkulator mięs '!$C$5:$H$533,HL$4,0)*$AR75,0)</f>
        <v>0</v>
      </c>
      <c r="HM75">
        <f>IFERROR(VLOOKUP($D75,'Kalkulator mięs '!$C$5:$H$533,HM$4,0)*$AR75,0)</f>
        <v>0</v>
      </c>
      <c r="HN75">
        <f>IFERROR(VLOOKUP($D75,'Kalkulator mięs '!$C$5:$H$533,HN$4,0)*$AR75,0)</f>
        <v>0</v>
      </c>
      <c r="HO75">
        <f>IFERROR(VLOOKUP($D75,'Kalkulator mięs '!$C$5:$H$533,HO$4,0)*$AS75,0)</f>
        <v>0</v>
      </c>
      <c r="HP75">
        <f>IFERROR(VLOOKUP($D75,'Kalkulator mięs '!$C$5:$H$533,HP$4,0)*$AS75,0)</f>
        <v>0</v>
      </c>
      <c r="HQ75">
        <f>IFERROR(VLOOKUP($D75,'Kalkulator mięs '!$C$5:$H$533,HQ$4,0)*$AS75,0)</f>
        <v>0</v>
      </c>
      <c r="HR75">
        <f>IFERROR(VLOOKUP($D75,'Kalkulator mięs '!$C$5:$H$533,HR$4,0)*$AT75,0)</f>
        <v>0</v>
      </c>
      <c r="HS75">
        <f>IFERROR(VLOOKUP($D75,'Kalkulator mięs '!$C$5:$H$533,HS$4,0)*$AT75,0)</f>
        <v>0</v>
      </c>
      <c r="HT75">
        <f>IFERROR(VLOOKUP($D75,'Kalkulator mięs '!$C$5:$H$533,HT$4,0)*$AT75,0)</f>
        <v>0</v>
      </c>
      <c r="HU75">
        <f>IFERROR(VLOOKUP($D75,'Kalkulator mięs '!$C$5:$H$533,HU$4,0)*$AU75,0)</f>
        <v>0</v>
      </c>
      <c r="HV75">
        <f>IFERROR(VLOOKUP($D75,'Kalkulator mięs '!$C$5:$H$533,HV$4,0)*$AU75,0)</f>
        <v>0</v>
      </c>
      <c r="HW75">
        <f>IFERROR(VLOOKUP($D75,'Kalkulator mięs '!$C$5:$H$533,HW$4,0)*$AU75,0)</f>
        <v>0</v>
      </c>
      <c r="HX75">
        <f>IFERROR(VLOOKUP($D75,'Kalkulator mięs '!$C$5:$H$533,HX$4,0)*$AV75,0)</f>
        <v>0</v>
      </c>
      <c r="HY75">
        <f>IFERROR(VLOOKUP($D75,'Kalkulator mięs '!$C$5:$H$533,HY$4,0)*$AV75,0)</f>
        <v>0</v>
      </c>
      <c r="HZ75">
        <f>IFERROR(VLOOKUP($D75,'Kalkulator mięs '!$C$5:$H$533,HZ$4,0)*$AV75,0)</f>
        <v>0</v>
      </c>
      <c r="IA75">
        <f>IFERROR(VLOOKUP($D75,'Kalkulator mięs '!$C$5:$H$533,IA$4,0)*$AW75,0)</f>
        <v>0</v>
      </c>
      <c r="IB75">
        <f>IFERROR(VLOOKUP($D75,'Kalkulator mięs '!$C$5:$H$533,IB$4,0)*$AW75,0)</f>
        <v>0</v>
      </c>
      <c r="IC75">
        <f>IFERROR(VLOOKUP($D75,'Kalkulator mięs '!$C$5:$H$533,IC$4,0)*$AW75,0)</f>
        <v>0</v>
      </c>
      <c r="ID75">
        <f>IFERROR(VLOOKUP($D75,'Kalkulator mięs '!$C$5:$H$533,ID$4,0)*$AX75,0)</f>
        <v>0</v>
      </c>
      <c r="IE75">
        <f>IFERROR(VLOOKUP($D75,'Kalkulator mięs '!$C$5:$H$533,IE$4,0)*$AX75,0)</f>
        <v>0</v>
      </c>
      <c r="IF75">
        <f>IFERROR(VLOOKUP($D75,'Kalkulator mięs '!$C$5:$H$533,IF$4,0)*$AX75,0)</f>
        <v>0</v>
      </c>
      <c r="IG75">
        <f>IFERROR(VLOOKUP($D75,'Kalkulator mięs '!$C$5:$H$533,IG$4,0)*$AY75,0)</f>
        <v>0</v>
      </c>
      <c r="IH75">
        <f>IFERROR(VLOOKUP($D75,'Kalkulator mięs '!$C$5:$H$533,IH$4,0)*$AY75,0)</f>
        <v>0</v>
      </c>
      <c r="II75">
        <f>IFERROR(VLOOKUP($D75,'Kalkulator mięs '!$C$5:$H$533,II$4,0)*$AY75,0)</f>
        <v>0</v>
      </c>
      <c r="IJ75">
        <f>IFERROR(VLOOKUP($D75,'Kalkulator mięs '!$C$5:$H$533,IJ$4,0)*$AZ75,0)</f>
        <v>0</v>
      </c>
      <c r="IK75">
        <f>IFERROR(VLOOKUP($D75,'Kalkulator mięs '!$C$5:$H$533,IK$4,0)*$AZ75,0)</f>
        <v>0</v>
      </c>
      <c r="IL75">
        <f>IFERROR(VLOOKUP($D75,'Kalkulator mięs '!$C$5:$H$533,IL$4,0)*$AZ75,0)</f>
        <v>0</v>
      </c>
      <c r="IM75">
        <f>IFERROR(VLOOKUP($D75,'Kalkulator mięs '!$C$5:$H$533,IM$4,0)*$BA75,0)</f>
        <v>0</v>
      </c>
      <c r="IN75">
        <f>IFERROR(VLOOKUP($D75,'Kalkulator mięs '!$C$5:$H$533,IN$4,0)*$BA75,0)</f>
        <v>0</v>
      </c>
      <c r="IO75">
        <f>IFERROR(VLOOKUP($D75,'Kalkulator mięs '!$C$5:$H$533,IO$4,0)*$BA75,0)</f>
        <v>0</v>
      </c>
    </row>
    <row r="76" spans="2:249" ht="15.75">
      <c r="B76" t="str">
        <f>VLOOKUP(D76,Receptury_z!$A:$B,2,0)</f>
        <v>ON</v>
      </c>
      <c r="C76" s="23">
        <v>5552</v>
      </c>
      <c r="D76" s="24">
        <v>7078</v>
      </c>
      <c r="E76" s="26" t="s">
        <v>15218</v>
      </c>
      <c r="F76" s="14">
        <f>IF($B76="OFF",BE76,VLOOKUP($D76,Receptury_z!$D:$AI,F$4,0))</f>
        <v>0</v>
      </c>
      <c r="G76" s="14">
        <f>IF($B76="OFF",BF76,VLOOKUP($D76,Receptury_z!$D:$AI,G$4,0))</f>
        <v>332.73</v>
      </c>
      <c r="H76" s="14">
        <f>IF($B76="OFF",BG76,VLOOKUP($D76,Receptury_z!$D:$AI,H$4,0))</f>
        <v>0</v>
      </c>
      <c r="I76" s="14">
        <f>IF($B76="OFF",BH76,VLOOKUP($D76,Receptury_z!$D:$AI,I$4,0))</f>
        <v>0</v>
      </c>
      <c r="J76" s="14">
        <f>IF($B76="OFF",BI76,VLOOKUP($D76,Receptury_z!$D:$AI,J$4,0))</f>
        <v>0</v>
      </c>
      <c r="K76" s="14">
        <f>IF($B76="OFF",BJ76,VLOOKUP($D76,Receptury_z!$D:$AI,K$4,0))</f>
        <v>0</v>
      </c>
      <c r="L76" s="14">
        <f>IF($B76="OFF",BK76,VLOOKUP($D76,Receptury_z!$D:$AI,L$4,0))</f>
        <v>0</v>
      </c>
      <c r="M76" s="14">
        <f>IF($B76="OFF",BL76,VLOOKUP($D76,Receptury_z!$D:$AI,M$4,0))</f>
        <v>0</v>
      </c>
      <c r="N76" s="14">
        <f>IF($B76="OFF",BM76,VLOOKUP($D76,Receptury_z!$D:$AI,N$4,0))</f>
        <v>0</v>
      </c>
      <c r="O76" s="14">
        <f>IF($B76="OFF",BN76,VLOOKUP($D76,Receptury_z!$D:$AI,O$4,0))</f>
        <v>0</v>
      </c>
      <c r="P76" s="14">
        <f>IF($B76="OFF",BO76,VLOOKUP($D76,Receptury_z!$D:$AI,P$4,0))</f>
        <v>100</v>
      </c>
      <c r="Q76" s="14">
        <f>IF($B76="OFF",BP76,VLOOKUP($D76,Receptury_z!$D:$AI,Q$4,0))</f>
        <v>0</v>
      </c>
      <c r="R76" s="14">
        <f>IF($B76="OFF",BQ76,VLOOKUP($D76,Receptury_z!$D:$AI,R$4,0))</f>
        <v>0</v>
      </c>
      <c r="S76" s="14">
        <f>IF($B76="OFF",BR76,VLOOKUP($D76,Receptury_z!$D:$AI,S$4,0))</f>
        <v>0</v>
      </c>
      <c r="T76" s="14">
        <f>IF($B76="OFF",BS76,VLOOKUP($D76,Receptury_z!$D:$AI,T$4,0))</f>
        <v>0</v>
      </c>
      <c r="U76" s="14">
        <f>IF($B76="OFF",BT76,VLOOKUP($D76,Receptury_z!$D:$AI,U$4,0))</f>
        <v>0</v>
      </c>
      <c r="V76" s="14">
        <f>IF($B76="OFF",BU76,VLOOKUP($D76,Receptury_z!$D:$AI,V$4,0))</f>
        <v>0</v>
      </c>
      <c r="W76" s="14">
        <f>IF($B76="OFF",BV76,VLOOKUP($D76,Receptury_z!$D:$AI,W$4,0))</f>
        <v>0</v>
      </c>
      <c r="X76" s="14">
        <f>IF($B76="OFF",BW76,VLOOKUP($D76,Receptury_z!$D:$AI,X$4,0))</f>
        <v>0</v>
      </c>
      <c r="Y76" s="14">
        <f>IF($B76="OFF",BX76,VLOOKUP($D76,Receptury_z!$D:$AI,Y$4,0))</f>
        <v>41.67</v>
      </c>
      <c r="Z76" s="14">
        <f>IF($B76="OFF",BY76,VLOOKUP($D76,Receptury_z!$D:$AI,Z$4,0))</f>
        <v>0</v>
      </c>
      <c r="AA76" s="14">
        <f>IF($B76="OFF",BZ76,VLOOKUP($D76,Receptury_z!$D:$AI,AA$4,0))</f>
        <v>0</v>
      </c>
      <c r="AB76" s="14">
        <f>IF($B76="OFF",CA76,VLOOKUP($D76,Receptury_z!$D:$AI,AB$4,0))</f>
        <v>24.93</v>
      </c>
      <c r="AC76" s="14">
        <f>IF($B76="OFF",CB76,VLOOKUP($D76,Receptury_z!$D:$AI,AC$4,0))</f>
        <v>0</v>
      </c>
      <c r="AD76" s="14">
        <f>IF($B76="OFF",CC76,VLOOKUP($D76,Receptury_z!$D:$AI,AD$4,0))</f>
        <v>0</v>
      </c>
      <c r="AE76" s="14">
        <f>IF($B76="OFF",CD76,VLOOKUP($D76,Receptury_z!$D:$AI,AE$4,0))</f>
        <v>41.58</v>
      </c>
      <c r="AF76" s="14">
        <f>IF($B76="OFF",CE76,VLOOKUP($D76,Receptury_z!$D:$AI,AF$4,0))</f>
        <v>0</v>
      </c>
      <c r="AG76" s="14">
        <f>IF($B76="OFF",CF76,VLOOKUP($D76,Receptury_z!$D:$AI,AG$4,0))</f>
        <v>41.58</v>
      </c>
      <c r="AH76" s="14">
        <f>IF($B76="OFF",CG76,VLOOKUP($D76,Receptury_z!$D:$AI,AH$4,0))</f>
        <v>0</v>
      </c>
      <c r="AI76" s="14">
        <f>IF($B76="OFF",CH76,VLOOKUP($D76,Receptury_z!$D:$AI,AI$4,0))</f>
        <v>0</v>
      </c>
      <c r="AJ76" s="14">
        <f>IF($B76="OFF",CI76,VLOOKUP($D76,Receptury_z!$D:$AS,AJ$4,0))</f>
        <v>0</v>
      </c>
      <c r="AK76" s="14">
        <f>IF($B76="OFF",CJ76,VLOOKUP($D76,Receptury_z!$D:$AS,AK$4,0))</f>
        <v>0</v>
      </c>
      <c r="AL76" s="14">
        <f>IF($B76="OFF",CK76,VLOOKUP($D76,Receptury_z!$D:$AS,AL$4,0))</f>
        <v>0</v>
      </c>
      <c r="AM76" s="14">
        <f>IF($B76="OFF",CL76,VLOOKUP($D76,Receptury_z!$D:$AS,AM$4,0))</f>
        <v>0</v>
      </c>
      <c r="AN76" s="14">
        <f>IF($B76="OFF",CM76,VLOOKUP($D76,Receptury_z!$D:$AS,AN$4,0))</f>
        <v>0</v>
      </c>
      <c r="AO76" s="14">
        <f>IF($B76="OFF",CN76,VLOOKUP($D76,Receptury_z!$D:$AS,AO$4,0))</f>
        <v>0</v>
      </c>
      <c r="AP76" s="14">
        <f>IF($B76="OFF",CO76,VLOOKUP($D76,Receptury_z!$D:$AS,AP$4,0))</f>
        <v>451.01</v>
      </c>
      <c r="AQ76" s="14">
        <f>IF($B76="OFF",CP76,VLOOKUP($D76,Receptury_z!$D:$AS,AQ$4,0))</f>
        <v>0</v>
      </c>
      <c r="AR76" s="14">
        <f>IF($B76="OFF",CQ76,VLOOKUP($D76,Receptury_z!$D:$AS,AR$4,0))</f>
        <v>0</v>
      </c>
      <c r="AS76" s="14">
        <f>IF($B76="OFF",CR76,VLOOKUP($D76,Receptury_z!$D:$AS,AS$4,0))</f>
        <v>0</v>
      </c>
      <c r="AT76" s="14">
        <f>IF($B76="OFF",CS76,VLOOKUP($D76,Receptury_z!$D:$AV,AT$4,0))</f>
        <v>0</v>
      </c>
      <c r="AU76" s="14">
        <f>IF($B76="OFF",CT76,VLOOKUP($D76,Receptury_z!$D:$AV,AU$4,0))</f>
        <v>0</v>
      </c>
      <c r="AV76" s="14">
        <f>IF($B76="OFF",CU76,VLOOKUP($D76,Receptury_z!$D:$AV,AV$4,0))</f>
        <v>0</v>
      </c>
      <c r="AW76" s="14">
        <f>IF($B76="OFF",CV76,VLOOKUP($D76,Receptury_z!$D:$BA,AW$4,0))</f>
        <v>0</v>
      </c>
      <c r="AX76" s="14">
        <f>IF($B76="OFF",CW76,VLOOKUP($D76,Receptury_z!$D:$BA,AX$4,0))</f>
        <v>0</v>
      </c>
      <c r="AY76" s="14">
        <f>IF($B76="OFF",CX76,VLOOKUP($D76,Receptury_z!$D:$BA,AY$4,0))</f>
        <v>0</v>
      </c>
      <c r="AZ76" s="14">
        <f>IF($B76="OFF",DA76,VLOOKUP($D76,Receptury_z!$D:$BA,AZ$4,0))</f>
        <v>0</v>
      </c>
      <c r="BA76" s="14">
        <f>IF($B76="OFF",DB76,VLOOKUP($D76,Receptury_z!$D:$BA,BA$4,0))</f>
        <v>0</v>
      </c>
      <c r="BC76" s="24">
        <v>7078</v>
      </c>
      <c r="BD76" s="26" t="s">
        <v>15218</v>
      </c>
      <c r="BE76" s="239"/>
      <c r="BF76" s="239"/>
      <c r="BG76" s="239"/>
      <c r="BH76" s="239"/>
      <c r="BI76" s="239"/>
      <c r="BJ76" s="239"/>
      <c r="BK76" s="239"/>
      <c r="BL76" s="239"/>
      <c r="BM76" s="239"/>
      <c r="BN76" s="239"/>
      <c r="BO76" s="239"/>
      <c r="BP76" s="239"/>
      <c r="BQ76" s="239"/>
      <c r="BR76" s="239"/>
      <c r="BS76" s="239"/>
      <c r="BT76" s="239"/>
      <c r="BU76" s="239"/>
      <c r="BV76" s="239"/>
      <c r="BW76" s="239"/>
      <c r="BX76" s="239"/>
      <c r="BY76" s="239"/>
      <c r="BZ76" s="240"/>
      <c r="CA76" s="239"/>
      <c r="CB76" s="239"/>
      <c r="CC76" s="239">
        <v>471.4</v>
      </c>
      <c r="CD76" s="239"/>
      <c r="CE76" s="239"/>
      <c r="CF76" s="239"/>
      <c r="CG76" s="239"/>
      <c r="CH76" s="239"/>
      <c r="CI76" s="239"/>
      <c r="CJ76" s="239"/>
      <c r="CK76" s="239"/>
      <c r="CL76" s="239"/>
      <c r="CM76" s="80"/>
      <c r="CN76" s="80"/>
      <c r="CO76" s="80">
        <v>462.1</v>
      </c>
      <c r="CP76" s="239"/>
      <c r="CQ76" s="239"/>
      <c r="CR76" s="239"/>
      <c r="CS76" s="239"/>
      <c r="CT76" s="239"/>
      <c r="CU76" s="239"/>
      <c r="CV76" s="80"/>
      <c r="CW76" s="80"/>
      <c r="CX76" s="80"/>
      <c r="CY76" s="80"/>
      <c r="CZ76" s="80"/>
      <c r="DB76">
        <f>IFERROR(VLOOKUP($D76,'Kalkulator mięs '!$C$5:$H$533,DB$4,0)*F76,0)</f>
        <v>0</v>
      </c>
      <c r="DC76">
        <f>IFERROR(VLOOKUP($D76,'Kalkulator mięs '!$C$5:$H$533,DC$4,0)*F76,0)</f>
        <v>0</v>
      </c>
      <c r="DD76">
        <f>IFERROR(VLOOKUP($D76,'Kalkulator mięs '!$C$5:$H$533,DD$4,0)*F76,0)</f>
        <v>0</v>
      </c>
      <c r="DE76">
        <f>IFERROR(VLOOKUP($D76,'Kalkulator mięs '!$C$5:$H$533,DE$4,0)*$G76,0)</f>
        <v>0</v>
      </c>
      <c r="DF76">
        <f>IFERROR(VLOOKUP($D76,'Kalkulator mięs '!$C$5:$H$533,DF$4,0)*$G76,0)</f>
        <v>598.9140000000001</v>
      </c>
      <c r="DG76">
        <f>IFERROR(VLOOKUP($D76,'Kalkulator mięs '!$C$5:$H$533,DG$4,0)*$G76,0)</f>
        <v>598.9140000000001</v>
      </c>
      <c r="DH76">
        <f>IFERROR(VLOOKUP($D76,'Kalkulator mięs '!$C$5:$H$533,DH$4,0)*$H76,0)</f>
        <v>0</v>
      </c>
      <c r="DI76">
        <f>IFERROR(VLOOKUP($D76,'Kalkulator mięs '!$C$5:$H$533,DI$4,0)*$H76,0)</f>
        <v>0</v>
      </c>
      <c r="DJ76">
        <f>IFERROR(VLOOKUP($D76,'Kalkulator mięs '!$C$5:$H$533,DJ$4,0)*$H76,0)</f>
        <v>0</v>
      </c>
      <c r="DK76">
        <f>IFERROR(VLOOKUP($D76,'Kalkulator mięs '!$C$5:$H$533,DK$4,0)*$I76,0)</f>
        <v>0</v>
      </c>
      <c r="DL76">
        <f>IFERROR(VLOOKUP($D76,'Kalkulator mięs '!$C$5:$H$533,DL$4,0)*$I76,0)</f>
        <v>0</v>
      </c>
      <c r="DM76">
        <f>IFERROR(VLOOKUP($D76,'Kalkulator mięs '!$C$5:$H$533,DM$4,0)*$I76,0)</f>
        <v>0</v>
      </c>
      <c r="DN76">
        <f>IFERROR(VLOOKUP($D76,'Kalkulator mięs '!$C$5:$H$533,DN$4,0)*$J76,0)</f>
        <v>0</v>
      </c>
      <c r="DO76">
        <f>IFERROR(VLOOKUP($D76,'Kalkulator mięs '!$C$5:$H$533,DO$4,0)*$J76,0)</f>
        <v>0</v>
      </c>
      <c r="DP76">
        <f>IFERROR(VLOOKUP($D76,'Kalkulator mięs '!$C$5:$H$533,DP$4,0)*$J76,0)</f>
        <v>0</v>
      </c>
      <c r="DQ76">
        <f>IFERROR(VLOOKUP($D76,'Kalkulator mięs '!$C$5:$H$533,DQ$4,0)*$K76,0)</f>
        <v>0</v>
      </c>
      <c r="DR76">
        <f>IFERROR(VLOOKUP($D76,'Kalkulator mięs '!$C$5:$H$533,DR$4,0)*$K76,0)</f>
        <v>0</v>
      </c>
      <c r="DS76">
        <f>IFERROR(VLOOKUP($D76,'Kalkulator mięs '!$C$5:$H$533,DS$4,0)*$K76,0)</f>
        <v>0</v>
      </c>
      <c r="DT76">
        <f>IFERROR(VLOOKUP($D76,'Kalkulator mięs '!$C$5:$H$533,DT$4,0)*$L76,0)</f>
        <v>0</v>
      </c>
      <c r="DU76">
        <f>IFERROR(VLOOKUP($D76,'Kalkulator mięs '!$C$5:$H$533,DU$4,0)*$L76,0)</f>
        <v>0</v>
      </c>
      <c r="DV76">
        <f>IFERROR(VLOOKUP($D76,'Kalkulator mięs '!$C$5:$H$533,DV$4,0)*$L76,0)</f>
        <v>0</v>
      </c>
      <c r="DW76">
        <f>IFERROR(VLOOKUP($D76,'Kalkulator mięs '!$C$5:$H$533,DW$4,0)*$M76,0)</f>
        <v>0</v>
      </c>
      <c r="DX76">
        <f>IFERROR(VLOOKUP($D76,'Kalkulator mięs '!$C$5:$H$533,DX$4,0)*$M76,0)</f>
        <v>0</v>
      </c>
      <c r="DY76">
        <f>IFERROR(VLOOKUP($D76,'Kalkulator mięs '!$C$5:$H$533,DY$4,0)*$M76,0)</f>
        <v>0</v>
      </c>
      <c r="DZ76">
        <f>IFERROR(VLOOKUP($D76,'Kalkulator mięs '!$C$5:$H$533,DZ$4,0)*$N76,0)</f>
        <v>0</v>
      </c>
      <c r="EA76">
        <f>IFERROR(VLOOKUP($D76,'Kalkulator mięs '!$C$5:$H$533,EA$4,0)*$N76,0)</f>
        <v>0</v>
      </c>
      <c r="EB76">
        <f>IFERROR(VLOOKUP($D76,'Kalkulator mięs '!$C$5:$H$533,EB$4,0)*$N76,0)</f>
        <v>0</v>
      </c>
      <c r="EC76">
        <f>IFERROR(VLOOKUP($D76,'Kalkulator mięs '!$C$5:$H$533,EC$4,0)*$O76,0)</f>
        <v>0</v>
      </c>
      <c r="ED76">
        <f>IFERROR(VLOOKUP($D76,'Kalkulator mięs '!$C$5:$H$533,ED$4,0)*$O76,0)</f>
        <v>0</v>
      </c>
      <c r="EE76">
        <f>IFERROR(VLOOKUP($D76,'Kalkulator mięs '!$C$5:$H$533,EE$4,0)*$O76,0)</f>
        <v>0</v>
      </c>
      <c r="EF76">
        <f>IFERROR(VLOOKUP($D76,'Kalkulator mięs '!$C$5:$H$533,EF$4,0)*$P76,0)</f>
        <v>0</v>
      </c>
      <c r="EG76">
        <f>IFERROR(VLOOKUP($D76,'Kalkulator mięs '!$C$5:$H$533,EG$4,0)*$P76,0)</f>
        <v>180</v>
      </c>
      <c r="EH76">
        <f>IFERROR(VLOOKUP($D76,'Kalkulator mięs '!$C$5:$H$533,EH$4,0)*$P76,0)</f>
        <v>180</v>
      </c>
      <c r="EI76">
        <f>IFERROR(VLOOKUP($D76,'Kalkulator mięs '!$C$5:$H$533,EI$4,0)*$Q76,0)</f>
        <v>0</v>
      </c>
      <c r="EJ76">
        <f>IFERROR(VLOOKUP($D76,'Kalkulator mięs '!$C$5:$H$533,EJ$4,0)*$Q76,0)</f>
        <v>0</v>
      </c>
      <c r="EK76">
        <f>IFERROR(VLOOKUP($D76,'Kalkulator mięs '!$C$5:$H$533,EK$4,0)*$Q76,0)</f>
        <v>0</v>
      </c>
      <c r="EL76">
        <f>IFERROR(VLOOKUP($D76,'Kalkulator mięs '!$C$5:$H$533,EL$4,0)*$R76,0)</f>
        <v>0</v>
      </c>
      <c r="EM76">
        <f>IFERROR(VLOOKUP($D76,'Kalkulator mięs '!$C$5:$H$533,EM$4,0)*$R76,0)</f>
        <v>0</v>
      </c>
      <c r="EN76">
        <f>IFERROR(VLOOKUP($D76,'Kalkulator mięs '!$C$5:$H$533,EN$4,0)*$R76,0)</f>
        <v>0</v>
      </c>
      <c r="EO76">
        <f>IFERROR(VLOOKUP($D76,'Kalkulator mięs '!$C$5:$H$533,EO$4,0)*$S76,0)</f>
        <v>0</v>
      </c>
      <c r="EP76">
        <f>IFERROR(VLOOKUP($D76,'Kalkulator mięs '!$C$5:$H$533,EP$4,0)*$S76,0)</f>
        <v>0</v>
      </c>
      <c r="EQ76">
        <f>IFERROR(VLOOKUP($D76,'Kalkulator mięs '!$C$5:$H$533,EQ$4,0)*$S76,0)</f>
        <v>0</v>
      </c>
      <c r="ER76">
        <f>IFERROR(VLOOKUP($D76,'Kalkulator mięs '!$C$5:$H$533,ER$4,0)*$T76,0)</f>
        <v>0</v>
      </c>
      <c r="ES76">
        <f>IFERROR(VLOOKUP($D76,'Kalkulator mięs '!$C$5:$H$533,ES$4,0)*$T76,0)</f>
        <v>0</v>
      </c>
      <c r="ET76">
        <f>IFERROR(VLOOKUP($D76,'Kalkulator mięs '!$C$5:$H$533,ET$4,0)*$T76,0)</f>
        <v>0</v>
      </c>
      <c r="EU76">
        <f>IFERROR(VLOOKUP($D76,'Kalkulator mięs '!$C$5:$H$533,EU$4,0)*$U76,0)</f>
        <v>0</v>
      </c>
      <c r="EV76">
        <f>IFERROR(VLOOKUP($D76,'Kalkulator mięs '!$C$5:$H$533,EV$4,0)*$U76,0)</f>
        <v>0</v>
      </c>
      <c r="EW76">
        <f>IFERROR(VLOOKUP($D76,'Kalkulator mięs '!$C$5:$H$533,EW$4,0)*$U76,0)</f>
        <v>0</v>
      </c>
      <c r="EX76">
        <f>IFERROR(VLOOKUP($D76,'Kalkulator mięs '!$C$5:$H$533,EX$4,0)*$V76,0)</f>
        <v>0</v>
      </c>
      <c r="EY76">
        <f>IFERROR(VLOOKUP($D76,'Kalkulator mięs '!$C$5:$H$533,EY$4,0)*$V76,0)</f>
        <v>0</v>
      </c>
      <c r="EZ76">
        <f>IFERROR(VLOOKUP($D76,'Kalkulator mięs '!$C$5:$H$533,EZ$4,0)*$V76,0)</f>
        <v>0</v>
      </c>
      <c r="FA76">
        <f>IFERROR(VLOOKUP($D76,'Kalkulator mięs '!$C$5:$H$533,FA$4,0)*$W76,0)</f>
        <v>0</v>
      </c>
      <c r="FB76">
        <f>IFERROR(VLOOKUP($D76,'Kalkulator mięs '!$C$5:$H$533,FB$4,0)*$W76,0)</f>
        <v>0</v>
      </c>
      <c r="FC76">
        <f>IFERROR(VLOOKUP($D76,'Kalkulator mięs '!$C$5:$H$533,FC$4,0)*$W76,0)</f>
        <v>0</v>
      </c>
      <c r="FD76">
        <f>IFERROR(VLOOKUP($D76,'Kalkulator mięs '!$C$5:$H$533,FD$4,0)*$X76,0)</f>
        <v>0</v>
      </c>
      <c r="FE76">
        <f>IFERROR(VLOOKUP($D76,'Kalkulator mięs '!$C$5:$H$533,FE$4,0)*$X76,0)</f>
        <v>0</v>
      </c>
      <c r="FF76">
        <f>IFERROR(VLOOKUP($D76,'Kalkulator mięs '!$C$5:$H$533,FF$4,0)*$X76,0)</f>
        <v>0</v>
      </c>
      <c r="FG76">
        <f>IFERROR(VLOOKUP($D76,'Kalkulator mięs '!$C$5:$H$533,FG$4,0)*$Y76,0)</f>
        <v>0</v>
      </c>
      <c r="FH76">
        <f>IFERROR(VLOOKUP($D76,'Kalkulator mięs '!$C$5:$H$533,FH$4,0)*$Y76,0)</f>
        <v>75.006</v>
      </c>
      <c r="FI76">
        <f>IFERROR(VLOOKUP($D76,'Kalkulator mięs '!$C$5:$H$533,FI$4,0)*$Y76,0)</f>
        <v>75.006</v>
      </c>
      <c r="FJ76">
        <f>IFERROR(VLOOKUP($D76,'Kalkulator mięs '!$C$5:$H$533,FJ$4,0)*$Z76,0)</f>
        <v>0</v>
      </c>
      <c r="FK76">
        <f>IFERROR(VLOOKUP($D76,'Kalkulator mięs '!$C$5:$H$533,FK$4,0)*$Z76,0)</f>
        <v>0</v>
      </c>
      <c r="FL76">
        <f>IFERROR(VLOOKUP($D76,'Kalkulator mięs '!$C$5:$H$533,FL$4,0)*$Z76,0)</f>
        <v>0</v>
      </c>
      <c r="FM76">
        <f>IFERROR(VLOOKUP($D76,'Kalkulator mięs '!$C$5:$H$533,FM$4,0)*$AA76,0)</f>
        <v>0</v>
      </c>
      <c r="FN76">
        <f>IFERROR(VLOOKUP($D76,'Kalkulator mięs '!$C$5:$H$533,FN$4,0)*$AA76,0)</f>
        <v>0</v>
      </c>
      <c r="FO76">
        <f>IFERROR(VLOOKUP($D76,'Kalkulator mięs '!$C$5:$H$533,FO$4,0)*$AA76,0)</f>
        <v>0</v>
      </c>
      <c r="FP76">
        <f>IFERROR(VLOOKUP($D76,'Kalkulator mięs '!$C$5:$H$533,FP$4,0)*$AB76,0)</f>
        <v>0</v>
      </c>
      <c r="FQ76">
        <f>IFERROR(VLOOKUP($D76,'Kalkulator mięs '!$C$5:$H$533,FQ$4,0)*$AB76,0)</f>
        <v>44.874000000000002</v>
      </c>
      <c r="FR76">
        <f>IFERROR(VLOOKUP($D76,'Kalkulator mięs '!$C$5:$H$533,FR$4,0)*$AB76,0)</f>
        <v>44.874000000000002</v>
      </c>
      <c r="FS76">
        <f>IFERROR(VLOOKUP($D76,'Kalkulator mięs '!$C$5:$H$533,FS$4,0)*$AC76,0)</f>
        <v>0</v>
      </c>
      <c r="FT76">
        <f>IFERROR(VLOOKUP($D76,'Kalkulator mięs '!$C$5:$H$533,FT$4,0)*$AC76,0)</f>
        <v>0</v>
      </c>
      <c r="FU76">
        <f>IFERROR(VLOOKUP($D76,'Kalkulator mięs '!$C$5:$H$533,FU$4,0)*$AC76,0)</f>
        <v>0</v>
      </c>
      <c r="FV76">
        <f>IFERROR(VLOOKUP($D76,'Kalkulator mięs '!$C$5:$H$533,FV$4,0)*$AD76,0)</f>
        <v>0</v>
      </c>
      <c r="FW76">
        <f>IFERROR(VLOOKUP($D76,'Kalkulator mięs '!$C$5:$H$533,FW$4,0)*$AD76,0)</f>
        <v>0</v>
      </c>
      <c r="FX76">
        <f>IFERROR(VLOOKUP($D76,'Kalkulator mięs '!$C$5:$H$533,FX$4,0)*$AD76,0)</f>
        <v>0</v>
      </c>
      <c r="FY76">
        <f>IFERROR(VLOOKUP($D76,'Kalkulator mięs '!$C$5:$H$533,FY$4,0)*$AE76,0)</f>
        <v>0</v>
      </c>
      <c r="FZ76">
        <f>IFERROR(VLOOKUP($D76,'Kalkulator mięs '!$C$5:$H$533,FZ$4,0)*$AE76,0)</f>
        <v>74.843999999999994</v>
      </c>
      <c r="GA76">
        <f>IFERROR(VLOOKUP($D76,'Kalkulator mięs '!$C$5:$H$533,GA$4,0)*$AE76,0)</f>
        <v>74.843999999999994</v>
      </c>
      <c r="GB76">
        <f>IFERROR(VLOOKUP($D76,'Kalkulator mięs '!$C$5:$H$533,GB$4,0)*$AF76,0)</f>
        <v>0</v>
      </c>
      <c r="GC76">
        <f>IFERROR(VLOOKUP($D76,'Kalkulator mięs '!$C$5:$H$533,GC$4,0)*$AF76,0)</f>
        <v>0</v>
      </c>
      <c r="GD76">
        <f>IFERROR(VLOOKUP($D76,'Kalkulator mięs '!$C$5:$H$533,GD$4,0)*$AF76,0)</f>
        <v>0</v>
      </c>
      <c r="GE76">
        <f>IFERROR(VLOOKUP($D76,'Kalkulator mięs '!$C$5:$H$533,GE$4,0)*$AG76,0)</f>
        <v>0</v>
      </c>
      <c r="GF76">
        <f>IFERROR(VLOOKUP($D76,'Kalkulator mięs '!$C$5:$H$533,GF$4,0)*$AG76,0)</f>
        <v>74.843999999999994</v>
      </c>
      <c r="GG76">
        <f>IFERROR(VLOOKUP($D76,'Kalkulator mięs '!$C$5:$H$533,GG$4,0)*$AG76,0)</f>
        <v>74.843999999999994</v>
      </c>
      <c r="GH76">
        <f>IFERROR(VLOOKUP($D76,'Kalkulator mięs '!$C$5:$H$533,GH$4,0)*$AH76,0)</f>
        <v>0</v>
      </c>
      <c r="GI76">
        <f>IFERROR(VLOOKUP($D76,'Kalkulator mięs '!$C$5:$H$533,GI$4,0)*$AH76,0)</f>
        <v>0</v>
      </c>
      <c r="GJ76">
        <f>IFERROR(VLOOKUP($D76,'Kalkulator mięs '!$C$5:$H$533,GJ$4,0)*$AH76,0)</f>
        <v>0</v>
      </c>
      <c r="GK76">
        <f>IFERROR(VLOOKUP($D76,'Kalkulator mięs '!$C$5:$H$533,GK$4,0)*$AI76,0)</f>
        <v>0</v>
      </c>
      <c r="GL76">
        <f>IFERROR(VLOOKUP($D76,'Kalkulator mięs '!$C$5:$H$533,GL$4,0)*$AI76,0)</f>
        <v>0</v>
      </c>
      <c r="GM76">
        <f>IFERROR(VLOOKUP($D76,'Kalkulator mięs '!$C$5:$H$533,GM$4,0)*$AI76,0)</f>
        <v>0</v>
      </c>
      <c r="GN76">
        <f>IFERROR(VLOOKUP($D76,'Kalkulator mięs '!$C$5:$H$533,GN$4,0)*$AJ76,0)</f>
        <v>0</v>
      </c>
      <c r="GO76">
        <f>IFERROR(VLOOKUP($D76,'Kalkulator mięs '!$C$5:$H$533,GO$4,0)*$AJ76,0)</f>
        <v>0</v>
      </c>
      <c r="GP76">
        <f>IFERROR(VLOOKUP($D76,'Kalkulator mięs '!$C$5:$H$533,GP$4,0)*$AJ76,0)</f>
        <v>0</v>
      </c>
      <c r="GQ76">
        <f>IFERROR(VLOOKUP($D76,'Kalkulator mięs '!$C$5:$H$533,GQ$4,0)*$AK76,0)</f>
        <v>0</v>
      </c>
      <c r="GR76">
        <f>IFERROR(VLOOKUP($D76,'Kalkulator mięs '!$C$5:$H$533,GR$4,0)*$AK76,0)</f>
        <v>0</v>
      </c>
      <c r="GS76">
        <f>IFERROR(VLOOKUP($D76,'Kalkulator mięs '!$C$5:$H$533,GS$4,0)*$AK76,0)</f>
        <v>0</v>
      </c>
      <c r="GT76">
        <f>IFERROR(VLOOKUP($D76,'Kalkulator mięs '!$C$5:$H$533,GT$4,0)*$AL76,0)</f>
        <v>0</v>
      </c>
      <c r="GU76">
        <f>IFERROR(VLOOKUP($D76,'Kalkulator mięs '!$C$5:$H$533,GU$4,0)*$AL76,0)</f>
        <v>0</v>
      </c>
      <c r="GV76">
        <f>IFERROR(VLOOKUP($D76,'Kalkulator mięs '!$C$5:$H$533,GV$4,0)*$AL76,0)</f>
        <v>0</v>
      </c>
      <c r="GW76">
        <f>IFERROR(VLOOKUP($D76,'Kalkulator mięs '!$C$5:$H$533,GW$4,0)*$AM76,0)</f>
        <v>0</v>
      </c>
      <c r="GX76">
        <f>IFERROR(VLOOKUP($D76,'Kalkulator mięs '!$C$5:$H$533,GX$4,0)*$AM76,0)</f>
        <v>0</v>
      </c>
      <c r="GY76">
        <f>IFERROR(VLOOKUP($D76,'Kalkulator mięs '!$C$5:$H$533,GY$4,0)*$AM76,0)</f>
        <v>0</v>
      </c>
      <c r="GZ76">
        <f>IFERROR(VLOOKUP($D76,'Kalkulator mięs '!$C$5:$H$533,GZ$4,0)*$AN76,0)</f>
        <v>0</v>
      </c>
      <c r="HA76">
        <f>IFERROR(VLOOKUP($D76,'Kalkulator mięs '!$C$5:$H$533,HA$4,0)*$AN76,0)</f>
        <v>0</v>
      </c>
      <c r="HB76">
        <f>IFERROR(VLOOKUP($D76,'Kalkulator mięs '!$C$5:$H$533,HB$4,0)*$AN76,0)</f>
        <v>0</v>
      </c>
      <c r="HC76">
        <f>IFERROR(VLOOKUP($D76,'Kalkulator mięs '!$C$5:$H$533,HC$4,0)*$AO76,0)</f>
        <v>0</v>
      </c>
      <c r="HD76">
        <f>IFERROR(VLOOKUP($D76,'Kalkulator mięs '!$C$5:$H$533,HD$4,0)*$AO76,0)</f>
        <v>0</v>
      </c>
      <c r="HE76">
        <f>IFERROR(VLOOKUP($D76,'Kalkulator mięs '!$C$5:$H$533,HE$4,0)*$AO76,0)</f>
        <v>0</v>
      </c>
      <c r="HF76">
        <f>IFERROR(VLOOKUP($D76,'Kalkulator mięs '!$C$5:$H$533,HF$4,0)*$AP76,0)</f>
        <v>0</v>
      </c>
      <c r="HG76">
        <f>IFERROR(VLOOKUP($D76,'Kalkulator mięs '!$C$5:$H$533,HG$4,0)*$AP76,0)</f>
        <v>811.81799999999998</v>
      </c>
      <c r="HH76">
        <f>IFERROR(VLOOKUP($D76,'Kalkulator mięs '!$C$5:$H$533,HH$4,0)*$AP76,0)</f>
        <v>811.81799999999998</v>
      </c>
      <c r="HI76">
        <f>IFERROR(VLOOKUP($D76,'Kalkulator mięs '!$C$5:$H$533,HI$4,0)*$AQ76,0)</f>
        <v>0</v>
      </c>
      <c r="HJ76">
        <f>IFERROR(VLOOKUP($D76,'Kalkulator mięs '!$C$5:$H$533,HJ$4,0)*$AQ76,0)</f>
        <v>0</v>
      </c>
      <c r="HK76">
        <f>IFERROR(VLOOKUP($D76,'Kalkulator mięs '!$C$5:$H$533,HK$4,0)*$AQ76,0)</f>
        <v>0</v>
      </c>
      <c r="HL76">
        <f>IFERROR(VLOOKUP($D76,'Kalkulator mięs '!$C$5:$H$533,HL$4,0)*$AR76,0)</f>
        <v>0</v>
      </c>
      <c r="HM76">
        <f>IFERROR(VLOOKUP($D76,'Kalkulator mięs '!$C$5:$H$533,HM$4,0)*$AR76,0)</f>
        <v>0</v>
      </c>
      <c r="HN76">
        <f>IFERROR(VLOOKUP($D76,'Kalkulator mięs '!$C$5:$H$533,HN$4,0)*$AR76,0)</f>
        <v>0</v>
      </c>
      <c r="HO76">
        <f>IFERROR(VLOOKUP($D76,'Kalkulator mięs '!$C$5:$H$533,HO$4,0)*$AS76,0)</f>
        <v>0</v>
      </c>
      <c r="HP76">
        <f>IFERROR(VLOOKUP($D76,'Kalkulator mięs '!$C$5:$H$533,HP$4,0)*$AS76,0)</f>
        <v>0</v>
      </c>
      <c r="HQ76">
        <f>IFERROR(VLOOKUP($D76,'Kalkulator mięs '!$C$5:$H$533,HQ$4,0)*$AS76,0)</f>
        <v>0</v>
      </c>
      <c r="HR76">
        <f>IFERROR(VLOOKUP($D76,'Kalkulator mięs '!$C$5:$H$533,HR$4,0)*$AT76,0)</f>
        <v>0</v>
      </c>
      <c r="HS76">
        <f>IFERROR(VLOOKUP($D76,'Kalkulator mięs '!$C$5:$H$533,HS$4,0)*$AT76,0)</f>
        <v>0</v>
      </c>
      <c r="HT76">
        <f>IFERROR(VLOOKUP($D76,'Kalkulator mięs '!$C$5:$H$533,HT$4,0)*$AT76,0)</f>
        <v>0</v>
      </c>
      <c r="HU76">
        <f>IFERROR(VLOOKUP($D76,'Kalkulator mięs '!$C$5:$H$533,HU$4,0)*$AU76,0)</f>
        <v>0</v>
      </c>
      <c r="HV76">
        <f>IFERROR(VLOOKUP($D76,'Kalkulator mięs '!$C$5:$H$533,HV$4,0)*$AU76,0)</f>
        <v>0</v>
      </c>
      <c r="HW76">
        <f>IFERROR(VLOOKUP($D76,'Kalkulator mięs '!$C$5:$H$533,HW$4,0)*$AU76,0)</f>
        <v>0</v>
      </c>
      <c r="HX76">
        <f>IFERROR(VLOOKUP($D76,'Kalkulator mięs '!$C$5:$H$533,HX$4,0)*$AV76,0)</f>
        <v>0</v>
      </c>
      <c r="HY76">
        <f>IFERROR(VLOOKUP($D76,'Kalkulator mięs '!$C$5:$H$533,HY$4,0)*$AV76,0)</f>
        <v>0</v>
      </c>
      <c r="HZ76">
        <f>IFERROR(VLOOKUP($D76,'Kalkulator mięs '!$C$5:$H$533,HZ$4,0)*$AV76,0)</f>
        <v>0</v>
      </c>
      <c r="IA76">
        <f>IFERROR(VLOOKUP($D76,'Kalkulator mięs '!$C$5:$H$533,IA$4,0)*$AW76,0)</f>
        <v>0</v>
      </c>
      <c r="IB76">
        <f>IFERROR(VLOOKUP($D76,'Kalkulator mięs '!$C$5:$H$533,IB$4,0)*$AW76,0)</f>
        <v>0</v>
      </c>
      <c r="IC76">
        <f>IFERROR(VLOOKUP($D76,'Kalkulator mięs '!$C$5:$H$533,IC$4,0)*$AW76,0)</f>
        <v>0</v>
      </c>
      <c r="ID76">
        <f>IFERROR(VLOOKUP($D76,'Kalkulator mięs '!$C$5:$H$533,ID$4,0)*$AX76,0)</f>
        <v>0</v>
      </c>
      <c r="IE76">
        <f>IFERROR(VLOOKUP($D76,'Kalkulator mięs '!$C$5:$H$533,IE$4,0)*$AX76,0)</f>
        <v>0</v>
      </c>
      <c r="IF76">
        <f>IFERROR(VLOOKUP($D76,'Kalkulator mięs '!$C$5:$H$533,IF$4,0)*$AX76,0)</f>
        <v>0</v>
      </c>
      <c r="IG76">
        <f>IFERROR(VLOOKUP($D76,'Kalkulator mięs '!$C$5:$H$533,IG$4,0)*$AY76,0)</f>
        <v>0</v>
      </c>
      <c r="IH76">
        <f>IFERROR(VLOOKUP($D76,'Kalkulator mięs '!$C$5:$H$533,IH$4,0)*$AY76,0)</f>
        <v>0</v>
      </c>
      <c r="II76">
        <f>IFERROR(VLOOKUP($D76,'Kalkulator mięs '!$C$5:$H$533,II$4,0)*$AY76,0)</f>
        <v>0</v>
      </c>
      <c r="IJ76">
        <f>IFERROR(VLOOKUP($D76,'Kalkulator mięs '!$C$5:$H$533,IJ$4,0)*$AZ76,0)</f>
        <v>0</v>
      </c>
      <c r="IK76">
        <f>IFERROR(VLOOKUP($D76,'Kalkulator mięs '!$C$5:$H$533,IK$4,0)*$AZ76,0)</f>
        <v>0</v>
      </c>
      <c r="IL76">
        <f>IFERROR(VLOOKUP($D76,'Kalkulator mięs '!$C$5:$H$533,IL$4,0)*$AZ76,0)</f>
        <v>0</v>
      </c>
      <c r="IM76">
        <f>IFERROR(VLOOKUP($D76,'Kalkulator mięs '!$C$5:$H$533,IM$4,0)*$BA76,0)</f>
        <v>0</v>
      </c>
      <c r="IN76">
        <f>IFERROR(VLOOKUP($D76,'Kalkulator mięs '!$C$5:$H$533,IN$4,0)*$BA76,0)</f>
        <v>0</v>
      </c>
      <c r="IO76">
        <f>IFERROR(VLOOKUP($D76,'Kalkulator mięs '!$C$5:$H$533,IO$4,0)*$BA76,0)</f>
        <v>0</v>
      </c>
    </row>
    <row r="77" spans="2:249" s="547" customFormat="1" ht="15.75">
      <c r="B77" s="547" t="str">
        <f>VLOOKUP(D77,Receptury_z!$A:$B,2,0)</f>
        <v>ON</v>
      </c>
      <c r="C77" s="548">
        <v>5692</v>
      </c>
      <c r="D77" s="549" t="s">
        <v>17990</v>
      </c>
      <c r="E77" s="550" t="s">
        <v>17346</v>
      </c>
      <c r="F77" s="553">
        <f>IF($B77="OFF",BE77,VLOOKUP($D77,Receptury_z!$D:$AI,F$4,0))</f>
        <v>0</v>
      </c>
      <c r="G77" s="553">
        <f>IF($B77="OFF",BF77,VLOOKUP($D77,Receptury_z!$D:$AI,G$4,0))</f>
        <v>288.60000000000002</v>
      </c>
      <c r="H77" s="553">
        <f>IF($B77="OFF",BG77,VLOOKUP($D77,Receptury_z!$D:$AI,H$4,0))</f>
        <v>0</v>
      </c>
      <c r="I77" s="553">
        <f>IF($B77="OFF",BH77,VLOOKUP($D77,Receptury_z!$D:$AI,I$4,0))</f>
        <v>0</v>
      </c>
      <c r="J77" s="553">
        <f>IF($B77="OFF",BI77,VLOOKUP($D77,Receptury_z!$D:$AI,J$4,0))</f>
        <v>0</v>
      </c>
      <c r="K77" s="553">
        <f>IF($B77="OFF",BJ77,VLOOKUP($D77,Receptury_z!$D:$AI,K$4,0))</f>
        <v>0</v>
      </c>
      <c r="L77" s="553">
        <f>IF($B77="OFF",BK77,VLOOKUP($D77,Receptury_z!$D:$AI,L$4,0))</f>
        <v>0</v>
      </c>
      <c r="M77" s="553">
        <f>IF($B77="OFF",BL77,VLOOKUP($D77,Receptury_z!$D:$AI,M$4,0))</f>
        <v>0</v>
      </c>
      <c r="N77" s="553">
        <f>IF($B77="OFF",BM77,VLOOKUP($D77,Receptury_z!$D:$AI,N$4,0))</f>
        <v>0</v>
      </c>
      <c r="O77" s="553">
        <f>IF($B77="OFF",BN77,VLOOKUP($D77,Receptury_z!$D:$AI,O$4,0))</f>
        <v>0</v>
      </c>
      <c r="P77" s="553">
        <f>IF($B77="OFF",BO77,VLOOKUP($D77,Receptury_z!$D:$AI,P$4,0))</f>
        <v>0</v>
      </c>
      <c r="Q77" s="553">
        <f>IF($B77="OFF",BP77,VLOOKUP($D77,Receptury_z!$D:$AI,Q$4,0))</f>
        <v>0</v>
      </c>
      <c r="R77" s="553">
        <f>IF($B77="OFF",BQ77,VLOOKUP($D77,Receptury_z!$D:$AI,R$4,0))</f>
        <v>0</v>
      </c>
      <c r="S77" s="553">
        <f>IF($B77="OFF",BR77,VLOOKUP($D77,Receptury_z!$D:$AI,S$4,0))</f>
        <v>0</v>
      </c>
      <c r="T77" s="553">
        <f>IF($B77="OFF",BS77,VLOOKUP($D77,Receptury_z!$D:$AI,T$4,0))</f>
        <v>0</v>
      </c>
      <c r="U77" s="553">
        <f>IF($B77="OFF",BT77,VLOOKUP($D77,Receptury_z!$D:$AI,U$4,0))</f>
        <v>0</v>
      </c>
      <c r="V77" s="553">
        <f>IF($B77="OFF",BU77,VLOOKUP($D77,Receptury_z!$D:$AI,V$4,0))</f>
        <v>0</v>
      </c>
      <c r="W77" s="553">
        <f>IF($B77="OFF",BV77,VLOOKUP($D77,Receptury_z!$D:$AI,W$4,0))</f>
        <v>0</v>
      </c>
      <c r="X77" s="553">
        <f>IF($B77="OFF",BW77,VLOOKUP($D77,Receptury_z!$D:$AI,X$4,0))</f>
        <v>0</v>
      </c>
      <c r="Y77" s="553">
        <f>IF($B77="OFF",BX77,VLOOKUP($D77,Receptury_z!$D:$AI,Y$4,0))</f>
        <v>0</v>
      </c>
      <c r="Z77" s="553">
        <f>IF($B77="OFF",BY77,VLOOKUP($D77,Receptury_z!$D:$AI,Z$4,0))</f>
        <v>0</v>
      </c>
      <c r="AA77" s="553">
        <f>IF($B77="OFF",BZ77,VLOOKUP($D77,Receptury_z!$D:$AI,AA$4,0))</f>
        <v>0</v>
      </c>
      <c r="AB77" s="553">
        <f>IF($B77="OFF",CA77,VLOOKUP($D77,Receptury_z!$D:$AI,AB$4,0))</f>
        <v>50</v>
      </c>
      <c r="AC77" s="553">
        <f>IF($B77="OFF",CB77,VLOOKUP($D77,Receptury_z!$D:$AI,AC$4,0))</f>
        <v>0</v>
      </c>
      <c r="AD77" s="553">
        <f>IF($B77="OFF",CC77,VLOOKUP($D77,Receptury_z!$D:$AI,AD$4,0))</f>
        <v>0</v>
      </c>
      <c r="AE77" s="553">
        <f>IF($B77="OFF",CD77,VLOOKUP($D77,Receptury_z!$D:$AI,AE$4,0))</f>
        <v>30</v>
      </c>
      <c r="AF77" s="553">
        <f>IF($B77="OFF",CE77,VLOOKUP($D77,Receptury_z!$D:$AI,AF$4,0))</f>
        <v>0</v>
      </c>
      <c r="AG77" s="553">
        <f>IF($B77="OFF",CF77,VLOOKUP($D77,Receptury_z!$D:$AI,AG$4,0))</f>
        <v>46.1</v>
      </c>
      <c r="AH77" s="553">
        <f>IF($B77="OFF",CG77,VLOOKUP($D77,Receptury_z!$D:$AI,AH$4,0))</f>
        <v>0</v>
      </c>
      <c r="AI77" s="553">
        <f>IF($B77="OFF",CH77,VLOOKUP($D77,Receptury_z!$D:$AI,AI$4,0))</f>
        <v>0</v>
      </c>
      <c r="AJ77" s="553">
        <f>IF($B77="OFF",CI77,VLOOKUP($D77,Receptury_z!$D:$AS,AJ$4,0))</f>
        <v>0</v>
      </c>
      <c r="AK77" s="553">
        <f>IF($B77="OFF",CJ77,VLOOKUP($D77,Receptury_z!$D:$AS,AK$4,0))</f>
        <v>0</v>
      </c>
      <c r="AL77" s="553">
        <f>IF($B77="OFF",CK77,VLOOKUP($D77,Receptury_z!$D:$AS,AL$4,0))</f>
        <v>0</v>
      </c>
      <c r="AM77" s="553">
        <f>IF($B77="OFF",CL77,VLOOKUP($D77,Receptury_z!$D:$AS,AM$4,0))</f>
        <v>100</v>
      </c>
      <c r="AN77" s="553">
        <f>IF($B77="OFF",CM77,VLOOKUP($D77,Receptury_z!$D:$AS,AN$4,0))</f>
        <v>64.5</v>
      </c>
      <c r="AO77" s="553">
        <f>IF($B77="OFF",CN77,VLOOKUP($D77,Receptury_z!$D:$AS,AO$4,0))</f>
        <v>0</v>
      </c>
      <c r="AP77" s="553">
        <f>IF($B77="OFF",CO77,VLOOKUP($D77,Receptury_z!$D:$AS,AP$4,0))</f>
        <v>350.2</v>
      </c>
      <c r="AQ77" s="553">
        <f>IF($B77="OFF",CP77,VLOOKUP($D77,Receptury_z!$D:$AS,AQ$4,0))</f>
        <v>0</v>
      </c>
      <c r="AR77" s="553">
        <f>IF($B77="OFF",CQ77,VLOOKUP($D77,Receptury_z!$D:$AS,AR$4,0))</f>
        <v>0</v>
      </c>
      <c r="AS77" s="553">
        <f>IF($B77="OFF",CR77,VLOOKUP($D77,Receptury_z!$D:$AS,AS$4,0))</f>
        <v>0</v>
      </c>
      <c r="AT77" s="553">
        <f>IF($B77="OFF",CS77,VLOOKUP($D77,Receptury_z!$D:$AV,AT$4,0))</f>
        <v>0</v>
      </c>
      <c r="AU77" s="553">
        <f>IF($B77="OFF",CT77,VLOOKUP($D77,Receptury_z!$D:$AV,AU$4,0))</f>
        <v>0</v>
      </c>
      <c r="AV77" s="553">
        <f>IF($B77="OFF",CU77,VLOOKUP($D77,Receptury_z!$D:$AV,AV$4,0))</f>
        <v>0</v>
      </c>
      <c r="AW77" s="14">
        <f>IF($B77="OFF",CV77,VLOOKUP($D77,Receptury_z!$D:$BA,AW$4,0))</f>
        <v>0</v>
      </c>
      <c r="AX77" s="14">
        <f>IF($B77="OFF",CW77,VLOOKUP($D77,Receptury_z!$D:$BA,AX$4,0))</f>
        <v>0</v>
      </c>
      <c r="AY77" s="14">
        <f>IF($B77="OFF",CX77,VLOOKUP($D77,Receptury_z!$D:$BA,AY$4,0))</f>
        <v>92.2</v>
      </c>
      <c r="AZ77" s="14">
        <f>IF($B77="OFF",DA77,VLOOKUP($D77,Receptury_z!$D:$BA,AZ$4,0))</f>
        <v>0</v>
      </c>
      <c r="BA77" s="14">
        <f>IF($B77="OFF",DB77,VLOOKUP($D77,Receptury_z!$D:$BA,BA$4,0))</f>
        <v>0</v>
      </c>
      <c r="BC77" s="549" t="s">
        <v>17990</v>
      </c>
      <c r="BD77" s="550" t="s">
        <v>17346</v>
      </c>
      <c r="BE77" s="554"/>
      <c r="BF77" s="554"/>
      <c r="BG77" s="554"/>
      <c r="BH77" s="554"/>
      <c r="BI77" s="554"/>
      <c r="BJ77" s="554"/>
      <c r="BK77" s="554"/>
      <c r="BL77" s="554"/>
      <c r="BM77" s="554"/>
      <c r="BN77" s="554">
        <v>64.5</v>
      </c>
      <c r="BO77" s="554"/>
      <c r="BP77" s="554"/>
      <c r="BQ77" s="554"/>
      <c r="BR77" s="554"/>
      <c r="BS77" s="554"/>
      <c r="BT77" s="554"/>
      <c r="BU77" s="554"/>
      <c r="BV77" s="554"/>
      <c r="BW77" s="554"/>
      <c r="BX77" s="554"/>
      <c r="BY77" s="554"/>
      <c r="BZ77" s="554"/>
      <c r="CA77" s="554">
        <v>27.6</v>
      </c>
      <c r="CB77" s="554"/>
      <c r="CC77" s="554">
        <v>341</v>
      </c>
      <c r="CD77" s="554"/>
      <c r="CE77" s="554">
        <v>92.2</v>
      </c>
      <c r="CF77" s="554">
        <v>46.1</v>
      </c>
      <c r="CG77" s="554"/>
      <c r="CH77" s="554"/>
      <c r="CI77" s="554"/>
      <c r="CJ77" s="554"/>
      <c r="CK77" s="554"/>
      <c r="CL77" s="554"/>
      <c r="CM77" s="555"/>
      <c r="CN77" s="555"/>
      <c r="CO77" s="555">
        <v>350.2</v>
      </c>
      <c r="CP77" s="554"/>
      <c r="CQ77" s="554"/>
      <c r="CR77" s="554"/>
      <c r="CS77" s="554"/>
      <c r="CT77" s="554"/>
      <c r="CU77" s="554"/>
      <c r="CV77" s="554"/>
      <c r="CW77" s="554"/>
      <c r="CX77" s="554"/>
      <c r="CY77" s="554"/>
      <c r="CZ77" s="554"/>
      <c r="DB77" s="547">
        <f>IFERROR(VLOOKUP($D77,'Kalkulator mięs '!$C$5:$H$533,DB$4,0)*F77,0)</f>
        <v>0</v>
      </c>
      <c r="DC77" s="547">
        <f>IFERROR(VLOOKUP($D77,'Kalkulator mięs '!$C$5:$H$533,DC$4,0)*F77,0)</f>
        <v>0</v>
      </c>
      <c r="DD77" s="547">
        <f>IFERROR(VLOOKUP($D77,'Kalkulator mięs '!$C$5:$H$533,DD$4,0)*F77,0)</f>
        <v>0</v>
      </c>
      <c r="DE77" s="547">
        <f>IFERROR(VLOOKUP($D77,'Kalkulator mięs '!$C$5:$H$533,DE$4,0)*$G77,0)</f>
        <v>0</v>
      </c>
      <c r="DF77" s="547">
        <f>IFERROR(VLOOKUP($D77,'Kalkulator mięs '!$C$5:$H$533,DF$4,0)*$G77,0)</f>
        <v>1038.96</v>
      </c>
      <c r="DG77" s="547">
        <f>IFERROR(VLOOKUP($D77,'Kalkulator mięs '!$C$5:$H$533,DG$4,0)*$G77,0)</f>
        <v>1558.4400000000003</v>
      </c>
      <c r="DH77" s="547">
        <f>IFERROR(VLOOKUP($D77,'Kalkulator mięs '!$C$5:$H$533,DH$4,0)*$H77,0)</f>
        <v>0</v>
      </c>
      <c r="DI77" s="547">
        <f>IFERROR(VLOOKUP($D77,'Kalkulator mięs '!$C$5:$H$533,DI$4,0)*$H77,0)</f>
        <v>0</v>
      </c>
      <c r="DJ77" s="547">
        <f>IFERROR(VLOOKUP($D77,'Kalkulator mięs '!$C$5:$H$533,DJ$4,0)*$H77,0)</f>
        <v>0</v>
      </c>
      <c r="DK77" s="547">
        <f>IFERROR(VLOOKUP($D77,'Kalkulator mięs '!$C$5:$H$533,DK$4,0)*$I77,0)</f>
        <v>0</v>
      </c>
      <c r="DL77" s="547">
        <f>IFERROR(VLOOKUP($D77,'Kalkulator mięs '!$C$5:$H$533,DL$4,0)*$I77,0)</f>
        <v>0</v>
      </c>
      <c r="DM77" s="547">
        <f>IFERROR(VLOOKUP($D77,'Kalkulator mięs '!$C$5:$H$533,DM$4,0)*$I77,0)</f>
        <v>0</v>
      </c>
      <c r="DN77" s="547">
        <f>IFERROR(VLOOKUP($D77,'Kalkulator mięs '!$C$5:$H$533,DN$4,0)*$J77,0)</f>
        <v>0</v>
      </c>
      <c r="DO77" s="547">
        <f>IFERROR(VLOOKUP($D77,'Kalkulator mięs '!$C$5:$H$533,DO$4,0)*$J77,0)</f>
        <v>0</v>
      </c>
      <c r="DP77" s="547">
        <f>IFERROR(VLOOKUP($D77,'Kalkulator mięs '!$C$5:$H$533,DP$4,0)*$J77,0)</f>
        <v>0</v>
      </c>
      <c r="DQ77" s="547">
        <f>IFERROR(VLOOKUP($D77,'Kalkulator mięs '!$C$5:$H$533,DQ$4,0)*$K77,0)</f>
        <v>0</v>
      </c>
      <c r="DR77" s="547">
        <f>IFERROR(VLOOKUP($D77,'Kalkulator mięs '!$C$5:$H$533,DR$4,0)*$K77,0)</f>
        <v>0</v>
      </c>
      <c r="DS77" s="547">
        <f>IFERROR(VLOOKUP($D77,'Kalkulator mięs '!$C$5:$H$533,DS$4,0)*$K77,0)</f>
        <v>0</v>
      </c>
      <c r="DT77" s="547">
        <f>IFERROR(VLOOKUP($D77,'Kalkulator mięs '!$C$5:$H$533,DT$4,0)*$L77,0)</f>
        <v>0</v>
      </c>
      <c r="DU77" s="547">
        <f>IFERROR(VLOOKUP($D77,'Kalkulator mięs '!$C$5:$H$533,DU$4,0)*$L77,0)</f>
        <v>0</v>
      </c>
      <c r="DV77" s="547">
        <f>IFERROR(VLOOKUP($D77,'Kalkulator mięs '!$C$5:$H$533,DV$4,0)*$L77,0)</f>
        <v>0</v>
      </c>
      <c r="DW77" s="547">
        <f>IFERROR(VLOOKUP($D77,'Kalkulator mięs '!$C$5:$H$533,DW$4,0)*$M77,0)</f>
        <v>0</v>
      </c>
      <c r="DX77" s="547">
        <f>IFERROR(VLOOKUP($D77,'Kalkulator mięs '!$C$5:$H$533,DX$4,0)*$M77,0)</f>
        <v>0</v>
      </c>
      <c r="DY77" s="547">
        <f>IFERROR(VLOOKUP($D77,'Kalkulator mięs '!$C$5:$H$533,DY$4,0)*$M77,0)</f>
        <v>0</v>
      </c>
      <c r="DZ77" s="547">
        <f>IFERROR(VLOOKUP($D77,'Kalkulator mięs '!$C$5:$H$533,DZ$4,0)*$N77,0)</f>
        <v>0</v>
      </c>
      <c r="EA77" s="547">
        <f>IFERROR(VLOOKUP($D77,'Kalkulator mięs '!$C$5:$H$533,EA$4,0)*$N77,0)</f>
        <v>0</v>
      </c>
      <c r="EB77" s="547">
        <f>IFERROR(VLOOKUP($D77,'Kalkulator mięs '!$C$5:$H$533,EB$4,0)*$N77,0)</f>
        <v>0</v>
      </c>
      <c r="EC77" s="547">
        <f>IFERROR(VLOOKUP($D77,'Kalkulator mięs '!$C$5:$H$533,EC$4,0)*$O77,0)</f>
        <v>0</v>
      </c>
      <c r="ED77" s="547">
        <f>IFERROR(VLOOKUP($D77,'Kalkulator mięs '!$C$5:$H$533,ED$4,0)*$O77,0)</f>
        <v>0</v>
      </c>
      <c r="EE77" s="547">
        <f>IFERROR(VLOOKUP($D77,'Kalkulator mięs '!$C$5:$H$533,EE$4,0)*$O77,0)</f>
        <v>0</v>
      </c>
      <c r="EF77" s="547">
        <f>IFERROR(VLOOKUP($D77,'Kalkulator mięs '!$C$5:$H$533,EF$4,0)*$P77,0)</f>
        <v>0</v>
      </c>
      <c r="EG77" s="547">
        <f>IFERROR(VLOOKUP($D77,'Kalkulator mięs '!$C$5:$H$533,EG$4,0)*$P77,0)</f>
        <v>0</v>
      </c>
      <c r="EH77" s="547">
        <f>IFERROR(VLOOKUP($D77,'Kalkulator mięs '!$C$5:$H$533,EH$4,0)*$P77,0)</f>
        <v>0</v>
      </c>
      <c r="EI77" s="547">
        <f>IFERROR(VLOOKUP($D77,'Kalkulator mięs '!$C$5:$H$533,EI$4,0)*$Q77,0)</f>
        <v>0</v>
      </c>
      <c r="EJ77" s="547">
        <f>IFERROR(VLOOKUP($D77,'Kalkulator mięs '!$C$5:$H$533,EJ$4,0)*$Q77,0)</f>
        <v>0</v>
      </c>
      <c r="EK77" s="547">
        <f>IFERROR(VLOOKUP($D77,'Kalkulator mięs '!$C$5:$H$533,EK$4,0)*$Q77,0)</f>
        <v>0</v>
      </c>
      <c r="EL77" s="547">
        <f>IFERROR(VLOOKUP($D77,'Kalkulator mięs '!$C$5:$H$533,EL$4,0)*$R77,0)</f>
        <v>0</v>
      </c>
      <c r="EM77" s="547">
        <f>IFERROR(VLOOKUP($D77,'Kalkulator mięs '!$C$5:$H$533,EM$4,0)*$R77,0)</f>
        <v>0</v>
      </c>
      <c r="EN77" s="547">
        <f>IFERROR(VLOOKUP($D77,'Kalkulator mięs '!$C$5:$H$533,EN$4,0)*$R77,0)</f>
        <v>0</v>
      </c>
      <c r="EO77" s="547">
        <f>IFERROR(VLOOKUP($D77,'Kalkulator mięs '!$C$5:$H$533,EO$4,0)*$S77,0)</f>
        <v>0</v>
      </c>
      <c r="EP77" s="547">
        <f>IFERROR(VLOOKUP($D77,'Kalkulator mięs '!$C$5:$H$533,EP$4,0)*$S77,0)</f>
        <v>0</v>
      </c>
      <c r="EQ77" s="547">
        <f>IFERROR(VLOOKUP($D77,'Kalkulator mięs '!$C$5:$H$533,EQ$4,0)*$S77,0)</f>
        <v>0</v>
      </c>
      <c r="ER77" s="547">
        <f>IFERROR(VLOOKUP($D77,'Kalkulator mięs '!$C$5:$H$533,ER$4,0)*$T77,0)</f>
        <v>0</v>
      </c>
      <c r="ES77" s="547">
        <f>IFERROR(VLOOKUP($D77,'Kalkulator mięs '!$C$5:$H$533,ES$4,0)*$T77,0)</f>
        <v>0</v>
      </c>
      <c r="ET77" s="547">
        <f>IFERROR(VLOOKUP($D77,'Kalkulator mięs '!$C$5:$H$533,ET$4,0)*$T77,0)</f>
        <v>0</v>
      </c>
      <c r="EU77" s="547">
        <f>IFERROR(VLOOKUP($D77,'Kalkulator mięs '!$C$5:$H$533,EU$4,0)*$U77,0)</f>
        <v>0</v>
      </c>
      <c r="EV77" s="547">
        <f>IFERROR(VLOOKUP($D77,'Kalkulator mięs '!$C$5:$H$533,EV$4,0)*$U77,0)</f>
        <v>0</v>
      </c>
      <c r="EW77" s="547">
        <f>IFERROR(VLOOKUP($D77,'Kalkulator mięs '!$C$5:$H$533,EW$4,0)*$U77,0)</f>
        <v>0</v>
      </c>
      <c r="EX77" s="547">
        <f>IFERROR(VLOOKUP($D77,'Kalkulator mięs '!$C$5:$H$533,EX$4,0)*$V77,0)</f>
        <v>0</v>
      </c>
      <c r="EY77" s="547">
        <f>IFERROR(VLOOKUP($D77,'Kalkulator mięs '!$C$5:$H$533,EY$4,0)*$V77,0)</f>
        <v>0</v>
      </c>
      <c r="EZ77" s="547">
        <f>IFERROR(VLOOKUP($D77,'Kalkulator mięs '!$C$5:$H$533,EZ$4,0)*$V77,0)</f>
        <v>0</v>
      </c>
      <c r="FA77" s="547">
        <f>IFERROR(VLOOKUP($D77,'Kalkulator mięs '!$C$5:$H$533,FA$4,0)*$W77,0)</f>
        <v>0</v>
      </c>
      <c r="FB77" s="547">
        <f>IFERROR(VLOOKUP($D77,'Kalkulator mięs '!$C$5:$H$533,FB$4,0)*$W77,0)</f>
        <v>0</v>
      </c>
      <c r="FC77" s="547">
        <f>IFERROR(VLOOKUP($D77,'Kalkulator mięs '!$C$5:$H$533,FC$4,0)*$W77,0)</f>
        <v>0</v>
      </c>
      <c r="FD77" s="547">
        <f>IFERROR(VLOOKUP($D77,'Kalkulator mięs '!$C$5:$H$533,FD$4,0)*$X77,0)</f>
        <v>0</v>
      </c>
      <c r="FE77" s="547">
        <f>IFERROR(VLOOKUP($D77,'Kalkulator mięs '!$C$5:$H$533,FE$4,0)*$X77,0)</f>
        <v>0</v>
      </c>
      <c r="FF77" s="547">
        <f>IFERROR(VLOOKUP($D77,'Kalkulator mięs '!$C$5:$H$533,FF$4,0)*$X77,0)</f>
        <v>0</v>
      </c>
      <c r="FG77" s="547">
        <f>IFERROR(VLOOKUP($D77,'Kalkulator mięs '!$C$5:$H$533,FG$4,0)*$Y77,0)</f>
        <v>0</v>
      </c>
      <c r="FH77" s="547">
        <f>IFERROR(VLOOKUP($D77,'Kalkulator mięs '!$C$5:$H$533,FH$4,0)*$Y77,0)</f>
        <v>0</v>
      </c>
      <c r="FI77" s="547">
        <f>IFERROR(VLOOKUP($D77,'Kalkulator mięs '!$C$5:$H$533,FI$4,0)*$Y77,0)</f>
        <v>0</v>
      </c>
      <c r="FJ77" s="547">
        <f>IFERROR(VLOOKUP($D77,'Kalkulator mięs '!$C$5:$H$533,FJ$4,0)*$Z77,0)</f>
        <v>0</v>
      </c>
      <c r="FK77" s="547">
        <f>IFERROR(VLOOKUP($D77,'Kalkulator mięs '!$C$5:$H$533,FK$4,0)*$Z77,0)</f>
        <v>0</v>
      </c>
      <c r="FL77" s="547">
        <f>IFERROR(VLOOKUP($D77,'Kalkulator mięs '!$C$5:$H$533,FL$4,0)*$Z77,0)</f>
        <v>0</v>
      </c>
      <c r="FM77" s="547">
        <f>IFERROR(VLOOKUP($D77,'Kalkulator mięs '!$C$5:$H$533,FM$4,0)*$AA77,0)</f>
        <v>0</v>
      </c>
      <c r="FN77" s="547">
        <f>IFERROR(VLOOKUP($D77,'Kalkulator mięs '!$C$5:$H$533,FN$4,0)*$AA77,0)</f>
        <v>0</v>
      </c>
      <c r="FO77" s="547">
        <f>IFERROR(VLOOKUP($D77,'Kalkulator mięs '!$C$5:$H$533,FO$4,0)*$AA77,0)</f>
        <v>0</v>
      </c>
      <c r="FP77" s="547">
        <f>IFERROR(VLOOKUP($D77,'Kalkulator mięs '!$C$5:$H$533,FP$4,0)*$AB77,0)</f>
        <v>0</v>
      </c>
      <c r="FQ77" s="547">
        <f>IFERROR(VLOOKUP($D77,'Kalkulator mięs '!$C$5:$H$533,FQ$4,0)*$AB77,0)</f>
        <v>180</v>
      </c>
      <c r="FR77" s="547">
        <f>IFERROR(VLOOKUP($D77,'Kalkulator mięs '!$C$5:$H$533,FR$4,0)*$AB77,0)</f>
        <v>270</v>
      </c>
      <c r="FS77" s="547">
        <f>IFERROR(VLOOKUP($D77,'Kalkulator mięs '!$C$5:$H$533,FS$4,0)*$AC77,0)</f>
        <v>0</v>
      </c>
      <c r="FT77" s="547">
        <f>IFERROR(VLOOKUP($D77,'Kalkulator mięs '!$C$5:$H$533,FT$4,0)*$AC77,0)</f>
        <v>0</v>
      </c>
      <c r="FU77" s="547">
        <f>IFERROR(VLOOKUP($D77,'Kalkulator mięs '!$C$5:$H$533,FU$4,0)*$AC77,0)</f>
        <v>0</v>
      </c>
      <c r="FV77" s="547">
        <f>IFERROR(VLOOKUP($D77,'Kalkulator mięs '!$C$5:$H$533,FV$4,0)*$AD77,0)</f>
        <v>0</v>
      </c>
      <c r="FW77" s="547">
        <f>IFERROR(VLOOKUP($D77,'Kalkulator mięs '!$C$5:$H$533,FW$4,0)*$AD77,0)</f>
        <v>0</v>
      </c>
      <c r="FX77" s="547">
        <f>IFERROR(VLOOKUP($D77,'Kalkulator mięs '!$C$5:$H$533,FX$4,0)*$AD77,0)</f>
        <v>0</v>
      </c>
      <c r="FY77" s="547">
        <f>IFERROR(VLOOKUP($D77,'Kalkulator mięs '!$C$5:$H$533,FY$4,0)*$AE77,0)</f>
        <v>0</v>
      </c>
      <c r="FZ77" s="547">
        <f>IFERROR(VLOOKUP($D77,'Kalkulator mięs '!$C$5:$H$533,FZ$4,0)*$AE77,0)</f>
        <v>108</v>
      </c>
      <c r="GA77" s="547">
        <f>IFERROR(VLOOKUP($D77,'Kalkulator mięs '!$C$5:$H$533,GA$4,0)*$AE77,0)</f>
        <v>162</v>
      </c>
      <c r="GB77" s="547">
        <f>IFERROR(VLOOKUP($D77,'Kalkulator mięs '!$C$5:$H$533,GB$4,0)*$AF77,0)</f>
        <v>0</v>
      </c>
      <c r="GC77" s="547">
        <f>IFERROR(VLOOKUP($D77,'Kalkulator mięs '!$C$5:$H$533,GC$4,0)*$AF77,0)</f>
        <v>0</v>
      </c>
      <c r="GD77" s="547">
        <f>IFERROR(VLOOKUP($D77,'Kalkulator mięs '!$C$5:$H$533,GD$4,0)*$AF77,0)</f>
        <v>0</v>
      </c>
      <c r="GE77" s="547">
        <f>IFERROR(VLOOKUP($D77,'Kalkulator mięs '!$C$5:$H$533,GE$4,0)*$AG77,0)</f>
        <v>0</v>
      </c>
      <c r="GF77" s="547">
        <f>IFERROR(VLOOKUP($D77,'Kalkulator mięs '!$C$5:$H$533,GF$4,0)*$AG77,0)</f>
        <v>165.96</v>
      </c>
      <c r="GG77" s="547">
        <f>IFERROR(VLOOKUP($D77,'Kalkulator mięs '!$C$5:$H$533,GG$4,0)*$AG77,0)</f>
        <v>248.94000000000003</v>
      </c>
      <c r="GH77" s="547">
        <f>IFERROR(VLOOKUP($D77,'Kalkulator mięs '!$C$5:$H$533,GH$4,0)*$AH77,0)</f>
        <v>0</v>
      </c>
      <c r="GI77" s="547">
        <f>IFERROR(VLOOKUP($D77,'Kalkulator mięs '!$C$5:$H$533,GI$4,0)*$AH77,0)</f>
        <v>0</v>
      </c>
      <c r="GJ77" s="547">
        <f>IFERROR(VLOOKUP($D77,'Kalkulator mięs '!$C$5:$H$533,GJ$4,0)*$AH77,0)</f>
        <v>0</v>
      </c>
      <c r="GK77" s="547">
        <f>IFERROR(VLOOKUP($D77,'Kalkulator mięs '!$C$5:$H$533,GK$4,0)*$AI77,0)</f>
        <v>0</v>
      </c>
      <c r="GL77" s="547">
        <f>IFERROR(VLOOKUP($D77,'Kalkulator mięs '!$C$5:$H$533,GL$4,0)*$AI77,0)</f>
        <v>0</v>
      </c>
      <c r="GM77" s="547">
        <f>IFERROR(VLOOKUP($D77,'Kalkulator mięs '!$C$5:$H$533,GM$4,0)*$AI77,0)</f>
        <v>0</v>
      </c>
      <c r="GN77" s="547">
        <f>IFERROR(VLOOKUP($D77,'Kalkulator mięs '!$C$5:$H$533,GN$4,0)*$AJ77,0)</f>
        <v>0</v>
      </c>
      <c r="GO77" s="547">
        <f>IFERROR(VLOOKUP($D77,'Kalkulator mięs '!$C$5:$H$533,GO$4,0)*$AJ77,0)</f>
        <v>0</v>
      </c>
      <c r="GP77" s="547">
        <f>IFERROR(VLOOKUP($D77,'Kalkulator mięs '!$C$5:$H$533,GP$4,0)*$AJ77,0)</f>
        <v>0</v>
      </c>
      <c r="GQ77" s="547">
        <f>IFERROR(VLOOKUP($D77,'Kalkulator mięs '!$C$5:$H$533,GQ$4,0)*$AK77,0)</f>
        <v>0</v>
      </c>
      <c r="GR77" s="547">
        <f>IFERROR(VLOOKUP($D77,'Kalkulator mięs '!$C$5:$H$533,GR$4,0)*$AK77,0)</f>
        <v>0</v>
      </c>
      <c r="GS77" s="547">
        <f>IFERROR(VLOOKUP($D77,'Kalkulator mięs '!$C$5:$H$533,GS$4,0)*$AK77,0)</f>
        <v>0</v>
      </c>
      <c r="GT77" s="547">
        <f>IFERROR(VLOOKUP($D77,'Kalkulator mięs '!$C$5:$H$533,GT$4,0)*$AL77,0)</f>
        <v>0</v>
      </c>
      <c r="GU77" s="547">
        <f>IFERROR(VLOOKUP($D77,'Kalkulator mięs '!$C$5:$H$533,GU$4,0)*$AL77,0)</f>
        <v>0</v>
      </c>
      <c r="GV77" s="547">
        <f>IFERROR(VLOOKUP($D77,'Kalkulator mięs '!$C$5:$H$533,GV$4,0)*$AL77,0)</f>
        <v>0</v>
      </c>
      <c r="GW77" s="547">
        <f>IFERROR(VLOOKUP($D77,'Kalkulator mięs '!$C$5:$H$533,GW$4,0)*$AM77,0)</f>
        <v>0</v>
      </c>
      <c r="GX77" s="547">
        <f>IFERROR(VLOOKUP($D77,'Kalkulator mięs '!$C$5:$H$533,GX$4,0)*$AM77,0)</f>
        <v>360</v>
      </c>
      <c r="GY77" s="547">
        <f>IFERROR(VLOOKUP($D77,'Kalkulator mięs '!$C$5:$H$533,GY$4,0)*$AM77,0)</f>
        <v>540</v>
      </c>
      <c r="GZ77" s="547">
        <f>IFERROR(VLOOKUP($D77,'Kalkulator mięs '!$C$5:$H$533,GZ$4,0)*$AN77,0)</f>
        <v>0</v>
      </c>
      <c r="HA77" s="547">
        <f>IFERROR(VLOOKUP($D77,'Kalkulator mięs '!$C$5:$H$533,HA$4,0)*$AN77,0)</f>
        <v>232.20000000000002</v>
      </c>
      <c r="HB77" s="547">
        <f>IFERROR(VLOOKUP($D77,'Kalkulator mięs '!$C$5:$H$533,HB$4,0)*$AN77,0)</f>
        <v>348.3</v>
      </c>
      <c r="HC77" s="547">
        <f>IFERROR(VLOOKUP($D77,'Kalkulator mięs '!$C$5:$H$533,HC$4,0)*$AO77,0)</f>
        <v>0</v>
      </c>
      <c r="HD77" s="547">
        <f>IFERROR(VLOOKUP($D77,'Kalkulator mięs '!$C$5:$H$533,HD$4,0)*$AO77,0)</f>
        <v>0</v>
      </c>
      <c r="HE77" s="547">
        <f>IFERROR(VLOOKUP($D77,'Kalkulator mięs '!$C$5:$H$533,HE$4,0)*$AO77,0)</f>
        <v>0</v>
      </c>
      <c r="HF77" s="547">
        <f>IFERROR(VLOOKUP($D77,'Kalkulator mięs '!$C$5:$H$533,HF$4,0)*$AP77,0)</f>
        <v>0</v>
      </c>
      <c r="HG77" s="547">
        <f>IFERROR(VLOOKUP($D77,'Kalkulator mięs '!$C$5:$H$533,HG$4,0)*$AP77,0)</f>
        <v>1260.72</v>
      </c>
      <c r="HH77" s="547">
        <f>IFERROR(VLOOKUP($D77,'Kalkulator mięs '!$C$5:$H$533,HH$4,0)*$AP77,0)</f>
        <v>1891.0800000000002</v>
      </c>
      <c r="HI77" s="547">
        <f>IFERROR(VLOOKUP($D77,'Kalkulator mięs '!$C$5:$H$533,HI$4,0)*$AQ77,0)</f>
        <v>0</v>
      </c>
      <c r="HJ77" s="547">
        <f>IFERROR(VLOOKUP($D77,'Kalkulator mięs '!$C$5:$H$533,HJ$4,0)*$AQ77,0)</f>
        <v>0</v>
      </c>
      <c r="HK77" s="547">
        <f>IFERROR(VLOOKUP($D77,'Kalkulator mięs '!$C$5:$H$533,HK$4,0)*$AQ77,0)</f>
        <v>0</v>
      </c>
      <c r="HL77" s="547">
        <f>IFERROR(VLOOKUP($D77,'Kalkulator mięs '!$C$5:$H$533,HL$4,0)*$AR77,0)</f>
        <v>0</v>
      </c>
      <c r="HM77" s="547">
        <f>IFERROR(VLOOKUP($D77,'Kalkulator mięs '!$C$5:$H$533,HM$4,0)*$AR77,0)</f>
        <v>0</v>
      </c>
      <c r="HN77" s="547">
        <f>IFERROR(VLOOKUP($D77,'Kalkulator mięs '!$C$5:$H$533,HN$4,0)*$AR77,0)</f>
        <v>0</v>
      </c>
      <c r="HO77" s="547">
        <f>IFERROR(VLOOKUP($D77,'Kalkulator mięs '!$C$5:$H$533,HO$4,0)*$AS77,0)</f>
        <v>0</v>
      </c>
      <c r="HP77" s="547">
        <f>IFERROR(VLOOKUP($D77,'Kalkulator mięs '!$C$5:$H$533,HP$4,0)*$AS77,0)</f>
        <v>0</v>
      </c>
      <c r="HQ77" s="547">
        <f>IFERROR(VLOOKUP($D77,'Kalkulator mięs '!$C$5:$H$533,HQ$4,0)*$AS77,0)</f>
        <v>0</v>
      </c>
      <c r="HR77" s="547">
        <f>IFERROR(VLOOKUP($D77,'Kalkulator mięs '!$C$5:$H$533,HR$4,0)*$AT77,0)</f>
        <v>0</v>
      </c>
      <c r="HS77" s="547">
        <f>IFERROR(VLOOKUP($D77,'Kalkulator mięs '!$C$5:$H$533,HS$4,0)*$AT77,0)</f>
        <v>0</v>
      </c>
      <c r="HT77" s="547">
        <f>IFERROR(VLOOKUP($D77,'Kalkulator mięs '!$C$5:$H$533,HT$4,0)*$AT77,0)</f>
        <v>0</v>
      </c>
      <c r="HU77" s="547">
        <f>IFERROR(VLOOKUP($D77,'Kalkulator mięs '!$C$5:$H$533,HU$4,0)*$AU77,0)</f>
        <v>0</v>
      </c>
      <c r="HV77" s="547">
        <f>IFERROR(VLOOKUP($D77,'Kalkulator mięs '!$C$5:$H$533,HV$4,0)*$AU77,0)</f>
        <v>0</v>
      </c>
      <c r="HW77" s="547">
        <f>IFERROR(VLOOKUP($D77,'Kalkulator mięs '!$C$5:$H$533,HW$4,0)*$AU77,0)</f>
        <v>0</v>
      </c>
      <c r="HX77" s="547">
        <f>IFERROR(VLOOKUP($D77,'Kalkulator mięs '!$C$5:$H$533,HX$4,0)*$AV77,0)</f>
        <v>0</v>
      </c>
      <c r="HY77" s="547">
        <f>IFERROR(VLOOKUP($D77,'Kalkulator mięs '!$C$5:$H$533,HY$4,0)*$AV77,0)</f>
        <v>0</v>
      </c>
      <c r="HZ77" s="547">
        <f>IFERROR(VLOOKUP($D77,'Kalkulator mięs '!$C$5:$H$533,HZ$4,0)*$AV77,0)</f>
        <v>0</v>
      </c>
      <c r="IA77">
        <f>IFERROR(VLOOKUP($D77,'Kalkulator mięs '!$C$5:$H$533,IA$4,0)*$AW77,0)</f>
        <v>0</v>
      </c>
      <c r="IB77">
        <f>IFERROR(VLOOKUP($D77,'Kalkulator mięs '!$C$5:$H$533,IB$4,0)*$AW77,0)</f>
        <v>0</v>
      </c>
      <c r="IC77">
        <f>IFERROR(VLOOKUP($D77,'Kalkulator mięs '!$C$5:$H$533,IC$4,0)*$AW77,0)</f>
        <v>0</v>
      </c>
      <c r="ID77">
        <f>IFERROR(VLOOKUP($D77,'Kalkulator mięs '!$C$5:$H$533,ID$4,0)*$AX77,0)</f>
        <v>0</v>
      </c>
      <c r="IE77">
        <f>IFERROR(VLOOKUP($D77,'Kalkulator mięs '!$C$5:$H$533,IE$4,0)*$AX77,0)</f>
        <v>0</v>
      </c>
      <c r="IF77">
        <f>IFERROR(VLOOKUP($D77,'Kalkulator mięs '!$C$5:$H$533,IF$4,0)*$AX77,0)</f>
        <v>0</v>
      </c>
      <c r="IG77">
        <f>IFERROR(VLOOKUP($D77,'Kalkulator mięs '!$C$5:$H$533,IG$4,0)*$AY77,0)</f>
        <v>0</v>
      </c>
      <c r="IH77">
        <f>IFERROR(VLOOKUP($D77,'Kalkulator mięs '!$C$5:$H$533,IH$4,0)*$AY77,0)</f>
        <v>331.92</v>
      </c>
      <c r="II77">
        <f>IFERROR(VLOOKUP($D77,'Kalkulator mięs '!$C$5:$H$533,II$4,0)*$AY77,0)</f>
        <v>497.88000000000005</v>
      </c>
      <c r="IJ77">
        <f>IFERROR(VLOOKUP($D77,'Kalkulator mięs '!$C$5:$H$533,IJ$4,0)*$AZ77,0)</f>
        <v>0</v>
      </c>
      <c r="IK77">
        <f>IFERROR(VLOOKUP($D77,'Kalkulator mięs '!$C$5:$H$533,IK$4,0)*$AZ77,0)</f>
        <v>0</v>
      </c>
      <c r="IL77">
        <f>IFERROR(VLOOKUP($D77,'Kalkulator mięs '!$C$5:$H$533,IL$4,0)*$AZ77,0)</f>
        <v>0</v>
      </c>
      <c r="IM77">
        <f>IFERROR(VLOOKUP($D77,'Kalkulator mięs '!$C$5:$H$533,IM$4,0)*$BA77,0)</f>
        <v>0</v>
      </c>
      <c r="IN77">
        <f>IFERROR(VLOOKUP($D77,'Kalkulator mięs '!$C$5:$H$533,IN$4,0)*$BA77,0)</f>
        <v>0</v>
      </c>
      <c r="IO77">
        <f>IFERROR(VLOOKUP($D77,'Kalkulator mięs '!$C$5:$H$533,IO$4,0)*$BA77,0)</f>
        <v>0</v>
      </c>
    </row>
    <row r="78" spans="2:249" s="547" customFormat="1" ht="15.75">
      <c r="B78" s="547" t="str">
        <f>VLOOKUP(D78,Receptury_z!$A:$B,2,0)</f>
        <v>ON</v>
      </c>
      <c r="C78" s="548">
        <v>5691</v>
      </c>
      <c r="D78" s="549">
        <v>7920</v>
      </c>
      <c r="E78" s="550" t="s">
        <v>17853</v>
      </c>
      <c r="F78" s="553">
        <f>IF($B78="OFF",BE78,VLOOKUP($D78,Receptury_z!$D:$AI,F$4,0))</f>
        <v>0</v>
      </c>
      <c r="G78" s="553">
        <f>IF($B78="OFF",BF78,VLOOKUP($D78,Receptury_z!$D:$AI,G$4,0))</f>
        <v>286.8</v>
      </c>
      <c r="H78" s="553">
        <f>IF($B78="OFF",BG78,VLOOKUP($D78,Receptury_z!$D:$AI,H$4,0))</f>
        <v>0</v>
      </c>
      <c r="I78" s="553">
        <f>IF($B78="OFF",BH78,VLOOKUP($D78,Receptury_z!$D:$AI,I$4,0))</f>
        <v>0</v>
      </c>
      <c r="J78" s="553">
        <f>IF($B78="OFF",BI78,VLOOKUP($D78,Receptury_z!$D:$AI,J$4,0))</f>
        <v>0</v>
      </c>
      <c r="K78" s="553">
        <f>IF($B78="OFF",BJ78,VLOOKUP($D78,Receptury_z!$D:$AI,K$4,0))</f>
        <v>0</v>
      </c>
      <c r="L78" s="553">
        <f>IF($B78="OFF",BK78,VLOOKUP($D78,Receptury_z!$D:$AI,L$4,0))</f>
        <v>0</v>
      </c>
      <c r="M78" s="553">
        <f>IF($B78="OFF",BL78,VLOOKUP($D78,Receptury_z!$D:$AI,M$4,0))</f>
        <v>0</v>
      </c>
      <c r="N78" s="553">
        <f>IF($B78="OFF",BM78,VLOOKUP($D78,Receptury_z!$D:$AI,N$4,0))</f>
        <v>0</v>
      </c>
      <c r="O78" s="553">
        <f>IF($B78="OFF",BN78,VLOOKUP($D78,Receptury_z!$D:$AI,O$4,0))</f>
        <v>0</v>
      </c>
      <c r="P78" s="553">
        <f>IF($B78="OFF",BO78,VLOOKUP($D78,Receptury_z!$D:$AI,P$4,0))</f>
        <v>100</v>
      </c>
      <c r="Q78" s="553">
        <f>IF($B78="OFF",BP78,VLOOKUP($D78,Receptury_z!$D:$AI,Q$4,0))</f>
        <v>0</v>
      </c>
      <c r="R78" s="553">
        <f>IF($B78="OFF",BQ78,VLOOKUP($D78,Receptury_z!$D:$AI,R$4,0))</f>
        <v>0</v>
      </c>
      <c r="S78" s="553">
        <f>IF($B78="OFF",BR78,VLOOKUP($D78,Receptury_z!$D:$AI,S$4,0))</f>
        <v>0</v>
      </c>
      <c r="T78" s="553">
        <f>IF($B78="OFF",BS78,VLOOKUP($D78,Receptury_z!$D:$AI,T$4,0))</f>
        <v>0</v>
      </c>
      <c r="U78" s="553">
        <f>IF($B78="OFF",BT78,VLOOKUP($D78,Receptury_z!$D:$AI,U$4,0))</f>
        <v>0</v>
      </c>
      <c r="V78" s="553">
        <f>IF($B78="OFF",BU78,VLOOKUP($D78,Receptury_z!$D:$AI,V$4,0))</f>
        <v>0</v>
      </c>
      <c r="W78" s="553">
        <f>IF($B78="OFF",BV78,VLOOKUP($D78,Receptury_z!$D:$AI,W$4,0))</f>
        <v>0</v>
      </c>
      <c r="X78" s="553">
        <f>IF($B78="OFF",BW78,VLOOKUP($D78,Receptury_z!$D:$AI,X$4,0))</f>
        <v>0</v>
      </c>
      <c r="Y78" s="553">
        <f>IF($B78="OFF",BX78,VLOOKUP($D78,Receptury_z!$D:$AI,Y$4,0))</f>
        <v>0</v>
      </c>
      <c r="Z78" s="553">
        <f>IF($B78="OFF",BY78,VLOOKUP($D78,Receptury_z!$D:$AI,Z$4,0))</f>
        <v>0</v>
      </c>
      <c r="AA78" s="553">
        <f>IF($B78="OFF",BZ78,VLOOKUP($D78,Receptury_z!$D:$AI,AA$4,0))</f>
        <v>0</v>
      </c>
      <c r="AB78" s="553">
        <f>IF($B78="OFF",CA78,VLOOKUP($D78,Receptury_z!$D:$AI,AB$4,0))</f>
        <v>50</v>
      </c>
      <c r="AC78" s="553">
        <f>IF($B78="OFF",CB78,VLOOKUP($D78,Receptury_z!$D:$AI,AC$4,0))</f>
        <v>0</v>
      </c>
      <c r="AD78" s="553">
        <f>IF($B78="OFF",CC78,VLOOKUP($D78,Receptury_z!$D:$AI,AD$4,0))</f>
        <v>0</v>
      </c>
      <c r="AE78" s="553">
        <f>IF($B78="OFF",CD78,VLOOKUP($D78,Receptury_z!$D:$AI,AE$4,0))</f>
        <v>30</v>
      </c>
      <c r="AF78" s="553">
        <f>IF($B78="OFF",CE78,VLOOKUP($D78,Receptury_z!$D:$AI,AF$4,0))</f>
        <v>0</v>
      </c>
      <c r="AG78" s="553">
        <f>IF($B78="OFF",CF78,VLOOKUP($D78,Receptury_z!$D:$AI,AG$4,0))</f>
        <v>45.9</v>
      </c>
      <c r="AH78" s="553">
        <f>IF($B78="OFF",CG78,VLOOKUP($D78,Receptury_z!$D:$AI,AH$4,0))</f>
        <v>0</v>
      </c>
      <c r="AI78" s="553">
        <f>IF($B78="OFF",CH78,VLOOKUP($D78,Receptury_z!$D:$AI,AI$4,0))</f>
        <v>0</v>
      </c>
      <c r="AJ78" s="553">
        <f>IF($B78="OFF",CI78,VLOOKUP($D78,Receptury_z!$D:$AS,AJ$4,0))</f>
        <v>0</v>
      </c>
      <c r="AK78" s="553">
        <f>IF($B78="OFF",CJ78,VLOOKUP($D78,Receptury_z!$D:$AS,AK$4,0))</f>
        <v>0</v>
      </c>
      <c r="AL78" s="553">
        <f>IF($B78="OFF",CK78,VLOOKUP($D78,Receptury_z!$D:$AS,AL$4,0))</f>
        <v>0</v>
      </c>
      <c r="AM78" s="553">
        <f>IF($B78="OFF",CL78,VLOOKUP($D78,Receptury_z!$D:$AS,AM$4,0))</f>
        <v>0</v>
      </c>
      <c r="AN78" s="553">
        <f>IF($B78="OFF",CM78,VLOOKUP($D78,Receptury_z!$D:$AS,AN$4,0))</f>
        <v>64.2</v>
      </c>
      <c r="AO78" s="553">
        <f>IF($B78="OFF",CN78,VLOOKUP($D78,Receptury_z!$D:$AS,AO$4,0))</f>
        <v>0</v>
      </c>
      <c r="AP78" s="553">
        <f>IF($B78="OFF",CO78,VLOOKUP($D78,Receptury_z!$D:$AS,AP$4,0))</f>
        <v>348.5</v>
      </c>
      <c r="AQ78" s="553">
        <f>IF($B78="OFF",CP78,VLOOKUP($D78,Receptury_z!$D:$AS,AQ$4,0))</f>
        <v>0</v>
      </c>
      <c r="AR78" s="553">
        <f>IF($B78="OFF",CQ78,VLOOKUP($D78,Receptury_z!$D:$AS,AR$4,0))</f>
        <v>0</v>
      </c>
      <c r="AS78" s="553">
        <f>IF($B78="OFF",CR78,VLOOKUP($D78,Receptury_z!$D:$AS,AS$4,0))</f>
        <v>0</v>
      </c>
      <c r="AT78" s="553">
        <f>IF($B78="OFF",CS78,VLOOKUP($D78,Receptury_z!$D:$AV,AT$4,0))</f>
        <v>0</v>
      </c>
      <c r="AU78" s="553">
        <f>IF($B78="OFF",CT78,VLOOKUP($D78,Receptury_z!$D:$AV,AU$4,0))</f>
        <v>0</v>
      </c>
      <c r="AV78" s="553">
        <f>IF($B78="OFF",CU78,VLOOKUP($D78,Receptury_z!$D:$AV,AV$4,0))</f>
        <v>0</v>
      </c>
      <c r="AW78" s="14">
        <f>IF($B78="OFF",CV78,VLOOKUP($D78,Receptury_z!$D:$BA,AW$4,0))</f>
        <v>0</v>
      </c>
      <c r="AX78" s="14">
        <f>IF($B78="OFF",CW78,VLOOKUP($D78,Receptury_z!$D:$BA,AX$4,0))</f>
        <v>0</v>
      </c>
      <c r="AY78" s="14">
        <f>IF($B78="OFF",CX78,VLOOKUP($D78,Receptury_z!$D:$BA,AY$4,0))</f>
        <v>91.7</v>
      </c>
      <c r="AZ78" s="14">
        <f>IF($B78="OFF",DA78,VLOOKUP($D78,Receptury_z!$D:$BA,AZ$4,0))</f>
        <v>0</v>
      </c>
      <c r="BA78" s="14">
        <f>IF($B78="OFF",DB78,VLOOKUP($D78,Receptury_z!$D:$BA,BA$4,0))</f>
        <v>0</v>
      </c>
      <c r="BC78" s="549">
        <v>7920</v>
      </c>
      <c r="BD78" s="550" t="s">
        <v>17853</v>
      </c>
      <c r="BE78" s="554"/>
      <c r="BF78" s="554"/>
      <c r="BG78" s="554"/>
      <c r="BH78" s="554"/>
      <c r="BI78" s="554"/>
      <c r="BJ78" s="554"/>
      <c r="BK78" s="554"/>
      <c r="BL78" s="554"/>
      <c r="BM78" s="554"/>
      <c r="BN78" s="554">
        <v>64.2</v>
      </c>
      <c r="BO78" s="554"/>
      <c r="BP78" s="554"/>
      <c r="BQ78" s="554"/>
      <c r="BR78" s="554"/>
      <c r="BS78" s="554"/>
      <c r="BT78" s="554"/>
      <c r="BU78" s="554"/>
      <c r="BV78" s="554"/>
      <c r="BW78" s="554"/>
      <c r="BX78" s="554"/>
      <c r="BY78" s="554"/>
      <c r="BZ78" s="554"/>
      <c r="CA78" s="554">
        <v>27.5</v>
      </c>
      <c r="CB78" s="554"/>
      <c r="CC78" s="554">
        <v>339.9</v>
      </c>
      <c r="CD78" s="554"/>
      <c r="CE78" s="554">
        <v>91.7</v>
      </c>
      <c r="CF78" s="554">
        <v>45.9</v>
      </c>
      <c r="CG78" s="554"/>
      <c r="CH78" s="554"/>
      <c r="CI78" s="554"/>
      <c r="CJ78" s="554"/>
      <c r="CK78" s="554"/>
      <c r="CL78" s="554"/>
      <c r="CM78" s="555"/>
      <c r="CN78" s="555"/>
      <c r="CO78" s="555">
        <v>348.5</v>
      </c>
      <c r="CP78" s="554"/>
      <c r="CQ78" s="554"/>
      <c r="CR78" s="554"/>
      <c r="CS78" s="554"/>
      <c r="CT78" s="554"/>
      <c r="CU78" s="554"/>
      <c r="CV78" s="554"/>
      <c r="CW78" s="554"/>
      <c r="CX78" s="554"/>
      <c r="CY78" s="554"/>
      <c r="CZ78" s="554"/>
      <c r="DB78" s="547">
        <f>IFERROR(VLOOKUP($D78,'Kalkulator mięs '!$C$5:$H$533,DB$4,0)*F78,0)</f>
        <v>0</v>
      </c>
      <c r="DC78" s="547">
        <f>IFERROR(VLOOKUP($D78,'Kalkulator mięs '!$C$5:$H$533,DC$4,0)*F78,0)</f>
        <v>0</v>
      </c>
      <c r="DD78" s="547">
        <f>IFERROR(VLOOKUP($D78,'Kalkulator mięs '!$C$5:$H$533,DD$4,0)*F78,0)</f>
        <v>0</v>
      </c>
      <c r="DE78" s="547">
        <f>IFERROR(VLOOKUP($D78,'Kalkulator mięs '!$C$5:$H$533,DE$4,0)*$G78,0)</f>
        <v>0</v>
      </c>
      <c r="DF78" s="547">
        <f>IFERROR(VLOOKUP($D78,'Kalkulator mięs '!$C$5:$H$533,DF$4,0)*$G78,0)</f>
        <v>516.24</v>
      </c>
      <c r="DG78" s="547">
        <f>IFERROR(VLOOKUP($D78,'Kalkulator mięs '!$C$5:$H$533,DG$4,0)*$G78,0)</f>
        <v>1032.48</v>
      </c>
      <c r="DH78" s="547">
        <f>IFERROR(VLOOKUP($D78,'Kalkulator mięs '!$C$5:$H$533,DH$4,0)*$H78,0)</f>
        <v>0</v>
      </c>
      <c r="DI78" s="547">
        <f>IFERROR(VLOOKUP($D78,'Kalkulator mięs '!$C$5:$H$533,DI$4,0)*$H78,0)</f>
        <v>0</v>
      </c>
      <c r="DJ78" s="547">
        <f>IFERROR(VLOOKUP($D78,'Kalkulator mięs '!$C$5:$H$533,DJ$4,0)*$H78,0)</f>
        <v>0</v>
      </c>
      <c r="DK78" s="547">
        <f>IFERROR(VLOOKUP($D78,'Kalkulator mięs '!$C$5:$H$533,DK$4,0)*$I78,0)</f>
        <v>0</v>
      </c>
      <c r="DL78" s="547">
        <f>IFERROR(VLOOKUP($D78,'Kalkulator mięs '!$C$5:$H$533,DL$4,0)*$I78,0)</f>
        <v>0</v>
      </c>
      <c r="DM78" s="547">
        <f>IFERROR(VLOOKUP($D78,'Kalkulator mięs '!$C$5:$H$533,DM$4,0)*$I78,0)</f>
        <v>0</v>
      </c>
      <c r="DN78" s="547">
        <f>IFERROR(VLOOKUP($D78,'Kalkulator mięs '!$C$5:$H$533,DN$4,0)*$J78,0)</f>
        <v>0</v>
      </c>
      <c r="DO78" s="547">
        <f>IFERROR(VLOOKUP($D78,'Kalkulator mięs '!$C$5:$H$533,DO$4,0)*$J78,0)</f>
        <v>0</v>
      </c>
      <c r="DP78" s="547">
        <f>IFERROR(VLOOKUP($D78,'Kalkulator mięs '!$C$5:$H$533,DP$4,0)*$J78,0)</f>
        <v>0</v>
      </c>
      <c r="DQ78" s="547">
        <f>IFERROR(VLOOKUP($D78,'Kalkulator mięs '!$C$5:$H$533,DQ$4,0)*$K78,0)</f>
        <v>0</v>
      </c>
      <c r="DR78" s="547">
        <f>IFERROR(VLOOKUP($D78,'Kalkulator mięs '!$C$5:$H$533,DR$4,0)*$K78,0)</f>
        <v>0</v>
      </c>
      <c r="DS78" s="547">
        <f>IFERROR(VLOOKUP($D78,'Kalkulator mięs '!$C$5:$H$533,DS$4,0)*$K78,0)</f>
        <v>0</v>
      </c>
      <c r="DT78" s="547">
        <f>IFERROR(VLOOKUP($D78,'Kalkulator mięs '!$C$5:$H$533,DT$4,0)*$L78,0)</f>
        <v>0</v>
      </c>
      <c r="DU78" s="547">
        <f>IFERROR(VLOOKUP($D78,'Kalkulator mięs '!$C$5:$H$533,DU$4,0)*$L78,0)</f>
        <v>0</v>
      </c>
      <c r="DV78" s="547">
        <f>IFERROR(VLOOKUP($D78,'Kalkulator mięs '!$C$5:$H$533,DV$4,0)*$L78,0)</f>
        <v>0</v>
      </c>
      <c r="DW78" s="547">
        <f>IFERROR(VLOOKUP($D78,'Kalkulator mięs '!$C$5:$H$533,DW$4,0)*$M78,0)</f>
        <v>0</v>
      </c>
      <c r="DX78" s="547">
        <f>IFERROR(VLOOKUP($D78,'Kalkulator mięs '!$C$5:$H$533,DX$4,0)*$M78,0)</f>
        <v>0</v>
      </c>
      <c r="DY78" s="547">
        <f>IFERROR(VLOOKUP($D78,'Kalkulator mięs '!$C$5:$H$533,DY$4,0)*$M78,0)</f>
        <v>0</v>
      </c>
      <c r="DZ78" s="547">
        <f>IFERROR(VLOOKUP($D78,'Kalkulator mięs '!$C$5:$H$533,DZ$4,0)*$N78,0)</f>
        <v>0</v>
      </c>
      <c r="EA78" s="547">
        <f>IFERROR(VLOOKUP($D78,'Kalkulator mięs '!$C$5:$H$533,EA$4,0)*$N78,0)</f>
        <v>0</v>
      </c>
      <c r="EB78" s="547">
        <f>IFERROR(VLOOKUP($D78,'Kalkulator mięs '!$C$5:$H$533,EB$4,0)*$N78,0)</f>
        <v>0</v>
      </c>
      <c r="EC78" s="547">
        <f>IFERROR(VLOOKUP($D78,'Kalkulator mięs '!$C$5:$H$533,EC$4,0)*$O78,0)</f>
        <v>0</v>
      </c>
      <c r="ED78" s="547">
        <f>IFERROR(VLOOKUP($D78,'Kalkulator mięs '!$C$5:$H$533,ED$4,0)*$O78,0)</f>
        <v>0</v>
      </c>
      <c r="EE78" s="547">
        <f>IFERROR(VLOOKUP($D78,'Kalkulator mięs '!$C$5:$H$533,EE$4,0)*$O78,0)</f>
        <v>0</v>
      </c>
      <c r="EF78" s="547">
        <f>IFERROR(VLOOKUP($D78,'Kalkulator mięs '!$C$5:$H$533,EF$4,0)*$P78,0)</f>
        <v>0</v>
      </c>
      <c r="EG78" s="547">
        <f>IFERROR(VLOOKUP($D78,'Kalkulator mięs '!$C$5:$H$533,EG$4,0)*$P78,0)</f>
        <v>180</v>
      </c>
      <c r="EH78" s="547">
        <f>IFERROR(VLOOKUP($D78,'Kalkulator mięs '!$C$5:$H$533,EH$4,0)*$P78,0)</f>
        <v>360</v>
      </c>
      <c r="EI78" s="547">
        <f>IFERROR(VLOOKUP($D78,'Kalkulator mięs '!$C$5:$H$533,EI$4,0)*$Q78,0)</f>
        <v>0</v>
      </c>
      <c r="EJ78" s="547">
        <f>IFERROR(VLOOKUP($D78,'Kalkulator mięs '!$C$5:$H$533,EJ$4,0)*$Q78,0)</f>
        <v>0</v>
      </c>
      <c r="EK78" s="547">
        <f>IFERROR(VLOOKUP($D78,'Kalkulator mięs '!$C$5:$H$533,EK$4,0)*$Q78,0)</f>
        <v>0</v>
      </c>
      <c r="EL78" s="547">
        <f>IFERROR(VLOOKUP($D78,'Kalkulator mięs '!$C$5:$H$533,EL$4,0)*$R78,0)</f>
        <v>0</v>
      </c>
      <c r="EM78" s="547">
        <f>IFERROR(VLOOKUP($D78,'Kalkulator mięs '!$C$5:$H$533,EM$4,0)*$R78,0)</f>
        <v>0</v>
      </c>
      <c r="EN78" s="547">
        <f>IFERROR(VLOOKUP($D78,'Kalkulator mięs '!$C$5:$H$533,EN$4,0)*$R78,0)</f>
        <v>0</v>
      </c>
      <c r="EO78" s="547">
        <f>IFERROR(VLOOKUP($D78,'Kalkulator mięs '!$C$5:$H$533,EO$4,0)*$S78,0)</f>
        <v>0</v>
      </c>
      <c r="EP78" s="547">
        <f>IFERROR(VLOOKUP($D78,'Kalkulator mięs '!$C$5:$H$533,EP$4,0)*$S78,0)</f>
        <v>0</v>
      </c>
      <c r="EQ78" s="547">
        <f>IFERROR(VLOOKUP($D78,'Kalkulator mięs '!$C$5:$H$533,EQ$4,0)*$S78,0)</f>
        <v>0</v>
      </c>
      <c r="ER78" s="547">
        <f>IFERROR(VLOOKUP($D78,'Kalkulator mięs '!$C$5:$H$533,ER$4,0)*$T78,0)</f>
        <v>0</v>
      </c>
      <c r="ES78" s="547">
        <f>IFERROR(VLOOKUP($D78,'Kalkulator mięs '!$C$5:$H$533,ES$4,0)*$T78,0)</f>
        <v>0</v>
      </c>
      <c r="ET78" s="547">
        <f>IFERROR(VLOOKUP($D78,'Kalkulator mięs '!$C$5:$H$533,ET$4,0)*$T78,0)</f>
        <v>0</v>
      </c>
      <c r="EU78" s="547">
        <f>IFERROR(VLOOKUP($D78,'Kalkulator mięs '!$C$5:$H$533,EU$4,0)*$U78,0)</f>
        <v>0</v>
      </c>
      <c r="EV78" s="547">
        <f>IFERROR(VLOOKUP($D78,'Kalkulator mięs '!$C$5:$H$533,EV$4,0)*$U78,0)</f>
        <v>0</v>
      </c>
      <c r="EW78" s="547">
        <f>IFERROR(VLOOKUP($D78,'Kalkulator mięs '!$C$5:$H$533,EW$4,0)*$U78,0)</f>
        <v>0</v>
      </c>
      <c r="EX78" s="547">
        <f>IFERROR(VLOOKUP($D78,'Kalkulator mięs '!$C$5:$H$533,EX$4,0)*$V78,0)</f>
        <v>0</v>
      </c>
      <c r="EY78" s="547">
        <f>IFERROR(VLOOKUP($D78,'Kalkulator mięs '!$C$5:$H$533,EY$4,0)*$V78,0)</f>
        <v>0</v>
      </c>
      <c r="EZ78" s="547">
        <f>IFERROR(VLOOKUP($D78,'Kalkulator mięs '!$C$5:$H$533,EZ$4,0)*$V78,0)</f>
        <v>0</v>
      </c>
      <c r="FA78" s="547">
        <f>IFERROR(VLOOKUP($D78,'Kalkulator mięs '!$C$5:$H$533,FA$4,0)*$W78,0)</f>
        <v>0</v>
      </c>
      <c r="FB78" s="547">
        <f>IFERROR(VLOOKUP($D78,'Kalkulator mięs '!$C$5:$H$533,FB$4,0)*$W78,0)</f>
        <v>0</v>
      </c>
      <c r="FC78" s="547">
        <f>IFERROR(VLOOKUP($D78,'Kalkulator mięs '!$C$5:$H$533,FC$4,0)*$W78,0)</f>
        <v>0</v>
      </c>
      <c r="FD78" s="547">
        <f>IFERROR(VLOOKUP($D78,'Kalkulator mięs '!$C$5:$H$533,FD$4,0)*$X78,0)</f>
        <v>0</v>
      </c>
      <c r="FE78" s="547">
        <f>IFERROR(VLOOKUP($D78,'Kalkulator mięs '!$C$5:$H$533,FE$4,0)*$X78,0)</f>
        <v>0</v>
      </c>
      <c r="FF78" s="547">
        <f>IFERROR(VLOOKUP($D78,'Kalkulator mięs '!$C$5:$H$533,FF$4,0)*$X78,0)</f>
        <v>0</v>
      </c>
      <c r="FG78" s="547">
        <f>IFERROR(VLOOKUP($D78,'Kalkulator mięs '!$C$5:$H$533,FG$4,0)*$Y78,0)</f>
        <v>0</v>
      </c>
      <c r="FH78" s="547">
        <f>IFERROR(VLOOKUP($D78,'Kalkulator mięs '!$C$5:$H$533,FH$4,0)*$Y78,0)</f>
        <v>0</v>
      </c>
      <c r="FI78" s="547">
        <f>IFERROR(VLOOKUP($D78,'Kalkulator mięs '!$C$5:$H$533,FI$4,0)*$Y78,0)</f>
        <v>0</v>
      </c>
      <c r="FJ78" s="547">
        <f>IFERROR(VLOOKUP($D78,'Kalkulator mięs '!$C$5:$H$533,FJ$4,0)*$Z78,0)</f>
        <v>0</v>
      </c>
      <c r="FK78" s="547">
        <f>IFERROR(VLOOKUP($D78,'Kalkulator mięs '!$C$5:$H$533,FK$4,0)*$Z78,0)</f>
        <v>0</v>
      </c>
      <c r="FL78" s="547">
        <f>IFERROR(VLOOKUP($D78,'Kalkulator mięs '!$C$5:$H$533,FL$4,0)*$Z78,0)</f>
        <v>0</v>
      </c>
      <c r="FM78" s="547">
        <f>IFERROR(VLOOKUP($D78,'Kalkulator mięs '!$C$5:$H$533,FM$4,0)*$AA78,0)</f>
        <v>0</v>
      </c>
      <c r="FN78" s="547">
        <f>IFERROR(VLOOKUP($D78,'Kalkulator mięs '!$C$5:$H$533,FN$4,0)*$AA78,0)</f>
        <v>0</v>
      </c>
      <c r="FO78" s="547">
        <f>IFERROR(VLOOKUP($D78,'Kalkulator mięs '!$C$5:$H$533,FO$4,0)*$AA78,0)</f>
        <v>0</v>
      </c>
      <c r="FP78" s="547">
        <f>IFERROR(VLOOKUP($D78,'Kalkulator mięs '!$C$5:$H$533,FP$4,0)*$AB78,0)</f>
        <v>0</v>
      </c>
      <c r="FQ78" s="547">
        <f>IFERROR(VLOOKUP($D78,'Kalkulator mięs '!$C$5:$H$533,FQ$4,0)*$AB78,0)</f>
        <v>90</v>
      </c>
      <c r="FR78" s="547">
        <f>IFERROR(VLOOKUP($D78,'Kalkulator mięs '!$C$5:$H$533,FR$4,0)*$AB78,0)</f>
        <v>180</v>
      </c>
      <c r="FS78" s="547">
        <f>IFERROR(VLOOKUP($D78,'Kalkulator mięs '!$C$5:$H$533,FS$4,0)*$AC78,0)</f>
        <v>0</v>
      </c>
      <c r="FT78" s="547">
        <f>IFERROR(VLOOKUP($D78,'Kalkulator mięs '!$C$5:$H$533,FT$4,0)*$AC78,0)</f>
        <v>0</v>
      </c>
      <c r="FU78" s="547">
        <f>IFERROR(VLOOKUP($D78,'Kalkulator mięs '!$C$5:$H$533,FU$4,0)*$AC78,0)</f>
        <v>0</v>
      </c>
      <c r="FV78" s="547">
        <f>IFERROR(VLOOKUP($D78,'Kalkulator mięs '!$C$5:$H$533,FV$4,0)*$AD78,0)</f>
        <v>0</v>
      </c>
      <c r="FW78" s="547">
        <f>IFERROR(VLOOKUP($D78,'Kalkulator mięs '!$C$5:$H$533,FW$4,0)*$AD78,0)</f>
        <v>0</v>
      </c>
      <c r="FX78" s="547">
        <f>IFERROR(VLOOKUP($D78,'Kalkulator mięs '!$C$5:$H$533,FX$4,0)*$AD78,0)</f>
        <v>0</v>
      </c>
      <c r="FY78" s="547">
        <f>IFERROR(VLOOKUP($D78,'Kalkulator mięs '!$C$5:$H$533,FY$4,0)*$AE78,0)</f>
        <v>0</v>
      </c>
      <c r="FZ78" s="547">
        <f>IFERROR(VLOOKUP($D78,'Kalkulator mięs '!$C$5:$H$533,FZ$4,0)*$AE78,0)</f>
        <v>54</v>
      </c>
      <c r="GA78" s="547">
        <f>IFERROR(VLOOKUP($D78,'Kalkulator mięs '!$C$5:$H$533,GA$4,0)*$AE78,0)</f>
        <v>108</v>
      </c>
      <c r="GB78" s="547">
        <f>IFERROR(VLOOKUP($D78,'Kalkulator mięs '!$C$5:$H$533,GB$4,0)*$AF78,0)</f>
        <v>0</v>
      </c>
      <c r="GC78" s="547">
        <f>IFERROR(VLOOKUP($D78,'Kalkulator mięs '!$C$5:$H$533,GC$4,0)*$AF78,0)</f>
        <v>0</v>
      </c>
      <c r="GD78" s="547">
        <f>IFERROR(VLOOKUP($D78,'Kalkulator mięs '!$C$5:$H$533,GD$4,0)*$AF78,0)</f>
        <v>0</v>
      </c>
      <c r="GE78" s="547">
        <f>IFERROR(VLOOKUP($D78,'Kalkulator mięs '!$C$5:$H$533,GE$4,0)*$AG78,0)</f>
        <v>0</v>
      </c>
      <c r="GF78" s="547">
        <f>IFERROR(VLOOKUP($D78,'Kalkulator mięs '!$C$5:$H$533,GF$4,0)*$AG78,0)</f>
        <v>82.62</v>
      </c>
      <c r="GG78" s="547">
        <f>IFERROR(VLOOKUP($D78,'Kalkulator mięs '!$C$5:$H$533,GG$4,0)*$AG78,0)</f>
        <v>165.24</v>
      </c>
      <c r="GH78" s="547">
        <f>IFERROR(VLOOKUP($D78,'Kalkulator mięs '!$C$5:$H$533,GH$4,0)*$AH78,0)</f>
        <v>0</v>
      </c>
      <c r="GI78" s="547">
        <f>IFERROR(VLOOKUP($D78,'Kalkulator mięs '!$C$5:$H$533,GI$4,0)*$AH78,0)</f>
        <v>0</v>
      </c>
      <c r="GJ78" s="547">
        <f>IFERROR(VLOOKUP($D78,'Kalkulator mięs '!$C$5:$H$533,GJ$4,0)*$AH78,0)</f>
        <v>0</v>
      </c>
      <c r="GK78" s="547">
        <f>IFERROR(VLOOKUP($D78,'Kalkulator mięs '!$C$5:$H$533,GK$4,0)*$AI78,0)</f>
        <v>0</v>
      </c>
      <c r="GL78" s="547">
        <f>IFERROR(VLOOKUP($D78,'Kalkulator mięs '!$C$5:$H$533,GL$4,0)*$AI78,0)</f>
        <v>0</v>
      </c>
      <c r="GM78" s="547">
        <f>IFERROR(VLOOKUP($D78,'Kalkulator mięs '!$C$5:$H$533,GM$4,0)*$AI78,0)</f>
        <v>0</v>
      </c>
      <c r="GN78" s="547">
        <f>IFERROR(VLOOKUP($D78,'Kalkulator mięs '!$C$5:$H$533,GN$4,0)*$AJ78,0)</f>
        <v>0</v>
      </c>
      <c r="GO78" s="547">
        <f>IFERROR(VLOOKUP($D78,'Kalkulator mięs '!$C$5:$H$533,GO$4,0)*$AJ78,0)</f>
        <v>0</v>
      </c>
      <c r="GP78" s="547">
        <f>IFERROR(VLOOKUP($D78,'Kalkulator mięs '!$C$5:$H$533,GP$4,0)*$AJ78,0)</f>
        <v>0</v>
      </c>
      <c r="GQ78" s="547">
        <f>IFERROR(VLOOKUP($D78,'Kalkulator mięs '!$C$5:$H$533,GQ$4,0)*$AK78,0)</f>
        <v>0</v>
      </c>
      <c r="GR78" s="547">
        <f>IFERROR(VLOOKUP($D78,'Kalkulator mięs '!$C$5:$H$533,GR$4,0)*$AK78,0)</f>
        <v>0</v>
      </c>
      <c r="GS78" s="547">
        <f>IFERROR(VLOOKUP($D78,'Kalkulator mięs '!$C$5:$H$533,GS$4,0)*$AK78,0)</f>
        <v>0</v>
      </c>
      <c r="GT78" s="547">
        <f>IFERROR(VLOOKUP($D78,'Kalkulator mięs '!$C$5:$H$533,GT$4,0)*$AL78,0)</f>
        <v>0</v>
      </c>
      <c r="GU78" s="547">
        <f>IFERROR(VLOOKUP($D78,'Kalkulator mięs '!$C$5:$H$533,GU$4,0)*$AL78,0)</f>
        <v>0</v>
      </c>
      <c r="GV78" s="547">
        <f>IFERROR(VLOOKUP($D78,'Kalkulator mięs '!$C$5:$H$533,GV$4,0)*$AL78,0)</f>
        <v>0</v>
      </c>
      <c r="GW78" s="547">
        <f>IFERROR(VLOOKUP($D78,'Kalkulator mięs '!$C$5:$H$533,GW$4,0)*$AM78,0)</f>
        <v>0</v>
      </c>
      <c r="GX78" s="547">
        <f>IFERROR(VLOOKUP($D78,'Kalkulator mięs '!$C$5:$H$533,GX$4,0)*$AM78,0)</f>
        <v>0</v>
      </c>
      <c r="GY78" s="547">
        <f>IFERROR(VLOOKUP($D78,'Kalkulator mięs '!$C$5:$H$533,GY$4,0)*$AM78,0)</f>
        <v>0</v>
      </c>
      <c r="GZ78" s="547">
        <f>IFERROR(VLOOKUP($D78,'Kalkulator mięs '!$C$5:$H$533,GZ$4,0)*$AN78,0)</f>
        <v>0</v>
      </c>
      <c r="HA78" s="547">
        <f>IFERROR(VLOOKUP($D78,'Kalkulator mięs '!$C$5:$H$533,HA$4,0)*$AN78,0)</f>
        <v>115.56</v>
      </c>
      <c r="HB78" s="547">
        <f>IFERROR(VLOOKUP($D78,'Kalkulator mięs '!$C$5:$H$533,HB$4,0)*$AN78,0)</f>
        <v>231.12</v>
      </c>
      <c r="HC78" s="547">
        <f>IFERROR(VLOOKUP($D78,'Kalkulator mięs '!$C$5:$H$533,HC$4,0)*$AO78,0)</f>
        <v>0</v>
      </c>
      <c r="HD78" s="547">
        <f>IFERROR(VLOOKUP($D78,'Kalkulator mięs '!$C$5:$H$533,HD$4,0)*$AO78,0)</f>
        <v>0</v>
      </c>
      <c r="HE78" s="547">
        <f>IFERROR(VLOOKUP($D78,'Kalkulator mięs '!$C$5:$H$533,HE$4,0)*$AO78,0)</f>
        <v>0</v>
      </c>
      <c r="HF78" s="547">
        <f>IFERROR(VLOOKUP($D78,'Kalkulator mięs '!$C$5:$H$533,HF$4,0)*$AP78,0)</f>
        <v>0</v>
      </c>
      <c r="HG78" s="547">
        <f>IFERROR(VLOOKUP($D78,'Kalkulator mięs '!$C$5:$H$533,HG$4,0)*$AP78,0)</f>
        <v>627.30000000000007</v>
      </c>
      <c r="HH78" s="547">
        <f>IFERROR(VLOOKUP($D78,'Kalkulator mięs '!$C$5:$H$533,HH$4,0)*$AP78,0)</f>
        <v>1254.6000000000001</v>
      </c>
      <c r="HI78" s="547">
        <f>IFERROR(VLOOKUP($D78,'Kalkulator mięs '!$C$5:$H$533,HI$4,0)*$AQ78,0)</f>
        <v>0</v>
      </c>
      <c r="HJ78" s="547">
        <f>IFERROR(VLOOKUP($D78,'Kalkulator mięs '!$C$5:$H$533,HJ$4,0)*$AQ78,0)</f>
        <v>0</v>
      </c>
      <c r="HK78" s="547">
        <f>IFERROR(VLOOKUP($D78,'Kalkulator mięs '!$C$5:$H$533,HK$4,0)*$AQ78,0)</f>
        <v>0</v>
      </c>
      <c r="HL78" s="547">
        <f>IFERROR(VLOOKUP($D78,'Kalkulator mięs '!$C$5:$H$533,HL$4,0)*$AR78,0)</f>
        <v>0</v>
      </c>
      <c r="HM78" s="547">
        <f>IFERROR(VLOOKUP($D78,'Kalkulator mięs '!$C$5:$H$533,HM$4,0)*$AR78,0)</f>
        <v>0</v>
      </c>
      <c r="HN78" s="547">
        <f>IFERROR(VLOOKUP($D78,'Kalkulator mięs '!$C$5:$H$533,HN$4,0)*$AR78,0)</f>
        <v>0</v>
      </c>
      <c r="HO78" s="547">
        <f>IFERROR(VLOOKUP($D78,'Kalkulator mięs '!$C$5:$H$533,HO$4,0)*$AS78,0)</f>
        <v>0</v>
      </c>
      <c r="HP78" s="547">
        <f>IFERROR(VLOOKUP($D78,'Kalkulator mięs '!$C$5:$H$533,HP$4,0)*$AS78,0)</f>
        <v>0</v>
      </c>
      <c r="HQ78" s="547">
        <f>IFERROR(VLOOKUP($D78,'Kalkulator mięs '!$C$5:$H$533,HQ$4,0)*$AS78,0)</f>
        <v>0</v>
      </c>
      <c r="HR78" s="547">
        <f>IFERROR(VLOOKUP($D78,'Kalkulator mięs '!$C$5:$H$533,HR$4,0)*$AT78,0)</f>
        <v>0</v>
      </c>
      <c r="HS78" s="547">
        <f>IFERROR(VLOOKUP($D78,'Kalkulator mięs '!$C$5:$H$533,HS$4,0)*$AT78,0)</f>
        <v>0</v>
      </c>
      <c r="HT78" s="547">
        <f>IFERROR(VLOOKUP($D78,'Kalkulator mięs '!$C$5:$H$533,HT$4,0)*$AT78,0)</f>
        <v>0</v>
      </c>
      <c r="HU78" s="547">
        <f>IFERROR(VLOOKUP($D78,'Kalkulator mięs '!$C$5:$H$533,HU$4,0)*$AU78,0)</f>
        <v>0</v>
      </c>
      <c r="HV78" s="547">
        <f>IFERROR(VLOOKUP($D78,'Kalkulator mięs '!$C$5:$H$533,HV$4,0)*$AU78,0)</f>
        <v>0</v>
      </c>
      <c r="HW78" s="547">
        <f>IFERROR(VLOOKUP($D78,'Kalkulator mięs '!$C$5:$H$533,HW$4,0)*$AU78,0)</f>
        <v>0</v>
      </c>
      <c r="HX78" s="547">
        <f>IFERROR(VLOOKUP($D78,'Kalkulator mięs '!$C$5:$H$533,HX$4,0)*$AV78,0)</f>
        <v>0</v>
      </c>
      <c r="HY78" s="547">
        <f>IFERROR(VLOOKUP($D78,'Kalkulator mięs '!$C$5:$H$533,HY$4,0)*$AV78,0)</f>
        <v>0</v>
      </c>
      <c r="HZ78" s="547">
        <f>IFERROR(VLOOKUP($D78,'Kalkulator mięs '!$C$5:$H$533,HZ$4,0)*$AV78,0)</f>
        <v>0</v>
      </c>
      <c r="IA78">
        <f>IFERROR(VLOOKUP($D78,'Kalkulator mięs '!$C$5:$H$533,IA$4,0)*$AW78,0)</f>
        <v>0</v>
      </c>
      <c r="IB78">
        <f>IFERROR(VLOOKUP($D78,'Kalkulator mięs '!$C$5:$H$533,IB$4,0)*$AW78,0)</f>
        <v>0</v>
      </c>
      <c r="IC78">
        <f>IFERROR(VLOOKUP($D78,'Kalkulator mięs '!$C$5:$H$533,IC$4,0)*$AW78,0)</f>
        <v>0</v>
      </c>
      <c r="ID78">
        <f>IFERROR(VLOOKUP($D78,'Kalkulator mięs '!$C$5:$H$533,ID$4,0)*$AX78,0)</f>
        <v>0</v>
      </c>
      <c r="IE78">
        <f>IFERROR(VLOOKUP($D78,'Kalkulator mięs '!$C$5:$H$533,IE$4,0)*$AX78,0)</f>
        <v>0</v>
      </c>
      <c r="IF78">
        <f>IFERROR(VLOOKUP($D78,'Kalkulator mięs '!$C$5:$H$533,IF$4,0)*$AX78,0)</f>
        <v>0</v>
      </c>
      <c r="IG78">
        <f>IFERROR(VLOOKUP($D78,'Kalkulator mięs '!$C$5:$H$533,IG$4,0)*$AY78,0)</f>
        <v>0</v>
      </c>
      <c r="IH78">
        <f>IFERROR(VLOOKUP($D78,'Kalkulator mięs '!$C$5:$H$533,IH$4,0)*$AY78,0)</f>
        <v>165.06</v>
      </c>
      <c r="II78">
        <f>IFERROR(VLOOKUP($D78,'Kalkulator mięs '!$C$5:$H$533,II$4,0)*$AY78,0)</f>
        <v>330.12</v>
      </c>
      <c r="IJ78">
        <f>IFERROR(VLOOKUP($D78,'Kalkulator mięs '!$C$5:$H$533,IJ$4,0)*$AZ78,0)</f>
        <v>0</v>
      </c>
      <c r="IK78">
        <f>IFERROR(VLOOKUP($D78,'Kalkulator mięs '!$C$5:$H$533,IK$4,0)*$AZ78,0)</f>
        <v>0</v>
      </c>
      <c r="IL78">
        <f>IFERROR(VLOOKUP($D78,'Kalkulator mięs '!$C$5:$H$533,IL$4,0)*$AZ78,0)</f>
        <v>0</v>
      </c>
      <c r="IM78">
        <f>IFERROR(VLOOKUP($D78,'Kalkulator mięs '!$C$5:$H$533,IM$4,0)*$BA78,0)</f>
        <v>0</v>
      </c>
      <c r="IN78">
        <f>IFERROR(VLOOKUP($D78,'Kalkulator mięs '!$C$5:$H$533,IN$4,0)*$BA78,0)</f>
        <v>0</v>
      </c>
      <c r="IO78">
        <f>IFERROR(VLOOKUP($D78,'Kalkulator mięs '!$C$5:$H$533,IO$4,0)*$BA78,0)</f>
        <v>0</v>
      </c>
    </row>
    <row r="79" spans="2:249" s="547" customFormat="1" ht="15.75">
      <c r="B79" s="547" t="str">
        <f>VLOOKUP(D79,Receptury_z!$A:$B,2,0)</f>
        <v>ON</v>
      </c>
      <c r="C79" s="548">
        <v>5693</v>
      </c>
      <c r="D79" s="549" t="s">
        <v>17989</v>
      </c>
      <c r="E79" s="550" t="s">
        <v>17855</v>
      </c>
      <c r="F79" s="553">
        <f>IF($B79="OFF",BE79,VLOOKUP($D79,Receptury_z!$D:$AI,F$4,0))</f>
        <v>0</v>
      </c>
      <c r="G79" s="553">
        <f>IF($B79="OFF",BF79,VLOOKUP($D79,Receptury_z!$D:$AI,G$4,0))</f>
        <v>587.9</v>
      </c>
      <c r="H79" s="553">
        <f>IF($B79="OFF",BG79,VLOOKUP($D79,Receptury_z!$D:$AI,H$4,0))</f>
        <v>0</v>
      </c>
      <c r="I79" s="553">
        <f>IF($B79="OFF",BH79,VLOOKUP($D79,Receptury_z!$D:$AI,I$4,0))</f>
        <v>0</v>
      </c>
      <c r="J79" s="553">
        <f>IF($B79="OFF",BI79,VLOOKUP($D79,Receptury_z!$D:$AI,J$4,0))</f>
        <v>0</v>
      </c>
      <c r="K79" s="553">
        <f>IF($B79="OFF",BJ79,VLOOKUP($D79,Receptury_z!$D:$AI,K$4,0))</f>
        <v>0</v>
      </c>
      <c r="L79" s="553">
        <f>IF($B79="OFF",BK79,VLOOKUP($D79,Receptury_z!$D:$AI,L$4,0))</f>
        <v>0</v>
      </c>
      <c r="M79" s="553">
        <f>IF($B79="OFF",BL79,VLOOKUP($D79,Receptury_z!$D:$AI,M$4,0))</f>
        <v>0</v>
      </c>
      <c r="N79" s="553">
        <f>IF($B79="OFF",BM79,VLOOKUP($D79,Receptury_z!$D:$AI,N$4,0))</f>
        <v>0</v>
      </c>
      <c r="O79" s="553">
        <f>IF($B79="OFF",BN79,VLOOKUP($D79,Receptury_z!$D:$AI,O$4,0))</f>
        <v>0</v>
      </c>
      <c r="P79" s="553">
        <f>IF($B79="OFF",BO79,VLOOKUP($D79,Receptury_z!$D:$AI,P$4,0))</f>
        <v>0</v>
      </c>
      <c r="Q79" s="553">
        <f>IF($B79="OFF",BP79,VLOOKUP($D79,Receptury_z!$D:$AI,Q$4,0))</f>
        <v>0</v>
      </c>
      <c r="R79" s="553">
        <f>IF($B79="OFF",BQ79,VLOOKUP($D79,Receptury_z!$D:$AI,R$4,0))</f>
        <v>0</v>
      </c>
      <c r="S79" s="553">
        <f>IF($B79="OFF",BR79,VLOOKUP($D79,Receptury_z!$D:$AI,S$4,0))</f>
        <v>0</v>
      </c>
      <c r="T79" s="553">
        <f>IF($B79="OFF",BS79,VLOOKUP($D79,Receptury_z!$D:$AI,T$4,0))</f>
        <v>0</v>
      </c>
      <c r="U79" s="553">
        <f>IF($B79="OFF",BT79,VLOOKUP($D79,Receptury_z!$D:$AI,U$4,0))</f>
        <v>0</v>
      </c>
      <c r="V79" s="553">
        <f>IF($B79="OFF",BU79,VLOOKUP($D79,Receptury_z!$D:$AI,V$4,0))</f>
        <v>0</v>
      </c>
      <c r="W79" s="553">
        <f>IF($B79="OFF",BV79,VLOOKUP($D79,Receptury_z!$D:$AI,W$4,0))</f>
        <v>0</v>
      </c>
      <c r="X79" s="553">
        <f>IF($B79="OFF",BW79,VLOOKUP($D79,Receptury_z!$D:$AI,X$4,0))</f>
        <v>0</v>
      </c>
      <c r="Y79" s="553">
        <f>IF($B79="OFF",BX79,VLOOKUP($D79,Receptury_z!$D:$AI,Y$4,0))</f>
        <v>0</v>
      </c>
      <c r="Z79" s="553">
        <f>IF($B79="OFF",BY79,VLOOKUP($D79,Receptury_z!$D:$AI,Z$4,0))</f>
        <v>0</v>
      </c>
      <c r="AA79" s="553">
        <f>IF($B79="OFF",BZ79,VLOOKUP($D79,Receptury_z!$D:$AI,AA$4,0))</f>
        <v>0</v>
      </c>
      <c r="AB79" s="553">
        <f>IF($B79="OFF",CA79,VLOOKUP($D79,Receptury_z!$D:$AI,AB$4,0))</f>
        <v>0</v>
      </c>
      <c r="AC79" s="553">
        <f>IF($B79="OFF",CB79,VLOOKUP($D79,Receptury_z!$D:$AI,AC$4,0))</f>
        <v>0</v>
      </c>
      <c r="AD79" s="553">
        <f>IF($B79="OFF",CC79,VLOOKUP($D79,Receptury_z!$D:$AI,AD$4,0))</f>
        <v>0</v>
      </c>
      <c r="AE79" s="553">
        <f>IF($B79="OFF",CD79,VLOOKUP($D79,Receptury_z!$D:$AI,AE$4,0))</f>
        <v>50</v>
      </c>
      <c r="AF79" s="553">
        <f>IF($B79="OFF",CE79,VLOOKUP($D79,Receptury_z!$D:$AI,AF$4,0))</f>
        <v>0</v>
      </c>
      <c r="AG79" s="553">
        <f>IF($B79="OFF",CF79,VLOOKUP($D79,Receptury_z!$D:$AI,AG$4,0))</f>
        <v>273.39999999999998</v>
      </c>
      <c r="AH79" s="553">
        <f>IF($B79="OFF",CG79,VLOOKUP($D79,Receptury_z!$D:$AI,AH$4,0))</f>
        <v>0</v>
      </c>
      <c r="AI79" s="553">
        <f>IF($B79="OFF",CH79,VLOOKUP($D79,Receptury_z!$D:$AI,AI$4,0))</f>
        <v>0</v>
      </c>
      <c r="AJ79" s="553">
        <f>IF($B79="OFF",CI79,VLOOKUP($D79,Receptury_z!$D:$AS,AJ$4,0))</f>
        <v>0</v>
      </c>
      <c r="AK79" s="553">
        <f>IF($B79="OFF",CJ79,VLOOKUP($D79,Receptury_z!$D:$AS,AK$4,0))</f>
        <v>0</v>
      </c>
      <c r="AL79" s="553">
        <f>IF($B79="OFF",CK79,VLOOKUP($D79,Receptury_z!$D:$AS,AL$4,0))</f>
        <v>0</v>
      </c>
      <c r="AM79" s="553">
        <f>IF($B79="OFF",CL79,VLOOKUP($D79,Receptury_z!$D:$AS,AM$4,0))</f>
        <v>100</v>
      </c>
      <c r="AN79" s="553">
        <f>IF($B79="OFF",CM79,VLOOKUP($D79,Receptury_z!$D:$AS,AN$4,0))</f>
        <v>0</v>
      </c>
      <c r="AO79" s="553">
        <f>IF($B79="OFF",CN79,VLOOKUP($D79,Receptury_z!$D:$AS,AO$4,0))</f>
        <v>0</v>
      </c>
      <c r="AP79" s="553">
        <f>IF($B79="OFF",CO79,VLOOKUP($D79,Receptury_z!$D:$AS,AP$4,0))</f>
        <v>0</v>
      </c>
      <c r="AQ79" s="553">
        <f>IF($B79="OFF",CP79,VLOOKUP($D79,Receptury_z!$D:$AS,AQ$4,0))</f>
        <v>0</v>
      </c>
      <c r="AR79" s="553">
        <f>IF($B79="OFF",CQ79,VLOOKUP($D79,Receptury_z!$D:$AS,AR$4,0))</f>
        <v>0</v>
      </c>
      <c r="AS79" s="553">
        <f>IF($B79="OFF",CR79,VLOOKUP($D79,Receptury_z!$D:$AS,AS$4,0))</f>
        <v>0</v>
      </c>
      <c r="AT79" s="553">
        <f>IF($B79="OFF",CS79,VLOOKUP($D79,Receptury_z!$D:$AV,AT$4,0))</f>
        <v>0</v>
      </c>
      <c r="AU79" s="553">
        <f>IF($B79="OFF",CT79,VLOOKUP($D79,Receptury_z!$D:$AV,AU$4,0))</f>
        <v>0</v>
      </c>
      <c r="AV79" s="553">
        <f>IF($B79="OFF",CU79,VLOOKUP($D79,Receptury_z!$D:$AV,AV$4,0))</f>
        <v>0</v>
      </c>
      <c r="AW79" s="14">
        <f>IF($B79="OFF",CV79,VLOOKUP($D79,Receptury_z!$D:$BA,AW$4,0))</f>
        <v>0</v>
      </c>
      <c r="AX79" s="14">
        <f>IF($B79="OFF",CW79,VLOOKUP($D79,Receptury_z!$D:$BA,AX$4,0))</f>
        <v>0</v>
      </c>
      <c r="AY79" s="14">
        <f>IF($B79="OFF",CX79,VLOOKUP($D79,Receptury_z!$D:$BA,AY$4,0))</f>
        <v>0</v>
      </c>
      <c r="AZ79" s="14">
        <f>IF($B79="OFF",DA79,VLOOKUP($D79,Receptury_z!$D:$BA,AZ$4,0))</f>
        <v>0</v>
      </c>
      <c r="BA79" s="14">
        <f>IF($B79="OFF",DB79,VLOOKUP($D79,Receptury_z!$D:$BA,BA$4,0))</f>
        <v>0</v>
      </c>
      <c r="BC79" s="549" t="s">
        <v>17989</v>
      </c>
      <c r="BD79" s="550" t="s">
        <v>17855</v>
      </c>
      <c r="BE79" s="554"/>
      <c r="BF79" s="554"/>
      <c r="BG79" s="554"/>
      <c r="BH79" s="554"/>
      <c r="BI79" s="554"/>
      <c r="BJ79" s="554"/>
      <c r="BK79" s="554"/>
      <c r="BL79" s="554"/>
      <c r="BM79" s="554"/>
      <c r="BN79" s="554"/>
      <c r="BO79" s="554"/>
      <c r="BP79" s="554"/>
      <c r="BQ79" s="554"/>
      <c r="BR79" s="554"/>
      <c r="BS79" s="554"/>
      <c r="BT79" s="554"/>
      <c r="BU79" s="554"/>
      <c r="BV79" s="554"/>
      <c r="BW79" s="554"/>
      <c r="BX79" s="554"/>
      <c r="BY79" s="554"/>
      <c r="BZ79" s="554"/>
      <c r="CA79" s="554"/>
      <c r="CB79" s="554"/>
      <c r="CC79" s="554">
        <v>663.1</v>
      </c>
      <c r="CD79" s="554"/>
      <c r="CE79" s="554"/>
      <c r="CF79" s="554">
        <v>265.2</v>
      </c>
      <c r="CG79" s="554"/>
      <c r="CH79" s="554"/>
      <c r="CI79" s="554"/>
      <c r="CJ79" s="554"/>
      <c r="CK79" s="554"/>
      <c r="CL79" s="554"/>
      <c r="CM79" s="555"/>
      <c r="CN79" s="555"/>
      <c r="CO79" s="555"/>
      <c r="CP79" s="554"/>
      <c r="CQ79" s="554"/>
      <c r="CR79" s="554"/>
      <c r="CS79" s="554"/>
      <c r="CT79" s="554"/>
      <c r="CU79" s="554"/>
      <c r="CV79" s="554"/>
      <c r="CW79" s="554"/>
      <c r="CX79" s="554"/>
      <c r="CY79" s="554"/>
      <c r="CZ79" s="554"/>
      <c r="DB79" s="547">
        <f>IFERROR(VLOOKUP($D79,'Kalkulator mięs '!$C$5:$H$533,DB$4,0)*F79,0)</f>
        <v>0</v>
      </c>
      <c r="DC79" s="547">
        <f>IFERROR(VLOOKUP($D79,'Kalkulator mięs '!$C$5:$H$533,DC$4,0)*F79,0)</f>
        <v>0</v>
      </c>
      <c r="DD79" s="547">
        <f>IFERROR(VLOOKUP($D79,'Kalkulator mięs '!$C$5:$H$533,DD$4,0)*F79,0)</f>
        <v>0</v>
      </c>
      <c r="DE79" s="547">
        <f>IFERROR(VLOOKUP($D79,'Kalkulator mięs '!$C$5:$H$533,DE$4,0)*$G79,0)</f>
        <v>0</v>
      </c>
      <c r="DF79" s="547">
        <f>IFERROR(VLOOKUP($D79,'Kalkulator mięs '!$C$5:$H$533,DF$4,0)*$G79,0)</f>
        <v>1058.22</v>
      </c>
      <c r="DG79" s="547">
        <f>IFERROR(VLOOKUP($D79,'Kalkulator mięs '!$C$5:$H$533,DG$4,0)*$G79,0)</f>
        <v>2116.44</v>
      </c>
      <c r="DH79" s="547">
        <f>IFERROR(VLOOKUP($D79,'Kalkulator mięs '!$C$5:$H$533,DH$4,0)*$H79,0)</f>
        <v>0</v>
      </c>
      <c r="DI79" s="547">
        <f>IFERROR(VLOOKUP($D79,'Kalkulator mięs '!$C$5:$H$533,DI$4,0)*$H79,0)</f>
        <v>0</v>
      </c>
      <c r="DJ79" s="547">
        <f>IFERROR(VLOOKUP($D79,'Kalkulator mięs '!$C$5:$H$533,DJ$4,0)*$H79,0)</f>
        <v>0</v>
      </c>
      <c r="DK79" s="547">
        <f>IFERROR(VLOOKUP($D79,'Kalkulator mięs '!$C$5:$H$533,DK$4,0)*$I79,0)</f>
        <v>0</v>
      </c>
      <c r="DL79" s="547">
        <f>IFERROR(VLOOKUP($D79,'Kalkulator mięs '!$C$5:$H$533,DL$4,0)*$I79,0)</f>
        <v>0</v>
      </c>
      <c r="DM79" s="547">
        <f>IFERROR(VLOOKUP($D79,'Kalkulator mięs '!$C$5:$H$533,DM$4,0)*$I79,0)</f>
        <v>0</v>
      </c>
      <c r="DN79" s="547">
        <f>IFERROR(VLOOKUP($D79,'Kalkulator mięs '!$C$5:$H$533,DN$4,0)*$J79,0)</f>
        <v>0</v>
      </c>
      <c r="DO79" s="547">
        <f>IFERROR(VLOOKUP($D79,'Kalkulator mięs '!$C$5:$H$533,DO$4,0)*$J79,0)</f>
        <v>0</v>
      </c>
      <c r="DP79" s="547">
        <f>IFERROR(VLOOKUP($D79,'Kalkulator mięs '!$C$5:$H$533,DP$4,0)*$J79,0)</f>
        <v>0</v>
      </c>
      <c r="DQ79" s="547">
        <f>IFERROR(VLOOKUP($D79,'Kalkulator mięs '!$C$5:$H$533,DQ$4,0)*$K79,0)</f>
        <v>0</v>
      </c>
      <c r="DR79" s="547">
        <f>IFERROR(VLOOKUP($D79,'Kalkulator mięs '!$C$5:$H$533,DR$4,0)*$K79,0)</f>
        <v>0</v>
      </c>
      <c r="DS79" s="547">
        <f>IFERROR(VLOOKUP($D79,'Kalkulator mięs '!$C$5:$H$533,DS$4,0)*$K79,0)</f>
        <v>0</v>
      </c>
      <c r="DT79" s="547">
        <f>IFERROR(VLOOKUP($D79,'Kalkulator mięs '!$C$5:$H$533,DT$4,0)*$L79,0)</f>
        <v>0</v>
      </c>
      <c r="DU79" s="547">
        <f>IFERROR(VLOOKUP($D79,'Kalkulator mięs '!$C$5:$H$533,DU$4,0)*$L79,0)</f>
        <v>0</v>
      </c>
      <c r="DV79" s="547">
        <f>IFERROR(VLOOKUP($D79,'Kalkulator mięs '!$C$5:$H$533,DV$4,0)*$L79,0)</f>
        <v>0</v>
      </c>
      <c r="DW79" s="547">
        <f>IFERROR(VLOOKUP($D79,'Kalkulator mięs '!$C$5:$H$533,DW$4,0)*$M79,0)</f>
        <v>0</v>
      </c>
      <c r="DX79" s="547">
        <f>IFERROR(VLOOKUP($D79,'Kalkulator mięs '!$C$5:$H$533,DX$4,0)*$M79,0)</f>
        <v>0</v>
      </c>
      <c r="DY79" s="547">
        <f>IFERROR(VLOOKUP($D79,'Kalkulator mięs '!$C$5:$H$533,DY$4,0)*$M79,0)</f>
        <v>0</v>
      </c>
      <c r="DZ79" s="547">
        <f>IFERROR(VLOOKUP($D79,'Kalkulator mięs '!$C$5:$H$533,DZ$4,0)*$N79,0)</f>
        <v>0</v>
      </c>
      <c r="EA79" s="547">
        <f>IFERROR(VLOOKUP($D79,'Kalkulator mięs '!$C$5:$H$533,EA$4,0)*$N79,0)</f>
        <v>0</v>
      </c>
      <c r="EB79" s="547">
        <f>IFERROR(VLOOKUP($D79,'Kalkulator mięs '!$C$5:$H$533,EB$4,0)*$N79,0)</f>
        <v>0</v>
      </c>
      <c r="EC79" s="547">
        <f>IFERROR(VLOOKUP($D79,'Kalkulator mięs '!$C$5:$H$533,EC$4,0)*$O79,0)</f>
        <v>0</v>
      </c>
      <c r="ED79" s="547">
        <f>IFERROR(VLOOKUP($D79,'Kalkulator mięs '!$C$5:$H$533,ED$4,0)*$O79,0)</f>
        <v>0</v>
      </c>
      <c r="EE79" s="547">
        <f>IFERROR(VLOOKUP($D79,'Kalkulator mięs '!$C$5:$H$533,EE$4,0)*$O79,0)</f>
        <v>0</v>
      </c>
      <c r="EF79" s="547">
        <f>IFERROR(VLOOKUP($D79,'Kalkulator mięs '!$C$5:$H$533,EF$4,0)*$P79,0)</f>
        <v>0</v>
      </c>
      <c r="EG79" s="547">
        <f>IFERROR(VLOOKUP($D79,'Kalkulator mięs '!$C$5:$H$533,EG$4,0)*$P79,0)</f>
        <v>0</v>
      </c>
      <c r="EH79" s="547">
        <f>IFERROR(VLOOKUP($D79,'Kalkulator mięs '!$C$5:$H$533,EH$4,0)*$P79,0)</f>
        <v>0</v>
      </c>
      <c r="EI79" s="547">
        <f>IFERROR(VLOOKUP($D79,'Kalkulator mięs '!$C$5:$H$533,EI$4,0)*$Q79,0)</f>
        <v>0</v>
      </c>
      <c r="EJ79" s="547">
        <f>IFERROR(VLOOKUP($D79,'Kalkulator mięs '!$C$5:$H$533,EJ$4,0)*$Q79,0)</f>
        <v>0</v>
      </c>
      <c r="EK79" s="547">
        <f>IFERROR(VLOOKUP($D79,'Kalkulator mięs '!$C$5:$H$533,EK$4,0)*$Q79,0)</f>
        <v>0</v>
      </c>
      <c r="EL79" s="547">
        <f>IFERROR(VLOOKUP($D79,'Kalkulator mięs '!$C$5:$H$533,EL$4,0)*$R79,0)</f>
        <v>0</v>
      </c>
      <c r="EM79" s="547">
        <f>IFERROR(VLOOKUP($D79,'Kalkulator mięs '!$C$5:$H$533,EM$4,0)*$R79,0)</f>
        <v>0</v>
      </c>
      <c r="EN79" s="547">
        <f>IFERROR(VLOOKUP($D79,'Kalkulator mięs '!$C$5:$H$533,EN$4,0)*$R79,0)</f>
        <v>0</v>
      </c>
      <c r="EO79" s="547">
        <f>IFERROR(VLOOKUP($D79,'Kalkulator mięs '!$C$5:$H$533,EO$4,0)*$S79,0)</f>
        <v>0</v>
      </c>
      <c r="EP79" s="547">
        <f>IFERROR(VLOOKUP($D79,'Kalkulator mięs '!$C$5:$H$533,EP$4,0)*$S79,0)</f>
        <v>0</v>
      </c>
      <c r="EQ79" s="547">
        <f>IFERROR(VLOOKUP($D79,'Kalkulator mięs '!$C$5:$H$533,EQ$4,0)*$S79,0)</f>
        <v>0</v>
      </c>
      <c r="ER79" s="547">
        <f>IFERROR(VLOOKUP($D79,'Kalkulator mięs '!$C$5:$H$533,ER$4,0)*$T79,0)</f>
        <v>0</v>
      </c>
      <c r="ES79" s="547">
        <f>IFERROR(VLOOKUP($D79,'Kalkulator mięs '!$C$5:$H$533,ES$4,0)*$T79,0)</f>
        <v>0</v>
      </c>
      <c r="ET79" s="547">
        <f>IFERROR(VLOOKUP($D79,'Kalkulator mięs '!$C$5:$H$533,ET$4,0)*$T79,0)</f>
        <v>0</v>
      </c>
      <c r="EU79" s="547">
        <f>IFERROR(VLOOKUP($D79,'Kalkulator mięs '!$C$5:$H$533,EU$4,0)*$U79,0)</f>
        <v>0</v>
      </c>
      <c r="EV79" s="547">
        <f>IFERROR(VLOOKUP($D79,'Kalkulator mięs '!$C$5:$H$533,EV$4,0)*$U79,0)</f>
        <v>0</v>
      </c>
      <c r="EW79" s="547">
        <f>IFERROR(VLOOKUP($D79,'Kalkulator mięs '!$C$5:$H$533,EW$4,0)*$U79,0)</f>
        <v>0</v>
      </c>
      <c r="EX79" s="547">
        <f>IFERROR(VLOOKUP($D79,'Kalkulator mięs '!$C$5:$H$533,EX$4,0)*$V79,0)</f>
        <v>0</v>
      </c>
      <c r="EY79" s="547">
        <f>IFERROR(VLOOKUP($D79,'Kalkulator mięs '!$C$5:$H$533,EY$4,0)*$V79,0)</f>
        <v>0</v>
      </c>
      <c r="EZ79" s="547">
        <f>IFERROR(VLOOKUP($D79,'Kalkulator mięs '!$C$5:$H$533,EZ$4,0)*$V79,0)</f>
        <v>0</v>
      </c>
      <c r="FA79" s="547">
        <f>IFERROR(VLOOKUP($D79,'Kalkulator mięs '!$C$5:$H$533,FA$4,0)*$W79,0)</f>
        <v>0</v>
      </c>
      <c r="FB79" s="547">
        <f>IFERROR(VLOOKUP($D79,'Kalkulator mięs '!$C$5:$H$533,FB$4,0)*$W79,0)</f>
        <v>0</v>
      </c>
      <c r="FC79" s="547">
        <f>IFERROR(VLOOKUP($D79,'Kalkulator mięs '!$C$5:$H$533,FC$4,0)*$W79,0)</f>
        <v>0</v>
      </c>
      <c r="FD79" s="547">
        <f>IFERROR(VLOOKUP($D79,'Kalkulator mięs '!$C$5:$H$533,FD$4,0)*$X79,0)</f>
        <v>0</v>
      </c>
      <c r="FE79" s="547">
        <f>IFERROR(VLOOKUP($D79,'Kalkulator mięs '!$C$5:$H$533,FE$4,0)*$X79,0)</f>
        <v>0</v>
      </c>
      <c r="FF79" s="547">
        <f>IFERROR(VLOOKUP($D79,'Kalkulator mięs '!$C$5:$H$533,FF$4,0)*$X79,0)</f>
        <v>0</v>
      </c>
      <c r="FG79" s="547">
        <f>IFERROR(VLOOKUP($D79,'Kalkulator mięs '!$C$5:$H$533,FG$4,0)*$Y79,0)</f>
        <v>0</v>
      </c>
      <c r="FH79" s="547">
        <f>IFERROR(VLOOKUP($D79,'Kalkulator mięs '!$C$5:$H$533,FH$4,0)*$Y79,0)</f>
        <v>0</v>
      </c>
      <c r="FI79" s="547">
        <f>IFERROR(VLOOKUP($D79,'Kalkulator mięs '!$C$5:$H$533,FI$4,0)*$Y79,0)</f>
        <v>0</v>
      </c>
      <c r="FJ79" s="547">
        <f>IFERROR(VLOOKUP($D79,'Kalkulator mięs '!$C$5:$H$533,FJ$4,0)*$Z79,0)</f>
        <v>0</v>
      </c>
      <c r="FK79" s="547">
        <f>IFERROR(VLOOKUP($D79,'Kalkulator mięs '!$C$5:$H$533,FK$4,0)*$Z79,0)</f>
        <v>0</v>
      </c>
      <c r="FL79" s="547">
        <f>IFERROR(VLOOKUP($D79,'Kalkulator mięs '!$C$5:$H$533,FL$4,0)*$Z79,0)</f>
        <v>0</v>
      </c>
      <c r="FM79" s="547">
        <f>IFERROR(VLOOKUP($D79,'Kalkulator mięs '!$C$5:$H$533,FM$4,0)*$AA79,0)</f>
        <v>0</v>
      </c>
      <c r="FN79" s="547">
        <f>IFERROR(VLOOKUP($D79,'Kalkulator mięs '!$C$5:$H$533,FN$4,0)*$AA79,0)</f>
        <v>0</v>
      </c>
      <c r="FO79" s="547">
        <f>IFERROR(VLOOKUP($D79,'Kalkulator mięs '!$C$5:$H$533,FO$4,0)*$AA79,0)</f>
        <v>0</v>
      </c>
      <c r="FP79" s="547">
        <f>IFERROR(VLOOKUP($D79,'Kalkulator mięs '!$C$5:$H$533,FP$4,0)*$AB79,0)</f>
        <v>0</v>
      </c>
      <c r="FQ79" s="547">
        <f>IFERROR(VLOOKUP($D79,'Kalkulator mięs '!$C$5:$H$533,FQ$4,0)*$AB79,0)</f>
        <v>0</v>
      </c>
      <c r="FR79" s="547">
        <f>IFERROR(VLOOKUP($D79,'Kalkulator mięs '!$C$5:$H$533,FR$4,0)*$AB79,0)</f>
        <v>0</v>
      </c>
      <c r="FS79" s="547">
        <f>IFERROR(VLOOKUP($D79,'Kalkulator mięs '!$C$5:$H$533,FS$4,0)*$AC79,0)</f>
        <v>0</v>
      </c>
      <c r="FT79" s="547">
        <f>IFERROR(VLOOKUP($D79,'Kalkulator mięs '!$C$5:$H$533,FT$4,0)*$AC79,0)</f>
        <v>0</v>
      </c>
      <c r="FU79" s="547">
        <f>IFERROR(VLOOKUP($D79,'Kalkulator mięs '!$C$5:$H$533,FU$4,0)*$AC79,0)</f>
        <v>0</v>
      </c>
      <c r="FV79" s="547">
        <f>IFERROR(VLOOKUP($D79,'Kalkulator mięs '!$C$5:$H$533,FV$4,0)*$AD79,0)</f>
        <v>0</v>
      </c>
      <c r="FW79" s="547">
        <f>IFERROR(VLOOKUP($D79,'Kalkulator mięs '!$C$5:$H$533,FW$4,0)*$AD79,0)</f>
        <v>0</v>
      </c>
      <c r="FX79" s="547">
        <f>IFERROR(VLOOKUP($D79,'Kalkulator mięs '!$C$5:$H$533,FX$4,0)*$AD79,0)</f>
        <v>0</v>
      </c>
      <c r="FY79" s="547">
        <f>IFERROR(VLOOKUP($D79,'Kalkulator mięs '!$C$5:$H$533,FY$4,0)*$AE79,0)</f>
        <v>0</v>
      </c>
      <c r="FZ79" s="547">
        <f>IFERROR(VLOOKUP($D79,'Kalkulator mięs '!$C$5:$H$533,FZ$4,0)*$AE79,0)</f>
        <v>90</v>
      </c>
      <c r="GA79" s="547">
        <f>IFERROR(VLOOKUP($D79,'Kalkulator mięs '!$C$5:$H$533,GA$4,0)*$AE79,0)</f>
        <v>180</v>
      </c>
      <c r="GB79" s="547">
        <f>IFERROR(VLOOKUP($D79,'Kalkulator mięs '!$C$5:$H$533,GB$4,0)*$AF79,0)</f>
        <v>0</v>
      </c>
      <c r="GC79" s="547">
        <f>IFERROR(VLOOKUP($D79,'Kalkulator mięs '!$C$5:$H$533,GC$4,0)*$AF79,0)</f>
        <v>0</v>
      </c>
      <c r="GD79" s="547">
        <f>IFERROR(VLOOKUP($D79,'Kalkulator mięs '!$C$5:$H$533,GD$4,0)*$AF79,0)</f>
        <v>0</v>
      </c>
      <c r="GE79" s="547">
        <f>IFERROR(VLOOKUP($D79,'Kalkulator mięs '!$C$5:$H$533,GE$4,0)*$AG79,0)</f>
        <v>0</v>
      </c>
      <c r="GF79" s="547">
        <f>IFERROR(VLOOKUP($D79,'Kalkulator mięs '!$C$5:$H$533,GF$4,0)*$AG79,0)</f>
        <v>492.11999999999995</v>
      </c>
      <c r="GG79" s="547">
        <f>IFERROR(VLOOKUP($D79,'Kalkulator mięs '!$C$5:$H$533,GG$4,0)*$AG79,0)</f>
        <v>984.2399999999999</v>
      </c>
      <c r="GH79" s="547">
        <f>IFERROR(VLOOKUP($D79,'Kalkulator mięs '!$C$5:$H$533,GH$4,0)*$AH79,0)</f>
        <v>0</v>
      </c>
      <c r="GI79" s="547">
        <f>IFERROR(VLOOKUP($D79,'Kalkulator mięs '!$C$5:$H$533,GI$4,0)*$AH79,0)</f>
        <v>0</v>
      </c>
      <c r="GJ79" s="547">
        <f>IFERROR(VLOOKUP($D79,'Kalkulator mięs '!$C$5:$H$533,GJ$4,0)*$AH79,0)</f>
        <v>0</v>
      </c>
      <c r="GK79" s="547">
        <f>IFERROR(VLOOKUP($D79,'Kalkulator mięs '!$C$5:$H$533,GK$4,0)*$AI79,0)</f>
        <v>0</v>
      </c>
      <c r="GL79" s="547">
        <f>IFERROR(VLOOKUP($D79,'Kalkulator mięs '!$C$5:$H$533,GL$4,0)*$AI79,0)</f>
        <v>0</v>
      </c>
      <c r="GM79" s="547">
        <f>IFERROR(VLOOKUP($D79,'Kalkulator mięs '!$C$5:$H$533,GM$4,0)*$AI79,0)</f>
        <v>0</v>
      </c>
      <c r="GN79" s="547">
        <f>IFERROR(VLOOKUP($D79,'Kalkulator mięs '!$C$5:$H$533,GN$4,0)*$AJ79,0)</f>
        <v>0</v>
      </c>
      <c r="GO79" s="547">
        <f>IFERROR(VLOOKUP($D79,'Kalkulator mięs '!$C$5:$H$533,GO$4,0)*$AJ79,0)</f>
        <v>0</v>
      </c>
      <c r="GP79" s="547">
        <f>IFERROR(VLOOKUP($D79,'Kalkulator mięs '!$C$5:$H$533,GP$4,0)*$AJ79,0)</f>
        <v>0</v>
      </c>
      <c r="GQ79" s="547">
        <f>IFERROR(VLOOKUP($D79,'Kalkulator mięs '!$C$5:$H$533,GQ$4,0)*$AK79,0)</f>
        <v>0</v>
      </c>
      <c r="GR79" s="547">
        <f>IFERROR(VLOOKUP($D79,'Kalkulator mięs '!$C$5:$H$533,GR$4,0)*$AK79,0)</f>
        <v>0</v>
      </c>
      <c r="GS79" s="547">
        <f>IFERROR(VLOOKUP($D79,'Kalkulator mięs '!$C$5:$H$533,GS$4,0)*$AK79,0)</f>
        <v>0</v>
      </c>
      <c r="GT79" s="547">
        <f>IFERROR(VLOOKUP($D79,'Kalkulator mięs '!$C$5:$H$533,GT$4,0)*$AL79,0)</f>
        <v>0</v>
      </c>
      <c r="GU79" s="547">
        <f>IFERROR(VLOOKUP($D79,'Kalkulator mięs '!$C$5:$H$533,GU$4,0)*$AL79,0)</f>
        <v>0</v>
      </c>
      <c r="GV79" s="547">
        <f>IFERROR(VLOOKUP($D79,'Kalkulator mięs '!$C$5:$H$533,GV$4,0)*$AL79,0)</f>
        <v>0</v>
      </c>
      <c r="GW79" s="547">
        <f>IFERROR(VLOOKUP($D79,'Kalkulator mięs '!$C$5:$H$533,GW$4,0)*$AM79,0)</f>
        <v>0</v>
      </c>
      <c r="GX79" s="547">
        <f>IFERROR(VLOOKUP($D79,'Kalkulator mięs '!$C$5:$H$533,GX$4,0)*$AM79,0)</f>
        <v>180</v>
      </c>
      <c r="GY79" s="547">
        <f>IFERROR(VLOOKUP($D79,'Kalkulator mięs '!$C$5:$H$533,GY$4,0)*$AM79,0)</f>
        <v>360</v>
      </c>
      <c r="GZ79" s="547">
        <f>IFERROR(VLOOKUP($D79,'Kalkulator mięs '!$C$5:$H$533,GZ$4,0)*$AN79,0)</f>
        <v>0</v>
      </c>
      <c r="HA79" s="547">
        <f>IFERROR(VLOOKUP($D79,'Kalkulator mięs '!$C$5:$H$533,HA$4,0)*$AN79,0)</f>
        <v>0</v>
      </c>
      <c r="HB79" s="547">
        <f>IFERROR(VLOOKUP($D79,'Kalkulator mięs '!$C$5:$H$533,HB$4,0)*$AN79,0)</f>
        <v>0</v>
      </c>
      <c r="HC79" s="547">
        <f>IFERROR(VLOOKUP($D79,'Kalkulator mięs '!$C$5:$H$533,HC$4,0)*$AO79,0)</f>
        <v>0</v>
      </c>
      <c r="HD79" s="547">
        <f>IFERROR(VLOOKUP($D79,'Kalkulator mięs '!$C$5:$H$533,HD$4,0)*$AO79,0)</f>
        <v>0</v>
      </c>
      <c r="HE79" s="547">
        <f>IFERROR(VLOOKUP($D79,'Kalkulator mięs '!$C$5:$H$533,HE$4,0)*$AO79,0)</f>
        <v>0</v>
      </c>
      <c r="HF79" s="547">
        <f>IFERROR(VLOOKUP($D79,'Kalkulator mięs '!$C$5:$H$533,HF$4,0)*$AP79,0)</f>
        <v>0</v>
      </c>
      <c r="HG79" s="547">
        <f>IFERROR(VLOOKUP($D79,'Kalkulator mięs '!$C$5:$H$533,HG$4,0)*$AP79,0)</f>
        <v>0</v>
      </c>
      <c r="HH79" s="547">
        <f>IFERROR(VLOOKUP($D79,'Kalkulator mięs '!$C$5:$H$533,HH$4,0)*$AP79,0)</f>
        <v>0</v>
      </c>
      <c r="HI79" s="547">
        <f>IFERROR(VLOOKUP($D79,'Kalkulator mięs '!$C$5:$H$533,HI$4,0)*$AQ79,0)</f>
        <v>0</v>
      </c>
      <c r="HJ79" s="547">
        <f>IFERROR(VLOOKUP($D79,'Kalkulator mięs '!$C$5:$H$533,HJ$4,0)*$AQ79,0)</f>
        <v>0</v>
      </c>
      <c r="HK79" s="547">
        <f>IFERROR(VLOOKUP($D79,'Kalkulator mięs '!$C$5:$H$533,HK$4,0)*$AQ79,0)</f>
        <v>0</v>
      </c>
      <c r="HL79" s="547">
        <f>IFERROR(VLOOKUP($D79,'Kalkulator mięs '!$C$5:$H$533,HL$4,0)*$AR79,0)</f>
        <v>0</v>
      </c>
      <c r="HM79" s="547">
        <f>IFERROR(VLOOKUP($D79,'Kalkulator mięs '!$C$5:$H$533,HM$4,0)*$AR79,0)</f>
        <v>0</v>
      </c>
      <c r="HN79" s="547">
        <f>IFERROR(VLOOKUP($D79,'Kalkulator mięs '!$C$5:$H$533,HN$4,0)*$AR79,0)</f>
        <v>0</v>
      </c>
      <c r="HO79" s="547">
        <f>IFERROR(VLOOKUP($D79,'Kalkulator mięs '!$C$5:$H$533,HO$4,0)*$AS79,0)</f>
        <v>0</v>
      </c>
      <c r="HP79" s="547">
        <f>IFERROR(VLOOKUP($D79,'Kalkulator mięs '!$C$5:$H$533,HP$4,0)*$AS79,0)</f>
        <v>0</v>
      </c>
      <c r="HQ79" s="547">
        <f>IFERROR(VLOOKUP($D79,'Kalkulator mięs '!$C$5:$H$533,HQ$4,0)*$AS79,0)</f>
        <v>0</v>
      </c>
      <c r="HR79" s="547">
        <f>IFERROR(VLOOKUP($D79,'Kalkulator mięs '!$C$5:$H$533,HR$4,0)*$AT79,0)</f>
        <v>0</v>
      </c>
      <c r="HS79" s="547">
        <f>IFERROR(VLOOKUP($D79,'Kalkulator mięs '!$C$5:$H$533,HS$4,0)*$AT79,0)</f>
        <v>0</v>
      </c>
      <c r="HT79" s="547">
        <f>IFERROR(VLOOKUP($D79,'Kalkulator mięs '!$C$5:$H$533,HT$4,0)*$AT79,0)</f>
        <v>0</v>
      </c>
      <c r="HU79" s="547">
        <f>IFERROR(VLOOKUP($D79,'Kalkulator mięs '!$C$5:$H$533,HU$4,0)*$AU79,0)</f>
        <v>0</v>
      </c>
      <c r="HV79" s="547">
        <f>IFERROR(VLOOKUP($D79,'Kalkulator mięs '!$C$5:$H$533,HV$4,0)*$AU79,0)</f>
        <v>0</v>
      </c>
      <c r="HW79" s="547">
        <f>IFERROR(VLOOKUP($D79,'Kalkulator mięs '!$C$5:$H$533,HW$4,0)*$AU79,0)</f>
        <v>0</v>
      </c>
      <c r="HX79" s="547">
        <f>IFERROR(VLOOKUP($D79,'Kalkulator mięs '!$C$5:$H$533,HX$4,0)*$AV79,0)</f>
        <v>0</v>
      </c>
      <c r="HY79" s="547">
        <f>IFERROR(VLOOKUP($D79,'Kalkulator mięs '!$C$5:$H$533,HY$4,0)*$AV79,0)</f>
        <v>0</v>
      </c>
      <c r="HZ79" s="547">
        <f>IFERROR(VLOOKUP($D79,'Kalkulator mięs '!$C$5:$H$533,HZ$4,0)*$AV79,0)</f>
        <v>0</v>
      </c>
      <c r="IA79">
        <f>IFERROR(VLOOKUP($D79,'Kalkulator mięs '!$C$5:$H$533,IA$4,0)*$AW79,0)</f>
        <v>0</v>
      </c>
      <c r="IB79">
        <f>IFERROR(VLOOKUP($D79,'Kalkulator mięs '!$C$5:$H$533,IB$4,0)*$AW79,0)</f>
        <v>0</v>
      </c>
      <c r="IC79">
        <f>IFERROR(VLOOKUP($D79,'Kalkulator mięs '!$C$5:$H$533,IC$4,0)*$AW79,0)</f>
        <v>0</v>
      </c>
      <c r="ID79">
        <f>IFERROR(VLOOKUP($D79,'Kalkulator mięs '!$C$5:$H$533,ID$4,0)*$AX79,0)</f>
        <v>0</v>
      </c>
      <c r="IE79">
        <f>IFERROR(VLOOKUP($D79,'Kalkulator mięs '!$C$5:$H$533,IE$4,0)*$AX79,0)</f>
        <v>0</v>
      </c>
      <c r="IF79">
        <f>IFERROR(VLOOKUP($D79,'Kalkulator mięs '!$C$5:$H$533,IF$4,0)*$AX79,0)</f>
        <v>0</v>
      </c>
      <c r="IG79">
        <f>IFERROR(VLOOKUP($D79,'Kalkulator mięs '!$C$5:$H$533,IG$4,0)*$AY79,0)</f>
        <v>0</v>
      </c>
      <c r="IH79">
        <f>IFERROR(VLOOKUP($D79,'Kalkulator mięs '!$C$5:$H$533,IH$4,0)*$AY79,0)</f>
        <v>0</v>
      </c>
      <c r="II79">
        <f>IFERROR(VLOOKUP($D79,'Kalkulator mięs '!$C$5:$H$533,II$4,0)*$AY79,0)</f>
        <v>0</v>
      </c>
      <c r="IJ79">
        <f>IFERROR(VLOOKUP($D79,'Kalkulator mięs '!$C$5:$H$533,IJ$4,0)*$AZ79,0)</f>
        <v>0</v>
      </c>
      <c r="IK79">
        <f>IFERROR(VLOOKUP($D79,'Kalkulator mięs '!$C$5:$H$533,IK$4,0)*$AZ79,0)</f>
        <v>0</v>
      </c>
      <c r="IL79">
        <f>IFERROR(VLOOKUP($D79,'Kalkulator mięs '!$C$5:$H$533,IL$4,0)*$AZ79,0)</f>
        <v>0</v>
      </c>
      <c r="IM79">
        <f>IFERROR(VLOOKUP($D79,'Kalkulator mięs '!$C$5:$H$533,IM$4,0)*$BA79,0)</f>
        <v>0</v>
      </c>
      <c r="IN79">
        <f>IFERROR(VLOOKUP($D79,'Kalkulator mięs '!$C$5:$H$533,IN$4,0)*$BA79,0)</f>
        <v>0</v>
      </c>
      <c r="IO79">
        <f>IFERROR(VLOOKUP($D79,'Kalkulator mięs '!$C$5:$H$533,IO$4,0)*$BA79,0)</f>
        <v>0</v>
      </c>
    </row>
    <row r="80" spans="2:249" s="547" customFormat="1" ht="15.75">
      <c r="B80" s="547" t="str">
        <f>VLOOKUP(D80,Receptury_z!$A:$B,2,0)</f>
        <v>ON</v>
      </c>
      <c r="C80" s="548">
        <v>5695</v>
      </c>
      <c r="D80" s="549">
        <v>7081</v>
      </c>
      <c r="E80" s="550" t="s">
        <v>17856</v>
      </c>
      <c r="F80" s="553">
        <f>IF($B80="OFF",BE80,VLOOKUP($D80,Receptury_z!$D:$AI,F$4,0))</f>
        <v>0</v>
      </c>
      <c r="G80" s="553">
        <f>IF($B80="OFF",BF80,VLOOKUP($D80,Receptury_z!$D:$AI,G$4,0))</f>
        <v>600.6</v>
      </c>
      <c r="H80" s="553">
        <f>IF($B80="OFF",BG80,VLOOKUP($D80,Receptury_z!$D:$AI,H$4,0))</f>
        <v>0</v>
      </c>
      <c r="I80" s="553">
        <f>IF($B80="OFF",BH80,VLOOKUP($D80,Receptury_z!$D:$AI,I$4,0))</f>
        <v>0</v>
      </c>
      <c r="J80" s="553">
        <f>IF($B80="OFF",BI80,VLOOKUP($D80,Receptury_z!$D:$AI,J$4,0))</f>
        <v>0</v>
      </c>
      <c r="K80" s="553">
        <f>IF($B80="OFF",BJ80,VLOOKUP($D80,Receptury_z!$D:$AI,K$4,0))</f>
        <v>0</v>
      </c>
      <c r="L80" s="553">
        <f>IF($B80="OFF",BK80,VLOOKUP($D80,Receptury_z!$D:$AI,L$4,0))</f>
        <v>0</v>
      </c>
      <c r="M80" s="553">
        <f>IF($B80="OFF",BL80,VLOOKUP($D80,Receptury_z!$D:$AI,M$4,0))</f>
        <v>0</v>
      </c>
      <c r="N80" s="553">
        <f>IF($B80="OFF",BM80,VLOOKUP($D80,Receptury_z!$D:$AI,N$4,0))</f>
        <v>0</v>
      </c>
      <c r="O80" s="553">
        <f>IF($B80="OFF",BN80,VLOOKUP($D80,Receptury_z!$D:$AI,O$4,0))</f>
        <v>0</v>
      </c>
      <c r="P80" s="553">
        <f>IF($B80="OFF",BO80,VLOOKUP($D80,Receptury_z!$D:$AI,P$4,0))</f>
        <v>0</v>
      </c>
      <c r="Q80" s="553">
        <f>IF($B80="OFF",BP80,VLOOKUP($D80,Receptury_z!$D:$AI,Q$4,0))</f>
        <v>100.1</v>
      </c>
      <c r="R80" s="553">
        <f>IF($B80="OFF",BQ80,VLOOKUP($D80,Receptury_z!$D:$AI,R$4,0))</f>
        <v>0</v>
      </c>
      <c r="S80" s="553">
        <f>IF($B80="OFF",BR80,VLOOKUP($D80,Receptury_z!$D:$AI,S$4,0))</f>
        <v>0</v>
      </c>
      <c r="T80" s="553">
        <f>IF($B80="OFF",BS80,VLOOKUP($D80,Receptury_z!$D:$AI,T$4,0))</f>
        <v>0</v>
      </c>
      <c r="U80" s="553">
        <f>IF($B80="OFF",BT80,VLOOKUP($D80,Receptury_z!$D:$AI,U$4,0))</f>
        <v>0</v>
      </c>
      <c r="V80" s="553">
        <f>IF($B80="OFF",BU80,VLOOKUP($D80,Receptury_z!$D:$AI,V$4,0))</f>
        <v>0</v>
      </c>
      <c r="W80" s="553">
        <f>IF($B80="OFF",BV80,VLOOKUP($D80,Receptury_z!$D:$AI,W$4,0))</f>
        <v>0</v>
      </c>
      <c r="X80" s="553">
        <f>IF($B80="OFF",BW80,VLOOKUP($D80,Receptury_z!$D:$AI,X$4,0))</f>
        <v>0</v>
      </c>
      <c r="Y80" s="553">
        <f>IF($B80="OFF",BX80,VLOOKUP($D80,Receptury_z!$D:$AI,Y$4,0))</f>
        <v>72.8</v>
      </c>
      <c r="Z80" s="553">
        <f>IF($B80="OFF",BY80,VLOOKUP($D80,Receptury_z!$D:$AI,Z$4,0))</f>
        <v>0</v>
      </c>
      <c r="AA80" s="553">
        <f>IF($B80="OFF",BZ80,VLOOKUP($D80,Receptury_z!$D:$AI,AA$4,0))</f>
        <v>0</v>
      </c>
      <c r="AB80" s="553">
        <f>IF($B80="OFF",CA80,VLOOKUP($D80,Receptury_z!$D:$AI,AB$4,0))</f>
        <v>45.5</v>
      </c>
      <c r="AC80" s="553">
        <f>IF($B80="OFF",CB80,VLOOKUP($D80,Receptury_z!$D:$AI,AC$4,0))</f>
        <v>0</v>
      </c>
      <c r="AD80" s="553">
        <f>IF($B80="OFF",CC80,VLOOKUP($D80,Receptury_z!$D:$AI,AD$4,0))</f>
        <v>0</v>
      </c>
      <c r="AE80" s="553">
        <f>IF($B80="OFF",CD80,VLOOKUP($D80,Receptury_z!$D:$AI,AE$4,0))</f>
        <v>0</v>
      </c>
      <c r="AF80" s="553">
        <f>IF($B80="OFF",CE80,VLOOKUP($D80,Receptury_z!$D:$AI,AF$4,0))</f>
        <v>0</v>
      </c>
      <c r="AG80" s="553">
        <f>IF($B80="OFF",CF80,VLOOKUP($D80,Receptury_z!$D:$AI,AG$4,0))</f>
        <v>0</v>
      </c>
      <c r="AH80" s="553">
        <f>IF($B80="OFF",CG80,VLOOKUP($D80,Receptury_z!$D:$AI,AH$4,0))</f>
        <v>0</v>
      </c>
      <c r="AI80" s="553">
        <f>IF($B80="OFF",CH80,VLOOKUP($D80,Receptury_z!$D:$AI,AI$4,0))</f>
        <v>0</v>
      </c>
      <c r="AJ80" s="553">
        <f>IF($B80="OFF",CI80,VLOOKUP($D80,Receptury_z!$D:$AS,AJ$4,0))</f>
        <v>0</v>
      </c>
      <c r="AK80" s="553">
        <f>IF($B80="OFF",CJ80,VLOOKUP($D80,Receptury_z!$D:$AS,AK$4,0))</f>
        <v>0</v>
      </c>
      <c r="AL80" s="553">
        <f>IF($B80="OFF",CK80,VLOOKUP($D80,Receptury_z!$D:$AS,AL$4,0))</f>
        <v>0</v>
      </c>
      <c r="AM80" s="553">
        <f>IF($B80="OFF",CL80,VLOOKUP($D80,Receptury_z!$D:$AS,AM$4,0))</f>
        <v>100</v>
      </c>
      <c r="AN80" s="553">
        <f>IF($B80="OFF",CM80,VLOOKUP($D80,Receptury_z!$D:$AS,AN$4,0))</f>
        <v>0</v>
      </c>
      <c r="AO80" s="553">
        <f>IF($B80="OFF",CN80,VLOOKUP($D80,Receptury_z!$D:$AS,AO$4,0))</f>
        <v>0</v>
      </c>
      <c r="AP80" s="553">
        <f>IF($B80="OFF",CO80,VLOOKUP($D80,Receptury_z!$D:$AS,AP$4,0))</f>
        <v>91</v>
      </c>
      <c r="AQ80" s="553">
        <f>IF($B80="OFF",CP80,VLOOKUP($D80,Receptury_z!$D:$AS,AQ$4,0))</f>
        <v>0</v>
      </c>
      <c r="AR80" s="553">
        <f>IF($B80="OFF",CQ80,VLOOKUP($D80,Receptury_z!$D:$AS,AR$4,0))</f>
        <v>0</v>
      </c>
      <c r="AS80" s="553">
        <f>IF($B80="OFF",CR80,VLOOKUP($D80,Receptury_z!$D:$AS,AS$4,0))</f>
        <v>0</v>
      </c>
      <c r="AT80" s="553">
        <f>IF($B80="OFF",CS80,VLOOKUP($D80,Receptury_z!$D:$AV,AT$4,0))</f>
        <v>0</v>
      </c>
      <c r="AU80" s="553">
        <f>IF($B80="OFF",CT80,VLOOKUP($D80,Receptury_z!$D:$AV,AU$4,0))</f>
        <v>0</v>
      </c>
      <c r="AV80" s="553">
        <f>IF($B80="OFF",CU80,VLOOKUP($D80,Receptury_z!$D:$AV,AV$4,0))</f>
        <v>0</v>
      </c>
      <c r="AW80" s="14">
        <f>IF($B80="OFF",CV80,VLOOKUP($D80,Receptury_z!$D:$BA,AW$4,0))</f>
        <v>0</v>
      </c>
      <c r="AX80" s="14">
        <f>IF($B80="OFF",CW80,VLOOKUP($D80,Receptury_z!$D:$BA,AX$4,0))</f>
        <v>0</v>
      </c>
      <c r="AY80" s="14">
        <f>IF($B80="OFF",CX80,VLOOKUP($D80,Receptury_z!$D:$BA,AY$4,0))</f>
        <v>0</v>
      </c>
      <c r="AZ80" s="14">
        <f>IF($B80="OFF",DA80,VLOOKUP($D80,Receptury_z!$D:$BA,AZ$4,0))</f>
        <v>0</v>
      </c>
      <c r="BA80" s="14">
        <f>IF($B80="OFF",DB80,VLOOKUP($D80,Receptury_z!$D:$BA,BA$4,0))</f>
        <v>0</v>
      </c>
      <c r="BC80" s="549"/>
      <c r="BD80" s="550"/>
      <c r="BE80" s="554"/>
      <c r="BF80" s="554"/>
      <c r="BG80" s="554"/>
      <c r="BH80" s="554"/>
      <c r="BI80" s="554"/>
      <c r="BJ80" s="554"/>
      <c r="BK80" s="554"/>
      <c r="BL80" s="554"/>
      <c r="BM80" s="554"/>
      <c r="BN80" s="554"/>
      <c r="BO80" s="554"/>
      <c r="BP80" s="554">
        <v>100.1</v>
      </c>
      <c r="BQ80" s="554"/>
      <c r="BR80" s="554"/>
      <c r="BS80" s="554"/>
      <c r="BT80" s="554"/>
      <c r="BU80" s="554"/>
      <c r="BV80" s="554"/>
      <c r="BW80" s="554"/>
      <c r="BX80" s="554"/>
      <c r="BY80" s="554"/>
      <c r="BZ80" s="554"/>
      <c r="CA80" s="554">
        <v>45.5</v>
      </c>
      <c r="CB80" s="554"/>
      <c r="CC80" s="554">
        <v>600.6</v>
      </c>
      <c r="CD80" s="554"/>
      <c r="CE80" s="554"/>
      <c r="CF80" s="554"/>
      <c r="CG80" s="554"/>
      <c r="CH80" s="554"/>
      <c r="CI80" s="554"/>
      <c r="CJ80" s="554"/>
      <c r="CK80" s="554"/>
      <c r="CL80" s="554"/>
      <c r="CM80" s="555"/>
      <c r="CN80" s="555"/>
      <c r="CO80" s="555">
        <v>91</v>
      </c>
      <c r="CP80" s="554"/>
      <c r="CQ80" s="554"/>
      <c r="CR80" s="554"/>
      <c r="CS80" s="554"/>
      <c r="CT80" s="554"/>
      <c r="CU80" s="554"/>
      <c r="CV80" s="554"/>
      <c r="CW80" s="554"/>
      <c r="CX80" s="554"/>
      <c r="CY80" s="554"/>
      <c r="CZ80" s="554"/>
      <c r="DB80" s="547">
        <f>IFERROR(VLOOKUP($D80,'Kalkulator mięs '!$C$5:$H$533,DB$4,0)*F80,0)</f>
        <v>0</v>
      </c>
      <c r="DC80" s="547">
        <f>IFERROR(VLOOKUP($D80,'Kalkulator mięs '!$C$5:$H$533,DC$4,0)*F80,0)</f>
        <v>0</v>
      </c>
      <c r="DD80" s="547">
        <f>IFERROR(VLOOKUP($D80,'Kalkulator mięs '!$C$5:$H$533,DD$4,0)*F80,0)</f>
        <v>0</v>
      </c>
      <c r="DE80" s="547">
        <f>IFERROR(VLOOKUP($D80,'Kalkulator mięs '!$C$5:$H$533,DE$4,0)*$G80,0)</f>
        <v>0</v>
      </c>
      <c r="DF80" s="547">
        <f>IFERROR(VLOOKUP($D80,'Kalkulator mięs '!$C$5:$H$533,DF$4,0)*$G80,0)</f>
        <v>0</v>
      </c>
      <c r="DG80" s="547">
        <f>IFERROR(VLOOKUP($D80,'Kalkulator mięs '!$C$5:$H$533,DG$4,0)*$G80,0)</f>
        <v>0</v>
      </c>
      <c r="DH80" s="547">
        <f>IFERROR(VLOOKUP($D80,'Kalkulator mięs '!$C$5:$H$533,DH$4,0)*$H80,0)</f>
        <v>0</v>
      </c>
      <c r="DI80" s="547">
        <f>IFERROR(VLOOKUP($D80,'Kalkulator mięs '!$C$5:$H$533,DI$4,0)*$H80,0)</f>
        <v>0</v>
      </c>
      <c r="DJ80" s="547">
        <f>IFERROR(VLOOKUP($D80,'Kalkulator mięs '!$C$5:$H$533,DJ$4,0)*$H80,0)</f>
        <v>0</v>
      </c>
      <c r="DK80" s="547">
        <f>IFERROR(VLOOKUP($D80,'Kalkulator mięs '!$C$5:$H$533,DK$4,0)*$I80,0)</f>
        <v>0</v>
      </c>
      <c r="DL80" s="547">
        <f>IFERROR(VLOOKUP($D80,'Kalkulator mięs '!$C$5:$H$533,DL$4,0)*$I80,0)</f>
        <v>0</v>
      </c>
      <c r="DM80" s="547">
        <f>IFERROR(VLOOKUP($D80,'Kalkulator mięs '!$C$5:$H$533,DM$4,0)*$I80,0)</f>
        <v>0</v>
      </c>
      <c r="DN80" s="547">
        <f>IFERROR(VLOOKUP($D80,'Kalkulator mięs '!$C$5:$H$533,DN$4,0)*$J80,0)</f>
        <v>0</v>
      </c>
      <c r="DO80" s="547">
        <f>IFERROR(VLOOKUP($D80,'Kalkulator mięs '!$C$5:$H$533,DO$4,0)*$J80,0)</f>
        <v>0</v>
      </c>
      <c r="DP80" s="547">
        <f>IFERROR(VLOOKUP($D80,'Kalkulator mięs '!$C$5:$H$533,DP$4,0)*$J80,0)</f>
        <v>0</v>
      </c>
      <c r="DQ80" s="547">
        <f>IFERROR(VLOOKUP($D80,'Kalkulator mięs '!$C$5:$H$533,DQ$4,0)*$K80,0)</f>
        <v>0</v>
      </c>
      <c r="DR80" s="547">
        <f>IFERROR(VLOOKUP($D80,'Kalkulator mięs '!$C$5:$H$533,DR$4,0)*$K80,0)</f>
        <v>0</v>
      </c>
      <c r="DS80" s="547">
        <f>IFERROR(VLOOKUP($D80,'Kalkulator mięs '!$C$5:$H$533,DS$4,0)*$K80,0)</f>
        <v>0</v>
      </c>
      <c r="DT80" s="547">
        <f>IFERROR(VLOOKUP($D80,'Kalkulator mięs '!$C$5:$H$533,DT$4,0)*$L80,0)</f>
        <v>0</v>
      </c>
      <c r="DU80" s="547">
        <f>IFERROR(VLOOKUP($D80,'Kalkulator mięs '!$C$5:$H$533,DU$4,0)*$L80,0)</f>
        <v>0</v>
      </c>
      <c r="DV80" s="547">
        <f>IFERROR(VLOOKUP($D80,'Kalkulator mięs '!$C$5:$H$533,DV$4,0)*$L80,0)</f>
        <v>0</v>
      </c>
      <c r="DW80" s="547">
        <f>IFERROR(VLOOKUP($D80,'Kalkulator mięs '!$C$5:$H$533,DW$4,0)*$M80,0)</f>
        <v>0</v>
      </c>
      <c r="DX80" s="547">
        <f>IFERROR(VLOOKUP($D80,'Kalkulator mięs '!$C$5:$H$533,DX$4,0)*$M80,0)</f>
        <v>0</v>
      </c>
      <c r="DY80" s="547">
        <f>IFERROR(VLOOKUP($D80,'Kalkulator mięs '!$C$5:$H$533,DY$4,0)*$M80,0)</f>
        <v>0</v>
      </c>
      <c r="DZ80" s="547">
        <f>IFERROR(VLOOKUP($D80,'Kalkulator mięs '!$C$5:$H$533,DZ$4,0)*$N80,0)</f>
        <v>0</v>
      </c>
      <c r="EA80" s="547">
        <f>IFERROR(VLOOKUP($D80,'Kalkulator mięs '!$C$5:$H$533,EA$4,0)*$N80,0)</f>
        <v>0</v>
      </c>
      <c r="EB80" s="547">
        <f>IFERROR(VLOOKUP($D80,'Kalkulator mięs '!$C$5:$H$533,EB$4,0)*$N80,0)</f>
        <v>0</v>
      </c>
      <c r="EC80" s="547">
        <f>IFERROR(VLOOKUP($D80,'Kalkulator mięs '!$C$5:$H$533,EC$4,0)*$O80,0)</f>
        <v>0</v>
      </c>
      <c r="ED80" s="547">
        <f>IFERROR(VLOOKUP($D80,'Kalkulator mięs '!$C$5:$H$533,ED$4,0)*$O80,0)</f>
        <v>0</v>
      </c>
      <c r="EE80" s="547">
        <f>IFERROR(VLOOKUP($D80,'Kalkulator mięs '!$C$5:$H$533,EE$4,0)*$O80,0)</f>
        <v>0</v>
      </c>
      <c r="EF80" s="547">
        <f>IFERROR(VLOOKUP($D80,'Kalkulator mięs '!$C$5:$H$533,EF$4,0)*$P80,0)</f>
        <v>0</v>
      </c>
      <c r="EG80" s="547">
        <f>IFERROR(VLOOKUP($D80,'Kalkulator mięs '!$C$5:$H$533,EG$4,0)*$P80,0)</f>
        <v>0</v>
      </c>
      <c r="EH80" s="547">
        <f>IFERROR(VLOOKUP($D80,'Kalkulator mięs '!$C$5:$H$533,EH$4,0)*$P80,0)</f>
        <v>0</v>
      </c>
      <c r="EI80" s="547">
        <f>IFERROR(VLOOKUP($D80,'Kalkulator mięs '!$C$5:$H$533,EI$4,0)*$Q80,0)</f>
        <v>0</v>
      </c>
      <c r="EJ80" s="547">
        <f>IFERROR(VLOOKUP($D80,'Kalkulator mięs '!$C$5:$H$533,EJ$4,0)*$Q80,0)</f>
        <v>0</v>
      </c>
      <c r="EK80" s="547">
        <f>IFERROR(VLOOKUP($D80,'Kalkulator mięs '!$C$5:$H$533,EK$4,0)*$Q80,0)</f>
        <v>0</v>
      </c>
      <c r="EL80" s="547">
        <f>IFERROR(VLOOKUP($D80,'Kalkulator mięs '!$C$5:$H$533,EL$4,0)*$R80,0)</f>
        <v>0</v>
      </c>
      <c r="EM80" s="547">
        <f>IFERROR(VLOOKUP($D80,'Kalkulator mięs '!$C$5:$H$533,EM$4,0)*$R80,0)</f>
        <v>0</v>
      </c>
      <c r="EN80" s="547">
        <f>IFERROR(VLOOKUP($D80,'Kalkulator mięs '!$C$5:$H$533,EN$4,0)*$R80,0)</f>
        <v>0</v>
      </c>
      <c r="EO80" s="547">
        <f>IFERROR(VLOOKUP($D80,'Kalkulator mięs '!$C$5:$H$533,EO$4,0)*$S80,0)</f>
        <v>0</v>
      </c>
      <c r="EP80" s="547">
        <f>IFERROR(VLOOKUP($D80,'Kalkulator mięs '!$C$5:$H$533,EP$4,0)*$S80,0)</f>
        <v>0</v>
      </c>
      <c r="EQ80" s="547">
        <f>IFERROR(VLOOKUP($D80,'Kalkulator mięs '!$C$5:$H$533,EQ$4,0)*$S80,0)</f>
        <v>0</v>
      </c>
      <c r="ER80" s="547">
        <f>IFERROR(VLOOKUP($D80,'Kalkulator mięs '!$C$5:$H$533,ER$4,0)*$T80,0)</f>
        <v>0</v>
      </c>
      <c r="ES80" s="547">
        <f>IFERROR(VLOOKUP($D80,'Kalkulator mięs '!$C$5:$H$533,ES$4,0)*$T80,0)</f>
        <v>0</v>
      </c>
      <c r="ET80" s="547">
        <f>IFERROR(VLOOKUP($D80,'Kalkulator mięs '!$C$5:$H$533,ET$4,0)*$T80,0)</f>
        <v>0</v>
      </c>
      <c r="EU80" s="547">
        <f>IFERROR(VLOOKUP($D80,'Kalkulator mięs '!$C$5:$H$533,EU$4,0)*$U80,0)</f>
        <v>0</v>
      </c>
      <c r="EV80" s="547">
        <f>IFERROR(VLOOKUP($D80,'Kalkulator mięs '!$C$5:$H$533,EV$4,0)*$U80,0)</f>
        <v>0</v>
      </c>
      <c r="EW80" s="547">
        <f>IFERROR(VLOOKUP($D80,'Kalkulator mięs '!$C$5:$H$533,EW$4,0)*$U80,0)</f>
        <v>0</v>
      </c>
      <c r="EX80" s="547">
        <f>IFERROR(VLOOKUP($D80,'Kalkulator mięs '!$C$5:$H$533,EX$4,0)*$V80,0)</f>
        <v>0</v>
      </c>
      <c r="EY80" s="547">
        <f>IFERROR(VLOOKUP($D80,'Kalkulator mięs '!$C$5:$H$533,EY$4,0)*$V80,0)</f>
        <v>0</v>
      </c>
      <c r="EZ80" s="547">
        <f>IFERROR(VLOOKUP($D80,'Kalkulator mięs '!$C$5:$H$533,EZ$4,0)*$V80,0)</f>
        <v>0</v>
      </c>
      <c r="FA80" s="547">
        <f>IFERROR(VLOOKUP($D80,'Kalkulator mięs '!$C$5:$H$533,FA$4,0)*$W80,0)</f>
        <v>0</v>
      </c>
      <c r="FB80" s="547">
        <f>IFERROR(VLOOKUP($D80,'Kalkulator mięs '!$C$5:$H$533,FB$4,0)*$W80,0)</f>
        <v>0</v>
      </c>
      <c r="FC80" s="547">
        <f>IFERROR(VLOOKUP($D80,'Kalkulator mięs '!$C$5:$H$533,FC$4,0)*$W80,0)</f>
        <v>0</v>
      </c>
      <c r="FD80" s="547">
        <f>IFERROR(VLOOKUP($D80,'Kalkulator mięs '!$C$5:$H$533,FD$4,0)*$X80,0)</f>
        <v>0</v>
      </c>
      <c r="FE80" s="547">
        <f>IFERROR(VLOOKUP($D80,'Kalkulator mięs '!$C$5:$H$533,FE$4,0)*$X80,0)</f>
        <v>0</v>
      </c>
      <c r="FF80" s="547">
        <f>IFERROR(VLOOKUP($D80,'Kalkulator mięs '!$C$5:$H$533,FF$4,0)*$X80,0)</f>
        <v>0</v>
      </c>
      <c r="FG80" s="547">
        <f>IFERROR(VLOOKUP($D80,'Kalkulator mięs '!$C$5:$H$533,FG$4,0)*$Y80,0)</f>
        <v>0</v>
      </c>
      <c r="FH80" s="547">
        <f>IFERROR(VLOOKUP($D80,'Kalkulator mięs '!$C$5:$H$533,FH$4,0)*$Y80,0)</f>
        <v>0</v>
      </c>
      <c r="FI80" s="547">
        <f>IFERROR(VLOOKUP($D80,'Kalkulator mięs '!$C$5:$H$533,FI$4,0)*$Y80,0)</f>
        <v>0</v>
      </c>
      <c r="FJ80" s="547">
        <f>IFERROR(VLOOKUP($D80,'Kalkulator mięs '!$C$5:$H$533,FJ$4,0)*$Z80,0)</f>
        <v>0</v>
      </c>
      <c r="FK80" s="547">
        <f>IFERROR(VLOOKUP($D80,'Kalkulator mięs '!$C$5:$H$533,FK$4,0)*$Z80,0)</f>
        <v>0</v>
      </c>
      <c r="FL80" s="547">
        <f>IFERROR(VLOOKUP($D80,'Kalkulator mięs '!$C$5:$H$533,FL$4,0)*$Z80,0)</f>
        <v>0</v>
      </c>
      <c r="FM80" s="547">
        <f>IFERROR(VLOOKUP($D80,'Kalkulator mięs '!$C$5:$H$533,FM$4,0)*$AA80,0)</f>
        <v>0</v>
      </c>
      <c r="FN80" s="547">
        <f>IFERROR(VLOOKUP($D80,'Kalkulator mięs '!$C$5:$H$533,FN$4,0)*$AA80,0)</f>
        <v>0</v>
      </c>
      <c r="FO80" s="547">
        <f>IFERROR(VLOOKUP($D80,'Kalkulator mięs '!$C$5:$H$533,FO$4,0)*$AA80,0)</f>
        <v>0</v>
      </c>
      <c r="FP80" s="547">
        <f>IFERROR(VLOOKUP($D80,'Kalkulator mięs '!$C$5:$H$533,FP$4,0)*$AB80,0)</f>
        <v>0</v>
      </c>
      <c r="FQ80" s="547">
        <f>IFERROR(VLOOKUP($D80,'Kalkulator mięs '!$C$5:$H$533,FQ$4,0)*$AB80,0)</f>
        <v>0</v>
      </c>
      <c r="FR80" s="547">
        <f>IFERROR(VLOOKUP($D80,'Kalkulator mięs '!$C$5:$H$533,FR$4,0)*$AB80,0)</f>
        <v>0</v>
      </c>
      <c r="FS80" s="547">
        <f>IFERROR(VLOOKUP($D80,'Kalkulator mięs '!$C$5:$H$533,FS$4,0)*$AC80,0)</f>
        <v>0</v>
      </c>
      <c r="FT80" s="547">
        <f>IFERROR(VLOOKUP($D80,'Kalkulator mięs '!$C$5:$H$533,FT$4,0)*$AC80,0)</f>
        <v>0</v>
      </c>
      <c r="FU80" s="547">
        <f>IFERROR(VLOOKUP($D80,'Kalkulator mięs '!$C$5:$H$533,FU$4,0)*$AC80,0)</f>
        <v>0</v>
      </c>
      <c r="FV80" s="547">
        <f>IFERROR(VLOOKUP($D80,'Kalkulator mięs '!$C$5:$H$533,FV$4,0)*$AD80,0)</f>
        <v>0</v>
      </c>
      <c r="FW80" s="547">
        <f>IFERROR(VLOOKUP($D80,'Kalkulator mięs '!$C$5:$H$533,FW$4,0)*$AD80,0)</f>
        <v>0</v>
      </c>
      <c r="FX80" s="547">
        <f>IFERROR(VLOOKUP($D80,'Kalkulator mięs '!$C$5:$H$533,FX$4,0)*$AD80,0)</f>
        <v>0</v>
      </c>
      <c r="FY80" s="547">
        <f>IFERROR(VLOOKUP($D80,'Kalkulator mięs '!$C$5:$H$533,FY$4,0)*$AE80,0)</f>
        <v>0</v>
      </c>
      <c r="FZ80" s="547">
        <f>IFERROR(VLOOKUP($D80,'Kalkulator mięs '!$C$5:$H$533,FZ$4,0)*$AE80,0)</f>
        <v>0</v>
      </c>
      <c r="GA80" s="547">
        <f>IFERROR(VLOOKUP($D80,'Kalkulator mięs '!$C$5:$H$533,GA$4,0)*$AE80,0)</f>
        <v>0</v>
      </c>
      <c r="GB80" s="547">
        <f>IFERROR(VLOOKUP($D80,'Kalkulator mięs '!$C$5:$H$533,GB$4,0)*$AF80,0)</f>
        <v>0</v>
      </c>
      <c r="GC80" s="547">
        <f>IFERROR(VLOOKUP($D80,'Kalkulator mięs '!$C$5:$H$533,GC$4,0)*$AF80,0)</f>
        <v>0</v>
      </c>
      <c r="GD80" s="547">
        <f>IFERROR(VLOOKUP($D80,'Kalkulator mięs '!$C$5:$H$533,GD$4,0)*$AF80,0)</f>
        <v>0</v>
      </c>
      <c r="GE80" s="547">
        <f>IFERROR(VLOOKUP($D80,'Kalkulator mięs '!$C$5:$H$533,GE$4,0)*$AG80,0)</f>
        <v>0</v>
      </c>
      <c r="GF80" s="547">
        <f>IFERROR(VLOOKUP($D80,'Kalkulator mięs '!$C$5:$H$533,GF$4,0)*$AG80,0)</f>
        <v>0</v>
      </c>
      <c r="GG80" s="547">
        <f>IFERROR(VLOOKUP($D80,'Kalkulator mięs '!$C$5:$H$533,GG$4,0)*$AG80,0)</f>
        <v>0</v>
      </c>
      <c r="GH80" s="547">
        <f>IFERROR(VLOOKUP($D80,'Kalkulator mięs '!$C$5:$H$533,GH$4,0)*$AH80,0)</f>
        <v>0</v>
      </c>
      <c r="GI80" s="547">
        <f>IFERROR(VLOOKUP($D80,'Kalkulator mięs '!$C$5:$H$533,GI$4,0)*$AH80,0)</f>
        <v>0</v>
      </c>
      <c r="GJ80" s="547">
        <f>IFERROR(VLOOKUP($D80,'Kalkulator mięs '!$C$5:$H$533,GJ$4,0)*$AH80,0)</f>
        <v>0</v>
      </c>
      <c r="GK80" s="547">
        <f>IFERROR(VLOOKUP($D80,'Kalkulator mięs '!$C$5:$H$533,GK$4,0)*$AI80,0)</f>
        <v>0</v>
      </c>
      <c r="GL80" s="547">
        <f>IFERROR(VLOOKUP($D80,'Kalkulator mięs '!$C$5:$H$533,GL$4,0)*$AI80,0)</f>
        <v>0</v>
      </c>
      <c r="GM80" s="547">
        <f>IFERROR(VLOOKUP($D80,'Kalkulator mięs '!$C$5:$H$533,GM$4,0)*$AI80,0)</f>
        <v>0</v>
      </c>
      <c r="GN80" s="547">
        <f>IFERROR(VLOOKUP($D80,'Kalkulator mięs '!$C$5:$H$533,GN$4,0)*$AJ80,0)</f>
        <v>0</v>
      </c>
      <c r="GO80" s="547">
        <f>IFERROR(VLOOKUP($D80,'Kalkulator mięs '!$C$5:$H$533,GO$4,0)*$AJ80,0)</f>
        <v>0</v>
      </c>
      <c r="GP80" s="547">
        <f>IFERROR(VLOOKUP($D80,'Kalkulator mięs '!$C$5:$H$533,GP$4,0)*$AJ80,0)</f>
        <v>0</v>
      </c>
      <c r="GQ80" s="547">
        <f>IFERROR(VLOOKUP($D80,'Kalkulator mięs '!$C$5:$H$533,GQ$4,0)*$AK80,0)</f>
        <v>0</v>
      </c>
      <c r="GR80" s="547">
        <f>IFERROR(VLOOKUP($D80,'Kalkulator mięs '!$C$5:$H$533,GR$4,0)*$AK80,0)</f>
        <v>0</v>
      </c>
      <c r="GS80" s="547">
        <f>IFERROR(VLOOKUP($D80,'Kalkulator mięs '!$C$5:$H$533,GS$4,0)*$AK80,0)</f>
        <v>0</v>
      </c>
      <c r="GT80" s="547">
        <f>IFERROR(VLOOKUP($D80,'Kalkulator mięs '!$C$5:$H$533,GT$4,0)*$AL80,0)</f>
        <v>0</v>
      </c>
      <c r="GU80" s="547">
        <f>IFERROR(VLOOKUP($D80,'Kalkulator mięs '!$C$5:$H$533,GU$4,0)*$AL80,0)</f>
        <v>0</v>
      </c>
      <c r="GV80" s="547">
        <f>IFERROR(VLOOKUP($D80,'Kalkulator mięs '!$C$5:$H$533,GV$4,0)*$AL80,0)</f>
        <v>0</v>
      </c>
      <c r="GW80" s="547">
        <f>IFERROR(VLOOKUP($D80,'Kalkulator mięs '!$C$5:$H$533,GW$4,0)*$AM80,0)</f>
        <v>0</v>
      </c>
      <c r="GX80" s="547">
        <f>IFERROR(VLOOKUP($D80,'Kalkulator mięs '!$C$5:$H$533,GX$4,0)*$AM80,0)</f>
        <v>0</v>
      </c>
      <c r="GY80" s="547">
        <f>IFERROR(VLOOKUP($D80,'Kalkulator mięs '!$C$5:$H$533,GY$4,0)*$AM80,0)</f>
        <v>0</v>
      </c>
      <c r="GZ80" s="547">
        <f>IFERROR(VLOOKUP($D80,'Kalkulator mięs '!$C$5:$H$533,GZ$4,0)*$AN80,0)</f>
        <v>0</v>
      </c>
      <c r="HA80" s="547">
        <f>IFERROR(VLOOKUP($D80,'Kalkulator mięs '!$C$5:$H$533,HA$4,0)*$AN80,0)</f>
        <v>0</v>
      </c>
      <c r="HB80" s="547">
        <f>IFERROR(VLOOKUP($D80,'Kalkulator mięs '!$C$5:$H$533,HB$4,0)*$AN80,0)</f>
        <v>0</v>
      </c>
      <c r="HC80" s="547">
        <f>IFERROR(VLOOKUP($D80,'Kalkulator mięs '!$C$5:$H$533,HC$4,0)*$AO80,0)</f>
        <v>0</v>
      </c>
      <c r="HD80" s="547">
        <f>IFERROR(VLOOKUP($D80,'Kalkulator mięs '!$C$5:$H$533,HD$4,0)*$AO80,0)</f>
        <v>0</v>
      </c>
      <c r="HE80" s="547">
        <f>IFERROR(VLOOKUP($D80,'Kalkulator mięs '!$C$5:$H$533,HE$4,0)*$AO80,0)</f>
        <v>0</v>
      </c>
      <c r="HF80" s="547">
        <f>IFERROR(VLOOKUP($D80,'Kalkulator mięs '!$C$5:$H$533,HF$4,0)*$AP80,0)</f>
        <v>0</v>
      </c>
      <c r="HG80" s="547">
        <f>IFERROR(VLOOKUP($D80,'Kalkulator mięs '!$C$5:$H$533,HG$4,0)*$AP80,0)</f>
        <v>0</v>
      </c>
      <c r="HH80" s="547">
        <f>IFERROR(VLOOKUP($D80,'Kalkulator mięs '!$C$5:$H$533,HH$4,0)*$AP80,0)</f>
        <v>0</v>
      </c>
      <c r="HI80" s="547">
        <f>IFERROR(VLOOKUP($D80,'Kalkulator mięs '!$C$5:$H$533,HI$4,0)*$AQ80,0)</f>
        <v>0</v>
      </c>
      <c r="HJ80" s="547">
        <f>IFERROR(VLOOKUP($D80,'Kalkulator mięs '!$C$5:$H$533,HJ$4,0)*$AQ80,0)</f>
        <v>0</v>
      </c>
      <c r="HK80" s="547">
        <f>IFERROR(VLOOKUP($D80,'Kalkulator mięs '!$C$5:$H$533,HK$4,0)*$AQ80,0)</f>
        <v>0</v>
      </c>
      <c r="HL80" s="547">
        <f>IFERROR(VLOOKUP($D80,'Kalkulator mięs '!$C$5:$H$533,HL$4,0)*$AR80,0)</f>
        <v>0</v>
      </c>
      <c r="HM80" s="547">
        <f>IFERROR(VLOOKUP($D80,'Kalkulator mięs '!$C$5:$H$533,HM$4,0)*$AR80,0)</f>
        <v>0</v>
      </c>
      <c r="HN80" s="547">
        <f>IFERROR(VLOOKUP($D80,'Kalkulator mięs '!$C$5:$H$533,HN$4,0)*$AR80,0)</f>
        <v>0</v>
      </c>
      <c r="HO80" s="547">
        <f>IFERROR(VLOOKUP($D80,'Kalkulator mięs '!$C$5:$H$533,HO$4,0)*$AS80,0)</f>
        <v>0</v>
      </c>
      <c r="HP80" s="547">
        <f>IFERROR(VLOOKUP($D80,'Kalkulator mięs '!$C$5:$H$533,HP$4,0)*$AS80,0)</f>
        <v>0</v>
      </c>
      <c r="HQ80" s="547">
        <f>IFERROR(VLOOKUP($D80,'Kalkulator mięs '!$C$5:$H$533,HQ$4,0)*$AS80,0)</f>
        <v>0</v>
      </c>
      <c r="HR80" s="547">
        <f>IFERROR(VLOOKUP($D80,'Kalkulator mięs '!$C$5:$H$533,HR$4,0)*$AT80,0)</f>
        <v>0</v>
      </c>
      <c r="HS80" s="547">
        <f>IFERROR(VLOOKUP($D80,'Kalkulator mięs '!$C$5:$H$533,HS$4,0)*$AT80,0)</f>
        <v>0</v>
      </c>
      <c r="HT80" s="547">
        <f>IFERROR(VLOOKUP($D80,'Kalkulator mięs '!$C$5:$H$533,HT$4,0)*$AT80,0)</f>
        <v>0</v>
      </c>
      <c r="HU80" s="547">
        <f>IFERROR(VLOOKUP($D80,'Kalkulator mięs '!$C$5:$H$533,HU$4,0)*$AU80,0)</f>
        <v>0</v>
      </c>
      <c r="HV80" s="547">
        <f>IFERROR(VLOOKUP($D80,'Kalkulator mięs '!$C$5:$H$533,HV$4,0)*$AU80,0)</f>
        <v>0</v>
      </c>
      <c r="HW80" s="547">
        <f>IFERROR(VLOOKUP($D80,'Kalkulator mięs '!$C$5:$H$533,HW$4,0)*$AU80,0)</f>
        <v>0</v>
      </c>
      <c r="HX80" s="547">
        <f>IFERROR(VLOOKUP($D80,'Kalkulator mięs '!$C$5:$H$533,HX$4,0)*$AV80,0)</f>
        <v>0</v>
      </c>
      <c r="HY80" s="547">
        <f>IFERROR(VLOOKUP($D80,'Kalkulator mięs '!$C$5:$H$533,HY$4,0)*$AV80,0)</f>
        <v>0</v>
      </c>
      <c r="HZ80" s="547">
        <f>IFERROR(VLOOKUP($D80,'Kalkulator mięs '!$C$5:$H$533,HZ$4,0)*$AV80,0)</f>
        <v>0</v>
      </c>
      <c r="IA80">
        <f>IFERROR(VLOOKUP($D80,'Kalkulator mięs '!$C$5:$H$533,IA$4,0)*$AW80,0)</f>
        <v>0</v>
      </c>
      <c r="IB80">
        <f>IFERROR(VLOOKUP($D80,'Kalkulator mięs '!$C$5:$H$533,IB$4,0)*$AW80,0)</f>
        <v>0</v>
      </c>
      <c r="IC80">
        <f>IFERROR(VLOOKUP($D80,'Kalkulator mięs '!$C$5:$H$533,IC$4,0)*$AW80,0)</f>
        <v>0</v>
      </c>
      <c r="ID80">
        <f>IFERROR(VLOOKUP($D80,'Kalkulator mięs '!$C$5:$H$533,ID$4,0)*$AX80,0)</f>
        <v>0</v>
      </c>
      <c r="IE80">
        <f>IFERROR(VLOOKUP($D80,'Kalkulator mięs '!$C$5:$H$533,IE$4,0)*$AX80,0)</f>
        <v>0</v>
      </c>
      <c r="IF80">
        <f>IFERROR(VLOOKUP($D80,'Kalkulator mięs '!$C$5:$H$533,IF$4,0)*$AX80,0)</f>
        <v>0</v>
      </c>
      <c r="IG80">
        <f>IFERROR(VLOOKUP($D80,'Kalkulator mięs '!$C$5:$H$533,IG$4,0)*$AY80,0)</f>
        <v>0</v>
      </c>
      <c r="IH80">
        <f>IFERROR(VLOOKUP($D80,'Kalkulator mięs '!$C$5:$H$533,IH$4,0)*$AY80,0)</f>
        <v>0</v>
      </c>
      <c r="II80">
        <f>IFERROR(VLOOKUP($D80,'Kalkulator mięs '!$C$5:$H$533,II$4,0)*$AY80,0)</f>
        <v>0</v>
      </c>
      <c r="IJ80">
        <f>IFERROR(VLOOKUP($D80,'Kalkulator mięs '!$C$5:$H$533,IJ$4,0)*$AZ80,0)</f>
        <v>0</v>
      </c>
      <c r="IK80">
        <f>IFERROR(VLOOKUP($D80,'Kalkulator mięs '!$C$5:$H$533,IK$4,0)*$AZ80,0)</f>
        <v>0</v>
      </c>
      <c r="IL80">
        <f>IFERROR(VLOOKUP($D80,'Kalkulator mięs '!$C$5:$H$533,IL$4,0)*$AZ80,0)</f>
        <v>0</v>
      </c>
      <c r="IM80">
        <f>IFERROR(VLOOKUP($D80,'Kalkulator mięs '!$C$5:$H$533,IM$4,0)*$BA80,0)</f>
        <v>0</v>
      </c>
      <c r="IN80">
        <f>IFERROR(VLOOKUP($D80,'Kalkulator mięs '!$C$5:$H$533,IN$4,0)*$BA80,0)</f>
        <v>0</v>
      </c>
      <c r="IO80">
        <f>IFERROR(VLOOKUP($D80,'Kalkulator mięs '!$C$5:$H$533,IO$4,0)*$BA80,0)</f>
        <v>0</v>
      </c>
    </row>
    <row r="81" spans="2:249" ht="15.75">
      <c r="B81" t="str">
        <f>VLOOKUP(D81,Receptury_z!$A:$B,2,0)</f>
        <v>ON</v>
      </c>
      <c r="C81" s="27">
        <v>5528</v>
      </c>
      <c r="D81" s="28">
        <v>6499</v>
      </c>
      <c r="E81" s="1" t="s">
        <v>29</v>
      </c>
      <c r="F81" s="14">
        <f>IF($B81="OFF",BE81,VLOOKUP($D81,Receptury_z!$D:$AI,F$4,0))</f>
        <v>0</v>
      </c>
      <c r="G81" s="14">
        <f>IF($B81="OFF",BF81,VLOOKUP($D81,Receptury_z!$D:$AI,G$4,0))</f>
        <v>0</v>
      </c>
      <c r="H81" s="14">
        <f>IF($B81="OFF",BG81,VLOOKUP($D81,Receptury_z!$D:$AI,H$4,0))</f>
        <v>0</v>
      </c>
      <c r="I81" s="14">
        <f>IF($B81="OFF",BH81,VLOOKUP($D81,Receptury_z!$D:$AI,I$4,0))</f>
        <v>0</v>
      </c>
      <c r="J81" s="14">
        <f>IF($B81="OFF",BI81,VLOOKUP($D81,Receptury_z!$D:$AI,J$4,0))</f>
        <v>0</v>
      </c>
      <c r="K81" s="14">
        <f>IF($B81="OFF",BJ81,VLOOKUP($D81,Receptury_z!$D:$AI,K$4,0))</f>
        <v>0</v>
      </c>
      <c r="L81" s="14">
        <f>IF($B81="OFF",BK81,VLOOKUP($D81,Receptury_z!$D:$AI,L$4,0))</f>
        <v>0</v>
      </c>
      <c r="M81" s="14">
        <f>IF($B81="OFF",BL81,VLOOKUP($D81,Receptury_z!$D:$AI,M$4,0))</f>
        <v>0</v>
      </c>
      <c r="N81" s="14">
        <f>IF($B81="OFF",BM81,VLOOKUP($D81,Receptury_z!$D:$AI,N$4,0))</f>
        <v>0</v>
      </c>
      <c r="O81" s="14">
        <f>IF($B81="OFF",BN81,VLOOKUP($D81,Receptury_z!$D:$AI,O$4,0))</f>
        <v>0</v>
      </c>
      <c r="P81" s="14">
        <f>IF($B81="OFF",BO81,VLOOKUP($D81,Receptury_z!$D:$AI,P$4,0))</f>
        <v>0</v>
      </c>
      <c r="Q81" s="14">
        <f>IF($B81="OFF",BP81,VLOOKUP($D81,Receptury_z!$D:$AI,Q$4,0))</f>
        <v>0</v>
      </c>
      <c r="R81" s="14">
        <f>IF($B81="OFF",BQ81,VLOOKUP($D81,Receptury_z!$D:$AI,R$4,0))</f>
        <v>29</v>
      </c>
      <c r="S81" s="14">
        <f>IF($B81="OFF",BR81,VLOOKUP($D81,Receptury_z!$D:$AI,S$4,0))</f>
        <v>0</v>
      </c>
      <c r="T81" s="14">
        <f>IF($B81="OFF",BS81,VLOOKUP($D81,Receptury_z!$D:$AI,T$4,0))</f>
        <v>74.599999999999994</v>
      </c>
      <c r="U81" s="14">
        <f>IF($B81="OFF",BT81,VLOOKUP($D81,Receptury_z!$D:$AI,U$4,0))</f>
        <v>471.54</v>
      </c>
      <c r="V81" s="14">
        <f>IF($B81="OFF",BU81,VLOOKUP($D81,Receptury_z!$D:$AI,V$4,0))</f>
        <v>0</v>
      </c>
      <c r="W81" s="14">
        <f>IF($B81="OFF",BV81,VLOOKUP($D81,Receptury_z!$D:$AI,W$4,0))</f>
        <v>0</v>
      </c>
      <c r="X81" s="14">
        <f>IF($B81="OFF",BW81,VLOOKUP($D81,Receptury_z!$D:$AI,X$4,0))</f>
        <v>0</v>
      </c>
      <c r="Y81" s="14">
        <f>IF($B81="OFF",BX81,VLOOKUP($D81,Receptury_z!$D:$AI,Y$4,0))</f>
        <v>0</v>
      </c>
      <c r="Z81" s="14">
        <f>IF($B81="OFF",BY81,VLOOKUP($D81,Receptury_z!$D:$AI,Z$4,0))</f>
        <v>0</v>
      </c>
      <c r="AA81" s="14">
        <f>IF($B81="OFF",BZ81,VLOOKUP($D81,Receptury_z!$D:$AI,AA$4,0))</f>
        <v>0</v>
      </c>
      <c r="AB81" s="14">
        <f>IF($B81="OFF",CA81,VLOOKUP($D81,Receptury_z!$D:$AI,AB$4,0))</f>
        <v>37.9</v>
      </c>
      <c r="AC81" s="14">
        <f>IF($B81="OFF",CB81,VLOOKUP($D81,Receptury_z!$D:$AI,AC$4,0))</f>
        <v>0</v>
      </c>
      <c r="AD81" s="14">
        <f>IF($B81="OFF",CC81,VLOOKUP($D81,Receptury_z!$D:$AI,AD$4,0))</f>
        <v>0</v>
      </c>
      <c r="AE81" s="14">
        <f>IF($B81="OFF",CD81,VLOOKUP($D81,Receptury_z!$D:$AI,AE$4,0))</f>
        <v>0</v>
      </c>
      <c r="AF81" s="14">
        <f>IF($B81="OFF",CE81,VLOOKUP($D81,Receptury_z!$D:$AI,AF$4,0))</f>
        <v>0</v>
      </c>
      <c r="AG81" s="14">
        <f>IF($B81="OFF",CF81,VLOOKUP($D81,Receptury_z!$D:$AI,AG$4,0))</f>
        <v>0</v>
      </c>
      <c r="AH81" s="14">
        <f>IF($B81="OFF",CG81,VLOOKUP($D81,Receptury_z!$D:$AI,AH$4,0))</f>
        <v>15</v>
      </c>
      <c r="AI81" s="14">
        <f>IF($B81="OFF",CH81,VLOOKUP($D81,Receptury_z!$D:$AI,AI$4,0))</f>
        <v>0</v>
      </c>
      <c r="AJ81" s="14">
        <f>IF($B81="OFF",CI81,VLOOKUP($D81,Receptury_z!$D:$AS,AJ$4,0))</f>
        <v>0</v>
      </c>
      <c r="AK81" s="14">
        <f>IF($B81="OFF",CJ81,VLOOKUP($D81,Receptury_z!$D:$AS,AK$4,0))</f>
        <v>0</v>
      </c>
      <c r="AL81" s="14">
        <f>IF($B81="OFF",CK81,VLOOKUP($D81,Receptury_z!$D:$AS,AL$4,0))</f>
        <v>15</v>
      </c>
      <c r="AM81" s="14">
        <f>IF($B81="OFF",CL81,VLOOKUP($D81,Receptury_z!$D:$AS,AM$4,0))</f>
        <v>0</v>
      </c>
      <c r="AN81" s="14">
        <f>IF($B81="OFF",CM81,VLOOKUP($D81,Receptury_z!$D:$AS,AN$4,0))</f>
        <v>75.599999999999994</v>
      </c>
      <c r="AO81" s="14">
        <f>IF($B81="OFF",CN81,VLOOKUP($D81,Receptury_z!$D:$AS,AO$4,0))</f>
        <v>0</v>
      </c>
      <c r="AP81" s="14">
        <f>IF($B81="OFF",CO81,VLOOKUP($D81,Receptury_z!$D:$AS,AP$4,0))</f>
        <v>0</v>
      </c>
      <c r="AQ81" s="14">
        <f>IF($B81="OFF",CP81,VLOOKUP($D81,Receptury_z!$D:$AS,AQ$4,0))</f>
        <v>0</v>
      </c>
      <c r="AR81" s="14">
        <f>IF($B81="OFF",CQ81,VLOOKUP($D81,Receptury_z!$D:$AS,AR$4,0))</f>
        <v>0</v>
      </c>
      <c r="AS81" s="14">
        <f>IF($B81="OFF",CR81,VLOOKUP($D81,Receptury_z!$D:$AS,AS$4,0))</f>
        <v>0</v>
      </c>
      <c r="AT81" s="14">
        <f>IF($B81="OFF",CS81,VLOOKUP($D81,Receptury_z!$D:$AV,AT$4,0))</f>
        <v>0</v>
      </c>
      <c r="AU81" s="14">
        <f>IF($B81="OFF",CT81,VLOOKUP($D81,Receptury_z!$D:$AV,AU$4,0))</f>
        <v>0</v>
      </c>
      <c r="AV81" s="14">
        <f>IF($B81="OFF",CU81,VLOOKUP($D81,Receptury_z!$D:$AV,AV$4,0))</f>
        <v>0</v>
      </c>
      <c r="AW81" s="14">
        <f>IF($B81="OFF",CV81,VLOOKUP($D81,Receptury_z!$D:$BA,AW$4,0))</f>
        <v>0</v>
      </c>
      <c r="AX81" s="14">
        <f>IF($B81="OFF",CW81,VLOOKUP($D81,Receptury_z!$D:$BA,AX$4,0))</f>
        <v>0</v>
      </c>
      <c r="AY81" s="14">
        <f>IF($B81="OFF",CX81,VLOOKUP($D81,Receptury_z!$D:$BA,AY$4,0))</f>
        <v>0</v>
      </c>
      <c r="AZ81" s="14">
        <f>IF($B81="OFF",DA81,VLOOKUP($D81,Receptury_z!$D:$BA,AZ$4,0))</f>
        <v>0</v>
      </c>
      <c r="BA81" s="14">
        <f>IF($B81="OFF",DB81,VLOOKUP($D81,Receptury_z!$D:$BA,BA$4,0))</f>
        <v>0</v>
      </c>
      <c r="BC81" s="28">
        <v>6499</v>
      </c>
      <c r="BD81" s="1" t="s">
        <v>29</v>
      </c>
      <c r="BE81" s="239">
        <v>0</v>
      </c>
      <c r="BF81" s="239">
        <v>0</v>
      </c>
      <c r="BG81" s="239">
        <v>0</v>
      </c>
      <c r="BH81" s="239">
        <v>0</v>
      </c>
      <c r="BI81" s="240"/>
      <c r="BJ81" s="239">
        <v>0</v>
      </c>
      <c r="BK81" s="239">
        <v>0</v>
      </c>
      <c r="BL81" s="239">
        <v>0</v>
      </c>
      <c r="BM81" s="239">
        <v>0</v>
      </c>
      <c r="BN81" s="239">
        <v>75.599999999999994</v>
      </c>
      <c r="BO81" s="239">
        <v>0</v>
      </c>
      <c r="BP81" s="239">
        <v>0</v>
      </c>
      <c r="BQ81" s="239">
        <v>29</v>
      </c>
      <c r="BR81" s="239">
        <v>0</v>
      </c>
      <c r="BS81" s="239">
        <v>0</v>
      </c>
      <c r="BT81" s="240">
        <v>508.8</v>
      </c>
      <c r="BU81" s="239">
        <v>0</v>
      </c>
      <c r="BV81" s="239">
        <v>0</v>
      </c>
      <c r="BW81" s="239">
        <v>0</v>
      </c>
      <c r="BX81" s="239">
        <v>0</v>
      </c>
      <c r="BY81" s="239">
        <v>0</v>
      </c>
      <c r="BZ81" s="239">
        <v>0</v>
      </c>
      <c r="CA81" s="239">
        <v>37.9</v>
      </c>
      <c r="CB81" s="239">
        <v>0</v>
      </c>
      <c r="CC81" s="239">
        <v>0</v>
      </c>
      <c r="CD81" s="239">
        <v>0</v>
      </c>
      <c r="CE81" s="239">
        <v>0</v>
      </c>
      <c r="CF81" s="239">
        <v>0</v>
      </c>
      <c r="CG81" s="239">
        <v>25</v>
      </c>
      <c r="CH81" s="239">
        <v>0</v>
      </c>
      <c r="CI81" s="239">
        <v>0</v>
      </c>
      <c r="CJ81" s="239">
        <v>0</v>
      </c>
      <c r="CK81" s="239">
        <v>0</v>
      </c>
      <c r="CL81" s="239">
        <v>0</v>
      </c>
      <c r="CM81" s="80"/>
      <c r="CN81" s="80"/>
      <c r="CO81" s="80"/>
      <c r="CP81" s="80"/>
      <c r="CQ81" s="80"/>
      <c r="CR81" s="80"/>
      <c r="CS81" s="241">
        <v>74.599999999999994</v>
      </c>
      <c r="CT81" s="80"/>
      <c r="CU81" s="80"/>
      <c r="CV81" s="80"/>
      <c r="CW81" s="80"/>
      <c r="CX81" s="80"/>
      <c r="CY81" s="80"/>
      <c r="CZ81" s="80"/>
      <c r="DB81">
        <f>IFERROR(VLOOKUP($D81,'Kalkulator mięs '!$C$5:$H$533,DB$4,0)*F81,0)</f>
        <v>0</v>
      </c>
      <c r="DC81">
        <f>IFERROR(VLOOKUP($D81,'Kalkulator mięs '!$C$5:$H$533,DC$4,0)*F81,0)</f>
        <v>0</v>
      </c>
      <c r="DD81">
        <f>IFERROR(VLOOKUP($D81,'Kalkulator mięs '!$C$5:$H$533,DD$4,0)*F81,0)</f>
        <v>0</v>
      </c>
      <c r="DE81">
        <f>IFERROR(VLOOKUP($D81,'Kalkulator mięs '!$C$5:$H$533,DE$4,0)*$G81,0)</f>
        <v>0</v>
      </c>
      <c r="DF81">
        <f>IFERROR(VLOOKUP($D81,'Kalkulator mięs '!$C$5:$H$533,DF$4,0)*$G81,0)</f>
        <v>0</v>
      </c>
      <c r="DG81">
        <f>IFERROR(VLOOKUP($D81,'Kalkulator mięs '!$C$5:$H$533,DG$4,0)*$G81,0)</f>
        <v>0</v>
      </c>
      <c r="DH81">
        <f>IFERROR(VLOOKUP($D81,'Kalkulator mięs '!$C$5:$H$533,DH$4,0)*$H81,0)</f>
        <v>0</v>
      </c>
      <c r="DI81">
        <f>IFERROR(VLOOKUP($D81,'Kalkulator mięs '!$C$5:$H$533,DI$4,0)*$H81,0)</f>
        <v>0</v>
      </c>
      <c r="DJ81">
        <f>IFERROR(VLOOKUP($D81,'Kalkulator mięs '!$C$5:$H$533,DJ$4,0)*$H81,0)</f>
        <v>0</v>
      </c>
      <c r="DK81">
        <f>IFERROR(VLOOKUP($D81,'Kalkulator mięs '!$C$5:$H$533,DK$4,0)*$I81,0)</f>
        <v>0</v>
      </c>
      <c r="DL81">
        <f>IFERROR(VLOOKUP($D81,'Kalkulator mięs '!$C$5:$H$533,DL$4,0)*$I81,0)</f>
        <v>0</v>
      </c>
      <c r="DM81">
        <f>IFERROR(VLOOKUP($D81,'Kalkulator mięs '!$C$5:$H$533,DM$4,0)*$I81,0)</f>
        <v>0</v>
      </c>
      <c r="DN81">
        <f>IFERROR(VLOOKUP($D81,'Kalkulator mięs '!$C$5:$H$533,DN$4,0)*$J81,0)</f>
        <v>0</v>
      </c>
      <c r="DO81">
        <f>IFERROR(VLOOKUP($D81,'Kalkulator mięs '!$C$5:$H$533,DO$4,0)*$J81,0)</f>
        <v>0</v>
      </c>
      <c r="DP81">
        <f>IFERROR(VLOOKUP($D81,'Kalkulator mięs '!$C$5:$H$533,DP$4,0)*$J81,0)</f>
        <v>0</v>
      </c>
      <c r="DQ81">
        <f>IFERROR(VLOOKUP($D81,'Kalkulator mięs '!$C$5:$H$533,DQ$4,0)*$K81,0)</f>
        <v>0</v>
      </c>
      <c r="DR81">
        <f>IFERROR(VLOOKUP($D81,'Kalkulator mięs '!$C$5:$H$533,DR$4,0)*$K81,0)</f>
        <v>0</v>
      </c>
      <c r="DS81">
        <f>IFERROR(VLOOKUP($D81,'Kalkulator mięs '!$C$5:$H$533,DS$4,0)*$K81,0)</f>
        <v>0</v>
      </c>
      <c r="DT81">
        <f>IFERROR(VLOOKUP($D81,'Kalkulator mięs '!$C$5:$H$533,DT$4,0)*$L81,0)</f>
        <v>0</v>
      </c>
      <c r="DU81">
        <f>IFERROR(VLOOKUP($D81,'Kalkulator mięs '!$C$5:$H$533,DU$4,0)*$L81,0)</f>
        <v>0</v>
      </c>
      <c r="DV81">
        <f>IFERROR(VLOOKUP($D81,'Kalkulator mięs '!$C$5:$H$533,DV$4,0)*$L81,0)</f>
        <v>0</v>
      </c>
      <c r="DW81">
        <f>IFERROR(VLOOKUP($D81,'Kalkulator mięs '!$C$5:$H$533,DW$4,0)*$M81,0)</f>
        <v>0</v>
      </c>
      <c r="DX81">
        <f>IFERROR(VLOOKUP($D81,'Kalkulator mięs '!$C$5:$H$533,DX$4,0)*$M81,0)</f>
        <v>0</v>
      </c>
      <c r="DY81">
        <f>IFERROR(VLOOKUP($D81,'Kalkulator mięs '!$C$5:$H$533,DY$4,0)*$M81,0)</f>
        <v>0</v>
      </c>
      <c r="DZ81">
        <f>IFERROR(VLOOKUP($D81,'Kalkulator mięs '!$C$5:$H$533,DZ$4,0)*$N81,0)</f>
        <v>0</v>
      </c>
      <c r="EA81">
        <f>IFERROR(VLOOKUP($D81,'Kalkulator mięs '!$C$5:$H$533,EA$4,0)*$N81,0)</f>
        <v>0</v>
      </c>
      <c r="EB81">
        <f>IFERROR(VLOOKUP($D81,'Kalkulator mięs '!$C$5:$H$533,EB$4,0)*$N81,0)</f>
        <v>0</v>
      </c>
      <c r="EC81">
        <f>IFERROR(VLOOKUP($D81,'Kalkulator mięs '!$C$5:$H$533,EC$4,0)*$O81,0)</f>
        <v>0</v>
      </c>
      <c r="ED81">
        <f>IFERROR(VLOOKUP($D81,'Kalkulator mięs '!$C$5:$H$533,ED$4,0)*$O81,0)</f>
        <v>0</v>
      </c>
      <c r="EE81">
        <f>IFERROR(VLOOKUP($D81,'Kalkulator mięs '!$C$5:$H$533,EE$4,0)*$O81,0)</f>
        <v>0</v>
      </c>
      <c r="EF81">
        <f>IFERROR(VLOOKUP($D81,'Kalkulator mięs '!$C$5:$H$533,EF$4,0)*$P81,0)</f>
        <v>0</v>
      </c>
      <c r="EG81">
        <f>IFERROR(VLOOKUP($D81,'Kalkulator mięs '!$C$5:$H$533,EG$4,0)*$P81,0)</f>
        <v>0</v>
      </c>
      <c r="EH81">
        <f>IFERROR(VLOOKUP($D81,'Kalkulator mięs '!$C$5:$H$533,EH$4,0)*$P81,0)</f>
        <v>0</v>
      </c>
      <c r="EI81">
        <f>IFERROR(VLOOKUP($D81,'Kalkulator mięs '!$C$5:$H$533,EI$4,0)*$Q81,0)</f>
        <v>0</v>
      </c>
      <c r="EJ81">
        <f>IFERROR(VLOOKUP($D81,'Kalkulator mięs '!$C$5:$H$533,EJ$4,0)*$Q81,0)</f>
        <v>0</v>
      </c>
      <c r="EK81">
        <f>IFERROR(VLOOKUP($D81,'Kalkulator mięs '!$C$5:$H$533,EK$4,0)*$Q81,0)</f>
        <v>0</v>
      </c>
      <c r="EL81">
        <f>IFERROR(VLOOKUP($D81,'Kalkulator mięs '!$C$5:$H$533,EL$4,0)*$R81,0)</f>
        <v>0</v>
      </c>
      <c r="EM81">
        <f>IFERROR(VLOOKUP($D81,'Kalkulator mięs '!$C$5:$H$533,EM$4,0)*$R81,0)</f>
        <v>0</v>
      </c>
      <c r="EN81">
        <f>IFERROR(VLOOKUP($D81,'Kalkulator mięs '!$C$5:$H$533,EN$4,0)*$R81,0)</f>
        <v>0</v>
      </c>
      <c r="EO81">
        <f>IFERROR(VLOOKUP($D81,'Kalkulator mięs '!$C$5:$H$533,EO$4,0)*$S81,0)</f>
        <v>0</v>
      </c>
      <c r="EP81">
        <f>IFERROR(VLOOKUP($D81,'Kalkulator mięs '!$C$5:$H$533,EP$4,0)*$S81,0)</f>
        <v>0</v>
      </c>
      <c r="EQ81">
        <f>IFERROR(VLOOKUP($D81,'Kalkulator mięs '!$C$5:$H$533,EQ$4,0)*$S81,0)</f>
        <v>0</v>
      </c>
      <c r="ER81">
        <f>IFERROR(VLOOKUP($D81,'Kalkulator mięs '!$C$5:$H$533,ER$4,0)*$T81,0)</f>
        <v>0</v>
      </c>
      <c r="ES81">
        <f>IFERROR(VLOOKUP($D81,'Kalkulator mięs '!$C$5:$H$533,ES$4,0)*$T81,0)</f>
        <v>0</v>
      </c>
      <c r="ET81">
        <f>IFERROR(VLOOKUP($D81,'Kalkulator mięs '!$C$5:$H$533,ET$4,0)*$T81,0)</f>
        <v>0</v>
      </c>
      <c r="EU81">
        <f>IFERROR(VLOOKUP($D81,'Kalkulator mięs '!$C$5:$H$533,EU$4,0)*$U81,0)</f>
        <v>0</v>
      </c>
      <c r="EV81">
        <f>IFERROR(VLOOKUP($D81,'Kalkulator mięs '!$C$5:$H$533,EV$4,0)*$U81,0)</f>
        <v>0</v>
      </c>
      <c r="EW81">
        <f>IFERROR(VLOOKUP($D81,'Kalkulator mięs '!$C$5:$H$533,EW$4,0)*$U81,0)</f>
        <v>0</v>
      </c>
      <c r="EX81">
        <f>IFERROR(VLOOKUP($D81,'Kalkulator mięs '!$C$5:$H$533,EX$4,0)*$V81,0)</f>
        <v>0</v>
      </c>
      <c r="EY81">
        <f>IFERROR(VLOOKUP($D81,'Kalkulator mięs '!$C$5:$H$533,EY$4,0)*$V81,0)</f>
        <v>0</v>
      </c>
      <c r="EZ81">
        <f>IFERROR(VLOOKUP($D81,'Kalkulator mięs '!$C$5:$H$533,EZ$4,0)*$V81,0)</f>
        <v>0</v>
      </c>
      <c r="FA81">
        <f>IFERROR(VLOOKUP($D81,'Kalkulator mięs '!$C$5:$H$533,FA$4,0)*$W81,0)</f>
        <v>0</v>
      </c>
      <c r="FB81">
        <f>IFERROR(VLOOKUP($D81,'Kalkulator mięs '!$C$5:$H$533,FB$4,0)*$W81,0)</f>
        <v>0</v>
      </c>
      <c r="FC81">
        <f>IFERROR(VLOOKUP($D81,'Kalkulator mięs '!$C$5:$H$533,FC$4,0)*$W81,0)</f>
        <v>0</v>
      </c>
      <c r="FD81">
        <f>IFERROR(VLOOKUP($D81,'Kalkulator mięs '!$C$5:$H$533,FD$4,0)*$X81,0)</f>
        <v>0</v>
      </c>
      <c r="FE81">
        <f>IFERROR(VLOOKUP($D81,'Kalkulator mięs '!$C$5:$H$533,FE$4,0)*$X81,0)</f>
        <v>0</v>
      </c>
      <c r="FF81">
        <f>IFERROR(VLOOKUP($D81,'Kalkulator mięs '!$C$5:$H$533,FF$4,0)*$X81,0)</f>
        <v>0</v>
      </c>
      <c r="FG81">
        <f>IFERROR(VLOOKUP($D81,'Kalkulator mięs '!$C$5:$H$533,FG$4,0)*$Y81,0)</f>
        <v>0</v>
      </c>
      <c r="FH81">
        <f>IFERROR(VLOOKUP($D81,'Kalkulator mięs '!$C$5:$H$533,FH$4,0)*$Y81,0)</f>
        <v>0</v>
      </c>
      <c r="FI81">
        <f>IFERROR(VLOOKUP($D81,'Kalkulator mięs '!$C$5:$H$533,FI$4,0)*$Y81,0)</f>
        <v>0</v>
      </c>
      <c r="FJ81">
        <f>IFERROR(VLOOKUP($D81,'Kalkulator mięs '!$C$5:$H$533,FJ$4,0)*$Z81,0)</f>
        <v>0</v>
      </c>
      <c r="FK81">
        <f>IFERROR(VLOOKUP($D81,'Kalkulator mięs '!$C$5:$H$533,FK$4,0)*$Z81,0)</f>
        <v>0</v>
      </c>
      <c r="FL81">
        <f>IFERROR(VLOOKUP($D81,'Kalkulator mięs '!$C$5:$H$533,FL$4,0)*$Z81,0)</f>
        <v>0</v>
      </c>
      <c r="FM81">
        <f>IFERROR(VLOOKUP($D81,'Kalkulator mięs '!$C$5:$H$533,FM$4,0)*$AA81,0)</f>
        <v>0</v>
      </c>
      <c r="FN81">
        <f>IFERROR(VLOOKUP($D81,'Kalkulator mięs '!$C$5:$H$533,FN$4,0)*$AA81,0)</f>
        <v>0</v>
      </c>
      <c r="FO81">
        <f>IFERROR(VLOOKUP($D81,'Kalkulator mięs '!$C$5:$H$533,FO$4,0)*$AA81,0)</f>
        <v>0</v>
      </c>
      <c r="FP81">
        <f>IFERROR(VLOOKUP($D81,'Kalkulator mięs '!$C$5:$H$533,FP$4,0)*$AB81,0)</f>
        <v>0</v>
      </c>
      <c r="FQ81">
        <f>IFERROR(VLOOKUP($D81,'Kalkulator mięs '!$C$5:$H$533,FQ$4,0)*$AB81,0)</f>
        <v>0</v>
      </c>
      <c r="FR81">
        <f>IFERROR(VLOOKUP($D81,'Kalkulator mięs '!$C$5:$H$533,FR$4,0)*$AB81,0)</f>
        <v>0</v>
      </c>
      <c r="FS81">
        <f>IFERROR(VLOOKUP($D81,'Kalkulator mięs '!$C$5:$H$533,FS$4,0)*$AC81,0)</f>
        <v>0</v>
      </c>
      <c r="FT81">
        <f>IFERROR(VLOOKUP($D81,'Kalkulator mięs '!$C$5:$H$533,FT$4,0)*$AC81,0)</f>
        <v>0</v>
      </c>
      <c r="FU81">
        <f>IFERROR(VLOOKUP($D81,'Kalkulator mięs '!$C$5:$H$533,FU$4,0)*$AC81,0)</f>
        <v>0</v>
      </c>
      <c r="FV81">
        <f>IFERROR(VLOOKUP($D81,'Kalkulator mięs '!$C$5:$H$533,FV$4,0)*$AD81,0)</f>
        <v>0</v>
      </c>
      <c r="FW81">
        <f>IFERROR(VLOOKUP($D81,'Kalkulator mięs '!$C$5:$H$533,FW$4,0)*$AD81,0)</f>
        <v>0</v>
      </c>
      <c r="FX81">
        <f>IFERROR(VLOOKUP($D81,'Kalkulator mięs '!$C$5:$H$533,FX$4,0)*$AD81,0)</f>
        <v>0</v>
      </c>
      <c r="FY81">
        <f>IFERROR(VLOOKUP($D81,'Kalkulator mięs '!$C$5:$H$533,FY$4,0)*$AE81,0)</f>
        <v>0</v>
      </c>
      <c r="FZ81">
        <f>IFERROR(VLOOKUP($D81,'Kalkulator mięs '!$C$5:$H$533,FZ$4,0)*$AE81,0)</f>
        <v>0</v>
      </c>
      <c r="GA81">
        <f>IFERROR(VLOOKUP($D81,'Kalkulator mięs '!$C$5:$H$533,GA$4,0)*$AE81,0)</f>
        <v>0</v>
      </c>
      <c r="GB81">
        <f>IFERROR(VLOOKUP($D81,'Kalkulator mięs '!$C$5:$H$533,GB$4,0)*$AF81,0)</f>
        <v>0</v>
      </c>
      <c r="GC81">
        <f>IFERROR(VLOOKUP($D81,'Kalkulator mięs '!$C$5:$H$533,GC$4,0)*$AF81,0)</f>
        <v>0</v>
      </c>
      <c r="GD81">
        <f>IFERROR(VLOOKUP($D81,'Kalkulator mięs '!$C$5:$H$533,GD$4,0)*$AF81,0)</f>
        <v>0</v>
      </c>
      <c r="GE81">
        <f>IFERROR(VLOOKUP($D81,'Kalkulator mięs '!$C$5:$H$533,GE$4,0)*$AG81,0)</f>
        <v>0</v>
      </c>
      <c r="GF81">
        <f>IFERROR(VLOOKUP($D81,'Kalkulator mięs '!$C$5:$H$533,GF$4,0)*$AG81,0)</f>
        <v>0</v>
      </c>
      <c r="GG81">
        <f>IFERROR(VLOOKUP($D81,'Kalkulator mięs '!$C$5:$H$533,GG$4,0)*$AG81,0)</f>
        <v>0</v>
      </c>
      <c r="GH81">
        <f>IFERROR(VLOOKUP($D81,'Kalkulator mięs '!$C$5:$H$533,GH$4,0)*$AH81,0)</f>
        <v>0</v>
      </c>
      <c r="GI81">
        <f>IFERROR(VLOOKUP($D81,'Kalkulator mięs '!$C$5:$H$533,GI$4,0)*$AH81,0)</f>
        <v>0</v>
      </c>
      <c r="GJ81">
        <f>IFERROR(VLOOKUP($D81,'Kalkulator mięs '!$C$5:$H$533,GJ$4,0)*$AH81,0)</f>
        <v>0</v>
      </c>
      <c r="GK81">
        <f>IFERROR(VLOOKUP($D81,'Kalkulator mięs '!$C$5:$H$533,GK$4,0)*$AI81,0)</f>
        <v>0</v>
      </c>
      <c r="GL81">
        <f>IFERROR(VLOOKUP($D81,'Kalkulator mięs '!$C$5:$H$533,GL$4,0)*$AI81,0)</f>
        <v>0</v>
      </c>
      <c r="GM81">
        <f>IFERROR(VLOOKUP($D81,'Kalkulator mięs '!$C$5:$H$533,GM$4,0)*$AI81,0)</f>
        <v>0</v>
      </c>
      <c r="GN81">
        <f>IFERROR(VLOOKUP($D81,'Kalkulator mięs '!$C$5:$H$533,GN$4,0)*$AJ81,0)</f>
        <v>0</v>
      </c>
      <c r="GO81">
        <f>IFERROR(VLOOKUP($D81,'Kalkulator mięs '!$C$5:$H$533,GO$4,0)*$AJ81,0)</f>
        <v>0</v>
      </c>
      <c r="GP81">
        <f>IFERROR(VLOOKUP($D81,'Kalkulator mięs '!$C$5:$H$533,GP$4,0)*$AJ81,0)</f>
        <v>0</v>
      </c>
      <c r="GQ81">
        <f>IFERROR(VLOOKUP($D81,'Kalkulator mięs '!$C$5:$H$533,GQ$4,0)*$AK81,0)</f>
        <v>0</v>
      </c>
      <c r="GR81">
        <f>IFERROR(VLOOKUP($D81,'Kalkulator mięs '!$C$5:$H$533,GR$4,0)*$AK81,0)</f>
        <v>0</v>
      </c>
      <c r="GS81">
        <f>IFERROR(VLOOKUP($D81,'Kalkulator mięs '!$C$5:$H$533,GS$4,0)*$AK81,0)</f>
        <v>0</v>
      </c>
      <c r="GT81">
        <f>IFERROR(VLOOKUP($D81,'Kalkulator mięs '!$C$5:$H$533,GT$4,0)*$AL81,0)</f>
        <v>0</v>
      </c>
      <c r="GU81">
        <f>IFERROR(VLOOKUP($D81,'Kalkulator mięs '!$C$5:$H$533,GU$4,0)*$AL81,0)</f>
        <v>0</v>
      </c>
      <c r="GV81">
        <f>IFERROR(VLOOKUP($D81,'Kalkulator mięs '!$C$5:$H$533,GV$4,0)*$AL81,0)</f>
        <v>0</v>
      </c>
      <c r="GW81">
        <f>IFERROR(VLOOKUP($D81,'Kalkulator mięs '!$C$5:$H$533,GW$4,0)*$AM81,0)</f>
        <v>0</v>
      </c>
      <c r="GX81">
        <f>IFERROR(VLOOKUP($D81,'Kalkulator mięs '!$C$5:$H$533,GX$4,0)*$AM81,0)</f>
        <v>0</v>
      </c>
      <c r="GY81">
        <f>IFERROR(VLOOKUP($D81,'Kalkulator mięs '!$C$5:$H$533,GY$4,0)*$AM81,0)</f>
        <v>0</v>
      </c>
      <c r="GZ81">
        <f>IFERROR(VLOOKUP($D81,'Kalkulator mięs '!$C$5:$H$533,GZ$4,0)*$AN81,0)</f>
        <v>0</v>
      </c>
      <c r="HA81">
        <f>IFERROR(VLOOKUP($D81,'Kalkulator mięs '!$C$5:$H$533,HA$4,0)*$AN81,0)</f>
        <v>0</v>
      </c>
      <c r="HB81">
        <f>IFERROR(VLOOKUP($D81,'Kalkulator mięs '!$C$5:$H$533,HB$4,0)*$AN81,0)</f>
        <v>0</v>
      </c>
      <c r="HC81">
        <f>IFERROR(VLOOKUP($D81,'Kalkulator mięs '!$C$5:$H$533,HC$4,0)*$AO81,0)</f>
        <v>0</v>
      </c>
      <c r="HD81">
        <f>IFERROR(VLOOKUP($D81,'Kalkulator mięs '!$C$5:$H$533,HD$4,0)*$AO81,0)</f>
        <v>0</v>
      </c>
      <c r="HE81">
        <f>IFERROR(VLOOKUP($D81,'Kalkulator mięs '!$C$5:$H$533,HE$4,0)*$AO81,0)</f>
        <v>0</v>
      </c>
      <c r="HF81">
        <f>IFERROR(VLOOKUP($D81,'Kalkulator mięs '!$C$5:$H$533,HF$4,0)*$AP81,0)</f>
        <v>0</v>
      </c>
      <c r="HG81">
        <f>IFERROR(VLOOKUP($D81,'Kalkulator mięs '!$C$5:$H$533,HG$4,0)*$AP81,0)</f>
        <v>0</v>
      </c>
      <c r="HH81">
        <f>IFERROR(VLOOKUP($D81,'Kalkulator mięs '!$C$5:$H$533,HH$4,0)*$AP81,0)</f>
        <v>0</v>
      </c>
      <c r="HI81">
        <f>IFERROR(VLOOKUP($D81,'Kalkulator mięs '!$C$5:$H$533,HI$4,0)*$AQ81,0)</f>
        <v>0</v>
      </c>
      <c r="HJ81">
        <f>IFERROR(VLOOKUP($D81,'Kalkulator mięs '!$C$5:$H$533,HJ$4,0)*$AQ81,0)</f>
        <v>0</v>
      </c>
      <c r="HK81">
        <f>IFERROR(VLOOKUP($D81,'Kalkulator mięs '!$C$5:$H$533,HK$4,0)*$AQ81,0)</f>
        <v>0</v>
      </c>
      <c r="HL81">
        <f>IFERROR(VLOOKUP($D81,'Kalkulator mięs '!$C$5:$H$533,HL$4,0)*$AR81,0)</f>
        <v>0</v>
      </c>
      <c r="HM81">
        <f>IFERROR(VLOOKUP($D81,'Kalkulator mięs '!$C$5:$H$533,HM$4,0)*$AR81,0)</f>
        <v>0</v>
      </c>
      <c r="HN81">
        <f>IFERROR(VLOOKUP($D81,'Kalkulator mięs '!$C$5:$H$533,HN$4,0)*$AR81,0)</f>
        <v>0</v>
      </c>
      <c r="HO81">
        <f>IFERROR(VLOOKUP($D81,'Kalkulator mięs '!$C$5:$H$533,HO$4,0)*$AS81,0)</f>
        <v>0</v>
      </c>
      <c r="HP81">
        <f>IFERROR(VLOOKUP($D81,'Kalkulator mięs '!$C$5:$H$533,HP$4,0)*$AS81,0)</f>
        <v>0</v>
      </c>
      <c r="HQ81">
        <f>IFERROR(VLOOKUP($D81,'Kalkulator mięs '!$C$5:$H$533,HQ$4,0)*$AS81,0)</f>
        <v>0</v>
      </c>
      <c r="HR81">
        <f>IFERROR(VLOOKUP($D81,'Kalkulator mięs '!$C$5:$H$533,HR$4,0)*$AT81,0)</f>
        <v>0</v>
      </c>
      <c r="HS81">
        <f>IFERROR(VLOOKUP($D81,'Kalkulator mięs '!$C$5:$H$533,HS$4,0)*$AT81,0)</f>
        <v>0</v>
      </c>
      <c r="HT81">
        <f>IFERROR(VLOOKUP($D81,'Kalkulator mięs '!$C$5:$H$533,HT$4,0)*$AT81,0)</f>
        <v>0</v>
      </c>
      <c r="HU81">
        <f>IFERROR(VLOOKUP($D81,'Kalkulator mięs '!$C$5:$H$533,HU$4,0)*$AU81,0)</f>
        <v>0</v>
      </c>
      <c r="HV81">
        <f>IFERROR(VLOOKUP($D81,'Kalkulator mięs '!$C$5:$H$533,HV$4,0)*$AU81,0)</f>
        <v>0</v>
      </c>
      <c r="HW81">
        <f>IFERROR(VLOOKUP($D81,'Kalkulator mięs '!$C$5:$H$533,HW$4,0)*$AU81,0)</f>
        <v>0</v>
      </c>
      <c r="HX81">
        <f>IFERROR(VLOOKUP($D81,'Kalkulator mięs '!$C$5:$H$533,HX$4,0)*$AV81,0)</f>
        <v>0</v>
      </c>
      <c r="HY81">
        <f>IFERROR(VLOOKUP($D81,'Kalkulator mięs '!$C$5:$H$533,HY$4,0)*$AV81,0)</f>
        <v>0</v>
      </c>
      <c r="HZ81">
        <f>IFERROR(VLOOKUP($D81,'Kalkulator mięs '!$C$5:$H$533,HZ$4,0)*$AV81,0)</f>
        <v>0</v>
      </c>
      <c r="IA81">
        <f>IFERROR(VLOOKUP($D81,'Kalkulator mięs '!$C$5:$H$533,IA$4,0)*$AW81,0)</f>
        <v>0</v>
      </c>
      <c r="IB81">
        <f>IFERROR(VLOOKUP($D81,'Kalkulator mięs '!$C$5:$H$533,IB$4,0)*$AW81,0)</f>
        <v>0</v>
      </c>
      <c r="IC81">
        <f>IFERROR(VLOOKUP($D81,'Kalkulator mięs '!$C$5:$H$533,IC$4,0)*$AW81,0)</f>
        <v>0</v>
      </c>
      <c r="ID81">
        <f>IFERROR(VLOOKUP($D81,'Kalkulator mięs '!$C$5:$H$533,ID$4,0)*$AX81,0)</f>
        <v>0</v>
      </c>
      <c r="IE81">
        <f>IFERROR(VLOOKUP($D81,'Kalkulator mięs '!$C$5:$H$533,IE$4,0)*$AX81,0)</f>
        <v>0</v>
      </c>
      <c r="IF81">
        <f>IFERROR(VLOOKUP($D81,'Kalkulator mięs '!$C$5:$H$533,IF$4,0)*$AX81,0)</f>
        <v>0</v>
      </c>
      <c r="IG81">
        <f>IFERROR(VLOOKUP($D81,'Kalkulator mięs '!$C$5:$H$533,IG$4,0)*$AY81,0)</f>
        <v>0</v>
      </c>
      <c r="IH81">
        <f>IFERROR(VLOOKUP($D81,'Kalkulator mięs '!$C$5:$H$533,IH$4,0)*$AY81,0)</f>
        <v>0</v>
      </c>
      <c r="II81">
        <f>IFERROR(VLOOKUP($D81,'Kalkulator mięs '!$C$5:$H$533,II$4,0)*$AY81,0)</f>
        <v>0</v>
      </c>
      <c r="IJ81">
        <f>IFERROR(VLOOKUP($D81,'Kalkulator mięs '!$C$5:$H$533,IJ$4,0)*$AZ81,0)</f>
        <v>0</v>
      </c>
      <c r="IK81">
        <f>IFERROR(VLOOKUP($D81,'Kalkulator mięs '!$C$5:$H$533,IK$4,0)*$AZ81,0)</f>
        <v>0</v>
      </c>
      <c r="IL81">
        <f>IFERROR(VLOOKUP($D81,'Kalkulator mięs '!$C$5:$H$533,IL$4,0)*$AZ81,0)</f>
        <v>0</v>
      </c>
      <c r="IM81">
        <f>IFERROR(VLOOKUP($D81,'Kalkulator mięs '!$C$5:$H$533,IM$4,0)*$BA81,0)</f>
        <v>0</v>
      </c>
      <c r="IN81">
        <f>IFERROR(VLOOKUP($D81,'Kalkulator mięs '!$C$5:$H$533,IN$4,0)*$BA81,0)</f>
        <v>0</v>
      </c>
      <c r="IO81">
        <f>IFERROR(VLOOKUP($D81,'Kalkulator mięs '!$C$5:$H$533,IO$4,0)*$BA81,0)</f>
        <v>0</v>
      </c>
    </row>
    <row r="82" spans="2:249" ht="15.75">
      <c r="B82" t="str">
        <f>VLOOKUP(D82,Receptury_z!$A:$B,2,0)</f>
        <v>ON</v>
      </c>
      <c r="C82" s="27">
        <v>5544</v>
      </c>
      <c r="D82" s="28">
        <v>6448</v>
      </c>
      <c r="E82" s="1" t="s">
        <v>32</v>
      </c>
      <c r="F82" s="14">
        <f>IF($B82="OFF",BE82,VLOOKUP($D82,Receptury_z!$D:$AI,F$4,0))</f>
        <v>0</v>
      </c>
      <c r="G82" s="14">
        <f>IF($B82="OFF",BF82,VLOOKUP($D82,Receptury_z!$D:$AI,G$4,0))</f>
        <v>0</v>
      </c>
      <c r="H82" s="14">
        <f>IF($B82="OFF",BG82,VLOOKUP($D82,Receptury_z!$D:$AI,H$4,0))</f>
        <v>0</v>
      </c>
      <c r="I82" s="14">
        <f>IF($B82="OFF",BH82,VLOOKUP($D82,Receptury_z!$D:$AI,I$4,0))</f>
        <v>0</v>
      </c>
      <c r="J82" s="14">
        <f>IF($B82="OFF",BI82,VLOOKUP($D82,Receptury_z!$D:$AI,J$4,0))</f>
        <v>0</v>
      </c>
      <c r="K82" s="14">
        <f>IF($B82="OFF",BJ82,VLOOKUP($D82,Receptury_z!$D:$AI,K$4,0))</f>
        <v>0</v>
      </c>
      <c r="L82" s="14">
        <f>IF($B82="OFF",BK82,VLOOKUP($D82,Receptury_z!$D:$AI,L$4,0))</f>
        <v>0</v>
      </c>
      <c r="M82" s="14">
        <f>IF($B82="OFF",BL82,VLOOKUP($D82,Receptury_z!$D:$AI,M$4,0))</f>
        <v>0</v>
      </c>
      <c r="N82" s="14">
        <f>IF($B82="OFF",BM82,VLOOKUP($D82,Receptury_z!$D:$AI,N$4,0))</f>
        <v>0</v>
      </c>
      <c r="O82" s="14">
        <f>IF($B82="OFF",BN82,VLOOKUP($D82,Receptury_z!$D:$AI,O$4,0))</f>
        <v>0</v>
      </c>
      <c r="P82" s="14">
        <f>IF($B82="OFF",BO82,VLOOKUP($D82,Receptury_z!$D:$AI,P$4,0))</f>
        <v>0</v>
      </c>
      <c r="Q82" s="14">
        <f>IF($B82="OFF",BP82,VLOOKUP($D82,Receptury_z!$D:$AI,Q$4,0))</f>
        <v>81.099999999999994</v>
      </c>
      <c r="R82" s="14">
        <f>IF($B82="OFF",BQ82,VLOOKUP($D82,Receptury_z!$D:$AI,R$4,0))</f>
        <v>0</v>
      </c>
      <c r="S82" s="14">
        <f>IF($B82="OFF",BR82,VLOOKUP($D82,Receptury_z!$D:$AI,S$4,0))</f>
        <v>0</v>
      </c>
      <c r="T82" s="14">
        <f>IF($B82="OFF",BS82,VLOOKUP($D82,Receptury_z!$D:$AI,T$4,0))</f>
        <v>0</v>
      </c>
      <c r="U82" s="14">
        <f>IF($B82="OFF",BT82,VLOOKUP($D82,Receptury_z!$D:$AI,U$4,0))</f>
        <v>0</v>
      </c>
      <c r="V82" s="14">
        <f>IF($B82="OFF",BU82,VLOOKUP($D82,Receptury_z!$D:$AI,V$4,0))</f>
        <v>0</v>
      </c>
      <c r="W82" s="14">
        <f>IF($B82="OFF",BV82,VLOOKUP($D82,Receptury_z!$D:$AI,W$4,0))</f>
        <v>0</v>
      </c>
      <c r="X82" s="14">
        <f>IF($B82="OFF",BW82,VLOOKUP($D82,Receptury_z!$D:$AI,X$4,0))</f>
        <v>0</v>
      </c>
      <c r="Y82" s="14">
        <f>IF($B82="OFF",BX82,VLOOKUP($D82,Receptury_z!$D:$AI,Y$4,0))</f>
        <v>100</v>
      </c>
      <c r="Z82" s="14">
        <f>IF($B82="OFF",BY82,VLOOKUP($D82,Receptury_z!$D:$AI,Z$4,0))</f>
        <v>0</v>
      </c>
      <c r="AA82" s="14">
        <f>IF($B82="OFF",BZ82,VLOOKUP($D82,Receptury_z!$D:$AI,AA$4,0))</f>
        <v>0</v>
      </c>
      <c r="AB82" s="14">
        <f>IF($B82="OFF",CA82,VLOOKUP($D82,Receptury_z!$D:$AI,AB$4,0))</f>
        <v>279.2</v>
      </c>
      <c r="AC82" s="14">
        <f>IF($B82="OFF",CB82,VLOOKUP($D82,Receptury_z!$D:$AI,AC$4,0))</f>
        <v>0</v>
      </c>
      <c r="AD82" s="14">
        <f>IF($B82="OFF",CC82,VLOOKUP($D82,Receptury_z!$D:$AI,AD$4,0))</f>
        <v>0</v>
      </c>
      <c r="AE82" s="14">
        <f>IF($B82="OFF",CD82,VLOOKUP($D82,Receptury_z!$D:$AI,AE$4,0))</f>
        <v>390.45</v>
      </c>
      <c r="AF82" s="14">
        <f>IF($B82="OFF",CE82,VLOOKUP($D82,Receptury_z!$D:$AI,AF$4,0))</f>
        <v>0</v>
      </c>
      <c r="AG82" s="14">
        <f>IF($B82="OFF",CF82,VLOOKUP($D82,Receptury_z!$D:$AI,AG$4,0))</f>
        <v>0</v>
      </c>
      <c r="AH82" s="14">
        <f>IF($B82="OFF",CG82,VLOOKUP($D82,Receptury_z!$D:$AI,AH$4,0))</f>
        <v>0</v>
      </c>
      <c r="AI82" s="14">
        <f>IF($B82="OFF",CH82,VLOOKUP($D82,Receptury_z!$D:$AI,AI$4,0))</f>
        <v>50</v>
      </c>
      <c r="AJ82" s="14">
        <f>IF($B82="OFF",CI82,VLOOKUP($D82,Receptury_z!$D:$AS,AJ$4,0))</f>
        <v>0</v>
      </c>
      <c r="AK82" s="14">
        <f>IF($B82="OFF",CJ82,VLOOKUP($D82,Receptury_z!$D:$AS,AK$4,0))</f>
        <v>0</v>
      </c>
      <c r="AL82" s="14">
        <f>IF($B82="OFF",CK82,VLOOKUP($D82,Receptury_z!$D:$AS,AL$4,0))</f>
        <v>0</v>
      </c>
      <c r="AM82" s="14">
        <f>IF($B82="OFF",CL82,VLOOKUP($D82,Receptury_z!$D:$AS,AM$4,0))</f>
        <v>0</v>
      </c>
      <c r="AN82" s="14">
        <f>IF($B82="OFF",CM82,VLOOKUP($D82,Receptury_z!$D:$AS,AN$4,0))</f>
        <v>0</v>
      </c>
      <c r="AO82" s="14">
        <f>IF($B82="OFF",CN82,VLOOKUP($D82,Receptury_z!$D:$AS,AO$4,0))</f>
        <v>0</v>
      </c>
      <c r="AP82" s="14">
        <f>IF($B82="OFF",CO82,VLOOKUP($D82,Receptury_z!$D:$AS,AP$4,0))</f>
        <v>0</v>
      </c>
      <c r="AQ82" s="14">
        <f>IF($B82="OFF",CP82,VLOOKUP($D82,Receptury_z!$D:$AS,AQ$4,0))</f>
        <v>0</v>
      </c>
      <c r="AR82" s="14">
        <f>IF($B82="OFF",CQ82,VLOOKUP($D82,Receptury_z!$D:$AS,AR$4,0))</f>
        <v>0</v>
      </c>
      <c r="AS82" s="14">
        <f>IF($B82="OFF",CR82,VLOOKUP($D82,Receptury_z!$D:$AS,AS$4,0))</f>
        <v>0</v>
      </c>
      <c r="AT82" s="14">
        <f>IF($B82="OFF",CS82,VLOOKUP($D82,Receptury_z!$D:$AV,AT$4,0))</f>
        <v>0</v>
      </c>
      <c r="AU82" s="14">
        <f>IF($B82="OFF",CT82,VLOOKUP($D82,Receptury_z!$D:$AV,AU$4,0))</f>
        <v>0</v>
      </c>
      <c r="AV82" s="14">
        <f>IF($B82="OFF",CU82,VLOOKUP($D82,Receptury_z!$D:$AV,AV$4,0))</f>
        <v>0</v>
      </c>
      <c r="AW82" s="14">
        <f>IF($B82="OFF",CV82,VLOOKUP($D82,Receptury_z!$D:$BA,AW$4,0))</f>
        <v>0</v>
      </c>
      <c r="AX82" s="14">
        <f>IF($B82="OFF",CW82,VLOOKUP($D82,Receptury_z!$D:$BA,AX$4,0))</f>
        <v>0</v>
      </c>
      <c r="AY82" s="14">
        <f>IF($B82="OFF",CX82,VLOOKUP($D82,Receptury_z!$D:$BA,AY$4,0))</f>
        <v>0</v>
      </c>
      <c r="AZ82" s="14">
        <f>IF($B82="OFF",DA82,VLOOKUP($D82,Receptury_z!$D:$BA,AZ$4,0))</f>
        <v>0</v>
      </c>
      <c r="BA82" s="14">
        <f>IF($B82="OFF",DB82,VLOOKUP($D82,Receptury_z!$D:$BA,BA$4,0))</f>
        <v>0</v>
      </c>
      <c r="BC82" s="28">
        <v>6448</v>
      </c>
      <c r="BD82" s="1" t="s">
        <v>32</v>
      </c>
      <c r="BE82" s="239">
        <v>0</v>
      </c>
      <c r="BF82" s="239">
        <v>0</v>
      </c>
      <c r="BG82" s="239">
        <v>0</v>
      </c>
      <c r="BH82" s="239">
        <v>0</v>
      </c>
      <c r="BI82" s="239">
        <v>0</v>
      </c>
      <c r="BJ82" s="239">
        <v>0</v>
      </c>
      <c r="BK82" s="239">
        <v>0</v>
      </c>
      <c r="BL82" s="239">
        <v>0</v>
      </c>
      <c r="BM82" s="239">
        <v>0</v>
      </c>
      <c r="BN82" s="239">
        <v>101.16</v>
      </c>
      <c r="BO82" s="239">
        <v>0</v>
      </c>
      <c r="BP82" s="239">
        <v>81.599999999999994</v>
      </c>
      <c r="BQ82" s="239">
        <v>0</v>
      </c>
      <c r="BR82" s="239">
        <v>0</v>
      </c>
      <c r="BS82" s="239">
        <v>0</v>
      </c>
      <c r="BT82" s="239">
        <v>0</v>
      </c>
      <c r="BU82" s="239">
        <v>0</v>
      </c>
      <c r="BV82" s="239">
        <v>0</v>
      </c>
      <c r="BW82" s="239">
        <v>0</v>
      </c>
      <c r="BX82" s="239">
        <v>0</v>
      </c>
      <c r="BY82" s="239">
        <v>0</v>
      </c>
      <c r="BZ82" s="239">
        <v>0</v>
      </c>
      <c r="CA82" s="239">
        <v>234.19</v>
      </c>
      <c r="CB82" s="239">
        <v>0</v>
      </c>
      <c r="CC82" s="239">
        <v>0</v>
      </c>
      <c r="CD82" s="240">
        <v>405.3</v>
      </c>
      <c r="CE82" s="239">
        <v>50</v>
      </c>
      <c r="CF82" s="239">
        <v>0</v>
      </c>
      <c r="CG82" s="239">
        <v>0</v>
      </c>
      <c r="CH82" s="239">
        <v>50</v>
      </c>
      <c r="CI82" s="239">
        <v>0</v>
      </c>
      <c r="CJ82" s="239">
        <v>100</v>
      </c>
      <c r="CK82" s="239">
        <v>0</v>
      </c>
      <c r="CL82" s="239">
        <v>0</v>
      </c>
      <c r="CM82" s="80"/>
      <c r="CN82" s="80"/>
      <c r="CO82" s="80"/>
      <c r="CP82" s="80"/>
      <c r="CQ82" s="80"/>
      <c r="CR82" s="80"/>
      <c r="CS82" s="80"/>
      <c r="CT82" s="80"/>
      <c r="CU82" s="80"/>
      <c r="CV82" s="80"/>
      <c r="CW82" s="80"/>
      <c r="CX82" s="80"/>
      <c r="CY82" s="80"/>
      <c r="CZ82" s="80"/>
      <c r="DB82">
        <f>IFERROR(VLOOKUP($D82,'Kalkulator mięs '!$C$5:$H$533,DB$4,0)*F82,0)</f>
        <v>0</v>
      </c>
      <c r="DC82">
        <f>IFERROR(VLOOKUP($D82,'Kalkulator mięs '!$C$5:$H$533,DC$4,0)*F82,0)</f>
        <v>0</v>
      </c>
      <c r="DD82">
        <f>IFERROR(VLOOKUP($D82,'Kalkulator mięs '!$C$5:$H$533,DD$4,0)*F82,0)</f>
        <v>0</v>
      </c>
      <c r="DE82">
        <f>IFERROR(VLOOKUP($D82,'Kalkulator mięs '!$C$5:$H$533,DE$4,0)*$G82,0)</f>
        <v>0</v>
      </c>
      <c r="DF82">
        <f>IFERROR(VLOOKUP($D82,'Kalkulator mięs '!$C$5:$H$533,DF$4,0)*$G82,0)</f>
        <v>0</v>
      </c>
      <c r="DG82">
        <f>IFERROR(VLOOKUP($D82,'Kalkulator mięs '!$C$5:$H$533,DG$4,0)*$G82,0)</f>
        <v>0</v>
      </c>
      <c r="DH82">
        <f>IFERROR(VLOOKUP($D82,'Kalkulator mięs '!$C$5:$H$533,DH$4,0)*$H82,0)</f>
        <v>0</v>
      </c>
      <c r="DI82">
        <f>IFERROR(VLOOKUP($D82,'Kalkulator mięs '!$C$5:$H$533,DI$4,0)*$H82,0)</f>
        <v>0</v>
      </c>
      <c r="DJ82">
        <f>IFERROR(VLOOKUP($D82,'Kalkulator mięs '!$C$5:$H$533,DJ$4,0)*$H82,0)</f>
        <v>0</v>
      </c>
      <c r="DK82">
        <f>IFERROR(VLOOKUP($D82,'Kalkulator mięs '!$C$5:$H$533,DK$4,0)*$I82,0)</f>
        <v>0</v>
      </c>
      <c r="DL82">
        <f>IFERROR(VLOOKUP($D82,'Kalkulator mięs '!$C$5:$H$533,DL$4,0)*$I82,0)</f>
        <v>0</v>
      </c>
      <c r="DM82">
        <f>IFERROR(VLOOKUP($D82,'Kalkulator mięs '!$C$5:$H$533,DM$4,0)*$I82,0)</f>
        <v>0</v>
      </c>
      <c r="DN82">
        <f>IFERROR(VLOOKUP($D82,'Kalkulator mięs '!$C$5:$H$533,DN$4,0)*$J82,0)</f>
        <v>0</v>
      </c>
      <c r="DO82">
        <f>IFERROR(VLOOKUP($D82,'Kalkulator mięs '!$C$5:$H$533,DO$4,0)*$J82,0)</f>
        <v>0</v>
      </c>
      <c r="DP82">
        <f>IFERROR(VLOOKUP($D82,'Kalkulator mięs '!$C$5:$H$533,DP$4,0)*$J82,0)</f>
        <v>0</v>
      </c>
      <c r="DQ82">
        <f>IFERROR(VLOOKUP($D82,'Kalkulator mięs '!$C$5:$H$533,DQ$4,0)*$K82,0)</f>
        <v>0</v>
      </c>
      <c r="DR82">
        <f>IFERROR(VLOOKUP($D82,'Kalkulator mięs '!$C$5:$H$533,DR$4,0)*$K82,0)</f>
        <v>0</v>
      </c>
      <c r="DS82">
        <f>IFERROR(VLOOKUP($D82,'Kalkulator mięs '!$C$5:$H$533,DS$4,0)*$K82,0)</f>
        <v>0</v>
      </c>
      <c r="DT82">
        <f>IFERROR(VLOOKUP($D82,'Kalkulator mięs '!$C$5:$H$533,DT$4,0)*$L82,0)</f>
        <v>0</v>
      </c>
      <c r="DU82">
        <f>IFERROR(VLOOKUP($D82,'Kalkulator mięs '!$C$5:$H$533,DU$4,0)*$L82,0)</f>
        <v>0</v>
      </c>
      <c r="DV82">
        <f>IFERROR(VLOOKUP($D82,'Kalkulator mięs '!$C$5:$H$533,DV$4,0)*$L82,0)</f>
        <v>0</v>
      </c>
      <c r="DW82">
        <f>IFERROR(VLOOKUP($D82,'Kalkulator mięs '!$C$5:$H$533,DW$4,0)*$M82,0)</f>
        <v>0</v>
      </c>
      <c r="DX82">
        <f>IFERROR(VLOOKUP($D82,'Kalkulator mięs '!$C$5:$H$533,DX$4,0)*$M82,0)</f>
        <v>0</v>
      </c>
      <c r="DY82">
        <f>IFERROR(VLOOKUP($D82,'Kalkulator mięs '!$C$5:$H$533,DY$4,0)*$M82,0)</f>
        <v>0</v>
      </c>
      <c r="DZ82">
        <f>IFERROR(VLOOKUP($D82,'Kalkulator mięs '!$C$5:$H$533,DZ$4,0)*$N82,0)</f>
        <v>0</v>
      </c>
      <c r="EA82">
        <f>IFERROR(VLOOKUP($D82,'Kalkulator mięs '!$C$5:$H$533,EA$4,0)*$N82,0)</f>
        <v>0</v>
      </c>
      <c r="EB82">
        <f>IFERROR(VLOOKUP($D82,'Kalkulator mięs '!$C$5:$H$533,EB$4,0)*$N82,0)</f>
        <v>0</v>
      </c>
      <c r="EC82">
        <f>IFERROR(VLOOKUP($D82,'Kalkulator mięs '!$C$5:$H$533,EC$4,0)*$O82,0)</f>
        <v>0</v>
      </c>
      <c r="ED82">
        <f>IFERROR(VLOOKUP($D82,'Kalkulator mięs '!$C$5:$H$533,ED$4,0)*$O82,0)</f>
        <v>0</v>
      </c>
      <c r="EE82">
        <f>IFERROR(VLOOKUP($D82,'Kalkulator mięs '!$C$5:$H$533,EE$4,0)*$O82,0)</f>
        <v>0</v>
      </c>
      <c r="EF82">
        <f>IFERROR(VLOOKUP($D82,'Kalkulator mięs '!$C$5:$H$533,EF$4,0)*$P82,0)</f>
        <v>0</v>
      </c>
      <c r="EG82">
        <f>IFERROR(VLOOKUP($D82,'Kalkulator mięs '!$C$5:$H$533,EG$4,0)*$P82,0)</f>
        <v>0</v>
      </c>
      <c r="EH82">
        <f>IFERROR(VLOOKUP($D82,'Kalkulator mięs '!$C$5:$H$533,EH$4,0)*$P82,0)</f>
        <v>0</v>
      </c>
      <c r="EI82">
        <f>IFERROR(VLOOKUP($D82,'Kalkulator mięs '!$C$5:$H$533,EI$4,0)*$Q82,0)</f>
        <v>0</v>
      </c>
      <c r="EJ82">
        <f>IFERROR(VLOOKUP($D82,'Kalkulator mięs '!$C$5:$H$533,EJ$4,0)*$Q82,0)</f>
        <v>0</v>
      </c>
      <c r="EK82">
        <f>IFERROR(VLOOKUP($D82,'Kalkulator mięs '!$C$5:$H$533,EK$4,0)*$Q82,0)</f>
        <v>0</v>
      </c>
      <c r="EL82">
        <f>IFERROR(VLOOKUP($D82,'Kalkulator mięs '!$C$5:$H$533,EL$4,0)*$R82,0)</f>
        <v>0</v>
      </c>
      <c r="EM82">
        <f>IFERROR(VLOOKUP($D82,'Kalkulator mięs '!$C$5:$H$533,EM$4,0)*$R82,0)</f>
        <v>0</v>
      </c>
      <c r="EN82">
        <f>IFERROR(VLOOKUP($D82,'Kalkulator mięs '!$C$5:$H$533,EN$4,0)*$R82,0)</f>
        <v>0</v>
      </c>
      <c r="EO82">
        <f>IFERROR(VLOOKUP($D82,'Kalkulator mięs '!$C$5:$H$533,EO$4,0)*$S82,0)</f>
        <v>0</v>
      </c>
      <c r="EP82">
        <f>IFERROR(VLOOKUP($D82,'Kalkulator mięs '!$C$5:$H$533,EP$4,0)*$S82,0)</f>
        <v>0</v>
      </c>
      <c r="EQ82">
        <f>IFERROR(VLOOKUP($D82,'Kalkulator mięs '!$C$5:$H$533,EQ$4,0)*$S82,0)</f>
        <v>0</v>
      </c>
      <c r="ER82">
        <f>IFERROR(VLOOKUP($D82,'Kalkulator mięs '!$C$5:$H$533,ER$4,0)*$T82,0)</f>
        <v>0</v>
      </c>
      <c r="ES82">
        <f>IFERROR(VLOOKUP($D82,'Kalkulator mięs '!$C$5:$H$533,ES$4,0)*$T82,0)</f>
        <v>0</v>
      </c>
      <c r="ET82">
        <f>IFERROR(VLOOKUP($D82,'Kalkulator mięs '!$C$5:$H$533,ET$4,0)*$T82,0)</f>
        <v>0</v>
      </c>
      <c r="EU82">
        <f>IFERROR(VLOOKUP($D82,'Kalkulator mięs '!$C$5:$H$533,EU$4,0)*$U82,0)</f>
        <v>0</v>
      </c>
      <c r="EV82">
        <f>IFERROR(VLOOKUP($D82,'Kalkulator mięs '!$C$5:$H$533,EV$4,0)*$U82,0)</f>
        <v>0</v>
      </c>
      <c r="EW82">
        <f>IFERROR(VLOOKUP($D82,'Kalkulator mięs '!$C$5:$H$533,EW$4,0)*$U82,0)</f>
        <v>0</v>
      </c>
      <c r="EX82">
        <f>IFERROR(VLOOKUP($D82,'Kalkulator mięs '!$C$5:$H$533,EX$4,0)*$V82,0)</f>
        <v>0</v>
      </c>
      <c r="EY82">
        <f>IFERROR(VLOOKUP($D82,'Kalkulator mięs '!$C$5:$H$533,EY$4,0)*$V82,0)</f>
        <v>0</v>
      </c>
      <c r="EZ82">
        <f>IFERROR(VLOOKUP($D82,'Kalkulator mięs '!$C$5:$H$533,EZ$4,0)*$V82,0)</f>
        <v>0</v>
      </c>
      <c r="FA82">
        <f>IFERROR(VLOOKUP($D82,'Kalkulator mięs '!$C$5:$H$533,FA$4,0)*$W82,0)</f>
        <v>0</v>
      </c>
      <c r="FB82">
        <f>IFERROR(VLOOKUP($D82,'Kalkulator mięs '!$C$5:$H$533,FB$4,0)*$W82,0)</f>
        <v>0</v>
      </c>
      <c r="FC82">
        <f>IFERROR(VLOOKUP($D82,'Kalkulator mięs '!$C$5:$H$533,FC$4,0)*$W82,0)</f>
        <v>0</v>
      </c>
      <c r="FD82">
        <f>IFERROR(VLOOKUP($D82,'Kalkulator mięs '!$C$5:$H$533,FD$4,0)*$X82,0)</f>
        <v>0</v>
      </c>
      <c r="FE82">
        <f>IFERROR(VLOOKUP($D82,'Kalkulator mięs '!$C$5:$H$533,FE$4,0)*$X82,0)</f>
        <v>0</v>
      </c>
      <c r="FF82">
        <f>IFERROR(VLOOKUP($D82,'Kalkulator mięs '!$C$5:$H$533,FF$4,0)*$X82,0)</f>
        <v>0</v>
      </c>
      <c r="FG82">
        <f>IFERROR(VLOOKUP($D82,'Kalkulator mięs '!$C$5:$H$533,FG$4,0)*$Y82,0)</f>
        <v>0</v>
      </c>
      <c r="FH82">
        <f>IFERROR(VLOOKUP($D82,'Kalkulator mięs '!$C$5:$H$533,FH$4,0)*$Y82,0)</f>
        <v>0</v>
      </c>
      <c r="FI82">
        <f>IFERROR(VLOOKUP($D82,'Kalkulator mięs '!$C$5:$H$533,FI$4,0)*$Y82,0)</f>
        <v>0</v>
      </c>
      <c r="FJ82">
        <f>IFERROR(VLOOKUP($D82,'Kalkulator mięs '!$C$5:$H$533,FJ$4,0)*$Z82,0)</f>
        <v>0</v>
      </c>
      <c r="FK82">
        <f>IFERROR(VLOOKUP($D82,'Kalkulator mięs '!$C$5:$H$533,FK$4,0)*$Z82,0)</f>
        <v>0</v>
      </c>
      <c r="FL82">
        <f>IFERROR(VLOOKUP($D82,'Kalkulator mięs '!$C$5:$H$533,FL$4,0)*$Z82,0)</f>
        <v>0</v>
      </c>
      <c r="FM82">
        <f>IFERROR(VLOOKUP($D82,'Kalkulator mięs '!$C$5:$H$533,FM$4,0)*$AA82,0)</f>
        <v>0</v>
      </c>
      <c r="FN82">
        <f>IFERROR(VLOOKUP($D82,'Kalkulator mięs '!$C$5:$H$533,FN$4,0)*$AA82,0)</f>
        <v>0</v>
      </c>
      <c r="FO82">
        <f>IFERROR(VLOOKUP($D82,'Kalkulator mięs '!$C$5:$H$533,FO$4,0)*$AA82,0)</f>
        <v>0</v>
      </c>
      <c r="FP82">
        <f>IFERROR(VLOOKUP($D82,'Kalkulator mięs '!$C$5:$H$533,FP$4,0)*$AB82,0)</f>
        <v>0</v>
      </c>
      <c r="FQ82">
        <f>IFERROR(VLOOKUP($D82,'Kalkulator mięs '!$C$5:$H$533,FQ$4,0)*$AB82,0)</f>
        <v>0</v>
      </c>
      <c r="FR82">
        <f>IFERROR(VLOOKUP($D82,'Kalkulator mięs '!$C$5:$H$533,FR$4,0)*$AB82,0)</f>
        <v>0</v>
      </c>
      <c r="FS82">
        <f>IFERROR(VLOOKUP($D82,'Kalkulator mięs '!$C$5:$H$533,FS$4,0)*$AC82,0)</f>
        <v>0</v>
      </c>
      <c r="FT82">
        <f>IFERROR(VLOOKUP($D82,'Kalkulator mięs '!$C$5:$H$533,FT$4,0)*$AC82,0)</f>
        <v>0</v>
      </c>
      <c r="FU82">
        <f>IFERROR(VLOOKUP($D82,'Kalkulator mięs '!$C$5:$H$533,FU$4,0)*$AC82,0)</f>
        <v>0</v>
      </c>
      <c r="FV82">
        <f>IFERROR(VLOOKUP($D82,'Kalkulator mięs '!$C$5:$H$533,FV$4,0)*$AD82,0)</f>
        <v>0</v>
      </c>
      <c r="FW82">
        <f>IFERROR(VLOOKUP($D82,'Kalkulator mięs '!$C$5:$H$533,FW$4,0)*$AD82,0)</f>
        <v>0</v>
      </c>
      <c r="FX82">
        <f>IFERROR(VLOOKUP($D82,'Kalkulator mięs '!$C$5:$H$533,FX$4,0)*$AD82,0)</f>
        <v>0</v>
      </c>
      <c r="FY82">
        <f>IFERROR(VLOOKUP($D82,'Kalkulator mięs '!$C$5:$H$533,FY$4,0)*$AE82,0)</f>
        <v>0</v>
      </c>
      <c r="FZ82">
        <f>IFERROR(VLOOKUP($D82,'Kalkulator mięs '!$C$5:$H$533,FZ$4,0)*$AE82,0)</f>
        <v>0</v>
      </c>
      <c r="GA82">
        <f>IFERROR(VLOOKUP($D82,'Kalkulator mięs '!$C$5:$H$533,GA$4,0)*$AE82,0)</f>
        <v>0</v>
      </c>
      <c r="GB82">
        <f>IFERROR(VLOOKUP($D82,'Kalkulator mięs '!$C$5:$H$533,GB$4,0)*$AF82,0)</f>
        <v>0</v>
      </c>
      <c r="GC82">
        <f>IFERROR(VLOOKUP($D82,'Kalkulator mięs '!$C$5:$H$533,GC$4,0)*$AF82,0)</f>
        <v>0</v>
      </c>
      <c r="GD82">
        <f>IFERROR(VLOOKUP($D82,'Kalkulator mięs '!$C$5:$H$533,GD$4,0)*$AF82,0)</f>
        <v>0</v>
      </c>
      <c r="GE82">
        <f>IFERROR(VLOOKUP($D82,'Kalkulator mięs '!$C$5:$H$533,GE$4,0)*$AG82,0)</f>
        <v>0</v>
      </c>
      <c r="GF82">
        <f>IFERROR(VLOOKUP($D82,'Kalkulator mięs '!$C$5:$H$533,GF$4,0)*$AG82,0)</f>
        <v>0</v>
      </c>
      <c r="GG82">
        <f>IFERROR(VLOOKUP($D82,'Kalkulator mięs '!$C$5:$H$533,GG$4,0)*$AG82,0)</f>
        <v>0</v>
      </c>
      <c r="GH82">
        <f>IFERROR(VLOOKUP($D82,'Kalkulator mięs '!$C$5:$H$533,GH$4,0)*$AH82,0)</f>
        <v>0</v>
      </c>
      <c r="GI82">
        <f>IFERROR(VLOOKUP($D82,'Kalkulator mięs '!$C$5:$H$533,GI$4,0)*$AH82,0)</f>
        <v>0</v>
      </c>
      <c r="GJ82">
        <f>IFERROR(VLOOKUP($D82,'Kalkulator mięs '!$C$5:$H$533,GJ$4,0)*$AH82,0)</f>
        <v>0</v>
      </c>
      <c r="GK82">
        <f>IFERROR(VLOOKUP($D82,'Kalkulator mięs '!$C$5:$H$533,GK$4,0)*$AI82,0)</f>
        <v>0</v>
      </c>
      <c r="GL82">
        <f>IFERROR(VLOOKUP($D82,'Kalkulator mięs '!$C$5:$H$533,GL$4,0)*$AI82,0)</f>
        <v>0</v>
      </c>
      <c r="GM82">
        <f>IFERROR(VLOOKUP($D82,'Kalkulator mięs '!$C$5:$H$533,GM$4,0)*$AI82,0)</f>
        <v>0</v>
      </c>
      <c r="GN82">
        <f>IFERROR(VLOOKUP($D82,'Kalkulator mięs '!$C$5:$H$533,GN$4,0)*$AJ82,0)</f>
        <v>0</v>
      </c>
      <c r="GO82">
        <f>IFERROR(VLOOKUP($D82,'Kalkulator mięs '!$C$5:$H$533,GO$4,0)*$AJ82,0)</f>
        <v>0</v>
      </c>
      <c r="GP82">
        <f>IFERROR(VLOOKUP($D82,'Kalkulator mięs '!$C$5:$H$533,GP$4,0)*$AJ82,0)</f>
        <v>0</v>
      </c>
      <c r="GQ82">
        <f>IFERROR(VLOOKUP($D82,'Kalkulator mięs '!$C$5:$H$533,GQ$4,0)*$AK82,0)</f>
        <v>0</v>
      </c>
      <c r="GR82">
        <f>IFERROR(VLOOKUP($D82,'Kalkulator mięs '!$C$5:$H$533,GR$4,0)*$AK82,0)</f>
        <v>0</v>
      </c>
      <c r="GS82">
        <f>IFERROR(VLOOKUP($D82,'Kalkulator mięs '!$C$5:$H$533,GS$4,0)*$AK82,0)</f>
        <v>0</v>
      </c>
      <c r="GT82">
        <f>IFERROR(VLOOKUP($D82,'Kalkulator mięs '!$C$5:$H$533,GT$4,0)*$AL82,0)</f>
        <v>0</v>
      </c>
      <c r="GU82">
        <f>IFERROR(VLOOKUP($D82,'Kalkulator mięs '!$C$5:$H$533,GU$4,0)*$AL82,0)</f>
        <v>0</v>
      </c>
      <c r="GV82">
        <f>IFERROR(VLOOKUP($D82,'Kalkulator mięs '!$C$5:$H$533,GV$4,0)*$AL82,0)</f>
        <v>0</v>
      </c>
      <c r="GW82">
        <f>IFERROR(VLOOKUP($D82,'Kalkulator mięs '!$C$5:$H$533,GW$4,0)*$AM82,0)</f>
        <v>0</v>
      </c>
      <c r="GX82">
        <f>IFERROR(VLOOKUP($D82,'Kalkulator mięs '!$C$5:$H$533,GX$4,0)*$AM82,0)</f>
        <v>0</v>
      </c>
      <c r="GY82">
        <f>IFERROR(VLOOKUP($D82,'Kalkulator mięs '!$C$5:$H$533,GY$4,0)*$AM82,0)</f>
        <v>0</v>
      </c>
      <c r="GZ82">
        <f>IFERROR(VLOOKUP($D82,'Kalkulator mięs '!$C$5:$H$533,GZ$4,0)*$AN82,0)</f>
        <v>0</v>
      </c>
      <c r="HA82">
        <f>IFERROR(VLOOKUP($D82,'Kalkulator mięs '!$C$5:$H$533,HA$4,0)*$AN82,0)</f>
        <v>0</v>
      </c>
      <c r="HB82">
        <f>IFERROR(VLOOKUP($D82,'Kalkulator mięs '!$C$5:$H$533,HB$4,0)*$AN82,0)</f>
        <v>0</v>
      </c>
      <c r="HC82">
        <f>IFERROR(VLOOKUP($D82,'Kalkulator mięs '!$C$5:$H$533,HC$4,0)*$AO82,0)</f>
        <v>0</v>
      </c>
      <c r="HD82">
        <f>IFERROR(VLOOKUP($D82,'Kalkulator mięs '!$C$5:$H$533,HD$4,0)*$AO82,0)</f>
        <v>0</v>
      </c>
      <c r="HE82">
        <f>IFERROR(VLOOKUP($D82,'Kalkulator mięs '!$C$5:$H$533,HE$4,0)*$AO82,0)</f>
        <v>0</v>
      </c>
      <c r="HF82">
        <f>IFERROR(VLOOKUP($D82,'Kalkulator mięs '!$C$5:$H$533,HF$4,0)*$AP82,0)</f>
        <v>0</v>
      </c>
      <c r="HG82">
        <f>IFERROR(VLOOKUP($D82,'Kalkulator mięs '!$C$5:$H$533,HG$4,0)*$AP82,0)</f>
        <v>0</v>
      </c>
      <c r="HH82">
        <f>IFERROR(VLOOKUP($D82,'Kalkulator mięs '!$C$5:$H$533,HH$4,0)*$AP82,0)</f>
        <v>0</v>
      </c>
      <c r="HI82">
        <f>IFERROR(VLOOKUP($D82,'Kalkulator mięs '!$C$5:$H$533,HI$4,0)*$AQ82,0)</f>
        <v>0</v>
      </c>
      <c r="HJ82">
        <f>IFERROR(VLOOKUP($D82,'Kalkulator mięs '!$C$5:$H$533,HJ$4,0)*$AQ82,0)</f>
        <v>0</v>
      </c>
      <c r="HK82">
        <f>IFERROR(VLOOKUP($D82,'Kalkulator mięs '!$C$5:$H$533,HK$4,0)*$AQ82,0)</f>
        <v>0</v>
      </c>
      <c r="HL82">
        <f>IFERROR(VLOOKUP($D82,'Kalkulator mięs '!$C$5:$H$533,HL$4,0)*$AR82,0)</f>
        <v>0</v>
      </c>
      <c r="HM82">
        <f>IFERROR(VLOOKUP($D82,'Kalkulator mięs '!$C$5:$H$533,HM$4,0)*$AR82,0)</f>
        <v>0</v>
      </c>
      <c r="HN82">
        <f>IFERROR(VLOOKUP($D82,'Kalkulator mięs '!$C$5:$H$533,HN$4,0)*$AR82,0)</f>
        <v>0</v>
      </c>
      <c r="HO82">
        <f>IFERROR(VLOOKUP($D82,'Kalkulator mięs '!$C$5:$H$533,HO$4,0)*$AS82,0)</f>
        <v>0</v>
      </c>
      <c r="HP82">
        <f>IFERROR(VLOOKUP($D82,'Kalkulator mięs '!$C$5:$H$533,HP$4,0)*$AS82,0)</f>
        <v>0</v>
      </c>
      <c r="HQ82">
        <f>IFERROR(VLOOKUP($D82,'Kalkulator mięs '!$C$5:$H$533,HQ$4,0)*$AS82,0)</f>
        <v>0</v>
      </c>
      <c r="HR82">
        <f>IFERROR(VLOOKUP($D82,'Kalkulator mięs '!$C$5:$H$533,HR$4,0)*$AT82,0)</f>
        <v>0</v>
      </c>
      <c r="HS82">
        <f>IFERROR(VLOOKUP($D82,'Kalkulator mięs '!$C$5:$H$533,HS$4,0)*$AT82,0)</f>
        <v>0</v>
      </c>
      <c r="HT82">
        <f>IFERROR(VLOOKUP($D82,'Kalkulator mięs '!$C$5:$H$533,HT$4,0)*$AT82,0)</f>
        <v>0</v>
      </c>
      <c r="HU82">
        <f>IFERROR(VLOOKUP($D82,'Kalkulator mięs '!$C$5:$H$533,HU$4,0)*$AU82,0)</f>
        <v>0</v>
      </c>
      <c r="HV82">
        <f>IFERROR(VLOOKUP($D82,'Kalkulator mięs '!$C$5:$H$533,HV$4,0)*$AU82,0)</f>
        <v>0</v>
      </c>
      <c r="HW82">
        <f>IFERROR(VLOOKUP($D82,'Kalkulator mięs '!$C$5:$H$533,HW$4,0)*$AU82,0)</f>
        <v>0</v>
      </c>
      <c r="HX82">
        <f>IFERROR(VLOOKUP($D82,'Kalkulator mięs '!$C$5:$H$533,HX$4,0)*$AV82,0)</f>
        <v>0</v>
      </c>
      <c r="HY82">
        <f>IFERROR(VLOOKUP($D82,'Kalkulator mięs '!$C$5:$H$533,HY$4,0)*$AV82,0)</f>
        <v>0</v>
      </c>
      <c r="HZ82">
        <f>IFERROR(VLOOKUP($D82,'Kalkulator mięs '!$C$5:$H$533,HZ$4,0)*$AV82,0)</f>
        <v>0</v>
      </c>
      <c r="IA82">
        <f>IFERROR(VLOOKUP($D82,'Kalkulator mięs '!$C$5:$H$533,IA$4,0)*$AW82,0)</f>
        <v>0</v>
      </c>
      <c r="IB82">
        <f>IFERROR(VLOOKUP($D82,'Kalkulator mięs '!$C$5:$H$533,IB$4,0)*$AW82,0)</f>
        <v>0</v>
      </c>
      <c r="IC82">
        <f>IFERROR(VLOOKUP($D82,'Kalkulator mięs '!$C$5:$H$533,IC$4,0)*$AW82,0)</f>
        <v>0</v>
      </c>
      <c r="ID82">
        <f>IFERROR(VLOOKUP($D82,'Kalkulator mięs '!$C$5:$H$533,ID$4,0)*$AX82,0)</f>
        <v>0</v>
      </c>
      <c r="IE82">
        <f>IFERROR(VLOOKUP($D82,'Kalkulator mięs '!$C$5:$H$533,IE$4,0)*$AX82,0)</f>
        <v>0</v>
      </c>
      <c r="IF82">
        <f>IFERROR(VLOOKUP($D82,'Kalkulator mięs '!$C$5:$H$533,IF$4,0)*$AX82,0)</f>
        <v>0</v>
      </c>
      <c r="IG82">
        <f>IFERROR(VLOOKUP($D82,'Kalkulator mięs '!$C$5:$H$533,IG$4,0)*$AY82,0)</f>
        <v>0</v>
      </c>
      <c r="IH82">
        <f>IFERROR(VLOOKUP($D82,'Kalkulator mięs '!$C$5:$H$533,IH$4,0)*$AY82,0)</f>
        <v>0</v>
      </c>
      <c r="II82">
        <f>IFERROR(VLOOKUP($D82,'Kalkulator mięs '!$C$5:$H$533,II$4,0)*$AY82,0)</f>
        <v>0</v>
      </c>
      <c r="IJ82">
        <f>IFERROR(VLOOKUP($D82,'Kalkulator mięs '!$C$5:$H$533,IJ$4,0)*$AZ82,0)</f>
        <v>0</v>
      </c>
      <c r="IK82">
        <f>IFERROR(VLOOKUP($D82,'Kalkulator mięs '!$C$5:$H$533,IK$4,0)*$AZ82,0)</f>
        <v>0</v>
      </c>
      <c r="IL82">
        <f>IFERROR(VLOOKUP($D82,'Kalkulator mięs '!$C$5:$H$533,IL$4,0)*$AZ82,0)</f>
        <v>0</v>
      </c>
      <c r="IM82">
        <f>IFERROR(VLOOKUP($D82,'Kalkulator mięs '!$C$5:$H$533,IM$4,0)*$BA82,0)</f>
        <v>0</v>
      </c>
      <c r="IN82">
        <f>IFERROR(VLOOKUP($D82,'Kalkulator mięs '!$C$5:$H$533,IN$4,0)*$BA82,0)</f>
        <v>0</v>
      </c>
      <c r="IO82">
        <f>IFERROR(VLOOKUP($D82,'Kalkulator mięs '!$C$5:$H$533,IO$4,0)*$BA82,0)</f>
        <v>0</v>
      </c>
    </row>
    <row r="83" spans="2:249" ht="15.75">
      <c r="B83" t="str">
        <f>VLOOKUP(D83,Receptury_z!$A:$B,2,0)</f>
        <v>ON</v>
      </c>
      <c r="C83" s="27">
        <v>5594</v>
      </c>
      <c r="D83" s="28">
        <v>6479</v>
      </c>
      <c r="E83" s="1" t="s">
        <v>15439</v>
      </c>
      <c r="F83" s="14">
        <f>IF($B83="OFF",BE83,VLOOKUP($D83,Receptury_z!$D:$AI,F$4,0))</f>
        <v>0</v>
      </c>
      <c r="G83" s="14">
        <f>IF($B83="OFF",BF83,VLOOKUP($D83,Receptury_z!$D:$AI,G$4,0))</f>
        <v>0</v>
      </c>
      <c r="H83" s="14">
        <f>IF($B83="OFF",BG83,VLOOKUP($D83,Receptury_z!$D:$AI,H$4,0))</f>
        <v>0</v>
      </c>
      <c r="I83" s="14">
        <f>IF($B83="OFF",BH83,VLOOKUP($D83,Receptury_z!$D:$AI,I$4,0))</f>
        <v>0</v>
      </c>
      <c r="J83" s="14">
        <f>IF($B83="OFF",BI83,VLOOKUP($D83,Receptury_z!$D:$AI,J$4,0))</f>
        <v>0</v>
      </c>
      <c r="K83" s="14">
        <f>IF($B83="OFF",BJ83,VLOOKUP($D83,Receptury_z!$D:$AI,K$4,0))</f>
        <v>0</v>
      </c>
      <c r="L83" s="14">
        <f>IF($B83="OFF",BK83,VLOOKUP($D83,Receptury_z!$D:$AI,L$4,0))</f>
        <v>0</v>
      </c>
      <c r="M83" s="14">
        <f>IF($B83="OFF",BL83,VLOOKUP($D83,Receptury_z!$D:$AI,M$4,0))</f>
        <v>0</v>
      </c>
      <c r="N83" s="14">
        <f>IF($B83="OFF",BM83,VLOOKUP($D83,Receptury_z!$D:$AI,N$4,0))</f>
        <v>0</v>
      </c>
      <c r="O83" s="14">
        <f>IF($B83="OFF",BN83,VLOOKUP($D83,Receptury_z!$D:$AI,O$4,0))</f>
        <v>0</v>
      </c>
      <c r="P83" s="14">
        <f>IF($B83="OFF",BO83,VLOOKUP($D83,Receptury_z!$D:$AI,P$4,0))</f>
        <v>0</v>
      </c>
      <c r="Q83" s="14">
        <f>IF($B83="OFF",BP83,VLOOKUP($D83,Receptury_z!$D:$AI,Q$4,0))</f>
        <v>81.099999999999994</v>
      </c>
      <c r="R83" s="14">
        <f>IF($B83="OFF",BQ83,VLOOKUP($D83,Receptury_z!$D:$AI,R$4,0))</f>
        <v>0</v>
      </c>
      <c r="S83" s="14">
        <f>IF($B83="OFF",BR83,VLOOKUP($D83,Receptury_z!$D:$AI,S$4,0))</f>
        <v>0</v>
      </c>
      <c r="T83" s="14">
        <f>IF($B83="OFF",BS83,VLOOKUP($D83,Receptury_z!$D:$AI,T$4,0))</f>
        <v>0</v>
      </c>
      <c r="U83" s="14">
        <f>IF($B83="OFF",BT83,VLOOKUP($D83,Receptury_z!$D:$AI,U$4,0))</f>
        <v>0</v>
      </c>
      <c r="V83" s="14">
        <f>IF($B83="OFF",BU83,VLOOKUP($D83,Receptury_z!$D:$AI,V$4,0))</f>
        <v>0</v>
      </c>
      <c r="W83" s="14">
        <f>IF($B83="OFF",BV83,VLOOKUP($D83,Receptury_z!$D:$AI,W$4,0))</f>
        <v>0</v>
      </c>
      <c r="X83" s="14">
        <f>IF($B83="OFF",BW83,VLOOKUP($D83,Receptury_z!$D:$AI,X$4,0))</f>
        <v>0</v>
      </c>
      <c r="Y83" s="14">
        <f>IF($B83="OFF",BX83,VLOOKUP($D83,Receptury_z!$D:$AI,Y$4,0))</f>
        <v>100</v>
      </c>
      <c r="Z83" s="14">
        <f>IF($B83="OFF",BY83,VLOOKUP($D83,Receptury_z!$D:$AI,Z$4,0))</f>
        <v>0</v>
      </c>
      <c r="AA83" s="14">
        <f>IF($B83="OFF",BZ83,VLOOKUP($D83,Receptury_z!$D:$AI,AA$4,0))</f>
        <v>0</v>
      </c>
      <c r="AB83" s="14">
        <f>IF($B83="OFF",CA83,VLOOKUP($D83,Receptury_z!$D:$AI,AB$4,0))</f>
        <v>279.2</v>
      </c>
      <c r="AC83" s="14">
        <f>IF($B83="OFF",CB83,VLOOKUP($D83,Receptury_z!$D:$AI,AC$4,0))</f>
        <v>0</v>
      </c>
      <c r="AD83" s="14">
        <f>IF($B83="OFF",CC83,VLOOKUP($D83,Receptury_z!$D:$AI,AD$4,0))</f>
        <v>0</v>
      </c>
      <c r="AE83" s="14">
        <f>IF($B83="OFF",CD83,VLOOKUP($D83,Receptury_z!$D:$AI,AE$4,0))</f>
        <v>390.45</v>
      </c>
      <c r="AF83" s="14">
        <f>IF($B83="OFF",CE83,VLOOKUP($D83,Receptury_z!$D:$AI,AF$4,0))</f>
        <v>0</v>
      </c>
      <c r="AG83" s="14">
        <f>IF($B83="OFF",CF83,VLOOKUP($D83,Receptury_z!$D:$AI,AG$4,0))</f>
        <v>0</v>
      </c>
      <c r="AH83" s="14">
        <f>IF($B83="OFF",CG83,VLOOKUP($D83,Receptury_z!$D:$AI,AH$4,0))</f>
        <v>0</v>
      </c>
      <c r="AI83" s="14">
        <f>IF($B83="OFF",CH83,VLOOKUP($D83,Receptury_z!$D:$AI,AI$4,0))</f>
        <v>50</v>
      </c>
      <c r="AJ83" s="14">
        <f>IF($B83="OFF",CI83,VLOOKUP($D83,Receptury_z!$D:$AS,AJ$4,0))</f>
        <v>0</v>
      </c>
      <c r="AK83" s="14">
        <f>IF($B83="OFF",CJ83,VLOOKUP($D83,Receptury_z!$D:$AS,AK$4,0))</f>
        <v>0</v>
      </c>
      <c r="AL83" s="14">
        <f>IF($B83="OFF",CK83,VLOOKUP($D83,Receptury_z!$D:$AS,AL$4,0))</f>
        <v>0</v>
      </c>
      <c r="AM83" s="14">
        <f>IF($B83="OFF",CL83,VLOOKUP($D83,Receptury_z!$D:$AS,AM$4,0))</f>
        <v>0</v>
      </c>
      <c r="AN83" s="14">
        <f>IF($B83="OFF",CM83,VLOOKUP($D83,Receptury_z!$D:$AS,AN$4,0))</f>
        <v>0</v>
      </c>
      <c r="AO83" s="14">
        <f>IF($B83="OFF",CN83,VLOOKUP($D83,Receptury_z!$D:$AS,AO$4,0))</f>
        <v>0</v>
      </c>
      <c r="AP83" s="14">
        <f>IF($B83="OFF",CO83,VLOOKUP($D83,Receptury_z!$D:$AS,AP$4,0))</f>
        <v>0</v>
      </c>
      <c r="AQ83" s="14">
        <f>IF($B83="OFF",CP83,VLOOKUP($D83,Receptury_z!$D:$AS,AQ$4,0))</f>
        <v>0</v>
      </c>
      <c r="AR83" s="14">
        <f>IF($B83="OFF",CQ83,VLOOKUP($D83,Receptury_z!$D:$AS,AR$4,0))</f>
        <v>0</v>
      </c>
      <c r="AS83" s="14">
        <f>IF($B83="OFF",CR83,VLOOKUP($D83,Receptury_z!$D:$AS,AS$4,0))</f>
        <v>0</v>
      </c>
      <c r="AT83" s="14">
        <f>IF($B83="OFF",CS83,VLOOKUP($D83,Receptury_z!$D:$AV,AT$4,0))</f>
        <v>0</v>
      </c>
      <c r="AU83" s="14">
        <f>IF($B83="OFF",CT83,VLOOKUP($D83,Receptury_z!$D:$AV,AU$4,0))</f>
        <v>0</v>
      </c>
      <c r="AV83" s="14">
        <f>IF($B83="OFF",CU83,VLOOKUP($D83,Receptury_z!$D:$AV,AV$4,0))</f>
        <v>0</v>
      </c>
      <c r="AW83" s="14">
        <f>IF($B83="OFF",CV83,VLOOKUP($D83,Receptury_z!$D:$BA,AW$4,0))</f>
        <v>0</v>
      </c>
      <c r="AX83" s="14">
        <f>IF($B83="OFF",CW83,VLOOKUP($D83,Receptury_z!$D:$BA,AX$4,0))</f>
        <v>0</v>
      </c>
      <c r="AY83" s="14">
        <f>IF($B83="OFF",CX83,VLOOKUP($D83,Receptury_z!$D:$BA,AY$4,0))</f>
        <v>0</v>
      </c>
      <c r="AZ83" s="14">
        <f>IF($B83="OFF",DA83,VLOOKUP($D83,Receptury_z!$D:$BA,AZ$4,0))</f>
        <v>0</v>
      </c>
      <c r="BA83" s="14">
        <f>IF($B83="OFF",DB83,VLOOKUP($D83,Receptury_z!$D:$BA,BA$4,0))</f>
        <v>0</v>
      </c>
      <c r="BC83" s="28">
        <v>6479</v>
      </c>
      <c r="BD83" s="1" t="s">
        <v>15439</v>
      </c>
      <c r="BE83" s="239">
        <v>0</v>
      </c>
      <c r="BF83" s="239">
        <v>0</v>
      </c>
      <c r="BG83" s="239">
        <v>0</v>
      </c>
      <c r="BH83" s="239">
        <v>0</v>
      </c>
      <c r="BI83" s="239">
        <v>0</v>
      </c>
      <c r="BJ83" s="239">
        <v>0</v>
      </c>
      <c r="BK83" s="239">
        <v>0</v>
      </c>
      <c r="BL83" s="239">
        <v>0</v>
      </c>
      <c r="BM83" s="239">
        <v>45</v>
      </c>
      <c r="BN83" s="239">
        <v>0</v>
      </c>
      <c r="BO83" s="239">
        <v>0</v>
      </c>
      <c r="BP83" s="239">
        <v>81.099999999999994</v>
      </c>
      <c r="BQ83" s="239">
        <v>0</v>
      </c>
      <c r="BR83" s="239">
        <v>0</v>
      </c>
      <c r="BS83" s="239">
        <v>0</v>
      </c>
      <c r="BT83" s="239">
        <v>0</v>
      </c>
      <c r="BU83" s="239">
        <v>0</v>
      </c>
      <c r="BV83" s="239">
        <v>0</v>
      </c>
      <c r="BW83" s="239">
        <v>0</v>
      </c>
      <c r="BX83" s="239">
        <v>0</v>
      </c>
      <c r="BY83" s="239">
        <v>0</v>
      </c>
      <c r="BZ83" s="239">
        <v>0</v>
      </c>
      <c r="CA83" s="239">
        <v>279.2</v>
      </c>
      <c r="CB83" s="239">
        <v>0</v>
      </c>
      <c r="CC83" s="239">
        <v>0</v>
      </c>
      <c r="CD83" s="239">
        <v>405.3</v>
      </c>
      <c r="CE83" s="239">
        <v>0</v>
      </c>
      <c r="CF83" s="239">
        <v>0</v>
      </c>
      <c r="CG83" s="239">
        <v>0</v>
      </c>
      <c r="CH83" s="239">
        <v>0</v>
      </c>
      <c r="CI83" s="239">
        <v>0</v>
      </c>
      <c r="CJ83" s="239">
        <v>90.1</v>
      </c>
      <c r="CK83" s="239">
        <v>0</v>
      </c>
      <c r="CL83" s="239">
        <v>0</v>
      </c>
      <c r="CM83" s="80"/>
      <c r="CN83" s="80"/>
      <c r="CO83" s="80"/>
      <c r="CP83" s="80"/>
      <c r="CQ83" s="80"/>
      <c r="CR83" s="80"/>
      <c r="CS83" s="80"/>
      <c r="CT83" s="80"/>
      <c r="CU83" s="80"/>
      <c r="CV83" s="80"/>
      <c r="CW83" s="80"/>
      <c r="CX83" s="80"/>
      <c r="CY83" s="80"/>
      <c r="CZ83" s="80"/>
      <c r="DB83">
        <f>IFERROR(VLOOKUP($D83,'Kalkulator mięs '!$C$5:$H$533,DB$4,0)*F83,0)</f>
        <v>0</v>
      </c>
      <c r="DC83">
        <f>IFERROR(VLOOKUP($D83,'Kalkulator mięs '!$C$5:$H$533,DC$4,0)*F83,0)</f>
        <v>0</v>
      </c>
      <c r="DD83">
        <f>IFERROR(VLOOKUP($D83,'Kalkulator mięs '!$C$5:$H$533,DD$4,0)*F83,0)</f>
        <v>0</v>
      </c>
      <c r="DE83">
        <f>IFERROR(VLOOKUP($D83,'Kalkulator mięs '!$C$5:$H$533,DE$4,0)*$G83,0)</f>
        <v>0</v>
      </c>
      <c r="DF83">
        <f>IFERROR(VLOOKUP($D83,'Kalkulator mięs '!$C$5:$H$533,DF$4,0)*$G83,0)</f>
        <v>0</v>
      </c>
      <c r="DG83">
        <f>IFERROR(VLOOKUP($D83,'Kalkulator mięs '!$C$5:$H$533,DG$4,0)*$G83,0)</f>
        <v>0</v>
      </c>
      <c r="DH83">
        <f>IFERROR(VLOOKUP($D83,'Kalkulator mięs '!$C$5:$H$533,DH$4,0)*$H83,0)</f>
        <v>0</v>
      </c>
      <c r="DI83">
        <f>IFERROR(VLOOKUP($D83,'Kalkulator mięs '!$C$5:$H$533,DI$4,0)*$H83,0)</f>
        <v>0</v>
      </c>
      <c r="DJ83">
        <f>IFERROR(VLOOKUP($D83,'Kalkulator mięs '!$C$5:$H$533,DJ$4,0)*$H83,0)</f>
        <v>0</v>
      </c>
      <c r="DK83">
        <f>IFERROR(VLOOKUP($D83,'Kalkulator mięs '!$C$5:$H$533,DK$4,0)*$I83,0)</f>
        <v>0</v>
      </c>
      <c r="DL83">
        <f>IFERROR(VLOOKUP($D83,'Kalkulator mięs '!$C$5:$H$533,DL$4,0)*$I83,0)</f>
        <v>0</v>
      </c>
      <c r="DM83">
        <f>IFERROR(VLOOKUP($D83,'Kalkulator mięs '!$C$5:$H$533,DM$4,0)*$I83,0)</f>
        <v>0</v>
      </c>
      <c r="DN83">
        <f>IFERROR(VLOOKUP($D83,'Kalkulator mięs '!$C$5:$H$533,DN$4,0)*$J83,0)</f>
        <v>0</v>
      </c>
      <c r="DO83">
        <f>IFERROR(VLOOKUP($D83,'Kalkulator mięs '!$C$5:$H$533,DO$4,0)*$J83,0)</f>
        <v>0</v>
      </c>
      <c r="DP83">
        <f>IFERROR(VLOOKUP($D83,'Kalkulator mięs '!$C$5:$H$533,DP$4,0)*$J83,0)</f>
        <v>0</v>
      </c>
      <c r="DQ83">
        <f>IFERROR(VLOOKUP($D83,'Kalkulator mięs '!$C$5:$H$533,DQ$4,0)*$K83,0)</f>
        <v>0</v>
      </c>
      <c r="DR83">
        <f>IFERROR(VLOOKUP($D83,'Kalkulator mięs '!$C$5:$H$533,DR$4,0)*$K83,0)</f>
        <v>0</v>
      </c>
      <c r="DS83">
        <f>IFERROR(VLOOKUP($D83,'Kalkulator mięs '!$C$5:$H$533,DS$4,0)*$K83,0)</f>
        <v>0</v>
      </c>
      <c r="DT83">
        <f>IFERROR(VLOOKUP($D83,'Kalkulator mięs '!$C$5:$H$533,DT$4,0)*$L83,0)</f>
        <v>0</v>
      </c>
      <c r="DU83">
        <f>IFERROR(VLOOKUP($D83,'Kalkulator mięs '!$C$5:$H$533,DU$4,0)*$L83,0)</f>
        <v>0</v>
      </c>
      <c r="DV83">
        <f>IFERROR(VLOOKUP($D83,'Kalkulator mięs '!$C$5:$H$533,DV$4,0)*$L83,0)</f>
        <v>0</v>
      </c>
      <c r="DW83">
        <f>IFERROR(VLOOKUP($D83,'Kalkulator mięs '!$C$5:$H$533,DW$4,0)*$M83,0)</f>
        <v>0</v>
      </c>
      <c r="DX83">
        <f>IFERROR(VLOOKUP($D83,'Kalkulator mięs '!$C$5:$H$533,DX$4,0)*$M83,0)</f>
        <v>0</v>
      </c>
      <c r="DY83">
        <f>IFERROR(VLOOKUP($D83,'Kalkulator mięs '!$C$5:$H$533,DY$4,0)*$M83,0)</f>
        <v>0</v>
      </c>
      <c r="DZ83">
        <f>IFERROR(VLOOKUP($D83,'Kalkulator mięs '!$C$5:$H$533,DZ$4,0)*$N83,0)</f>
        <v>0</v>
      </c>
      <c r="EA83">
        <f>IFERROR(VLOOKUP($D83,'Kalkulator mięs '!$C$5:$H$533,EA$4,0)*$N83,0)</f>
        <v>0</v>
      </c>
      <c r="EB83">
        <f>IFERROR(VLOOKUP($D83,'Kalkulator mięs '!$C$5:$H$533,EB$4,0)*$N83,0)</f>
        <v>0</v>
      </c>
      <c r="EC83">
        <f>IFERROR(VLOOKUP($D83,'Kalkulator mięs '!$C$5:$H$533,EC$4,0)*$O83,0)</f>
        <v>0</v>
      </c>
      <c r="ED83">
        <f>IFERROR(VLOOKUP($D83,'Kalkulator mięs '!$C$5:$H$533,ED$4,0)*$O83,0)</f>
        <v>0</v>
      </c>
      <c r="EE83">
        <f>IFERROR(VLOOKUP($D83,'Kalkulator mięs '!$C$5:$H$533,EE$4,0)*$O83,0)</f>
        <v>0</v>
      </c>
      <c r="EF83">
        <f>IFERROR(VLOOKUP($D83,'Kalkulator mięs '!$C$5:$H$533,EF$4,0)*$P83,0)</f>
        <v>0</v>
      </c>
      <c r="EG83">
        <f>IFERROR(VLOOKUP($D83,'Kalkulator mięs '!$C$5:$H$533,EG$4,0)*$P83,0)</f>
        <v>0</v>
      </c>
      <c r="EH83">
        <f>IFERROR(VLOOKUP($D83,'Kalkulator mięs '!$C$5:$H$533,EH$4,0)*$P83,0)</f>
        <v>0</v>
      </c>
      <c r="EI83">
        <f>IFERROR(VLOOKUP($D83,'Kalkulator mięs '!$C$5:$H$533,EI$4,0)*$Q83,0)</f>
        <v>0</v>
      </c>
      <c r="EJ83">
        <f>IFERROR(VLOOKUP($D83,'Kalkulator mięs '!$C$5:$H$533,EJ$4,0)*$Q83,0)</f>
        <v>0</v>
      </c>
      <c r="EK83">
        <f>IFERROR(VLOOKUP($D83,'Kalkulator mięs '!$C$5:$H$533,EK$4,0)*$Q83,0)</f>
        <v>0</v>
      </c>
      <c r="EL83">
        <f>IFERROR(VLOOKUP($D83,'Kalkulator mięs '!$C$5:$H$533,EL$4,0)*$R83,0)</f>
        <v>0</v>
      </c>
      <c r="EM83">
        <f>IFERROR(VLOOKUP($D83,'Kalkulator mięs '!$C$5:$H$533,EM$4,0)*$R83,0)</f>
        <v>0</v>
      </c>
      <c r="EN83">
        <f>IFERROR(VLOOKUP($D83,'Kalkulator mięs '!$C$5:$H$533,EN$4,0)*$R83,0)</f>
        <v>0</v>
      </c>
      <c r="EO83">
        <f>IFERROR(VLOOKUP($D83,'Kalkulator mięs '!$C$5:$H$533,EO$4,0)*$S83,0)</f>
        <v>0</v>
      </c>
      <c r="EP83">
        <f>IFERROR(VLOOKUP($D83,'Kalkulator mięs '!$C$5:$H$533,EP$4,0)*$S83,0)</f>
        <v>0</v>
      </c>
      <c r="EQ83">
        <f>IFERROR(VLOOKUP($D83,'Kalkulator mięs '!$C$5:$H$533,EQ$4,0)*$S83,0)</f>
        <v>0</v>
      </c>
      <c r="ER83">
        <f>IFERROR(VLOOKUP($D83,'Kalkulator mięs '!$C$5:$H$533,ER$4,0)*$T83,0)</f>
        <v>0</v>
      </c>
      <c r="ES83">
        <f>IFERROR(VLOOKUP($D83,'Kalkulator mięs '!$C$5:$H$533,ES$4,0)*$T83,0)</f>
        <v>0</v>
      </c>
      <c r="ET83">
        <f>IFERROR(VLOOKUP($D83,'Kalkulator mięs '!$C$5:$H$533,ET$4,0)*$T83,0)</f>
        <v>0</v>
      </c>
      <c r="EU83">
        <f>IFERROR(VLOOKUP($D83,'Kalkulator mięs '!$C$5:$H$533,EU$4,0)*$U83,0)</f>
        <v>0</v>
      </c>
      <c r="EV83">
        <f>IFERROR(VLOOKUP($D83,'Kalkulator mięs '!$C$5:$H$533,EV$4,0)*$U83,0)</f>
        <v>0</v>
      </c>
      <c r="EW83">
        <f>IFERROR(VLOOKUP($D83,'Kalkulator mięs '!$C$5:$H$533,EW$4,0)*$U83,0)</f>
        <v>0</v>
      </c>
      <c r="EX83">
        <f>IFERROR(VLOOKUP($D83,'Kalkulator mięs '!$C$5:$H$533,EX$4,0)*$V83,0)</f>
        <v>0</v>
      </c>
      <c r="EY83">
        <f>IFERROR(VLOOKUP($D83,'Kalkulator mięs '!$C$5:$H$533,EY$4,0)*$V83,0)</f>
        <v>0</v>
      </c>
      <c r="EZ83">
        <f>IFERROR(VLOOKUP($D83,'Kalkulator mięs '!$C$5:$H$533,EZ$4,0)*$V83,0)</f>
        <v>0</v>
      </c>
      <c r="FA83">
        <f>IFERROR(VLOOKUP($D83,'Kalkulator mięs '!$C$5:$H$533,FA$4,0)*$W83,0)</f>
        <v>0</v>
      </c>
      <c r="FB83">
        <f>IFERROR(VLOOKUP($D83,'Kalkulator mięs '!$C$5:$H$533,FB$4,0)*$W83,0)</f>
        <v>0</v>
      </c>
      <c r="FC83">
        <f>IFERROR(VLOOKUP($D83,'Kalkulator mięs '!$C$5:$H$533,FC$4,0)*$W83,0)</f>
        <v>0</v>
      </c>
      <c r="FD83">
        <f>IFERROR(VLOOKUP($D83,'Kalkulator mięs '!$C$5:$H$533,FD$4,0)*$X83,0)</f>
        <v>0</v>
      </c>
      <c r="FE83">
        <f>IFERROR(VLOOKUP($D83,'Kalkulator mięs '!$C$5:$H$533,FE$4,0)*$X83,0)</f>
        <v>0</v>
      </c>
      <c r="FF83">
        <f>IFERROR(VLOOKUP($D83,'Kalkulator mięs '!$C$5:$H$533,FF$4,0)*$X83,0)</f>
        <v>0</v>
      </c>
      <c r="FG83">
        <f>IFERROR(VLOOKUP($D83,'Kalkulator mięs '!$C$5:$H$533,FG$4,0)*$Y83,0)</f>
        <v>0</v>
      </c>
      <c r="FH83">
        <f>IFERROR(VLOOKUP($D83,'Kalkulator mięs '!$C$5:$H$533,FH$4,0)*$Y83,0)</f>
        <v>0</v>
      </c>
      <c r="FI83">
        <f>IFERROR(VLOOKUP($D83,'Kalkulator mięs '!$C$5:$H$533,FI$4,0)*$Y83,0)</f>
        <v>0</v>
      </c>
      <c r="FJ83">
        <f>IFERROR(VLOOKUP($D83,'Kalkulator mięs '!$C$5:$H$533,FJ$4,0)*$Z83,0)</f>
        <v>0</v>
      </c>
      <c r="FK83">
        <f>IFERROR(VLOOKUP($D83,'Kalkulator mięs '!$C$5:$H$533,FK$4,0)*$Z83,0)</f>
        <v>0</v>
      </c>
      <c r="FL83">
        <f>IFERROR(VLOOKUP($D83,'Kalkulator mięs '!$C$5:$H$533,FL$4,0)*$Z83,0)</f>
        <v>0</v>
      </c>
      <c r="FM83">
        <f>IFERROR(VLOOKUP($D83,'Kalkulator mięs '!$C$5:$H$533,FM$4,0)*$AA83,0)</f>
        <v>0</v>
      </c>
      <c r="FN83">
        <f>IFERROR(VLOOKUP($D83,'Kalkulator mięs '!$C$5:$H$533,FN$4,0)*$AA83,0)</f>
        <v>0</v>
      </c>
      <c r="FO83">
        <f>IFERROR(VLOOKUP($D83,'Kalkulator mięs '!$C$5:$H$533,FO$4,0)*$AA83,0)</f>
        <v>0</v>
      </c>
      <c r="FP83">
        <f>IFERROR(VLOOKUP($D83,'Kalkulator mięs '!$C$5:$H$533,FP$4,0)*$AB83,0)</f>
        <v>0</v>
      </c>
      <c r="FQ83">
        <f>IFERROR(VLOOKUP($D83,'Kalkulator mięs '!$C$5:$H$533,FQ$4,0)*$AB83,0)</f>
        <v>0</v>
      </c>
      <c r="FR83">
        <f>IFERROR(VLOOKUP($D83,'Kalkulator mięs '!$C$5:$H$533,FR$4,0)*$AB83,0)</f>
        <v>0</v>
      </c>
      <c r="FS83">
        <f>IFERROR(VLOOKUP($D83,'Kalkulator mięs '!$C$5:$H$533,FS$4,0)*$AC83,0)</f>
        <v>0</v>
      </c>
      <c r="FT83">
        <f>IFERROR(VLOOKUP($D83,'Kalkulator mięs '!$C$5:$H$533,FT$4,0)*$AC83,0)</f>
        <v>0</v>
      </c>
      <c r="FU83">
        <f>IFERROR(VLOOKUP($D83,'Kalkulator mięs '!$C$5:$H$533,FU$4,0)*$AC83,0)</f>
        <v>0</v>
      </c>
      <c r="FV83">
        <f>IFERROR(VLOOKUP($D83,'Kalkulator mięs '!$C$5:$H$533,FV$4,0)*$AD83,0)</f>
        <v>0</v>
      </c>
      <c r="FW83">
        <f>IFERROR(VLOOKUP($D83,'Kalkulator mięs '!$C$5:$H$533,FW$4,0)*$AD83,0)</f>
        <v>0</v>
      </c>
      <c r="FX83">
        <f>IFERROR(VLOOKUP($D83,'Kalkulator mięs '!$C$5:$H$533,FX$4,0)*$AD83,0)</f>
        <v>0</v>
      </c>
      <c r="FY83">
        <f>IFERROR(VLOOKUP($D83,'Kalkulator mięs '!$C$5:$H$533,FY$4,0)*$AE83,0)</f>
        <v>0</v>
      </c>
      <c r="FZ83">
        <f>IFERROR(VLOOKUP($D83,'Kalkulator mięs '!$C$5:$H$533,FZ$4,0)*$AE83,0)</f>
        <v>0</v>
      </c>
      <c r="GA83">
        <f>IFERROR(VLOOKUP($D83,'Kalkulator mięs '!$C$5:$H$533,GA$4,0)*$AE83,0)</f>
        <v>0</v>
      </c>
      <c r="GB83">
        <f>IFERROR(VLOOKUP($D83,'Kalkulator mięs '!$C$5:$H$533,GB$4,0)*$AF83,0)</f>
        <v>0</v>
      </c>
      <c r="GC83">
        <f>IFERROR(VLOOKUP($D83,'Kalkulator mięs '!$C$5:$H$533,GC$4,0)*$AF83,0)</f>
        <v>0</v>
      </c>
      <c r="GD83">
        <f>IFERROR(VLOOKUP($D83,'Kalkulator mięs '!$C$5:$H$533,GD$4,0)*$AF83,0)</f>
        <v>0</v>
      </c>
      <c r="GE83">
        <f>IFERROR(VLOOKUP($D83,'Kalkulator mięs '!$C$5:$H$533,GE$4,0)*$AG83,0)</f>
        <v>0</v>
      </c>
      <c r="GF83">
        <f>IFERROR(VLOOKUP($D83,'Kalkulator mięs '!$C$5:$H$533,GF$4,0)*$AG83,0)</f>
        <v>0</v>
      </c>
      <c r="GG83">
        <f>IFERROR(VLOOKUP($D83,'Kalkulator mięs '!$C$5:$H$533,GG$4,0)*$AG83,0)</f>
        <v>0</v>
      </c>
      <c r="GH83">
        <f>IFERROR(VLOOKUP($D83,'Kalkulator mięs '!$C$5:$H$533,GH$4,0)*$AH83,0)</f>
        <v>0</v>
      </c>
      <c r="GI83">
        <f>IFERROR(VLOOKUP($D83,'Kalkulator mięs '!$C$5:$H$533,GI$4,0)*$AH83,0)</f>
        <v>0</v>
      </c>
      <c r="GJ83">
        <f>IFERROR(VLOOKUP($D83,'Kalkulator mięs '!$C$5:$H$533,GJ$4,0)*$AH83,0)</f>
        <v>0</v>
      </c>
      <c r="GK83">
        <f>IFERROR(VLOOKUP($D83,'Kalkulator mięs '!$C$5:$H$533,GK$4,0)*$AI83,0)</f>
        <v>0</v>
      </c>
      <c r="GL83">
        <f>IFERROR(VLOOKUP($D83,'Kalkulator mięs '!$C$5:$H$533,GL$4,0)*$AI83,0)</f>
        <v>0</v>
      </c>
      <c r="GM83">
        <f>IFERROR(VLOOKUP($D83,'Kalkulator mięs '!$C$5:$H$533,GM$4,0)*$AI83,0)</f>
        <v>0</v>
      </c>
      <c r="GN83">
        <f>IFERROR(VLOOKUP($D83,'Kalkulator mięs '!$C$5:$H$533,GN$4,0)*$AJ83,0)</f>
        <v>0</v>
      </c>
      <c r="GO83">
        <f>IFERROR(VLOOKUP($D83,'Kalkulator mięs '!$C$5:$H$533,GO$4,0)*$AJ83,0)</f>
        <v>0</v>
      </c>
      <c r="GP83">
        <f>IFERROR(VLOOKUP($D83,'Kalkulator mięs '!$C$5:$H$533,GP$4,0)*$AJ83,0)</f>
        <v>0</v>
      </c>
      <c r="GQ83">
        <f>IFERROR(VLOOKUP($D83,'Kalkulator mięs '!$C$5:$H$533,GQ$4,0)*$AK83,0)</f>
        <v>0</v>
      </c>
      <c r="GR83">
        <f>IFERROR(VLOOKUP($D83,'Kalkulator mięs '!$C$5:$H$533,GR$4,0)*$AK83,0)</f>
        <v>0</v>
      </c>
      <c r="GS83">
        <f>IFERROR(VLOOKUP($D83,'Kalkulator mięs '!$C$5:$H$533,GS$4,0)*$AK83,0)</f>
        <v>0</v>
      </c>
      <c r="GT83">
        <f>IFERROR(VLOOKUP($D83,'Kalkulator mięs '!$C$5:$H$533,GT$4,0)*$AL83,0)</f>
        <v>0</v>
      </c>
      <c r="GU83">
        <f>IFERROR(VLOOKUP($D83,'Kalkulator mięs '!$C$5:$H$533,GU$4,0)*$AL83,0)</f>
        <v>0</v>
      </c>
      <c r="GV83">
        <f>IFERROR(VLOOKUP($D83,'Kalkulator mięs '!$C$5:$H$533,GV$4,0)*$AL83,0)</f>
        <v>0</v>
      </c>
      <c r="GW83">
        <f>IFERROR(VLOOKUP($D83,'Kalkulator mięs '!$C$5:$H$533,GW$4,0)*$AM83,0)</f>
        <v>0</v>
      </c>
      <c r="GX83">
        <f>IFERROR(VLOOKUP($D83,'Kalkulator mięs '!$C$5:$H$533,GX$4,0)*$AM83,0)</f>
        <v>0</v>
      </c>
      <c r="GY83">
        <f>IFERROR(VLOOKUP($D83,'Kalkulator mięs '!$C$5:$H$533,GY$4,0)*$AM83,0)</f>
        <v>0</v>
      </c>
      <c r="GZ83">
        <f>IFERROR(VLOOKUP($D83,'Kalkulator mięs '!$C$5:$H$533,GZ$4,0)*$AN83,0)</f>
        <v>0</v>
      </c>
      <c r="HA83">
        <f>IFERROR(VLOOKUP($D83,'Kalkulator mięs '!$C$5:$H$533,HA$4,0)*$AN83,0)</f>
        <v>0</v>
      </c>
      <c r="HB83">
        <f>IFERROR(VLOOKUP($D83,'Kalkulator mięs '!$C$5:$H$533,HB$4,0)*$AN83,0)</f>
        <v>0</v>
      </c>
      <c r="HC83">
        <f>IFERROR(VLOOKUP($D83,'Kalkulator mięs '!$C$5:$H$533,HC$4,0)*$AO83,0)</f>
        <v>0</v>
      </c>
      <c r="HD83">
        <f>IFERROR(VLOOKUP($D83,'Kalkulator mięs '!$C$5:$H$533,HD$4,0)*$AO83,0)</f>
        <v>0</v>
      </c>
      <c r="HE83">
        <f>IFERROR(VLOOKUP($D83,'Kalkulator mięs '!$C$5:$H$533,HE$4,0)*$AO83,0)</f>
        <v>0</v>
      </c>
      <c r="HF83">
        <f>IFERROR(VLOOKUP($D83,'Kalkulator mięs '!$C$5:$H$533,HF$4,0)*$AP83,0)</f>
        <v>0</v>
      </c>
      <c r="HG83">
        <f>IFERROR(VLOOKUP($D83,'Kalkulator mięs '!$C$5:$H$533,HG$4,0)*$AP83,0)</f>
        <v>0</v>
      </c>
      <c r="HH83">
        <f>IFERROR(VLOOKUP($D83,'Kalkulator mięs '!$C$5:$H$533,HH$4,0)*$AP83,0)</f>
        <v>0</v>
      </c>
      <c r="HI83">
        <f>IFERROR(VLOOKUP($D83,'Kalkulator mięs '!$C$5:$H$533,HI$4,0)*$AQ83,0)</f>
        <v>0</v>
      </c>
      <c r="HJ83">
        <f>IFERROR(VLOOKUP($D83,'Kalkulator mięs '!$C$5:$H$533,HJ$4,0)*$AQ83,0)</f>
        <v>0</v>
      </c>
      <c r="HK83">
        <f>IFERROR(VLOOKUP($D83,'Kalkulator mięs '!$C$5:$H$533,HK$4,0)*$AQ83,0)</f>
        <v>0</v>
      </c>
      <c r="HL83">
        <f>IFERROR(VLOOKUP($D83,'Kalkulator mięs '!$C$5:$H$533,HL$4,0)*$AR83,0)</f>
        <v>0</v>
      </c>
      <c r="HM83">
        <f>IFERROR(VLOOKUP($D83,'Kalkulator mięs '!$C$5:$H$533,HM$4,0)*$AR83,0)</f>
        <v>0</v>
      </c>
      <c r="HN83">
        <f>IFERROR(VLOOKUP($D83,'Kalkulator mięs '!$C$5:$H$533,HN$4,0)*$AR83,0)</f>
        <v>0</v>
      </c>
      <c r="HO83">
        <f>IFERROR(VLOOKUP($D83,'Kalkulator mięs '!$C$5:$H$533,HO$4,0)*$AS83,0)</f>
        <v>0</v>
      </c>
      <c r="HP83">
        <f>IFERROR(VLOOKUP($D83,'Kalkulator mięs '!$C$5:$H$533,HP$4,0)*$AS83,0)</f>
        <v>0</v>
      </c>
      <c r="HQ83">
        <f>IFERROR(VLOOKUP($D83,'Kalkulator mięs '!$C$5:$H$533,HQ$4,0)*$AS83,0)</f>
        <v>0</v>
      </c>
      <c r="HR83">
        <f>IFERROR(VLOOKUP($D83,'Kalkulator mięs '!$C$5:$H$533,HR$4,0)*$AT83,0)</f>
        <v>0</v>
      </c>
      <c r="HS83">
        <f>IFERROR(VLOOKUP($D83,'Kalkulator mięs '!$C$5:$H$533,HS$4,0)*$AT83,0)</f>
        <v>0</v>
      </c>
      <c r="HT83">
        <f>IFERROR(VLOOKUP($D83,'Kalkulator mięs '!$C$5:$H$533,HT$4,0)*$AT83,0)</f>
        <v>0</v>
      </c>
      <c r="HU83">
        <f>IFERROR(VLOOKUP($D83,'Kalkulator mięs '!$C$5:$H$533,HU$4,0)*$AU83,0)</f>
        <v>0</v>
      </c>
      <c r="HV83">
        <f>IFERROR(VLOOKUP($D83,'Kalkulator mięs '!$C$5:$H$533,HV$4,0)*$AU83,0)</f>
        <v>0</v>
      </c>
      <c r="HW83">
        <f>IFERROR(VLOOKUP($D83,'Kalkulator mięs '!$C$5:$H$533,HW$4,0)*$AU83,0)</f>
        <v>0</v>
      </c>
      <c r="HX83">
        <f>IFERROR(VLOOKUP($D83,'Kalkulator mięs '!$C$5:$H$533,HX$4,0)*$AV83,0)</f>
        <v>0</v>
      </c>
      <c r="HY83">
        <f>IFERROR(VLOOKUP($D83,'Kalkulator mięs '!$C$5:$H$533,HY$4,0)*$AV83,0)</f>
        <v>0</v>
      </c>
      <c r="HZ83">
        <f>IFERROR(VLOOKUP($D83,'Kalkulator mięs '!$C$5:$H$533,HZ$4,0)*$AV83,0)</f>
        <v>0</v>
      </c>
      <c r="IA83">
        <f>IFERROR(VLOOKUP($D83,'Kalkulator mięs '!$C$5:$H$533,IA$4,0)*$AW83,0)</f>
        <v>0</v>
      </c>
      <c r="IB83">
        <f>IFERROR(VLOOKUP($D83,'Kalkulator mięs '!$C$5:$H$533,IB$4,0)*$AW83,0)</f>
        <v>0</v>
      </c>
      <c r="IC83">
        <f>IFERROR(VLOOKUP($D83,'Kalkulator mięs '!$C$5:$H$533,IC$4,0)*$AW83,0)</f>
        <v>0</v>
      </c>
      <c r="ID83">
        <f>IFERROR(VLOOKUP($D83,'Kalkulator mięs '!$C$5:$H$533,ID$4,0)*$AX83,0)</f>
        <v>0</v>
      </c>
      <c r="IE83">
        <f>IFERROR(VLOOKUP($D83,'Kalkulator mięs '!$C$5:$H$533,IE$4,0)*$AX83,0)</f>
        <v>0</v>
      </c>
      <c r="IF83">
        <f>IFERROR(VLOOKUP($D83,'Kalkulator mięs '!$C$5:$H$533,IF$4,0)*$AX83,0)</f>
        <v>0</v>
      </c>
      <c r="IG83">
        <f>IFERROR(VLOOKUP($D83,'Kalkulator mięs '!$C$5:$H$533,IG$4,0)*$AY83,0)</f>
        <v>0</v>
      </c>
      <c r="IH83">
        <f>IFERROR(VLOOKUP($D83,'Kalkulator mięs '!$C$5:$H$533,IH$4,0)*$AY83,0)</f>
        <v>0</v>
      </c>
      <c r="II83">
        <f>IFERROR(VLOOKUP($D83,'Kalkulator mięs '!$C$5:$H$533,II$4,0)*$AY83,0)</f>
        <v>0</v>
      </c>
      <c r="IJ83">
        <f>IFERROR(VLOOKUP($D83,'Kalkulator mięs '!$C$5:$H$533,IJ$4,0)*$AZ83,0)</f>
        <v>0</v>
      </c>
      <c r="IK83">
        <f>IFERROR(VLOOKUP($D83,'Kalkulator mięs '!$C$5:$H$533,IK$4,0)*$AZ83,0)</f>
        <v>0</v>
      </c>
      <c r="IL83">
        <f>IFERROR(VLOOKUP($D83,'Kalkulator mięs '!$C$5:$H$533,IL$4,0)*$AZ83,0)</f>
        <v>0</v>
      </c>
      <c r="IM83">
        <f>IFERROR(VLOOKUP($D83,'Kalkulator mięs '!$C$5:$H$533,IM$4,0)*$BA83,0)</f>
        <v>0</v>
      </c>
      <c r="IN83">
        <f>IFERROR(VLOOKUP($D83,'Kalkulator mięs '!$C$5:$H$533,IN$4,0)*$BA83,0)</f>
        <v>0</v>
      </c>
      <c r="IO83">
        <f>IFERROR(VLOOKUP($D83,'Kalkulator mięs '!$C$5:$H$533,IO$4,0)*$BA83,0)</f>
        <v>0</v>
      </c>
    </row>
    <row r="84" spans="2:249" ht="15.75">
      <c r="B84" t="str">
        <f>VLOOKUP(D84,Receptury_z!$A:$B,2,0)</f>
        <v>ON</v>
      </c>
      <c r="C84" s="27">
        <v>5593</v>
      </c>
      <c r="D84" s="28">
        <v>6486</v>
      </c>
      <c r="E84" s="1" t="s">
        <v>15389</v>
      </c>
      <c r="F84" s="14">
        <f>IF($B84="OFF",BE84,VLOOKUP($D84,Receptury_z!$D:$AI,F$4,0))</f>
        <v>0</v>
      </c>
      <c r="G84" s="14">
        <f>IF($B84="OFF",BF84,VLOOKUP($D84,Receptury_z!$D:$AI,G$4,0))</f>
        <v>0</v>
      </c>
      <c r="H84" s="14">
        <f>IF($B84="OFF",BG84,VLOOKUP($D84,Receptury_z!$D:$AI,H$4,0))</f>
        <v>0</v>
      </c>
      <c r="I84" s="14">
        <f>IF($B84="OFF",BH84,VLOOKUP($D84,Receptury_z!$D:$AI,I$4,0))</f>
        <v>0</v>
      </c>
      <c r="J84" s="14">
        <f>IF($B84="OFF",BI84,VLOOKUP($D84,Receptury_z!$D:$AI,J$4,0))</f>
        <v>0</v>
      </c>
      <c r="K84" s="14">
        <f>IF($B84="OFF",BJ84,VLOOKUP($D84,Receptury_z!$D:$AI,K$4,0))</f>
        <v>0</v>
      </c>
      <c r="L84" s="14">
        <f>IF($B84="OFF",BK84,VLOOKUP($D84,Receptury_z!$D:$AI,L$4,0))</f>
        <v>0</v>
      </c>
      <c r="M84" s="14">
        <f>IF($B84="OFF",BL84,VLOOKUP($D84,Receptury_z!$D:$AI,M$4,0))</f>
        <v>0</v>
      </c>
      <c r="N84" s="14">
        <f>IF($B84="OFF",BM84,VLOOKUP($D84,Receptury_z!$D:$AI,N$4,0))</f>
        <v>0</v>
      </c>
      <c r="O84" s="14">
        <f>IF($B84="OFF",BN84,VLOOKUP($D84,Receptury_z!$D:$AI,O$4,0))</f>
        <v>0</v>
      </c>
      <c r="P84" s="14">
        <f>IF($B84="OFF",BO84,VLOOKUP($D84,Receptury_z!$D:$AI,P$4,0))</f>
        <v>0</v>
      </c>
      <c r="Q84" s="14">
        <f>IF($B84="OFF",BP84,VLOOKUP($D84,Receptury_z!$D:$AI,Q$4,0))</f>
        <v>61.2</v>
      </c>
      <c r="R84" s="14">
        <f>IF($B84="OFF",BQ84,VLOOKUP($D84,Receptury_z!$D:$AI,R$4,0))</f>
        <v>0</v>
      </c>
      <c r="S84" s="14">
        <f>IF($B84="OFF",BR84,VLOOKUP($D84,Receptury_z!$D:$AI,S$4,0))</f>
        <v>0</v>
      </c>
      <c r="T84" s="14">
        <f>IF($B84="OFF",BS84,VLOOKUP($D84,Receptury_z!$D:$AI,T$4,0))</f>
        <v>0</v>
      </c>
      <c r="U84" s="14">
        <f>IF($B84="OFF",BT84,VLOOKUP($D84,Receptury_z!$D:$AI,U$4,0))</f>
        <v>23.5</v>
      </c>
      <c r="V84" s="14">
        <f>IF($B84="OFF",BU84,VLOOKUP($D84,Receptury_z!$D:$AI,V$4,0))</f>
        <v>0</v>
      </c>
      <c r="W84" s="14">
        <f>IF($B84="OFF",BV84,VLOOKUP($D84,Receptury_z!$D:$AI,W$4,0))</f>
        <v>0</v>
      </c>
      <c r="X84" s="14">
        <f>IF($B84="OFF",BW84,VLOOKUP($D84,Receptury_z!$D:$AI,X$4,0))</f>
        <v>0</v>
      </c>
      <c r="Y84" s="14">
        <f>IF($B84="OFF",BX84,VLOOKUP($D84,Receptury_z!$D:$AI,Y$4,0))</f>
        <v>0</v>
      </c>
      <c r="Z84" s="14">
        <f>IF($B84="OFF",BY84,VLOOKUP($D84,Receptury_z!$D:$AI,Z$4,0))</f>
        <v>0</v>
      </c>
      <c r="AA84" s="14">
        <f>IF($B84="OFF",BZ84,VLOOKUP($D84,Receptury_z!$D:$AI,AA$4,0))</f>
        <v>0</v>
      </c>
      <c r="AB84" s="14">
        <f>IF($B84="OFF",CA84,VLOOKUP($D84,Receptury_z!$D:$AI,AB$4,0))</f>
        <v>0</v>
      </c>
      <c r="AC84" s="14">
        <f>IF($B84="OFF",CB84,VLOOKUP($D84,Receptury_z!$D:$AI,AC$4,0))</f>
        <v>0</v>
      </c>
      <c r="AD84" s="14">
        <f>IF($B84="OFF",CC84,VLOOKUP($D84,Receptury_z!$D:$AI,AD$4,0))</f>
        <v>0</v>
      </c>
      <c r="AE84" s="14">
        <f>IF($B84="OFF",CD84,VLOOKUP($D84,Receptury_z!$D:$AI,AE$4,0))</f>
        <v>461.2</v>
      </c>
      <c r="AF84" s="14">
        <f>IF($B84="OFF",CE84,VLOOKUP($D84,Receptury_z!$D:$AI,AF$4,0))</f>
        <v>0</v>
      </c>
      <c r="AG84" s="14">
        <f>IF($B84="OFF",CF84,VLOOKUP($D84,Receptury_z!$D:$AI,AG$4,0))</f>
        <v>155.1</v>
      </c>
      <c r="AH84" s="14">
        <f>IF($B84="OFF",CG84,VLOOKUP($D84,Receptury_z!$D:$AI,AH$4,0))</f>
        <v>0</v>
      </c>
      <c r="AI84" s="14">
        <f>IF($B84="OFF",CH84,VLOOKUP($D84,Receptury_z!$D:$AI,AI$4,0))</f>
        <v>50</v>
      </c>
      <c r="AJ84" s="14">
        <f>IF($B84="OFF",CI84,VLOOKUP($D84,Receptury_z!$D:$AS,AJ$4,0))</f>
        <v>0</v>
      </c>
      <c r="AK84" s="14">
        <f>IF($B84="OFF",CJ84,VLOOKUP($D84,Receptury_z!$D:$AS,AK$4,0))</f>
        <v>65.3</v>
      </c>
      <c r="AL84" s="14">
        <f>IF($B84="OFF",CK84,VLOOKUP($D84,Receptury_z!$D:$AS,AL$4,0))</f>
        <v>0</v>
      </c>
      <c r="AM84" s="14">
        <f>IF($B84="OFF",CL84,VLOOKUP($D84,Receptury_z!$D:$AS,AM$4,0))</f>
        <v>0</v>
      </c>
      <c r="AN84" s="14">
        <f>IF($B84="OFF",CM84,VLOOKUP($D84,Receptury_z!$D:$AS,AN$4,0))</f>
        <v>0</v>
      </c>
      <c r="AO84" s="14">
        <f>IF($B84="OFF",CN84,VLOOKUP($D84,Receptury_z!$D:$AS,AO$4,0))</f>
        <v>0</v>
      </c>
      <c r="AP84" s="14">
        <f>IF($B84="OFF",CO84,VLOOKUP($D84,Receptury_z!$D:$AS,AP$4,0))</f>
        <v>0</v>
      </c>
      <c r="AQ84" s="14">
        <f>IF($B84="OFF",CP84,VLOOKUP($D84,Receptury_z!$D:$AS,AQ$4,0))</f>
        <v>0</v>
      </c>
      <c r="AR84" s="14">
        <f>IF($B84="OFF",CQ84,VLOOKUP($D84,Receptury_z!$D:$AS,AR$4,0))</f>
        <v>0</v>
      </c>
      <c r="AS84" s="14">
        <f>IF($B84="OFF",CR84,VLOOKUP($D84,Receptury_z!$D:$AS,AS$4,0))</f>
        <v>0</v>
      </c>
      <c r="AT84" s="14">
        <f>IF($B84="OFF",CS84,VLOOKUP($D84,Receptury_z!$D:$AV,AT$4,0))</f>
        <v>0</v>
      </c>
      <c r="AU84" s="14">
        <f>IF($B84="OFF",CT84,VLOOKUP($D84,Receptury_z!$D:$AV,AU$4,0))</f>
        <v>0</v>
      </c>
      <c r="AV84" s="14">
        <f>IF($B84="OFF",CU84,VLOOKUP($D84,Receptury_z!$D:$AV,AV$4,0))</f>
        <v>0</v>
      </c>
      <c r="AW84" s="14">
        <f>IF($B84="OFF",CV84,VLOOKUP($D84,Receptury_z!$D:$BA,AW$4,0))</f>
        <v>0</v>
      </c>
      <c r="AX84" s="14">
        <f>IF($B84="OFF",CW84,VLOOKUP($D84,Receptury_z!$D:$BA,AX$4,0))</f>
        <v>0</v>
      </c>
      <c r="AY84" s="14">
        <f>IF($B84="OFF",CX84,VLOOKUP($D84,Receptury_z!$D:$BA,AY$4,0))</f>
        <v>0</v>
      </c>
      <c r="AZ84" s="14">
        <f>IF($B84="OFF",DA84,VLOOKUP($D84,Receptury_z!$D:$BA,AZ$4,0))</f>
        <v>0</v>
      </c>
      <c r="BA84" s="14">
        <f>IF($B84="OFF",DB84,VLOOKUP($D84,Receptury_z!$D:$BA,BA$4,0))</f>
        <v>0</v>
      </c>
      <c r="BC84" s="28">
        <v>6486</v>
      </c>
      <c r="BD84" s="1" t="s">
        <v>15389</v>
      </c>
      <c r="BE84" s="239">
        <v>0</v>
      </c>
      <c r="BF84" s="239">
        <v>0</v>
      </c>
      <c r="BG84" s="239">
        <v>0</v>
      </c>
      <c r="BH84" s="239">
        <v>0</v>
      </c>
      <c r="BI84" s="239">
        <v>0</v>
      </c>
      <c r="BJ84" s="239">
        <v>0</v>
      </c>
      <c r="BK84" s="239">
        <v>0</v>
      </c>
      <c r="BL84" s="239">
        <v>0</v>
      </c>
      <c r="BM84" s="239">
        <v>0</v>
      </c>
      <c r="BN84" s="239">
        <v>0</v>
      </c>
      <c r="BO84" s="239">
        <v>0</v>
      </c>
      <c r="BP84" s="239">
        <v>61.2</v>
      </c>
      <c r="BQ84" s="239"/>
      <c r="BR84" s="239">
        <v>0</v>
      </c>
      <c r="BS84" s="239">
        <v>0</v>
      </c>
      <c r="BT84" s="239">
        <v>73.5</v>
      </c>
      <c r="BU84" s="239">
        <v>0</v>
      </c>
      <c r="BV84" s="239">
        <v>0</v>
      </c>
      <c r="BW84" s="239">
        <v>0</v>
      </c>
      <c r="BX84" s="239">
        <v>0</v>
      </c>
      <c r="BY84" s="239">
        <v>0</v>
      </c>
      <c r="BZ84" s="239">
        <v>0</v>
      </c>
      <c r="CA84" s="239">
        <v>0</v>
      </c>
      <c r="CB84" s="239">
        <v>0</v>
      </c>
      <c r="CC84" s="239">
        <v>0</v>
      </c>
      <c r="CD84" s="239">
        <v>461.2</v>
      </c>
      <c r="CE84" s="239">
        <v>65.3</v>
      </c>
      <c r="CF84" s="239">
        <v>155.1</v>
      </c>
      <c r="CG84" s="239">
        <v>0</v>
      </c>
      <c r="CH84" s="239">
        <v>0</v>
      </c>
      <c r="CI84" s="239">
        <v>0</v>
      </c>
      <c r="CJ84" s="239">
        <v>0</v>
      </c>
      <c r="CK84" s="239">
        <v>0</v>
      </c>
      <c r="CL84" s="239">
        <v>0</v>
      </c>
      <c r="CM84" s="80"/>
      <c r="CN84" s="80"/>
      <c r="CO84" s="80"/>
      <c r="CP84" s="80"/>
      <c r="CQ84" s="80"/>
      <c r="CR84" s="80"/>
      <c r="CS84" s="80"/>
      <c r="CT84" s="80"/>
      <c r="CU84" s="80"/>
      <c r="CV84" s="80"/>
      <c r="CW84" s="80"/>
      <c r="CX84" s="80"/>
      <c r="CY84" s="80"/>
      <c r="CZ84" s="80"/>
      <c r="DB84">
        <f>IFERROR(VLOOKUP($D84,'Kalkulator mięs '!$C$5:$H$533,DB$4,0)*F84,0)</f>
        <v>0</v>
      </c>
      <c r="DC84">
        <f>IFERROR(VLOOKUP($D84,'Kalkulator mięs '!$C$5:$H$533,DC$4,0)*F84,0)</f>
        <v>0</v>
      </c>
      <c r="DD84">
        <f>IFERROR(VLOOKUP($D84,'Kalkulator mięs '!$C$5:$H$533,DD$4,0)*F84,0)</f>
        <v>0</v>
      </c>
      <c r="DE84">
        <f>IFERROR(VLOOKUP($D84,'Kalkulator mięs '!$C$5:$H$533,DE$4,0)*$G84,0)</f>
        <v>0</v>
      </c>
      <c r="DF84">
        <f>IFERROR(VLOOKUP($D84,'Kalkulator mięs '!$C$5:$H$533,DF$4,0)*$G84,0)</f>
        <v>0</v>
      </c>
      <c r="DG84">
        <f>IFERROR(VLOOKUP($D84,'Kalkulator mięs '!$C$5:$H$533,DG$4,0)*$G84,0)</f>
        <v>0</v>
      </c>
      <c r="DH84">
        <f>IFERROR(VLOOKUP($D84,'Kalkulator mięs '!$C$5:$H$533,DH$4,0)*$H84,0)</f>
        <v>0</v>
      </c>
      <c r="DI84">
        <f>IFERROR(VLOOKUP($D84,'Kalkulator mięs '!$C$5:$H$533,DI$4,0)*$H84,0)</f>
        <v>0</v>
      </c>
      <c r="DJ84">
        <f>IFERROR(VLOOKUP($D84,'Kalkulator mięs '!$C$5:$H$533,DJ$4,0)*$H84,0)</f>
        <v>0</v>
      </c>
      <c r="DK84">
        <f>IFERROR(VLOOKUP($D84,'Kalkulator mięs '!$C$5:$H$533,DK$4,0)*$I84,0)</f>
        <v>0</v>
      </c>
      <c r="DL84">
        <f>IFERROR(VLOOKUP($D84,'Kalkulator mięs '!$C$5:$H$533,DL$4,0)*$I84,0)</f>
        <v>0</v>
      </c>
      <c r="DM84">
        <f>IFERROR(VLOOKUP($D84,'Kalkulator mięs '!$C$5:$H$533,DM$4,0)*$I84,0)</f>
        <v>0</v>
      </c>
      <c r="DN84">
        <f>IFERROR(VLOOKUP($D84,'Kalkulator mięs '!$C$5:$H$533,DN$4,0)*$J84,0)</f>
        <v>0</v>
      </c>
      <c r="DO84">
        <f>IFERROR(VLOOKUP($D84,'Kalkulator mięs '!$C$5:$H$533,DO$4,0)*$J84,0)</f>
        <v>0</v>
      </c>
      <c r="DP84">
        <f>IFERROR(VLOOKUP($D84,'Kalkulator mięs '!$C$5:$H$533,DP$4,0)*$J84,0)</f>
        <v>0</v>
      </c>
      <c r="DQ84">
        <f>IFERROR(VLOOKUP($D84,'Kalkulator mięs '!$C$5:$H$533,DQ$4,0)*$K84,0)</f>
        <v>0</v>
      </c>
      <c r="DR84">
        <f>IFERROR(VLOOKUP($D84,'Kalkulator mięs '!$C$5:$H$533,DR$4,0)*$K84,0)</f>
        <v>0</v>
      </c>
      <c r="DS84">
        <f>IFERROR(VLOOKUP($D84,'Kalkulator mięs '!$C$5:$H$533,DS$4,0)*$K84,0)</f>
        <v>0</v>
      </c>
      <c r="DT84">
        <f>IFERROR(VLOOKUP($D84,'Kalkulator mięs '!$C$5:$H$533,DT$4,0)*$L84,0)</f>
        <v>0</v>
      </c>
      <c r="DU84">
        <f>IFERROR(VLOOKUP($D84,'Kalkulator mięs '!$C$5:$H$533,DU$4,0)*$L84,0)</f>
        <v>0</v>
      </c>
      <c r="DV84">
        <f>IFERROR(VLOOKUP($D84,'Kalkulator mięs '!$C$5:$H$533,DV$4,0)*$L84,0)</f>
        <v>0</v>
      </c>
      <c r="DW84">
        <f>IFERROR(VLOOKUP($D84,'Kalkulator mięs '!$C$5:$H$533,DW$4,0)*$M84,0)</f>
        <v>0</v>
      </c>
      <c r="DX84">
        <f>IFERROR(VLOOKUP($D84,'Kalkulator mięs '!$C$5:$H$533,DX$4,0)*$M84,0)</f>
        <v>0</v>
      </c>
      <c r="DY84">
        <f>IFERROR(VLOOKUP($D84,'Kalkulator mięs '!$C$5:$H$533,DY$4,0)*$M84,0)</f>
        <v>0</v>
      </c>
      <c r="DZ84">
        <f>IFERROR(VLOOKUP($D84,'Kalkulator mięs '!$C$5:$H$533,DZ$4,0)*$N84,0)</f>
        <v>0</v>
      </c>
      <c r="EA84">
        <f>IFERROR(VLOOKUP($D84,'Kalkulator mięs '!$C$5:$H$533,EA$4,0)*$N84,0)</f>
        <v>0</v>
      </c>
      <c r="EB84">
        <f>IFERROR(VLOOKUP($D84,'Kalkulator mięs '!$C$5:$H$533,EB$4,0)*$N84,0)</f>
        <v>0</v>
      </c>
      <c r="EC84">
        <f>IFERROR(VLOOKUP($D84,'Kalkulator mięs '!$C$5:$H$533,EC$4,0)*$O84,0)</f>
        <v>0</v>
      </c>
      <c r="ED84">
        <f>IFERROR(VLOOKUP($D84,'Kalkulator mięs '!$C$5:$H$533,ED$4,0)*$O84,0)</f>
        <v>0</v>
      </c>
      <c r="EE84">
        <f>IFERROR(VLOOKUP($D84,'Kalkulator mięs '!$C$5:$H$533,EE$4,0)*$O84,0)</f>
        <v>0</v>
      </c>
      <c r="EF84">
        <f>IFERROR(VLOOKUP($D84,'Kalkulator mięs '!$C$5:$H$533,EF$4,0)*$P84,0)</f>
        <v>0</v>
      </c>
      <c r="EG84">
        <f>IFERROR(VLOOKUP($D84,'Kalkulator mięs '!$C$5:$H$533,EG$4,0)*$P84,0)</f>
        <v>0</v>
      </c>
      <c r="EH84">
        <f>IFERROR(VLOOKUP($D84,'Kalkulator mięs '!$C$5:$H$533,EH$4,0)*$P84,0)</f>
        <v>0</v>
      </c>
      <c r="EI84">
        <f>IFERROR(VLOOKUP($D84,'Kalkulator mięs '!$C$5:$H$533,EI$4,0)*$Q84,0)</f>
        <v>0</v>
      </c>
      <c r="EJ84">
        <f>IFERROR(VLOOKUP($D84,'Kalkulator mięs '!$C$5:$H$533,EJ$4,0)*$Q84,0)</f>
        <v>0</v>
      </c>
      <c r="EK84">
        <f>IFERROR(VLOOKUP($D84,'Kalkulator mięs '!$C$5:$H$533,EK$4,0)*$Q84,0)</f>
        <v>0</v>
      </c>
      <c r="EL84">
        <f>IFERROR(VLOOKUP($D84,'Kalkulator mięs '!$C$5:$H$533,EL$4,0)*$R84,0)</f>
        <v>0</v>
      </c>
      <c r="EM84">
        <f>IFERROR(VLOOKUP($D84,'Kalkulator mięs '!$C$5:$H$533,EM$4,0)*$R84,0)</f>
        <v>0</v>
      </c>
      <c r="EN84">
        <f>IFERROR(VLOOKUP($D84,'Kalkulator mięs '!$C$5:$H$533,EN$4,0)*$R84,0)</f>
        <v>0</v>
      </c>
      <c r="EO84">
        <f>IFERROR(VLOOKUP($D84,'Kalkulator mięs '!$C$5:$H$533,EO$4,0)*$S84,0)</f>
        <v>0</v>
      </c>
      <c r="EP84">
        <f>IFERROR(VLOOKUP($D84,'Kalkulator mięs '!$C$5:$H$533,EP$4,0)*$S84,0)</f>
        <v>0</v>
      </c>
      <c r="EQ84">
        <f>IFERROR(VLOOKUP($D84,'Kalkulator mięs '!$C$5:$H$533,EQ$4,0)*$S84,0)</f>
        <v>0</v>
      </c>
      <c r="ER84">
        <f>IFERROR(VLOOKUP($D84,'Kalkulator mięs '!$C$5:$H$533,ER$4,0)*$T84,0)</f>
        <v>0</v>
      </c>
      <c r="ES84">
        <f>IFERROR(VLOOKUP($D84,'Kalkulator mięs '!$C$5:$H$533,ES$4,0)*$T84,0)</f>
        <v>0</v>
      </c>
      <c r="ET84">
        <f>IFERROR(VLOOKUP($D84,'Kalkulator mięs '!$C$5:$H$533,ET$4,0)*$T84,0)</f>
        <v>0</v>
      </c>
      <c r="EU84">
        <f>IFERROR(VLOOKUP($D84,'Kalkulator mięs '!$C$5:$H$533,EU$4,0)*$U84,0)</f>
        <v>0</v>
      </c>
      <c r="EV84">
        <f>IFERROR(VLOOKUP($D84,'Kalkulator mięs '!$C$5:$H$533,EV$4,0)*$U84,0)</f>
        <v>0</v>
      </c>
      <c r="EW84">
        <f>IFERROR(VLOOKUP($D84,'Kalkulator mięs '!$C$5:$H$533,EW$4,0)*$U84,0)</f>
        <v>0</v>
      </c>
      <c r="EX84">
        <f>IFERROR(VLOOKUP($D84,'Kalkulator mięs '!$C$5:$H$533,EX$4,0)*$V84,0)</f>
        <v>0</v>
      </c>
      <c r="EY84">
        <f>IFERROR(VLOOKUP($D84,'Kalkulator mięs '!$C$5:$H$533,EY$4,0)*$V84,0)</f>
        <v>0</v>
      </c>
      <c r="EZ84">
        <f>IFERROR(VLOOKUP($D84,'Kalkulator mięs '!$C$5:$H$533,EZ$4,0)*$V84,0)</f>
        <v>0</v>
      </c>
      <c r="FA84">
        <f>IFERROR(VLOOKUP($D84,'Kalkulator mięs '!$C$5:$H$533,FA$4,0)*$W84,0)</f>
        <v>0</v>
      </c>
      <c r="FB84">
        <f>IFERROR(VLOOKUP($D84,'Kalkulator mięs '!$C$5:$H$533,FB$4,0)*$W84,0)</f>
        <v>0</v>
      </c>
      <c r="FC84">
        <f>IFERROR(VLOOKUP($D84,'Kalkulator mięs '!$C$5:$H$533,FC$4,0)*$W84,0)</f>
        <v>0</v>
      </c>
      <c r="FD84">
        <f>IFERROR(VLOOKUP($D84,'Kalkulator mięs '!$C$5:$H$533,FD$4,0)*$X84,0)</f>
        <v>0</v>
      </c>
      <c r="FE84">
        <f>IFERROR(VLOOKUP($D84,'Kalkulator mięs '!$C$5:$H$533,FE$4,0)*$X84,0)</f>
        <v>0</v>
      </c>
      <c r="FF84">
        <f>IFERROR(VLOOKUP($D84,'Kalkulator mięs '!$C$5:$H$533,FF$4,0)*$X84,0)</f>
        <v>0</v>
      </c>
      <c r="FG84">
        <f>IFERROR(VLOOKUP($D84,'Kalkulator mięs '!$C$5:$H$533,FG$4,0)*$Y84,0)</f>
        <v>0</v>
      </c>
      <c r="FH84">
        <f>IFERROR(VLOOKUP($D84,'Kalkulator mięs '!$C$5:$H$533,FH$4,0)*$Y84,0)</f>
        <v>0</v>
      </c>
      <c r="FI84">
        <f>IFERROR(VLOOKUP($D84,'Kalkulator mięs '!$C$5:$H$533,FI$4,0)*$Y84,0)</f>
        <v>0</v>
      </c>
      <c r="FJ84">
        <f>IFERROR(VLOOKUP($D84,'Kalkulator mięs '!$C$5:$H$533,FJ$4,0)*$Z84,0)</f>
        <v>0</v>
      </c>
      <c r="FK84">
        <f>IFERROR(VLOOKUP($D84,'Kalkulator mięs '!$C$5:$H$533,FK$4,0)*$Z84,0)</f>
        <v>0</v>
      </c>
      <c r="FL84">
        <f>IFERROR(VLOOKUP($D84,'Kalkulator mięs '!$C$5:$H$533,FL$4,0)*$Z84,0)</f>
        <v>0</v>
      </c>
      <c r="FM84">
        <f>IFERROR(VLOOKUP($D84,'Kalkulator mięs '!$C$5:$H$533,FM$4,0)*$AA84,0)</f>
        <v>0</v>
      </c>
      <c r="FN84">
        <f>IFERROR(VLOOKUP($D84,'Kalkulator mięs '!$C$5:$H$533,FN$4,0)*$AA84,0)</f>
        <v>0</v>
      </c>
      <c r="FO84">
        <f>IFERROR(VLOOKUP($D84,'Kalkulator mięs '!$C$5:$H$533,FO$4,0)*$AA84,0)</f>
        <v>0</v>
      </c>
      <c r="FP84">
        <f>IFERROR(VLOOKUP($D84,'Kalkulator mięs '!$C$5:$H$533,FP$4,0)*$AB84,0)</f>
        <v>0</v>
      </c>
      <c r="FQ84">
        <f>IFERROR(VLOOKUP($D84,'Kalkulator mięs '!$C$5:$H$533,FQ$4,0)*$AB84,0)</f>
        <v>0</v>
      </c>
      <c r="FR84">
        <f>IFERROR(VLOOKUP($D84,'Kalkulator mięs '!$C$5:$H$533,FR$4,0)*$AB84,0)</f>
        <v>0</v>
      </c>
      <c r="FS84">
        <f>IFERROR(VLOOKUP($D84,'Kalkulator mięs '!$C$5:$H$533,FS$4,0)*$AC84,0)</f>
        <v>0</v>
      </c>
      <c r="FT84">
        <f>IFERROR(VLOOKUP($D84,'Kalkulator mięs '!$C$5:$H$533,FT$4,0)*$AC84,0)</f>
        <v>0</v>
      </c>
      <c r="FU84">
        <f>IFERROR(VLOOKUP($D84,'Kalkulator mięs '!$C$5:$H$533,FU$4,0)*$AC84,0)</f>
        <v>0</v>
      </c>
      <c r="FV84">
        <f>IFERROR(VLOOKUP($D84,'Kalkulator mięs '!$C$5:$H$533,FV$4,0)*$AD84,0)</f>
        <v>0</v>
      </c>
      <c r="FW84">
        <f>IFERROR(VLOOKUP($D84,'Kalkulator mięs '!$C$5:$H$533,FW$4,0)*$AD84,0)</f>
        <v>0</v>
      </c>
      <c r="FX84">
        <f>IFERROR(VLOOKUP($D84,'Kalkulator mięs '!$C$5:$H$533,FX$4,0)*$AD84,0)</f>
        <v>0</v>
      </c>
      <c r="FY84">
        <f>IFERROR(VLOOKUP($D84,'Kalkulator mięs '!$C$5:$H$533,FY$4,0)*$AE84,0)</f>
        <v>0</v>
      </c>
      <c r="FZ84">
        <f>IFERROR(VLOOKUP($D84,'Kalkulator mięs '!$C$5:$H$533,FZ$4,0)*$AE84,0)</f>
        <v>0</v>
      </c>
      <c r="GA84">
        <f>IFERROR(VLOOKUP($D84,'Kalkulator mięs '!$C$5:$H$533,GA$4,0)*$AE84,0)</f>
        <v>0</v>
      </c>
      <c r="GB84">
        <f>IFERROR(VLOOKUP($D84,'Kalkulator mięs '!$C$5:$H$533,GB$4,0)*$AF84,0)</f>
        <v>0</v>
      </c>
      <c r="GC84">
        <f>IFERROR(VLOOKUP($D84,'Kalkulator mięs '!$C$5:$H$533,GC$4,0)*$AF84,0)</f>
        <v>0</v>
      </c>
      <c r="GD84">
        <f>IFERROR(VLOOKUP($D84,'Kalkulator mięs '!$C$5:$H$533,GD$4,0)*$AF84,0)</f>
        <v>0</v>
      </c>
      <c r="GE84">
        <f>IFERROR(VLOOKUP($D84,'Kalkulator mięs '!$C$5:$H$533,GE$4,0)*$AG84,0)</f>
        <v>0</v>
      </c>
      <c r="GF84">
        <f>IFERROR(VLOOKUP($D84,'Kalkulator mięs '!$C$5:$H$533,GF$4,0)*$AG84,0)</f>
        <v>0</v>
      </c>
      <c r="GG84">
        <f>IFERROR(VLOOKUP($D84,'Kalkulator mięs '!$C$5:$H$533,GG$4,0)*$AG84,0)</f>
        <v>0</v>
      </c>
      <c r="GH84">
        <f>IFERROR(VLOOKUP($D84,'Kalkulator mięs '!$C$5:$H$533,GH$4,0)*$AH84,0)</f>
        <v>0</v>
      </c>
      <c r="GI84">
        <f>IFERROR(VLOOKUP($D84,'Kalkulator mięs '!$C$5:$H$533,GI$4,0)*$AH84,0)</f>
        <v>0</v>
      </c>
      <c r="GJ84">
        <f>IFERROR(VLOOKUP($D84,'Kalkulator mięs '!$C$5:$H$533,GJ$4,0)*$AH84,0)</f>
        <v>0</v>
      </c>
      <c r="GK84">
        <f>IFERROR(VLOOKUP($D84,'Kalkulator mięs '!$C$5:$H$533,GK$4,0)*$AI84,0)</f>
        <v>0</v>
      </c>
      <c r="GL84">
        <f>IFERROR(VLOOKUP($D84,'Kalkulator mięs '!$C$5:$H$533,GL$4,0)*$AI84,0)</f>
        <v>0</v>
      </c>
      <c r="GM84">
        <f>IFERROR(VLOOKUP($D84,'Kalkulator mięs '!$C$5:$H$533,GM$4,0)*$AI84,0)</f>
        <v>0</v>
      </c>
      <c r="GN84">
        <f>IFERROR(VLOOKUP($D84,'Kalkulator mięs '!$C$5:$H$533,GN$4,0)*$AJ84,0)</f>
        <v>0</v>
      </c>
      <c r="GO84">
        <f>IFERROR(VLOOKUP($D84,'Kalkulator mięs '!$C$5:$H$533,GO$4,0)*$AJ84,0)</f>
        <v>0</v>
      </c>
      <c r="GP84">
        <f>IFERROR(VLOOKUP($D84,'Kalkulator mięs '!$C$5:$H$533,GP$4,0)*$AJ84,0)</f>
        <v>0</v>
      </c>
      <c r="GQ84">
        <f>IFERROR(VLOOKUP($D84,'Kalkulator mięs '!$C$5:$H$533,GQ$4,0)*$AK84,0)</f>
        <v>0</v>
      </c>
      <c r="GR84">
        <f>IFERROR(VLOOKUP($D84,'Kalkulator mięs '!$C$5:$H$533,GR$4,0)*$AK84,0)</f>
        <v>0</v>
      </c>
      <c r="GS84">
        <f>IFERROR(VLOOKUP($D84,'Kalkulator mięs '!$C$5:$H$533,GS$4,0)*$AK84,0)</f>
        <v>0</v>
      </c>
      <c r="GT84">
        <f>IFERROR(VLOOKUP($D84,'Kalkulator mięs '!$C$5:$H$533,GT$4,0)*$AL84,0)</f>
        <v>0</v>
      </c>
      <c r="GU84">
        <f>IFERROR(VLOOKUP($D84,'Kalkulator mięs '!$C$5:$H$533,GU$4,0)*$AL84,0)</f>
        <v>0</v>
      </c>
      <c r="GV84">
        <f>IFERROR(VLOOKUP($D84,'Kalkulator mięs '!$C$5:$H$533,GV$4,0)*$AL84,0)</f>
        <v>0</v>
      </c>
      <c r="GW84">
        <f>IFERROR(VLOOKUP($D84,'Kalkulator mięs '!$C$5:$H$533,GW$4,0)*$AM84,0)</f>
        <v>0</v>
      </c>
      <c r="GX84">
        <f>IFERROR(VLOOKUP($D84,'Kalkulator mięs '!$C$5:$H$533,GX$4,0)*$AM84,0)</f>
        <v>0</v>
      </c>
      <c r="GY84">
        <f>IFERROR(VLOOKUP($D84,'Kalkulator mięs '!$C$5:$H$533,GY$4,0)*$AM84,0)</f>
        <v>0</v>
      </c>
      <c r="GZ84">
        <f>IFERROR(VLOOKUP($D84,'Kalkulator mięs '!$C$5:$H$533,GZ$4,0)*$AN84,0)</f>
        <v>0</v>
      </c>
      <c r="HA84">
        <f>IFERROR(VLOOKUP($D84,'Kalkulator mięs '!$C$5:$H$533,HA$4,0)*$AN84,0)</f>
        <v>0</v>
      </c>
      <c r="HB84">
        <f>IFERROR(VLOOKUP($D84,'Kalkulator mięs '!$C$5:$H$533,HB$4,0)*$AN84,0)</f>
        <v>0</v>
      </c>
      <c r="HC84">
        <f>IFERROR(VLOOKUP($D84,'Kalkulator mięs '!$C$5:$H$533,HC$4,0)*$AO84,0)</f>
        <v>0</v>
      </c>
      <c r="HD84">
        <f>IFERROR(VLOOKUP($D84,'Kalkulator mięs '!$C$5:$H$533,HD$4,0)*$AO84,0)</f>
        <v>0</v>
      </c>
      <c r="HE84">
        <f>IFERROR(VLOOKUP($D84,'Kalkulator mięs '!$C$5:$H$533,HE$4,0)*$AO84,0)</f>
        <v>0</v>
      </c>
      <c r="HF84">
        <f>IFERROR(VLOOKUP($D84,'Kalkulator mięs '!$C$5:$H$533,HF$4,0)*$AP84,0)</f>
        <v>0</v>
      </c>
      <c r="HG84">
        <f>IFERROR(VLOOKUP($D84,'Kalkulator mięs '!$C$5:$H$533,HG$4,0)*$AP84,0)</f>
        <v>0</v>
      </c>
      <c r="HH84">
        <f>IFERROR(VLOOKUP($D84,'Kalkulator mięs '!$C$5:$H$533,HH$4,0)*$AP84,0)</f>
        <v>0</v>
      </c>
      <c r="HI84">
        <f>IFERROR(VLOOKUP($D84,'Kalkulator mięs '!$C$5:$H$533,HI$4,0)*$AQ84,0)</f>
        <v>0</v>
      </c>
      <c r="HJ84">
        <f>IFERROR(VLOOKUP($D84,'Kalkulator mięs '!$C$5:$H$533,HJ$4,0)*$AQ84,0)</f>
        <v>0</v>
      </c>
      <c r="HK84">
        <f>IFERROR(VLOOKUP($D84,'Kalkulator mięs '!$C$5:$H$533,HK$4,0)*$AQ84,0)</f>
        <v>0</v>
      </c>
      <c r="HL84">
        <f>IFERROR(VLOOKUP($D84,'Kalkulator mięs '!$C$5:$H$533,HL$4,0)*$AR84,0)</f>
        <v>0</v>
      </c>
      <c r="HM84">
        <f>IFERROR(VLOOKUP($D84,'Kalkulator mięs '!$C$5:$H$533,HM$4,0)*$AR84,0)</f>
        <v>0</v>
      </c>
      <c r="HN84">
        <f>IFERROR(VLOOKUP($D84,'Kalkulator mięs '!$C$5:$H$533,HN$4,0)*$AR84,0)</f>
        <v>0</v>
      </c>
      <c r="HO84">
        <f>IFERROR(VLOOKUP($D84,'Kalkulator mięs '!$C$5:$H$533,HO$4,0)*$AS84,0)</f>
        <v>0</v>
      </c>
      <c r="HP84">
        <f>IFERROR(VLOOKUP($D84,'Kalkulator mięs '!$C$5:$H$533,HP$4,0)*$AS84,0)</f>
        <v>0</v>
      </c>
      <c r="HQ84">
        <f>IFERROR(VLOOKUP($D84,'Kalkulator mięs '!$C$5:$H$533,HQ$4,0)*$AS84,0)</f>
        <v>0</v>
      </c>
      <c r="HR84">
        <f>IFERROR(VLOOKUP($D84,'Kalkulator mięs '!$C$5:$H$533,HR$4,0)*$AT84,0)</f>
        <v>0</v>
      </c>
      <c r="HS84">
        <f>IFERROR(VLOOKUP($D84,'Kalkulator mięs '!$C$5:$H$533,HS$4,0)*$AT84,0)</f>
        <v>0</v>
      </c>
      <c r="HT84">
        <f>IFERROR(VLOOKUP($D84,'Kalkulator mięs '!$C$5:$H$533,HT$4,0)*$AT84,0)</f>
        <v>0</v>
      </c>
      <c r="HU84">
        <f>IFERROR(VLOOKUP($D84,'Kalkulator mięs '!$C$5:$H$533,HU$4,0)*$AU84,0)</f>
        <v>0</v>
      </c>
      <c r="HV84">
        <f>IFERROR(VLOOKUP($D84,'Kalkulator mięs '!$C$5:$H$533,HV$4,0)*$AU84,0)</f>
        <v>0</v>
      </c>
      <c r="HW84">
        <f>IFERROR(VLOOKUP($D84,'Kalkulator mięs '!$C$5:$H$533,HW$4,0)*$AU84,0)</f>
        <v>0</v>
      </c>
      <c r="HX84">
        <f>IFERROR(VLOOKUP($D84,'Kalkulator mięs '!$C$5:$H$533,HX$4,0)*$AV84,0)</f>
        <v>0</v>
      </c>
      <c r="HY84">
        <f>IFERROR(VLOOKUP($D84,'Kalkulator mięs '!$C$5:$H$533,HY$4,0)*$AV84,0)</f>
        <v>0</v>
      </c>
      <c r="HZ84">
        <f>IFERROR(VLOOKUP($D84,'Kalkulator mięs '!$C$5:$H$533,HZ$4,0)*$AV84,0)</f>
        <v>0</v>
      </c>
      <c r="IA84">
        <f>IFERROR(VLOOKUP($D84,'Kalkulator mięs '!$C$5:$H$533,IA$4,0)*$AW84,0)</f>
        <v>0</v>
      </c>
      <c r="IB84">
        <f>IFERROR(VLOOKUP($D84,'Kalkulator mięs '!$C$5:$H$533,IB$4,0)*$AW84,0)</f>
        <v>0</v>
      </c>
      <c r="IC84">
        <f>IFERROR(VLOOKUP($D84,'Kalkulator mięs '!$C$5:$H$533,IC$4,0)*$AW84,0)</f>
        <v>0</v>
      </c>
      <c r="ID84">
        <f>IFERROR(VLOOKUP($D84,'Kalkulator mięs '!$C$5:$H$533,ID$4,0)*$AX84,0)</f>
        <v>0</v>
      </c>
      <c r="IE84">
        <f>IFERROR(VLOOKUP($D84,'Kalkulator mięs '!$C$5:$H$533,IE$4,0)*$AX84,0)</f>
        <v>0</v>
      </c>
      <c r="IF84">
        <f>IFERROR(VLOOKUP($D84,'Kalkulator mięs '!$C$5:$H$533,IF$4,0)*$AX84,0)</f>
        <v>0</v>
      </c>
      <c r="IG84">
        <f>IFERROR(VLOOKUP($D84,'Kalkulator mięs '!$C$5:$H$533,IG$4,0)*$AY84,0)</f>
        <v>0</v>
      </c>
      <c r="IH84">
        <f>IFERROR(VLOOKUP($D84,'Kalkulator mięs '!$C$5:$H$533,IH$4,0)*$AY84,0)</f>
        <v>0</v>
      </c>
      <c r="II84">
        <f>IFERROR(VLOOKUP($D84,'Kalkulator mięs '!$C$5:$H$533,II$4,0)*$AY84,0)</f>
        <v>0</v>
      </c>
      <c r="IJ84">
        <f>IFERROR(VLOOKUP($D84,'Kalkulator mięs '!$C$5:$H$533,IJ$4,0)*$AZ84,0)</f>
        <v>0</v>
      </c>
      <c r="IK84">
        <f>IFERROR(VLOOKUP($D84,'Kalkulator mięs '!$C$5:$H$533,IK$4,0)*$AZ84,0)</f>
        <v>0</v>
      </c>
      <c r="IL84">
        <f>IFERROR(VLOOKUP($D84,'Kalkulator mięs '!$C$5:$H$533,IL$4,0)*$AZ84,0)</f>
        <v>0</v>
      </c>
      <c r="IM84">
        <f>IFERROR(VLOOKUP($D84,'Kalkulator mięs '!$C$5:$H$533,IM$4,0)*$BA84,0)</f>
        <v>0</v>
      </c>
      <c r="IN84">
        <f>IFERROR(VLOOKUP($D84,'Kalkulator mięs '!$C$5:$H$533,IN$4,0)*$BA84,0)</f>
        <v>0</v>
      </c>
      <c r="IO84">
        <f>IFERROR(VLOOKUP($D84,'Kalkulator mięs '!$C$5:$H$533,IO$4,0)*$BA84,0)</f>
        <v>0</v>
      </c>
    </row>
    <row r="85" spans="2:249" ht="15.75">
      <c r="B85" t="str">
        <f>VLOOKUP(D85,Receptury_z!$A:$B,2,0)</f>
        <v>ON</v>
      </c>
      <c r="C85" s="27">
        <v>5600</v>
      </c>
      <c r="D85" s="28">
        <v>6599</v>
      </c>
      <c r="E85" s="1" t="s">
        <v>15606</v>
      </c>
      <c r="F85" s="14">
        <f>IF($B85="OFF",BE85,VLOOKUP($D85,Receptury_z!$D:$AI,F$4,0))</f>
        <v>0</v>
      </c>
      <c r="G85" s="14">
        <f>IF($B85="OFF",BF85,VLOOKUP($D85,Receptury_z!$D:$AI,G$4,0))</f>
        <v>0</v>
      </c>
      <c r="H85" s="14">
        <f>IF($B85="OFF",BG85,VLOOKUP($D85,Receptury_z!$D:$AI,H$4,0))</f>
        <v>0</v>
      </c>
      <c r="I85" s="14">
        <f>IF($B85="OFF",BH85,VLOOKUP($D85,Receptury_z!$D:$AI,I$4,0))</f>
        <v>0</v>
      </c>
      <c r="J85" s="14">
        <f>IF($B85="OFF",BI85,VLOOKUP($D85,Receptury_z!$D:$AI,J$4,0))</f>
        <v>0</v>
      </c>
      <c r="K85" s="14">
        <f>IF($B85="OFF",BJ85,VLOOKUP($D85,Receptury_z!$D:$AI,K$4,0))</f>
        <v>0</v>
      </c>
      <c r="L85" s="14">
        <f>IF($B85="OFF",BK85,VLOOKUP($D85,Receptury_z!$D:$AI,L$4,0))</f>
        <v>0</v>
      </c>
      <c r="M85" s="14">
        <f>IF($B85="OFF",BL85,VLOOKUP($D85,Receptury_z!$D:$AI,M$4,0))</f>
        <v>0</v>
      </c>
      <c r="N85" s="14">
        <f>IF($B85="OFF",BM85,VLOOKUP($D85,Receptury_z!$D:$AI,N$4,0))</f>
        <v>0</v>
      </c>
      <c r="O85" s="14">
        <f>IF($B85="OFF",BN85,VLOOKUP($D85,Receptury_z!$D:$AI,O$4,0))</f>
        <v>0</v>
      </c>
      <c r="P85" s="14">
        <f>IF($B85="OFF",BO85,VLOOKUP($D85,Receptury_z!$D:$AI,P$4,0))</f>
        <v>0</v>
      </c>
      <c r="Q85" s="14">
        <f>IF($B85="OFF",BP85,VLOOKUP($D85,Receptury_z!$D:$AI,Q$4,0))</f>
        <v>0</v>
      </c>
      <c r="R85" s="14">
        <f>IF($B85="OFF",BQ85,VLOOKUP($D85,Receptury_z!$D:$AI,R$4,0))</f>
        <v>29</v>
      </c>
      <c r="S85" s="14">
        <f>IF($B85="OFF",BR85,VLOOKUP($D85,Receptury_z!$D:$AI,S$4,0))</f>
        <v>0</v>
      </c>
      <c r="T85" s="14">
        <f>IF($B85="OFF",BS85,VLOOKUP($D85,Receptury_z!$D:$AI,T$4,0))</f>
        <v>100</v>
      </c>
      <c r="U85" s="14">
        <f>IF($B85="OFF",BT85,VLOOKUP($D85,Receptury_z!$D:$AI,U$4,0))</f>
        <v>121.54000000000002</v>
      </c>
      <c r="V85" s="14">
        <f>IF($B85="OFF",BU85,VLOOKUP($D85,Receptury_z!$D:$AI,V$4,0))</f>
        <v>100</v>
      </c>
      <c r="W85" s="14">
        <f>IF($B85="OFF",BV85,VLOOKUP($D85,Receptury_z!$D:$AI,W$4,0))</f>
        <v>0</v>
      </c>
      <c r="X85" s="14">
        <f>IF($B85="OFF",BW85,VLOOKUP($D85,Receptury_z!$D:$AI,X$4,0))</f>
        <v>0</v>
      </c>
      <c r="Y85" s="14">
        <f>IF($B85="OFF",BX85,VLOOKUP($D85,Receptury_z!$D:$AI,Y$4,0))</f>
        <v>0</v>
      </c>
      <c r="Z85" s="14">
        <f>IF($B85="OFF",BY85,VLOOKUP($D85,Receptury_z!$D:$AI,Z$4,0))</f>
        <v>0</v>
      </c>
      <c r="AA85" s="14">
        <f>IF($B85="OFF",BZ85,VLOOKUP($D85,Receptury_z!$D:$AI,AA$4,0))</f>
        <v>0</v>
      </c>
      <c r="AB85" s="14">
        <f>IF($B85="OFF",CA85,VLOOKUP($D85,Receptury_z!$D:$AI,AB$4,0))</f>
        <v>37.799999999999997</v>
      </c>
      <c r="AC85" s="14">
        <f>IF($B85="OFF",CB85,VLOOKUP($D85,Receptury_z!$D:$AI,AC$4,0))</f>
        <v>0</v>
      </c>
      <c r="AD85" s="14">
        <f>IF($B85="OFF",CC85,VLOOKUP($D85,Receptury_z!$D:$AI,AD$4,0))</f>
        <v>0</v>
      </c>
      <c r="AE85" s="14">
        <f>IF($B85="OFF",CD85,VLOOKUP($D85,Receptury_z!$D:$AI,AE$4,0))</f>
        <v>0</v>
      </c>
      <c r="AF85" s="14">
        <f>IF($B85="OFF",CE85,VLOOKUP($D85,Receptury_z!$D:$AI,AF$4,0))</f>
        <v>0</v>
      </c>
      <c r="AG85" s="14">
        <f>IF($B85="OFF",CF85,VLOOKUP($D85,Receptury_z!$D:$AI,AG$4,0))</f>
        <v>0</v>
      </c>
      <c r="AH85" s="14">
        <f>IF($B85="OFF",CG85,VLOOKUP($D85,Receptury_z!$D:$AI,AH$4,0))</f>
        <v>25</v>
      </c>
      <c r="AI85" s="14">
        <f>IF($B85="OFF",CH85,VLOOKUP($D85,Receptury_z!$D:$AI,AI$4,0))</f>
        <v>0</v>
      </c>
      <c r="AJ85" s="14">
        <f>IF($B85="OFF",CI85,VLOOKUP($D85,Receptury_z!$D:$AS,AJ$4,0))</f>
        <v>0</v>
      </c>
      <c r="AK85" s="14">
        <f>IF($B85="OFF",CJ85,VLOOKUP($D85,Receptury_z!$D:$AS,AK$4,0))</f>
        <v>160.80000000000001</v>
      </c>
      <c r="AL85" s="14">
        <f>IF($B85="OFF",CK85,VLOOKUP($D85,Receptury_z!$D:$AS,AL$4,0))</f>
        <v>25</v>
      </c>
      <c r="AM85" s="14">
        <f>IF($B85="OFF",CL85,VLOOKUP($D85,Receptury_z!$D:$AS,AM$4,0))</f>
        <v>0</v>
      </c>
      <c r="AN85" s="14">
        <f>IF($B85="OFF",CM85,VLOOKUP($D85,Receptury_z!$D:$AS,AN$4,0))</f>
        <v>125.4</v>
      </c>
      <c r="AO85" s="14">
        <f>IF($B85="OFF",CN85,VLOOKUP($D85,Receptury_z!$D:$AS,AO$4,0))</f>
        <v>0</v>
      </c>
      <c r="AP85" s="14">
        <f>IF($B85="OFF",CO85,VLOOKUP($D85,Receptury_z!$D:$AS,AP$4,0))</f>
        <v>0</v>
      </c>
      <c r="AQ85" s="14">
        <f>IF($B85="OFF",CP85,VLOOKUP($D85,Receptury_z!$D:$AS,AQ$4,0))</f>
        <v>0</v>
      </c>
      <c r="AR85" s="14">
        <f>IF($B85="OFF",CQ85,VLOOKUP($D85,Receptury_z!$D:$AS,AR$4,0))</f>
        <v>0</v>
      </c>
      <c r="AS85" s="14">
        <f>IF($B85="OFF",CR85,VLOOKUP($D85,Receptury_z!$D:$AS,AS$4,0))</f>
        <v>0</v>
      </c>
      <c r="AT85" s="14">
        <f>IF($B85="OFF",CS85,VLOOKUP($D85,Receptury_z!$D:$AV,AT$4,0))</f>
        <v>0</v>
      </c>
      <c r="AU85" s="14">
        <f>IF($B85="OFF",CT85,VLOOKUP($D85,Receptury_z!$D:$AV,AU$4,0))</f>
        <v>0</v>
      </c>
      <c r="AV85" s="14">
        <f>IF($B85="OFF",CU85,VLOOKUP($D85,Receptury_z!$D:$AV,AV$4,0))</f>
        <v>0</v>
      </c>
      <c r="AW85" s="14">
        <f>IF($B85="OFF",CV85,VLOOKUP($D85,Receptury_z!$D:$BA,AW$4,0))</f>
        <v>0</v>
      </c>
      <c r="AX85" s="14">
        <f>IF($B85="OFF",CW85,VLOOKUP($D85,Receptury_z!$D:$BA,AX$4,0))</f>
        <v>0</v>
      </c>
      <c r="AY85" s="14">
        <f>IF($B85="OFF",CX85,VLOOKUP($D85,Receptury_z!$D:$BA,AY$4,0))</f>
        <v>0</v>
      </c>
      <c r="AZ85" s="14">
        <f>IF($B85="OFF",DA85,VLOOKUP($D85,Receptury_z!$D:$BA,AZ$4,0))</f>
        <v>0</v>
      </c>
      <c r="BA85" s="14">
        <f>IF($B85="OFF",DB85,VLOOKUP($D85,Receptury_z!$D:$BA,BA$4,0))</f>
        <v>0</v>
      </c>
      <c r="BC85" s="28">
        <v>6599</v>
      </c>
      <c r="BD85" s="1" t="s">
        <v>15606</v>
      </c>
      <c r="BE85" s="239">
        <v>0</v>
      </c>
      <c r="BF85" s="239">
        <v>0</v>
      </c>
      <c r="BG85" s="239">
        <v>0</v>
      </c>
      <c r="BH85" s="239">
        <v>0</v>
      </c>
      <c r="BI85" s="239">
        <v>0</v>
      </c>
      <c r="BJ85" s="239">
        <v>0</v>
      </c>
      <c r="BK85" s="239">
        <v>0</v>
      </c>
      <c r="BL85" s="239">
        <v>0</v>
      </c>
      <c r="BM85" s="239">
        <v>0</v>
      </c>
      <c r="BN85" s="239">
        <v>74.7</v>
      </c>
      <c r="BO85" s="239">
        <v>0</v>
      </c>
      <c r="BP85" s="239">
        <v>0</v>
      </c>
      <c r="BQ85" s="239">
        <v>28.7</v>
      </c>
      <c r="BR85" s="239">
        <v>0</v>
      </c>
      <c r="BS85" s="239">
        <v>0</v>
      </c>
      <c r="BT85" s="239">
        <v>375.7</v>
      </c>
      <c r="BU85" s="239">
        <v>0</v>
      </c>
      <c r="BV85" s="239">
        <v>0</v>
      </c>
      <c r="BW85" s="239">
        <v>0</v>
      </c>
      <c r="BX85" s="239">
        <v>0</v>
      </c>
      <c r="BY85" s="239">
        <v>0</v>
      </c>
      <c r="BZ85" s="239">
        <v>0</v>
      </c>
      <c r="CA85" s="239">
        <v>37.4</v>
      </c>
      <c r="CB85" s="239">
        <v>0</v>
      </c>
      <c r="CC85" s="239">
        <v>200.9</v>
      </c>
      <c r="CD85" s="239">
        <v>0</v>
      </c>
      <c r="CE85" s="239">
        <v>0</v>
      </c>
      <c r="CF85" s="239">
        <v>0</v>
      </c>
      <c r="CG85" s="239">
        <v>0</v>
      </c>
      <c r="CH85" s="239">
        <v>0</v>
      </c>
      <c r="CI85" s="239">
        <v>0</v>
      </c>
      <c r="CJ85" s="239">
        <v>0</v>
      </c>
      <c r="CK85" s="239">
        <v>0</v>
      </c>
      <c r="CL85" s="239">
        <v>0</v>
      </c>
      <c r="CM85" s="80"/>
      <c r="CN85" s="80"/>
      <c r="CO85" s="80"/>
      <c r="CP85" s="80"/>
      <c r="CQ85" s="80"/>
      <c r="CR85" s="80"/>
      <c r="CS85" s="80"/>
      <c r="CT85" s="80"/>
      <c r="CU85" s="80"/>
      <c r="CV85" s="80"/>
      <c r="CW85" s="80"/>
      <c r="CX85" s="80"/>
      <c r="CY85" s="80"/>
      <c r="CZ85" s="80"/>
      <c r="DB85">
        <f>IFERROR(VLOOKUP($D85,'Kalkulator mięs '!$C$5:$H$533,DB$4,0)*F85,0)</f>
        <v>0</v>
      </c>
      <c r="DC85">
        <f>IFERROR(VLOOKUP($D85,'Kalkulator mięs '!$C$5:$H$533,DC$4,0)*F85,0)</f>
        <v>0</v>
      </c>
      <c r="DD85">
        <f>IFERROR(VLOOKUP($D85,'Kalkulator mięs '!$C$5:$H$533,DD$4,0)*F85,0)</f>
        <v>0</v>
      </c>
      <c r="DE85">
        <f>IFERROR(VLOOKUP($D85,'Kalkulator mięs '!$C$5:$H$533,DE$4,0)*$G85,0)</f>
        <v>0</v>
      </c>
      <c r="DF85">
        <f>IFERROR(VLOOKUP($D85,'Kalkulator mięs '!$C$5:$H$533,DF$4,0)*$G85,0)</f>
        <v>0</v>
      </c>
      <c r="DG85">
        <f>IFERROR(VLOOKUP($D85,'Kalkulator mięs '!$C$5:$H$533,DG$4,0)*$G85,0)</f>
        <v>0</v>
      </c>
      <c r="DH85">
        <f>IFERROR(VLOOKUP($D85,'Kalkulator mięs '!$C$5:$H$533,DH$4,0)*$H85,0)</f>
        <v>0</v>
      </c>
      <c r="DI85">
        <f>IFERROR(VLOOKUP($D85,'Kalkulator mięs '!$C$5:$H$533,DI$4,0)*$H85,0)</f>
        <v>0</v>
      </c>
      <c r="DJ85">
        <f>IFERROR(VLOOKUP($D85,'Kalkulator mięs '!$C$5:$H$533,DJ$4,0)*$H85,0)</f>
        <v>0</v>
      </c>
      <c r="DK85">
        <f>IFERROR(VLOOKUP($D85,'Kalkulator mięs '!$C$5:$H$533,DK$4,0)*$I85,0)</f>
        <v>0</v>
      </c>
      <c r="DL85">
        <f>IFERROR(VLOOKUP($D85,'Kalkulator mięs '!$C$5:$H$533,DL$4,0)*$I85,0)</f>
        <v>0</v>
      </c>
      <c r="DM85">
        <f>IFERROR(VLOOKUP($D85,'Kalkulator mięs '!$C$5:$H$533,DM$4,0)*$I85,0)</f>
        <v>0</v>
      </c>
      <c r="DN85">
        <f>IFERROR(VLOOKUP($D85,'Kalkulator mięs '!$C$5:$H$533,DN$4,0)*$J85,0)</f>
        <v>0</v>
      </c>
      <c r="DO85">
        <f>IFERROR(VLOOKUP($D85,'Kalkulator mięs '!$C$5:$H$533,DO$4,0)*$J85,0)</f>
        <v>0</v>
      </c>
      <c r="DP85">
        <f>IFERROR(VLOOKUP($D85,'Kalkulator mięs '!$C$5:$H$533,DP$4,0)*$J85,0)</f>
        <v>0</v>
      </c>
      <c r="DQ85">
        <f>IFERROR(VLOOKUP($D85,'Kalkulator mięs '!$C$5:$H$533,DQ$4,0)*$K85,0)</f>
        <v>0</v>
      </c>
      <c r="DR85">
        <f>IFERROR(VLOOKUP($D85,'Kalkulator mięs '!$C$5:$H$533,DR$4,0)*$K85,0)</f>
        <v>0</v>
      </c>
      <c r="DS85">
        <f>IFERROR(VLOOKUP($D85,'Kalkulator mięs '!$C$5:$H$533,DS$4,0)*$K85,0)</f>
        <v>0</v>
      </c>
      <c r="DT85">
        <f>IFERROR(VLOOKUP($D85,'Kalkulator mięs '!$C$5:$H$533,DT$4,0)*$L85,0)</f>
        <v>0</v>
      </c>
      <c r="DU85">
        <f>IFERROR(VLOOKUP($D85,'Kalkulator mięs '!$C$5:$H$533,DU$4,0)*$L85,0)</f>
        <v>0</v>
      </c>
      <c r="DV85">
        <f>IFERROR(VLOOKUP($D85,'Kalkulator mięs '!$C$5:$H$533,DV$4,0)*$L85,0)</f>
        <v>0</v>
      </c>
      <c r="DW85">
        <f>IFERROR(VLOOKUP($D85,'Kalkulator mięs '!$C$5:$H$533,DW$4,0)*$M85,0)</f>
        <v>0</v>
      </c>
      <c r="DX85">
        <f>IFERROR(VLOOKUP($D85,'Kalkulator mięs '!$C$5:$H$533,DX$4,0)*$M85,0)</f>
        <v>0</v>
      </c>
      <c r="DY85">
        <f>IFERROR(VLOOKUP($D85,'Kalkulator mięs '!$C$5:$H$533,DY$4,0)*$M85,0)</f>
        <v>0</v>
      </c>
      <c r="DZ85">
        <f>IFERROR(VLOOKUP($D85,'Kalkulator mięs '!$C$5:$H$533,DZ$4,0)*$N85,0)</f>
        <v>0</v>
      </c>
      <c r="EA85">
        <f>IFERROR(VLOOKUP($D85,'Kalkulator mięs '!$C$5:$H$533,EA$4,0)*$N85,0)</f>
        <v>0</v>
      </c>
      <c r="EB85">
        <f>IFERROR(VLOOKUP($D85,'Kalkulator mięs '!$C$5:$H$533,EB$4,0)*$N85,0)</f>
        <v>0</v>
      </c>
      <c r="EC85">
        <f>IFERROR(VLOOKUP($D85,'Kalkulator mięs '!$C$5:$H$533,EC$4,0)*$O85,0)</f>
        <v>0</v>
      </c>
      <c r="ED85">
        <f>IFERROR(VLOOKUP($D85,'Kalkulator mięs '!$C$5:$H$533,ED$4,0)*$O85,0)</f>
        <v>0</v>
      </c>
      <c r="EE85">
        <f>IFERROR(VLOOKUP($D85,'Kalkulator mięs '!$C$5:$H$533,EE$4,0)*$O85,0)</f>
        <v>0</v>
      </c>
      <c r="EF85">
        <f>IFERROR(VLOOKUP($D85,'Kalkulator mięs '!$C$5:$H$533,EF$4,0)*$P85,0)</f>
        <v>0</v>
      </c>
      <c r="EG85">
        <f>IFERROR(VLOOKUP($D85,'Kalkulator mięs '!$C$5:$H$533,EG$4,0)*$P85,0)</f>
        <v>0</v>
      </c>
      <c r="EH85">
        <f>IFERROR(VLOOKUP($D85,'Kalkulator mięs '!$C$5:$H$533,EH$4,0)*$P85,0)</f>
        <v>0</v>
      </c>
      <c r="EI85">
        <f>IFERROR(VLOOKUP($D85,'Kalkulator mięs '!$C$5:$H$533,EI$4,0)*$Q85,0)</f>
        <v>0</v>
      </c>
      <c r="EJ85">
        <f>IFERROR(VLOOKUP($D85,'Kalkulator mięs '!$C$5:$H$533,EJ$4,0)*$Q85,0)</f>
        <v>0</v>
      </c>
      <c r="EK85">
        <f>IFERROR(VLOOKUP($D85,'Kalkulator mięs '!$C$5:$H$533,EK$4,0)*$Q85,0)</f>
        <v>0</v>
      </c>
      <c r="EL85">
        <f>IFERROR(VLOOKUP($D85,'Kalkulator mięs '!$C$5:$H$533,EL$4,0)*$R85,0)</f>
        <v>0</v>
      </c>
      <c r="EM85">
        <f>IFERROR(VLOOKUP($D85,'Kalkulator mięs '!$C$5:$H$533,EM$4,0)*$R85,0)</f>
        <v>0</v>
      </c>
      <c r="EN85">
        <f>IFERROR(VLOOKUP($D85,'Kalkulator mięs '!$C$5:$H$533,EN$4,0)*$R85,0)</f>
        <v>1160</v>
      </c>
      <c r="EO85">
        <f>IFERROR(VLOOKUP($D85,'Kalkulator mięs '!$C$5:$H$533,EO$4,0)*$S85,0)</f>
        <v>0</v>
      </c>
      <c r="EP85">
        <f>IFERROR(VLOOKUP($D85,'Kalkulator mięs '!$C$5:$H$533,EP$4,0)*$S85,0)</f>
        <v>0</v>
      </c>
      <c r="EQ85">
        <f>IFERROR(VLOOKUP($D85,'Kalkulator mięs '!$C$5:$H$533,EQ$4,0)*$S85,0)</f>
        <v>0</v>
      </c>
      <c r="ER85">
        <f>IFERROR(VLOOKUP($D85,'Kalkulator mięs '!$C$5:$H$533,ER$4,0)*$T85,0)</f>
        <v>0</v>
      </c>
      <c r="ES85">
        <f>IFERROR(VLOOKUP($D85,'Kalkulator mięs '!$C$5:$H$533,ES$4,0)*$T85,0)</f>
        <v>0</v>
      </c>
      <c r="ET85">
        <f>IFERROR(VLOOKUP($D85,'Kalkulator mięs '!$C$5:$H$533,ET$4,0)*$T85,0)</f>
        <v>4000</v>
      </c>
      <c r="EU85">
        <f>IFERROR(VLOOKUP($D85,'Kalkulator mięs '!$C$5:$H$533,EU$4,0)*$U85,0)</f>
        <v>0</v>
      </c>
      <c r="EV85">
        <f>IFERROR(VLOOKUP($D85,'Kalkulator mięs '!$C$5:$H$533,EV$4,0)*$U85,0)</f>
        <v>0</v>
      </c>
      <c r="EW85">
        <f>IFERROR(VLOOKUP($D85,'Kalkulator mięs '!$C$5:$H$533,EW$4,0)*$U85,0)</f>
        <v>4861.6000000000004</v>
      </c>
      <c r="EX85">
        <f>IFERROR(VLOOKUP($D85,'Kalkulator mięs '!$C$5:$H$533,EX$4,0)*$V85,0)</f>
        <v>0</v>
      </c>
      <c r="EY85">
        <f>IFERROR(VLOOKUP($D85,'Kalkulator mięs '!$C$5:$H$533,EY$4,0)*$V85,0)</f>
        <v>0</v>
      </c>
      <c r="EZ85">
        <f>IFERROR(VLOOKUP($D85,'Kalkulator mięs '!$C$5:$H$533,EZ$4,0)*$V85,0)</f>
        <v>4000</v>
      </c>
      <c r="FA85">
        <f>IFERROR(VLOOKUP($D85,'Kalkulator mięs '!$C$5:$H$533,FA$4,0)*$W85,0)</f>
        <v>0</v>
      </c>
      <c r="FB85">
        <f>IFERROR(VLOOKUP($D85,'Kalkulator mięs '!$C$5:$H$533,FB$4,0)*$W85,0)</f>
        <v>0</v>
      </c>
      <c r="FC85">
        <f>IFERROR(VLOOKUP($D85,'Kalkulator mięs '!$C$5:$H$533,FC$4,0)*$W85,0)</f>
        <v>0</v>
      </c>
      <c r="FD85">
        <f>IFERROR(VLOOKUP($D85,'Kalkulator mięs '!$C$5:$H$533,FD$4,0)*$X85,0)</f>
        <v>0</v>
      </c>
      <c r="FE85">
        <f>IFERROR(VLOOKUP($D85,'Kalkulator mięs '!$C$5:$H$533,FE$4,0)*$X85,0)</f>
        <v>0</v>
      </c>
      <c r="FF85">
        <f>IFERROR(VLOOKUP($D85,'Kalkulator mięs '!$C$5:$H$533,FF$4,0)*$X85,0)</f>
        <v>0</v>
      </c>
      <c r="FG85">
        <f>IFERROR(VLOOKUP($D85,'Kalkulator mięs '!$C$5:$H$533,FG$4,0)*$Y85,0)</f>
        <v>0</v>
      </c>
      <c r="FH85">
        <f>IFERROR(VLOOKUP($D85,'Kalkulator mięs '!$C$5:$H$533,FH$4,0)*$Y85,0)</f>
        <v>0</v>
      </c>
      <c r="FI85">
        <f>IFERROR(VLOOKUP($D85,'Kalkulator mięs '!$C$5:$H$533,FI$4,0)*$Y85,0)</f>
        <v>0</v>
      </c>
      <c r="FJ85">
        <f>IFERROR(VLOOKUP($D85,'Kalkulator mięs '!$C$5:$H$533,FJ$4,0)*$Z85,0)</f>
        <v>0</v>
      </c>
      <c r="FK85">
        <f>IFERROR(VLOOKUP($D85,'Kalkulator mięs '!$C$5:$H$533,FK$4,0)*$Z85,0)</f>
        <v>0</v>
      </c>
      <c r="FL85">
        <f>IFERROR(VLOOKUP($D85,'Kalkulator mięs '!$C$5:$H$533,FL$4,0)*$Z85,0)</f>
        <v>0</v>
      </c>
      <c r="FM85">
        <f>IFERROR(VLOOKUP($D85,'Kalkulator mięs '!$C$5:$H$533,FM$4,0)*$AA85,0)</f>
        <v>0</v>
      </c>
      <c r="FN85">
        <f>IFERROR(VLOOKUP($D85,'Kalkulator mięs '!$C$5:$H$533,FN$4,0)*$AA85,0)</f>
        <v>0</v>
      </c>
      <c r="FO85">
        <f>IFERROR(VLOOKUP($D85,'Kalkulator mięs '!$C$5:$H$533,FO$4,0)*$AA85,0)</f>
        <v>0</v>
      </c>
      <c r="FP85">
        <f>IFERROR(VLOOKUP($D85,'Kalkulator mięs '!$C$5:$H$533,FP$4,0)*$AB85,0)</f>
        <v>0</v>
      </c>
      <c r="FQ85">
        <f>IFERROR(VLOOKUP($D85,'Kalkulator mięs '!$C$5:$H$533,FQ$4,0)*$AB85,0)</f>
        <v>0</v>
      </c>
      <c r="FR85">
        <f>IFERROR(VLOOKUP($D85,'Kalkulator mięs '!$C$5:$H$533,FR$4,0)*$AB85,0)</f>
        <v>1512</v>
      </c>
      <c r="FS85">
        <f>IFERROR(VLOOKUP($D85,'Kalkulator mięs '!$C$5:$H$533,FS$4,0)*$AC85,0)</f>
        <v>0</v>
      </c>
      <c r="FT85">
        <f>IFERROR(VLOOKUP($D85,'Kalkulator mięs '!$C$5:$H$533,FT$4,0)*$AC85,0)</f>
        <v>0</v>
      </c>
      <c r="FU85">
        <f>IFERROR(VLOOKUP($D85,'Kalkulator mięs '!$C$5:$H$533,FU$4,0)*$AC85,0)</f>
        <v>0</v>
      </c>
      <c r="FV85">
        <f>IFERROR(VLOOKUP($D85,'Kalkulator mięs '!$C$5:$H$533,FV$4,0)*$AD85,0)</f>
        <v>0</v>
      </c>
      <c r="FW85">
        <f>IFERROR(VLOOKUP($D85,'Kalkulator mięs '!$C$5:$H$533,FW$4,0)*$AD85,0)</f>
        <v>0</v>
      </c>
      <c r="FX85">
        <f>IFERROR(VLOOKUP($D85,'Kalkulator mięs '!$C$5:$H$533,FX$4,0)*$AD85,0)</f>
        <v>0</v>
      </c>
      <c r="FY85">
        <f>IFERROR(VLOOKUP($D85,'Kalkulator mięs '!$C$5:$H$533,FY$4,0)*$AE85,0)</f>
        <v>0</v>
      </c>
      <c r="FZ85">
        <f>IFERROR(VLOOKUP($D85,'Kalkulator mięs '!$C$5:$H$533,FZ$4,0)*$AE85,0)</f>
        <v>0</v>
      </c>
      <c r="GA85">
        <f>IFERROR(VLOOKUP($D85,'Kalkulator mięs '!$C$5:$H$533,GA$4,0)*$AE85,0)</f>
        <v>0</v>
      </c>
      <c r="GB85">
        <f>IFERROR(VLOOKUP($D85,'Kalkulator mięs '!$C$5:$H$533,GB$4,0)*$AF85,0)</f>
        <v>0</v>
      </c>
      <c r="GC85">
        <f>IFERROR(VLOOKUP($D85,'Kalkulator mięs '!$C$5:$H$533,GC$4,0)*$AF85,0)</f>
        <v>0</v>
      </c>
      <c r="GD85">
        <f>IFERROR(VLOOKUP($D85,'Kalkulator mięs '!$C$5:$H$533,GD$4,0)*$AF85,0)</f>
        <v>0</v>
      </c>
      <c r="GE85">
        <f>IFERROR(VLOOKUP($D85,'Kalkulator mięs '!$C$5:$H$533,GE$4,0)*$AG85,0)</f>
        <v>0</v>
      </c>
      <c r="GF85">
        <f>IFERROR(VLOOKUP($D85,'Kalkulator mięs '!$C$5:$H$533,GF$4,0)*$AG85,0)</f>
        <v>0</v>
      </c>
      <c r="GG85">
        <f>IFERROR(VLOOKUP($D85,'Kalkulator mięs '!$C$5:$H$533,GG$4,0)*$AG85,0)</f>
        <v>0</v>
      </c>
      <c r="GH85">
        <f>IFERROR(VLOOKUP($D85,'Kalkulator mięs '!$C$5:$H$533,GH$4,0)*$AH85,0)</f>
        <v>0</v>
      </c>
      <c r="GI85">
        <f>IFERROR(VLOOKUP($D85,'Kalkulator mięs '!$C$5:$H$533,GI$4,0)*$AH85,0)</f>
        <v>0</v>
      </c>
      <c r="GJ85">
        <f>IFERROR(VLOOKUP($D85,'Kalkulator mięs '!$C$5:$H$533,GJ$4,0)*$AH85,0)</f>
        <v>1000</v>
      </c>
      <c r="GK85">
        <f>IFERROR(VLOOKUP($D85,'Kalkulator mięs '!$C$5:$H$533,GK$4,0)*$AI85,0)</f>
        <v>0</v>
      </c>
      <c r="GL85">
        <f>IFERROR(VLOOKUP($D85,'Kalkulator mięs '!$C$5:$H$533,GL$4,0)*$AI85,0)</f>
        <v>0</v>
      </c>
      <c r="GM85">
        <f>IFERROR(VLOOKUP($D85,'Kalkulator mięs '!$C$5:$H$533,GM$4,0)*$AI85,0)</f>
        <v>0</v>
      </c>
      <c r="GN85">
        <f>IFERROR(VLOOKUP($D85,'Kalkulator mięs '!$C$5:$H$533,GN$4,0)*$AJ85,0)</f>
        <v>0</v>
      </c>
      <c r="GO85">
        <f>IFERROR(VLOOKUP($D85,'Kalkulator mięs '!$C$5:$H$533,GO$4,0)*$AJ85,0)</f>
        <v>0</v>
      </c>
      <c r="GP85">
        <f>IFERROR(VLOOKUP($D85,'Kalkulator mięs '!$C$5:$H$533,GP$4,0)*$AJ85,0)</f>
        <v>0</v>
      </c>
      <c r="GQ85">
        <f>IFERROR(VLOOKUP($D85,'Kalkulator mięs '!$C$5:$H$533,GQ$4,0)*$AK85,0)</f>
        <v>0</v>
      </c>
      <c r="GR85">
        <f>IFERROR(VLOOKUP($D85,'Kalkulator mięs '!$C$5:$H$533,GR$4,0)*$AK85,0)</f>
        <v>0</v>
      </c>
      <c r="GS85">
        <f>IFERROR(VLOOKUP($D85,'Kalkulator mięs '!$C$5:$H$533,GS$4,0)*$AK85,0)</f>
        <v>6432</v>
      </c>
      <c r="GT85">
        <f>IFERROR(VLOOKUP($D85,'Kalkulator mięs '!$C$5:$H$533,GT$4,0)*$AL85,0)</f>
        <v>0</v>
      </c>
      <c r="GU85">
        <f>IFERROR(VLOOKUP($D85,'Kalkulator mięs '!$C$5:$H$533,GU$4,0)*$AL85,0)</f>
        <v>0</v>
      </c>
      <c r="GV85">
        <f>IFERROR(VLOOKUP($D85,'Kalkulator mięs '!$C$5:$H$533,GV$4,0)*$AL85,0)</f>
        <v>1000</v>
      </c>
      <c r="GW85">
        <f>IFERROR(VLOOKUP($D85,'Kalkulator mięs '!$C$5:$H$533,GW$4,0)*$AM85,0)</f>
        <v>0</v>
      </c>
      <c r="GX85">
        <f>IFERROR(VLOOKUP($D85,'Kalkulator mięs '!$C$5:$H$533,GX$4,0)*$AM85,0)</f>
        <v>0</v>
      </c>
      <c r="GY85">
        <f>IFERROR(VLOOKUP($D85,'Kalkulator mięs '!$C$5:$H$533,GY$4,0)*$AM85,0)</f>
        <v>0</v>
      </c>
      <c r="GZ85">
        <f>IFERROR(VLOOKUP($D85,'Kalkulator mięs '!$C$5:$H$533,GZ$4,0)*$AN85,0)</f>
        <v>0</v>
      </c>
      <c r="HA85">
        <f>IFERROR(VLOOKUP($D85,'Kalkulator mięs '!$C$5:$H$533,HA$4,0)*$AN85,0)</f>
        <v>0</v>
      </c>
      <c r="HB85">
        <f>IFERROR(VLOOKUP($D85,'Kalkulator mięs '!$C$5:$H$533,HB$4,0)*$AN85,0)</f>
        <v>5016</v>
      </c>
      <c r="HC85">
        <f>IFERROR(VLOOKUP($D85,'Kalkulator mięs '!$C$5:$H$533,HC$4,0)*$AO85,0)</f>
        <v>0</v>
      </c>
      <c r="HD85">
        <f>IFERROR(VLOOKUP($D85,'Kalkulator mięs '!$C$5:$H$533,HD$4,0)*$AO85,0)</f>
        <v>0</v>
      </c>
      <c r="HE85">
        <f>IFERROR(VLOOKUP($D85,'Kalkulator mięs '!$C$5:$H$533,HE$4,0)*$AO85,0)</f>
        <v>0</v>
      </c>
      <c r="HF85">
        <f>IFERROR(VLOOKUP($D85,'Kalkulator mięs '!$C$5:$H$533,HF$4,0)*$AP85,0)</f>
        <v>0</v>
      </c>
      <c r="HG85">
        <f>IFERROR(VLOOKUP($D85,'Kalkulator mięs '!$C$5:$H$533,HG$4,0)*$AP85,0)</f>
        <v>0</v>
      </c>
      <c r="HH85">
        <f>IFERROR(VLOOKUP($D85,'Kalkulator mięs '!$C$5:$H$533,HH$4,0)*$AP85,0)</f>
        <v>0</v>
      </c>
      <c r="HI85">
        <f>IFERROR(VLOOKUP($D85,'Kalkulator mięs '!$C$5:$H$533,HI$4,0)*$AQ85,0)</f>
        <v>0</v>
      </c>
      <c r="HJ85">
        <f>IFERROR(VLOOKUP($D85,'Kalkulator mięs '!$C$5:$H$533,HJ$4,0)*$AQ85,0)</f>
        <v>0</v>
      </c>
      <c r="HK85">
        <f>IFERROR(VLOOKUP($D85,'Kalkulator mięs '!$C$5:$H$533,HK$4,0)*$AQ85,0)</f>
        <v>0</v>
      </c>
      <c r="HL85">
        <f>IFERROR(VLOOKUP($D85,'Kalkulator mięs '!$C$5:$H$533,HL$4,0)*$AR85,0)</f>
        <v>0</v>
      </c>
      <c r="HM85">
        <f>IFERROR(VLOOKUP($D85,'Kalkulator mięs '!$C$5:$H$533,HM$4,0)*$AR85,0)</f>
        <v>0</v>
      </c>
      <c r="HN85">
        <f>IFERROR(VLOOKUP($D85,'Kalkulator mięs '!$C$5:$H$533,HN$4,0)*$AR85,0)</f>
        <v>0</v>
      </c>
      <c r="HO85">
        <f>IFERROR(VLOOKUP($D85,'Kalkulator mięs '!$C$5:$H$533,HO$4,0)*$AS85,0)</f>
        <v>0</v>
      </c>
      <c r="HP85">
        <f>IFERROR(VLOOKUP($D85,'Kalkulator mięs '!$C$5:$H$533,HP$4,0)*$AS85,0)</f>
        <v>0</v>
      </c>
      <c r="HQ85">
        <f>IFERROR(VLOOKUP($D85,'Kalkulator mięs '!$C$5:$H$533,HQ$4,0)*$AS85,0)</f>
        <v>0</v>
      </c>
      <c r="HR85">
        <f>IFERROR(VLOOKUP($D85,'Kalkulator mięs '!$C$5:$H$533,HR$4,0)*$AT85,0)</f>
        <v>0</v>
      </c>
      <c r="HS85">
        <f>IFERROR(VLOOKUP($D85,'Kalkulator mięs '!$C$5:$H$533,HS$4,0)*$AT85,0)</f>
        <v>0</v>
      </c>
      <c r="HT85">
        <f>IFERROR(VLOOKUP($D85,'Kalkulator mięs '!$C$5:$H$533,HT$4,0)*$AT85,0)</f>
        <v>0</v>
      </c>
      <c r="HU85">
        <f>IFERROR(VLOOKUP($D85,'Kalkulator mięs '!$C$5:$H$533,HU$4,0)*$AU85,0)</f>
        <v>0</v>
      </c>
      <c r="HV85">
        <f>IFERROR(VLOOKUP($D85,'Kalkulator mięs '!$C$5:$H$533,HV$4,0)*$AU85,0)</f>
        <v>0</v>
      </c>
      <c r="HW85">
        <f>IFERROR(VLOOKUP($D85,'Kalkulator mięs '!$C$5:$H$533,HW$4,0)*$AU85,0)</f>
        <v>0</v>
      </c>
      <c r="HX85">
        <f>IFERROR(VLOOKUP($D85,'Kalkulator mięs '!$C$5:$H$533,HX$4,0)*$AV85,0)</f>
        <v>0</v>
      </c>
      <c r="HY85">
        <f>IFERROR(VLOOKUP($D85,'Kalkulator mięs '!$C$5:$H$533,HY$4,0)*$AV85,0)</f>
        <v>0</v>
      </c>
      <c r="HZ85">
        <f>IFERROR(VLOOKUP($D85,'Kalkulator mięs '!$C$5:$H$533,HZ$4,0)*$AV85,0)</f>
        <v>0</v>
      </c>
      <c r="IA85">
        <f>IFERROR(VLOOKUP($D85,'Kalkulator mięs '!$C$5:$H$533,IA$4,0)*$AW85,0)</f>
        <v>0</v>
      </c>
      <c r="IB85">
        <f>IFERROR(VLOOKUP($D85,'Kalkulator mięs '!$C$5:$H$533,IB$4,0)*$AW85,0)</f>
        <v>0</v>
      </c>
      <c r="IC85">
        <f>IFERROR(VLOOKUP($D85,'Kalkulator mięs '!$C$5:$H$533,IC$4,0)*$AW85,0)</f>
        <v>0</v>
      </c>
      <c r="ID85">
        <f>IFERROR(VLOOKUP($D85,'Kalkulator mięs '!$C$5:$H$533,ID$4,0)*$AX85,0)</f>
        <v>0</v>
      </c>
      <c r="IE85">
        <f>IFERROR(VLOOKUP($D85,'Kalkulator mięs '!$C$5:$H$533,IE$4,0)*$AX85,0)</f>
        <v>0</v>
      </c>
      <c r="IF85">
        <f>IFERROR(VLOOKUP($D85,'Kalkulator mięs '!$C$5:$H$533,IF$4,0)*$AX85,0)</f>
        <v>0</v>
      </c>
      <c r="IG85">
        <f>IFERROR(VLOOKUP($D85,'Kalkulator mięs '!$C$5:$H$533,IG$4,0)*$AY85,0)</f>
        <v>0</v>
      </c>
      <c r="IH85">
        <f>IFERROR(VLOOKUP($D85,'Kalkulator mięs '!$C$5:$H$533,IH$4,0)*$AY85,0)</f>
        <v>0</v>
      </c>
      <c r="II85">
        <f>IFERROR(VLOOKUP($D85,'Kalkulator mięs '!$C$5:$H$533,II$4,0)*$AY85,0)</f>
        <v>0</v>
      </c>
      <c r="IJ85">
        <f>IFERROR(VLOOKUP($D85,'Kalkulator mięs '!$C$5:$H$533,IJ$4,0)*$AZ85,0)</f>
        <v>0</v>
      </c>
      <c r="IK85">
        <f>IFERROR(VLOOKUP($D85,'Kalkulator mięs '!$C$5:$H$533,IK$4,0)*$AZ85,0)</f>
        <v>0</v>
      </c>
      <c r="IL85">
        <f>IFERROR(VLOOKUP($D85,'Kalkulator mięs '!$C$5:$H$533,IL$4,0)*$AZ85,0)</f>
        <v>0</v>
      </c>
      <c r="IM85">
        <f>IFERROR(VLOOKUP($D85,'Kalkulator mięs '!$C$5:$H$533,IM$4,0)*$BA85,0)</f>
        <v>0</v>
      </c>
      <c r="IN85">
        <f>IFERROR(VLOOKUP($D85,'Kalkulator mięs '!$C$5:$H$533,IN$4,0)*$BA85,0)</f>
        <v>0</v>
      </c>
      <c r="IO85">
        <f>IFERROR(VLOOKUP($D85,'Kalkulator mięs '!$C$5:$H$533,IO$4,0)*$BA85,0)</f>
        <v>0</v>
      </c>
    </row>
    <row r="86" spans="2:249" ht="15.75">
      <c r="B86" t="str">
        <f>VLOOKUP(D86,Receptury_z!$A:$B,2,0)</f>
        <v>ON</v>
      </c>
      <c r="C86" s="27">
        <v>5549</v>
      </c>
      <c r="D86" s="28">
        <v>6439</v>
      </c>
      <c r="E86" s="2" t="s">
        <v>34</v>
      </c>
      <c r="F86" s="14">
        <f>IF($B86="OFF",BE86,VLOOKUP($D86,Receptury_z!$D:$AI,F$4,0))</f>
        <v>0</v>
      </c>
      <c r="G86" s="14">
        <f>IF($B86="OFF",BF86,VLOOKUP($D86,Receptury_z!$D:$AI,G$4,0))</f>
        <v>0</v>
      </c>
      <c r="H86" s="14">
        <f>IF($B86="OFF",BG86,VLOOKUP($D86,Receptury_z!$D:$AI,H$4,0))</f>
        <v>0</v>
      </c>
      <c r="I86" s="14">
        <f>IF($B86="OFF",BH86,VLOOKUP($D86,Receptury_z!$D:$AI,I$4,0))</f>
        <v>0</v>
      </c>
      <c r="J86" s="14">
        <f>IF($B86="OFF",BI86,VLOOKUP($D86,Receptury_z!$D:$AI,J$4,0))</f>
        <v>0</v>
      </c>
      <c r="K86" s="14">
        <f>IF($B86="OFF",BJ86,VLOOKUP($D86,Receptury_z!$D:$AI,K$4,0))</f>
        <v>0</v>
      </c>
      <c r="L86" s="14">
        <f>IF($B86="OFF",BK86,VLOOKUP($D86,Receptury_z!$D:$AI,L$4,0))</f>
        <v>0</v>
      </c>
      <c r="M86" s="14">
        <f>IF($B86="OFF",BL86,VLOOKUP($D86,Receptury_z!$D:$AI,M$4,0))</f>
        <v>0</v>
      </c>
      <c r="N86" s="14">
        <f>IF($B86="OFF",BM86,VLOOKUP($D86,Receptury_z!$D:$AI,N$4,0))</f>
        <v>0</v>
      </c>
      <c r="O86" s="14">
        <f>IF($B86="OFF",BN86,VLOOKUP($D86,Receptury_z!$D:$AI,O$4,0))</f>
        <v>0</v>
      </c>
      <c r="P86" s="14">
        <f>IF($B86="OFF",BO86,VLOOKUP($D86,Receptury_z!$D:$AI,P$4,0))</f>
        <v>0</v>
      </c>
      <c r="Q86" s="14">
        <f>IF($B86="OFF",BP86,VLOOKUP($D86,Receptury_z!$D:$AI,Q$4,0))</f>
        <v>0</v>
      </c>
      <c r="R86" s="14">
        <f>IF($B86="OFF",BQ86,VLOOKUP($D86,Receptury_z!$D:$AI,R$4,0))</f>
        <v>62.7</v>
      </c>
      <c r="S86" s="14">
        <f>IF($B86="OFF",BR86,VLOOKUP($D86,Receptury_z!$D:$AI,S$4,0))</f>
        <v>0</v>
      </c>
      <c r="T86" s="14">
        <f>IF($B86="OFF",BS86,VLOOKUP($D86,Receptury_z!$D:$AI,T$4,0))</f>
        <v>398.7</v>
      </c>
      <c r="U86" s="14">
        <f>IF($B86="OFF",BT86,VLOOKUP($D86,Receptury_z!$D:$AI,U$4,0))</f>
        <v>0</v>
      </c>
      <c r="V86" s="14">
        <f>IF($B86="OFF",BU86,VLOOKUP($D86,Receptury_z!$D:$AI,V$4,0))</f>
        <v>0</v>
      </c>
      <c r="W86" s="14">
        <f>IF($B86="OFF",BV86,VLOOKUP($D86,Receptury_z!$D:$AI,W$4,0))</f>
        <v>0</v>
      </c>
      <c r="X86" s="14">
        <f>IF($B86="OFF",BW86,VLOOKUP($D86,Receptury_z!$D:$AI,X$4,0))</f>
        <v>0</v>
      </c>
      <c r="Y86" s="14">
        <f>IF($B86="OFF",BX86,VLOOKUP($D86,Receptury_z!$D:$AI,Y$4,0))</f>
        <v>0</v>
      </c>
      <c r="Z86" s="14">
        <f>IF($B86="OFF",BY86,VLOOKUP($D86,Receptury_z!$D:$AI,Z$4,0))</f>
        <v>0</v>
      </c>
      <c r="AA86" s="14">
        <f>IF($B86="OFF",BZ86,VLOOKUP($D86,Receptury_z!$D:$AI,AA$4,0))</f>
        <v>0</v>
      </c>
      <c r="AB86" s="14">
        <f>IF($B86="OFF",CA86,VLOOKUP($D86,Receptury_z!$D:$AI,AB$4,0))</f>
        <v>107.5</v>
      </c>
      <c r="AC86" s="14">
        <f>IF($B86="OFF",CB86,VLOOKUP($D86,Receptury_z!$D:$AI,AC$4,0))</f>
        <v>0</v>
      </c>
      <c r="AD86" s="14">
        <f>IF($B86="OFF",CC86,VLOOKUP($D86,Receptury_z!$D:$AI,AD$4,0))</f>
        <v>0</v>
      </c>
      <c r="AE86" s="14">
        <f>IF($B86="OFF",CD86,VLOOKUP($D86,Receptury_z!$D:$AI,AE$4,0))</f>
        <v>0</v>
      </c>
      <c r="AF86" s="14">
        <f>IF($B86="OFF",CE86,VLOOKUP($D86,Receptury_z!$D:$AI,AF$4,0))</f>
        <v>0</v>
      </c>
      <c r="AG86" s="14">
        <f>IF($B86="OFF",CF86,VLOOKUP($D86,Receptury_z!$D:$AI,AG$4,0))</f>
        <v>0</v>
      </c>
      <c r="AH86" s="14">
        <f>IF($B86="OFF",CG86,VLOOKUP($D86,Receptury_z!$D:$AI,AH$4,0))</f>
        <v>0</v>
      </c>
      <c r="AI86" s="14">
        <f>IF($B86="OFF",CH86,VLOOKUP($D86,Receptury_z!$D:$AI,AI$4,0))</f>
        <v>0</v>
      </c>
      <c r="AJ86" s="14">
        <f>IF($B86="OFF",CI86,VLOOKUP($D86,Receptury_z!$D:$AS,AJ$4,0))</f>
        <v>210.6</v>
      </c>
      <c r="AK86" s="14">
        <f>IF($B86="OFF",CJ86,VLOOKUP($D86,Receptury_z!$D:$AS,AK$4,0))</f>
        <v>0</v>
      </c>
      <c r="AL86" s="14">
        <f>IF($B86="OFF",CK86,VLOOKUP($D86,Receptury_z!$D:$AS,AL$4,0))</f>
        <v>0</v>
      </c>
      <c r="AM86" s="14">
        <f>IF($B86="OFF",CL86,VLOOKUP($D86,Receptury_z!$D:$AS,AM$4,0))</f>
        <v>0</v>
      </c>
      <c r="AN86" s="14">
        <f>IF($B86="OFF",CM86,VLOOKUP($D86,Receptury_z!$D:$AS,AN$4,0))</f>
        <v>0</v>
      </c>
      <c r="AO86" s="14">
        <f>IF($B86="OFF",CN86,VLOOKUP($D86,Receptury_z!$D:$AS,AO$4,0))</f>
        <v>0</v>
      </c>
      <c r="AP86" s="14">
        <f>IF($B86="OFF",CO86,VLOOKUP($D86,Receptury_z!$D:$AS,AP$4,0))</f>
        <v>0</v>
      </c>
      <c r="AQ86" s="14">
        <f>IF($B86="OFF",CP86,VLOOKUP($D86,Receptury_z!$D:$AS,AQ$4,0))</f>
        <v>0</v>
      </c>
      <c r="AR86" s="14">
        <f>IF($B86="OFF",CQ86,VLOOKUP($D86,Receptury_z!$D:$AS,AR$4,0))</f>
        <v>0</v>
      </c>
      <c r="AS86" s="14">
        <f>IF($B86="OFF",CR86,VLOOKUP($D86,Receptury_z!$D:$AS,AS$4,0))</f>
        <v>0</v>
      </c>
      <c r="AT86" s="14">
        <f>IF($B86="OFF",CS86,VLOOKUP($D86,Receptury_z!$D:$AV,AT$4,0))</f>
        <v>0</v>
      </c>
      <c r="AU86" s="14">
        <f>IF($B86="OFF",CT86,VLOOKUP($D86,Receptury_z!$D:$AV,AU$4,0))</f>
        <v>116.5</v>
      </c>
      <c r="AV86" s="14">
        <f>IF($B86="OFF",CU86,VLOOKUP($D86,Receptury_z!$D:$AV,AV$4,0))</f>
        <v>0</v>
      </c>
      <c r="AW86" s="14">
        <f>IF($B86="OFF",CV86,VLOOKUP($D86,Receptury_z!$D:$BA,AW$4,0))</f>
        <v>0</v>
      </c>
      <c r="AX86" s="14">
        <f>IF($B86="OFF",CW86,VLOOKUP($D86,Receptury_z!$D:$BA,AX$4,0))</f>
        <v>0</v>
      </c>
      <c r="AY86" s="14">
        <f>IF($B86="OFF",CX86,VLOOKUP($D86,Receptury_z!$D:$BA,AY$4,0))</f>
        <v>0</v>
      </c>
      <c r="AZ86" s="14">
        <f>IF($B86="OFF",DA86,VLOOKUP($D86,Receptury_z!$D:$BA,AZ$4,0))</f>
        <v>0</v>
      </c>
      <c r="BA86" s="14">
        <f>IF($B86="OFF",DB86,VLOOKUP($D86,Receptury_z!$D:$BA,BA$4,0))</f>
        <v>0</v>
      </c>
      <c r="BC86" s="28">
        <v>6439</v>
      </c>
      <c r="BD86" s="2" t="s">
        <v>34</v>
      </c>
      <c r="BE86" s="239">
        <v>0</v>
      </c>
      <c r="BF86" s="239">
        <v>0</v>
      </c>
      <c r="BG86" s="239">
        <v>0</v>
      </c>
      <c r="BH86" s="239">
        <v>0</v>
      </c>
      <c r="BI86" s="239">
        <v>0</v>
      </c>
      <c r="BJ86" s="239">
        <v>0</v>
      </c>
      <c r="BK86" s="239">
        <v>0</v>
      </c>
      <c r="BL86" s="239">
        <v>0</v>
      </c>
      <c r="BM86" s="240"/>
      <c r="BN86" s="240">
        <v>0</v>
      </c>
      <c r="BO86" s="240">
        <v>0</v>
      </c>
      <c r="BP86" s="240">
        <v>0</v>
      </c>
      <c r="BQ86" s="240">
        <v>62.7</v>
      </c>
      <c r="BR86" s="240">
        <v>0</v>
      </c>
      <c r="BS86" s="240">
        <v>398.7</v>
      </c>
      <c r="BT86" s="240">
        <v>0</v>
      </c>
      <c r="BU86" s="240">
        <v>0</v>
      </c>
      <c r="BV86" s="240">
        <v>210.6</v>
      </c>
      <c r="BW86" s="240">
        <v>0</v>
      </c>
      <c r="BX86" s="240">
        <v>0</v>
      </c>
      <c r="BY86" s="240">
        <v>0</v>
      </c>
      <c r="BZ86" s="240">
        <v>0</v>
      </c>
      <c r="CA86" s="240">
        <v>107.5</v>
      </c>
      <c r="CB86" s="240">
        <v>0</v>
      </c>
      <c r="CC86" s="240">
        <v>0</v>
      </c>
      <c r="CD86" s="240">
        <v>0</v>
      </c>
      <c r="CE86" s="240">
        <v>0</v>
      </c>
      <c r="CF86" s="240">
        <v>0</v>
      </c>
      <c r="CG86" s="240">
        <v>0</v>
      </c>
      <c r="CH86" s="240">
        <v>0</v>
      </c>
      <c r="CI86" s="240">
        <v>0</v>
      </c>
      <c r="CJ86" s="240">
        <v>0</v>
      </c>
      <c r="CK86" s="240">
        <v>0</v>
      </c>
      <c r="CL86" s="240">
        <v>0</v>
      </c>
      <c r="CM86" s="241"/>
      <c r="CN86" s="241"/>
      <c r="CO86" s="241"/>
      <c r="CP86" s="241"/>
      <c r="CQ86" s="241"/>
      <c r="CR86" s="241"/>
      <c r="CS86" s="241"/>
      <c r="CT86" s="241">
        <v>116.5</v>
      </c>
      <c r="CU86" s="80"/>
      <c r="CV86" s="80"/>
      <c r="CW86" s="80"/>
      <c r="CX86" s="80"/>
      <c r="CY86" s="80"/>
      <c r="CZ86" s="80"/>
      <c r="DB86">
        <f>IFERROR(VLOOKUP($D86,'Kalkulator mięs '!$C$5:$H$533,DB$4,0)*F86,0)</f>
        <v>0</v>
      </c>
      <c r="DC86">
        <f>IFERROR(VLOOKUP($D86,'Kalkulator mięs '!$C$5:$H$533,DC$4,0)*F86,0)</f>
        <v>0</v>
      </c>
      <c r="DD86">
        <f>IFERROR(VLOOKUP($D86,'Kalkulator mięs '!$C$5:$H$533,DD$4,0)*F86,0)</f>
        <v>0</v>
      </c>
      <c r="DE86">
        <f>IFERROR(VLOOKUP($D86,'Kalkulator mięs '!$C$5:$H$533,DE$4,0)*$G86,0)</f>
        <v>0</v>
      </c>
      <c r="DF86">
        <f>IFERROR(VLOOKUP($D86,'Kalkulator mięs '!$C$5:$H$533,DF$4,0)*$G86,0)</f>
        <v>0</v>
      </c>
      <c r="DG86">
        <f>IFERROR(VLOOKUP($D86,'Kalkulator mięs '!$C$5:$H$533,DG$4,0)*$G86,0)</f>
        <v>0</v>
      </c>
      <c r="DH86">
        <f>IFERROR(VLOOKUP($D86,'Kalkulator mięs '!$C$5:$H$533,DH$4,0)*$H86,0)</f>
        <v>0</v>
      </c>
      <c r="DI86">
        <f>IFERROR(VLOOKUP($D86,'Kalkulator mięs '!$C$5:$H$533,DI$4,0)*$H86,0)</f>
        <v>0</v>
      </c>
      <c r="DJ86">
        <f>IFERROR(VLOOKUP($D86,'Kalkulator mięs '!$C$5:$H$533,DJ$4,0)*$H86,0)</f>
        <v>0</v>
      </c>
      <c r="DK86">
        <f>IFERROR(VLOOKUP($D86,'Kalkulator mięs '!$C$5:$H$533,DK$4,0)*$I86,0)</f>
        <v>0</v>
      </c>
      <c r="DL86">
        <f>IFERROR(VLOOKUP($D86,'Kalkulator mięs '!$C$5:$H$533,DL$4,0)*$I86,0)</f>
        <v>0</v>
      </c>
      <c r="DM86">
        <f>IFERROR(VLOOKUP($D86,'Kalkulator mięs '!$C$5:$H$533,DM$4,0)*$I86,0)</f>
        <v>0</v>
      </c>
      <c r="DN86">
        <f>IFERROR(VLOOKUP($D86,'Kalkulator mięs '!$C$5:$H$533,DN$4,0)*$J86,0)</f>
        <v>0</v>
      </c>
      <c r="DO86">
        <f>IFERROR(VLOOKUP($D86,'Kalkulator mięs '!$C$5:$H$533,DO$4,0)*$J86,0)</f>
        <v>0</v>
      </c>
      <c r="DP86">
        <f>IFERROR(VLOOKUP($D86,'Kalkulator mięs '!$C$5:$H$533,DP$4,0)*$J86,0)</f>
        <v>0</v>
      </c>
      <c r="DQ86">
        <f>IFERROR(VLOOKUP($D86,'Kalkulator mięs '!$C$5:$H$533,DQ$4,0)*$K86,0)</f>
        <v>0</v>
      </c>
      <c r="DR86">
        <f>IFERROR(VLOOKUP($D86,'Kalkulator mięs '!$C$5:$H$533,DR$4,0)*$K86,0)</f>
        <v>0</v>
      </c>
      <c r="DS86">
        <f>IFERROR(VLOOKUP($D86,'Kalkulator mięs '!$C$5:$H$533,DS$4,0)*$K86,0)</f>
        <v>0</v>
      </c>
      <c r="DT86">
        <f>IFERROR(VLOOKUP($D86,'Kalkulator mięs '!$C$5:$H$533,DT$4,0)*$L86,0)</f>
        <v>0</v>
      </c>
      <c r="DU86">
        <f>IFERROR(VLOOKUP($D86,'Kalkulator mięs '!$C$5:$H$533,DU$4,0)*$L86,0)</f>
        <v>0</v>
      </c>
      <c r="DV86">
        <f>IFERROR(VLOOKUP($D86,'Kalkulator mięs '!$C$5:$H$533,DV$4,0)*$L86,0)</f>
        <v>0</v>
      </c>
      <c r="DW86">
        <f>IFERROR(VLOOKUP($D86,'Kalkulator mięs '!$C$5:$H$533,DW$4,0)*$M86,0)</f>
        <v>0</v>
      </c>
      <c r="DX86">
        <f>IFERROR(VLOOKUP($D86,'Kalkulator mięs '!$C$5:$H$533,DX$4,0)*$M86,0)</f>
        <v>0</v>
      </c>
      <c r="DY86">
        <f>IFERROR(VLOOKUP($D86,'Kalkulator mięs '!$C$5:$H$533,DY$4,0)*$M86,0)</f>
        <v>0</v>
      </c>
      <c r="DZ86">
        <f>IFERROR(VLOOKUP($D86,'Kalkulator mięs '!$C$5:$H$533,DZ$4,0)*$N86,0)</f>
        <v>0</v>
      </c>
      <c r="EA86">
        <f>IFERROR(VLOOKUP($D86,'Kalkulator mięs '!$C$5:$H$533,EA$4,0)*$N86,0)</f>
        <v>0</v>
      </c>
      <c r="EB86">
        <f>IFERROR(VLOOKUP($D86,'Kalkulator mięs '!$C$5:$H$533,EB$4,0)*$N86,0)</f>
        <v>0</v>
      </c>
      <c r="EC86">
        <f>IFERROR(VLOOKUP($D86,'Kalkulator mięs '!$C$5:$H$533,EC$4,0)*$O86,0)</f>
        <v>0</v>
      </c>
      <c r="ED86">
        <f>IFERROR(VLOOKUP($D86,'Kalkulator mięs '!$C$5:$H$533,ED$4,0)*$O86,0)</f>
        <v>0</v>
      </c>
      <c r="EE86">
        <f>IFERROR(VLOOKUP($D86,'Kalkulator mięs '!$C$5:$H$533,EE$4,0)*$O86,0)</f>
        <v>0</v>
      </c>
      <c r="EF86">
        <f>IFERROR(VLOOKUP($D86,'Kalkulator mięs '!$C$5:$H$533,EF$4,0)*$P86,0)</f>
        <v>0</v>
      </c>
      <c r="EG86">
        <f>IFERROR(VLOOKUP($D86,'Kalkulator mięs '!$C$5:$H$533,EG$4,0)*$P86,0)</f>
        <v>0</v>
      </c>
      <c r="EH86">
        <f>IFERROR(VLOOKUP($D86,'Kalkulator mięs '!$C$5:$H$533,EH$4,0)*$P86,0)</f>
        <v>0</v>
      </c>
      <c r="EI86">
        <f>IFERROR(VLOOKUP($D86,'Kalkulator mięs '!$C$5:$H$533,EI$4,0)*$Q86,0)</f>
        <v>0</v>
      </c>
      <c r="EJ86">
        <f>IFERROR(VLOOKUP($D86,'Kalkulator mięs '!$C$5:$H$533,EJ$4,0)*$Q86,0)</f>
        <v>0</v>
      </c>
      <c r="EK86">
        <f>IFERROR(VLOOKUP($D86,'Kalkulator mięs '!$C$5:$H$533,EK$4,0)*$Q86,0)</f>
        <v>0</v>
      </c>
      <c r="EL86">
        <f>IFERROR(VLOOKUP($D86,'Kalkulator mięs '!$C$5:$H$533,EL$4,0)*$R86,0)</f>
        <v>0</v>
      </c>
      <c r="EM86">
        <f>IFERROR(VLOOKUP($D86,'Kalkulator mięs '!$C$5:$H$533,EM$4,0)*$R86,0)</f>
        <v>0</v>
      </c>
      <c r="EN86">
        <f>IFERROR(VLOOKUP($D86,'Kalkulator mięs '!$C$5:$H$533,EN$4,0)*$R86,0)</f>
        <v>0</v>
      </c>
      <c r="EO86">
        <f>IFERROR(VLOOKUP($D86,'Kalkulator mięs '!$C$5:$H$533,EO$4,0)*$S86,0)</f>
        <v>0</v>
      </c>
      <c r="EP86">
        <f>IFERROR(VLOOKUP($D86,'Kalkulator mięs '!$C$5:$H$533,EP$4,0)*$S86,0)</f>
        <v>0</v>
      </c>
      <c r="EQ86">
        <f>IFERROR(VLOOKUP($D86,'Kalkulator mięs '!$C$5:$H$533,EQ$4,0)*$S86,0)</f>
        <v>0</v>
      </c>
      <c r="ER86">
        <f>IFERROR(VLOOKUP($D86,'Kalkulator mięs '!$C$5:$H$533,ER$4,0)*$T86,0)</f>
        <v>0</v>
      </c>
      <c r="ES86">
        <f>IFERROR(VLOOKUP($D86,'Kalkulator mięs '!$C$5:$H$533,ES$4,0)*$T86,0)</f>
        <v>0</v>
      </c>
      <c r="ET86">
        <f>IFERROR(VLOOKUP($D86,'Kalkulator mięs '!$C$5:$H$533,ET$4,0)*$T86,0)</f>
        <v>0</v>
      </c>
      <c r="EU86">
        <f>IFERROR(VLOOKUP($D86,'Kalkulator mięs '!$C$5:$H$533,EU$4,0)*$U86,0)</f>
        <v>0</v>
      </c>
      <c r="EV86">
        <f>IFERROR(VLOOKUP($D86,'Kalkulator mięs '!$C$5:$H$533,EV$4,0)*$U86,0)</f>
        <v>0</v>
      </c>
      <c r="EW86">
        <f>IFERROR(VLOOKUP($D86,'Kalkulator mięs '!$C$5:$H$533,EW$4,0)*$U86,0)</f>
        <v>0</v>
      </c>
      <c r="EX86">
        <f>IFERROR(VLOOKUP($D86,'Kalkulator mięs '!$C$5:$H$533,EX$4,0)*$V86,0)</f>
        <v>0</v>
      </c>
      <c r="EY86">
        <f>IFERROR(VLOOKUP($D86,'Kalkulator mięs '!$C$5:$H$533,EY$4,0)*$V86,0)</f>
        <v>0</v>
      </c>
      <c r="EZ86">
        <f>IFERROR(VLOOKUP($D86,'Kalkulator mięs '!$C$5:$H$533,EZ$4,0)*$V86,0)</f>
        <v>0</v>
      </c>
      <c r="FA86">
        <f>IFERROR(VLOOKUP($D86,'Kalkulator mięs '!$C$5:$H$533,FA$4,0)*$W86,0)</f>
        <v>0</v>
      </c>
      <c r="FB86">
        <f>IFERROR(VLOOKUP($D86,'Kalkulator mięs '!$C$5:$H$533,FB$4,0)*$W86,0)</f>
        <v>0</v>
      </c>
      <c r="FC86">
        <f>IFERROR(VLOOKUP($D86,'Kalkulator mięs '!$C$5:$H$533,FC$4,0)*$W86,0)</f>
        <v>0</v>
      </c>
      <c r="FD86">
        <f>IFERROR(VLOOKUP($D86,'Kalkulator mięs '!$C$5:$H$533,FD$4,0)*$X86,0)</f>
        <v>0</v>
      </c>
      <c r="FE86">
        <f>IFERROR(VLOOKUP($D86,'Kalkulator mięs '!$C$5:$H$533,FE$4,0)*$X86,0)</f>
        <v>0</v>
      </c>
      <c r="FF86">
        <f>IFERROR(VLOOKUP($D86,'Kalkulator mięs '!$C$5:$H$533,FF$4,0)*$X86,0)</f>
        <v>0</v>
      </c>
      <c r="FG86">
        <f>IFERROR(VLOOKUP($D86,'Kalkulator mięs '!$C$5:$H$533,FG$4,0)*$Y86,0)</f>
        <v>0</v>
      </c>
      <c r="FH86">
        <f>IFERROR(VLOOKUP($D86,'Kalkulator mięs '!$C$5:$H$533,FH$4,0)*$Y86,0)</f>
        <v>0</v>
      </c>
      <c r="FI86">
        <f>IFERROR(VLOOKUP($D86,'Kalkulator mięs '!$C$5:$H$533,FI$4,0)*$Y86,0)</f>
        <v>0</v>
      </c>
      <c r="FJ86">
        <f>IFERROR(VLOOKUP($D86,'Kalkulator mięs '!$C$5:$H$533,FJ$4,0)*$Z86,0)</f>
        <v>0</v>
      </c>
      <c r="FK86">
        <f>IFERROR(VLOOKUP($D86,'Kalkulator mięs '!$C$5:$H$533,FK$4,0)*$Z86,0)</f>
        <v>0</v>
      </c>
      <c r="FL86">
        <f>IFERROR(VLOOKUP($D86,'Kalkulator mięs '!$C$5:$H$533,FL$4,0)*$Z86,0)</f>
        <v>0</v>
      </c>
      <c r="FM86">
        <f>IFERROR(VLOOKUP($D86,'Kalkulator mięs '!$C$5:$H$533,FM$4,0)*$AA86,0)</f>
        <v>0</v>
      </c>
      <c r="FN86">
        <f>IFERROR(VLOOKUP($D86,'Kalkulator mięs '!$C$5:$H$533,FN$4,0)*$AA86,0)</f>
        <v>0</v>
      </c>
      <c r="FO86">
        <f>IFERROR(VLOOKUP($D86,'Kalkulator mięs '!$C$5:$H$533,FO$4,0)*$AA86,0)</f>
        <v>0</v>
      </c>
      <c r="FP86">
        <f>IFERROR(VLOOKUP($D86,'Kalkulator mięs '!$C$5:$H$533,FP$4,0)*$AB86,0)</f>
        <v>0</v>
      </c>
      <c r="FQ86">
        <f>IFERROR(VLOOKUP($D86,'Kalkulator mięs '!$C$5:$H$533,FQ$4,0)*$AB86,0)</f>
        <v>0</v>
      </c>
      <c r="FR86">
        <f>IFERROR(VLOOKUP($D86,'Kalkulator mięs '!$C$5:$H$533,FR$4,0)*$AB86,0)</f>
        <v>0</v>
      </c>
      <c r="FS86">
        <f>IFERROR(VLOOKUP($D86,'Kalkulator mięs '!$C$5:$H$533,FS$4,0)*$AC86,0)</f>
        <v>0</v>
      </c>
      <c r="FT86">
        <f>IFERROR(VLOOKUP($D86,'Kalkulator mięs '!$C$5:$H$533,FT$4,0)*$AC86,0)</f>
        <v>0</v>
      </c>
      <c r="FU86">
        <f>IFERROR(VLOOKUP($D86,'Kalkulator mięs '!$C$5:$H$533,FU$4,0)*$AC86,0)</f>
        <v>0</v>
      </c>
      <c r="FV86">
        <f>IFERROR(VLOOKUP($D86,'Kalkulator mięs '!$C$5:$H$533,FV$4,0)*$AD86,0)</f>
        <v>0</v>
      </c>
      <c r="FW86">
        <f>IFERROR(VLOOKUP($D86,'Kalkulator mięs '!$C$5:$H$533,FW$4,0)*$AD86,0)</f>
        <v>0</v>
      </c>
      <c r="FX86">
        <f>IFERROR(VLOOKUP($D86,'Kalkulator mięs '!$C$5:$H$533,FX$4,0)*$AD86,0)</f>
        <v>0</v>
      </c>
      <c r="FY86">
        <f>IFERROR(VLOOKUP($D86,'Kalkulator mięs '!$C$5:$H$533,FY$4,0)*$AE86,0)</f>
        <v>0</v>
      </c>
      <c r="FZ86">
        <f>IFERROR(VLOOKUP($D86,'Kalkulator mięs '!$C$5:$H$533,FZ$4,0)*$AE86,0)</f>
        <v>0</v>
      </c>
      <c r="GA86">
        <f>IFERROR(VLOOKUP($D86,'Kalkulator mięs '!$C$5:$H$533,GA$4,0)*$AE86,0)</f>
        <v>0</v>
      </c>
      <c r="GB86">
        <f>IFERROR(VLOOKUP($D86,'Kalkulator mięs '!$C$5:$H$533,GB$4,0)*$AF86,0)</f>
        <v>0</v>
      </c>
      <c r="GC86">
        <f>IFERROR(VLOOKUP($D86,'Kalkulator mięs '!$C$5:$H$533,GC$4,0)*$AF86,0)</f>
        <v>0</v>
      </c>
      <c r="GD86">
        <f>IFERROR(VLOOKUP($D86,'Kalkulator mięs '!$C$5:$H$533,GD$4,0)*$AF86,0)</f>
        <v>0</v>
      </c>
      <c r="GE86">
        <f>IFERROR(VLOOKUP($D86,'Kalkulator mięs '!$C$5:$H$533,GE$4,0)*$AG86,0)</f>
        <v>0</v>
      </c>
      <c r="GF86">
        <f>IFERROR(VLOOKUP($D86,'Kalkulator mięs '!$C$5:$H$533,GF$4,0)*$AG86,0)</f>
        <v>0</v>
      </c>
      <c r="GG86">
        <f>IFERROR(VLOOKUP($D86,'Kalkulator mięs '!$C$5:$H$533,GG$4,0)*$AG86,0)</f>
        <v>0</v>
      </c>
      <c r="GH86">
        <f>IFERROR(VLOOKUP($D86,'Kalkulator mięs '!$C$5:$H$533,GH$4,0)*$AH86,0)</f>
        <v>0</v>
      </c>
      <c r="GI86">
        <f>IFERROR(VLOOKUP($D86,'Kalkulator mięs '!$C$5:$H$533,GI$4,0)*$AH86,0)</f>
        <v>0</v>
      </c>
      <c r="GJ86">
        <f>IFERROR(VLOOKUP($D86,'Kalkulator mięs '!$C$5:$H$533,GJ$4,0)*$AH86,0)</f>
        <v>0</v>
      </c>
      <c r="GK86">
        <f>IFERROR(VLOOKUP($D86,'Kalkulator mięs '!$C$5:$H$533,GK$4,0)*$AI86,0)</f>
        <v>0</v>
      </c>
      <c r="GL86">
        <f>IFERROR(VLOOKUP($D86,'Kalkulator mięs '!$C$5:$H$533,GL$4,0)*$AI86,0)</f>
        <v>0</v>
      </c>
      <c r="GM86">
        <f>IFERROR(VLOOKUP($D86,'Kalkulator mięs '!$C$5:$H$533,GM$4,0)*$AI86,0)</f>
        <v>0</v>
      </c>
      <c r="GN86">
        <f>IFERROR(VLOOKUP($D86,'Kalkulator mięs '!$C$5:$H$533,GN$4,0)*$AJ86,0)</f>
        <v>0</v>
      </c>
      <c r="GO86">
        <f>IFERROR(VLOOKUP($D86,'Kalkulator mięs '!$C$5:$H$533,GO$4,0)*$AJ86,0)</f>
        <v>0</v>
      </c>
      <c r="GP86">
        <f>IFERROR(VLOOKUP($D86,'Kalkulator mięs '!$C$5:$H$533,GP$4,0)*$AJ86,0)</f>
        <v>0</v>
      </c>
      <c r="GQ86">
        <f>IFERROR(VLOOKUP($D86,'Kalkulator mięs '!$C$5:$H$533,GQ$4,0)*$AK86,0)</f>
        <v>0</v>
      </c>
      <c r="GR86">
        <f>IFERROR(VLOOKUP($D86,'Kalkulator mięs '!$C$5:$H$533,GR$4,0)*$AK86,0)</f>
        <v>0</v>
      </c>
      <c r="GS86">
        <f>IFERROR(VLOOKUP($D86,'Kalkulator mięs '!$C$5:$H$533,GS$4,0)*$AK86,0)</f>
        <v>0</v>
      </c>
      <c r="GT86">
        <f>IFERROR(VLOOKUP($D86,'Kalkulator mięs '!$C$5:$H$533,GT$4,0)*$AL86,0)</f>
        <v>0</v>
      </c>
      <c r="GU86">
        <f>IFERROR(VLOOKUP($D86,'Kalkulator mięs '!$C$5:$H$533,GU$4,0)*$AL86,0)</f>
        <v>0</v>
      </c>
      <c r="GV86">
        <f>IFERROR(VLOOKUP($D86,'Kalkulator mięs '!$C$5:$H$533,GV$4,0)*$AL86,0)</f>
        <v>0</v>
      </c>
      <c r="GW86">
        <f>IFERROR(VLOOKUP($D86,'Kalkulator mięs '!$C$5:$H$533,GW$4,0)*$AM86,0)</f>
        <v>0</v>
      </c>
      <c r="GX86">
        <f>IFERROR(VLOOKUP($D86,'Kalkulator mięs '!$C$5:$H$533,GX$4,0)*$AM86,0)</f>
        <v>0</v>
      </c>
      <c r="GY86">
        <f>IFERROR(VLOOKUP($D86,'Kalkulator mięs '!$C$5:$H$533,GY$4,0)*$AM86,0)</f>
        <v>0</v>
      </c>
      <c r="GZ86">
        <f>IFERROR(VLOOKUP($D86,'Kalkulator mięs '!$C$5:$H$533,GZ$4,0)*$AN86,0)</f>
        <v>0</v>
      </c>
      <c r="HA86">
        <f>IFERROR(VLOOKUP($D86,'Kalkulator mięs '!$C$5:$H$533,HA$4,0)*$AN86,0)</f>
        <v>0</v>
      </c>
      <c r="HB86">
        <f>IFERROR(VLOOKUP($D86,'Kalkulator mięs '!$C$5:$H$533,HB$4,0)*$AN86,0)</f>
        <v>0</v>
      </c>
      <c r="HC86">
        <f>IFERROR(VLOOKUP($D86,'Kalkulator mięs '!$C$5:$H$533,HC$4,0)*$AO86,0)</f>
        <v>0</v>
      </c>
      <c r="HD86">
        <f>IFERROR(VLOOKUP($D86,'Kalkulator mięs '!$C$5:$H$533,HD$4,0)*$AO86,0)</f>
        <v>0</v>
      </c>
      <c r="HE86">
        <f>IFERROR(VLOOKUP($D86,'Kalkulator mięs '!$C$5:$H$533,HE$4,0)*$AO86,0)</f>
        <v>0</v>
      </c>
      <c r="HF86">
        <f>IFERROR(VLOOKUP($D86,'Kalkulator mięs '!$C$5:$H$533,HF$4,0)*$AP86,0)</f>
        <v>0</v>
      </c>
      <c r="HG86">
        <f>IFERROR(VLOOKUP($D86,'Kalkulator mięs '!$C$5:$H$533,HG$4,0)*$AP86,0)</f>
        <v>0</v>
      </c>
      <c r="HH86">
        <f>IFERROR(VLOOKUP($D86,'Kalkulator mięs '!$C$5:$H$533,HH$4,0)*$AP86,0)</f>
        <v>0</v>
      </c>
      <c r="HI86">
        <f>IFERROR(VLOOKUP($D86,'Kalkulator mięs '!$C$5:$H$533,HI$4,0)*$AQ86,0)</f>
        <v>0</v>
      </c>
      <c r="HJ86">
        <f>IFERROR(VLOOKUP($D86,'Kalkulator mięs '!$C$5:$H$533,HJ$4,0)*$AQ86,0)</f>
        <v>0</v>
      </c>
      <c r="HK86">
        <f>IFERROR(VLOOKUP($D86,'Kalkulator mięs '!$C$5:$H$533,HK$4,0)*$AQ86,0)</f>
        <v>0</v>
      </c>
      <c r="HL86">
        <f>IFERROR(VLOOKUP($D86,'Kalkulator mięs '!$C$5:$H$533,HL$4,0)*$AR86,0)</f>
        <v>0</v>
      </c>
      <c r="HM86">
        <f>IFERROR(VLOOKUP($D86,'Kalkulator mięs '!$C$5:$H$533,HM$4,0)*$AR86,0)</f>
        <v>0</v>
      </c>
      <c r="HN86">
        <f>IFERROR(VLOOKUP($D86,'Kalkulator mięs '!$C$5:$H$533,HN$4,0)*$AR86,0)</f>
        <v>0</v>
      </c>
      <c r="HO86">
        <f>IFERROR(VLOOKUP($D86,'Kalkulator mięs '!$C$5:$H$533,HO$4,0)*$AS86,0)</f>
        <v>0</v>
      </c>
      <c r="HP86">
        <f>IFERROR(VLOOKUP($D86,'Kalkulator mięs '!$C$5:$H$533,HP$4,0)*$AS86,0)</f>
        <v>0</v>
      </c>
      <c r="HQ86">
        <f>IFERROR(VLOOKUP($D86,'Kalkulator mięs '!$C$5:$H$533,HQ$4,0)*$AS86,0)</f>
        <v>0</v>
      </c>
      <c r="HR86">
        <f>IFERROR(VLOOKUP($D86,'Kalkulator mięs '!$C$5:$H$533,HR$4,0)*$AT86,0)</f>
        <v>0</v>
      </c>
      <c r="HS86">
        <f>IFERROR(VLOOKUP($D86,'Kalkulator mięs '!$C$5:$H$533,HS$4,0)*$AT86,0)</f>
        <v>0</v>
      </c>
      <c r="HT86">
        <f>IFERROR(VLOOKUP($D86,'Kalkulator mięs '!$C$5:$H$533,HT$4,0)*$AT86,0)</f>
        <v>0</v>
      </c>
      <c r="HU86">
        <f>IFERROR(VLOOKUP($D86,'Kalkulator mięs '!$C$5:$H$533,HU$4,0)*$AU86,0)</f>
        <v>0</v>
      </c>
      <c r="HV86">
        <f>IFERROR(VLOOKUP($D86,'Kalkulator mięs '!$C$5:$H$533,HV$4,0)*$AU86,0)</f>
        <v>0</v>
      </c>
      <c r="HW86">
        <f>IFERROR(VLOOKUP($D86,'Kalkulator mięs '!$C$5:$H$533,HW$4,0)*$AU86,0)</f>
        <v>0</v>
      </c>
      <c r="HX86">
        <f>IFERROR(VLOOKUP($D86,'Kalkulator mięs '!$C$5:$H$533,HX$4,0)*$AV86,0)</f>
        <v>0</v>
      </c>
      <c r="HY86">
        <f>IFERROR(VLOOKUP($D86,'Kalkulator mięs '!$C$5:$H$533,HY$4,0)*$AV86,0)</f>
        <v>0</v>
      </c>
      <c r="HZ86">
        <f>IFERROR(VLOOKUP($D86,'Kalkulator mięs '!$C$5:$H$533,HZ$4,0)*$AV86,0)</f>
        <v>0</v>
      </c>
      <c r="IA86">
        <f>IFERROR(VLOOKUP($D86,'Kalkulator mięs '!$C$5:$H$533,IA$4,0)*$AW86,0)</f>
        <v>0</v>
      </c>
      <c r="IB86">
        <f>IFERROR(VLOOKUP($D86,'Kalkulator mięs '!$C$5:$H$533,IB$4,0)*$AW86,0)</f>
        <v>0</v>
      </c>
      <c r="IC86">
        <f>IFERROR(VLOOKUP($D86,'Kalkulator mięs '!$C$5:$H$533,IC$4,0)*$AW86,0)</f>
        <v>0</v>
      </c>
      <c r="ID86">
        <f>IFERROR(VLOOKUP($D86,'Kalkulator mięs '!$C$5:$H$533,ID$4,0)*$AX86,0)</f>
        <v>0</v>
      </c>
      <c r="IE86">
        <f>IFERROR(VLOOKUP($D86,'Kalkulator mięs '!$C$5:$H$533,IE$4,0)*$AX86,0)</f>
        <v>0</v>
      </c>
      <c r="IF86">
        <f>IFERROR(VLOOKUP($D86,'Kalkulator mięs '!$C$5:$H$533,IF$4,0)*$AX86,0)</f>
        <v>0</v>
      </c>
      <c r="IG86">
        <f>IFERROR(VLOOKUP($D86,'Kalkulator mięs '!$C$5:$H$533,IG$4,0)*$AY86,0)</f>
        <v>0</v>
      </c>
      <c r="IH86">
        <f>IFERROR(VLOOKUP($D86,'Kalkulator mięs '!$C$5:$H$533,IH$4,0)*$AY86,0)</f>
        <v>0</v>
      </c>
      <c r="II86">
        <f>IFERROR(VLOOKUP($D86,'Kalkulator mięs '!$C$5:$H$533,II$4,0)*$AY86,0)</f>
        <v>0</v>
      </c>
      <c r="IJ86">
        <f>IFERROR(VLOOKUP($D86,'Kalkulator mięs '!$C$5:$H$533,IJ$4,0)*$AZ86,0)</f>
        <v>0</v>
      </c>
      <c r="IK86">
        <f>IFERROR(VLOOKUP($D86,'Kalkulator mięs '!$C$5:$H$533,IK$4,0)*$AZ86,0)</f>
        <v>0</v>
      </c>
      <c r="IL86">
        <f>IFERROR(VLOOKUP($D86,'Kalkulator mięs '!$C$5:$H$533,IL$4,0)*$AZ86,0)</f>
        <v>0</v>
      </c>
      <c r="IM86">
        <f>IFERROR(VLOOKUP($D86,'Kalkulator mięs '!$C$5:$H$533,IM$4,0)*$BA86,0)</f>
        <v>0</v>
      </c>
      <c r="IN86">
        <f>IFERROR(VLOOKUP($D86,'Kalkulator mięs '!$C$5:$H$533,IN$4,0)*$BA86,0)</f>
        <v>0</v>
      </c>
      <c r="IO86">
        <f>IFERROR(VLOOKUP($D86,'Kalkulator mięs '!$C$5:$H$533,IO$4,0)*$BA86,0)</f>
        <v>0</v>
      </c>
    </row>
    <row r="87" spans="2:249" ht="15.75">
      <c r="B87" t="str">
        <f>VLOOKUP(D87,Receptury_z!$A:$B,2,0)</f>
        <v>ON</v>
      </c>
      <c r="C87" s="27">
        <v>5550</v>
      </c>
      <c r="D87" s="28">
        <v>6449</v>
      </c>
      <c r="E87" s="1" t="s">
        <v>41</v>
      </c>
      <c r="F87" s="14">
        <f>IF($B87="OFF",BE87,VLOOKUP($D87,Receptury_z!$D:$AI,F$4,0))</f>
        <v>0</v>
      </c>
      <c r="G87" s="14">
        <f>IF($B87="OFF",BF87,VLOOKUP($D87,Receptury_z!$D:$AI,G$4,0))</f>
        <v>0</v>
      </c>
      <c r="H87" s="14">
        <f>IF($B87="OFF",BG87,VLOOKUP($D87,Receptury_z!$D:$AI,H$4,0))</f>
        <v>0</v>
      </c>
      <c r="I87" s="14">
        <f>IF($B87="OFF",BH87,VLOOKUP($D87,Receptury_z!$D:$AI,I$4,0))</f>
        <v>0</v>
      </c>
      <c r="J87" s="14">
        <f>IF($B87="OFF",BI87,VLOOKUP($D87,Receptury_z!$D:$AI,J$4,0))</f>
        <v>0</v>
      </c>
      <c r="K87" s="14">
        <f>IF($B87="OFF",BJ87,VLOOKUP($D87,Receptury_z!$D:$AI,K$4,0))</f>
        <v>0</v>
      </c>
      <c r="L87" s="14">
        <f>IF($B87="OFF",BK87,VLOOKUP($D87,Receptury_z!$D:$AI,L$4,0))</f>
        <v>0</v>
      </c>
      <c r="M87" s="14">
        <f>IF($B87="OFF",BL87,VLOOKUP($D87,Receptury_z!$D:$AI,M$4,0))</f>
        <v>0</v>
      </c>
      <c r="N87" s="14">
        <f>IF($B87="OFF",BM87,VLOOKUP($D87,Receptury_z!$D:$AI,N$4,0))</f>
        <v>117.19</v>
      </c>
      <c r="O87" s="14">
        <f>IF($B87="OFF",BN87,VLOOKUP($D87,Receptury_z!$D:$AI,O$4,0))</f>
        <v>0</v>
      </c>
      <c r="P87" s="14">
        <f>IF($B87="OFF",BO87,VLOOKUP($D87,Receptury_z!$D:$AI,P$4,0))</f>
        <v>0</v>
      </c>
      <c r="Q87" s="14">
        <f>IF($B87="OFF",BP87,VLOOKUP($D87,Receptury_z!$D:$AI,Q$4,0))</f>
        <v>0</v>
      </c>
      <c r="R87" s="14">
        <f>IF($B87="OFF",BQ87,VLOOKUP($D87,Receptury_z!$D:$AI,R$4,0))</f>
        <v>63.1</v>
      </c>
      <c r="S87" s="14">
        <f>IF($B87="OFF",BR87,VLOOKUP($D87,Receptury_z!$D:$AI,S$4,0))</f>
        <v>0</v>
      </c>
      <c r="T87" s="14">
        <f>IF($B87="OFF",BS87,VLOOKUP($D87,Receptury_z!$D:$AI,T$4,0))</f>
        <v>613</v>
      </c>
      <c r="U87" s="14">
        <f>IF($B87="OFF",BT87,VLOOKUP($D87,Receptury_z!$D:$AI,U$4,0))</f>
        <v>0</v>
      </c>
      <c r="V87" s="14">
        <f>IF($B87="OFF",BU87,VLOOKUP($D87,Receptury_z!$D:$AI,V$4,0))</f>
        <v>0</v>
      </c>
      <c r="W87" s="14">
        <f>IF($B87="OFF",BV87,VLOOKUP($D87,Receptury_z!$D:$AI,W$4,0))</f>
        <v>0</v>
      </c>
      <c r="X87" s="14">
        <f>IF($B87="OFF",BW87,VLOOKUP($D87,Receptury_z!$D:$AI,X$4,0))</f>
        <v>0</v>
      </c>
      <c r="Y87" s="14">
        <f>IF($B87="OFF",BX87,VLOOKUP($D87,Receptury_z!$D:$AI,Y$4,0))</f>
        <v>0</v>
      </c>
      <c r="Z87" s="14">
        <f>IF($B87="OFF",BY87,VLOOKUP($D87,Receptury_z!$D:$AI,Z$4,0))</f>
        <v>0</v>
      </c>
      <c r="AA87" s="14">
        <f>IF($B87="OFF",BZ87,VLOOKUP($D87,Receptury_z!$D:$AI,AA$4,0))</f>
        <v>0</v>
      </c>
      <c r="AB87" s="14">
        <f>IF($B87="OFF",CA87,VLOOKUP($D87,Receptury_z!$D:$AI,AB$4,0))</f>
        <v>108.18</v>
      </c>
      <c r="AC87" s="14">
        <f>IF($B87="OFF",CB87,VLOOKUP($D87,Receptury_z!$D:$AI,AC$4,0))</f>
        <v>0</v>
      </c>
      <c r="AD87" s="14">
        <f>IF($B87="OFF",CC87,VLOOKUP($D87,Receptury_z!$D:$AI,AD$4,0))</f>
        <v>0</v>
      </c>
      <c r="AE87" s="14">
        <f>IF($B87="OFF",CD87,VLOOKUP($D87,Receptury_z!$D:$AI,AE$4,0))</f>
        <v>0</v>
      </c>
      <c r="AF87" s="14">
        <f>IF($B87="OFF",CE87,VLOOKUP($D87,Receptury_z!$D:$AI,AF$4,0))</f>
        <v>0</v>
      </c>
      <c r="AG87" s="14">
        <f>IF($B87="OFF",CF87,VLOOKUP($D87,Receptury_z!$D:$AI,AG$4,0))</f>
        <v>0</v>
      </c>
      <c r="AH87" s="14">
        <f>IF($B87="OFF",CG87,VLOOKUP($D87,Receptury_z!$D:$AI,AH$4,0))</f>
        <v>0</v>
      </c>
      <c r="AI87" s="14">
        <f>IF($B87="OFF",CH87,VLOOKUP($D87,Receptury_z!$D:$AI,AI$4,0))</f>
        <v>0</v>
      </c>
      <c r="AJ87" s="14">
        <f>IF($B87="OFF",CI87,VLOOKUP($D87,Receptury_z!$D:$AS,AJ$4,0))</f>
        <v>0</v>
      </c>
      <c r="AK87" s="14">
        <f>IF($B87="OFF",CJ87,VLOOKUP($D87,Receptury_z!$D:$AS,AK$4,0))</f>
        <v>0</v>
      </c>
      <c r="AL87" s="14">
        <f>IF($B87="OFF",CK87,VLOOKUP($D87,Receptury_z!$D:$AS,AL$4,0))</f>
        <v>0</v>
      </c>
      <c r="AM87" s="14">
        <f>IF($B87="OFF",CL87,VLOOKUP($D87,Receptury_z!$D:$AS,AM$4,0))</f>
        <v>0</v>
      </c>
      <c r="AN87" s="14">
        <f>IF($B87="OFF",CM87,VLOOKUP($D87,Receptury_z!$D:$AS,AN$4,0))</f>
        <v>0</v>
      </c>
      <c r="AO87" s="14">
        <f>IF($B87="OFF",CN87,VLOOKUP($D87,Receptury_z!$D:$AS,AO$4,0))</f>
        <v>0</v>
      </c>
      <c r="AP87" s="14">
        <f>IF($B87="OFF",CO87,VLOOKUP($D87,Receptury_z!$D:$AS,AP$4,0))</f>
        <v>0</v>
      </c>
      <c r="AQ87" s="14">
        <f>IF($B87="OFF",CP87,VLOOKUP($D87,Receptury_z!$D:$AS,AQ$4,0))</f>
        <v>0</v>
      </c>
      <c r="AR87" s="14">
        <f>IF($B87="OFF",CQ87,VLOOKUP($D87,Receptury_z!$D:$AS,AR$4,0))</f>
        <v>0</v>
      </c>
      <c r="AS87" s="14">
        <f>IF($B87="OFF",CR87,VLOOKUP($D87,Receptury_z!$D:$AS,AS$4,0))</f>
        <v>0</v>
      </c>
      <c r="AT87" s="14">
        <f>IF($B87="OFF",CS87,VLOOKUP($D87,Receptury_z!$D:$AV,AT$4,0))</f>
        <v>0</v>
      </c>
      <c r="AU87" s="14">
        <f>IF($B87="OFF",CT87,VLOOKUP($D87,Receptury_z!$D:$AV,AU$4,0))</f>
        <v>0</v>
      </c>
      <c r="AV87" s="14">
        <f>IF($B87="OFF",CU87,VLOOKUP($D87,Receptury_z!$D:$AV,AV$4,0))</f>
        <v>0</v>
      </c>
      <c r="AW87" s="14">
        <f>IF($B87="OFF",CV87,VLOOKUP($D87,Receptury_z!$D:$BA,AW$4,0))</f>
        <v>0</v>
      </c>
      <c r="AX87" s="14">
        <f>IF($B87="OFF",CW87,VLOOKUP($D87,Receptury_z!$D:$BA,AX$4,0))</f>
        <v>0</v>
      </c>
      <c r="AY87" s="14">
        <f>IF($B87="OFF",CX87,VLOOKUP($D87,Receptury_z!$D:$BA,AY$4,0))</f>
        <v>0</v>
      </c>
      <c r="AZ87" s="14">
        <f>IF($B87="OFF",DA87,VLOOKUP($D87,Receptury_z!$D:$BA,AZ$4,0))</f>
        <v>0</v>
      </c>
      <c r="BA87" s="14">
        <f>IF($B87="OFF",DB87,VLOOKUP($D87,Receptury_z!$D:$BA,BA$4,0))</f>
        <v>0</v>
      </c>
      <c r="BC87" s="28">
        <v>6449</v>
      </c>
      <c r="BD87" s="1" t="s">
        <v>41</v>
      </c>
      <c r="BE87" s="239">
        <v>0</v>
      </c>
      <c r="BF87" s="239">
        <v>0</v>
      </c>
      <c r="BG87" s="239">
        <v>0</v>
      </c>
      <c r="BH87" s="239">
        <v>0</v>
      </c>
      <c r="BI87" s="239">
        <v>0</v>
      </c>
      <c r="BJ87" s="239">
        <v>0</v>
      </c>
      <c r="BK87" s="239">
        <v>0</v>
      </c>
      <c r="BL87" s="239">
        <v>0</v>
      </c>
      <c r="BM87" s="239">
        <v>117.19</v>
      </c>
      <c r="BN87" s="239">
        <v>0</v>
      </c>
      <c r="BO87" s="239">
        <v>0</v>
      </c>
      <c r="BP87" s="239">
        <v>0</v>
      </c>
      <c r="BQ87" s="239">
        <v>63.1</v>
      </c>
      <c r="BR87" s="239">
        <v>0</v>
      </c>
      <c r="BS87" s="239">
        <v>613</v>
      </c>
      <c r="BT87" s="239">
        <v>0</v>
      </c>
      <c r="BU87" s="239">
        <v>0</v>
      </c>
      <c r="BV87" s="239">
        <v>0</v>
      </c>
      <c r="BW87" s="239">
        <v>0</v>
      </c>
      <c r="BX87" s="239">
        <v>0</v>
      </c>
      <c r="BY87" s="239">
        <v>0</v>
      </c>
      <c r="BZ87" s="239">
        <v>0</v>
      </c>
      <c r="CA87" s="239">
        <v>108.18</v>
      </c>
      <c r="CB87" s="239">
        <v>0</v>
      </c>
      <c r="CC87" s="239">
        <v>0</v>
      </c>
      <c r="CD87" s="239">
        <v>0</v>
      </c>
      <c r="CE87" s="239">
        <v>0</v>
      </c>
      <c r="CF87" s="239">
        <v>0</v>
      </c>
      <c r="CG87" s="239">
        <v>0</v>
      </c>
      <c r="CH87" s="239">
        <v>0</v>
      </c>
      <c r="CI87" s="239">
        <v>0</v>
      </c>
      <c r="CJ87" s="239">
        <v>0</v>
      </c>
      <c r="CK87" s="239">
        <v>0</v>
      </c>
      <c r="CL87" s="239">
        <v>0</v>
      </c>
      <c r="CM87" s="80"/>
      <c r="CN87" s="80"/>
      <c r="CO87" s="80"/>
      <c r="CP87" s="80"/>
      <c r="CQ87" s="80"/>
      <c r="CR87" s="80"/>
      <c r="CS87" s="80"/>
      <c r="CT87" s="80"/>
      <c r="CU87" s="80"/>
      <c r="CV87" s="80"/>
      <c r="CW87" s="80"/>
      <c r="CX87" s="80"/>
      <c r="CY87" s="80"/>
      <c r="CZ87" s="80"/>
      <c r="DB87">
        <f>IFERROR(VLOOKUP($D87,'Kalkulator mięs '!$C$5:$H$533,DB$4,0)*F87,0)</f>
        <v>0</v>
      </c>
      <c r="DC87">
        <f>IFERROR(VLOOKUP($D87,'Kalkulator mięs '!$C$5:$H$533,DC$4,0)*F87,0)</f>
        <v>0</v>
      </c>
      <c r="DD87">
        <f>IFERROR(VLOOKUP($D87,'Kalkulator mięs '!$C$5:$H$533,DD$4,0)*F87,0)</f>
        <v>0</v>
      </c>
      <c r="DE87">
        <f>IFERROR(VLOOKUP($D87,'Kalkulator mięs '!$C$5:$H$533,DE$4,0)*$G87,0)</f>
        <v>0</v>
      </c>
      <c r="DF87">
        <f>IFERROR(VLOOKUP($D87,'Kalkulator mięs '!$C$5:$H$533,DF$4,0)*$G87,0)</f>
        <v>0</v>
      </c>
      <c r="DG87">
        <f>IFERROR(VLOOKUP($D87,'Kalkulator mięs '!$C$5:$H$533,DG$4,0)*$G87,0)</f>
        <v>0</v>
      </c>
      <c r="DH87">
        <f>IFERROR(VLOOKUP($D87,'Kalkulator mięs '!$C$5:$H$533,DH$4,0)*$H87,0)</f>
        <v>0</v>
      </c>
      <c r="DI87">
        <f>IFERROR(VLOOKUP($D87,'Kalkulator mięs '!$C$5:$H$533,DI$4,0)*$H87,0)</f>
        <v>0</v>
      </c>
      <c r="DJ87">
        <f>IFERROR(VLOOKUP($D87,'Kalkulator mięs '!$C$5:$H$533,DJ$4,0)*$H87,0)</f>
        <v>0</v>
      </c>
      <c r="DK87">
        <f>IFERROR(VLOOKUP($D87,'Kalkulator mięs '!$C$5:$H$533,DK$4,0)*$I87,0)</f>
        <v>0</v>
      </c>
      <c r="DL87">
        <f>IFERROR(VLOOKUP($D87,'Kalkulator mięs '!$C$5:$H$533,DL$4,0)*$I87,0)</f>
        <v>0</v>
      </c>
      <c r="DM87">
        <f>IFERROR(VLOOKUP($D87,'Kalkulator mięs '!$C$5:$H$533,DM$4,0)*$I87,0)</f>
        <v>0</v>
      </c>
      <c r="DN87">
        <f>IFERROR(VLOOKUP($D87,'Kalkulator mięs '!$C$5:$H$533,DN$4,0)*$J87,0)</f>
        <v>0</v>
      </c>
      <c r="DO87">
        <f>IFERROR(VLOOKUP($D87,'Kalkulator mięs '!$C$5:$H$533,DO$4,0)*$J87,0)</f>
        <v>0</v>
      </c>
      <c r="DP87">
        <f>IFERROR(VLOOKUP($D87,'Kalkulator mięs '!$C$5:$H$533,DP$4,0)*$J87,0)</f>
        <v>0</v>
      </c>
      <c r="DQ87">
        <f>IFERROR(VLOOKUP($D87,'Kalkulator mięs '!$C$5:$H$533,DQ$4,0)*$K87,0)</f>
        <v>0</v>
      </c>
      <c r="DR87">
        <f>IFERROR(VLOOKUP($D87,'Kalkulator mięs '!$C$5:$H$533,DR$4,0)*$K87,0)</f>
        <v>0</v>
      </c>
      <c r="DS87">
        <f>IFERROR(VLOOKUP($D87,'Kalkulator mięs '!$C$5:$H$533,DS$4,0)*$K87,0)</f>
        <v>0</v>
      </c>
      <c r="DT87">
        <f>IFERROR(VLOOKUP($D87,'Kalkulator mięs '!$C$5:$H$533,DT$4,0)*$L87,0)</f>
        <v>0</v>
      </c>
      <c r="DU87">
        <f>IFERROR(VLOOKUP($D87,'Kalkulator mięs '!$C$5:$H$533,DU$4,0)*$L87,0)</f>
        <v>0</v>
      </c>
      <c r="DV87">
        <f>IFERROR(VLOOKUP($D87,'Kalkulator mięs '!$C$5:$H$533,DV$4,0)*$L87,0)</f>
        <v>0</v>
      </c>
      <c r="DW87">
        <f>IFERROR(VLOOKUP($D87,'Kalkulator mięs '!$C$5:$H$533,DW$4,0)*$M87,0)</f>
        <v>0</v>
      </c>
      <c r="DX87">
        <f>IFERROR(VLOOKUP($D87,'Kalkulator mięs '!$C$5:$H$533,DX$4,0)*$M87,0)</f>
        <v>0</v>
      </c>
      <c r="DY87">
        <f>IFERROR(VLOOKUP($D87,'Kalkulator mięs '!$C$5:$H$533,DY$4,0)*$M87,0)</f>
        <v>0</v>
      </c>
      <c r="DZ87">
        <f>IFERROR(VLOOKUP($D87,'Kalkulator mięs '!$C$5:$H$533,DZ$4,0)*$N87,0)</f>
        <v>0</v>
      </c>
      <c r="EA87">
        <f>IFERROR(VLOOKUP($D87,'Kalkulator mięs '!$C$5:$H$533,EA$4,0)*$N87,0)</f>
        <v>0</v>
      </c>
      <c r="EB87">
        <f>IFERROR(VLOOKUP($D87,'Kalkulator mięs '!$C$5:$H$533,EB$4,0)*$N87,0)</f>
        <v>0</v>
      </c>
      <c r="EC87">
        <f>IFERROR(VLOOKUP($D87,'Kalkulator mięs '!$C$5:$H$533,EC$4,0)*$O87,0)</f>
        <v>0</v>
      </c>
      <c r="ED87">
        <f>IFERROR(VLOOKUP($D87,'Kalkulator mięs '!$C$5:$H$533,ED$4,0)*$O87,0)</f>
        <v>0</v>
      </c>
      <c r="EE87">
        <f>IFERROR(VLOOKUP($D87,'Kalkulator mięs '!$C$5:$H$533,EE$4,0)*$O87,0)</f>
        <v>0</v>
      </c>
      <c r="EF87">
        <f>IFERROR(VLOOKUP($D87,'Kalkulator mięs '!$C$5:$H$533,EF$4,0)*$P87,0)</f>
        <v>0</v>
      </c>
      <c r="EG87">
        <f>IFERROR(VLOOKUP($D87,'Kalkulator mięs '!$C$5:$H$533,EG$4,0)*$P87,0)</f>
        <v>0</v>
      </c>
      <c r="EH87">
        <f>IFERROR(VLOOKUP($D87,'Kalkulator mięs '!$C$5:$H$533,EH$4,0)*$P87,0)</f>
        <v>0</v>
      </c>
      <c r="EI87">
        <f>IFERROR(VLOOKUP($D87,'Kalkulator mięs '!$C$5:$H$533,EI$4,0)*$Q87,0)</f>
        <v>0</v>
      </c>
      <c r="EJ87">
        <f>IFERROR(VLOOKUP($D87,'Kalkulator mięs '!$C$5:$H$533,EJ$4,0)*$Q87,0)</f>
        <v>0</v>
      </c>
      <c r="EK87">
        <f>IFERROR(VLOOKUP($D87,'Kalkulator mięs '!$C$5:$H$533,EK$4,0)*$Q87,0)</f>
        <v>0</v>
      </c>
      <c r="EL87">
        <f>IFERROR(VLOOKUP($D87,'Kalkulator mięs '!$C$5:$H$533,EL$4,0)*$R87,0)</f>
        <v>0</v>
      </c>
      <c r="EM87">
        <f>IFERROR(VLOOKUP($D87,'Kalkulator mięs '!$C$5:$H$533,EM$4,0)*$R87,0)</f>
        <v>0</v>
      </c>
      <c r="EN87">
        <f>IFERROR(VLOOKUP($D87,'Kalkulator mięs '!$C$5:$H$533,EN$4,0)*$R87,0)</f>
        <v>0</v>
      </c>
      <c r="EO87">
        <f>IFERROR(VLOOKUP($D87,'Kalkulator mięs '!$C$5:$H$533,EO$4,0)*$S87,0)</f>
        <v>0</v>
      </c>
      <c r="EP87">
        <f>IFERROR(VLOOKUP($D87,'Kalkulator mięs '!$C$5:$H$533,EP$4,0)*$S87,0)</f>
        <v>0</v>
      </c>
      <c r="EQ87">
        <f>IFERROR(VLOOKUP($D87,'Kalkulator mięs '!$C$5:$H$533,EQ$4,0)*$S87,0)</f>
        <v>0</v>
      </c>
      <c r="ER87">
        <f>IFERROR(VLOOKUP($D87,'Kalkulator mięs '!$C$5:$H$533,ER$4,0)*$T87,0)</f>
        <v>0</v>
      </c>
      <c r="ES87">
        <f>IFERROR(VLOOKUP($D87,'Kalkulator mięs '!$C$5:$H$533,ES$4,0)*$T87,0)</f>
        <v>0</v>
      </c>
      <c r="ET87">
        <f>IFERROR(VLOOKUP($D87,'Kalkulator mięs '!$C$5:$H$533,ET$4,0)*$T87,0)</f>
        <v>0</v>
      </c>
      <c r="EU87">
        <f>IFERROR(VLOOKUP($D87,'Kalkulator mięs '!$C$5:$H$533,EU$4,0)*$U87,0)</f>
        <v>0</v>
      </c>
      <c r="EV87">
        <f>IFERROR(VLOOKUP($D87,'Kalkulator mięs '!$C$5:$H$533,EV$4,0)*$U87,0)</f>
        <v>0</v>
      </c>
      <c r="EW87">
        <f>IFERROR(VLOOKUP($D87,'Kalkulator mięs '!$C$5:$H$533,EW$4,0)*$U87,0)</f>
        <v>0</v>
      </c>
      <c r="EX87">
        <f>IFERROR(VLOOKUP($D87,'Kalkulator mięs '!$C$5:$H$533,EX$4,0)*$V87,0)</f>
        <v>0</v>
      </c>
      <c r="EY87">
        <f>IFERROR(VLOOKUP($D87,'Kalkulator mięs '!$C$5:$H$533,EY$4,0)*$V87,0)</f>
        <v>0</v>
      </c>
      <c r="EZ87">
        <f>IFERROR(VLOOKUP($D87,'Kalkulator mięs '!$C$5:$H$533,EZ$4,0)*$V87,0)</f>
        <v>0</v>
      </c>
      <c r="FA87">
        <f>IFERROR(VLOOKUP($D87,'Kalkulator mięs '!$C$5:$H$533,FA$4,0)*$W87,0)</f>
        <v>0</v>
      </c>
      <c r="FB87">
        <f>IFERROR(VLOOKUP($D87,'Kalkulator mięs '!$C$5:$H$533,FB$4,0)*$W87,0)</f>
        <v>0</v>
      </c>
      <c r="FC87">
        <f>IFERROR(VLOOKUP($D87,'Kalkulator mięs '!$C$5:$H$533,FC$4,0)*$W87,0)</f>
        <v>0</v>
      </c>
      <c r="FD87">
        <f>IFERROR(VLOOKUP($D87,'Kalkulator mięs '!$C$5:$H$533,FD$4,0)*$X87,0)</f>
        <v>0</v>
      </c>
      <c r="FE87">
        <f>IFERROR(VLOOKUP($D87,'Kalkulator mięs '!$C$5:$H$533,FE$4,0)*$X87,0)</f>
        <v>0</v>
      </c>
      <c r="FF87">
        <f>IFERROR(VLOOKUP($D87,'Kalkulator mięs '!$C$5:$H$533,FF$4,0)*$X87,0)</f>
        <v>0</v>
      </c>
      <c r="FG87">
        <f>IFERROR(VLOOKUP($D87,'Kalkulator mięs '!$C$5:$H$533,FG$4,0)*$Y87,0)</f>
        <v>0</v>
      </c>
      <c r="FH87">
        <f>IFERROR(VLOOKUP($D87,'Kalkulator mięs '!$C$5:$H$533,FH$4,0)*$Y87,0)</f>
        <v>0</v>
      </c>
      <c r="FI87">
        <f>IFERROR(VLOOKUP($D87,'Kalkulator mięs '!$C$5:$H$533,FI$4,0)*$Y87,0)</f>
        <v>0</v>
      </c>
      <c r="FJ87">
        <f>IFERROR(VLOOKUP($D87,'Kalkulator mięs '!$C$5:$H$533,FJ$4,0)*$Z87,0)</f>
        <v>0</v>
      </c>
      <c r="FK87">
        <f>IFERROR(VLOOKUP($D87,'Kalkulator mięs '!$C$5:$H$533,FK$4,0)*$Z87,0)</f>
        <v>0</v>
      </c>
      <c r="FL87">
        <f>IFERROR(VLOOKUP($D87,'Kalkulator mięs '!$C$5:$H$533,FL$4,0)*$Z87,0)</f>
        <v>0</v>
      </c>
      <c r="FM87">
        <f>IFERROR(VLOOKUP($D87,'Kalkulator mięs '!$C$5:$H$533,FM$4,0)*$AA87,0)</f>
        <v>0</v>
      </c>
      <c r="FN87">
        <f>IFERROR(VLOOKUP($D87,'Kalkulator mięs '!$C$5:$H$533,FN$4,0)*$AA87,0)</f>
        <v>0</v>
      </c>
      <c r="FO87">
        <f>IFERROR(VLOOKUP($D87,'Kalkulator mięs '!$C$5:$H$533,FO$4,0)*$AA87,0)</f>
        <v>0</v>
      </c>
      <c r="FP87">
        <f>IFERROR(VLOOKUP($D87,'Kalkulator mięs '!$C$5:$H$533,FP$4,0)*$AB87,0)</f>
        <v>0</v>
      </c>
      <c r="FQ87">
        <f>IFERROR(VLOOKUP($D87,'Kalkulator mięs '!$C$5:$H$533,FQ$4,0)*$AB87,0)</f>
        <v>0</v>
      </c>
      <c r="FR87">
        <f>IFERROR(VLOOKUP($D87,'Kalkulator mięs '!$C$5:$H$533,FR$4,0)*$AB87,0)</f>
        <v>0</v>
      </c>
      <c r="FS87">
        <f>IFERROR(VLOOKUP($D87,'Kalkulator mięs '!$C$5:$H$533,FS$4,0)*$AC87,0)</f>
        <v>0</v>
      </c>
      <c r="FT87">
        <f>IFERROR(VLOOKUP($D87,'Kalkulator mięs '!$C$5:$H$533,FT$4,0)*$AC87,0)</f>
        <v>0</v>
      </c>
      <c r="FU87">
        <f>IFERROR(VLOOKUP($D87,'Kalkulator mięs '!$C$5:$H$533,FU$4,0)*$AC87,0)</f>
        <v>0</v>
      </c>
      <c r="FV87">
        <f>IFERROR(VLOOKUP($D87,'Kalkulator mięs '!$C$5:$H$533,FV$4,0)*$AD87,0)</f>
        <v>0</v>
      </c>
      <c r="FW87">
        <f>IFERROR(VLOOKUP($D87,'Kalkulator mięs '!$C$5:$H$533,FW$4,0)*$AD87,0)</f>
        <v>0</v>
      </c>
      <c r="FX87">
        <f>IFERROR(VLOOKUP($D87,'Kalkulator mięs '!$C$5:$H$533,FX$4,0)*$AD87,0)</f>
        <v>0</v>
      </c>
      <c r="FY87">
        <f>IFERROR(VLOOKUP($D87,'Kalkulator mięs '!$C$5:$H$533,FY$4,0)*$AE87,0)</f>
        <v>0</v>
      </c>
      <c r="FZ87">
        <f>IFERROR(VLOOKUP($D87,'Kalkulator mięs '!$C$5:$H$533,FZ$4,0)*$AE87,0)</f>
        <v>0</v>
      </c>
      <c r="GA87">
        <f>IFERROR(VLOOKUP($D87,'Kalkulator mięs '!$C$5:$H$533,GA$4,0)*$AE87,0)</f>
        <v>0</v>
      </c>
      <c r="GB87">
        <f>IFERROR(VLOOKUP($D87,'Kalkulator mięs '!$C$5:$H$533,GB$4,0)*$AF87,0)</f>
        <v>0</v>
      </c>
      <c r="GC87">
        <f>IFERROR(VLOOKUP($D87,'Kalkulator mięs '!$C$5:$H$533,GC$4,0)*$AF87,0)</f>
        <v>0</v>
      </c>
      <c r="GD87">
        <f>IFERROR(VLOOKUP($D87,'Kalkulator mięs '!$C$5:$H$533,GD$4,0)*$AF87,0)</f>
        <v>0</v>
      </c>
      <c r="GE87">
        <f>IFERROR(VLOOKUP($D87,'Kalkulator mięs '!$C$5:$H$533,GE$4,0)*$AG87,0)</f>
        <v>0</v>
      </c>
      <c r="GF87">
        <f>IFERROR(VLOOKUP($D87,'Kalkulator mięs '!$C$5:$H$533,GF$4,0)*$AG87,0)</f>
        <v>0</v>
      </c>
      <c r="GG87">
        <f>IFERROR(VLOOKUP($D87,'Kalkulator mięs '!$C$5:$H$533,GG$4,0)*$AG87,0)</f>
        <v>0</v>
      </c>
      <c r="GH87">
        <f>IFERROR(VLOOKUP($D87,'Kalkulator mięs '!$C$5:$H$533,GH$4,0)*$AH87,0)</f>
        <v>0</v>
      </c>
      <c r="GI87">
        <f>IFERROR(VLOOKUP($D87,'Kalkulator mięs '!$C$5:$H$533,GI$4,0)*$AH87,0)</f>
        <v>0</v>
      </c>
      <c r="GJ87">
        <f>IFERROR(VLOOKUP($D87,'Kalkulator mięs '!$C$5:$H$533,GJ$4,0)*$AH87,0)</f>
        <v>0</v>
      </c>
      <c r="GK87">
        <f>IFERROR(VLOOKUP($D87,'Kalkulator mięs '!$C$5:$H$533,GK$4,0)*$AI87,0)</f>
        <v>0</v>
      </c>
      <c r="GL87">
        <f>IFERROR(VLOOKUP($D87,'Kalkulator mięs '!$C$5:$H$533,GL$4,0)*$AI87,0)</f>
        <v>0</v>
      </c>
      <c r="GM87">
        <f>IFERROR(VLOOKUP($D87,'Kalkulator mięs '!$C$5:$H$533,GM$4,0)*$AI87,0)</f>
        <v>0</v>
      </c>
      <c r="GN87">
        <f>IFERROR(VLOOKUP($D87,'Kalkulator mięs '!$C$5:$H$533,GN$4,0)*$AJ87,0)</f>
        <v>0</v>
      </c>
      <c r="GO87">
        <f>IFERROR(VLOOKUP($D87,'Kalkulator mięs '!$C$5:$H$533,GO$4,0)*$AJ87,0)</f>
        <v>0</v>
      </c>
      <c r="GP87">
        <f>IFERROR(VLOOKUP($D87,'Kalkulator mięs '!$C$5:$H$533,GP$4,0)*$AJ87,0)</f>
        <v>0</v>
      </c>
      <c r="GQ87">
        <f>IFERROR(VLOOKUP($D87,'Kalkulator mięs '!$C$5:$H$533,GQ$4,0)*$AK87,0)</f>
        <v>0</v>
      </c>
      <c r="GR87">
        <f>IFERROR(VLOOKUP($D87,'Kalkulator mięs '!$C$5:$H$533,GR$4,0)*$AK87,0)</f>
        <v>0</v>
      </c>
      <c r="GS87">
        <f>IFERROR(VLOOKUP($D87,'Kalkulator mięs '!$C$5:$H$533,GS$4,0)*$AK87,0)</f>
        <v>0</v>
      </c>
      <c r="GT87">
        <f>IFERROR(VLOOKUP($D87,'Kalkulator mięs '!$C$5:$H$533,GT$4,0)*$AL87,0)</f>
        <v>0</v>
      </c>
      <c r="GU87">
        <f>IFERROR(VLOOKUP($D87,'Kalkulator mięs '!$C$5:$H$533,GU$4,0)*$AL87,0)</f>
        <v>0</v>
      </c>
      <c r="GV87">
        <f>IFERROR(VLOOKUP($D87,'Kalkulator mięs '!$C$5:$H$533,GV$4,0)*$AL87,0)</f>
        <v>0</v>
      </c>
      <c r="GW87">
        <f>IFERROR(VLOOKUP($D87,'Kalkulator mięs '!$C$5:$H$533,GW$4,0)*$AM87,0)</f>
        <v>0</v>
      </c>
      <c r="GX87">
        <f>IFERROR(VLOOKUP($D87,'Kalkulator mięs '!$C$5:$H$533,GX$4,0)*$AM87,0)</f>
        <v>0</v>
      </c>
      <c r="GY87">
        <f>IFERROR(VLOOKUP($D87,'Kalkulator mięs '!$C$5:$H$533,GY$4,0)*$AM87,0)</f>
        <v>0</v>
      </c>
      <c r="GZ87">
        <f>IFERROR(VLOOKUP($D87,'Kalkulator mięs '!$C$5:$H$533,GZ$4,0)*$AN87,0)</f>
        <v>0</v>
      </c>
      <c r="HA87">
        <f>IFERROR(VLOOKUP($D87,'Kalkulator mięs '!$C$5:$H$533,HA$4,0)*$AN87,0)</f>
        <v>0</v>
      </c>
      <c r="HB87">
        <f>IFERROR(VLOOKUP($D87,'Kalkulator mięs '!$C$5:$H$533,HB$4,0)*$AN87,0)</f>
        <v>0</v>
      </c>
      <c r="HC87">
        <f>IFERROR(VLOOKUP($D87,'Kalkulator mięs '!$C$5:$H$533,HC$4,0)*$AO87,0)</f>
        <v>0</v>
      </c>
      <c r="HD87">
        <f>IFERROR(VLOOKUP($D87,'Kalkulator mięs '!$C$5:$H$533,HD$4,0)*$AO87,0)</f>
        <v>0</v>
      </c>
      <c r="HE87">
        <f>IFERROR(VLOOKUP($D87,'Kalkulator mięs '!$C$5:$H$533,HE$4,0)*$AO87,0)</f>
        <v>0</v>
      </c>
      <c r="HF87">
        <f>IFERROR(VLOOKUP($D87,'Kalkulator mięs '!$C$5:$H$533,HF$4,0)*$AP87,0)</f>
        <v>0</v>
      </c>
      <c r="HG87">
        <f>IFERROR(VLOOKUP($D87,'Kalkulator mięs '!$C$5:$H$533,HG$4,0)*$AP87,0)</f>
        <v>0</v>
      </c>
      <c r="HH87">
        <f>IFERROR(VLOOKUP($D87,'Kalkulator mięs '!$C$5:$H$533,HH$4,0)*$AP87,0)</f>
        <v>0</v>
      </c>
      <c r="HI87">
        <f>IFERROR(VLOOKUP($D87,'Kalkulator mięs '!$C$5:$H$533,HI$4,0)*$AQ87,0)</f>
        <v>0</v>
      </c>
      <c r="HJ87">
        <f>IFERROR(VLOOKUP($D87,'Kalkulator mięs '!$C$5:$H$533,HJ$4,0)*$AQ87,0)</f>
        <v>0</v>
      </c>
      <c r="HK87">
        <f>IFERROR(VLOOKUP($D87,'Kalkulator mięs '!$C$5:$H$533,HK$4,0)*$AQ87,0)</f>
        <v>0</v>
      </c>
      <c r="HL87">
        <f>IFERROR(VLOOKUP($D87,'Kalkulator mięs '!$C$5:$H$533,HL$4,0)*$AR87,0)</f>
        <v>0</v>
      </c>
      <c r="HM87">
        <f>IFERROR(VLOOKUP($D87,'Kalkulator mięs '!$C$5:$H$533,HM$4,0)*$AR87,0)</f>
        <v>0</v>
      </c>
      <c r="HN87">
        <f>IFERROR(VLOOKUP($D87,'Kalkulator mięs '!$C$5:$H$533,HN$4,0)*$AR87,0)</f>
        <v>0</v>
      </c>
      <c r="HO87">
        <f>IFERROR(VLOOKUP($D87,'Kalkulator mięs '!$C$5:$H$533,HO$4,0)*$AS87,0)</f>
        <v>0</v>
      </c>
      <c r="HP87">
        <f>IFERROR(VLOOKUP($D87,'Kalkulator mięs '!$C$5:$H$533,HP$4,0)*$AS87,0)</f>
        <v>0</v>
      </c>
      <c r="HQ87">
        <f>IFERROR(VLOOKUP($D87,'Kalkulator mięs '!$C$5:$H$533,HQ$4,0)*$AS87,0)</f>
        <v>0</v>
      </c>
      <c r="HR87">
        <f>IFERROR(VLOOKUP($D87,'Kalkulator mięs '!$C$5:$H$533,HR$4,0)*$AT87,0)</f>
        <v>0</v>
      </c>
      <c r="HS87">
        <f>IFERROR(VLOOKUP($D87,'Kalkulator mięs '!$C$5:$H$533,HS$4,0)*$AT87,0)</f>
        <v>0</v>
      </c>
      <c r="HT87">
        <f>IFERROR(VLOOKUP($D87,'Kalkulator mięs '!$C$5:$H$533,HT$4,0)*$AT87,0)</f>
        <v>0</v>
      </c>
      <c r="HU87">
        <f>IFERROR(VLOOKUP($D87,'Kalkulator mięs '!$C$5:$H$533,HU$4,0)*$AU87,0)</f>
        <v>0</v>
      </c>
      <c r="HV87">
        <f>IFERROR(VLOOKUP($D87,'Kalkulator mięs '!$C$5:$H$533,HV$4,0)*$AU87,0)</f>
        <v>0</v>
      </c>
      <c r="HW87">
        <f>IFERROR(VLOOKUP($D87,'Kalkulator mięs '!$C$5:$H$533,HW$4,0)*$AU87,0)</f>
        <v>0</v>
      </c>
      <c r="HX87">
        <f>IFERROR(VLOOKUP($D87,'Kalkulator mięs '!$C$5:$H$533,HX$4,0)*$AV87,0)</f>
        <v>0</v>
      </c>
      <c r="HY87">
        <f>IFERROR(VLOOKUP($D87,'Kalkulator mięs '!$C$5:$H$533,HY$4,0)*$AV87,0)</f>
        <v>0</v>
      </c>
      <c r="HZ87">
        <f>IFERROR(VLOOKUP($D87,'Kalkulator mięs '!$C$5:$H$533,HZ$4,0)*$AV87,0)</f>
        <v>0</v>
      </c>
      <c r="IA87">
        <f>IFERROR(VLOOKUP($D87,'Kalkulator mięs '!$C$5:$H$533,IA$4,0)*$AW87,0)</f>
        <v>0</v>
      </c>
      <c r="IB87">
        <f>IFERROR(VLOOKUP($D87,'Kalkulator mięs '!$C$5:$H$533,IB$4,0)*$AW87,0)</f>
        <v>0</v>
      </c>
      <c r="IC87">
        <f>IFERROR(VLOOKUP($D87,'Kalkulator mięs '!$C$5:$H$533,IC$4,0)*$AW87,0)</f>
        <v>0</v>
      </c>
      <c r="ID87">
        <f>IFERROR(VLOOKUP($D87,'Kalkulator mięs '!$C$5:$H$533,ID$4,0)*$AX87,0)</f>
        <v>0</v>
      </c>
      <c r="IE87">
        <f>IFERROR(VLOOKUP($D87,'Kalkulator mięs '!$C$5:$H$533,IE$4,0)*$AX87,0)</f>
        <v>0</v>
      </c>
      <c r="IF87">
        <f>IFERROR(VLOOKUP($D87,'Kalkulator mięs '!$C$5:$H$533,IF$4,0)*$AX87,0)</f>
        <v>0</v>
      </c>
      <c r="IG87">
        <f>IFERROR(VLOOKUP($D87,'Kalkulator mięs '!$C$5:$H$533,IG$4,0)*$AY87,0)</f>
        <v>0</v>
      </c>
      <c r="IH87">
        <f>IFERROR(VLOOKUP($D87,'Kalkulator mięs '!$C$5:$H$533,IH$4,0)*$AY87,0)</f>
        <v>0</v>
      </c>
      <c r="II87">
        <f>IFERROR(VLOOKUP($D87,'Kalkulator mięs '!$C$5:$H$533,II$4,0)*$AY87,0)</f>
        <v>0</v>
      </c>
      <c r="IJ87">
        <f>IFERROR(VLOOKUP($D87,'Kalkulator mięs '!$C$5:$H$533,IJ$4,0)*$AZ87,0)</f>
        <v>0</v>
      </c>
      <c r="IK87">
        <f>IFERROR(VLOOKUP($D87,'Kalkulator mięs '!$C$5:$H$533,IK$4,0)*$AZ87,0)</f>
        <v>0</v>
      </c>
      <c r="IL87">
        <f>IFERROR(VLOOKUP($D87,'Kalkulator mięs '!$C$5:$H$533,IL$4,0)*$AZ87,0)</f>
        <v>0</v>
      </c>
      <c r="IM87">
        <f>IFERROR(VLOOKUP($D87,'Kalkulator mięs '!$C$5:$H$533,IM$4,0)*$BA87,0)</f>
        <v>0</v>
      </c>
      <c r="IN87">
        <f>IFERROR(VLOOKUP($D87,'Kalkulator mięs '!$C$5:$H$533,IN$4,0)*$BA87,0)</f>
        <v>0</v>
      </c>
      <c r="IO87">
        <f>IFERROR(VLOOKUP($D87,'Kalkulator mięs '!$C$5:$H$533,IO$4,0)*$BA87,0)</f>
        <v>0</v>
      </c>
    </row>
    <row r="88" spans="2:249" ht="15.75">
      <c r="B88" t="str">
        <f>VLOOKUP(D88,Receptury_z!$A:$B,2,0)</f>
        <v>ON</v>
      </c>
      <c r="C88" s="27">
        <v>5556</v>
      </c>
      <c r="D88" s="28">
        <v>6451</v>
      </c>
      <c r="E88" s="1" t="s">
        <v>36</v>
      </c>
      <c r="F88" s="14">
        <f>IF($B88="OFF",BE88,VLOOKUP($D88,Receptury_z!$D:$AI,F$4,0))</f>
        <v>0</v>
      </c>
      <c r="G88" s="14">
        <f>IF($B88="OFF",BF88,VLOOKUP($D88,Receptury_z!$D:$AI,G$4,0))</f>
        <v>0</v>
      </c>
      <c r="H88" s="14">
        <f>IF($B88="OFF",BG88,VLOOKUP($D88,Receptury_z!$D:$AI,H$4,0))</f>
        <v>0</v>
      </c>
      <c r="I88" s="14">
        <f>IF($B88="OFF",BH88,VLOOKUP($D88,Receptury_z!$D:$AI,I$4,0))</f>
        <v>0</v>
      </c>
      <c r="J88" s="14">
        <f>IF($B88="OFF",BI88,VLOOKUP($D88,Receptury_z!$D:$AI,J$4,0))</f>
        <v>0</v>
      </c>
      <c r="K88" s="14">
        <f>IF($B88="OFF",BJ88,VLOOKUP($D88,Receptury_z!$D:$AI,K$4,0))</f>
        <v>0</v>
      </c>
      <c r="L88" s="14">
        <f>IF($B88="OFF",BK88,VLOOKUP($D88,Receptury_z!$D:$AI,L$4,0))</f>
        <v>0</v>
      </c>
      <c r="M88" s="14">
        <f>IF($B88="OFF",BL88,VLOOKUP($D88,Receptury_z!$D:$AI,M$4,0))</f>
        <v>0</v>
      </c>
      <c r="N88" s="14">
        <f>IF($B88="OFF",BM88,VLOOKUP($D88,Receptury_z!$D:$AI,N$4,0))</f>
        <v>0</v>
      </c>
      <c r="O88" s="14">
        <f>IF($B88="OFF",BN88,VLOOKUP($D88,Receptury_z!$D:$AI,O$4,0))</f>
        <v>0</v>
      </c>
      <c r="P88" s="14">
        <f>IF($B88="OFF",BO88,VLOOKUP($D88,Receptury_z!$D:$AI,P$4,0))</f>
        <v>0</v>
      </c>
      <c r="Q88" s="14">
        <f>IF($B88="OFF",BP88,VLOOKUP($D88,Receptury_z!$D:$AI,Q$4,0))</f>
        <v>0</v>
      </c>
      <c r="R88" s="14">
        <f>IF($B88="OFF",BQ88,VLOOKUP($D88,Receptury_z!$D:$AI,R$4,0))</f>
        <v>0</v>
      </c>
      <c r="S88" s="14">
        <f>IF($B88="OFF",BR88,VLOOKUP($D88,Receptury_z!$D:$AI,S$4,0))</f>
        <v>0</v>
      </c>
      <c r="T88" s="14">
        <f>IF($B88="OFF",BS88,VLOOKUP($D88,Receptury_z!$D:$AI,T$4,0))</f>
        <v>246.85</v>
      </c>
      <c r="U88" s="14">
        <f>IF($B88="OFF",BT88,VLOOKUP($D88,Receptury_z!$D:$AI,U$4,0))</f>
        <v>246.85</v>
      </c>
      <c r="V88" s="14">
        <f>IF($B88="OFF",BU88,VLOOKUP($D88,Receptury_z!$D:$AI,V$4,0))</f>
        <v>0</v>
      </c>
      <c r="W88" s="14">
        <f>IF($B88="OFF",BV88,VLOOKUP($D88,Receptury_z!$D:$AI,W$4,0))</f>
        <v>0</v>
      </c>
      <c r="X88" s="14">
        <f>IF($B88="OFF",BW88,VLOOKUP($D88,Receptury_z!$D:$AI,X$4,0))</f>
        <v>56.4</v>
      </c>
      <c r="Y88" s="14">
        <f>IF($B88="OFF",BX88,VLOOKUP($D88,Receptury_z!$D:$AI,Y$4,0))</f>
        <v>0</v>
      </c>
      <c r="Z88" s="14">
        <f>IF($B88="OFF",BY88,VLOOKUP($D88,Receptury_z!$D:$AI,Z$4,0))</f>
        <v>0</v>
      </c>
      <c r="AA88" s="14">
        <f>IF($B88="OFF",BZ88,VLOOKUP($D88,Receptury_z!$D:$AI,AA$4,0))</f>
        <v>0</v>
      </c>
      <c r="AB88" s="14">
        <f>IF($B88="OFF",CA88,VLOOKUP($D88,Receptury_z!$D:$AI,AB$4,0))</f>
        <v>42.3</v>
      </c>
      <c r="AC88" s="14">
        <f>IF($B88="OFF",CB88,VLOOKUP($D88,Receptury_z!$D:$AI,AC$4,0))</f>
        <v>0</v>
      </c>
      <c r="AD88" s="14">
        <f>IF($B88="OFF",CC88,VLOOKUP($D88,Receptury_z!$D:$AI,AD$4,0))</f>
        <v>0</v>
      </c>
      <c r="AE88" s="14">
        <f>IF($B88="OFF",CD88,VLOOKUP($D88,Receptury_z!$D:$AI,AE$4,0))</f>
        <v>0</v>
      </c>
      <c r="AF88" s="14">
        <f>IF($B88="OFF",CE88,VLOOKUP($D88,Receptury_z!$D:$AI,AF$4,0))</f>
        <v>0</v>
      </c>
      <c r="AG88" s="14">
        <f>IF($B88="OFF",CF88,VLOOKUP($D88,Receptury_z!$D:$AI,AG$4,0))</f>
        <v>0</v>
      </c>
      <c r="AH88" s="14">
        <f>IF($B88="OFF",CG88,VLOOKUP($D88,Receptury_z!$D:$AI,AH$4,0))</f>
        <v>0</v>
      </c>
      <c r="AI88" s="14">
        <f>IF($B88="OFF",CH88,VLOOKUP($D88,Receptury_z!$D:$AI,AI$4,0))</f>
        <v>0</v>
      </c>
      <c r="AJ88" s="14">
        <f>IF($B88="OFF",CI88,VLOOKUP($D88,Receptury_z!$D:$AS,AJ$4,0))</f>
        <v>0</v>
      </c>
      <c r="AK88" s="14">
        <f>IF($B88="OFF",CJ88,VLOOKUP($D88,Receptury_z!$D:$AS,AK$4,0))</f>
        <v>0</v>
      </c>
      <c r="AL88" s="14">
        <f>IF($B88="OFF",CK88,VLOOKUP($D88,Receptury_z!$D:$AS,AL$4,0))</f>
        <v>0</v>
      </c>
      <c r="AM88" s="14">
        <f>IF($B88="OFF",CL88,VLOOKUP($D88,Receptury_z!$D:$AS,AM$4,0))</f>
        <v>0</v>
      </c>
      <c r="AN88" s="14">
        <f>IF($B88="OFF",CM88,VLOOKUP($D88,Receptury_z!$D:$AS,AN$4,0))</f>
        <v>112.8</v>
      </c>
      <c r="AO88" s="14">
        <f>IF($B88="OFF",CN88,VLOOKUP($D88,Receptury_z!$D:$AS,AO$4,0))</f>
        <v>0</v>
      </c>
      <c r="AP88" s="14">
        <f>IF($B88="OFF",CO88,VLOOKUP($D88,Receptury_z!$D:$AS,AP$4,0))</f>
        <v>0</v>
      </c>
      <c r="AQ88" s="14">
        <f>IF($B88="OFF",CP88,VLOOKUP($D88,Receptury_z!$D:$AS,AQ$4,0))</f>
        <v>0</v>
      </c>
      <c r="AR88" s="14">
        <f>IF($B88="OFF",CQ88,VLOOKUP($D88,Receptury_z!$D:$AS,AR$4,0))</f>
        <v>0</v>
      </c>
      <c r="AS88" s="14">
        <f>IF($B88="OFF",CR88,VLOOKUP($D88,Receptury_z!$D:$AS,AS$4,0))</f>
        <v>0</v>
      </c>
      <c r="AT88" s="14">
        <f>IF($B88="OFF",CS88,VLOOKUP($D88,Receptury_z!$D:$AV,AT$4,0))</f>
        <v>0</v>
      </c>
      <c r="AU88" s="14">
        <f>IF($B88="OFF",CT88,VLOOKUP($D88,Receptury_z!$D:$AV,AU$4,0))</f>
        <v>0</v>
      </c>
      <c r="AV88" s="14">
        <f>IF($B88="OFF",CU88,VLOOKUP($D88,Receptury_z!$D:$AV,AV$4,0))</f>
        <v>0</v>
      </c>
      <c r="AW88" s="14">
        <f>IF($B88="OFF",CV88,VLOOKUP($D88,Receptury_z!$D:$BA,AW$4,0))</f>
        <v>0</v>
      </c>
      <c r="AX88" s="14">
        <f>IF($B88="OFF",CW88,VLOOKUP($D88,Receptury_z!$D:$BA,AX$4,0))</f>
        <v>0</v>
      </c>
      <c r="AY88" s="14">
        <f>IF($B88="OFF",CX88,VLOOKUP($D88,Receptury_z!$D:$BA,AY$4,0))</f>
        <v>0</v>
      </c>
      <c r="AZ88" s="14">
        <f>IF($B88="OFF",DA88,VLOOKUP($D88,Receptury_z!$D:$BA,AZ$4,0))</f>
        <v>0</v>
      </c>
      <c r="BA88" s="14">
        <f>IF($B88="OFF",DB88,VLOOKUP($D88,Receptury_z!$D:$BA,BA$4,0))</f>
        <v>0</v>
      </c>
      <c r="BC88" s="28">
        <v>6451</v>
      </c>
      <c r="BD88" s="1" t="s">
        <v>36</v>
      </c>
      <c r="BE88" s="239">
        <v>0</v>
      </c>
      <c r="BF88" s="239">
        <v>0</v>
      </c>
      <c r="BG88" s="239">
        <v>0</v>
      </c>
      <c r="BH88" s="239">
        <v>0</v>
      </c>
      <c r="BI88" s="239">
        <v>0</v>
      </c>
      <c r="BJ88" s="239">
        <v>0</v>
      </c>
      <c r="BK88" s="239">
        <v>0</v>
      </c>
      <c r="BL88" s="239">
        <v>0</v>
      </c>
      <c r="BM88" s="240">
        <v>70.2</v>
      </c>
      <c r="BN88" s="240">
        <f>56.2+56.2</f>
        <v>112.4</v>
      </c>
      <c r="BO88" s="239">
        <v>0</v>
      </c>
      <c r="BP88" s="239">
        <v>0</v>
      </c>
      <c r="BQ88" s="239">
        <v>0</v>
      </c>
      <c r="BR88" s="239">
        <v>0</v>
      </c>
      <c r="BS88" s="240"/>
      <c r="BT88" s="240">
        <v>350.1</v>
      </c>
      <c r="BU88" s="239">
        <v>0</v>
      </c>
      <c r="BV88" s="239">
        <v>0</v>
      </c>
      <c r="BW88" s="239">
        <v>0</v>
      </c>
      <c r="BX88" s="239">
        <v>0</v>
      </c>
      <c r="BY88" s="239">
        <v>0</v>
      </c>
      <c r="BZ88" s="239">
        <v>0</v>
      </c>
      <c r="CA88" s="240">
        <v>42.1</v>
      </c>
      <c r="CB88" s="239">
        <v>0</v>
      </c>
      <c r="CC88" s="239">
        <v>0</v>
      </c>
      <c r="CD88" s="239">
        <v>0</v>
      </c>
      <c r="CE88" s="239">
        <v>0</v>
      </c>
      <c r="CF88" s="239">
        <v>0</v>
      </c>
      <c r="CG88" s="239">
        <v>0</v>
      </c>
      <c r="CH88" s="239">
        <v>0</v>
      </c>
      <c r="CI88" s="239">
        <v>0</v>
      </c>
      <c r="CJ88" s="240">
        <v>70.2</v>
      </c>
      <c r="CK88" s="239">
        <v>0</v>
      </c>
      <c r="CL88" s="239">
        <v>0</v>
      </c>
      <c r="CM88" s="80"/>
      <c r="CN88" s="80"/>
      <c r="CO88" s="80"/>
      <c r="CP88" s="80"/>
      <c r="CQ88" s="80"/>
      <c r="CR88" s="80"/>
      <c r="CS88" s="80"/>
      <c r="CT88" s="241">
        <v>56.2</v>
      </c>
      <c r="CU88" s="80"/>
      <c r="CV88" s="80"/>
      <c r="CW88" s="80"/>
      <c r="CX88" s="80"/>
      <c r="CY88" s="80"/>
      <c r="CZ88" s="80"/>
      <c r="DB88">
        <f>IFERROR(VLOOKUP($D88,'Kalkulator mięs '!$C$5:$H$533,DB$4,0)*F88,0)</f>
        <v>0</v>
      </c>
      <c r="DC88">
        <f>IFERROR(VLOOKUP($D88,'Kalkulator mięs '!$C$5:$H$533,DC$4,0)*F88,0)</f>
        <v>0</v>
      </c>
      <c r="DD88">
        <f>IFERROR(VLOOKUP($D88,'Kalkulator mięs '!$C$5:$H$533,DD$4,0)*F88,0)</f>
        <v>0</v>
      </c>
      <c r="DE88">
        <f>IFERROR(VLOOKUP($D88,'Kalkulator mięs '!$C$5:$H$533,DE$4,0)*$G88,0)</f>
        <v>0</v>
      </c>
      <c r="DF88">
        <f>IFERROR(VLOOKUP($D88,'Kalkulator mięs '!$C$5:$H$533,DF$4,0)*$G88,0)</f>
        <v>0</v>
      </c>
      <c r="DG88">
        <f>IFERROR(VLOOKUP($D88,'Kalkulator mięs '!$C$5:$H$533,DG$4,0)*$G88,0)</f>
        <v>0</v>
      </c>
      <c r="DH88">
        <f>IFERROR(VLOOKUP($D88,'Kalkulator mięs '!$C$5:$H$533,DH$4,0)*$H88,0)</f>
        <v>0</v>
      </c>
      <c r="DI88">
        <f>IFERROR(VLOOKUP($D88,'Kalkulator mięs '!$C$5:$H$533,DI$4,0)*$H88,0)</f>
        <v>0</v>
      </c>
      <c r="DJ88">
        <f>IFERROR(VLOOKUP($D88,'Kalkulator mięs '!$C$5:$H$533,DJ$4,0)*$H88,0)</f>
        <v>0</v>
      </c>
      <c r="DK88">
        <f>IFERROR(VLOOKUP($D88,'Kalkulator mięs '!$C$5:$H$533,DK$4,0)*$I88,0)</f>
        <v>0</v>
      </c>
      <c r="DL88">
        <f>IFERROR(VLOOKUP($D88,'Kalkulator mięs '!$C$5:$H$533,DL$4,0)*$I88,0)</f>
        <v>0</v>
      </c>
      <c r="DM88">
        <f>IFERROR(VLOOKUP($D88,'Kalkulator mięs '!$C$5:$H$533,DM$4,0)*$I88,0)</f>
        <v>0</v>
      </c>
      <c r="DN88">
        <f>IFERROR(VLOOKUP($D88,'Kalkulator mięs '!$C$5:$H$533,DN$4,0)*$J88,0)</f>
        <v>0</v>
      </c>
      <c r="DO88">
        <f>IFERROR(VLOOKUP($D88,'Kalkulator mięs '!$C$5:$H$533,DO$4,0)*$J88,0)</f>
        <v>0</v>
      </c>
      <c r="DP88">
        <f>IFERROR(VLOOKUP($D88,'Kalkulator mięs '!$C$5:$H$533,DP$4,0)*$J88,0)</f>
        <v>0</v>
      </c>
      <c r="DQ88">
        <f>IFERROR(VLOOKUP($D88,'Kalkulator mięs '!$C$5:$H$533,DQ$4,0)*$K88,0)</f>
        <v>0</v>
      </c>
      <c r="DR88">
        <f>IFERROR(VLOOKUP($D88,'Kalkulator mięs '!$C$5:$H$533,DR$4,0)*$K88,0)</f>
        <v>0</v>
      </c>
      <c r="DS88">
        <f>IFERROR(VLOOKUP($D88,'Kalkulator mięs '!$C$5:$H$533,DS$4,0)*$K88,0)</f>
        <v>0</v>
      </c>
      <c r="DT88">
        <f>IFERROR(VLOOKUP($D88,'Kalkulator mięs '!$C$5:$H$533,DT$4,0)*$L88,0)</f>
        <v>0</v>
      </c>
      <c r="DU88">
        <f>IFERROR(VLOOKUP($D88,'Kalkulator mięs '!$C$5:$H$533,DU$4,0)*$L88,0)</f>
        <v>0</v>
      </c>
      <c r="DV88">
        <f>IFERROR(VLOOKUP($D88,'Kalkulator mięs '!$C$5:$H$533,DV$4,0)*$L88,0)</f>
        <v>0</v>
      </c>
      <c r="DW88">
        <f>IFERROR(VLOOKUP($D88,'Kalkulator mięs '!$C$5:$H$533,DW$4,0)*$M88,0)</f>
        <v>0</v>
      </c>
      <c r="DX88">
        <f>IFERROR(VLOOKUP($D88,'Kalkulator mięs '!$C$5:$H$533,DX$4,0)*$M88,0)</f>
        <v>0</v>
      </c>
      <c r="DY88">
        <f>IFERROR(VLOOKUP($D88,'Kalkulator mięs '!$C$5:$H$533,DY$4,0)*$M88,0)</f>
        <v>0</v>
      </c>
      <c r="DZ88">
        <f>IFERROR(VLOOKUP($D88,'Kalkulator mięs '!$C$5:$H$533,DZ$4,0)*$N88,0)</f>
        <v>0</v>
      </c>
      <c r="EA88">
        <f>IFERROR(VLOOKUP($D88,'Kalkulator mięs '!$C$5:$H$533,EA$4,0)*$N88,0)</f>
        <v>0</v>
      </c>
      <c r="EB88">
        <f>IFERROR(VLOOKUP($D88,'Kalkulator mięs '!$C$5:$H$533,EB$4,0)*$N88,0)</f>
        <v>0</v>
      </c>
      <c r="EC88">
        <f>IFERROR(VLOOKUP($D88,'Kalkulator mięs '!$C$5:$H$533,EC$4,0)*$O88,0)</f>
        <v>0</v>
      </c>
      <c r="ED88">
        <f>IFERROR(VLOOKUP($D88,'Kalkulator mięs '!$C$5:$H$533,ED$4,0)*$O88,0)</f>
        <v>0</v>
      </c>
      <c r="EE88">
        <f>IFERROR(VLOOKUP($D88,'Kalkulator mięs '!$C$5:$H$533,EE$4,0)*$O88,0)</f>
        <v>0</v>
      </c>
      <c r="EF88">
        <f>IFERROR(VLOOKUP($D88,'Kalkulator mięs '!$C$5:$H$533,EF$4,0)*$P88,0)</f>
        <v>0</v>
      </c>
      <c r="EG88">
        <f>IFERROR(VLOOKUP($D88,'Kalkulator mięs '!$C$5:$H$533,EG$4,0)*$P88,0)</f>
        <v>0</v>
      </c>
      <c r="EH88">
        <f>IFERROR(VLOOKUP($D88,'Kalkulator mięs '!$C$5:$H$533,EH$4,0)*$P88,0)</f>
        <v>0</v>
      </c>
      <c r="EI88">
        <f>IFERROR(VLOOKUP($D88,'Kalkulator mięs '!$C$5:$H$533,EI$4,0)*$Q88,0)</f>
        <v>0</v>
      </c>
      <c r="EJ88">
        <f>IFERROR(VLOOKUP($D88,'Kalkulator mięs '!$C$5:$H$533,EJ$4,0)*$Q88,0)</f>
        <v>0</v>
      </c>
      <c r="EK88">
        <f>IFERROR(VLOOKUP($D88,'Kalkulator mięs '!$C$5:$H$533,EK$4,0)*$Q88,0)</f>
        <v>0</v>
      </c>
      <c r="EL88">
        <f>IFERROR(VLOOKUP($D88,'Kalkulator mięs '!$C$5:$H$533,EL$4,0)*$R88,0)</f>
        <v>0</v>
      </c>
      <c r="EM88">
        <f>IFERROR(VLOOKUP($D88,'Kalkulator mięs '!$C$5:$H$533,EM$4,0)*$R88,0)</f>
        <v>0</v>
      </c>
      <c r="EN88">
        <f>IFERROR(VLOOKUP($D88,'Kalkulator mięs '!$C$5:$H$533,EN$4,0)*$R88,0)</f>
        <v>0</v>
      </c>
      <c r="EO88">
        <f>IFERROR(VLOOKUP($D88,'Kalkulator mięs '!$C$5:$H$533,EO$4,0)*$S88,0)</f>
        <v>0</v>
      </c>
      <c r="EP88">
        <f>IFERROR(VLOOKUP($D88,'Kalkulator mięs '!$C$5:$H$533,EP$4,0)*$S88,0)</f>
        <v>0</v>
      </c>
      <c r="EQ88">
        <f>IFERROR(VLOOKUP($D88,'Kalkulator mięs '!$C$5:$H$533,EQ$4,0)*$S88,0)</f>
        <v>0</v>
      </c>
      <c r="ER88">
        <f>IFERROR(VLOOKUP($D88,'Kalkulator mięs '!$C$5:$H$533,ER$4,0)*$T88,0)</f>
        <v>0</v>
      </c>
      <c r="ES88">
        <f>IFERROR(VLOOKUP($D88,'Kalkulator mięs '!$C$5:$H$533,ES$4,0)*$T88,0)</f>
        <v>19748</v>
      </c>
      <c r="ET88">
        <f>IFERROR(VLOOKUP($D88,'Kalkulator mięs '!$C$5:$H$533,ET$4,0)*$T88,0)</f>
        <v>9874</v>
      </c>
      <c r="EU88">
        <f>IFERROR(VLOOKUP($D88,'Kalkulator mięs '!$C$5:$H$533,EU$4,0)*$U88,0)</f>
        <v>0</v>
      </c>
      <c r="EV88">
        <f>IFERROR(VLOOKUP($D88,'Kalkulator mięs '!$C$5:$H$533,EV$4,0)*$U88,0)</f>
        <v>19748</v>
      </c>
      <c r="EW88">
        <f>IFERROR(VLOOKUP($D88,'Kalkulator mięs '!$C$5:$H$533,EW$4,0)*$U88,0)</f>
        <v>9874</v>
      </c>
      <c r="EX88">
        <f>IFERROR(VLOOKUP($D88,'Kalkulator mięs '!$C$5:$H$533,EX$4,0)*$V88,0)</f>
        <v>0</v>
      </c>
      <c r="EY88">
        <f>IFERROR(VLOOKUP($D88,'Kalkulator mięs '!$C$5:$H$533,EY$4,0)*$V88,0)</f>
        <v>0</v>
      </c>
      <c r="EZ88">
        <f>IFERROR(VLOOKUP($D88,'Kalkulator mięs '!$C$5:$H$533,EZ$4,0)*$V88,0)</f>
        <v>0</v>
      </c>
      <c r="FA88">
        <f>IFERROR(VLOOKUP($D88,'Kalkulator mięs '!$C$5:$H$533,FA$4,0)*$W88,0)</f>
        <v>0</v>
      </c>
      <c r="FB88">
        <f>IFERROR(VLOOKUP($D88,'Kalkulator mięs '!$C$5:$H$533,FB$4,0)*$W88,0)</f>
        <v>0</v>
      </c>
      <c r="FC88">
        <f>IFERROR(VLOOKUP($D88,'Kalkulator mięs '!$C$5:$H$533,FC$4,0)*$W88,0)</f>
        <v>0</v>
      </c>
      <c r="FD88">
        <f>IFERROR(VLOOKUP($D88,'Kalkulator mięs '!$C$5:$H$533,FD$4,0)*$X88,0)</f>
        <v>0</v>
      </c>
      <c r="FE88">
        <f>IFERROR(VLOOKUP($D88,'Kalkulator mięs '!$C$5:$H$533,FE$4,0)*$X88,0)</f>
        <v>4512</v>
      </c>
      <c r="FF88">
        <f>IFERROR(VLOOKUP($D88,'Kalkulator mięs '!$C$5:$H$533,FF$4,0)*$X88,0)</f>
        <v>2256</v>
      </c>
      <c r="FG88">
        <f>IFERROR(VLOOKUP($D88,'Kalkulator mięs '!$C$5:$H$533,FG$4,0)*$Y88,0)</f>
        <v>0</v>
      </c>
      <c r="FH88">
        <f>IFERROR(VLOOKUP($D88,'Kalkulator mięs '!$C$5:$H$533,FH$4,0)*$Y88,0)</f>
        <v>0</v>
      </c>
      <c r="FI88">
        <f>IFERROR(VLOOKUP($D88,'Kalkulator mięs '!$C$5:$H$533,FI$4,0)*$Y88,0)</f>
        <v>0</v>
      </c>
      <c r="FJ88">
        <f>IFERROR(VLOOKUP($D88,'Kalkulator mięs '!$C$5:$H$533,FJ$4,0)*$Z88,0)</f>
        <v>0</v>
      </c>
      <c r="FK88">
        <f>IFERROR(VLOOKUP($D88,'Kalkulator mięs '!$C$5:$H$533,FK$4,0)*$Z88,0)</f>
        <v>0</v>
      </c>
      <c r="FL88">
        <f>IFERROR(VLOOKUP($D88,'Kalkulator mięs '!$C$5:$H$533,FL$4,0)*$Z88,0)</f>
        <v>0</v>
      </c>
      <c r="FM88">
        <f>IFERROR(VLOOKUP($D88,'Kalkulator mięs '!$C$5:$H$533,FM$4,0)*$AA88,0)</f>
        <v>0</v>
      </c>
      <c r="FN88">
        <f>IFERROR(VLOOKUP($D88,'Kalkulator mięs '!$C$5:$H$533,FN$4,0)*$AA88,0)</f>
        <v>0</v>
      </c>
      <c r="FO88">
        <f>IFERROR(VLOOKUP($D88,'Kalkulator mięs '!$C$5:$H$533,FO$4,0)*$AA88,0)</f>
        <v>0</v>
      </c>
      <c r="FP88">
        <f>IFERROR(VLOOKUP($D88,'Kalkulator mięs '!$C$5:$H$533,FP$4,0)*$AB88,0)</f>
        <v>0</v>
      </c>
      <c r="FQ88">
        <f>IFERROR(VLOOKUP($D88,'Kalkulator mięs '!$C$5:$H$533,FQ$4,0)*$AB88,0)</f>
        <v>3384</v>
      </c>
      <c r="FR88">
        <f>IFERROR(VLOOKUP($D88,'Kalkulator mięs '!$C$5:$H$533,FR$4,0)*$AB88,0)</f>
        <v>1692</v>
      </c>
      <c r="FS88">
        <f>IFERROR(VLOOKUP($D88,'Kalkulator mięs '!$C$5:$H$533,FS$4,0)*$AC88,0)</f>
        <v>0</v>
      </c>
      <c r="FT88">
        <f>IFERROR(VLOOKUP($D88,'Kalkulator mięs '!$C$5:$H$533,FT$4,0)*$AC88,0)</f>
        <v>0</v>
      </c>
      <c r="FU88">
        <f>IFERROR(VLOOKUP($D88,'Kalkulator mięs '!$C$5:$H$533,FU$4,0)*$AC88,0)</f>
        <v>0</v>
      </c>
      <c r="FV88">
        <f>IFERROR(VLOOKUP($D88,'Kalkulator mięs '!$C$5:$H$533,FV$4,0)*$AD88,0)</f>
        <v>0</v>
      </c>
      <c r="FW88">
        <f>IFERROR(VLOOKUP($D88,'Kalkulator mięs '!$C$5:$H$533,FW$4,0)*$AD88,0)</f>
        <v>0</v>
      </c>
      <c r="FX88">
        <f>IFERROR(VLOOKUP($D88,'Kalkulator mięs '!$C$5:$H$533,FX$4,0)*$AD88,0)</f>
        <v>0</v>
      </c>
      <c r="FY88">
        <f>IFERROR(VLOOKUP($D88,'Kalkulator mięs '!$C$5:$H$533,FY$4,0)*$AE88,0)</f>
        <v>0</v>
      </c>
      <c r="FZ88">
        <f>IFERROR(VLOOKUP($D88,'Kalkulator mięs '!$C$5:$H$533,FZ$4,0)*$AE88,0)</f>
        <v>0</v>
      </c>
      <c r="GA88">
        <f>IFERROR(VLOOKUP($D88,'Kalkulator mięs '!$C$5:$H$533,GA$4,0)*$AE88,0)</f>
        <v>0</v>
      </c>
      <c r="GB88">
        <f>IFERROR(VLOOKUP($D88,'Kalkulator mięs '!$C$5:$H$533,GB$4,0)*$AF88,0)</f>
        <v>0</v>
      </c>
      <c r="GC88">
        <f>IFERROR(VLOOKUP($D88,'Kalkulator mięs '!$C$5:$H$533,GC$4,0)*$AF88,0)</f>
        <v>0</v>
      </c>
      <c r="GD88">
        <f>IFERROR(VLOOKUP($D88,'Kalkulator mięs '!$C$5:$H$533,GD$4,0)*$AF88,0)</f>
        <v>0</v>
      </c>
      <c r="GE88">
        <f>IFERROR(VLOOKUP($D88,'Kalkulator mięs '!$C$5:$H$533,GE$4,0)*$AG88,0)</f>
        <v>0</v>
      </c>
      <c r="GF88">
        <f>IFERROR(VLOOKUP($D88,'Kalkulator mięs '!$C$5:$H$533,GF$4,0)*$AG88,0)</f>
        <v>0</v>
      </c>
      <c r="GG88">
        <f>IFERROR(VLOOKUP($D88,'Kalkulator mięs '!$C$5:$H$533,GG$4,0)*$AG88,0)</f>
        <v>0</v>
      </c>
      <c r="GH88">
        <f>IFERROR(VLOOKUP($D88,'Kalkulator mięs '!$C$5:$H$533,GH$4,0)*$AH88,0)</f>
        <v>0</v>
      </c>
      <c r="GI88">
        <f>IFERROR(VLOOKUP($D88,'Kalkulator mięs '!$C$5:$H$533,GI$4,0)*$AH88,0)</f>
        <v>0</v>
      </c>
      <c r="GJ88">
        <f>IFERROR(VLOOKUP($D88,'Kalkulator mięs '!$C$5:$H$533,GJ$4,0)*$AH88,0)</f>
        <v>0</v>
      </c>
      <c r="GK88">
        <f>IFERROR(VLOOKUP($D88,'Kalkulator mięs '!$C$5:$H$533,GK$4,0)*$AI88,0)</f>
        <v>0</v>
      </c>
      <c r="GL88">
        <f>IFERROR(VLOOKUP($D88,'Kalkulator mięs '!$C$5:$H$533,GL$4,0)*$AI88,0)</f>
        <v>0</v>
      </c>
      <c r="GM88">
        <f>IFERROR(VLOOKUP($D88,'Kalkulator mięs '!$C$5:$H$533,GM$4,0)*$AI88,0)</f>
        <v>0</v>
      </c>
      <c r="GN88">
        <f>IFERROR(VLOOKUP($D88,'Kalkulator mięs '!$C$5:$H$533,GN$4,0)*$AJ88,0)</f>
        <v>0</v>
      </c>
      <c r="GO88">
        <f>IFERROR(VLOOKUP($D88,'Kalkulator mięs '!$C$5:$H$533,GO$4,0)*$AJ88,0)</f>
        <v>0</v>
      </c>
      <c r="GP88">
        <f>IFERROR(VLOOKUP($D88,'Kalkulator mięs '!$C$5:$H$533,GP$4,0)*$AJ88,0)</f>
        <v>0</v>
      </c>
      <c r="GQ88">
        <f>IFERROR(VLOOKUP($D88,'Kalkulator mięs '!$C$5:$H$533,GQ$4,0)*$AK88,0)</f>
        <v>0</v>
      </c>
      <c r="GR88">
        <f>IFERROR(VLOOKUP($D88,'Kalkulator mięs '!$C$5:$H$533,GR$4,0)*$AK88,0)</f>
        <v>0</v>
      </c>
      <c r="GS88">
        <f>IFERROR(VLOOKUP($D88,'Kalkulator mięs '!$C$5:$H$533,GS$4,0)*$AK88,0)</f>
        <v>0</v>
      </c>
      <c r="GT88">
        <f>IFERROR(VLOOKUP($D88,'Kalkulator mięs '!$C$5:$H$533,GT$4,0)*$AL88,0)</f>
        <v>0</v>
      </c>
      <c r="GU88">
        <f>IFERROR(VLOOKUP($D88,'Kalkulator mięs '!$C$5:$H$533,GU$4,0)*$AL88,0)</f>
        <v>0</v>
      </c>
      <c r="GV88">
        <f>IFERROR(VLOOKUP($D88,'Kalkulator mięs '!$C$5:$H$533,GV$4,0)*$AL88,0)</f>
        <v>0</v>
      </c>
      <c r="GW88">
        <f>IFERROR(VLOOKUP($D88,'Kalkulator mięs '!$C$5:$H$533,GW$4,0)*$AM88,0)</f>
        <v>0</v>
      </c>
      <c r="GX88">
        <f>IFERROR(VLOOKUP($D88,'Kalkulator mięs '!$C$5:$H$533,GX$4,0)*$AM88,0)</f>
        <v>0</v>
      </c>
      <c r="GY88">
        <f>IFERROR(VLOOKUP($D88,'Kalkulator mięs '!$C$5:$H$533,GY$4,0)*$AM88,0)</f>
        <v>0</v>
      </c>
      <c r="GZ88">
        <f>IFERROR(VLOOKUP($D88,'Kalkulator mięs '!$C$5:$H$533,GZ$4,0)*$AN88,0)</f>
        <v>0</v>
      </c>
      <c r="HA88">
        <f>IFERROR(VLOOKUP($D88,'Kalkulator mięs '!$C$5:$H$533,HA$4,0)*$AN88,0)</f>
        <v>9024</v>
      </c>
      <c r="HB88">
        <f>IFERROR(VLOOKUP($D88,'Kalkulator mięs '!$C$5:$H$533,HB$4,0)*$AN88,0)</f>
        <v>4512</v>
      </c>
      <c r="HC88">
        <f>IFERROR(VLOOKUP($D88,'Kalkulator mięs '!$C$5:$H$533,HC$4,0)*$AO88,0)</f>
        <v>0</v>
      </c>
      <c r="HD88">
        <f>IFERROR(VLOOKUP($D88,'Kalkulator mięs '!$C$5:$H$533,HD$4,0)*$AO88,0)</f>
        <v>0</v>
      </c>
      <c r="HE88">
        <f>IFERROR(VLOOKUP($D88,'Kalkulator mięs '!$C$5:$H$533,HE$4,0)*$AO88,0)</f>
        <v>0</v>
      </c>
      <c r="HF88">
        <f>IFERROR(VLOOKUP($D88,'Kalkulator mięs '!$C$5:$H$533,HF$4,0)*$AP88,0)</f>
        <v>0</v>
      </c>
      <c r="HG88">
        <f>IFERROR(VLOOKUP($D88,'Kalkulator mięs '!$C$5:$H$533,HG$4,0)*$AP88,0)</f>
        <v>0</v>
      </c>
      <c r="HH88">
        <f>IFERROR(VLOOKUP($D88,'Kalkulator mięs '!$C$5:$H$533,HH$4,0)*$AP88,0)</f>
        <v>0</v>
      </c>
      <c r="HI88">
        <f>IFERROR(VLOOKUP($D88,'Kalkulator mięs '!$C$5:$H$533,HI$4,0)*$AQ88,0)</f>
        <v>0</v>
      </c>
      <c r="HJ88">
        <f>IFERROR(VLOOKUP($D88,'Kalkulator mięs '!$C$5:$H$533,HJ$4,0)*$AQ88,0)</f>
        <v>0</v>
      </c>
      <c r="HK88">
        <f>IFERROR(VLOOKUP($D88,'Kalkulator mięs '!$C$5:$H$533,HK$4,0)*$AQ88,0)</f>
        <v>0</v>
      </c>
      <c r="HL88">
        <f>IFERROR(VLOOKUP($D88,'Kalkulator mięs '!$C$5:$H$533,HL$4,0)*$AR88,0)</f>
        <v>0</v>
      </c>
      <c r="HM88">
        <f>IFERROR(VLOOKUP($D88,'Kalkulator mięs '!$C$5:$H$533,HM$4,0)*$AR88,0)</f>
        <v>0</v>
      </c>
      <c r="HN88">
        <f>IFERROR(VLOOKUP($D88,'Kalkulator mięs '!$C$5:$H$533,HN$4,0)*$AR88,0)</f>
        <v>0</v>
      </c>
      <c r="HO88">
        <f>IFERROR(VLOOKUP($D88,'Kalkulator mięs '!$C$5:$H$533,HO$4,0)*$AS88,0)</f>
        <v>0</v>
      </c>
      <c r="HP88">
        <f>IFERROR(VLOOKUP($D88,'Kalkulator mięs '!$C$5:$H$533,HP$4,0)*$AS88,0)</f>
        <v>0</v>
      </c>
      <c r="HQ88">
        <f>IFERROR(VLOOKUP($D88,'Kalkulator mięs '!$C$5:$H$533,HQ$4,0)*$AS88,0)</f>
        <v>0</v>
      </c>
      <c r="HR88">
        <f>IFERROR(VLOOKUP($D88,'Kalkulator mięs '!$C$5:$H$533,HR$4,0)*$AT88,0)</f>
        <v>0</v>
      </c>
      <c r="HS88">
        <f>IFERROR(VLOOKUP($D88,'Kalkulator mięs '!$C$5:$H$533,HS$4,0)*$AT88,0)</f>
        <v>0</v>
      </c>
      <c r="HT88">
        <f>IFERROR(VLOOKUP($D88,'Kalkulator mięs '!$C$5:$H$533,HT$4,0)*$AT88,0)</f>
        <v>0</v>
      </c>
      <c r="HU88">
        <f>IFERROR(VLOOKUP($D88,'Kalkulator mięs '!$C$5:$H$533,HU$4,0)*$AU88,0)</f>
        <v>0</v>
      </c>
      <c r="HV88">
        <f>IFERROR(VLOOKUP($D88,'Kalkulator mięs '!$C$5:$H$533,HV$4,0)*$AU88,0)</f>
        <v>0</v>
      </c>
      <c r="HW88">
        <f>IFERROR(VLOOKUP($D88,'Kalkulator mięs '!$C$5:$H$533,HW$4,0)*$AU88,0)</f>
        <v>0</v>
      </c>
      <c r="HX88">
        <f>IFERROR(VLOOKUP($D88,'Kalkulator mięs '!$C$5:$H$533,HX$4,0)*$AV88,0)</f>
        <v>0</v>
      </c>
      <c r="HY88">
        <f>IFERROR(VLOOKUP($D88,'Kalkulator mięs '!$C$5:$H$533,HY$4,0)*$AV88,0)</f>
        <v>0</v>
      </c>
      <c r="HZ88">
        <f>IFERROR(VLOOKUP($D88,'Kalkulator mięs '!$C$5:$H$533,HZ$4,0)*$AV88,0)</f>
        <v>0</v>
      </c>
      <c r="IA88">
        <f>IFERROR(VLOOKUP($D88,'Kalkulator mięs '!$C$5:$H$533,IA$4,0)*$AW88,0)</f>
        <v>0</v>
      </c>
      <c r="IB88">
        <f>IFERROR(VLOOKUP($D88,'Kalkulator mięs '!$C$5:$H$533,IB$4,0)*$AW88,0)</f>
        <v>0</v>
      </c>
      <c r="IC88">
        <f>IFERROR(VLOOKUP($D88,'Kalkulator mięs '!$C$5:$H$533,IC$4,0)*$AW88,0)</f>
        <v>0</v>
      </c>
      <c r="ID88">
        <f>IFERROR(VLOOKUP($D88,'Kalkulator mięs '!$C$5:$H$533,ID$4,0)*$AX88,0)</f>
        <v>0</v>
      </c>
      <c r="IE88">
        <f>IFERROR(VLOOKUP($D88,'Kalkulator mięs '!$C$5:$H$533,IE$4,0)*$AX88,0)</f>
        <v>0</v>
      </c>
      <c r="IF88">
        <f>IFERROR(VLOOKUP($D88,'Kalkulator mięs '!$C$5:$H$533,IF$4,0)*$AX88,0)</f>
        <v>0</v>
      </c>
      <c r="IG88">
        <f>IFERROR(VLOOKUP($D88,'Kalkulator mięs '!$C$5:$H$533,IG$4,0)*$AY88,0)</f>
        <v>0</v>
      </c>
      <c r="IH88">
        <f>IFERROR(VLOOKUP($D88,'Kalkulator mięs '!$C$5:$H$533,IH$4,0)*$AY88,0)</f>
        <v>0</v>
      </c>
      <c r="II88">
        <f>IFERROR(VLOOKUP($D88,'Kalkulator mięs '!$C$5:$H$533,II$4,0)*$AY88,0)</f>
        <v>0</v>
      </c>
      <c r="IJ88">
        <f>IFERROR(VLOOKUP($D88,'Kalkulator mięs '!$C$5:$H$533,IJ$4,0)*$AZ88,0)</f>
        <v>0</v>
      </c>
      <c r="IK88">
        <f>IFERROR(VLOOKUP($D88,'Kalkulator mięs '!$C$5:$H$533,IK$4,0)*$AZ88,0)</f>
        <v>0</v>
      </c>
      <c r="IL88">
        <f>IFERROR(VLOOKUP($D88,'Kalkulator mięs '!$C$5:$H$533,IL$4,0)*$AZ88,0)</f>
        <v>0</v>
      </c>
      <c r="IM88">
        <f>IFERROR(VLOOKUP($D88,'Kalkulator mięs '!$C$5:$H$533,IM$4,0)*$BA88,0)</f>
        <v>0</v>
      </c>
      <c r="IN88">
        <f>IFERROR(VLOOKUP($D88,'Kalkulator mięs '!$C$5:$H$533,IN$4,0)*$BA88,0)</f>
        <v>0</v>
      </c>
      <c r="IO88">
        <f>IFERROR(VLOOKUP($D88,'Kalkulator mięs '!$C$5:$H$533,IO$4,0)*$BA88,0)</f>
        <v>0</v>
      </c>
    </row>
    <row r="89" spans="2:249" ht="15.75">
      <c r="B89" t="str">
        <f>VLOOKUP(D89,Receptury_z!$A:$B,2,0)</f>
        <v>OFF</v>
      </c>
      <c r="C89" s="27">
        <v>5545</v>
      </c>
      <c r="D89" s="28">
        <v>6443</v>
      </c>
      <c r="E89" s="1" t="s">
        <v>23</v>
      </c>
      <c r="F89" s="14">
        <f>IF($B89="OFF",BE89,VLOOKUP($D89,Receptury_z!$D:$AI,F$4,0))</f>
        <v>0</v>
      </c>
      <c r="G89" s="14">
        <f>IF($B89="OFF",BF89,VLOOKUP($D89,Receptury_z!$D:$AI,G$4,0))</f>
        <v>0</v>
      </c>
      <c r="H89" s="14">
        <f>IF($B89="OFF",BG89,VLOOKUP($D89,Receptury_z!$D:$AI,H$4,0))</f>
        <v>0</v>
      </c>
      <c r="I89" s="14">
        <f>IF($B89="OFF",BH89,VLOOKUP($D89,Receptury_z!$D:$AI,I$4,0))</f>
        <v>0</v>
      </c>
      <c r="J89" s="14">
        <f>IF($B89="OFF",BI89,VLOOKUP($D89,Receptury_z!$D:$AI,J$4,0))</f>
        <v>0</v>
      </c>
      <c r="K89" s="14">
        <f>IF($B89="OFF",BJ89,VLOOKUP($D89,Receptury_z!$D:$AI,K$4,0))</f>
        <v>0</v>
      </c>
      <c r="L89" s="14">
        <f>IF($B89="OFF",BK89,VLOOKUP($D89,Receptury_z!$D:$AI,L$4,0))</f>
        <v>0</v>
      </c>
      <c r="M89" s="14">
        <f>IF($B89="OFF",BL89,VLOOKUP($D89,Receptury_z!$D:$AI,M$4,0))</f>
        <v>0</v>
      </c>
      <c r="N89" s="14">
        <f>IF($B89="OFF",BM89,VLOOKUP($D89,Receptury_z!$D:$AI,N$4,0))</f>
        <v>116.4</v>
      </c>
      <c r="O89" s="14">
        <f>IF($B89="OFF",BN89,VLOOKUP($D89,Receptury_z!$D:$AI,O$4,0))</f>
        <v>0</v>
      </c>
      <c r="P89" s="14">
        <f>IF($B89="OFF",BO89,VLOOKUP($D89,Receptury_z!$D:$AI,P$4,0))</f>
        <v>0</v>
      </c>
      <c r="Q89" s="14">
        <f>IF($B89="OFF",BP89,VLOOKUP($D89,Receptury_z!$D:$AI,Q$4,0))</f>
        <v>0</v>
      </c>
      <c r="R89" s="14">
        <f>IF($B89="OFF",BQ89,VLOOKUP($D89,Receptury_z!$D:$AI,R$4,0))</f>
        <v>77.599999999999994</v>
      </c>
      <c r="S89" s="14">
        <f>IF($B89="OFF",BR89,VLOOKUP($D89,Receptury_z!$D:$AI,S$4,0))</f>
        <v>0</v>
      </c>
      <c r="T89" s="14">
        <f>IF($B89="OFF",BS89,VLOOKUP($D89,Receptury_z!$D:$AI,T$4,0))</f>
        <v>155.19999999999999</v>
      </c>
      <c r="U89" s="14">
        <f>IF($B89="OFF",BT89,VLOOKUP($D89,Receptury_z!$D:$AI,U$4,0))</f>
        <v>232.8</v>
      </c>
      <c r="V89" s="14">
        <f>IF($B89="OFF",BU89,VLOOKUP($D89,Receptury_z!$D:$AI,V$4,0))</f>
        <v>0</v>
      </c>
      <c r="W89" s="14">
        <f>IF($B89="OFF",BV89,VLOOKUP($D89,Receptury_z!$D:$AI,W$4,0))</f>
        <v>0</v>
      </c>
      <c r="X89" s="14">
        <f>IF($B89="OFF",BW89,VLOOKUP($D89,Receptury_z!$D:$AI,X$4,0))</f>
        <v>0</v>
      </c>
      <c r="Y89" s="14">
        <f>IF($B89="OFF",BX89,VLOOKUP($D89,Receptury_z!$D:$AI,Y$4,0))</f>
        <v>0</v>
      </c>
      <c r="Z89" s="14">
        <f>IF($B89="OFF",BY89,VLOOKUP($D89,Receptury_z!$D:$AI,Z$4,0))</f>
        <v>0</v>
      </c>
      <c r="AA89" s="14">
        <f>IF($B89="OFF",BZ89,VLOOKUP($D89,Receptury_z!$D:$AI,AA$4,0))</f>
        <v>0</v>
      </c>
      <c r="AB89" s="14">
        <f>IF($B89="OFF",CA89,VLOOKUP($D89,Receptury_z!$D:$AI,AB$4,0))</f>
        <v>77.599999999999994</v>
      </c>
      <c r="AC89" s="14">
        <f>IF($B89="OFF",CB89,VLOOKUP($D89,Receptury_z!$D:$AI,AC$4,0))</f>
        <v>0</v>
      </c>
      <c r="AD89" s="14">
        <f>IF($B89="OFF",CC89,VLOOKUP($D89,Receptury_z!$D:$AI,AD$4,0))</f>
        <v>0</v>
      </c>
      <c r="AE89" s="14">
        <f>IF($B89="OFF",CD89,VLOOKUP($D89,Receptury_z!$D:$AI,AE$4,0))</f>
        <v>0</v>
      </c>
      <c r="AF89" s="14">
        <f>IF($B89="OFF",CE89,VLOOKUP($D89,Receptury_z!$D:$AI,AF$4,0))</f>
        <v>0</v>
      </c>
      <c r="AG89" s="14">
        <f>IF($B89="OFF",CF89,VLOOKUP($D89,Receptury_z!$D:$AI,AG$4,0))</f>
        <v>0</v>
      </c>
      <c r="AH89" s="14">
        <f>IF($B89="OFF",CG89,VLOOKUP($D89,Receptury_z!$D:$AI,AH$4,0))</f>
        <v>0</v>
      </c>
      <c r="AI89" s="14">
        <f>IF($B89="OFF",CH89,VLOOKUP($D89,Receptury_z!$D:$AI,AI$4,0))</f>
        <v>0</v>
      </c>
      <c r="AJ89" s="14">
        <f>IF($B89="OFF",CI89,VLOOKUP($D89,Receptury_z!$D:$AS,AJ$4,0))</f>
        <v>0</v>
      </c>
      <c r="AK89" s="14">
        <f>IF($B89="OFF",CJ89,VLOOKUP($D89,Receptury_z!$D:$AS,AK$4,0))</f>
        <v>0</v>
      </c>
      <c r="AL89" s="14">
        <f>IF($B89="OFF",CK89,VLOOKUP($D89,Receptury_z!$D:$AS,AL$4,0))</f>
        <v>0</v>
      </c>
      <c r="AM89" s="14">
        <f>IF($B89="OFF",CL89,VLOOKUP($D89,Receptury_z!$D:$AS,AM$4,0))</f>
        <v>0</v>
      </c>
      <c r="AN89" s="14">
        <f>IF($B89="OFF",CM89,VLOOKUP($D89,Receptury_z!$D:$AS,AN$4,0))</f>
        <v>0</v>
      </c>
      <c r="AO89" s="14">
        <f>IF($B89="OFF",CN89,VLOOKUP($D89,Receptury_z!$D:$AS,AO$4,0))</f>
        <v>0</v>
      </c>
      <c r="AP89" s="14">
        <f>IF($B89="OFF",CO89,VLOOKUP($D89,Receptury_z!$D:$AS,AP$4,0))</f>
        <v>0</v>
      </c>
      <c r="AQ89" s="14">
        <f>IF($B89="OFF",CP89,VLOOKUP($D89,Receptury_z!$D:$AS,AQ$4,0))</f>
        <v>0</v>
      </c>
      <c r="AR89" s="14">
        <f>IF($B89="OFF",CQ89,VLOOKUP($D89,Receptury_z!$D:$AS,AR$4,0))</f>
        <v>0</v>
      </c>
      <c r="AS89" s="14">
        <f>IF($B89="OFF",CR89,VLOOKUP($D89,Receptury_z!$D:$AS,AS$4,0))</f>
        <v>0</v>
      </c>
      <c r="AT89" s="14">
        <f>IF($B89="OFF",CS89,VLOOKUP($D89,Receptury_z!$D:$AV,AT$4,0))</f>
        <v>116.4</v>
      </c>
      <c r="AU89" s="14">
        <f>IF($B89="OFF",CT89,VLOOKUP($D89,Receptury_z!$D:$AV,AU$4,0))</f>
        <v>0</v>
      </c>
      <c r="AV89" s="14">
        <f>IF($B89="OFF",CU89,VLOOKUP($D89,Receptury_z!$D:$AV,AV$4,0))</f>
        <v>0</v>
      </c>
      <c r="AW89" s="14">
        <f>IF($B89="OFF",CV89,VLOOKUP($D89,Receptury_z!$D:$BA,AW$4,0))</f>
        <v>0</v>
      </c>
      <c r="AX89" s="14">
        <f>IF($B89="OFF",CW89,VLOOKUP($D89,Receptury_z!$D:$BA,AX$4,0))</f>
        <v>0</v>
      </c>
      <c r="AY89" s="14">
        <f>IF($B89="OFF",CX89,VLOOKUP($D89,Receptury_z!$D:$BA,AY$4,0))</f>
        <v>0</v>
      </c>
      <c r="AZ89" s="14">
        <f>IF($B89="OFF",DA89,VLOOKUP($D89,Receptury_z!$D:$BA,AZ$4,0))</f>
        <v>0</v>
      </c>
      <c r="BA89" s="14">
        <f>IF($B89="OFF",DB89,VLOOKUP($D89,Receptury_z!$D:$BA,BA$4,0))</f>
        <v>0</v>
      </c>
      <c r="BC89" s="28">
        <v>6443</v>
      </c>
      <c r="BD89" s="1" t="s">
        <v>23</v>
      </c>
      <c r="BE89" s="239">
        <v>0</v>
      </c>
      <c r="BF89" s="239">
        <v>0</v>
      </c>
      <c r="BG89" s="239">
        <v>0</v>
      </c>
      <c r="BH89" s="239">
        <v>0</v>
      </c>
      <c r="BI89" s="240"/>
      <c r="BJ89" s="239">
        <v>0</v>
      </c>
      <c r="BK89" s="239">
        <v>0</v>
      </c>
      <c r="BL89" s="239">
        <v>0</v>
      </c>
      <c r="BM89" s="239">
        <v>116.4</v>
      </c>
      <c r="BN89" s="239">
        <v>0</v>
      </c>
      <c r="BO89" s="239">
        <v>0</v>
      </c>
      <c r="BP89" s="239">
        <v>0</v>
      </c>
      <c r="BQ89" s="239">
        <v>77.599999999999994</v>
      </c>
      <c r="BR89" s="239">
        <v>0</v>
      </c>
      <c r="BS89" s="239">
        <v>155.19999999999999</v>
      </c>
      <c r="BT89" s="239">
        <v>232.8</v>
      </c>
      <c r="BU89" s="239">
        <v>0</v>
      </c>
      <c r="BV89" s="239">
        <v>0</v>
      </c>
      <c r="BW89" s="239">
        <v>0</v>
      </c>
      <c r="BX89" s="239">
        <v>0</v>
      </c>
      <c r="BY89" s="239">
        <v>0</v>
      </c>
      <c r="BZ89" s="239">
        <v>0</v>
      </c>
      <c r="CA89" s="239">
        <v>77.599999999999994</v>
      </c>
      <c r="CB89" s="239">
        <v>0</v>
      </c>
      <c r="CC89" s="239">
        <v>0</v>
      </c>
      <c r="CD89" s="239">
        <v>0</v>
      </c>
      <c r="CE89" s="239">
        <v>0</v>
      </c>
      <c r="CF89" s="239">
        <v>0</v>
      </c>
      <c r="CG89" s="239">
        <v>0</v>
      </c>
      <c r="CH89" s="239">
        <v>0</v>
      </c>
      <c r="CI89" s="239">
        <v>0</v>
      </c>
      <c r="CJ89" s="239">
        <v>0</v>
      </c>
      <c r="CK89" s="239">
        <v>0</v>
      </c>
      <c r="CL89" s="239">
        <v>0</v>
      </c>
      <c r="CM89" s="80"/>
      <c r="CN89" s="80"/>
      <c r="CO89" s="80"/>
      <c r="CP89" s="80"/>
      <c r="CQ89" s="80"/>
      <c r="CR89" s="80"/>
      <c r="CS89" s="241">
        <v>116.4</v>
      </c>
      <c r="CT89" s="80"/>
      <c r="CU89" s="80"/>
      <c r="CV89" s="80"/>
      <c r="CW89" s="80"/>
      <c r="CX89" s="80"/>
      <c r="CY89" s="80"/>
      <c r="CZ89" s="80"/>
      <c r="DB89">
        <f>IFERROR(VLOOKUP($D89,'Kalkulator mięs '!$C$5:$H$533,DB$4,0)*F89,0)</f>
        <v>0</v>
      </c>
      <c r="DC89">
        <f>IFERROR(VLOOKUP($D89,'Kalkulator mięs '!$C$5:$H$533,DC$4,0)*F89,0)</f>
        <v>0</v>
      </c>
      <c r="DD89">
        <f>IFERROR(VLOOKUP($D89,'Kalkulator mięs '!$C$5:$H$533,DD$4,0)*F89,0)</f>
        <v>0</v>
      </c>
      <c r="DE89">
        <f>IFERROR(VLOOKUP($D89,'Kalkulator mięs '!$C$5:$H$533,DE$4,0)*$G89,0)</f>
        <v>0</v>
      </c>
      <c r="DF89">
        <f>IFERROR(VLOOKUP($D89,'Kalkulator mięs '!$C$5:$H$533,DF$4,0)*$G89,0)</f>
        <v>0</v>
      </c>
      <c r="DG89">
        <f>IFERROR(VLOOKUP($D89,'Kalkulator mięs '!$C$5:$H$533,DG$4,0)*$G89,0)</f>
        <v>0</v>
      </c>
      <c r="DH89">
        <f>IFERROR(VLOOKUP($D89,'Kalkulator mięs '!$C$5:$H$533,DH$4,0)*$H89,0)</f>
        <v>0</v>
      </c>
      <c r="DI89">
        <f>IFERROR(VLOOKUP($D89,'Kalkulator mięs '!$C$5:$H$533,DI$4,0)*$H89,0)</f>
        <v>0</v>
      </c>
      <c r="DJ89">
        <f>IFERROR(VLOOKUP($D89,'Kalkulator mięs '!$C$5:$H$533,DJ$4,0)*$H89,0)</f>
        <v>0</v>
      </c>
      <c r="DK89">
        <f>IFERROR(VLOOKUP($D89,'Kalkulator mięs '!$C$5:$H$533,DK$4,0)*$I89,0)</f>
        <v>0</v>
      </c>
      <c r="DL89">
        <f>IFERROR(VLOOKUP($D89,'Kalkulator mięs '!$C$5:$H$533,DL$4,0)*$I89,0)</f>
        <v>0</v>
      </c>
      <c r="DM89">
        <f>IFERROR(VLOOKUP($D89,'Kalkulator mięs '!$C$5:$H$533,DM$4,0)*$I89,0)</f>
        <v>0</v>
      </c>
      <c r="DN89">
        <f>IFERROR(VLOOKUP($D89,'Kalkulator mięs '!$C$5:$H$533,DN$4,0)*$J89,0)</f>
        <v>0</v>
      </c>
      <c r="DO89">
        <f>IFERROR(VLOOKUP($D89,'Kalkulator mięs '!$C$5:$H$533,DO$4,0)*$J89,0)</f>
        <v>0</v>
      </c>
      <c r="DP89">
        <f>IFERROR(VLOOKUP($D89,'Kalkulator mięs '!$C$5:$H$533,DP$4,0)*$J89,0)</f>
        <v>0</v>
      </c>
      <c r="DQ89">
        <f>IFERROR(VLOOKUP($D89,'Kalkulator mięs '!$C$5:$H$533,DQ$4,0)*$K89,0)</f>
        <v>0</v>
      </c>
      <c r="DR89">
        <f>IFERROR(VLOOKUP($D89,'Kalkulator mięs '!$C$5:$H$533,DR$4,0)*$K89,0)</f>
        <v>0</v>
      </c>
      <c r="DS89">
        <f>IFERROR(VLOOKUP($D89,'Kalkulator mięs '!$C$5:$H$533,DS$4,0)*$K89,0)</f>
        <v>0</v>
      </c>
      <c r="DT89">
        <f>IFERROR(VLOOKUP($D89,'Kalkulator mięs '!$C$5:$H$533,DT$4,0)*$L89,0)</f>
        <v>0</v>
      </c>
      <c r="DU89">
        <f>IFERROR(VLOOKUP($D89,'Kalkulator mięs '!$C$5:$H$533,DU$4,0)*$L89,0)</f>
        <v>0</v>
      </c>
      <c r="DV89">
        <f>IFERROR(VLOOKUP($D89,'Kalkulator mięs '!$C$5:$H$533,DV$4,0)*$L89,0)</f>
        <v>0</v>
      </c>
      <c r="DW89">
        <f>IFERROR(VLOOKUP($D89,'Kalkulator mięs '!$C$5:$H$533,DW$4,0)*$M89,0)</f>
        <v>0</v>
      </c>
      <c r="DX89">
        <f>IFERROR(VLOOKUP($D89,'Kalkulator mięs '!$C$5:$H$533,DX$4,0)*$M89,0)</f>
        <v>0</v>
      </c>
      <c r="DY89">
        <f>IFERROR(VLOOKUP($D89,'Kalkulator mięs '!$C$5:$H$533,DY$4,0)*$M89,0)</f>
        <v>0</v>
      </c>
      <c r="DZ89">
        <f>IFERROR(VLOOKUP($D89,'Kalkulator mięs '!$C$5:$H$533,DZ$4,0)*$N89,0)</f>
        <v>0</v>
      </c>
      <c r="EA89">
        <f>IFERROR(VLOOKUP($D89,'Kalkulator mięs '!$C$5:$H$533,EA$4,0)*$N89,0)</f>
        <v>0</v>
      </c>
      <c r="EB89">
        <f>IFERROR(VLOOKUP($D89,'Kalkulator mięs '!$C$5:$H$533,EB$4,0)*$N89,0)</f>
        <v>0</v>
      </c>
      <c r="EC89">
        <f>IFERROR(VLOOKUP($D89,'Kalkulator mięs '!$C$5:$H$533,EC$4,0)*$O89,0)</f>
        <v>0</v>
      </c>
      <c r="ED89">
        <f>IFERROR(VLOOKUP($D89,'Kalkulator mięs '!$C$5:$H$533,ED$4,0)*$O89,0)</f>
        <v>0</v>
      </c>
      <c r="EE89">
        <f>IFERROR(VLOOKUP($D89,'Kalkulator mięs '!$C$5:$H$533,EE$4,0)*$O89,0)</f>
        <v>0</v>
      </c>
      <c r="EF89">
        <f>IFERROR(VLOOKUP($D89,'Kalkulator mięs '!$C$5:$H$533,EF$4,0)*$P89,0)</f>
        <v>0</v>
      </c>
      <c r="EG89">
        <f>IFERROR(VLOOKUP($D89,'Kalkulator mięs '!$C$5:$H$533,EG$4,0)*$P89,0)</f>
        <v>0</v>
      </c>
      <c r="EH89">
        <f>IFERROR(VLOOKUP($D89,'Kalkulator mięs '!$C$5:$H$533,EH$4,0)*$P89,0)</f>
        <v>0</v>
      </c>
      <c r="EI89">
        <f>IFERROR(VLOOKUP($D89,'Kalkulator mięs '!$C$5:$H$533,EI$4,0)*$Q89,0)</f>
        <v>0</v>
      </c>
      <c r="EJ89">
        <f>IFERROR(VLOOKUP($D89,'Kalkulator mięs '!$C$5:$H$533,EJ$4,0)*$Q89,0)</f>
        <v>0</v>
      </c>
      <c r="EK89">
        <f>IFERROR(VLOOKUP($D89,'Kalkulator mięs '!$C$5:$H$533,EK$4,0)*$Q89,0)</f>
        <v>0</v>
      </c>
      <c r="EL89">
        <f>IFERROR(VLOOKUP($D89,'Kalkulator mięs '!$C$5:$H$533,EL$4,0)*$R89,0)</f>
        <v>0</v>
      </c>
      <c r="EM89">
        <f>IFERROR(VLOOKUP($D89,'Kalkulator mięs '!$C$5:$H$533,EM$4,0)*$R89,0)</f>
        <v>0</v>
      </c>
      <c r="EN89">
        <f>IFERROR(VLOOKUP($D89,'Kalkulator mięs '!$C$5:$H$533,EN$4,0)*$R89,0)</f>
        <v>0</v>
      </c>
      <c r="EO89">
        <f>IFERROR(VLOOKUP($D89,'Kalkulator mięs '!$C$5:$H$533,EO$4,0)*$S89,0)</f>
        <v>0</v>
      </c>
      <c r="EP89">
        <f>IFERROR(VLOOKUP($D89,'Kalkulator mięs '!$C$5:$H$533,EP$4,0)*$S89,0)</f>
        <v>0</v>
      </c>
      <c r="EQ89">
        <f>IFERROR(VLOOKUP($D89,'Kalkulator mięs '!$C$5:$H$533,EQ$4,0)*$S89,0)</f>
        <v>0</v>
      </c>
      <c r="ER89">
        <f>IFERROR(VLOOKUP($D89,'Kalkulator mięs '!$C$5:$H$533,ER$4,0)*$T89,0)</f>
        <v>0</v>
      </c>
      <c r="ES89">
        <f>IFERROR(VLOOKUP($D89,'Kalkulator mięs '!$C$5:$H$533,ES$4,0)*$T89,0)</f>
        <v>0</v>
      </c>
      <c r="ET89">
        <f>IFERROR(VLOOKUP($D89,'Kalkulator mięs '!$C$5:$H$533,ET$4,0)*$T89,0)</f>
        <v>0</v>
      </c>
      <c r="EU89">
        <f>IFERROR(VLOOKUP($D89,'Kalkulator mięs '!$C$5:$H$533,EU$4,0)*$U89,0)</f>
        <v>0</v>
      </c>
      <c r="EV89">
        <f>IFERROR(VLOOKUP($D89,'Kalkulator mięs '!$C$5:$H$533,EV$4,0)*$U89,0)</f>
        <v>0</v>
      </c>
      <c r="EW89">
        <f>IFERROR(VLOOKUP($D89,'Kalkulator mięs '!$C$5:$H$533,EW$4,0)*$U89,0)</f>
        <v>0</v>
      </c>
      <c r="EX89">
        <f>IFERROR(VLOOKUP($D89,'Kalkulator mięs '!$C$5:$H$533,EX$4,0)*$V89,0)</f>
        <v>0</v>
      </c>
      <c r="EY89">
        <f>IFERROR(VLOOKUP($D89,'Kalkulator mięs '!$C$5:$H$533,EY$4,0)*$V89,0)</f>
        <v>0</v>
      </c>
      <c r="EZ89">
        <f>IFERROR(VLOOKUP($D89,'Kalkulator mięs '!$C$5:$H$533,EZ$4,0)*$V89,0)</f>
        <v>0</v>
      </c>
      <c r="FA89">
        <f>IFERROR(VLOOKUP($D89,'Kalkulator mięs '!$C$5:$H$533,FA$4,0)*$W89,0)</f>
        <v>0</v>
      </c>
      <c r="FB89">
        <f>IFERROR(VLOOKUP($D89,'Kalkulator mięs '!$C$5:$H$533,FB$4,0)*$W89,0)</f>
        <v>0</v>
      </c>
      <c r="FC89">
        <f>IFERROR(VLOOKUP($D89,'Kalkulator mięs '!$C$5:$H$533,FC$4,0)*$W89,0)</f>
        <v>0</v>
      </c>
      <c r="FD89">
        <f>IFERROR(VLOOKUP($D89,'Kalkulator mięs '!$C$5:$H$533,FD$4,0)*$X89,0)</f>
        <v>0</v>
      </c>
      <c r="FE89">
        <f>IFERROR(VLOOKUP($D89,'Kalkulator mięs '!$C$5:$H$533,FE$4,0)*$X89,0)</f>
        <v>0</v>
      </c>
      <c r="FF89">
        <f>IFERROR(VLOOKUP($D89,'Kalkulator mięs '!$C$5:$H$533,FF$4,0)*$X89,0)</f>
        <v>0</v>
      </c>
      <c r="FG89">
        <f>IFERROR(VLOOKUP($D89,'Kalkulator mięs '!$C$5:$H$533,FG$4,0)*$Y89,0)</f>
        <v>0</v>
      </c>
      <c r="FH89">
        <f>IFERROR(VLOOKUP($D89,'Kalkulator mięs '!$C$5:$H$533,FH$4,0)*$Y89,0)</f>
        <v>0</v>
      </c>
      <c r="FI89">
        <f>IFERROR(VLOOKUP($D89,'Kalkulator mięs '!$C$5:$H$533,FI$4,0)*$Y89,0)</f>
        <v>0</v>
      </c>
      <c r="FJ89">
        <f>IFERROR(VLOOKUP($D89,'Kalkulator mięs '!$C$5:$H$533,FJ$4,0)*$Z89,0)</f>
        <v>0</v>
      </c>
      <c r="FK89">
        <f>IFERROR(VLOOKUP($D89,'Kalkulator mięs '!$C$5:$H$533,FK$4,0)*$Z89,0)</f>
        <v>0</v>
      </c>
      <c r="FL89">
        <f>IFERROR(VLOOKUP($D89,'Kalkulator mięs '!$C$5:$H$533,FL$4,0)*$Z89,0)</f>
        <v>0</v>
      </c>
      <c r="FM89">
        <f>IFERROR(VLOOKUP($D89,'Kalkulator mięs '!$C$5:$H$533,FM$4,0)*$AA89,0)</f>
        <v>0</v>
      </c>
      <c r="FN89">
        <f>IFERROR(VLOOKUP($D89,'Kalkulator mięs '!$C$5:$H$533,FN$4,0)*$AA89,0)</f>
        <v>0</v>
      </c>
      <c r="FO89">
        <f>IFERROR(VLOOKUP($D89,'Kalkulator mięs '!$C$5:$H$533,FO$4,0)*$AA89,0)</f>
        <v>0</v>
      </c>
      <c r="FP89">
        <f>IFERROR(VLOOKUP($D89,'Kalkulator mięs '!$C$5:$H$533,FP$4,0)*$AB89,0)</f>
        <v>0</v>
      </c>
      <c r="FQ89">
        <f>IFERROR(VLOOKUP($D89,'Kalkulator mięs '!$C$5:$H$533,FQ$4,0)*$AB89,0)</f>
        <v>0</v>
      </c>
      <c r="FR89">
        <f>IFERROR(VLOOKUP($D89,'Kalkulator mięs '!$C$5:$H$533,FR$4,0)*$AB89,0)</f>
        <v>0</v>
      </c>
      <c r="FS89">
        <f>IFERROR(VLOOKUP($D89,'Kalkulator mięs '!$C$5:$H$533,FS$4,0)*$AC89,0)</f>
        <v>0</v>
      </c>
      <c r="FT89">
        <f>IFERROR(VLOOKUP($D89,'Kalkulator mięs '!$C$5:$H$533,FT$4,0)*$AC89,0)</f>
        <v>0</v>
      </c>
      <c r="FU89">
        <f>IFERROR(VLOOKUP($D89,'Kalkulator mięs '!$C$5:$H$533,FU$4,0)*$AC89,0)</f>
        <v>0</v>
      </c>
      <c r="FV89">
        <f>IFERROR(VLOOKUP($D89,'Kalkulator mięs '!$C$5:$H$533,FV$4,0)*$AD89,0)</f>
        <v>0</v>
      </c>
      <c r="FW89">
        <f>IFERROR(VLOOKUP($D89,'Kalkulator mięs '!$C$5:$H$533,FW$4,0)*$AD89,0)</f>
        <v>0</v>
      </c>
      <c r="FX89">
        <f>IFERROR(VLOOKUP($D89,'Kalkulator mięs '!$C$5:$H$533,FX$4,0)*$AD89,0)</f>
        <v>0</v>
      </c>
      <c r="FY89">
        <f>IFERROR(VLOOKUP($D89,'Kalkulator mięs '!$C$5:$H$533,FY$4,0)*$AE89,0)</f>
        <v>0</v>
      </c>
      <c r="FZ89">
        <f>IFERROR(VLOOKUP($D89,'Kalkulator mięs '!$C$5:$H$533,FZ$4,0)*$AE89,0)</f>
        <v>0</v>
      </c>
      <c r="GA89">
        <f>IFERROR(VLOOKUP($D89,'Kalkulator mięs '!$C$5:$H$533,GA$4,0)*$AE89,0)</f>
        <v>0</v>
      </c>
      <c r="GB89">
        <f>IFERROR(VLOOKUP($D89,'Kalkulator mięs '!$C$5:$H$533,GB$4,0)*$AF89,0)</f>
        <v>0</v>
      </c>
      <c r="GC89">
        <f>IFERROR(VLOOKUP($D89,'Kalkulator mięs '!$C$5:$H$533,GC$4,0)*$AF89,0)</f>
        <v>0</v>
      </c>
      <c r="GD89">
        <f>IFERROR(VLOOKUP($D89,'Kalkulator mięs '!$C$5:$H$533,GD$4,0)*$AF89,0)</f>
        <v>0</v>
      </c>
      <c r="GE89">
        <f>IFERROR(VLOOKUP($D89,'Kalkulator mięs '!$C$5:$H$533,GE$4,0)*$AG89,0)</f>
        <v>0</v>
      </c>
      <c r="GF89">
        <f>IFERROR(VLOOKUP($D89,'Kalkulator mięs '!$C$5:$H$533,GF$4,0)*$AG89,0)</f>
        <v>0</v>
      </c>
      <c r="GG89">
        <f>IFERROR(VLOOKUP($D89,'Kalkulator mięs '!$C$5:$H$533,GG$4,0)*$AG89,0)</f>
        <v>0</v>
      </c>
      <c r="GH89">
        <f>IFERROR(VLOOKUP($D89,'Kalkulator mięs '!$C$5:$H$533,GH$4,0)*$AH89,0)</f>
        <v>0</v>
      </c>
      <c r="GI89">
        <f>IFERROR(VLOOKUP($D89,'Kalkulator mięs '!$C$5:$H$533,GI$4,0)*$AH89,0)</f>
        <v>0</v>
      </c>
      <c r="GJ89">
        <f>IFERROR(VLOOKUP($D89,'Kalkulator mięs '!$C$5:$H$533,GJ$4,0)*$AH89,0)</f>
        <v>0</v>
      </c>
      <c r="GK89">
        <f>IFERROR(VLOOKUP($D89,'Kalkulator mięs '!$C$5:$H$533,GK$4,0)*$AI89,0)</f>
        <v>0</v>
      </c>
      <c r="GL89">
        <f>IFERROR(VLOOKUP($D89,'Kalkulator mięs '!$C$5:$H$533,GL$4,0)*$AI89,0)</f>
        <v>0</v>
      </c>
      <c r="GM89">
        <f>IFERROR(VLOOKUP($D89,'Kalkulator mięs '!$C$5:$H$533,GM$4,0)*$AI89,0)</f>
        <v>0</v>
      </c>
      <c r="GN89">
        <f>IFERROR(VLOOKUP($D89,'Kalkulator mięs '!$C$5:$H$533,GN$4,0)*$AJ89,0)</f>
        <v>0</v>
      </c>
      <c r="GO89">
        <f>IFERROR(VLOOKUP($D89,'Kalkulator mięs '!$C$5:$H$533,GO$4,0)*$AJ89,0)</f>
        <v>0</v>
      </c>
      <c r="GP89">
        <f>IFERROR(VLOOKUP($D89,'Kalkulator mięs '!$C$5:$H$533,GP$4,0)*$AJ89,0)</f>
        <v>0</v>
      </c>
      <c r="GQ89">
        <f>IFERROR(VLOOKUP($D89,'Kalkulator mięs '!$C$5:$H$533,GQ$4,0)*$AK89,0)</f>
        <v>0</v>
      </c>
      <c r="GR89">
        <f>IFERROR(VLOOKUP($D89,'Kalkulator mięs '!$C$5:$H$533,GR$4,0)*$AK89,0)</f>
        <v>0</v>
      </c>
      <c r="GS89">
        <f>IFERROR(VLOOKUP($D89,'Kalkulator mięs '!$C$5:$H$533,GS$4,0)*$AK89,0)</f>
        <v>0</v>
      </c>
      <c r="GT89">
        <f>IFERROR(VLOOKUP($D89,'Kalkulator mięs '!$C$5:$H$533,GT$4,0)*$AL89,0)</f>
        <v>0</v>
      </c>
      <c r="GU89">
        <f>IFERROR(VLOOKUP($D89,'Kalkulator mięs '!$C$5:$H$533,GU$4,0)*$AL89,0)</f>
        <v>0</v>
      </c>
      <c r="GV89">
        <f>IFERROR(VLOOKUP($D89,'Kalkulator mięs '!$C$5:$H$533,GV$4,0)*$AL89,0)</f>
        <v>0</v>
      </c>
      <c r="GW89">
        <f>IFERROR(VLOOKUP($D89,'Kalkulator mięs '!$C$5:$H$533,GW$4,0)*$AM89,0)</f>
        <v>0</v>
      </c>
      <c r="GX89">
        <f>IFERROR(VLOOKUP($D89,'Kalkulator mięs '!$C$5:$H$533,GX$4,0)*$AM89,0)</f>
        <v>0</v>
      </c>
      <c r="GY89">
        <f>IFERROR(VLOOKUP($D89,'Kalkulator mięs '!$C$5:$H$533,GY$4,0)*$AM89,0)</f>
        <v>0</v>
      </c>
      <c r="GZ89">
        <f>IFERROR(VLOOKUP($D89,'Kalkulator mięs '!$C$5:$H$533,GZ$4,0)*$AN89,0)</f>
        <v>0</v>
      </c>
      <c r="HA89">
        <f>IFERROR(VLOOKUP($D89,'Kalkulator mięs '!$C$5:$H$533,HA$4,0)*$AN89,0)</f>
        <v>0</v>
      </c>
      <c r="HB89">
        <f>IFERROR(VLOOKUP($D89,'Kalkulator mięs '!$C$5:$H$533,HB$4,0)*$AN89,0)</f>
        <v>0</v>
      </c>
      <c r="HC89">
        <f>IFERROR(VLOOKUP($D89,'Kalkulator mięs '!$C$5:$H$533,HC$4,0)*$AO89,0)</f>
        <v>0</v>
      </c>
      <c r="HD89">
        <f>IFERROR(VLOOKUP($D89,'Kalkulator mięs '!$C$5:$H$533,HD$4,0)*$AO89,0)</f>
        <v>0</v>
      </c>
      <c r="HE89">
        <f>IFERROR(VLOOKUP($D89,'Kalkulator mięs '!$C$5:$H$533,HE$4,0)*$AO89,0)</f>
        <v>0</v>
      </c>
      <c r="HF89">
        <f>IFERROR(VLOOKUP($D89,'Kalkulator mięs '!$C$5:$H$533,HF$4,0)*$AP89,0)</f>
        <v>0</v>
      </c>
      <c r="HG89">
        <f>IFERROR(VLOOKUP($D89,'Kalkulator mięs '!$C$5:$H$533,HG$4,0)*$AP89,0)</f>
        <v>0</v>
      </c>
      <c r="HH89">
        <f>IFERROR(VLOOKUP($D89,'Kalkulator mięs '!$C$5:$H$533,HH$4,0)*$AP89,0)</f>
        <v>0</v>
      </c>
      <c r="HI89">
        <f>IFERROR(VLOOKUP($D89,'Kalkulator mięs '!$C$5:$H$533,HI$4,0)*$AQ89,0)</f>
        <v>0</v>
      </c>
      <c r="HJ89">
        <f>IFERROR(VLOOKUP($D89,'Kalkulator mięs '!$C$5:$H$533,HJ$4,0)*$AQ89,0)</f>
        <v>0</v>
      </c>
      <c r="HK89">
        <f>IFERROR(VLOOKUP($D89,'Kalkulator mięs '!$C$5:$H$533,HK$4,0)*$AQ89,0)</f>
        <v>0</v>
      </c>
      <c r="HL89">
        <f>IFERROR(VLOOKUP($D89,'Kalkulator mięs '!$C$5:$H$533,HL$4,0)*$AR89,0)</f>
        <v>0</v>
      </c>
      <c r="HM89">
        <f>IFERROR(VLOOKUP($D89,'Kalkulator mięs '!$C$5:$H$533,HM$4,0)*$AR89,0)</f>
        <v>0</v>
      </c>
      <c r="HN89">
        <f>IFERROR(VLOOKUP($D89,'Kalkulator mięs '!$C$5:$H$533,HN$4,0)*$AR89,0)</f>
        <v>0</v>
      </c>
      <c r="HO89">
        <f>IFERROR(VLOOKUP($D89,'Kalkulator mięs '!$C$5:$H$533,HO$4,0)*$AS89,0)</f>
        <v>0</v>
      </c>
      <c r="HP89">
        <f>IFERROR(VLOOKUP($D89,'Kalkulator mięs '!$C$5:$H$533,HP$4,0)*$AS89,0)</f>
        <v>0</v>
      </c>
      <c r="HQ89">
        <f>IFERROR(VLOOKUP($D89,'Kalkulator mięs '!$C$5:$H$533,HQ$4,0)*$AS89,0)</f>
        <v>0</v>
      </c>
      <c r="HR89">
        <f>IFERROR(VLOOKUP($D89,'Kalkulator mięs '!$C$5:$H$533,HR$4,0)*$AT89,0)</f>
        <v>0</v>
      </c>
      <c r="HS89">
        <f>IFERROR(VLOOKUP($D89,'Kalkulator mięs '!$C$5:$H$533,HS$4,0)*$AT89,0)</f>
        <v>0</v>
      </c>
      <c r="HT89">
        <f>IFERROR(VLOOKUP($D89,'Kalkulator mięs '!$C$5:$H$533,HT$4,0)*$AT89,0)</f>
        <v>0</v>
      </c>
      <c r="HU89">
        <f>IFERROR(VLOOKUP($D89,'Kalkulator mięs '!$C$5:$H$533,HU$4,0)*$AU89,0)</f>
        <v>0</v>
      </c>
      <c r="HV89">
        <f>IFERROR(VLOOKUP($D89,'Kalkulator mięs '!$C$5:$H$533,HV$4,0)*$AU89,0)</f>
        <v>0</v>
      </c>
      <c r="HW89">
        <f>IFERROR(VLOOKUP($D89,'Kalkulator mięs '!$C$5:$H$533,HW$4,0)*$AU89,0)</f>
        <v>0</v>
      </c>
      <c r="HX89">
        <f>IFERROR(VLOOKUP($D89,'Kalkulator mięs '!$C$5:$H$533,HX$4,0)*$AV89,0)</f>
        <v>0</v>
      </c>
      <c r="HY89">
        <f>IFERROR(VLOOKUP($D89,'Kalkulator mięs '!$C$5:$H$533,HY$4,0)*$AV89,0)</f>
        <v>0</v>
      </c>
      <c r="HZ89">
        <f>IFERROR(VLOOKUP($D89,'Kalkulator mięs '!$C$5:$H$533,HZ$4,0)*$AV89,0)</f>
        <v>0</v>
      </c>
      <c r="IA89">
        <f>IFERROR(VLOOKUP($D89,'Kalkulator mięs '!$C$5:$H$533,IA$4,0)*$AW89,0)</f>
        <v>0</v>
      </c>
      <c r="IB89">
        <f>IFERROR(VLOOKUP($D89,'Kalkulator mięs '!$C$5:$H$533,IB$4,0)*$AW89,0)</f>
        <v>0</v>
      </c>
      <c r="IC89">
        <f>IFERROR(VLOOKUP($D89,'Kalkulator mięs '!$C$5:$H$533,IC$4,0)*$AW89,0)</f>
        <v>0</v>
      </c>
      <c r="ID89">
        <f>IFERROR(VLOOKUP($D89,'Kalkulator mięs '!$C$5:$H$533,ID$4,0)*$AX89,0)</f>
        <v>0</v>
      </c>
      <c r="IE89">
        <f>IFERROR(VLOOKUP($D89,'Kalkulator mięs '!$C$5:$H$533,IE$4,0)*$AX89,0)</f>
        <v>0</v>
      </c>
      <c r="IF89">
        <f>IFERROR(VLOOKUP($D89,'Kalkulator mięs '!$C$5:$H$533,IF$4,0)*$AX89,0)</f>
        <v>0</v>
      </c>
      <c r="IG89">
        <f>IFERROR(VLOOKUP($D89,'Kalkulator mięs '!$C$5:$H$533,IG$4,0)*$AY89,0)</f>
        <v>0</v>
      </c>
      <c r="IH89">
        <f>IFERROR(VLOOKUP($D89,'Kalkulator mięs '!$C$5:$H$533,IH$4,0)*$AY89,0)</f>
        <v>0</v>
      </c>
      <c r="II89">
        <f>IFERROR(VLOOKUP($D89,'Kalkulator mięs '!$C$5:$H$533,II$4,0)*$AY89,0)</f>
        <v>0</v>
      </c>
      <c r="IJ89">
        <f>IFERROR(VLOOKUP($D89,'Kalkulator mięs '!$C$5:$H$533,IJ$4,0)*$AZ89,0)</f>
        <v>0</v>
      </c>
      <c r="IK89">
        <f>IFERROR(VLOOKUP($D89,'Kalkulator mięs '!$C$5:$H$533,IK$4,0)*$AZ89,0)</f>
        <v>0</v>
      </c>
      <c r="IL89">
        <f>IFERROR(VLOOKUP($D89,'Kalkulator mięs '!$C$5:$H$533,IL$4,0)*$AZ89,0)</f>
        <v>0</v>
      </c>
      <c r="IM89">
        <f>IFERROR(VLOOKUP($D89,'Kalkulator mięs '!$C$5:$H$533,IM$4,0)*$BA89,0)</f>
        <v>0</v>
      </c>
      <c r="IN89">
        <f>IFERROR(VLOOKUP($D89,'Kalkulator mięs '!$C$5:$H$533,IN$4,0)*$BA89,0)</f>
        <v>0</v>
      </c>
      <c r="IO89">
        <f>IFERROR(VLOOKUP($D89,'Kalkulator mięs '!$C$5:$H$533,IO$4,0)*$BA89,0)</f>
        <v>0</v>
      </c>
    </row>
    <row r="90" spans="2:249" ht="15.75">
      <c r="B90" t="str">
        <f>VLOOKUP(D90,Receptury_z!$A:$B,2,0)</f>
        <v>OFF</v>
      </c>
      <c r="C90" s="27">
        <v>5547</v>
      </c>
      <c r="D90" s="28">
        <v>6445</v>
      </c>
      <c r="E90" s="1" t="s">
        <v>44</v>
      </c>
      <c r="F90" s="14">
        <f>IF($B90="OFF",BE90,VLOOKUP($D90,Receptury_z!$D:$AI,F$4,0))</f>
        <v>0</v>
      </c>
      <c r="G90" s="14">
        <f>IF($B90="OFF",BF90,VLOOKUP($D90,Receptury_z!$D:$AI,G$4,0))</f>
        <v>0</v>
      </c>
      <c r="H90" s="14">
        <f>IF($B90="OFF",BG90,VLOOKUP($D90,Receptury_z!$D:$AI,H$4,0))</f>
        <v>0</v>
      </c>
      <c r="I90" s="14">
        <f>IF($B90="OFF",BH90,VLOOKUP($D90,Receptury_z!$D:$AI,I$4,0))</f>
        <v>0</v>
      </c>
      <c r="J90" s="14">
        <f>IF($B90="OFF",BI90,VLOOKUP($D90,Receptury_z!$D:$AI,J$4,0))</f>
        <v>0</v>
      </c>
      <c r="K90" s="14">
        <f>IF($B90="OFF",BJ90,VLOOKUP($D90,Receptury_z!$D:$AI,K$4,0))</f>
        <v>0</v>
      </c>
      <c r="L90" s="14">
        <f>IF($B90="OFF",BK90,VLOOKUP($D90,Receptury_z!$D:$AI,L$4,0))</f>
        <v>0</v>
      </c>
      <c r="M90" s="14">
        <f>IF($B90="OFF",BL90,VLOOKUP($D90,Receptury_z!$D:$AI,M$4,0))</f>
        <v>0</v>
      </c>
      <c r="N90" s="14">
        <f>IF($B90="OFF",BM90,VLOOKUP($D90,Receptury_z!$D:$AI,N$4,0))</f>
        <v>93.6</v>
      </c>
      <c r="O90" s="14">
        <f>IF($B90="OFF",BN90,VLOOKUP($D90,Receptury_z!$D:$AI,O$4,0))</f>
        <v>0</v>
      </c>
      <c r="P90" s="14">
        <f>IF($B90="OFF",BO90,VLOOKUP($D90,Receptury_z!$D:$AI,P$4,0))</f>
        <v>0</v>
      </c>
      <c r="Q90" s="14">
        <f>IF($B90="OFF",BP90,VLOOKUP($D90,Receptury_z!$D:$AI,Q$4,0))</f>
        <v>121.6</v>
      </c>
      <c r="R90" s="14">
        <f>IF($B90="OFF",BQ90,VLOOKUP($D90,Receptury_z!$D:$AI,R$4,0))</f>
        <v>0</v>
      </c>
      <c r="S90" s="14">
        <f>IF($B90="OFF",BR90,VLOOKUP($D90,Receptury_z!$D:$AI,S$4,0))</f>
        <v>0</v>
      </c>
      <c r="T90" s="14">
        <f>IF($B90="OFF",BS90,VLOOKUP($D90,Receptury_z!$D:$AI,T$4,0))</f>
        <v>187.13</v>
      </c>
      <c r="U90" s="14">
        <f>IF($B90="OFF",BT90,VLOOKUP($D90,Receptury_z!$D:$AI,U$4,0))</f>
        <v>28.1</v>
      </c>
      <c r="V90" s="14">
        <f>IF($B90="OFF",BU90,VLOOKUP($D90,Receptury_z!$D:$AI,V$4,0))</f>
        <v>0</v>
      </c>
      <c r="W90" s="14">
        <f>IF($B90="OFF",BV90,VLOOKUP($D90,Receptury_z!$D:$AI,W$4,0))</f>
        <v>439.7</v>
      </c>
      <c r="X90" s="14">
        <f>IF($B90="OFF",BW90,VLOOKUP($D90,Receptury_z!$D:$AI,X$4,0))</f>
        <v>0</v>
      </c>
      <c r="Y90" s="14">
        <f>IF($B90="OFF",BX90,VLOOKUP($D90,Receptury_z!$D:$AI,Y$4,0))</f>
        <v>0</v>
      </c>
      <c r="Z90" s="14">
        <f>IF($B90="OFF",BY90,VLOOKUP($D90,Receptury_z!$D:$AI,Z$4,0))</f>
        <v>0</v>
      </c>
      <c r="AA90" s="14">
        <f>IF($B90="OFF",BZ90,VLOOKUP($D90,Receptury_z!$D:$AI,AA$4,0))</f>
        <v>0</v>
      </c>
      <c r="AB90" s="14">
        <f>IF($B90="OFF",CA90,VLOOKUP($D90,Receptury_z!$D:$AI,AB$4,0))</f>
        <v>65.5</v>
      </c>
      <c r="AC90" s="14">
        <f>IF($B90="OFF",CB90,VLOOKUP($D90,Receptury_z!$D:$AI,AC$4,0))</f>
        <v>0</v>
      </c>
      <c r="AD90" s="14">
        <f>IF($B90="OFF",CC90,VLOOKUP($D90,Receptury_z!$D:$AI,AD$4,0))</f>
        <v>0</v>
      </c>
      <c r="AE90" s="14">
        <f>IF($B90="OFF",CD90,VLOOKUP($D90,Receptury_z!$D:$AI,AE$4,0))</f>
        <v>0</v>
      </c>
      <c r="AF90" s="14">
        <f>IF($B90="OFF",CE90,VLOOKUP($D90,Receptury_z!$D:$AI,AF$4,0))</f>
        <v>0</v>
      </c>
      <c r="AG90" s="14">
        <f>IF($B90="OFF",CF90,VLOOKUP($D90,Receptury_z!$D:$AI,AG$4,0))</f>
        <v>0</v>
      </c>
      <c r="AH90" s="14">
        <f>IF($B90="OFF",CG90,VLOOKUP($D90,Receptury_z!$D:$AI,AH$4,0))</f>
        <v>0</v>
      </c>
      <c r="AI90" s="14">
        <f>IF($B90="OFF",CH90,VLOOKUP($D90,Receptury_z!$D:$AI,AI$4,0))</f>
        <v>0</v>
      </c>
      <c r="AJ90" s="14">
        <f>IF($B90="OFF",CI90,VLOOKUP($D90,Receptury_z!$D:$AS,AJ$4,0))</f>
        <v>0</v>
      </c>
      <c r="AK90" s="14">
        <f>IF($B90="OFF",CJ90,VLOOKUP($D90,Receptury_z!$D:$AS,AK$4,0))</f>
        <v>0</v>
      </c>
      <c r="AL90" s="14">
        <f>IF($B90="OFF",CK90,VLOOKUP($D90,Receptury_z!$D:$AS,AL$4,0))</f>
        <v>0</v>
      </c>
      <c r="AM90" s="14">
        <f>IF($B90="OFF",CL90,VLOOKUP($D90,Receptury_z!$D:$AS,AM$4,0))</f>
        <v>0</v>
      </c>
      <c r="AN90" s="14">
        <f>IF($B90="OFF",CM90,VLOOKUP($D90,Receptury_z!$D:$AS,AN$4,0))</f>
        <v>0</v>
      </c>
      <c r="AO90" s="14">
        <f>IF($B90="OFF",CN90,VLOOKUP($D90,Receptury_z!$D:$AS,AO$4,0))</f>
        <v>0</v>
      </c>
      <c r="AP90" s="14">
        <f>IF($B90="OFF",CO90,VLOOKUP($D90,Receptury_z!$D:$AS,AP$4,0))</f>
        <v>0</v>
      </c>
      <c r="AQ90" s="14">
        <f>IF($B90="OFF",CP90,VLOOKUP($D90,Receptury_z!$D:$AS,AQ$4,0))</f>
        <v>0</v>
      </c>
      <c r="AR90" s="14">
        <f>IF($B90="OFF",CQ90,VLOOKUP($D90,Receptury_z!$D:$AS,AR$4,0))</f>
        <v>0</v>
      </c>
      <c r="AS90" s="14">
        <f>IF($B90="OFF",CR90,VLOOKUP($D90,Receptury_z!$D:$AS,AS$4,0))</f>
        <v>0</v>
      </c>
      <c r="AT90" s="14">
        <f>IF($B90="OFF",CS90,VLOOKUP($D90,Receptury_z!$D:$AV,AT$4,0))</f>
        <v>0</v>
      </c>
      <c r="AU90" s="14">
        <f>IF($B90="OFF",CT90,VLOOKUP($D90,Receptury_z!$D:$AV,AU$4,0))</f>
        <v>0</v>
      </c>
      <c r="AV90" s="14">
        <f>IF($B90="OFF",CU90,VLOOKUP($D90,Receptury_z!$D:$AV,AV$4,0))</f>
        <v>0</v>
      </c>
      <c r="AW90" s="14">
        <f>IF($B90="OFF",CV90,VLOOKUP($D90,Receptury_z!$D:$BA,AW$4,0))</f>
        <v>0</v>
      </c>
      <c r="AX90" s="14">
        <f>IF($B90="OFF",CW90,VLOOKUP($D90,Receptury_z!$D:$BA,AX$4,0))</f>
        <v>0</v>
      </c>
      <c r="AY90" s="14">
        <f>IF($B90="OFF",CX90,VLOOKUP($D90,Receptury_z!$D:$BA,AY$4,0))</f>
        <v>0</v>
      </c>
      <c r="AZ90" s="14">
        <f>IF($B90="OFF",DA90,VLOOKUP($D90,Receptury_z!$D:$BA,AZ$4,0))</f>
        <v>0</v>
      </c>
      <c r="BA90" s="14">
        <f>IF($B90="OFF",DB90,VLOOKUP($D90,Receptury_z!$D:$BA,BA$4,0))</f>
        <v>0</v>
      </c>
      <c r="BC90" s="28">
        <v>6445</v>
      </c>
      <c r="BD90" s="1" t="s">
        <v>44</v>
      </c>
      <c r="BE90" s="239">
        <v>0</v>
      </c>
      <c r="BF90" s="239">
        <v>0</v>
      </c>
      <c r="BG90" s="239">
        <v>0</v>
      </c>
      <c r="BH90" s="239">
        <v>0</v>
      </c>
      <c r="BI90" s="239">
        <v>0</v>
      </c>
      <c r="BJ90" s="239">
        <v>0</v>
      </c>
      <c r="BK90" s="239">
        <v>0</v>
      </c>
      <c r="BL90" s="239">
        <v>0</v>
      </c>
      <c r="BM90" s="239">
        <v>93.6</v>
      </c>
      <c r="BN90" s="239">
        <v>0</v>
      </c>
      <c r="BO90" s="239">
        <v>0</v>
      </c>
      <c r="BP90" s="239">
        <v>121.6</v>
      </c>
      <c r="BQ90" s="239">
        <v>0</v>
      </c>
      <c r="BR90" s="239">
        <v>0</v>
      </c>
      <c r="BS90" s="239">
        <v>187.13</v>
      </c>
      <c r="BT90" s="239">
        <v>28.1</v>
      </c>
      <c r="BU90" s="239">
        <v>0</v>
      </c>
      <c r="BV90" s="239">
        <v>439.7</v>
      </c>
      <c r="BW90" s="239">
        <v>0</v>
      </c>
      <c r="BX90" s="239">
        <v>0</v>
      </c>
      <c r="BY90" s="239">
        <v>0</v>
      </c>
      <c r="BZ90" s="239">
        <v>0</v>
      </c>
      <c r="CA90" s="239">
        <v>65.5</v>
      </c>
      <c r="CB90" s="239">
        <v>0</v>
      </c>
      <c r="CC90" s="239">
        <v>0</v>
      </c>
      <c r="CD90" s="239">
        <v>0</v>
      </c>
      <c r="CE90" s="239">
        <v>0</v>
      </c>
      <c r="CF90" s="239">
        <v>0</v>
      </c>
      <c r="CG90" s="239">
        <v>0</v>
      </c>
      <c r="CH90" s="239">
        <v>0</v>
      </c>
      <c r="CI90" s="239">
        <v>0</v>
      </c>
      <c r="CJ90" s="239">
        <v>0</v>
      </c>
      <c r="CK90" s="239">
        <v>0</v>
      </c>
      <c r="CL90" s="239">
        <v>0</v>
      </c>
      <c r="CM90" s="80"/>
      <c r="CN90" s="80"/>
      <c r="CO90" s="80"/>
      <c r="CP90" s="80"/>
      <c r="CQ90" s="80"/>
      <c r="CR90" s="80"/>
      <c r="CS90" s="80"/>
      <c r="CT90" s="80"/>
      <c r="CU90" s="80"/>
      <c r="CV90" s="80"/>
      <c r="CW90" s="80"/>
      <c r="CX90" s="80"/>
      <c r="CY90" s="80"/>
      <c r="CZ90" s="80"/>
      <c r="DB90">
        <f>IFERROR(VLOOKUP($D90,'Kalkulator mięs '!$C$5:$H$533,DB$4,0)*F90,0)</f>
        <v>0</v>
      </c>
      <c r="DC90">
        <f>IFERROR(VLOOKUP($D90,'Kalkulator mięs '!$C$5:$H$533,DC$4,0)*F90,0)</f>
        <v>0</v>
      </c>
      <c r="DD90">
        <f>IFERROR(VLOOKUP($D90,'Kalkulator mięs '!$C$5:$H$533,DD$4,0)*F90,0)</f>
        <v>0</v>
      </c>
      <c r="DE90">
        <f>IFERROR(VLOOKUP($D90,'Kalkulator mięs '!$C$5:$H$533,DE$4,0)*$G90,0)</f>
        <v>0</v>
      </c>
      <c r="DF90">
        <f>IFERROR(VLOOKUP($D90,'Kalkulator mięs '!$C$5:$H$533,DF$4,0)*$G90,0)</f>
        <v>0</v>
      </c>
      <c r="DG90">
        <f>IFERROR(VLOOKUP($D90,'Kalkulator mięs '!$C$5:$H$533,DG$4,0)*$G90,0)</f>
        <v>0</v>
      </c>
      <c r="DH90">
        <f>IFERROR(VLOOKUP($D90,'Kalkulator mięs '!$C$5:$H$533,DH$4,0)*$H90,0)</f>
        <v>0</v>
      </c>
      <c r="DI90">
        <f>IFERROR(VLOOKUP($D90,'Kalkulator mięs '!$C$5:$H$533,DI$4,0)*$H90,0)</f>
        <v>0</v>
      </c>
      <c r="DJ90">
        <f>IFERROR(VLOOKUP($D90,'Kalkulator mięs '!$C$5:$H$533,DJ$4,0)*$H90,0)</f>
        <v>0</v>
      </c>
      <c r="DK90">
        <f>IFERROR(VLOOKUP($D90,'Kalkulator mięs '!$C$5:$H$533,DK$4,0)*$I90,0)</f>
        <v>0</v>
      </c>
      <c r="DL90">
        <f>IFERROR(VLOOKUP($D90,'Kalkulator mięs '!$C$5:$H$533,DL$4,0)*$I90,0)</f>
        <v>0</v>
      </c>
      <c r="DM90">
        <f>IFERROR(VLOOKUP($D90,'Kalkulator mięs '!$C$5:$H$533,DM$4,0)*$I90,0)</f>
        <v>0</v>
      </c>
      <c r="DN90">
        <f>IFERROR(VLOOKUP($D90,'Kalkulator mięs '!$C$5:$H$533,DN$4,0)*$J90,0)</f>
        <v>0</v>
      </c>
      <c r="DO90">
        <f>IFERROR(VLOOKUP($D90,'Kalkulator mięs '!$C$5:$H$533,DO$4,0)*$J90,0)</f>
        <v>0</v>
      </c>
      <c r="DP90">
        <f>IFERROR(VLOOKUP($D90,'Kalkulator mięs '!$C$5:$H$533,DP$4,0)*$J90,0)</f>
        <v>0</v>
      </c>
      <c r="DQ90">
        <f>IFERROR(VLOOKUP($D90,'Kalkulator mięs '!$C$5:$H$533,DQ$4,0)*$K90,0)</f>
        <v>0</v>
      </c>
      <c r="DR90">
        <f>IFERROR(VLOOKUP($D90,'Kalkulator mięs '!$C$5:$H$533,DR$4,0)*$K90,0)</f>
        <v>0</v>
      </c>
      <c r="DS90">
        <f>IFERROR(VLOOKUP($D90,'Kalkulator mięs '!$C$5:$H$533,DS$4,0)*$K90,0)</f>
        <v>0</v>
      </c>
      <c r="DT90">
        <f>IFERROR(VLOOKUP($D90,'Kalkulator mięs '!$C$5:$H$533,DT$4,0)*$L90,0)</f>
        <v>0</v>
      </c>
      <c r="DU90">
        <f>IFERROR(VLOOKUP($D90,'Kalkulator mięs '!$C$5:$H$533,DU$4,0)*$L90,0)</f>
        <v>0</v>
      </c>
      <c r="DV90">
        <f>IFERROR(VLOOKUP($D90,'Kalkulator mięs '!$C$5:$H$533,DV$4,0)*$L90,0)</f>
        <v>0</v>
      </c>
      <c r="DW90">
        <f>IFERROR(VLOOKUP($D90,'Kalkulator mięs '!$C$5:$H$533,DW$4,0)*$M90,0)</f>
        <v>0</v>
      </c>
      <c r="DX90">
        <f>IFERROR(VLOOKUP($D90,'Kalkulator mięs '!$C$5:$H$533,DX$4,0)*$M90,0)</f>
        <v>0</v>
      </c>
      <c r="DY90">
        <f>IFERROR(VLOOKUP($D90,'Kalkulator mięs '!$C$5:$H$533,DY$4,0)*$M90,0)</f>
        <v>0</v>
      </c>
      <c r="DZ90">
        <f>IFERROR(VLOOKUP($D90,'Kalkulator mięs '!$C$5:$H$533,DZ$4,0)*$N90,0)</f>
        <v>0</v>
      </c>
      <c r="EA90">
        <f>IFERROR(VLOOKUP($D90,'Kalkulator mięs '!$C$5:$H$533,EA$4,0)*$N90,0)</f>
        <v>0</v>
      </c>
      <c r="EB90">
        <f>IFERROR(VLOOKUP($D90,'Kalkulator mięs '!$C$5:$H$533,EB$4,0)*$N90,0)</f>
        <v>0</v>
      </c>
      <c r="EC90">
        <f>IFERROR(VLOOKUP($D90,'Kalkulator mięs '!$C$5:$H$533,EC$4,0)*$O90,0)</f>
        <v>0</v>
      </c>
      <c r="ED90">
        <f>IFERROR(VLOOKUP($D90,'Kalkulator mięs '!$C$5:$H$533,ED$4,0)*$O90,0)</f>
        <v>0</v>
      </c>
      <c r="EE90">
        <f>IFERROR(VLOOKUP($D90,'Kalkulator mięs '!$C$5:$H$533,EE$4,0)*$O90,0)</f>
        <v>0</v>
      </c>
      <c r="EF90">
        <f>IFERROR(VLOOKUP($D90,'Kalkulator mięs '!$C$5:$H$533,EF$4,0)*$P90,0)</f>
        <v>0</v>
      </c>
      <c r="EG90">
        <f>IFERROR(VLOOKUP($D90,'Kalkulator mięs '!$C$5:$H$533,EG$4,0)*$P90,0)</f>
        <v>0</v>
      </c>
      <c r="EH90">
        <f>IFERROR(VLOOKUP($D90,'Kalkulator mięs '!$C$5:$H$533,EH$4,0)*$P90,0)</f>
        <v>0</v>
      </c>
      <c r="EI90">
        <f>IFERROR(VLOOKUP($D90,'Kalkulator mięs '!$C$5:$H$533,EI$4,0)*$Q90,0)</f>
        <v>0</v>
      </c>
      <c r="EJ90">
        <f>IFERROR(VLOOKUP($D90,'Kalkulator mięs '!$C$5:$H$533,EJ$4,0)*$Q90,0)</f>
        <v>0</v>
      </c>
      <c r="EK90">
        <f>IFERROR(VLOOKUP($D90,'Kalkulator mięs '!$C$5:$H$533,EK$4,0)*$Q90,0)</f>
        <v>0</v>
      </c>
      <c r="EL90">
        <f>IFERROR(VLOOKUP($D90,'Kalkulator mięs '!$C$5:$H$533,EL$4,0)*$R90,0)</f>
        <v>0</v>
      </c>
      <c r="EM90">
        <f>IFERROR(VLOOKUP($D90,'Kalkulator mięs '!$C$5:$H$533,EM$4,0)*$R90,0)</f>
        <v>0</v>
      </c>
      <c r="EN90">
        <f>IFERROR(VLOOKUP($D90,'Kalkulator mięs '!$C$5:$H$533,EN$4,0)*$R90,0)</f>
        <v>0</v>
      </c>
      <c r="EO90">
        <f>IFERROR(VLOOKUP($D90,'Kalkulator mięs '!$C$5:$H$533,EO$4,0)*$S90,0)</f>
        <v>0</v>
      </c>
      <c r="EP90">
        <f>IFERROR(VLOOKUP($D90,'Kalkulator mięs '!$C$5:$H$533,EP$4,0)*$S90,0)</f>
        <v>0</v>
      </c>
      <c r="EQ90">
        <f>IFERROR(VLOOKUP($D90,'Kalkulator mięs '!$C$5:$H$533,EQ$4,0)*$S90,0)</f>
        <v>0</v>
      </c>
      <c r="ER90">
        <f>IFERROR(VLOOKUP($D90,'Kalkulator mięs '!$C$5:$H$533,ER$4,0)*$T90,0)</f>
        <v>0</v>
      </c>
      <c r="ES90">
        <f>IFERROR(VLOOKUP($D90,'Kalkulator mięs '!$C$5:$H$533,ES$4,0)*$T90,0)</f>
        <v>0</v>
      </c>
      <c r="ET90">
        <f>IFERROR(VLOOKUP($D90,'Kalkulator mięs '!$C$5:$H$533,ET$4,0)*$T90,0)</f>
        <v>0</v>
      </c>
      <c r="EU90">
        <f>IFERROR(VLOOKUP($D90,'Kalkulator mięs '!$C$5:$H$533,EU$4,0)*$U90,0)</f>
        <v>0</v>
      </c>
      <c r="EV90">
        <f>IFERROR(VLOOKUP($D90,'Kalkulator mięs '!$C$5:$H$533,EV$4,0)*$U90,0)</f>
        <v>0</v>
      </c>
      <c r="EW90">
        <f>IFERROR(VLOOKUP($D90,'Kalkulator mięs '!$C$5:$H$533,EW$4,0)*$U90,0)</f>
        <v>0</v>
      </c>
      <c r="EX90">
        <f>IFERROR(VLOOKUP($D90,'Kalkulator mięs '!$C$5:$H$533,EX$4,0)*$V90,0)</f>
        <v>0</v>
      </c>
      <c r="EY90">
        <f>IFERROR(VLOOKUP($D90,'Kalkulator mięs '!$C$5:$H$533,EY$4,0)*$V90,0)</f>
        <v>0</v>
      </c>
      <c r="EZ90">
        <f>IFERROR(VLOOKUP($D90,'Kalkulator mięs '!$C$5:$H$533,EZ$4,0)*$V90,0)</f>
        <v>0</v>
      </c>
      <c r="FA90">
        <f>IFERROR(VLOOKUP($D90,'Kalkulator mięs '!$C$5:$H$533,FA$4,0)*$W90,0)</f>
        <v>0</v>
      </c>
      <c r="FB90">
        <f>IFERROR(VLOOKUP($D90,'Kalkulator mięs '!$C$5:$H$533,FB$4,0)*$W90,0)</f>
        <v>0</v>
      </c>
      <c r="FC90">
        <f>IFERROR(VLOOKUP($D90,'Kalkulator mięs '!$C$5:$H$533,FC$4,0)*$W90,0)</f>
        <v>0</v>
      </c>
      <c r="FD90">
        <f>IFERROR(VLOOKUP($D90,'Kalkulator mięs '!$C$5:$H$533,FD$4,0)*$X90,0)</f>
        <v>0</v>
      </c>
      <c r="FE90">
        <f>IFERROR(VLOOKUP($D90,'Kalkulator mięs '!$C$5:$H$533,FE$4,0)*$X90,0)</f>
        <v>0</v>
      </c>
      <c r="FF90">
        <f>IFERROR(VLOOKUP($D90,'Kalkulator mięs '!$C$5:$H$533,FF$4,0)*$X90,0)</f>
        <v>0</v>
      </c>
      <c r="FG90">
        <f>IFERROR(VLOOKUP($D90,'Kalkulator mięs '!$C$5:$H$533,FG$4,0)*$Y90,0)</f>
        <v>0</v>
      </c>
      <c r="FH90">
        <f>IFERROR(VLOOKUP($D90,'Kalkulator mięs '!$C$5:$H$533,FH$4,0)*$Y90,0)</f>
        <v>0</v>
      </c>
      <c r="FI90">
        <f>IFERROR(VLOOKUP($D90,'Kalkulator mięs '!$C$5:$H$533,FI$4,0)*$Y90,0)</f>
        <v>0</v>
      </c>
      <c r="FJ90">
        <f>IFERROR(VLOOKUP($D90,'Kalkulator mięs '!$C$5:$H$533,FJ$4,0)*$Z90,0)</f>
        <v>0</v>
      </c>
      <c r="FK90">
        <f>IFERROR(VLOOKUP($D90,'Kalkulator mięs '!$C$5:$H$533,FK$4,0)*$Z90,0)</f>
        <v>0</v>
      </c>
      <c r="FL90">
        <f>IFERROR(VLOOKUP($D90,'Kalkulator mięs '!$C$5:$H$533,FL$4,0)*$Z90,0)</f>
        <v>0</v>
      </c>
      <c r="FM90">
        <f>IFERROR(VLOOKUP($D90,'Kalkulator mięs '!$C$5:$H$533,FM$4,0)*$AA90,0)</f>
        <v>0</v>
      </c>
      <c r="FN90">
        <f>IFERROR(VLOOKUP($D90,'Kalkulator mięs '!$C$5:$H$533,FN$4,0)*$AA90,0)</f>
        <v>0</v>
      </c>
      <c r="FO90">
        <f>IFERROR(VLOOKUP($D90,'Kalkulator mięs '!$C$5:$H$533,FO$4,0)*$AA90,0)</f>
        <v>0</v>
      </c>
      <c r="FP90">
        <f>IFERROR(VLOOKUP($D90,'Kalkulator mięs '!$C$5:$H$533,FP$4,0)*$AB90,0)</f>
        <v>0</v>
      </c>
      <c r="FQ90">
        <f>IFERROR(VLOOKUP($D90,'Kalkulator mięs '!$C$5:$H$533,FQ$4,0)*$AB90,0)</f>
        <v>0</v>
      </c>
      <c r="FR90">
        <f>IFERROR(VLOOKUP($D90,'Kalkulator mięs '!$C$5:$H$533,FR$4,0)*$AB90,0)</f>
        <v>0</v>
      </c>
      <c r="FS90">
        <f>IFERROR(VLOOKUP($D90,'Kalkulator mięs '!$C$5:$H$533,FS$4,0)*$AC90,0)</f>
        <v>0</v>
      </c>
      <c r="FT90">
        <f>IFERROR(VLOOKUP($D90,'Kalkulator mięs '!$C$5:$H$533,FT$4,0)*$AC90,0)</f>
        <v>0</v>
      </c>
      <c r="FU90">
        <f>IFERROR(VLOOKUP($D90,'Kalkulator mięs '!$C$5:$H$533,FU$4,0)*$AC90,0)</f>
        <v>0</v>
      </c>
      <c r="FV90">
        <f>IFERROR(VLOOKUP($D90,'Kalkulator mięs '!$C$5:$H$533,FV$4,0)*$AD90,0)</f>
        <v>0</v>
      </c>
      <c r="FW90">
        <f>IFERROR(VLOOKUP($D90,'Kalkulator mięs '!$C$5:$H$533,FW$4,0)*$AD90,0)</f>
        <v>0</v>
      </c>
      <c r="FX90">
        <f>IFERROR(VLOOKUP($D90,'Kalkulator mięs '!$C$5:$H$533,FX$4,0)*$AD90,0)</f>
        <v>0</v>
      </c>
      <c r="FY90">
        <f>IFERROR(VLOOKUP($D90,'Kalkulator mięs '!$C$5:$H$533,FY$4,0)*$AE90,0)</f>
        <v>0</v>
      </c>
      <c r="FZ90">
        <f>IFERROR(VLOOKUP($D90,'Kalkulator mięs '!$C$5:$H$533,FZ$4,0)*$AE90,0)</f>
        <v>0</v>
      </c>
      <c r="GA90">
        <f>IFERROR(VLOOKUP($D90,'Kalkulator mięs '!$C$5:$H$533,GA$4,0)*$AE90,0)</f>
        <v>0</v>
      </c>
      <c r="GB90">
        <f>IFERROR(VLOOKUP($D90,'Kalkulator mięs '!$C$5:$H$533,GB$4,0)*$AF90,0)</f>
        <v>0</v>
      </c>
      <c r="GC90">
        <f>IFERROR(VLOOKUP($D90,'Kalkulator mięs '!$C$5:$H$533,GC$4,0)*$AF90,0)</f>
        <v>0</v>
      </c>
      <c r="GD90">
        <f>IFERROR(VLOOKUP($D90,'Kalkulator mięs '!$C$5:$H$533,GD$4,0)*$AF90,0)</f>
        <v>0</v>
      </c>
      <c r="GE90">
        <f>IFERROR(VLOOKUP($D90,'Kalkulator mięs '!$C$5:$H$533,GE$4,0)*$AG90,0)</f>
        <v>0</v>
      </c>
      <c r="GF90">
        <f>IFERROR(VLOOKUP($D90,'Kalkulator mięs '!$C$5:$H$533,GF$4,0)*$AG90,0)</f>
        <v>0</v>
      </c>
      <c r="GG90">
        <f>IFERROR(VLOOKUP($D90,'Kalkulator mięs '!$C$5:$H$533,GG$4,0)*$AG90,0)</f>
        <v>0</v>
      </c>
      <c r="GH90">
        <f>IFERROR(VLOOKUP($D90,'Kalkulator mięs '!$C$5:$H$533,GH$4,0)*$AH90,0)</f>
        <v>0</v>
      </c>
      <c r="GI90">
        <f>IFERROR(VLOOKUP($D90,'Kalkulator mięs '!$C$5:$H$533,GI$4,0)*$AH90,0)</f>
        <v>0</v>
      </c>
      <c r="GJ90">
        <f>IFERROR(VLOOKUP($D90,'Kalkulator mięs '!$C$5:$H$533,GJ$4,0)*$AH90,0)</f>
        <v>0</v>
      </c>
      <c r="GK90">
        <f>IFERROR(VLOOKUP($D90,'Kalkulator mięs '!$C$5:$H$533,GK$4,0)*$AI90,0)</f>
        <v>0</v>
      </c>
      <c r="GL90">
        <f>IFERROR(VLOOKUP($D90,'Kalkulator mięs '!$C$5:$H$533,GL$4,0)*$AI90,0)</f>
        <v>0</v>
      </c>
      <c r="GM90">
        <f>IFERROR(VLOOKUP($D90,'Kalkulator mięs '!$C$5:$H$533,GM$4,0)*$AI90,0)</f>
        <v>0</v>
      </c>
      <c r="GN90">
        <f>IFERROR(VLOOKUP($D90,'Kalkulator mięs '!$C$5:$H$533,GN$4,0)*$AJ90,0)</f>
        <v>0</v>
      </c>
      <c r="GO90">
        <f>IFERROR(VLOOKUP($D90,'Kalkulator mięs '!$C$5:$H$533,GO$4,0)*$AJ90,0)</f>
        <v>0</v>
      </c>
      <c r="GP90">
        <f>IFERROR(VLOOKUP($D90,'Kalkulator mięs '!$C$5:$H$533,GP$4,0)*$AJ90,0)</f>
        <v>0</v>
      </c>
      <c r="GQ90">
        <f>IFERROR(VLOOKUP($D90,'Kalkulator mięs '!$C$5:$H$533,GQ$4,0)*$AK90,0)</f>
        <v>0</v>
      </c>
      <c r="GR90">
        <f>IFERROR(VLOOKUP($D90,'Kalkulator mięs '!$C$5:$H$533,GR$4,0)*$AK90,0)</f>
        <v>0</v>
      </c>
      <c r="GS90">
        <f>IFERROR(VLOOKUP($D90,'Kalkulator mięs '!$C$5:$H$533,GS$4,0)*$AK90,0)</f>
        <v>0</v>
      </c>
      <c r="GT90">
        <f>IFERROR(VLOOKUP($D90,'Kalkulator mięs '!$C$5:$H$533,GT$4,0)*$AL90,0)</f>
        <v>0</v>
      </c>
      <c r="GU90">
        <f>IFERROR(VLOOKUP($D90,'Kalkulator mięs '!$C$5:$H$533,GU$4,0)*$AL90,0)</f>
        <v>0</v>
      </c>
      <c r="GV90">
        <f>IFERROR(VLOOKUP($D90,'Kalkulator mięs '!$C$5:$H$533,GV$4,0)*$AL90,0)</f>
        <v>0</v>
      </c>
      <c r="GW90">
        <f>IFERROR(VLOOKUP($D90,'Kalkulator mięs '!$C$5:$H$533,GW$4,0)*$AM90,0)</f>
        <v>0</v>
      </c>
      <c r="GX90">
        <f>IFERROR(VLOOKUP($D90,'Kalkulator mięs '!$C$5:$H$533,GX$4,0)*$AM90,0)</f>
        <v>0</v>
      </c>
      <c r="GY90">
        <f>IFERROR(VLOOKUP($D90,'Kalkulator mięs '!$C$5:$H$533,GY$4,0)*$AM90,0)</f>
        <v>0</v>
      </c>
      <c r="GZ90">
        <f>IFERROR(VLOOKUP($D90,'Kalkulator mięs '!$C$5:$H$533,GZ$4,0)*$AN90,0)</f>
        <v>0</v>
      </c>
      <c r="HA90">
        <f>IFERROR(VLOOKUP($D90,'Kalkulator mięs '!$C$5:$H$533,HA$4,0)*$AN90,0)</f>
        <v>0</v>
      </c>
      <c r="HB90">
        <f>IFERROR(VLOOKUP($D90,'Kalkulator mięs '!$C$5:$H$533,HB$4,0)*$AN90,0)</f>
        <v>0</v>
      </c>
      <c r="HC90">
        <f>IFERROR(VLOOKUP($D90,'Kalkulator mięs '!$C$5:$H$533,HC$4,0)*$AO90,0)</f>
        <v>0</v>
      </c>
      <c r="HD90">
        <f>IFERROR(VLOOKUP($D90,'Kalkulator mięs '!$C$5:$H$533,HD$4,0)*$AO90,0)</f>
        <v>0</v>
      </c>
      <c r="HE90">
        <f>IFERROR(VLOOKUP($D90,'Kalkulator mięs '!$C$5:$H$533,HE$4,0)*$AO90,0)</f>
        <v>0</v>
      </c>
      <c r="HF90">
        <f>IFERROR(VLOOKUP($D90,'Kalkulator mięs '!$C$5:$H$533,HF$4,0)*$AP90,0)</f>
        <v>0</v>
      </c>
      <c r="HG90">
        <f>IFERROR(VLOOKUP($D90,'Kalkulator mięs '!$C$5:$H$533,HG$4,0)*$AP90,0)</f>
        <v>0</v>
      </c>
      <c r="HH90">
        <f>IFERROR(VLOOKUP($D90,'Kalkulator mięs '!$C$5:$H$533,HH$4,0)*$AP90,0)</f>
        <v>0</v>
      </c>
      <c r="HI90">
        <f>IFERROR(VLOOKUP($D90,'Kalkulator mięs '!$C$5:$H$533,HI$4,0)*$AQ90,0)</f>
        <v>0</v>
      </c>
      <c r="HJ90">
        <f>IFERROR(VLOOKUP($D90,'Kalkulator mięs '!$C$5:$H$533,HJ$4,0)*$AQ90,0)</f>
        <v>0</v>
      </c>
      <c r="HK90">
        <f>IFERROR(VLOOKUP($D90,'Kalkulator mięs '!$C$5:$H$533,HK$4,0)*$AQ90,0)</f>
        <v>0</v>
      </c>
      <c r="HL90">
        <f>IFERROR(VLOOKUP($D90,'Kalkulator mięs '!$C$5:$H$533,HL$4,0)*$AR90,0)</f>
        <v>0</v>
      </c>
      <c r="HM90">
        <f>IFERROR(VLOOKUP($D90,'Kalkulator mięs '!$C$5:$H$533,HM$4,0)*$AR90,0)</f>
        <v>0</v>
      </c>
      <c r="HN90">
        <f>IFERROR(VLOOKUP($D90,'Kalkulator mięs '!$C$5:$H$533,HN$4,0)*$AR90,0)</f>
        <v>0</v>
      </c>
      <c r="HO90">
        <f>IFERROR(VLOOKUP($D90,'Kalkulator mięs '!$C$5:$H$533,HO$4,0)*$AS90,0)</f>
        <v>0</v>
      </c>
      <c r="HP90">
        <f>IFERROR(VLOOKUP($D90,'Kalkulator mięs '!$C$5:$H$533,HP$4,0)*$AS90,0)</f>
        <v>0</v>
      </c>
      <c r="HQ90">
        <f>IFERROR(VLOOKUP($D90,'Kalkulator mięs '!$C$5:$H$533,HQ$4,0)*$AS90,0)</f>
        <v>0</v>
      </c>
      <c r="HR90">
        <f>IFERROR(VLOOKUP($D90,'Kalkulator mięs '!$C$5:$H$533,HR$4,0)*$AT90,0)</f>
        <v>0</v>
      </c>
      <c r="HS90">
        <f>IFERROR(VLOOKUP($D90,'Kalkulator mięs '!$C$5:$H$533,HS$4,0)*$AT90,0)</f>
        <v>0</v>
      </c>
      <c r="HT90">
        <f>IFERROR(VLOOKUP($D90,'Kalkulator mięs '!$C$5:$H$533,HT$4,0)*$AT90,0)</f>
        <v>0</v>
      </c>
      <c r="HU90">
        <f>IFERROR(VLOOKUP($D90,'Kalkulator mięs '!$C$5:$H$533,HU$4,0)*$AU90,0)</f>
        <v>0</v>
      </c>
      <c r="HV90">
        <f>IFERROR(VLOOKUP($D90,'Kalkulator mięs '!$C$5:$H$533,HV$4,0)*$AU90,0)</f>
        <v>0</v>
      </c>
      <c r="HW90">
        <f>IFERROR(VLOOKUP($D90,'Kalkulator mięs '!$C$5:$H$533,HW$4,0)*$AU90,0)</f>
        <v>0</v>
      </c>
      <c r="HX90">
        <f>IFERROR(VLOOKUP($D90,'Kalkulator mięs '!$C$5:$H$533,HX$4,0)*$AV90,0)</f>
        <v>0</v>
      </c>
      <c r="HY90">
        <f>IFERROR(VLOOKUP($D90,'Kalkulator mięs '!$C$5:$H$533,HY$4,0)*$AV90,0)</f>
        <v>0</v>
      </c>
      <c r="HZ90">
        <f>IFERROR(VLOOKUP($D90,'Kalkulator mięs '!$C$5:$H$533,HZ$4,0)*$AV90,0)</f>
        <v>0</v>
      </c>
      <c r="IA90">
        <f>IFERROR(VLOOKUP($D90,'Kalkulator mięs '!$C$5:$H$533,IA$4,0)*$AW90,0)</f>
        <v>0</v>
      </c>
      <c r="IB90">
        <f>IFERROR(VLOOKUP($D90,'Kalkulator mięs '!$C$5:$H$533,IB$4,0)*$AW90,0)</f>
        <v>0</v>
      </c>
      <c r="IC90">
        <f>IFERROR(VLOOKUP($D90,'Kalkulator mięs '!$C$5:$H$533,IC$4,0)*$AW90,0)</f>
        <v>0</v>
      </c>
      <c r="ID90">
        <f>IFERROR(VLOOKUP($D90,'Kalkulator mięs '!$C$5:$H$533,ID$4,0)*$AX90,0)</f>
        <v>0</v>
      </c>
      <c r="IE90">
        <f>IFERROR(VLOOKUP($D90,'Kalkulator mięs '!$C$5:$H$533,IE$4,0)*$AX90,0)</f>
        <v>0</v>
      </c>
      <c r="IF90">
        <f>IFERROR(VLOOKUP($D90,'Kalkulator mięs '!$C$5:$H$533,IF$4,0)*$AX90,0)</f>
        <v>0</v>
      </c>
      <c r="IG90">
        <f>IFERROR(VLOOKUP($D90,'Kalkulator mięs '!$C$5:$H$533,IG$4,0)*$AY90,0)</f>
        <v>0</v>
      </c>
      <c r="IH90">
        <f>IFERROR(VLOOKUP($D90,'Kalkulator mięs '!$C$5:$H$533,IH$4,0)*$AY90,0)</f>
        <v>0</v>
      </c>
      <c r="II90">
        <f>IFERROR(VLOOKUP($D90,'Kalkulator mięs '!$C$5:$H$533,II$4,0)*$AY90,0)</f>
        <v>0</v>
      </c>
      <c r="IJ90">
        <f>IFERROR(VLOOKUP($D90,'Kalkulator mięs '!$C$5:$H$533,IJ$4,0)*$AZ90,0)</f>
        <v>0</v>
      </c>
      <c r="IK90">
        <f>IFERROR(VLOOKUP($D90,'Kalkulator mięs '!$C$5:$H$533,IK$4,0)*$AZ90,0)</f>
        <v>0</v>
      </c>
      <c r="IL90">
        <f>IFERROR(VLOOKUP($D90,'Kalkulator mięs '!$C$5:$H$533,IL$4,0)*$AZ90,0)</f>
        <v>0</v>
      </c>
      <c r="IM90">
        <f>IFERROR(VLOOKUP($D90,'Kalkulator mięs '!$C$5:$H$533,IM$4,0)*$BA90,0)</f>
        <v>0</v>
      </c>
      <c r="IN90">
        <f>IFERROR(VLOOKUP($D90,'Kalkulator mięs '!$C$5:$H$533,IN$4,0)*$BA90,0)</f>
        <v>0</v>
      </c>
      <c r="IO90">
        <f>IFERROR(VLOOKUP($D90,'Kalkulator mięs '!$C$5:$H$533,IO$4,0)*$BA90,0)</f>
        <v>0</v>
      </c>
    </row>
    <row r="91" spans="2:249" ht="15.75">
      <c r="B91" t="str">
        <f>VLOOKUP(D91,Receptury_z!$A:$B,2,0)</f>
        <v>ON</v>
      </c>
      <c r="C91" s="27">
        <v>5561</v>
      </c>
      <c r="D91" s="28">
        <v>6462</v>
      </c>
      <c r="E91" s="1" t="s">
        <v>186</v>
      </c>
      <c r="F91" s="14">
        <f>IF($B91="OFF",BE91,VLOOKUP($D91,Receptury_z!$D:$AI,F$4,0))</f>
        <v>0</v>
      </c>
      <c r="G91" s="14">
        <f>IF($B91="OFF",BF91,VLOOKUP($D91,Receptury_z!$D:$AI,G$4,0))</f>
        <v>0</v>
      </c>
      <c r="H91" s="14">
        <f>IF($B91="OFF",BG91,VLOOKUP($D91,Receptury_z!$D:$AI,H$4,0))</f>
        <v>0</v>
      </c>
      <c r="I91" s="14">
        <f>IF($B91="OFF",BH91,VLOOKUP($D91,Receptury_z!$D:$AI,I$4,0))</f>
        <v>0</v>
      </c>
      <c r="J91" s="14">
        <f>IF($B91="OFF",BI91,VLOOKUP($D91,Receptury_z!$D:$AI,J$4,0))</f>
        <v>0</v>
      </c>
      <c r="K91" s="14">
        <f>IF($B91="OFF",BJ91,VLOOKUP($D91,Receptury_z!$D:$AI,K$4,0))</f>
        <v>0</v>
      </c>
      <c r="L91" s="14">
        <f>IF($B91="OFF",BK91,VLOOKUP($D91,Receptury_z!$D:$AI,L$4,0))</f>
        <v>0</v>
      </c>
      <c r="M91" s="14">
        <f>IF($B91="OFF",BL91,VLOOKUP($D91,Receptury_z!$D:$AI,M$4,0))</f>
        <v>0</v>
      </c>
      <c r="N91" s="14">
        <f>IF($B91="OFF",BM91,VLOOKUP($D91,Receptury_z!$D:$AI,N$4,0))</f>
        <v>0</v>
      </c>
      <c r="O91" s="14">
        <f>IF($B91="OFF",BN91,VLOOKUP($D91,Receptury_z!$D:$AI,O$4,0))</f>
        <v>0</v>
      </c>
      <c r="P91" s="14">
        <f>IF($B91="OFF",BO91,VLOOKUP($D91,Receptury_z!$D:$AI,P$4,0))</f>
        <v>0</v>
      </c>
      <c r="Q91" s="14">
        <f>IF($B91="OFF",BP91,VLOOKUP($D91,Receptury_z!$D:$AI,Q$4,0))</f>
        <v>0</v>
      </c>
      <c r="R91" s="14">
        <f>IF($B91="OFF",BQ91,VLOOKUP($D91,Receptury_z!$D:$AI,R$4,0))</f>
        <v>60.8</v>
      </c>
      <c r="S91" s="14">
        <f>IF($B91="OFF",BR91,VLOOKUP($D91,Receptury_z!$D:$AI,S$4,0))</f>
        <v>0</v>
      </c>
      <c r="T91" s="14">
        <f>IF($B91="OFF",BS91,VLOOKUP($D91,Receptury_z!$D:$AI,T$4,0))</f>
        <v>387</v>
      </c>
      <c r="U91" s="14">
        <f>IF($B91="OFF",BT91,VLOOKUP($D91,Receptury_z!$D:$AI,U$4,0))</f>
        <v>0</v>
      </c>
      <c r="V91" s="14">
        <f>IF($B91="OFF",BU91,VLOOKUP($D91,Receptury_z!$D:$AI,V$4,0))</f>
        <v>0</v>
      </c>
      <c r="W91" s="14">
        <f>IF($B91="OFF",BV91,VLOOKUP($D91,Receptury_z!$D:$AI,W$4,0))</f>
        <v>217.2</v>
      </c>
      <c r="X91" s="14">
        <f>IF($B91="OFF",BW91,VLOOKUP($D91,Receptury_z!$D:$AI,X$4,0))</f>
        <v>173.7</v>
      </c>
      <c r="Y91" s="14">
        <f>IF($B91="OFF",BX91,VLOOKUP($D91,Receptury_z!$D:$AI,Y$4,0))</f>
        <v>0</v>
      </c>
      <c r="Z91" s="14">
        <f>IF($B91="OFF",BY91,VLOOKUP($D91,Receptury_z!$D:$AI,Z$4,0))</f>
        <v>0</v>
      </c>
      <c r="AA91" s="14">
        <f>IF($B91="OFF",BZ91,VLOOKUP($D91,Receptury_z!$D:$AI,AA$4,0))</f>
        <v>0</v>
      </c>
      <c r="AB91" s="14">
        <f>IF($B91="OFF",CA91,VLOOKUP($D91,Receptury_z!$D:$AI,AB$4,0))</f>
        <v>0</v>
      </c>
      <c r="AC91" s="14">
        <f>IF($B91="OFF",CB91,VLOOKUP($D91,Receptury_z!$D:$AI,AC$4,0))</f>
        <v>0</v>
      </c>
      <c r="AD91" s="14">
        <f>IF($B91="OFF",CC91,VLOOKUP($D91,Receptury_z!$D:$AI,AD$4,0))</f>
        <v>0</v>
      </c>
      <c r="AE91" s="14">
        <f>IF($B91="OFF",CD91,VLOOKUP($D91,Receptury_z!$D:$AI,AE$4,0))</f>
        <v>0</v>
      </c>
      <c r="AF91" s="14">
        <f>IF($B91="OFF",CE91,VLOOKUP($D91,Receptury_z!$D:$AI,AF$4,0))</f>
        <v>0</v>
      </c>
      <c r="AG91" s="14">
        <f>IF($B91="OFF",CF91,VLOOKUP($D91,Receptury_z!$D:$AI,AG$4,0))</f>
        <v>0</v>
      </c>
      <c r="AH91" s="14">
        <f>IF($B91="OFF",CG91,VLOOKUP($D91,Receptury_z!$D:$AI,AH$4,0))</f>
        <v>30</v>
      </c>
      <c r="AI91" s="14">
        <f>IF($B91="OFF",CH91,VLOOKUP($D91,Receptury_z!$D:$AI,AI$4,0))</f>
        <v>0</v>
      </c>
      <c r="AJ91" s="14">
        <f>IF($B91="OFF",CI91,VLOOKUP($D91,Receptury_z!$D:$AS,AJ$4,0))</f>
        <v>0</v>
      </c>
      <c r="AK91" s="14">
        <f>IF($B91="OFF",CJ91,VLOOKUP($D91,Receptury_z!$D:$AS,AK$4,0))</f>
        <v>0</v>
      </c>
      <c r="AL91" s="14">
        <f>IF($B91="OFF",CK91,VLOOKUP($D91,Receptury_z!$D:$AS,AL$4,0))</f>
        <v>0</v>
      </c>
      <c r="AM91" s="14">
        <f>IF($B91="OFF",CL91,VLOOKUP($D91,Receptury_z!$D:$AS,AM$4,0))</f>
        <v>0</v>
      </c>
      <c r="AN91" s="14">
        <f>IF($B91="OFF",CM91,VLOOKUP($D91,Receptury_z!$D:$AS,AN$4,0))</f>
        <v>0</v>
      </c>
      <c r="AO91" s="14">
        <f>IF($B91="OFF",CN91,VLOOKUP($D91,Receptury_z!$D:$AS,AO$4,0))</f>
        <v>0</v>
      </c>
      <c r="AP91" s="14">
        <f>IF($B91="OFF",CO91,VLOOKUP($D91,Receptury_z!$D:$AS,AP$4,0))</f>
        <v>0</v>
      </c>
      <c r="AQ91" s="14">
        <f>IF($B91="OFF",CP91,VLOOKUP($D91,Receptury_z!$D:$AS,AQ$4,0))</f>
        <v>0</v>
      </c>
      <c r="AR91" s="14">
        <f>IF($B91="OFF",CQ91,VLOOKUP($D91,Receptury_z!$D:$AS,AR$4,0))</f>
        <v>0</v>
      </c>
      <c r="AS91" s="14">
        <f>IF($B91="OFF",CR91,VLOOKUP($D91,Receptury_z!$D:$AS,AS$4,0))</f>
        <v>0</v>
      </c>
      <c r="AT91" s="14">
        <f>IF($B91="OFF",CS91,VLOOKUP($D91,Receptury_z!$D:$AV,AT$4,0))</f>
        <v>0</v>
      </c>
      <c r="AU91" s="14">
        <f>IF($B91="OFF",CT91,VLOOKUP($D91,Receptury_z!$D:$AV,AU$4,0))</f>
        <v>0</v>
      </c>
      <c r="AV91" s="14">
        <f>IF($B91="OFF",CU91,VLOOKUP($D91,Receptury_z!$D:$AV,AV$4,0))</f>
        <v>0</v>
      </c>
      <c r="AW91" s="14">
        <f>IF($B91="OFF",CV91,VLOOKUP($D91,Receptury_z!$D:$BA,AW$4,0))</f>
        <v>0</v>
      </c>
      <c r="AX91" s="14">
        <f>IF($B91="OFF",CW91,VLOOKUP($D91,Receptury_z!$D:$BA,AX$4,0))</f>
        <v>0</v>
      </c>
      <c r="AY91" s="14">
        <f>IF($B91="OFF",CX91,VLOOKUP($D91,Receptury_z!$D:$BA,AY$4,0))</f>
        <v>0</v>
      </c>
      <c r="AZ91" s="14">
        <f>IF($B91="OFF",DA91,VLOOKUP($D91,Receptury_z!$D:$BA,AZ$4,0))</f>
        <v>0</v>
      </c>
      <c r="BA91" s="14">
        <f>IF($B91="OFF",DB91,VLOOKUP($D91,Receptury_z!$D:$BA,BA$4,0))</f>
        <v>0</v>
      </c>
      <c r="BC91" s="28">
        <v>6462</v>
      </c>
      <c r="BD91" s="1" t="s">
        <v>186</v>
      </c>
      <c r="BE91" s="239">
        <v>0</v>
      </c>
      <c r="BF91" s="239">
        <v>0</v>
      </c>
      <c r="BG91" s="239">
        <v>0</v>
      </c>
      <c r="BH91" s="239">
        <v>0</v>
      </c>
      <c r="BI91" s="239">
        <v>0</v>
      </c>
      <c r="BJ91" s="239">
        <v>0</v>
      </c>
      <c r="BK91" s="239">
        <v>0</v>
      </c>
      <c r="BL91" s="239">
        <v>0</v>
      </c>
      <c r="BM91" s="240"/>
      <c r="BN91" s="240">
        <v>0</v>
      </c>
      <c r="BO91" s="240">
        <v>0</v>
      </c>
      <c r="BP91" s="240">
        <v>0</v>
      </c>
      <c r="BQ91" s="240">
        <v>60.7</v>
      </c>
      <c r="BR91" s="240">
        <v>0</v>
      </c>
      <c r="BS91" s="240">
        <v>416.3</v>
      </c>
      <c r="BT91" s="240">
        <v>0</v>
      </c>
      <c r="BU91" s="240">
        <v>0</v>
      </c>
      <c r="BV91" s="240">
        <v>216.8</v>
      </c>
      <c r="BW91" s="240">
        <v>0</v>
      </c>
      <c r="BX91" s="240">
        <v>0</v>
      </c>
      <c r="BY91" s="240">
        <v>0</v>
      </c>
      <c r="BZ91" s="240">
        <v>0</v>
      </c>
      <c r="CA91" s="240">
        <v>0</v>
      </c>
      <c r="CB91" s="240">
        <v>0</v>
      </c>
      <c r="CC91" s="240">
        <v>0</v>
      </c>
      <c r="CD91" s="240">
        <v>0</v>
      </c>
      <c r="CE91" s="240">
        <v>0</v>
      </c>
      <c r="CF91" s="240">
        <v>0</v>
      </c>
      <c r="CG91" s="240">
        <v>0</v>
      </c>
      <c r="CH91" s="240">
        <v>0</v>
      </c>
      <c r="CI91" s="240">
        <v>0</v>
      </c>
      <c r="CJ91" s="240">
        <v>0</v>
      </c>
      <c r="CK91" s="240">
        <v>0</v>
      </c>
      <c r="CL91" s="240">
        <v>0</v>
      </c>
      <c r="CM91" s="241"/>
      <c r="CN91" s="241"/>
      <c r="CO91" s="241"/>
      <c r="CP91" s="241"/>
      <c r="CQ91" s="241"/>
      <c r="CR91" s="241"/>
      <c r="CS91" s="241"/>
      <c r="CT91" s="241">
        <v>173.4</v>
      </c>
      <c r="CU91" s="80"/>
      <c r="CV91" s="80"/>
      <c r="CW91" s="80"/>
      <c r="CX91" s="80"/>
      <c r="CY91" s="80"/>
      <c r="CZ91" s="80"/>
      <c r="DB91">
        <f>IFERROR(VLOOKUP($D91,'Kalkulator mięs '!$C$5:$H$533,DB$4,0)*F91,0)</f>
        <v>0</v>
      </c>
      <c r="DC91">
        <f>IFERROR(VLOOKUP($D91,'Kalkulator mięs '!$C$5:$H$533,DC$4,0)*F91,0)</f>
        <v>0</v>
      </c>
      <c r="DD91">
        <f>IFERROR(VLOOKUP($D91,'Kalkulator mięs '!$C$5:$H$533,DD$4,0)*F91,0)</f>
        <v>0</v>
      </c>
      <c r="DE91">
        <f>IFERROR(VLOOKUP($D91,'Kalkulator mięs '!$C$5:$H$533,DE$4,0)*$G91,0)</f>
        <v>0</v>
      </c>
      <c r="DF91">
        <f>IFERROR(VLOOKUP($D91,'Kalkulator mięs '!$C$5:$H$533,DF$4,0)*$G91,0)</f>
        <v>0</v>
      </c>
      <c r="DG91">
        <f>IFERROR(VLOOKUP($D91,'Kalkulator mięs '!$C$5:$H$533,DG$4,0)*$G91,0)</f>
        <v>0</v>
      </c>
      <c r="DH91">
        <f>IFERROR(VLOOKUP($D91,'Kalkulator mięs '!$C$5:$H$533,DH$4,0)*$H91,0)</f>
        <v>0</v>
      </c>
      <c r="DI91">
        <f>IFERROR(VLOOKUP($D91,'Kalkulator mięs '!$C$5:$H$533,DI$4,0)*$H91,0)</f>
        <v>0</v>
      </c>
      <c r="DJ91">
        <f>IFERROR(VLOOKUP($D91,'Kalkulator mięs '!$C$5:$H$533,DJ$4,0)*$H91,0)</f>
        <v>0</v>
      </c>
      <c r="DK91">
        <f>IFERROR(VLOOKUP($D91,'Kalkulator mięs '!$C$5:$H$533,DK$4,0)*$I91,0)</f>
        <v>0</v>
      </c>
      <c r="DL91">
        <f>IFERROR(VLOOKUP($D91,'Kalkulator mięs '!$C$5:$H$533,DL$4,0)*$I91,0)</f>
        <v>0</v>
      </c>
      <c r="DM91">
        <f>IFERROR(VLOOKUP($D91,'Kalkulator mięs '!$C$5:$H$533,DM$4,0)*$I91,0)</f>
        <v>0</v>
      </c>
      <c r="DN91">
        <f>IFERROR(VLOOKUP($D91,'Kalkulator mięs '!$C$5:$H$533,DN$4,0)*$J91,0)</f>
        <v>0</v>
      </c>
      <c r="DO91">
        <f>IFERROR(VLOOKUP($D91,'Kalkulator mięs '!$C$5:$H$533,DO$4,0)*$J91,0)</f>
        <v>0</v>
      </c>
      <c r="DP91">
        <f>IFERROR(VLOOKUP($D91,'Kalkulator mięs '!$C$5:$H$533,DP$4,0)*$J91,0)</f>
        <v>0</v>
      </c>
      <c r="DQ91">
        <f>IFERROR(VLOOKUP($D91,'Kalkulator mięs '!$C$5:$H$533,DQ$4,0)*$K91,0)</f>
        <v>0</v>
      </c>
      <c r="DR91">
        <f>IFERROR(VLOOKUP($D91,'Kalkulator mięs '!$C$5:$H$533,DR$4,0)*$K91,0)</f>
        <v>0</v>
      </c>
      <c r="DS91">
        <f>IFERROR(VLOOKUP($D91,'Kalkulator mięs '!$C$5:$H$533,DS$4,0)*$K91,0)</f>
        <v>0</v>
      </c>
      <c r="DT91">
        <f>IFERROR(VLOOKUP($D91,'Kalkulator mięs '!$C$5:$H$533,DT$4,0)*$L91,0)</f>
        <v>0</v>
      </c>
      <c r="DU91">
        <f>IFERROR(VLOOKUP($D91,'Kalkulator mięs '!$C$5:$H$533,DU$4,0)*$L91,0)</f>
        <v>0</v>
      </c>
      <c r="DV91">
        <f>IFERROR(VLOOKUP($D91,'Kalkulator mięs '!$C$5:$H$533,DV$4,0)*$L91,0)</f>
        <v>0</v>
      </c>
      <c r="DW91">
        <f>IFERROR(VLOOKUP($D91,'Kalkulator mięs '!$C$5:$H$533,DW$4,0)*$M91,0)</f>
        <v>0</v>
      </c>
      <c r="DX91">
        <f>IFERROR(VLOOKUP($D91,'Kalkulator mięs '!$C$5:$H$533,DX$4,0)*$M91,0)</f>
        <v>0</v>
      </c>
      <c r="DY91">
        <f>IFERROR(VLOOKUP($D91,'Kalkulator mięs '!$C$5:$H$533,DY$4,0)*$M91,0)</f>
        <v>0</v>
      </c>
      <c r="DZ91">
        <f>IFERROR(VLOOKUP($D91,'Kalkulator mięs '!$C$5:$H$533,DZ$4,0)*$N91,0)</f>
        <v>0</v>
      </c>
      <c r="EA91">
        <f>IFERROR(VLOOKUP($D91,'Kalkulator mięs '!$C$5:$H$533,EA$4,0)*$N91,0)</f>
        <v>0</v>
      </c>
      <c r="EB91">
        <f>IFERROR(VLOOKUP($D91,'Kalkulator mięs '!$C$5:$H$533,EB$4,0)*$N91,0)</f>
        <v>0</v>
      </c>
      <c r="EC91">
        <f>IFERROR(VLOOKUP($D91,'Kalkulator mięs '!$C$5:$H$533,EC$4,0)*$O91,0)</f>
        <v>0</v>
      </c>
      <c r="ED91">
        <f>IFERROR(VLOOKUP($D91,'Kalkulator mięs '!$C$5:$H$533,ED$4,0)*$O91,0)</f>
        <v>0</v>
      </c>
      <c r="EE91">
        <f>IFERROR(VLOOKUP($D91,'Kalkulator mięs '!$C$5:$H$533,EE$4,0)*$O91,0)</f>
        <v>0</v>
      </c>
      <c r="EF91">
        <f>IFERROR(VLOOKUP($D91,'Kalkulator mięs '!$C$5:$H$533,EF$4,0)*$P91,0)</f>
        <v>0</v>
      </c>
      <c r="EG91">
        <f>IFERROR(VLOOKUP($D91,'Kalkulator mięs '!$C$5:$H$533,EG$4,0)*$P91,0)</f>
        <v>0</v>
      </c>
      <c r="EH91">
        <f>IFERROR(VLOOKUP($D91,'Kalkulator mięs '!$C$5:$H$533,EH$4,0)*$P91,0)</f>
        <v>0</v>
      </c>
      <c r="EI91">
        <f>IFERROR(VLOOKUP($D91,'Kalkulator mięs '!$C$5:$H$533,EI$4,0)*$Q91,0)</f>
        <v>0</v>
      </c>
      <c r="EJ91">
        <f>IFERROR(VLOOKUP($D91,'Kalkulator mięs '!$C$5:$H$533,EJ$4,0)*$Q91,0)</f>
        <v>0</v>
      </c>
      <c r="EK91">
        <f>IFERROR(VLOOKUP($D91,'Kalkulator mięs '!$C$5:$H$533,EK$4,0)*$Q91,0)</f>
        <v>0</v>
      </c>
      <c r="EL91">
        <f>IFERROR(VLOOKUP($D91,'Kalkulator mięs '!$C$5:$H$533,EL$4,0)*$R91,0)</f>
        <v>0</v>
      </c>
      <c r="EM91">
        <f>IFERROR(VLOOKUP($D91,'Kalkulator mięs '!$C$5:$H$533,EM$4,0)*$R91,0)</f>
        <v>0</v>
      </c>
      <c r="EN91">
        <f>IFERROR(VLOOKUP($D91,'Kalkulator mięs '!$C$5:$H$533,EN$4,0)*$R91,0)</f>
        <v>0</v>
      </c>
      <c r="EO91">
        <f>IFERROR(VLOOKUP($D91,'Kalkulator mięs '!$C$5:$H$533,EO$4,0)*$S91,0)</f>
        <v>0</v>
      </c>
      <c r="EP91">
        <f>IFERROR(VLOOKUP($D91,'Kalkulator mięs '!$C$5:$H$533,EP$4,0)*$S91,0)</f>
        <v>0</v>
      </c>
      <c r="EQ91">
        <f>IFERROR(VLOOKUP($D91,'Kalkulator mięs '!$C$5:$H$533,EQ$4,0)*$S91,0)</f>
        <v>0</v>
      </c>
      <c r="ER91">
        <f>IFERROR(VLOOKUP($D91,'Kalkulator mięs '!$C$5:$H$533,ER$4,0)*$T91,0)</f>
        <v>0</v>
      </c>
      <c r="ES91">
        <f>IFERROR(VLOOKUP($D91,'Kalkulator mięs '!$C$5:$H$533,ES$4,0)*$T91,0)</f>
        <v>0</v>
      </c>
      <c r="ET91">
        <f>IFERROR(VLOOKUP($D91,'Kalkulator mięs '!$C$5:$H$533,ET$4,0)*$T91,0)</f>
        <v>0</v>
      </c>
      <c r="EU91">
        <f>IFERROR(VLOOKUP($D91,'Kalkulator mięs '!$C$5:$H$533,EU$4,0)*$U91,0)</f>
        <v>0</v>
      </c>
      <c r="EV91">
        <f>IFERROR(VLOOKUP($D91,'Kalkulator mięs '!$C$5:$H$533,EV$4,0)*$U91,0)</f>
        <v>0</v>
      </c>
      <c r="EW91">
        <f>IFERROR(VLOOKUP($D91,'Kalkulator mięs '!$C$5:$H$533,EW$4,0)*$U91,0)</f>
        <v>0</v>
      </c>
      <c r="EX91">
        <f>IFERROR(VLOOKUP($D91,'Kalkulator mięs '!$C$5:$H$533,EX$4,0)*$V91,0)</f>
        <v>0</v>
      </c>
      <c r="EY91">
        <f>IFERROR(VLOOKUP($D91,'Kalkulator mięs '!$C$5:$H$533,EY$4,0)*$V91,0)</f>
        <v>0</v>
      </c>
      <c r="EZ91">
        <f>IFERROR(VLOOKUP($D91,'Kalkulator mięs '!$C$5:$H$533,EZ$4,0)*$V91,0)</f>
        <v>0</v>
      </c>
      <c r="FA91">
        <f>IFERROR(VLOOKUP($D91,'Kalkulator mięs '!$C$5:$H$533,FA$4,0)*$W91,0)</f>
        <v>0</v>
      </c>
      <c r="FB91">
        <f>IFERROR(VLOOKUP($D91,'Kalkulator mięs '!$C$5:$H$533,FB$4,0)*$W91,0)</f>
        <v>0</v>
      </c>
      <c r="FC91">
        <f>IFERROR(VLOOKUP($D91,'Kalkulator mięs '!$C$5:$H$533,FC$4,0)*$W91,0)</f>
        <v>0</v>
      </c>
      <c r="FD91">
        <f>IFERROR(VLOOKUP($D91,'Kalkulator mięs '!$C$5:$H$533,FD$4,0)*$X91,0)</f>
        <v>0</v>
      </c>
      <c r="FE91">
        <f>IFERROR(VLOOKUP($D91,'Kalkulator mięs '!$C$5:$H$533,FE$4,0)*$X91,0)</f>
        <v>0</v>
      </c>
      <c r="FF91">
        <f>IFERROR(VLOOKUP($D91,'Kalkulator mięs '!$C$5:$H$533,FF$4,0)*$X91,0)</f>
        <v>0</v>
      </c>
      <c r="FG91">
        <f>IFERROR(VLOOKUP($D91,'Kalkulator mięs '!$C$5:$H$533,FG$4,0)*$Y91,0)</f>
        <v>0</v>
      </c>
      <c r="FH91">
        <f>IFERROR(VLOOKUP($D91,'Kalkulator mięs '!$C$5:$H$533,FH$4,0)*$Y91,0)</f>
        <v>0</v>
      </c>
      <c r="FI91">
        <f>IFERROR(VLOOKUP($D91,'Kalkulator mięs '!$C$5:$H$533,FI$4,0)*$Y91,0)</f>
        <v>0</v>
      </c>
      <c r="FJ91">
        <f>IFERROR(VLOOKUP($D91,'Kalkulator mięs '!$C$5:$H$533,FJ$4,0)*$Z91,0)</f>
        <v>0</v>
      </c>
      <c r="FK91">
        <f>IFERROR(VLOOKUP($D91,'Kalkulator mięs '!$C$5:$H$533,FK$4,0)*$Z91,0)</f>
        <v>0</v>
      </c>
      <c r="FL91">
        <f>IFERROR(VLOOKUP($D91,'Kalkulator mięs '!$C$5:$H$533,FL$4,0)*$Z91,0)</f>
        <v>0</v>
      </c>
      <c r="FM91">
        <f>IFERROR(VLOOKUP($D91,'Kalkulator mięs '!$C$5:$H$533,FM$4,0)*$AA91,0)</f>
        <v>0</v>
      </c>
      <c r="FN91">
        <f>IFERROR(VLOOKUP($D91,'Kalkulator mięs '!$C$5:$H$533,FN$4,0)*$AA91,0)</f>
        <v>0</v>
      </c>
      <c r="FO91">
        <f>IFERROR(VLOOKUP($D91,'Kalkulator mięs '!$C$5:$H$533,FO$4,0)*$AA91,0)</f>
        <v>0</v>
      </c>
      <c r="FP91">
        <f>IFERROR(VLOOKUP($D91,'Kalkulator mięs '!$C$5:$H$533,FP$4,0)*$AB91,0)</f>
        <v>0</v>
      </c>
      <c r="FQ91">
        <f>IFERROR(VLOOKUP($D91,'Kalkulator mięs '!$C$5:$H$533,FQ$4,0)*$AB91,0)</f>
        <v>0</v>
      </c>
      <c r="FR91">
        <f>IFERROR(VLOOKUP($D91,'Kalkulator mięs '!$C$5:$H$533,FR$4,0)*$AB91,0)</f>
        <v>0</v>
      </c>
      <c r="FS91">
        <f>IFERROR(VLOOKUP($D91,'Kalkulator mięs '!$C$5:$H$533,FS$4,0)*$AC91,0)</f>
        <v>0</v>
      </c>
      <c r="FT91">
        <f>IFERROR(VLOOKUP($D91,'Kalkulator mięs '!$C$5:$H$533,FT$4,0)*$AC91,0)</f>
        <v>0</v>
      </c>
      <c r="FU91">
        <f>IFERROR(VLOOKUP($D91,'Kalkulator mięs '!$C$5:$H$533,FU$4,0)*$AC91,0)</f>
        <v>0</v>
      </c>
      <c r="FV91">
        <f>IFERROR(VLOOKUP($D91,'Kalkulator mięs '!$C$5:$H$533,FV$4,0)*$AD91,0)</f>
        <v>0</v>
      </c>
      <c r="FW91">
        <f>IFERROR(VLOOKUP($D91,'Kalkulator mięs '!$C$5:$H$533,FW$4,0)*$AD91,0)</f>
        <v>0</v>
      </c>
      <c r="FX91">
        <f>IFERROR(VLOOKUP($D91,'Kalkulator mięs '!$C$5:$H$533,FX$4,0)*$AD91,0)</f>
        <v>0</v>
      </c>
      <c r="FY91">
        <f>IFERROR(VLOOKUP($D91,'Kalkulator mięs '!$C$5:$H$533,FY$4,0)*$AE91,0)</f>
        <v>0</v>
      </c>
      <c r="FZ91">
        <f>IFERROR(VLOOKUP($D91,'Kalkulator mięs '!$C$5:$H$533,FZ$4,0)*$AE91,0)</f>
        <v>0</v>
      </c>
      <c r="GA91">
        <f>IFERROR(VLOOKUP($D91,'Kalkulator mięs '!$C$5:$H$533,GA$4,0)*$AE91,0)</f>
        <v>0</v>
      </c>
      <c r="GB91">
        <f>IFERROR(VLOOKUP($D91,'Kalkulator mięs '!$C$5:$H$533,GB$4,0)*$AF91,0)</f>
        <v>0</v>
      </c>
      <c r="GC91">
        <f>IFERROR(VLOOKUP($D91,'Kalkulator mięs '!$C$5:$H$533,GC$4,0)*$AF91,0)</f>
        <v>0</v>
      </c>
      <c r="GD91">
        <f>IFERROR(VLOOKUP($D91,'Kalkulator mięs '!$C$5:$H$533,GD$4,0)*$AF91,0)</f>
        <v>0</v>
      </c>
      <c r="GE91">
        <f>IFERROR(VLOOKUP($D91,'Kalkulator mięs '!$C$5:$H$533,GE$4,0)*$AG91,0)</f>
        <v>0</v>
      </c>
      <c r="GF91">
        <f>IFERROR(VLOOKUP($D91,'Kalkulator mięs '!$C$5:$H$533,GF$4,0)*$AG91,0)</f>
        <v>0</v>
      </c>
      <c r="GG91">
        <f>IFERROR(VLOOKUP($D91,'Kalkulator mięs '!$C$5:$H$533,GG$4,0)*$AG91,0)</f>
        <v>0</v>
      </c>
      <c r="GH91">
        <f>IFERROR(VLOOKUP($D91,'Kalkulator mięs '!$C$5:$H$533,GH$4,0)*$AH91,0)</f>
        <v>0</v>
      </c>
      <c r="GI91">
        <f>IFERROR(VLOOKUP($D91,'Kalkulator mięs '!$C$5:$H$533,GI$4,0)*$AH91,0)</f>
        <v>0</v>
      </c>
      <c r="GJ91">
        <f>IFERROR(VLOOKUP($D91,'Kalkulator mięs '!$C$5:$H$533,GJ$4,0)*$AH91,0)</f>
        <v>0</v>
      </c>
      <c r="GK91">
        <f>IFERROR(VLOOKUP($D91,'Kalkulator mięs '!$C$5:$H$533,GK$4,0)*$AI91,0)</f>
        <v>0</v>
      </c>
      <c r="GL91">
        <f>IFERROR(VLOOKUP($D91,'Kalkulator mięs '!$C$5:$H$533,GL$4,0)*$AI91,0)</f>
        <v>0</v>
      </c>
      <c r="GM91">
        <f>IFERROR(VLOOKUP($D91,'Kalkulator mięs '!$C$5:$H$533,GM$4,0)*$AI91,0)</f>
        <v>0</v>
      </c>
      <c r="GN91">
        <f>IFERROR(VLOOKUP($D91,'Kalkulator mięs '!$C$5:$H$533,GN$4,0)*$AJ91,0)</f>
        <v>0</v>
      </c>
      <c r="GO91">
        <f>IFERROR(VLOOKUP($D91,'Kalkulator mięs '!$C$5:$H$533,GO$4,0)*$AJ91,0)</f>
        <v>0</v>
      </c>
      <c r="GP91">
        <f>IFERROR(VLOOKUP($D91,'Kalkulator mięs '!$C$5:$H$533,GP$4,0)*$AJ91,0)</f>
        <v>0</v>
      </c>
      <c r="GQ91">
        <f>IFERROR(VLOOKUP($D91,'Kalkulator mięs '!$C$5:$H$533,GQ$4,0)*$AK91,0)</f>
        <v>0</v>
      </c>
      <c r="GR91">
        <f>IFERROR(VLOOKUP($D91,'Kalkulator mięs '!$C$5:$H$533,GR$4,0)*$AK91,0)</f>
        <v>0</v>
      </c>
      <c r="GS91">
        <f>IFERROR(VLOOKUP($D91,'Kalkulator mięs '!$C$5:$H$533,GS$4,0)*$AK91,0)</f>
        <v>0</v>
      </c>
      <c r="GT91">
        <f>IFERROR(VLOOKUP($D91,'Kalkulator mięs '!$C$5:$H$533,GT$4,0)*$AL91,0)</f>
        <v>0</v>
      </c>
      <c r="GU91">
        <f>IFERROR(VLOOKUP($D91,'Kalkulator mięs '!$C$5:$H$533,GU$4,0)*$AL91,0)</f>
        <v>0</v>
      </c>
      <c r="GV91">
        <f>IFERROR(VLOOKUP($D91,'Kalkulator mięs '!$C$5:$H$533,GV$4,0)*$AL91,0)</f>
        <v>0</v>
      </c>
      <c r="GW91">
        <f>IFERROR(VLOOKUP($D91,'Kalkulator mięs '!$C$5:$H$533,GW$4,0)*$AM91,0)</f>
        <v>0</v>
      </c>
      <c r="GX91">
        <f>IFERROR(VLOOKUP($D91,'Kalkulator mięs '!$C$5:$H$533,GX$4,0)*$AM91,0)</f>
        <v>0</v>
      </c>
      <c r="GY91">
        <f>IFERROR(VLOOKUP($D91,'Kalkulator mięs '!$C$5:$H$533,GY$4,0)*$AM91,0)</f>
        <v>0</v>
      </c>
      <c r="GZ91">
        <f>IFERROR(VLOOKUP($D91,'Kalkulator mięs '!$C$5:$H$533,GZ$4,0)*$AN91,0)</f>
        <v>0</v>
      </c>
      <c r="HA91">
        <f>IFERROR(VLOOKUP($D91,'Kalkulator mięs '!$C$5:$H$533,HA$4,0)*$AN91,0)</f>
        <v>0</v>
      </c>
      <c r="HB91">
        <f>IFERROR(VLOOKUP($D91,'Kalkulator mięs '!$C$5:$H$533,HB$4,0)*$AN91,0)</f>
        <v>0</v>
      </c>
      <c r="HC91">
        <f>IFERROR(VLOOKUP($D91,'Kalkulator mięs '!$C$5:$H$533,HC$4,0)*$AO91,0)</f>
        <v>0</v>
      </c>
      <c r="HD91">
        <f>IFERROR(VLOOKUP($D91,'Kalkulator mięs '!$C$5:$H$533,HD$4,0)*$AO91,0)</f>
        <v>0</v>
      </c>
      <c r="HE91">
        <f>IFERROR(VLOOKUP($D91,'Kalkulator mięs '!$C$5:$H$533,HE$4,0)*$AO91,0)</f>
        <v>0</v>
      </c>
      <c r="HF91">
        <f>IFERROR(VLOOKUP($D91,'Kalkulator mięs '!$C$5:$H$533,HF$4,0)*$AP91,0)</f>
        <v>0</v>
      </c>
      <c r="HG91">
        <f>IFERROR(VLOOKUP($D91,'Kalkulator mięs '!$C$5:$H$533,HG$4,0)*$AP91,0)</f>
        <v>0</v>
      </c>
      <c r="HH91">
        <f>IFERROR(VLOOKUP($D91,'Kalkulator mięs '!$C$5:$H$533,HH$4,0)*$AP91,0)</f>
        <v>0</v>
      </c>
      <c r="HI91">
        <f>IFERROR(VLOOKUP($D91,'Kalkulator mięs '!$C$5:$H$533,HI$4,0)*$AQ91,0)</f>
        <v>0</v>
      </c>
      <c r="HJ91">
        <f>IFERROR(VLOOKUP($D91,'Kalkulator mięs '!$C$5:$H$533,HJ$4,0)*$AQ91,0)</f>
        <v>0</v>
      </c>
      <c r="HK91">
        <f>IFERROR(VLOOKUP($D91,'Kalkulator mięs '!$C$5:$H$533,HK$4,0)*$AQ91,0)</f>
        <v>0</v>
      </c>
      <c r="HL91">
        <f>IFERROR(VLOOKUP($D91,'Kalkulator mięs '!$C$5:$H$533,HL$4,0)*$AR91,0)</f>
        <v>0</v>
      </c>
      <c r="HM91">
        <f>IFERROR(VLOOKUP($D91,'Kalkulator mięs '!$C$5:$H$533,HM$4,0)*$AR91,0)</f>
        <v>0</v>
      </c>
      <c r="HN91">
        <f>IFERROR(VLOOKUP($D91,'Kalkulator mięs '!$C$5:$H$533,HN$4,0)*$AR91,0)</f>
        <v>0</v>
      </c>
      <c r="HO91">
        <f>IFERROR(VLOOKUP($D91,'Kalkulator mięs '!$C$5:$H$533,HO$4,0)*$AS91,0)</f>
        <v>0</v>
      </c>
      <c r="HP91">
        <f>IFERROR(VLOOKUP($D91,'Kalkulator mięs '!$C$5:$H$533,HP$4,0)*$AS91,0)</f>
        <v>0</v>
      </c>
      <c r="HQ91">
        <f>IFERROR(VLOOKUP($D91,'Kalkulator mięs '!$C$5:$H$533,HQ$4,0)*$AS91,0)</f>
        <v>0</v>
      </c>
      <c r="HR91">
        <f>IFERROR(VLOOKUP($D91,'Kalkulator mięs '!$C$5:$H$533,HR$4,0)*$AT91,0)</f>
        <v>0</v>
      </c>
      <c r="HS91">
        <f>IFERROR(VLOOKUP($D91,'Kalkulator mięs '!$C$5:$H$533,HS$4,0)*$AT91,0)</f>
        <v>0</v>
      </c>
      <c r="HT91">
        <f>IFERROR(VLOOKUP($D91,'Kalkulator mięs '!$C$5:$H$533,HT$4,0)*$AT91,0)</f>
        <v>0</v>
      </c>
      <c r="HU91">
        <f>IFERROR(VLOOKUP($D91,'Kalkulator mięs '!$C$5:$H$533,HU$4,0)*$AU91,0)</f>
        <v>0</v>
      </c>
      <c r="HV91">
        <f>IFERROR(VLOOKUP($D91,'Kalkulator mięs '!$C$5:$H$533,HV$4,0)*$AU91,0)</f>
        <v>0</v>
      </c>
      <c r="HW91">
        <f>IFERROR(VLOOKUP($D91,'Kalkulator mięs '!$C$5:$H$533,HW$4,0)*$AU91,0)</f>
        <v>0</v>
      </c>
      <c r="HX91">
        <f>IFERROR(VLOOKUP($D91,'Kalkulator mięs '!$C$5:$H$533,HX$4,0)*$AV91,0)</f>
        <v>0</v>
      </c>
      <c r="HY91">
        <f>IFERROR(VLOOKUP($D91,'Kalkulator mięs '!$C$5:$H$533,HY$4,0)*$AV91,0)</f>
        <v>0</v>
      </c>
      <c r="HZ91">
        <f>IFERROR(VLOOKUP($D91,'Kalkulator mięs '!$C$5:$H$533,HZ$4,0)*$AV91,0)</f>
        <v>0</v>
      </c>
      <c r="IA91">
        <f>IFERROR(VLOOKUP($D91,'Kalkulator mięs '!$C$5:$H$533,IA$4,0)*$AW91,0)</f>
        <v>0</v>
      </c>
      <c r="IB91">
        <f>IFERROR(VLOOKUP($D91,'Kalkulator mięs '!$C$5:$H$533,IB$4,0)*$AW91,0)</f>
        <v>0</v>
      </c>
      <c r="IC91">
        <f>IFERROR(VLOOKUP($D91,'Kalkulator mięs '!$C$5:$H$533,IC$4,0)*$AW91,0)</f>
        <v>0</v>
      </c>
      <c r="ID91">
        <f>IFERROR(VLOOKUP($D91,'Kalkulator mięs '!$C$5:$H$533,ID$4,0)*$AX91,0)</f>
        <v>0</v>
      </c>
      <c r="IE91">
        <f>IFERROR(VLOOKUP($D91,'Kalkulator mięs '!$C$5:$H$533,IE$4,0)*$AX91,0)</f>
        <v>0</v>
      </c>
      <c r="IF91">
        <f>IFERROR(VLOOKUP($D91,'Kalkulator mięs '!$C$5:$H$533,IF$4,0)*$AX91,0)</f>
        <v>0</v>
      </c>
      <c r="IG91">
        <f>IFERROR(VLOOKUP($D91,'Kalkulator mięs '!$C$5:$H$533,IG$4,0)*$AY91,0)</f>
        <v>0</v>
      </c>
      <c r="IH91">
        <f>IFERROR(VLOOKUP($D91,'Kalkulator mięs '!$C$5:$H$533,IH$4,0)*$AY91,0)</f>
        <v>0</v>
      </c>
      <c r="II91">
        <f>IFERROR(VLOOKUP($D91,'Kalkulator mięs '!$C$5:$H$533,II$4,0)*$AY91,0)</f>
        <v>0</v>
      </c>
      <c r="IJ91">
        <f>IFERROR(VLOOKUP($D91,'Kalkulator mięs '!$C$5:$H$533,IJ$4,0)*$AZ91,0)</f>
        <v>0</v>
      </c>
      <c r="IK91">
        <f>IFERROR(VLOOKUP($D91,'Kalkulator mięs '!$C$5:$H$533,IK$4,0)*$AZ91,0)</f>
        <v>0</v>
      </c>
      <c r="IL91">
        <f>IFERROR(VLOOKUP($D91,'Kalkulator mięs '!$C$5:$H$533,IL$4,0)*$AZ91,0)</f>
        <v>0</v>
      </c>
      <c r="IM91">
        <f>IFERROR(VLOOKUP($D91,'Kalkulator mięs '!$C$5:$H$533,IM$4,0)*$BA91,0)</f>
        <v>0</v>
      </c>
      <c r="IN91">
        <f>IFERROR(VLOOKUP($D91,'Kalkulator mięs '!$C$5:$H$533,IN$4,0)*$BA91,0)</f>
        <v>0</v>
      </c>
      <c r="IO91">
        <f>IFERROR(VLOOKUP($D91,'Kalkulator mięs '!$C$5:$H$533,IO$4,0)*$BA91,0)</f>
        <v>0</v>
      </c>
    </row>
    <row r="92" spans="2:249" ht="15.75">
      <c r="B92" t="str">
        <f>VLOOKUP(D92,Receptury_z!$A:$B,2,0)</f>
        <v>OFF</v>
      </c>
      <c r="C92" s="27">
        <v>5548</v>
      </c>
      <c r="D92" s="28">
        <v>6447</v>
      </c>
      <c r="E92" s="1" t="s">
        <v>151</v>
      </c>
      <c r="F92" s="14">
        <f>IF($B92="OFF",BE92,VLOOKUP($D92,Receptury_z!$D:$AI,F$4,0))</f>
        <v>0</v>
      </c>
      <c r="G92" s="14">
        <f>IF($B92="OFF",BF92,VLOOKUP($D92,Receptury_z!$D:$AI,G$4,0))</f>
        <v>0</v>
      </c>
      <c r="H92" s="14">
        <f>IF($B92="OFF",BG92,VLOOKUP($D92,Receptury_z!$D:$AI,H$4,0))</f>
        <v>0</v>
      </c>
      <c r="I92" s="14">
        <f>IF($B92="OFF",BH92,VLOOKUP($D92,Receptury_z!$D:$AI,I$4,0))</f>
        <v>0</v>
      </c>
      <c r="J92" s="14">
        <f>IF($B92="OFF",BI92,VLOOKUP($D92,Receptury_z!$D:$AI,J$4,0))</f>
        <v>0</v>
      </c>
      <c r="K92" s="14">
        <f>IF($B92="OFF",BJ92,VLOOKUP($D92,Receptury_z!$D:$AI,K$4,0))</f>
        <v>0</v>
      </c>
      <c r="L92" s="14">
        <f>IF($B92="OFF",BK92,VLOOKUP($D92,Receptury_z!$D:$AI,L$4,0))</f>
        <v>0</v>
      </c>
      <c r="M92" s="14">
        <f>IF($B92="OFF",BL92,VLOOKUP($D92,Receptury_z!$D:$AI,M$4,0))</f>
        <v>0</v>
      </c>
      <c r="N92" s="14">
        <f>IF($B92="OFF",BM92,VLOOKUP($D92,Receptury_z!$D:$AI,N$4,0))</f>
        <v>116.93</v>
      </c>
      <c r="O92" s="14">
        <f>IF($B92="OFF",BN92,VLOOKUP($D92,Receptury_z!$D:$AI,O$4,0))</f>
        <v>0</v>
      </c>
      <c r="P92" s="14">
        <f>IF($B92="OFF",BO92,VLOOKUP($D92,Receptury_z!$D:$AI,P$4,0))</f>
        <v>0</v>
      </c>
      <c r="Q92" s="14">
        <f>IF($B92="OFF",BP92,VLOOKUP($D92,Receptury_z!$D:$AI,Q$4,0))</f>
        <v>0</v>
      </c>
      <c r="R92" s="14">
        <f>IF($B92="OFF",BQ92,VLOOKUP($D92,Receptury_z!$D:$AI,R$4,0))</f>
        <v>63</v>
      </c>
      <c r="S92" s="14">
        <f>IF($B92="OFF",BR92,VLOOKUP($D92,Receptury_z!$D:$AI,S$4,0))</f>
        <v>0</v>
      </c>
      <c r="T92" s="14">
        <f>IF($B92="OFF",BS92,VLOOKUP($D92,Receptury_z!$D:$AI,T$4,0))</f>
        <v>611.62</v>
      </c>
      <c r="U92" s="14">
        <f>IF($B92="OFF",BT92,VLOOKUP($D92,Receptury_z!$D:$AI,U$4,0))</f>
        <v>0</v>
      </c>
      <c r="V92" s="14">
        <f>IF($B92="OFF",BU92,VLOOKUP($D92,Receptury_z!$D:$AI,V$4,0))</f>
        <v>0</v>
      </c>
      <c r="W92" s="14">
        <f>IF($B92="OFF",BV92,VLOOKUP($D92,Receptury_z!$D:$AI,W$4,0))</f>
        <v>0</v>
      </c>
      <c r="X92" s="14">
        <f>IF($B92="OFF",BW92,VLOOKUP($D92,Receptury_z!$D:$AI,X$4,0))</f>
        <v>0</v>
      </c>
      <c r="Y92" s="14">
        <f>IF($B92="OFF",BX92,VLOOKUP($D92,Receptury_z!$D:$AI,Y$4,0))</f>
        <v>0</v>
      </c>
      <c r="Z92" s="14">
        <f>IF($B92="OFF",BY92,VLOOKUP($D92,Receptury_z!$D:$AI,Z$4,0))</f>
        <v>0</v>
      </c>
      <c r="AA92" s="14">
        <f>IF($B92="OFF",BZ92,VLOOKUP($D92,Receptury_z!$D:$AI,AA$4,0))</f>
        <v>0</v>
      </c>
      <c r="AB92" s="14">
        <f>IF($B92="OFF",CA92,VLOOKUP($D92,Receptury_z!$D:$AI,AB$4,0))</f>
        <v>107.9</v>
      </c>
      <c r="AC92" s="14">
        <f>IF($B92="OFF",CB92,VLOOKUP($D92,Receptury_z!$D:$AI,AC$4,0))</f>
        <v>0</v>
      </c>
      <c r="AD92" s="14">
        <f>IF($B92="OFF",CC92,VLOOKUP($D92,Receptury_z!$D:$AI,AD$4,0))</f>
        <v>0</v>
      </c>
      <c r="AE92" s="14">
        <f>IF($B92="OFF",CD92,VLOOKUP($D92,Receptury_z!$D:$AI,AE$4,0))</f>
        <v>0</v>
      </c>
      <c r="AF92" s="14">
        <f>IF($B92="OFF",CE92,VLOOKUP($D92,Receptury_z!$D:$AI,AF$4,0))</f>
        <v>0</v>
      </c>
      <c r="AG92" s="14">
        <f>IF($B92="OFF",CF92,VLOOKUP($D92,Receptury_z!$D:$AI,AG$4,0))</f>
        <v>0</v>
      </c>
      <c r="AH92" s="14">
        <f>IF($B92="OFF",CG92,VLOOKUP($D92,Receptury_z!$D:$AI,AH$4,0))</f>
        <v>0</v>
      </c>
      <c r="AI92" s="14">
        <f>IF($B92="OFF",CH92,VLOOKUP($D92,Receptury_z!$D:$AI,AI$4,0))</f>
        <v>0</v>
      </c>
      <c r="AJ92" s="14">
        <f>IF($B92="OFF",CI92,VLOOKUP($D92,Receptury_z!$D:$AS,AJ$4,0))</f>
        <v>0</v>
      </c>
      <c r="AK92" s="14">
        <f>IF($B92="OFF",CJ92,VLOOKUP($D92,Receptury_z!$D:$AS,AK$4,0))</f>
        <v>0</v>
      </c>
      <c r="AL92" s="14">
        <f>IF($B92="OFF",CK92,VLOOKUP($D92,Receptury_z!$D:$AS,AL$4,0))</f>
        <v>0</v>
      </c>
      <c r="AM92" s="14">
        <f>IF($B92="OFF",CL92,VLOOKUP($D92,Receptury_z!$D:$AS,AM$4,0))</f>
        <v>0</v>
      </c>
      <c r="AN92" s="14">
        <f>IF($B92="OFF",CM92,VLOOKUP($D92,Receptury_z!$D:$AS,AN$4,0))</f>
        <v>0</v>
      </c>
      <c r="AO92" s="14">
        <f>IF($B92="OFF",CN92,VLOOKUP($D92,Receptury_z!$D:$AS,AO$4,0))</f>
        <v>0</v>
      </c>
      <c r="AP92" s="14">
        <f>IF($B92="OFF",CO92,VLOOKUP($D92,Receptury_z!$D:$AS,AP$4,0))</f>
        <v>0</v>
      </c>
      <c r="AQ92" s="14">
        <f>IF($B92="OFF",CP92,VLOOKUP($D92,Receptury_z!$D:$AS,AQ$4,0))</f>
        <v>0</v>
      </c>
      <c r="AR92" s="14">
        <f>IF($B92="OFF",CQ92,VLOOKUP($D92,Receptury_z!$D:$AS,AR$4,0))</f>
        <v>0</v>
      </c>
      <c r="AS92" s="14">
        <f>IF($B92="OFF",CR92,VLOOKUP($D92,Receptury_z!$D:$AS,AS$4,0))</f>
        <v>0</v>
      </c>
      <c r="AT92" s="14">
        <f>IF($B92="OFF",CS92,VLOOKUP($D92,Receptury_z!$D:$AV,AT$4,0))</f>
        <v>0</v>
      </c>
      <c r="AU92" s="14">
        <f>IF($B92="OFF",CT92,VLOOKUP($D92,Receptury_z!$D:$AV,AU$4,0))</f>
        <v>0</v>
      </c>
      <c r="AV92" s="14">
        <f>IF($B92="OFF",CU92,VLOOKUP($D92,Receptury_z!$D:$AV,AV$4,0))</f>
        <v>0</v>
      </c>
      <c r="AW92" s="14">
        <f>IF($B92="OFF",CV92,VLOOKUP($D92,Receptury_z!$D:$BA,AW$4,0))</f>
        <v>0</v>
      </c>
      <c r="AX92" s="14">
        <f>IF($B92="OFF",CW92,VLOOKUP($D92,Receptury_z!$D:$BA,AX$4,0))</f>
        <v>0</v>
      </c>
      <c r="AY92" s="14">
        <f>IF($B92="OFF",CX92,VLOOKUP($D92,Receptury_z!$D:$BA,AY$4,0))</f>
        <v>0</v>
      </c>
      <c r="AZ92" s="14">
        <f>IF($B92="OFF",DA92,VLOOKUP($D92,Receptury_z!$D:$BA,AZ$4,0))</f>
        <v>0</v>
      </c>
      <c r="BA92" s="14">
        <f>IF($B92="OFF",DB92,VLOOKUP($D92,Receptury_z!$D:$BA,BA$4,0))</f>
        <v>0</v>
      </c>
      <c r="BC92" s="28">
        <v>6447</v>
      </c>
      <c r="BD92" s="1" t="s">
        <v>151</v>
      </c>
      <c r="BE92" s="239">
        <v>0</v>
      </c>
      <c r="BF92" s="239">
        <v>0</v>
      </c>
      <c r="BG92" s="239">
        <v>0</v>
      </c>
      <c r="BH92" s="239">
        <v>0</v>
      </c>
      <c r="BI92" s="239">
        <v>0</v>
      </c>
      <c r="BJ92" s="239">
        <v>0</v>
      </c>
      <c r="BK92" s="239">
        <v>0</v>
      </c>
      <c r="BL92" s="239">
        <v>0</v>
      </c>
      <c r="BM92" s="239">
        <v>116.93</v>
      </c>
      <c r="BN92" s="239">
        <v>0</v>
      </c>
      <c r="BO92" s="239">
        <v>0</v>
      </c>
      <c r="BP92" s="239">
        <v>0</v>
      </c>
      <c r="BQ92" s="239">
        <v>63</v>
      </c>
      <c r="BR92" s="239">
        <v>0</v>
      </c>
      <c r="BS92" s="239">
        <v>611.62</v>
      </c>
      <c r="BT92" s="239">
        <v>0</v>
      </c>
      <c r="BU92" s="239">
        <v>0</v>
      </c>
      <c r="BV92" s="239">
        <v>0</v>
      </c>
      <c r="BW92" s="239">
        <v>0</v>
      </c>
      <c r="BX92" s="239">
        <v>0</v>
      </c>
      <c r="BY92" s="239">
        <v>0</v>
      </c>
      <c r="BZ92" s="239">
        <v>0</v>
      </c>
      <c r="CA92" s="239">
        <v>107.9</v>
      </c>
      <c r="CB92" s="239">
        <v>0</v>
      </c>
      <c r="CC92" s="239">
        <v>0</v>
      </c>
      <c r="CD92" s="239">
        <v>0</v>
      </c>
      <c r="CE92" s="239">
        <v>0</v>
      </c>
      <c r="CF92" s="239">
        <v>0</v>
      </c>
      <c r="CG92" s="239">
        <v>0</v>
      </c>
      <c r="CH92" s="239">
        <v>0</v>
      </c>
      <c r="CI92" s="239">
        <v>0</v>
      </c>
      <c r="CJ92" s="239">
        <v>0</v>
      </c>
      <c r="CK92" s="239">
        <v>0</v>
      </c>
      <c r="CL92" s="239">
        <v>0</v>
      </c>
      <c r="CM92" s="81"/>
      <c r="CN92" s="81"/>
      <c r="CO92" s="81"/>
      <c r="CP92" s="81"/>
      <c r="CQ92" s="81"/>
      <c r="CR92" s="81"/>
      <c r="CS92" s="81"/>
      <c r="CT92" s="81"/>
      <c r="CU92" s="81"/>
      <c r="CV92" s="81"/>
      <c r="CW92" s="81"/>
      <c r="CX92" s="81"/>
      <c r="CY92" s="81"/>
      <c r="CZ92" s="81"/>
      <c r="DB92">
        <f>IFERROR(VLOOKUP($D92,'Kalkulator mięs '!$C$5:$H$533,DB$4,0)*F92,0)</f>
        <v>0</v>
      </c>
      <c r="DC92">
        <f>IFERROR(VLOOKUP($D92,'Kalkulator mięs '!$C$5:$H$533,DC$4,0)*F92,0)</f>
        <v>0</v>
      </c>
      <c r="DD92">
        <f>IFERROR(VLOOKUP($D92,'Kalkulator mięs '!$C$5:$H$533,DD$4,0)*F92,0)</f>
        <v>0</v>
      </c>
      <c r="DE92">
        <f>IFERROR(VLOOKUP($D92,'Kalkulator mięs '!$C$5:$H$533,DE$4,0)*$G92,0)</f>
        <v>0</v>
      </c>
      <c r="DF92">
        <f>IFERROR(VLOOKUP($D92,'Kalkulator mięs '!$C$5:$H$533,DF$4,0)*$G92,0)</f>
        <v>0</v>
      </c>
      <c r="DG92">
        <f>IFERROR(VLOOKUP($D92,'Kalkulator mięs '!$C$5:$H$533,DG$4,0)*$G92,0)</f>
        <v>0</v>
      </c>
      <c r="DH92">
        <f>IFERROR(VLOOKUP($D92,'Kalkulator mięs '!$C$5:$H$533,DH$4,0)*$H92,0)</f>
        <v>0</v>
      </c>
      <c r="DI92">
        <f>IFERROR(VLOOKUP($D92,'Kalkulator mięs '!$C$5:$H$533,DI$4,0)*$H92,0)</f>
        <v>0</v>
      </c>
      <c r="DJ92">
        <f>IFERROR(VLOOKUP($D92,'Kalkulator mięs '!$C$5:$H$533,DJ$4,0)*$H92,0)</f>
        <v>0</v>
      </c>
      <c r="DK92">
        <f>IFERROR(VLOOKUP($D92,'Kalkulator mięs '!$C$5:$H$533,DK$4,0)*$I92,0)</f>
        <v>0</v>
      </c>
      <c r="DL92">
        <f>IFERROR(VLOOKUP($D92,'Kalkulator mięs '!$C$5:$H$533,DL$4,0)*$I92,0)</f>
        <v>0</v>
      </c>
      <c r="DM92">
        <f>IFERROR(VLOOKUP($D92,'Kalkulator mięs '!$C$5:$H$533,DM$4,0)*$I92,0)</f>
        <v>0</v>
      </c>
      <c r="DN92">
        <f>IFERROR(VLOOKUP($D92,'Kalkulator mięs '!$C$5:$H$533,DN$4,0)*$J92,0)</f>
        <v>0</v>
      </c>
      <c r="DO92">
        <f>IFERROR(VLOOKUP($D92,'Kalkulator mięs '!$C$5:$H$533,DO$4,0)*$J92,0)</f>
        <v>0</v>
      </c>
      <c r="DP92">
        <f>IFERROR(VLOOKUP($D92,'Kalkulator mięs '!$C$5:$H$533,DP$4,0)*$J92,0)</f>
        <v>0</v>
      </c>
      <c r="DQ92">
        <f>IFERROR(VLOOKUP($D92,'Kalkulator mięs '!$C$5:$H$533,DQ$4,0)*$K92,0)</f>
        <v>0</v>
      </c>
      <c r="DR92">
        <f>IFERROR(VLOOKUP($D92,'Kalkulator mięs '!$C$5:$H$533,DR$4,0)*$K92,0)</f>
        <v>0</v>
      </c>
      <c r="DS92">
        <f>IFERROR(VLOOKUP($D92,'Kalkulator mięs '!$C$5:$H$533,DS$4,0)*$K92,0)</f>
        <v>0</v>
      </c>
      <c r="DT92">
        <f>IFERROR(VLOOKUP($D92,'Kalkulator mięs '!$C$5:$H$533,DT$4,0)*$L92,0)</f>
        <v>0</v>
      </c>
      <c r="DU92">
        <f>IFERROR(VLOOKUP($D92,'Kalkulator mięs '!$C$5:$H$533,DU$4,0)*$L92,0)</f>
        <v>0</v>
      </c>
      <c r="DV92">
        <f>IFERROR(VLOOKUP($D92,'Kalkulator mięs '!$C$5:$H$533,DV$4,0)*$L92,0)</f>
        <v>0</v>
      </c>
      <c r="DW92">
        <f>IFERROR(VLOOKUP($D92,'Kalkulator mięs '!$C$5:$H$533,DW$4,0)*$M92,0)</f>
        <v>0</v>
      </c>
      <c r="DX92">
        <f>IFERROR(VLOOKUP($D92,'Kalkulator mięs '!$C$5:$H$533,DX$4,0)*$M92,0)</f>
        <v>0</v>
      </c>
      <c r="DY92">
        <f>IFERROR(VLOOKUP($D92,'Kalkulator mięs '!$C$5:$H$533,DY$4,0)*$M92,0)</f>
        <v>0</v>
      </c>
      <c r="DZ92">
        <f>IFERROR(VLOOKUP($D92,'Kalkulator mięs '!$C$5:$H$533,DZ$4,0)*$N92,0)</f>
        <v>0</v>
      </c>
      <c r="EA92">
        <f>IFERROR(VLOOKUP($D92,'Kalkulator mięs '!$C$5:$H$533,EA$4,0)*$N92,0)</f>
        <v>0</v>
      </c>
      <c r="EB92">
        <f>IFERROR(VLOOKUP($D92,'Kalkulator mięs '!$C$5:$H$533,EB$4,0)*$N92,0)</f>
        <v>0</v>
      </c>
      <c r="EC92">
        <f>IFERROR(VLOOKUP($D92,'Kalkulator mięs '!$C$5:$H$533,EC$4,0)*$O92,0)</f>
        <v>0</v>
      </c>
      <c r="ED92">
        <f>IFERROR(VLOOKUP($D92,'Kalkulator mięs '!$C$5:$H$533,ED$4,0)*$O92,0)</f>
        <v>0</v>
      </c>
      <c r="EE92">
        <f>IFERROR(VLOOKUP($D92,'Kalkulator mięs '!$C$5:$H$533,EE$4,0)*$O92,0)</f>
        <v>0</v>
      </c>
      <c r="EF92">
        <f>IFERROR(VLOOKUP($D92,'Kalkulator mięs '!$C$5:$H$533,EF$4,0)*$P92,0)</f>
        <v>0</v>
      </c>
      <c r="EG92">
        <f>IFERROR(VLOOKUP($D92,'Kalkulator mięs '!$C$5:$H$533,EG$4,0)*$P92,0)</f>
        <v>0</v>
      </c>
      <c r="EH92">
        <f>IFERROR(VLOOKUP($D92,'Kalkulator mięs '!$C$5:$H$533,EH$4,0)*$P92,0)</f>
        <v>0</v>
      </c>
      <c r="EI92">
        <f>IFERROR(VLOOKUP($D92,'Kalkulator mięs '!$C$5:$H$533,EI$4,0)*$Q92,0)</f>
        <v>0</v>
      </c>
      <c r="EJ92">
        <f>IFERROR(VLOOKUP($D92,'Kalkulator mięs '!$C$5:$H$533,EJ$4,0)*$Q92,0)</f>
        <v>0</v>
      </c>
      <c r="EK92">
        <f>IFERROR(VLOOKUP($D92,'Kalkulator mięs '!$C$5:$H$533,EK$4,0)*$Q92,0)</f>
        <v>0</v>
      </c>
      <c r="EL92">
        <f>IFERROR(VLOOKUP($D92,'Kalkulator mięs '!$C$5:$H$533,EL$4,0)*$R92,0)</f>
        <v>0</v>
      </c>
      <c r="EM92">
        <f>IFERROR(VLOOKUP($D92,'Kalkulator mięs '!$C$5:$H$533,EM$4,0)*$R92,0)</f>
        <v>0</v>
      </c>
      <c r="EN92">
        <f>IFERROR(VLOOKUP($D92,'Kalkulator mięs '!$C$5:$H$533,EN$4,0)*$R92,0)</f>
        <v>0</v>
      </c>
      <c r="EO92">
        <f>IFERROR(VLOOKUP($D92,'Kalkulator mięs '!$C$5:$H$533,EO$4,0)*$S92,0)</f>
        <v>0</v>
      </c>
      <c r="EP92">
        <f>IFERROR(VLOOKUP($D92,'Kalkulator mięs '!$C$5:$H$533,EP$4,0)*$S92,0)</f>
        <v>0</v>
      </c>
      <c r="EQ92">
        <f>IFERROR(VLOOKUP($D92,'Kalkulator mięs '!$C$5:$H$533,EQ$4,0)*$S92,0)</f>
        <v>0</v>
      </c>
      <c r="ER92">
        <f>IFERROR(VLOOKUP($D92,'Kalkulator mięs '!$C$5:$H$533,ER$4,0)*$T92,0)</f>
        <v>0</v>
      </c>
      <c r="ES92">
        <f>IFERROR(VLOOKUP($D92,'Kalkulator mięs '!$C$5:$H$533,ES$4,0)*$T92,0)</f>
        <v>0</v>
      </c>
      <c r="ET92">
        <f>IFERROR(VLOOKUP($D92,'Kalkulator mięs '!$C$5:$H$533,ET$4,0)*$T92,0)</f>
        <v>0</v>
      </c>
      <c r="EU92">
        <f>IFERROR(VLOOKUP($D92,'Kalkulator mięs '!$C$5:$H$533,EU$4,0)*$U92,0)</f>
        <v>0</v>
      </c>
      <c r="EV92">
        <f>IFERROR(VLOOKUP($D92,'Kalkulator mięs '!$C$5:$H$533,EV$4,0)*$U92,0)</f>
        <v>0</v>
      </c>
      <c r="EW92">
        <f>IFERROR(VLOOKUP($D92,'Kalkulator mięs '!$C$5:$H$533,EW$4,0)*$U92,0)</f>
        <v>0</v>
      </c>
      <c r="EX92">
        <f>IFERROR(VLOOKUP($D92,'Kalkulator mięs '!$C$5:$H$533,EX$4,0)*$V92,0)</f>
        <v>0</v>
      </c>
      <c r="EY92">
        <f>IFERROR(VLOOKUP($D92,'Kalkulator mięs '!$C$5:$H$533,EY$4,0)*$V92,0)</f>
        <v>0</v>
      </c>
      <c r="EZ92">
        <f>IFERROR(VLOOKUP($D92,'Kalkulator mięs '!$C$5:$H$533,EZ$4,0)*$V92,0)</f>
        <v>0</v>
      </c>
      <c r="FA92">
        <f>IFERROR(VLOOKUP($D92,'Kalkulator mięs '!$C$5:$H$533,FA$4,0)*$W92,0)</f>
        <v>0</v>
      </c>
      <c r="FB92">
        <f>IFERROR(VLOOKUP($D92,'Kalkulator mięs '!$C$5:$H$533,FB$4,0)*$W92,0)</f>
        <v>0</v>
      </c>
      <c r="FC92">
        <f>IFERROR(VLOOKUP($D92,'Kalkulator mięs '!$C$5:$H$533,FC$4,0)*$W92,0)</f>
        <v>0</v>
      </c>
      <c r="FD92">
        <f>IFERROR(VLOOKUP($D92,'Kalkulator mięs '!$C$5:$H$533,FD$4,0)*$X92,0)</f>
        <v>0</v>
      </c>
      <c r="FE92">
        <f>IFERROR(VLOOKUP($D92,'Kalkulator mięs '!$C$5:$H$533,FE$4,0)*$X92,0)</f>
        <v>0</v>
      </c>
      <c r="FF92">
        <f>IFERROR(VLOOKUP($D92,'Kalkulator mięs '!$C$5:$H$533,FF$4,0)*$X92,0)</f>
        <v>0</v>
      </c>
      <c r="FG92">
        <f>IFERROR(VLOOKUP($D92,'Kalkulator mięs '!$C$5:$H$533,FG$4,0)*$Y92,0)</f>
        <v>0</v>
      </c>
      <c r="FH92">
        <f>IFERROR(VLOOKUP($D92,'Kalkulator mięs '!$C$5:$H$533,FH$4,0)*$Y92,0)</f>
        <v>0</v>
      </c>
      <c r="FI92">
        <f>IFERROR(VLOOKUP($D92,'Kalkulator mięs '!$C$5:$H$533,FI$4,0)*$Y92,0)</f>
        <v>0</v>
      </c>
      <c r="FJ92">
        <f>IFERROR(VLOOKUP($D92,'Kalkulator mięs '!$C$5:$H$533,FJ$4,0)*$Z92,0)</f>
        <v>0</v>
      </c>
      <c r="FK92">
        <f>IFERROR(VLOOKUP($D92,'Kalkulator mięs '!$C$5:$H$533,FK$4,0)*$Z92,0)</f>
        <v>0</v>
      </c>
      <c r="FL92">
        <f>IFERROR(VLOOKUP($D92,'Kalkulator mięs '!$C$5:$H$533,FL$4,0)*$Z92,0)</f>
        <v>0</v>
      </c>
      <c r="FM92">
        <f>IFERROR(VLOOKUP($D92,'Kalkulator mięs '!$C$5:$H$533,FM$4,0)*$AA92,0)</f>
        <v>0</v>
      </c>
      <c r="FN92">
        <f>IFERROR(VLOOKUP($D92,'Kalkulator mięs '!$C$5:$H$533,FN$4,0)*$AA92,0)</f>
        <v>0</v>
      </c>
      <c r="FO92">
        <f>IFERROR(VLOOKUP($D92,'Kalkulator mięs '!$C$5:$H$533,FO$4,0)*$AA92,0)</f>
        <v>0</v>
      </c>
      <c r="FP92">
        <f>IFERROR(VLOOKUP($D92,'Kalkulator mięs '!$C$5:$H$533,FP$4,0)*$AB92,0)</f>
        <v>0</v>
      </c>
      <c r="FQ92">
        <f>IFERROR(VLOOKUP($D92,'Kalkulator mięs '!$C$5:$H$533,FQ$4,0)*$AB92,0)</f>
        <v>0</v>
      </c>
      <c r="FR92">
        <f>IFERROR(VLOOKUP($D92,'Kalkulator mięs '!$C$5:$H$533,FR$4,0)*$AB92,0)</f>
        <v>0</v>
      </c>
      <c r="FS92">
        <f>IFERROR(VLOOKUP($D92,'Kalkulator mięs '!$C$5:$H$533,FS$4,0)*$AC92,0)</f>
        <v>0</v>
      </c>
      <c r="FT92">
        <f>IFERROR(VLOOKUP($D92,'Kalkulator mięs '!$C$5:$H$533,FT$4,0)*$AC92,0)</f>
        <v>0</v>
      </c>
      <c r="FU92">
        <f>IFERROR(VLOOKUP($D92,'Kalkulator mięs '!$C$5:$H$533,FU$4,0)*$AC92,0)</f>
        <v>0</v>
      </c>
      <c r="FV92">
        <f>IFERROR(VLOOKUP($D92,'Kalkulator mięs '!$C$5:$H$533,FV$4,0)*$AD92,0)</f>
        <v>0</v>
      </c>
      <c r="FW92">
        <f>IFERROR(VLOOKUP($D92,'Kalkulator mięs '!$C$5:$H$533,FW$4,0)*$AD92,0)</f>
        <v>0</v>
      </c>
      <c r="FX92">
        <f>IFERROR(VLOOKUP($D92,'Kalkulator mięs '!$C$5:$H$533,FX$4,0)*$AD92,0)</f>
        <v>0</v>
      </c>
      <c r="FY92">
        <f>IFERROR(VLOOKUP($D92,'Kalkulator mięs '!$C$5:$H$533,FY$4,0)*$AE92,0)</f>
        <v>0</v>
      </c>
      <c r="FZ92">
        <f>IFERROR(VLOOKUP($D92,'Kalkulator mięs '!$C$5:$H$533,FZ$4,0)*$AE92,0)</f>
        <v>0</v>
      </c>
      <c r="GA92">
        <f>IFERROR(VLOOKUP($D92,'Kalkulator mięs '!$C$5:$H$533,GA$4,0)*$AE92,0)</f>
        <v>0</v>
      </c>
      <c r="GB92">
        <f>IFERROR(VLOOKUP($D92,'Kalkulator mięs '!$C$5:$H$533,GB$4,0)*$AF92,0)</f>
        <v>0</v>
      </c>
      <c r="GC92">
        <f>IFERROR(VLOOKUP($D92,'Kalkulator mięs '!$C$5:$H$533,GC$4,0)*$AF92,0)</f>
        <v>0</v>
      </c>
      <c r="GD92">
        <f>IFERROR(VLOOKUP($D92,'Kalkulator mięs '!$C$5:$H$533,GD$4,0)*$AF92,0)</f>
        <v>0</v>
      </c>
      <c r="GE92">
        <f>IFERROR(VLOOKUP($D92,'Kalkulator mięs '!$C$5:$H$533,GE$4,0)*$AG92,0)</f>
        <v>0</v>
      </c>
      <c r="GF92">
        <f>IFERROR(VLOOKUP($D92,'Kalkulator mięs '!$C$5:$H$533,GF$4,0)*$AG92,0)</f>
        <v>0</v>
      </c>
      <c r="GG92">
        <f>IFERROR(VLOOKUP($D92,'Kalkulator mięs '!$C$5:$H$533,GG$4,0)*$AG92,0)</f>
        <v>0</v>
      </c>
      <c r="GH92">
        <f>IFERROR(VLOOKUP($D92,'Kalkulator mięs '!$C$5:$H$533,GH$4,0)*$AH92,0)</f>
        <v>0</v>
      </c>
      <c r="GI92">
        <f>IFERROR(VLOOKUP($D92,'Kalkulator mięs '!$C$5:$H$533,GI$4,0)*$AH92,0)</f>
        <v>0</v>
      </c>
      <c r="GJ92">
        <f>IFERROR(VLOOKUP($D92,'Kalkulator mięs '!$C$5:$H$533,GJ$4,0)*$AH92,0)</f>
        <v>0</v>
      </c>
      <c r="GK92">
        <f>IFERROR(VLOOKUP($D92,'Kalkulator mięs '!$C$5:$H$533,GK$4,0)*$AI92,0)</f>
        <v>0</v>
      </c>
      <c r="GL92">
        <f>IFERROR(VLOOKUP($D92,'Kalkulator mięs '!$C$5:$H$533,GL$4,0)*$AI92,0)</f>
        <v>0</v>
      </c>
      <c r="GM92">
        <f>IFERROR(VLOOKUP($D92,'Kalkulator mięs '!$C$5:$H$533,GM$4,0)*$AI92,0)</f>
        <v>0</v>
      </c>
      <c r="GN92">
        <f>IFERROR(VLOOKUP($D92,'Kalkulator mięs '!$C$5:$H$533,GN$4,0)*$AJ92,0)</f>
        <v>0</v>
      </c>
      <c r="GO92">
        <f>IFERROR(VLOOKUP($D92,'Kalkulator mięs '!$C$5:$H$533,GO$4,0)*$AJ92,0)</f>
        <v>0</v>
      </c>
      <c r="GP92">
        <f>IFERROR(VLOOKUP($D92,'Kalkulator mięs '!$C$5:$H$533,GP$4,0)*$AJ92,0)</f>
        <v>0</v>
      </c>
      <c r="GQ92">
        <f>IFERROR(VLOOKUP($D92,'Kalkulator mięs '!$C$5:$H$533,GQ$4,0)*$AK92,0)</f>
        <v>0</v>
      </c>
      <c r="GR92">
        <f>IFERROR(VLOOKUP($D92,'Kalkulator mięs '!$C$5:$H$533,GR$4,0)*$AK92,0)</f>
        <v>0</v>
      </c>
      <c r="GS92">
        <f>IFERROR(VLOOKUP($D92,'Kalkulator mięs '!$C$5:$H$533,GS$4,0)*$AK92,0)</f>
        <v>0</v>
      </c>
      <c r="GT92">
        <f>IFERROR(VLOOKUP($D92,'Kalkulator mięs '!$C$5:$H$533,GT$4,0)*$AL92,0)</f>
        <v>0</v>
      </c>
      <c r="GU92">
        <f>IFERROR(VLOOKUP($D92,'Kalkulator mięs '!$C$5:$H$533,GU$4,0)*$AL92,0)</f>
        <v>0</v>
      </c>
      <c r="GV92">
        <f>IFERROR(VLOOKUP($D92,'Kalkulator mięs '!$C$5:$H$533,GV$4,0)*$AL92,0)</f>
        <v>0</v>
      </c>
      <c r="GW92">
        <f>IFERROR(VLOOKUP($D92,'Kalkulator mięs '!$C$5:$H$533,GW$4,0)*$AM92,0)</f>
        <v>0</v>
      </c>
      <c r="GX92">
        <f>IFERROR(VLOOKUP($D92,'Kalkulator mięs '!$C$5:$H$533,GX$4,0)*$AM92,0)</f>
        <v>0</v>
      </c>
      <c r="GY92">
        <f>IFERROR(VLOOKUP($D92,'Kalkulator mięs '!$C$5:$H$533,GY$4,0)*$AM92,0)</f>
        <v>0</v>
      </c>
      <c r="GZ92">
        <f>IFERROR(VLOOKUP($D92,'Kalkulator mięs '!$C$5:$H$533,GZ$4,0)*$AN92,0)</f>
        <v>0</v>
      </c>
      <c r="HA92">
        <f>IFERROR(VLOOKUP($D92,'Kalkulator mięs '!$C$5:$H$533,HA$4,0)*$AN92,0)</f>
        <v>0</v>
      </c>
      <c r="HB92">
        <f>IFERROR(VLOOKUP($D92,'Kalkulator mięs '!$C$5:$H$533,HB$4,0)*$AN92,0)</f>
        <v>0</v>
      </c>
      <c r="HC92">
        <f>IFERROR(VLOOKUP($D92,'Kalkulator mięs '!$C$5:$H$533,HC$4,0)*$AO92,0)</f>
        <v>0</v>
      </c>
      <c r="HD92">
        <f>IFERROR(VLOOKUP($D92,'Kalkulator mięs '!$C$5:$H$533,HD$4,0)*$AO92,0)</f>
        <v>0</v>
      </c>
      <c r="HE92">
        <f>IFERROR(VLOOKUP($D92,'Kalkulator mięs '!$C$5:$H$533,HE$4,0)*$AO92,0)</f>
        <v>0</v>
      </c>
      <c r="HF92">
        <f>IFERROR(VLOOKUP($D92,'Kalkulator mięs '!$C$5:$H$533,HF$4,0)*$AP92,0)</f>
        <v>0</v>
      </c>
      <c r="HG92">
        <f>IFERROR(VLOOKUP($D92,'Kalkulator mięs '!$C$5:$H$533,HG$4,0)*$AP92,0)</f>
        <v>0</v>
      </c>
      <c r="HH92">
        <f>IFERROR(VLOOKUP($D92,'Kalkulator mięs '!$C$5:$H$533,HH$4,0)*$AP92,0)</f>
        <v>0</v>
      </c>
      <c r="HI92">
        <f>IFERROR(VLOOKUP($D92,'Kalkulator mięs '!$C$5:$H$533,HI$4,0)*$AQ92,0)</f>
        <v>0</v>
      </c>
      <c r="HJ92">
        <f>IFERROR(VLOOKUP($D92,'Kalkulator mięs '!$C$5:$H$533,HJ$4,0)*$AQ92,0)</f>
        <v>0</v>
      </c>
      <c r="HK92">
        <f>IFERROR(VLOOKUP($D92,'Kalkulator mięs '!$C$5:$H$533,HK$4,0)*$AQ92,0)</f>
        <v>0</v>
      </c>
      <c r="HL92">
        <f>IFERROR(VLOOKUP($D92,'Kalkulator mięs '!$C$5:$H$533,HL$4,0)*$AR92,0)</f>
        <v>0</v>
      </c>
      <c r="HM92">
        <f>IFERROR(VLOOKUP($D92,'Kalkulator mięs '!$C$5:$H$533,HM$4,0)*$AR92,0)</f>
        <v>0</v>
      </c>
      <c r="HN92">
        <f>IFERROR(VLOOKUP($D92,'Kalkulator mięs '!$C$5:$H$533,HN$4,0)*$AR92,0)</f>
        <v>0</v>
      </c>
      <c r="HO92">
        <f>IFERROR(VLOOKUP($D92,'Kalkulator mięs '!$C$5:$H$533,HO$4,0)*$AS92,0)</f>
        <v>0</v>
      </c>
      <c r="HP92">
        <f>IFERROR(VLOOKUP($D92,'Kalkulator mięs '!$C$5:$H$533,HP$4,0)*$AS92,0)</f>
        <v>0</v>
      </c>
      <c r="HQ92">
        <f>IFERROR(VLOOKUP($D92,'Kalkulator mięs '!$C$5:$H$533,HQ$4,0)*$AS92,0)</f>
        <v>0</v>
      </c>
      <c r="HR92">
        <f>IFERROR(VLOOKUP($D92,'Kalkulator mięs '!$C$5:$H$533,HR$4,0)*$AT92,0)</f>
        <v>0</v>
      </c>
      <c r="HS92">
        <f>IFERROR(VLOOKUP($D92,'Kalkulator mięs '!$C$5:$H$533,HS$4,0)*$AT92,0)</f>
        <v>0</v>
      </c>
      <c r="HT92">
        <f>IFERROR(VLOOKUP($D92,'Kalkulator mięs '!$C$5:$H$533,HT$4,0)*$AT92,0)</f>
        <v>0</v>
      </c>
      <c r="HU92">
        <f>IFERROR(VLOOKUP($D92,'Kalkulator mięs '!$C$5:$H$533,HU$4,0)*$AU92,0)</f>
        <v>0</v>
      </c>
      <c r="HV92">
        <f>IFERROR(VLOOKUP($D92,'Kalkulator mięs '!$C$5:$H$533,HV$4,0)*$AU92,0)</f>
        <v>0</v>
      </c>
      <c r="HW92">
        <f>IFERROR(VLOOKUP($D92,'Kalkulator mięs '!$C$5:$H$533,HW$4,0)*$AU92,0)</f>
        <v>0</v>
      </c>
      <c r="HX92">
        <f>IFERROR(VLOOKUP($D92,'Kalkulator mięs '!$C$5:$H$533,HX$4,0)*$AV92,0)</f>
        <v>0</v>
      </c>
      <c r="HY92">
        <f>IFERROR(VLOOKUP($D92,'Kalkulator mięs '!$C$5:$H$533,HY$4,0)*$AV92,0)</f>
        <v>0</v>
      </c>
      <c r="HZ92">
        <f>IFERROR(VLOOKUP($D92,'Kalkulator mięs '!$C$5:$H$533,HZ$4,0)*$AV92,0)</f>
        <v>0</v>
      </c>
      <c r="IA92">
        <f>IFERROR(VLOOKUP($D92,'Kalkulator mięs '!$C$5:$H$533,IA$4,0)*$AW92,0)</f>
        <v>0</v>
      </c>
      <c r="IB92">
        <f>IFERROR(VLOOKUP($D92,'Kalkulator mięs '!$C$5:$H$533,IB$4,0)*$AW92,0)</f>
        <v>0</v>
      </c>
      <c r="IC92">
        <f>IFERROR(VLOOKUP($D92,'Kalkulator mięs '!$C$5:$H$533,IC$4,0)*$AW92,0)</f>
        <v>0</v>
      </c>
      <c r="ID92">
        <f>IFERROR(VLOOKUP($D92,'Kalkulator mięs '!$C$5:$H$533,ID$4,0)*$AX92,0)</f>
        <v>0</v>
      </c>
      <c r="IE92">
        <f>IFERROR(VLOOKUP($D92,'Kalkulator mięs '!$C$5:$H$533,IE$4,0)*$AX92,0)</f>
        <v>0</v>
      </c>
      <c r="IF92">
        <f>IFERROR(VLOOKUP($D92,'Kalkulator mięs '!$C$5:$H$533,IF$4,0)*$AX92,0)</f>
        <v>0</v>
      </c>
      <c r="IG92">
        <f>IFERROR(VLOOKUP($D92,'Kalkulator mięs '!$C$5:$H$533,IG$4,0)*$AY92,0)</f>
        <v>0</v>
      </c>
      <c r="IH92">
        <f>IFERROR(VLOOKUP($D92,'Kalkulator mięs '!$C$5:$H$533,IH$4,0)*$AY92,0)</f>
        <v>0</v>
      </c>
      <c r="II92">
        <f>IFERROR(VLOOKUP($D92,'Kalkulator mięs '!$C$5:$H$533,II$4,0)*$AY92,0)</f>
        <v>0</v>
      </c>
      <c r="IJ92">
        <f>IFERROR(VLOOKUP($D92,'Kalkulator mięs '!$C$5:$H$533,IJ$4,0)*$AZ92,0)</f>
        <v>0</v>
      </c>
      <c r="IK92">
        <f>IFERROR(VLOOKUP($D92,'Kalkulator mięs '!$C$5:$H$533,IK$4,0)*$AZ92,0)</f>
        <v>0</v>
      </c>
      <c r="IL92">
        <f>IFERROR(VLOOKUP($D92,'Kalkulator mięs '!$C$5:$H$533,IL$4,0)*$AZ92,0)</f>
        <v>0</v>
      </c>
      <c r="IM92">
        <f>IFERROR(VLOOKUP($D92,'Kalkulator mięs '!$C$5:$H$533,IM$4,0)*$BA92,0)</f>
        <v>0</v>
      </c>
      <c r="IN92">
        <f>IFERROR(VLOOKUP($D92,'Kalkulator mięs '!$C$5:$H$533,IN$4,0)*$BA92,0)</f>
        <v>0</v>
      </c>
      <c r="IO92">
        <f>IFERROR(VLOOKUP($D92,'Kalkulator mięs '!$C$5:$H$533,IO$4,0)*$BA92,0)</f>
        <v>0</v>
      </c>
    </row>
    <row r="93" spans="2:249" ht="15.75">
      <c r="B93" t="str">
        <f>VLOOKUP(D93,Receptury_z!$A:$B,2,0)</f>
        <v>OFF</v>
      </c>
      <c r="C93" s="27">
        <v>5546</v>
      </c>
      <c r="D93" s="28">
        <v>6444</v>
      </c>
      <c r="E93" s="1" t="s">
        <v>26</v>
      </c>
      <c r="F93" s="14">
        <f>IF($B93="OFF",BE93,VLOOKUP($D93,Receptury_z!$D:$AI,F$4,0))</f>
        <v>0</v>
      </c>
      <c r="G93" s="14">
        <f>IF($B93="OFF",BF93,VLOOKUP($D93,Receptury_z!$D:$AI,G$4,0))</f>
        <v>0</v>
      </c>
      <c r="H93" s="14" t="str">
        <f>IF($B93="OFF",BG93,VLOOKUP($D93,Receptury_z!$D:$AI,H$4,0))</f>
        <v>276.2</v>
      </c>
      <c r="I93" s="14">
        <f>IF($B93="OFF",BH93,VLOOKUP($D93,Receptury_z!$D:$AI,I$4,0))</f>
        <v>138.1</v>
      </c>
      <c r="J93" s="14">
        <f>IF($B93="OFF",BI93,VLOOKUP($D93,Receptury_z!$D:$AI,J$4,0))</f>
        <v>0</v>
      </c>
      <c r="K93" s="14">
        <f>IF($B93="OFF",BJ93,VLOOKUP($D93,Receptury_z!$D:$AI,K$4,0))</f>
        <v>0</v>
      </c>
      <c r="L93" s="14">
        <f>IF($B93="OFF",BK93,VLOOKUP($D93,Receptury_z!$D:$AI,L$4,0))</f>
        <v>0</v>
      </c>
      <c r="M93" s="14">
        <f>IF($B93="OFF",BL93,VLOOKUP($D93,Receptury_z!$D:$AI,M$4,0))</f>
        <v>0</v>
      </c>
      <c r="N93" s="14">
        <f>IF($B93="OFF",BM93,VLOOKUP($D93,Receptury_z!$D:$AI,N$4,0))</f>
        <v>92.1</v>
      </c>
      <c r="O93" s="14">
        <f>IF($B93="OFF",BN93,VLOOKUP($D93,Receptury_z!$D:$AI,O$4,0))</f>
        <v>0</v>
      </c>
      <c r="P93" s="14">
        <f>IF($B93="OFF",BO93,VLOOKUP($D93,Receptury_z!$D:$AI,P$4,0))</f>
        <v>0</v>
      </c>
      <c r="Q93" s="14">
        <f>IF($B93="OFF",BP93,VLOOKUP($D93,Receptury_z!$D:$AI,Q$4,0))</f>
        <v>138.1</v>
      </c>
      <c r="R93" s="14">
        <f>IF($B93="OFF",BQ93,VLOOKUP($D93,Receptury_z!$D:$AI,R$4,0))</f>
        <v>0</v>
      </c>
      <c r="S93" s="14">
        <f>IF($B93="OFF",BR93,VLOOKUP($D93,Receptury_z!$D:$AI,S$4,0))</f>
        <v>0</v>
      </c>
      <c r="T93" s="14">
        <f>IF($B93="OFF",BS93,VLOOKUP($D93,Receptury_z!$D:$AI,T$4,0))</f>
        <v>184.2</v>
      </c>
      <c r="U93" s="14">
        <f>IF($B93="OFF",BT93,VLOOKUP($D93,Receptury_z!$D:$AI,U$4,0))</f>
        <v>27.6</v>
      </c>
      <c r="V93" s="14">
        <f>IF($B93="OFF",BU93,VLOOKUP($D93,Receptury_z!$D:$AI,V$4,0))</f>
        <v>0</v>
      </c>
      <c r="W93" s="14">
        <f>IF($B93="OFF",BV93,VLOOKUP($D93,Receptury_z!$D:$AI,W$4,0))</f>
        <v>0</v>
      </c>
      <c r="X93" s="14">
        <f>IF($B93="OFF",BW93,VLOOKUP($D93,Receptury_z!$D:$AI,X$4,0))</f>
        <v>0</v>
      </c>
      <c r="Y93" s="14">
        <f>IF($B93="OFF",BX93,VLOOKUP($D93,Receptury_z!$D:$AI,Y$4,0))</f>
        <v>0</v>
      </c>
      <c r="Z93" s="14">
        <f>IF($B93="OFF",BY93,VLOOKUP($D93,Receptury_z!$D:$AI,Z$4,0))</f>
        <v>0</v>
      </c>
      <c r="AA93" s="14">
        <f>IF($B93="OFF",BZ93,VLOOKUP($D93,Receptury_z!$D:$AI,AA$4,0))</f>
        <v>0</v>
      </c>
      <c r="AB93" s="14">
        <f>IF($B93="OFF",CA93,VLOOKUP($D93,Receptury_z!$D:$AI,AB$4,0))</f>
        <v>64.41</v>
      </c>
      <c r="AC93" s="14">
        <f>IF($B93="OFF",CB93,VLOOKUP($D93,Receptury_z!$D:$AI,AC$4,0))</f>
        <v>0</v>
      </c>
      <c r="AD93" s="14">
        <f>IF($B93="OFF",CC93,VLOOKUP($D93,Receptury_z!$D:$AI,AD$4,0))</f>
        <v>0</v>
      </c>
      <c r="AE93" s="14">
        <f>IF($B93="OFF",CD93,VLOOKUP($D93,Receptury_z!$D:$AI,AE$4,0))</f>
        <v>0</v>
      </c>
      <c r="AF93" s="14">
        <f>IF($B93="OFF",CE93,VLOOKUP($D93,Receptury_z!$D:$AI,AF$4,0))</f>
        <v>0</v>
      </c>
      <c r="AG93" s="14">
        <f>IF($B93="OFF",CF93,VLOOKUP($D93,Receptury_z!$D:$AI,AG$4,0))</f>
        <v>0</v>
      </c>
      <c r="AH93" s="14">
        <f>IF($B93="OFF",CG93,VLOOKUP($D93,Receptury_z!$D:$AI,AH$4,0))</f>
        <v>0</v>
      </c>
      <c r="AI93" s="14">
        <f>IF($B93="OFF",CH93,VLOOKUP($D93,Receptury_z!$D:$AI,AI$4,0))</f>
        <v>0</v>
      </c>
      <c r="AJ93" s="14">
        <f>IF($B93="OFF",CI93,VLOOKUP($D93,Receptury_z!$D:$AS,AJ$4,0))</f>
        <v>0</v>
      </c>
      <c r="AK93" s="14">
        <f>IF($B93="OFF",CJ93,VLOOKUP($D93,Receptury_z!$D:$AS,AK$4,0))</f>
        <v>0</v>
      </c>
      <c r="AL93" s="14">
        <f>IF($B93="OFF",CK93,VLOOKUP($D93,Receptury_z!$D:$AS,AL$4,0))</f>
        <v>0</v>
      </c>
      <c r="AM93" s="14">
        <f>IF($B93="OFF",CL93,VLOOKUP($D93,Receptury_z!$D:$AS,AM$4,0))</f>
        <v>0</v>
      </c>
      <c r="AN93" s="14">
        <f>IF($B93="OFF",CM93,VLOOKUP($D93,Receptury_z!$D:$AS,AN$4,0))</f>
        <v>0</v>
      </c>
      <c r="AO93" s="14">
        <f>IF($B93="OFF",CN93,VLOOKUP($D93,Receptury_z!$D:$AS,AO$4,0))</f>
        <v>0</v>
      </c>
      <c r="AP93" s="14">
        <f>IF($B93="OFF",CO93,VLOOKUP($D93,Receptury_z!$D:$AS,AP$4,0))</f>
        <v>0</v>
      </c>
      <c r="AQ93" s="14">
        <f>IF($B93="OFF",CP93,VLOOKUP($D93,Receptury_z!$D:$AS,AQ$4,0))</f>
        <v>0</v>
      </c>
      <c r="AR93" s="14">
        <f>IF($B93="OFF",CQ93,VLOOKUP($D93,Receptury_z!$D:$AS,AR$4,0))</f>
        <v>0</v>
      </c>
      <c r="AS93" s="14">
        <f>IF($B93="OFF",CR93,VLOOKUP($D93,Receptury_z!$D:$AS,AS$4,0))</f>
        <v>0</v>
      </c>
      <c r="AT93" s="14">
        <f>IF($B93="OFF",CS93,VLOOKUP($D93,Receptury_z!$D:$AV,AT$4,0))</f>
        <v>0</v>
      </c>
      <c r="AU93" s="14">
        <f>IF($B93="OFF",CT93,VLOOKUP($D93,Receptury_z!$D:$AV,AU$4,0))</f>
        <v>0</v>
      </c>
      <c r="AV93" s="14">
        <f>IF($B93="OFF",CU93,VLOOKUP($D93,Receptury_z!$D:$AV,AV$4,0))</f>
        <v>0</v>
      </c>
      <c r="AW93" s="14">
        <f>IF($B93="OFF",CV93,VLOOKUP($D93,Receptury_z!$D:$BA,AW$4,0))</f>
        <v>0</v>
      </c>
      <c r="AX93" s="14">
        <f>IF($B93="OFF",CW93,VLOOKUP($D93,Receptury_z!$D:$BA,AX$4,0))</f>
        <v>0</v>
      </c>
      <c r="AY93" s="14">
        <f>IF($B93="OFF",CX93,VLOOKUP($D93,Receptury_z!$D:$BA,AY$4,0))</f>
        <v>0</v>
      </c>
      <c r="AZ93" s="14">
        <f>IF($B93="OFF",DA93,VLOOKUP($D93,Receptury_z!$D:$BA,AZ$4,0))</f>
        <v>0</v>
      </c>
      <c r="BA93" s="14">
        <f>IF($B93="OFF",DB93,VLOOKUP($D93,Receptury_z!$D:$BA,BA$4,0))</f>
        <v>0</v>
      </c>
      <c r="BC93" s="28">
        <v>6444</v>
      </c>
      <c r="BD93" s="1" t="s">
        <v>26</v>
      </c>
      <c r="BE93" s="239">
        <v>0</v>
      </c>
      <c r="BF93" s="239">
        <v>0</v>
      </c>
      <c r="BG93" s="239" t="s">
        <v>81</v>
      </c>
      <c r="BH93" s="239">
        <v>138.1</v>
      </c>
      <c r="BI93" s="239">
        <v>0</v>
      </c>
      <c r="BJ93" s="239">
        <v>0</v>
      </c>
      <c r="BK93" s="239">
        <v>0</v>
      </c>
      <c r="BL93" s="239">
        <v>0</v>
      </c>
      <c r="BM93" s="239">
        <v>92.1</v>
      </c>
      <c r="BN93" s="239">
        <v>0</v>
      </c>
      <c r="BO93" s="239">
        <v>0</v>
      </c>
      <c r="BP93" s="239">
        <v>138.1</v>
      </c>
      <c r="BQ93" s="239">
        <v>0</v>
      </c>
      <c r="BR93" s="239">
        <v>0</v>
      </c>
      <c r="BS93" s="239">
        <v>184.2</v>
      </c>
      <c r="BT93" s="239">
        <v>27.6</v>
      </c>
      <c r="BU93" s="239">
        <v>0</v>
      </c>
      <c r="BV93" s="239">
        <v>0</v>
      </c>
      <c r="BW93" s="239">
        <v>0</v>
      </c>
      <c r="BX93" s="239">
        <v>0</v>
      </c>
      <c r="BY93" s="239">
        <v>0</v>
      </c>
      <c r="BZ93" s="239">
        <v>0</v>
      </c>
      <c r="CA93" s="239">
        <v>64.41</v>
      </c>
      <c r="CB93" s="239">
        <v>0</v>
      </c>
      <c r="CC93" s="239">
        <v>0</v>
      </c>
      <c r="CD93" s="239">
        <v>0</v>
      </c>
      <c r="CE93" s="239">
        <v>0</v>
      </c>
      <c r="CF93" s="239">
        <v>0</v>
      </c>
      <c r="CG93" s="239">
        <v>0</v>
      </c>
      <c r="CH93" s="239">
        <v>0</v>
      </c>
      <c r="CI93" s="239">
        <v>0</v>
      </c>
      <c r="CJ93" s="239">
        <v>0</v>
      </c>
      <c r="CK93" s="239">
        <v>0</v>
      </c>
      <c r="CL93" s="239">
        <v>0</v>
      </c>
      <c r="CM93" s="80"/>
      <c r="CN93" s="80"/>
      <c r="CO93" s="80"/>
      <c r="CP93" s="80"/>
      <c r="CQ93" s="80"/>
      <c r="CR93" s="80"/>
      <c r="CS93" s="80"/>
      <c r="CT93" s="80"/>
      <c r="CU93" s="80"/>
      <c r="CV93" s="80"/>
      <c r="CW93" s="80"/>
      <c r="CX93" s="80"/>
      <c r="CY93" s="80"/>
      <c r="CZ93" s="80"/>
      <c r="DB93">
        <f>IFERROR(VLOOKUP($D93,'Kalkulator mięs '!$C$5:$H$533,DB$4,0)*F93,0)</f>
        <v>0</v>
      </c>
      <c r="DC93">
        <f>IFERROR(VLOOKUP($D93,'Kalkulator mięs '!$C$5:$H$533,DC$4,0)*F93,0)</f>
        <v>0</v>
      </c>
      <c r="DD93">
        <f>IFERROR(VLOOKUP($D93,'Kalkulator mięs '!$C$5:$H$533,DD$4,0)*F93,0)</f>
        <v>0</v>
      </c>
      <c r="DE93">
        <f>IFERROR(VLOOKUP($D93,'Kalkulator mięs '!$C$5:$H$533,DE$4,0)*$G93,0)</f>
        <v>0</v>
      </c>
      <c r="DF93">
        <f>IFERROR(VLOOKUP($D93,'Kalkulator mięs '!$C$5:$H$533,DF$4,0)*$G93,0)</f>
        <v>0</v>
      </c>
      <c r="DG93">
        <f>IFERROR(VLOOKUP($D93,'Kalkulator mięs '!$C$5:$H$533,DG$4,0)*$G93,0)</f>
        <v>0</v>
      </c>
      <c r="DH93">
        <f>IFERROR(VLOOKUP($D93,'Kalkulator mięs '!$C$5:$H$533,DH$4,0)*$H93,0)</f>
        <v>0</v>
      </c>
      <c r="DI93">
        <f>IFERROR(VLOOKUP($D93,'Kalkulator mięs '!$C$5:$H$533,DI$4,0)*$H93,0)</f>
        <v>0</v>
      </c>
      <c r="DJ93">
        <f>IFERROR(VLOOKUP($D93,'Kalkulator mięs '!$C$5:$H$533,DJ$4,0)*$H93,0)</f>
        <v>0</v>
      </c>
      <c r="DK93">
        <f>IFERROR(VLOOKUP($D93,'Kalkulator mięs '!$C$5:$H$533,DK$4,0)*$I93,0)</f>
        <v>0</v>
      </c>
      <c r="DL93">
        <f>IFERROR(VLOOKUP($D93,'Kalkulator mięs '!$C$5:$H$533,DL$4,0)*$I93,0)</f>
        <v>0</v>
      </c>
      <c r="DM93">
        <f>IFERROR(VLOOKUP($D93,'Kalkulator mięs '!$C$5:$H$533,DM$4,0)*$I93,0)</f>
        <v>0</v>
      </c>
      <c r="DN93">
        <f>IFERROR(VLOOKUP($D93,'Kalkulator mięs '!$C$5:$H$533,DN$4,0)*$J93,0)</f>
        <v>0</v>
      </c>
      <c r="DO93">
        <f>IFERROR(VLOOKUP($D93,'Kalkulator mięs '!$C$5:$H$533,DO$4,0)*$J93,0)</f>
        <v>0</v>
      </c>
      <c r="DP93">
        <f>IFERROR(VLOOKUP($D93,'Kalkulator mięs '!$C$5:$H$533,DP$4,0)*$J93,0)</f>
        <v>0</v>
      </c>
      <c r="DQ93">
        <f>IFERROR(VLOOKUP($D93,'Kalkulator mięs '!$C$5:$H$533,DQ$4,0)*$K93,0)</f>
        <v>0</v>
      </c>
      <c r="DR93">
        <f>IFERROR(VLOOKUP($D93,'Kalkulator mięs '!$C$5:$H$533,DR$4,0)*$K93,0)</f>
        <v>0</v>
      </c>
      <c r="DS93">
        <f>IFERROR(VLOOKUP($D93,'Kalkulator mięs '!$C$5:$H$533,DS$4,0)*$K93,0)</f>
        <v>0</v>
      </c>
      <c r="DT93">
        <f>IFERROR(VLOOKUP($D93,'Kalkulator mięs '!$C$5:$H$533,DT$4,0)*$L93,0)</f>
        <v>0</v>
      </c>
      <c r="DU93">
        <f>IFERROR(VLOOKUP($D93,'Kalkulator mięs '!$C$5:$H$533,DU$4,0)*$L93,0)</f>
        <v>0</v>
      </c>
      <c r="DV93">
        <f>IFERROR(VLOOKUP($D93,'Kalkulator mięs '!$C$5:$H$533,DV$4,0)*$L93,0)</f>
        <v>0</v>
      </c>
      <c r="DW93">
        <f>IFERROR(VLOOKUP($D93,'Kalkulator mięs '!$C$5:$H$533,DW$4,0)*$M93,0)</f>
        <v>0</v>
      </c>
      <c r="DX93">
        <f>IFERROR(VLOOKUP($D93,'Kalkulator mięs '!$C$5:$H$533,DX$4,0)*$M93,0)</f>
        <v>0</v>
      </c>
      <c r="DY93">
        <f>IFERROR(VLOOKUP($D93,'Kalkulator mięs '!$C$5:$H$533,DY$4,0)*$M93,0)</f>
        <v>0</v>
      </c>
      <c r="DZ93">
        <f>IFERROR(VLOOKUP($D93,'Kalkulator mięs '!$C$5:$H$533,DZ$4,0)*$N93,0)</f>
        <v>0</v>
      </c>
      <c r="EA93">
        <f>IFERROR(VLOOKUP($D93,'Kalkulator mięs '!$C$5:$H$533,EA$4,0)*$N93,0)</f>
        <v>0</v>
      </c>
      <c r="EB93">
        <f>IFERROR(VLOOKUP($D93,'Kalkulator mięs '!$C$5:$H$533,EB$4,0)*$N93,0)</f>
        <v>0</v>
      </c>
      <c r="EC93">
        <f>IFERROR(VLOOKUP($D93,'Kalkulator mięs '!$C$5:$H$533,EC$4,0)*$O93,0)</f>
        <v>0</v>
      </c>
      <c r="ED93">
        <f>IFERROR(VLOOKUP($D93,'Kalkulator mięs '!$C$5:$H$533,ED$4,0)*$O93,0)</f>
        <v>0</v>
      </c>
      <c r="EE93">
        <f>IFERROR(VLOOKUP($D93,'Kalkulator mięs '!$C$5:$H$533,EE$4,0)*$O93,0)</f>
        <v>0</v>
      </c>
      <c r="EF93">
        <f>IFERROR(VLOOKUP($D93,'Kalkulator mięs '!$C$5:$H$533,EF$4,0)*$P93,0)</f>
        <v>0</v>
      </c>
      <c r="EG93">
        <f>IFERROR(VLOOKUP($D93,'Kalkulator mięs '!$C$5:$H$533,EG$4,0)*$P93,0)</f>
        <v>0</v>
      </c>
      <c r="EH93">
        <f>IFERROR(VLOOKUP($D93,'Kalkulator mięs '!$C$5:$H$533,EH$4,0)*$P93,0)</f>
        <v>0</v>
      </c>
      <c r="EI93">
        <f>IFERROR(VLOOKUP($D93,'Kalkulator mięs '!$C$5:$H$533,EI$4,0)*$Q93,0)</f>
        <v>0</v>
      </c>
      <c r="EJ93">
        <f>IFERROR(VLOOKUP($D93,'Kalkulator mięs '!$C$5:$H$533,EJ$4,0)*$Q93,0)</f>
        <v>0</v>
      </c>
      <c r="EK93">
        <f>IFERROR(VLOOKUP($D93,'Kalkulator mięs '!$C$5:$H$533,EK$4,0)*$Q93,0)</f>
        <v>0</v>
      </c>
      <c r="EL93">
        <f>IFERROR(VLOOKUP($D93,'Kalkulator mięs '!$C$5:$H$533,EL$4,0)*$R93,0)</f>
        <v>0</v>
      </c>
      <c r="EM93">
        <f>IFERROR(VLOOKUP($D93,'Kalkulator mięs '!$C$5:$H$533,EM$4,0)*$R93,0)</f>
        <v>0</v>
      </c>
      <c r="EN93">
        <f>IFERROR(VLOOKUP($D93,'Kalkulator mięs '!$C$5:$H$533,EN$4,0)*$R93,0)</f>
        <v>0</v>
      </c>
      <c r="EO93">
        <f>IFERROR(VLOOKUP($D93,'Kalkulator mięs '!$C$5:$H$533,EO$4,0)*$S93,0)</f>
        <v>0</v>
      </c>
      <c r="EP93">
        <f>IFERROR(VLOOKUP($D93,'Kalkulator mięs '!$C$5:$H$533,EP$4,0)*$S93,0)</f>
        <v>0</v>
      </c>
      <c r="EQ93">
        <f>IFERROR(VLOOKUP($D93,'Kalkulator mięs '!$C$5:$H$533,EQ$4,0)*$S93,0)</f>
        <v>0</v>
      </c>
      <c r="ER93">
        <f>IFERROR(VLOOKUP($D93,'Kalkulator mięs '!$C$5:$H$533,ER$4,0)*$T93,0)</f>
        <v>0</v>
      </c>
      <c r="ES93">
        <f>IFERROR(VLOOKUP($D93,'Kalkulator mięs '!$C$5:$H$533,ES$4,0)*$T93,0)</f>
        <v>0</v>
      </c>
      <c r="ET93">
        <f>IFERROR(VLOOKUP($D93,'Kalkulator mięs '!$C$5:$H$533,ET$4,0)*$T93,0)</f>
        <v>0</v>
      </c>
      <c r="EU93">
        <f>IFERROR(VLOOKUP($D93,'Kalkulator mięs '!$C$5:$H$533,EU$4,0)*$U93,0)</f>
        <v>0</v>
      </c>
      <c r="EV93">
        <f>IFERROR(VLOOKUP($D93,'Kalkulator mięs '!$C$5:$H$533,EV$4,0)*$U93,0)</f>
        <v>0</v>
      </c>
      <c r="EW93">
        <f>IFERROR(VLOOKUP($D93,'Kalkulator mięs '!$C$5:$H$533,EW$4,0)*$U93,0)</f>
        <v>0</v>
      </c>
      <c r="EX93">
        <f>IFERROR(VLOOKUP($D93,'Kalkulator mięs '!$C$5:$H$533,EX$4,0)*$V93,0)</f>
        <v>0</v>
      </c>
      <c r="EY93">
        <f>IFERROR(VLOOKUP($D93,'Kalkulator mięs '!$C$5:$H$533,EY$4,0)*$V93,0)</f>
        <v>0</v>
      </c>
      <c r="EZ93">
        <f>IFERROR(VLOOKUP($D93,'Kalkulator mięs '!$C$5:$H$533,EZ$4,0)*$V93,0)</f>
        <v>0</v>
      </c>
      <c r="FA93">
        <f>IFERROR(VLOOKUP($D93,'Kalkulator mięs '!$C$5:$H$533,FA$4,0)*$W93,0)</f>
        <v>0</v>
      </c>
      <c r="FB93">
        <f>IFERROR(VLOOKUP($D93,'Kalkulator mięs '!$C$5:$H$533,FB$4,0)*$W93,0)</f>
        <v>0</v>
      </c>
      <c r="FC93">
        <f>IFERROR(VLOOKUP($D93,'Kalkulator mięs '!$C$5:$H$533,FC$4,0)*$W93,0)</f>
        <v>0</v>
      </c>
      <c r="FD93">
        <f>IFERROR(VLOOKUP($D93,'Kalkulator mięs '!$C$5:$H$533,FD$4,0)*$X93,0)</f>
        <v>0</v>
      </c>
      <c r="FE93">
        <f>IFERROR(VLOOKUP($D93,'Kalkulator mięs '!$C$5:$H$533,FE$4,0)*$X93,0)</f>
        <v>0</v>
      </c>
      <c r="FF93">
        <f>IFERROR(VLOOKUP($D93,'Kalkulator mięs '!$C$5:$H$533,FF$4,0)*$X93,0)</f>
        <v>0</v>
      </c>
      <c r="FG93">
        <f>IFERROR(VLOOKUP($D93,'Kalkulator mięs '!$C$5:$H$533,FG$4,0)*$Y93,0)</f>
        <v>0</v>
      </c>
      <c r="FH93">
        <f>IFERROR(VLOOKUP($D93,'Kalkulator mięs '!$C$5:$H$533,FH$4,0)*$Y93,0)</f>
        <v>0</v>
      </c>
      <c r="FI93">
        <f>IFERROR(VLOOKUP($D93,'Kalkulator mięs '!$C$5:$H$533,FI$4,0)*$Y93,0)</f>
        <v>0</v>
      </c>
      <c r="FJ93">
        <f>IFERROR(VLOOKUP($D93,'Kalkulator mięs '!$C$5:$H$533,FJ$4,0)*$Z93,0)</f>
        <v>0</v>
      </c>
      <c r="FK93">
        <f>IFERROR(VLOOKUP($D93,'Kalkulator mięs '!$C$5:$H$533,FK$4,0)*$Z93,0)</f>
        <v>0</v>
      </c>
      <c r="FL93">
        <f>IFERROR(VLOOKUP($D93,'Kalkulator mięs '!$C$5:$H$533,FL$4,0)*$Z93,0)</f>
        <v>0</v>
      </c>
      <c r="FM93">
        <f>IFERROR(VLOOKUP($D93,'Kalkulator mięs '!$C$5:$H$533,FM$4,0)*$AA93,0)</f>
        <v>0</v>
      </c>
      <c r="FN93">
        <f>IFERROR(VLOOKUP($D93,'Kalkulator mięs '!$C$5:$H$533,FN$4,0)*$AA93,0)</f>
        <v>0</v>
      </c>
      <c r="FO93">
        <f>IFERROR(VLOOKUP($D93,'Kalkulator mięs '!$C$5:$H$533,FO$4,0)*$AA93,0)</f>
        <v>0</v>
      </c>
      <c r="FP93">
        <f>IFERROR(VLOOKUP($D93,'Kalkulator mięs '!$C$5:$H$533,FP$4,0)*$AB93,0)</f>
        <v>0</v>
      </c>
      <c r="FQ93">
        <f>IFERROR(VLOOKUP($D93,'Kalkulator mięs '!$C$5:$H$533,FQ$4,0)*$AB93,0)</f>
        <v>0</v>
      </c>
      <c r="FR93">
        <f>IFERROR(VLOOKUP($D93,'Kalkulator mięs '!$C$5:$H$533,FR$4,0)*$AB93,0)</f>
        <v>0</v>
      </c>
      <c r="FS93">
        <f>IFERROR(VLOOKUP($D93,'Kalkulator mięs '!$C$5:$H$533,FS$4,0)*$AC93,0)</f>
        <v>0</v>
      </c>
      <c r="FT93">
        <f>IFERROR(VLOOKUP($D93,'Kalkulator mięs '!$C$5:$H$533,FT$4,0)*$AC93,0)</f>
        <v>0</v>
      </c>
      <c r="FU93">
        <f>IFERROR(VLOOKUP($D93,'Kalkulator mięs '!$C$5:$H$533,FU$4,0)*$AC93,0)</f>
        <v>0</v>
      </c>
      <c r="FV93">
        <f>IFERROR(VLOOKUP($D93,'Kalkulator mięs '!$C$5:$H$533,FV$4,0)*$AD93,0)</f>
        <v>0</v>
      </c>
      <c r="FW93">
        <f>IFERROR(VLOOKUP($D93,'Kalkulator mięs '!$C$5:$H$533,FW$4,0)*$AD93,0)</f>
        <v>0</v>
      </c>
      <c r="FX93">
        <f>IFERROR(VLOOKUP($D93,'Kalkulator mięs '!$C$5:$H$533,FX$4,0)*$AD93,0)</f>
        <v>0</v>
      </c>
      <c r="FY93">
        <f>IFERROR(VLOOKUP($D93,'Kalkulator mięs '!$C$5:$H$533,FY$4,0)*$AE93,0)</f>
        <v>0</v>
      </c>
      <c r="FZ93">
        <f>IFERROR(VLOOKUP($D93,'Kalkulator mięs '!$C$5:$H$533,FZ$4,0)*$AE93,0)</f>
        <v>0</v>
      </c>
      <c r="GA93">
        <f>IFERROR(VLOOKUP($D93,'Kalkulator mięs '!$C$5:$H$533,GA$4,0)*$AE93,0)</f>
        <v>0</v>
      </c>
      <c r="GB93">
        <f>IFERROR(VLOOKUP($D93,'Kalkulator mięs '!$C$5:$H$533,GB$4,0)*$AF93,0)</f>
        <v>0</v>
      </c>
      <c r="GC93">
        <f>IFERROR(VLOOKUP($D93,'Kalkulator mięs '!$C$5:$H$533,GC$4,0)*$AF93,0)</f>
        <v>0</v>
      </c>
      <c r="GD93">
        <f>IFERROR(VLOOKUP($D93,'Kalkulator mięs '!$C$5:$H$533,GD$4,0)*$AF93,0)</f>
        <v>0</v>
      </c>
      <c r="GE93">
        <f>IFERROR(VLOOKUP($D93,'Kalkulator mięs '!$C$5:$H$533,GE$4,0)*$AG93,0)</f>
        <v>0</v>
      </c>
      <c r="GF93">
        <f>IFERROR(VLOOKUP($D93,'Kalkulator mięs '!$C$5:$H$533,GF$4,0)*$AG93,0)</f>
        <v>0</v>
      </c>
      <c r="GG93">
        <f>IFERROR(VLOOKUP($D93,'Kalkulator mięs '!$C$5:$H$533,GG$4,0)*$AG93,0)</f>
        <v>0</v>
      </c>
      <c r="GH93">
        <f>IFERROR(VLOOKUP($D93,'Kalkulator mięs '!$C$5:$H$533,GH$4,0)*$AH93,0)</f>
        <v>0</v>
      </c>
      <c r="GI93">
        <f>IFERROR(VLOOKUP($D93,'Kalkulator mięs '!$C$5:$H$533,GI$4,0)*$AH93,0)</f>
        <v>0</v>
      </c>
      <c r="GJ93">
        <f>IFERROR(VLOOKUP($D93,'Kalkulator mięs '!$C$5:$H$533,GJ$4,0)*$AH93,0)</f>
        <v>0</v>
      </c>
      <c r="GK93">
        <f>IFERROR(VLOOKUP($D93,'Kalkulator mięs '!$C$5:$H$533,GK$4,0)*$AI93,0)</f>
        <v>0</v>
      </c>
      <c r="GL93">
        <f>IFERROR(VLOOKUP($D93,'Kalkulator mięs '!$C$5:$H$533,GL$4,0)*$AI93,0)</f>
        <v>0</v>
      </c>
      <c r="GM93">
        <f>IFERROR(VLOOKUP($D93,'Kalkulator mięs '!$C$5:$H$533,GM$4,0)*$AI93,0)</f>
        <v>0</v>
      </c>
      <c r="GN93">
        <f>IFERROR(VLOOKUP($D93,'Kalkulator mięs '!$C$5:$H$533,GN$4,0)*$AJ93,0)</f>
        <v>0</v>
      </c>
      <c r="GO93">
        <f>IFERROR(VLOOKUP($D93,'Kalkulator mięs '!$C$5:$H$533,GO$4,0)*$AJ93,0)</f>
        <v>0</v>
      </c>
      <c r="GP93">
        <f>IFERROR(VLOOKUP($D93,'Kalkulator mięs '!$C$5:$H$533,GP$4,0)*$AJ93,0)</f>
        <v>0</v>
      </c>
      <c r="GQ93">
        <f>IFERROR(VLOOKUP($D93,'Kalkulator mięs '!$C$5:$H$533,GQ$4,0)*$AK93,0)</f>
        <v>0</v>
      </c>
      <c r="GR93">
        <f>IFERROR(VLOOKUP($D93,'Kalkulator mięs '!$C$5:$H$533,GR$4,0)*$AK93,0)</f>
        <v>0</v>
      </c>
      <c r="GS93">
        <f>IFERROR(VLOOKUP($D93,'Kalkulator mięs '!$C$5:$H$533,GS$4,0)*$AK93,0)</f>
        <v>0</v>
      </c>
      <c r="GT93">
        <f>IFERROR(VLOOKUP($D93,'Kalkulator mięs '!$C$5:$H$533,GT$4,0)*$AL93,0)</f>
        <v>0</v>
      </c>
      <c r="GU93">
        <f>IFERROR(VLOOKUP($D93,'Kalkulator mięs '!$C$5:$H$533,GU$4,0)*$AL93,0)</f>
        <v>0</v>
      </c>
      <c r="GV93">
        <f>IFERROR(VLOOKUP($D93,'Kalkulator mięs '!$C$5:$H$533,GV$4,0)*$AL93,0)</f>
        <v>0</v>
      </c>
      <c r="GW93">
        <f>IFERROR(VLOOKUP($D93,'Kalkulator mięs '!$C$5:$H$533,GW$4,0)*$AM93,0)</f>
        <v>0</v>
      </c>
      <c r="GX93">
        <f>IFERROR(VLOOKUP($D93,'Kalkulator mięs '!$C$5:$H$533,GX$4,0)*$AM93,0)</f>
        <v>0</v>
      </c>
      <c r="GY93">
        <f>IFERROR(VLOOKUP($D93,'Kalkulator mięs '!$C$5:$H$533,GY$4,0)*$AM93,0)</f>
        <v>0</v>
      </c>
      <c r="GZ93">
        <f>IFERROR(VLOOKUP($D93,'Kalkulator mięs '!$C$5:$H$533,GZ$4,0)*$AN93,0)</f>
        <v>0</v>
      </c>
      <c r="HA93">
        <f>IFERROR(VLOOKUP($D93,'Kalkulator mięs '!$C$5:$H$533,HA$4,0)*$AN93,0)</f>
        <v>0</v>
      </c>
      <c r="HB93">
        <f>IFERROR(VLOOKUP($D93,'Kalkulator mięs '!$C$5:$H$533,HB$4,0)*$AN93,0)</f>
        <v>0</v>
      </c>
      <c r="HC93">
        <f>IFERROR(VLOOKUP($D93,'Kalkulator mięs '!$C$5:$H$533,HC$4,0)*$AO93,0)</f>
        <v>0</v>
      </c>
      <c r="HD93">
        <f>IFERROR(VLOOKUP($D93,'Kalkulator mięs '!$C$5:$H$533,HD$4,0)*$AO93,0)</f>
        <v>0</v>
      </c>
      <c r="HE93">
        <f>IFERROR(VLOOKUP($D93,'Kalkulator mięs '!$C$5:$H$533,HE$4,0)*$AO93,0)</f>
        <v>0</v>
      </c>
      <c r="HF93">
        <f>IFERROR(VLOOKUP($D93,'Kalkulator mięs '!$C$5:$H$533,HF$4,0)*$AP93,0)</f>
        <v>0</v>
      </c>
      <c r="HG93">
        <f>IFERROR(VLOOKUP($D93,'Kalkulator mięs '!$C$5:$H$533,HG$4,0)*$AP93,0)</f>
        <v>0</v>
      </c>
      <c r="HH93">
        <f>IFERROR(VLOOKUP($D93,'Kalkulator mięs '!$C$5:$H$533,HH$4,0)*$AP93,0)</f>
        <v>0</v>
      </c>
      <c r="HI93">
        <f>IFERROR(VLOOKUP($D93,'Kalkulator mięs '!$C$5:$H$533,HI$4,0)*$AQ93,0)</f>
        <v>0</v>
      </c>
      <c r="HJ93">
        <f>IFERROR(VLOOKUP($D93,'Kalkulator mięs '!$C$5:$H$533,HJ$4,0)*$AQ93,0)</f>
        <v>0</v>
      </c>
      <c r="HK93">
        <f>IFERROR(VLOOKUP($D93,'Kalkulator mięs '!$C$5:$H$533,HK$4,0)*$AQ93,0)</f>
        <v>0</v>
      </c>
      <c r="HL93">
        <f>IFERROR(VLOOKUP($D93,'Kalkulator mięs '!$C$5:$H$533,HL$4,0)*$AR93,0)</f>
        <v>0</v>
      </c>
      <c r="HM93">
        <f>IFERROR(VLOOKUP($D93,'Kalkulator mięs '!$C$5:$H$533,HM$4,0)*$AR93,0)</f>
        <v>0</v>
      </c>
      <c r="HN93">
        <f>IFERROR(VLOOKUP($D93,'Kalkulator mięs '!$C$5:$H$533,HN$4,0)*$AR93,0)</f>
        <v>0</v>
      </c>
      <c r="HO93">
        <f>IFERROR(VLOOKUP($D93,'Kalkulator mięs '!$C$5:$H$533,HO$4,0)*$AS93,0)</f>
        <v>0</v>
      </c>
      <c r="HP93">
        <f>IFERROR(VLOOKUP($D93,'Kalkulator mięs '!$C$5:$H$533,HP$4,0)*$AS93,0)</f>
        <v>0</v>
      </c>
      <c r="HQ93">
        <f>IFERROR(VLOOKUP($D93,'Kalkulator mięs '!$C$5:$H$533,HQ$4,0)*$AS93,0)</f>
        <v>0</v>
      </c>
      <c r="HR93">
        <f>IFERROR(VLOOKUP($D93,'Kalkulator mięs '!$C$5:$H$533,HR$4,0)*$AT93,0)</f>
        <v>0</v>
      </c>
      <c r="HS93">
        <f>IFERROR(VLOOKUP($D93,'Kalkulator mięs '!$C$5:$H$533,HS$4,0)*$AT93,0)</f>
        <v>0</v>
      </c>
      <c r="HT93">
        <f>IFERROR(VLOOKUP($D93,'Kalkulator mięs '!$C$5:$H$533,HT$4,0)*$AT93,0)</f>
        <v>0</v>
      </c>
      <c r="HU93">
        <f>IFERROR(VLOOKUP($D93,'Kalkulator mięs '!$C$5:$H$533,HU$4,0)*$AU93,0)</f>
        <v>0</v>
      </c>
      <c r="HV93">
        <f>IFERROR(VLOOKUP($D93,'Kalkulator mięs '!$C$5:$H$533,HV$4,0)*$AU93,0)</f>
        <v>0</v>
      </c>
      <c r="HW93">
        <f>IFERROR(VLOOKUP($D93,'Kalkulator mięs '!$C$5:$H$533,HW$4,0)*$AU93,0)</f>
        <v>0</v>
      </c>
      <c r="HX93">
        <f>IFERROR(VLOOKUP($D93,'Kalkulator mięs '!$C$5:$H$533,HX$4,0)*$AV93,0)</f>
        <v>0</v>
      </c>
      <c r="HY93">
        <f>IFERROR(VLOOKUP($D93,'Kalkulator mięs '!$C$5:$H$533,HY$4,0)*$AV93,0)</f>
        <v>0</v>
      </c>
      <c r="HZ93">
        <f>IFERROR(VLOOKUP($D93,'Kalkulator mięs '!$C$5:$H$533,HZ$4,0)*$AV93,0)</f>
        <v>0</v>
      </c>
      <c r="IA93">
        <f>IFERROR(VLOOKUP($D93,'Kalkulator mięs '!$C$5:$H$533,IA$4,0)*$AW93,0)</f>
        <v>0</v>
      </c>
      <c r="IB93">
        <f>IFERROR(VLOOKUP($D93,'Kalkulator mięs '!$C$5:$H$533,IB$4,0)*$AW93,0)</f>
        <v>0</v>
      </c>
      <c r="IC93">
        <f>IFERROR(VLOOKUP($D93,'Kalkulator mięs '!$C$5:$H$533,IC$4,0)*$AW93,0)</f>
        <v>0</v>
      </c>
      <c r="ID93">
        <f>IFERROR(VLOOKUP($D93,'Kalkulator mięs '!$C$5:$H$533,ID$4,0)*$AX93,0)</f>
        <v>0</v>
      </c>
      <c r="IE93">
        <f>IFERROR(VLOOKUP($D93,'Kalkulator mięs '!$C$5:$H$533,IE$4,0)*$AX93,0)</f>
        <v>0</v>
      </c>
      <c r="IF93">
        <f>IFERROR(VLOOKUP($D93,'Kalkulator mięs '!$C$5:$H$533,IF$4,0)*$AX93,0)</f>
        <v>0</v>
      </c>
      <c r="IG93">
        <f>IFERROR(VLOOKUP($D93,'Kalkulator mięs '!$C$5:$H$533,IG$4,0)*$AY93,0)</f>
        <v>0</v>
      </c>
      <c r="IH93">
        <f>IFERROR(VLOOKUP($D93,'Kalkulator mięs '!$C$5:$H$533,IH$4,0)*$AY93,0)</f>
        <v>0</v>
      </c>
      <c r="II93">
        <f>IFERROR(VLOOKUP($D93,'Kalkulator mięs '!$C$5:$H$533,II$4,0)*$AY93,0)</f>
        <v>0</v>
      </c>
      <c r="IJ93">
        <f>IFERROR(VLOOKUP($D93,'Kalkulator mięs '!$C$5:$H$533,IJ$4,0)*$AZ93,0)</f>
        <v>0</v>
      </c>
      <c r="IK93">
        <f>IFERROR(VLOOKUP($D93,'Kalkulator mięs '!$C$5:$H$533,IK$4,0)*$AZ93,0)</f>
        <v>0</v>
      </c>
      <c r="IL93">
        <f>IFERROR(VLOOKUP($D93,'Kalkulator mięs '!$C$5:$H$533,IL$4,0)*$AZ93,0)</f>
        <v>0</v>
      </c>
      <c r="IM93">
        <f>IFERROR(VLOOKUP($D93,'Kalkulator mięs '!$C$5:$H$533,IM$4,0)*$BA93,0)</f>
        <v>0</v>
      </c>
      <c r="IN93">
        <f>IFERROR(VLOOKUP($D93,'Kalkulator mięs '!$C$5:$H$533,IN$4,0)*$BA93,0)</f>
        <v>0</v>
      </c>
      <c r="IO93">
        <f>IFERROR(VLOOKUP($D93,'Kalkulator mięs '!$C$5:$H$533,IO$4,0)*$BA93,0)</f>
        <v>0</v>
      </c>
    </row>
    <row r="94" spans="2:249" ht="15.75">
      <c r="B94" t="str">
        <f>VLOOKUP(D94,Receptury_z!$A:$B,2,0)</f>
        <v>ON</v>
      </c>
      <c r="C94" s="29">
        <v>5781</v>
      </c>
      <c r="D94" s="35">
        <v>5781</v>
      </c>
      <c r="E94" s="30" t="s">
        <v>13</v>
      </c>
      <c r="F94" s="14">
        <f>IF($B94="OFF",BE94,VLOOKUP($D94,Receptury_z!$D:$AI,F$4,0))</f>
        <v>0</v>
      </c>
      <c r="G94" s="14">
        <f>IF($B94="OFF",BF94,VLOOKUP($D94,Receptury_z!$D:$AI,G$4,0))</f>
        <v>0</v>
      </c>
      <c r="H94" s="14">
        <f>IF($B94="OFF",BG94,VLOOKUP($D94,Receptury_z!$D:$AI,H$4,0))</f>
        <v>0</v>
      </c>
      <c r="I94" s="14">
        <f>IF($B94="OFF",BH94,VLOOKUP($D94,Receptury_z!$D:$AI,I$4,0))</f>
        <v>0</v>
      </c>
      <c r="J94" s="14">
        <f>IF($B94="OFF",BI94,VLOOKUP($D94,Receptury_z!$D:$AI,J$4,0))</f>
        <v>0</v>
      </c>
      <c r="K94" s="14">
        <f>IF($B94="OFF",BJ94,VLOOKUP($D94,Receptury_z!$D:$AI,K$4,0))</f>
        <v>0</v>
      </c>
      <c r="L94" s="14">
        <f>IF($B94="OFF",BK94,VLOOKUP($D94,Receptury_z!$D:$AI,L$4,0))</f>
        <v>0</v>
      </c>
      <c r="M94" s="14">
        <f>IF($B94="OFF",BL94,VLOOKUP($D94,Receptury_z!$D:$AI,M$4,0))</f>
        <v>0</v>
      </c>
      <c r="N94" s="14">
        <f>IF($B94="OFF",BM94,VLOOKUP($D94,Receptury_z!$D:$AI,N$4,0))</f>
        <v>0</v>
      </c>
      <c r="O94" s="14">
        <f>IF($B94="OFF",BN94,VLOOKUP($D94,Receptury_z!$D:$AI,O$4,0))</f>
        <v>0</v>
      </c>
      <c r="P94" s="14">
        <f>IF($B94="OFF",BO94,VLOOKUP($D94,Receptury_z!$D:$AI,P$4,0))</f>
        <v>0</v>
      </c>
      <c r="Q94" s="14">
        <f>IF($B94="OFF",BP94,VLOOKUP($D94,Receptury_z!$D:$AI,Q$4,0))</f>
        <v>0</v>
      </c>
      <c r="R94" s="14">
        <f>IF($B94="OFF",BQ94,VLOOKUP($D94,Receptury_z!$D:$AI,R$4,0))</f>
        <v>0</v>
      </c>
      <c r="S94" s="14">
        <f>IF($B94="OFF",BR94,VLOOKUP($D94,Receptury_z!$D:$AI,S$4,0))</f>
        <v>501.2</v>
      </c>
      <c r="T94" s="14">
        <f>IF($B94="OFF",BS94,VLOOKUP($D94,Receptury_z!$D:$AI,T$4,0))</f>
        <v>0</v>
      </c>
      <c r="U94" s="14">
        <f>IF($B94="OFF",BT94,VLOOKUP($D94,Receptury_z!$D:$AI,U$4,0))</f>
        <v>0</v>
      </c>
      <c r="V94" s="14">
        <f>IF($B94="OFF",BU94,VLOOKUP($D94,Receptury_z!$D:$AI,V$4,0))</f>
        <v>0</v>
      </c>
      <c r="W94" s="14">
        <f>IF($B94="OFF",BV94,VLOOKUP($D94,Receptury_z!$D:$AI,W$4,0))</f>
        <v>0</v>
      </c>
      <c r="X94" s="14">
        <f>IF($B94="OFF",BW94,VLOOKUP($D94,Receptury_z!$D:$AI,X$4,0))</f>
        <v>0</v>
      </c>
      <c r="Y94" s="14">
        <f>IF($B94="OFF",BX94,VLOOKUP($D94,Receptury_z!$D:$AI,Y$4,0))</f>
        <v>0</v>
      </c>
      <c r="Z94" s="14">
        <f>IF($B94="OFF",BY94,VLOOKUP($D94,Receptury_z!$D:$AI,Z$4,0))</f>
        <v>0</v>
      </c>
      <c r="AA94" s="14">
        <f>IF($B94="OFF",BZ94,VLOOKUP($D94,Receptury_z!$D:$AI,AA$4,0))</f>
        <v>0</v>
      </c>
      <c r="AB94" s="14">
        <f>IF($B94="OFF",CA94,VLOOKUP($D94,Receptury_z!$D:$AI,AB$4,0))</f>
        <v>0</v>
      </c>
      <c r="AC94" s="14">
        <f>IF($B94="OFF",CB94,VLOOKUP($D94,Receptury_z!$D:$AI,AC$4,0))</f>
        <v>0</v>
      </c>
      <c r="AD94" s="14">
        <f>IF($B94="OFF",CC94,VLOOKUP($D94,Receptury_z!$D:$AI,AD$4,0))</f>
        <v>0</v>
      </c>
      <c r="AE94" s="14">
        <f>IF($B94="OFF",CD94,VLOOKUP($D94,Receptury_z!$D:$AI,AE$4,0))</f>
        <v>0</v>
      </c>
      <c r="AF94" s="14">
        <f>IF($B94="OFF",CE94,VLOOKUP($D94,Receptury_z!$D:$AI,AF$4,0))</f>
        <v>0</v>
      </c>
      <c r="AG94" s="14">
        <f>IF($B94="OFF",CF94,VLOOKUP($D94,Receptury_z!$D:$AI,AG$4,0))</f>
        <v>0</v>
      </c>
      <c r="AH94" s="14">
        <f>IF($B94="OFF",CG94,VLOOKUP($D94,Receptury_z!$D:$AI,AH$4,0))</f>
        <v>0</v>
      </c>
      <c r="AI94" s="14">
        <f>IF($B94="OFF",CH94,VLOOKUP($D94,Receptury_z!$D:$AI,AI$4,0))</f>
        <v>0</v>
      </c>
      <c r="AJ94" s="14">
        <f>IF($B94="OFF",CI94,VLOOKUP($D94,Receptury_z!$D:$AS,AJ$4,0))</f>
        <v>0</v>
      </c>
      <c r="AK94" s="14">
        <f>IF($B94="OFF",CJ94,VLOOKUP($D94,Receptury_z!$D:$AS,AK$4,0))</f>
        <v>0</v>
      </c>
      <c r="AL94" s="14">
        <f>IF($B94="OFF",CK94,VLOOKUP($D94,Receptury_z!$D:$AS,AL$4,0))</f>
        <v>0</v>
      </c>
      <c r="AM94" s="14">
        <f>IF($B94="OFF",CL94,VLOOKUP($D94,Receptury_z!$D:$AS,AM$4,0))</f>
        <v>0</v>
      </c>
      <c r="AN94" s="14">
        <f>IF($B94="OFF",CM94,VLOOKUP($D94,Receptury_z!$D:$AS,AN$4,0))</f>
        <v>0</v>
      </c>
      <c r="AO94" s="14">
        <f>IF($B94="OFF",CN94,VLOOKUP($D94,Receptury_z!$D:$AS,AO$4,0))</f>
        <v>0</v>
      </c>
      <c r="AP94" s="14">
        <f>IF($B94="OFF",CO94,VLOOKUP($D94,Receptury_z!$D:$AS,AP$4,0))</f>
        <v>0</v>
      </c>
      <c r="AQ94" s="14">
        <f>IF($B94="OFF",CP94,VLOOKUP($D94,Receptury_z!$D:$AS,AQ$4,0))</f>
        <v>0</v>
      </c>
      <c r="AR94" s="14">
        <f>IF($B94="OFF",CQ94,VLOOKUP($D94,Receptury_z!$D:$AS,AR$4,0))</f>
        <v>0</v>
      </c>
      <c r="AS94" s="14">
        <f>IF($B94="OFF",CR94,VLOOKUP($D94,Receptury_z!$D:$AS,AS$4,0))</f>
        <v>0</v>
      </c>
      <c r="AT94" s="14">
        <f>IF($B94="OFF",CS94,VLOOKUP($D94,Receptury_z!$D:$AV,AT$4,0))</f>
        <v>0</v>
      </c>
      <c r="AU94" s="14">
        <f>IF($B94="OFF",CT94,VLOOKUP($D94,Receptury_z!$D:$AV,AU$4,0))</f>
        <v>0</v>
      </c>
      <c r="AV94" s="14">
        <f>IF($B94="OFF",CU94,VLOOKUP($D94,Receptury_z!$D:$AV,AV$4,0))</f>
        <v>0</v>
      </c>
      <c r="AW94" s="14">
        <f>IF($B94="OFF",CV94,VLOOKUP($D94,Receptury_z!$D:$BA,AW$4,0))</f>
        <v>0</v>
      </c>
      <c r="AX94" s="14">
        <f>IF($B94="OFF",CW94,VLOOKUP($D94,Receptury_z!$D:$BA,AX$4,0))</f>
        <v>0</v>
      </c>
      <c r="AY94" s="14">
        <f>IF($B94="OFF",CX94,VLOOKUP($D94,Receptury_z!$D:$BA,AY$4,0))</f>
        <v>0</v>
      </c>
      <c r="AZ94" s="14">
        <f>IF($B94="OFF",DA94,VLOOKUP($D94,Receptury_z!$D:$BA,AZ$4,0))</f>
        <v>0</v>
      </c>
      <c r="BA94" s="14">
        <f>IF($B94="OFF",DB94,VLOOKUP($D94,Receptury_z!$D:$BA,BA$4,0))</f>
        <v>0</v>
      </c>
      <c r="BC94" s="35">
        <v>5781</v>
      </c>
      <c r="BD94" s="30" t="s">
        <v>13</v>
      </c>
      <c r="BE94" s="239">
        <v>0</v>
      </c>
      <c r="BF94" s="239">
        <v>0</v>
      </c>
      <c r="BG94" s="239">
        <v>0</v>
      </c>
      <c r="BH94" s="239">
        <v>0</v>
      </c>
      <c r="BI94" s="239">
        <v>0</v>
      </c>
      <c r="BJ94" s="239">
        <v>0</v>
      </c>
      <c r="BK94" s="239">
        <v>0</v>
      </c>
      <c r="BL94" s="239">
        <v>0</v>
      </c>
      <c r="BM94" s="239">
        <v>0</v>
      </c>
      <c r="BN94" s="239">
        <v>0</v>
      </c>
      <c r="BO94" s="239">
        <v>0</v>
      </c>
      <c r="BP94" s="239">
        <v>0</v>
      </c>
      <c r="BQ94" s="239">
        <v>0</v>
      </c>
      <c r="BR94" s="239">
        <v>501.2</v>
      </c>
      <c r="BS94" s="239">
        <v>0</v>
      </c>
      <c r="BT94" s="239">
        <v>0</v>
      </c>
      <c r="BU94" s="239">
        <v>0</v>
      </c>
      <c r="BV94" s="239">
        <v>0</v>
      </c>
      <c r="BW94" s="239">
        <v>0</v>
      </c>
      <c r="BX94" s="239">
        <v>0</v>
      </c>
      <c r="BY94" s="239">
        <v>0</v>
      </c>
      <c r="BZ94" s="239">
        <v>0</v>
      </c>
      <c r="CA94" s="239">
        <v>0</v>
      </c>
      <c r="CB94" s="239">
        <v>0</v>
      </c>
      <c r="CC94" s="239">
        <v>0</v>
      </c>
      <c r="CD94" s="239">
        <v>0</v>
      </c>
      <c r="CE94" s="239">
        <v>0</v>
      </c>
      <c r="CF94" s="239">
        <v>0</v>
      </c>
      <c r="CG94" s="239">
        <v>0</v>
      </c>
      <c r="CH94" s="239">
        <v>0</v>
      </c>
      <c r="CI94" s="239">
        <v>0</v>
      </c>
      <c r="CJ94" s="239">
        <v>0</v>
      </c>
      <c r="CK94" s="239">
        <v>0</v>
      </c>
      <c r="CL94" s="239">
        <v>0</v>
      </c>
      <c r="CM94" s="80"/>
      <c r="CN94" s="80"/>
      <c r="CO94" s="80"/>
      <c r="CP94" s="80"/>
      <c r="CQ94" s="80"/>
      <c r="CR94" s="80"/>
      <c r="CS94" s="80"/>
      <c r="CT94" s="80"/>
      <c r="CU94" s="80"/>
      <c r="CV94" s="80"/>
      <c r="CW94" s="80"/>
      <c r="CX94" s="80"/>
      <c r="CY94" s="80"/>
      <c r="CZ94" s="80"/>
      <c r="DB94">
        <f>IFERROR(VLOOKUP($D94,'Kalkulator mięs '!$C$5:$H$533,DB$4,0)*F94,0)</f>
        <v>0</v>
      </c>
      <c r="DC94">
        <f>IFERROR(VLOOKUP($D94,'Kalkulator mięs '!$C$5:$H$533,DC$4,0)*F94,0)</f>
        <v>0</v>
      </c>
      <c r="DD94">
        <f>IFERROR(VLOOKUP($D94,'Kalkulator mięs '!$C$5:$H$533,DD$4,0)*F94,0)</f>
        <v>0</v>
      </c>
      <c r="DE94">
        <f>IFERROR(VLOOKUP($D94,'Kalkulator mięs '!$C$5:$H$533,DE$4,0)*$G94,0)</f>
        <v>0</v>
      </c>
      <c r="DF94">
        <f>IFERROR(VLOOKUP($D94,'Kalkulator mięs '!$C$5:$H$533,DF$4,0)*$G94,0)</f>
        <v>0</v>
      </c>
      <c r="DG94">
        <f>IFERROR(VLOOKUP($D94,'Kalkulator mięs '!$C$5:$H$533,DG$4,0)*$G94,0)</f>
        <v>0</v>
      </c>
      <c r="DH94">
        <f>IFERROR(VLOOKUP($D94,'Kalkulator mięs '!$C$5:$H$533,DH$4,0)*$H94,0)</f>
        <v>0</v>
      </c>
      <c r="DI94">
        <f>IFERROR(VLOOKUP($D94,'Kalkulator mięs '!$C$5:$H$533,DI$4,0)*$H94,0)</f>
        <v>0</v>
      </c>
      <c r="DJ94">
        <f>IFERROR(VLOOKUP($D94,'Kalkulator mięs '!$C$5:$H$533,DJ$4,0)*$H94,0)</f>
        <v>0</v>
      </c>
      <c r="DK94">
        <f>IFERROR(VLOOKUP($D94,'Kalkulator mięs '!$C$5:$H$533,DK$4,0)*$I94,0)</f>
        <v>0</v>
      </c>
      <c r="DL94">
        <f>IFERROR(VLOOKUP($D94,'Kalkulator mięs '!$C$5:$H$533,DL$4,0)*$I94,0)</f>
        <v>0</v>
      </c>
      <c r="DM94">
        <f>IFERROR(VLOOKUP($D94,'Kalkulator mięs '!$C$5:$H$533,DM$4,0)*$I94,0)</f>
        <v>0</v>
      </c>
      <c r="DN94">
        <f>IFERROR(VLOOKUP($D94,'Kalkulator mięs '!$C$5:$H$533,DN$4,0)*$J94,0)</f>
        <v>0</v>
      </c>
      <c r="DO94">
        <f>IFERROR(VLOOKUP($D94,'Kalkulator mięs '!$C$5:$H$533,DO$4,0)*$J94,0)</f>
        <v>0</v>
      </c>
      <c r="DP94">
        <f>IFERROR(VLOOKUP($D94,'Kalkulator mięs '!$C$5:$H$533,DP$4,0)*$J94,0)</f>
        <v>0</v>
      </c>
      <c r="DQ94">
        <f>IFERROR(VLOOKUP($D94,'Kalkulator mięs '!$C$5:$H$533,DQ$4,0)*$K94,0)</f>
        <v>0</v>
      </c>
      <c r="DR94">
        <f>IFERROR(VLOOKUP($D94,'Kalkulator mięs '!$C$5:$H$533,DR$4,0)*$K94,0)</f>
        <v>0</v>
      </c>
      <c r="DS94">
        <f>IFERROR(VLOOKUP($D94,'Kalkulator mięs '!$C$5:$H$533,DS$4,0)*$K94,0)</f>
        <v>0</v>
      </c>
      <c r="DT94">
        <f>IFERROR(VLOOKUP($D94,'Kalkulator mięs '!$C$5:$H$533,DT$4,0)*$L94,0)</f>
        <v>0</v>
      </c>
      <c r="DU94">
        <f>IFERROR(VLOOKUP($D94,'Kalkulator mięs '!$C$5:$H$533,DU$4,0)*$L94,0)</f>
        <v>0</v>
      </c>
      <c r="DV94">
        <f>IFERROR(VLOOKUP($D94,'Kalkulator mięs '!$C$5:$H$533,DV$4,0)*$L94,0)</f>
        <v>0</v>
      </c>
      <c r="DW94">
        <f>IFERROR(VLOOKUP($D94,'Kalkulator mięs '!$C$5:$H$533,DW$4,0)*$M94,0)</f>
        <v>0</v>
      </c>
      <c r="DX94">
        <f>IFERROR(VLOOKUP($D94,'Kalkulator mięs '!$C$5:$H$533,DX$4,0)*$M94,0)</f>
        <v>0</v>
      </c>
      <c r="DY94">
        <f>IFERROR(VLOOKUP($D94,'Kalkulator mięs '!$C$5:$H$533,DY$4,0)*$M94,0)</f>
        <v>0</v>
      </c>
      <c r="DZ94">
        <f>IFERROR(VLOOKUP($D94,'Kalkulator mięs '!$C$5:$H$533,DZ$4,0)*$N94,0)</f>
        <v>0</v>
      </c>
      <c r="EA94">
        <f>IFERROR(VLOOKUP($D94,'Kalkulator mięs '!$C$5:$H$533,EA$4,0)*$N94,0)</f>
        <v>0</v>
      </c>
      <c r="EB94">
        <f>IFERROR(VLOOKUP($D94,'Kalkulator mięs '!$C$5:$H$533,EB$4,0)*$N94,0)</f>
        <v>0</v>
      </c>
      <c r="EC94">
        <f>IFERROR(VLOOKUP($D94,'Kalkulator mięs '!$C$5:$H$533,EC$4,0)*$O94,0)</f>
        <v>0</v>
      </c>
      <c r="ED94">
        <f>IFERROR(VLOOKUP($D94,'Kalkulator mięs '!$C$5:$H$533,ED$4,0)*$O94,0)</f>
        <v>0</v>
      </c>
      <c r="EE94">
        <f>IFERROR(VLOOKUP($D94,'Kalkulator mięs '!$C$5:$H$533,EE$4,0)*$O94,0)</f>
        <v>0</v>
      </c>
      <c r="EF94">
        <f>IFERROR(VLOOKUP($D94,'Kalkulator mięs '!$C$5:$H$533,EF$4,0)*$P94,0)</f>
        <v>0</v>
      </c>
      <c r="EG94">
        <f>IFERROR(VLOOKUP($D94,'Kalkulator mięs '!$C$5:$H$533,EG$4,0)*$P94,0)</f>
        <v>0</v>
      </c>
      <c r="EH94">
        <f>IFERROR(VLOOKUP($D94,'Kalkulator mięs '!$C$5:$H$533,EH$4,0)*$P94,0)</f>
        <v>0</v>
      </c>
      <c r="EI94">
        <f>IFERROR(VLOOKUP($D94,'Kalkulator mięs '!$C$5:$H$533,EI$4,0)*$Q94,0)</f>
        <v>0</v>
      </c>
      <c r="EJ94">
        <f>IFERROR(VLOOKUP($D94,'Kalkulator mięs '!$C$5:$H$533,EJ$4,0)*$Q94,0)</f>
        <v>0</v>
      </c>
      <c r="EK94">
        <f>IFERROR(VLOOKUP($D94,'Kalkulator mięs '!$C$5:$H$533,EK$4,0)*$Q94,0)</f>
        <v>0</v>
      </c>
      <c r="EL94">
        <f>IFERROR(VLOOKUP($D94,'Kalkulator mięs '!$C$5:$H$533,EL$4,0)*$R94,0)</f>
        <v>0</v>
      </c>
      <c r="EM94">
        <f>IFERROR(VLOOKUP($D94,'Kalkulator mięs '!$C$5:$H$533,EM$4,0)*$R94,0)</f>
        <v>0</v>
      </c>
      <c r="EN94">
        <f>IFERROR(VLOOKUP($D94,'Kalkulator mięs '!$C$5:$H$533,EN$4,0)*$R94,0)</f>
        <v>0</v>
      </c>
      <c r="EO94">
        <f>IFERROR(VLOOKUP($D94,'Kalkulator mięs '!$C$5:$H$533,EO$4,0)*$S94,0)</f>
        <v>0</v>
      </c>
      <c r="EP94">
        <f>IFERROR(VLOOKUP($D94,'Kalkulator mięs '!$C$5:$H$533,EP$4,0)*$S94,0)</f>
        <v>0</v>
      </c>
      <c r="EQ94">
        <f>IFERROR(VLOOKUP($D94,'Kalkulator mięs '!$C$5:$H$533,EQ$4,0)*$S94,0)</f>
        <v>0</v>
      </c>
      <c r="ER94">
        <f>IFERROR(VLOOKUP($D94,'Kalkulator mięs '!$C$5:$H$533,ER$4,0)*$T94,0)</f>
        <v>0</v>
      </c>
      <c r="ES94">
        <f>IFERROR(VLOOKUP($D94,'Kalkulator mięs '!$C$5:$H$533,ES$4,0)*$T94,0)</f>
        <v>0</v>
      </c>
      <c r="ET94">
        <f>IFERROR(VLOOKUP($D94,'Kalkulator mięs '!$C$5:$H$533,ET$4,0)*$T94,0)</f>
        <v>0</v>
      </c>
      <c r="EU94">
        <f>IFERROR(VLOOKUP($D94,'Kalkulator mięs '!$C$5:$H$533,EU$4,0)*$U94,0)</f>
        <v>0</v>
      </c>
      <c r="EV94">
        <f>IFERROR(VLOOKUP($D94,'Kalkulator mięs '!$C$5:$H$533,EV$4,0)*$U94,0)</f>
        <v>0</v>
      </c>
      <c r="EW94">
        <f>IFERROR(VLOOKUP($D94,'Kalkulator mięs '!$C$5:$H$533,EW$4,0)*$U94,0)</f>
        <v>0</v>
      </c>
      <c r="EX94">
        <f>IFERROR(VLOOKUP($D94,'Kalkulator mięs '!$C$5:$H$533,EX$4,0)*$V94,0)</f>
        <v>0</v>
      </c>
      <c r="EY94">
        <f>IFERROR(VLOOKUP($D94,'Kalkulator mięs '!$C$5:$H$533,EY$4,0)*$V94,0)</f>
        <v>0</v>
      </c>
      <c r="EZ94">
        <f>IFERROR(VLOOKUP($D94,'Kalkulator mięs '!$C$5:$H$533,EZ$4,0)*$V94,0)</f>
        <v>0</v>
      </c>
      <c r="FA94">
        <f>IFERROR(VLOOKUP($D94,'Kalkulator mięs '!$C$5:$H$533,FA$4,0)*$W94,0)</f>
        <v>0</v>
      </c>
      <c r="FB94">
        <f>IFERROR(VLOOKUP($D94,'Kalkulator mięs '!$C$5:$H$533,FB$4,0)*$W94,0)</f>
        <v>0</v>
      </c>
      <c r="FC94">
        <f>IFERROR(VLOOKUP($D94,'Kalkulator mięs '!$C$5:$H$533,FC$4,0)*$W94,0)</f>
        <v>0</v>
      </c>
      <c r="FD94">
        <f>IFERROR(VLOOKUP($D94,'Kalkulator mięs '!$C$5:$H$533,FD$4,0)*$X94,0)</f>
        <v>0</v>
      </c>
      <c r="FE94">
        <f>IFERROR(VLOOKUP($D94,'Kalkulator mięs '!$C$5:$H$533,FE$4,0)*$X94,0)</f>
        <v>0</v>
      </c>
      <c r="FF94">
        <f>IFERROR(VLOOKUP($D94,'Kalkulator mięs '!$C$5:$H$533,FF$4,0)*$X94,0)</f>
        <v>0</v>
      </c>
      <c r="FG94">
        <f>IFERROR(VLOOKUP($D94,'Kalkulator mięs '!$C$5:$H$533,FG$4,0)*$Y94,0)</f>
        <v>0</v>
      </c>
      <c r="FH94">
        <f>IFERROR(VLOOKUP($D94,'Kalkulator mięs '!$C$5:$H$533,FH$4,0)*$Y94,0)</f>
        <v>0</v>
      </c>
      <c r="FI94">
        <f>IFERROR(VLOOKUP($D94,'Kalkulator mięs '!$C$5:$H$533,FI$4,0)*$Y94,0)</f>
        <v>0</v>
      </c>
      <c r="FJ94">
        <f>IFERROR(VLOOKUP($D94,'Kalkulator mięs '!$C$5:$H$533,FJ$4,0)*$Z94,0)</f>
        <v>0</v>
      </c>
      <c r="FK94">
        <f>IFERROR(VLOOKUP($D94,'Kalkulator mięs '!$C$5:$H$533,FK$4,0)*$Z94,0)</f>
        <v>0</v>
      </c>
      <c r="FL94">
        <f>IFERROR(VLOOKUP($D94,'Kalkulator mięs '!$C$5:$H$533,FL$4,0)*$Z94,0)</f>
        <v>0</v>
      </c>
      <c r="FM94">
        <f>IFERROR(VLOOKUP($D94,'Kalkulator mięs '!$C$5:$H$533,FM$4,0)*$AA94,0)</f>
        <v>0</v>
      </c>
      <c r="FN94">
        <f>IFERROR(VLOOKUP($D94,'Kalkulator mięs '!$C$5:$H$533,FN$4,0)*$AA94,0)</f>
        <v>0</v>
      </c>
      <c r="FO94">
        <f>IFERROR(VLOOKUP($D94,'Kalkulator mięs '!$C$5:$H$533,FO$4,0)*$AA94,0)</f>
        <v>0</v>
      </c>
      <c r="FP94">
        <f>IFERROR(VLOOKUP($D94,'Kalkulator mięs '!$C$5:$H$533,FP$4,0)*$AB94,0)</f>
        <v>0</v>
      </c>
      <c r="FQ94">
        <f>IFERROR(VLOOKUP($D94,'Kalkulator mięs '!$C$5:$H$533,FQ$4,0)*$AB94,0)</f>
        <v>0</v>
      </c>
      <c r="FR94">
        <f>IFERROR(VLOOKUP($D94,'Kalkulator mięs '!$C$5:$H$533,FR$4,0)*$AB94,0)</f>
        <v>0</v>
      </c>
      <c r="FS94">
        <f>IFERROR(VLOOKUP($D94,'Kalkulator mięs '!$C$5:$H$533,FS$4,0)*$AC94,0)</f>
        <v>0</v>
      </c>
      <c r="FT94">
        <f>IFERROR(VLOOKUP($D94,'Kalkulator mięs '!$C$5:$H$533,FT$4,0)*$AC94,0)</f>
        <v>0</v>
      </c>
      <c r="FU94">
        <f>IFERROR(VLOOKUP($D94,'Kalkulator mięs '!$C$5:$H$533,FU$4,0)*$AC94,0)</f>
        <v>0</v>
      </c>
      <c r="FV94">
        <f>IFERROR(VLOOKUP($D94,'Kalkulator mięs '!$C$5:$H$533,FV$4,0)*$AD94,0)</f>
        <v>0</v>
      </c>
      <c r="FW94">
        <f>IFERROR(VLOOKUP($D94,'Kalkulator mięs '!$C$5:$H$533,FW$4,0)*$AD94,0)</f>
        <v>0</v>
      </c>
      <c r="FX94">
        <f>IFERROR(VLOOKUP($D94,'Kalkulator mięs '!$C$5:$H$533,FX$4,0)*$AD94,0)</f>
        <v>0</v>
      </c>
      <c r="FY94">
        <f>IFERROR(VLOOKUP($D94,'Kalkulator mięs '!$C$5:$H$533,FY$4,0)*$AE94,0)</f>
        <v>0</v>
      </c>
      <c r="FZ94">
        <f>IFERROR(VLOOKUP($D94,'Kalkulator mięs '!$C$5:$H$533,FZ$4,0)*$AE94,0)</f>
        <v>0</v>
      </c>
      <c r="GA94">
        <f>IFERROR(VLOOKUP($D94,'Kalkulator mięs '!$C$5:$H$533,GA$4,0)*$AE94,0)</f>
        <v>0</v>
      </c>
      <c r="GB94">
        <f>IFERROR(VLOOKUP($D94,'Kalkulator mięs '!$C$5:$H$533,GB$4,0)*$AF94,0)</f>
        <v>0</v>
      </c>
      <c r="GC94">
        <f>IFERROR(VLOOKUP($D94,'Kalkulator mięs '!$C$5:$H$533,GC$4,0)*$AF94,0)</f>
        <v>0</v>
      </c>
      <c r="GD94">
        <f>IFERROR(VLOOKUP($D94,'Kalkulator mięs '!$C$5:$H$533,GD$4,0)*$AF94,0)</f>
        <v>0</v>
      </c>
      <c r="GE94">
        <f>IFERROR(VLOOKUP($D94,'Kalkulator mięs '!$C$5:$H$533,GE$4,0)*$AG94,0)</f>
        <v>0</v>
      </c>
      <c r="GF94">
        <f>IFERROR(VLOOKUP($D94,'Kalkulator mięs '!$C$5:$H$533,GF$4,0)*$AG94,0)</f>
        <v>0</v>
      </c>
      <c r="GG94">
        <f>IFERROR(VLOOKUP($D94,'Kalkulator mięs '!$C$5:$H$533,GG$4,0)*$AG94,0)</f>
        <v>0</v>
      </c>
      <c r="GH94">
        <f>IFERROR(VLOOKUP($D94,'Kalkulator mięs '!$C$5:$H$533,GH$4,0)*$AH94,0)</f>
        <v>0</v>
      </c>
      <c r="GI94">
        <f>IFERROR(VLOOKUP($D94,'Kalkulator mięs '!$C$5:$H$533,GI$4,0)*$AH94,0)</f>
        <v>0</v>
      </c>
      <c r="GJ94">
        <f>IFERROR(VLOOKUP($D94,'Kalkulator mięs '!$C$5:$H$533,GJ$4,0)*$AH94,0)</f>
        <v>0</v>
      </c>
      <c r="GK94">
        <f>IFERROR(VLOOKUP($D94,'Kalkulator mięs '!$C$5:$H$533,GK$4,0)*$AI94,0)</f>
        <v>0</v>
      </c>
      <c r="GL94">
        <f>IFERROR(VLOOKUP($D94,'Kalkulator mięs '!$C$5:$H$533,GL$4,0)*$AI94,0)</f>
        <v>0</v>
      </c>
      <c r="GM94">
        <f>IFERROR(VLOOKUP($D94,'Kalkulator mięs '!$C$5:$H$533,GM$4,0)*$AI94,0)</f>
        <v>0</v>
      </c>
      <c r="GN94">
        <f>IFERROR(VLOOKUP($D94,'Kalkulator mięs '!$C$5:$H$533,GN$4,0)*$AJ94,0)</f>
        <v>0</v>
      </c>
      <c r="GO94">
        <f>IFERROR(VLOOKUP($D94,'Kalkulator mięs '!$C$5:$H$533,GO$4,0)*$AJ94,0)</f>
        <v>0</v>
      </c>
      <c r="GP94">
        <f>IFERROR(VLOOKUP($D94,'Kalkulator mięs '!$C$5:$H$533,GP$4,0)*$AJ94,0)</f>
        <v>0</v>
      </c>
      <c r="GQ94">
        <f>IFERROR(VLOOKUP($D94,'Kalkulator mięs '!$C$5:$H$533,GQ$4,0)*$AK94,0)</f>
        <v>0</v>
      </c>
      <c r="GR94">
        <f>IFERROR(VLOOKUP($D94,'Kalkulator mięs '!$C$5:$H$533,GR$4,0)*$AK94,0)</f>
        <v>0</v>
      </c>
      <c r="GS94">
        <f>IFERROR(VLOOKUP($D94,'Kalkulator mięs '!$C$5:$H$533,GS$4,0)*$AK94,0)</f>
        <v>0</v>
      </c>
      <c r="GT94">
        <f>IFERROR(VLOOKUP($D94,'Kalkulator mięs '!$C$5:$H$533,GT$4,0)*$AL94,0)</f>
        <v>0</v>
      </c>
      <c r="GU94">
        <f>IFERROR(VLOOKUP($D94,'Kalkulator mięs '!$C$5:$H$533,GU$4,0)*$AL94,0)</f>
        <v>0</v>
      </c>
      <c r="GV94">
        <f>IFERROR(VLOOKUP($D94,'Kalkulator mięs '!$C$5:$H$533,GV$4,0)*$AL94,0)</f>
        <v>0</v>
      </c>
      <c r="GW94">
        <f>IFERROR(VLOOKUP($D94,'Kalkulator mięs '!$C$5:$H$533,GW$4,0)*$AM94,0)</f>
        <v>0</v>
      </c>
      <c r="GX94">
        <f>IFERROR(VLOOKUP($D94,'Kalkulator mięs '!$C$5:$H$533,GX$4,0)*$AM94,0)</f>
        <v>0</v>
      </c>
      <c r="GY94">
        <f>IFERROR(VLOOKUP($D94,'Kalkulator mięs '!$C$5:$H$533,GY$4,0)*$AM94,0)</f>
        <v>0</v>
      </c>
      <c r="GZ94">
        <f>IFERROR(VLOOKUP($D94,'Kalkulator mięs '!$C$5:$H$533,GZ$4,0)*$AN94,0)</f>
        <v>0</v>
      </c>
      <c r="HA94">
        <f>IFERROR(VLOOKUP($D94,'Kalkulator mięs '!$C$5:$H$533,HA$4,0)*$AN94,0)</f>
        <v>0</v>
      </c>
      <c r="HB94">
        <f>IFERROR(VLOOKUP($D94,'Kalkulator mięs '!$C$5:$H$533,HB$4,0)*$AN94,0)</f>
        <v>0</v>
      </c>
      <c r="HC94">
        <f>IFERROR(VLOOKUP($D94,'Kalkulator mięs '!$C$5:$H$533,HC$4,0)*$AO94,0)</f>
        <v>0</v>
      </c>
      <c r="HD94">
        <f>IFERROR(VLOOKUP($D94,'Kalkulator mięs '!$C$5:$H$533,HD$4,0)*$AO94,0)</f>
        <v>0</v>
      </c>
      <c r="HE94">
        <f>IFERROR(VLOOKUP($D94,'Kalkulator mięs '!$C$5:$H$533,HE$4,0)*$AO94,0)</f>
        <v>0</v>
      </c>
      <c r="HF94">
        <f>IFERROR(VLOOKUP($D94,'Kalkulator mięs '!$C$5:$H$533,HF$4,0)*$AP94,0)</f>
        <v>0</v>
      </c>
      <c r="HG94">
        <f>IFERROR(VLOOKUP($D94,'Kalkulator mięs '!$C$5:$H$533,HG$4,0)*$AP94,0)</f>
        <v>0</v>
      </c>
      <c r="HH94">
        <f>IFERROR(VLOOKUP($D94,'Kalkulator mięs '!$C$5:$H$533,HH$4,0)*$AP94,0)</f>
        <v>0</v>
      </c>
      <c r="HI94">
        <f>IFERROR(VLOOKUP($D94,'Kalkulator mięs '!$C$5:$H$533,HI$4,0)*$AQ94,0)</f>
        <v>0</v>
      </c>
      <c r="HJ94">
        <f>IFERROR(VLOOKUP($D94,'Kalkulator mięs '!$C$5:$H$533,HJ$4,0)*$AQ94,0)</f>
        <v>0</v>
      </c>
      <c r="HK94">
        <f>IFERROR(VLOOKUP($D94,'Kalkulator mięs '!$C$5:$H$533,HK$4,0)*$AQ94,0)</f>
        <v>0</v>
      </c>
      <c r="HL94">
        <f>IFERROR(VLOOKUP($D94,'Kalkulator mięs '!$C$5:$H$533,HL$4,0)*$AR94,0)</f>
        <v>0</v>
      </c>
      <c r="HM94">
        <f>IFERROR(VLOOKUP($D94,'Kalkulator mięs '!$C$5:$H$533,HM$4,0)*$AR94,0)</f>
        <v>0</v>
      </c>
      <c r="HN94">
        <f>IFERROR(VLOOKUP($D94,'Kalkulator mięs '!$C$5:$H$533,HN$4,0)*$AR94,0)</f>
        <v>0</v>
      </c>
      <c r="HO94">
        <f>IFERROR(VLOOKUP($D94,'Kalkulator mięs '!$C$5:$H$533,HO$4,0)*$AS94,0)</f>
        <v>0</v>
      </c>
      <c r="HP94">
        <f>IFERROR(VLOOKUP($D94,'Kalkulator mięs '!$C$5:$H$533,HP$4,0)*$AS94,0)</f>
        <v>0</v>
      </c>
      <c r="HQ94">
        <f>IFERROR(VLOOKUP($D94,'Kalkulator mięs '!$C$5:$H$533,HQ$4,0)*$AS94,0)</f>
        <v>0</v>
      </c>
      <c r="HR94">
        <f>IFERROR(VLOOKUP($D94,'Kalkulator mięs '!$C$5:$H$533,HR$4,0)*$AT94,0)</f>
        <v>0</v>
      </c>
      <c r="HS94">
        <f>IFERROR(VLOOKUP($D94,'Kalkulator mięs '!$C$5:$H$533,HS$4,0)*$AT94,0)</f>
        <v>0</v>
      </c>
      <c r="HT94">
        <f>IFERROR(VLOOKUP($D94,'Kalkulator mięs '!$C$5:$H$533,HT$4,0)*$AT94,0)</f>
        <v>0</v>
      </c>
      <c r="HU94">
        <f>IFERROR(VLOOKUP($D94,'Kalkulator mięs '!$C$5:$H$533,HU$4,0)*$AU94,0)</f>
        <v>0</v>
      </c>
      <c r="HV94">
        <f>IFERROR(VLOOKUP($D94,'Kalkulator mięs '!$C$5:$H$533,HV$4,0)*$AU94,0)</f>
        <v>0</v>
      </c>
      <c r="HW94">
        <f>IFERROR(VLOOKUP($D94,'Kalkulator mięs '!$C$5:$H$533,HW$4,0)*$AU94,0)</f>
        <v>0</v>
      </c>
      <c r="HX94">
        <f>IFERROR(VLOOKUP($D94,'Kalkulator mięs '!$C$5:$H$533,HX$4,0)*$AV94,0)</f>
        <v>0</v>
      </c>
      <c r="HY94">
        <f>IFERROR(VLOOKUP($D94,'Kalkulator mięs '!$C$5:$H$533,HY$4,0)*$AV94,0)</f>
        <v>0</v>
      </c>
      <c r="HZ94">
        <f>IFERROR(VLOOKUP($D94,'Kalkulator mięs '!$C$5:$H$533,HZ$4,0)*$AV94,0)</f>
        <v>0</v>
      </c>
      <c r="IA94">
        <f>IFERROR(VLOOKUP($D94,'Kalkulator mięs '!$C$5:$H$533,IA$4,0)*$AW94,0)</f>
        <v>0</v>
      </c>
      <c r="IB94">
        <f>IFERROR(VLOOKUP($D94,'Kalkulator mięs '!$C$5:$H$533,IB$4,0)*$AW94,0)</f>
        <v>0</v>
      </c>
      <c r="IC94">
        <f>IFERROR(VLOOKUP($D94,'Kalkulator mięs '!$C$5:$H$533,IC$4,0)*$AW94,0)</f>
        <v>0</v>
      </c>
      <c r="ID94">
        <f>IFERROR(VLOOKUP($D94,'Kalkulator mięs '!$C$5:$H$533,ID$4,0)*$AX94,0)</f>
        <v>0</v>
      </c>
      <c r="IE94">
        <f>IFERROR(VLOOKUP($D94,'Kalkulator mięs '!$C$5:$H$533,IE$4,0)*$AX94,0)</f>
        <v>0</v>
      </c>
      <c r="IF94">
        <f>IFERROR(VLOOKUP($D94,'Kalkulator mięs '!$C$5:$H$533,IF$4,0)*$AX94,0)</f>
        <v>0</v>
      </c>
      <c r="IG94">
        <f>IFERROR(VLOOKUP($D94,'Kalkulator mięs '!$C$5:$H$533,IG$4,0)*$AY94,0)</f>
        <v>0</v>
      </c>
      <c r="IH94">
        <f>IFERROR(VLOOKUP($D94,'Kalkulator mięs '!$C$5:$H$533,IH$4,0)*$AY94,0)</f>
        <v>0</v>
      </c>
      <c r="II94">
        <f>IFERROR(VLOOKUP($D94,'Kalkulator mięs '!$C$5:$H$533,II$4,0)*$AY94,0)</f>
        <v>0</v>
      </c>
      <c r="IJ94">
        <f>IFERROR(VLOOKUP($D94,'Kalkulator mięs '!$C$5:$H$533,IJ$4,0)*$AZ94,0)</f>
        <v>0</v>
      </c>
      <c r="IK94">
        <f>IFERROR(VLOOKUP($D94,'Kalkulator mięs '!$C$5:$H$533,IK$4,0)*$AZ94,0)</f>
        <v>0</v>
      </c>
      <c r="IL94">
        <f>IFERROR(VLOOKUP($D94,'Kalkulator mięs '!$C$5:$H$533,IL$4,0)*$AZ94,0)</f>
        <v>0</v>
      </c>
      <c r="IM94">
        <f>IFERROR(VLOOKUP($D94,'Kalkulator mięs '!$C$5:$H$533,IM$4,0)*$BA94,0)</f>
        <v>0</v>
      </c>
      <c r="IN94">
        <f>IFERROR(VLOOKUP($D94,'Kalkulator mięs '!$C$5:$H$533,IN$4,0)*$BA94,0)</f>
        <v>0</v>
      </c>
      <c r="IO94">
        <f>IFERROR(VLOOKUP($D94,'Kalkulator mięs '!$C$5:$H$533,IO$4,0)*$BA94,0)</f>
        <v>0</v>
      </c>
    </row>
    <row r="95" spans="2:249" ht="16.5" thickBot="1">
      <c r="B95" t="str">
        <f>VLOOKUP(D95,Receptury_z!$A:$B,2,0)</f>
        <v>ON</v>
      </c>
      <c r="C95" s="36">
        <v>5203</v>
      </c>
      <c r="D95" s="35">
        <v>5203</v>
      </c>
      <c r="E95" s="285" t="s">
        <v>15560</v>
      </c>
      <c r="F95" s="14">
        <f>IF($B95="OFF",BE95,VLOOKUP($D95,Receptury_z!$D:$AI,F$4,0))</f>
        <v>0</v>
      </c>
      <c r="G95" s="14">
        <f>IF($B95="OFF",BF95,VLOOKUP($D95,Receptury_z!$D:$AI,G$4,0))</f>
        <v>0</v>
      </c>
      <c r="H95" s="14">
        <f>IF($B95="OFF",BG95,VLOOKUP($D95,Receptury_z!$D:$AI,H$4,0))</f>
        <v>0</v>
      </c>
      <c r="I95" s="14">
        <f>IF($B95="OFF",BH95,VLOOKUP($D95,Receptury_z!$D:$AI,I$4,0))</f>
        <v>0</v>
      </c>
      <c r="J95" s="14">
        <f>IF($B95="OFF",BI95,VLOOKUP($D95,Receptury_z!$D:$AI,J$4,0))</f>
        <v>0</v>
      </c>
      <c r="K95" s="14">
        <f>IF($B95="OFF",BJ95,VLOOKUP($D95,Receptury_z!$D:$AI,K$4,0))</f>
        <v>0</v>
      </c>
      <c r="L95" s="14">
        <f>IF($B95="OFF",BK95,VLOOKUP($D95,Receptury_z!$D:$AI,L$4,0))</f>
        <v>0</v>
      </c>
      <c r="M95" s="14">
        <f>IF($B95="OFF",BL95,VLOOKUP($D95,Receptury_z!$D:$AI,M$4,0))</f>
        <v>0</v>
      </c>
      <c r="N95" s="14">
        <f>IF($B95="OFF",BM95,VLOOKUP($D95,Receptury_z!$D:$AI,N$4,0))</f>
        <v>0</v>
      </c>
      <c r="O95" s="14">
        <f>IF($B95="OFF",BN95,VLOOKUP($D95,Receptury_z!$D:$AI,O$4,0))</f>
        <v>0</v>
      </c>
      <c r="P95" s="14">
        <f>IF($B95="OFF",BO95,VLOOKUP($D95,Receptury_z!$D:$AI,P$4,0))</f>
        <v>0</v>
      </c>
      <c r="Q95" s="14">
        <f>IF($B95="OFF",BP95,VLOOKUP($D95,Receptury_z!$D:$AI,Q$4,0))</f>
        <v>156</v>
      </c>
      <c r="R95" s="14">
        <f>IF($B95="OFF",BQ95,VLOOKUP($D95,Receptury_z!$D:$AI,R$4,0))</f>
        <v>0</v>
      </c>
      <c r="S95" s="14">
        <f>IF($B95="OFF",BR95,VLOOKUP($D95,Receptury_z!$D:$AI,S$4,0))</f>
        <v>0</v>
      </c>
      <c r="T95" s="14">
        <f>IF($B95="OFF",BS95,VLOOKUP($D95,Receptury_z!$D:$AI,T$4,0))</f>
        <v>0</v>
      </c>
      <c r="U95" s="14">
        <f>IF($B95="OFF",BT95,VLOOKUP($D95,Receptury_z!$D:$AI,U$4,0))</f>
        <v>0</v>
      </c>
      <c r="V95" s="14">
        <f>IF($B95="OFF",BU95,VLOOKUP($D95,Receptury_z!$D:$AI,V$4,0))</f>
        <v>0</v>
      </c>
      <c r="W95" s="14">
        <f>IF($B95="OFF",BV95,VLOOKUP($D95,Receptury_z!$D:$AI,W$4,0))</f>
        <v>0</v>
      </c>
      <c r="X95" s="14">
        <f>IF($B95="OFF",BW95,VLOOKUP($D95,Receptury_z!$D:$AI,X$4,0))</f>
        <v>0</v>
      </c>
      <c r="Y95" s="14">
        <f>IF($B95="OFF",BX95,VLOOKUP($D95,Receptury_z!$D:$AI,Y$4,0))</f>
        <v>350</v>
      </c>
      <c r="Z95" s="14">
        <f>IF($B95="OFF",BY95,VLOOKUP($D95,Receptury_z!$D:$AI,Z$4,0))</f>
        <v>0</v>
      </c>
      <c r="AA95" s="14">
        <f>IF($B95="OFF",BZ95,VLOOKUP($D95,Receptury_z!$D:$AI,AA$4,0))</f>
        <v>0</v>
      </c>
      <c r="AB95" s="14">
        <f>IF($B95="OFF",CA95,VLOOKUP($D95,Receptury_z!$D:$AI,AB$4,0))</f>
        <v>0</v>
      </c>
      <c r="AC95" s="14">
        <f>IF($B95="OFF",CB95,VLOOKUP($D95,Receptury_z!$D:$AI,AC$4,0))</f>
        <v>0</v>
      </c>
      <c r="AD95" s="14">
        <f>IF($B95="OFF",CC95,VLOOKUP($D95,Receptury_z!$D:$AI,AD$4,0))</f>
        <v>0</v>
      </c>
      <c r="AE95" s="14">
        <f>IF($B95="OFF",CD95,VLOOKUP($D95,Receptury_z!$D:$AI,AE$4,0))</f>
        <v>0</v>
      </c>
      <c r="AF95" s="14">
        <f>IF($B95="OFF",CE95,VLOOKUP($D95,Receptury_z!$D:$AI,AF$4,0))</f>
        <v>0</v>
      </c>
      <c r="AG95" s="14">
        <f>IF($B95="OFF",CF95,VLOOKUP($D95,Receptury_z!$D:$AI,AG$4,0))</f>
        <v>0</v>
      </c>
      <c r="AH95" s="14">
        <f>IF($B95="OFF",CG95,VLOOKUP($D95,Receptury_z!$D:$AI,AH$4,0))</f>
        <v>0</v>
      </c>
      <c r="AI95" s="14">
        <f>IF($B95="OFF",CH95,VLOOKUP($D95,Receptury_z!$D:$AI,AI$4,0))</f>
        <v>0</v>
      </c>
      <c r="AJ95" s="14">
        <f>IF($B95="OFF",CI95,VLOOKUP($D95,Receptury_z!$D:$AS,AJ$4,0))</f>
        <v>0</v>
      </c>
      <c r="AK95" s="14">
        <f>IF($B95="OFF",CJ95,VLOOKUP($D95,Receptury_z!$D:$AS,AK$4,0))</f>
        <v>0</v>
      </c>
      <c r="AL95" s="14">
        <f>IF($B95="OFF",CK95,VLOOKUP($D95,Receptury_z!$D:$AS,AL$4,0))</f>
        <v>0</v>
      </c>
      <c r="AM95" s="14">
        <f>IF($B95="OFF",CL95,VLOOKUP($D95,Receptury_z!$D:$AS,AM$4,0))</f>
        <v>0</v>
      </c>
      <c r="AN95" s="14">
        <f>IF($B95="OFF",CM95,VLOOKUP($D95,Receptury_z!$D:$AS,AN$4,0))</f>
        <v>0</v>
      </c>
      <c r="AO95" s="14">
        <f>IF($B95="OFF",CN95,VLOOKUP($D95,Receptury_z!$D:$AS,AO$4,0))</f>
        <v>0</v>
      </c>
      <c r="AP95" s="14">
        <f>IF($B95="OFF",CO95,VLOOKUP($D95,Receptury_z!$D:$AS,AP$4,0))</f>
        <v>0</v>
      </c>
      <c r="AQ95" s="14">
        <f>IF($B95="OFF",CP95,VLOOKUP($D95,Receptury_z!$D:$AS,AQ$4,0))</f>
        <v>0</v>
      </c>
      <c r="AR95" s="14">
        <f>IF($B95="OFF",CQ95,VLOOKUP($D95,Receptury_z!$D:$AS,AR$4,0))</f>
        <v>397</v>
      </c>
      <c r="AS95" s="14">
        <f>IF($B95="OFF",CR95,VLOOKUP($D95,Receptury_z!$D:$AS,AS$4,0))</f>
        <v>0</v>
      </c>
      <c r="AT95" s="14">
        <f>IF($B95="OFF",CS95,VLOOKUP($D95,Receptury_z!$D:$AV,AT$4,0))</f>
        <v>0</v>
      </c>
      <c r="AU95" s="14">
        <f>IF($B95="OFF",CT95,VLOOKUP($D95,Receptury_z!$D:$AV,AU$4,0))</f>
        <v>97</v>
      </c>
      <c r="AV95" s="14">
        <f>IF($B95="OFF",CU95,VLOOKUP($D95,Receptury_z!$D:$AV,AV$4,0))</f>
        <v>0</v>
      </c>
      <c r="AW95" s="14">
        <f>IF($B95="OFF",CV95,VLOOKUP($D95,Receptury_z!$D:$BA,AW$4,0))</f>
        <v>0</v>
      </c>
      <c r="AX95" s="14">
        <f>IF($B95="OFF",CW95,VLOOKUP($D95,Receptury_z!$D:$BA,AX$4,0))</f>
        <v>0</v>
      </c>
      <c r="AY95" s="14">
        <f>IF($B95="OFF",CX95,VLOOKUP($D95,Receptury_z!$D:$BA,AY$4,0))</f>
        <v>0</v>
      </c>
      <c r="AZ95" s="14">
        <f>IF($B95="OFF",DA95,VLOOKUP($D95,Receptury_z!$D:$BA,AZ$4,0))</f>
        <v>0</v>
      </c>
      <c r="BA95" s="14">
        <f>IF($B95="OFF",DB95,VLOOKUP($D95,Receptury_z!$D:$BA,BA$4,0))</f>
        <v>0</v>
      </c>
      <c r="BC95" s="35">
        <v>5203</v>
      </c>
      <c r="BD95" s="285" t="s">
        <v>15560</v>
      </c>
      <c r="BE95" s="239"/>
      <c r="BF95" s="239"/>
      <c r="BG95" s="239">
        <v>127.54</v>
      </c>
      <c r="BH95" s="239">
        <v>198</v>
      </c>
      <c r="BI95" s="239"/>
      <c r="BJ95" s="239"/>
      <c r="BK95" s="239"/>
      <c r="BL95" s="239"/>
      <c r="BM95" s="239"/>
      <c r="BN95" s="239"/>
      <c r="BO95" s="239">
        <f>346.56+198.03</f>
        <v>544.59</v>
      </c>
      <c r="BP95" s="239"/>
      <c r="BQ95" s="239"/>
      <c r="BR95" s="239"/>
      <c r="BS95" s="239"/>
      <c r="BT95" s="239"/>
      <c r="BU95" s="239"/>
      <c r="BV95" s="239"/>
      <c r="BW95" s="239"/>
      <c r="BX95" s="239"/>
      <c r="BY95" s="239"/>
      <c r="BZ95" s="239"/>
      <c r="CA95" s="239"/>
      <c r="CB95" s="239"/>
      <c r="CC95" s="239"/>
      <c r="CD95" s="239"/>
      <c r="CE95" s="239"/>
      <c r="CF95" s="239"/>
      <c r="CG95" s="239"/>
      <c r="CH95" s="239"/>
      <c r="CI95" s="239"/>
      <c r="CJ95" s="239"/>
      <c r="CK95" s="239"/>
      <c r="CL95" s="239"/>
      <c r="CM95" s="239"/>
      <c r="CN95" s="239"/>
      <c r="CO95" s="239"/>
      <c r="CP95" s="239"/>
      <c r="CQ95" s="239"/>
      <c r="CR95" s="239">
        <v>120</v>
      </c>
      <c r="CS95" s="239"/>
      <c r="CT95" s="239"/>
      <c r="CU95" s="239"/>
      <c r="CV95" s="239"/>
      <c r="CW95" s="239"/>
      <c r="CX95" s="239"/>
      <c r="CY95" s="239"/>
      <c r="CZ95" s="239"/>
      <c r="DB95">
        <f>IFERROR(VLOOKUP($D95,'Kalkulator mięs '!$C$5:$H$533,DB$4,0)*F95,0)</f>
        <v>0</v>
      </c>
      <c r="DC95">
        <f>IFERROR(VLOOKUP($D95,'Kalkulator mięs '!$C$5:$H$533,DC$4,0)*F95,0)</f>
        <v>0</v>
      </c>
      <c r="DD95">
        <f>IFERROR(VLOOKUP($D95,'Kalkulator mięs '!$C$5:$H$533,DD$4,0)*F95,0)</f>
        <v>0</v>
      </c>
      <c r="DE95">
        <f>IFERROR(VLOOKUP($D95,'Kalkulator mięs '!$C$5:$H$533,DE$4,0)*$G95,0)</f>
        <v>0</v>
      </c>
      <c r="DF95">
        <f>IFERROR(VLOOKUP($D95,'Kalkulator mięs '!$C$5:$H$533,DF$4,0)*$G95,0)</f>
        <v>0</v>
      </c>
      <c r="DG95">
        <f>IFERROR(VLOOKUP($D95,'Kalkulator mięs '!$C$5:$H$533,DG$4,0)*$G95,0)</f>
        <v>0</v>
      </c>
      <c r="DH95">
        <f>IFERROR(VLOOKUP($D95,'Kalkulator mięs '!$C$5:$H$533,DH$4,0)*$H95,0)</f>
        <v>0</v>
      </c>
      <c r="DI95">
        <f>IFERROR(VLOOKUP($D95,'Kalkulator mięs '!$C$5:$H$533,DI$4,0)*$H95,0)</f>
        <v>0</v>
      </c>
      <c r="DJ95">
        <f>IFERROR(VLOOKUP($D95,'Kalkulator mięs '!$C$5:$H$533,DJ$4,0)*$H95,0)</f>
        <v>0</v>
      </c>
      <c r="DK95">
        <f>IFERROR(VLOOKUP($D95,'Kalkulator mięs '!$C$5:$H$533,DK$4,0)*$I95,0)</f>
        <v>0</v>
      </c>
      <c r="DL95">
        <f>IFERROR(VLOOKUP($D95,'Kalkulator mięs '!$C$5:$H$533,DL$4,0)*$I95,0)</f>
        <v>0</v>
      </c>
      <c r="DM95">
        <f>IFERROR(VLOOKUP($D95,'Kalkulator mięs '!$C$5:$H$533,DM$4,0)*$I95,0)</f>
        <v>0</v>
      </c>
      <c r="DN95">
        <f>IFERROR(VLOOKUP($D95,'Kalkulator mięs '!$C$5:$H$533,DN$4,0)*$J95,0)</f>
        <v>0</v>
      </c>
      <c r="DO95">
        <f>IFERROR(VLOOKUP($D95,'Kalkulator mięs '!$C$5:$H$533,DO$4,0)*$J95,0)</f>
        <v>0</v>
      </c>
      <c r="DP95">
        <f>IFERROR(VLOOKUP($D95,'Kalkulator mięs '!$C$5:$H$533,DP$4,0)*$J95,0)</f>
        <v>0</v>
      </c>
      <c r="DQ95">
        <f>IFERROR(VLOOKUP($D95,'Kalkulator mięs '!$C$5:$H$533,DQ$4,0)*$K95,0)</f>
        <v>0</v>
      </c>
      <c r="DR95">
        <f>IFERROR(VLOOKUP($D95,'Kalkulator mięs '!$C$5:$H$533,DR$4,0)*$K95,0)</f>
        <v>0</v>
      </c>
      <c r="DS95">
        <f>IFERROR(VLOOKUP($D95,'Kalkulator mięs '!$C$5:$H$533,DS$4,0)*$K95,0)</f>
        <v>0</v>
      </c>
      <c r="DT95">
        <f>IFERROR(VLOOKUP($D95,'Kalkulator mięs '!$C$5:$H$533,DT$4,0)*$L95,0)</f>
        <v>0</v>
      </c>
      <c r="DU95">
        <f>IFERROR(VLOOKUP($D95,'Kalkulator mięs '!$C$5:$H$533,DU$4,0)*$L95,0)</f>
        <v>0</v>
      </c>
      <c r="DV95">
        <f>IFERROR(VLOOKUP($D95,'Kalkulator mięs '!$C$5:$H$533,DV$4,0)*$L95,0)</f>
        <v>0</v>
      </c>
      <c r="DW95">
        <f>IFERROR(VLOOKUP($D95,'Kalkulator mięs '!$C$5:$H$533,DW$4,0)*$M95,0)</f>
        <v>0</v>
      </c>
      <c r="DX95">
        <f>IFERROR(VLOOKUP($D95,'Kalkulator mięs '!$C$5:$H$533,DX$4,0)*$M95,0)</f>
        <v>0</v>
      </c>
      <c r="DY95">
        <f>IFERROR(VLOOKUP($D95,'Kalkulator mięs '!$C$5:$H$533,DY$4,0)*$M95,0)</f>
        <v>0</v>
      </c>
      <c r="DZ95">
        <f>IFERROR(VLOOKUP($D95,'Kalkulator mięs '!$C$5:$H$533,DZ$4,0)*$N95,0)</f>
        <v>0</v>
      </c>
      <c r="EA95">
        <f>IFERROR(VLOOKUP($D95,'Kalkulator mięs '!$C$5:$H$533,EA$4,0)*$N95,0)</f>
        <v>0</v>
      </c>
      <c r="EB95">
        <f>IFERROR(VLOOKUP($D95,'Kalkulator mięs '!$C$5:$H$533,EB$4,0)*$N95,0)</f>
        <v>0</v>
      </c>
      <c r="EC95">
        <f>IFERROR(VLOOKUP($D95,'Kalkulator mięs '!$C$5:$H$533,EC$4,0)*$O95,0)</f>
        <v>0</v>
      </c>
      <c r="ED95">
        <f>IFERROR(VLOOKUP($D95,'Kalkulator mięs '!$C$5:$H$533,ED$4,0)*$O95,0)</f>
        <v>0</v>
      </c>
      <c r="EE95">
        <f>IFERROR(VLOOKUP($D95,'Kalkulator mięs '!$C$5:$H$533,EE$4,0)*$O95,0)</f>
        <v>0</v>
      </c>
      <c r="EF95">
        <f>IFERROR(VLOOKUP($D95,'Kalkulator mięs '!$C$5:$H$533,EF$4,0)*$P95,0)</f>
        <v>0</v>
      </c>
      <c r="EG95">
        <f>IFERROR(VLOOKUP($D95,'Kalkulator mięs '!$C$5:$H$533,EG$4,0)*$P95,0)</f>
        <v>0</v>
      </c>
      <c r="EH95">
        <f>IFERROR(VLOOKUP($D95,'Kalkulator mięs '!$C$5:$H$533,EH$4,0)*$P95,0)</f>
        <v>0</v>
      </c>
      <c r="EI95">
        <f>IFERROR(VLOOKUP($D95,'Kalkulator mięs '!$C$5:$H$533,EI$4,0)*$Q95,0)</f>
        <v>0</v>
      </c>
      <c r="EJ95">
        <f>IFERROR(VLOOKUP($D95,'Kalkulator mięs '!$C$5:$H$533,EJ$4,0)*$Q95,0)</f>
        <v>0</v>
      </c>
      <c r="EK95">
        <f>IFERROR(VLOOKUP($D95,'Kalkulator mięs '!$C$5:$H$533,EK$4,0)*$Q95,0)</f>
        <v>0</v>
      </c>
      <c r="EL95">
        <f>IFERROR(VLOOKUP($D95,'Kalkulator mięs '!$C$5:$H$533,EL$4,0)*$R95,0)</f>
        <v>0</v>
      </c>
      <c r="EM95">
        <f>IFERROR(VLOOKUP($D95,'Kalkulator mięs '!$C$5:$H$533,EM$4,0)*$R95,0)</f>
        <v>0</v>
      </c>
      <c r="EN95">
        <f>IFERROR(VLOOKUP($D95,'Kalkulator mięs '!$C$5:$H$533,EN$4,0)*$R95,0)</f>
        <v>0</v>
      </c>
      <c r="EO95">
        <f>IFERROR(VLOOKUP($D95,'Kalkulator mięs '!$C$5:$H$533,EO$4,0)*$S95,0)</f>
        <v>0</v>
      </c>
      <c r="EP95">
        <f>IFERROR(VLOOKUP($D95,'Kalkulator mięs '!$C$5:$H$533,EP$4,0)*$S95,0)</f>
        <v>0</v>
      </c>
      <c r="EQ95">
        <f>IFERROR(VLOOKUP($D95,'Kalkulator mięs '!$C$5:$H$533,EQ$4,0)*$S95,0)</f>
        <v>0</v>
      </c>
      <c r="ER95">
        <f>IFERROR(VLOOKUP($D95,'Kalkulator mięs '!$C$5:$H$533,ER$4,0)*$T95,0)</f>
        <v>0</v>
      </c>
      <c r="ES95">
        <f>IFERROR(VLOOKUP($D95,'Kalkulator mięs '!$C$5:$H$533,ES$4,0)*$T95,0)</f>
        <v>0</v>
      </c>
      <c r="ET95">
        <f>IFERROR(VLOOKUP($D95,'Kalkulator mięs '!$C$5:$H$533,ET$4,0)*$T95,0)</f>
        <v>0</v>
      </c>
      <c r="EU95">
        <f>IFERROR(VLOOKUP($D95,'Kalkulator mięs '!$C$5:$H$533,EU$4,0)*$U95,0)</f>
        <v>0</v>
      </c>
      <c r="EV95">
        <f>IFERROR(VLOOKUP($D95,'Kalkulator mięs '!$C$5:$H$533,EV$4,0)*$U95,0)</f>
        <v>0</v>
      </c>
      <c r="EW95">
        <f>IFERROR(VLOOKUP($D95,'Kalkulator mięs '!$C$5:$H$533,EW$4,0)*$U95,0)</f>
        <v>0</v>
      </c>
      <c r="EX95">
        <f>IFERROR(VLOOKUP($D95,'Kalkulator mięs '!$C$5:$H$533,EX$4,0)*$V95,0)</f>
        <v>0</v>
      </c>
      <c r="EY95">
        <f>IFERROR(VLOOKUP($D95,'Kalkulator mięs '!$C$5:$H$533,EY$4,0)*$V95,0)</f>
        <v>0</v>
      </c>
      <c r="EZ95">
        <f>IFERROR(VLOOKUP($D95,'Kalkulator mięs '!$C$5:$H$533,EZ$4,0)*$V95,0)</f>
        <v>0</v>
      </c>
      <c r="FA95">
        <f>IFERROR(VLOOKUP($D95,'Kalkulator mięs '!$C$5:$H$533,FA$4,0)*$W95,0)</f>
        <v>0</v>
      </c>
      <c r="FB95">
        <f>IFERROR(VLOOKUP($D95,'Kalkulator mięs '!$C$5:$H$533,FB$4,0)*$W95,0)</f>
        <v>0</v>
      </c>
      <c r="FC95">
        <f>IFERROR(VLOOKUP($D95,'Kalkulator mięs '!$C$5:$H$533,FC$4,0)*$W95,0)</f>
        <v>0</v>
      </c>
      <c r="FD95">
        <f>IFERROR(VLOOKUP($D95,'Kalkulator mięs '!$C$5:$H$533,FD$4,0)*$X95,0)</f>
        <v>0</v>
      </c>
      <c r="FE95">
        <f>IFERROR(VLOOKUP($D95,'Kalkulator mięs '!$C$5:$H$533,FE$4,0)*$X95,0)</f>
        <v>0</v>
      </c>
      <c r="FF95">
        <f>IFERROR(VLOOKUP($D95,'Kalkulator mięs '!$C$5:$H$533,FF$4,0)*$X95,0)</f>
        <v>0</v>
      </c>
      <c r="FG95">
        <f>IFERROR(VLOOKUP($D95,'Kalkulator mięs '!$C$5:$H$533,FG$4,0)*$Y95,0)</f>
        <v>0</v>
      </c>
      <c r="FH95">
        <f>IFERROR(VLOOKUP($D95,'Kalkulator mięs '!$C$5:$H$533,FH$4,0)*$Y95,0)</f>
        <v>0</v>
      </c>
      <c r="FI95">
        <f>IFERROR(VLOOKUP($D95,'Kalkulator mięs '!$C$5:$H$533,FI$4,0)*$Y95,0)</f>
        <v>0</v>
      </c>
      <c r="FJ95">
        <f>IFERROR(VLOOKUP($D95,'Kalkulator mięs '!$C$5:$H$533,FJ$4,0)*$Z95,0)</f>
        <v>0</v>
      </c>
      <c r="FK95">
        <f>IFERROR(VLOOKUP($D95,'Kalkulator mięs '!$C$5:$H$533,FK$4,0)*$Z95,0)</f>
        <v>0</v>
      </c>
      <c r="FL95">
        <f>IFERROR(VLOOKUP($D95,'Kalkulator mięs '!$C$5:$H$533,FL$4,0)*$Z95,0)</f>
        <v>0</v>
      </c>
      <c r="FM95">
        <f>IFERROR(VLOOKUP($D95,'Kalkulator mięs '!$C$5:$H$533,FM$4,0)*$AA95,0)</f>
        <v>0</v>
      </c>
      <c r="FN95">
        <f>IFERROR(VLOOKUP($D95,'Kalkulator mięs '!$C$5:$H$533,FN$4,0)*$AA95,0)</f>
        <v>0</v>
      </c>
      <c r="FO95">
        <f>IFERROR(VLOOKUP($D95,'Kalkulator mięs '!$C$5:$H$533,FO$4,0)*$AA95,0)</f>
        <v>0</v>
      </c>
      <c r="FP95">
        <f>IFERROR(VLOOKUP($D95,'Kalkulator mięs '!$C$5:$H$533,FP$4,0)*$AB95,0)</f>
        <v>0</v>
      </c>
      <c r="FQ95">
        <f>IFERROR(VLOOKUP($D95,'Kalkulator mięs '!$C$5:$H$533,FQ$4,0)*$AB95,0)</f>
        <v>0</v>
      </c>
      <c r="FR95">
        <f>IFERROR(VLOOKUP($D95,'Kalkulator mięs '!$C$5:$H$533,FR$4,0)*$AB95,0)</f>
        <v>0</v>
      </c>
      <c r="FS95">
        <f>IFERROR(VLOOKUP($D95,'Kalkulator mięs '!$C$5:$H$533,FS$4,0)*$AC95,0)</f>
        <v>0</v>
      </c>
      <c r="FT95">
        <f>IFERROR(VLOOKUP($D95,'Kalkulator mięs '!$C$5:$H$533,FT$4,0)*$AC95,0)</f>
        <v>0</v>
      </c>
      <c r="FU95">
        <f>IFERROR(VLOOKUP($D95,'Kalkulator mięs '!$C$5:$H$533,FU$4,0)*$AC95,0)</f>
        <v>0</v>
      </c>
      <c r="FV95">
        <f>IFERROR(VLOOKUP($D95,'Kalkulator mięs '!$C$5:$H$533,FV$4,0)*$AD95,0)</f>
        <v>0</v>
      </c>
      <c r="FW95">
        <f>IFERROR(VLOOKUP($D95,'Kalkulator mięs '!$C$5:$H$533,FW$4,0)*$AD95,0)</f>
        <v>0</v>
      </c>
      <c r="FX95">
        <f>IFERROR(VLOOKUP($D95,'Kalkulator mięs '!$C$5:$H$533,FX$4,0)*$AD95,0)</f>
        <v>0</v>
      </c>
      <c r="FY95">
        <f>IFERROR(VLOOKUP($D95,'Kalkulator mięs '!$C$5:$H$533,FY$4,0)*$AE95,0)</f>
        <v>0</v>
      </c>
      <c r="FZ95">
        <f>IFERROR(VLOOKUP($D95,'Kalkulator mięs '!$C$5:$H$533,FZ$4,0)*$AE95,0)</f>
        <v>0</v>
      </c>
      <c r="GA95">
        <f>IFERROR(VLOOKUP($D95,'Kalkulator mięs '!$C$5:$H$533,GA$4,0)*$AE95,0)</f>
        <v>0</v>
      </c>
      <c r="GB95">
        <f>IFERROR(VLOOKUP($D95,'Kalkulator mięs '!$C$5:$H$533,GB$4,0)*$AF95,0)</f>
        <v>0</v>
      </c>
      <c r="GC95">
        <f>IFERROR(VLOOKUP($D95,'Kalkulator mięs '!$C$5:$H$533,GC$4,0)*$AF95,0)</f>
        <v>0</v>
      </c>
      <c r="GD95">
        <f>IFERROR(VLOOKUP($D95,'Kalkulator mięs '!$C$5:$H$533,GD$4,0)*$AF95,0)</f>
        <v>0</v>
      </c>
      <c r="GE95">
        <f>IFERROR(VLOOKUP($D95,'Kalkulator mięs '!$C$5:$H$533,GE$4,0)*$AG95,0)</f>
        <v>0</v>
      </c>
      <c r="GF95">
        <f>IFERROR(VLOOKUP($D95,'Kalkulator mięs '!$C$5:$H$533,GF$4,0)*$AG95,0)</f>
        <v>0</v>
      </c>
      <c r="GG95">
        <f>IFERROR(VLOOKUP($D95,'Kalkulator mięs '!$C$5:$H$533,GG$4,0)*$AG95,0)</f>
        <v>0</v>
      </c>
      <c r="GH95">
        <f>IFERROR(VLOOKUP($D95,'Kalkulator mięs '!$C$5:$H$533,GH$4,0)*$AH95,0)</f>
        <v>0</v>
      </c>
      <c r="GI95">
        <f>IFERROR(VLOOKUP($D95,'Kalkulator mięs '!$C$5:$H$533,GI$4,0)*$AH95,0)</f>
        <v>0</v>
      </c>
      <c r="GJ95">
        <f>IFERROR(VLOOKUP($D95,'Kalkulator mięs '!$C$5:$H$533,GJ$4,0)*$AH95,0)</f>
        <v>0</v>
      </c>
      <c r="GK95">
        <f>IFERROR(VLOOKUP($D95,'Kalkulator mięs '!$C$5:$H$533,GK$4,0)*$AI95,0)</f>
        <v>0</v>
      </c>
      <c r="GL95">
        <f>IFERROR(VLOOKUP($D95,'Kalkulator mięs '!$C$5:$H$533,GL$4,0)*$AI95,0)</f>
        <v>0</v>
      </c>
      <c r="GM95">
        <f>IFERROR(VLOOKUP($D95,'Kalkulator mięs '!$C$5:$H$533,GM$4,0)*$AI95,0)</f>
        <v>0</v>
      </c>
      <c r="GN95">
        <f>IFERROR(VLOOKUP($D95,'Kalkulator mięs '!$C$5:$H$533,GN$4,0)*$AJ95,0)</f>
        <v>0</v>
      </c>
      <c r="GO95">
        <f>IFERROR(VLOOKUP($D95,'Kalkulator mięs '!$C$5:$H$533,GO$4,0)*$AJ95,0)</f>
        <v>0</v>
      </c>
      <c r="GP95">
        <f>IFERROR(VLOOKUP($D95,'Kalkulator mięs '!$C$5:$H$533,GP$4,0)*$AJ95,0)</f>
        <v>0</v>
      </c>
      <c r="GQ95">
        <f>IFERROR(VLOOKUP($D95,'Kalkulator mięs '!$C$5:$H$533,GQ$4,0)*$AK95,0)</f>
        <v>0</v>
      </c>
      <c r="GR95">
        <f>IFERROR(VLOOKUP($D95,'Kalkulator mięs '!$C$5:$H$533,GR$4,0)*$AK95,0)</f>
        <v>0</v>
      </c>
      <c r="GS95">
        <f>IFERROR(VLOOKUP($D95,'Kalkulator mięs '!$C$5:$H$533,GS$4,0)*$AK95,0)</f>
        <v>0</v>
      </c>
      <c r="GT95">
        <f>IFERROR(VLOOKUP($D95,'Kalkulator mięs '!$C$5:$H$533,GT$4,0)*$AL95,0)</f>
        <v>0</v>
      </c>
      <c r="GU95">
        <f>IFERROR(VLOOKUP($D95,'Kalkulator mięs '!$C$5:$H$533,GU$4,0)*$AL95,0)</f>
        <v>0</v>
      </c>
      <c r="GV95">
        <f>IFERROR(VLOOKUP($D95,'Kalkulator mięs '!$C$5:$H$533,GV$4,0)*$AL95,0)</f>
        <v>0</v>
      </c>
      <c r="GW95">
        <f>IFERROR(VLOOKUP($D95,'Kalkulator mięs '!$C$5:$H$533,GW$4,0)*$AM95,0)</f>
        <v>0</v>
      </c>
      <c r="GX95">
        <f>IFERROR(VLOOKUP($D95,'Kalkulator mięs '!$C$5:$H$533,GX$4,0)*$AM95,0)</f>
        <v>0</v>
      </c>
      <c r="GY95">
        <f>IFERROR(VLOOKUP($D95,'Kalkulator mięs '!$C$5:$H$533,GY$4,0)*$AM95,0)</f>
        <v>0</v>
      </c>
      <c r="GZ95">
        <f>IFERROR(VLOOKUP($D95,'Kalkulator mięs '!$C$5:$H$533,GZ$4,0)*$AN95,0)</f>
        <v>0</v>
      </c>
      <c r="HA95">
        <f>IFERROR(VLOOKUP($D95,'Kalkulator mięs '!$C$5:$H$533,HA$4,0)*$AN95,0)</f>
        <v>0</v>
      </c>
      <c r="HB95">
        <f>IFERROR(VLOOKUP($D95,'Kalkulator mięs '!$C$5:$H$533,HB$4,0)*$AN95,0)</f>
        <v>0</v>
      </c>
      <c r="HC95">
        <f>IFERROR(VLOOKUP($D95,'Kalkulator mięs '!$C$5:$H$533,HC$4,0)*$AO95,0)</f>
        <v>0</v>
      </c>
      <c r="HD95">
        <f>IFERROR(VLOOKUP($D95,'Kalkulator mięs '!$C$5:$H$533,HD$4,0)*$AO95,0)</f>
        <v>0</v>
      </c>
      <c r="HE95">
        <f>IFERROR(VLOOKUP($D95,'Kalkulator mięs '!$C$5:$H$533,HE$4,0)*$AO95,0)</f>
        <v>0</v>
      </c>
      <c r="HF95">
        <f>IFERROR(VLOOKUP($D95,'Kalkulator mięs '!$C$5:$H$533,HF$4,0)*$AP95,0)</f>
        <v>0</v>
      </c>
      <c r="HG95">
        <f>IFERROR(VLOOKUP($D95,'Kalkulator mięs '!$C$5:$H$533,HG$4,0)*$AP95,0)</f>
        <v>0</v>
      </c>
      <c r="HH95">
        <f>IFERROR(VLOOKUP($D95,'Kalkulator mięs '!$C$5:$H$533,HH$4,0)*$AP95,0)</f>
        <v>0</v>
      </c>
      <c r="HI95">
        <f>IFERROR(VLOOKUP($D95,'Kalkulator mięs '!$C$5:$H$533,HI$4,0)*$AQ95,0)</f>
        <v>0</v>
      </c>
      <c r="HJ95">
        <f>IFERROR(VLOOKUP($D95,'Kalkulator mięs '!$C$5:$H$533,HJ$4,0)*$AQ95,0)</f>
        <v>0</v>
      </c>
      <c r="HK95">
        <f>IFERROR(VLOOKUP($D95,'Kalkulator mięs '!$C$5:$H$533,HK$4,0)*$AQ95,0)</f>
        <v>0</v>
      </c>
      <c r="HL95">
        <f>IFERROR(VLOOKUP($D95,'Kalkulator mięs '!$C$5:$H$533,HL$4,0)*$AR95,0)</f>
        <v>0</v>
      </c>
      <c r="HM95">
        <f>IFERROR(VLOOKUP($D95,'Kalkulator mięs '!$C$5:$H$533,HM$4,0)*$AR95,0)</f>
        <v>0</v>
      </c>
      <c r="HN95">
        <f>IFERROR(VLOOKUP($D95,'Kalkulator mięs '!$C$5:$H$533,HN$4,0)*$AR95,0)</f>
        <v>0</v>
      </c>
      <c r="HO95">
        <f>IFERROR(VLOOKUP($D95,'Kalkulator mięs '!$C$5:$H$533,HO$4,0)*$AS95,0)</f>
        <v>0</v>
      </c>
      <c r="HP95">
        <f>IFERROR(VLOOKUP($D95,'Kalkulator mięs '!$C$5:$H$533,HP$4,0)*$AS95,0)</f>
        <v>0</v>
      </c>
      <c r="HQ95">
        <f>IFERROR(VLOOKUP($D95,'Kalkulator mięs '!$C$5:$H$533,HQ$4,0)*$AS95,0)</f>
        <v>0</v>
      </c>
      <c r="HR95">
        <f>IFERROR(VLOOKUP($D95,'Kalkulator mięs '!$C$5:$H$533,HR$4,0)*$AT95,0)</f>
        <v>0</v>
      </c>
      <c r="HS95">
        <f>IFERROR(VLOOKUP($D95,'Kalkulator mięs '!$C$5:$H$533,HS$4,0)*$AT95,0)</f>
        <v>0</v>
      </c>
      <c r="HT95">
        <f>IFERROR(VLOOKUP($D95,'Kalkulator mięs '!$C$5:$H$533,HT$4,0)*$AT95,0)</f>
        <v>0</v>
      </c>
      <c r="HU95">
        <f>IFERROR(VLOOKUP($D95,'Kalkulator mięs '!$C$5:$H$533,HU$4,0)*$AU95,0)</f>
        <v>0</v>
      </c>
      <c r="HV95">
        <f>IFERROR(VLOOKUP($D95,'Kalkulator mięs '!$C$5:$H$533,HV$4,0)*$AU95,0)</f>
        <v>0</v>
      </c>
      <c r="HW95">
        <f>IFERROR(VLOOKUP($D95,'Kalkulator mięs '!$C$5:$H$533,HW$4,0)*$AU95,0)</f>
        <v>0</v>
      </c>
      <c r="HX95">
        <f>IFERROR(VLOOKUP($D95,'Kalkulator mięs '!$C$5:$H$533,HX$4,0)*$AV95,0)</f>
        <v>0</v>
      </c>
      <c r="HY95">
        <f>IFERROR(VLOOKUP($D95,'Kalkulator mięs '!$C$5:$H$533,HY$4,0)*$AV95,0)</f>
        <v>0</v>
      </c>
      <c r="HZ95">
        <f>IFERROR(VLOOKUP($D95,'Kalkulator mięs '!$C$5:$H$533,HZ$4,0)*$AV95,0)</f>
        <v>0</v>
      </c>
      <c r="IA95">
        <f>IFERROR(VLOOKUP($D95,'Kalkulator mięs '!$C$5:$H$533,IA$4,0)*$AW95,0)</f>
        <v>0</v>
      </c>
      <c r="IB95">
        <f>IFERROR(VLOOKUP($D95,'Kalkulator mięs '!$C$5:$H$533,IB$4,0)*$AW95,0)</f>
        <v>0</v>
      </c>
      <c r="IC95">
        <f>IFERROR(VLOOKUP($D95,'Kalkulator mięs '!$C$5:$H$533,IC$4,0)*$AW95,0)</f>
        <v>0</v>
      </c>
      <c r="ID95">
        <f>IFERROR(VLOOKUP($D95,'Kalkulator mięs '!$C$5:$H$533,ID$4,0)*$AX95,0)</f>
        <v>0</v>
      </c>
      <c r="IE95">
        <f>IFERROR(VLOOKUP($D95,'Kalkulator mięs '!$C$5:$H$533,IE$4,0)*$AX95,0)</f>
        <v>0</v>
      </c>
      <c r="IF95">
        <f>IFERROR(VLOOKUP($D95,'Kalkulator mięs '!$C$5:$H$533,IF$4,0)*$AX95,0)</f>
        <v>0</v>
      </c>
      <c r="IG95">
        <f>IFERROR(VLOOKUP($D95,'Kalkulator mięs '!$C$5:$H$533,IG$4,0)*$AY95,0)</f>
        <v>0</v>
      </c>
      <c r="IH95">
        <f>IFERROR(VLOOKUP($D95,'Kalkulator mięs '!$C$5:$H$533,IH$4,0)*$AY95,0)</f>
        <v>0</v>
      </c>
      <c r="II95">
        <f>IFERROR(VLOOKUP($D95,'Kalkulator mięs '!$C$5:$H$533,II$4,0)*$AY95,0)</f>
        <v>0</v>
      </c>
      <c r="IJ95">
        <f>IFERROR(VLOOKUP($D95,'Kalkulator mięs '!$C$5:$H$533,IJ$4,0)*$AZ95,0)</f>
        <v>0</v>
      </c>
      <c r="IK95">
        <f>IFERROR(VLOOKUP($D95,'Kalkulator mięs '!$C$5:$H$533,IK$4,0)*$AZ95,0)</f>
        <v>0</v>
      </c>
      <c r="IL95">
        <f>IFERROR(VLOOKUP($D95,'Kalkulator mięs '!$C$5:$H$533,IL$4,0)*$AZ95,0)</f>
        <v>0</v>
      </c>
      <c r="IM95">
        <f>IFERROR(VLOOKUP($D95,'Kalkulator mięs '!$C$5:$H$533,IM$4,0)*$BA95,0)</f>
        <v>0</v>
      </c>
      <c r="IN95">
        <f>IFERROR(VLOOKUP($D95,'Kalkulator mięs '!$C$5:$H$533,IN$4,0)*$BA95,0)</f>
        <v>0</v>
      </c>
      <c r="IO95">
        <f>IFERROR(VLOOKUP($D95,'Kalkulator mięs '!$C$5:$H$533,IO$4,0)*$BA95,0)</f>
        <v>0</v>
      </c>
    </row>
    <row r="96" spans="2:249" ht="16.5" thickTop="1">
      <c r="C96" s="367"/>
      <c r="D96" s="368"/>
      <c r="E96" s="369"/>
      <c r="F96" s="366"/>
      <c r="G96" s="366"/>
      <c r="H96" s="366"/>
      <c r="I96" s="366"/>
      <c r="J96" s="366"/>
      <c r="K96" s="366"/>
      <c r="L96" s="366"/>
      <c r="M96" s="366"/>
      <c r="N96" s="366"/>
      <c r="O96" s="366"/>
      <c r="P96" s="366"/>
      <c r="Q96" s="366"/>
      <c r="R96" s="36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366"/>
      <c r="AH96" s="366"/>
      <c r="AI96" s="366"/>
      <c r="AJ96" s="366"/>
      <c r="AK96" s="366"/>
      <c r="AL96" s="366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BC96" s="368"/>
      <c r="BD96" s="369"/>
      <c r="BE96" s="239"/>
      <c r="BF96" s="239"/>
      <c r="BG96" s="239"/>
      <c r="BH96" s="239"/>
      <c r="BI96" s="239"/>
      <c r="BJ96" s="239"/>
      <c r="BK96" s="239"/>
      <c r="BL96" s="239"/>
      <c r="BM96" s="239"/>
      <c r="BN96" s="239"/>
      <c r="BO96" s="239"/>
      <c r="BP96" s="239"/>
      <c r="BQ96" s="239"/>
      <c r="BR96" s="239"/>
      <c r="BS96" s="239"/>
      <c r="BT96" s="239"/>
      <c r="BU96" s="239"/>
      <c r="BV96" s="239"/>
      <c r="BW96" s="239"/>
      <c r="BX96" s="239"/>
      <c r="BY96" s="239"/>
      <c r="BZ96" s="239"/>
      <c r="CA96" s="239"/>
      <c r="CB96" s="239"/>
      <c r="CC96" s="239"/>
      <c r="CD96" s="239"/>
      <c r="CE96" s="239"/>
      <c r="CF96" s="239"/>
      <c r="CG96" s="239"/>
      <c r="CH96" s="239"/>
      <c r="CI96" s="239"/>
      <c r="CJ96" s="239"/>
      <c r="CK96" s="239"/>
      <c r="CL96" s="239"/>
      <c r="CM96" s="239"/>
      <c r="CN96" s="239"/>
      <c r="CO96" s="239"/>
      <c r="CP96" s="239"/>
      <c r="CQ96" s="239"/>
      <c r="CR96" s="239"/>
      <c r="CS96" s="239"/>
      <c r="CT96" s="239"/>
      <c r="CU96" s="239"/>
      <c r="CV96" s="239"/>
      <c r="CW96" s="239"/>
      <c r="CX96" s="239"/>
      <c r="CY96" s="239"/>
      <c r="CZ96" s="239"/>
    </row>
    <row r="97" spans="3:249" ht="15.75">
      <c r="C97" s="367"/>
      <c r="D97" s="368"/>
      <c r="E97" s="369"/>
      <c r="F97" s="366"/>
      <c r="G97" s="366"/>
      <c r="H97" s="366"/>
      <c r="I97" s="366"/>
      <c r="J97" s="366"/>
      <c r="K97" s="366"/>
      <c r="L97" s="366"/>
      <c r="M97" s="366"/>
      <c r="N97" s="366"/>
      <c r="O97" s="366"/>
      <c r="P97" s="366"/>
      <c r="Q97" s="366"/>
      <c r="R97" s="36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366"/>
      <c r="AH97" s="366"/>
      <c r="AI97" s="366"/>
      <c r="AJ97" s="366"/>
      <c r="AK97" s="366"/>
      <c r="AL97" s="366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BC97" s="368"/>
      <c r="BD97" s="369"/>
      <c r="BE97" s="239"/>
      <c r="BF97" s="239"/>
      <c r="BG97" s="239"/>
      <c r="BH97" s="239"/>
      <c r="BI97" s="239"/>
      <c r="BJ97" s="239"/>
      <c r="BK97" s="239"/>
      <c r="BL97" s="239"/>
      <c r="BM97" s="239"/>
      <c r="BN97" s="239"/>
      <c r="BO97" s="239"/>
      <c r="BP97" s="239"/>
      <c r="BQ97" s="239"/>
      <c r="BR97" s="239"/>
      <c r="BS97" s="239"/>
      <c r="BT97" s="239"/>
      <c r="BU97" s="239"/>
      <c r="BV97" s="239"/>
      <c r="BW97" s="239"/>
      <c r="BX97" s="239"/>
      <c r="BY97" s="239"/>
      <c r="BZ97" s="239"/>
      <c r="CA97" s="239"/>
      <c r="CB97" s="239"/>
      <c r="CC97" s="239"/>
      <c r="CD97" s="239"/>
      <c r="CE97" s="239"/>
      <c r="CF97" s="239"/>
      <c r="CG97" s="239"/>
      <c r="CH97" s="239"/>
      <c r="CI97" s="239"/>
      <c r="CJ97" s="239"/>
      <c r="CK97" s="239"/>
      <c r="CL97" s="239"/>
      <c r="CM97" s="239"/>
      <c r="CN97" s="239"/>
      <c r="CO97" s="239"/>
      <c r="CP97" s="239"/>
      <c r="CQ97" s="239"/>
      <c r="CR97" s="239"/>
      <c r="CS97" s="239"/>
      <c r="CT97" s="239"/>
      <c r="CU97" s="239"/>
      <c r="CV97" s="239"/>
      <c r="CW97" s="239"/>
      <c r="CX97" s="239"/>
      <c r="CY97" s="239"/>
      <c r="CZ97" s="239"/>
    </row>
    <row r="98" spans="3:249" ht="15.75">
      <c r="C98" s="367"/>
      <c r="D98" s="368"/>
      <c r="E98" s="369"/>
      <c r="F98" s="366"/>
      <c r="G98" s="366"/>
      <c r="H98" s="366"/>
      <c r="I98" s="366"/>
      <c r="J98" s="366"/>
      <c r="K98" s="366"/>
      <c r="L98" s="366"/>
      <c r="M98" s="366"/>
      <c r="N98" s="366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366"/>
      <c r="AH98" s="366"/>
      <c r="AI98" s="366"/>
      <c r="AJ98" s="366"/>
      <c r="AK98" s="366"/>
      <c r="AL98" s="366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BC98" s="368"/>
      <c r="BD98" s="369"/>
      <c r="BE98" s="239"/>
      <c r="BF98" s="239"/>
      <c r="BG98" s="239"/>
      <c r="BH98" s="239"/>
      <c r="BI98" s="239"/>
      <c r="BJ98" s="239"/>
      <c r="BK98" s="239"/>
      <c r="BL98" s="239"/>
      <c r="BM98" s="239"/>
      <c r="BN98" s="239"/>
      <c r="BO98" s="239"/>
      <c r="BP98" s="239"/>
      <c r="BQ98" s="239"/>
      <c r="BR98" s="239"/>
      <c r="BS98" s="239"/>
      <c r="BT98" s="239"/>
      <c r="BU98" s="239"/>
      <c r="BV98" s="239"/>
      <c r="BW98" s="239"/>
      <c r="BX98" s="239"/>
      <c r="BY98" s="239"/>
      <c r="BZ98" s="239"/>
      <c r="CA98" s="239"/>
      <c r="CB98" s="239"/>
      <c r="CC98" s="239"/>
      <c r="CD98" s="239"/>
      <c r="CE98" s="239"/>
      <c r="CF98" s="239"/>
      <c r="CG98" s="239"/>
      <c r="CH98" s="239"/>
      <c r="CI98" s="239"/>
      <c r="CJ98" s="239"/>
      <c r="CK98" s="239"/>
      <c r="CL98" s="239"/>
      <c r="CM98" s="239"/>
      <c r="CN98" s="239"/>
      <c r="CO98" s="239"/>
      <c r="CP98" s="239"/>
      <c r="CQ98" s="239"/>
      <c r="CR98" s="239"/>
      <c r="CS98" s="239"/>
      <c r="CT98" s="239"/>
      <c r="CU98" s="239"/>
      <c r="CV98" s="239"/>
      <c r="CW98" s="239"/>
      <c r="CX98" s="239"/>
      <c r="CY98" s="239"/>
      <c r="CZ98" s="239"/>
    </row>
    <row r="99" spans="3:249">
      <c r="DB99" t="str">
        <f ca="1">_xlfn.CONCAT(DB5,"_",1)</f>
        <v>I dr. Jasna _1</v>
      </c>
      <c r="DC99" t="str">
        <f ca="1">_xlfn.CONCAT(DC5,"_",2)</f>
        <v>I dr. Jasna _2</v>
      </c>
      <c r="DD99" t="str">
        <f ca="1">_xlfn.CONCAT(DD5,"_",3)</f>
        <v>I dr. Jasna _3</v>
      </c>
      <c r="DE99" t="str">
        <f>_xlfn.CONCAT(DE5,"_",1)</f>
        <v>Drób Kabanosy1,5%_1</v>
      </c>
      <c r="DF99" t="str">
        <f>_xlfn.CONCAT(DF5,"_",2)</f>
        <v>Drób Kabanosy1,5%_2</v>
      </c>
      <c r="DG99" t="str">
        <f>_xlfn.CONCAT(DG5,"_",3)</f>
        <v>Drób Kabanosy1,5%_3</v>
      </c>
      <c r="DH99" t="str">
        <f ca="1">_xlfn.CONCAT(DH5,"_",1)</f>
        <v>Idr. Ciemna _1</v>
      </c>
      <c r="DI99" t="str">
        <f ca="1">_xlfn.CONCAT(DI5,"_",2)</f>
        <v>Idr. Ciemna _2</v>
      </c>
      <c r="DJ99" t="str">
        <f ca="1">_xlfn.CONCAT(DJ5,"_",3)</f>
        <v>Idr. Ciemna _3</v>
      </c>
      <c r="DK99" t="str">
        <f ca="1">_xlfn.CONCAT(DK5,"_",1)</f>
        <v>Brzuchaty_1</v>
      </c>
      <c r="DL99" t="str">
        <f ca="1">_xlfn.CONCAT(DL5,"_",2)</f>
        <v>Brzuchaty_2</v>
      </c>
      <c r="DM99" t="str">
        <f ca="1">_xlfn.CONCAT(DM5,"_",3)</f>
        <v>Brzuchaty_3</v>
      </c>
      <c r="DN99" t="str">
        <f ca="1">_xlfn.CONCAT(DN5,"_",1)</f>
        <v>Przepona _1</v>
      </c>
      <c r="DO99" t="str">
        <f ca="1">_xlfn.CONCAT(DO5,"_",2)</f>
        <v>Przepona _2</v>
      </c>
      <c r="DP99" t="str">
        <f ca="1">_xlfn.CONCAT(DP5,"_",3)</f>
        <v>Przepona _3</v>
      </c>
      <c r="DQ99" t="str">
        <f ca="1">_xlfn.CONCAT(DQ5,"_",1)</f>
        <v>Szynka 6d_1</v>
      </c>
      <c r="DR99" t="str">
        <f ca="1">_xlfn.CONCAT(DR5,"_",2)</f>
        <v>Szynka 6d_2</v>
      </c>
      <c r="DS99" t="str">
        <f ca="1">_xlfn.CONCAT(DS5,"_",3)</f>
        <v>Szynka 6d_3</v>
      </c>
      <c r="DT99" t="str">
        <f ca="1">_xlfn.CONCAT(DT5,"_",1)</f>
        <v>M-so kl. 2A _1</v>
      </c>
      <c r="DU99" t="str">
        <f ca="1">_xlfn.CONCAT(DU5,"_",2)</f>
        <v>M-so kl. 2A _2</v>
      </c>
      <c r="DV99" t="str">
        <f ca="1">_xlfn.CONCAT(DV5,"_",3)</f>
        <v>M-so kl. 2A _3</v>
      </c>
      <c r="DW99" t="str">
        <f ca="1">_xlfn.CONCAT(DW5,"_",1)</f>
        <v>M-so kl. 2B _1</v>
      </c>
      <c r="DX99" t="str">
        <f ca="1">_xlfn.CONCAT(DX5,"_",2)</f>
        <v>M-so kl. 2B _2</v>
      </c>
      <c r="DY99" t="str">
        <f ca="1">_xlfn.CONCAT(DY5,"_",3)</f>
        <v>M-so kl. 2B _3</v>
      </c>
      <c r="DZ99" t="str">
        <f ca="1">_xlfn.CONCAT(DZ5,"_",1)</f>
        <v>M-so kl. 3A_1</v>
      </c>
      <c r="EA99" t="str">
        <f ca="1">_xlfn.CONCAT(EA5,"_",2)</f>
        <v>M-so kl. 3A_2</v>
      </c>
      <c r="EB99" t="str">
        <f ca="1">_xlfn.CONCAT(EB5,"_",3)</f>
        <v>M-so kl. 3A_3</v>
      </c>
      <c r="EC99" t="str">
        <f ca="1">_xlfn.CONCAT(EC5,"_",1)</f>
        <v>M-so kl. 4A_1</v>
      </c>
      <c r="ED99" t="str">
        <f ca="1">_xlfn.CONCAT(ED5,"_",2)</f>
        <v>M-so kl. 4A_2</v>
      </c>
      <c r="EE99" t="str">
        <f ca="1">_xlfn.CONCAT(EE5,"_",3)</f>
        <v>M-so kl. 4A_3</v>
      </c>
      <c r="EF99" t="str">
        <f ca="1">_xlfn.CONCAT(EF5,"_",1)</f>
        <v>Żel Czerwony_1</v>
      </c>
      <c r="EG99" t="str">
        <f ca="1">_xlfn.CONCAT(EG5,"_",2)</f>
        <v>Żel Czerwony_2</v>
      </c>
      <c r="EH99" t="str">
        <f ca="1">_xlfn.CONCAT(EH5,"_",3)</f>
        <v>Żel Czerwony_3</v>
      </c>
      <c r="EI99" t="str">
        <f ca="1">_xlfn.CONCAT(EI5,"_",1)</f>
        <v>T. Drobny _1</v>
      </c>
      <c r="EJ99" t="str">
        <f ca="1">_xlfn.CONCAT(EJ5,"_",2)</f>
        <v>T. Drobny _2</v>
      </c>
      <c r="EK99" t="str">
        <f ca="1">_xlfn.CONCAT(EK5,"_",3)</f>
        <v>T. Drobny _3</v>
      </c>
      <c r="EL99" t="str">
        <f ca="1">_xlfn.CONCAT(EL5,"_",1)</f>
        <v>Podgardle _1</v>
      </c>
      <c r="EM99" t="str">
        <f ca="1">_xlfn.CONCAT(EM5,"_",2)</f>
        <v>Podgardle _2</v>
      </c>
      <c r="EN99" t="str">
        <f ca="1">_xlfn.CONCAT(EN5,"_",3)</f>
        <v>Podgardle _3</v>
      </c>
      <c r="EO99" t="str">
        <f ca="1">_xlfn.CONCAT(EO5,"_",1)</f>
        <v>Skóry_1</v>
      </c>
      <c r="EP99" t="str">
        <f ca="1">_xlfn.CONCAT(EP5,"_",2)</f>
        <v>Skóry_2</v>
      </c>
      <c r="EQ99" t="str">
        <f ca="1">_xlfn.CONCAT(EQ5,"_",3)</f>
        <v>Skóry_3</v>
      </c>
      <c r="ER99" t="str">
        <f ca="1">_xlfn.CONCAT(ER5,"_",1)</f>
        <v>Mieso 80/20 (5214)_1</v>
      </c>
      <c r="ES99" t="str">
        <f ca="1">_xlfn.CONCAT(ES5,"_",2)</f>
        <v>Mieso 80/20 (5214)_2</v>
      </c>
      <c r="ET99" t="str">
        <f ca="1">_xlfn.CONCAT(ET5,"_",3)</f>
        <v>Mieso 80/20 (5214)_3</v>
      </c>
      <c r="EU99" t="str">
        <f ca="1">_xlfn.CONCAT(EU5,"_",1)</f>
        <v>Mieso 60/40 (5215)_1</v>
      </c>
      <c r="EV99" t="str">
        <f ca="1">_xlfn.CONCAT(EV5,"_",2)</f>
        <v>Mieso 60/40 (5215)_2</v>
      </c>
      <c r="EW99" t="str">
        <f ca="1">_xlfn.CONCAT(EW5,"_",3)</f>
        <v>Mieso 60/40 (5215)_3</v>
      </c>
      <c r="EX99" t="str">
        <f ca="1">_xlfn.CONCAT(EX5,"_",1)</f>
        <v>Indyk_1</v>
      </c>
      <c r="EY99" t="str">
        <f ca="1">_xlfn.CONCAT(EY5,"_",2)</f>
        <v>Indyk_2</v>
      </c>
      <c r="EZ99" t="str">
        <f ca="1">_xlfn.CONCAT(EZ5,"_",3)</f>
        <v>Indyk_3</v>
      </c>
      <c r="FA99" t="str">
        <f ca="1">_xlfn.CONCAT(FA5,"_",1)</f>
        <v>Mieso 90/10 (5226)_1</v>
      </c>
      <c r="FB99" t="str">
        <f ca="1">_xlfn.CONCAT(FB5,"_",2)</f>
        <v>Mieso 90/10 (5226)_2</v>
      </c>
      <c r="FC99" t="str">
        <f ca="1">_xlfn.CONCAT(FC5,"_",3)</f>
        <v>Mieso 90/10 (5226)_3</v>
      </c>
      <c r="FD99" t="str">
        <f ca="1">_xlfn.CONCAT(FD5,"_",1)</f>
        <v>3A Peklowana 1,5%_1</v>
      </c>
      <c r="FE99" t="str">
        <f ca="1">_xlfn.CONCAT(FE5,"_",2)</f>
        <v>3A Peklowana 1,5%_2</v>
      </c>
      <c r="FF99" t="str">
        <f ca="1">_xlfn.CONCAT(FF5,"_",3)</f>
        <v>3A Peklowana 1,5%_3</v>
      </c>
      <c r="FG99" t="str">
        <f ca="1">_xlfn.CONCAT(FG5,"_",1)</f>
        <v>Mięso kl. 4M_1</v>
      </c>
      <c r="FH99" t="str">
        <f ca="1">_xlfn.CONCAT(FH5,"_",2)</f>
        <v>Mięso kl. 4M_2</v>
      </c>
      <c r="FI99" t="str">
        <f ca="1">_xlfn.CONCAT(FI5,"_",3)</f>
        <v>Mięso kl. 4M_3</v>
      </c>
      <c r="FJ99" t="str">
        <f ca="1">_xlfn.CONCAT(FJ5,"_",1)</f>
        <v>Mięso 90/10 (5025)  _1</v>
      </c>
      <c r="FK99" t="str">
        <f ca="1">_xlfn.CONCAT(FK5,"_",2)</f>
        <v>Mięso 90/10 (5025)  _2</v>
      </c>
      <c r="FL99" t="str">
        <f ca="1">_xlfn.CONCAT(FL5,"_",3)</f>
        <v>Mięso 90/10 (5025)  _3</v>
      </c>
      <c r="FM99" t="str">
        <f ca="1">_xlfn.CONCAT(FM5,"_",1)</f>
        <v>Mieszanka (5022) _1</v>
      </c>
      <c r="FN99" t="str">
        <f ca="1">_xlfn.CONCAT(FN5,"_",2)</f>
        <v>Mieszanka (5022) _2</v>
      </c>
      <c r="FO99" t="str">
        <f ca="1">_xlfn.CONCAT(FO5,"_",3)</f>
        <v>Mieszanka (5022) _3</v>
      </c>
      <c r="FP99" t="str">
        <f ca="1">_xlfn.CONCAT(FP5,"_",1)</f>
        <v>Emulsja _1</v>
      </c>
      <c r="FQ99" t="str">
        <f ca="1">_xlfn.CONCAT(FQ5,"_",2)</f>
        <v>Emulsja _2</v>
      </c>
      <c r="FR99" t="str">
        <f ca="1">_xlfn.CONCAT(FR5,"_",3)</f>
        <v>Emulsja _3</v>
      </c>
      <c r="FS99" t="str">
        <f ca="1">_xlfn.CONCAT(FS5,"_",1)</f>
        <v>Udo_1</v>
      </c>
      <c r="FT99" t="str">
        <f ca="1">_xlfn.CONCAT(FT5,"_",2)</f>
        <v>Udo_2</v>
      </c>
      <c r="FU99" t="str">
        <f ca="1">_xlfn.CONCAT(FU5,"_",3)</f>
        <v>Udo_3</v>
      </c>
      <c r="FV99" t="str">
        <f ca="1">_xlfn.CONCAT(FV5,"_",1)</f>
        <v>Podudzie b/s_1</v>
      </c>
      <c r="FW99" t="str">
        <f ca="1">_xlfn.CONCAT(FW5,"_",2)</f>
        <v>Podudzie b/s_2</v>
      </c>
      <c r="FX99" t="str">
        <f ca="1">_xlfn.CONCAT(FX5,"_",3)</f>
        <v>Podudzie b/s_3</v>
      </c>
      <c r="FY99" t="str">
        <f ca="1">_xlfn.CONCAT(FY5,"_",1)</f>
        <v>DMOM_1</v>
      </c>
      <c r="FZ99" t="str">
        <f ca="1">_xlfn.CONCAT(FZ5,"_",2)</f>
        <v>DMOM_2</v>
      </c>
      <c r="GA99" t="str">
        <f ca="1">_xlfn.CONCAT(GA5,"_",3)</f>
        <v>DMOM_3</v>
      </c>
      <c r="GB99" t="str">
        <f ca="1">_xlfn.CONCAT(GB5,"_",1)</f>
        <v>Noga b/s_1</v>
      </c>
      <c r="GC99" t="str">
        <f ca="1">_xlfn.CONCAT(GC5,"_",2)</f>
        <v>Noga b/s_2</v>
      </c>
      <c r="GD99" t="str">
        <f ca="1">_xlfn.CONCAT(GD5,"_",3)</f>
        <v>Noga b/s_3</v>
      </c>
      <c r="GE99" t="str">
        <f ca="1">_xlfn.CONCAT(GE5,"_",1)</f>
        <v>KK skóry_1</v>
      </c>
      <c r="GF99" t="str">
        <f ca="1">_xlfn.CONCAT(GF5,"_",2)</f>
        <v>KK skóry_2</v>
      </c>
      <c r="GG99" t="str">
        <f ca="1">_xlfn.CONCAT(GG5,"_",3)</f>
        <v>KK skóry_3</v>
      </c>
      <c r="GH99" t="str">
        <f ca="1">_xlfn.CONCAT(GH5,"_",1)</f>
        <v>Rework ŚL _1</v>
      </c>
      <c r="GI99" t="str">
        <f ca="1">_xlfn.CONCAT(GI5,"_",2)</f>
        <v>Rework ŚL _2</v>
      </c>
      <c r="GJ99" t="str">
        <f ca="1">_xlfn.CONCAT(GJ5,"_",3)</f>
        <v>Rework ŚL _3</v>
      </c>
      <c r="GK99" t="str">
        <f ca="1">_xlfn.CONCAT(GK5,"_",1)</f>
        <v>Rework Reg. _1</v>
      </c>
      <c r="GL99" t="str">
        <f ca="1">_xlfn.CONCAT(GL5,"_",2)</f>
        <v>Rework Reg. _2</v>
      </c>
      <c r="GM99" t="str">
        <f ca="1">_xlfn.CONCAT(GM5,"_",3)</f>
        <v>Rework Reg. _3</v>
      </c>
      <c r="GN99" t="str">
        <f ca="1">_xlfn.CONCAT(GN5,"_",1)</f>
        <v>Mieso 90/10 (52264000)_1</v>
      </c>
      <c r="GO99" t="str">
        <f ca="1">_xlfn.CONCAT(GO5,"_",2)</f>
        <v>Mieso 90/10 (52264000)_2</v>
      </c>
      <c r="GP99" t="str">
        <f ca="1">_xlfn.CONCAT(GP5,"_",3)</f>
        <v>Mieso 90/10 (52264000)_3</v>
      </c>
      <c r="GQ99" t="str">
        <f ca="1">_xlfn.CONCAT(GQ5,"_",1)</f>
        <v>Drób peklowany1,5%_1</v>
      </c>
      <c r="GR99" t="str">
        <f ca="1">_xlfn.CONCAT(GR5,"_",2)</f>
        <v>Drób peklowany1,5%_2</v>
      </c>
      <c r="GS99" t="str">
        <f ca="1">_xlfn.CONCAT(GS5,"_",3)</f>
        <v>Drób peklowany1,5%_3</v>
      </c>
      <c r="GT99" t="str">
        <f ca="1">_xlfn.CONCAT(GT5,"_",1)</f>
        <v>Bocz IV PP WT_1</v>
      </c>
      <c r="GU99" t="str">
        <f ca="1">_xlfn.CONCAT(GU5,"_",2)</f>
        <v>Bocz IV PP WT_2</v>
      </c>
      <c r="GV99" t="str">
        <f ca="1">_xlfn.CONCAT(GV5,"_",3)</f>
        <v>Bocz IV PP WT_3</v>
      </c>
      <c r="GW99" t="str">
        <f ca="1">_xlfn.CONCAT(GW5,"_",1)</f>
        <v>Żel Pomarańczowy_1</v>
      </c>
      <c r="GX99" t="str">
        <f ca="1">_xlfn.CONCAT(GX5,"_",2)</f>
        <v>Żel Pomarańczowy_2</v>
      </c>
      <c r="GY99" t="str">
        <f ca="1">_xlfn.CONCAT(GY5,"_",3)</f>
        <v>Żel Pomarańczowy_3</v>
      </c>
      <c r="GZ99" t="str">
        <f ca="1">_xlfn.CONCAT(GZ5,"_",1)</f>
        <v>M-so kl4 1.5%(5209)_1</v>
      </c>
      <c r="HA99" t="str">
        <f ca="1">_xlfn.CONCAT(HA5,"_",2)</f>
        <v>M-so kl4 1.5%(5209)_2</v>
      </c>
      <c r="HB99" t="str">
        <f ca="1">_xlfn.CONCAT(HB5,"_",3)</f>
        <v>M-so kl4 1.5%(5209)_3</v>
      </c>
      <c r="HC99" t="str">
        <f ca="1">_xlfn.CONCAT(HC5,"_",1)</f>
        <v>Szynka 1.5D + Łop 1.5D_1</v>
      </c>
      <c r="HD99" t="str">
        <f ca="1">_xlfn.CONCAT(HD5,"_",2)</f>
        <v>Szynka 1.5D + Łop 1.5D_2</v>
      </c>
      <c r="HE99" t="str">
        <f ca="1">_xlfn.CONCAT(HE5,"_",3)</f>
        <v>Szynka 1.5D + Łop 1.5D_3</v>
      </c>
      <c r="HF99" t="str">
        <f ca="1">_xlfn.CONCAT(HF5,"_",1)</f>
        <v>Mieszanka(5027)_1</v>
      </c>
      <c r="HG99" t="str">
        <f ca="1">_xlfn.CONCAT(HG5,"_",2)</f>
        <v>Mieszanka(5027)_2</v>
      </c>
      <c r="HH99" t="str">
        <f ca="1">_xlfn.CONCAT(HH5,"_",3)</f>
        <v>Mieszanka(5027)_3</v>
      </c>
      <c r="HI99" t="str">
        <f ca="1">_xlfn.CONCAT(HI5,"_",1)</f>
        <v>Czterogłowy_1</v>
      </c>
      <c r="HJ99" t="str">
        <f ca="1">_xlfn.CONCAT(HJ5,"_",2)</f>
        <v>Czterogłowy_2</v>
      </c>
      <c r="HK99" t="str">
        <f ca="1">_xlfn.CONCAT(HK5,"_",3)</f>
        <v>Czterogłowy_3</v>
      </c>
      <c r="HL99" t="str">
        <f ca="1">_xlfn.CONCAT(HL5,"_",1)</f>
        <v>Tryming 65/35 maski_1</v>
      </c>
      <c r="HM99" t="str">
        <f ca="1">_xlfn.CONCAT(HM5,"_",2)</f>
        <v>Tryming 65/35 maski_2</v>
      </c>
      <c r="HN99" t="str">
        <f ca="1">_xlfn.CONCAT(HN5,"_",3)</f>
        <v>Tryming 65/35 maski_3</v>
      </c>
      <c r="HO99" t="str">
        <f ca="1">_xlfn.CONCAT(HO5,"_",1)</f>
        <v>Tryming 70/30_1</v>
      </c>
      <c r="HP99" t="str">
        <f ca="1">_xlfn.CONCAT(HP5,"_",2)</f>
        <v>Tryming 70/30_2</v>
      </c>
      <c r="HQ99" t="str">
        <f ca="1">_xlfn.CONCAT(HQ5,"_",3)</f>
        <v>Tryming 70/30_3</v>
      </c>
      <c r="HR99" t="str">
        <f ca="1">_xlfn.CONCAT(HR5,"_",1)</f>
        <v>KK M-SO MIX  JASNE D6_1</v>
      </c>
      <c r="HS99" t="str">
        <f ca="1">_xlfn.CONCAT(HS5,"_",2)</f>
        <v>KK M-SO MIX  JASNE D6_2</v>
      </c>
      <c r="HT99" t="str">
        <f ca="1">_xlfn.CONCAT(HT5,"_",3)</f>
        <v>KK M-SO MIX  JASNE D6_3</v>
      </c>
      <c r="HU99" t="str">
        <f ca="1">_xlfn.CONCAT(HU5,"_",1)</f>
        <v>M-so kl. 3B_1</v>
      </c>
      <c r="HV99" t="str">
        <f ca="1">_xlfn.CONCAT(HV5,"_",2)</f>
        <v>M-so kl. 3B_2</v>
      </c>
      <c r="HW99" t="str">
        <f ca="1">_xlfn.CONCAT(HW5,"_",3)</f>
        <v>M-so kl. 3B_3</v>
      </c>
      <c r="HX99" t="str">
        <f ca="1">_xlfn.CONCAT(HX5,"_",1)</f>
        <v>M-so z Fileta_1</v>
      </c>
      <c r="HY99" t="str">
        <f ca="1">_xlfn.CONCAT(HY5,"_",2)</f>
        <v>M-so z Fileta_2</v>
      </c>
      <c r="HZ99" t="str">
        <f ca="1">_xlfn.CONCAT(HZ5,"_",3)</f>
        <v>M-so z Fileta_3</v>
      </c>
      <c r="IA99" t="str">
        <f ca="1">_xlfn.CONCAT(IA5,"_",1)</f>
        <v>Noga z/s_1</v>
      </c>
      <c r="IB99" t="str">
        <f ca="1">_xlfn.CONCAT(IB5,"_",2)</f>
        <v>Noga z/s_2</v>
      </c>
      <c r="IC99" t="str">
        <f ca="1">_xlfn.CONCAT(IC5,"_",3)</f>
        <v>Noga z/s_3</v>
      </c>
      <c r="ID99" t="str">
        <f ca="1">_xlfn.CONCAT(ID5,"_",1)</f>
        <v>Podudzie z/s_1</v>
      </c>
      <c r="IE99" t="str">
        <f ca="1">_xlfn.CONCAT(IE5,"_",2)</f>
        <v>Podudzie z/s_2</v>
      </c>
      <c r="IF99" t="str">
        <f ca="1">_xlfn.CONCAT(IF5,"_",3)</f>
        <v>Podudzie z/s_3</v>
      </c>
      <c r="IG99" t="str">
        <f ca="1">_xlfn.CONCAT(IG5,"_",1)</f>
        <v>M-so z Nogi_1</v>
      </c>
      <c r="IH99" t="str">
        <f ca="1">_xlfn.CONCAT(IH5,"_",2)</f>
        <v>M-so z Nogi_2</v>
      </c>
      <c r="II99" t="str">
        <f ca="1">_xlfn.CONCAT(II5,"_",3)</f>
        <v>M-so z Nogi_3</v>
      </c>
      <c r="IJ99" t="str">
        <f ca="1">_xlfn.CONCAT(IJ5,"_",1)</f>
        <v>KK Filet _1</v>
      </c>
      <c r="IK99" t="str">
        <f ca="1">_xlfn.CONCAT(IK5,"_",2)</f>
        <v>KK Filet _2</v>
      </c>
      <c r="IL99" t="str">
        <f ca="1">_xlfn.CONCAT(IL5,"_",3)</f>
        <v>KK Filet _3</v>
      </c>
      <c r="IM99" t="str">
        <f ca="1">_xlfn.CONCAT(IM5,"_",1)</f>
        <v>KK Polędwiczka _1</v>
      </c>
      <c r="IN99" t="str">
        <f ca="1">_xlfn.CONCAT(IN5,"_",2)</f>
        <v>KK Polędwiczka _2</v>
      </c>
      <c r="IO99" t="str">
        <f ca="1">_xlfn.CONCAT(IO5,"_",3)</f>
        <v>KK Polędwiczka _3</v>
      </c>
    </row>
    <row r="100" spans="3:249" s="85" customFormat="1">
      <c r="D100" s="85" t="s">
        <v>177</v>
      </c>
      <c r="BE100" s="84"/>
      <c r="BF100" s="84"/>
      <c r="BG100" s="84"/>
      <c r="BH100" s="84"/>
      <c r="BI100" s="84"/>
      <c r="BJ100" s="84"/>
      <c r="BK100" s="84"/>
      <c r="BL100" s="84"/>
      <c r="BM100" s="84"/>
      <c r="BN100" s="84"/>
      <c r="BO100" s="84"/>
      <c r="BP100" s="84"/>
      <c r="BQ100" s="84"/>
      <c r="BR100" s="84"/>
      <c r="BS100" s="84"/>
      <c r="BT100" s="84"/>
      <c r="BU100" s="84"/>
      <c r="BV100" s="84"/>
      <c r="BW100" s="84"/>
      <c r="BX100" s="84"/>
      <c r="BY100" s="84"/>
      <c r="BZ100" s="84"/>
      <c r="CA100" s="84"/>
      <c r="CB100" s="84"/>
      <c r="CC100" s="84"/>
      <c r="CD100" s="84"/>
      <c r="CE100" s="84"/>
      <c r="CF100" s="84"/>
      <c r="CG100" s="84"/>
      <c r="CH100" s="84"/>
      <c r="CI100" s="95"/>
      <c r="CJ100" s="95"/>
      <c r="CK100" s="95"/>
      <c r="CL100" s="95"/>
      <c r="CM100" s="95"/>
      <c r="CN100" s="95"/>
      <c r="CO100" s="95"/>
      <c r="CP100" s="95"/>
      <c r="CQ100" s="95"/>
      <c r="CR100" s="95"/>
      <c r="CS100" s="95"/>
      <c r="CT100" s="95"/>
      <c r="CU100" s="95"/>
      <c r="CV100" s="95"/>
      <c r="CW100" s="95"/>
      <c r="CX100" s="95"/>
      <c r="CY100" s="95"/>
      <c r="CZ100" s="95"/>
      <c r="DB100" s="85">
        <f t="shared" ref="DB100:EG100" ca="1" si="12">SUM(DB6:DB99)</f>
        <v>0</v>
      </c>
      <c r="DC100" s="85">
        <f t="shared" ca="1" si="12"/>
        <v>0</v>
      </c>
      <c r="DD100" s="85">
        <f t="shared" ca="1" si="12"/>
        <v>0</v>
      </c>
      <c r="DE100" s="85">
        <f t="shared" si="12"/>
        <v>0</v>
      </c>
      <c r="DF100" s="85">
        <f t="shared" si="12"/>
        <v>6130.0620000000008</v>
      </c>
      <c r="DG100" s="85">
        <f t="shared" si="12"/>
        <v>7607.1740000000009</v>
      </c>
      <c r="DH100" s="85">
        <f t="shared" ca="1" si="12"/>
        <v>0</v>
      </c>
      <c r="DI100" s="85">
        <f t="shared" ca="1" si="12"/>
        <v>0</v>
      </c>
      <c r="DJ100" s="85">
        <f t="shared" ca="1" si="12"/>
        <v>0</v>
      </c>
      <c r="DK100" s="85">
        <f t="shared" ca="1" si="12"/>
        <v>0</v>
      </c>
      <c r="DL100" s="85">
        <f t="shared" ca="1" si="12"/>
        <v>0</v>
      </c>
      <c r="DM100" s="85">
        <f t="shared" ca="1" si="12"/>
        <v>1353.06</v>
      </c>
      <c r="DN100" s="85">
        <f t="shared" ca="1" si="12"/>
        <v>0</v>
      </c>
      <c r="DO100" s="85">
        <f t="shared" ca="1" si="12"/>
        <v>343.35</v>
      </c>
      <c r="DP100" s="85">
        <f t="shared" ca="1" si="12"/>
        <v>0</v>
      </c>
      <c r="DQ100" s="85">
        <f t="shared" ca="1" si="12"/>
        <v>0</v>
      </c>
      <c r="DR100" s="85">
        <f t="shared" ca="1" si="12"/>
        <v>0</v>
      </c>
      <c r="DS100" s="85">
        <f t="shared" ca="1" si="12"/>
        <v>0</v>
      </c>
      <c r="DT100" s="85">
        <f t="shared" ca="1" si="12"/>
        <v>0</v>
      </c>
      <c r="DU100" s="85">
        <f t="shared" ca="1" si="12"/>
        <v>588</v>
      </c>
      <c r="DV100" s="85">
        <f t="shared" ca="1" si="12"/>
        <v>2863.5749999999998</v>
      </c>
      <c r="DW100" s="85">
        <f t="shared" ca="1" si="12"/>
        <v>0</v>
      </c>
      <c r="DX100" s="85">
        <f t="shared" ca="1" si="12"/>
        <v>2271.6000000000004</v>
      </c>
      <c r="DY100" s="85">
        <f t="shared" ca="1" si="12"/>
        <v>901.07999999999993</v>
      </c>
      <c r="DZ100" s="85">
        <f t="shared" ca="1" si="12"/>
        <v>0</v>
      </c>
      <c r="EA100" s="85">
        <f t="shared" ca="1" si="12"/>
        <v>678.06000000000006</v>
      </c>
      <c r="EB100" s="85">
        <f t="shared" ca="1" si="12"/>
        <v>0</v>
      </c>
      <c r="EC100" s="85">
        <f t="shared" ca="1" si="12"/>
        <v>0</v>
      </c>
      <c r="ED100" s="85">
        <f t="shared" ca="1" si="12"/>
        <v>104.10000000000001</v>
      </c>
      <c r="EE100" s="85">
        <f t="shared" ca="1" si="12"/>
        <v>115.74</v>
      </c>
      <c r="EF100" s="85">
        <f t="shared" ca="1" si="12"/>
        <v>0</v>
      </c>
      <c r="EG100" s="85">
        <f t="shared" ca="1" si="12"/>
        <v>1240</v>
      </c>
      <c r="EH100" s="85">
        <f t="shared" ref="EH100:FM100" ca="1" si="13">SUM(EH6:EH99)</f>
        <v>540</v>
      </c>
      <c r="EI100" s="85">
        <f t="shared" ca="1" si="13"/>
        <v>0</v>
      </c>
      <c r="EJ100" s="85">
        <f t="shared" ca="1" si="13"/>
        <v>1348.2</v>
      </c>
      <c r="EK100" s="85">
        <f t="shared" ca="1" si="13"/>
        <v>1802.84</v>
      </c>
      <c r="EL100" s="85">
        <f t="shared" ca="1" si="13"/>
        <v>0</v>
      </c>
      <c r="EM100" s="85">
        <f t="shared" ca="1" si="13"/>
        <v>1881.61</v>
      </c>
      <c r="EN100" s="85">
        <f t="shared" ca="1" si="13"/>
        <v>1826</v>
      </c>
      <c r="EO100" s="85">
        <f t="shared" ca="1" si="13"/>
        <v>0</v>
      </c>
      <c r="EP100" s="85">
        <f t="shared" ca="1" si="13"/>
        <v>0</v>
      </c>
      <c r="EQ100" s="85">
        <f t="shared" ca="1" si="13"/>
        <v>0</v>
      </c>
      <c r="ER100" s="85">
        <f t="shared" ca="1" si="13"/>
        <v>0</v>
      </c>
      <c r="ES100" s="85">
        <f t="shared" ca="1" si="13"/>
        <v>29443.95</v>
      </c>
      <c r="ET100" s="85">
        <f t="shared" ca="1" si="13"/>
        <v>18698.96</v>
      </c>
      <c r="EU100" s="85">
        <f t="shared" ca="1" si="13"/>
        <v>0</v>
      </c>
      <c r="EV100" s="85">
        <f t="shared" ca="1" si="13"/>
        <v>23593.68</v>
      </c>
      <c r="EW100" s="85">
        <f t="shared" ca="1" si="13"/>
        <v>19713.98</v>
      </c>
      <c r="EX100" s="85">
        <f t="shared" ca="1" si="13"/>
        <v>0</v>
      </c>
      <c r="EY100" s="85">
        <f t="shared" ca="1" si="13"/>
        <v>0</v>
      </c>
      <c r="EZ100" s="85">
        <f t="shared" ca="1" si="13"/>
        <v>4612</v>
      </c>
      <c r="FA100" s="85">
        <f t="shared" ca="1" si="13"/>
        <v>0</v>
      </c>
      <c r="FB100" s="85">
        <f t="shared" ca="1" si="13"/>
        <v>624.29999999999995</v>
      </c>
      <c r="FC100" s="85">
        <f t="shared" ca="1" si="13"/>
        <v>0</v>
      </c>
      <c r="FD100" s="85">
        <f t="shared" ca="1" si="13"/>
        <v>0</v>
      </c>
      <c r="FE100" s="85">
        <f t="shared" ca="1" si="13"/>
        <v>6855.62</v>
      </c>
      <c r="FF100" s="85">
        <f t="shared" ca="1" si="13"/>
        <v>4053.06</v>
      </c>
      <c r="FG100" s="85">
        <f t="shared" ca="1" si="13"/>
        <v>0</v>
      </c>
      <c r="FH100" s="85">
        <f t="shared" ca="1" si="13"/>
        <v>2239.326</v>
      </c>
      <c r="FI100" s="85">
        <f t="shared" ca="1" si="13"/>
        <v>675.00599999999997</v>
      </c>
      <c r="FJ100" s="85">
        <f t="shared" ca="1" si="13"/>
        <v>0</v>
      </c>
      <c r="FK100" s="85">
        <f t="shared" ca="1" si="13"/>
        <v>0</v>
      </c>
      <c r="FL100" s="85">
        <f t="shared" ca="1" si="13"/>
        <v>4690.7</v>
      </c>
      <c r="FM100" s="85">
        <f t="shared" ca="1" si="13"/>
        <v>0</v>
      </c>
      <c r="FN100" s="85">
        <f t="shared" ref="FN100:GS100" ca="1" si="14">SUM(FN6:FN99)</f>
        <v>0</v>
      </c>
      <c r="FO100" s="85">
        <f t="shared" ca="1" si="14"/>
        <v>778.19999999999993</v>
      </c>
      <c r="FP100" s="85">
        <f t="shared" ca="1" si="14"/>
        <v>0</v>
      </c>
      <c r="FQ100" s="85">
        <f t="shared" ca="1" si="14"/>
        <v>10698.1</v>
      </c>
      <c r="FR100" s="85">
        <f t="shared" ca="1" si="14"/>
        <v>5032.3140000000003</v>
      </c>
      <c r="FS100" s="85">
        <f t="shared" ca="1" si="14"/>
        <v>0</v>
      </c>
      <c r="FT100" s="85">
        <f t="shared" ca="1" si="14"/>
        <v>1938.2</v>
      </c>
      <c r="FU100" s="85">
        <f t="shared" ca="1" si="14"/>
        <v>0</v>
      </c>
      <c r="FV100" s="85">
        <f t="shared" ca="1" si="14"/>
        <v>0</v>
      </c>
      <c r="FW100" s="85">
        <f t="shared" ca="1" si="14"/>
        <v>0</v>
      </c>
      <c r="FX100" s="85">
        <f t="shared" ca="1" si="14"/>
        <v>0</v>
      </c>
      <c r="FY100" s="85">
        <f t="shared" ca="1" si="14"/>
        <v>0</v>
      </c>
      <c r="FZ100" s="85">
        <f t="shared" ca="1" si="14"/>
        <v>7654.3560000000007</v>
      </c>
      <c r="GA100" s="85">
        <f t="shared" ca="1" si="14"/>
        <v>524.84400000000005</v>
      </c>
      <c r="GB100" s="85">
        <f t="shared" ca="1" si="14"/>
        <v>0</v>
      </c>
      <c r="GC100" s="85">
        <f t="shared" ca="1" si="14"/>
        <v>0</v>
      </c>
      <c r="GD100" s="85">
        <f t="shared" ca="1" si="14"/>
        <v>0</v>
      </c>
      <c r="GE100" s="85">
        <f t="shared" ca="1" si="14"/>
        <v>0</v>
      </c>
      <c r="GF100" s="85">
        <f t="shared" ca="1" si="14"/>
        <v>3033.7559999999999</v>
      </c>
      <c r="GG100" s="85">
        <f t="shared" ca="1" si="14"/>
        <v>3326.3639999999996</v>
      </c>
      <c r="GH100" s="85">
        <f t="shared" ca="1" si="14"/>
        <v>0</v>
      </c>
      <c r="GI100" s="85">
        <f t="shared" ca="1" si="14"/>
        <v>300</v>
      </c>
      <c r="GJ100" s="85">
        <f t="shared" ca="1" si="14"/>
        <v>1450</v>
      </c>
      <c r="GK100" s="85">
        <f t="shared" ca="1" si="14"/>
        <v>0</v>
      </c>
      <c r="GL100" s="85">
        <f t="shared" ca="1" si="14"/>
        <v>900</v>
      </c>
      <c r="GM100" s="85">
        <f t="shared" ca="1" si="14"/>
        <v>0</v>
      </c>
      <c r="GN100" s="85">
        <f t="shared" ca="1" si="14"/>
        <v>0</v>
      </c>
      <c r="GO100" s="85">
        <f t="shared" ca="1" si="14"/>
        <v>1609.35</v>
      </c>
      <c r="GP100" s="85">
        <f t="shared" ca="1" si="14"/>
        <v>2218.02</v>
      </c>
      <c r="GQ100" s="85">
        <f t="shared" ca="1" si="14"/>
        <v>0</v>
      </c>
      <c r="GR100" s="85">
        <f t="shared" ca="1" si="14"/>
        <v>0</v>
      </c>
      <c r="GS100" s="85">
        <f t="shared" ca="1" si="14"/>
        <v>6432</v>
      </c>
      <c r="GT100" s="85">
        <f t="shared" ref="GT100:HX100" ca="1" si="15">SUM(GT6:GT99)</f>
        <v>0</v>
      </c>
      <c r="GU100" s="85">
        <f t="shared" ca="1" si="15"/>
        <v>0</v>
      </c>
      <c r="GV100" s="85">
        <f t="shared" ca="1" si="15"/>
        <v>1000</v>
      </c>
      <c r="GW100" s="85">
        <f t="shared" ca="1" si="15"/>
        <v>0</v>
      </c>
      <c r="GX100" s="85">
        <f t="shared" ca="1" si="15"/>
        <v>540</v>
      </c>
      <c r="GY100" s="85">
        <f t="shared" ca="1" si="15"/>
        <v>900</v>
      </c>
      <c r="GZ100" s="85">
        <f t="shared" ca="1" si="15"/>
        <v>0</v>
      </c>
      <c r="HA100" s="85">
        <f t="shared" ca="1" si="15"/>
        <v>9602.82</v>
      </c>
      <c r="HB100" s="85">
        <f t="shared" ca="1" si="15"/>
        <v>10168.514999999999</v>
      </c>
      <c r="HC100" s="85">
        <f t="shared" ca="1" si="15"/>
        <v>0</v>
      </c>
      <c r="HD100" s="85">
        <f t="shared" ca="1" si="15"/>
        <v>0</v>
      </c>
      <c r="HE100" s="85">
        <f t="shared" ca="1" si="15"/>
        <v>0</v>
      </c>
      <c r="HF100" s="85">
        <f t="shared" ca="1" si="15"/>
        <v>0</v>
      </c>
      <c r="HG100" s="85">
        <f t="shared" ca="1" si="15"/>
        <v>6654.0300000000007</v>
      </c>
      <c r="HH100" s="85">
        <f t="shared" ca="1" si="15"/>
        <v>4519.8180000000002</v>
      </c>
      <c r="HI100" s="85">
        <f t="shared" ca="1" si="15"/>
        <v>0</v>
      </c>
      <c r="HJ100" s="85">
        <f t="shared" ca="1" si="15"/>
        <v>0</v>
      </c>
      <c r="HK100" s="85">
        <f t="shared" ca="1" si="15"/>
        <v>0</v>
      </c>
      <c r="HL100" s="85">
        <f t="shared" ca="1" si="15"/>
        <v>0</v>
      </c>
      <c r="HM100" s="85">
        <f t="shared" ca="1" si="15"/>
        <v>0</v>
      </c>
      <c r="HN100" s="85">
        <f t="shared" ca="1" si="15"/>
        <v>0</v>
      </c>
      <c r="HO100" s="85">
        <f t="shared" ca="1" si="15"/>
        <v>0</v>
      </c>
      <c r="HP100" s="85">
        <f t="shared" ca="1" si="15"/>
        <v>0</v>
      </c>
      <c r="HQ100" s="85">
        <f t="shared" ca="1" si="15"/>
        <v>0</v>
      </c>
      <c r="HR100" s="85">
        <f t="shared" ca="1" si="15"/>
        <v>0</v>
      </c>
      <c r="HS100" s="85">
        <f t="shared" ca="1" si="15"/>
        <v>0</v>
      </c>
      <c r="HT100" s="85">
        <f t="shared" ca="1" si="15"/>
        <v>0</v>
      </c>
      <c r="HU100" s="85">
        <f t="shared" ca="1" si="15"/>
        <v>0</v>
      </c>
      <c r="HV100" s="85">
        <f t="shared" ca="1" si="15"/>
        <v>0</v>
      </c>
      <c r="HW100" s="85">
        <f t="shared" ca="1" si="15"/>
        <v>380.1</v>
      </c>
      <c r="HX100" s="85">
        <f t="shared" ca="1" si="15"/>
        <v>0</v>
      </c>
      <c r="HY100" s="85">
        <f ca="1">SUM(HY6:HY99)</f>
        <v>1948.5</v>
      </c>
      <c r="HZ100" s="85">
        <f t="shared" ref="HZ100:IA100" ca="1" si="16">SUM(HZ6:HZ99)</f>
        <v>1948.5</v>
      </c>
      <c r="IA100" s="85">
        <f t="shared" ca="1" si="16"/>
        <v>0</v>
      </c>
      <c r="IB100" s="85">
        <f ca="1">SUM(IB6:IB99)</f>
        <v>958.5</v>
      </c>
      <c r="IC100" s="85">
        <f t="shared" ref="IC100:ID100" ca="1" si="17">SUM(IC6:IC99)</f>
        <v>958.5</v>
      </c>
      <c r="ID100" s="85">
        <f t="shared" ca="1" si="17"/>
        <v>0</v>
      </c>
      <c r="IE100" s="85">
        <f ca="1">SUM(IE6:IE99)</f>
        <v>0</v>
      </c>
      <c r="IF100" s="85">
        <f t="shared" ref="IF100" ca="1" si="18">SUM(IF6:IF99)</f>
        <v>0</v>
      </c>
      <c r="IG100" s="85">
        <f ca="1">SUM(IG6:IG99)</f>
        <v>0</v>
      </c>
      <c r="IH100" s="85">
        <f ca="1">SUM(IH6:IH99)</f>
        <v>496.98</v>
      </c>
      <c r="II100" s="85">
        <f t="shared" ref="II100" ca="1" si="19">SUM(II6:II99)</f>
        <v>828</v>
      </c>
      <c r="IJ100" s="85">
        <f ca="1">SUM(IJ6:IJ99)</f>
        <v>0</v>
      </c>
      <c r="IK100" s="85">
        <f ca="1">SUM(IK6:IK99)</f>
        <v>639</v>
      </c>
      <c r="IL100" s="85">
        <f t="shared" ref="IL100" ca="1" si="20">SUM(IL6:IL99)</f>
        <v>639</v>
      </c>
      <c r="IM100" s="85">
        <f ca="1">SUM(IM6:IM99)</f>
        <v>0</v>
      </c>
      <c r="IN100" s="85">
        <f ca="1">SUM(IN6:IN99)</f>
        <v>990.44999999999993</v>
      </c>
      <c r="IO100" s="85">
        <f t="shared" ref="IO100" ca="1" si="21">SUM(IO6:IO99)</f>
        <v>990.44999999999993</v>
      </c>
    </row>
    <row r="101" spans="3:249">
      <c r="D101" s="86">
        <f>COLUMN(D100)-3</f>
        <v>1</v>
      </c>
      <c r="E101" s="86">
        <f t="shared" ref="E101:CG101" si="22">COLUMN(E100)-3</f>
        <v>2</v>
      </c>
      <c r="F101" s="86">
        <f t="shared" si="22"/>
        <v>3</v>
      </c>
      <c r="G101" s="86">
        <f t="shared" si="22"/>
        <v>4</v>
      </c>
      <c r="H101" s="86">
        <f t="shared" si="22"/>
        <v>5</v>
      </c>
      <c r="I101" s="86">
        <f t="shared" si="22"/>
        <v>6</v>
      </c>
      <c r="J101" s="86">
        <f t="shared" si="22"/>
        <v>7</v>
      </c>
      <c r="K101" s="86">
        <f t="shared" si="22"/>
        <v>8</v>
      </c>
      <c r="L101" s="86">
        <f t="shared" si="22"/>
        <v>9</v>
      </c>
      <c r="M101" s="86">
        <f t="shared" si="22"/>
        <v>10</v>
      </c>
      <c r="N101" s="86">
        <f t="shared" si="22"/>
        <v>11</v>
      </c>
      <c r="O101" s="86">
        <f t="shared" si="22"/>
        <v>12</v>
      </c>
      <c r="P101" s="86">
        <f t="shared" si="22"/>
        <v>13</v>
      </c>
      <c r="Q101" s="86">
        <f t="shared" si="22"/>
        <v>14</v>
      </c>
      <c r="R101" s="86">
        <f t="shared" si="22"/>
        <v>15</v>
      </c>
      <c r="S101" s="86">
        <f t="shared" si="22"/>
        <v>16</v>
      </c>
      <c r="T101" s="86">
        <f t="shared" si="22"/>
        <v>17</v>
      </c>
      <c r="U101" s="86">
        <f t="shared" si="22"/>
        <v>18</v>
      </c>
      <c r="V101" s="86">
        <f t="shared" si="22"/>
        <v>19</v>
      </c>
      <c r="W101" s="86">
        <f t="shared" si="22"/>
        <v>20</v>
      </c>
      <c r="X101" s="86">
        <f t="shared" si="22"/>
        <v>21</v>
      </c>
      <c r="Y101" s="86">
        <f t="shared" si="22"/>
        <v>22</v>
      </c>
      <c r="Z101" s="86">
        <f t="shared" si="22"/>
        <v>23</v>
      </c>
      <c r="AA101" s="86">
        <f t="shared" si="22"/>
        <v>24</v>
      </c>
      <c r="AB101" s="86">
        <f t="shared" si="22"/>
        <v>25</v>
      </c>
      <c r="AC101" s="86">
        <f t="shared" si="22"/>
        <v>26</v>
      </c>
      <c r="AD101" s="86">
        <f t="shared" si="22"/>
        <v>27</v>
      </c>
      <c r="AE101" s="86">
        <f t="shared" si="22"/>
        <v>28</v>
      </c>
      <c r="AF101" s="86">
        <f t="shared" si="22"/>
        <v>29</v>
      </c>
      <c r="AG101" s="86">
        <f t="shared" si="22"/>
        <v>30</v>
      </c>
      <c r="AH101" s="86">
        <f t="shared" si="22"/>
        <v>31</v>
      </c>
      <c r="AI101" s="86">
        <f t="shared" si="22"/>
        <v>32</v>
      </c>
      <c r="AJ101" s="86">
        <f t="shared" ref="AJ101:BA101" si="23">COLUMN(AJ100)-3</f>
        <v>33</v>
      </c>
      <c r="AK101" s="86">
        <f t="shared" si="23"/>
        <v>34</v>
      </c>
      <c r="AL101" s="86">
        <f t="shared" si="23"/>
        <v>35</v>
      </c>
      <c r="AM101" s="86">
        <f t="shared" si="23"/>
        <v>36</v>
      </c>
      <c r="AN101" s="86">
        <f t="shared" si="23"/>
        <v>37</v>
      </c>
      <c r="AO101" s="86">
        <f t="shared" si="23"/>
        <v>38</v>
      </c>
      <c r="AP101" s="86">
        <f t="shared" si="23"/>
        <v>39</v>
      </c>
      <c r="AQ101" s="86">
        <f t="shared" si="23"/>
        <v>40</v>
      </c>
      <c r="AR101" s="86">
        <f t="shared" si="23"/>
        <v>41</v>
      </c>
      <c r="AS101" s="86">
        <f t="shared" si="23"/>
        <v>42</v>
      </c>
      <c r="AT101" s="86">
        <f t="shared" si="23"/>
        <v>43</v>
      </c>
      <c r="AU101" s="86">
        <f t="shared" si="23"/>
        <v>44</v>
      </c>
      <c r="AV101" s="86">
        <f t="shared" si="23"/>
        <v>45</v>
      </c>
      <c r="AW101" s="86">
        <f t="shared" si="23"/>
        <v>46</v>
      </c>
      <c r="AX101" s="86">
        <f t="shared" si="23"/>
        <v>47</v>
      </c>
      <c r="AY101" s="86"/>
      <c r="AZ101" s="86"/>
      <c r="BA101" s="86">
        <f t="shared" si="23"/>
        <v>50</v>
      </c>
      <c r="BB101" s="86"/>
      <c r="BC101" s="86"/>
      <c r="BD101" s="86">
        <f t="shared" si="22"/>
        <v>53</v>
      </c>
      <c r="BE101" s="86">
        <f t="shared" si="22"/>
        <v>54</v>
      </c>
      <c r="BF101" s="86">
        <f t="shared" si="22"/>
        <v>55</v>
      </c>
      <c r="BG101" s="86">
        <f t="shared" si="22"/>
        <v>56</v>
      </c>
      <c r="BH101" s="86">
        <f t="shared" si="22"/>
        <v>57</v>
      </c>
      <c r="BI101" s="86">
        <f t="shared" si="22"/>
        <v>58</v>
      </c>
      <c r="BJ101" s="86">
        <f t="shared" si="22"/>
        <v>59</v>
      </c>
      <c r="BK101" s="86">
        <f t="shared" si="22"/>
        <v>60</v>
      </c>
      <c r="BL101" s="86">
        <f t="shared" si="22"/>
        <v>61</v>
      </c>
      <c r="BM101" s="86">
        <f t="shared" si="22"/>
        <v>62</v>
      </c>
      <c r="BN101" s="86">
        <f t="shared" si="22"/>
        <v>63</v>
      </c>
      <c r="BO101" s="86">
        <f t="shared" si="22"/>
        <v>64</v>
      </c>
      <c r="BP101" s="86">
        <f t="shared" si="22"/>
        <v>65</v>
      </c>
      <c r="BQ101" s="86">
        <f t="shared" si="22"/>
        <v>66</v>
      </c>
      <c r="BR101" s="86">
        <f t="shared" si="22"/>
        <v>67</v>
      </c>
      <c r="BS101" s="86">
        <f t="shared" si="22"/>
        <v>68</v>
      </c>
      <c r="BT101" s="86">
        <f t="shared" si="22"/>
        <v>69</v>
      </c>
      <c r="BU101" s="86">
        <f t="shared" si="22"/>
        <v>70</v>
      </c>
      <c r="BV101" s="86">
        <f t="shared" si="22"/>
        <v>71</v>
      </c>
      <c r="BW101" s="86">
        <f t="shared" si="22"/>
        <v>72</v>
      </c>
      <c r="BX101" s="86">
        <f t="shared" si="22"/>
        <v>73</v>
      </c>
      <c r="BY101" s="86">
        <f t="shared" si="22"/>
        <v>74</v>
      </c>
      <c r="BZ101" s="86">
        <f t="shared" si="22"/>
        <v>75</v>
      </c>
      <c r="CA101" s="86">
        <f t="shared" si="22"/>
        <v>76</v>
      </c>
      <c r="CB101" s="86">
        <f t="shared" si="22"/>
        <v>77</v>
      </c>
      <c r="CC101" s="86">
        <f t="shared" si="22"/>
        <v>78</v>
      </c>
      <c r="CD101" s="86">
        <f t="shared" si="22"/>
        <v>79</v>
      </c>
      <c r="CE101" s="86">
        <f t="shared" si="22"/>
        <v>80</v>
      </c>
      <c r="CF101" s="86">
        <f t="shared" si="22"/>
        <v>81</v>
      </c>
      <c r="CG101" s="86">
        <f t="shared" si="22"/>
        <v>82</v>
      </c>
      <c r="CH101" s="86">
        <f t="shared" ref="CH101:FK101" si="24">COLUMN(CH100)-3</f>
        <v>83</v>
      </c>
      <c r="CI101" s="86">
        <f t="shared" si="24"/>
        <v>84</v>
      </c>
      <c r="CJ101" s="86">
        <f t="shared" si="24"/>
        <v>85</v>
      </c>
      <c r="CK101" s="86">
        <f t="shared" si="24"/>
        <v>86</v>
      </c>
      <c r="CL101" s="86">
        <f t="shared" si="24"/>
        <v>87</v>
      </c>
      <c r="CM101" s="86">
        <f t="shared" si="24"/>
        <v>88</v>
      </c>
      <c r="CN101" s="86">
        <f t="shared" si="24"/>
        <v>89</v>
      </c>
      <c r="CO101" s="86">
        <f t="shared" si="24"/>
        <v>90</v>
      </c>
      <c r="CP101" s="86">
        <f t="shared" si="24"/>
        <v>91</v>
      </c>
      <c r="CQ101" s="86">
        <f t="shared" si="24"/>
        <v>92</v>
      </c>
      <c r="CR101" s="86">
        <f t="shared" si="24"/>
        <v>93</v>
      </c>
      <c r="CS101" s="86">
        <f t="shared" si="24"/>
        <v>94</v>
      </c>
      <c r="CT101" s="86">
        <f t="shared" si="24"/>
        <v>95</v>
      </c>
      <c r="CU101" s="86">
        <f t="shared" si="24"/>
        <v>96</v>
      </c>
      <c r="CV101" s="86">
        <f t="shared" si="24"/>
        <v>97</v>
      </c>
      <c r="CW101" s="86">
        <f t="shared" si="24"/>
        <v>98</v>
      </c>
      <c r="CX101" s="86">
        <f>COLUMN(CX100)-3</f>
        <v>99</v>
      </c>
      <c r="CY101" s="86">
        <v>100</v>
      </c>
      <c r="CZ101" s="86">
        <v>101</v>
      </c>
      <c r="DA101" s="86">
        <f t="shared" si="24"/>
        <v>102</v>
      </c>
      <c r="DB101" s="86">
        <f t="shared" si="24"/>
        <v>103</v>
      </c>
      <c r="DC101" s="86">
        <f t="shared" si="24"/>
        <v>104</v>
      </c>
      <c r="DD101" s="86">
        <f t="shared" si="24"/>
        <v>105</v>
      </c>
      <c r="DE101" s="86">
        <f t="shared" si="24"/>
        <v>106</v>
      </c>
      <c r="DF101" s="86">
        <f t="shared" si="24"/>
        <v>107</v>
      </c>
      <c r="DG101" s="86">
        <f t="shared" si="24"/>
        <v>108</v>
      </c>
      <c r="DH101" s="86">
        <f t="shared" si="24"/>
        <v>109</v>
      </c>
      <c r="DI101" s="86">
        <f t="shared" si="24"/>
        <v>110</v>
      </c>
      <c r="DJ101" s="86">
        <f t="shared" si="24"/>
        <v>111</v>
      </c>
      <c r="DK101" s="86">
        <f t="shared" si="24"/>
        <v>112</v>
      </c>
      <c r="DL101" s="86">
        <f t="shared" si="24"/>
        <v>113</v>
      </c>
      <c r="DM101" s="86">
        <f t="shared" si="24"/>
        <v>114</v>
      </c>
      <c r="DN101" s="86">
        <f t="shared" si="24"/>
        <v>115</v>
      </c>
      <c r="DO101" s="86">
        <f t="shared" si="24"/>
        <v>116</v>
      </c>
      <c r="DP101" s="86">
        <f t="shared" si="24"/>
        <v>117</v>
      </c>
      <c r="DQ101" s="86">
        <f t="shared" si="24"/>
        <v>118</v>
      </c>
      <c r="DR101" s="86">
        <f t="shared" si="24"/>
        <v>119</v>
      </c>
      <c r="DS101" s="86">
        <f t="shared" si="24"/>
        <v>120</v>
      </c>
      <c r="DT101" s="86">
        <f t="shared" si="24"/>
        <v>121</v>
      </c>
      <c r="DU101" s="86">
        <f t="shared" si="24"/>
        <v>122</v>
      </c>
      <c r="DV101" s="86">
        <f t="shared" si="24"/>
        <v>123</v>
      </c>
      <c r="DW101" s="86">
        <f t="shared" si="24"/>
        <v>124</v>
      </c>
      <c r="DX101" s="86">
        <f t="shared" si="24"/>
        <v>125</v>
      </c>
      <c r="DY101" s="86">
        <f t="shared" si="24"/>
        <v>126</v>
      </c>
      <c r="DZ101" s="86">
        <f t="shared" si="24"/>
        <v>127</v>
      </c>
      <c r="EA101" s="86">
        <f t="shared" si="24"/>
        <v>128</v>
      </c>
      <c r="EB101" s="86">
        <f t="shared" si="24"/>
        <v>129</v>
      </c>
      <c r="EC101" s="86">
        <f t="shared" si="24"/>
        <v>130</v>
      </c>
      <c r="ED101" s="86">
        <f t="shared" si="24"/>
        <v>131</v>
      </c>
      <c r="EE101" s="86">
        <f t="shared" si="24"/>
        <v>132</v>
      </c>
      <c r="EF101" s="86">
        <f t="shared" si="24"/>
        <v>133</v>
      </c>
      <c r="EG101" s="86">
        <f t="shared" si="24"/>
        <v>134</v>
      </c>
      <c r="EH101" s="86">
        <f t="shared" si="24"/>
        <v>135</v>
      </c>
      <c r="EI101" s="86">
        <f t="shared" si="24"/>
        <v>136</v>
      </c>
      <c r="EJ101" s="86">
        <f t="shared" si="24"/>
        <v>137</v>
      </c>
      <c r="EK101" s="86">
        <f t="shared" si="24"/>
        <v>138</v>
      </c>
      <c r="EL101" s="86">
        <f t="shared" si="24"/>
        <v>139</v>
      </c>
      <c r="EM101" s="86">
        <f t="shared" si="24"/>
        <v>140</v>
      </c>
      <c r="EN101" s="86">
        <f t="shared" si="24"/>
        <v>141</v>
      </c>
      <c r="EO101" s="86">
        <f t="shared" si="24"/>
        <v>142</v>
      </c>
      <c r="EP101" s="86">
        <f t="shared" si="24"/>
        <v>143</v>
      </c>
      <c r="EQ101" s="86">
        <f t="shared" si="24"/>
        <v>144</v>
      </c>
      <c r="ER101" s="86">
        <f t="shared" si="24"/>
        <v>145</v>
      </c>
      <c r="ES101" s="86">
        <f t="shared" si="24"/>
        <v>146</v>
      </c>
      <c r="ET101" s="86">
        <f t="shared" si="24"/>
        <v>147</v>
      </c>
      <c r="EU101" s="86">
        <f t="shared" si="24"/>
        <v>148</v>
      </c>
      <c r="EV101" s="86">
        <f t="shared" si="24"/>
        <v>149</v>
      </c>
      <c r="EW101" s="86">
        <f t="shared" si="24"/>
        <v>150</v>
      </c>
      <c r="EX101" s="86">
        <f t="shared" si="24"/>
        <v>151</v>
      </c>
      <c r="EY101" s="86">
        <f t="shared" si="24"/>
        <v>152</v>
      </c>
      <c r="EZ101" s="86">
        <f t="shared" si="24"/>
        <v>153</v>
      </c>
      <c r="FA101" s="86">
        <f t="shared" si="24"/>
        <v>154</v>
      </c>
      <c r="FB101" s="86">
        <f t="shared" si="24"/>
        <v>155</v>
      </c>
      <c r="FC101" s="86">
        <f t="shared" si="24"/>
        <v>156</v>
      </c>
      <c r="FD101" s="86">
        <f t="shared" si="24"/>
        <v>157</v>
      </c>
      <c r="FE101" s="86">
        <f t="shared" si="24"/>
        <v>158</v>
      </c>
      <c r="FF101" s="86">
        <f t="shared" si="24"/>
        <v>159</v>
      </c>
      <c r="FG101" s="86">
        <f t="shared" si="24"/>
        <v>160</v>
      </c>
      <c r="FH101" s="86">
        <f t="shared" si="24"/>
        <v>161</v>
      </c>
      <c r="FI101" s="86">
        <f t="shared" si="24"/>
        <v>162</v>
      </c>
      <c r="FJ101" s="86">
        <f t="shared" si="24"/>
        <v>163</v>
      </c>
      <c r="FK101" s="86">
        <f t="shared" si="24"/>
        <v>164</v>
      </c>
      <c r="FL101" s="86">
        <f t="shared" ref="FL101:GM101" si="25">COLUMN(FL100)-3</f>
        <v>165</v>
      </c>
      <c r="FM101" s="86">
        <f t="shared" si="25"/>
        <v>166</v>
      </c>
      <c r="FN101" s="86">
        <f t="shared" si="25"/>
        <v>167</v>
      </c>
      <c r="FO101" s="86">
        <f t="shared" si="25"/>
        <v>168</v>
      </c>
      <c r="FP101" s="86">
        <f t="shared" si="25"/>
        <v>169</v>
      </c>
      <c r="FQ101" s="86">
        <f t="shared" si="25"/>
        <v>170</v>
      </c>
      <c r="FR101" s="86">
        <f t="shared" si="25"/>
        <v>171</v>
      </c>
      <c r="FS101" s="86">
        <f t="shared" si="25"/>
        <v>172</v>
      </c>
      <c r="FT101" s="86">
        <f t="shared" si="25"/>
        <v>173</v>
      </c>
      <c r="FU101" s="86">
        <f t="shared" si="25"/>
        <v>174</v>
      </c>
      <c r="FV101" s="86">
        <f t="shared" si="25"/>
        <v>175</v>
      </c>
      <c r="FW101" s="86">
        <f t="shared" si="25"/>
        <v>176</v>
      </c>
      <c r="FX101" s="86">
        <f t="shared" si="25"/>
        <v>177</v>
      </c>
      <c r="FY101" s="86">
        <f t="shared" si="25"/>
        <v>178</v>
      </c>
      <c r="FZ101" s="86">
        <f t="shared" si="25"/>
        <v>179</v>
      </c>
      <c r="GA101" s="86">
        <f t="shared" si="25"/>
        <v>180</v>
      </c>
      <c r="GB101" s="86">
        <f t="shared" si="25"/>
        <v>181</v>
      </c>
      <c r="GC101" s="86">
        <f t="shared" si="25"/>
        <v>182</v>
      </c>
      <c r="GD101" s="86">
        <f t="shared" si="25"/>
        <v>183</v>
      </c>
      <c r="GE101" s="86">
        <f t="shared" si="25"/>
        <v>184</v>
      </c>
      <c r="GF101" s="86">
        <f t="shared" si="25"/>
        <v>185</v>
      </c>
      <c r="GG101" s="86">
        <f t="shared" si="25"/>
        <v>186</v>
      </c>
      <c r="GH101" s="86">
        <f t="shared" si="25"/>
        <v>187</v>
      </c>
      <c r="GI101" s="86">
        <f t="shared" si="25"/>
        <v>188</v>
      </c>
      <c r="GJ101" s="86">
        <f t="shared" si="25"/>
        <v>189</v>
      </c>
      <c r="GK101" s="86">
        <f t="shared" si="25"/>
        <v>190</v>
      </c>
      <c r="GL101" s="86">
        <f t="shared" si="25"/>
        <v>191</v>
      </c>
      <c r="GM101" s="86">
        <f t="shared" si="25"/>
        <v>192</v>
      </c>
      <c r="GN101" s="86">
        <f t="shared" ref="GN101:GY101" si="26">COLUMN(GN100)-3</f>
        <v>193</v>
      </c>
      <c r="GO101" s="86">
        <f t="shared" si="26"/>
        <v>194</v>
      </c>
      <c r="GP101" s="86">
        <f t="shared" si="26"/>
        <v>195</v>
      </c>
      <c r="GQ101" s="86">
        <f t="shared" si="26"/>
        <v>196</v>
      </c>
      <c r="GR101" s="86">
        <f t="shared" si="26"/>
        <v>197</v>
      </c>
      <c r="GS101" s="86">
        <f t="shared" si="26"/>
        <v>198</v>
      </c>
      <c r="GT101" s="86">
        <f t="shared" si="26"/>
        <v>199</v>
      </c>
      <c r="GU101" s="86">
        <f t="shared" si="26"/>
        <v>200</v>
      </c>
      <c r="GV101" s="86">
        <f t="shared" si="26"/>
        <v>201</v>
      </c>
      <c r="GW101" s="86">
        <f t="shared" si="26"/>
        <v>202</v>
      </c>
      <c r="GX101" s="86">
        <f t="shared" si="26"/>
        <v>203</v>
      </c>
      <c r="GY101" s="86">
        <f t="shared" si="26"/>
        <v>204</v>
      </c>
      <c r="GZ101" s="86">
        <f t="shared" ref="GZ101:HH101" si="27">COLUMN(GZ100)-3</f>
        <v>205</v>
      </c>
      <c r="HA101" s="86">
        <f t="shared" si="27"/>
        <v>206</v>
      </c>
      <c r="HB101" s="86">
        <f t="shared" si="27"/>
        <v>207</v>
      </c>
      <c r="HC101" s="86">
        <f t="shared" si="27"/>
        <v>208</v>
      </c>
      <c r="HD101" s="86">
        <f t="shared" si="27"/>
        <v>209</v>
      </c>
      <c r="HE101" s="86">
        <f t="shared" si="27"/>
        <v>210</v>
      </c>
      <c r="HF101" s="86">
        <f t="shared" si="27"/>
        <v>211</v>
      </c>
      <c r="HG101" s="86">
        <f t="shared" si="27"/>
        <v>212</v>
      </c>
      <c r="HH101" s="86">
        <f t="shared" si="27"/>
        <v>213</v>
      </c>
      <c r="HI101" s="86">
        <f>COLUMN(HI100)-3</f>
        <v>214</v>
      </c>
      <c r="HJ101" s="86">
        <f>COLUMN(HJ100)-3</f>
        <v>215</v>
      </c>
      <c r="HK101" s="86">
        <f>COLUMN(HK100)-3</f>
        <v>216</v>
      </c>
      <c r="HL101" s="86">
        <f t="shared" ref="HL101:HQ101" si="28">COLUMN(HL100)-3</f>
        <v>217</v>
      </c>
      <c r="HM101" s="86">
        <f t="shared" si="28"/>
        <v>218</v>
      </c>
      <c r="HN101" s="86">
        <f t="shared" si="28"/>
        <v>219</v>
      </c>
      <c r="HO101" s="86">
        <f t="shared" si="28"/>
        <v>220</v>
      </c>
      <c r="HP101" s="86">
        <f t="shared" si="28"/>
        <v>221</v>
      </c>
      <c r="HQ101" s="86">
        <f t="shared" si="28"/>
        <v>222</v>
      </c>
      <c r="HR101" s="86">
        <f>COLUMN(HR100)-3</f>
        <v>223</v>
      </c>
      <c r="HS101" s="86">
        <f>COLUMN(HS100)-3</f>
        <v>224</v>
      </c>
      <c r="HT101" s="86">
        <f>COLUMN(HT100)-3</f>
        <v>225</v>
      </c>
      <c r="HU101" s="86">
        <f t="shared" ref="HU101:HZ101" si="29">COLUMN(HU100)-3</f>
        <v>226</v>
      </c>
      <c r="HV101" s="86">
        <f t="shared" si="29"/>
        <v>227</v>
      </c>
      <c r="HW101" s="86">
        <f t="shared" si="29"/>
        <v>228</v>
      </c>
      <c r="HX101" s="86">
        <f t="shared" si="29"/>
        <v>229</v>
      </c>
      <c r="HY101" s="86">
        <f>COLUMN(HY100)-3</f>
        <v>230</v>
      </c>
      <c r="HZ101" s="86">
        <f t="shared" si="29"/>
        <v>231</v>
      </c>
      <c r="IA101" s="86">
        <f t="shared" ref="IA101" si="30">COLUMN(IA100)-3</f>
        <v>232</v>
      </c>
      <c r="IB101" s="86">
        <f>COLUMN(IB100)-3</f>
        <v>233</v>
      </c>
      <c r="IC101" s="86">
        <f t="shared" ref="IC101:ID101" si="31">COLUMN(IC100)-3</f>
        <v>234</v>
      </c>
      <c r="ID101" s="86">
        <f t="shared" si="31"/>
        <v>235</v>
      </c>
      <c r="IE101" s="86">
        <f>COLUMN(IE100)-3</f>
        <v>236</v>
      </c>
      <c r="IF101" s="86">
        <f t="shared" ref="IF101" si="32">COLUMN(IF100)-3</f>
        <v>237</v>
      </c>
      <c r="IG101" s="86">
        <f>COLUMN(IG100)-3</f>
        <v>238</v>
      </c>
      <c r="IH101" s="86">
        <f>COLUMN(IH100)-3</f>
        <v>239</v>
      </c>
      <c r="II101" s="86">
        <f t="shared" ref="II101" si="33">COLUMN(II100)-3</f>
        <v>240</v>
      </c>
      <c r="IJ101" s="86">
        <f>COLUMN(IJ100)-3</f>
        <v>241</v>
      </c>
      <c r="IK101" s="86">
        <f>COLUMN(IK100)-3</f>
        <v>242</v>
      </c>
      <c r="IL101" s="86">
        <f t="shared" ref="IL101" si="34">COLUMN(IL100)-3</f>
        <v>243</v>
      </c>
      <c r="IM101" s="86">
        <f>COLUMN(IM100)-3</f>
        <v>244</v>
      </c>
      <c r="IN101" s="86">
        <f>COLUMN(IN100)-3</f>
        <v>245</v>
      </c>
      <c r="IO101" s="86">
        <f t="shared" ref="IO101" si="35">COLUMN(IO100)-3</f>
        <v>246</v>
      </c>
    </row>
    <row r="102" spans="3:249"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</row>
    <row r="103" spans="3:249"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</row>
    <row r="104" spans="3:249"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</row>
    <row r="105" spans="3:249"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</row>
    <row r="106" spans="3:249"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</row>
    <row r="107" spans="3:249"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</row>
    <row r="108" spans="3:249"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</row>
    <row r="109" spans="3:249"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</row>
    <row r="110" spans="3:249"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</row>
    <row r="111" spans="3:249"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</row>
    <row r="112" spans="3:249"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</row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</sheetData>
  <sheetProtection selectLockedCells="1" selectUnlockedCells="1"/>
  <autoFilter ref="C5:AI95" xr:uid="{65734E3E-76C5-4F02-B11F-FC38AD5C74E1}"/>
  <phoneticPr fontId="6" type="noConversion"/>
  <conditionalFormatting sqref="E48">
    <cfRule type="expression" dxfId="332" priority="8">
      <formula>AS48=5523</formula>
    </cfRule>
    <cfRule type="expression" dxfId="331" priority="10">
      <formula>AS48=5522</formula>
    </cfRule>
    <cfRule type="expression" dxfId="330" priority="11">
      <formula>AS48=5676</formula>
    </cfRule>
    <cfRule type="expression" dxfId="329" priority="12">
      <formula>AS48=5681</formula>
    </cfRule>
    <cfRule type="expression" dxfId="328" priority="13">
      <formula>AS48=5527</formula>
    </cfRule>
    <cfRule type="expression" dxfId="327" priority="14">
      <formula>AS48=5555</formula>
    </cfRule>
  </conditionalFormatting>
  <conditionalFormatting sqref="E48">
    <cfRule type="expression" dxfId="326" priority="9">
      <formula>AS48=5552</formula>
    </cfRule>
  </conditionalFormatting>
  <conditionalFormatting sqref="BD48">
    <cfRule type="expression" dxfId="325" priority="1">
      <formula>CR48=5523</formula>
    </cfRule>
    <cfRule type="expression" dxfId="324" priority="3">
      <formula>CR48=5522</formula>
    </cfRule>
    <cfRule type="expression" dxfId="323" priority="4">
      <formula>CR48=5676</formula>
    </cfRule>
    <cfRule type="expression" dxfId="322" priority="5">
      <formula>CR48=5681</formula>
    </cfRule>
    <cfRule type="expression" dxfId="321" priority="6">
      <formula>CR48=5527</formula>
    </cfRule>
    <cfRule type="expression" dxfId="320" priority="7">
      <formula>CR48=5555</formula>
    </cfRule>
  </conditionalFormatting>
  <conditionalFormatting sqref="BD48">
    <cfRule type="expression" dxfId="319" priority="2">
      <formula>CR48=5552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E6CCA-1A14-4C09-855E-E2F4C08BCCFD}">
  <sheetPr codeName="Arkusz8"/>
  <dimension ref="A1:AL148"/>
  <sheetViews>
    <sheetView zoomScale="72" zoomScaleNormal="72" workbookViewId="0">
      <selection activeCell="K9" sqref="K9"/>
    </sheetView>
  </sheetViews>
  <sheetFormatPr defaultRowHeight="15"/>
  <cols>
    <col min="2" max="2" width="23.42578125" bestFit="1" customWidth="1"/>
    <col min="6" max="8" width="25.42578125" bestFit="1" customWidth="1"/>
    <col min="10" max="10" width="11.42578125" customWidth="1"/>
    <col min="13" max="13" width="24.42578125" bestFit="1" customWidth="1"/>
    <col min="14" max="14" width="22.5703125" bestFit="1" customWidth="1"/>
    <col min="20" max="20" width="11.42578125" bestFit="1" customWidth="1"/>
    <col min="23" max="23" width="8.5703125" customWidth="1"/>
    <col min="24" max="24" width="9.42578125" bestFit="1" customWidth="1"/>
  </cols>
  <sheetData>
    <row r="1" spans="2:38">
      <c r="M1" s="1001" t="s">
        <v>349</v>
      </c>
      <c r="N1" s="1001"/>
      <c r="O1" s="1001"/>
      <c r="P1" s="1001"/>
      <c r="Q1" s="1001"/>
      <c r="V1" t="s">
        <v>351</v>
      </c>
      <c r="W1" t="s">
        <v>352</v>
      </c>
      <c r="X1" t="s">
        <v>353</v>
      </c>
      <c r="Y1" t="s">
        <v>354</v>
      </c>
      <c r="Z1" t="s">
        <v>355</v>
      </c>
      <c r="AA1" t="s">
        <v>356</v>
      </c>
      <c r="AG1" t="s">
        <v>351</v>
      </c>
      <c r="AH1" t="s">
        <v>352</v>
      </c>
      <c r="AI1" t="s">
        <v>353</v>
      </c>
      <c r="AJ1" t="s">
        <v>354</v>
      </c>
      <c r="AK1" t="s">
        <v>355</v>
      </c>
      <c r="AL1" t="s">
        <v>330</v>
      </c>
    </row>
    <row r="2" spans="2:38">
      <c r="B2" s="77" t="s">
        <v>172</v>
      </c>
      <c r="J2" s="77" t="s">
        <v>251</v>
      </c>
      <c r="M2">
        <v>1</v>
      </c>
      <c r="N2">
        <v>2</v>
      </c>
      <c r="O2">
        <v>3</v>
      </c>
      <c r="P2">
        <v>4</v>
      </c>
      <c r="Q2">
        <v>5</v>
      </c>
      <c r="R2">
        <v>6</v>
      </c>
      <c r="S2">
        <v>7</v>
      </c>
      <c r="T2">
        <v>8</v>
      </c>
      <c r="U2">
        <v>9</v>
      </c>
      <c r="V2">
        <v>10</v>
      </c>
      <c r="W2">
        <v>11</v>
      </c>
      <c r="X2">
        <v>12</v>
      </c>
      <c r="Y2">
        <v>13</v>
      </c>
      <c r="Z2">
        <v>14</v>
      </c>
      <c r="AA2">
        <v>15</v>
      </c>
      <c r="AB2">
        <v>16</v>
      </c>
      <c r="AD2">
        <v>5</v>
      </c>
      <c r="AE2">
        <v>5</v>
      </c>
      <c r="AG2">
        <v>21</v>
      </c>
      <c r="AH2">
        <v>22</v>
      </c>
      <c r="AI2">
        <v>23</v>
      </c>
      <c r="AJ2">
        <v>24</v>
      </c>
      <c r="AK2">
        <v>25</v>
      </c>
      <c r="AL2">
        <v>26</v>
      </c>
    </row>
    <row r="3" spans="2:38">
      <c r="B3" s="78" t="s">
        <v>3</v>
      </c>
      <c r="C3">
        <f ca="1">HLOOKUP(F3,'Receptury '!$DB$99:$GP$101,3,0)</f>
        <v>103</v>
      </c>
      <c r="D3">
        <f ca="1">HLOOKUP(G3,'Receptury '!$DB$99:$GP$101,3,0)</f>
        <v>104</v>
      </c>
      <c r="E3">
        <f ca="1">HLOOKUP(H3,'Receptury '!$DB$99:$GP$101,3,0)</f>
        <v>105</v>
      </c>
      <c r="F3" t="str">
        <f>_xlfn.CONCAT(B3,"_",1)</f>
        <v>I dr. Jasna _1</v>
      </c>
      <c r="G3" t="str">
        <f>_xlfn.CONCAT(B3,"_",2)</f>
        <v>I dr. Jasna _2</v>
      </c>
      <c r="H3" t="str">
        <f>_xlfn.CONCAT(B3,"_",3)</f>
        <v>I dr. Jasna _3</v>
      </c>
      <c r="J3" s="78">
        <v>6354</v>
      </c>
      <c r="M3" s="76" t="s">
        <v>399</v>
      </c>
      <c r="N3" s="76" t="s">
        <v>3</v>
      </c>
      <c r="O3" s="243">
        <f>IFERROR(MID($M3,1,4)*1,9999)</f>
        <v>2202</v>
      </c>
      <c r="P3" s="243">
        <f>IF(LEN($M3)&gt;6,MID($M3,6,4)*1,9999)</f>
        <v>2212</v>
      </c>
      <c r="Q3" s="243">
        <f>IF(LEN($M3)&gt;11,MID($M3,11,4)*1,9999)</f>
        <v>9999</v>
      </c>
      <c r="R3" s="87">
        <f ca="1">SUMIF(TPS_mięsa!$P$2:$P$500,O3,TPS_mięsa!$G$2:$G$500)</f>
        <v>1857.5</v>
      </c>
      <c r="S3" s="87">
        <f ca="1">SUMIF(TPS_mięsa!$P$2:$P$500,P3,TPS_mięsa!$G$2:$G$500)</f>
        <v>200</v>
      </c>
      <c r="T3" s="87">
        <f ca="1">SUMIF(TPS_mięsa!$P$2:$P$500,Q3,TPS_mięsa!$G$2:$G$500)</f>
        <v>0</v>
      </c>
      <c r="U3">
        <f ca="1">COUNTIF(R3:T3,"&gt;0")</f>
        <v>2</v>
      </c>
      <c r="W3" s="87">
        <f>SUMIF('Dane stany'!$J$5:$J$371,O3,'Dane stany'!$K$5:$K$371)</f>
        <v>1857.5</v>
      </c>
      <c r="X3" s="87">
        <f>SUMIF('Dane stany'!$J$5:$J$371,P3,'Dane stany'!$K$5:$K$371)</f>
        <v>200</v>
      </c>
      <c r="Y3" s="87">
        <f>SUMIF('Dane stany'!$J$5:$J$371,Q3,'Dane stany'!$K$5:$K$371)</f>
        <v>0</v>
      </c>
      <c r="Z3" s="87">
        <f>SUMIF('Dane stany'!$J$5:$J$371,AD3,'Dane stany'!$K$5:$K$371)</f>
        <v>0</v>
      </c>
      <c r="AA3" s="87">
        <f>SUMIF('Dane stany'!$J$5:$J$371,AE3,'Dane stany'!$K$5:$K$371)</f>
        <v>0</v>
      </c>
      <c r="AB3" s="257">
        <f>SUM(W3:AA3)</f>
        <v>2057.5</v>
      </c>
      <c r="AD3" s="243">
        <f>IF(LEN($M3)&gt;16,MID($M3,16,4)*1,9999)</f>
        <v>9999</v>
      </c>
      <c r="AE3" s="243">
        <f>IF(LEN($M3)&gt;21,MID($M3,21,4)*1,9999)</f>
        <v>9999</v>
      </c>
      <c r="AG3" s="87">
        <f>SUMIF(Rozbiór!$I$3:$I$300,O3,Rozbiór!$J$3:$J$300)</f>
        <v>1000</v>
      </c>
      <c r="AH3" s="87">
        <f>SUMIF(Rozbiór!$I$3:$I$300,P3,Rozbiór!$J$3:$J$300)</f>
        <v>0</v>
      </c>
      <c r="AI3" s="87">
        <f>SUMIF(Rozbiór!$I$3:$I$300,Q3,Rozbiór!$J$3:$J$300)</f>
        <v>0</v>
      </c>
      <c r="AJ3" s="87">
        <f>SUMIF(Rozbiór!$I$3:$I$300,AD3,Rozbiór!$J$3:$J$300)</f>
        <v>0</v>
      </c>
      <c r="AK3" s="87">
        <f>SUMIF(Rozbiór!$I$3:$I$300,AE3,Rozbiór!$J$3:$J$300)</f>
        <v>0</v>
      </c>
      <c r="AL3" s="257">
        <f>SUM(AG3:AK3)</f>
        <v>1000</v>
      </c>
    </row>
    <row r="4" spans="2:38">
      <c r="B4" s="78" t="s">
        <v>18002</v>
      </c>
      <c r="C4">
        <f ca="1">HLOOKUP(F4,'Receptury '!$DB$99:$GP$101,3,0)</f>
        <v>106</v>
      </c>
      <c r="D4">
        <f ca="1">HLOOKUP(G4,'Receptury '!$DB$99:$GP$101,3,0)</f>
        <v>107</v>
      </c>
      <c r="E4">
        <f ca="1">HLOOKUP(H4,'Receptury '!$DB$99:$GP$101,3,0)</f>
        <v>108</v>
      </c>
      <c r="F4" t="str">
        <f t="shared" ref="F4:F34" si="0">_xlfn.CONCAT(B4,"_",1)</f>
        <v>Drób Kabanosy1,5%_1</v>
      </c>
      <c r="G4" t="str">
        <f t="shared" ref="G4:G34" si="1">_xlfn.CONCAT(B4,"_",2)</f>
        <v>Drób Kabanosy1,5%_2</v>
      </c>
      <c r="H4" t="str">
        <f t="shared" ref="H4:H34" si="2">_xlfn.CONCAT(B4,"_",3)</f>
        <v>Drób Kabanosy1,5%_3</v>
      </c>
      <c r="J4" s="78">
        <v>6434</v>
      </c>
      <c r="M4" s="76">
        <v>53064000</v>
      </c>
      <c r="N4" s="76" t="s">
        <v>18002</v>
      </c>
      <c r="O4" s="260">
        <f>IFERROR(MID($M4,1,8)*1,9999)*1</f>
        <v>53064000</v>
      </c>
      <c r="P4" s="260">
        <v>9999</v>
      </c>
      <c r="Q4" s="243">
        <f t="shared" ref="Q4:Q56" si="3">IF(LEN($M4)&gt;11,MID($M4,11,4)*1,9999)</f>
        <v>9999</v>
      </c>
      <c r="R4" s="87">
        <f ca="1">SUMIF(TPS_mięsa!$P$2:$P$500,O4,TPS_mięsa!$G$2:$G$500)</f>
        <v>0</v>
      </c>
      <c r="S4" s="87">
        <f ca="1">SUMIF(TPS_mięsa!$P$2:$P$500,P4,TPS_mięsa!$G$2:$G$500)</f>
        <v>0</v>
      </c>
      <c r="T4" s="87">
        <f ca="1">SUMIF(TPS_mięsa!$P$2:$P$500,Q4,TPS_mięsa!$G$2:$G$500)</f>
        <v>0</v>
      </c>
      <c r="U4">
        <f t="shared" ref="U4:U46" ca="1" si="4">COUNTIF(R4:T4,"&gt;0")</f>
        <v>0</v>
      </c>
      <c r="W4" s="87">
        <f>SUMIF('Dane stany'!$J$5:$J$371,O4,'Dane stany'!$K$5:$K$371)</f>
        <v>0</v>
      </c>
      <c r="X4" s="87">
        <f>SUMIF('Dane stany'!$J$5:$J$371,P4,'Dane stany'!$K$5:$K$371)</f>
        <v>0</v>
      </c>
      <c r="Y4" s="87">
        <f>SUMIF('Dane stany'!$J$5:$J$371,Q4,'Dane stany'!$K$5:$K$371)</f>
        <v>0</v>
      </c>
      <c r="Z4" s="87">
        <f>SUMIF('Dane stany'!$J$5:$J$371,AD4,'Dane stany'!$K$5:$K$371)</f>
        <v>0</v>
      </c>
      <c r="AA4" s="87">
        <f>SUMIF('Dane stany'!$J$5:$J$371,AE4,'Dane stany'!$K$5:$K$371)</f>
        <v>0</v>
      </c>
      <c r="AB4" s="257">
        <f t="shared" ref="AB4:AB46" si="5">SUM(W4:AA4)</f>
        <v>0</v>
      </c>
      <c r="AD4" s="243">
        <f t="shared" ref="AD4:AD56" si="6">IF(LEN($M4)&gt;16,MID($M4,16,4)*1,9999)</f>
        <v>9999</v>
      </c>
      <c r="AE4" s="243">
        <f t="shared" ref="AE4:AE56" si="7">IF(LEN($M4)&gt;21,MID($M4,21,4)*1,9999)</f>
        <v>9999</v>
      </c>
      <c r="AG4" s="87">
        <f>SUMIF(Rozbiór!$I$3:$I$300,O4,Rozbiór!$J$3:$J$300)</f>
        <v>0</v>
      </c>
      <c r="AH4" s="87">
        <f>SUMIF(Rozbiór!$I$3:$I$300,P4,Rozbiór!$J$3:$J$300)</f>
        <v>0</v>
      </c>
      <c r="AI4" s="87">
        <f>SUMIF(Rozbiór!$I$3:$I$300,Q4,Rozbiór!$J$3:$J$300)</f>
        <v>0</v>
      </c>
      <c r="AJ4" s="87">
        <f>SUMIF(Rozbiór!$I$3:$I$300,AD4,Rozbiór!$J$3:$J$300)</f>
        <v>0</v>
      </c>
      <c r="AK4" s="87">
        <f>SUMIF(Rozbiór!$I$3:$I$300,AE4,Rozbiór!$J$3:$J$300)</f>
        <v>0</v>
      </c>
      <c r="AL4" s="257">
        <f t="shared" ref="AL4:AL46" si="8">SUM(AG4:AK4)</f>
        <v>0</v>
      </c>
    </row>
    <row r="5" spans="2:38">
      <c r="B5" s="78" t="s">
        <v>4</v>
      </c>
      <c r="C5">
        <f ca="1">HLOOKUP(F5,'Receptury '!$DB$99:$GP$101,3,0)</f>
        <v>109</v>
      </c>
      <c r="D5">
        <f ca="1">HLOOKUP(G5,'Receptury '!$DB$99:$GP$101,3,0)</f>
        <v>110</v>
      </c>
      <c r="E5">
        <f ca="1">HLOOKUP(H5,'Receptury '!$DB$99:$GP$101,3,0)</f>
        <v>111</v>
      </c>
      <c r="F5" t="str">
        <f t="shared" si="0"/>
        <v>Idr. Ciemna _1</v>
      </c>
      <c r="G5" t="str">
        <f t="shared" si="1"/>
        <v>Idr. Ciemna _2</v>
      </c>
      <c r="H5" t="str">
        <f t="shared" si="2"/>
        <v>Idr. Ciemna _3</v>
      </c>
      <c r="J5" s="78">
        <v>6490</v>
      </c>
      <c r="M5" s="76" t="s">
        <v>17967</v>
      </c>
      <c r="N5" s="76" t="s">
        <v>4</v>
      </c>
      <c r="O5" s="243">
        <f t="shared" ref="O5:O56" si="9">IFERROR(MID($M5,1,4)*1,9999)</f>
        <v>2203</v>
      </c>
      <c r="P5" s="243">
        <f t="shared" ref="P5:P56" si="10">IF(LEN($M5)&gt;6,MID($M5,6,4)*1,9999)</f>
        <v>2213</v>
      </c>
      <c r="Q5" s="243">
        <f t="shared" si="3"/>
        <v>2225</v>
      </c>
      <c r="R5" s="87">
        <f ca="1">SUMIF(TPS_mięsa!$P$2:$P$500,O5,TPS_mięsa!$G$2:$G$500)</f>
        <v>3097</v>
      </c>
      <c r="S5" s="87">
        <f ca="1">SUMIF(TPS_mięsa!$P$2:$P$500,P5,TPS_mięsa!$G$2:$G$500)</f>
        <v>3573.5</v>
      </c>
      <c r="T5" s="87">
        <f ca="1">SUMIF(TPS_mięsa!$P$2:$P$500,Q5,TPS_mięsa!$G$2:$G$500)</f>
        <v>0</v>
      </c>
      <c r="U5">
        <f t="shared" ref="U5" ca="1" si="11">COUNTIF(R5:T5,"&gt;0")</f>
        <v>2</v>
      </c>
      <c r="W5" s="87">
        <f>SUMIF('Dane stany'!$J$5:$J$371,O5,'Dane stany'!$K$5:$K$371)</f>
        <v>2533</v>
      </c>
      <c r="X5" s="87">
        <f>SUMIF('Dane stany'!$J$5:$J$371,P5,'Dane stany'!$K$5:$K$371)</f>
        <v>3573.5</v>
      </c>
      <c r="Y5" s="87">
        <f>SUMIF('Dane stany'!$J$5:$J$371,Q5,'Dane stany'!$K$5:$K$371)</f>
        <v>0</v>
      </c>
      <c r="Z5" s="87">
        <f>SUMIF('Dane stany'!$J$5:$J$371,AD5,'Dane stany'!$K$5:$K$371)</f>
        <v>0</v>
      </c>
      <c r="AA5" s="87">
        <f>SUMIF('Dane stany'!$J$5:$J$371,AE5,'Dane stany'!$K$5:$K$371)</f>
        <v>0</v>
      </c>
      <c r="AB5" s="257">
        <f t="shared" ref="AB5" si="12">SUM(W5:AA5)</f>
        <v>6106.5</v>
      </c>
      <c r="AD5" s="243">
        <f t="shared" si="6"/>
        <v>2229</v>
      </c>
      <c r="AE5" s="243">
        <f t="shared" si="7"/>
        <v>2211</v>
      </c>
      <c r="AG5" s="87">
        <f>SUMIF(Rozbiór!$I$3:$I$300,O5,Rozbiór!$J$3:$J$300)</f>
        <v>4100</v>
      </c>
      <c r="AH5" s="87">
        <f>SUMIF(Rozbiór!$I$3:$I$300,P5,Rozbiór!$J$3:$J$300)</f>
        <v>0</v>
      </c>
      <c r="AI5" s="87">
        <f>SUMIF(Rozbiór!$I$3:$I$300,Q5,Rozbiór!$J$3:$J$300)</f>
        <v>0</v>
      </c>
      <c r="AJ5" s="87">
        <f>SUMIF(Rozbiór!$I$3:$I$300,AD5,Rozbiór!$J$3:$J$300)</f>
        <v>0</v>
      </c>
      <c r="AK5" s="87">
        <f>SUMIF(Rozbiór!$I$3:$I$300,AE5,Rozbiór!$J$3:$J$300)</f>
        <v>900</v>
      </c>
      <c r="AL5" s="257">
        <f t="shared" si="8"/>
        <v>5000</v>
      </c>
    </row>
    <row r="6" spans="2:38">
      <c r="B6" s="78" t="s">
        <v>7</v>
      </c>
      <c r="C6">
        <f ca="1">HLOOKUP(F6,'Receptury '!$DB$99:$GP$101,3,0)</f>
        <v>112</v>
      </c>
      <c r="D6">
        <f ca="1">HLOOKUP(G6,'Receptury '!$DB$99:$GP$101,3,0)</f>
        <v>113</v>
      </c>
      <c r="E6">
        <f ca="1">HLOOKUP(H6,'Receptury '!$DB$99:$GP$101,3,0)</f>
        <v>114</v>
      </c>
      <c r="F6" t="str">
        <f t="shared" si="0"/>
        <v>Brzuchaty_1</v>
      </c>
      <c r="G6" t="str">
        <f t="shared" si="1"/>
        <v>Brzuchaty_2</v>
      </c>
      <c r="H6" t="str">
        <f t="shared" si="2"/>
        <v>Brzuchaty_3</v>
      </c>
      <c r="J6" s="78">
        <v>6628</v>
      </c>
      <c r="M6" s="76">
        <v>5859</v>
      </c>
      <c r="N6" s="76" t="s">
        <v>17875</v>
      </c>
      <c r="O6" s="243">
        <f t="shared" si="9"/>
        <v>5859</v>
      </c>
      <c r="P6" s="243">
        <f t="shared" si="10"/>
        <v>9999</v>
      </c>
      <c r="Q6" s="243">
        <f t="shared" si="3"/>
        <v>9999</v>
      </c>
      <c r="R6" s="87">
        <f ca="1">SUMIF(TPS_mięsa!$P$2:$P$500,O6,TPS_mięsa!$G$2:$G$500)</f>
        <v>0</v>
      </c>
      <c r="S6" s="87">
        <f ca="1">SUMIF(TPS_mięsa!$P$2:$P$500,P6,TPS_mięsa!$G$2:$G$500)</f>
        <v>0</v>
      </c>
      <c r="T6" s="87">
        <f ca="1">SUMIF(TPS_mięsa!$P$2:$P$500,Q6,TPS_mięsa!$G$2:$G$500)</f>
        <v>0</v>
      </c>
      <c r="U6">
        <f t="shared" ca="1" si="4"/>
        <v>0</v>
      </c>
      <c r="W6" s="87">
        <f>SUMIF('Dane stany'!$J$5:$J$371,O6,'Dane stany'!$K$5:$K$371)</f>
        <v>0</v>
      </c>
      <c r="X6" s="87">
        <f>SUMIF('Dane stany'!$J$5:$J$371,P6,'Dane stany'!$K$5:$K$371)</f>
        <v>0</v>
      </c>
      <c r="Y6" s="87">
        <f>SUMIF('Dane stany'!$J$5:$J$371,Q6,'Dane stany'!$K$5:$K$371)</f>
        <v>0</v>
      </c>
      <c r="Z6" s="87">
        <f>SUMIF('Dane stany'!$J$5:$J$371,AD6,'Dane stany'!$K$5:$K$371)</f>
        <v>0</v>
      </c>
      <c r="AA6" s="87">
        <f>SUMIF('Dane stany'!$J$5:$J$371,AE6,'Dane stany'!$K$5:$K$371)</f>
        <v>0</v>
      </c>
      <c r="AB6" s="257">
        <f t="shared" si="5"/>
        <v>0</v>
      </c>
      <c r="AD6" s="243">
        <f t="shared" si="6"/>
        <v>9999</v>
      </c>
      <c r="AE6" s="243">
        <f t="shared" si="7"/>
        <v>9999</v>
      </c>
      <c r="AG6" s="87">
        <f>SUMIF(Rozbiór!$I$3:$I$300,O6,Rozbiór!$J$3:$J$300)</f>
        <v>0</v>
      </c>
      <c r="AH6" s="87">
        <f>SUMIF(Rozbiór!$I$3:$I$300,P6,Rozbiór!$J$3:$J$300)</f>
        <v>0</v>
      </c>
      <c r="AI6" s="87">
        <f>SUMIF(Rozbiór!$I$3:$I$300,Q6,Rozbiór!$J$3:$J$300)</f>
        <v>0</v>
      </c>
      <c r="AJ6" s="87">
        <f>SUMIF(Rozbiór!$I$3:$I$300,AD6,Rozbiór!$J$3:$J$300)</f>
        <v>0</v>
      </c>
      <c r="AK6" s="87">
        <f>SUMIF(Rozbiór!$I$3:$I$300,AE6,Rozbiór!$J$3:$J$300)</f>
        <v>0</v>
      </c>
      <c r="AL6" s="257">
        <f t="shared" si="8"/>
        <v>0</v>
      </c>
    </row>
    <row r="7" spans="2:38">
      <c r="B7" s="78" t="s">
        <v>17947</v>
      </c>
      <c r="C7">
        <f ca="1">HLOOKUP(F7,'Receptury '!$DB$99:$GP$101,3,0)</f>
        <v>115</v>
      </c>
      <c r="D7">
        <f ca="1">HLOOKUP(G7,'Receptury '!$DB$99:$GP$101,3,0)</f>
        <v>116</v>
      </c>
      <c r="E7">
        <f ca="1">HLOOKUP(H7,'Receptury '!$DB$99:$GP$101,3,0)</f>
        <v>117</v>
      </c>
      <c r="F7" t="str">
        <f t="shared" si="0"/>
        <v>Przepona _1</v>
      </c>
      <c r="G7" t="str">
        <f t="shared" si="1"/>
        <v>Przepona _2</v>
      </c>
      <c r="H7" t="str">
        <f t="shared" si="2"/>
        <v>Przepona _3</v>
      </c>
      <c r="J7" s="78">
        <v>7035</v>
      </c>
      <c r="M7" s="76">
        <v>1239</v>
      </c>
      <c r="N7" s="76" t="s">
        <v>7</v>
      </c>
      <c r="O7" s="243">
        <f t="shared" si="9"/>
        <v>1239</v>
      </c>
      <c r="P7" s="243">
        <f t="shared" si="10"/>
        <v>9999</v>
      </c>
      <c r="Q7" s="243">
        <f t="shared" si="3"/>
        <v>9999</v>
      </c>
      <c r="R7" s="87">
        <f ca="1">SUMIF(TPS_mięsa!$P$2:$P$500,O7,TPS_mięsa!$G$2:$G$500)</f>
        <v>2867.5</v>
      </c>
      <c r="S7" s="87">
        <f ca="1">SUMIF(TPS_mięsa!$P$2:$P$500,P7,TPS_mięsa!$G$2:$G$500)</f>
        <v>0</v>
      </c>
      <c r="T7" s="87">
        <f ca="1">SUMIF(TPS_mięsa!$P$2:$P$500,Q7,TPS_mięsa!$G$2:$G$500)</f>
        <v>0</v>
      </c>
      <c r="U7">
        <f t="shared" ca="1" si="4"/>
        <v>1</v>
      </c>
      <c r="W7" s="87">
        <f>SUMIF('Dane stany'!$J$5:$J$371,O7,'Dane stany'!$K$5:$K$371)</f>
        <v>2867.5</v>
      </c>
      <c r="X7" s="87">
        <f>SUMIF('Dane stany'!$J$5:$J$371,P7,'Dane stany'!$K$5:$K$371)</f>
        <v>0</v>
      </c>
      <c r="Y7" s="87">
        <f>SUMIF('Dane stany'!$J$5:$J$371,Q7,'Dane stany'!$K$5:$K$371)</f>
        <v>0</v>
      </c>
      <c r="Z7" s="87">
        <f>SUMIF('Dane stany'!$J$5:$J$371,AD7,'Dane stany'!$K$5:$K$371)</f>
        <v>0</v>
      </c>
      <c r="AA7" s="87">
        <f>SUMIF('Dane stany'!$J$5:$J$371,AE7,'Dane stany'!$K$5:$K$371)</f>
        <v>0</v>
      </c>
      <c r="AB7" s="257">
        <f t="shared" si="5"/>
        <v>2867.5</v>
      </c>
      <c r="AD7" s="243">
        <f t="shared" si="6"/>
        <v>9999</v>
      </c>
      <c r="AE7" s="243">
        <f t="shared" si="7"/>
        <v>9999</v>
      </c>
      <c r="AG7" s="87">
        <f>SUMIF(Rozbiór!$I$3:$I$300,O7,Rozbiór!$J$3:$J$300)</f>
        <v>2500</v>
      </c>
      <c r="AH7" s="87">
        <f>SUMIF(Rozbiór!$I$3:$I$300,P7,Rozbiór!$J$3:$J$300)</f>
        <v>0</v>
      </c>
      <c r="AI7" s="87">
        <f>SUMIF(Rozbiór!$I$3:$I$300,Q7,Rozbiór!$J$3:$J$300)</f>
        <v>0</v>
      </c>
      <c r="AJ7" s="87">
        <f>SUMIF(Rozbiór!$I$3:$I$300,AD7,Rozbiór!$J$3:$J$300)</f>
        <v>0</v>
      </c>
      <c r="AK7" s="87">
        <f>SUMIF(Rozbiór!$I$3:$I$300,AE7,Rozbiór!$J$3:$J$300)</f>
        <v>0</v>
      </c>
      <c r="AL7" s="257">
        <f t="shared" si="8"/>
        <v>2500</v>
      </c>
    </row>
    <row r="8" spans="2:38">
      <c r="B8" s="78" t="s">
        <v>9</v>
      </c>
      <c r="C8">
        <f ca="1">HLOOKUP(F8,'Receptury '!$DB$99:$GP$101,3,0)</f>
        <v>118</v>
      </c>
      <c r="D8">
        <f ca="1">HLOOKUP(G8,'Receptury '!$DB$99:$GP$101,3,0)</f>
        <v>119</v>
      </c>
      <c r="E8">
        <f ca="1">HLOOKUP(H8,'Receptury '!$DB$99:$GP$101,3,0)</f>
        <v>120</v>
      </c>
      <c r="F8" t="str">
        <f t="shared" si="0"/>
        <v>Szynka 6d_1</v>
      </c>
      <c r="G8" t="str">
        <f t="shared" si="1"/>
        <v>Szynka 6d_2</v>
      </c>
      <c r="H8" t="str">
        <f>_xlfn.CONCAT(B8,"_",3)</f>
        <v>Szynka 6d_3</v>
      </c>
      <c r="J8" s="78">
        <v>7032</v>
      </c>
      <c r="M8" s="76">
        <v>1923</v>
      </c>
      <c r="N8" s="76" t="s">
        <v>17950</v>
      </c>
      <c r="O8" s="243">
        <f t="shared" si="9"/>
        <v>1923</v>
      </c>
      <c r="P8" s="243">
        <f t="shared" si="10"/>
        <v>9999</v>
      </c>
      <c r="Q8" s="243">
        <f t="shared" si="3"/>
        <v>9999</v>
      </c>
      <c r="R8" s="87">
        <f ca="1">SUMIF(TPS_mięsa!$P$2:$P$500,O8,TPS_mięsa!$G$2:$G$500)</f>
        <v>1244</v>
      </c>
      <c r="S8" s="87">
        <f ca="1">SUMIF(TPS_mięsa!$P$2:$P$500,P8,TPS_mięsa!$G$2:$G$500)</f>
        <v>0</v>
      </c>
      <c r="T8" s="87">
        <f ca="1">SUMIF(TPS_mięsa!$P$2:$P$500,Q8,TPS_mięsa!$G$2:$G$500)</f>
        <v>0</v>
      </c>
      <c r="U8">
        <f t="shared" ca="1" si="4"/>
        <v>1</v>
      </c>
      <c r="W8" s="87">
        <f>SUMIF('Dane stany'!$J$5:$J$371,O8,'Dane stany'!$K$5:$K$371)</f>
        <v>1044</v>
      </c>
      <c r="X8" s="87">
        <f>SUMIF('Dane stany'!$J$5:$J$371,P8,'Dane stany'!$K$5:$K$371)</f>
        <v>0</v>
      </c>
      <c r="Y8" s="87">
        <f>SUMIF('Dane stany'!$J$5:$J$371,Q8,'Dane stany'!$K$5:$K$371)</f>
        <v>0</v>
      </c>
      <c r="Z8" s="87">
        <f>SUMIF('Dane stany'!$J$5:$J$371,AD8,'Dane stany'!$K$5:$K$371)</f>
        <v>0</v>
      </c>
      <c r="AA8" s="87">
        <f>SUMIF('Dane stany'!$J$5:$J$371,AE8,'Dane stany'!$K$5:$K$371)</f>
        <v>0</v>
      </c>
      <c r="AB8" s="257">
        <f t="shared" si="5"/>
        <v>1044</v>
      </c>
      <c r="AD8" s="243">
        <f t="shared" si="6"/>
        <v>9999</v>
      </c>
      <c r="AE8" s="243">
        <f t="shared" si="7"/>
        <v>9999</v>
      </c>
      <c r="AG8" s="87">
        <f>SUMIF(Rozbiór!$I$3:$I$300,O8,Rozbiór!$J$3:$J$300)</f>
        <v>1800</v>
      </c>
      <c r="AH8" s="87">
        <f>SUMIF(Rozbiór!$I$3:$I$300,P8,Rozbiór!$J$3:$J$300)</f>
        <v>0</v>
      </c>
      <c r="AI8" s="87">
        <f>SUMIF(Rozbiór!$I$3:$I$300,Q8,Rozbiór!$J$3:$J$300)</f>
        <v>0</v>
      </c>
      <c r="AJ8" s="87">
        <f>SUMIF(Rozbiór!$I$3:$I$300,AD8,Rozbiór!$J$3:$J$300)</f>
        <v>0</v>
      </c>
      <c r="AK8" s="87">
        <f>SUMIF(Rozbiór!$I$3:$I$300,AE8,Rozbiór!$J$3:$J$300)</f>
        <v>0</v>
      </c>
      <c r="AL8" s="257">
        <f t="shared" si="8"/>
        <v>1800</v>
      </c>
    </row>
    <row r="9" spans="2:38">
      <c r="B9" s="78" t="s">
        <v>0</v>
      </c>
      <c r="C9">
        <f ca="1">HLOOKUP(F9,'Receptury '!$DB$99:$GP$101,3,0)</f>
        <v>121</v>
      </c>
      <c r="D9">
        <f ca="1">HLOOKUP(G9,'Receptury '!$DB$99:$GP$101,3,0)</f>
        <v>122</v>
      </c>
      <c r="E9">
        <f ca="1">HLOOKUP(H9,'Receptury '!$DB$99:$GP$101,3,0)</f>
        <v>123</v>
      </c>
      <c r="F9" t="str">
        <f t="shared" si="0"/>
        <v>M-so kl. 2A _1</v>
      </c>
      <c r="G9" t="str">
        <f t="shared" si="1"/>
        <v>M-so kl. 2A _2</v>
      </c>
      <c r="H9" t="str">
        <f t="shared" si="2"/>
        <v>M-so kl. 2A _3</v>
      </c>
      <c r="J9" s="78">
        <v>7043</v>
      </c>
      <c r="M9" s="76">
        <v>1624</v>
      </c>
      <c r="N9" s="76" t="s">
        <v>88</v>
      </c>
      <c r="O9" s="243">
        <f t="shared" si="9"/>
        <v>1624</v>
      </c>
      <c r="P9" s="243">
        <f t="shared" si="10"/>
        <v>9999</v>
      </c>
      <c r="Q9" s="243">
        <f t="shared" si="3"/>
        <v>9999</v>
      </c>
      <c r="R9" s="87">
        <f ca="1">SUMIF(TPS_mięsa!$P$2:$P$500,O9,TPS_mięsa!$G$2:$G$500)</f>
        <v>102.5</v>
      </c>
      <c r="S9" s="87">
        <f ca="1">SUMIF(TPS_mięsa!$P$2:$P$500,P9,TPS_mięsa!$G$2:$G$500)</f>
        <v>0</v>
      </c>
      <c r="T9" s="87">
        <f ca="1">SUMIF(TPS_mięsa!$P$2:$P$500,Q9,TPS_mięsa!$G$2:$G$500)</f>
        <v>0</v>
      </c>
      <c r="U9">
        <f t="shared" ca="1" si="4"/>
        <v>1</v>
      </c>
      <c r="W9" s="87">
        <f>SUMIF('Dane stany'!$J$5:$J$371,O9,'Dane stany'!$K$5:$K$371)</f>
        <v>102.5</v>
      </c>
      <c r="X9" s="87">
        <f>SUMIF('Dane stany'!$J$5:$J$371,P9,'Dane stany'!$K$5:$K$371)</f>
        <v>0</v>
      </c>
      <c r="Y9" s="87">
        <f>SUMIF('Dane stany'!$J$5:$J$371,Q9,'Dane stany'!$K$5:$K$371)</f>
        <v>0</v>
      </c>
      <c r="Z9" s="87">
        <f>SUMIF('Dane stany'!$J$5:$J$371,AD9,'Dane stany'!$K$5:$K$371)</f>
        <v>0</v>
      </c>
      <c r="AA9" s="87">
        <f>SUMIF('Dane stany'!$J$5:$J$371,AE9,'Dane stany'!$K$5:$K$371)</f>
        <v>0</v>
      </c>
      <c r="AB9" s="257">
        <f t="shared" si="5"/>
        <v>102.5</v>
      </c>
      <c r="AD9" s="243">
        <f t="shared" si="6"/>
        <v>9999</v>
      </c>
      <c r="AE9" s="243">
        <f t="shared" si="7"/>
        <v>9999</v>
      </c>
      <c r="AG9" s="87">
        <f>SUMIF(Rozbiór!$I$3:$I$300,O9,Rozbiór!$J$3:$J$300)</f>
        <v>0</v>
      </c>
      <c r="AH9" s="87">
        <f>SUMIF(Rozbiór!$I$3:$I$300,P9,Rozbiór!$J$3:$J$300)</f>
        <v>0</v>
      </c>
      <c r="AI9" s="87">
        <f>SUMIF(Rozbiór!$I$3:$I$300,Q9,Rozbiór!$J$3:$J$300)</f>
        <v>0</v>
      </c>
      <c r="AJ9" s="87">
        <f>SUMIF(Rozbiór!$I$3:$I$300,AD9,Rozbiór!$J$3:$J$300)</f>
        <v>0</v>
      </c>
      <c r="AK9" s="87">
        <f>SUMIF(Rozbiór!$I$3:$I$300,AE9,Rozbiór!$J$3:$J$300)</f>
        <v>0</v>
      </c>
      <c r="AL9" s="257">
        <f t="shared" si="8"/>
        <v>0</v>
      </c>
    </row>
    <row r="10" spans="2:38">
      <c r="B10" s="78" t="s">
        <v>1</v>
      </c>
      <c r="C10">
        <f ca="1">HLOOKUP(F10,'Receptury '!$DB$99:$GP$101,3,0)</f>
        <v>124</v>
      </c>
      <c r="D10">
        <f ca="1">HLOOKUP(G10,'Receptury '!$DB$99:$GP$101,3,0)</f>
        <v>125</v>
      </c>
      <c r="E10">
        <f ca="1">HLOOKUP(H10,'Receptury '!$DB$99:$GP$101,3,0)</f>
        <v>126</v>
      </c>
      <c r="F10" t="str">
        <f t="shared" si="0"/>
        <v>M-so kl. 2B _1</v>
      </c>
      <c r="G10" t="str">
        <f t="shared" si="1"/>
        <v>M-so kl. 2B _2</v>
      </c>
      <c r="H10" t="str">
        <f t="shared" si="2"/>
        <v>M-so kl. 2B _3</v>
      </c>
      <c r="J10" s="78">
        <v>7053</v>
      </c>
      <c r="M10" s="76" t="s">
        <v>202</v>
      </c>
      <c r="N10" s="76" t="s">
        <v>0</v>
      </c>
      <c r="O10" s="243">
        <f t="shared" si="9"/>
        <v>2204</v>
      </c>
      <c r="P10" s="243">
        <f t="shared" si="10"/>
        <v>2214</v>
      </c>
      <c r="Q10" s="243">
        <f t="shared" si="3"/>
        <v>9999</v>
      </c>
      <c r="R10" s="87">
        <f ca="1">SUMIF(TPS_mięsa!$P$2:$P$500,O10,TPS_mięsa!$G$2:$G$500)</f>
        <v>35038</v>
      </c>
      <c r="S10" s="87">
        <f ca="1">SUMIF(TPS_mięsa!$P$2:$P$500,P10,TPS_mięsa!$G$2:$G$500)</f>
        <v>560</v>
      </c>
      <c r="T10" s="87">
        <f ca="1">SUMIF(TPS_mięsa!$P$2:$P$500,Q10,TPS_mięsa!$G$2:$G$500)</f>
        <v>0</v>
      </c>
      <c r="U10">
        <f t="shared" ca="1" si="4"/>
        <v>2</v>
      </c>
      <c r="W10" s="87">
        <f>SUMIF('Dane stany'!$J$5:$J$371,O10,'Dane stany'!$K$5:$K$371)</f>
        <v>31788.5</v>
      </c>
      <c r="X10" s="87">
        <f>SUMIF('Dane stany'!$J$5:$J$371,P10,'Dane stany'!$K$5:$K$371)</f>
        <v>560</v>
      </c>
      <c r="Y10" s="87">
        <f>SUMIF('Dane stany'!$J$5:$J$371,Q10,'Dane stany'!$K$5:$K$371)</f>
        <v>0</v>
      </c>
      <c r="Z10" s="87">
        <f>SUMIF('Dane stany'!$J$5:$J$371,AD10,'Dane stany'!$K$5:$K$371)</f>
        <v>0</v>
      </c>
      <c r="AA10" s="87">
        <f>SUMIF('Dane stany'!$J$5:$J$371,AE10,'Dane stany'!$K$5:$K$371)</f>
        <v>0</v>
      </c>
      <c r="AB10" s="257">
        <f t="shared" si="5"/>
        <v>32348.5</v>
      </c>
      <c r="AD10" s="243">
        <f t="shared" si="6"/>
        <v>9999</v>
      </c>
      <c r="AE10" s="243">
        <f t="shared" si="7"/>
        <v>9999</v>
      </c>
      <c r="AG10" s="87">
        <f>SUMIF(Rozbiór!$I$3:$I$300,O10,Rozbiór!$J$3:$J$300)</f>
        <v>7000</v>
      </c>
      <c r="AH10" s="87">
        <f>SUMIF(Rozbiór!$I$3:$I$300,P10,Rozbiór!$J$3:$J$300)</f>
        <v>1600</v>
      </c>
      <c r="AI10" s="87">
        <f>SUMIF(Rozbiór!$I$3:$I$300,Q10,Rozbiór!$J$3:$J$300)</f>
        <v>0</v>
      </c>
      <c r="AJ10" s="87">
        <f>SUMIF(Rozbiór!$I$3:$I$300,AD10,Rozbiór!$J$3:$J$300)</f>
        <v>0</v>
      </c>
      <c r="AK10" s="87">
        <f>SUMIF(Rozbiór!$I$3:$I$300,AE10,Rozbiór!$J$3:$J$300)</f>
        <v>0</v>
      </c>
      <c r="AL10" s="257">
        <f t="shared" si="8"/>
        <v>8600</v>
      </c>
    </row>
    <row r="11" spans="2:38">
      <c r="B11" s="78" t="s">
        <v>8518</v>
      </c>
      <c r="C11">
        <f ca="1">HLOOKUP(F11,'Receptury '!$DB$99:$GP$101,3,0)</f>
        <v>127</v>
      </c>
      <c r="D11">
        <f ca="1">HLOOKUP(G11,'Receptury '!$DB$99:$GP$101,3,0)</f>
        <v>128</v>
      </c>
      <c r="E11">
        <f ca="1">HLOOKUP(H11,'Receptury '!$DB$99:$GP$101,3,0)</f>
        <v>129</v>
      </c>
      <c r="F11" t="str">
        <f t="shared" si="0"/>
        <v>M-so kl. 3A_1</v>
      </c>
      <c r="G11" t="str">
        <f t="shared" si="1"/>
        <v>M-so kl. 3A_2</v>
      </c>
      <c r="H11" t="str">
        <f t="shared" si="2"/>
        <v>M-so kl. 3A_3</v>
      </c>
      <c r="J11" s="78">
        <v>7055</v>
      </c>
      <c r="M11" s="76">
        <v>5214</v>
      </c>
      <c r="N11" s="76" t="s">
        <v>99</v>
      </c>
      <c r="O11" s="243">
        <f t="shared" si="9"/>
        <v>5214</v>
      </c>
      <c r="P11" s="243">
        <f t="shared" si="10"/>
        <v>9999</v>
      </c>
      <c r="Q11" s="243">
        <f t="shared" si="3"/>
        <v>9999</v>
      </c>
      <c r="R11" s="87">
        <f ca="1">SUMIF(TPS_mięsa!$P$2:$P$500,O11,TPS_mięsa!$G$2:$G$500)</f>
        <v>3506.5</v>
      </c>
      <c r="S11" s="87">
        <f ca="1">SUMIF(TPS_mięsa!$P$2:$P$500,P11,TPS_mięsa!$G$2:$G$500)</f>
        <v>0</v>
      </c>
      <c r="T11" s="87">
        <f ca="1">SUMIF(TPS_mięsa!$P$2:$P$500,Q11,TPS_mięsa!$G$2:$G$500)</f>
        <v>0</v>
      </c>
      <c r="U11">
        <f t="shared" ca="1" si="4"/>
        <v>1</v>
      </c>
      <c r="W11" s="87">
        <f>SUMIF('Dane stany'!$J$5:$J$371,O11,'Dane stany'!$K$5:$K$371)</f>
        <v>4306.5</v>
      </c>
      <c r="X11" s="87">
        <f>SUMIF('Dane stany'!$J$5:$J$371,P11,'Dane stany'!$K$5:$K$371)</f>
        <v>0</v>
      </c>
      <c r="Y11" s="87">
        <f>SUMIF('Dane stany'!$J$5:$J$371,Q11,'Dane stany'!$K$5:$K$371)</f>
        <v>0</v>
      </c>
      <c r="Z11" s="87">
        <f>SUMIF('Dane stany'!$J$5:$J$371,AD11,'Dane stany'!$K$5:$K$371)</f>
        <v>0</v>
      </c>
      <c r="AA11" s="87">
        <f>SUMIF('Dane stany'!$J$5:$J$371,AE11,'Dane stany'!$K$5:$K$371)</f>
        <v>0</v>
      </c>
      <c r="AB11" s="257">
        <f t="shared" si="5"/>
        <v>4306.5</v>
      </c>
      <c r="AD11" s="243">
        <f t="shared" si="6"/>
        <v>9999</v>
      </c>
      <c r="AE11" s="243">
        <f t="shared" si="7"/>
        <v>9999</v>
      </c>
      <c r="AG11" s="87">
        <f>SUMIF(Rozbiór!$I$3:$I$300,O11,Rozbiór!$J$3:$J$300)</f>
        <v>0</v>
      </c>
      <c r="AH11" s="87">
        <f>SUMIF(Rozbiór!$I$3:$I$300,P11,Rozbiór!$J$3:$J$300)</f>
        <v>0</v>
      </c>
      <c r="AI11" s="87">
        <f>SUMIF(Rozbiór!$I$3:$I$300,Q11,Rozbiór!$J$3:$J$300)</f>
        <v>0</v>
      </c>
      <c r="AJ11" s="87">
        <f>SUMIF(Rozbiór!$I$3:$I$300,AD11,Rozbiór!$J$3:$J$300)</f>
        <v>0</v>
      </c>
      <c r="AK11" s="87">
        <f>SUMIF(Rozbiór!$I$3:$I$300,AE11,Rozbiór!$J$3:$J$300)</f>
        <v>0</v>
      </c>
      <c r="AL11" s="257">
        <f t="shared" si="8"/>
        <v>0</v>
      </c>
    </row>
    <row r="12" spans="2:38">
      <c r="B12" s="78" t="s">
        <v>17948</v>
      </c>
      <c r="C12">
        <f ca="1">HLOOKUP(F12,'Receptury '!$DB$99:$GP$101,3,0)</f>
        <v>130</v>
      </c>
      <c r="D12">
        <f ca="1">HLOOKUP(G12,'Receptury '!$DB$99:$GP$101,3,0)</f>
        <v>131</v>
      </c>
      <c r="E12">
        <f ca="1">HLOOKUP(H12,'Receptury '!$DB$99:$GP$101,3,0)</f>
        <v>132</v>
      </c>
      <c r="F12" t="str">
        <f t="shared" si="0"/>
        <v>M-so kl. 4A_1</v>
      </c>
      <c r="G12" t="str">
        <f t="shared" si="1"/>
        <v>M-so kl. 4A_2</v>
      </c>
      <c r="H12" t="str">
        <f t="shared" si="2"/>
        <v>M-so kl. 4A_3</v>
      </c>
      <c r="J12" s="78">
        <v>7056</v>
      </c>
      <c r="M12" s="76" t="s">
        <v>17949</v>
      </c>
      <c r="N12" s="76" t="s">
        <v>17948</v>
      </c>
      <c r="O12" s="243">
        <f t="shared" si="9"/>
        <v>2209</v>
      </c>
      <c r="P12" s="243">
        <f t="shared" si="10"/>
        <v>2222</v>
      </c>
      <c r="Q12" s="243">
        <f t="shared" si="3"/>
        <v>2220</v>
      </c>
      <c r="R12" s="87">
        <f ca="1">SUMIF(TPS_mięsa!$P$2:$P$500,O12,TPS_mięsa!$G$2:$G$500)</f>
        <v>116.5</v>
      </c>
      <c r="S12" s="87">
        <f ca="1">SUMIF(TPS_mięsa!$P$2:$P$500,P12,TPS_mięsa!$G$2:$G$500)</f>
        <v>2546</v>
      </c>
      <c r="T12" s="87">
        <f ca="1">SUMIF(TPS_mięsa!$P$2:$P$500,Q12,TPS_mięsa!$G$2:$G$500)</f>
        <v>0</v>
      </c>
      <c r="U12">
        <f t="shared" ca="1" si="4"/>
        <v>2</v>
      </c>
      <c r="W12" s="87">
        <f>SUMIF('Dane stany'!$J$5:$J$371,O12,'Dane stany'!$K$5:$K$371)</f>
        <v>116.5</v>
      </c>
      <c r="X12" s="87">
        <f>SUMIF('Dane stany'!$J$5:$J$371,P12,'Dane stany'!$K$5:$K$371)</f>
        <v>2105</v>
      </c>
      <c r="Y12" s="87">
        <f>SUMIF('Dane stany'!$J$5:$J$371,Q12,'Dane stany'!$K$5:$K$371)</f>
        <v>0</v>
      </c>
      <c r="Z12" s="87">
        <f>SUMIF('Dane stany'!$J$5:$J$371,AD12,'Dane stany'!$K$5:$K$371)</f>
        <v>0</v>
      </c>
      <c r="AA12" s="87">
        <f>SUMIF('Dane stany'!$J$5:$J$371,AE12,'Dane stany'!$K$5:$K$371)</f>
        <v>0</v>
      </c>
      <c r="AB12" s="257">
        <f t="shared" si="5"/>
        <v>2221.5</v>
      </c>
      <c r="AD12" s="243">
        <f t="shared" si="6"/>
        <v>9999</v>
      </c>
      <c r="AE12" s="243">
        <f t="shared" si="7"/>
        <v>9999</v>
      </c>
      <c r="AG12" s="87">
        <f>SUMIF(Rozbiór!$I$3:$I$300,O12,Rozbiór!$J$3:$J$300)</f>
        <v>800</v>
      </c>
      <c r="AH12" s="87">
        <f>SUMIF(Rozbiór!$I$3:$I$300,P12,Rozbiór!$J$3:$J$300)</f>
        <v>3200</v>
      </c>
      <c r="AI12" s="87">
        <f>SUMIF(Rozbiór!$I$3:$I$300,Q12,Rozbiór!$J$3:$J$300)</f>
        <v>0</v>
      </c>
      <c r="AJ12" s="87">
        <f>SUMIF(Rozbiór!$I$3:$I$300,AD12,Rozbiór!$J$3:$J$300)</f>
        <v>0</v>
      </c>
      <c r="AK12" s="87">
        <f>SUMIF(Rozbiór!$I$3:$I$300,AE12,Rozbiór!$J$3:$J$300)</f>
        <v>0</v>
      </c>
      <c r="AL12" s="257">
        <f t="shared" si="8"/>
        <v>4000</v>
      </c>
    </row>
    <row r="13" spans="2:38">
      <c r="B13" s="78" t="s">
        <v>17874</v>
      </c>
      <c r="C13">
        <f ca="1">HLOOKUP(F13,'Receptury '!$DB$99:$GP$101,3,0)</f>
        <v>133</v>
      </c>
      <c r="D13">
        <f ca="1">HLOOKUP(G13,'Receptury '!$DB$99:$GP$101,3,0)</f>
        <v>134</v>
      </c>
      <c r="E13">
        <f ca="1">HLOOKUP(H13,'Receptury '!$DB$99:$GP$101,3,0)</f>
        <v>135</v>
      </c>
      <c r="F13" t="str">
        <f t="shared" si="0"/>
        <v>Żel Czerwony_1</v>
      </c>
      <c r="G13" t="str">
        <f t="shared" si="1"/>
        <v>Żel Czerwony_2</v>
      </c>
      <c r="H13" t="str">
        <f t="shared" si="2"/>
        <v>Żel Czerwony_3</v>
      </c>
      <c r="J13" s="78">
        <v>6448</v>
      </c>
      <c r="M13" s="478" t="s">
        <v>17343</v>
      </c>
      <c r="N13" s="76" t="s">
        <v>1</v>
      </c>
      <c r="O13" s="243">
        <f t="shared" si="9"/>
        <v>2205</v>
      </c>
      <c r="P13" s="243">
        <f t="shared" si="10"/>
        <v>2197</v>
      </c>
      <c r="Q13" s="243">
        <f t="shared" si="3"/>
        <v>2195</v>
      </c>
      <c r="R13" s="87">
        <f ca="1">SUMIF(TPS_mięsa!$P$2:$P$500,O13,TPS_mięsa!$G$2:$G$500)</f>
        <v>2206</v>
      </c>
      <c r="S13" s="87">
        <f ca="1">SUMIF(TPS_mięsa!$P$2:$P$500,P13,TPS_mięsa!$G$2:$G$500)</f>
        <v>1955</v>
      </c>
      <c r="T13" s="87">
        <f ca="1">SUMIF(TPS_mięsa!$P$2:$P$500,Q13,TPS_mięsa!$G$2:$G$500)</f>
        <v>0</v>
      </c>
      <c r="U13">
        <f t="shared" ca="1" si="4"/>
        <v>2</v>
      </c>
      <c r="W13" s="87">
        <f>SUMIF('Dane stany'!$J$5:$J$371,O13,'Dane stany'!$K$5:$K$371)</f>
        <v>1692.5</v>
      </c>
      <c r="X13" s="87">
        <f>SUMIF('Dane stany'!$J$5:$J$371,P13,'Dane stany'!$K$5:$K$371)</f>
        <v>0</v>
      </c>
      <c r="Y13" s="87">
        <f>SUMIF('Dane stany'!$J$5:$J$371,Q13,'Dane stany'!$K$5:$K$371)</f>
        <v>0</v>
      </c>
      <c r="Z13" s="87">
        <f>SUMIF('Dane stany'!$J$5:$J$371,AD13,'Dane stany'!$K$5:$K$371)</f>
        <v>0</v>
      </c>
      <c r="AA13" s="87">
        <f>SUMIF('Dane stany'!$J$5:$J$371,AE13,'Dane stany'!$K$5:$K$371)</f>
        <v>0</v>
      </c>
      <c r="AB13" s="257">
        <f t="shared" si="5"/>
        <v>1692.5</v>
      </c>
      <c r="AD13" s="243">
        <f t="shared" si="6"/>
        <v>2196</v>
      </c>
      <c r="AE13" s="243">
        <f t="shared" si="7"/>
        <v>9999</v>
      </c>
      <c r="AG13" s="87">
        <f>SUMIF(Rozbiór!$I$3:$I$300,O13,Rozbiór!$J$3:$J$300)</f>
        <v>3100</v>
      </c>
      <c r="AH13" s="87">
        <f>SUMIF(Rozbiór!$I$3:$I$300,P13,Rozbiór!$J$3:$J$300)</f>
        <v>7000</v>
      </c>
      <c r="AI13" s="87">
        <f>SUMIF(Rozbiór!$I$3:$I$300,Q13,Rozbiór!$J$3:$J$300)</f>
        <v>0</v>
      </c>
      <c r="AJ13" s="87">
        <f>SUMIF(Rozbiór!$I$3:$I$300,AD13,Rozbiór!$J$3:$J$300)</f>
        <v>0</v>
      </c>
      <c r="AK13" s="87">
        <f>SUMIF(Rozbiór!$I$3:$I$300,AE13,Rozbiór!$J$3:$J$300)</f>
        <v>0</v>
      </c>
      <c r="AL13" s="257">
        <f t="shared" si="8"/>
        <v>10100</v>
      </c>
    </row>
    <row r="14" spans="2:38">
      <c r="B14" s="78" t="s">
        <v>10</v>
      </c>
      <c r="C14">
        <f ca="1">HLOOKUP(F14,'Receptury '!$DB$99:$GP$101,3,0)</f>
        <v>136</v>
      </c>
      <c r="D14">
        <f ca="1">HLOOKUP(G14,'Receptury '!$DB$99:$GP$101,3,0)</f>
        <v>137</v>
      </c>
      <c r="E14">
        <f ca="1">HLOOKUP(H14,'Receptury '!$DB$99:$GP$101,3,0)</f>
        <v>138</v>
      </c>
      <c r="F14" t="str">
        <f t="shared" si="0"/>
        <v>T. Drobny _1</v>
      </c>
      <c r="G14" t="str">
        <f t="shared" si="1"/>
        <v>T. Drobny _2</v>
      </c>
      <c r="H14" t="str">
        <f t="shared" si="2"/>
        <v>T. Drobny _3</v>
      </c>
      <c r="J14" s="78">
        <f>6499-6499</f>
        <v>0</v>
      </c>
      <c r="M14" s="76">
        <v>5215</v>
      </c>
      <c r="N14" s="76" t="s">
        <v>98</v>
      </c>
      <c r="O14" s="243">
        <f t="shared" si="9"/>
        <v>5215</v>
      </c>
      <c r="P14" s="243">
        <f t="shared" si="10"/>
        <v>9999</v>
      </c>
      <c r="Q14" s="243">
        <f t="shared" si="3"/>
        <v>9999</v>
      </c>
      <c r="R14" s="87">
        <f ca="1">SUMIF(TPS_mięsa!$P$2:$P$500,O14,TPS_mięsa!$G$2:$G$500)</f>
        <v>3228</v>
      </c>
      <c r="S14" s="87">
        <f ca="1">SUMIF(TPS_mięsa!$P$2:$P$500,P14,TPS_mięsa!$G$2:$G$500)</f>
        <v>0</v>
      </c>
      <c r="T14" s="87">
        <f ca="1">SUMIF(TPS_mięsa!$P$2:$P$500,Q14,TPS_mięsa!$G$2:$G$500)</f>
        <v>0</v>
      </c>
      <c r="U14">
        <f t="shared" ca="1" si="4"/>
        <v>1</v>
      </c>
      <c r="W14" s="87">
        <f>SUMIF('Dane stany'!$J$5:$J$371,O14,'Dane stany'!$K$5:$K$371)</f>
        <v>4200</v>
      </c>
      <c r="X14" s="87">
        <f>SUMIF('Dane stany'!$J$5:$J$371,P14,'Dane stany'!$K$5:$K$371)</f>
        <v>0</v>
      </c>
      <c r="Y14" s="87">
        <f>SUMIF('Dane stany'!$J$5:$J$371,Q14,'Dane stany'!$K$5:$K$371)</f>
        <v>0</v>
      </c>
      <c r="Z14" s="87">
        <f>SUMIF('Dane stany'!$J$5:$J$371,AD14,'Dane stany'!$K$5:$K$371)</f>
        <v>0</v>
      </c>
      <c r="AA14" s="87">
        <f>SUMIF('Dane stany'!$J$5:$J$371,AE14,'Dane stany'!$K$5:$K$371)</f>
        <v>0</v>
      </c>
      <c r="AB14" s="257">
        <f t="shared" si="5"/>
        <v>4200</v>
      </c>
      <c r="AD14" s="243">
        <f t="shared" si="6"/>
        <v>9999</v>
      </c>
      <c r="AE14" s="243">
        <f t="shared" si="7"/>
        <v>9999</v>
      </c>
      <c r="AG14" s="87">
        <f>SUMIF(Rozbiór!$I$3:$I$300,O14,Rozbiór!$J$3:$J$300)</f>
        <v>0</v>
      </c>
      <c r="AH14" s="87">
        <f>SUMIF(Rozbiór!$I$3:$I$300,P14,Rozbiór!$J$3:$J$300)</f>
        <v>0</v>
      </c>
      <c r="AI14" s="87">
        <f>SUMIF(Rozbiór!$I$3:$I$300,Q14,Rozbiór!$J$3:$J$300)</f>
        <v>0</v>
      </c>
      <c r="AJ14" s="87">
        <f>SUMIF(Rozbiór!$I$3:$I$300,AD14,Rozbiór!$J$3:$J$300)</f>
        <v>0</v>
      </c>
      <c r="AK14" s="87">
        <f>SUMIF(Rozbiór!$I$3:$I$300,AE14,Rozbiór!$J$3:$J$300)</f>
        <v>0</v>
      </c>
      <c r="AL14" s="257">
        <f t="shared" si="8"/>
        <v>0</v>
      </c>
    </row>
    <row r="15" spans="2:38">
      <c r="B15" s="78" t="s">
        <v>11</v>
      </c>
      <c r="C15">
        <f ca="1">HLOOKUP(F15,'Receptury '!$DB$99:$GP$101,3,0)</f>
        <v>139</v>
      </c>
      <c r="D15">
        <f ca="1">HLOOKUP(G15,'Receptury '!$DB$99:$GP$101,3,0)</f>
        <v>140</v>
      </c>
      <c r="E15">
        <f ca="1">HLOOKUP(H15,'Receptury '!$DB$99:$GP$101,3,0)</f>
        <v>141</v>
      </c>
      <c r="F15" t="str">
        <f t="shared" si="0"/>
        <v>Podgardle _1</v>
      </c>
      <c r="G15" t="str">
        <f t="shared" si="1"/>
        <v>Podgardle _2</v>
      </c>
      <c r="H15" t="str">
        <f t="shared" si="2"/>
        <v>Podgardle _3</v>
      </c>
      <c r="J15" s="78">
        <v>7061</v>
      </c>
      <c r="M15" s="76" t="s">
        <v>17945</v>
      </c>
      <c r="N15" s="76" t="s">
        <v>8518</v>
      </c>
      <c r="O15" s="243">
        <f t="shared" si="9"/>
        <v>2206</v>
      </c>
      <c r="P15" s="243">
        <f t="shared" si="10"/>
        <v>2415</v>
      </c>
      <c r="Q15" s="243">
        <f t="shared" si="3"/>
        <v>9999</v>
      </c>
      <c r="R15" s="87">
        <f ca="1">SUMIF(TPS_mięsa!$P$2:$P$500,O15,TPS_mięsa!$G$2:$G$500)</f>
        <v>87.5</v>
      </c>
      <c r="S15" s="87">
        <f ca="1">SUMIF(TPS_mięsa!$P$2:$P$500,P15,TPS_mięsa!$G$2:$G$500)</f>
        <v>0</v>
      </c>
      <c r="T15" s="87">
        <f ca="1">SUMIF(TPS_mięsa!$P$2:$P$500,Q15,TPS_mięsa!$G$2:$G$500)</f>
        <v>0</v>
      </c>
      <c r="U15">
        <f t="shared" ca="1" si="4"/>
        <v>1</v>
      </c>
      <c r="W15" s="87">
        <f>SUMIF('Dane stany'!$J$5:$J$371,O15,'Dane stany'!$K$5:$K$371)</f>
        <v>87.5</v>
      </c>
      <c r="X15" s="87">
        <f>SUMIF('Dane stany'!$J$5:$J$371,P15,'Dane stany'!$K$5:$K$371)</f>
        <v>0</v>
      </c>
      <c r="Y15" s="87">
        <f>SUMIF('Dane stany'!$J$5:$J$371,Q15,'Dane stany'!$K$5:$K$371)</f>
        <v>0</v>
      </c>
      <c r="Z15" s="87">
        <f>SUMIF('Dane stany'!$J$5:$J$371,AD15,'Dane stany'!$K$5:$K$371)</f>
        <v>0</v>
      </c>
      <c r="AA15" s="87">
        <f>SUMIF('Dane stany'!$J$5:$J$371,AE15,'Dane stany'!$K$5:$K$371)</f>
        <v>0</v>
      </c>
      <c r="AB15" s="257">
        <f t="shared" si="5"/>
        <v>87.5</v>
      </c>
      <c r="AD15" s="243">
        <f t="shared" si="6"/>
        <v>9999</v>
      </c>
      <c r="AE15" s="243">
        <f t="shared" si="7"/>
        <v>9999</v>
      </c>
      <c r="AG15" s="87">
        <f>SUMIF(Rozbiór!$I$3:$I$300,O15,Rozbiór!$J$3:$J$300)</f>
        <v>3000</v>
      </c>
      <c r="AH15" s="87">
        <f>SUMIF(Rozbiór!$I$3:$I$300,P15,Rozbiór!$J$3:$J$300)</f>
        <v>0</v>
      </c>
      <c r="AI15" s="87">
        <f>SUMIF(Rozbiór!$I$3:$I$300,Q15,Rozbiór!$J$3:$J$300)</f>
        <v>0</v>
      </c>
      <c r="AJ15" s="87">
        <f>SUMIF(Rozbiór!$I$3:$I$300,AD15,Rozbiór!$J$3:$J$300)</f>
        <v>0</v>
      </c>
      <c r="AK15" s="87">
        <f>SUMIF(Rozbiór!$I$3:$I$300,AE15,Rozbiór!$J$3:$J$300)</f>
        <v>0</v>
      </c>
      <c r="AL15" s="257">
        <f t="shared" si="8"/>
        <v>3000</v>
      </c>
    </row>
    <row r="16" spans="2:38">
      <c r="B16" s="78" t="s">
        <v>12</v>
      </c>
      <c r="C16">
        <f ca="1">HLOOKUP(F16,'Receptury '!$DB$99:$GP$101,3,0)</f>
        <v>142</v>
      </c>
      <c r="D16">
        <f ca="1">HLOOKUP(G16,'Receptury '!$DB$99:$GP$101,3,0)</f>
        <v>143</v>
      </c>
      <c r="E16">
        <f ca="1">HLOOKUP(H16,'Receptury '!$DB$99:$GP$101,3,0)</f>
        <v>144</v>
      </c>
      <c r="F16" t="str">
        <f t="shared" si="0"/>
        <v>Skóry_1</v>
      </c>
      <c r="G16" t="str">
        <f t="shared" si="1"/>
        <v>Skóry_2</v>
      </c>
      <c r="H16" t="str">
        <f t="shared" si="2"/>
        <v>Skóry_3</v>
      </c>
      <c r="J16" s="78">
        <v>7064</v>
      </c>
      <c r="M16" s="76" t="s">
        <v>14682</v>
      </c>
      <c r="N16" s="76" t="s">
        <v>184</v>
      </c>
      <c r="O16" s="243">
        <f t="shared" si="9"/>
        <v>5010</v>
      </c>
      <c r="P16" s="243">
        <f t="shared" si="10"/>
        <v>5202</v>
      </c>
      <c r="Q16" s="243">
        <f t="shared" si="3"/>
        <v>9999</v>
      </c>
      <c r="R16" s="87">
        <f ca="1">SUMIF(TPS_mięsa!$P$2:$P$500,O16,TPS_mięsa!$G$2:$G$500)</f>
        <v>0</v>
      </c>
      <c r="S16" s="87">
        <f ca="1">SUMIF(TPS_mięsa!$P$2:$P$500,P16,TPS_mięsa!$G$2:$G$500)</f>
        <v>1573</v>
      </c>
      <c r="T16" s="87">
        <f ca="1">SUMIF(TPS_mięsa!$P$2:$P$500,Q16,TPS_mięsa!$G$2:$G$500)</f>
        <v>0</v>
      </c>
      <c r="U16">
        <f t="shared" ca="1" si="4"/>
        <v>1</v>
      </c>
      <c r="W16" s="87">
        <f>SUMIF('Dane stany'!$J$5:$J$371,O16,'Dane stany'!$K$5:$K$371)</f>
        <v>0</v>
      </c>
      <c r="X16" s="87">
        <f>SUMIF('Dane stany'!$J$5:$J$371,P16,'Dane stany'!$K$5:$K$371)</f>
        <v>1573</v>
      </c>
      <c r="Y16" s="87">
        <f>SUMIF('Dane stany'!$J$5:$J$371,Q16,'Dane stany'!$K$5:$K$371)</f>
        <v>0</v>
      </c>
      <c r="Z16" s="87">
        <f>SUMIF('Dane stany'!$J$5:$J$371,AD16,'Dane stany'!$K$5:$K$371)</f>
        <v>0</v>
      </c>
      <c r="AA16" s="87">
        <f>SUMIF('Dane stany'!$J$5:$J$371,AE16,'Dane stany'!$K$5:$K$371)</f>
        <v>0</v>
      </c>
      <c r="AB16" s="257">
        <f t="shared" si="5"/>
        <v>1573</v>
      </c>
      <c r="AD16" s="243">
        <f t="shared" si="6"/>
        <v>9999</v>
      </c>
      <c r="AE16" s="243">
        <f t="shared" si="7"/>
        <v>9999</v>
      </c>
      <c r="AG16" s="87">
        <f>SUMIF(Rozbiór!$I$3:$I$300,O16,Rozbiór!$J$3:$J$300)</f>
        <v>0</v>
      </c>
      <c r="AH16" s="87">
        <f>SUMIF(Rozbiór!$I$3:$I$300,P16,Rozbiór!$J$3:$J$300)</f>
        <v>0</v>
      </c>
      <c r="AI16" s="87">
        <f>SUMIF(Rozbiór!$I$3:$I$300,Q16,Rozbiór!$J$3:$J$300)</f>
        <v>0</v>
      </c>
      <c r="AJ16" s="87">
        <f>SUMIF(Rozbiór!$I$3:$I$300,AD16,Rozbiór!$J$3:$J$300)</f>
        <v>0</v>
      </c>
      <c r="AK16" s="87">
        <f>SUMIF(Rozbiór!$I$3:$I$300,AE16,Rozbiór!$J$3:$J$300)</f>
        <v>0</v>
      </c>
      <c r="AL16" s="257">
        <f t="shared" si="8"/>
        <v>0</v>
      </c>
    </row>
    <row r="17" spans="2:38">
      <c r="B17" s="78" t="s">
        <v>99</v>
      </c>
      <c r="C17">
        <f ca="1">HLOOKUP(F17,'Receptury '!$DB$99:$GP$101,3,0)</f>
        <v>145</v>
      </c>
      <c r="D17">
        <f ca="1">HLOOKUP(G17,'Receptury '!$DB$99:$GP$101,3,0)</f>
        <v>146</v>
      </c>
      <c r="E17">
        <f ca="1">HLOOKUP(H17,'Receptury '!$DB$99:$GP$101,3,0)</f>
        <v>147</v>
      </c>
      <c r="F17" t="str">
        <f t="shared" si="0"/>
        <v>Mieso 80/20 (5214)_1</v>
      </c>
      <c r="G17" t="str">
        <f t="shared" si="1"/>
        <v>Mieso 80/20 (5214)_2</v>
      </c>
      <c r="H17" t="str">
        <f t="shared" si="2"/>
        <v>Mieso 80/20 (5214)_3</v>
      </c>
      <c r="J17" s="78">
        <f>6419-6419</f>
        <v>0</v>
      </c>
      <c r="M17" s="76">
        <v>5856</v>
      </c>
      <c r="N17" s="76" t="s">
        <v>17874</v>
      </c>
      <c r="O17" s="243">
        <f t="shared" si="9"/>
        <v>5856</v>
      </c>
      <c r="P17" s="243">
        <f t="shared" si="10"/>
        <v>9999</v>
      </c>
      <c r="Q17" s="243">
        <f t="shared" si="3"/>
        <v>9999</v>
      </c>
      <c r="R17" s="87">
        <f ca="1">SUMIF(TPS_mięsa!$P$2:$P$500,O17,TPS_mięsa!$G$2:$G$500)</f>
        <v>0</v>
      </c>
      <c r="S17" s="87">
        <f ca="1">SUMIF(TPS_mięsa!$P$2:$P$500,P17,TPS_mięsa!$G$2:$G$500)</f>
        <v>0</v>
      </c>
      <c r="T17" s="87">
        <f ca="1">SUMIF(TPS_mięsa!$P$2:$P$500,Q17,TPS_mięsa!$G$2:$G$500)</f>
        <v>0</v>
      </c>
      <c r="U17">
        <f t="shared" ca="1" si="4"/>
        <v>0</v>
      </c>
      <c r="W17" s="87">
        <f>SUMIF('Dane stany'!$J$5:$J$371,O17,'Dane stany'!$K$5:$K$371)</f>
        <v>0</v>
      </c>
      <c r="X17" s="87">
        <f>SUMIF('Dane stany'!$J$5:$J$371,P17,'Dane stany'!$K$5:$K$371)</f>
        <v>0</v>
      </c>
      <c r="Y17" s="87">
        <f>SUMIF('Dane stany'!$J$5:$J$371,Q17,'Dane stany'!$K$5:$K$371)</f>
        <v>0</v>
      </c>
      <c r="Z17" s="87">
        <f>SUMIF('Dane stany'!$J$5:$J$371,AD17,'Dane stany'!$K$5:$K$371)</f>
        <v>0</v>
      </c>
      <c r="AA17" s="87">
        <f>SUMIF('Dane stany'!$J$5:$J$371,AE17,'Dane stany'!$K$5:$K$371)</f>
        <v>0</v>
      </c>
      <c r="AB17" s="257">
        <f t="shared" si="5"/>
        <v>0</v>
      </c>
      <c r="AD17" s="243">
        <f t="shared" si="6"/>
        <v>9999</v>
      </c>
      <c r="AE17" s="243">
        <f t="shared" si="7"/>
        <v>9999</v>
      </c>
      <c r="AG17" s="87">
        <f>SUMIF(Rozbiór!$I$3:$I$300,O17,Rozbiór!$J$3:$J$300)</f>
        <v>0</v>
      </c>
      <c r="AH17" s="87">
        <f>SUMIF(Rozbiór!$I$3:$I$300,P17,Rozbiór!$J$3:$J$300)</f>
        <v>0</v>
      </c>
      <c r="AI17" s="87">
        <f>SUMIF(Rozbiór!$I$3:$I$300,Q17,Rozbiór!$J$3:$J$300)</f>
        <v>0</v>
      </c>
      <c r="AJ17" s="87">
        <f>SUMIF(Rozbiór!$I$3:$I$300,AD17,Rozbiór!$J$3:$J$300)</f>
        <v>0</v>
      </c>
      <c r="AK17" s="87">
        <f>SUMIF(Rozbiór!$I$3:$I$300,AE17,Rozbiór!$J$3:$J$300)</f>
        <v>0</v>
      </c>
      <c r="AL17" s="257">
        <f t="shared" si="8"/>
        <v>0</v>
      </c>
    </row>
    <row r="18" spans="2:38">
      <c r="B18" s="78" t="s">
        <v>98</v>
      </c>
      <c r="C18">
        <f ca="1">HLOOKUP(F18,'Receptury '!$DB$99:$GP$101,3,0)</f>
        <v>148</v>
      </c>
      <c r="D18">
        <f ca="1">HLOOKUP(G18,'Receptury '!$DB$99:$GP$101,3,0)</f>
        <v>149</v>
      </c>
      <c r="E18">
        <f ca="1">HLOOKUP(H18,'Receptury '!$DB$99:$GP$101,3,0)</f>
        <v>150</v>
      </c>
      <c r="F18" t="str">
        <f t="shared" si="0"/>
        <v>Mieso 60/40 (5215)_1</v>
      </c>
      <c r="G18" t="str">
        <f t="shared" si="1"/>
        <v>Mieso 60/40 (5215)_2</v>
      </c>
      <c r="H18" t="str">
        <f t="shared" si="2"/>
        <v>Mieso 60/40 (5215)_3</v>
      </c>
      <c r="J18" s="78">
        <v>7077</v>
      </c>
      <c r="M18" s="76" t="s">
        <v>15959</v>
      </c>
      <c r="N18" s="76" t="s">
        <v>10</v>
      </c>
      <c r="O18" s="243">
        <f t="shared" si="9"/>
        <v>2314</v>
      </c>
      <c r="P18" s="243">
        <f t="shared" si="10"/>
        <v>2316</v>
      </c>
      <c r="Q18" s="243">
        <f t="shared" si="3"/>
        <v>2395</v>
      </c>
      <c r="R18" s="87">
        <f ca="1">SUMIF(TPS_mięsa!$P$2:$P$500,O18,TPS_mięsa!$G$2:$G$500)</f>
        <v>0</v>
      </c>
      <c r="S18" s="87">
        <f ca="1">SUMIF(TPS_mięsa!$P$2:$P$500,P18,TPS_mięsa!$G$2:$G$500)</f>
        <v>12788</v>
      </c>
      <c r="T18" s="87">
        <f ca="1">SUMIF(TPS_mięsa!$P$2:$P$500,Q18,TPS_mięsa!$G$2:$G$500)</f>
        <v>0</v>
      </c>
      <c r="U18">
        <f t="shared" ca="1" si="4"/>
        <v>1</v>
      </c>
      <c r="W18" s="87">
        <f>SUMIF('Dane stany'!$J$5:$J$371,O18,'Dane stany'!$K$5:$K$371)</f>
        <v>0</v>
      </c>
      <c r="X18" s="87">
        <f>SUMIF('Dane stany'!$J$5:$J$371,P18,'Dane stany'!$K$5:$K$371)</f>
        <v>12322.5</v>
      </c>
      <c r="Y18" s="87">
        <f>SUMIF('Dane stany'!$J$5:$J$371,Q18,'Dane stany'!$K$5:$K$371)</f>
        <v>0</v>
      </c>
      <c r="Z18" s="87">
        <f>SUMIF('Dane stany'!$J$5:$J$371,AD18,'Dane stany'!$K$5:$K$371)</f>
        <v>0</v>
      </c>
      <c r="AA18" s="87">
        <f>SUMIF('Dane stany'!$J$5:$J$371,AE18,'Dane stany'!$K$5:$K$371)</f>
        <v>0</v>
      </c>
      <c r="AB18" s="257">
        <f t="shared" si="5"/>
        <v>12322.5</v>
      </c>
      <c r="AD18" s="243">
        <f t="shared" si="6"/>
        <v>2303</v>
      </c>
      <c r="AE18" s="243">
        <f t="shared" si="7"/>
        <v>9999</v>
      </c>
      <c r="AG18" s="87">
        <f>SUMIF(Rozbiór!$I$3:$I$300,O18,Rozbiór!$J$3:$J$300)</f>
        <v>0</v>
      </c>
      <c r="AH18" s="87">
        <f>SUMIF(Rozbiór!$I$3:$I$300,P18,Rozbiór!$J$3:$J$300)</f>
        <v>5000</v>
      </c>
      <c r="AI18" s="87">
        <f>SUMIF(Rozbiór!$I$3:$I$300,Q18,Rozbiór!$J$3:$J$300)</f>
        <v>0</v>
      </c>
      <c r="AJ18" s="87">
        <f>SUMIF(Rozbiór!$I$3:$I$300,AD18,Rozbiór!$J$3:$J$300)</f>
        <v>0</v>
      </c>
      <c r="AK18" s="87">
        <f>SUMIF(Rozbiór!$I$3:$I$300,AE18,Rozbiór!$J$3:$J$300)</f>
        <v>0</v>
      </c>
      <c r="AL18" s="257">
        <f t="shared" si="8"/>
        <v>5000</v>
      </c>
    </row>
    <row r="19" spans="2:38">
      <c r="B19" s="78" t="s">
        <v>17876</v>
      </c>
      <c r="C19">
        <f ca="1">HLOOKUP(F19,'Receptury '!$DB$99:$GP$101,3,0)</f>
        <v>151</v>
      </c>
      <c r="D19">
        <f ca="1">HLOOKUP(G19,'Receptury '!$DB$99:$GP$101,3,0)</f>
        <v>152</v>
      </c>
      <c r="E19">
        <f ca="1">HLOOKUP(H19,'Receptury '!$DB$99:$GP$101,3,0)</f>
        <v>153</v>
      </c>
      <c r="F19" t="str">
        <f t="shared" si="0"/>
        <v>Indyk_1</v>
      </c>
      <c r="G19" t="str">
        <f t="shared" si="1"/>
        <v>Indyk_2</v>
      </c>
      <c r="H19" t="str">
        <f t="shared" si="2"/>
        <v>Indyk_3</v>
      </c>
      <c r="J19" s="78">
        <v>7078</v>
      </c>
      <c r="M19" s="76">
        <v>2003</v>
      </c>
      <c r="N19" s="76" t="s">
        <v>11</v>
      </c>
      <c r="O19" s="243">
        <f t="shared" si="9"/>
        <v>2003</v>
      </c>
      <c r="P19" s="243">
        <f t="shared" si="10"/>
        <v>9999</v>
      </c>
      <c r="Q19" s="243">
        <f t="shared" si="3"/>
        <v>9999</v>
      </c>
      <c r="R19" s="87">
        <f ca="1">SUMIF(TPS_mięsa!$P$2:$P$500,O19,TPS_mięsa!$G$2:$G$500)</f>
        <v>5121</v>
      </c>
      <c r="S19" s="87">
        <f ca="1">SUMIF(TPS_mięsa!$P$2:$P$500,P19,TPS_mięsa!$G$2:$G$500)</f>
        <v>0</v>
      </c>
      <c r="T19" s="87">
        <f ca="1">SUMIF(TPS_mięsa!$P$2:$P$500,Q19,TPS_mięsa!$G$2:$G$500)</f>
        <v>0</v>
      </c>
      <c r="U19">
        <f t="shared" ca="1" si="4"/>
        <v>1</v>
      </c>
      <c r="W19" s="87">
        <f>SUMIF('Dane stany'!$J$5:$J$371,O19,'Dane stany'!$K$5:$K$371)</f>
        <v>4430</v>
      </c>
      <c r="X19" s="87">
        <f>SUMIF('Dane stany'!$J$5:$J$371,P19,'Dane stany'!$K$5:$K$371)</f>
        <v>0</v>
      </c>
      <c r="Y19" s="87">
        <f>SUMIF('Dane stany'!$J$5:$J$371,Q19,'Dane stany'!$K$5:$K$371)</f>
        <v>0</v>
      </c>
      <c r="Z19" s="87">
        <f>SUMIF('Dane stany'!$J$5:$J$371,AD19,'Dane stany'!$K$5:$K$371)</f>
        <v>0</v>
      </c>
      <c r="AA19" s="87">
        <f>SUMIF('Dane stany'!$J$5:$J$371,AE19,'Dane stany'!$K$5:$K$371)</f>
        <v>0</v>
      </c>
      <c r="AB19" s="257">
        <f t="shared" si="5"/>
        <v>4430</v>
      </c>
      <c r="AD19" s="243">
        <f t="shared" si="6"/>
        <v>9999</v>
      </c>
      <c r="AE19" s="243">
        <f t="shared" si="7"/>
        <v>9999</v>
      </c>
      <c r="AG19" s="87">
        <f>SUMIF(Rozbiór!$I$3:$I$300,O19,Rozbiór!$J$3:$J$300)</f>
        <v>3400</v>
      </c>
      <c r="AH19" s="87">
        <f>SUMIF(Rozbiór!$I$3:$I$300,P19,Rozbiór!$J$3:$J$300)</f>
        <v>0</v>
      </c>
      <c r="AI19" s="87">
        <f>SUMIF(Rozbiór!$I$3:$I$300,Q19,Rozbiór!$J$3:$J$300)</f>
        <v>0</v>
      </c>
      <c r="AJ19" s="87">
        <f>SUMIF(Rozbiór!$I$3:$I$300,AD19,Rozbiór!$J$3:$J$300)</f>
        <v>0</v>
      </c>
      <c r="AK19" s="87">
        <f>SUMIF(Rozbiór!$I$3:$I$300,AE19,Rozbiór!$J$3:$J$300)</f>
        <v>0</v>
      </c>
      <c r="AL19" s="257">
        <f t="shared" si="8"/>
        <v>3400</v>
      </c>
    </row>
    <row r="20" spans="2:38">
      <c r="B20" s="78" t="s">
        <v>97</v>
      </c>
      <c r="C20">
        <f ca="1">HLOOKUP(F20,'Receptury '!$DB$99:$GP$101,3,0)</f>
        <v>154</v>
      </c>
      <c r="D20">
        <f ca="1">HLOOKUP(G20,'Receptury '!$DB$99:$GP$101,3,0)</f>
        <v>155</v>
      </c>
      <c r="E20">
        <f ca="1">HLOOKUP(H20,'Receptury '!$DB$99:$GP$101,3,0)</f>
        <v>156</v>
      </c>
      <c r="F20" t="str">
        <f t="shared" si="0"/>
        <v>Mieso 90/10 (5226)_1</v>
      </c>
      <c r="G20" t="str">
        <f t="shared" si="1"/>
        <v>Mieso 90/10 (5226)_2</v>
      </c>
      <c r="H20" t="str">
        <f t="shared" si="2"/>
        <v>Mieso 90/10 (5226)_3</v>
      </c>
      <c r="J20" s="78">
        <v>6629</v>
      </c>
      <c r="M20" s="76" t="s">
        <v>18765</v>
      </c>
      <c r="N20" s="76" t="s">
        <v>17876</v>
      </c>
      <c r="O20" s="243">
        <f t="shared" si="9"/>
        <v>3020</v>
      </c>
      <c r="P20" s="243">
        <f t="shared" si="10"/>
        <v>3022</v>
      </c>
      <c r="Q20" s="243">
        <f t="shared" si="3"/>
        <v>9999</v>
      </c>
      <c r="R20" s="87">
        <f ca="1">SUMIF(TPS_mięsa!$P$2:$P$500,O20,TPS_mięsa!$G$2:$G$500)</f>
        <v>1182</v>
      </c>
      <c r="S20" s="87">
        <f ca="1">SUMIF(TPS_mięsa!$P$2:$P$500,P20,TPS_mięsa!$G$2:$G$500)</f>
        <v>2010</v>
      </c>
      <c r="T20" s="87">
        <f ca="1">SUMIF(TPS_mięsa!$P$2:$P$500,Q20,TPS_mięsa!$G$2:$G$500)</f>
        <v>0</v>
      </c>
      <c r="U20">
        <f t="shared" ca="1" si="4"/>
        <v>2</v>
      </c>
      <c r="W20" s="87">
        <f>SUMIF('Dane stany'!$J$5:$J$371,O20,'Dane stany'!$K$5:$K$371)</f>
        <v>1182</v>
      </c>
      <c r="X20" s="87">
        <f>SUMIF('Dane stany'!$J$5:$J$371,P20,'Dane stany'!$K$5:$K$371)</f>
        <v>2810</v>
      </c>
      <c r="Y20" s="87">
        <f>SUMIF('Dane stany'!$J$5:$J$371,Q20,'Dane stany'!$K$5:$K$371)</f>
        <v>0</v>
      </c>
      <c r="Z20" s="87">
        <f>SUMIF('Dane stany'!$J$5:$J$371,AD20,'Dane stany'!$K$5:$K$371)</f>
        <v>0</v>
      </c>
      <c r="AA20" s="87">
        <f>SUMIF('Dane stany'!$J$5:$J$371,AE20,'Dane stany'!$K$5:$K$371)</f>
        <v>0</v>
      </c>
      <c r="AB20" s="257">
        <f t="shared" si="5"/>
        <v>3992</v>
      </c>
      <c r="AD20" s="243">
        <f t="shared" si="6"/>
        <v>9999</v>
      </c>
      <c r="AE20" s="243">
        <f t="shared" si="7"/>
        <v>9999</v>
      </c>
      <c r="AG20" s="87">
        <f>SUMIF(Rozbiór!$I$3:$I$300,O20,Rozbiór!$J$3:$J$300)</f>
        <v>0</v>
      </c>
      <c r="AH20" s="87">
        <f>SUMIF(Rozbiór!$I$3:$I$300,P20,Rozbiór!$J$3:$J$300)</f>
        <v>0</v>
      </c>
      <c r="AI20" s="87">
        <f>SUMIF(Rozbiór!$I$3:$I$300,Q20,Rozbiór!$J$3:$J$300)</f>
        <v>0</v>
      </c>
      <c r="AJ20" s="87">
        <f>SUMIF(Rozbiór!$I$3:$I$300,AD20,Rozbiór!$J$3:$J$300)</f>
        <v>0</v>
      </c>
      <c r="AK20" s="87">
        <f>SUMIF(Rozbiór!$I$3:$I$300,AE20,Rozbiór!$J$3:$J$300)</f>
        <v>0</v>
      </c>
      <c r="AL20" s="257">
        <f t="shared" si="8"/>
        <v>0</v>
      </c>
    </row>
    <row r="21" spans="2:38">
      <c r="B21" s="78" t="s">
        <v>184</v>
      </c>
      <c r="C21">
        <f ca="1">HLOOKUP(F21,'Receptury '!$DB$99:$GP$101,3,0)</f>
        <v>157</v>
      </c>
      <c r="D21">
        <f ca="1">HLOOKUP(G21,'Receptury '!$DB$99:$GP$101,3,0)</f>
        <v>158</v>
      </c>
      <c r="E21">
        <f ca="1">HLOOKUP(H21,'Receptury '!$DB$99:$GP$101,3,0)</f>
        <v>159</v>
      </c>
      <c r="F21" t="str">
        <f t="shared" si="0"/>
        <v>3A Peklowana 1,5%_1</v>
      </c>
      <c r="G21" t="str">
        <f t="shared" si="1"/>
        <v>3A Peklowana 1,5%_2</v>
      </c>
      <c r="H21" t="str">
        <f t="shared" si="2"/>
        <v>3A Peklowana 1,5%_3</v>
      </c>
      <c r="J21" s="78">
        <v>6486</v>
      </c>
      <c r="M21" s="76">
        <v>5226</v>
      </c>
      <c r="N21" s="76" t="s">
        <v>97</v>
      </c>
      <c r="O21" s="243">
        <f t="shared" si="9"/>
        <v>5226</v>
      </c>
      <c r="P21" s="243">
        <f t="shared" si="10"/>
        <v>9999</v>
      </c>
      <c r="Q21" s="243">
        <f t="shared" si="3"/>
        <v>9999</v>
      </c>
      <c r="R21" s="87">
        <f ca="1">SUMIF(TPS_mięsa!$P$2:$P$500,O21,TPS_mięsa!$G$2:$G$500)</f>
        <v>4603</v>
      </c>
      <c r="S21" s="87">
        <f ca="1">SUMIF(TPS_mięsa!$P$2:$P$500,P21,TPS_mięsa!$G$2:$G$500)</f>
        <v>0</v>
      </c>
      <c r="T21" s="87">
        <f ca="1">SUMIF(TPS_mięsa!$P$2:$P$500,Q21,TPS_mięsa!$G$2:$G$500)</f>
        <v>0</v>
      </c>
      <c r="U21">
        <f t="shared" ca="1" si="4"/>
        <v>1</v>
      </c>
      <c r="W21" s="87">
        <f>SUMIF('Dane stany'!$J$5:$J$371,O21,'Dane stany'!$K$5:$K$371)</f>
        <v>0</v>
      </c>
      <c r="X21" s="87">
        <f>SUMIF('Dane stany'!$J$5:$J$371,P21,'Dane stany'!$K$5:$K$371)</f>
        <v>0</v>
      </c>
      <c r="Y21" s="87">
        <f>SUMIF('Dane stany'!$J$5:$J$371,Q21,'Dane stany'!$K$5:$K$371)</f>
        <v>0</v>
      </c>
      <c r="Z21" s="87">
        <f>SUMIF('Dane stany'!$J$5:$J$371,AD21,'Dane stany'!$K$5:$K$371)</f>
        <v>0</v>
      </c>
      <c r="AA21" s="87">
        <f>SUMIF('Dane stany'!$J$5:$J$371,AE21,'Dane stany'!$K$5:$K$371)</f>
        <v>0</v>
      </c>
      <c r="AB21" s="257">
        <f t="shared" si="5"/>
        <v>0</v>
      </c>
      <c r="AD21" s="243">
        <f t="shared" si="6"/>
        <v>9999</v>
      </c>
      <c r="AE21" s="243">
        <f t="shared" si="7"/>
        <v>9999</v>
      </c>
      <c r="AG21" s="87">
        <f>SUMIF(Rozbiór!$I$3:$I$300,O21,Rozbiór!$J$3:$J$300)</f>
        <v>0</v>
      </c>
      <c r="AH21" s="87">
        <f>SUMIF(Rozbiór!$I$3:$I$300,P21,Rozbiór!$J$3:$J$300)</f>
        <v>0</v>
      </c>
      <c r="AI21" s="87">
        <f>SUMIF(Rozbiór!$I$3:$I$300,Q21,Rozbiór!$J$3:$J$300)</f>
        <v>0</v>
      </c>
      <c r="AJ21" s="87">
        <f>SUMIF(Rozbiór!$I$3:$I$300,AD21,Rozbiór!$J$3:$J$300)</f>
        <v>0</v>
      </c>
      <c r="AK21" s="87">
        <f>SUMIF(Rozbiór!$I$3:$I$300,AE21,Rozbiór!$J$3:$J$300)</f>
        <v>0</v>
      </c>
      <c r="AL21" s="257">
        <f t="shared" si="8"/>
        <v>0</v>
      </c>
    </row>
    <row r="22" spans="2:38">
      <c r="B22" s="78" t="s">
        <v>17322</v>
      </c>
      <c r="C22">
        <f ca="1">HLOOKUP(F22,'Receptury '!$DB$99:$GP$101,3,0)</f>
        <v>160</v>
      </c>
      <c r="D22">
        <f ca="1">HLOOKUP(G22,'Receptury '!$DB$99:$GP$101,3,0)</f>
        <v>161</v>
      </c>
      <c r="E22">
        <f ca="1">HLOOKUP(H22,'Receptury '!$DB$99:$GP$101,3,0)</f>
        <v>162</v>
      </c>
      <c r="F22" t="str">
        <f t="shared" si="0"/>
        <v>Mięso kl. 4M_1</v>
      </c>
      <c r="G22" t="str">
        <f t="shared" si="1"/>
        <v>Mięso kl. 4M_2</v>
      </c>
      <c r="H22" t="str">
        <f t="shared" si="2"/>
        <v>Mięso kl. 4M_3</v>
      </c>
      <c r="J22" s="78">
        <v>6479</v>
      </c>
      <c r="M22" s="76">
        <v>52264000</v>
      </c>
      <c r="N22" s="76" t="s">
        <v>191</v>
      </c>
      <c r="O22" s="260">
        <f>IFERROR(MID($M22,1,8)*1,9999)*1</f>
        <v>52264000</v>
      </c>
      <c r="P22" s="260">
        <v>9999</v>
      </c>
      <c r="Q22" s="243">
        <f t="shared" si="3"/>
        <v>9999</v>
      </c>
      <c r="R22" s="87">
        <f ca="1">SUMIF(TPS_mięsa!$P$2:$P$500,O22,TPS_mięsa!$G$2:$G$500)</f>
        <v>0</v>
      </c>
      <c r="S22" s="87">
        <f ca="1">SUMIF(TPS_mięsa!$P$2:$P$500,P22,TPS_mięsa!$G$2:$G$500)</f>
        <v>0</v>
      </c>
      <c r="T22" s="87">
        <f ca="1">SUMIF(TPS_mięsa!$P$2:$P$500,Q22,TPS_mięsa!$G$2:$G$500)</f>
        <v>0</v>
      </c>
      <c r="U22">
        <f t="shared" ca="1" si="4"/>
        <v>0</v>
      </c>
      <c r="W22" s="87">
        <f>SUMIF('Dane stany'!$J$5:$J$371,O22,'Dane stany'!$K$5:$K$371)</f>
        <v>4603</v>
      </c>
      <c r="X22" s="87">
        <f>SUMIF('Dane stany'!$J$5:$J$371,P22,'Dane stany'!$K$5:$K$371)</f>
        <v>0</v>
      </c>
      <c r="Y22" s="87">
        <f>SUMIF('Dane stany'!$J$5:$J$371,Q22,'Dane stany'!$K$5:$K$371)</f>
        <v>0</v>
      </c>
      <c r="Z22" s="87">
        <f>SUMIF('Dane stany'!$J$5:$J$371,AD22,'Dane stany'!$K$5:$K$371)</f>
        <v>0</v>
      </c>
      <c r="AA22" s="87">
        <f>SUMIF('Dane stany'!$J$5:$J$371,AE22,'Dane stany'!$K$5:$K$371)</f>
        <v>0</v>
      </c>
      <c r="AB22" s="257">
        <f t="shared" si="5"/>
        <v>4603</v>
      </c>
      <c r="AD22" s="243">
        <f t="shared" si="6"/>
        <v>9999</v>
      </c>
      <c r="AE22" s="243">
        <f t="shared" si="7"/>
        <v>9999</v>
      </c>
      <c r="AG22" s="87">
        <f>SUMIF(Rozbiór!$I$3:$I$300,O22,Rozbiór!$J$3:$J$300)</f>
        <v>0</v>
      </c>
      <c r="AH22" s="87">
        <f>SUMIF(Rozbiór!$I$3:$I$300,P22,Rozbiór!$J$3:$J$300)</f>
        <v>0</v>
      </c>
      <c r="AI22" s="87">
        <f>SUMIF(Rozbiór!$I$3:$I$300,Q22,Rozbiór!$J$3:$J$300)</f>
        <v>0</v>
      </c>
      <c r="AJ22" s="87">
        <f>SUMIF(Rozbiór!$I$3:$I$300,AD22,Rozbiór!$J$3:$J$300)</f>
        <v>0</v>
      </c>
      <c r="AK22" s="87">
        <f>SUMIF(Rozbiór!$I$3:$I$300,AE22,Rozbiór!$J$3:$J$300)</f>
        <v>0</v>
      </c>
      <c r="AL22" s="257">
        <f t="shared" si="8"/>
        <v>0</v>
      </c>
    </row>
    <row r="23" spans="2:38">
      <c r="B23" s="78" t="s">
        <v>185</v>
      </c>
      <c r="C23">
        <f ca="1">HLOOKUP(F23,'Receptury '!$DB$99:$GP$101,3,0)</f>
        <v>163</v>
      </c>
      <c r="D23">
        <f ca="1">HLOOKUP(G23,'Receptury '!$DB$99:$GP$101,3,0)</f>
        <v>164</v>
      </c>
      <c r="E23">
        <f ca="1">HLOOKUP(H23,'Receptury '!$DB$99:$GP$101,3,0)</f>
        <v>165</v>
      </c>
      <c r="F23" t="str">
        <f t="shared" si="0"/>
        <v>Mięso 90/10 (5025)  _1</v>
      </c>
      <c r="G23" t="str">
        <f t="shared" si="1"/>
        <v>Mięso 90/10 (5025)  _2</v>
      </c>
      <c r="H23" t="str">
        <f t="shared" si="2"/>
        <v>Mięso 90/10 (5025)  _3</v>
      </c>
      <c r="J23" s="78">
        <v>6599</v>
      </c>
      <c r="M23" s="76">
        <v>5306</v>
      </c>
      <c r="N23" s="76" t="s">
        <v>17987</v>
      </c>
      <c r="O23" s="243">
        <f t="shared" si="9"/>
        <v>5306</v>
      </c>
      <c r="P23" s="243">
        <f t="shared" si="10"/>
        <v>9999</v>
      </c>
      <c r="Q23" s="243">
        <f t="shared" si="3"/>
        <v>9999</v>
      </c>
      <c r="R23" s="87">
        <f ca="1">SUMIF(TPS_mięsa!$P$2:$P$500,O23,TPS_mięsa!$G$2:$G$500)</f>
        <v>4048.5</v>
      </c>
      <c r="S23" s="87">
        <f ca="1">SUMIF(TPS_mięsa!$P$2:$P$500,P23,TPS_mięsa!$G$2:$G$500)</f>
        <v>0</v>
      </c>
      <c r="T23" s="87">
        <f ca="1">SUMIF(TPS_mięsa!$P$2:$P$500,Q23,TPS_mięsa!$G$2:$G$500)</f>
        <v>0</v>
      </c>
      <c r="U23">
        <f t="shared" ca="1" si="4"/>
        <v>1</v>
      </c>
      <c r="W23" s="87">
        <f>SUMIF('Dane stany'!$J$5:$J$371,O23,'Dane stany'!$K$5:$K$371)</f>
        <v>5353.5</v>
      </c>
      <c r="X23" s="87">
        <f>SUMIF('Dane stany'!$J$5:$J$371,P23,'Dane stany'!$K$5:$K$371)</f>
        <v>0</v>
      </c>
      <c r="Y23" s="87">
        <f>SUMIF('Dane stany'!$J$5:$J$371,Q23,'Dane stany'!$K$5:$K$371)</f>
        <v>0</v>
      </c>
      <c r="Z23" s="87">
        <f>SUMIF('Dane stany'!$J$5:$J$371,AD23,'Dane stany'!$K$5:$K$371)</f>
        <v>0</v>
      </c>
      <c r="AA23" s="87">
        <f>SUMIF('Dane stany'!$J$5:$J$371,AE23,'Dane stany'!$K$5:$K$371)</f>
        <v>0</v>
      </c>
      <c r="AB23" s="257">
        <f t="shared" si="5"/>
        <v>5353.5</v>
      </c>
      <c r="AD23" s="243">
        <f t="shared" si="6"/>
        <v>9999</v>
      </c>
      <c r="AE23" s="243">
        <f t="shared" si="7"/>
        <v>9999</v>
      </c>
      <c r="AG23" s="87">
        <f>SUMIF(Rozbiór!$I$3:$I$300,O23,Rozbiór!$J$3:$J$300)</f>
        <v>0</v>
      </c>
      <c r="AH23" s="87">
        <f>SUMIF(Rozbiór!$I$3:$I$300,P23,Rozbiór!$J$3:$J$300)</f>
        <v>0</v>
      </c>
      <c r="AI23" s="87">
        <f>SUMIF(Rozbiór!$I$3:$I$300,Q23,Rozbiór!$J$3:$J$300)</f>
        <v>0</v>
      </c>
      <c r="AJ23" s="87">
        <f>SUMIF(Rozbiór!$I$3:$I$300,AD23,Rozbiór!$J$3:$J$300)</f>
        <v>0</v>
      </c>
      <c r="AK23" s="87">
        <f>SUMIF(Rozbiór!$I$3:$I$300,AE23,Rozbiór!$J$3:$J$300)</f>
        <v>0</v>
      </c>
      <c r="AL23" s="257">
        <f t="shared" si="8"/>
        <v>0</v>
      </c>
    </row>
    <row r="24" spans="2:38">
      <c r="B24" s="78" t="s">
        <v>96</v>
      </c>
      <c r="C24">
        <f ca="1">HLOOKUP(F24,'Receptury '!$DB$99:$GP$101,3,0)</f>
        <v>166</v>
      </c>
      <c r="D24">
        <f ca="1">HLOOKUP(G24,'Receptury '!$DB$99:$GP$101,3,0)</f>
        <v>167</v>
      </c>
      <c r="E24">
        <f ca="1">HLOOKUP(H24,'Receptury '!$DB$99:$GP$101,3,0)</f>
        <v>168</v>
      </c>
      <c r="F24" t="str">
        <f t="shared" si="0"/>
        <v>Mieszanka (5022) _1</v>
      </c>
      <c r="G24" t="str">
        <f t="shared" si="1"/>
        <v>Mieszanka (5022) _2</v>
      </c>
      <c r="H24" t="str">
        <f t="shared" si="2"/>
        <v>Mieszanka (5022) _3</v>
      </c>
      <c r="J24" s="78">
        <v>6579</v>
      </c>
      <c r="M24" s="76">
        <v>2223</v>
      </c>
      <c r="N24" s="76" t="s">
        <v>17322</v>
      </c>
      <c r="O24" s="243">
        <f t="shared" si="9"/>
        <v>2223</v>
      </c>
      <c r="P24" s="243">
        <f t="shared" si="10"/>
        <v>9999</v>
      </c>
      <c r="Q24" s="243">
        <f t="shared" si="3"/>
        <v>9999</v>
      </c>
      <c r="R24" s="87">
        <f ca="1">SUMIF(TPS_mięsa!$P$2:$P$500,O24,TPS_mięsa!$G$2:$G$500)</f>
        <v>1836</v>
      </c>
      <c r="S24" s="87">
        <f ca="1">SUMIF(TPS_mięsa!$P$2:$P$500,P24,TPS_mięsa!$G$2:$G$500)</f>
        <v>0</v>
      </c>
      <c r="T24" s="87">
        <f ca="1">SUMIF(TPS_mięsa!$P$2:$P$500,Q24,TPS_mięsa!$G$2:$G$500)</f>
        <v>0</v>
      </c>
      <c r="U24">
        <f t="shared" ca="1" si="4"/>
        <v>1</v>
      </c>
      <c r="W24" s="87">
        <f>SUMIF('Dane stany'!$J$5:$J$371,O24,'Dane stany'!$K$5:$K$371)</f>
        <v>0</v>
      </c>
      <c r="X24" s="87">
        <f>SUMIF('Dane stany'!$J$5:$J$371,P24,'Dane stany'!$K$5:$K$371)</f>
        <v>0</v>
      </c>
      <c r="Y24" s="87">
        <f>SUMIF('Dane stany'!$J$5:$J$371,Q24,'Dane stany'!$K$5:$K$371)</f>
        <v>0</v>
      </c>
      <c r="Z24" s="87">
        <f>SUMIF('Dane stany'!$J$5:$J$371,AD24,'Dane stany'!$K$5:$K$371)</f>
        <v>0</v>
      </c>
      <c r="AA24" s="87">
        <f>SUMIF('Dane stany'!$J$5:$J$371,AE24,'Dane stany'!$K$5:$K$371)</f>
        <v>0</v>
      </c>
      <c r="AB24" s="257">
        <f t="shared" si="5"/>
        <v>0</v>
      </c>
      <c r="AD24" s="243">
        <f t="shared" si="6"/>
        <v>9999</v>
      </c>
      <c r="AE24" s="243">
        <f t="shared" si="7"/>
        <v>9999</v>
      </c>
      <c r="AG24" s="87">
        <f>SUMIF(Rozbiór!$I$3:$I$300,O24,Rozbiór!$J$3:$J$300)</f>
        <v>0</v>
      </c>
      <c r="AH24" s="87">
        <f>SUMIF(Rozbiór!$I$3:$I$300,P24,Rozbiór!$J$3:$J$300)</f>
        <v>0</v>
      </c>
      <c r="AI24" s="87">
        <f>SUMIF(Rozbiór!$I$3:$I$300,Q24,Rozbiór!$J$3:$J$300)</f>
        <v>0</v>
      </c>
      <c r="AJ24" s="87">
        <f>SUMIF(Rozbiór!$I$3:$I$300,AD24,Rozbiór!$J$3:$J$300)</f>
        <v>0</v>
      </c>
      <c r="AK24" s="87">
        <f>SUMIF(Rozbiór!$I$3:$I$300,AE24,Rozbiór!$J$3:$J$300)</f>
        <v>0</v>
      </c>
      <c r="AL24" s="257">
        <f t="shared" si="8"/>
        <v>0</v>
      </c>
    </row>
    <row r="25" spans="2:38">
      <c r="B25" s="78" t="s">
        <v>13</v>
      </c>
      <c r="C25">
        <f ca="1">HLOOKUP(F25,'Receptury '!$DB$99:$GP$101,3,0)</f>
        <v>169</v>
      </c>
      <c r="D25">
        <f ca="1">HLOOKUP(G25,'Receptury '!$DB$99:$GP$101,3,0)</f>
        <v>170</v>
      </c>
      <c r="E25">
        <f ca="1">HLOOKUP(H25,'Receptury '!$DB$99:$GP$101,3,0)</f>
        <v>171</v>
      </c>
      <c r="F25" t="str">
        <f t="shared" si="0"/>
        <v>Emulsja _1</v>
      </c>
      <c r="G25" t="str">
        <f t="shared" si="1"/>
        <v>Emulsja _2</v>
      </c>
      <c r="H25" t="str">
        <f t="shared" si="2"/>
        <v>Emulsja _3</v>
      </c>
      <c r="J25" s="78">
        <v>6699</v>
      </c>
      <c r="M25" s="76">
        <v>5025</v>
      </c>
      <c r="N25" s="76" t="s">
        <v>185</v>
      </c>
      <c r="O25" s="243">
        <f t="shared" si="9"/>
        <v>5025</v>
      </c>
      <c r="P25" s="243">
        <f t="shared" si="10"/>
        <v>9999</v>
      </c>
      <c r="Q25" s="243">
        <f t="shared" si="3"/>
        <v>9999</v>
      </c>
      <c r="R25" s="87">
        <f ca="1">SUMIF(TPS_mięsa!$P$2:$P$500,O25,TPS_mięsa!$G$2:$G$500)</f>
        <v>0</v>
      </c>
      <c r="S25" s="87">
        <f ca="1">SUMIF(TPS_mięsa!$P$2:$P$500,P25,TPS_mięsa!$G$2:$G$500)</f>
        <v>0</v>
      </c>
      <c r="T25" s="87">
        <f ca="1">SUMIF(TPS_mięsa!$P$2:$P$500,Q25,TPS_mięsa!$G$2:$G$500)</f>
        <v>0</v>
      </c>
      <c r="U25">
        <f t="shared" ca="1" si="4"/>
        <v>0</v>
      </c>
      <c r="W25" s="87">
        <f>SUMIF('Dane stany'!$J$5:$J$371,O25,'Dane stany'!$K$5:$K$371)</f>
        <v>0</v>
      </c>
      <c r="X25" s="87">
        <f>SUMIF('Dane stany'!$J$5:$J$371,P25,'Dane stany'!$K$5:$K$371)</f>
        <v>0</v>
      </c>
      <c r="Y25" s="87">
        <f>SUMIF('Dane stany'!$J$5:$J$371,Q25,'Dane stany'!$K$5:$K$371)</f>
        <v>0</v>
      </c>
      <c r="Z25" s="87">
        <f>SUMIF('Dane stany'!$J$5:$J$371,AD25,'Dane stany'!$K$5:$K$371)</f>
        <v>0</v>
      </c>
      <c r="AA25" s="87">
        <f>SUMIF('Dane stany'!$J$5:$J$371,AE25,'Dane stany'!$K$5:$K$371)</f>
        <v>0</v>
      </c>
      <c r="AB25" s="257">
        <f t="shared" si="5"/>
        <v>0</v>
      </c>
      <c r="AD25" s="243">
        <f t="shared" si="6"/>
        <v>9999</v>
      </c>
      <c r="AE25" s="243">
        <f t="shared" si="7"/>
        <v>9999</v>
      </c>
      <c r="AG25" s="87">
        <f>SUMIF(Rozbiór!$I$3:$I$300,O25,Rozbiór!$J$3:$J$300)</f>
        <v>0</v>
      </c>
      <c r="AH25" s="87">
        <f>SUMIF(Rozbiór!$I$3:$I$300,P25,Rozbiór!$J$3:$J$300)</f>
        <v>0</v>
      </c>
      <c r="AI25" s="87">
        <f>SUMIF(Rozbiór!$I$3:$I$300,Q25,Rozbiór!$J$3:$J$300)</f>
        <v>0</v>
      </c>
      <c r="AJ25" s="87">
        <f>SUMIF(Rozbiór!$I$3:$I$300,AD25,Rozbiór!$J$3:$J$300)</f>
        <v>0</v>
      </c>
      <c r="AK25" s="87">
        <f>SUMIF(Rozbiór!$I$3:$I$300,AE25,Rozbiór!$J$3:$J$300)</f>
        <v>0</v>
      </c>
      <c r="AL25" s="257">
        <f t="shared" si="8"/>
        <v>0</v>
      </c>
    </row>
    <row r="26" spans="2:38">
      <c r="B26" s="78" t="s">
        <v>17977</v>
      </c>
      <c r="C26">
        <f ca="1">HLOOKUP(F26,'Receptury '!$DB$99:$GP$101,3,0)</f>
        <v>172</v>
      </c>
      <c r="D26">
        <f ca="1">HLOOKUP(G26,'Receptury '!$DB$99:$GP$101,3,0)</f>
        <v>173</v>
      </c>
      <c r="E26">
        <f ca="1">HLOOKUP(H26,'Receptury '!$DB$99:$GP$101,3,0)</f>
        <v>174</v>
      </c>
      <c r="F26" t="str">
        <f t="shared" si="0"/>
        <v>Udo_1</v>
      </c>
      <c r="G26" t="str">
        <f t="shared" si="1"/>
        <v>Udo_2</v>
      </c>
      <c r="H26" t="str">
        <f t="shared" si="2"/>
        <v>Udo_3</v>
      </c>
      <c r="J26" s="78">
        <v>7910</v>
      </c>
      <c r="M26" s="76">
        <v>5022</v>
      </c>
      <c r="N26" s="76" t="s">
        <v>96</v>
      </c>
      <c r="O26" s="243">
        <f t="shared" si="9"/>
        <v>5022</v>
      </c>
      <c r="P26" s="243">
        <f t="shared" si="10"/>
        <v>9999</v>
      </c>
      <c r="Q26" s="243">
        <f t="shared" si="3"/>
        <v>9999</v>
      </c>
      <c r="R26" s="87">
        <f ca="1">SUMIF(TPS_mięsa!$P$2:$P$500,O26,TPS_mięsa!$G$2:$G$500)</f>
        <v>3983</v>
      </c>
      <c r="S26" s="87">
        <f ca="1">SUMIF(TPS_mięsa!$P$2:$P$500,P26,TPS_mięsa!$G$2:$G$500)</f>
        <v>0</v>
      </c>
      <c r="T26" s="87">
        <f ca="1">SUMIF(TPS_mięsa!$P$2:$P$500,Q26,TPS_mięsa!$G$2:$G$500)</f>
        <v>0</v>
      </c>
      <c r="U26">
        <f t="shared" ca="1" si="4"/>
        <v>1</v>
      </c>
      <c r="W26" s="87">
        <f>SUMIF('Dane stany'!$J$5:$J$371,O26,'Dane stany'!$K$5:$K$371)</f>
        <v>3983</v>
      </c>
      <c r="X26" s="87">
        <f>SUMIF('Dane stany'!$J$5:$J$371,P26,'Dane stany'!$K$5:$K$371)</f>
        <v>0</v>
      </c>
      <c r="Y26" s="87">
        <f>SUMIF('Dane stany'!$J$5:$J$371,Q26,'Dane stany'!$K$5:$K$371)</f>
        <v>0</v>
      </c>
      <c r="Z26" s="87">
        <f>SUMIF('Dane stany'!$J$5:$J$371,AD26,'Dane stany'!$K$5:$K$371)</f>
        <v>0</v>
      </c>
      <c r="AA26" s="87">
        <f>SUMIF('Dane stany'!$J$5:$J$371,AE26,'Dane stany'!$K$5:$K$371)</f>
        <v>0</v>
      </c>
      <c r="AB26" s="257">
        <f t="shared" si="5"/>
        <v>3983</v>
      </c>
      <c r="AD26" s="243">
        <f t="shared" si="6"/>
        <v>9999</v>
      </c>
      <c r="AE26" s="243">
        <f t="shared" si="7"/>
        <v>9999</v>
      </c>
      <c r="AG26" s="87">
        <f>SUMIF(Rozbiór!$I$3:$I$300,O26,Rozbiór!$J$3:$J$300)</f>
        <v>0</v>
      </c>
      <c r="AH26" s="87">
        <f>SUMIF(Rozbiór!$I$3:$I$300,P26,Rozbiór!$J$3:$J$300)</f>
        <v>0</v>
      </c>
      <c r="AI26" s="87">
        <f>SUMIF(Rozbiór!$I$3:$I$300,Q26,Rozbiór!$J$3:$J$300)</f>
        <v>0</v>
      </c>
      <c r="AJ26" s="87">
        <f>SUMIF(Rozbiór!$I$3:$I$300,AD26,Rozbiór!$J$3:$J$300)</f>
        <v>0</v>
      </c>
      <c r="AK26" s="87">
        <f>SUMIF(Rozbiór!$I$3:$I$300,AE26,Rozbiór!$J$3:$J$300)</f>
        <v>0</v>
      </c>
      <c r="AL26" s="257">
        <f t="shared" si="8"/>
        <v>0</v>
      </c>
    </row>
    <row r="27" spans="2:38">
      <c r="B27" s="78" t="s">
        <v>17963</v>
      </c>
      <c r="C27">
        <f ca="1">HLOOKUP(F27,'Receptury '!$DB$99:$GP$101,3,0)</f>
        <v>175</v>
      </c>
      <c r="D27">
        <f ca="1">HLOOKUP(G27,'Receptury '!$DB$99:$GP$101,3,0)</f>
        <v>176</v>
      </c>
      <c r="E27">
        <f ca="1">HLOOKUP(H27,'Receptury '!$DB$99:$GP$101,3,0)</f>
        <v>177</v>
      </c>
      <c r="F27" t="str">
        <f t="shared" si="0"/>
        <v>Podudzie b/s_1</v>
      </c>
      <c r="G27" t="str">
        <f t="shared" si="1"/>
        <v>Podudzie b/s_2</v>
      </c>
      <c r="H27" t="str">
        <f t="shared" si="2"/>
        <v>Podudzie b/s_3</v>
      </c>
      <c r="J27" s="78">
        <v>7920</v>
      </c>
      <c r="M27" s="76">
        <v>5209</v>
      </c>
      <c r="N27" s="76" t="s">
        <v>17951</v>
      </c>
      <c r="O27" s="243">
        <f t="shared" si="9"/>
        <v>5209</v>
      </c>
      <c r="P27" s="243">
        <f t="shared" si="10"/>
        <v>9999</v>
      </c>
      <c r="Q27" s="243">
        <f t="shared" si="3"/>
        <v>9999</v>
      </c>
      <c r="R27" s="87">
        <f ca="1">SUMIF(TPS_mięsa!$P$2:$P$500,O27,TPS_mięsa!$G$2:$G$500)</f>
        <v>6394</v>
      </c>
      <c r="S27" s="87">
        <f ca="1">SUMIF(TPS_mięsa!$P$2:$P$500,P27,TPS_mięsa!$G$2:$G$500)</f>
        <v>0</v>
      </c>
      <c r="T27" s="87">
        <f ca="1">SUMIF(TPS_mięsa!$P$2:$P$500,Q27,TPS_mięsa!$G$2:$G$500)</f>
        <v>0</v>
      </c>
      <c r="U27">
        <f t="shared" ca="1" si="4"/>
        <v>1</v>
      </c>
      <c r="W27" s="87">
        <f>SUMIF('Dane stany'!$J$5:$J$371,O27,'Dane stany'!$K$5:$K$371)</f>
        <v>7414</v>
      </c>
      <c r="X27" s="87">
        <f>SUMIF('Dane stany'!$J$5:$J$371,P27,'Dane stany'!$K$5:$K$371)</f>
        <v>0</v>
      </c>
      <c r="Y27" s="87">
        <f>SUMIF('Dane stany'!$J$5:$J$371,Q27,'Dane stany'!$K$5:$K$371)</f>
        <v>0</v>
      </c>
      <c r="Z27" s="87">
        <f>SUMIF('Dane stany'!$J$5:$J$371,AD27,'Dane stany'!$K$5:$K$371)</f>
        <v>0</v>
      </c>
      <c r="AA27" s="87">
        <f>SUMIF('Dane stany'!$J$5:$J$371,AE27,'Dane stany'!$K$5:$K$371)</f>
        <v>0</v>
      </c>
      <c r="AB27" s="257">
        <f t="shared" si="5"/>
        <v>7414</v>
      </c>
      <c r="AD27" s="243">
        <f t="shared" si="6"/>
        <v>9999</v>
      </c>
      <c r="AE27" s="243">
        <f t="shared" si="7"/>
        <v>9999</v>
      </c>
      <c r="AG27" s="87">
        <f>SUMIF(Rozbiór!$I$3:$I$300,O27,Rozbiór!$J$3:$J$300)</f>
        <v>0</v>
      </c>
      <c r="AH27" s="87">
        <f>SUMIF(Rozbiór!$I$3:$I$300,P27,Rozbiór!$J$3:$J$300)</f>
        <v>0</v>
      </c>
      <c r="AI27" s="87">
        <f>SUMIF(Rozbiór!$I$3:$I$300,Q27,Rozbiór!$J$3:$J$300)</f>
        <v>0</v>
      </c>
      <c r="AJ27" s="87">
        <f>SUMIF(Rozbiór!$I$3:$I$300,AD27,Rozbiór!$J$3:$J$300)</f>
        <v>0</v>
      </c>
      <c r="AK27" s="87">
        <f>SUMIF(Rozbiór!$I$3:$I$300,AE27,Rozbiór!$J$3:$J$300)</f>
        <v>0</v>
      </c>
      <c r="AL27" s="257">
        <f t="shared" si="8"/>
        <v>0</v>
      </c>
    </row>
    <row r="28" spans="2:38">
      <c r="B28" s="78" t="s">
        <v>79</v>
      </c>
      <c r="C28">
        <f ca="1">HLOOKUP(F28,'Receptury '!$DB$99:$GP$101,3,0)</f>
        <v>178</v>
      </c>
      <c r="D28">
        <f ca="1">HLOOKUP(G28,'Receptury '!$DB$99:$GP$101,3,0)</f>
        <v>179</v>
      </c>
      <c r="E28">
        <f ca="1">HLOOKUP(H28,'Receptury '!$DB$99:$GP$101,3,0)</f>
        <v>180</v>
      </c>
      <c r="F28" t="str">
        <f t="shared" si="0"/>
        <v>DMOM_1</v>
      </c>
      <c r="G28" t="str">
        <f t="shared" si="1"/>
        <v>DMOM_2</v>
      </c>
      <c r="H28" t="str">
        <f t="shared" si="2"/>
        <v>DMOM_3</v>
      </c>
      <c r="J28" s="78">
        <v>7930</v>
      </c>
      <c r="M28" s="76" t="s">
        <v>18764</v>
      </c>
      <c r="N28" s="76" t="s">
        <v>12</v>
      </c>
      <c r="O28" s="243">
        <f t="shared" si="9"/>
        <v>1787</v>
      </c>
      <c r="P28" s="243">
        <f t="shared" si="10"/>
        <v>5161</v>
      </c>
      <c r="Q28" s="243">
        <f t="shared" si="3"/>
        <v>1788</v>
      </c>
      <c r="R28" s="87">
        <f ca="1">SUMIF(TPS_mięsa!$P$2:$P$500,O28,TPS_mięsa!$G$2:$G$500)</f>
        <v>10393.5</v>
      </c>
      <c r="S28" s="87">
        <f ca="1">SUMIF(TPS_mięsa!$P$2:$P$500,P28,TPS_mięsa!$G$2:$G$500)</f>
        <v>0</v>
      </c>
      <c r="T28" s="87">
        <f ca="1">SUMIF(TPS_mięsa!$P$2:$P$500,Q28,TPS_mięsa!$G$2:$G$500)</f>
        <v>1082</v>
      </c>
      <c r="U28">
        <f t="shared" ca="1" si="4"/>
        <v>2</v>
      </c>
      <c r="W28" s="87">
        <f>SUMIF('Dane stany'!$J$5:$J$371,O28,'Dane stany'!$K$5:$K$371)</f>
        <v>10393.5</v>
      </c>
      <c r="X28" s="87">
        <f>SUMIF('Dane stany'!$J$5:$J$371,P28,'Dane stany'!$K$5:$K$371)</f>
        <v>0</v>
      </c>
      <c r="Y28" s="87">
        <f>SUMIF('Dane stany'!$J$5:$J$371,Q28,'Dane stany'!$K$5:$K$371)</f>
        <v>1082</v>
      </c>
      <c r="Z28" s="87">
        <f>SUMIF('Dane stany'!$J$5:$J$371,AD28,'Dane stany'!$K$5:$K$371)</f>
        <v>0</v>
      </c>
      <c r="AA28" s="87">
        <f>SUMIF('Dane stany'!$J$5:$J$371,AE28,'Dane stany'!$K$5:$K$371)</f>
        <v>0</v>
      </c>
      <c r="AB28" s="257">
        <f t="shared" si="5"/>
        <v>11475.5</v>
      </c>
      <c r="AD28" s="243">
        <f t="shared" si="6"/>
        <v>2257</v>
      </c>
      <c r="AE28" s="243">
        <f t="shared" si="7"/>
        <v>9999</v>
      </c>
      <c r="AG28" s="87">
        <f>SUMIF(Rozbiór!$I$3:$I$300,O28,Rozbiór!$J$3:$J$300)</f>
        <v>5000</v>
      </c>
      <c r="AH28" s="87">
        <f>SUMIF(Rozbiór!$I$3:$I$300,P28,Rozbiór!$J$3:$J$300)</f>
        <v>0</v>
      </c>
      <c r="AI28" s="87">
        <f>SUMIF(Rozbiór!$I$3:$I$300,Q28,Rozbiór!$J$3:$J$300)</f>
        <v>0</v>
      </c>
      <c r="AJ28" s="87">
        <f>SUMIF(Rozbiór!$I$3:$I$300,AD28,Rozbiór!$J$3:$J$300)</f>
        <v>0</v>
      </c>
      <c r="AK28" s="87">
        <f>SUMIF(Rozbiór!$I$3:$I$300,AE28,Rozbiór!$J$3:$J$300)</f>
        <v>0</v>
      </c>
      <c r="AL28" s="257">
        <f t="shared" si="8"/>
        <v>5000</v>
      </c>
    </row>
    <row r="29" spans="2:38">
      <c r="B29" s="78" t="s">
        <v>17961</v>
      </c>
      <c r="C29">
        <f ca="1">HLOOKUP(F29,'Receptury '!$DB$99:$GP$101,3,0)</f>
        <v>181</v>
      </c>
      <c r="D29">
        <f ca="1">HLOOKUP(G29,'Receptury '!$DB$99:$GP$101,3,0)</f>
        <v>182</v>
      </c>
      <c r="E29">
        <f ca="1">HLOOKUP(H29,'Receptury '!$DB$99:$GP$101,3,0)</f>
        <v>183</v>
      </c>
      <c r="F29" t="str">
        <f t="shared" si="0"/>
        <v>Noga b/s_1</v>
      </c>
      <c r="G29" t="str">
        <f t="shared" si="1"/>
        <v>Noga b/s_2</v>
      </c>
      <c r="H29" t="str">
        <f t="shared" si="2"/>
        <v>Noga b/s_3</v>
      </c>
      <c r="J29" s="78">
        <v>7081</v>
      </c>
      <c r="M29" s="76">
        <v>5781</v>
      </c>
      <c r="N29" s="76" t="s">
        <v>13</v>
      </c>
      <c r="O29" s="243">
        <f t="shared" si="9"/>
        <v>5781</v>
      </c>
      <c r="P29" s="243">
        <f t="shared" si="10"/>
        <v>9999</v>
      </c>
      <c r="Q29" s="243">
        <f t="shared" si="3"/>
        <v>9999</v>
      </c>
      <c r="R29" s="87">
        <f ca="1">SUMIF(TPS_mięsa!$P$2:$P$500,O29,TPS_mięsa!$G$2:$G$500)</f>
        <v>1921</v>
      </c>
      <c r="S29" s="87">
        <f ca="1">SUMIF(TPS_mięsa!$P$2:$P$500,P29,TPS_mięsa!$G$2:$G$500)</f>
        <v>0</v>
      </c>
      <c r="T29" s="87">
        <f ca="1">SUMIF(TPS_mięsa!$P$2:$P$500,Q29,TPS_mięsa!$G$2:$G$500)</f>
        <v>0</v>
      </c>
      <c r="U29">
        <f t="shared" ca="1" si="4"/>
        <v>1</v>
      </c>
      <c r="W29" s="87">
        <f>SUMIF('Dane stany'!$J$5:$J$371,O29,'Dane stany'!$K$5:$K$371)</f>
        <v>2226</v>
      </c>
      <c r="X29" s="87">
        <f>SUMIF('Dane stany'!$J$5:$J$371,P29,'Dane stany'!$K$5:$K$371)</f>
        <v>0</v>
      </c>
      <c r="Y29" s="87">
        <f>SUMIF('Dane stany'!$J$5:$J$371,Q29,'Dane stany'!$K$5:$K$371)</f>
        <v>0</v>
      </c>
      <c r="Z29" s="87">
        <f>SUMIF('Dane stany'!$J$5:$J$371,AD29,'Dane stany'!$K$5:$K$371)</f>
        <v>0</v>
      </c>
      <c r="AA29" s="87">
        <f>SUMIF('Dane stany'!$J$5:$J$371,AE29,'Dane stany'!$K$5:$K$371)</f>
        <v>0</v>
      </c>
      <c r="AB29" s="257">
        <f t="shared" si="5"/>
        <v>2226</v>
      </c>
      <c r="AD29" s="243">
        <f t="shared" si="6"/>
        <v>9999</v>
      </c>
      <c r="AE29" s="243">
        <f t="shared" si="7"/>
        <v>9999</v>
      </c>
      <c r="AG29" s="87">
        <f>SUMIF(Rozbiór!$I$3:$I$300,O29,Rozbiór!$J$3:$J$300)</f>
        <v>0</v>
      </c>
      <c r="AH29" s="87">
        <f>SUMIF(Rozbiór!$I$3:$I$300,P29,Rozbiór!$J$3:$J$300)</f>
        <v>0</v>
      </c>
      <c r="AI29" s="87">
        <f>SUMIF(Rozbiór!$I$3:$I$300,Q29,Rozbiór!$J$3:$J$300)</f>
        <v>0</v>
      </c>
      <c r="AJ29" s="87">
        <f>SUMIF(Rozbiór!$I$3:$I$300,AD29,Rozbiór!$J$3:$J$300)</f>
        <v>0</v>
      </c>
      <c r="AK29" s="87">
        <f>SUMIF(Rozbiór!$I$3:$I$300,AE29,Rozbiór!$J$3:$J$300)</f>
        <v>0</v>
      </c>
      <c r="AL29" s="257">
        <f t="shared" si="8"/>
        <v>0</v>
      </c>
    </row>
    <row r="30" spans="2:38">
      <c r="B30" s="78" t="s">
        <v>80</v>
      </c>
      <c r="C30">
        <f ca="1">HLOOKUP(F30,'Receptury '!$DB$99:$GP$101,3,0)</f>
        <v>184</v>
      </c>
      <c r="D30">
        <f ca="1">HLOOKUP(G30,'Receptury '!$DB$99:$GP$101,3,0)</f>
        <v>185</v>
      </c>
      <c r="E30">
        <f ca="1">HLOOKUP(H30,'Receptury '!$DB$99:$GP$101,3,0)</f>
        <v>186</v>
      </c>
      <c r="F30" t="str">
        <f t="shared" si="0"/>
        <v>KK skóry_1</v>
      </c>
      <c r="G30" t="str">
        <f t="shared" si="1"/>
        <v>KK skóry_2</v>
      </c>
      <c r="H30" t="str">
        <f t="shared" si="2"/>
        <v>KK skóry_3</v>
      </c>
      <c r="J30" s="78">
        <v>5696</v>
      </c>
      <c r="M30" s="76" t="s">
        <v>17338</v>
      </c>
      <c r="N30" s="76" t="s">
        <v>70</v>
      </c>
      <c r="O30" s="243">
        <f t="shared" si="9"/>
        <v>3010</v>
      </c>
      <c r="P30" s="243">
        <f t="shared" si="10"/>
        <v>3014</v>
      </c>
      <c r="Q30" s="243">
        <f t="shared" si="3"/>
        <v>3013</v>
      </c>
      <c r="R30" s="87">
        <f ca="1">SUMIF(TPS_mięsa!$P$2:$P$500,O30,TPS_mięsa!$G$2:$G$500)</f>
        <v>0</v>
      </c>
      <c r="S30" s="87">
        <f ca="1">SUMIF(TPS_mięsa!$P$2:$P$500,P30,TPS_mięsa!$G$2:$G$500)</f>
        <v>0</v>
      </c>
      <c r="T30" s="87">
        <f ca="1">SUMIF(TPS_mięsa!$P$2:$P$500,Q30,TPS_mięsa!$G$2:$G$500)</f>
        <v>0</v>
      </c>
      <c r="U30">
        <f t="shared" ca="1" si="4"/>
        <v>0</v>
      </c>
      <c r="W30" s="87">
        <f>SUMIF('Dane stany'!$J$5:$J$371,O30,'Dane stany'!$K$5:$K$371)</f>
        <v>0</v>
      </c>
      <c r="X30" s="87">
        <f>SUMIF('Dane stany'!$J$5:$J$371,P30,'Dane stany'!$K$5:$K$371)</f>
        <v>0</v>
      </c>
      <c r="Y30" s="87">
        <f>SUMIF('Dane stany'!$J$5:$J$371,Q30,'Dane stany'!$K$5:$K$371)</f>
        <v>0</v>
      </c>
      <c r="Z30" s="87">
        <f>SUMIF('Dane stany'!$J$5:$J$371,AD30,'Dane stany'!$K$5:$K$371)</f>
        <v>0</v>
      </c>
      <c r="AA30" s="87">
        <f>SUMIF('Dane stany'!$J$5:$J$371,AE30,'Dane stany'!$K$5:$K$371)</f>
        <v>0</v>
      </c>
      <c r="AB30" s="257">
        <f t="shared" si="5"/>
        <v>0</v>
      </c>
      <c r="AD30" s="243">
        <f t="shared" si="6"/>
        <v>3019</v>
      </c>
      <c r="AE30" s="243">
        <f t="shared" si="7"/>
        <v>9999</v>
      </c>
      <c r="AG30" s="87">
        <f>SUMIF(Rozbiór!$I$3:$I$300,O30,Rozbiór!$J$3:$J$300)</f>
        <v>0</v>
      </c>
      <c r="AH30" s="87">
        <f>SUMIF(Rozbiór!$I$3:$I$300,P30,Rozbiór!$J$3:$J$300)</f>
        <v>0</v>
      </c>
      <c r="AI30" s="87">
        <f>SUMIF(Rozbiór!$I$3:$I$300,Q30,Rozbiór!$J$3:$J$300)</f>
        <v>0</v>
      </c>
      <c r="AJ30" s="87">
        <f>SUMIF(Rozbiór!$I$3:$I$300,AD30,Rozbiór!$J$3:$J$300)</f>
        <v>0</v>
      </c>
      <c r="AK30" s="87">
        <f>SUMIF(Rozbiór!$I$3:$I$300,AE30,Rozbiór!$J$3:$J$300)</f>
        <v>0</v>
      </c>
      <c r="AL30" s="257">
        <f t="shared" si="8"/>
        <v>0</v>
      </c>
    </row>
    <row r="31" spans="2:38">
      <c r="B31" s="78" t="s">
        <v>74</v>
      </c>
      <c r="C31">
        <f ca="1">HLOOKUP(F31,'Receptury '!$DB$99:$GP$101,3,0)</f>
        <v>187</v>
      </c>
      <c r="D31">
        <f ca="1">HLOOKUP(G31,'Receptury '!$DB$99:$GP$101,3,0)</f>
        <v>188</v>
      </c>
      <c r="E31">
        <f ca="1">HLOOKUP(H31,'Receptury '!$DB$99:$GP$101,3,0)</f>
        <v>189</v>
      </c>
      <c r="F31" t="str">
        <f t="shared" si="0"/>
        <v>Rework ŚL _1</v>
      </c>
      <c r="G31" t="str">
        <f t="shared" si="1"/>
        <v>Rework ŚL _2</v>
      </c>
      <c r="H31" t="str">
        <f t="shared" si="2"/>
        <v>Rework ŚL _3</v>
      </c>
      <c r="M31" s="76">
        <v>3009</v>
      </c>
      <c r="N31" s="76" t="s">
        <v>17963</v>
      </c>
      <c r="O31" s="243">
        <f t="shared" si="9"/>
        <v>3009</v>
      </c>
      <c r="P31" s="243">
        <f t="shared" si="10"/>
        <v>9999</v>
      </c>
      <c r="Q31" s="243">
        <f t="shared" si="3"/>
        <v>9999</v>
      </c>
      <c r="R31" s="87">
        <f ca="1">SUMIF(TPS_mięsa!$P$2:$P$500,O31,TPS_mięsa!$G$2:$G$500)</f>
        <v>0</v>
      </c>
      <c r="S31" s="87">
        <f ca="1">SUMIF(TPS_mięsa!$P$2:$P$500,P31,TPS_mięsa!$G$2:$G$500)</f>
        <v>0</v>
      </c>
      <c r="T31" s="87">
        <f ca="1">SUMIF(TPS_mięsa!$P$2:$P$500,Q31,TPS_mięsa!$G$2:$G$500)</f>
        <v>0</v>
      </c>
      <c r="U31">
        <f t="shared" ca="1" si="4"/>
        <v>0</v>
      </c>
      <c r="W31" s="87">
        <f>SUMIF('Dane stany'!$J$5:$J$371,O31,'Dane stany'!$K$5:$K$371)</f>
        <v>0</v>
      </c>
      <c r="X31" s="87">
        <f>SUMIF('Dane stany'!$J$5:$J$371,P31,'Dane stany'!$K$5:$K$371)</f>
        <v>0</v>
      </c>
      <c r="Y31" s="87">
        <f>SUMIF('Dane stany'!$J$5:$J$371,Q31,'Dane stany'!$K$5:$K$371)</f>
        <v>0</v>
      </c>
      <c r="Z31" s="87">
        <f>SUMIF('Dane stany'!$J$5:$J$371,AD31,'Dane stany'!$K$5:$K$371)</f>
        <v>0</v>
      </c>
      <c r="AA31" s="87">
        <f>SUMIF('Dane stany'!$J$5:$J$371,AE31,'Dane stany'!$K$5:$K$371)</f>
        <v>0</v>
      </c>
      <c r="AB31" s="257">
        <f t="shared" si="5"/>
        <v>0</v>
      </c>
      <c r="AD31" s="243">
        <f t="shared" si="6"/>
        <v>9999</v>
      </c>
      <c r="AE31" s="243">
        <f t="shared" si="7"/>
        <v>9999</v>
      </c>
      <c r="AG31" s="87">
        <f>SUMIF(Rozbiór!$I$3:$I$300,O31,Rozbiór!$J$3:$J$300)</f>
        <v>0</v>
      </c>
      <c r="AH31" s="87">
        <f>SUMIF(Rozbiór!$I$3:$I$300,P31,Rozbiór!$J$3:$J$300)</f>
        <v>0</v>
      </c>
      <c r="AI31" s="87">
        <f>SUMIF(Rozbiór!$I$3:$I$300,Q31,Rozbiór!$J$3:$J$300)</f>
        <v>0</v>
      </c>
      <c r="AJ31" s="87">
        <f>SUMIF(Rozbiór!$I$3:$I$300,AD31,Rozbiór!$J$3:$J$300)</f>
        <v>0</v>
      </c>
      <c r="AK31" s="87">
        <f>SUMIF(Rozbiór!$I$3:$I$300,AE31,Rozbiór!$J$3:$J$300)</f>
        <v>0</v>
      </c>
      <c r="AL31" s="257">
        <f t="shared" si="8"/>
        <v>0</v>
      </c>
    </row>
    <row r="32" spans="2:38">
      <c r="B32" s="78" t="s">
        <v>75</v>
      </c>
      <c r="C32">
        <f ca="1">HLOOKUP(F32,'Receptury '!$DB$99:$GP$101,3,0)</f>
        <v>190</v>
      </c>
      <c r="D32">
        <f ca="1">HLOOKUP(G32,'Receptury '!$DB$99:$GP$101,3,0)</f>
        <v>191</v>
      </c>
      <c r="E32">
        <f ca="1">HLOOKUP(H32,'Receptury '!$DB$99:$GP$101,3,0)</f>
        <v>192</v>
      </c>
      <c r="F32" t="str">
        <f t="shared" si="0"/>
        <v>Rework Reg. _1</v>
      </c>
      <c r="G32" t="str">
        <f t="shared" si="1"/>
        <v>Rework Reg. _2</v>
      </c>
      <c r="H32" t="str">
        <f t="shared" si="2"/>
        <v>Rework Reg. _3</v>
      </c>
      <c r="M32" s="277" t="s">
        <v>337</v>
      </c>
      <c r="N32" s="277" t="s">
        <v>79</v>
      </c>
      <c r="O32" s="243">
        <f t="shared" si="9"/>
        <v>5304</v>
      </c>
      <c r="P32" s="243">
        <f t="shared" si="10"/>
        <v>3004</v>
      </c>
      <c r="Q32" s="243">
        <f t="shared" si="3"/>
        <v>9999</v>
      </c>
      <c r="R32" s="87">
        <f ca="1">SUMIF(TPS_mięsa!$P$2:$P$500,O32,TPS_mięsa!$G$2:$G$500)</f>
        <v>6519</v>
      </c>
      <c r="S32" s="87">
        <f ca="1">SUMIF(TPS_mięsa!$P$2:$P$500,P32,TPS_mięsa!$G$2:$G$500)</f>
        <v>0</v>
      </c>
      <c r="T32" s="87">
        <f ca="1">SUMIF(TPS_mięsa!$P$2:$P$500,Q32,TPS_mięsa!$G$2:$G$500)</f>
        <v>0</v>
      </c>
      <c r="U32">
        <f t="shared" ca="1" si="4"/>
        <v>1</v>
      </c>
      <c r="W32" s="87">
        <f>SUMIF('Dane stany'!$J$5:$J$371,O32,'Dane stany'!$K$5:$K$371)</f>
        <v>6519</v>
      </c>
      <c r="X32" s="87">
        <f>SUMIF('Dane stany'!$J$5:$J$371,P32,'Dane stany'!$K$5:$K$371)</f>
        <v>0</v>
      </c>
      <c r="Y32" s="87">
        <f>SUMIF('Dane stany'!$J$5:$J$371,Q32,'Dane stany'!$K$5:$K$371)</f>
        <v>0</v>
      </c>
      <c r="Z32" s="87">
        <f>SUMIF('Dane stany'!$J$5:$J$371,AD32,'Dane stany'!$K$5:$K$371)</f>
        <v>0</v>
      </c>
      <c r="AA32" s="87">
        <f>SUMIF('Dane stany'!$J$5:$J$371,AE32,'Dane stany'!$K$5:$K$371)</f>
        <v>0</v>
      </c>
      <c r="AB32" s="257">
        <f t="shared" si="5"/>
        <v>6519</v>
      </c>
      <c r="AD32" s="243">
        <f t="shared" si="6"/>
        <v>9999</v>
      </c>
      <c r="AE32" s="243">
        <f t="shared" si="7"/>
        <v>9999</v>
      </c>
      <c r="AG32" s="87">
        <f>SUMIF(Rozbiór!$I$3:$I$300,O32,Rozbiór!$J$3:$J$300)</f>
        <v>0</v>
      </c>
      <c r="AH32" s="87">
        <f>SUMIF(Rozbiór!$I$3:$I$300,P32,Rozbiór!$J$3:$J$300)</f>
        <v>0</v>
      </c>
      <c r="AI32" s="87">
        <f>SUMIF(Rozbiór!$I$3:$I$300,Q32,Rozbiór!$J$3:$J$300)</f>
        <v>0</v>
      </c>
      <c r="AJ32" s="87">
        <f>SUMIF(Rozbiór!$I$3:$I$300,AD32,Rozbiór!$J$3:$J$300)</f>
        <v>0</v>
      </c>
      <c r="AK32" s="87">
        <f>SUMIF(Rozbiór!$I$3:$I$300,AE32,Rozbiór!$J$3:$J$300)</f>
        <v>0</v>
      </c>
      <c r="AL32" s="257">
        <f t="shared" si="8"/>
        <v>0</v>
      </c>
    </row>
    <row r="33" spans="2:38">
      <c r="B33" s="78" t="s">
        <v>191</v>
      </c>
      <c r="C33">
        <f ca="1">HLOOKUP(F33,'Receptury '!$DB$99:$HB$101,3,0)</f>
        <v>193</v>
      </c>
      <c r="D33">
        <f ca="1">HLOOKUP(G33,'Receptury '!$DB$99:$HB$101,3,0)</f>
        <v>194</v>
      </c>
      <c r="E33">
        <f ca="1">HLOOKUP(H33,'Receptury '!$DB$99:$HB$101,3,0)</f>
        <v>195</v>
      </c>
      <c r="F33" t="str">
        <f t="shared" si="0"/>
        <v>Mieso 90/10 (52264000)_1</v>
      </c>
      <c r="G33" t="str">
        <f t="shared" si="1"/>
        <v>Mieso 90/10 (52264000)_2</v>
      </c>
      <c r="H33" t="str">
        <f t="shared" si="2"/>
        <v>Mieso 90/10 (52264000)_3</v>
      </c>
      <c r="M33" s="277" t="s">
        <v>17960</v>
      </c>
      <c r="N33" s="542" t="s">
        <v>17961</v>
      </c>
      <c r="O33" s="243">
        <f t="shared" si="9"/>
        <v>3015</v>
      </c>
      <c r="P33" s="243">
        <f t="shared" si="10"/>
        <v>5306</v>
      </c>
      <c r="Q33" s="243">
        <f t="shared" si="3"/>
        <v>9999</v>
      </c>
      <c r="R33" s="87">
        <f ca="1">SUMIF(TPS_mięsa!$P$2:$P$500,O33,TPS_mięsa!$G$2:$G$500)</f>
        <v>0</v>
      </c>
      <c r="S33" s="87">
        <f ca="1">SUMIF(TPS_mięsa!$P$2:$P$500,P33,TPS_mięsa!$G$2:$G$500)</f>
        <v>4048.5</v>
      </c>
      <c r="T33" s="87">
        <f ca="1">SUMIF(TPS_mięsa!$P$2:$P$500,Q33,TPS_mięsa!$G$2:$G$500)</f>
        <v>0</v>
      </c>
      <c r="U33">
        <f t="shared" ca="1" si="4"/>
        <v>1</v>
      </c>
      <c r="W33" s="87">
        <f>SUMIF('Dane stany'!$J$5:$J$371,O33,'Dane stany'!$K$5:$K$371)</f>
        <v>0</v>
      </c>
      <c r="X33" s="87">
        <f>SUMIF('Dane stany'!$J$5:$J$371,P33,'Dane stany'!$K$5:$K$371)</f>
        <v>5353.5</v>
      </c>
      <c r="Y33" s="87">
        <f>SUMIF('Dane stany'!$J$5:$J$371,Q33,'Dane stany'!$K$5:$K$371)</f>
        <v>0</v>
      </c>
      <c r="Z33" s="87">
        <f>SUMIF('Dane stany'!$J$5:$J$371,AD33,'Dane stany'!$K$5:$K$371)</f>
        <v>0</v>
      </c>
      <c r="AA33" s="87">
        <f>SUMIF('Dane stany'!$J$5:$J$371,AE33,'Dane stany'!$K$5:$K$371)</f>
        <v>0</v>
      </c>
      <c r="AB33" s="257">
        <f t="shared" si="5"/>
        <v>5353.5</v>
      </c>
      <c r="AD33" s="243">
        <f t="shared" si="6"/>
        <v>9999</v>
      </c>
      <c r="AE33" s="243">
        <f t="shared" si="7"/>
        <v>9999</v>
      </c>
      <c r="AG33" s="87">
        <f>SUMIF(Rozbiór!$I$3:$I$300,O33,Rozbiór!$J$3:$J$300)</f>
        <v>0</v>
      </c>
      <c r="AH33" s="87">
        <f>SUMIF(Rozbiór!$I$3:$I$300,P33,Rozbiór!$J$3:$J$300)</f>
        <v>0</v>
      </c>
      <c r="AI33" s="87">
        <f>SUMIF(Rozbiór!$I$3:$I$300,Q33,Rozbiór!$J$3:$J$300)</f>
        <v>0</v>
      </c>
      <c r="AJ33" s="87">
        <f>SUMIF(Rozbiór!$I$3:$I$300,AD33,Rozbiór!$J$3:$J$300)</f>
        <v>0</v>
      </c>
      <c r="AK33" s="87">
        <f>SUMIF(Rozbiór!$I$3:$I$300,AE33,Rozbiór!$J$3:$J$300)</f>
        <v>0</v>
      </c>
      <c r="AL33" s="257">
        <f t="shared" si="8"/>
        <v>0</v>
      </c>
    </row>
    <row r="34" spans="2:38">
      <c r="B34" s="78" t="s">
        <v>17987</v>
      </c>
      <c r="C34">
        <f ca="1">HLOOKUP(F34,'Receptury '!$DB$99:$HB$101,3,0)</f>
        <v>196</v>
      </c>
      <c r="D34">
        <f ca="1">HLOOKUP(G34,'Receptury '!$DB$99:$HB$101,3,0)</f>
        <v>197</v>
      </c>
      <c r="E34">
        <f ca="1">HLOOKUP(H34,'Receptury '!$DB$99:$HB$101,3,0)</f>
        <v>198</v>
      </c>
      <c r="F34" t="str">
        <f t="shared" si="0"/>
        <v>Drób peklowany1,5%_1</v>
      </c>
      <c r="G34" t="str">
        <f t="shared" si="1"/>
        <v>Drób peklowany1,5%_2</v>
      </c>
      <c r="H34" t="str">
        <f t="shared" si="2"/>
        <v>Drób peklowany1,5%_3</v>
      </c>
      <c r="M34" s="277">
        <v>3008</v>
      </c>
      <c r="N34" s="277" t="s">
        <v>80</v>
      </c>
      <c r="O34" s="243">
        <f t="shared" si="9"/>
        <v>3008</v>
      </c>
      <c r="P34" s="243">
        <f t="shared" si="10"/>
        <v>9999</v>
      </c>
      <c r="Q34" s="243">
        <f t="shared" si="3"/>
        <v>9999</v>
      </c>
      <c r="R34" s="87">
        <f ca="1">SUMIF(TPS_mięsa!$P$2:$P$500,O34,TPS_mięsa!$G$2:$G$500)</f>
        <v>3615.5</v>
      </c>
      <c r="S34" s="87">
        <f ca="1">SUMIF(TPS_mięsa!$P$2:$P$500,P34,TPS_mięsa!$G$2:$G$500)</f>
        <v>0</v>
      </c>
      <c r="T34" s="87">
        <f ca="1">SUMIF(TPS_mięsa!$P$2:$P$500,Q34,TPS_mięsa!$G$2:$G$500)</f>
        <v>0</v>
      </c>
      <c r="U34">
        <f t="shared" ca="1" si="4"/>
        <v>1</v>
      </c>
      <c r="W34" s="87">
        <f>SUMIF('Dane stany'!$J$5:$J$371,O34,'Dane stany'!$K$5:$K$371)</f>
        <v>771</v>
      </c>
      <c r="X34" s="87">
        <f>SUMIF('Dane stany'!$J$5:$J$371,P34,'Dane stany'!$K$5:$K$371)</f>
        <v>0</v>
      </c>
      <c r="Y34" s="87">
        <f>SUMIF('Dane stany'!$J$5:$J$371,Q34,'Dane stany'!$K$5:$K$371)</f>
        <v>0</v>
      </c>
      <c r="Z34" s="87">
        <f>SUMIF('Dane stany'!$J$5:$J$371,AD34,'Dane stany'!$K$5:$K$371)</f>
        <v>0</v>
      </c>
      <c r="AA34" s="87">
        <f>SUMIF('Dane stany'!$J$5:$J$371,AE34,'Dane stany'!$K$5:$K$371)</f>
        <v>0</v>
      </c>
      <c r="AB34" s="257">
        <f t="shared" si="5"/>
        <v>771</v>
      </c>
      <c r="AD34" s="243">
        <f t="shared" si="6"/>
        <v>9999</v>
      </c>
      <c r="AE34" s="243">
        <f t="shared" si="7"/>
        <v>9999</v>
      </c>
      <c r="AG34" s="87">
        <f>SUMIF(Rozbiór!$I$3:$I$300,O34,Rozbiór!$J$3:$J$300)</f>
        <v>0</v>
      </c>
      <c r="AH34" s="87">
        <f>SUMIF(Rozbiór!$I$3:$I$300,P34,Rozbiór!$J$3:$J$300)</f>
        <v>0</v>
      </c>
      <c r="AI34" s="87">
        <f>SUMIF(Rozbiór!$I$3:$I$300,Q34,Rozbiór!$J$3:$J$300)</f>
        <v>0</v>
      </c>
      <c r="AJ34" s="87">
        <f>SUMIF(Rozbiór!$I$3:$I$300,AD34,Rozbiór!$J$3:$J$300)</f>
        <v>0</v>
      </c>
      <c r="AK34" s="87">
        <f>SUMIF(Rozbiór!$I$3:$I$300,AE34,Rozbiór!$J$3:$J$300)</f>
        <v>0</v>
      </c>
      <c r="AL34" s="257">
        <f t="shared" si="8"/>
        <v>0</v>
      </c>
    </row>
    <row r="35" spans="2:38">
      <c r="B35" s="78" t="s">
        <v>209</v>
      </c>
      <c r="C35">
        <f ca="1">HLOOKUP(F35,'Receptury '!$DB$99:$HB$101,3,0)</f>
        <v>199</v>
      </c>
      <c r="D35">
        <f ca="1">HLOOKUP(G35,'Receptury '!$DB$99:$HB$101,3,0)</f>
        <v>200</v>
      </c>
      <c r="E35">
        <f ca="1">HLOOKUP(H35,'Receptury '!$DB$99:$HB$101,3,0)</f>
        <v>201</v>
      </c>
      <c r="F35" t="str">
        <f t="shared" ref="F35:F40" si="13">_xlfn.CONCAT(B35,"_",1)</f>
        <v>Bocz IV PP WT_1</v>
      </c>
      <c r="G35" t="str">
        <f t="shared" ref="G35:G40" si="14">_xlfn.CONCAT(B35,"_",2)</f>
        <v>Bocz IV PP WT_2</v>
      </c>
      <c r="H35" t="str">
        <f t="shared" ref="H35:H40" si="15">_xlfn.CONCAT(B35,"_",3)</f>
        <v>Bocz IV PP WT_3</v>
      </c>
      <c r="M35" s="76" t="s">
        <v>17966</v>
      </c>
      <c r="N35" s="76" t="s">
        <v>74</v>
      </c>
      <c r="O35" s="243">
        <f t="shared" si="9"/>
        <v>6499</v>
      </c>
      <c r="P35" s="243">
        <f t="shared" si="10"/>
        <v>6599</v>
      </c>
      <c r="Q35" s="243">
        <f t="shared" si="3"/>
        <v>9999</v>
      </c>
      <c r="R35" s="87">
        <f ca="1">SUMIF(TPS_mięsa!$P$2:$P$500,O35,TPS_mięsa!$G$2:$G$500)</f>
        <v>654</v>
      </c>
      <c r="S35" s="87">
        <f ca="1">SUMIF(TPS_mięsa!$P$2:$P$500,P35,TPS_mięsa!$G$2:$G$500)</f>
        <v>632</v>
      </c>
      <c r="T35" s="87">
        <f ca="1">SUMIF(TPS_mięsa!$P$2:$P$500,Q35,TPS_mięsa!$G$2:$G$500)</f>
        <v>0</v>
      </c>
      <c r="U35">
        <f t="shared" ca="1" si="4"/>
        <v>2</v>
      </c>
      <c r="W35" s="87">
        <f>SUMIF('Dane stany'!$J$5:$J$371,O35,'Dane stany'!$K$5:$K$371)</f>
        <v>836</v>
      </c>
      <c r="X35" s="87">
        <f>SUMIF('Dane stany'!$J$5:$J$371,P35,'Dane stany'!$K$5:$K$371)</f>
        <v>850</v>
      </c>
      <c r="Y35" s="87">
        <f>SUMIF('Dane stany'!$J$5:$J$371,Q35,'Dane stany'!$K$5:$K$371)</f>
        <v>0</v>
      </c>
      <c r="Z35" s="87">
        <f>SUMIF('Dane stany'!$J$5:$J$371,AD35,'Dane stany'!$K$5:$K$371)</f>
        <v>0</v>
      </c>
      <c r="AA35" s="87">
        <f>SUMIF('Dane stany'!$J$5:$J$371,AE35,'Dane stany'!$K$5:$K$371)</f>
        <v>0</v>
      </c>
      <c r="AB35" s="257">
        <f t="shared" si="5"/>
        <v>1686</v>
      </c>
      <c r="AD35" s="243">
        <f t="shared" si="6"/>
        <v>9999</v>
      </c>
      <c r="AE35" s="243">
        <f t="shared" si="7"/>
        <v>9999</v>
      </c>
      <c r="AG35" s="87">
        <f>SUMIF(Rozbiór!$I$3:$I$300,O35,Rozbiór!$J$3:$J$300)</f>
        <v>0</v>
      </c>
      <c r="AH35" s="87">
        <f>SUMIF(Rozbiór!$I$3:$I$300,P35,Rozbiór!$J$3:$J$300)</f>
        <v>0</v>
      </c>
      <c r="AI35" s="87">
        <f>SUMIF(Rozbiór!$I$3:$I$300,Q35,Rozbiór!$J$3:$J$300)</f>
        <v>0</v>
      </c>
      <c r="AJ35" s="87">
        <f>SUMIF(Rozbiór!$I$3:$I$300,AD35,Rozbiór!$J$3:$J$300)</f>
        <v>0</v>
      </c>
      <c r="AK35" s="87">
        <f>SUMIF(Rozbiór!$I$3:$I$300,AE35,Rozbiór!$J$3:$J$300)</f>
        <v>0</v>
      </c>
      <c r="AL35" s="257">
        <f t="shared" si="8"/>
        <v>0</v>
      </c>
    </row>
    <row r="36" spans="2:38">
      <c r="B36" s="78" t="s">
        <v>17875</v>
      </c>
      <c r="C36">
        <f ca="1">HLOOKUP(F36,'Receptury '!$DB$99:$HI$101,3,0)</f>
        <v>202</v>
      </c>
      <c r="D36">
        <f ca="1">HLOOKUP(G36,'Receptury '!$DB$99:$HB$101,3,0)</f>
        <v>203</v>
      </c>
      <c r="E36">
        <f ca="1">HLOOKUP(H36,'Receptury '!$DB$99:$HB$101,3,0)</f>
        <v>204</v>
      </c>
      <c r="F36" t="str">
        <f t="shared" si="13"/>
        <v>Żel Pomarańczowy_1</v>
      </c>
      <c r="G36" t="str">
        <f t="shared" si="14"/>
        <v>Żel Pomarańczowy_2</v>
      </c>
      <c r="H36" t="str">
        <f t="shared" si="15"/>
        <v>Żel Pomarańczowy_3</v>
      </c>
      <c r="M36" s="76">
        <v>6448</v>
      </c>
      <c r="N36" s="76" t="s">
        <v>75</v>
      </c>
      <c r="O36" s="243">
        <f t="shared" si="9"/>
        <v>6448</v>
      </c>
      <c r="P36" s="243">
        <f t="shared" si="10"/>
        <v>9999</v>
      </c>
      <c r="Q36" s="243">
        <f t="shared" si="3"/>
        <v>9999</v>
      </c>
      <c r="R36" s="87">
        <f ca="1">SUMIF(TPS_mięsa!$P$2:$P$500,O36,TPS_mięsa!$G$2:$G$500)</f>
        <v>455</v>
      </c>
      <c r="S36" s="87">
        <f ca="1">SUMIF(TPS_mięsa!$P$2:$P$500,P36,TPS_mięsa!$G$2:$G$500)</f>
        <v>0</v>
      </c>
      <c r="T36" s="87">
        <f ca="1">SUMIF(TPS_mięsa!$P$2:$P$500,Q36,TPS_mięsa!$G$2:$G$500)</f>
        <v>0</v>
      </c>
      <c r="U36">
        <f t="shared" ca="1" si="4"/>
        <v>1</v>
      </c>
      <c r="W36" s="87">
        <f>SUMIF('Dane stany'!$J$5:$J$371,O36,'Dane stany'!$K$5:$K$371)</f>
        <v>455</v>
      </c>
      <c r="X36" s="87">
        <f>SUMIF('Dane stany'!$J$5:$J$371,P36,'Dane stany'!$K$5:$K$371)</f>
        <v>0</v>
      </c>
      <c r="Y36" s="87">
        <f>SUMIF('Dane stany'!$J$5:$J$371,Q36,'Dane stany'!$K$5:$K$371)</f>
        <v>0</v>
      </c>
      <c r="Z36" s="87">
        <f>SUMIF('Dane stany'!$J$5:$J$371,AD36,'Dane stany'!$K$5:$K$371)</f>
        <v>0</v>
      </c>
      <c r="AA36" s="87">
        <f>SUMIF('Dane stany'!$J$5:$J$371,AE36,'Dane stany'!$K$5:$K$371)</f>
        <v>0</v>
      </c>
      <c r="AB36" s="257">
        <f t="shared" si="5"/>
        <v>455</v>
      </c>
      <c r="AD36" s="243">
        <f t="shared" si="6"/>
        <v>9999</v>
      </c>
      <c r="AE36" s="243">
        <f t="shared" si="7"/>
        <v>9999</v>
      </c>
      <c r="AG36" s="87">
        <f>SUMIF(Rozbiór!$I$3:$I$300,O36,Rozbiór!$J$3:$J$300)</f>
        <v>0</v>
      </c>
      <c r="AH36" s="87">
        <f>SUMIF(Rozbiór!$I$3:$I$300,P36,Rozbiór!$J$3:$J$300)</f>
        <v>0</v>
      </c>
      <c r="AI36" s="87">
        <f>SUMIF(Rozbiór!$I$3:$I$300,Q36,Rozbiór!$J$3:$J$300)</f>
        <v>0</v>
      </c>
      <c r="AJ36" s="87">
        <f>SUMIF(Rozbiór!$I$3:$I$300,AD36,Rozbiór!$J$3:$J$300)</f>
        <v>0</v>
      </c>
      <c r="AK36" s="87">
        <f>SUMIF(Rozbiór!$I$3:$I$300,AE36,Rozbiór!$J$3:$J$300)</f>
        <v>0</v>
      </c>
      <c r="AL36" s="257">
        <f t="shared" si="8"/>
        <v>0</v>
      </c>
    </row>
    <row r="37" spans="2:38">
      <c r="B37" s="78" t="s">
        <v>17951</v>
      </c>
      <c r="C37">
        <f ca="1">HLOOKUP(F37,'Receptury '!$DB$99:$HI$101,3,0)</f>
        <v>205</v>
      </c>
      <c r="D37">
        <f ca="1">HLOOKUP(G37,'Receptury '!$DB$99:$HI$101,3,0)</f>
        <v>206</v>
      </c>
      <c r="E37">
        <f ca="1">HLOOKUP(H37,'Receptury '!$DB$99:$HI$101,3,0)</f>
        <v>207</v>
      </c>
      <c r="F37" t="str">
        <f t="shared" si="13"/>
        <v>M-so kl4 1.5%(5209)_1</v>
      </c>
      <c r="G37" t="str">
        <f t="shared" si="14"/>
        <v>M-so kl4 1.5%(5209)_2</v>
      </c>
      <c r="H37" t="str">
        <f t="shared" si="15"/>
        <v>M-so kl4 1.5%(5209)_3</v>
      </c>
      <c r="M37" s="76">
        <v>5788</v>
      </c>
      <c r="N37" s="76" t="s">
        <v>209</v>
      </c>
      <c r="O37" s="243">
        <f t="shared" si="9"/>
        <v>5788</v>
      </c>
      <c r="P37" s="243">
        <f t="shared" si="10"/>
        <v>9999</v>
      </c>
      <c r="Q37" s="243">
        <f t="shared" si="3"/>
        <v>9999</v>
      </c>
      <c r="R37" s="87">
        <f ca="1">SUMIF(TPS_mięsa!$P$2:$P$500,O37,TPS_mięsa!$G$2:$G$500)</f>
        <v>0</v>
      </c>
      <c r="S37" s="87">
        <f ca="1">SUMIF(TPS_mięsa!$P$2:$P$500,P37,TPS_mięsa!$G$2:$G$500)</f>
        <v>0</v>
      </c>
      <c r="T37" s="87">
        <f ca="1">SUMIF(TPS_mięsa!$P$2:$P$500,Q37,TPS_mięsa!$G$2:$G$500)</f>
        <v>0</v>
      </c>
      <c r="U37">
        <f t="shared" ca="1" si="4"/>
        <v>0</v>
      </c>
      <c r="W37" s="87">
        <f>SUMIF('Dane stany'!$J$5:$J$371,O37,'Dane stany'!$K$5:$K$371)</f>
        <v>0</v>
      </c>
      <c r="X37" s="87">
        <f>SUMIF('Dane stany'!$J$5:$J$371,P37,'Dane stany'!$K$5:$K$371)</f>
        <v>0</v>
      </c>
      <c r="Y37" s="87">
        <f>SUMIF('Dane stany'!$J$5:$J$371,Q37,'Dane stany'!$K$5:$K$371)</f>
        <v>0</v>
      </c>
      <c r="Z37" s="87">
        <f>SUMIF('Dane stany'!$J$5:$J$371,AD37,'Dane stany'!$K$5:$K$371)</f>
        <v>0</v>
      </c>
      <c r="AA37" s="87">
        <f>SUMIF('Dane stany'!$J$5:$J$371,AE37,'Dane stany'!$K$5:$K$371)</f>
        <v>0</v>
      </c>
      <c r="AB37" s="257">
        <f t="shared" si="5"/>
        <v>0</v>
      </c>
      <c r="AD37" s="243">
        <f t="shared" si="6"/>
        <v>9999</v>
      </c>
      <c r="AE37" s="243">
        <f t="shared" si="7"/>
        <v>9999</v>
      </c>
      <c r="AG37" s="87">
        <f>SUMIF(Rozbiór!$I$3:$I$300,O37,Rozbiór!$J$3:$J$300)</f>
        <v>0</v>
      </c>
      <c r="AH37" s="87">
        <f>SUMIF(Rozbiór!$I$3:$I$300,P37,Rozbiór!$J$3:$J$300)</f>
        <v>0</v>
      </c>
      <c r="AI37" s="87">
        <f>SUMIF(Rozbiór!$I$3:$I$300,Q37,Rozbiór!$J$3:$J$300)</f>
        <v>0</v>
      </c>
      <c r="AJ37" s="87">
        <f>SUMIF(Rozbiór!$I$3:$I$300,AD37,Rozbiór!$J$3:$J$300)</f>
        <v>0</v>
      </c>
      <c r="AK37" s="87">
        <f>SUMIF(Rozbiór!$I$3:$I$300,AE37,Rozbiór!$J$3:$J$300)</f>
        <v>0</v>
      </c>
      <c r="AL37" s="257">
        <f t="shared" si="8"/>
        <v>0</v>
      </c>
    </row>
    <row r="38" spans="2:38">
      <c r="B38" s="78" t="s">
        <v>17857</v>
      </c>
      <c r="C38">
        <f ca="1">HLOOKUP(F38,'Receptury '!$DB$99:$HI$101,3,0)</f>
        <v>208</v>
      </c>
      <c r="D38">
        <f ca="1">HLOOKUP(G38,'Receptury '!$DB$99:$HI$101,3,0)</f>
        <v>209</v>
      </c>
      <c r="E38">
        <f ca="1">HLOOKUP(H38,'Receptury '!$DB$99:$HI$101,3,0)</f>
        <v>210</v>
      </c>
      <c r="F38" t="str">
        <f t="shared" si="13"/>
        <v>Szynka 1.5D + Łop 1.5D_1</v>
      </c>
      <c r="G38" t="str">
        <f t="shared" si="14"/>
        <v>Szynka 1.5D + Łop 1.5D_2</v>
      </c>
      <c r="H38" t="str">
        <f t="shared" si="15"/>
        <v>Szynka 1.5D + Łop 1.5D_3</v>
      </c>
      <c r="M38" s="76" t="s">
        <v>17344</v>
      </c>
      <c r="N38" s="76" t="s">
        <v>17857</v>
      </c>
      <c r="O38" s="243">
        <f t="shared" si="9"/>
        <v>1202</v>
      </c>
      <c r="P38" s="243">
        <f t="shared" si="10"/>
        <v>1204</v>
      </c>
      <c r="Q38" s="243">
        <f t="shared" si="3"/>
        <v>1316</v>
      </c>
      <c r="R38" s="87">
        <f ca="1">SUMIF(TPS_mięsa!$P$2:$P$500,O38,TPS_mięsa!$G$2:$G$500)</f>
        <v>0</v>
      </c>
      <c r="S38" s="87">
        <f ca="1">SUMIF(TPS_mięsa!$P$2:$P$500,P38,TPS_mięsa!$G$2:$G$500)</f>
        <v>0</v>
      </c>
      <c r="T38" s="87">
        <f ca="1">SUMIF(TPS_mięsa!$P$2:$P$500,Q38,TPS_mięsa!$G$2:$G$500)</f>
        <v>0</v>
      </c>
      <c r="U38">
        <f t="shared" ca="1" si="4"/>
        <v>0</v>
      </c>
      <c r="W38" s="87">
        <f>SUMIF('Dane stany'!$J$5:$J$371,O38,'Dane stany'!$K$5:$K$371)</f>
        <v>0</v>
      </c>
      <c r="X38" s="87">
        <f>SUMIF('Dane stany'!$J$5:$J$371,P38,'Dane stany'!$K$5:$K$371)</f>
        <v>0</v>
      </c>
      <c r="Y38" s="87">
        <f>SUMIF('Dane stany'!$J$5:$J$371,Q38,'Dane stany'!$K$5:$K$371)</f>
        <v>0</v>
      </c>
      <c r="Z38" s="87">
        <f>SUMIF('Dane stany'!$J$5:$J$371,AD38,'Dane stany'!$K$5:$K$371)</f>
        <v>0</v>
      </c>
      <c r="AA38" s="87">
        <f>SUMIF('Dane stany'!$J$5:$J$371,AE38,'Dane stany'!$K$5:$K$371)</f>
        <v>0</v>
      </c>
      <c r="AB38" s="257">
        <f t="shared" si="5"/>
        <v>0</v>
      </c>
      <c r="AD38" s="243">
        <f t="shared" si="6"/>
        <v>1315</v>
      </c>
      <c r="AE38" s="243">
        <f t="shared" si="7"/>
        <v>9999</v>
      </c>
      <c r="AG38" s="87">
        <f>SUMIF(Rozbiór!$I$3:$I$300,O38,Rozbiór!$J$3:$J$300)</f>
        <v>0</v>
      </c>
      <c r="AH38" s="87">
        <f>SUMIF(Rozbiór!$I$3:$I$300,P38,Rozbiór!$J$3:$J$300)</f>
        <v>0</v>
      </c>
      <c r="AI38" s="87">
        <f>SUMIF(Rozbiór!$I$3:$I$300,Q38,Rozbiór!$J$3:$J$300)</f>
        <v>0</v>
      </c>
      <c r="AJ38" s="87">
        <f>SUMIF(Rozbiór!$I$3:$I$300,AD38,Rozbiór!$J$3:$J$300)</f>
        <v>0</v>
      </c>
      <c r="AK38" s="87">
        <f>SUMIF(Rozbiór!$I$3:$I$300,AE38,Rozbiór!$J$3:$J$300)</f>
        <v>0</v>
      </c>
      <c r="AL38" s="257">
        <f t="shared" si="8"/>
        <v>0</v>
      </c>
    </row>
    <row r="39" spans="2:38">
      <c r="B39" s="78" t="s">
        <v>359</v>
      </c>
      <c r="C39">
        <f ca="1">HLOOKUP(F39,'Receptury '!$DB$99:$HI$101,3,0)</f>
        <v>211</v>
      </c>
      <c r="D39">
        <f ca="1">HLOOKUP(G39,'Receptury '!$DB$99:$HI$101,3,0)</f>
        <v>212</v>
      </c>
      <c r="E39">
        <f ca="1">HLOOKUP(H39,'Receptury '!$DB$99:$HI$101,3,0)</f>
        <v>213</v>
      </c>
      <c r="F39" t="str">
        <f t="shared" si="13"/>
        <v>Mieszanka(5027)_1</v>
      </c>
      <c r="G39" t="str">
        <f t="shared" si="14"/>
        <v>Mieszanka(5027)_2</v>
      </c>
      <c r="H39" t="str">
        <f t="shared" si="15"/>
        <v>Mieszanka(5027)_3</v>
      </c>
      <c r="M39" s="76">
        <v>5027</v>
      </c>
      <c r="N39" s="76" t="s">
        <v>326</v>
      </c>
      <c r="O39" s="243">
        <f t="shared" si="9"/>
        <v>5027</v>
      </c>
      <c r="P39" s="243">
        <f t="shared" si="10"/>
        <v>9999</v>
      </c>
      <c r="Q39" s="243">
        <f t="shared" si="3"/>
        <v>9999</v>
      </c>
      <c r="R39" s="87">
        <f ca="1">SUMIF(TPS_mięsa!$P$2:$P$500,O39,TPS_mięsa!$G$2:$G$500)</f>
        <v>1612</v>
      </c>
      <c r="S39" s="87">
        <f ca="1">SUMIF(TPS_mięsa!$P$2:$P$500,P39,TPS_mięsa!$G$2:$G$500)</f>
        <v>0</v>
      </c>
      <c r="T39" s="87">
        <f ca="1">SUMIF(TPS_mięsa!$P$2:$P$500,Q39,TPS_mięsa!$G$2:$G$500)</f>
        <v>0</v>
      </c>
      <c r="U39">
        <f t="shared" ca="1" si="4"/>
        <v>1</v>
      </c>
      <c r="W39" s="87">
        <f>SUMIF('Dane stany'!$J$5:$J$371,O39,'Dane stany'!$K$5:$K$371)</f>
        <v>1612</v>
      </c>
      <c r="X39" s="87">
        <f>SUMIF('Dane stany'!$J$5:$J$371,P39,'Dane stany'!$K$5:$K$371)</f>
        <v>0</v>
      </c>
      <c r="Y39" s="87">
        <f>SUMIF('Dane stany'!$J$5:$J$371,Q39,'Dane stany'!$K$5:$K$371)</f>
        <v>0</v>
      </c>
      <c r="Z39" s="87">
        <f>SUMIF('Dane stany'!$J$5:$J$371,AD39,'Dane stany'!$K$5:$K$371)</f>
        <v>0</v>
      </c>
      <c r="AA39" s="87">
        <f>SUMIF('Dane stany'!$J$5:$J$371,AE39,'Dane stany'!$K$5:$K$371)</f>
        <v>0</v>
      </c>
      <c r="AB39" s="257">
        <f t="shared" si="5"/>
        <v>1612</v>
      </c>
      <c r="AD39" s="243">
        <f t="shared" si="6"/>
        <v>9999</v>
      </c>
      <c r="AE39" s="243">
        <f t="shared" si="7"/>
        <v>9999</v>
      </c>
      <c r="AG39" s="87">
        <f>SUMIF(Rozbiór!$I$3:$I$300,O39,Rozbiór!$J$3:$J$300)</f>
        <v>0</v>
      </c>
      <c r="AH39" s="87">
        <f>SUMIF(Rozbiór!$I$3:$I$300,P39,Rozbiór!$J$3:$J$300)</f>
        <v>0</v>
      </c>
      <c r="AI39" s="87">
        <f>SUMIF(Rozbiór!$I$3:$I$300,Q39,Rozbiór!$J$3:$J$300)</f>
        <v>0</v>
      </c>
      <c r="AJ39" s="87">
        <f>SUMIF(Rozbiór!$I$3:$I$300,AD39,Rozbiór!$J$3:$J$300)</f>
        <v>0</v>
      </c>
      <c r="AK39" s="87">
        <f>SUMIF(Rozbiór!$I$3:$I$300,AE39,Rozbiór!$J$3:$J$300)</f>
        <v>0</v>
      </c>
      <c r="AL39" s="257">
        <f t="shared" si="8"/>
        <v>0</v>
      </c>
    </row>
    <row r="40" spans="2:38">
      <c r="B40" s="78" t="s">
        <v>358</v>
      </c>
      <c r="C40">
        <f ca="1">HLOOKUP(F40,'Receptury '!$DB$99:$HR$101,3,0)</f>
        <v>214</v>
      </c>
      <c r="D40">
        <f ca="1">HLOOKUP(G40,'Receptury '!$DB$99:$HR$101,3,0)</f>
        <v>215</v>
      </c>
      <c r="E40">
        <f ca="1">HLOOKUP(H40,'Receptury '!$DB$99:$HR$101,3,0)</f>
        <v>216</v>
      </c>
      <c r="F40" t="str">
        <f t="shared" si="13"/>
        <v>Czterogłowy_1</v>
      </c>
      <c r="G40" t="str">
        <f t="shared" si="14"/>
        <v>Czterogłowy_2</v>
      </c>
      <c r="H40" t="str">
        <f t="shared" si="15"/>
        <v>Czterogłowy_3</v>
      </c>
      <c r="M40" s="76" t="s">
        <v>14222</v>
      </c>
      <c r="N40" s="76" t="s">
        <v>358</v>
      </c>
      <c r="O40" s="243">
        <f t="shared" si="9"/>
        <v>2796</v>
      </c>
      <c r="P40" s="243">
        <f t="shared" si="10"/>
        <v>2768</v>
      </c>
      <c r="Q40" s="243">
        <f t="shared" si="3"/>
        <v>1827</v>
      </c>
      <c r="R40" s="87">
        <f ca="1">SUMIF(TPS_mięsa!$P$2:$P$500,O40,TPS_mięsa!$G$2:$G$500)</f>
        <v>6478</v>
      </c>
      <c r="S40" s="87">
        <f ca="1">SUMIF(TPS_mięsa!$P$2:$P$500,P40,TPS_mięsa!$G$2:$G$500)</f>
        <v>0</v>
      </c>
      <c r="T40" s="87">
        <f ca="1">SUMIF(TPS_mięsa!$P$2:$P$500,Q40,TPS_mięsa!$G$2:$G$500)</f>
        <v>0</v>
      </c>
      <c r="U40">
        <f t="shared" ca="1" si="4"/>
        <v>1</v>
      </c>
      <c r="W40" s="87">
        <f>SUMIF('Dane stany'!$J$5:$J$371,O40,'Dane stany'!$K$5:$K$371)</f>
        <v>5913</v>
      </c>
      <c r="X40" s="87">
        <f>SUMIF('Dane stany'!$J$5:$J$371,P40,'Dane stany'!$K$5:$K$371)</f>
        <v>0</v>
      </c>
      <c r="Y40" s="87">
        <f>SUMIF('Dane stany'!$J$5:$J$371,Q40,'Dane stany'!$K$5:$K$371)</f>
        <v>0</v>
      </c>
      <c r="Z40" s="87">
        <f>SUMIF('Dane stany'!$J$5:$J$371,AD40,'Dane stany'!$K$5:$K$371)</f>
        <v>0</v>
      </c>
      <c r="AA40" s="87">
        <f>SUMIF('Dane stany'!$J$5:$J$371,AE40,'Dane stany'!$K$5:$K$371)</f>
        <v>0</v>
      </c>
      <c r="AB40" s="257">
        <f t="shared" si="5"/>
        <v>5913</v>
      </c>
      <c r="AD40" s="243">
        <f t="shared" si="6"/>
        <v>9999</v>
      </c>
      <c r="AE40" s="243">
        <f t="shared" si="7"/>
        <v>9999</v>
      </c>
      <c r="AG40" s="87">
        <f>SUMIF(Rozbiór!$I$3:$I$300,O40,Rozbiór!$J$3:$J$300)</f>
        <v>5600</v>
      </c>
      <c r="AH40" s="87">
        <f>SUMIF(Rozbiór!$I$3:$I$300,P40,Rozbiór!$J$3:$J$300)</f>
        <v>0</v>
      </c>
      <c r="AI40" s="87">
        <f>SUMIF(Rozbiór!$I$3:$I$300,Q40,Rozbiór!$J$3:$J$300)</f>
        <v>0</v>
      </c>
      <c r="AJ40" s="87">
        <f>SUMIF(Rozbiór!$I$3:$I$300,AD40,Rozbiór!$J$3:$J$300)</f>
        <v>0</v>
      </c>
      <c r="AK40" s="87">
        <f>SUMIF(Rozbiór!$I$3:$I$300,AE40,Rozbiór!$J$3:$J$300)</f>
        <v>0</v>
      </c>
      <c r="AL40" s="257">
        <f t="shared" si="8"/>
        <v>5600</v>
      </c>
    </row>
    <row r="41" spans="2:38">
      <c r="B41" s="78" t="s">
        <v>17862</v>
      </c>
      <c r="C41">
        <f ca="1">HLOOKUP(F41,'Receptury '!$DB$99:$HR$101,3,0)</f>
        <v>217</v>
      </c>
      <c r="D41">
        <f ca="1">HLOOKUP(G41,'Receptury '!$DB$99:$HR$101,3,0)</f>
        <v>218</v>
      </c>
      <c r="E41">
        <f ca="1">HLOOKUP(H41,'Receptury '!$DB$99:$HR$101,3,0)</f>
        <v>219</v>
      </c>
      <c r="F41" t="str">
        <f>_xlfn.CONCAT(B41,"_",1)</f>
        <v>Tryming 65/35 maski_1</v>
      </c>
      <c r="G41" t="str">
        <f>_xlfn.CONCAT(B41,"_",2)</f>
        <v>Tryming 65/35 maski_2</v>
      </c>
      <c r="H41" t="str">
        <f>_xlfn.CONCAT(B41,"_",3)</f>
        <v>Tryming 65/35 maski_3</v>
      </c>
      <c r="M41" s="76">
        <v>2231</v>
      </c>
      <c r="N41" s="76" t="s">
        <v>17862</v>
      </c>
      <c r="O41" s="243">
        <f t="shared" si="9"/>
        <v>2231</v>
      </c>
      <c r="P41" s="243">
        <f t="shared" si="10"/>
        <v>9999</v>
      </c>
      <c r="Q41" s="243">
        <f t="shared" si="3"/>
        <v>9999</v>
      </c>
      <c r="R41" s="87">
        <f ca="1">SUMIF(TPS_mięsa!$P$2:$P$500,O41,TPS_mięsa!$G$2:$G$500)</f>
        <v>0</v>
      </c>
      <c r="S41" s="87">
        <f ca="1">SUMIF(TPS_mięsa!$P$2:$P$500,P41,TPS_mięsa!$G$2:$G$500)</f>
        <v>0</v>
      </c>
      <c r="T41" s="87">
        <f ca="1">SUMIF(TPS_mięsa!$P$2:$P$500,Q41,TPS_mięsa!$G$2:$G$500)</f>
        <v>0</v>
      </c>
      <c r="U41">
        <f t="shared" ca="1" si="4"/>
        <v>0</v>
      </c>
      <c r="W41" s="87">
        <f>SUMIF('Dane stany'!$J$5:$J$371,O41,'Dane stany'!$K$5:$K$371)</f>
        <v>0</v>
      </c>
      <c r="X41" s="87">
        <f>SUMIF('Dane stany'!$J$5:$J$371,P41,'Dane stany'!$K$5:$K$371)</f>
        <v>0</v>
      </c>
      <c r="Y41" s="87">
        <f>SUMIF('Dane stany'!$J$5:$J$371,Q41,'Dane stany'!$K$5:$K$371)</f>
        <v>0</v>
      </c>
      <c r="Z41" s="87">
        <f>SUMIF('Dane stany'!$J$5:$J$371,AD41,'Dane stany'!$K$5:$K$371)</f>
        <v>0</v>
      </c>
      <c r="AA41" s="87">
        <f>SUMIF('Dane stany'!$J$5:$J$371,AE41,'Dane stany'!$K$5:$K$371)</f>
        <v>0</v>
      </c>
      <c r="AB41" s="257">
        <f t="shared" si="5"/>
        <v>0</v>
      </c>
      <c r="AD41" s="243">
        <f t="shared" si="6"/>
        <v>9999</v>
      </c>
      <c r="AE41" s="243">
        <f t="shared" si="7"/>
        <v>9999</v>
      </c>
      <c r="AG41" s="87">
        <f>SUMIF(Rozbiór!$I$3:$I$300,O41,Rozbiór!$J$3:$J$300)</f>
        <v>0</v>
      </c>
      <c r="AH41" s="87">
        <f>SUMIF(Rozbiór!$I$3:$I$300,P41,Rozbiór!$J$3:$J$300)</f>
        <v>0</v>
      </c>
      <c r="AI41" s="87">
        <f>SUMIF(Rozbiór!$I$3:$I$300,Q41,Rozbiór!$J$3:$J$300)</f>
        <v>0</v>
      </c>
      <c r="AJ41" s="87">
        <f>SUMIF(Rozbiór!$I$3:$I$300,AD41,Rozbiór!$J$3:$J$300)</f>
        <v>0</v>
      </c>
      <c r="AK41" s="87">
        <f>SUMIF(Rozbiór!$I$3:$I$300,AE41,Rozbiór!$J$3:$J$300)</f>
        <v>0</v>
      </c>
      <c r="AL41" s="257">
        <f t="shared" si="8"/>
        <v>0</v>
      </c>
    </row>
    <row r="42" spans="2:38">
      <c r="B42" s="78" t="s">
        <v>15559</v>
      </c>
      <c r="C42">
        <f ca="1">HLOOKUP(F42,'Receptury '!$DB$99:$HR$101,3,0)</f>
        <v>220</v>
      </c>
      <c r="D42">
        <f ca="1">HLOOKUP(G42,'Receptury '!$DB$99:$HR$101,3,0)</f>
        <v>221</v>
      </c>
      <c r="E42">
        <f ca="1">HLOOKUP(H42,'Receptury '!$DB$99:$HR$101,3,0)</f>
        <v>222</v>
      </c>
      <c r="F42" t="str">
        <f>_xlfn.CONCAT(B42,"_",1)</f>
        <v>Tryming 70/30_1</v>
      </c>
      <c r="G42" t="str">
        <f>_xlfn.CONCAT(B42,"_",2)</f>
        <v>Tryming 70/30_2</v>
      </c>
      <c r="H42" t="str">
        <f>_xlfn.CONCAT(B42,"_",3)</f>
        <v>Tryming 70/30_3</v>
      </c>
      <c r="M42" s="76">
        <v>2194</v>
      </c>
      <c r="N42" s="76" t="s">
        <v>15559</v>
      </c>
      <c r="O42" s="243">
        <f t="shared" si="9"/>
        <v>2194</v>
      </c>
      <c r="P42" s="243">
        <f t="shared" si="10"/>
        <v>9999</v>
      </c>
      <c r="Q42" s="243">
        <f t="shared" si="3"/>
        <v>9999</v>
      </c>
      <c r="R42" s="87">
        <f ca="1">SUMIF(TPS_mięsa!$P$2:$P$500,O42,TPS_mięsa!$G$2:$G$500)</f>
        <v>0</v>
      </c>
      <c r="S42" s="87">
        <f ca="1">SUMIF(TPS_mięsa!$P$2:$P$500,P42,TPS_mięsa!$G$2:$G$500)</f>
        <v>0</v>
      </c>
      <c r="T42" s="87">
        <f ca="1">SUMIF(TPS_mięsa!$P$2:$P$500,Q42,TPS_mięsa!$G$2:$G$500)</f>
        <v>0</v>
      </c>
      <c r="U42">
        <f t="shared" ca="1" si="4"/>
        <v>0</v>
      </c>
      <c r="W42" s="87">
        <f>SUMIF('Dane stany'!$J$5:$J$371,O42,'Dane stany'!$K$5:$K$371)</f>
        <v>0</v>
      </c>
      <c r="X42" s="87">
        <f>SUMIF('Dane stany'!$J$5:$J$371,P42,'Dane stany'!$K$5:$K$371)</f>
        <v>0</v>
      </c>
      <c r="Y42" s="87">
        <f>SUMIF('Dane stany'!$J$5:$J$371,Q42,'Dane stany'!$K$5:$K$371)</f>
        <v>0</v>
      </c>
      <c r="Z42" s="87">
        <f>SUMIF('Dane stany'!$J$5:$J$371,AD42,'Dane stany'!$K$5:$K$371)</f>
        <v>0</v>
      </c>
      <c r="AA42" s="87">
        <f>SUMIF('Dane stany'!$J$5:$J$371,AE42,'Dane stany'!$K$5:$K$371)</f>
        <v>0</v>
      </c>
      <c r="AB42" s="257">
        <f t="shared" si="5"/>
        <v>0</v>
      </c>
      <c r="AD42" s="243">
        <f t="shared" si="6"/>
        <v>9999</v>
      </c>
      <c r="AE42" s="243">
        <f t="shared" si="7"/>
        <v>9999</v>
      </c>
      <c r="AG42" s="87">
        <f>SUMIF(Rozbiór!$I$3:$I$300,O42,Rozbiór!$J$3:$J$300)</f>
        <v>0</v>
      </c>
      <c r="AH42" s="87">
        <f>SUMIF(Rozbiór!$I$3:$I$300,P42,Rozbiór!$J$3:$J$300)</f>
        <v>0</v>
      </c>
      <c r="AI42" s="87">
        <f>SUMIF(Rozbiór!$I$3:$I$300,Q42,Rozbiór!$J$3:$J$300)</f>
        <v>0</v>
      </c>
      <c r="AJ42" s="87">
        <f>SUMIF(Rozbiór!$I$3:$I$300,AD42,Rozbiór!$J$3:$J$300)</f>
        <v>0</v>
      </c>
      <c r="AK42" s="87">
        <f>SUMIF(Rozbiór!$I$3:$I$300,AE42,Rozbiór!$J$3:$J$300)</f>
        <v>0</v>
      </c>
      <c r="AL42" s="257">
        <f t="shared" si="8"/>
        <v>0</v>
      </c>
    </row>
    <row r="43" spans="2:38">
      <c r="B43" s="78" t="s">
        <v>17971</v>
      </c>
      <c r="C43">
        <f ca="1">HLOOKUP(F43,'Receptury '!$DB$99:$IA$101,3,0)</f>
        <v>223</v>
      </c>
      <c r="D43">
        <f ca="1">HLOOKUP(G43,'Receptury '!$DB$99:$IA$101,3,0)</f>
        <v>224</v>
      </c>
      <c r="E43">
        <f ca="1">HLOOKUP(H43,'Receptury '!$DB$99:$IA$101,3,0)</f>
        <v>225</v>
      </c>
      <c r="F43" t="str">
        <f>_xlfn.CONCAT(B43,"_",1)</f>
        <v>KK M-SO MIX  JASNE D6_1</v>
      </c>
      <c r="G43" t="str">
        <f>_xlfn.CONCAT(B43,"_",2)</f>
        <v>KK M-SO MIX  JASNE D6_2</v>
      </c>
      <c r="H43" t="str">
        <f>_xlfn.CONCAT(B43,"_",3)</f>
        <v>KK M-SO MIX  JASNE D6_3</v>
      </c>
      <c r="M43" s="76"/>
      <c r="N43" s="76" t="s">
        <v>181</v>
      </c>
      <c r="O43" s="243">
        <f t="shared" si="9"/>
        <v>9999</v>
      </c>
      <c r="P43" s="243">
        <f t="shared" si="10"/>
        <v>9999</v>
      </c>
      <c r="Q43" s="243">
        <f t="shared" si="3"/>
        <v>9999</v>
      </c>
      <c r="R43" s="87">
        <f ca="1">SUMIF(TPS_mięsa!$P$2:$P$500,O43,TPS_mięsa!$G$2:$G$500)</f>
        <v>0</v>
      </c>
      <c r="S43" s="87">
        <f ca="1">SUMIF(TPS_mięsa!$P$2:$P$500,P43,TPS_mięsa!$G$2:$G$500)</f>
        <v>0</v>
      </c>
      <c r="T43" s="87">
        <f ca="1">SUMIF(TPS_mięsa!$P$2:$P$500,Q43,TPS_mięsa!$G$2:$G$500)</f>
        <v>0</v>
      </c>
      <c r="U43">
        <f t="shared" ca="1" si="4"/>
        <v>0</v>
      </c>
      <c r="W43" s="87">
        <f>SUMIF('Dane stany'!$J$5:$J$371,O43,'Dane stany'!$K$5:$K$371)</f>
        <v>0</v>
      </c>
      <c r="X43" s="87">
        <f>SUMIF('Dane stany'!$J$5:$J$371,P43,'Dane stany'!$K$5:$K$371)</f>
        <v>0</v>
      </c>
      <c r="Y43" s="87">
        <f>SUMIF('Dane stany'!$J$5:$J$371,Q43,'Dane stany'!$K$5:$K$371)</f>
        <v>0</v>
      </c>
      <c r="Z43" s="87">
        <f>SUMIF('Dane stany'!$J$5:$J$371,AD43,'Dane stany'!$K$5:$K$371)</f>
        <v>0</v>
      </c>
      <c r="AA43" s="87">
        <f>SUMIF('Dane stany'!$J$5:$J$371,AE43,'Dane stany'!$K$5:$K$371)</f>
        <v>0</v>
      </c>
      <c r="AB43" s="257">
        <f t="shared" si="5"/>
        <v>0</v>
      </c>
      <c r="AD43" s="243">
        <f t="shared" si="6"/>
        <v>9999</v>
      </c>
      <c r="AE43" s="243">
        <f t="shared" si="7"/>
        <v>9999</v>
      </c>
      <c r="AG43" s="87">
        <f>SUMIF(Rozbiór!$I$3:$I$300,O43,Rozbiór!$J$3:$J$300)</f>
        <v>0</v>
      </c>
      <c r="AH43" s="87">
        <f>SUMIF(Rozbiór!$I$3:$I$300,P43,Rozbiór!$J$3:$J$300)</f>
        <v>0</v>
      </c>
      <c r="AI43" s="87">
        <f>SUMIF(Rozbiór!$I$3:$I$300,Q43,Rozbiór!$J$3:$J$300)</f>
        <v>0</v>
      </c>
      <c r="AJ43" s="87">
        <f>SUMIF(Rozbiór!$I$3:$I$300,AD43,Rozbiór!$J$3:$J$300)</f>
        <v>0</v>
      </c>
      <c r="AK43" s="87">
        <f>SUMIF(Rozbiór!$I$3:$I$300,AE43,Rozbiór!$J$3:$J$300)</f>
        <v>0</v>
      </c>
      <c r="AL43" s="257">
        <f t="shared" si="8"/>
        <v>0</v>
      </c>
    </row>
    <row r="44" spans="2:38">
      <c r="B44" s="78" t="s">
        <v>8517</v>
      </c>
      <c r="C44">
        <f ca="1">HLOOKUP(F44,'Receptury '!$DB$99:$IA$101,3,0)</f>
        <v>226</v>
      </c>
      <c r="D44">
        <f ca="1">HLOOKUP(G44,'Receptury '!$DB$99:$IA$101,3,0)</f>
        <v>227</v>
      </c>
      <c r="E44">
        <f ca="1">HLOOKUP(H44,'Receptury '!$DB$99:$IA$101,3,0)</f>
        <v>228</v>
      </c>
      <c r="F44" t="str">
        <f t="shared" ref="F44:F46" si="16">_xlfn.CONCAT(B44,"_",1)</f>
        <v>M-so kl. 3B_1</v>
      </c>
      <c r="G44" t="str">
        <f t="shared" ref="G44:G46" si="17">_xlfn.CONCAT(B44,"_",2)</f>
        <v>M-so kl. 3B_2</v>
      </c>
      <c r="H44" t="str">
        <f t="shared" ref="H44:H46" si="18">_xlfn.CONCAT(B44,"_",3)</f>
        <v>M-so kl. 3B_3</v>
      </c>
      <c r="M44" s="76"/>
      <c r="N44" s="76" t="s">
        <v>180</v>
      </c>
      <c r="O44" s="243">
        <f t="shared" si="9"/>
        <v>9999</v>
      </c>
      <c r="P44" s="243">
        <f t="shared" si="10"/>
        <v>9999</v>
      </c>
      <c r="Q44" s="243">
        <f t="shared" si="3"/>
        <v>9999</v>
      </c>
      <c r="R44" s="87">
        <f ca="1">SUMIF(TPS_mięsa!$P$2:$P$500,O44,TPS_mięsa!$G$2:$G$500)</f>
        <v>0</v>
      </c>
      <c r="S44" s="87">
        <f ca="1">SUMIF(TPS_mięsa!$P$2:$P$500,P44,TPS_mięsa!$G$2:$G$500)</f>
        <v>0</v>
      </c>
      <c r="T44" s="87">
        <f ca="1">SUMIF(TPS_mięsa!$P$2:$P$500,Q44,TPS_mięsa!$G$2:$G$500)</f>
        <v>0</v>
      </c>
      <c r="U44">
        <f t="shared" ca="1" si="4"/>
        <v>0</v>
      </c>
      <c r="W44" s="87">
        <f>SUMIF('Dane stany'!$J$5:$J$371,O44,'Dane stany'!$K$5:$K$371)</f>
        <v>0</v>
      </c>
      <c r="X44" s="87">
        <f>SUMIF('Dane stany'!$J$5:$J$371,P44,'Dane stany'!$K$5:$K$371)</f>
        <v>0</v>
      </c>
      <c r="Y44" s="87">
        <f>SUMIF('Dane stany'!$J$5:$J$371,Q44,'Dane stany'!$K$5:$K$371)</f>
        <v>0</v>
      </c>
      <c r="Z44" s="87">
        <f>SUMIF('Dane stany'!$J$5:$J$371,AD44,'Dane stany'!$K$5:$K$371)</f>
        <v>0</v>
      </c>
      <c r="AA44" s="87">
        <f>SUMIF('Dane stany'!$J$5:$J$371,AE44,'Dane stany'!$K$5:$K$371)</f>
        <v>0</v>
      </c>
      <c r="AB44" s="257">
        <f t="shared" si="5"/>
        <v>0</v>
      </c>
      <c r="AD44" s="243">
        <f t="shared" si="6"/>
        <v>9999</v>
      </c>
      <c r="AE44" s="243">
        <f t="shared" si="7"/>
        <v>9999</v>
      </c>
      <c r="AG44" s="87">
        <f>SUMIF(Rozbiór!$I$3:$I$300,O44,Rozbiór!$J$3:$J$300)</f>
        <v>0</v>
      </c>
      <c r="AH44" s="87">
        <f>SUMIF(Rozbiór!$I$3:$I$300,P44,Rozbiór!$J$3:$J$300)</f>
        <v>0</v>
      </c>
      <c r="AI44" s="87">
        <f>SUMIF(Rozbiór!$I$3:$I$300,Q44,Rozbiór!$J$3:$J$300)</f>
        <v>0</v>
      </c>
      <c r="AJ44" s="87">
        <f>SUMIF(Rozbiór!$I$3:$I$300,AD44,Rozbiór!$J$3:$J$300)</f>
        <v>0</v>
      </c>
      <c r="AK44" s="87">
        <f>SUMIF(Rozbiór!$I$3:$I$300,AE44,Rozbiór!$J$3:$J$300)</f>
        <v>0</v>
      </c>
      <c r="AL44" s="257">
        <f t="shared" si="8"/>
        <v>0</v>
      </c>
    </row>
    <row r="45" spans="2:38">
      <c r="B45" s="78" t="s">
        <v>17956</v>
      </c>
      <c r="C45">
        <f ca="1">HLOOKUP(F45,'Receptury '!$DB$99:$IA$101,3,0)</f>
        <v>229</v>
      </c>
      <c r="D45">
        <f ca="1">HLOOKUP(G45,'Receptury '!$DB$99:$IA$101,3,0)</f>
        <v>230</v>
      </c>
      <c r="E45">
        <f ca="1">HLOOKUP(H45,'Receptury '!$DB$99:$IA$101,3,0)</f>
        <v>231</v>
      </c>
      <c r="F45" t="str">
        <f t="shared" si="16"/>
        <v>M-so z Fileta_1</v>
      </c>
      <c r="G45" t="str">
        <f t="shared" si="17"/>
        <v>M-so z Fileta_2</v>
      </c>
      <c r="H45" t="str">
        <f t="shared" si="18"/>
        <v>M-so z Fileta_3</v>
      </c>
      <c r="M45" s="76">
        <v>2395</v>
      </c>
      <c r="N45" s="76" t="s">
        <v>179</v>
      </c>
      <c r="O45" s="243">
        <f t="shared" si="9"/>
        <v>2395</v>
      </c>
      <c r="P45" s="243">
        <f t="shared" si="10"/>
        <v>9999</v>
      </c>
      <c r="Q45" s="243">
        <f t="shared" si="3"/>
        <v>9999</v>
      </c>
      <c r="R45" s="87">
        <f ca="1">SUMIF(TPS_mięsa!$P$2:$P$500,O45,TPS_mięsa!$G$2:$G$500)</f>
        <v>0</v>
      </c>
      <c r="S45" s="87">
        <f ca="1">SUMIF(TPS_mięsa!$P$2:$P$500,P45,TPS_mięsa!$G$2:$G$500)</f>
        <v>0</v>
      </c>
      <c r="T45" s="87">
        <f ca="1">SUMIF(TPS_mięsa!$P$2:$P$500,Q45,TPS_mięsa!$G$2:$G$500)</f>
        <v>0</v>
      </c>
      <c r="U45">
        <f t="shared" ca="1" si="4"/>
        <v>0</v>
      </c>
      <c r="W45" s="87">
        <f>SUMIF('Dane stany'!$J$5:$J$371,O45,'Dane stany'!$K$5:$K$371)</f>
        <v>0</v>
      </c>
      <c r="X45" s="87">
        <f>SUMIF('Dane stany'!$J$5:$J$371,P45,'Dane stany'!$K$5:$K$371)</f>
        <v>0</v>
      </c>
      <c r="Y45" s="87">
        <f>SUMIF('Dane stany'!$J$5:$J$371,Q45,'Dane stany'!$K$5:$K$371)</f>
        <v>0</v>
      </c>
      <c r="Z45" s="87">
        <f>SUMIF('Dane stany'!$J$5:$J$371,AD45,'Dane stany'!$K$5:$K$371)</f>
        <v>0</v>
      </c>
      <c r="AA45" s="87">
        <f>SUMIF('Dane stany'!$J$5:$J$371,AE45,'Dane stany'!$K$5:$K$371)</f>
        <v>0</v>
      </c>
      <c r="AB45" s="257">
        <f t="shared" si="5"/>
        <v>0</v>
      </c>
      <c r="AD45" s="243">
        <f t="shared" si="6"/>
        <v>9999</v>
      </c>
      <c r="AE45" s="243">
        <f t="shared" si="7"/>
        <v>9999</v>
      </c>
      <c r="AG45" s="87">
        <f>SUMIF(Rozbiór!$I$3:$I$300,O45,Rozbiór!$J$3:$J$300)</f>
        <v>0</v>
      </c>
      <c r="AH45" s="87">
        <f>SUMIF(Rozbiór!$I$3:$I$300,P45,Rozbiór!$J$3:$J$300)</f>
        <v>0</v>
      </c>
      <c r="AI45" s="87">
        <f>SUMIF(Rozbiór!$I$3:$I$300,Q45,Rozbiór!$J$3:$J$300)</f>
        <v>0</v>
      </c>
      <c r="AJ45" s="87">
        <f>SUMIF(Rozbiór!$I$3:$I$300,AD45,Rozbiór!$J$3:$J$300)</f>
        <v>0</v>
      </c>
      <c r="AK45" s="87">
        <f>SUMIF(Rozbiór!$I$3:$I$300,AE45,Rozbiór!$J$3:$J$300)</f>
        <v>0</v>
      </c>
      <c r="AL45" s="257">
        <f t="shared" si="8"/>
        <v>0</v>
      </c>
    </row>
    <row r="46" spans="2:38">
      <c r="B46" s="78" t="s">
        <v>17957</v>
      </c>
      <c r="C46">
        <f ca="1">HLOOKUP(F46,'Receptury '!$DB$99:$IO$101,3,0)</f>
        <v>232</v>
      </c>
      <c r="D46">
        <f ca="1">HLOOKUP(G46,'Receptury '!$DB$99:$IO$101,3,0)</f>
        <v>233</v>
      </c>
      <c r="E46">
        <f ca="1">HLOOKUP(H46,'Receptury '!$DB$99:$IO$101,3,0)</f>
        <v>234</v>
      </c>
      <c r="F46" t="str">
        <f t="shared" si="16"/>
        <v>Noga z/s_1</v>
      </c>
      <c r="G46" t="str">
        <f t="shared" si="17"/>
        <v>Noga z/s_2</v>
      </c>
      <c r="H46" t="str">
        <f t="shared" si="18"/>
        <v>Noga z/s_3</v>
      </c>
      <c r="M46" s="76" t="s">
        <v>17325</v>
      </c>
      <c r="N46" s="76" t="s">
        <v>77</v>
      </c>
      <c r="O46" s="243">
        <f t="shared" si="9"/>
        <v>2209</v>
      </c>
      <c r="P46" s="243">
        <f t="shared" si="10"/>
        <v>1923</v>
      </c>
      <c r="Q46" s="243">
        <f t="shared" si="3"/>
        <v>2222</v>
      </c>
      <c r="R46" s="87">
        <f ca="1">SUMIF(TPS_mięsa!$P$2:$P$500,O46,TPS_mięsa!$G$2:$G$500)</f>
        <v>116.5</v>
      </c>
      <c r="S46" s="87">
        <f ca="1">SUMIF(TPS_mięsa!$P$2:$P$500,P46,TPS_mięsa!$G$2:$G$500)</f>
        <v>1244</v>
      </c>
      <c r="T46" s="87">
        <f ca="1">SUMIF(TPS_mięsa!$P$2:$P$500,Q46,TPS_mięsa!$G$2:$G$500)</f>
        <v>2546</v>
      </c>
      <c r="U46">
        <f t="shared" ca="1" si="4"/>
        <v>3</v>
      </c>
      <c r="W46" s="87">
        <f>SUMIF('Dane stany'!$J$5:$J$371,O46,'Dane stany'!$K$5:$K$371)</f>
        <v>116.5</v>
      </c>
      <c r="X46" s="87">
        <f>SUMIF('Dane stany'!$J$5:$J$371,P46,'Dane stany'!$K$5:$K$371)</f>
        <v>1044</v>
      </c>
      <c r="Y46" s="87">
        <f>SUMIF('Dane stany'!$J$5:$J$371,Q46,'Dane stany'!$K$5:$K$371)</f>
        <v>2105</v>
      </c>
      <c r="Z46" s="87">
        <f>SUMIF('Dane stany'!$J$5:$J$371,AD46,'Dane stany'!$K$5:$K$371)</f>
        <v>0</v>
      </c>
      <c r="AA46" s="87">
        <f>SUMIF('Dane stany'!$J$5:$J$371,AE46,'Dane stany'!$K$5:$K$371)</f>
        <v>7414</v>
      </c>
      <c r="AB46" s="257">
        <f t="shared" si="5"/>
        <v>10679.5</v>
      </c>
      <c r="AD46" s="243">
        <f t="shared" si="6"/>
        <v>2220</v>
      </c>
      <c r="AE46" s="243">
        <f t="shared" si="7"/>
        <v>5209</v>
      </c>
      <c r="AG46" s="87">
        <f>SUMIF(Rozbiór!$I$3:$I$300,O46,Rozbiór!$J$3:$J$300)</f>
        <v>800</v>
      </c>
      <c r="AH46" s="87">
        <f>SUMIF(Rozbiór!$I$3:$I$300,P46,Rozbiór!$J$3:$J$300)</f>
        <v>1800</v>
      </c>
      <c r="AI46" s="87">
        <f>SUMIF(Rozbiór!$I$3:$I$300,Q46,Rozbiór!$J$3:$J$300)</f>
        <v>3200</v>
      </c>
      <c r="AJ46" s="87">
        <f>SUMIF(Rozbiór!$I$3:$I$300,AD46,Rozbiór!$J$3:$J$300)</f>
        <v>0</v>
      </c>
      <c r="AK46" s="87">
        <f>SUMIF(Rozbiór!$I$3:$I$300,AE46,Rozbiór!$J$3:$J$300)</f>
        <v>0</v>
      </c>
      <c r="AL46" s="257">
        <f t="shared" si="8"/>
        <v>5800</v>
      </c>
    </row>
    <row r="47" spans="2:38">
      <c r="B47" s="78" t="s">
        <v>17958</v>
      </c>
      <c r="C47">
        <f ca="1">HLOOKUP(F47,'Receptury '!$DB$99:$IO$101,3,0)</f>
        <v>235</v>
      </c>
      <c r="D47">
        <f ca="1">HLOOKUP(G47,'Receptury '!$DB$99:$IO$101,3,0)</f>
        <v>236</v>
      </c>
      <c r="E47">
        <f ca="1">HLOOKUP(H47,'Receptury '!$DB$99:$IO$101,3,0)</f>
        <v>237</v>
      </c>
      <c r="F47" t="str">
        <f t="shared" ref="F47:F49" si="19">_xlfn.CONCAT(B47,"_",1)</f>
        <v>Podudzie z/s_1</v>
      </c>
      <c r="G47" t="str">
        <f t="shared" ref="G47:G49" si="20">_xlfn.CONCAT(B47,"_",2)</f>
        <v>Podudzie z/s_2</v>
      </c>
      <c r="H47" t="str">
        <f t="shared" ref="H47:H49" si="21">_xlfn.CONCAT(B47,"_",3)</f>
        <v>Podudzie z/s_3</v>
      </c>
      <c r="M47" s="76">
        <v>3043</v>
      </c>
      <c r="N47" s="76" t="s">
        <v>17971</v>
      </c>
      <c r="O47" s="243">
        <f t="shared" si="9"/>
        <v>3043</v>
      </c>
      <c r="P47" s="243">
        <f t="shared" si="10"/>
        <v>9999</v>
      </c>
      <c r="Q47" s="243">
        <f t="shared" si="3"/>
        <v>9999</v>
      </c>
      <c r="R47" s="87">
        <f ca="1">SUMIF(TPS_mięsa!$P$2:$P$500,O47,TPS_mięsa!$G$2:$G$500)</f>
        <v>0</v>
      </c>
      <c r="S47" s="87">
        <f ca="1">SUMIF(TPS_mięsa!$P$2:$P$500,P47,TPS_mięsa!$G$2:$G$500)</f>
        <v>0</v>
      </c>
      <c r="T47" s="87">
        <f ca="1">SUMIF(TPS_mięsa!$P$2:$P$500,Q47,TPS_mięsa!$G$2:$G$500)</f>
        <v>0</v>
      </c>
      <c r="U47">
        <f ca="1">COUNTIF(R47:T47,"&gt;0")</f>
        <v>0</v>
      </c>
      <c r="W47" s="87">
        <f>SUMIF('Dane stany'!$J$5:$J$371,O47,'Dane stany'!$K$5:$K$371)</f>
        <v>0</v>
      </c>
      <c r="X47" s="87">
        <f>SUMIF('Dane stany'!$J$5:$J$371,P47,'Dane stany'!$K$5:$K$371)</f>
        <v>0</v>
      </c>
      <c r="Y47" s="87">
        <f>SUMIF('Dane stany'!$J$5:$J$371,Q47,'Dane stany'!$K$5:$K$371)</f>
        <v>0</v>
      </c>
      <c r="Z47" s="87">
        <f>SUMIF('Dane stany'!$J$5:$J$371,AD47,'Dane stany'!$K$5:$K$371)</f>
        <v>0</v>
      </c>
      <c r="AA47" s="87">
        <f>SUMIF('Dane stany'!$J$5:$J$371,AE47,'Dane stany'!$K$5:$K$371)</f>
        <v>0</v>
      </c>
      <c r="AB47" s="257">
        <f>SUM(W47:AA47)</f>
        <v>0</v>
      </c>
      <c r="AD47" s="243">
        <f t="shared" si="6"/>
        <v>9999</v>
      </c>
      <c r="AE47" s="243">
        <f t="shared" si="7"/>
        <v>9999</v>
      </c>
      <c r="AG47" s="87">
        <f>SUMIF(Rozbiór!$I$3:$I$300,O47,Rozbiór!$J$3:$J$300)</f>
        <v>0</v>
      </c>
      <c r="AH47" s="87">
        <f>SUMIF(Rozbiór!$I$3:$I$300,P47,Rozbiór!$J$3:$J$300)</f>
        <v>0</v>
      </c>
      <c r="AI47" s="87">
        <f>SUMIF(Rozbiór!$I$3:$I$300,Q47,Rozbiór!$J$3:$J$300)</f>
        <v>0</v>
      </c>
      <c r="AJ47" s="87">
        <f>SUMIF(Rozbiór!$I$3:$I$300,AD47,Rozbiór!$J$3:$J$300)</f>
        <v>0</v>
      </c>
      <c r="AK47" s="87">
        <f>SUMIF(Rozbiór!$I$3:$I$300,AE47,Rozbiór!$J$3:$J$300)</f>
        <v>0</v>
      </c>
      <c r="AL47" s="257">
        <f>SUM(AG47:AK47)</f>
        <v>0</v>
      </c>
    </row>
    <row r="48" spans="2:38">
      <c r="B48" s="78" t="s">
        <v>17959</v>
      </c>
      <c r="C48">
        <f ca="1">HLOOKUP(F48,'Receptury '!$DB$99:$IO$101,3,0)</f>
        <v>238</v>
      </c>
      <c r="D48">
        <f ca="1">HLOOKUP(G48,'Receptury '!$DB$99:$IO$101,3,0)</f>
        <v>239</v>
      </c>
      <c r="E48">
        <f ca="1">HLOOKUP(H48,'Receptury '!$DB$99:$IO$101,3,0)</f>
        <v>240</v>
      </c>
      <c r="F48" t="str">
        <f t="shared" si="19"/>
        <v>M-so z Nogi_1</v>
      </c>
      <c r="G48" t="str">
        <f t="shared" si="20"/>
        <v>M-so z Nogi_2</v>
      </c>
      <c r="H48" t="str">
        <f t="shared" si="21"/>
        <v>M-so z Nogi_3</v>
      </c>
      <c r="M48" s="407">
        <v>2208</v>
      </c>
      <c r="N48" s="76" t="s">
        <v>8517</v>
      </c>
      <c r="O48" s="243">
        <f t="shared" si="9"/>
        <v>2208</v>
      </c>
      <c r="P48" s="243">
        <f t="shared" si="10"/>
        <v>9999</v>
      </c>
      <c r="Q48" s="243">
        <f t="shared" si="3"/>
        <v>9999</v>
      </c>
      <c r="R48" s="87">
        <f ca="1">SUMIF(TPS_mięsa!$P$2:$P$500,O48,TPS_mięsa!$G$2:$G$500)</f>
        <v>2018.5</v>
      </c>
      <c r="S48" s="87">
        <f ca="1">SUMIF(TPS_mięsa!$P$2:$P$500,P48,TPS_mięsa!$G$2:$G$500)</f>
        <v>0</v>
      </c>
      <c r="T48" s="87">
        <f ca="1">SUMIF(TPS_mięsa!$P$2:$P$500,Q48,TPS_mięsa!$G$2:$G$500)</f>
        <v>0</v>
      </c>
      <c r="U48">
        <f ca="1">COUNTIF(R48:T48,"&gt;0")</f>
        <v>1</v>
      </c>
      <c r="W48" s="87">
        <f>SUMIF('Dane stany'!$J$5:$J$371,O48,'Dane stany'!$K$5:$K$371)</f>
        <v>2018.5</v>
      </c>
      <c r="X48" s="87">
        <f>SUMIF('Dane stany'!$J$5:$J$371,P48,'Dane stany'!$K$5:$K$371)</f>
        <v>0</v>
      </c>
      <c r="Y48" s="87">
        <f>SUMIF('Dane stany'!$J$5:$J$371,Q48,'Dane stany'!$K$5:$K$371)</f>
        <v>0</v>
      </c>
      <c r="Z48" s="87">
        <f>SUMIF('Dane stany'!$J$5:$J$371,AD48,'Dane stany'!$K$5:$K$371)</f>
        <v>0</v>
      </c>
      <c r="AA48" s="87">
        <f>SUMIF('Dane stany'!$J$5:$J$371,AE48,'Dane stany'!$K$5:$K$371)</f>
        <v>0</v>
      </c>
      <c r="AB48" s="257">
        <f>SUM(W48:AA48)</f>
        <v>2018.5</v>
      </c>
      <c r="AD48" s="243">
        <f t="shared" si="6"/>
        <v>9999</v>
      </c>
      <c r="AE48" s="243">
        <f t="shared" si="7"/>
        <v>9999</v>
      </c>
      <c r="AG48" s="87">
        <f>SUMIF(Rozbiór!$I$3:$I$300,O48,Rozbiór!$J$3:$J$300)</f>
        <v>2900</v>
      </c>
      <c r="AH48" s="87">
        <f>SUMIF(Rozbiór!$I$3:$I$300,P48,Rozbiór!$J$3:$J$300)</f>
        <v>0</v>
      </c>
      <c r="AI48" s="87">
        <f>SUMIF(Rozbiór!$I$3:$I$300,Q48,Rozbiór!$J$3:$J$300)</f>
        <v>0</v>
      </c>
      <c r="AJ48" s="87">
        <f>SUMIF(Rozbiór!$I$3:$I$300,AD48,Rozbiór!$J$3:$J$300)</f>
        <v>0</v>
      </c>
      <c r="AK48" s="87">
        <f>SUMIF(Rozbiór!$I$3:$I$300,AE48,Rozbiór!$J$3:$J$300)</f>
        <v>0</v>
      </c>
      <c r="AL48" s="257">
        <f>SUM(AG48:AK48)</f>
        <v>2900</v>
      </c>
    </row>
    <row r="49" spans="1:38">
      <c r="B49" s="78" t="s">
        <v>18053</v>
      </c>
      <c r="C49">
        <f ca="1">HLOOKUP(F49,'Receptury '!$DB$99:$IO$101,3,0)</f>
        <v>241</v>
      </c>
      <c r="D49">
        <f ca="1">HLOOKUP(G49,'Receptury '!$DB$99:$IO$101,3,0)</f>
        <v>242</v>
      </c>
      <c r="E49">
        <f ca="1">HLOOKUP(H49,'Receptury '!$DB$99:$IO$101,3,0)</f>
        <v>243</v>
      </c>
      <c r="F49" t="str">
        <f t="shared" si="19"/>
        <v>KK Filet _1</v>
      </c>
      <c r="G49" t="str">
        <f t="shared" si="20"/>
        <v>KK Filet _2</v>
      </c>
      <c r="H49" t="str">
        <f t="shared" si="21"/>
        <v>KK Filet _3</v>
      </c>
      <c r="M49" s="76">
        <v>1245</v>
      </c>
      <c r="N49" s="76" t="s">
        <v>1082</v>
      </c>
      <c r="O49" s="243">
        <f t="shared" si="9"/>
        <v>1245</v>
      </c>
      <c r="P49" s="243">
        <f t="shared" si="10"/>
        <v>9999</v>
      </c>
      <c r="Q49" s="243">
        <f t="shared" si="3"/>
        <v>9999</v>
      </c>
      <c r="R49" s="87">
        <f ca="1">SUMIF(TPS_mięsa!$P$2:$P$500,O49,TPS_mięsa!$G$2:$G$500)</f>
        <v>0</v>
      </c>
      <c r="S49" s="87">
        <f ca="1">SUMIF(TPS_mięsa!$P$2:$P$500,P49,TPS_mięsa!$G$2:$G$500)</f>
        <v>0</v>
      </c>
      <c r="T49" s="87">
        <f ca="1">SUMIF(TPS_mięsa!$P$2:$P$500,Q49,TPS_mięsa!$G$2:$G$500)</f>
        <v>0</v>
      </c>
      <c r="U49">
        <f ca="1">COUNTIF(R49:T49,"&gt;0")</f>
        <v>0</v>
      </c>
      <c r="W49" s="87">
        <f>SUMIF('Dane stany'!$J$5:$J$371,O49,'Dane stany'!$K$5:$K$371)</f>
        <v>0</v>
      </c>
      <c r="X49" s="87">
        <f>SUMIF('Dane stany'!$J$5:$J$371,P49,'Dane stany'!$K$5:$K$371)</f>
        <v>0</v>
      </c>
      <c r="Y49" s="87">
        <f>SUMIF('Dane stany'!$J$5:$J$371,Q49,'Dane stany'!$K$5:$K$371)</f>
        <v>0</v>
      </c>
      <c r="Z49" s="87">
        <f>SUMIF('Dane stany'!$J$5:$J$371,AD49,'Dane stany'!$K$5:$K$371)</f>
        <v>0</v>
      </c>
      <c r="AA49" s="87">
        <f>SUMIF('Dane stany'!$J$5:$J$371,AE49,'Dane stany'!$K$5:$K$371)</f>
        <v>0</v>
      </c>
      <c r="AB49" s="257">
        <f>SUM(W49:AA49)</f>
        <v>0</v>
      </c>
      <c r="AD49" s="243">
        <f t="shared" si="6"/>
        <v>9999</v>
      </c>
      <c r="AE49" s="243">
        <f t="shared" si="7"/>
        <v>9999</v>
      </c>
      <c r="AG49" s="87">
        <f>SUMIF(Rozbiór!$I$3:$I$300,O49,Rozbiór!$J$3:$J$300)</f>
        <v>0</v>
      </c>
      <c r="AH49" s="87">
        <f>SUMIF(Rozbiór!$I$3:$I$300,P49,Rozbiór!$J$3:$J$300)</f>
        <v>0</v>
      </c>
      <c r="AI49" s="87">
        <f>SUMIF(Rozbiór!$I$3:$I$300,Q49,Rozbiór!$J$3:$J$300)</f>
        <v>0</v>
      </c>
      <c r="AJ49" s="87">
        <f>SUMIF(Rozbiór!$I$3:$I$300,AD49,Rozbiór!$J$3:$J$300)</f>
        <v>0</v>
      </c>
      <c r="AK49" s="87">
        <f>SUMIF(Rozbiór!$I$3:$I$300,AE49,Rozbiór!$J$3:$J$300)</f>
        <v>0</v>
      </c>
      <c r="AL49" s="257">
        <f>SUM(AG49:AK49)</f>
        <v>0</v>
      </c>
    </row>
    <row r="50" spans="1:38">
      <c r="B50" s="78" t="s">
        <v>18054</v>
      </c>
      <c r="C50">
        <f ca="1">HLOOKUP(F50,'Receptury '!$DB$99:$IO$101,3,0)</f>
        <v>244</v>
      </c>
      <c r="D50">
        <f ca="1">HLOOKUP(G50,'Receptury '!$DB$99:$IO$101,3,0)</f>
        <v>245</v>
      </c>
      <c r="E50">
        <f ca="1">HLOOKUP(H50,'Receptury '!$DB$99:$IO$101,3,0)</f>
        <v>246</v>
      </c>
      <c r="F50" t="str">
        <f t="shared" ref="F50:F52" si="22">_xlfn.CONCAT(B50,"_",1)</f>
        <v>KK Polędwiczka _1</v>
      </c>
      <c r="G50" t="str">
        <f t="shared" ref="G50:G52" si="23">_xlfn.CONCAT(B50,"_",2)</f>
        <v>KK Polędwiczka _2</v>
      </c>
      <c r="H50" t="str">
        <f t="shared" ref="H50:H52" si="24">_xlfn.CONCAT(B50,"_",3)</f>
        <v>KK Polędwiczka _3</v>
      </c>
      <c r="M50" s="76" t="s">
        <v>17988</v>
      </c>
      <c r="N50" s="76" t="s">
        <v>17957</v>
      </c>
      <c r="O50" s="243">
        <f t="shared" si="9"/>
        <v>3016</v>
      </c>
      <c r="P50" s="243">
        <f t="shared" si="10"/>
        <v>3011</v>
      </c>
      <c r="Q50" s="243">
        <f>IF(LEN($M50)&gt;11,MID($M50,11,4)*1,9999)</f>
        <v>9999</v>
      </c>
      <c r="R50" s="87">
        <f ca="1">SUMIF(TPS_mięsa!$P$2:$P$500,O50,TPS_mięsa!$G$2:$G$500)</f>
        <v>0</v>
      </c>
      <c r="S50" s="87">
        <f ca="1">SUMIF(TPS_mięsa!$P$2:$P$500,P50,TPS_mięsa!$G$2:$G$500)</f>
        <v>0</v>
      </c>
      <c r="T50" s="87">
        <f ca="1">SUMIF(TPS_mięsa!$P$2:$P$500,Q50,TPS_mięsa!$G$2:$G$500)</f>
        <v>0</v>
      </c>
      <c r="U50">
        <f t="shared" ref="U50:U52" ca="1" si="25">COUNTIF(R50:T50,"&gt;0")</f>
        <v>0</v>
      </c>
      <c r="W50" s="87">
        <f>SUMIF('Dane stany'!$J$5:$J$371,O50,'Dane stany'!$K$5:$K$371)</f>
        <v>0</v>
      </c>
      <c r="X50" s="87">
        <f>SUMIF('Dane stany'!$J$5:$J$371,P50,'Dane stany'!$K$5:$K$371)</f>
        <v>0</v>
      </c>
      <c r="Y50" s="87">
        <f>SUMIF('Dane stany'!$J$5:$J$371,Q50,'Dane stany'!$K$5:$K$371)</f>
        <v>0</v>
      </c>
      <c r="Z50" s="87">
        <f>SUMIF('Dane stany'!$J$5:$J$371,AD50,'Dane stany'!$K$5:$K$371)</f>
        <v>0</v>
      </c>
      <c r="AA50" s="87">
        <f>SUMIF('Dane stany'!$J$5:$J$371,AE50,'Dane stany'!$K$5:$K$371)</f>
        <v>0</v>
      </c>
      <c r="AB50" s="257">
        <f t="shared" ref="AB50:AB52" si="26">SUM(W50:AA50)</f>
        <v>0</v>
      </c>
      <c r="AD50" s="243">
        <f t="shared" si="6"/>
        <v>9999</v>
      </c>
      <c r="AE50" s="243">
        <f t="shared" si="7"/>
        <v>9999</v>
      </c>
      <c r="AG50" s="87">
        <f>SUMIF(Rozbiór!$I$3:$I$300,O50,Rozbiór!$J$3:$J$300)</f>
        <v>0</v>
      </c>
      <c r="AH50" s="87">
        <f>SUMIF(Rozbiór!$I$3:$I$300,P50,Rozbiór!$J$3:$J$300)</f>
        <v>0</v>
      </c>
      <c r="AI50" s="87">
        <f>SUMIF(Rozbiór!$I$3:$I$300,Q50,Rozbiór!$J$3:$J$300)</f>
        <v>0</v>
      </c>
      <c r="AJ50" s="87">
        <f>SUMIF(Rozbiór!$I$3:$I$300,AD50,Rozbiór!$J$3:$J$300)</f>
        <v>0</v>
      </c>
      <c r="AK50" s="87">
        <f>SUMIF(Rozbiór!$I$3:$I$300,AE50,Rozbiór!$J$3:$J$300)</f>
        <v>0</v>
      </c>
      <c r="AL50" s="257">
        <f t="shared" ref="AL50:AL52" si="27">SUM(AG50:AK50)</f>
        <v>0</v>
      </c>
    </row>
    <row r="51" spans="1:38">
      <c r="B51" s="78" t="s">
        <v>17863</v>
      </c>
      <c r="C51" t="e">
        <f ca="1">HLOOKUP(F51,'Receptury '!$DB$99:$IO$101,3,0)</f>
        <v>#N/A</v>
      </c>
      <c r="D51" t="e">
        <f ca="1">HLOOKUP(G51,'Receptury '!$DB$99:$IO$101,3,0)</f>
        <v>#N/A</v>
      </c>
      <c r="E51" t="e">
        <f ca="1">HLOOKUP(H51,'Receptury '!$DB$99:$IO$101,3,0)</f>
        <v>#N/A</v>
      </c>
      <c r="F51" t="str">
        <f t="shared" si="22"/>
        <v>XXX_1</v>
      </c>
      <c r="G51" t="str">
        <f t="shared" si="23"/>
        <v>XXX_2</v>
      </c>
      <c r="H51" t="str">
        <f t="shared" si="24"/>
        <v>XXX_3</v>
      </c>
      <c r="M51" s="76">
        <v>3012</v>
      </c>
      <c r="N51" s="76" t="s">
        <v>17958</v>
      </c>
      <c r="O51" s="243">
        <f t="shared" si="9"/>
        <v>3012</v>
      </c>
      <c r="P51" s="243">
        <f t="shared" si="10"/>
        <v>9999</v>
      </c>
      <c r="Q51" s="243">
        <f t="shared" si="3"/>
        <v>9999</v>
      </c>
      <c r="R51" s="87">
        <f ca="1">SUMIF(TPS_mięsa!$P$2:$P$500,O51,TPS_mięsa!$G$2:$G$500)</f>
        <v>1895.5</v>
      </c>
      <c r="S51" s="87">
        <f ca="1">SUMIF(TPS_mięsa!$P$2:$P$500,P51,TPS_mięsa!$G$2:$G$500)</f>
        <v>0</v>
      </c>
      <c r="T51" s="87">
        <f ca="1">SUMIF(TPS_mięsa!$P$2:$P$500,Q51,TPS_mięsa!$G$2:$G$500)</f>
        <v>0</v>
      </c>
      <c r="U51">
        <f t="shared" ca="1" si="25"/>
        <v>1</v>
      </c>
      <c r="W51" s="87">
        <f>SUMIF('Dane stany'!$J$5:$J$371,O51,'Dane stany'!$K$5:$K$371)</f>
        <v>1895.5</v>
      </c>
      <c r="X51" s="87">
        <f>SUMIF('Dane stany'!$J$5:$J$371,P51,'Dane stany'!$K$5:$K$371)</f>
        <v>0</v>
      </c>
      <c r="Y51" s="87">
        <f>SUMIF('Dane stany'!$J$5:$J$371,Q51,'Dane stany'!$K$5:$K$371)</f>
        <v>0</v>
      </c>
      <c r="Z51" s="87">
        <f>SUMIF('Dane stany'!$J$5:$J$371,AD51,'Dane stany'!$K$5:$K$371)</f>
        <v>0</v>
      </c>
      <c r="AA51" s="87">
        <f>SUMIF('Dane stany'!$J$5:$J$371,AE51,'Dane stany'!$K$5:$K$371)</f>
        <v>0</v>
      </c>
      <c r="AB51" s="257">
        <f t="shared" si="26"/>
        <v>1895.5</v>
      </c>
      <c r="AD51" s="243">
        <f t="shared" si="6"/>
        <v>9999</v>
      </c>
      <c r="AE51" s="243">
        <f t="shared" si="7"/>
        <v>9999</v>
      </c>
      <c r="AG51" s="87">
        <f>SUMIF(Rozbiór!$I$3:$I$300,O51,Rozbiór!$J$3:$J$300)</f>
        <v>0</v>
      </c>
      <c r="AH51" s="87">
        <f>SUMIF(Rozbiór!$I$3:$I$300,P51,Rozbiór!$J$3:$J$300)</f>
        <v>0</v>
      </c>
      <c r="AI51" s="87">
        <f>SUMIF(Rozbiór!$I$3:$I$300,Q51,Rozbiór!$J$3:$J$300)</f>
        <v>0</v>
      </c>
      <c r="AJ51" s="87">
        <f>SUMIF(Rozbiór!$I$3:$I$300,AD51,Rozbiór!$J$3:$J$300)</f>
        <v>0</v>
      </c>
      <c r="AK51" s="87">
        <f>SUMIF(Rozbiór!$I$3:$I$300,AE51,Rozbiór!$J$3:$J$300)</f>
        <v>0</v>
      </c>
      <c r="AL51" s="257">
        <f t="shared" si="27"/>
        <v>0</v>
      </c>
    </row>
    <row r="52" spans="1:38">
      <c r="B52" s="78" t="s">
        <v>17863</v>
      </c>
      <c r="C52" t="e">
        <f ca="1">HLOOKUP(F52,'Receptury '!$DB$99:$IO$101,3,0)</f>
        <v>#N/A</v>
      </c>
      <c r="D52" t="e">
        <f ca="1">HLOOKUP(G52,'Receptury '!$DB$99:$IO$101,3,0)</f>
        <v>#N/A</v>
      </c>
      <c r="E52" t="e">
        <f ca="1">HLOOKUP(H52,'Receptury '!$DB$99:$IO$101,3,0)</f>
        <v>#N/A</v>
      </c>
      <c r="F52" t="str">
        <f t="shared" si="22"/>
        <v>XXX_1</v>
      </c>
      <c r="G52" t="str">
        <f t="shared" si="23"/>
        <v>XXX_2</v>
      </c>
      <c r="H52" t="str">
        <f t="shared" si="24"/>
        <v>XXX_3</v>
      </c>
      <c r="M52" s="76">
        <v>30110612</v>
      </c>
      <c r="N52" s="76" t="s">
        <v>17959</v>
      </c>
      <c r="O52" s="260">
        <f>IFERROR(MID($M52,1,8)*1,9999)*1</f>
        <v>30110612</v>
      </c>
      <c r="P52" s="260">
        <v>9999</v>
      </c>
      <c r="Q52" s="243">
        <f t="shared" si="3"/>
        <v>9999</v>
      </c>
      <c r="R52" s="87">
        <f ca="1">SUMIF(TPS_mięsa!$P$2:$P$500,O52,TPS_mięsa!$G$2:$G$500)</f>
        <v>0</v>
      </c>
      <c r="S52" s="87">
        <f ca="1">SUMIF(TPS_mięsa!$P$2:$P$500,P52,TPS_mięsa!$G$2:$G$500)</f>
        <v>0</v>
      </c>
      <c r="T52" s="87">
        <f ca="1">SUMIF(TPS_mięsa!$P$2:$P$500,Q52,TPS_mięsa!$G$2:$G$500)</f>
        <v>0</v>
      </c>
      <c r="U52">
        <f t="shared" ca="1" si="25"/>
        <v>0</v>
      </c>
      <c r="W52" s="87">
        <f>SUMIF('Dane stany'!$J$5:$J$371,O52,'Dane stany'!$K$5:$K$371)</f>
        <v>0</v>
      </c>
      <c r="X52" s="87">
        <f>SUMIF('Dane stany'!$J$5:$J$371,P52,'Dane stany'!$K$5:$K$371)</f>
        <v>0</v>
      </c>
      <c r="Y52" s="87">
        <f>SUMIF('Dane stany'!$J$5:$J$371,Q52,'Dane stany'!$K$5:$K$371)</f>
        <v>0</v>
      </c>
      <c r="Z52" s="87">
        <f>SUMIF('Dane stany'!$J$5:$J$371,AD52,'Dane stany'!$K$5:$K$371)</f>
        <v>0</v>
      </c>
      <c r="AA52" s="87">
        <f>SUMIF('Dane stany'!$J$5:$J$371,AE52,'Dane stany'!$K$5:$K$371)</f>
        <v>0</v>
      </c>
      <c r="AB52" s="257">
        <f t="shared" si="26"/>
        <v>0</v>
      </c>
      <c r="AD52" s="243">
        <f t="shared" si="6"/>
        <v>9999</v>
      </c>
      <c r="AE52" s="243">
        <f t="shared" si="7"/>
        <v>9999</v>
      </c>
      <c r="AG52" s="87">
        <f>SUMIF(Rozbiór!$I$3:$I$300,O52,Rozbiór!$J$3:$J$300)</f>
        <v>0</v>
      </c>
      <c r="AH52" s="87">
        <f>SUMIF(Rozbiór!$I$3:$I$300,P52,Rozbiór!$J$3:$J$300)</f>
        <v>0</v>
      </c>
      <c r="AI52" s="87">
        <f>SUMIF(Rozbiór!$I$3:$I$300,Q52,Rozbiór!$J$3:$J$300)</f>
        <v>0</v>
      </c>
      <c r="AJ52" s="87">
        <f>SUMIF(Rozbiór!$I$3:$I$300,AD52,Rozbiór!$J$3:$J$300)</f>
        <v>0</v>
      </c>
      <c r="AK52" s="87">
        <f>SUMIF(Rozbiór!$I$3:$I$300,AE52,Rozbiór!$J$3:$J$300)</f>
        <v>0</v>
      </c>
      <c r="AL52" s="257">
        <f t="shared" si="27"/>
        <v>0</v>
      </c>
    </row>
    <row r="53" spans="1:38">
      <c r="B53" s="78" t="s">
        <v>17863</v>
      </c>
      <c r="C53" t="e">
        <f ca="1">HLOOKUP(F53,'Receptury '!$DB$99:$IO$101,3,0)</f>
        <v>#N/A</v>
      </c>
      <c r="D53" t="e">
        <f ca="1">HLOOKUP(G53,'Receptury '!$DB$99:$IO$101,3,0)</f>
        <v>#N/A</v>
      </c>
      <c r="E53" t="e">
        <f ca="1">HLOOKUP(H53,'Receptury '!$DB$99:$IO$101,3,0)</f>
        <v>#N/A</v>
      </c>
      <c r="F53" t="str">
        <f t="shared" ref="F53:F54" si="28">_xlfn.CONCAT(B53,"_",1)</f>
        <v>XXX_1</v>
      </c>
      <c r="G53" t="str">
        <f t="shared" ref="G53:G54" si="29">_xlfn.CONCAT(B53,"_",2)</f>
        <v>XXX_2</v>
      </c>
      <c r="H53" t="str">
        <f t="shared" ref="H53:H54" si="30">_xlfn.CONCAT(B53,"_",3)</f>
        <v>XXX_3</v>
      </c>
      <c r="M53" s="76">
        <v>3005</v>
      </c>
      <c r="N53" s="76" t="s">
        <v>18053</v>
      </c>
      <c r="O53" s="243">
        <f t="shared" si="9"/>
        <v>3005</v>
      </c>
      <c r="P53" s="243">
        <f t="shared" si="10"/>
        <v>9999</v>
      </c>
      <c r="Q53" s="243">
        <f t="shared" si="3"/>
        <v>9999</v>
      </c>
      <c r="R53" s="87">
        <f ca="1">SUMIF(TPS_mięsa!$P$2:$P$500,O53,TPS_mięsa!$G$2:$G$500)</f>
        <v>0</v>
      </c>
      <c r="S53" s="87">
        <f ca="1">SUMIF(TPS_mięsa!$P$2:$P$500,P53,TPS_mięsa!$G$2:$G$500)</f>
        <v>0</v>
      </c>
      <c r="T53" s="87">
        <f ca="1">SUMIF(TPS_mięsa!$P$2:$P$500,Q53,TPS_mięsa!$G$2:$G$500)</f>
        <v>0</v>
      </c>
      <c r="U53">
        <f ca="1">COUNTIF(R53:T53,"&gt;0")</f>
        <v>0</v>
      </c>
      <c r="W53" s="87">
        <f>SUMIF('Dane stany'!$J$5:$J$371,O53,'Dane stany'!$K$5:$K$371)</f>
        <v>0</v>
      </c>
      <c r="X53" s="87">
        <f>SUMIF('Dane stany'!$J$5:$J$371,P53,'Dane stany'!$K$5:$K$371)</f>
        <v>0</v>
      </c>
      <c r="Y53" s="87">
        <f>SUMIF('Dane stany'!$J$5:$J$371,Q53,'Dane stany'!$K$5:$K$371)</f>
        <v>0</v>
      </c>
      <c r="Z53" s="87">
        <f>SUMIF('Dane stany'!$J$5:$J$371,AD53,'Dane stany'!$K$5:$K$371)</f>
        <v>0</v>
      </c>
      <c r="AA53" s="87">
        <f>SUMIF('Dane stany'!$J$5:$J$371,AE53,'Dane stany'!$K$5:$K$371)</f>
        <v>0</v>
      </c>
      <c r="AB53" s="257">
        <f>SUM(W53:AA53)</f>
        <v>0</v>
      </c>
      <c r="AD53" s="243">
        <f t="shared" si="6"/>
        <v>9999</v>
      </c>
      <c r="AE53" s="243">
        <f t="shared" si="7"/>
        <v>9999</v>
      </c>
      <c r="AG53" s="87">
        <f>SUMIF(Rozbiór!$I$3:$I$300,O53,Rozbiór!$J$3:$J$300)</f>
        <v>0</v>
      </c>
      <c r="AH53" s="87">
        <f>SUMIF(Rozbiór!$I$3:$I$300,P53,Rozbiór!$J$3:$J$300)</f>
        <v>0</v>
      </c>
      <c r="AI53" s="87">
        <f>SUMIF(Rozbiór!$I$3:$I$300,Q53,Rozbiór!$J$3:$J$300)</f>
        <v>0</v>
      </c>
      <c r="AJ53" s="87">
        <f>SUMIF(Rozbiór!$I$3:$I$300,AD53,Rozbiór!$J$3:$J$300)</f>
        <v>0</v>
      </c>
      <c r="AK53" s="87">
        <f>SUMIF(Rozbiór!$I$3:$I$300,AE53,Rozbiór!$J$3:$J$300)</f>
        <v>0</v>
      </c>
      <c r="AL53" s="257">
        <f>SUM(AG53:AK53)</f>
        <v>0</v>
      </c>
    </row>
    <row r="54" spans="1:38">
      <c r="B54" s="78" t="s">
        <v>17863</v>
      </c>
      <c r="C54" t="e">
        <f ca="1">HLOOKUP(F54,'Receptury '!$DB$99:$IO$101,3,0)</f>
        <v>#N/A</v>
      </c>
      <c r="D54" t="e">
        <f ca="1">HLOOKUP(G54,'Receptury '!$DB$99:$IO$101,3,0)</f>
        <v>#N/A</v>
      </c>
      <c r="E54" t="e">
        <f ca="1">HLOOKUP(H54,'Receptury '!$DB$99:$IO$101,3,0)</f>
        <v>#N/A</v>
      </c>
      <c r="F54" t="str">
        <f t="shared" si="28"/>
        <v>XXX_1</v>
      </c>
      <c r="G54" t="str">
        <f t="shared" si="29"/>
        <v>XXX_2</v>
      </c>
      <c r="H54" t="str">
        <f t="shared" si="30"/>
        <v>XXX_3</v>
      </c>
      <c r="M54" s="76">
        <v>3007</v>
      </c>
      <c r="N54" s="76" t="s">
        <v>18054</v>
      </c>
      <c r="O54" s="243">
        <f t="shared" si="9"/>
        <v>3007</v>
      </c>
      <c r="P54" s="243">
        <f t="shared" si="10"/>
        <v>9999</v>
      </c>
      <c r="Q54" s="243">
        <f t="shared" si="3"/>
        <v>9999</v>
      </c>
      <c r="R54" s="87">
        <f ca="1">SUMIF(TPS_mięsa!$P$2:$P$500,O54,TPS_mięsa!$G$2:$G$500)</f>
        <v>0</v>
      </c>
      <c r="S54" s="87">
        <f ca="1">SUMIF(TPS_mięsa!$P$2:$P$500,P54,TPS_mięsa!$G$2:$G$500)</f>
        <v>0</v>
      </c>
      <c r="T54" s="87">
        <f ca="1">SUMIF(TPS_mięsa!$P$2:$P$500,Q54,TPS_mięsa!$G$2:$G$500)</f>
        <v>0</v>
      </c>
      <c r="U54">
        <f ca="1">COUNTIF(R54:T54,"&gt;0")</f>
        <v>0</v>
      </c>
      <c r="W54" s="87">
        <f>SUMIF('Dane stany'!$J$5:$J$371,O54,'Dane stany'!$K$5:$K$371)</f>
        <v>0</v>
      </c>
      <c r="X54" s="87">
        <f>SUMIF('Dane stany'!$J$5:$J$371,P54,'Dane stany'!$K$5:$K$371)</f>
        <v>0</v>
      </c>
      <c r="Y54" s="87">
        <f>SUMIF('Dane stany'!$J$5:$J$371,Q54,'Dane stany'!$K$5:$K$371)</f>
        <v>0</v>
      </c>
      <c r="Z54" s="87">
        <f>SUMIF('Dane stany'!$J$5:$J$371,AD54,'Dane stany'!$K$5:$K$371)</f>
        <v>0</v>
      </c>
      <c r="AA54" s="87">
        <f>SUMIF('Dane stany'!$J$5:$J$371,AE54,'Dane stany'!$K$5:$K$371)</f>
        <v>0</v>
      </c>
      <c r="AB54" s="257">
        <f>SUM(W54:AA54)</f>
        <v>0</v>
      </c>
      <c r="AD54" s="243">
        <f t="shared" si="6"/>
        <v>9999</v>
      </c>
      <c r="AE54" s="243">
        <f t="shared" si="7"/>
        <v>9999</v>
      </c>
      <c r="AG54" s="87">
        <f>SUMIF(Rozbiór!$I$3:$I$300,O54,Rozbiór!$J$3:$J$300)</f>
        <v>0</v>
      </c>
      <c r="AH54" s="87">
        <f>SUMIF(Rozbiór!$I$3:$I$300,P54,Rozbiór!$J$3:$J$300)</f>
        <v>0</v>
      </c>
      <c r="AI54" s="87">
        <f>SUMIF(Rozbiór!$I$3:$I$300,Q54,Rozbiór!$J$3:$J$300)</f>
        <v>0</v>
      </c>
      <c r="AJ54" s="87">
        <f>SUMIF(Rozbiór!$I$3:$I$300,AD54,Rozbiór!$J$3:$J$300)</f>
        <v>0</v>
      </c>
      <c r="AK54" s="87">
        <f>SUMIF(Rozbiór!$I$3:$I$300,AE54,Rozbiór!$J$3:$J$300)</f>
        <v>0</v>
      </c>
      <c r="AL54" s="257">
        <f>SUM(AG54:AK54)</f>
        <v>0</v>
      </c>
    </row>
    <row r="55" spans="1:38">
      <c r="M55" s="76">
        <v>3006</v>
      </c>
      <c r="N55" s="76" t="s">
        <v>17956</v>
      </c>
      <c r="O55" s="243">
        <f t="shared" si="9"/>
        <v>3006</v>
      </c>
      <c r="P55" s="243">
        <f t="shared" si="10"/>
        <v>9999</v>
      </c>
      <c r="Q55" s="243">
        <f t="shared" si="3"/>
        <v>9999</v>
      </c>
      <c r="R55" s="87">
        <f ca="1">SUMIF(TPS_mięsa!$P$2:$P$500,O55,TPS_mięsa!$G$2:$G$500)</f>
        <v>0</v>
      </c>
      <c r="S55" s="87">
        <f ca="1">SUMIF(TPS_mięsa!$P$2:$P$500,P55,TPS_mięsa!$G$2:$G$500)</f>
        <v>0</v>
      </c>
      <c r="T55" s="87">
        <f ca="1">SUMIF(TPS_mięsa!$P$2:$P$500,Q55,TPS_mięsa!$G$2:$G$500)</f>
        <v>0</v>
      </c>
      <c r="U55">
        <f ca="1">COUNTIF(R55:T55,"&gt;0")</f>
        <v>0</v>
      </c>
      <c r="W55" s="87">
        <f>SUMIF('Dane stany'!$J$5:$J$371,O55,'Dane stany'!$K$5:$K$371)</f>
        <v>0</v>
      </c>
      <c r="X55" s="87">
        <f>SUMIF('Dane stany'!$J$5:$J$371,P55,'Dane stany'!$K$5:$K$371)</f>
        <v>0</v>
      </c>
      <c r="Y55" s="87">
        <f>SUMIF('Dane stany'!$J$5:$J$371,Q55,'Dane stany'!$K$5:$K$371)</f>
        <v>0</v>
      </c>
      <c r="Z55" s="87">
        <f>SUMIF('Dane stany'!$J$5:$J$371,AD55,'Dane stany'!$K$5:$K$371)</f>
        <v>0</v>
      </c>
      <c r="AA55" s="87">
        <f>SUMIF('Dane stany'!$J$5:$J$371,AE55,'Dane stany'!$K$5:$K$371)</f>
        <v>0</v>
      </c>
      <c r="AB55" s="257">
        <f>SUM(W55:AA55)</f>
        <v>0</v>
      </c>
      <c r="AD55" s="243">
        <f t="shared" si="6"/>
        <v>9999</v>
      </c>
      <c r="AE55" s="243">
        <f t="shared" si="7"/>
        <v>9999</v>
      </c>
      <c r="AG55" s="87">
        <f>SUMIF(Rozbiór!$I$3:$I$300,O55,Rozbiór!$J$3:$J$300)</f>
        <v>0</v>
      </c>
      <c r="AH55" s="87">
        <f>SUMIF(Rozbiór!$I$3:$I$300,P55,Rozbiór!$J$3:$J$300)</f>
        <v>0</v>
      </c>
      <c r="AI55" s="87">
        <f>SUMIF(Rozbiór!$I$3:$I$300,Q55,Rozbiór!$J$3:$J$300)</f>
        <v>0</v>
      </c>
      <c r="AJ55" s="87">
        <f>SUMIF(Rozbiór!$I$3:$I$300,AD55,Rozbiór!$J$3:$J$300)</f>
        <v>0</v>
      </c>
      <c r="AK55" s="87">
        <f>SUMIF(Rozbiór!$I$3:$I$300,AE55,Rozbiór!$J$3:$J$300)</f>
        <v>0</v>
      </c>
      <c r="AL55" s="257">
        <f>SUM(AG55:AK55)</f>
        <v>0</v>
      </c>
    </row>
    <row r="56" spans="1:38">
      <c r="M56" s="76"/>
      <c r="N56" s="76"/>
      <c r="O56" s="243">
        <f t="shared" si="9"/>
        <v>9999</v>
      </c>
      <c r="P56" s="243">
        <f t="shared" si="10"/>
        <v>9999</v>
      </c>
      <c r="Q56" s="243">
        <f t="shared" si="3"/>
        <v>9999</v>
      </c>
      <c r="R56" s="87">
        <f ca="1">SUMIF(TPS_mięsa!$P$2:$P$500,O56,TPS_mięsa!$G$2:$G$500)</f>
        <v>0</v>
      </c>
      <c r="S56" s="87">
        <f ca="1">SUMIF(TPS_mięsa!$P$2:$P$500,P56,TPS_mięsa!$G$2:$G$500)</f>
        <v>0</v>
      </c>
      <c r="T56" s="87">
        <f ca="1">SUMIF(TPS_mięsa!$P$2:$P$500,Q56,TPS_mięsa!$G$2:$G$500)</f>
        <v>0</v>
      </c>
      <c r="U56">
        <f ca="1">COUNTIF(R56:T56,"&gt;0")</f>
        <v>0</v>
      </c>
      <c r="W56" s="87">
        <f>SUMIF('Dane stany'!$J$5:$J$371,O56,'Dane stany'!$K$5:$K$371)</f>
        <v>0</v>
      </c>
      <c r="X56" s="87">
        <f>SUMIF('Dane stany'!$J$5:$J$371,P56,'Dane stany'!$K$5:$K$371)</f>
        <v>0</v>
      </c>
      <c r="Y56" s="87">
        <f>SUMIF('Dane stany'!$J$5:$J$371,Q56,'Dane stany'!$K$5:$K$371)</f>
        <v>0</v>
      </c>
      <c r="Z56" s="87">
        <f>SUMIF('Dane stany'!$J$5:$J$371,AD56,'Dane stany'!$K$5:$K$371)</f>
        <v>0</v>
      </c>
      <c r="AA56" s="87">
        <f>SUMIF('Dane stany'!$J$5:$J$371,AE56,'Dane stany'!$K$5:$K$371)</f>
        <v>0</v>
      </c>
      <c r="AB56" s="257">
        <f>SUM(W56:AA56)</f>
        <v>0</v>
      </c>
      <c r="AD56" s="243">
        <f t="shared" si="6"/>
        <v>9999</v>
      </c>
      <c r="AE56" s="243">
        <f t="shared" si="7"/>
        <v>9999</v>
      </c>
      <c r="AG56" s="87">
        <f>SUMIF(Rozbiór!$I$3:$I$300,O56,Rozbiór!$J$3:$J$300)</f>
        <v>0</v>
      </c>
      <c r="AH56" s="87">
        <f>SUMIF(Rozbiór!$I$3:$I$300,P56,Rozbiór!$J$3:$J$300)</f>
        <v>0</v>
      </c>
      <c r="AI56" s="87">
        <f>SUMIF(Rozbiór!$I$3:$I$300,Q56,Rozbiór!$J$3:$J$300)</f>
        <v>0</v>
      </c>
      <c r="AJ56" s="87">
        <f>SUMIF(Rozbiór!$I$3:$I$300,AD56,Rozbiór!$J$3:$J$300)</f>
        <v>0</v>
      </c>
      <c r="AK56" s="87">
        <f>SUMIF(Rozbiór!$I$3:$I$300,AE56,Rozbiór!$J$3:$J$300)</f>
        <v>0</v>
      </c>
      <c r="AL56" s="257">
        <f>SUM(AG56:AK56)</f>
        <v>0</v>
      </c>
    </row>
    <row r="58" spans="1:38">
      <c r="N58">
        <v>1</v>
      </c>
      <c r="O58">
        <v>2</v>
      </c>
      <c r="P58">
        <v>3</v>
      </c>
      <c r="Q58">
        <v>4</v>
      </c>
      <c r="R58">
        <v>5</v>
      </c>
      <c r="S58">
        <v>6</v>
      </c>
      <c r="T58">
        <v>7</v>
      </c>
      <c r="U58">
        <v>8</v>
      </c>
      <c r="V58">
        <v>9</v>
      </c>
      <c r="W58">
        <v>10</v>
      </c>
      <c r="X58">
        <v>11</v>
      </c>
      <c r="Y58">
        <v>12</v>
      </c>
      <c r="Z58">
        <v>13</v>
      </c>
      <c r="AA58">
        <v>14</v>
      </c>
      <c r="AB58">
        <v>15</v>
      </c>
      <c r="AC58">
        <v>16</v>
      </c>
    </row>
    <row r="59" spans="1:38">
      <c r="A59" t="s">
        <v>366</v>
      </c>
      <c r="B59" t="s">
        <v>127</v>
      </c>
      <c r="C59" t="s">
        <v>365</v>
      </c>
      <c r="D59" t="s">
        <v>367</v>
      </c>
      <c r="E59" t="s">
        <v>369</v>
      </c>
      <c r="M59" t="s">
        <v>125</v>
      </c>
      <c r="N59" s="281" t="s">
        <v>362</v>
      </c>
      <c r="O59" t="s">
        <v>218</v>
      </c>
      <c r="P59" t="s">
        <v>363</v>
      </c>
      <c r="Q59" t="s">
        <v>365</v>
      </c>
      <c r="S59" t="s">
        <v>368</v>
      </c>
      <c r="U59" t="s">
        <v>375</v>
      </c>
      <c r="V59" t="s">
        <v>376</v>
      </c>
      <c r="W59" t="s">
        <v>17997</v>
      </c>
      <c r="X59" t="s">
        <v>378</v>
      </c>
      <c r="Y59" t="s">
        <v>377</v>
      </c>
      <c r="Z59" t="s">
        <v>18001</v>
      </c>
      <c r="AC59" t="s">
        <v>364</v>
      </c>
      <c r="AE59">
        <v>5555</v>
      </c>
      <c r="AF59">
        <v>5527</v>
      </c>
      <c r="AG59">
        <v>5681</v>
      </c>
      <c r="AH59">
        <v>5676</v>
      </c>
      <c r="AI59">
        <v>5522</v>
      </c>
      <c r="AJ59">
        <v>5523</v>
      </c>
      <c r="AK59">
        <v>9999</v>
      </c>
      <c r="AL59">
        <v>9999</v>
      </c>
    </row>
    <row r="60" spans="1:38">
      <c r="A60">
        <v>5135</v>
      </c>
      <c r="B60" s="257">
        <f>SUMIF('Dane stany'!$J$5:$J$371,A60,'Dane stany'!$K$5:$K$371)</f>
        <v>1300</v>
      </c>
      <c r="C60">
        <v>9</v>
      </c>
      <c r="D60">
        <f t="shared" ref="D60:D91" ca="1" si="31">SUMIF($N$60:$N$147,A60,$O$60:$O$147)</f>
        <v>0</v>
      </c>
      <c r="E60" s="88">
        <f ca="1">D60-B60</f>
        <v>-1300</v>
      </c>
      <c r="L60" s="76">
        <v>0</v>
      </c>
      <c r="M60" s="76">
        <f ca="1">OFFSET(Receptury_z!$A$8,L60,0)</f>
        <v>6068</v>
      </c>
      <c r="N60" s="76">
        <f ca="1">OFFSET(Receptury_z!$C$8,L60,0)</f>
        <v>5135</v>
      </c>
      <c r="O60">
        <f ca="1">SUM(X60:Z60)</f>
        <v>0</v>
      </c>
      <c r="P60">
        <f ca="1">COUNTIF($N$60:$N$148,N60)</f>
        <v>2</v>
      </c>
      <c r="Q60">
        <f ca="1">IFERROR(VLOOKUP(N60,$A$60:$C$143,3,0),0)</f>
        <v>9</v>
      </c>
      <c r="R60">
        <f ca="1">IFERROR(IF(Q60&gt;0,SUMIF($Q$60:$Q$148,Q60,$O$60:$O$148),0),0)</f>
        <v>0</v>
      </c>
      <c r="S60" s="256">
        <f ca="1">IFERROR(O60/R60,0)</f>
        <v>0</v>
      </c>
      <c r="T60" s="282">
        <f ca="1">(VLOOKUP(N60,$A$60:$E$143,5,0)*S60)/1000</f>
        <v>0</v>
      </c>
      <c r="U60">
        <f ca="1">MID(M60,1,4)*1</f>
        <v>6068</v>
      </c>
      <c r="V60">
        <f ca="1">IFERROR(MID(M60,6,4)*1,0)</f>
        <v>0</v>
      </c>
      <c r="W60">
        <f ca="1">IFERROR(MID(M60,11,4)*1,0)</f>
        <v>0</v>
      </c>
      <c r="X60">
        <f ca="1">IFERROR(VLOOKUP(U60,PLAN_P!$B:$D,3,0),0)</f>
        <v>0</v>
      </c>
      <c r="Y60">
        <f ca="1">IFERROR(VLOOKUP(V60,PLAN_P!$B:$D,3,0),0)</f>
        <v>0</v>
      </c>
      <c r="Z60">
        <f ca="1">IFERROR(VLOOKUP(W60,PLAN_P!$B:$D,3,0),0)</f>
        <v>0</v>
      </c>
      <c r="AC60" s="257">
        <f ca="1">SUMIF('Dane stany'!$J$5:$J$371,N60,'Dane stany'!$K$5:$K$371)</f>
        <v>1300</v>
      </c>
      <c r="AE60">
        <f ca="1">IF($N60=AE$59,O60-VLOOKUP($N60,$A$60:$B$146,2,0),0)</f>
        <v>0</v>
      </c>
      <c r="AF60">
        <f t="shared" ref="AF60:AK60" ca="1" si="32">IF($N60=AF$59,P60-VLOOKUP($N60,$A$60:$B$146,2,0),0)</f>
        <v>0</v>
      </c>
      <c r="AG60">
        <f ca="1">IF($N60=AG$59,Q60-VLOOKUP($N60,$A$60:$B$146,2,0),0)</f>
        <v>0</v>
      </c>
      <c r="AH60">
        <f t="shared" ca="1" si="32"/>
        <v>0</v>
      </c>
      <c r="AI60">
        <f t="shared" ca="1" si="32"/>
        <v>0</v>
      </c>
      <c r="AJ60">
        <f t="shared" ca="1" si="32"/>
        <v>0</v>
      </c>
      <c r="AK60">
        <f t="shared" ca="1" si="32"/>
        <v>0</v>
      </c>
      <c r="AL60">
        <f t="shared" ref="AL60" ca="1" si="33">IF($N60=AL$59,W60-VLOOKUP($N60,$A$60:$B$146,2,0),0)</f>
        <v>0</v>
      </c>
    </row>
    <row r="61" spans="1:38">
      <c r="A61">
        <v>5114</v>
      </c>
      <c r="B61" s="257">
        <f>SUMIF('Dane stany'!$J$5:$J$371,A61,'Dane stany'!$K$5:$K$371)</f>
        <v>1000</v>
      </c>
      <c r="D61">
        <f t="shared" ca="1" si="31"/>
        <v>0</v>
      </c>
      <c r="E61" s="88">
        <f t="shared" ref="E61:E126" ca="1" si="34">D61-B61</f>
        <v>-1000</v>
      </c>
      <c r="L61" s="76">
        <v>1</v>
      </c>
      <c r="M61" s="76">
        <f ca="1">OFFSET(Receptury_z!$A$8,L61,0)</f>
        <v>6066</v>
      </c>
      <c r="N61" s="76">
        <f ca="1">OFFSET(Receptury_z!$C$8,L61,0)</f>
        <v>5135</v>
      </c>
      <c r="O61">
        <f t="shared" ref="O61:O124" ca="1" si="35">SUM(X61:Z61)</f>
        <v>0</v>
      </c>
      <c r="P61">
        <f t="shared" ref="P61:P124" ca="1" si="36">COUNTIF($N$60:$N$148,N61)</f>
        <v>2</v>
      </c>
      <c r="Q61">
        <f t="shared" ref="Q61:Q124" ca="1" si="37">IFERROR(VLOOKUP(N61,$A$60:$C$143,3,0),0)</f>
        <v>9</v>
      </c>
      <c r="R61">
        <f t="shared" ref="R61:R124" ca="1" si="38">IFERROR(IF(Q61&gt;0,SUMIF($Q$60:$Q$148,Q61,$O$60:$O$148),0),0)</f>
        <v>0</v>
      </c>
      <c r="S61" s="256">
        <f t="shared" ref="S61:S126" ca="1" si="39">IFERROR(O61/R61,0)</f>
        <v>0</v>
      </c>
      <c r="T61" s="282">
        <f t="shared" ref="T61:T124" ca="1" si="40">(VLOOKUP(N61,$A$60:$E$143,5,0)*S61)/1000</f>
        <v>0</v>
      </c>
      <c r="U61">
        <f t="shared" ref="U61:U126" ca="1" si="41">MID(M61,1,4)*1</f>
        <v>6066</v>
      </c>
      <c r="V61">
        <f ca="1">IFERROR(MID(M61,6,4)*1,0)</f>
        <v>0</v>
      </c>
      <c r="W61">
        <f ca="1">IFERROR(MID(M61,11,4)*1,0)</f>
        <v>0</v>
      </c>
      <c r="X61">
        <f ca="1">IFERROR(VLOOKUP(U61,PLAN_P!$B:$D,3,0),0)</f>
        <v>0</v>
      </c>
      <c r="Y61">
        <f ca="1">IFERROR(VLOOKUP(V61,PLAN_P!$B:$D,3,0),0)</f>
        <v>0</v>
      </c>
      <c r="Z61">
        <f ca="1">IFERROR(VLOOKUP(W61,PLAN_P!$B:$D,3,0),0)</f>
        <v>0</v>
      </c>
      <c r="AC61" s="257">
        <f ca="1">SUMIF('Dane stany'!$J$5:$J$371,N61,'Dane stany'!$K$5:$K$371)</f>
        <v>1300</v>
      </c>
      <c r="AE61">
        <f ca="1">IF($N61=AE$59,SUM(AE$60:AE60)-VLOOKUP($N61,$A$60:$B$146,2,0),0)</f>
        <v>0</v>
      </c>
      <c r="AF61">
        <f ca="1">IF($N61=AF$59,SUM(AF$60:AF60)-VLOOKUP($N61,$A$60:$B$146,2,0),0)</f>
        <v>0</v>
      </c>
      <c r="AG61">
        <f ca="1">IF($N61=AG$59,SUM(AG$60:AG60)-VLOOKUP($N61,$A$60:$B$146,2,0),0)</f>
        <v>0</v>
      </c>
      <c r="AH61">
        <f ca="1">IF($N61=AH$59,SUM(AH$60:AH60)-VLOOKUP($N61,$A$60:$B$146,2,0),0)</f>
        <v>0</v>
      </c>
      <c r="AI61">
        <f ca="1">IF($N61=AI$59,SUM(AI$60:AI60)-VLOOKUP($N61,$A$60:$B$146,2,0),0)</f>
        <v>0</v>
      </c>
      <c r="AJ61">
        <f ca="1">IF($N61=AJ$59,SUM(AJ$60:AJ60)-VLOOKUP($N61,$A$60:$B$146,2,0),0)</f>
        <v>0</v>
      </c>
      <c r="AK61">
        <f ca="1">IF($N61=AK$59,SUM(AK$60:AK60)-VLOOKUP($N61,$A$60:$B$146,2,0),0)</f>
        <v>0</v>
      </c>
      <c r="AL61">
        <f ca="1">IF($N61=AL$59,SUM(AL$60:AL60)-VLOOKUP($N61,$A$60:$B$146,2,0),0)</f>
        <v>0</v>
      </c>
    </row>
    <row r="62" spans="1:38">
      <c r="A62">
        <v>5448</v>
      </c>
      <c r="B62" s="257">
        <f>SUMIF('Dane stany'!$J$5:$J$371,A62,'Dane stany'!$K$5:$K$371)</f>
        <v>0</v>
      </c>
      <c r="D62">
        <f t="shared" ca="1" si="31"/>
        <v>0</v>
      </c>
      <c r="E62" s="88">
        <f t="shared" ca="1" si="34"/>
        <v>0</v>
      </c>
      <c r="L62" s="76">
        <v>2</v>
      </c>
      <c r="M62" s="76">
        <f ca="1">OFFSET(Receptury_z!$A$8,L62,0)</f>
        <v>6350</v>
      </c>
      <c r="N62" s="76">
        <f ca="1">OFFSET(Receptury_z!$C$8,L62,0)</f>
        <v>5114</v>
      </c>
      <c r="O62">
        <f t="shared" ca="1" si="35"/>
        <v>0</v>
      </c>
      <c r="P62">
        <f t="shared" ca="1" si="36"/>
        <v>1</v>
      </c>
      <c r="Q62">
        <f t="shared" ca="1" si="37"/>
        <v>0</v>
      </c>
      <c r="R62">
        <f t="shared" ca="1" si="38"/>
        <v>0</v>
      </c>
      <c r="S62" s="256">
        <f t="shared" ca="1" si="39"/>
        <v>0</v>
      </c>
      <c r="T62" s="282">
        <f t="shared" ca="1" si="40"/>
        <v>0</v>
      </c>
      <c r="U62">
        <f t="shared" ca="1" si="41"/>
        <v>6350</v>
      </c>
      <c r="V62">
        <f t="shared" ref="V62:V125" ca="1" si="42">IFERROR(MID(M62,6,4)*1,0)</f>
        <v>0</v>
      </c>
      <c r="W62">
        <f t="shared" ref="W62:W125" ca="1" si="43">IFERROR(MID(M62,11,4)*1,0)</f>
        <v>0</v>
      </c>
      <c r="X62">
        <f ca="1">IFERROR(VLOOKUP(U62,PLAN_P!$B:$D,3,0),0)</f>
        <v>0</v>
      </c>
      <c r="Y62">
        <f ca="1">IFERROR(VLOOKUP(V62,PLAN_P!$B:$D,3,0),0)</f>
        <v>0</v>
      </c>
      <c r="Z62">
        <f ca="1">IFERROR(VLOOKUP(W62,PLAN_P!$B:$D,3,0),0)</f>
        <v>0</v>
      </c>
      <c r="AC62" s="257">
        <f ca="1">SUMIF('Dane stany'!$J$5:$J$371,N62,'Dane stany'!$K$5:$K$371)</f>
        <v>1000</v>
      </c>
      <c r="AE62">
        <f ca="1">IF($N62=AE$60,SUM(AE$60:AE61)-VLOOKUP(N62,$A$60:$B$146,2,0),0)</f>
        <v>0</v>
      </c>
      <c r="AF62">
        <f ca="1">IF($N62=AF$59,SUM(AF$60:AF61)-VLOOKUP($N62,$A$60:$B$146,2,0),0)</f>
        <v>0</v>
      </c>
      <c r="AG62">
        <f ca="1">IF($N62=AG$59,SUM(AG$60:AG61)-VLOOKUP($N62,$A$60:$B$146,2,0),0)</f>
        <v>0</v>
      </c>
      <c r="AH62">
        <f ca="1">IF($N62=AH$59,SUM(AH$60:AH61)-VLOOKUP($N62,$A$60:$B$146,2,0),0)</f>
        <v>0</v>
      </c>
      <c r="AI62">
        <f ca="1">IF($N62=AI$59,SUM(AI$60:AI61)-VLOOKUP($N62,$A$60:$B$146,2,0),0)</f>
        <v>0</v>
      </c>
      <c r="AJ62">
        <f ca="1">IF($N62=AJ$59,SUM(AJ$60:AJ61)-VLOOKUP($N62,$A$60:$B$146,2,0),0)</f>
        <v>0</v>
      </c>
      <c r="AK62">
        <f ca="1">IF($N62=AK$59,SUM(AK$60:AK61)-VLOOKUP($N62,$A$60:$B$146,2,0),0)</f>
        <v>0</v>
      </c>
      <c r="AL62">
        <f ca="1">IF($N62=AL$59,SUM(AL$60:AL61)-VLOOKUP($N62,$A$60:$B$146,2,0),0)</f>
        <v>0</v>
      </c>
    </row>
    <row r="63" spans="1:38">
      <c r="A63">
        <v>5103</v>
      </c>
      <c r="B63" s="257">
        <f>SUMIF('Dane stany'!$J$5:$J$371,A63,'Dane stany'!$K$5:$K$371)</f>
        <v>0</v>
      </c>
      <c r="D63">
        <f t="shared" ca="1" si="31"/>
        <v>0</v>
      </c>
      <c r="E63" s="88">
        <f t="shared" ca="1" si="34"/>
        <v>0</v>
      </c>
      <c r="L63" s="76">
        <v>3</v>
      </c>
      <c r="M63" s="76">
        <f ca="1">OFFSET(Receptury_z!$A$8,L63,0)</f>
        <v>6354</v>
      </c>
      <c r="N63" s="76">
        <f ca="1">OFFSET(Receptury_z!$C$8,L63,0)</f>
        <v>5448</v>
      </c>
      <c r="O63">
        <f t="shared" ca="1" si="35"/>
        <v>0</v>
      </c>
      <c r="P63">
        <f t="shared" ca="1" si="36"/>
        <v>1</v>
      </c>
      <c r="Q63">
        <f t="shared" ca="1" si="37"/>
        <v>0</v>
      </c>
      <c r="R63">
        <f t="shared" ca="1" si="38"/>
        <v>0</v>
      </c>
      <c r="S63" s="256">
        <f t="shared" ca="1" si="39"/>
        <v>0</v>
      </c>
      <c r="T63" s="282">
        <f t="shared" ca="1" si="40"/>
        <v>0</v>
      </c>
      <c r="U63">
        <f t="shared" ca="1" si="41"/>
        <v>6354</v>
      </c>
      <c r="V63">
        <f t="shared" ca="1" si="42"/>
        <v>0</v>
      </c>
      <c r="W63">
        <f t="shared" ca="1" si="43"/>
        <v>0</v>
      </c>
      <c r="X63">
        <f ca="1">IFERROR(VLOOKUP(U63,PLAN_P!$B:$D,3,0),0)</f>
        <v>0</v>
      </c>
      <c r="Y63">
        <f ca="1">IFERROR(VLOOKUP(V63,PLAN_P!$B:$D,3,0),0)</f>
        <v>0</v>
      </c>
      <c r="Z63">
        <f ca="1">IFERROR(VLOOKUP(W63,PLAN_P!$B:$D,3,0),0)</f>
        <v>0</v>
      </c>
      <c r="AC63" s="257">
        <f ca="1">SUMIF('Dane stany'!$J$5:$J$371,N63,'Dane stany'!$K$5:$K$371)</f>
        <v>0</v>
      </c>
      <c r="AE63">
        <f ca="1">IF($N63=AE$60,SUM(AE$60:AE62)-VLOOKUP(N63,$A$60:$B$146,2,0),0)</f>
        <v>0</v>
      </c>
      <c r="AF63">
        <f ca="1">IF($N63=AF$59,SUM(AF$60:AF62)-VLOOKUP($N63,$A$60:$B$146,2,0),0)</f>
        <v>0</v>
      </c>
      <c r="AG63">
        <f ca="1">IF($N63=AG$59,SUM(AG$60:AG62)-VLOOKUP($N63,$A$60:$B$146,2,0),0)</f>
        <v>0</v>
      </c>
      <c r="AH63">
        <f ca="1">IF($N63=AH$59,SUM(AH$60:AH62)-VLOOKUP($N63,$A$60:$B$146,2,0),0)</f>
        <v>0</v>
      </c>
      <c r="AI63">
        <f ca="1">IF($N63=AI$59,SUM(AI$60:AI62)-VLOOKUP($N63,$A$60:$B$146,2,0),0)</f>
        <v>0</v>
      </c>
      <c r="AJ63">
        <f ca="1">IF($N63=AJ$59,SUM(AJ$60:AJ62)-VLOOKUP($N63,$A$60:$B$146,2,0),0)</f>
        <v>0</v>
      </c>
      <c r="AK63">
        <f ca="1">IF($N63=AK$59,SUM(AK$60:AK62)-VLOOKUP($N63,$A$60:$B$146,2,0),0)</f>
        <v>0</v>
      </c>
      <c r="AL63">
        <f ca="1">IF($N63=AL$59,SUM(AL$60:AL62)-VLOOKUP($N63,$A$60:$B$146,2,0),0)</f>
        <v>0</v>
      </c>
    </row>
    <row r="64" spans="1:38">
      <c r="A64">
        <v>5410</v>
      </c>
      <c r="B64" s="257">
        <f>SUMIF('Dane stany'!$J$5:$J$371,A64,'Dane stany'!$K$5:$K$371)</f>
        <v>0</v>
      </c>
      <c r="D64">
        <f t="shared" ca="1" si="31"/>
        <v>0</v>
      </c>
      <c r="E64" s="88">
        <f t="shared" ca="1" si="34"/>
        <v>0</v>
      </c>
      <c r="L64" s="76">
        <v>4</v>
      </c>
      <c r="M64" s="76">
        <f ca="1">OFFSET(Receptury_z!$A$8,L64,0)</f>
        <v>6358</v>
      </c>
      <c r="N64" s="76">
        <f ca="1">OFFSET(Receptury_z!$C$8,L64,0)</f>
        <v>5103</v>
      </c>
      <c r="O64">
        <f t="shared" ca="1" si="35"/>
        <v>0</v>
      </c>
      <c r="P64">
        <f t="shared" ca="1" si="36"/>
        <v>1</v>
      </c>
      <c r="Q64">
        <f t="shared" ca="1" si="37"/>
        <v>0</v>
      </c>
      <c r="R64">
        <f t="shared" ca="1" si="38"/>
        <v>0</v>
      </c>
      <c r="S64" s="256">
        <f t="shared" ca="1" si="39"/>
        <v>0</v>
      </c>
      <c r="T64" s="282">
        <f t="shared" ca="1" si="40"/>
        <v>0</v>
      </c>
      <c r="U64">
        <f t="shared" ca="1" si="41"/>
        <v>6358</v>
      </c>
      <c r="V64">
        <f t="shared" ca="1" si="42"/>
        <v>0</v>
      </c>
      <c r="W64">
        <f t="shared" ca="1" si="43"/>
        <v>0</v>
      </c>
      <c r="X64">
        <f ca="1">IFERROR(VLOOKUP(U64,PLAN_P!$B:$D,3,0),0)</f>
        <v>0</v>
      </c>
      <c r="Y64">
        <f ca="1">IFERROR(VLOOKUP(V64,PLAN_P!$B:$D,3,0),0)</f>
        <v>0</v>
      </c>
      <c r="Z64">
        <f ca="1">IFERROR(VLOOKUP(W64,PLAN_P!$B:$D,3,0),0)</f>
        <v>0</v>
      </c>
      <c r="AC64" s="257">
        <f ca="1">SUMIF('Dane stany'!$J$5:$J$371,N64,'Dane stany'!$K$5:$K$371)</f>
        <v>0</v>
      </c>
      <c r="AE64">
        <f ca="1">IF($N64=AE$60,SUM(AE$60:AE63)-VLOOKUP(N64,$A$60:$B$146,2,0),0)</f>
        <v>0</v>
      </c>
      <c r="AF64">
        <f ca="1">IF($N64=AF$59,SUM(AF$60:AF63)-VLOOKUP($N64,$A$60:$B$146,2,0),0)</f>
        <v>0</v>
      </c>
      <c r="AG64">
        <f ca="1">IF($N64=AG$59,SUM(AG$60:AG63)-VLOOKUP($N64,$A$60:$B$146,2,0),0)</f>
        <v>0</v>
      </c>
      <c r="AH64">
        <f ca="1">IF($N64=AH$59,SUM(AH$60:AH63)-VLOOKUP($N64,$A$60:$B$146,2,0),0)</f>
        <v>0</v>
      </c>
      <c r="AI64">
        <f ca="1">IF($N64=AI$59,SUM(AI$60:AI63)-VLOOKUP($N64,$A$60:$B$146,2,0),0)</f>
        <v>0</v>
      </c>
      <c r="AJ64">
        <f ca="1">IF($N64=AJ$59,SUM(AJ$60:AJ63)-VLOOKUP($N64,$A$60:$B$146,2,0),0)</f>
        <v>0</v>
      </c>
      <c r="AK64">
        <f ca="1">IF($N64=AK$59,SUM(AK$60:AK63)-VLOOKUP($N64,$A$60:$B$146,2,0),0)</f>
        <v>0</v>
      </c>
      <c r="AL64">
        <f ca="1">IF($N64=AL$59,SUM(AL$60:AL63)-VLOOKUP($N64,$A$60:$B$146,2,0),0)</f>
        <v>0</v>
      </c>
    </row>
    <row r="65" spans="1:38">
      <c r="A65">
        <v>5142</v>
      </c>
      <c r="B65" s="257">
        <f>SUMIF('Dane stany'!$J$5:$J$371,A65,'Dane stany'!$K$5:$K$371)</f>
        <v>0</v>
      </c>
      <c r="D65">
        <f t="shared" ca="1" si="31"/>
        <v>0</v>
      </c>
      <c r="E65" s="88">
        <f t="shared" ca="1" si="34"/>
        <v>0</v>
      </c>
      <c r="L65" s="76">
        <v>5</v>
      </c>
      <c r="M65" s="76">
        <f ca="1">OFFSET(Receptury_z!$A$8,L65,0)</f>
        <v>6404</v>
      </c>
      <c r="N65" s="76">
        <f ca="1">OFFSET(Receptury_z!$C$8,L65,0)</f>
        <v>5410</v>
      </c>
      <c r="O65">
        <f t="shared" ca="1" si="35"/>
        <v>0</v>
      </c>
      <c r="P65">
        <f t="shared" ca="1" si="36"/>
        <v>1</v>
      </c>
      <c r="Q65">
        <f t="shared" ca="1" si="37"/>
        <v>0</v>
      </c>
      <c r="R65">
        <f t="shared" ca="1" si="38"/>
        <v>0</v>
      </c>
      <c r="S65" s="256">
        <f t="shared" ca="1" si="39"/>
        <v>0</v>
      </c>
      <c r="T65" s="282">
        <f t="shared" ca="1" si="40"/>
        <v>0</v>
      </c>
      <c r="U65">
        <f t="shared" ca="1" si="41"/>
        <v>6404</v>
      </c>
      <c r="V65">
        <f t="shared" ca="1" si="42"/>
        <v>0</v>
      </c>
      <c r="W65">
        <f t="shared" ca="1" si="43"/>
        <v>0</v>
      </c>
      <c r="X65">
        <f ca="1">IFERROR(VLOOKUP(U65,PLAN_P!$B:$D,3,0),0)</f>
        <v>0</v>
      </c>
      <c r="Y65">
        <f ca="1">IFERROR(VLOOKUP(V65,PLAN_P!$B:$D,3,0),0)</f>
        <v>0</v>
      </c>
      <c r="Z65">
        <f ca="1">IFERROR(VLOOKUP(W65,PLAN_P!$B:$D,3,0),0)</f>
        <v>0</v>
      </c>
      <c r="AC65" s="257">
        <f ca="1">SUMIF('Dane stany'!$J$5:$J$371,N65,'Dane stany'!$K$5:$K$371)</f>
        <v>0</v>
      </c>
      <c r="AE65">
        <f ca="1">IF($N65=AE$60,SUM(AE$60:AE64)-VLOOKUP(N65,$A$60:$B$146,2,0),0)</f>
        <v>0</v>
      </c>
      <c r="AF65">
        <f ca="1">IF($N65=AF$59,SUM(AF$60:AF64)-VLOOKUP($N65,$A$60:$B$146,2,0),0)</f>
        <v>0</v>
      </c>
      <c r="AG65">
        <f ca="1">IF($N65=AG$59,SUM(AG$60:AG64)-VLOOKUP($N65,$A$60:$B$146,2,0),0)</f>
        <v>0</v>
      </c>
      <c r="AH65">
        <f ca="1">IF($N65=AH$59,SUM(AH$60:AH64)-VLOOKUP($N65,$A$60:$B$146,2,0),0)</f>
        <v>0</v>
      </c>
      <c r="AI65">
        <f ca="1">IF($N65=AI$59,SUM(AI$60:AI64)-VLOOKUP($N65,$A$60:$B$146,2,0),0)</f>
        <v>0</v>
      </c>
      <c r="AJ65">
        <f ca="1">IF($N65=AJ$59,SUM(AJ$60:AJ64)-VLOOKUP($N65,$A$60:$B$146,2,0),0)</f>
        <v>0</v>
      </c>
      <c r="AK65">
        <f ca="1">IF($N65=AK$59,SUM(AK$60:AK64)-VLOOKUP($N65,$A$60:$B$146,2,0),0)</f>
        <v>0</v>
      </c>
      <c r="AL65">
        <f ca="1">IF($N65=AL$59,SUM(AL$60:AL64)-VLOOKUP($N65,$A$60:$B$146,2,0),0)</f>
        <v>0</v>
      </c>
    </row>
    <row r="66" spans="1:38">
      <c r="A66">
        <v>5274</v>
      </c>
      <c r="B66" s="257">
        <f>SUMIF('Dane stany'!$J$5:$J$371,A66,'Dane stany'!$K$5:$K$371)</f>
        <v>6000</v>
      </c>
      <c r="D66">
        <f t="shared" ca="1" si="31"/>
        <v>3000</v>
      </c>
      <c r="E66" s="88">
        <f t="shared" ca="1" si="34"/>
        <v>-3000</v>
      </c>
      <c r="L66" s="76">
        <v>6</v>
      </c>
      <c r="M66" s="76">
        <f ca="1">OFFSET(Receptury_z!$A$8,L66,0)</f>
        <v>6405</v>
      </c>
      <c r="N66" s="76">
        <f ca="1">OFFSET(Receptury_z!$C$8,L66,0)</f>
        <v>5142</v>
      </c>
      <c r="O66">
        <f t="shared" ca="1" si="35"/>
        <v>0</v>
      </c>
      <c r="P66">
        <f t="shared" ca="1" si="36"/>
        <v>1</v>
      </c>
      <c r="Q66">
        <f t="shared" ca="1" si="37"/>
        <v>0</v>
      </c>
      <c r="R66">
        <f t="shared" ca="1" si="38"/>
        <v>0</v>
      </c>
      <c r="S66" s="256">
        <f t="shared" ca="1" si="39"/>
        <v>0</v>
      </c>
      <c r="T66" s="282">
        <f t="shared" ca="1" si="40"/>
        <v>0</v>
      </c>
      <c r="U66">
        <f t="shared" ca="1" si="41"/>
        <v>6405</v>
      </c>
      <c r="V66">
        <f t="shared" ca="1" si="42"/>
        <v>0</v>
      </c>
      <c r="W66">
        <f t="shared" ca="1" si="43"/>
        <v>0</v>
      </c>
      <c r="X66">
        <f ca="1">IFERROR(VLOOKUP(U66,PLAN_P!$B:$D,3,0),0)</f>
        <v>0</v>
      </c>
      <c r="Y66">
        <f ca="1">IFERROR(VLOOKUP(V66,PLAN_P!$B:$D,3,0),0)</f>
        <v>0</v>
      </c>
      <c r="Z66">
        <f ca="1">IFERROR(VLOOKUP(W66,PLAN_P!$B:$D,3,0),0)</f>
        <v>0</v>
      </c>
      <c r="AC66" s="257">
        <f ca="1">SUMIF('Dane stany'!$J$5:$J$371,N66,'Dane stany'!$K$5:$K$371)</f>
        <v>0</v>
      </c>
      <c r="AE66">
        <f ca="1">IF($N66=AE$60,SUM(AE$60:AE65)-VLOOKUP(N66,$A$60:$B$146,2,0),0)</f>
        <v>0</v>
      </c>
      <c r="AF66">
        <f ca="1">IF($N66=AF$59,SUM(AF$60:AF65)-VLOOKUP($N66,$A$60:$B$146,2,0),0)</f>
        <v>0</v>
      </c>
      <c r="AG66">
        <f ca="1">IF($N66=AG$59,SUM(AG$60:AG65)-VLOOKUP($N66,$A$60:$B$146,2,0),0)</f>
        <v>0</v>
      </c>
      <c r="AH66">
        <f ca="1">IF($N66=AH$59,SUM(AH$60:AH65)-VLOOKUP($N66,$A$60:$B$146,2,0),0)</f>
        <v>0</v>
      </c>
      <c r="AI66">
        <f ca="1">IF($N66=AI$59,SUM(AI$60:AI65)-VLOOKUP($N66,$A$60:$B$146,2,0),0)</f>
        <v>0</v>
      </c>
      <c r="AJ66">
        <f ca="1">IF($N66=AJ$59,SUM(AJ$60:AJ65)-VLOOKUP($N66,$A$60:$B$146,2,0),0)</f>
        <v>0</v>
      </c>
      <c r="AK66">
        <f ca="1">IF($N66=AK$59,SUM(AK$60:AK65)-VLOOKUP($N66,$A$60:$B$146,2,0),0)</f>
        <v>0</v>
      </c>
      <c r="AL66">
        <f ca="1">IF($N66=AL$59,SUM(AL$60:AL65)-VLOOKUP($N66,$A$60:$B$146,2,0),0)</f>
        <v>0</v>
      </c>
    </row>
    <row r="67" spans="1:38">
      <c r="A67">
        <v>5560</v>
      </c>
      <c r="B67" s="257">
        <f>SUMIF('Dane stany'!$J$5:$J$371,A67,'Dane stany'!$K$5:$K$371)</f>
        <v>0</v>
      </c>
      <c r="C67">
        <v>11</v>
      </c>
      <c r="D67">
        <f t="shared" ca="1" si="31"/>
        <v>0</v>
      </c>
      <c r="E67" s="88">
        <f t="shared" ca="1" si="34"/>
        <v>0</v>
      </c>
      <c r="L67" s="76">
        <v>7</v>
      </c>
      <c r="M67" s="76">
        <f ca="1">OFFSET(Receptury_z!$A$8,L67,0)</f>
        <v>6406</v>
      </c>
      <c r="N67" s="76">
        <f ca="1">OFFSET(Receptury_z!$C$8,L67,0)</f>
        <v>5274</v>
      </c>
      <c r="O67">
        <f t="shared" ca="1" si="35"/>
        <v>3000</v>
      </c>
      <c r="P67">
        <f t="shared" ca="1" si="36"/>
        <v>1</v>
      </c>
      <c r="Q67">
        <f t="shared" ca="1" si="37"/>
        <v>0</v>
      </c>
      <c r="R67">
        <f t="shared" ca="1" si="38"/>
        <v>0</v>
      </c>
      <c r="S67" s="256">
        <f t="shared" ca="1" si="39"/>
        <v>0</v>
      </c>
      <c r="T67" s="282">
        <f t="shared" ca="1" si="40"/>
        <v>0</v>
      </c>
      <c r="U67">
        <f t="shared" ca="1" si="41"/>
        <v>6406</v>
      </c>
      <c r="V67">
        <f t="shared" ca="1" si="42"/>
        <v>0</v>
      </c>
      <c r="W67">
        <f t="shared" ca="1" si="43"/>
        <v>0</v>
      </c>
      <c r="X67">
        <f ca="1">IFERROR(VLOOKUP(U67,PLAN_P!$B:$D,3,0),0)</f>
        <v>3000</v>
      </c>
      <c r="Y67">
        <f ca="1">IFERROR(VLOOKUP(V67,PLAN_P!$B:$D,3,0),0)</f>
        <v>0</v>
      </c>
      <c r="Z67">
        <f ca="1">IFERROR(VLOOKUP(W67,PLAN_P!$B:$D,3,0),0)</f>
        <v>0</v>
      </c>
      <c r="AC67" s="257">
        <f ca="1">SUMIF('Dane stany'!$J$5:$J$371,N67,'Dane stany'!$K$5:$K$371)</f>
        <v>6000</v>
      </c>
      <c r="AE67">
        <f ca="1">IF($N67=AE$60,SUM(AE$60:AE66)-VLOOKUP(N67,$A$60:$B$146,2,0),0)</f>
        <v>0</v>
      </c>
      <c r="AF67">
        <f ca="1">IF($N67=AF$59,SUM(AF$60:AF66)-VLOOKUP($N67,$A$60:$B$146,2,0),0)</f>
        <v>0</v>
      </c>
      <c r="AG67">
        <f ca="1">IF($N67=AG$59,SUM(AG$60:AG66)-VLOOKUP($N67,$A$60:$B$146,2,0),0)</f>
        <v>0</v>
      </c>
      <c r="AH67">
        <f ca="1">IF($N67=AH$59,SUM(AH$60:AH66)-VLOOKUP($N67,$A$60:$B$146,2,0),0)</f>
        <v>0</v>
      </c>
      <c r="AI67">
        <f ca="1">IF($N67=AI$59,SUM(AI$60:AI66)-VLOOKUP($N67,$A$60:$B$146,2,0),0)</f>
        <v>0</v>
      </c>
      <c r="AJ67">
        <f ca="1">IF($N67=AJ$59,SUM(AJ$60:AJ66)-VLOOKUP($N67,$A$60:$B$146,2,0),0)</f>
        <v>0</v>
      </c>
      <c r="AK67">
        <f ca="1">IF($N67=AK$59,SUM(AK$60:AK66)-VLOOKUP($N67,$A$60:$B$146,2,0),0)</f>
        <v>0</v>
      </c>
      <c r="AL67">
        <f ca="1">IF($N67=AL$59,SUM(AL$60:AL66)-VLOOKUP($N67,$A$60:$B$146,2,0),0)</f>
        <v>0</v>
      </c>
    </row>
    <row r="68" spans="1:38">
      <c r="A68">
        <v>5424</v>
      </c>
      <c r="B68" s="257">
        <f>SUMIF('Dane stany'!$J$5:$J$371,A68,'Dane stany'!$K$5:$K$371)</f>
        <v>0</v>
      </c>
      <c r="D68">
        <f t="shared" ca="1" si="31"/>
        <v>0</v>
      </c>
      <c r="E68" s="88">
        <f t="shared" ca="1" si="34"/>
        <v>0</v>
      </c>
      <c r="L68" s="76">
        <v>8</v>
      </c>
      <c r="M68" s="76">
        <f ca="1">OFFSET(Receptury_z!$A$8,L68,0)</f>
        <v>7058</v>
      </c>
      <c r="N68" s="76">
        <f ca="1">OFFSET(Receptury_z!$C$8,L68,0)</f>
        <v>5560</v>
      </c>
      <c r="O68">
        <f t="shared" ca="1" si="35"/>
        <v>0</v>
      </c>
      <c r="P68">
        <f t="shared" ca="1" si="36"/>
        <v>1</v>
      </c>
      <c r="Q68">
        <f t="shared" ca="1" si="37"/>
        <v>11</v>
      </c>
      <c r="R68">
        <f t="shared" ca="1" si="38"/>
        <v>0</v>
      </c>
      <c r="S68" s="256">
        <f t="shared" ca="1" si="39"/>
        <v>0</v>
      </c>
      <c r="T68" s="282">
        <f t="shared" ca="1" si="40"/>
        <v>0</v>
      </c>
      <c r="U68">
        <f t="shared" ca="1" si="41"/>
        <v>7058</v>
      </c>
      <c r="V68">
        <f t="shared" ca="1" si="42"/>
        <v>0</v>
      </c>
      <c r="W68">
        <f t="shared" ca="1" si="43"/>
        <v>0</v>
      </c>
      <c r="X68">
        <f ca="1">IFERROR(VLOOKUP(U68,PLAN_P!$B:$D,3,0),0)</f>
        <v>0</v>
      </c>
      <c r="Y68">
        <f ca="1">IFERROR(VLOOKUP(V68,PLAN_P!$B:$D,3,0),0)</f>
        <v>0</v>
      </c>
      <c r="Z68">
        <f ca="1">IFERROR(VLOOKUP(W68,PLAN_P!$B:$D,3,0),0)</f>
        <v>0</v>
      </c>
      <c r="AC68" s="257">
        <f ca="1">SUMIF('Dane stany'!$J$5:$J$371,N68,'Dane stany'!$K$5:$K$371)</f>
        <v>0</v>
      </c>
      <c r="AE68">
        <f ca="1">IF($N68=AE$60,SUM(AE$60:AE67)-VLOOKUP(N68,$A$60:$B$146,2,0),0)</f>
        <v>0</v>
      </c>
      <c r="AF68">
        <f ca="1">IF($N68=AF$59,SUM(AF$60:AF67)-VLOOKUP($N68,$A$60:$B$146,2,0),0)</f>
        <v>0</v>
      </c>
      <c r="AG68">
        <f ca="1">IF($N68=AG$59,SUM(AG$60:AG67)-VLOOKUP($N68,$A$60:$B$146,2,0),0)</f>
        <v>0</v>
      </c>
      <c r="AH68">
        <f ca="1">IF($N68=AH$59,SUM(AH$60:AH67)-VLOOKUP($N68,$A$60:$B$146,2,0),0)</f>
        <v>0</v>
      </c>
      <c r="AI68">
        <f ca="1">IF($N68=AI$59,SUM(AI$60:AI67)-VLOOKUP($N68,$A$60:$B$146,2,0),0)</f>
        <v>0</v>
      </c>
      <c r="AJ68">
        <f ca="1">IF($N68=AJ$59,SUM(AJ$60:AJ67)-VLOOKUP($N68,$A$60:$B$146,2,0),0)</f>
        <v>0</v>
      </c>
      <c r="AK68">
        <f ca="1">IF($N68=AK$59,SUM(AK$60:AK67)-VLOOKUP($N68,$A$60:$B$146,2,0),0)</f>
        <v>0</v>
      </c>
      <c r="AL68">
        <f ca="1">IF($N68=AL$59,SUM(AL$60:AL67)-VLOOKUP($N68,$A$60:$B$146,2,0),0)</f>
        <v>0</v>
      </c>
    </row>
    <row r="69" spans="1:38">
      <c r="A69">
        <v>5421</v>
      </c>
      <c r="B69" s="257">
        <f>SUMIF('Dane stany'!$J$5:$J$371,A69,'Dane stany'!$K$5:$K$371)</f>
        <v>0</v>
      </c>
      <c r="D69">
        <f t="shared" ca="1" si="31"/>
        <v>0</v>
      </c>
      <c r="E69" s="88">
        <f t="shared" ca="1" si="34"/>
        <v>0</v>
      </c>
      <c r="L69" s="76">
        <v>9</v>
      </c>
      <c r="M69" s="76">
        <f ca="1">OFFSET(Receptury_z!$A$8,L69,0)</f>
        <v>6413</v>
      </c>
      <c r="N69" s="76">
        <f ca="1">OFFSET(Receptury_z!$C$8,L69,0)</f>
        <v>5424</v>
      </c>
      <c r="O69">
        <f t="shared" ca="1" si="35"/>
        <v>0</v>
      </c>
      <c r="P69">
        <f t="shared" ca="1" si="36"/>
        <v>1</v>
      </c>
      <c r="Q69">
        <f t="shared" ca="1" si="37"/>
        <v>0</v>
      </c>
      <c r="R69">
        <f t="shared" ca="1" si="38"/>
        <v>0</v>
      </c>
      <c r="S69" s="256">
        <f t="shared" ca="1" si="39"/>
        <v>0</v>
      </c>
      <c r="T69" s="282">
        <f t="shared" ca="1" si="40"/>
        <v>0</v>
      </c>
      <c r="U69">
        <f t="shared" ca="1" si="41"/>
        <v>6413</v>
      </c>
      <c r="V69">
        <f t="shared" ca="1" si="42"/>
        <v>0</v>
      </c>
      <c r="W69">
        <f t="shared" ca="1" si="43"/>
        <v>0</v>
      </c>
      <c r="X69">
        <f ca="1">IFERROR(VLOOKUP(U69,PLAN_P!$B:$D,3,0),0)</f>
        <v>0</v>
      </c>
      <c r="Y69">
        <f ca="1">IFERROR(VLOOKUP(V69,PLAN_P!$B:$D,3,0),0)</f>
        <v>0</v>
      </c>
      <c r="Z69">
        <f ca="1">IFERROR(VLOOKUP(W69,PLAN_P!$B:$D,3,0),0)</f>
        <v>0</v>
      </c>
      <c r="AC69" s="257">
        <f ca="1">SUMIF('Dane stany'!$J$5:$J$371,N69,'Dane stany'!$K$5:$K$371)</f>
        <v>0</v>
      </c>
      <c r="AE69">
        <f ca="1">IF($N69=AE$60,SUM(AE$60:AE68)-VLOOKUP(N69,$A$60:$B$146,2,0),0)</f>
        <v>0</v>
      </c>
      <c r="AF69">
        <f ca="1">IF($N69=AF$59,SUM(AF$60:AF68)-VLOOKUP($N69,$A$60:$B$146,2,0),0)</f>
        <v>0</v>
      </c>
      <c r="AG69">
        <f ca="1">IF($N69=AG$59,SUM(AG$60:AG68)-VLOOKUP($N69,$A$60:$B$146,2,0),0)</f>
        <v>0</v>
      </c>
      <c r="AH69">
        <f ca="1">IF($N69=AH$59,SUM(AH$60:AH68)-VLOOKUP($N69,$A$60:$B$146,2,0),0)</f>
        <v>0</v>
      </c>
      <c r="AI69">
        <f ca="1">IF($N69=AI$59,SUM(AI$60:AI68)-VLOOKUP($N69,$A$60:$B$146,2,0),0)</f>
        <v>0</v>
      </c>
      <c r="AJ69">
        <f ca="1">IF($N69=AJ$59,SUM(AJ$60:AJ68)-VLOOKUP($N69,$A$60:$B$146,2,0),0)</f>
        <v>0</v>
      </c>
      <c r="AK69">
        <f ca="1">IF($N69=AK$59,SUM(AK$60:AK68)-VLOOKUP($N69,$A$60:$B$146,2,0),0)</f>
        <v>0</v>
      </c>
      <c r="AL69">
        <f ca="1">IF($N69=AL$59,SUM(AL$60:AL68)-VLOOKUP($N69,$A$60:$B$146,2,0),0)</f>
        <v>0</v>
      </c>
    </row>
    <row r="70" spans="1:38">
      <c r="A70">
        <v>5430</v>
      </c>
      <c r="B70" s="257">
        <f>SUMIF('Dane stany'!$J$5:$J$371,A70,'Dane stany'!$K$5:$K$371)</f>
        <v>6000</v>
      </c>
      <c r="C70">
        <v>7</v>
      </c>
      <c r="D70">
        <f t="shared" ca="1" si="31"/>
        <v>0</v>
      </c>
      <c r="E70" s="88">
        <f t="shared" ca="1" si="34"/>
        <v>-6000</v>
      </c>
      <c r="L70" s="76">
        <v>10</v>
      </c>
      <c r="M70" s="76">
        <f ca="1">OFFSET(Receptury_z!$A$8,L70,0)</f>
        <v>6418</v>
      </c>
      <c r="N70" s="76">
        <f ca="1">OFFSET(Receptury_z!$C$8,L70,0)</f>
        <v>5421</v>
      </c>
      <c r="O70">
        <f t="shared" ca="1" si="35"/>
        <v>0</v>
      </c>
      <c r="P70">
        <f t="shared" ca="1" si="36"/>
        <v>1</v>
      </c>
      <c r="Q70">
        <f t="shared" ca="1" si="37"/>
        <v>0</v>
      </c>
      <c r="R70">
        <f t="shared" ca="1" si="38"/>
        <v>0</v>
      </c>
      <c r="S70" s="256">
        <f t="shared" ca="1" si="39"/>
        <v>0</v>
      </c>
      <c r="T70" s="282">
        <f t="shared" ca="1" si="40"/>
        <v>0</v>
      </c>
      <c r="U70">
        <f t="shared" ca="1" si="41"/>
        <v>6418</v>
      </c>
      <c r="V70">
        <f t="shared" ca="1" si="42"/>
        <v>0</v>
      </c>
      <c r="W70">
        <f t="shared" ca="1" si="43"/>
        <v>0</v>
      </c>
      <c r="X70">
        <f ca="1">IFERROR(VLOOKUP(U70,PLAN_P!$B:$D,3,0),0)</f>
        <v>0</v>
      </c>
      <c r="Y70">
        <f ca="1">IFERROR(VLOOKUP(V70,PLAN_P!$B:$D,3,0),0)</f>
        <v>0</v>
      </c>
      <c r="Z70">
        <f ca="1">IFERROR(VLOOKUP(W70,PLAN_P!$B:$D,3,0),0)</f>
        <v>0</v>
      </c>
      <c r="AC70" s="257">
        <f ca="1">SUMIF('Dane stany'!$J$5:$J$371,N70,'Dane stany'!$K$5:$K$371)</f>
        <v>0</v>
      </c>
      <c r="AE70">
        <f ca="1">IF($N70=AE$60,SUM(AE$60:AE69)-VLOOKUP(N70,$A$60:$B$146,2,0),0)</f>
        <v>0</v>
      </c>
      <c r="AF70">
        <f ca="1">IF($N70=AF$59,SUM(AF$60:AF69)-VLOOKUP($N70,$A$60:$B$146,2,0),0)</f>
        <v>0</v>
      </c>
      <c r="AG70">
        <f ca="1">IF($N70=AG$59,SUM(AG$60:AG69)-VLOOKUP($N70,$A$60:$B$146,2,0),0)</f>
        <v>0</v>
      </c>
      <c r="AH70">
        <f ca="1">IF($N70=AH$59,SUM(AH$60:AH69)-VLOOKUP($N70,$A$60:$B$146,2,0),0)</f>
        <v>0</v>
      </c>
      <c r="AI70">
        <f ca="1">IF($N70=AI$59,SUM(AI$60:AI69)-VLOOKUP($N70,$A$60:$B$146,2,0),0)</f>
        <v>0</v>
      </c>
      <c r="AJ70">
        <f ca="1">IF($N70=AJ$59,SUM(AJ$60:AJ69)-VLOOKUP($N70,$A$60:$B$146,2,0),0)</f>
        <v>0</v>
      </c>
      <c r="AK70">
        <f ca="1">IF($N70=AK$59,SUM(AK$60:AK69)-VLOOKUP($N70,$A$60:$B$146,2,0),0)</f>
        <v>0</v>
      </c>
      <c r="AL70">
        <f ca="1">IF($N70=AL$59,SUM(AL$60:AL69)-VLOOKUP($N70,$A$60:$B$146,2,0),0)</f>
        <v>0</v>
      </c>
    </row>
    <row r="71" spans="1:38">
      <c r="A71">
        <v>5431</v>
      </c>
      <c r="B71" s="257">
        <f>SUMIF('Dane stany'!$J$5:$J$371,A71,'Dane stany'!$K$5:$K$371)</f>
        <v>0</v>
      </c>
      <c r="D71">
        <f t="shared" ca="1" si="31"/>
        <v>0</v>
      </c>
      <c r="E71" s="88">
        <f t="shared" ca="1" si="34"/>
        <v>0</v>
      </c>
      <c r="L71" s="76">
        <v>11</v>
      </c>
      <c r="M71" s="76">
        <f ca="1">OFFSET(Receptury_z!$A$8,L71,0)</f>
        <v>6419</v>
      </c>
      <c r="N71" s="76">
        <f ca="1">OFFSET(Receptury_z!$C$8,L71,0)</f>
        <v>5430</v>
      </c>
      <c r="O71">
        <f t="shared" ca="1" si="35"/>
        <v>0</v>
      </c>
      <c r="P71">
        <f t="shared" ca="1" si="36"/>
        <v>2</v>
      </c>
      <c r="Q71">
        <f t="shared" ca="1" si="37"/>
        <v>7</v>
      </c>
      <c r="R71">
        <f t="shared" ca="1" si="38"/>
        <v>0</v>
      </c>
      <c r="S71" s="256">
        <f t="shared" ca="1" si="39"/>
        <v>0</v>
      </c>
      <c r="T71" s="282">
        <f t="shared" ca="1" si="40"/>
        <v>0</v>
      </c>
      <c r="U71">
        <f t="shared" ca="1" si="41"/>
        <v>6419</v>
      </c>
      <c r="V71">
        <f t="shared" ca="1" si="42"/>
        <v>0</v>
      </c>
      <c r="W71">
        <f t="shared" ca="1" si="43"/>
        <v>0</v>
      </c>
      <c r="X71">
        <f ca="1">IFERROR(VLOOKUP(U71,PLAN_P!$B:$D,3,0),0)</f>
        <v>0</v>
      </c>
      <c r="Y71">
        <f ca="1">IFERROR(VLOOKUP(V71,PLAN_P!$B:$D,3,0),0)</f>
        <v>0</v>
      </c>
      <c r="Z71">
        <f ca="1">IFERROR(VLOOKUP(W71,PLAN_P!$B:$D,3,0),0)</f>
        <v>0</v>
      </c>
      <c r="AC71" s="257">
        <f ca="1">SUMIF('Dane stany'!$J$5:$J$371,N71,'Dane stany'!$K$5:$K$371)</f>
        <v>6000</v>
      </c>
      <c r="AE71">
        <f ca="1">IF($N71=AE$60,SUM(AE$60:AE70)-VLOOKUP(N71,$A$60:$B$146,2,0),0)</f>
        <v>0</v>
      </c>
      <c r="AF71">
        <f ca="1">IF($N71=AF$59,SUM(AF$60:AF70)-VLOOKUP($N71,$A$60:$B$146,2,0),0)</f>
        <v>0</v>
      </c>
      <c r="AG71">
        <f ca="1">IF($N71=AG$59,SUM(AG$60:AG70)-VLOOKUP($N71,$A$60:$B$146,2,0),0)</f>
        <v>0</v>
      </c>
      <c r="AH71">
        <f ca="1">IF($N71=AH$59,SUM(AH$60:AH70)-VLOOKUP($N71,$A$60:$B$146,2,0),0)</f>
        <v>0</v>
      </c>
      <c r="AI71">
        <f ca="1">IF($N71=AI$59,SUM(AI$60:AI70)-VLOOKUP($N71,$A$60:$B$146,2,0),0)</f>
        <v>0</v>
      </c>
      <c r="AJ71">
        <f ca="1">IF($N71=AJ$59,SUM(AJ$60:AJ70)-VLOOKUP($N71,$A$60:$B$146,2,0),0)</f>
        <v>0</v>
      </c>
      <c r="AK71">
        <f ca="1">IF($N71=AK$59,SUM(AK$60:AK70)-VLOOKUP($N71,$A$60:$B$146,2,0),0)</f>
        <v>0</v>
      </c>
      <c r="AL71">
        <f ca="1">IF($N71=AL$59,SUM(AL$60:AL70)-VLOOKUP($N71,$A$60:$B$146,2,0),0)</f>
        <v>0</v>
      </c>
    </row>
    <row r="72" spans="1:38">
      <c r="A72">
        <v>5697</v>
      </c>
      <c r="B72" s="257">
        <f>SUMIF('Dane stany'!$J$5:$J$371,A72,'Dane stany'!$K$5:$K$371)</f>
        <v>0</v>
      </c>
      <c r="D72">
        <f t="shared" ca="1" si="31"/>
        <v>6000</v>
      </c>
      <c r="E72" s="88">
        <f t="shared" ca="1" si="34"/>
        <v>6000</v>
      </c>
      <c r="L72" s="76">
        <v>12</v>
      </c>
      <c r="M72" s="76">
        <f ca="1">OFFSET(Receptury_z!$A$8,L72,0)</f>
        <v>6421</v>
      </c>
      <c r="N72" s="76">
        <f ca="1">OFFSET(Receptury_z!$C$8,L72,0)</f>
        <v>5431</v>
      </c>
      <c r="O72">
        <f t="shared" ca="1" si="35"/>
        <v>0</v>
      </c>
      <c r="P72">
        <f t="shared" ca="1" si="36"/>
        <v>1</v>
      </c>
      <c r="Q72">
        <f t="shared" ca="1" si="37"/>
        <v>0</v>
      </c>
      <c r="R72">
        <f t="shared" ca="1" si="38"/>
        <v>0</v>
      </c>
      <c r="S72" s="256">
        <f t="shared" ca="1" si="39"/>
        <v>0</v>
      </c>
      <c r="T72" s="282">
        <f t="shared" ca="1" si="40"/>
        <v>0</v>
      </c>
      <c r="U72">
        <f t="shared" ca="1" si="41"/>
        <v>6421</v>
      </c>
      <c r="V72">
        <f t="shared" ca="1" si="42"/>
        <v>0</v>
      </c>
      <c r="W72">
        <f t="shared" ca="1" si="43"/>
        <v>0</v>
      </c>
      <c r="X72">
        <f ca="1">IFERROR(VLOOKUP(U72,PLAN_P!$B:$D,3,0),0)</f>
        <v>0</v>
      </c>
      <c r="Y72">
        <f ca="1">IFERROR(VLOOKUP(V72,PLAN_P!$B:$D,3,0),0)</f>
        <v>0</v>
      </c>
      <c r="Z72">
        <f ca="1">IFERROR(VLOOKUP(W72,PLAN_P!$B:$D,3,0),0)</f>
        <v>0</v>
      </c>
      <c r="AC72" s="257">
        <f ca="1">SUMIF('Dane stany'!$J$5:$J$371,N72,'Dane stany'!$K$5:$K$371)</f>
        <v>0</v>
      </c>
      <c r="AE72">
        <f ca="1">IF($N72=AE$60,SUM(AE$60:AE71)-VLOOKUP(N72,$A$60:$B$146,2,0),0)</f>
        <v>0</v>
      </c>
      <c r="AF72">
        <f ca="1">IF($N72=AF$59,SUM(AF$60:AF71)-VLOOKUP($N72,$A$60:$B$146,2,0),0)</f>
        <v>0</v>
      </c>
      <c r="AG72">
        <f ca="1">IF($N72=AG$59,SUM(AG$60:AG71)-VLOOKUP($N72,$A$60:$B$146,2,0),0)</f>
        <v>0</v>
      </c>
      <c r="AH72">
        <f ca="1">IF($N72=AH$59,SUM(AH$60:AH71)-VLOOKUP($N72,$A$60:$B$146,2,0),0)</f>
        <v>0</v>
      </c>
      <c r="AI72">
        <f ca="1">IF($N72=AI$59,SUM(AI$60:AI71)-VLOOKUP($N72,$A$60:$B$146,2,0),0)</f>
        <v>0</v>
      </c>
      <c r="AJ72">
        <f ca="1">IF($N72=AJ$59,SUM(AJ$60:AJ71)-VLOOKUP($N72,$A$60:$B$146,2,0),0)</f>
        <v>0</v>
      </c>
      <c r="AK72">
        <f ca="1">IF($N72=AK$59,SUM(AK$60:AK71)-VLOOKUP($N72,$A$60:$B$146,2,0),0)</f>
        <v>0</v>
      </c>
      <c r="AL72">
        <f ca="1">IF($N72=AL$59,SUM(AL$60:AL71)-VLOOKUP($N72,$A$60:$B$146,2,0),0)</f>
        <v>0</v>
      </c>
    </row>
    <row r="73" spans="1:38">
      <c r="A73">
        <v>5438</v>
      </c>
      <c r="B73" s="257">
        <f>SUMIF('Dane stany'!$J$5:$J$371,A73,'Dane stany'!$K$5:$K$371)</f>
        <v>0</v>
      </c>
      <c r="D73">
        <f t="shared" ca="1" si="31"/>
        <v>0</v>
      </c>
      <c r="E73" s="88">
        <f t="shared" ca="1" si="34"/>
        <v>0</v>
      </c>
      <c r="L73" s="76">
        <v>13</v>
      </c>
      <c r="M73" s="76">
        <f ca="1">OFFSET(Receptury_z!$A$8,L73,0)</f>
        <v>6501</v>
      </c>
      <c r="N73" s="76">
        <f ca="1">OFFSET(Receptury_z!$C$8,L73,0)</f>
        <v>5697</v>
      </c>
      <c r="O73">
        <f t="shared" ca="1" si="35"/>
        <v>6000</v>
      </c>
      <c r="P73">
        <f t="shared" ca="1" si="36"/>
        <v>1</v>
      </c>
      <c r="Q73">
        <f t="shared" ca="1" si="37"/>
        <v>0</v>
      </c>
      <c r="R73">
        <f t="shared" ca="1" si="38"/>
        <v>0</v>
      </c>
      <c r="S73" s="256">
        <f t="shared" ca="1" si="39"/>
        <v>0</v>
      </c>
      <c r="T73" s="282">
        <f ca="1">(VLOOKUP(N73,$A$60:$E$143,5,0)*S73)/1000</f>
        <v>0</v>
      </c>
      <c r="U73">
        <f t="shared" ca="1" si="41"/>
        <v>6501</v>
      </c>
      <c r="V73">
        <f t="shared" ca="1" si="42"/>
        <v>0</v>
      </c>
      <c r="W73">
        <f t="shared" ca="1" si="43"/>
        <v>0</v>
      </c>
      <c r="X73">
        <f ca="1">IFERROR(VLOOKUP(U73,PLAN_P!$B:$D,3,0),0)</f>
        <v>6000</v>
      </c>
      <c r="Y73">
        <f ca="1">IFERROR(VLOOKUP(V73,PLAN_P!$B:$D,3,0),0)</f>
        <v>0</v>
      </c>
      <c r="Z73">
        <f ca="1">IFERROR(VLOOKUP(W73,PLAN_P!$B:$D,3,0),0)</f>
        <v>0</v>
      </c>
      <c r="AC73" s="257">
        <f ca="1">SUMIF('Dane stany'!$J$5:$J$371,N73,'Dane stany'!$K$5:$K$371)</f>
        <v>0</v>
      </c>
      <c r="AE73">
        <f ca="1">IF($N73=AE$60,SUM(AE$60:AE72)-VLOOKUP(N73,$A$60:$B$146,2,0),0)</f>
        <v>0</v>
      </c>
      <c r="AF73">
        <f ca="1">IF($N73=AF$59,SUM(AF$60:AF72)-VLOOKUP($N73,$A$60:$B$146,2,0),0)</f>
        <v>0</v>
      </c>
      <c r="AG73">
        <f ca="1">IF($N73=AG$59,SUM(AG$60:AG72)-VLOOKUP($N73,$A$60:$B$146,2,0),0)</f>
        <v>0</v>
      </c>
      <c r="AH73">
        <f ca="1">IF($N73=AH$59,SUM(AH$60:AH72)-VLOOKUP($N73,$A$60:$B$146,2,0),0)</f>
        <v>0</v>
      </c>
      <c r="AI73">
        <f ca="1">IF($N73=AI$59,SUM(AI$60:AI72)-VLOOKUP($N73,$A$60:$B$146,2,0),0)</f>
        <v>0</v>
      </c>
      <c r="AJ73">
        <f ca="1">IF($N73=AJ$59,SUM(AJ$60:AJ72)-VLOOKUP($N73,$A$60:$B$146,2,0),0)</f>
        <v>0</v>
      </c>
      <c r="AK73">
        <f ca="1">IF($N73=AK$59,SUM(AK$60:AK72)-VLOOKUP($N73,$A$60:$B$146,2,0),0)</f>
        <v>0</v>
      </c>
      <c r="AL73">
        <f ca="1">IF($N73=AL$59,SUM(AL$60:AL72)-VLOOKUP($N73,$A$60:$B$146,2,0),0)</f>
        <v>0</v>
      </c>
    </row>
    <row r="74" spans="1:38">
      <c r="A74">
        <v>5529</v>
      </c>
      <c r="B74" s="257">
        <f>SUMIF('Dane stany'!$J$5:$J$371,A74,'Dane stany'!$K$5:$K$371)</f>
        <v>0</v>
      </c>
      <c r="D74">
        <f t="shared" ca="1" si="31"/>
        <v>0</v>
      </c>
      <c r="E74" s="88">
        <f t="shared" ca="1" si="34"/>
        <v>0</v>
      </c>
      <c r="L74" s="76">
        <v>14</v>
      </c>
      <c r="M74" s="76">
        <f ca="1">OFFSET(Receptury_z!$A$8,L74,0)</f>
        <v>6434</v>
      </c>
      <c r="N74" s="76">
        <f ca="1">OFFSET(Receptury_z!$C$8,L74,0)</f>
        <v>5438</v>
      </c>
      <c r="O74">
        <f t="shared" ca="1" si="35"/>
        <v>0</v>
      </c>
      <c r="P74">
        <f t="shared" ca="1" si="36"/>
        <v>1</v>
      </c>
      <c r="Q74">
        <f t="shared" ca="1" si="37"/>
        <v>0</v>
      </c>
      <c r="R74">
        <f t="shared" ca="1" si="38"/>
        <v>0</v>
      </c>
      <c r="S74" s="256">
        <f t="shared" ca="1" si="39"/>
        <v>0</v>
      </c>
      <c r="T74" s="282">
        <f t="shared" ca="1" si="40"/>
        <v>0</v>
      </c>
      <c r="U74">
        <f t="shared" ca="1" si="41"/>
        <v>6434</v>
      </c>
      <c r="V74">
        <f t="shared" ca="1" si="42"/>
        <v>0</v>
      </c>
      <c r="W74">
        <f t="shared" ca="1" si="43"/>
        <v>0</v>
      </c>
      <c r="X74">
        <f ca="1">IFERROR(VLOOKUP(U74,PLAN_P!$B:$D,3,0),0)</f>
        <v>0</v>
      </c>
      <c r="Y74">
        <f ca="1">IFERROR(VLOOKUP(V74,PLAN_P!$B:$D,3,0),0)</f>
        <v>0</v>
      </c>
      <c r="Z74">
        <f ca="1">IFERROR(VLOOKUP(W74,PLAN_P!$B:$D,3,0),0)</f>
        <v>0</v>
      </c>
      <c r="AC74" s="257">
        <f ca="1">SUMIF('Dane stany'!$J$5:$J$371,N74,'Dane stany'!$K$5:$K$371)</f>
        <v>0</v>
      </c>
      <c r="AE74">
        <f ca="1">IF($N74=AE$60,SUM(AE$60:AE73)-VLOOKUP(N74,$A$60:$B$146,2,0),0)</f>
        <v>0</v>
      </c>
      <c r="AF74">
        <f ca="1">IF($N74=AF$59,SUM(AF$60:AF73)-VLOOKUP($N74,$A$60:$B$146,2,0),0)</f>
        <v>0</v>
      </c>
      <c r="AG74">
        <f ca="1">IF($N74=AG$59,SUM(AG$60:AG73)-VLOOKUP($N74,$A$60:$B$146,2,0),0)</f>
        <v>0</v>
      </c>
      <c r="AH74">
        <f ca="1">IF($N74=AH$59,SUM(AH$60:AH73)-VLOOKUP($N74,$A$60:$B$146,2,0),0)</f>
        <v>0</v>
      </c>
      <c r="AI74">
        <f ca="1">IF($N74=AI$59,SUM(AI$60:AI73)-VLOOKUP($N74,$A$60:$B$146,2,0),0)</f>
        <v>0</v>
      </c>
      <c r="AJ74">
        <f ca="1">IF($N74=AJ$59,SUM(AJ$60:AJ73)-VLOOKUP($N74,$A$60:$B$146,2,0),0)</f>
        <v>0</v>
      </c>
      <c r="AK74">
        <f ca="1">IF($N74=AK$59,SUM(AK$60:AK73)-VLOOKUP($N74,$A$60:$B$146,2,0),0)</f>
        <v>0</v>
      </c>
      <c r="AL74">
        <f ca="1">IF($N74=AL$59,SUM(AL$60:AL73)-VLOOKUP($N74,$A$60:$B$146,2,0),0)</f>
        <v>0</v>
      </c>
    </row>
    <row r="75" spans="1:38">
      <c r="A75">
        <v>5559</v>
      </c>
      <c r="B75" s="257">
        <f>SUMIF('Dane stany'!$J$5:$J$371,A75,'Dane stany'!$K$5:$K$371)</f>
        <v>0</v>
      </c>
      <c r="D75">
        <f t="shared" ca="1" si="31"/>
        <v>0</v>
      </c>
      <c r="E75" s="88">
        <f t="shared" ca="1" si="34"/>
        <v>0</v>
      </c>
      <c r="L75" s="76">
        <v>15</v>
      </c>
      <c r="M75" s="76">
        <f ca="1">OFFSET(Receptury_z!$A$8,L75,0)</f>
        <v>6438</v>
      </c>
      <c r="N75" s="76">
        <f ca="1">OFFSET(Receptury_z!$C$8,L75,0)</f>
        <v>5529</v>
      </c>
      <c r="O75">
        <f t="shared" ca="1" si="35"/>
        <v>0</v>
      </c>
      <c r="P75">
        <f t="shared" ca="1" si="36"/>
        <v>1</v>
      </c>
      <c r="Q75">
        <f t="shared" ca="1" si="37"/>
        <v>0</v>
      </c>
      <c r="R75">
        <f t="shared" ca="1" si="38"/>
        <v>0</v>
      </c>
      <c r="S75" s="256">
        <f t="shared" ca="1" si="39"/>
        <v>0</v>
      </c>
      <c r="T75" s="282">
        <f t="shared" ca="1" si="40"/>
        <v>0</v>
      </c>
      <c r="U75">
        <f t="shared" ca="1" si="41"/>
        <v>6438</v>
      </c>
      <c r="V75">
        <f t="shared" ca="1" si="42"/>
        <v>0</v>
      </c>
      <c r="W75">
        <f t="shared" ca="1" si="43"/>
        <v>0</v>
      </c>
      <c r="X75">
        <f ca="1">IFERROR(VLOOKUP(U75,PLAN_P!$B:$D,3,0),0)</f>
        <v>0</v>
      </c>
      <c r="Y75">
        <f ca="1">IFERROR(VLOOKUP(V75,PLAN_P!$B:$D,3,0),0)</f>
        <v>0</v>
      </c>
      <c r="Z75">
        <f ca="1">IFERROR(VLOOKUP(W75,PLAN_P!$B:$D,3,0),0)</f>
        <v>0</v>
      </c>
      <c r="AC75" s="257">
        <f ca="1">SUMIF('Dane stany'!$J$5:$J$371,N75,'Dane stany'!$K$5:$K$371)</f>
        <v>0</v>
      </c>
      <c r="AE75">
        <f ca="1">IF($N75=AE$60,SUM(AE$60:AE74)-VLOOKUP(N75,$A$60:$B$146,2,0),0)</f>
        <v>0</v>
      </c>
      <c r="AF75">
        <f ca="1">IF($N75=AF$59,SUM(AF$60:AF74)-VLOOKUP($N75,$A$60:$B$146,2,0),0)</f>
        <v>0</v>
      </c>
      <c r="AG75">
        <f ca="1">IF($N75=AG$59,SUM(AG$60:AG74)-VLOOKUP($N75,$A$60:$B$146,2,0),0)</f>
        <v>0</v>
      </c>
      <c r="AH75">
        <f ca="1">IF($N75=AH$59,SUM(AH$60:AH74)-VLOOKUP($N75,$A$60:$B$146,2,0),0)</f>
        <v>0</v>
      </c>
      <c r="AI75">
        <f ca="1">IF($N75=AI$59,SUM(AI$60:AI74)-VLOOKUP($N75,$A$60:$B$146,2,0),0)</f>
        <v>0</v>
      </c>
      <c r="AJ75">
        <f ca="1">IF($N75=AJ$59,SUM(AJ$60:AJ74)-VLOOKUP($N75,$A$60:$B$146,2,0),0)</f>
        <v>0</v>
      </c>
      <c r="AK75">
        <f ca="1">IF($N75=AK$59,SUM(AK$60:AK74)-VLOOKUP($N75,$A$60:$B$146,2,0),0)</f>
        <v>0</v>
      </c>
      <c r="AL75">
        <f ca="1">IF($N75=AL$59,SUM(AL$60:AL74)-VLOOKUP($N75,$A$60:$B$146,2,0),0)</f>
        <v>0</v>
      </c>
    </row>
    <row r="76" spans="1:38">
      <c r="A76">
        <v>5476</v>
      </c>
      <c r="B76" s="257">
        <f>SUMIF('Dane stany'!$J$5:$J$371,A76,'Dane stany'!$K$5:$K$371)</f>
        <v>1500</v>
      </c>
      <c r="D76">
        <f t="shared" ca="1" si="31"/>
        <v>0</v>
      </c>
      <c r="E76" s="88">
        <f t="shared" ca="1" si="34"/>
        <v>-1500</v>
      </c>
      <c r="L76" s="76">
        <v>16</v>
      </c>
      <c r="M76" s="76">
        <f ca="1">OFFSET(Receptury_z!$A$8,L76,0)</f>
        <v>6551</v>
      </c>
      <c r="N76" s="76">
        <f ca="1">OFFSET(Receptury_z!$C$8,L76,0)</f>
        <v>5559</v>
      </c>
      <c r="O76">
        <f t="shared" ca="1" si="35"/>
        <v>0</v>
      </c>
      <c r="P76">
        <f t="shared" ca="1" si="36"/>
        <v>1</v>
      </c>
      <c r="Q76">
        <f t="shared" ca="1" si="37"/>
        <v>0</v>
      </c>
      <c r="R76">
        <f t="shared" ca="1" si="38"/>
        <v>0</v>
      </c>
      <c r="S76" s="256">
        <f t="shared" ca="1" si="39"/>
        <v>0</v>
      </c>
      <c r="T76" s="282">
        <f t="shared" ca="1" si="40"/>
        <v>0</v>
      </c>
      <c r="U76">
        <f t="shared" ca="1" si="41"/>
        <v>6551</v>
      </c>
      <c r="V76">
        <f t="shared" ca="1" si="42"/>
        <v>0</v>
      </c>
      <c r="W76">
        <f t="shared" ca="1" si="43"/>
        <v>0</v>
      </c>
      <c r="X76">
        <f ca="1">IFERROR(VLOOKUP(U76,PLAN_P!$B:$D,3,0),0)</f>
        <v>0</v>
      </c>
      <c r="Y76">
        <f ca="1">IFERROR(VLOOKUP(V76,PLAN_P!$B:$D,3,0),0)</f>
        <v>0</v>
      </c>
      <c r="Z76">
        <f ca="1">IFERROR(VLOOKUP(W76,PLAN_P!$B:$D,3,0),0)</f>
        <v>0</v>
      </c>
      <c r="AC76" s="257">
        <f ca="1">SUMIF('Dane stany'!$J$5:$J$371,N76,'Dane stany'!$K$5:$K$371)</f>
        <v>0</v>
      </c>
      <c r="AE76">
        <f ca="1">IF($N76=AE$60,SUM(AE$60:AE75)-VLOOKUP(N76,$A$60:$B$146,2,0),0)</f>
        <v>0</v>
      </c>
      <c r="AF76">
        <f ca="1">IF($N76=AF$59,SUM(AF$60:AF75)-VLOOKUP($N76,$A$60:$B$146,2,0),0)</f>
        <v>0</v>
      </c>
      <c r="AG76">
        <f ca="1">IF($N76=AG$59,SUM(AG$60:AG75)-VLOOKUP($N76,$A$60:$B$146,2,0),0)</f>
        <v>0</v>
      </c>
      <c r="AH76">
        <f ca="1">IF($N76=AH$59,SUM(AH$60:AH75)-VLOOKUP($N76,$A$60:$B$146,2,0),0)</f>
        <v>0</v>
      </c>
      <c r="AI76">
        <f ca="1">IF($N76=AI$59,SUM(AI$60:AI75)-VLOOKUP($N76,$A$60:$B$146,2,0),0)</f>
        <v>0</v>
      </c>
      <c r="AJ76">
        <f ca="1">IF($N76=AJ$59,SUM(AJ$60:AJ75)-VLOOKUP($N76,$A$60:$B$146,2,0),0)</f>
        <v>0</v>
      </c>
      <c r="AK76">
        <f ca="1">IF($N76=AK$59,SUM(AK$60:AK75)-VLOOKUP($N76,$A$60:$B$146,2,0),0)</f>
        <v>0</v>
      </c>
      <c r="AL76">
        <f ca="1">IF($N76=AL$59,SUM(AL$60:AL75)-VLOOKUP($N76,$A$60:$B$146,2,0),0)</f>
        <v>0</v>
      </c>
    </row>
    <row r="77" spans="1:38">
      <c r="A77">
        <v>5553</v>
      </c>
      <c r="B77" s="257">
        <f>SUMIF('Dane stany'!$J$5:$J$371,A77,'Dane stany'!$K$5:$K$371)</f>
        <v>0</v>
      </c>
      <c r="D77">
        <f t="shared" ca="1" si="31"/>
        <v>0</v>
      </c>
      <c r="E77" s="88">
        <f t="shared" ca="1" si="34"/>
        <v>0</v>
      </c>
      <c r="L77" s="76">
        <v>17</v>
      </c>
      <c r="M77" s="76">
        <f ca="1">OFFSET(Receptury_z!$A$8,L77,0)</f>
        <v>6454</v>
      </c>
      <c r="N77" s="76">
        <f ca="1">OFFSET(Receptury_z!$C$8,L77,0)</f>
        <v>5476</v>
      </c>
      <c r="O77">
        <f t="shared" ca="1" si="35"/>
        <v>0</v>
      </c>
      <c r="P77">
        <f t="shared" ca="1" si="36"/>
        <v>1</v>
      </c>
      <c r="Q77">
        <f t="shared" ca="1" si="37"/>
        <v>0</v>
      </c>
      <c r="R77">
        <f t="shared" ca="1" si="38"/>
        <v>0</v>
      </c>
      <c r="S77" s="256">
        <f t="shared" ca="1" si="39"/>
        <v>0</v>
      </c>
      <c r="T77" s="282">
        <f t="shared" ca="1" si="40"/>
        <v>0</v>
      </c>
      <c r="U77">
        <f t="shared" ca="1" si="41"/>
        <v>6454</v>
      </c>
      <c r="V77">
        <f t="shared" ca="1" si="42"/>
        <v>0</v>
      </c>
      <c r="W77">
        <f t="shared" ca="1" si="43"/>
        <v>0</v>
      </c>
      <c r="X77">
        <f ca="1">IFERROR(VLOOKUP(U77,PLAN_P!$B:$D,3,0),0)</f>
        <v>0</v>
      </c>
      <c r="Y77">
        <f ca="1">IFERROR(VLOOKUP(V77,PLAN_P!$B:$D,3,0),0)</f>
        <v>0</v>
      </c>
      <c r="Z77">
        <f ca="1">IFERROR(VLOOKUP(W77,PLAN_P!$B:$D,3,0),0)</f>
        <v>0</v>
      </c>
      <c r="AC77" s="257">
        <f ca="1">SUMIF('Dane stany'!$J$5:$J$371,N77,'Dane stany'!$K$5:$K$371)</f>
        <v>1500</v>
      </c>
      <c r="AE77">
        <f ca="1">IF($N77=AE$60,SUM(AE$60:AE76)-VLOOKUP(N77,$A$60:$B$146,2,0),0)</f>
        <v>0</v>
      </c>
      <c r="AF77">
        <f ca="1">IF($N77=AF$59,SUM(AF$60:AF76)-VLOOKUP($N77,$A$60:$B$146,2,0),0)</f>
        <v>0</v>
      </c>
      <c r="AG77">
        <f ca="1">IF($N77=AG$59,SUM(AG$60:AG76)-VLOOKUP($N77,$A$60:$B$146,2,0),0)</f>
        <v>0</v>
      </c>
      <c r="AH77">
        <f ca="1">IF($N77=AH$59,SUM(AH$60:AH76)-VLOOKUP($N77,$A$60:$B$146,2,0),0)</f>
        <v>0</v>
      </c>
      <c r="AI77">
        <f ca="1">IF($N77=AI$59,SUM(AI$60:AI76)-VLOOKUP($N77,$A$60:$B$146,2,0),0)</f>
        <v>0</v>
      </c>
      <c r="AJ77">
        <f ca="1">IF($N77=AJ$59,SUM(AJ$60:AJ76)-VLOOKUP($N77,$A$60:$B$146,2,0),0)</f>
        <v>0</v>
      </c>
      <c r="AK77">
        <f ca="1">IF($N77=AK$59,SUM(AK$60:AK76)-VLOOKUP($N77,$A$60:$B$146,2,0),0)</f>
        <v>0</v>
      </c>
      <c r="AL77">
        <f ca="1">IF($N77=AL$59,SUM(AL$60:AL76)-VLOOKUP($N77,$A$60:$B$146,2,0),0)</f>
        <v>0</v>
      </c>
    </row>
    <row r="78" spans="1:38">
      <c r="A78">
        <v>5572</v>
      </c>
      <c r="B78" s="257">
        <f>SUMIF('Dane stany'!$J$5:$J$371,A78,'Dane stany'!$K$5:$K$371)</f>
        <v>0</v>
      </c>
      <c r="D78">
        <f t="shared" ca="1" si="31"/>
        <v>0</v>
      </c>
      <c r="E78" s="88">
        <f t="shared" ca="1" si="34"/>
        <v>0</v>
      </c>
      <c r="L78" s="76">
        <v>18</v>
      </c>
      <c r="M78" s="76">
        <f ca="1">OFFSET(Receptury_z!$A$8,L78,0)</f>
        <v>6457</v>
      </c>
      <c r="N78" s="76">
        <f ca="1">OFFSET(Receptury_z!$C$8,L78,0)</f>
        <v>5553</v>
      </c>
      <c r="O78">
        <f t="shared" ca="1" si="35"/>
        <v>0</v>
      </c>
      <c r="P78">
        <f t="shared" ca="1" si="36"/>
        <v>1</v>
      </c>
      <c r="Q78">
        <f t="shared" ca="1" si="37"/>
        <v>0</v>
      </c>
      <c r="R78">
        <f t="shared" ca="1" si="38"/>
        <v>0</v>
      </c>
      <c r="S78" s="256">
        <f t="shared" ca="1" si="39"/>
        <v>0</v>
      </c>
      <c r="T78" s="282">
        <f t="shared" ca="1" si="40"/>
        <v>0</v>
      </c>
      <c r="U78">
        <f t="shared" ca="1" si="41"/>
        <v>6457</v>
      </c>
      <c r="V78">
        <f t="shared" ca="1" si="42"/>
        <v>0</v>
      </c>
      <c r="W78">
        <f t="shared" ca="1" si="43"/>
        <v>0</v>
      </c>
      <c r="X78">
        <f ca="1">IFERROR(VLOOKUP(U78,PLAN_P!$B:$D,3,0),0)</f>
        <v>0</v>
      </c>
      <c r="Y78">
        <f ca="1">IFERROR(VLOOKUP(V78,PLAN_P!$B:$D,3,0),0)</f>
        <v>0</v>
      </c>
      <c r="Z78">
        <f ca="1">IFERROR(VLOOKUP(W78,PLAN_P!$B:$D,3,0),0)</f>
        <v>0</v>
      </c>
      <c r="AC78" s="257">
        <f ca="1">SUMIF('Dane stany'!$J$5:$J$371,N78,'Dane stany'!$K$5:$K$371)</f>
        <v>0</v>
      </c>
      <c r="AE78">
        <f ca="1">IF($N78=AE$60,SUM(AE$60:AE77)-VLOOKUP(N78,$A$60:$B$146,2,0),0)</f>
        <v>0</v>
      </c>
      <c r="AF78">
        <f ca="1">IF($N78=AF$59,SUM(AF$60:AF77)-VLOOKUP($N78,$A$60:$B$146,2,0),0)</f>
        <v>0</v>
      </c>
      <c r="AG78">
        <f ca="1">IF($N78=AG$59,SUM(AG$60:AG77)-VLOOKUP($N78,$A$60:$B$146,2,0),0)</f>
        <v>0</v>
      </c>
      <c r="AH78">
        <f ca="1">IF($N78=AH$59,SUM(AH$60:AH77)-VLOOKUP($N78,$A$60:$B$146,2,0),0)</f>
        <v>0</v>
      </c>
      <c r="AI78">
        <f ca="1">IF($N78=AI$59,SUM(AI$60:AI77)-VLOOKUP($N78,$A$60:$B$146,2,0),0)</f>
        <v>0</v>
      </c>
      <c r="AJ78">
        <f ca="1">IF($N78=AJ$59,SUM(AJ$60:AJ77)-VLOOKUP($N78,$A$60:$B$146,2,0),0)</f>
        <v>0</v>
      </c>
      <c r="AK78">
        <f ca="1">IF($N78=AK$59,SUM(AK$60:AK77)-VLOOKUP($N78,$A$60:$B$146,2,0),0)</f>
        <v>0</v>
      </c>
      <c r="AL78">
        <f ca="1">IF($N78=AL$59,SUM(AL$60:AL77)-VLOOKUP($N78,$A$60:$B$146,2,0),0)</f>
        <v>0</v>
      </c>
    </row>
    <row r="79" spans="1:38">
      <c r="A79">
        <v>5574</v>
      </c>
      <c r="B79" s="257">
        <f>SUMIF('Dane stany'!$J$5:$J$371,A79,'Dane stany'!$K$5:$K$371)</f>
        <v>0</v>
      </c>
      <c r="D79">
        <f t="shared" ca="1" si="31"/>
        <v>0</v>
      </c>
      <c r="E79" s="88">
        <f t="shared" ca="1" si="34"/>
        <v>0</v>
      </c>
      <c r="L79" s="76">
        <v>19</v>
      </c>
      <c r="M79" s="76">
        <f ca="1">OFFSET(Receptury_z!$A$8,L79,0)</f>
        <v>6458</v>
      </c>
      <c r="N79" s="76">
        <f ca="1">OFFSET(Receptury_z!$C$8,L79,0)</f>
        <v>5572</v>
      </c>
      <c r="O79">
        <f t="shared" ca="1" si="35"/>
        <v>0</v>
      </c>
      <c r="P79">
        <f t="shared" ca="1" si="36"/>
        <v>1</v>
      </c>
      <c r="Q79">
        <f t="shared" ca="1" si="37"/>
        <v>0</v>
      </c>
      <c r="R79">
        <f t="shared" ca="1" si="38"/>
        <v>0</v>
      </c>
      <c r="S79" s="256">
        <f t="shared" ca="1" si="39"/>
        <v>0</v>
      </c>
      <c r="T79" s="282">
        <f t="shared" ca="1" si="40"/>
        <v>0</v>
      </c>
      <c r="U79">
        <f t="shared" ca="1" si="41"/>
        <v>6458</v>
      </c>
      <c r="V79">
        <f t="shared" ca="1" si="42"/>
        <v>0</v>
      </c>
      <c r="W79">
        <f t="shared" ca="1" si="43"/>
        <v>0</v>
      </c>
      <c r="X79">
        <f ca="1">IFERROR(VLOOKUP(U79,PLAN_P!$B:$D,3,0),0)</f>
        <v>0</v>
      </c>
      <c r="Y79">
        <f ca="1">IFERROR(VLOOKUP(V79,PLAN_P!$B:$D,3,0),0)</f>
        <v>0</v>
      </c>
      <c r="Z79">
        <f ca="1">IFERROR(VLOOKUP(W79,PLAN_P!$B:$D,3,0),0)</f>
        <v>0</v>
      </c>
      <c r="AC79" s="257">
        <f ca="1">SUMIF('Dane stany'!$J$5:$J$371,N79,'Dane stany'!$K$5:$K$371)</f>
        <v>0</v>
      </c>
      <c r="AE79">
        <f ca="1">IF($N79=AE$60,SUM(AE$60:AE78)-VLOOKUP(N79,$A$60:$B$146,2,0),0)</f>
        <v>0</v>
      </c>
      <c r="AF79">
        <f ca="1">IF($N79=AF$59,SUM(AF$60:AF78)-VLOOKUP($N79,$A$60:$B$146,2,0),0)</f>
        <v>0</v>
      </c>
      <c r="AG79">
        <f ca="1">IF($N79=AG$59,SUM(AG$60:AG78)-VLOOKUP($N79,$A$60:$B$146,2,0),0)</f>
        <v>0</v>
      </c>
      <c r="AH79">
        <f ca="1">IF($N79=AH$59,SUM(AH$60:AH78)-VLOOKUP($N79,$A$60:$B$146,2,0),0)</f>
        <v>0</v>
      </c>
      <c r="AI79">
        <f ca="1">IF($N79=AI$59,SUM(AI$60:AI78)-VLOOKUP($N79,$A$60:$B$146,2,0),0)</f>
        <v>0</v>
      </c>
      <c r="AJ79">
        <f ca="1">IF($N79=AJ$59,SUM(AJ$60:AJ78)-VLOOKUP($N79,$A$60:$B$146,2,0),0)</f>
        <v>0</v>
      </c>
      <c r="AK79">
        <f ca="1">IF($N79=AK$59,SUM(AK$60:AK78)-VLOOKUP($N79,$A$60:$B$146,2,0),0)</f>
        <v>0</v>
      </c>
      <c r="AL79">
        <f ca="1">IF($N79=AL$59,SUM(AL$60:AL78)-VLOOKUP($N79,$A$60:$B$146,2,0),0)</f>
        <v>0</v>
      </c>
    </row>
    <row r="80" spans="1:38">
      <c r="A80">
        <v>5555</v>
      </c>
      <c r="B80" s="257">
        <f>SUMIF('Dane stany'!$J$5:$J$371,A80,'Dane stany'!$K$5:$K$371)</f>
        <v>0</v>
      </c>
      <c r="C80">
        <v>1</v>
      </c>
      <c r="D80">
        <f t="shared" ca="1" si="31"/>
        <v>0</v>
      </c>
      <c r="E80" s="88">
        <f t="shared" ca="1" si="34"/>
        <v>0</v>
      </c>
      <c r="L80" s="76">
        <v>20</v>
      </c>
      <c r="M80" s="76">
        <f ca="1">OFFSET(Receptury_z!$A$8,L80,0)</f>
        <v>6463</v>
      </c>
      <c r="N80" s="76">
        <f ca="1">OFFSET(Receptury_z!$C$8,L80,0)</f>
        <v>5574</v>
      </c>
      <c r="O80">
        <f t="shared" ca="1" si="35"/>
        <v>0</v>
      </c>
      <c r="P80">
        <f t="shared" ca="1" si="36"/>
        <v>1</v>
      </c>
      <c r="Q80">
        <f t="shared" ca="1" si="37"/>
        <v>0</v>
      </c>
      <c r="R80">
        <f t="shared" ca="1" si="38"/>
        <v>0</v>
      </c>
      <c r="S80" s="256">
        <f t="shared" ca="1" si="39"/>
        <v>0</v>
      </c>
      <c r="T80" s="282">
        <f t="shared" ca="1" si="40"/>
        <v>0</v>
      </c>
      <c r="U80">
        <f t="shared" ca="1" si="41"/>
        <v>6463</v>
      </c>
      <c r="V80">
        <f t="shared" ca="1" si="42"/>
        <v>0</v>
      </c>
      <c r="W80">
        <f t="shared" ca="1" si="43"/>
        <v>0</v>
      </c>
      <c r="X80">
        <f ca="1">IFERROR(VLOOKUP(U80,PLAN_P!$B:$D,3,0),0)</f>
        <v>0</v>
      </c>
      <c r="Y80">
        <f ca="1">IFERROR(VLOOKUP(V80,PLAN_P!$B:$D,3,0),0)</f>
        <v>0</v>
      </c>
      <c r="Z80">
        <f ca="1">IFERROR(VLOOKUP(W80,PLAN_P!$B:$D,3,0),0)</f>
        <v>0</v>
      </c>
      <c r="AC80" s="257">
        <f ca="1">SUMIF('Dane stany'!$J$5:$J$371,N80,'Dane stany'!$K$5:$K$371)</f>
        <v>0</v>
      </c>
      <c r="AE80">
        <f ca="1">IF($N80=AE$60,SUM(AE$60:AE79)-VLOOKUP(N80,$A$60:$B$146,2,0),0)</f>
        <v>0</v>
      </c>
      <c r="AF80">
        <f ca="1">IF($N80=AF$59,SUM(AF$60:AF79)-VLOOKUP($N80,$A$60:$B$146,2,0),0)</f>
        <v>0</v>
      </c>
      <c r="AG80">
        <f ca="1">IF($N80=AG$59,SUM(AG$60:AG79)-VLOOKUP($N80,$A$60:$B$146,2,0),0)</f>
        <v>0</v>
      </c>
      <c r="AH80">
        <f ca="1">IF($N80=AH$59,SUM(AH$60:AH79)-VLOOKUP($N80,$A$60:$B$146,2,0),0)</f>
        <v>0</v>
      </c>
      <c r="AI80">
        <f ca="1">IF($N80=AI$59,SUM(AI$60:AI79)-VLOOKUP($N80,$A$60:$B$146,2,0),0)</f>
        <v>0</v>
      </c>
      <c r="AJ80">
        <f ca="1">IF($N80=AJ$59,SUM(AJ$60:AJ79)-VLOOKUP($N80,$A$60:$B$146,2,0),0)</f>
        <v>0</v>
      </c>
      <c r="AK80">
        <f ca="1">IF($N80=AK$59,SUM(AK$60:AK79)-VLOOKUP($N80,$A$60:$B$146,2,0),0)</f>
        <v>0</v>
      </c>
      <c r="AL80">
        <f ca="1">IF($N80=AL$59,SUM(AL$60:AL79)-VLOOKUP($N80,$A$60:$B$146,2,0),0)</f>
        <v>0</v>
      </c>
    </row>
    <row r="81" spans="1:38">
      <c r="A81">
        <v>5527</v>
      </c>
      <c r="B81" s="257">
        <f>SUMIF('Dane stany'!$J$5:$J$371,A81,'Dane stany'!$K$5:$K$371)</f>
        <v>0</v>
      </c>
      <c r="C81">
        <v>2</v>
      </c>
      <c r="D81">
        <f t="shared" ca="1" si="31"/>
        <v>0</v>
      </c>
      <c r="E81" s="88">
        <f t="shared" ca="1" si="34"/>
        <v>0</v>
      </c>
      <c r="L81" s="76">
        <v>21</v>
      </c>
      <c r="M81" s="76">
        <f ca="1">OFFSET(Receptury_z!$A$8,L81,0)</f>
        <v>6461</v>
      </c>
      <c r="N81" s="76">
        <f ca="1">OFFSET(Receptury_z!$C$8,L81,0)</f>
        <v>5555</v>
      </c>
      <c r="O81">
        <f t="shared" ca="1" si="35"/>
        <v>0</v>
      </c>
      <c r="P81">
        <f t="shared" ca="1" si="36"/>
        <v>3</v>
      </c>
      <c r="Q81">
        <f t="shared" ca="1" si="37"/>
        <v>1</v>
      </c>
      <c r="R81">
        <f t="shared" ca="1" si="38"/>
        <v>0</v>
      </c>
      <c r="S81" s="256">
        <f t="shared" ca="1" si="39"/>
        <v>0</v>
      </c>
      <c r="T81" s="282">
        <f t="shared" ca="1" si="40"/>
        <v>0</v>
      </c>
      <c r="U81">
        <f t="shared" ca="1" si="41"/>
        <v>6461</v>
      </c>
      <c r="V81">
        <f t="shared" ca="1" si="42"/>
        <v>0</v>
      </c>
      <c r="W81">
        <f t="shared" ca="1" si="43"/>
        <v>0</v>
      </c>
      <c r="X81">
        <f ca="1">IFERROR(VLOOKUP(U81,PLAN_P!$B:$D,3,0),0)</f>
        <v>0</v>
      </c>
      <c r="Y81">
        <f ca="1">IFERROR(VLOOKUP(V81,PLAN_P!$B:$D,3,0),0)</f>
        <v>0</v>
      </c>
      <c r="Z81">
        <f ca="1">IFERROR(VLOOKUP(W81,PLAN_P!$B:$D,3,0),0)</f>
        <v>0</v>
      </c>
      <c r="AC81" s="257">
        <f ca="1">SUMIF('Dane stany'!$J$5:$J$371,N81,'Dane stany'!$K$5:$K$371)</f>
        <v>0</v>
      </c>
      <c r="AE81">
        <f ca="1">IF($N81=AE$60,SUM(AE$60:AE80)-VLOOKUP(N81,$A$60:$B$146,2,0),0)</f>
        <v>0</v>
      </c>
      <c r="AF81">
        <f ca="1">IF($N81=AF$59,SUM(AF$60:AF80)-VLOOKUP($N81,$A$60:$B$146,2,0),0)</f>
        <v>0</v>
      </c>
      <c r="AG81">
        <f ca="1">IF($N81=AG$59,SUM(AG$60:AG80)-VLOOKUP($N81,$A$60:$B$146,2,0),0)</f>
        <v>0</v>
      </c>
      <c r="AH81">
        <f ca="1">IF($N81=AH$59,SUM(AH$60:AH80)-VLOOKUP($N81,$A$60:$B$146,2,0),0)</f>
        <v>0</v>
      </c>
      <c r="AI81">
        <f ca="1">IF($N81=AI$59,SUM(AI$60:AI80)-VLOOKUP($N81,$A$60:$B$146,2,0),0)</f>
        <v>0</v>
      </c>
      <c r="AJ81">
        <f ca="1">IF($N81=AJ$59,SUM(AJ$60:AJ80)-VLOOKUP($N81,$A$60:$B$146,2,0),0)</f>
        <v>0</v>
      </c>
      <c r="AK81">
        <f ca="1">IF($N81=AK$59,SUM(AK$60:AK80)-VLOOKUP($N81,$A$60:$B$146,2,0),0)</f>
        <v>0</v>
      </c>
      <c r="AL81">
        <f ca="1">IF($N81=AL$59,SUM(AL$60:AL80)-VLOOKUP($N81,$A$60:$B$146,2,0),0)</f>
        <v>0</v>
      </c>
    </row>
    <row r="82" spans="1:38">
      <c r="A82">
        <v>5542</v>
      </c>
      <c r="B82" s="257">
        <f>SUMIF('Dane stany'!$J$5:$J$371,A82,'Dane stany'!$K$5:$K$371)</f>
        <v>0</v>
      </c>
      <c r="D82">
        <f t="shared" ca="1" si="31"/>
        <v>0</v>
      </c>
      <c r="E82" s="88">
        <f t="shared" ca="1" si="34"/>
        <v>0</v>
      </c>
      <c r="L82" s="76">
        <v>22</v>
      </c>
      <c r="M82" s="76">
        <f ca="1">OFFSET(Receptury_z!$A$8,L82,0)</f>
        <v>6440</v>
      </c>
      <c r="N82" s="76">
        <f ca="1">OFFSET(Receptury_z!$C$8,L82,0)</f>
        <v>5527</v>
      </c>
      <c r="O82">
        <f t="shared" ca="1" si="35"/>
        <v>0</v>
      </c>
      <c r="P82">
        <f t="shared" ca="1" si="36"/>
        <v>2</v>
      </c>
      <c r="Q82">
        <f t="shared" ca="1" si="37"/>
        <v>2</v>
      </c>
      <c r="R82">
        <f t="shared" ca="1" si="38"/>
        <v>0</v>
      </c>
      <c r="S82" s="256">
        <f t="shared" ca="1" si="39"/>
        <v>0</v>
      </c>
      <c r="T82" s="282">
        <f t="shared" ca="1" si="40"/>
        <v>0</v>
      </c>
      <c r="U82">
        <f t="shared" ca="1" si="41"/>
        <v>6440</v>
      </c>
      <c r="V82">
        <f t="shared" ca="1" si="42"/>
        <v>0</v>
      </c>
      <c r="W82">
        <f t="shared" ca="1" si="43"/>
        <v>0</v>
      </c>
      <c r="X82">
        <f ca="1">IFERROR(VLOOKUP(U82,PLAN_P!$B:$D,3,0),0)</f>
        <v>0</v>
      </c>
      <c r="Y82">
        <f ca="1">IFERROR(VLOOKUP(V82,PLAN_P!$B:$D,3,0),0)</f>
        <v>0</v>
      </c>
      <c r="Z82">
        <f ca="1">IFERROR(VLOOKUP(W82,PLAN_P!$B:$D,3,0),0)</f>
        <v>0</v>
      </c>
      <c r="AC82" s="257">
        <f ca="1">SUMIF('Dane stany'!$J$5:$J$371,N82,'Dane stany'!$K$5:$K$371)</f>
        <v>0</v>
      </c>
      <c r="AE82">
        <f ca="1">IF($N82=AE$60,SUM(AE$60:AE81)-VLOOKUP(N82,$A$60:$B$146,2,0),0)</f>
        <v>0</v>
      </c>
      <c r="AF82">
        <f ca="1">IF($N82=AF$59,SUM(AF$60:AF81)-VLOOKUP($N82,$A$60:$B$146,2,0),0)</f>
        <v>0</v>
      </c>
      <c r="AG82">
        <f ca="1">IF($N82=AG$59,SUM(AG$60:AG81)-VLOOKUP($N82,$A$60:$B$146,2,0),0)</f>
        <v>0</v>
      </c>
      <c r="AH82">
        <f ca="1">IF($N82=AH$59,SUM(AH$60:AH81)-VLOOKUP($N82,$A$60:$B$146,2,0),0)</f>
        <v>0</v>
      </c>
      <c r="AI82">
        <f ca="1">IF($N82=AI$59,SUM(AI$60:AI81)-VLOOKUP($N82,$A$60:$B$146,2,0),0)</f>
        <v>0</v>
      </c>
      <c r="AJ82">
        <f ca="1">IF($N82=AJ$59,SUM(AJ$60:AJ81)-VLOOKUP($N82,$A$60:$B$146,2,0),0)</f>
        <v>0</v>
      </c>
      <c r="AK82">
        <f ca="1">IF($N82=AK$59,SUM(AK$60:AK81)-VLOOKUP($N82,$A$60:$B$146,2,0),0)</f>
        <v>0</v>
      </c>
      <c r="AL82">
        <f ca="1">IF($N82=AL$59,SUM(AL$60:AL81)-VLOOKUP($N82,$A$60:$B$146,2,0),0)</f>
        <v>0</v>
      </c>
    </row>
    <row r="83" spans="1:38">
      <c r="A83">
        <v>5543</v>
      </c>
      <c r="B83" s="257">
        <f>SUMIF('Dane stany'!$J$5:$J$371,A83,'Dane stany'!$K$5:$K$371)</f>
        <v>0</v>
      </c>
      <c r="D83">
        <f t="shared" ca="1" si="31"/>
        <v>0</v>
      </c>
      <c r="E83" s="88">
        <f t="shared" ca="1" si="34"/>
        <v>0</v>
      </c>
      <c r="L83" s="76">
        <v>23</v>
      </c>
      <c r="M83" s="76">
        <f ca="1">OFFSET(Receptury_z!$A$8,L83,0)</f>
        <v>6441</v>
      </c>
      <c r="N83" s="76">
        <f ca="1">OFFSET(Receptury_z!$C$8,L83,0)</f>
        <v>5542</v>
      </c>
      <c r="O83">
        <f t="shared" ca="1" si="35"/>
        <v>0</v>
      </c>
      <c r="P83">
        <f t="shared" ca="1" si="36"/>
        <v>1</v>
      </c>
      <c r="Q83">
        <f t="shared" ca="1" si="37"/>
        <v>0</v>
      </c>
      <c r="R83">
        <f t="shared" ca="1" si="38"/>
        <v>0</v>
      </c>
      <c r="S83" s="256">
        <f t="shared" ca="1" si="39"/>
        <v>0</v>
      </c>
      <c r="T83" s="282">
        <f t="shared" ca="1" si="40"/>
        <v>0</v>
      </c>
      <c r="U83">
        <f t="shared" ca="1" si="41"/>
        <v>6441</v>
      </c>
      <c r="V83">
        <f t="shared" ca="1" si="42"/>
        <v>0</v>
      </c>
      <c r="W83">
        <f t="shared" ca="1" si="43"/>
        <v>0</v>
      </c>
      <c r="X83">
        <f ca="1">IFERROR(VLOOKUP(U83,PLAN_P!$B:$D,3,0),0)</f>
        <v>0</v>
      </c>
      <c r="Y83">
        <f ca="1">IFERROR(VLOOKUP(V83,PLAN_P!$B:$D,3,0),0)</f>
        <v>0</v>
      </c>
      <c r="Z83">
        <f ca="1">IFERROR(VLOOKUP(W83,PLAN_P!$B:$D,3,0),0)</f>
        <v>0</v>
      </c>
      <c r="AC83" s="257">
        <f ca="1">SUMIF('Dane stany'!$J$5:$J$371,N83,'Dane stany'!$K$5:$K$371)</f>
        <v>0</v>
      </c>
      <c r="AE83">
        <f ca="1">IF($N83=AE$60,SUM(AE$60:AE82)-VLOOKUP(N83,$A$60:$B$146,2,0),0)</f>
        <v>0</v>
      </c>
      <c r="AF83">
        <f ca="1">IF($N83=AF$59,SUM(AF$60:AF82)-VLOOKUP($N83,$A$60:$B$146,2,0),0)</f>
        <v>0</v>
      </c>
      <c r="AG83">
        <f ca="1">IF($N83=AG$59,SUM(AG$60:AG82)-VLOOKUP($N83,$A$60:$B$146,2,0),0)</f>
        <v>0</v>
      </c>
      <c r="AH83">
        <f ca="1">IF($N83=AH$59,SUM(AH$60:AH82)-VLOOKUP($N83,$A$60:$B$146,2,0),0)</f>
        <v>0</v>
      </c>
      <c r="AI83">
        <f ca="1">IF($N83=AI$59,SUM(AI$60:AI82)-VLOOKUP($N83,$A$60:$B$146,2,0),0)</f>
        <v>0</v>
      </c>
      <c r="AJ83">
        <f ca="1">IF($N83=AJ$59,SUM(AJ$60:AJ82)-VLOOKUP($N83,$A$60:$B$146,2,0),0)</f>
        <v>0</v>
      </c>
      <c r="AK83">
        <f ca="1">IF($N83=AK$59,SUM(AK$60:AK82)-VLOOKUP($N83,$A$60:$B$146,2,0),0)</f>
        <v>0</v>
      </c>
      <c r="AL83">
        <f ca="1">IF($N83=AL$59,SUM(AL$60:AL82)-VLOOKUP($N83,$A$60:$B$146,2,0),0)</f>
        <v>0</v>
      </c>
    </row>
    <row r="84" spans="1:38">
      <c r="A84">
        <v>5576</v>
      </c>
      <c r="B84" s="257">
        <f>SUMIF('Dane stany'!$J$5:$J$371,A84,'Dane stany'!$K$5:$K$371)</f>
        <v>0</v>
      </c>
      <c r="D84">
        <f t="shared" ca="1" si="31"/>
        <v>0</v>
      </c>
      <c r="E84" s="88">
        <f t="shared" ca="1" si="34"/>
        <v>0</v>
      </c>
      <c r="L84" s="76">
        <v>24</v>
      </c>
      <c r="M84" s="76">
        <f ca="1">OFFSET(Receptury_z!$A$8,L84,0)</f>
        <v>6442</v>
      </c>
      <c r="N84" s="76">
        <f ca="1">OFFSET(Receptury_z!$C$8,L84,0)</f>
        <v>5543</v>
      </c>
      <c r="O84">
        <f t="shared" ca="1" si="35"/>
        <v>0</v>
      </c>
      <c r="P84">
        <f t="shared" ca="1" si="36"/>
        <v>1</v>
      </c>
      <c r="Q84">
        <f t="shared" ca="1" si="37"/>
        <v>0</v>
      </c>
      <c r="R84">
        <f t="shared" ca="1" si="38"/>
        <v>0</v>
      </c>
      <c r="S84" s="256">
        <f t="shared" ca="1" si="39"/>
        <v>0</v>
      </c>
      <c r="T84" s="282">
        <f t="shared" ca="1" si="40"/>
        <v>0</v>
      </c>
      <c r="U84">
        <f t="shared" ca="1" si="41"/>
        <v>6442</v>
      </c>
      <c r="V84">
        <f t="shared" ca="1" si="42"/>
        <v>0</v>
      </c>
      <c r="W84">
        <f t="shared" ca="1" si="43"/>
        <v>0</v>
      </c>
      <c r="X84">
        <f ca="1">IFERROR(VLOOKUP(U84,PLAN_P!$B:$D,3,0),0)</f>
        <v>0</v>
      </c>
      <c r="Y84">
        <f ca="1">IFERROR(VLOOKUP(V84,PLAN_P!$B:$D,3,0),0)</f>
        <v>0</v>
      </c>
      <c r="Z84">
        <f ca="1">IFERROR(VLOOKUP(W84,PLAN_P!$B:$D,3,0),0)</f>
        <v>0</v>
      </c>
      <c r="AC84" s="257">
        <f ca="1">SUMIF('Dane stany'!$J$5:$J$371,N84,'Dane stany'!$K$5:$K$371)</f>
        <v>0</v>
      </c>
      <c r="AE84">
        <f ca="1">IF($N84=AE$60,SUM(AE$60:AE83)-VLOOKUP(N84,$A$60:$B$146,2,0),0)</f>
        <v>0</v>
      </c>
      <c r="AF84">
        <f ca="1">IF($N84=AF$59,SUM(AF$60:AF83)-VLOOKUP($N84,$A$60:$B$146,2,0),0)</f>
        <v>0</v>
      </c>
      <c r="AG84">
        <f ca="1">IF($N84=AG$59,SUM(AG$60:AG83)-VLOOKUP($N84,$A$60:$B$146,2,0),0)</f>
        <v>0</v>
      </c>
      <c r="AH84">
        <f ca="1">IF($N84=AH$59,SUM(AH$60:AH83)-VLOOKUP($N84,$A$60:$B$146,2,0),0)</f>
        <v>0</v>
      </c>
      <c r="AI84">
        <f ca="1">IF($N84=AI$59,SUM(AI$60:AI83)-VLOOKUP($N84,$A$60:$B$146,2,0),0)</f>
        <v>0</v>
      </c>
      <c r="AJ84">
        <f ca="1">IF($N84=AJ$59,SUM(AJ$60:AJ83)-VLOOKUP($N84,$A$60:$B$146,2,0),0)</f>
        <v>0</v>
      </c>
      <c r="AK84">
        <f ca="1">IF($N84=AK$59,SUM(AK$60:AK83)-VLOOKUP($N84,$A$60:$B$146,2,0),0)</f>
        <v>0</v>
      </c>
      <c r="AL84">
        <f ca="1">IF($N84=AL$59,SUM(AL$60:AL83)-VLOOKUP($N84,$A$60:$B$146,2,0),0)</f>
        <v>0</v>
      </c>
    </row>
    <row r="85" spans="1:38">
      <c r="A85">
        <v>5577</v>
      </c>
      <c r="B85" s="257">
        <f>SUMIF('Dane stany'!$J$5:$J$371,A85,'Dane stany'!$K$5:$K$371)</f>
        <v>6004.3</v>
      </c>
      <c r="D85">
        <f t="shared" ca="1" si="31"/>
        <v>9000</v>
      </c>
      <c r="E85" s="88">
        <f t="shared" ca="1" si="34"/>
        <v>2995.7</v>
      </c>
      <c r="L85" s="76">
        <v>25</v>
      </c>
      <c r="M85" s="76">
        <f ca="1">OFFSET(Receptury_z!$A$8,L85,0)</f>
        <v>6460</v>
      </c>
      <c r="N85" s="76">
        <f ca="1">OFFSET(Receptury_z!$C$8,L85,0)</f>
        <v>5555</v>
      </c>
      <c r="O85">
        <f t="shared" ca="1" si="35"/>
        <v>0</v>
      </c>
      <c r="P85">
        <f t="shared" ca="1" si="36"/>
        <v>3</v>
      </c>
      <c r="Q85">
        <f t="shared" ca="1" si="37"/>
        <v>1</v>
      </c>
      <c r="R85">
        <f t="shared" ca="1" si="38"/>
        <v>0</v>
      </c>
      <c r="S85" s="256">
        <f t="shared" ca="1" si="39"/>
        <v>0</v>
      </c>
      <c r="T85" s="282">
        <f t="shared" ca="1" si="40"/>
        <v>0</v>
      </c>
      <c r="U85">
        <f t="shared" ca="1" si="41"/>
        <v>6460</v>
      </c>
      <c r="V85">
        <f t="shared" ca="1" si="42"/>
        <v>0</v>
      </c>
      <c r="W85">
        <f t="shared" ca="1" si="43"/>
        <v>0</v>
      </c>
      <c r="X85">
        <f ca="1">IFERROR(VLOOKUP(U85,PLAN_P!$B:$D,3,0),0)</f>
        <v>0</v>
      </c>
      <c r="Y85">
        <f ca="1">IFERROR(VLOOKUP(V85,PLAN_P!$B:$D,3,0),0)</f>
        <v>0</v>
      </c>
      <c r="Z85">
        <f ca="1">IFERROR(VLOOKUP(W85,PLAN_P!$B:$D,3,0),0)</f>
        <v>0</v>
      </c>
      <c r="AC85" s="257">
        <f ca="1">SUMIF('Dane stany'!$J$5:$J$371,N85,'Dane stany'!$K$5:$K$371)</f>
        <v>0</v>
      </c>
      <c r="AE85">
        <f ca="1">IF($N85=AE$60,SUM(AE$60:AE84)-VLOOKUP(N85,$A$60:$B$146,2,0),0)</f>
        <v>0</v>
      </c>
      <c r="AF85">
        <f ca="1">IF($N85=AF$59,SUM(AF$60:AF84)-VLOOKUP($N85,$A$60:$B$146,2,0),0)</f>
        <v>0</v>
      </c>
      <c r="AG85">
        <f ca="1">IF($N85=AG$59,SUM(AG$60:AG84)-VLOOKUP($N85,$A$60:$B$146,2,0),0)</f>
        <v>0</v>
      </c>
      <c r="AH85">
        <f ca="1">IF($N85=AH$59,SUM(AH$60:AH84)-VLOOKUP($N85,$A$60:$B$146,2,0),0)</f>
        <v>0</v>
      </c>
      <c r="AI85">
        <f ca="1">IF($N85=AI$59,SUM(AI$60:AI84)-VLOOKUP($N85,$A$60:$B$146,2,0),0)</f>
        <v>0</v>
      </c>
      <c r="AJ85">
        <f ca="1">IF($N85=AJ$59,SUM(AJ$60:AJ84)-VLOOKUP($N85,$A$60:$B$146,2,0),0)</f>
        <v>0</v>
      </c>
      <c r="AK85">
        <f ca="1">IF($N85=AK$59,SUM(AK$60:AK84)-VLOOKUP($N85,$A$60:$B$146,2,0),0)</f>
        <v>0</v>
      </c>
      <c r="AL85">
        <f ca="1">IF($N85=AL$59,SUM(AL$60:AL84)-VLOOKUP($N85,$A$60:$B$146,2,0),0)</f>
        <v>0</v>
      </c>
    </row>
    <row r="86" spans="1:38">
      <c r="A86">
        <v>5575</v>
      </c>
      <c r="B86" s="257">
        <f>SUMIF('Dane stany'!$J$5:$J$371,A86,'Dane stany'!$K$5:$K$371)</f>
        <v>0</v>
      </c>
      <c r="D86">
        <f t="shared" ca="1" si="31"/>
        <v>0</v>
      </c>
      <c r="E86" s="88">
        <f t="shared" ca="1" si="34"/>
        <v>0</v>
      </c>
      <c r="L86" s="76">
        <v>26</v>
      </c>
      <c r="M86" s="76">
        <f ca="1">OFFSET(Receptury_z!$A$8,L86,0)</f>
        <v>6464</v>
      </c>
      <c r="N86" s="76">
        <f ca="1">OFFSET(Receptury_z!$C$8,L86,0)</f>
        <v>5555</v>
      </c>
      <c r="O86">
        <f t="shared" ca="1" si="35"/>
        <v>0</v>
      </c>
      <c r="P86">
        <f t="shared" ca="1" si="36"/>
        <v>3</v>
      </c>
      <c r="Q86">
        <f t="shared" ca="1" si="37"/>
        <v>1</v>
      </c>
      <c r="R86">
        <f t="shared" ca="1" si="38"/>
        <v>0</v>
      </c>
      <c r="S86" s="256">
        <f t="shared" ca="1" si="39"/>
        <v>0</v>
      </c>
      <c r="T86" s="282">
        <f t="shared" ca="1" si="40"/>
        <v>0</v>
      </c>
      <c r="U86">
        <f t="shared" ca="1" si="41"/>
        <v>6464</v>
      </c>
      <c r="V86">
        <f t="shared" ca="1" si="42"/>
        <v>0</v>
      </c>
      <c r="W86">
        <f t="shared" ca="1" si="43"/>
        <v>0</v>
      </c>
      <c r="X86">
        <f ca="1">IFERROR(VLOOKUP(U86,PLAN_P!$B:$D,3,0),0)</f>
        <v>0</v>
      </c>
      <c r="Y86">
        <f ca="1">IFERROR(VLOOKUP(V86,PLAN_P!$B:$D,3,0),0)</f>
        <v>0</v>
      </c>
      <c r="Z86">
        <f ca="1">IFERROR(VLOOKUP(W86,PLAN_P!$B:$D,3,0),0)</f>
        <v>0</v>
      </c>
      <c r="AC86" s="257">
        <f ca="1">SUMIF('Dane stany'!$J$5:$J$371,N86,'Dane stany'!$K$5:$K$371)</f>
        <v>0</v>
      </c>
      <c r="AE86">
        <f ca="1">IF($N86=AE$60,SUM(AE$60:AE85)-VLOOKUP(N86,$A$60:$B$146,2,0),0)</f>
        <v>0</v>
      </c>
      <c r="AF86">
        <f ca="1">IF($N86=AF$59,SUM(AF$60:AF85)-VLOOKUP($N86,$A$60:$B$146,2,0),0)</f>
        <v>0</v>
      </c>
      <c r="AG86">
        <f ca="1">IF($N86=AG$59,SUM(AG$60:AG85)-VLOOKUP($N86,$A$60:$B$146,2,0),0)</f>
        <v>0</v>
      </c>
      <c r="AH86">
        <f ca="1">IF($N86=AH$59,SUM(AH$60:AH85)-VLOOKUP($N86,$A$60:$B$146,2,0),0)</f>
        <v>0</v>
      </c>
      <c r="AI86">
        <f ca="1">IF($N86=AI$59,SUM(AI$60:AI85)-VLOOKUP($N86,$A$60:$B$146,2,0),0)</f>
        <v>0</v>
      </c>
      <c r="AJ86">
        <f ca="1">IF($N86=AJ$59,SUM(AJ$60:AJ85)-VLOOKUP($N86,$A$60:$B$146,2,0),0)</f>
        <v>0</v>
      </c>
      <c r="AK86">
        <f ca="1">IF($N86=AK$59,SUM(AK$60:AK85)-VLOOKUP($N86,$A$60:$B$146,2,0),0)</f>
        <v>0</v>
      </c>
      <c r="AL86">
        <f ca="1">IF($N86=AL$59,SUM(AL$60:AL85)-VLOOKUP($N86,$A$60:$B$146,2,0),0)</f>
        <v>0</v>
      </c>
    </row>
    <row r="87" spans="1:38">
      <c r="A87">
        <v>5681</v>
      </c>
      <c r="B87" s="257">
        <f>SUMIF('Dane stany'!$J$5:$J$371,A87,'Dane stany'!$K$5:$K$371)</f>
        <v>0</v>
      </c>
      <c r="C87">
        <v>3</v>
      </c>
      <c r="D87">
        <f t="shared" ca="1" si="31"/>
        <v>0</v>
      </c>
      <c r="E87" s="88">
        <f t="shared" ca="1" si="34"/>
        <v>0</v>
      </c>
      <c r="L87" s="76">
        <v>27</v>
      </c>
      <c r="M87" s="76">
        <f ca="1">OFFSET(Receptury_z!$A$8,L87,0)</f>
        <v>6465</v>
      </c>
      <c r="N87" s="76">
        <f ca="1">OFFSET(Receptury_z!$C$8,L87,0)</f>
        <v>5576</v>
      </c>
      <c r="O87">
        <f t="shared" ca="1" si="35"/>
        <v>0</v>
      </c>
      <c r="P87">
        <f t="shared" ca="1" si="36"/>
        <v>1</v>
      </c>
      <c r="Q87">
        <f t="shared" ca="1" si="37"/>
        <v>0</v>
      </c>
      <c r="R87">
        <f t="shared" ca="1" si="38"/>
        <v>0</v>
      </c>
      <c r="S87" s="256">
        <f t="shared" ca="1" si="39"/>
        <v>0</v>
      </c>
      <c r="T87" s="282">
        <f t="shared" ca="1" si="40"/>
        <v>0</v>
      </c>
      <c r="U87">
        <f t="shared" ca="1" si="41"/>
        <v>6465</v>
      </c>
      <c r="V87">
        <f t="shared" ca="1" si="42"/>
        <v>0</v>
      </c>
      <c r="W87">
        <f t="shared" ca="1" si="43"/>
        <v>0</v>
      </c>
      <c r="X87">
        <f ca="1">IFERROR(VLOOKUP(U87,PLAN_P!$B:$D,3,0),0)</f>
        <v>0</v>
      </c>
      <c r="Y87">
        <f ca="1">IFERROR(VLOOKUP(V87,PLAN_P!$B:$D,3,0),0)</f>
        <v>0</v>
      </c>
      <c r="Z87">
        <f ca="1">IFERROR(VLOOKUP(W87,PLAN_P!$B:$D,3,0),0)</f>
        <v>0</v>
      </c>
      <c r="AC87" s="257">
        <f ca="1">SUMIF('Dane stany'!$J$5:$J$371,N87,'Dane stany'!$K$5:$K$371)</f>
        <v>0</v>
      </c>
      <c r="AE87">
        <f ca="1">IF($N87=AE$60,SUM(AE$60:AE86)-VLOOKUP(N87,$A$60:$B$146,2,0),0)</f>
        <v>0</v>
      </c>
      <c r="AF87">
        <f ca="1">IF($N87=AF$59,SUM(AF$60:AF86)-VLOOKUP($N87,$A$60:$B$146,2,0),0)</f>
        <v>0</v>
      </c>
      <c r="AG87">
        <f ca="1">IF($N87=AG$59,SUM(AG$60:AG86)-VLOOKUP($N87,$A$60:$B$146,2,0),0)</f>
        <v>0</v>
      </c>
      <c r="AH87">
        <f ca="1">IF($N87=AH$59,SUM(AH$60:AH86)-VLOOKUP($N87,$A$60:$B$146,2,0),0)</f>
        <v>0</v>
      </c>
      <c r="AI87">
        <f ca="1">IF($N87=AI$59,SUM(AI$60:AI86)-VLOOKUP($N87,$A$60:$B$146,2,0),0)</f>
        <v>0</v>
      </c>
      <c r="AJ87">
        <f ca="1">IF($N87=AJ$59,SUM(AJ$60:AJ86)-VLOOKUP($N87,$A$60:$B$146,2,0),0)</f>
        <v>0</v>
      </c>
      <c r="AK87">
        <f ca="1">IF($N87=AK$59,SUM(AK$60:AK86)-VLOOKUP($N87,$A$60:$B$146,2,0),0)</f>
        <v>0</v>
      </c>
      <c r="AL87">
        <f ca="1">IF($N87=AL$59,SUM(AL$60:AL86)-VLOOKUP($N87,$A$60:$B$146,2,0),0)</f>
        <v>0</v>
      </c>
    </row>
    <row r="88" spans="1:38">
      <c r="A88">
        <v>5532</v>
      </c>
      <c r="B88" s="257">
        <f>SUMIF('Dane stany'!$J$5:$J$371,A88,'Dane stany'!$K$5:$K$371)</f>
        <v>0</v>
      </c>
      <c r="D88">
        <f t="shared" ca="1" si="31"/>
        <v>0</v>
      </c>
      <c r="E88" s="88">
        <f t="shared" ca="1" si="34"/>
        <v>0</v>
      </c>
      <c r="L88" s="76">
        <v>28</v>
      </c>
      <c r="M88" s="76">
        <f ca="1">OFFSET(Receptury_z!$A$8,L88,0)</f>
        <v>6466</v>
      </c>
      <c r="N88" s="76">
        <f ca="1">OFFSET(Receptury_z!$C$8,L88,0)</f>
        <v>5577</v>
      </c>
      <c r="O88">
        <f t="shared" ca="1" si="35"/>
        <v>9000</v>
      </c>
      <c r="P88">
        <f t="shared" ca="1" si="36"/>
        <v>1</v>
      </c>
      <c r="Q88">
        <f t="shared" ca="1" si="37"/>
        <v>0</v>
      </c>
      <c r="R88">
        <f t="shared" ca="1" si="38"/>
        <v>0</v>
      </c>
      <c r="S88" s="256">
        <f t="shared" ca="1" si="39"/>
        <v>0</v>
      </c>
      <c r="T88" s="282">
        <f t="shared" ca="1" si="40"/>
        <v>0</v>
      </c>
      <c r="U88">
        <f t="shared" ca="1" si="41"/>
        <v>6466</v>
      </c>
      <c r="V88">
        <f t="shared" ca="1" si="42"/>
        <v>0</v>
      </c>
      <c r="W88">
        <f t="shared" ca="1" si="43"/>
        <v>0</v>
      </c>
      <c r="X88">
        <f ca="1">IFERROR(VLOOKUP(U88,PLAN_P!$B:$D,3,0),0)</f>
        <v>9000</v>
      </c>
      <c r="Y88">
        <f ca="1">IFERROR(VLOOKUP(V88,PLAN_P!$B:$D,3,0),0)</f>
        <v>0</v>
      </c>
      <c r="Z88">
        <f ca="1">IFERROR(VLOOKUP(W88,PLAN_P!$B:$D,3,0),0)</f>
        <v>0</v>
      </c>
      <c r="AC88" s="257">
        <f ca="1">SUMIF('Dane stany'!$J$5:$J$371,N88,'Dane stany'!$K$5:$K$371)</f>
        <v>6004.3</v>
      </c>
      <c r="AE88">
        <f ca="1">IF($N88=AE$60,SUM(AE$60:AE87)-VLOOKUP(N88,$A$60:$B$146,2,0),0)</f>
        <v>0</v>
      </c>
      <c r="AF88">
        <f ca="1">IF($N88=AF$59,SUM(AF$60:AF87)-VLOOKUP($N88,$A$60:$B$146,2,0),0)</f>
        <v>0</v>
      </c>
      <c r="AG88">
        <f ca="1">IF($N88=AG$59,SUM(AG$60:AG87)-VLOOKUP($N88,$A$60:$B$146,2,0),0)</f>
        <v>0</v>
      </c>
      <c r="AH88">
        <f ca="1">IF($N88=AH$59,SUM(AH$60:AH87)-VLOOKUP($N88,$A$60:$B$146,2,0),0)</f>
        <v>0</v>
      </c>
      <c r="AI88">
        <f ca="1">IF($N88=AI$59,SUM(AI$60:AI87)-VLOOKUP($N88,$A$60:$B$146,2,0),0)</f>
        <v>0</v>
      </c>
      <c r="AJ88">
        <f ca="1">IF($N88=AJ$59,SUM(AJ$60:AJ87)-VLOOKUP($N88,$A$60:$B$146,2,0),0)</f>
        <v>0</v>
      </c>
      <c r="AK88">
        <f ca="1">IF($N88=AK$59,SUM(AK$60:AK87)-VLOOKUP($N88,$A$60:$B$146,2,0),0)</f>
        <v>0</v>
      </c>
      <c r="AL88">
        <f ca="1">IF($N88=AL$59,SUM(AL$60:AL87)-VLOOKUP($N88,$A$60:$B$146,2,0),0)</f>
        <v>0</v>
      </c>
    </row>
    <row r="89" spans="1:38">
      <c r="A89">
        <v>5526</v>
      </c>
      <c r="B89" s="257">
        <f>SUMIF('Dane stany'!$J$5:$J$371,A89,'Dane stany'!$K$5:$K$371)</f>
        <v>6000</v>
      </c>
      <c r="D89">
        <f t="shared" ca="1" si="31"/>
        <v>0</v>
      </c>
      <c r="E89" s="88">
        <f t="shared" ca="1" si="34"/>
        <v>-6000</v>
      </c>
      <c r="L89" s="76">
        <v>29</v>
      </c>
      <c r="M89" s="76">
        <f ca="1">OFFSET(Receptury_z!$A$8,L89,0)</f>
        <v>6473</v>
      </c>
      <c r="N89" s="76">
        <f ca="1">OFFSET(Receptury_z!$C$8,L89,0)</f>
        <v>5575</v>
      </c>
      <c r="O89">
        <f t="shared" ca="1" si="35"/>
        <v>0</v>
      </c>
      <c r="P89">
        <f t="shared" ca="1" si="36"/>
        <v>1</v>
      </c>
      <c r="Q89">
        <f t="shared" ca="1" si="37"/>
        <v>0</v>
      </c>
      <c r="R89">
        <f t="shared" ca="1" si="38"/>
        <v>0</v>
      </c>
      <c r="S89" s="256">
        <f t="shared" ca="1" si="39"/>
        <v>0</v>
      </c>
      <c r="T89" s="282">
        <f t="shared" ca="1" si="40"/>
        <v>0</v>
      </c>
      <c r="U89">
        <f t="shared" ca="1" si="41"/>
        <v>6473</v>
      </c>
      <c r="V89">
        <f t="shared" ca="1" si="42"/>
        <v>0</v>
      </c>
      <c r="W89">
        <f t="shared" ca="1" si="43"/>
        <v>0</v>
      </c>
      <c r="X89">
        <f ca="1">IFERROR(VLOOKUP(U89,PLAN_P!$B:$D,3,0),0)</f>
        <v>0</v>
      </c>
      <c r="Y89">
        <f ca="1">IFERROR(VLOOKUP(V89,PLAN_P!$B:$D,3,0),0)</f>
        <v>0</v>
      </c>
      <c r="Z89">
        <f ca="1">IFERROR(VLOOKUP(W89,PLAN_P!$B:$D,3,0),0)</f>
        <v>0</v>
      </c>
      <c r="AC89" s="257">
        <f ca="1">SUMIF('Dane stany'!$J$5:$J$371,N89,'Dane stany'!$K$5:$K$371)</f>
        <v>0</v>
      </c>
      <c r="AE89">
        <f ca="1">IF($N89=AE$60,SUM(AE$60:AE88)-VLOOKUP(N89,$A$60:$B$146,2,0),0)</f>
        <v>0</v>
      </c>
      <c r="AF89">
        <f ca="1">IF($N89=AF$59,SUM(AF$60:AF88)-VLOOKUP($N89,$A$60:$B$146,2,0),0)</f>
        <v>0</v>
      </c>
      <c r="AG89">
        <f ca="1">IF($N89=AG$59,SUM(AG$60:AG88)-VLOOKUP($N89,$A$60:$B$146,2,0),0)</f>
        <v>0</v>
      </c>
      <c r="AH89">
        <f ca="1">IF($N89=AH$59,SUM(AH$60:AH88)-VLOOKUP($N89,$A$60:$B$146,2,0),0)</f>
        <v>0</v>
      </c>
      <c r="AI89">
        <f ca="1">IF($N89=AI$59,SUM(AI$60:AI88)-VLOOKUP($N89,$A$60:$B$146,2,0),0)</f>
        <v>0</v>
      </c>
      <c r="AJ89">
        <f ca="1">IF($N89=AJ$59,SUM(AJ$60:AJ88)-VLOOKUP($N89,$A$60:$B$146,2,0),0)</f>
        <v>0</v>
      </c>
      <c r="AK89">
        <f ca="1">IF($N89=AK$59,SUM(AK$60:AK88)-VLOOKUP($N89,$A$60:$B$146,2,0),0)</f>
        <v>0</v>
      </c>
      <c r="AL89">
        <f ca="1">IF($N89=AL$59,SUM(AL$60:AL88)-VLOOKUP($N89,$A$60:$B$146,2,0),0)</f>
        <v>0</v>
      </c>
    </row>
    <row r="90" spans="1:38">
      <c r="A90">
        <v>5680</v>
      </c>
      <c r="B90" s="257">
        <f>SUMIF('Dane stany'!$J$5:$J$371,A90,'Dane stany'!$K$5:$K$371)</f>
        <v>0</v>
      </c>
      <c r="D90">
        <f t="shared" ca="1" si="31"/>
        <v>0</v>
      </c>
      <c r="E90" s="88">
        <f t="shared" ca="1" si="34"/>
        <v>0</v>
      </c>
      <c r="L90" s="76">
        <v>30</v>
      </c>
      <c r="M90" s="76">
        <f ca="1">OFFSET(Receptury_z!$A$8,L90,0)</f>
        <v>6480</v>
      </c>
      <c r="N90" s="76">
        <f ca="1">OFFSET(Receptury_z!$C$8,L90,0)</f>
        <v>5681</v>
      </c>
      <c r="O90">
        <f t="shared" ca="1" si="35"/>
        <v>0</v>
      </c>
      <c r="P90">
        <f t="shared" ca="1" si="36"/>
        <v>2</v>
      </c>
      <c r="Q90">
        <f t="shared" ca="1" si="37"/>
        <v>3</v>
      </c>
      <c r="R90">
        <f t="shared" ca="1" si="38"/>
        <v>0</v>
      </c>
      <c r="S90" s="256">
        <f t="shared" ca="1" si="39"/>
        <v>0</v>
      </c>
      <c r="T90" s="282">
        <f t="shared" ca="1" si="40"/>
        <v>0</v>
      </c>
      <c r="U90">
        <f t="shared" ca="1" si="41"/>
        <v>6480</v>
      </c>
      <c r="V90">
        <f t="shared" ca="1" si="42"/>
        <v>0</v>
      </c>
      <c r="W90">
        <f t="shared" ca="1" si="43"/>
        <v>0</v>
      </c>
      <c r="X90">
        <f ca="1">IFERROR(VLOOKUP(U90,PLAN_P!$B:$D,3,0),0)</f>
        <v>0</v>
      </c>
      <c r="Y90">
        <f ca="1">IFERROR(VLOOKUP(V90,PLAN_P!$B:$D,3,0),0)</f>
        <v>0</v>
      </c>
      <c r="Z90">
        <f ca="1">IFERROR(VLOOKUP(W90,PLAN_P!$B:$D,3,0),0)</f>
        <v>0</v>
      </c>
      <c r="AC90" s="257">
        <f ca="1">SUMIF('Dane stany'!$J$5:$J$371,N90,'Dane stany'!$K$5:$K$371)</f>
        <v>0</v>
      </c>
      <c r="AE90">
        <f ca="1">IF($N90=AE$60,SUM(AE$60:AE89)-VLOOKUP(N90,$A$60:$B$146,2,0),0)</f>
        <v>0</v>
      </c>
      <c r="AF90">
        <f ca="1">IF($N90=AF$59,SUM(AF$60:AF89)-VLOOKUP($N90,$A$60:$B$146,2,0),0)</f>
        <v>0</v>
      </c>
      <c r="AG90">
        <f ca="1">IF($N90=AG$59,SUM(AG$60:AG89)-VLOOKUP($N90,$A$60:$B$146,2,0),0)</f>
        <v>0</v>
      </c>
      <c r="AH90">
        <f ca="1">IF($N90=AH$59,SUM(AH$60:AH89)-VLOOKUP($N90,$A$60:$B$146,2,0),0)</f>
        <v>0</v>
      </c>
      <c r="AI90">
        <f ca="1">IF($N90=AI$59,SUM(AI$60:AI89)-VLOOKUP($N90,$A$60:$B$146,2,0),0)</f>
        <v>0</v>
      </c>
      <c r="AJ90">
        <f ca="1">IF($N90=AJ$59,SUM(AJ$60:AJ89)-VLOOKUP($N90,$A$60:$B$146,2,0),0)</f>
        <v>0</v>
      </c>
      <c r="AK90">
        <f ca="1">IF($N90=AK$59,SUM(AK$60:AK89)-VLOOKUP($N90,$A$60:$B$146,2,0),0)</f>
        <v>0</v>
      </c>
      <c r="AL90">
        <f ca="1">IF($N90=AL$59,SUM(AL$60:AL89)-VLOOKUP($N90,$A$60:$B$146,2,0),0)</f>
        <v>0</v>
      </c>
    </row>
    <row r="91" spans="1:38">
      <c r="A91">
        <v>5445</v>
      </c>
      <c r="B91" s="257">
        <f>SUMIF('Dane stany'!$J$5:$J$371,A91,'Dane stany'!$K$5:$K$371)</f>
        <v>0</v>
      </c>
      <c r="D91">
        <f t="shared" ca="1" si="31"/>
        <v>0</v>
      </c>
      <c r="E91" s="88">
        <f t="shared" ca="1" si="34"/>
        <v>0</v>
      </c>
      <c r="L91" s="76">
        <v>31</v>
      </c>
      <c r="M91" s="76">
        <f ca="1">OFFSET(Receptury_z!$A$8,L91,0)</f>
        <v>6482</v>
      </c>
      <c r="N91" s="76">
        <f ca="1">OFFSET(Receptury_z!$C$8,L91,0)</f>
        <v>5532</v>
      </c>
      <c r="O91">
        <f ca="1">SUM(X91:Z91)</f>
        <v>0</v>
      </c>
      <c r="P91">
        <f t="shared" ca="1" si="36"/>
        <v>1</v>
      </c>
      <c r="Q91">
        <f t="shared" ca="1" si="37"/>
        <v>0</v>
      </c>
      <c r="R91">
        <f t="shared" ca="1" si="38"/>
        <v>0</v>
      </c>
      <c r="S91" s="256">
        <f t="shared" ca="1" si="39"/>
        <v>0</v>
      </c>
      <c r="T91" s="282">
        <f t="shared" ca="1" si="40"/>
        <v>0</v>
      </c>
      <c r="U91">
        <f t="shared" ca="1" si="41"/>
        <v>6482</v>
      </c>
      <c r="V91">
        <f t="shared" ca="1" si="42"/>
        <v>0</v>
      </c>
      <c r="W91">
        <f t="shared" ca="1" si="43"/>
        <v>0</v>
      </c>
      <c r="X91">
        <f ca="1">IFERROR(VLOOKUP(U91,PLAN_P!$B:$D,3,0),0)</f>
        <v>0</v>
      </c>
      <c r="Y91">
        <f ca="1">IFERROR(VLOOKUP(V91,PLAN_P!$B:$D,3,0),0)</f>
        <v>0</v>
      </c>
      <c r="Z91">
        <f ca="1">IFERROR(VLOOKUP(W91,PLAN_P!$B:$D,3,0),0)</f>
        <v>0</v>
      </c>
      <c r="AC91" s="257">
        <f ca="1">SUMIF('Dane stany'!$J$5:$J$371,N91,'Dane stany'!$K$5:$K$371)</f>
        <v>0</v>
      </c>
      <c r="AE91">
        <f ca="1">IF($N91=AE$60,SUM(AE$60:AE90)-VLOOKUP(N91,$A$60:$B$146,2,0),0)</f>
        <v>0</v>
      </c>
      <c r="AF91">
        <f ca="1">IF($N91=AF$59,SUM(AF$60:AF90)-VLOOKUP($N91,$A$60:$B$146,2,0),0)</f>
        <v>0</v>
      </c>
      <c r="AG91">
        <f ca="1">IF($N91=AG$59,SUM(AG$60:AG90)-VLOOKUP($N91,$A$60:$B$146,2,0),0)</f>
        <v>0</v>
      </c>
      <c r="AH91">
        <f ca="1">IF($N91=AH$59,SUM(AH$60:AH90)-VLOOKUP($N91,$A$60:$B$146,2,0),0)</f>
        <v>0</v>
      </c>
      <c r="AI91">
        <f ca="1">IF($N91=AI$59,SUM(AI$60:AI90)-VLOOKUP($N91,$A$60:$B$146,2,0),0)</f>
        <v>0</v>
      </c>
      <c r="AJ91">
        <f ca="1">IF($N91=AJ$59,SUM(AJ$60:AJ90)-VLOOKUP($N91,$A$60:$B$146,2,0),0)</f>
        <v>0</v>
      </c>
      <c r="AK91">
        <f ca="1">IF($N91=AK$59,SUM(AK$60:AK90)-VLOOKUP($N91,$A$60:$B$146,2,0),0)</f>
        <v>0</v>
      </c>
      <c r="AL91">
        <f ca="1">IF($N91=AL$59,SUM(AL$60:AL90)-VLOOKUP($N91,$A$60:$B$146,2,0),0)</f>
        <v>0</v>
      </c>
    </row>
    <row r="92" spans="1:38">
      <c r="A92">
        <v>5450</v>
      </c>
      <c r="B92" s="257">
        <f>SUMIF('Dane stany'!$J$5:$J$371,A92,'Dane stany'!$K$5:$K$371)</f>
        <v>0</v>
      </c>
      <c r="D92">
        <f t="shared" ref="D92:D123" ca="1" si="44">SUMIF($N$60:$N$147,A92,$O$60:$O$147)</f>
        <v>3000</v>
      </c>
      <c r="E92" s="88">
        <f t="shared" ca="1" si="34"/>
        <v>3000</v>
      </c>
      <c r="L92" s="76">
        <v>32</v>
      </c>
      <c r="M92" s="76">
        <f ca="1">OFFSET(Receptury_z!$A$8,L92,0)</f>
        <v>6485</v>
      </c>
      <c r="N92" s="76">
        <f ca="1">OFFSET(Receptury_z!$C$8,L92,0)</f>
        <v>5526</v>
      </c>
      <c r="O92">
        <f ca="1">SUM(X92:Z92)</f>
        <v>0</v>
      </c>
      <c r="P92">
        <f t="shared" ca="1" si="36"/>
        <v>1</v>
      </c>
      <c r="Q92">
        <f t="shared" ca="1" si="37"/>
        <v>0</v>
      </c>
      <c r="R92">
        <f t="shared" ca="1" si="38"/>
        <v>0</v>
      </c>
      <c r="S92" s="256">
        <f t="shared" ca="1" si="39"/>
        <v>0</v>
      </c>
      <c r="T92" s="282">
        <f t="shared" ca="1" si="40"/>
        <v>0</v>
      </c>
      <c r="U92">
        <f t="shared" ca="1" si="41"/>
        <v>6485</v>
      </c>
      <c r="V92">
        <f t="shared" ca="1" si="42"/>
        <v>0</v>
      </c>
      <c r="W92">
        <f t="shared" ca="1" si="43"/>
        <v>0</v>
      </c>
      <c r="X92">
        <f ca="1">IFERROR(VLOOKUP(U92,PLAN_P!$B:$D,3,0),0)</f>
        <v>0</v>
      </c>
      <c r="Y92">
        <f ca="1">IFERROR(VLOOKUP(V92,PLAN_P!$B:$D,3,0),0)</f>
        <v>0</v>
      </c>
      <c r="Z92">
        <f ca="1">IFERROR(VLOOKUP(W92,PLAN_P!$B:$D,3,0),0)</f>
        <v>0</v>
      </c>
      <c r="AC92" s="257">
        <f ca="1">SUMIF('Dane stany'!$J$5:$J$371,N92,'Dane stany'!$K$5:$K$371)</f>
        <v>6000</v>
      </c>
      <c r="AE92">
        <f ca="1">IF($N92=AE$60,SUM(AE$60:AE91)-VLOOKUP(N92,$A$60:$B$146,2,0),0)</f>
        <v>0</v>
      </c>
      <c r="AF92">
        <f ca="1">IF($N92=AF$59,SUM(AF$60:AF91)-VLOOKUP($N92,$A$60:$B$146,2,0),0)</f>
        <v>0</v>
      </c>
      <c r="AG92">
        <f ca="1">IF($N92=AG$59,SUM(AG$60:AG91)-VLOOKUP($N92,$A$60:$B$146,2,0),0)</f>
        <v>0</v>
      </c>
      <c r="AH92">
        <f ca="1">IF($N92=AH$59,SUM(AH$60:AH91)-VLOOKUP($N92,$A$60:$B$146,2,0),0)</f>
        <v>0</v>
      </c>
      <c r="AI92">
        <f ca="1">IF($N92=AI$59,SUM(AI$60:AI91)-VLOOKUP($N92,$A$60:$B$146,2,0),0)</f>
        <v>0</v>
      </c>
      <c r="AJ92">
        <f ca="1">IF($N92=AJ$59,SUM(AJ$60:AJ91)-VLOOKUP($N92,$A$60:$B$146,2,0),0)</f>
        <v>0</v>
      </c>
      <c r="AK92">
        <f ca="1">IF($N92=AK$59,SUM(AK$60:AK91)-VLOOKUP($N92,$A$60:$B$146,2,0),0)</f>
        <v>0</v>
      </c>
      <c r="AL92">
        <f ca="1">IF($N92=AL$59,SUM(AL$60:AL91)-VLOOKUP($N92,$A$60:$B$146,2,0),0)</f>
        <v>0</v>
      </c>
    </row>
    <row r="93" spans="1:38">
      <c r="A93">
        <v>5531</v>
      </c>
      <c r="B93" s="257">
        <f>SUMIF('Dane stany'!$J$5:$J$371,A93,'Dane stany'!$K$5:$K$371)</f>
        <v>0</v>
      </c>
      <c r="D93">
        <f t="shared" ca="1" si="44"/>
        <v>0</v>
      </c>
      <c r="E93" s="88">
        <f t="shared" ca="1" si="34"/>
        <v>0</v>
      </c>
      <c r="L93" s="76">
        <v>33</v>
      </c>
      <c r="M93" s="76">
        <f ca="1">OFFSET(Receptury_z!$A$8,L93,0)</f>
        <v>6487</v>
      </c>
      <c r="N93" s="76">
        <f ca="1">OFFSET(Receptury_z!$C$8,L93,0)</f>
        <v>5680</v>
      </c>
      <c r="O93">
        <f t="shared" ca="1" si="35"/>
        <v>0</v>
      </c>
      <c r="P93">
        <f t="shared" ca="1" si="36"/>
        <v>1</v>
      </c>
      <c r="Q93">
        <f t="shared" ca="1" si="37"/>
        <v>0</v>
      </c>
      <c r="R93">
        <f t="shared" ca="1" si="38"/>
        <v>0</v>
      </c>
      <c r="S93" s="256">
        <f t="shared" ca="1" si="39"/>
        <v>0</v>
      </c>
      <c r="T93" s="282">
        <f t="shared" ca="1" si="40"/>
        <v>0</v>
      </c>
      <c r="U93">
        <f t="shared" ca="1" si="41"/>
        <v>6487</v>
      </c>
      <c r="V93">
        <f t="shared" ca="1" si="42"/>
        <v>0</v>
      </c>
      <c r="W93">
        <f t="shared" ca="1" si="43"/>
        <v>0</v>
      </c>
      <c r="X93">
        <f ca="1">IFERROR(VLOOKUP(U93,PLAN_P!$B:$D,3,0),0)</f>
        <v>0</v>
      </c>
      <c r="Y93">
        <f ca="1">IFERROR(VLOOKUP(V93,PLAN_P!$B:$D,3,0),0)</f>
        <v>0</v>
      </c>
      <c r="Z93">
        <f ca="1">IFERROR(VLOOKUP(W93,PLAN_P!$B:$D,3,0),0)</f>
        <v>0</v>
      </c>
      <c r="AC93" s="257">
        <f ca="1">SUMIF('Dane stany'!$J$5:$J$371,N93,'Dane stany'!$K$5:$K$371)</f>
        <v>0</v>
      </c>
      <c r="AE93">
        <f ca="1">IF($N93=AE$60,SUM(AE$60:AE92)-VLOOKUP(N93,$A$60:$B$146,2,0),0)</f>
        <v>0</v>
      </c>
      <c r="AF93">
        <f ca="1">IF($N93=AF$59,SUM(AF$60:AF92)-VLOOKUP($N93,$A$60:$B$146,2,0),0)</f>
        <v>0</v>
      </c>
      <c r="AG93">
        <f ca="1">IF($N93=AG$59,SUM(AG$60:AG92)-VLOOKUP($N93,$A$60:$B$146,2,0),0)</f>
        <v>0</v>
      </c>
      <c r="AH93">
        <f ca="1">IF($N93=AH$59,SUM(AH$60:AH92)-VLOOKUP($N93,$A$60:$B$146,2,0),0)</f>
        <v>0</v>
      </c>
      <c r="AI93">
        <f ca="1">IF($N93=AI$59,SUM(AI$60:AI92)-VLOOKUP($N93,$A$60:$B$146,2,0),0)</f>
        <v>0</v>
      </c>
      <c r="AJ93">
        <f ca="1">IF($N93=AJ$59,SUM(AJ$60:AJ92)-VLOOKUP($N93,$A$60:$B$146,2,0),0)</f>
        <v>0</v>
      </c>
      <c r="AK93">
        <f ca="1">IF($N93=AK$59,SUM(AK$60:AK92)-VLOOKUP($N93,$A$60:$B$146,2,0),0)</f>
        <v>0</v>
      </c>
      <c r="AL93">
        <f ca="1">IF($N93=AL$59,SUM(AL$60:AL92)-VLOOKUP($N93,$A$60:$B$146,2,0),0)</f>
        <v>0</v>
      </c>
    </row>
    <row r="94" spans="1:38">
      <c r="A94">
        <v>5483</v>
      </c>
      <c r="B94" s="257">
        <f>SUMIF('Dane stany'!$J$5:$J$371,A94,'Dane stany'!$K$5:$K$371)</f>
        <v>0</v>
      </c>
      <c r="D94">
        <f t="shared" ca="1" si="44"/>
        <v>0</v>
      </c>
      <c r="E94" s="88">
        <f t="shared" ca="1" si="34"/>
        <v>0</v>
      </c>
      <c r="L94" s="76">
        <v>34</v>
      </c>
      <c r="M94" s="76">
        <f ca="1">OFFSET(Receptury_z!$A$8,L94,0)</f>
        <v>6490</v>
      </c>
      <c r="N94" s="76">
        <f ca="1">OFFSET(Receptury_z!$C$8,L94,0)</f>
        <v>5445</v>
      </c>
      <c r="O94">
        <f ca="1">SUM(X94:Z94)</f>
        <v>0</v>
      </c>
      <c r="P94">
        <f t="shared" ca="1" si="36"/>
        <v>1</v>
      </c>
      <c r="Q94">
        <f t="shared" ca="1" si="37"/>
        <v>0</v>
      </c>
      <c r="R94">
        <f t="shared" ca="1" si="38"/>
        <v>0</v>
      </c>
      <c r="S94" s="256">
        <f t="shared" ca="1" si="39"/>
        <v>0</v>
      </c>
      <c r="T94" s="282">
        <f t="shared" ca="1" si="40"/>
        <v>0</v>
      </c>
      <c r="U94">
        <f t="shared" ca="1" si="41"/>
        <v>6490</v>
      </c>
      <c r="V94">
        <f t="shared" ca="1" si="42"/>
        <v>0</v>
      </c>
      <c r="W94">
        <f t="shared" ca="1" si="43"/>
        <v>0</v>
      </c>
      <c r="X94">
        <f ca="1">IFERROR(VLOOKUP(U94,PLAN_P!$B:$D,3,0),0)</f>
        <v>0</v>
      </c>
      <c r="Y94">
        <f ca="1">IFERROR(VLOOKUP(V94,PLAN_P!$B:$D,3,0),0)</f>
        <v>0</v>
      </c>
      <c r="Z94">
        <f ca="1">IFERROR(VLOOKUP(W94,PLAN_P!$B:$D,3,0),0)</f>
        <v>0</v>
      </c>
      <c r="AC94" s="257">
        <f ca="1">SUMIF('Dane stany'!$J$5:$J$371,N94,'Dane stany'!$K$5:$K$371)</f>
        <v>0</v>
      </c>
      <c r="AE94">
        <f ca="1">IF($N94=AE$60,SUM(AE$60:AE93)-VLOOKUP(N94,$A$60:$B$146,2,0),0)</f>
        <v>0</v>
      </c>
      <c r="AF94">
        <f ca="1">IF($N94=AF$59,SUM(AF$60:AF93)-VLOOKUP($N94,$A$60:$B$146,2,0),0)</f>
        <v>0</v>
      </c>
      <c r="AG94">
        <f ca="1">IF($N94=AG$59,SUM(AG$60:AG93)-VLOOKUP($N94,$A$60:$B$146,2,0),0)</f>
        <v>0</v>
      </c>
      <c r="AH94">
        <f ca="1">IF($N94=AH$59,SUM(AH$60:AH93)-VLOOKUP($N94,$A$60:$B$146,2,0),0)</f>
        <v>0</v>
      </c>
      <c r="AI94">
        <f ca="1">IF($N94=AI$59,SUM(AI$60:AI93)-VLOOKUP($N94,$A$60:$B$146,2,0),0)</f>
        <v>0</v>
      </c>
      <c r="AJ94">
        <f ca="1">IF($N94=AJ$59,SUM(AJ$60:AJ93)-VLOOKUP($N94,$A$60:$B$146,2,0),0)</f>
        <v>0</v>
      </c>
      <c r="AK94">
        <f ca="1">IF($N94=AK$59,SUM(AK$60:AK93)-VLOOKUP($N94,$A$60:$B$146,2,0),0)</f>
        <v>0</v>
      </c>
      <c r="AL94">
        <f ca="1">IF($N94=AL$59,SUM(AL$60:AL93)-VLOOKUP($N94,$A$60:$B$146,2,0),0)</f>
        <v>0</v>
      </c>
    </row>
    <row r="95" spans="1:38">
      <c r="A95">
        <v>5447</v>
      </c>
      <c r="B95" s="257">
        <f>SUMIF('Dane stany'!$J$5:$J$371,A95,'Dane stany'!$K$5:$K$371)</f>
        <v>0</v>
      </c>
      <c r="D95">
        <f t="shared" ca="1" si="44"/>
        <v>0</v>
      </c>
      <c r="E95" s="88">
        <f t="shared" ca="1" si="34"/>
        <v>0</v>
      </c>
      <c r="L95" s="76">
        <v>35</v>
      </c>
      <c r="M95" s="76">
        <f ca="1">OFFSET(Receptury_z!$A$8,L95,0)</f>
        <v>6496</v>
      </c>
      <c r="N95" s="76">
        <f ca="1">OFFSET(Receptury_z!$C$8,L95,0)</f>
        <v>5450</v>
      </c>
      <c r="O95">
        <f ca="1">SUM(X95:Z95)</f>
        <v>3000</v>
      </c>
      <c r="P95">
        <f t="shared" ca="1" si="36"/>
        <v>1</v>
      </c>
      <c r="Q95">
        <f t="shared" ca="1" si="37"/>
        <v>0</v>
      </c>
      <c r="R95">
        <f t="shared" ca="1" si="38"/>
        <v>0</v>
      </c>
      <c r="S95" s="256">
        <f t="shared" ca="1" si="39"/>
        <v>0</v>
      </c>
      <c r="T95" s="282">
        <f t="shared" ca="1" si="40"/>
        <v>0</v>
      </c>
      <c r="U95">
        <f t="shared" ca="1" si="41"/>
        <v>6496</v>
      </c>
      <c r="V95">
        <f t="shared" ca="1" si="42"/>
        <v>0</v>
      </c>
      <c r="W95">
        <f t="shared" ca="1" si="43"/>
        <v>0</v>
      </c>
      <c r="X95">
        <f ca="1">IFERROR(VLOOKUP(U95,PLAN_P!$B:$D,3,0),0)</f>
        <v>3000</v>
      </c>
      <c r="Y95">
        <f ca="1">IFERROR(VLOOKUP(V95,PLAN_P!$B:$D,3,0),0)</f>
        <v>0</v>
      </c>
      <c r="Z95">
        <f ca="1">IFERROR(VLOOKUP(W95,PLAN_P!$B:$D,3,0),0)</f>
        <v>0</v>
      </c>
      <c r="AC95" s="257">
        <f ca="1">SUMIF('Dane stany'!$J$5:$J$371,N95,'Dane stany'!$K$5:$K$371)</f>
        <v>0</v>
      </c>
      <c r="AE95">
        <f ca="1">IF($N95=AE$60,SUM(AE$60:AE94)-VLOOKUP(N95,$A$60:$B$146,2,0),0)</f>
        <v>0</v>
      </c>
      <c r="AF95">
        <f ca="1">IF($N95=AF$59,SUM(AF$60:AF94)-VLOOKUP($N95,$A$60:$B$146,2,0),0)</f>
        <v>0</v>
      </c>
      <c r="AG95">
        <f ca="1">IF($N95=AG$59,SUM(AG$60:AG94)-VLOOKUP($N95,$A$60:$B$146,2,0),0)</f>
        <v>0</v>
      </c>
      <c r="AH95">
        <f ca="1">IF($N95=AH$59,SUM(AH$60:AH94)-VLOOKUP($N95,$A$60:$B$146,2,0),0)</f>
        <v>0</v>
      </c>
      <c r="AI95">
        <f ca="1">IF($N95=AI$59,SUM(AI$60:AI94)-VLOOKUP($N95,$A$60:$B$146,2,0),0)</f>
        <v>0</v>
      </c>
      <c r="AJ95">
        <f ca="1">IF($N95=AJ$59,SUM(AJ$60:AJ94)-VLOOKUP($N95,$A$60:$B$146,2,0),0)</f>
        <v>0</v>
      </c>
      <c r="AK95">
        <f ca="1">IF($N95=AK$59,SUM(AK$60:AK94)-VLOOKUP($N95,$A$60:$B$146,2,0),0)</f>
        <v>0</v>
      </c>
      <c r="AL95">
        <f ca="1">IF($N95=AL$59,SUM(AL$60:AL94)-VLOOKUP($N95,$A$60:$B$146,2,0),0)</f>
        <v>0</v>
      </c>
    </row>
    <row r="96" spans="1:38">
      <c r="A96">
        <v>5676</v>
      </c>
      <c r="B96" s="257">
        <f>SUMIF('Dane stany'!$J$5:$J$371,A96,'Dane stany'!$K$5:$K$371)</f>
        <v>0</v>
      </c>
      <c r="C96">
        <v>4</v>
      </c>
      <c r="D96">
        <f t="shared" ca="1" si="44"/>
        <v>0</v>
      </c>
      <c r="E96" s="88">
        <f t="shared" ca="1" si="34"/>
        <v>0</v>
      </c>
      <c r="L96" s="76">
        <v>36</v>
      </c>
      <c r="M96" s="76">
        <f ca="1">OFFSET(Receptury_z!$A$8,L96,0)</f>
        <v>6548</v>
      </c>
      <c r="N96" s="76">
        <f ca="1">OFFSET(Receptury_z!$C$8,L96,0)</f>
        <v>5531</v>
      </c>
      <c r="O96">
        <f t="shared" ca="1" si="35"/>
        <v>0</v>
      </c>
      <c r="P96">
        <f t="shared" ca="1" si="36"/>
        <v>1</v>
      </c>
      <c r="Q96">
        <f t="shared" ca="1" si="37"/>
        <v>0</v>
      </c>
      <c r="R96">
        <f t="shared" ca="1" si="38"/>
        <v>0</v>
      </c>
      <c r="S96" s="256">
        <f t="shared" ca="1" si="39"/>
        <v>0</v>
      </c>
      <c r="T96" s="282">
        <f t="shared" ca="1" si="40"/>
        <v>0</v>
      </c>
      <c r="U96">
        <f t="shared" ca="1" si="41"/>
        <v>6548</v>
      </c>
      <c r="V96">
        <f t="shared" ca="1" si="42"/>
        <v>0</v>
      </c>
      <c r="W96">
        <f t="shared" ca="1" si="43"/>
        <v>0</v>
      </c>
      <c r="X96">
        <f ca="1">IFERROR(VLOOKUP(U96,PLAN_P!$B:$D,3,0),0)</f>
        <v>0</v>
      </c>
      <c r="Y96">
        <f ca="1">IFERROR(VLOOKUP(V96,PLAN_P!$B:$D,3,0),0)</f>
        <v>0</v>
      </c>
      <c r="Z96">
        <f ca="1">IFERROR(VLOOKUP(W96,PLAN_P!$B:$D,3,0),0)</f>
        <v>0</v>
      </c>
      <c r="AC96" s="257">
        <f ca="1">SUMIF('Dane stany'!$J$5:$J$371,N96,'Dane stany'!$K$5:$K$371)</f>
        <v>0</v>
      </c>
      <c r="AE96">
        <f ca="1">IF($N96=AE$60,SUM(AE$60:AE95)-VLOOKUP(N96,$A$60:$B$146,2,0),0)</f>
        <v>0</v>
      </c>
      <c r="AF96">
        <f ca="1">IF($N96=AF$59,SUM(AF$60:AF95)-VLOOKUP($N96,$A$60:$B$146,2,0),0)</f>
        <v>0</v>
      </c>
      <c r="AG96">
        <f ca="1">IF($N96=AG$59,SUM(AG$60:AG95)-VLOOKUP($N96,$A$60:$B$146,2,0),0)</f>
        <v>0</v>
      </c>
      <c r="AH96">
        <f ca="1">IF($N96=AH$59,SUM(AH$60:AH95)-VLOOKUP($N96,$A$60:$B$146,2,0),0)</f>
        <v>0</v>
      </c>
      <c r="AI96">
        <f ca="1">IF($N96=AI$59,SUM(AI$60:AI95)-VLOOKUP($N96,$A$60:$B$146,2,0),0)</f>
        <v>0</v>
      </c>
      <c r="AJ96">
        <f ca="1">IF($N96=AJ$59,SUM(AJ$60:AJ95)-VLOOKUP($N96,$A$60:$B$146,2,0),0)</f>
        <v>0</v>
      </c>
      <c r="AK96">
        <f ca="1">IF($N96=AK$59,SUM(AK$60:AK95)-VLOOKUP($N96,$A$60:$B$146,2,0),0)</f>
        <v>0</v>
      </c>
      <c r="AL96">
        <f ca="1">IF($N96=AL$59,SUM(AL$60:AL95)-VLOOKUP($N96,$A$60:$B$146,2,0),0)</f>
        <v>0</v>
      </c>
    </row>
    <row r="97" spans="1:38">
      <c r="A97">
        <v>5573</v>
      </c>
      <c r="B97" s="257">
        <f>SUMIF('Dane stany'!$J$5:$J$371,A97,'Dane stany'!$K$5:$K$371)</f>
        <v>0</v>
      </c>
      <c r="D97">
        <f t="shared" ca="1" si="44"/>
        <v>0</v>
      </c>
      <c r="E97" s="88">
        <f t="shared" ca="1" si="34"/>
        <v>0</v>
      </c>
      <c r="L97" s="76">
        <v>37</v>
      </c>
      <c r="M97" s="76">
        <f ca="1">OFFSET(Receptury_z!$A$8,L97,0)</f>
        <v>6627</v>
      </c>
      <c r="N97" s="76">
        <f ca="1">OFFSET(Receptury_z!$C$8,L97,0)</f>
        <v>5483</v>
      </c>
      <c r="O97">
        <f t="shared" ca="1" si="35"/>
        <v>0</v>
      </c>
      <c r="P97">
        <f t="shared" ca="1" si="36"/>
        <v>1</v>
      </c>
      <c r="Q97">
        <f t="shared" ca="1" si="37"/>
        <v>0</v>
      </c>
      <c r="R97">
        <f t="shared" ca="1" si="38"/>
        <v>0</v>
      </c>
      <c r="S97" s="256">
        <f t="shared" ca="1" si="39"/>
        <v>0</v>
      </c>
      <c r="T97" s="282">
        <f t="shared" ca="1" si="40"/>
        <v>0</v>
      </c>
      <c r="U97">
        <f t="shared" ca="1" si="41"/>
        <v>6627</v>
      </c>
      <c r="V97">
        <f t="shared" ca="1" si="42"/>
        <v>0</v>
      </c>
      <c r="W97">
        <f t="shared" ca="1" si="43"/>
        <v>0</v>
      </c>
      <c r="X97">
        <f ca="1">IFERROR(VLOOKUP(U97,PLAN_P!$B:$D,3,0),0)</f>
        <v>0</v>
      </c>
      <c r="Y97">
        <f ca="1">IFERROR(VLOOKUP(V97,PLAN_P!$B:$D,3,0),0)</f>
        <v>0</v>
      </c>
      <c r="Z97">
        <f ca="1">IFERROR(VLOOKUP(W97,PLAN_P!$B:$D,3,0),0)</f>
        <v>0</v>
      </c>
      <c r="AC97" s="257">
        <f ca="1">SUMIF('Dane stany'!$J$5:$J$371,N97,'Dane stany'!$K$5:$K$371)</f>
        <v>0</v>
      </c>
      <c r="AE97">
        <f ca="1">IF($N97=AE$60,SUM(AE$60:AE96)-VLOOKUP(N97,$A$60:$B$146,2,0),0)</f>
        <v>0</v>
      </c>
      <c r="AF97">
        <f ca="1">IF($N97=AF$59,SUM(AF$60:AF96)-VLOOKUP($N97,$A$60:$B$146,2,0),0)</f>
        <v>0</v>
      </c>
      <c r="AG97">
        <f ca="1">IF($N97=AG$59,SUM(AG$60:AG96)-VLOOKUP($N97,$A$60:$B$146,2,0),0)</f>
        <v>0</v>
      </c>
      <c r="AH97">
        <f ca="1">IF($N97=AH$59,SUM(AH$60:AH96)-VLOOKUP($N97,$A$60:$B$146,2,0),0)</f>
        <v>0</v>
      </c>
      <c r="AI97">
        <f ca="1">IF($N97=AI$59,SUM(AI$60:AI96)-VLOOKUP($N97,$A$60:$B$146,2,0),0)</f>
        <v>0</v>
      </c>
      <c r="AJ97">
        <f ca="1">IF($N97=AJ$59,SUM(AJ$60:AJ96)-VLOOKUP($N97,$A$60:$B$146,2,0),0)</f>
        <v>0</v>
      </c>
      <c r="AK97">
        <f ca="1">IF($N97=AK$59,SUM(AK$60:AK96)-VLOOKUP($N97,$A$60:$B$146,2,0),0)</f>
        <v>0</v>
      </c>
      <c r="AL97">
        <f ca="1">IF($N97=AL$59,SUM(AL$60:AL96)-VLOOKUP($N97,$A$60:$B$146,2,0),0)</f>
        <v>0</v>
      </c>
    </row>
    <row r="98" spans="1:38">
      <c r="A98">
        <v>5457</v>
      </c>
      <c r="B98" s="257">
        <f>SUMIF('Dane stany'!$J$5:$J$371,A98,'Dane stany'!$K$5:$K$371)</f>
        <v>0</v>
      </c>
      <c r="D98">
        <f t="shared" ca="1" si="44"/>
        <v>0</v>
      </c>
      <c r="E98" s="88">
        <f t="shared" ca="1" si="34"/>
        <v>0</v>
      </c>
      <c r="L98" s="76">
        <v>38</v>
      </c>
      <c r="M98" s="76">
        <f ca="1">OFFSET(Receptury_z!$A$8,L98,0)</f>
        <v>6628</v>
      </c>
      <c r="N98" s="76">
        <f ca="1">OFFSET(Receptury_z!$C$8,L98,0)</f>
        <v>5447</v>
      </c>
      <c r="O98">
        <f t="shared" ca="1" si="35"/>
        <v>0</v>
      </c>
      <c r="P98">
        <f t="shared" ca="1" si="36"/>
        <v>1</v>
      </c>
      <c r="Q98">
        <f t="shared" ca="1" si="37"/>
        <v>0</v>
      </c>
      <c r="R98">
        <f t="shared" ca="1" si="38"/>
        <v>0</v>
      </c>
      <c r="S98" s="256">
        <f t="shared" ca="1" si="39"/>
        <v>0</v>
      </c>
      <c r="T98" s="282">
        <f t="shared" ca="1" si="40"/>
        <v>0</v>
      </c>
      <c r="U98">
        <f t="shared" ca="1" si="41"/>
        <v>6628</v>
      </c>
      <c r="V98">
        <f t="shared" ca="1" si="42"/>
        <v>0</v>
      </c>
      <c r="W98">
        <f t="shared" ca="1" si="43"/>
        <v>0</v>
      </c>
      <c r="X98">
        <f ca="1">IFERROR(VLOOKUP(U98,PLAN_P!$B:$D,3,0),0)</f>
        <v>0</v>
      </c>
      <c r="Y98">
        <f ca="1">IFERROR(VLOOKUP(V98,PLAN_P!$B:$D,3,0),0)</f>
        <v>0</v>
      </c>
      <c r="Z98">
        <f ca="1">IFERROR(VLOOKUP(W98,PLAN_P!$B:$D,3,0),0)</f>
        <v>0</v>
      </c>
      <c r="AC98" s="257">
        <f ca="1">SUMIF('Dane stany'!$J$5:$J$371,N98,'Dane stany'!$K$5:$K$371)</f>
        <v>0</v>
      </c>
      <c r="AE98">
        <f ca="1">IF($N98=AE$60,SUM(AE$60:AE97)-VLOOKUP(N98,$A$60:$B$146,2,0),0)</f>
        <v>0</v>
      </c>
      <c r="AF98">
        <f ca="1">IF($N98=AF$59,SUM(AF$60:AF97)-VLOOKUP($N98,$A$60:$B$146,2,0),0)</f>
        <v>0</v>
      </c>
      <c r="AG98">
        <f ca="1">IF($N98=AG$59,SUM(AG$60:AG97)-VLOOKUP($N98,$A$60:$B$146,2,0),0)</f>
        <v>0</v>
      </c>
      <c r="AH98">
        <f ca="1">IF($N98=AH$59,SUM(AH$60:AH97)-VLOOKUP($N98,$A$60:$B$146,2,0),0)</f>
        <v>0</v>
      </c>
      <c r="AI98">
        <f ca="1">IF($N98=AI$59,SUM(AI$60:AI97)-VLOOKUP($N98,$A$60:$B$146,2,0),0)</f>
        <v>0</v>
      </c>
      <c r="AJ98">
        <f ca="1">IF($N98=AJ$59,SUM(AJ$60:AJ97)-VLOOKUP($N98,$A$60:$B$146,2,0),0)</f>
        <v>0</v>
      </c>
      <c r="AK98">
        <f ca="1">IF($N98=AK$59,SUM(AK$60:AK97)-VLOOKUP($N98,$A$60:$B$146,2,0),0)</f>
        <v>0</v>
      </c>
      <c r="AL98">
        <f ca="1">IF($N98=AL$59,SUM(AL$60:AL97)-VLOOKUP($N98,$A$60:$B$146,2,0),0)</f>
        <v>0</v>
      </c>
    </row>
    <row r="99" spans="1:38">
      <c r="A99">
        <v>5533</v>
      </c>
      <c r="B99" s="257">
        <f>SUMIF('Dane stany'!$J$5:$J$371,A99,'Dane stany'!$K$5:$K$371)</f>
        <v>0</v>
      </c>
      <c r="D99">
        <f t="shared" ca="1" si="44"/>
        <v>0</v>
      </c>
      <c r="E99" s="88">
        <f t="shared" ca="1" si="34"/>
        <v>0</v>
      </c>
      <c r="L99" s="76">
        <v>39</v>
      </c>
      <c r="M99" s="76">
        <f ca="1">OFFSET(Receptury_z!$A$8,L99,0)</f>
        <v>6629</v>
      </c>
      <c r="N99" s="76">
        <f ca="1">OFFSET(Receptury_z!$C$8,L99,0)</f>
        <v>5592</v>
      </c>
      <c r="O99">
        <f t="shared" ca="1" si="35"/>
        <v>0</v>
      </c>
      <c r="P99">
        <f t="shared" ca="1" si="36"/>
        <v>1</v>
      </c>
      <c r="Q99">
        <f t="shared" ca="1" si="37"/>
        <v>0</v>
      </c>
      <c r="R99">
        <f t="shared" ca="1" si="38"/>
        <v>0</v>
      </c>
      <c r="S99" s="256">
        <f t="shared" ca="1" si="39"/>
        <v>0</v>
      </c>
      <c r="T99" s="282">
        <f t="shared" ca="1" si="40"/>
        <v>0</v>
      </c>
      <c r="U99">
        <f t="shared" ca="1" si="41"/>
        <v>6629</v>
      </c>
      <c r="V99">
        <f t="shared" ca="1" si="42"/>
        <v>0</v>
      </c>
      <c r="W99">
        <f t="shared" ca="1" si="43"/>
        <v>0</v>
      </c>
      <c r="X99">
        <f ca="1">IFERROR(VLOOKUP(U99,PLAN_P!$B:$D,3,0),0)</f>
        <v>0</v>
      </c>
      <c r="Y99">
        <f ca="1">IFERROR(VLOOKUP(V99,PLAN_P!$B:$D,3,0),0)</f>
        <v>0</v>
      </c>
      <c r="Z99">
        <f ca="1">IFERROR(VLOOKUP(W99,PLAN_P!$B:$D,3,0),0)</f>
        <v>0</v>
      </c>
      <c r="AC99" s="257">
        <f ca="1">SUMIF('Dane stany'!$J$5:$J$371,N99,'Dane stany'!$K$5:$K$371)</f>
        <v>2540</v>
      </c>
      <c r="AE99">
        <f ca="1">IF($N99=AE$60,SUM(AE$60:AE98)-VLOOKUP(N99,$A$60:$B$146,2,0),0)</f>
        <v>0</v>
      </c>
      <c r="AF99">
        <f ca="1">IF($N99=AF$59,SUM(AF$60:AF98)-VLOOKUP($N99,$A$60:$B$146,2,0),0)</f>
        <v>0</v>
      </c>
      <c r="AG99">
        <f ca="1">IF($N99=AG$59,SUM(AG$60:AG98)-VLOOKUP($N99,$A$60:$B$146,2,0),0)</f>
        <v>0</v>
      </c>
      <c r="AH99">
        <f ca="1">IF($N99=AH$59,SUM(AH$60:AH98)-VLOOKUP($N99,$A$60:$B$146,2,0),0)</f>
        <v>0</v>
      </c>
      <c r="AI99">
        <f ca="1">IF($N99=AI$59,SUM(AI$60:AI98)-VLOOKUP($N99,$A$60:$B$146,2,0),0)</f>
        <v>0</v>
      </c>
      <c r="AJ99">
        <f ca="1">IF($N99=AJ$59,SUM(AJ$60:AJ98)-VLOOKUP($N99,$A$60:$B$146,2,0),0)</f>
        <v>0</v>
      </c>
      <c r="AK99">
        <f ca="1">IF($N99=AK$59,SUM(AK$60:AK98)-VLOOKUP($N99,$A$60:$B$146,2,0),0)</f>
        <v>0</v>
      </c>
      <c r="AL99">
        <f ca="1">IF($N99=AL$59,SUM(AL$60:AL98)-VLOOKUP($N99,$A$60:$B$146,2,0),0)</f>
        <v>0</v>
      </c>
    </row>
    <row r="100" spans="1:38">
      <c r="A100">
        <v>5465</v>
      </c>
      <c r="B100" s="257">
        <f>SUMIF('Dane stany'!$J$5:$J$371,A100,'Dane stany'!$K$5:$K$371)</f>
        <v>4060.1</v>
      </c>
      <c r="D100">
        <f t="shared" ca="1" si="44"/>
        <v>0</v>
      </c>
      <c r="E100" s="88">
        <f t="shared" ca="1" si="34"/>
        <v>-4060.1</v>
      </c>
      <c r="L100" s="76">
        <v>40</v>
      </c>
      <c r="M100" s="76">
        <f ca="1">OFFSET(Receptury_z!$A$8,L100,0)</f>
        <v>6579</v>
      </c>
      <c r="N100" s="76">
        <f ca="1">OFFSET(Receptury_z!$C$8,L100,0)</f>
        <v>5694</v>
      </c>
      <c r="O100">
        <f t="shared" ca="1" si="35"/>
        <v>0</v>
      </c>
      <c r="P100">
        <f t="shared" ca="1" si="36"/>
        <v>1</v>
      </c>
      <c r="Q100">
        <f t="shared" ca="1" si="37"/>
        <v>0</v>
      </c>
      <c r="R100">
        <f t="shared" ca="1" si="38"/>
        <v>0</v>
      </c>
      <c r="S100" s="256">
        <f t="shared" ca="1" si="39"/>
        <v>0</v>
      </c>
      <c r="T100" s="282">
        <f t="shared" ca="1" si="40"/>
        <v>0</v>
      </c>
      <c r="U100">
        <f t="shared" ca="1" si="41"/>
        <v>6579</v>
      </c>
      <c r="V100">
        <f t="shared" ca="1" si="42"/>
        <v>0</v>
      </c>
      <c r="W100">
        <f t="shared" ca="1" si="43"/>
        <v>0</v>
      </c>
      <c r="X100">
        <f ca="1">IFERROR(VLOOKUP(U100,PLAN_P!$B:$D,3,0),0)</f>
        <v>0</v>
      </c>
      <c r="Y100">
        <f ca="1">IFERROR(VLOOKUP(V100,PLAN_P!$B:$D,3,0),0)</f>
        <v>0</v>
      </c>
      <c r="Z100">
        <f ca="1">IFERROR(VLOOKUP(W100,PLAN_P!$B:$D,3,0),0)</f>
        <v>0</v>
      </c>
      <c r="AC100" s="257">
        <f ca="1">SUMIF('Dane stany'!$J$5:$J$371,N100,'Dane stany'!$K$5:$K$371)</f>
        <v>0</v>
      </c>
      <c r="AE100">
        <f ca="1">IF($N100=AE$60,SUM(AE$60:AE99)-VLOOKUP(N100,$A$60:$B$146,2,0),0)</f>
        <v>0</v>
      </c>
      <c r="AF100">
        <f ca="1">IF($N100=AF$59,SUM(AF$60:AF99)-VLOOKUP($N100,$A$60:$B$146,2,0),0)</f>
        <v>0</v>
      </c>
      <c r="AG100">
        <f ca="1">IF($N100=AG$59,SUM(AG$60:AG99)-VLOOKUP($N100,$A$60:$B$146,2,0),0)</f>
        <v>0</v>
      </c>
      <c r="AH100">
        <f ca="1">IF($N100=AH$59,SUM(AH$60:AH99)-VLOOKUP($N100,$A$60:$B$146,2,0),0)</f>
        <v>0</v>
      </c>
      <c r="AI100">
        <f ca="1">IF($N100=AI$59,SUM(AI$60:AI99)-VLOOKUP($N100,$A$60:$B$146,2,0),0)</f>
        <v>0</v>
      </c>
      <c r="AJ100">
        <f ca="1">IF($N100=AJ$59,SUM(AJ$60:AJ99)-VLOOKUP($N100,$A$60:$B$146,2,0),0)</f>
        <v>0</v>
      </c>
      <c r="AK100">
        <f ca="1">IF($N100=AK$59,SUM(AK$60:AK99)-VLOOKUP($N100,$A$60:$B$146,2,0),0)</f>
        <v>0</v>
      </c>
      <c r="AL100">
        <f ca="1">IF($N100=AL$59,SUM(AL$60:AL99)-VLOOKUP($N100,$A$60:$B$146,2,0),0)</f>
        <v>0</v>
      </c>
    </row>
    <row r="101" spans="1:38">
      <c r="A101">
        <v>5492</v>
      </c>
      <c r="B101" s="257">
        <f>SUMIF('Dane stany'!$J$5:$J$371,A101,'Dane stany'!$K$5:$K$371)</f>
        <v>0</v>
      </c>
      <c r="D101">
        <f t="shared" ca="1" si="44"/>
        <v>6000</v>
      </c>
      <c r="E101" s="88">
        <f t="shared" ca="1" si="34"/>
        <v>6000</v>
      </c>
      <c r="L101" s="76">
        <v>41</v>
      </c>
      <c r="M101" s="76">
        <f ca="1">OFFSET(Receptury_z!$A$8,L101,0)</f>
        <v>6699</v>
      </c>
      <c r="N101" s="76">
        <f ca="1">OFFSET(Receptury_z!$C$8,L101,0)</f>
        <v>5601</v>
      </c>
      <c r="O101">
        <f t="shared" ca="1" si="35"/>
        <v>21000</v>
      </c>
      <c r="P101">
        <f t="shared" ca="1" si="36"/>
        <v>1</v>
      </c>
      <c r="Q101">
        <f t="shared" ca="1" si="37"/>
        <v>0</v>
      </c>
      <c r="R101">
        <f t="shared" ca="1" si="38"/>
        <v>0</v>
      </c>
      <c r="S101" s="256">
        <f t="shared" ca="1" si="39"/>
        <v>0</v>
      </c>
      <c r="T101" s="282">
        <f t="shared" ca="1" si="40"/>
        <v>0</v>
      </c>
      <c r="U101">
        <f t="shared" ca="1" si="41"/>
        <v>6699</v>
      </c>
      <c r="V101">
        <f t="shared" ca="1" si="42"/>
        <v>0</v>
      </c>
      <c r="W101">
        <f t="shared" ca="1" si="43"/>
        <v>0</v>
      </c>
      <c r="X101">
        <f ca="1">IFERROR(VLOOKUP(U101,PLAN_P!$B:$D,3,0),0)</f>
        <v>21000</v>
      </c>
      <c r="Y101">
        <f ca="1">IFERROR(VLOOKUP(V101,PLAN_P!$B:$D,3,0),0)</f>
        <v>0</v>
      </c>
      <c r="Z101">
        <f ca="1">IFERROR(VLOOKUP(W101,PLAN_P!$B:$D,3,0),0)</f>
        <v>0</v>
      </c>
      <c r="AC101" s="257">
        <f ca="1">SUMIF('Dane stany'!$J$5:$J$371,N101,'Dane stany'!$K$5:$K$371)</f>
        <v>3980</v>
      </c>
      <c r="AE101">
        <f ca="1">IF($N101=AE$60,SUM(AE$60:AE100)-VLOOKUP(N101,$A$60:$B$146,2,0),0)</f>
        <v>0</v>
      </c>
      <c r="AF101">
        <f ca="1">IF($N101=AF$59,SUM(AF$60:AF100)-VLOOKUP($N101,$A$60:$B$146,2,0),0)</f>
        <v>0</v>
      </c>
      <c r="AG101">
        <f ca="1">IF($N101=AG$59,SUM(AG$60:AG100)-VLOOKUP($N101,$A$60:$B$146,2,0),0)</f>
        <v>0</v>
      </c>
      <c r="AH101">
        <f ca="1">IF($N101=AH$59,SUM(AH$60:AH100)-VLOOKUP($N101,$A$60:$B$146,2,0),0)</f>
        <v>0</v>
      </c>
      <c r="AI101">
        <f ca="1">IF($N101=AI$59,SUM(AI$60:AI100)-VLOOKUP($N101,$A$60:$B$146,2,0),0)</f>
        <v>0</v>
      </c>
      <c r="AJ101">
        <f ca="1">IF($N101=AJ$59,SUM(AJ$60:AJ100)-VLOOKUP($N101,$A$60:$B$146,2,0),0)</f>
        <v>0</v>
      </c>
      <c r="AK101">
        <f ca="1">IF($N101=AK$59,SUM(AK$60:AK100)-VLOOKUP($N101,$A$60:$B$146,2,0),0)</f>
        <v>0</v>
      </c>
      <c r="AL101">
        <f ca="1">IF($N101=AL$59,SUM(AL$60:AL100)-VLOOKUP($N101,$A$60:$B$146,2,0),0)</f>
        <v>0</v>
      </c>
    </row>
    <row r="102" spans="1:38">
      <c r="A102">
        <v>5524</v>
      </c>
      <c r="B102" s="257">
        <f>SUMIF('Dane stany'!$J$5:$J$371,A102,'Dane stany'!$K$5:$K$371)</f>
        <v>0</v>
      </c>
      <c r="D102">
        <f t="shared" ca="1" si="44"/>
        <v>3500</v>
      </c>
      <c r="E102" s="88">
        <f t="shared" ca="1" si="34"/>
        <v>3500</v>
      </c>
      <c r="L102" s="76">
        <v>42</v>
      </c>
      <c r="M102" s="76">
        <f ca="1">OFFSET(Receptury_z!$A$8,L102,0)</f>
        <v>7088</v>
      </c>
      <c r="N102" s="76">
        <f ca="1">OFFSET(Receptury_z!$C$8,L102,0)</f>
        <v>5305</v>
      </c>
      <c r="O102">
        <f t="shared" ca="1" si="35"/>
        <v>0</v>
      </c>
      <c r="P102">
        <f t="shared" ca="1" si="36"/>
        <v>1</v>
      </c>
      <c r="Q102">
        <f t="shared" ca="1" si="37"/>
        <v>0</v>
      </c>
      <c r="R102">
        <f t="shared" ca="1" si="38"/>
        <v>0</v>
      </c>
      <c r="S102" s="256">
        <f t="shared" ca="1" si="39"/>
        <v>0</v>
      </c>
      <c r="T102" s="282">
        <f t="shared" ca="1" si="40"/>
        <v>0</v>
      </c>
      <c r="U102">
        <f t="shared" ca="1" si="41"/>
        <v>7088</v>
      </c>
      <c r="V102">
        <f t="shared" ca="1" si="42"/>
        <v>0</v>
      </c>
      <c r="W102">
        <f t="shared" ca="1" si="43"/>
        <v>0</v>
      </c>
      <c r="X102">
        <f ca="1">IFERROR(VLOOKUP(U102,PLAN_P!$B:$D,3,0),0)</f>
        <v>0</v>
      </c>
      <c r="Y102">
        <f ca="1">IFERROR(VLOOKUP(V102,PLAN_P!$B:$D,3,0),0)</f>
        <v>0</v>
      </c>
      <c r="Z102">
        <f ca="1">IFERROR(VLOOKUP(W102,PLAN_P!$B:$D,3,0),0)</f>
        <v>0</v>
      </c>
      <c r="AC102" s="257">
        <f ca="1">SUMIF('Dane stany'!$J$5:$J$371,N102,'Dane stany'!$K$5:$K$371)</f>
        <v>0</v>
      </c>
      <c r="AE102">
        <f ca="1">IF($N102=AE$60,SUM(AE$60:AE101)-VLOOKUP(N102,$A$60:$B$146,2,0),0)</f>
        <v>0</v>
      </c>
      <c r="AF102">
        <f ca="1">IF($N102=AF$59,SUM(AF$60:AF101)-VLOOKUP($N102,$A$60:$B$146,2,0),0)</f>
        <v>0</v>
      </c>
      <c r="AG102">
        <f ca="1">IF($N102=AG$59,SUM(AG$60:AG101)-VLOOKUP($N102,$A$60:$B$146,2,0),0)</f>
        <v>0</v>
      </c>
      <c r="AH102">
        <f ca="1">IF($N102=AH$59,SUM(AH$60:AH101)-VLOOKUP($N102,$A$60:$B$146,2,0),0)</f>
        <v>0</v>
      </c>
      <c r="AI102">
        <f ca="1">IF($N102=AI$59,SUM(AI$60:AI101)-VLOOKUP($N102,$A$60:$B$146,2,0),0)</f>
        <v>0</v>
      </c>
      <c r="AJ102">
        <f ca="1">IF($N102=AJ$59,SUM(AJ$60:AJ101)-VLOOKUP($N102,$A$60:$B$146,2,0),0)</f>
        <v>0</v>
      </c>
      <c r="AK102">
        <f ca="1">IF($N102=AK$59,SUM(AK$60:AK101)-VLOOKUP($N102,$A$60:$B$146,2,0),0)</f>
        <v>0</v>
      </c>
      <c r="AL102">
        <f ca="1">IF($N102=AL$59,SUM(AL$60:AL101)-VLOOKUP($N102,$A$60:$B$146,2,0),0)</f>
        <v>0</v>
      </c>
    </row>
    <row r="103" spans="1:38">
      <c r="A103">
        <v>5522</v>
      </c>
      <c r="B103" s="257">
        <f>SUMIF('Dane stany'!$J$5:$J$371,A103,'Dane stany'!$K$5:$K$371)</f>
        <v>0</v>
      </c>
      <c r="C103">
        <v>5</v>
      </c>
      <c r="D103">
        <f t="shared" ca="1" si="44"/>
        <v>0</v>
      </c>
      <c r="E103" s="88">
        <f t="shared" ca="1" si="34"/>
        <v>0</v>
      </c>
      <c r="L103" s="76">
        <v>43</v>
      </c>
      <c r="M103" s="76">
        <f ca="1">OFFSET(Receptury_z!$A$8,L103,0)</f>
        <v>6453</v>
      </c>
      <c r="N103" s="76">
        <f ca="1">OFFSET(Receptury_z!$C$8,L103,0)</f>
        <v>5676</v>
      </c>
      <c r="O103">
        <f t="shared" ca="1" si="35"/>
        <v>0</v>
      </c>
      <c r="P103">
        <f t="shared" ca="1" si="36"/>
        <v>2</v>
      </c>
      <c r="Q103">
        <f t="shared" ca="1" si="37"/>
        <v>4</v>
      </c>
      <c r="R103">
        <f t="shared" ca="1" si="38"/>
        <v>0</v>
      </c>
      <c r="S103" s="256">
        <f t="shared" ca="1" si="39"/>
        <v>0</v>
      </c>
      <c r="T103" s="282">
        <f t="shared" ca="1" si="40"/>
        <v>0</v>
      </c>
      <c r="U103">
        <f t="shared" ca="1" si="41"/>
        <v>6453</v>
      </c>
      <c r="V103">
        <f t="shared" ca="1" si="42"/>
        <v>0</v>
      </c>
      <c r="W103">
        <f t="shared" ca="1" si="43"/>
        <v>0</v>
      </c>
      <c r="X103">
        <f ca="1">IFERROR(VLOOKUP(U103,PLAN_P!$B:$D,3,0),0)</f>
        <v>0</v>
      </c>
      <c r="Y103">
        <f ca="1">IFERROR(VLOOKUP(V103,PLAN_P!$B:$D,3,0),0)</f>
        <v>0</v>
      </c>
      <c r="Z103">
        <f ca="1">IFERROR(VLOOKUP(W103,PLAN_P!$B:$D,3,0),0)</f>
        <v>0</v>
      </c>
      <c r="AC103" s="257">
        <f ca="1">SUMIF('Dane stany'!$J$5:$J$371,N103,'Dane stany'!$K$5:$K$371)</f>
        <v>0</v>
      </c>
      <c r="AE103">
        <f ca="1">IF($N103=AE$60,SUM(AE$60:AE102)-VLOOKUP(N103,$A$60:$B$146,2,0),0)</f>
        <v>0</v>
      </c>
      <c r="AF103">
        <f ca="1">IF($N103=AF$59,SUM(AF$60:AF102)-VLOOKUP($N103,$A$60:$B$146,2,0),0)</f>
        <v>0</v>
      </c>
      <c r="AG103">
        <f ca="1">IF($N103=AG$59,SUM(AG$60:AG102)-VLOOKUP($N103,$A$60:$B$146,2,0),0)</f>
        <v>0</v>
      </c>
      <c r="AH103">
        <f ca="1">IF($N103=AH$59,SUM(AH$60:AH102)-VLOOKUP($N103,$A$60:$B$146,2,0),0)</f>
        <v>0</v>
      </c>
      <c r="AI103">
        <f ca="1">IF($N103=AI$59,SUM(AI$60:AI102)-VLOOKUP($N103,$A$60:$B$146,2,0),0)</f>
        <v>0</v>
      </c>
      <c r="AJ103">
        <f ca="1">IF($N103=AJ$59,SUM(AJ$60:AJ102)-VLOOKUP($N103,$A$60:$B$146,2,0),0)</f>
        <v>0</v>
      </c>
      <c r="AK103">
        <f ca="1">IF($N103=AK$59,SUM(AK$60:AK102)-VLOOKUP($N103,$A$60:$B$146,2,0),0)</f>
        <v>0</v>
      </c>
      <c r="AL103">
        <f ca="1">IF($N103=AL$59,SUM(AL$60:AL102)-VLOOKUP($N103,$A$60:$B$146,2,0),0)</f>
        <v>0</v>
      </c>
    </row>
    <row r="104" spans="1:38">
      <c r="A104">
        <v>5523</v>
      </c>
      <c r="B104" s="257">
        <f>SUMIF('Dane stany'!$J$5:$J$371,A104,'Dane stany'!$K$5:$K$371)</f>
        <v>750</v>
      </c>
      <c r="C104">
        <v>6</v>
      </c>
      <c r="D104">
        <f t="shared" ca="1" si="44"/>
        <v>13200</v>
      </c>
      <c r="E104" s="88">
        <f ca="1">D104-B104</f>
        <v>12450</v>
      </c>
      <c r="L104" s="76">
        <v>44</v>
      </c>
      <c r="M104" s="76">
        <f ca="1">OFFSET(Receptury_z!$A$8,L104,0)</f>
        <v>6512</v>
      </c>
      <c r="N104" s="76">
        <f ca="1">OFFSET(Receptury_z!$C$8,L104,0)</f>
        <v>5681</v>
      </c>
      <c r="O104">
        <f t="shared" ca="1" si="35"/>
        <v>0</v>
      </c>
      <c r="P104">
        <f t="shared" ca="1" si="36"/>
        <v>2</v>
      </c>
      <c r="Q104">
        <f t="shared" ca="1" si="37"/>
        <v>3</v>
      </c>
      <c r="R104">
        <f t="shared" ca="1" si="38"/>
        <v>0</v>
      </c>
      <c r="S104" s="256">
        <f t="shared" ca="1" si="39"/>
        <v>0</v>
      </c>
      <c r="T104" s="282">
        <f t="shared" ca="1" si="40"/>
        <v>0</v>
      </c>
      <c r="U104">
        <f t="shared" ca="1" si="41"/>
        <v>6512</v>
      </c>
      <c r="V104">
        <f t="shared" ca="1" si="42"/>
        <v>0</v>
      </c>
      <c r="W104">
        <f t="shared" ca="1" si="43"/>
        <v>0</v>
      </c>
      <c r="X104">
        <f ca="1">IFERROR(VLOOKUP(U104,PLAN_P!$B:$D,3,0),0)</f>
        <v>0</v>
      </c>
      <c r="Y104">
        <f ca="1">IFERROR(VLOOKUP(V104,PLAN_P!$B:$D,3,0),0)</f>
        <v>0</v>
      </c>
      <c r="Z104">
        <f ca="1">IFERROR(VLOOKUP(W104,PLAN_P!$B:$D,3,0),0)</f>
        <v>0</v>
      </c>
      <c r="AC104" s="257">
        <f ca="1">SUMIF('Dane stany'!$J$5:$J$371,N104,'Dane stany'!$K$5:$K$371)</f>
        <v>0</v>
      </c>
      <c r="AE104">
        <f ca="1">IF($N104=AE$60,SUM(AE$60:AE103)-VLOOKUP(N104,$A$60:$B$146,2,0),0)</f>
        <v>0</v>
      </c>
      <c r="AF104">
        <f ca="1">IF($N104=AF$59,SUM(AF$60:AF103)-VLOOKUP($N104,$A$60:$B$146,2,0),0)</f>
        <v>0</v>
      </c>
      <c r="AG104">
        <f ca="1">IF($N104=AG$59,SUM(AG$60:AG103)-VLOOKUP($N104,$A$60:$B$146,2,0),0)</f>
        <v>0</v>
      </c>
      <c r="AH104">
        <f ca="1">IF($N104=AH$59,SUM(AH$60:AH103)-VLOOKUP($N104,$A$60:$B$146,2,0),0)</f>
        <v>0</v>
      </c>
      <c r="AI104">
        <f ca="1">IF($N104=AI$59,SUM(AI$60:AI103)-VLOOKUP($N104,$A$60:$B$146,2,0),0)</f>
        <v>0</v>
      </c>
      <c r="AJ104">
        <f ca="1">IF($N104=AJ$59,SUM(AJ$60:AJ103)-VLOOKUP($N104,$A$60:$B$146,2,0),0)</f>
        <v>0</v>
      </c>
      <c r="AK104">
        <f ca="1">IF($N104=AK$59,SUM(AK$60:AK103)-VLOOKUP($N104,$A$60:$B$146,2,0),0)</f>
        <v>0</v>
      </c>
      <c r="AL104">
        <f ca="1">IF($N104=AL$59,SUM(AL$60:AL103)-VLOOKUP($N104,$A$60:$B$146,2,0),0)</f>
        <v>0</v>
      </c>
    </row>
    <row r="105" spans="1:38">
      <c r="A105">
        <v>5551</v>
      </c>
      <c r="B105" s="257">
        <f>SUMIF('Dane stany'!$J$5:$J$371,A105,'Dane stany'!$K$5:$K$371)</f>
        <v>0</v>
      </c>
      <c r="D105">
        <f t="shared" ca="1" si="44"/>
        <v>0</v>
      </c>
      <c r="E105" s="88">
        <f t="shared" ca="1" si="34"/>
        <v>0</v>
      </c>
      <c r="L105" s="76">
        <v>45</v>
      </c>
      <c r="M105" s="76">
        <f ca="1">OFFSET(Receptury_z!$A$8,L105,0)</f>
        <v>6513</v>
      </c>
      <c r="N105" s="76">
        <f ca="1">OFFSET(Receptury_z!$C$8,L105,0)</f>
        <v>5573</v>
      </c>
      <c r="O105">
        <f t="shared" ca="1" si="35"/>
        <v>0</v>
      </c>
      <c r="P105">
        <f t="shared" ca="1" si="36"/>
        <v>1</v>
      </c>
      <c r="Q105">
        <f t="shared" ca="1" si="37"/>
        <v>0</v>
      </c>
      <c r="R105">
        <f t="shared" ca="1" si="38"/>
        <v>0</v>
      </c>
      <c r="S105" s="256">
        <f t="shared" ca="1" si="39"/>
        <v>0</v>
      </c>
      <c r="T105" s="282">
        <f t="shared" ca="1" si="40"/>
        <v>0</v>
      </c>
      <c r="U105">
        <f t="shared" ca="1" si="41"/>
        <v>6513</v>
      </c>
      <c r="V105">
        <f t="shared" ca="1" si="42"/>
        <v>0</v>
      </c>
      <c r="W105">
        <f t="shared" ca="1" si="43"/>
        <v>0</v>
      </c>
      <c r="X105">
        <f ca="1">IFERROR(VLOOKUP(U105,PLAN_P!$B:$D,3,0),0)</f>
        <v>0</v>
      </c>
      <c r="Y105">
        <f ca="1">IFERROR(VLOOKUP(V105,PLAN_P!$B:$D,3,0),0)</f>
        <v>0</v>
      </c>
      <c r="Z105">
        <f ca="1">IFERROR(VLOOKUP(W105,PLAN_P!$B:$D,3,0),0)</f>
        <v>0</v>
      </c>
      <c r="AC105" s="257">
        <f ca="1">SUMIF('Dane stany'!$J$5:$J$371,N105,'Dane stany'!$K$5:$K$371)</f>
        <v>0</v>
      </c>
      <c r="AE105">
        <f ca="1">IF($N105=AE$60,SUM(AE$60:AE104)-VLOOKUP(N105,$A$60:$B$146,2,0),0)</f>
        <v>0</v>
      </c>
      <c r="AF105">
        <f ca="1">IF($N105=AF$59,SUM(AF$60:AF104)-VLOOKUP($N105,$A$60:$B$146,2,0),0)</f>
        <v>0</v>
      </c>
      <c r="AG105">
        <f ca="1">IF($N105=AG$59,SUM(AG$60:AG104)-VLOOKUP($N105,$A$60:$B$146,2,0),0)</f>
        <v>0</v>
      </c>
      <c r="AH105">
        <f ca="1">IF($N105=AH$59,SUM(AH$60:AH104)-VLOOKUP($N105,$A$60:$B$146,2,0),0)</f>
        <v>0</v>
      </c>
      <c r="AI105">
        <f ca="1">IF($N105=AI$59,SUM(AI$60:AI104)-VLOOKUP($N105,$A$60:$B$146,2,0),0)</f>
        <v>0</v>
      </c>
      <c r="AJ105">
        <f ca="1">IF($N105=AJ$59,SUM(AJ$60:AJ104)-VLOOKUP($N105,$A$60:$B$146,2,0),0)</f>
        <v>0</v>
      </c>
      <c r="AK105">
        <f ca="1">IF($N105=AK$59,SUM(AK$60:AK104)-VLOOKUP($N105,$A$60:$B$146,2,0),0)</f>
        <v>0</v>
      </c>
      <c r="AL105">
        <f ca="1">IF($N105=AL$59,SUM(AL$60:AL104)-VLOOKUP($N105,$A$60:$B$146,2,0),0)</f>
        <v>0</v>
      </c>
    </row>
    <row r="106" spans="1:38">
      <c r="A106">
        <v>5552</v>
      </c>
      <c r="B106" s="257">
        <f>SUMIF('Dane stany'!$J$5:$J$371,A106,'Dane stany'!$K$5:$K$371)</f>
        <v>1100.0999999999999</v>
      </c>
      <c r="C106">
        <v>8</v>
      </c>
      <c r="D106">
        <f t="shared" ca="1" si="44"/>
        <v>2700</v>
      </c>
      <c r="E106" s="88">
        <f t="shared" ca="1" si="34"/>
        <v>1599.9</v>
      </c>
      <c r="L106" s="76">
        <v>46</v>
      </c>
      <c r="M106" s="76">
        <f ca="1">OFFSET(Receptury_z!$A$8,L106,0)</f>
        <v>7028</v>
      </c>
      <c r="N106" s="76">
        <f ca="1">OFFSET(Receptury_z!$C$8,L106,0)</f>
        <v>5676</v>
      </c>
      <c r="O106">
        <f t="shared" ca="1" si="35"/>
        <v>0</v>
      </c>
      <c r="P106">
        <f t="shared" ca="1" si="36"/>
        <v>2</v>
      </c>
      <c r="Q106">
        <f t="shared" ca="1" si="37"/>
        <v>4</v>
      </c>
      <c r="R106">
        <f t="shared" ca="1" si="38"/>
        <v>0</v>
      </c>
      <c r="S106" s="256">
        <f t="shared" ca="1" si="39"/>
        <v>0</v>
      </c>
      <c r="T106" s="282">
        <f t="shared" ca="1" si="40"/>
        <v>0</v>
      </c>
      <c r="U106">
        <f t="shared" ca="1" si="41"/>
        <v>7028</v>
      </c>
      <c r="V106">
        <f t="shared" ca="1" si="42"/>
        <v>0</v>
      </c>
      <c r="W106">
        <f t="shared" ca="1" si="43"/>
        <v>0</v>
      </c>
      <c r="X106">
        <f ca="1">IFERROR(VLOOKUP(U106,PLAN_P!$B:$D,3,0),0)</f>
        <v>0</v>
      </c>
      <c r="Y106">
        <f ca="1">IFERROR(VLOOKUP(V106,PLAN_P!$B:$D,3,0),0)</f>
        <v>0</v>
      </c>
      <c r="Z106">
        <f ca="1">IFERROR(VLOOKUP(W106,PLAN_P!$B:$D,3,0),0)</f>
        <v>0</v>
      </c>
      <c r="AC106" s="257">
        <f ca="1">SUMIF('Dane stany'!$J$5:$J$371,N106,'Dane stany'!$K$5:$K$371)</f>
        <v>0</v>
      </c>
      <c r="AE106">
        <f ca="1">IF($N106=AE$60,SUM(AE$60:AE105)-VLOOKUP(N106,$A$60:$B$146,2,0),0)</f>
        <v>0</v>
      </c>
      <c r="AF106">
        <f ca="1">IF($N106=AF$59,SUM(AF$60:AF105)-VLOOKUP($N106,$A$60:$B$146,2,0),0)</f>
        <v>0</v>
      </c>
      <c r="AG106">
        <f ca="1">IF($N106=AG$59,SUM(AG$60:AG105)-VLOOKUP($N106,$A$60:$B$146,2,0),0)</f>
        <v>0</v>
      </c>
      <c r="AH106">
        <f ca="1">IF($N106=AH$59,SUM(AH$60:AH105)-VLOOKUP($N106,$A$60:$B$146,2,0),0)</f>
        <v>0</v>
      </c>
      <c r="AI106">
        <f ca="1">IF($N106=AI$59,SUM(AI$60:AI105)-VLOOKUP($N106,$A$60:$B$146,2,0),0)</f>
        <v>0</v>
      </c>
      <c r="AJ106">
        <f ca="1">IF($N106=AJ$59,SUM(AJ$60:AJ105)-VLOOKUP($N106,$A$60:$B$146,2,0),0)</f>
        <v>0</v>
      </c>
      <c r="AK106">
        <f ca="1">IF($N106=AK$59,SUM(AK$60:AK105)-VLOOKUP($N106,$A$60:$B$146,2,0),0)</f>
        <v>0</v>
      </c>
      <c r="AL106">
        <f ca="1">IF($N106=AL$59,SUM(AL$60:AL105)-VLOOKUP($N106,$A$60:$B$146,2,0),0)</f>
        <v>0</v>
      </c>
    </row>
    <row r="107" spans="1:38">
      <c r="A107">
        <v>5554</v>
      </c>
      <c r="B107" s="257">
        <f>SUMIF('Dane stany'!$J$5:$J$371,A107,'Dane stany'!$K$5:$K$371)</f>
        <v>0</v>
      </c>
      <c r="D107">
        <f t="shared" ca="1" si="44"/>
        <v>0</v>
      </c>
      <c r="E107" s="88">
        <f t="shared" ca="1" si="34"/>
        <v>0</v>
      </c>
      <c r="L107" s="76">
        <v>47</v>
      </c>
      <c r="M107" s="76">
        <f ca="1">OFFSET(Receptury_z!$A$8,L107,0)</f>
        <v>7038</v>
      </c>
      <c r="N107" s="76">
        <f ca="1">OFFSET(Receptury_z!$C$8,L107,0)</f>
        <v>5527</v>
      </c>
      <c r="O107">
        <f t="shared" ca="1" si="35"/>
        <v>0</v>
      </c>
      <c r="P107">
        <f t="shared" ca="1" si="36"/>
        <v>2</v>
      </c>
      <c r="Q107">
        <f t="shared" ca="1" si="37"/>
        <v>2</v>
      </c>
      <c r="R107">
        <f t="shared" ca="1" si="38"/>
        <v>0</v>
      </c>
      <c r="S107" s="256">
        <f t="shared" ca="1" si="39"/>
        <v>0</v>
      </c>
      <c r="T107" s="282">
        <f t="shared" ca="1" si="40"/>
        <v>0</v>
      </c>
      <c r="U107">
        <f t="shared" ca="1" si="41"/>
        <v>7038</v>
      </c>
      <c r="V107">
        <f t="shared" ca="1" si="42"/>
        <v>0</v>
      </c>
      <c r="W107">
        <f t="shared" ca="1" si="43"/>
        <v>0</v>
      </c>
      <c r="X107">
        <f ca="1">IFERROR(VLOOKUP(U107,PLAN_P!$B:$D,3,0),0)</f>
        <v>0</v>
      </c>
      <c r="Y107">
        <f ca="1">IFERROR(VLOOKUP(V107,PLAN_P!$B:$D,3,0),0)</f>
        <v>0</v>
      </c>
      <c r="Z107">
        <f ca="1">IFERROR(VLOOKUP(W107,PLAN_P!$B:$D,3,0),0)</f>
        <v>0</v>
      </c>
      <c r="AC107" s="257">
        <f ca="1">SUMIF('Dane stany'!$J$5:$J$371,N107,'Dane stany'!$K$5:$K$371)</f>
        <v>0</v>
      </c>
      <c r="AE107">
        <f ca="1">IF($N107=AE$60,SUM(AE$60:AE106)-VLOOKUP(N107,$A$60:$B$146,2,0),0)</f>
        <v>0</v>
      </c>
      <c r="AF107">
        <f ca="1">IF($N107=AF$59,SUM(AF$60:AF106)-VLOOKUP($N107,$A$60:$B$146,2,0),0)</f>
        <v>0</v>
      </c>
      <c r="AG107">
        <f ca="1">IF($N107=AG$59,SUM(AG$60:AG106)-VLOOKUP($N107,$A$60:$B$146,2,0),0)</f>
        <v>0</v>
      </c>
      <c r="AH107">
        <f ca="1">IF($N107=AH$59,SUM(AH$60:AH106)-VLOOKUP($N107,$A$60:$B$146,2,0),0)</f>
        <v>0</v>
      </c>
      <c r="AI107">
        <f ca="1">IF($N107=AI$59,SUM(AI$60:AI106)-VLOOKUP($N107,$A$60:$B$146,2,0),0)</f>
        <v>0</v>
      </c>
      <c r="AJ107">
        <f ca="1">IF($N107=AJ$59,SUM(AJ$60:AJ106)-VLOOKUP($N107,$A$60:$B$146,2,0),0)</f>
        <v>0</v>
      </c>
      <c r="AK107">
        <f ca="1">IF($N107=AK$59,SUM(AK$60:AK106)-VLOOKUP($N107,$A$60:$B$146,2,0),0)</f>
        <v>0</v>
      </c>
      <c r="AL107">
        <f ca="1">IF($N107=AL$59,SUM(AL$60:AL106)-VLOOKUP($N107,$A$60:$B$146,2,0),0)</f>
        <v>0</v>
      </c>
    </row>
    <row r="108" spans="1:38">
      <c r="A108">
        <v>5558</v>
      </c>
      <c r="B108" s="257">
        <f>SUMIF('Dane stany'!$J$5:$J$371,A108,'Dane stany'!$K$5:$K$371)</f>
        <v>0</v>
      </c>
      <c r="D108">
        <f t="shared" ca="1" si="44"/>
        <v>0</v>
      </c>
      <c r="E108" s="88">
        <f t="shared" ca="1" si="34"/>
        <v>0</v>
      </c>
      <c r="L108" s="76">
        <v>48</v>
      </c>
      <c r="M108" s="76">
        <f ca="1">OFFSET(Receptury_z!$A$8,L108,0)</f>
        <v>7050</v>
      </c>
      <c r="N108" s="76">
        <f ca="1">OFFSET(Receptury_z!$C$8,L108,0)</f>
        <v>5457</v>
      </c>
      <c r="O108">
        <f t="shared" ca="1" si="35"/>
        <v>0</v>
      </c>
      <c r="P108">
        <f t="shared" ca="1" si="36"/>
        <v>1</v>
      </c>
      <c r="Q108">
        <f t="shared" ca="1" si="37"/>
        <v>0</v>
      </c>
      <c r="R108">
        <f t="shared" ca="1" si="38"/>
        <v>0</v>
      </c>
      <c r="S108" s="256">
        <f t="shared" ca="1" si="39"/>
        <v>0</v>
      </c>
      <c r="T108" s="282">
        <f t="shared" ca="1" si="40"/>
        <v>0</v>
      </c>
      <c r="U108">
        <f t="shared" ca="1" si="41"/>
        <v>7050</v>
      </c>
      <c r="V108">
        <f t="shared" ca="1" si="42"/>
        <v>0</v>
      </c>
      <c r="W108">
        <f t="shared" ca="1" si="43"/>
        <v>0</v>
      </c>
      <c r="X108">
        <f ca="1">IFERROR(VLOOKUP(U108,PLAN_P!$B:$D,3,0),0)</f>
        <v>0</v>
      </c>
      <c r="Y108">
        <f ca="1">IFERROR(VLOOKUP(V108,PLAN_P!$B:$D,3,0),0)</f>
        <v>0</v>
      </c>
      <c r="Z108">
        <f ca="1">IFERROR(VLOOKUP(W108,PLAN_P!$B:$D,3,0),0)</f>
        <v>0</v>
      </c>
      <c r="AC108" s="257">
        <f ca="1">SUMIF('Dane stany'!$J$5:$J$371,N108,'Dane stany'!$K$5:$K$371)</f>
        <v>0</v>
      </c>
      <c r="AE108">
        <f ca="1">IF($N108=AE$60,SUM(AE$60:AE107)-VLOOKUP(N108,$A$60:$B$146,2,0),0)</f>
        <v>0</v>
      </c>
      <c r="AF108">
        <f ca="1">IF($N108=AF$59,SUM(AF$60:AF107)-VLOOKUP($N108,$A$60:$B$146,2,0),0)</f>
        <v>0</v>
      </c>
      <c r="AG108">
        <f ca="1">IF($N108=AG$59,SUM(AG$60:AG107)-VLOOKUP($N108,$A$60:$B$146,2,0),0)</f>
        <v>0</v>
      </c>
      <c r="AH108">
        <f ca="1">IF($N108=AH$59,SUM(AH$60:AH107)-VLOOKUP($N108,$A$60:$B$146,2,0),0)</f>
        <v>0</v>
      </c>
      <c r="AI108">
        <f ca="1">IF($N108=AI$59,SUM(AI$60:AI107)-VLOOKUP($N108,$A$60:$B$146,2,0),0)</f>
        <v>0</v>
      </c>
      <c r="AJ108">
        <f ca="1">IF($N108=AJ$59,SUM(AJ$60:AJ107)-VLOOKUP($N108,$A$60:$B$146,2,0),0)</f>
        <v>0</v>
      </c>
      <c r="AK108">
        <f ca="1">IF($N108=AK$59,SUM(AK$60:AK107)-VLOOKUP($N108,$A$60:$B$146,2,0),0)</f>
        <v>0</v>
      </c>
      <c r="AL108">
        <f ca="1">IF($N108=AL$59,SUM(AL$60:AL107)-VLOOKUP($N108,$A$60:$B$146,2,0),0)</f>
        <v>0</v>
      </c>
    </row>
    <row r="109" spans="1:38">
      <c r="A109">
        <v>5562</v>
      </c>
      <c r="B109" s="257">
        <f>SUMIF('Dane stany'!$J$5:$J$371,A109,'Dane stany'!$K$5:$K$371)</f>
        <v>0</v>
      </c>
      <c r="C109">
        <v>10</v>
      </c>
      <c r="D109">
        <f t="shared" ca="1" si="44"/>
        <v>0</v>
      </c>
      <c r="E109" s="88">
        <f t="shared" ca="1" si="34"/>
        <v>0</v>
      </c>
      <c r="L109" s="76">
        <v>49</v>
      </c>
      <c r="M109" s="76">
        <f ca="1">OFFSET(Receptury_z!$A$8,L109,0)</f>
        <v>6500</v>
      </c>
      <c r="N109" s="76">
        <f ca="1">OFFSET(Receptury_z!$C$8,L109,0)</f>
        <v>5696</v>
      </c>
      <c r="O109">
        <f t="shared" ca="1" si="35"/>
        <v>0</v>
      </c>
      <c r="P109">
        <f t="shared" ca="1" si="36"/>
        <v>1</v>
      </c>
      <c r="Q109">
        <f t="shared" ca="1" si="37"/>
        <v>0</v>
      </c>
      <c r="R109">
        <f t="shared" ca="1" si="38"/>
        <v>0</v>
      </c>
      <c r="S109" s="256">
        <f t="shared" ca="1" si="39"/>
        <v>0</v>
      </c>
      <c r="T109" s="282">
        <f t="shared" ca="1" si="40"/>
        <v>0</v>
      </c>
      <c r="U109">
        <f t="shared" ca="1" si="41"/>
        <v>6500</v>
      </c>
      <c r="V109">
        <f t="shared" ca="1" si="42"/>
        <v>0</v>
      </c>
      <c r="W109">
        <f t="shared" ca="1" si="43"/>
        <v>0</v>
      </c>
      <c r="X109">
        <f ca="1">IFERROR(VLOOKUP(U109,PLAN_P!$B:$D,3,0),0)</f>
        <v>0</v>
      </c>
      <c r="Y109">
        <f ca="1">IFERROR(VLOOKUP(V109,PLAN_P!$B:$D,3,0),0)</f>
        <v>0</v>
      </c>
      <c r="Z109">
        <f ca="1">IFERROR(VLOOKUP(W109,PLAN_P!$B:$D,3,0),0)</f>
        <v>0</v>
      </c>
      <c r="AC109" s="257">
        <f ca="1">SUMIF('Dane stany'!$J$5:$J$371,N109,'Dane stany'!$K$5:$K$371)</f>
        <v>0</v>
      </c>
      <c r="AE109">
        <f ca="1">IF($N109=AE$60,SUM(AE$60:AE108)-VLOOKUP(N109,$A$60:$B$146,2,0),0)</f>
        <v>0</v>
      </c>
      <c r="AF109">
        <f ca="1">IF($N109=AF$59,SUM(AF$60:AF108)-VLOOKUP($N109,$A$60:$B$146,2,0),0)</f>
        <v>0</v>
      </c>
      <c r="AG109">
        <f ca="1">IF($N109=AG$59,SUM(AG$60:AG108)-VLOOKUP($N109,$A$60:$B$146,2,0),0)</f>
        <v>0</v>
      </c>
      <c r="AH109">
        <f ca="1">IF($N109=AH$59,SUM(AH$60:AH108)-VLOOKUP($N109,$A$60:$B$146,2,0),0)</f>
        <v>0</v>
      </c>
      <c r="AI109">
        <f ca="1">IF($N109=AI$59,SUM(AI$60:AI108)-VLOOKUP($N109,$A$60:$B$146,2,0),0)</f>
        <v>0</v>
      </c>
      <c r="AJ109">
        <f ca="1">IF($N109=AJ$59,SUM(AJ$60:AJ108)-VLOOKUP($N109,$A$60:$B$146,2,0),0)</f>
        <v>0</v>
      </c>
      <c r="AK109">
        <f ca="1">IF($N109=AK$59,SUM(AK$60:AK108)-VLOOKUP($N109,$A$60:$B$146,2,0),0)</f>
        <v>0</v>
      </c>
      <c r="AL109">
        <f ca="1">IF($N109=AL$59,SUM(AL$60:AL108)-VLOOKUP($N109,$A$60:$B$146,2,0),0)</f>
        <v>0</v>
      </c>
    </row>
    <row r="110" spans="1:38">
      <c r="A110">
        <v>5528</v>
      </c>
      <c r="B110" s="257">
        <f>SUMIF('Dane stany'!$J$5:$J$371,A110,'Dane stany'!$K$5:$K$371)</f>
        <v>0</v>
      </c>
      <c r="D110">
        <f t="shared" ca="1" si="44"/>
        <v>0</v>
      </c>
      <c r="E110" s="88">
        <f t="shared" ca="1" si="34"/>
        <v>0</v>
      </c>
      <c r="L110" s="76">
        <v>50</v>
      </c>
      <c r="M110" s="76">
        <f ca="1">OFFSET(Receptury_z!$A$8,L110,0)</f>
        <v>6520</v>
      </c>
      <c r="N110" s="76">
        <f ca="1">OFFSET(Receptury_z!$C$8,L110,0)</f>
        <v>5430</v>
      </c>
      <c r="O110">
        <f t="shared" ca="1" si="35"/>
        <v>0</v>
      </c>
      <c r="P110">
        <f t="shared" ca="1" si="36"/>
        <v>2</v>
      </c>
      <c r="Q110">
        <f t="shared" ca="1" si="37"/>
        <v>7</v>
      </c>
      <c r="R110">
        <f t="shared" ca="1" si="38"/>
        <v>0</v>
      </c>
      <c r="S110" s="256">
        <f t="shared" ca="1" si="39"/>
        <v>0</v>
      </c>
      <c r="T110" s="282">
        <f t="shared" ca="1" si="40"/>
        <v>0</v>
      </c>
      <c r="U110">
        <f t="shared" ca="1" si="41"/>
        <v>6520</v>
      </c>
      <c r="V110">
        <f t="shared" ca="1" si="42"/>
        <v>0</v>
      </c>
      <c r="W110">
        <f t="shared" ca="1" si="43"/>
        <v>0</v>
      </c>
      <c r="X110">
        <f ca="1">IFERROR(VLOOKUP(U110,PLAN_P!$B:$D,3,0),0)</f>
        <v>0</v>
      </c>
      <c r="Y110">
        <f ca="1">IFERROR(VLOOKUP(V110,PLAN_P!$B:$D,3,0),0)</f>
        <v>0</v>
      </c>
      <c r="Z110">
        <f ca="1">IFERROR(VLOOKUP(W110,PLAN_P!$B:$D,3,0),0)</f>
        <v>0</v>
      </c>
      <c r="AC110" s="257">
        <f ca="1">SUMIF('Dane stany'!$J$5:$J$371,N110,'Dane stany'!$K$5:$K$371)</f>
        <v>6000</v>
      </c>
      <c r="AE110">
        <f ca="1">IF($N110=AE$60,SUM(AE$60:AE109)-VLOOKUP(N110,$A$60:$B$146,2,0),0)</f>
        <v>0</v>
      </c>
      <c r="AF110">
        <f ca="1">IF($N110=AF$59,SUM(AF$60:AF109)-VLOOKUP($N110,$A$60:$B$146,2,0),0)</f>
        <v>0</v>
      </c>
      <c r="AG110">
        <f ca="1">IF($N110=AG$59,SUM(AG$60:AG109)-VLOOKUP($N110,$A$60:$B$146,2,0),0)</f>
        <v>0</v>
      </c>
      <c r="AH110">
        <f ca="1">IF($N110=AH$59,SUM(AH$60:AH109)-VLOOKUP($N110,$A$60:$B$146,2,0),0)</f>
        <v>0</v>
      </c>
      <c r="AI110">
        <f ca="1">IF($N110=AI$59,SUM(AI$60:AI109)-VLOOKUP($N110,$A$60:$B$146,2,0),0)</f>
        <v>0</v>
      </c>
      <c r="AJ110">
        <f ca="1">IF($N110=AJ$59,SUM(AJ$60:AJ109)-VLOOKUP($N110,$A$60:$B$146,2,0),0)</f>
        <v>0</v>
      </c>
      <c r="AK110">
        <f ca="1">IF($N110=AK$59,SUM(AK$60:AK109)-VLOOKUP($N110,$A$60:$B$146,2,0),0)</f>
        <v>0</v>
      </c>
      <c r="AL110">
        <f ca="1">IF($N110=AL$59,SUM(AL$60:AL109)-VLOOKUP($N110,$A$60:$B$146,2,0),0)</f>
        <v>0</v>
      </c>
    </row>
    <row r="111" spans="1:38">
      <c r="A111">
        <v>5544</v>
      </c>
      <c r="B111" s="257">
        <f>SUMIF('Dane stany'!$J$5:$J$371,A111,'Dane stany'!$K$5:$K$371)</f>
        <v>0</v>
      </c>
      <c r="D111">
        <f t="shared" ca="1" si="44"/>
        <v>0</v>
      </c>
      <c r="E111" s="88">
        <f t="shared" ca="1" si="34"/>
        <v>0</v>
      </c>
      <c r="L111" s="76">
        <v>51</v>
      </c>
      <c r="M111" s="76">
        <f ca="1">OFFSET(Receptury_z!$A$8,L111,0)</f>
        <v>7080</v>
      </c>
      <c r="N111" s="76">
        <f ca="1">OFFSET(Receptury_z!$C$8,L111,0)</f>
        <v>5595</v>
      </c>
      <c r="O111">
        <f t="shared" ca="1" si="35"/>
        <v>0</v>
      </c>
      <c r="P111">
        <f t="shared" ca="1" si="36"/>
        <v>1</v>
      </c>
      <c r="Q111">
        <f t="shared" ca="1" si="37"/>
        <v>0</v>
      </c>
      <c r="R111">
        <f t="shared" ca="1" si="38"/>
        <v>0</v>
      </c>
      <c r="S111" s="256">
        <f t="shared" ca="1" si="39"/>
        <v>0</v>
      </c>
      <c r="T111" s="282">
        <f t="shared" ca="1" si="40"/>
        <v>0</v>
      </c>
      <c r="U111">
        <f t="shared" ca="1" si="41"/>
        <v>7080</v>
      </c>
      <c r="V111">
        <f t="shared" ca="1" si="42"/>
        <v>0</v>
      </c>
      <c r="W111">
        <f t="shared" ca="1" si="43"/>
        <v>0</v>
      </c>
      <c r="X111">
        <f ca="1">IFERROR(VLOOKUP(U111,PLAN_P!$B:$D,3,0),0)</f>
        <v>0</v>
      </c>
      <c r="Y111">
        <f ca="1">IFERROR(VLOOKUP(V111,PLAN_P!$B:$D,3,0),0)</f>
        <v>0</v>
      </c>
      <c r="Z111">
        <f ca="1">IFERROR(VLOOKUP(W111,PLAN_P!$B:$D,3,0),0)</f>
        <v>0</v>
      </c>
      <c r="AC111" s="257">
        <f ca="1">SUMIF('Dane stany'!$J$5:$J$371,N111,'Dane stany'!$K$5:$K$371)</f>
        <v>1500</v>
      </c>
      <c r="AE111">
        <f ca="1">IF($N111=AE$60,SUM(AE$60:AE110)-VLOOKUP(N111,$A$60:$B$146,2,0),0)</f>
        <v>0</v>
      </c>
      <c r="AF111">
        <f ca="1">IF($N111=AF$59,SUM(AF$60:AF110)-VLOOKUP($N111,$A$60:$B$146,2,0),0)</f>
        <v>0</v>
      </c>
      <c r="AG111">
        <f ca="1">IF($N111=AG$59,SUM(AG$60:AG110)-VLOOKUP($N111,$A$60:$B$146,2,0),0)</f>
        <v>0</v>
      </c>
      <c r="AH111">
        <f ca="1">IF($N111=AH$59,SUM(AH$60:AH110)-VLOOKUP($N111,$A$60:$B$146,2,0),0)</f>
        <v>0</v>
      </c>
      <c r="AI111">
        <f ca="1">IF($N111=AI$59,SUM(AI$60:AI110)-VLOOKUP($N111,$A$60:$B$146,2,0),0)</f>
        <v>0</v>
      </c>
      <c r="AJ111">
        <f ca="1">IF($N111=AJ$59,SUM(AJ$60:AJ110)-VLOOKUP($N111,$A$60:$B$146,2,0),0)</f>
        <v>0</v>
      </c>
      <c r="AK111">
        <f ca="1">IF($N111=AK$59,SUM(AK$60:AK110)-VLOOKUP($N111,$A$60:$B$146,2,0),0)</f>
        <v>0</v>
      </c>
      <c r="AL111">
        <f ca="1">IF($N111=AL$59,SUM(AL$60:AL110)-VLOOKUP($N111,$A$60:$B$146,2,0),0)</f>
        <v>0</v>
      </c>
    </row>
    <row r="112" spans="1:38">
      <c r="A112">
        <v>5549</v>
      </c>
      <c r="B112" s="257">
        <f>SUMIF('Dane stany'!$J$5:$J$371,A112,'Dane stany'!$K$5:$K$371)</f>
        <v>0</v>
      </c>
      <c r="D112">
        <f t="shared" ca="1" si="44"/>
        <v>0</v>
      </c>
      <c r="E112" s="88">
        <f t="shared" ca="1" si="34"/>
        <v>0</v>
      </c>
      <c r="L112" s="76">
        <v>52</v>
      </c>
      <c r="M112" s="76">
        <f ca="1">OFFSET(Receptury_z!$A$8,L112,0)</f>
        <v>7054</v>
      </c>
      <c r="N112" s="76">
        <f ca="1">OFFSET(Receptury_z!$C$8,L112,0)</f>
        <v>5533</v>
      </c>
      <c r="O112">
        <f t="shared" ca="1" si="35"/>
        <v>0</v>
      </c>
      <c r="P112">
        <f t="shared" ca="1" si="36"/>
        <v>1</v>
      </c>
      <c r="Q112">
        <f t="shared" ca="1" si="37"/>
        <v>0</v>
      </c>
      <c r="R112">
        <f t="shared" ca="1" si="38"/>
        <v>0</v>
      </c>
      <c r="S112" s="256">
        <f t="shared" ca="1" si="39"/>
        <v>0</v>
      </c>
      <c r="T112" s="282">
        <f t="shared" ca="1" si="40"/>
        <v>0</v>
      </c>
      <c r="U112">
        <f t="shared" ca="1" si="41"/>
        <v>7054</v>
      </c>
      <c r="V112">
        <f t="shared" ca="1" si="42"/>
        <v>0</v>
      </c>
      <c r="W112">
        <f t="shared" ca="1" si="43"/>
        <v>0</v>
      </c>
      <c r="X112">
        <f ca="1">IFERROR(VLOOKUP(U112,PLAN_P!$B:$D,3,0),0)</f>
        <v>0</v>
      </c>
      <c r="Y112">
        <f ca="1">IFERROR(VLOOKUP(V112,PLAN_P!$B:$D,3,0),0)</f>
        <v>0</v>
      </c>
      <c r="Z112">
        <f ca="1">IFERROR(VLOOKUP(W112,PLAN_P!$B:$D,3,0),0)</f>
        <v>0</v>
      </c>
      <c r="AC112" s="257">
        <f ca="1">SUMIF('Dane stany'!$J$5:$J$371,N112,'Dane stany'!$K$5:$K$371)</f>
        <v>0</v>
      </c>
      <c r="AE112">
        <f ca="1">IF($N112=AE$60,SUM(AE$60:AE111)-VLOOKUP(N112,$A$60:$B$146,2,0),0)</f>
        <v>0</v>
      </c>
      <c r="AF112">
        <f ca="1">IF($N112=AF$59,SUM(AF$60:AF111)-VLOOKUP($N112,$A$60:$B$146,2,0),0)</f>
        <v>0</v>
      </c>
      <c r="AG112">
        <f ca="1">IF($N112=AG$59,SUM(AG$60:AG111)-VLOOKUP($N112,$A$60:$B$146,2,0),0)</f>
        <v>0</v>
      </c>
      <c r="AH112">
        <f ca="1">IF($N112=AH$59,SUM(AH$60:AH111)-VLOOKUP($N112,$A$60:$B$146,2,0),0)</f>
        <v>0</v>
      </c>
      <c r="AI112">
        <f ca="1">IF($N112=AI$59,SUM(AI$60:AI111)-VLOOKUP($N112,$A$60:$B$146,2,0),0)</f>
        <v>0</v>
      </c>
      <c r="AJ112">
        <f ca="1">IF($N112=AJ$59,SUM(AJ$60:AJ111)-VLOOKUP($N112,$A$60:$B$146,2,0),0)</f>
        <v>0</v>
      </c>
      <c r="AK112">
        <f ca="1">IF($N112=AK$59,SUM(AK$60:AK111)-VLOOKUP($N112,$A$60:$B$146,2,0),0)</f>
        <v>0</v>
      </c>
      <c r="AL112">
        <f ca="1">IF($N112=AL$59,SUM(AL$60:AL111)-VLOOKUP($N112,$A$60:$B$146,2,0),0)</f>
        <v>0</v>
      </c>
    </row>
    <row r="113" spans="1:38">
      <c r="A113">
        <v>5550</v>
      </c>
      <c r="B113" s="257">
        <f>SUMIF('Dane stany'!$J$5:$J$371,A113,'Dane stany'!$K$5:$K$371)</f>
        <v>0</v>
      </c>
      <c r="D113">
        <f t="shared" ca="1" si="44"/>
        <v>0</v>
      </c>
      <c r="E113" s="88">
        <f t="shared" ca="1" si="34"/>
        <v>0</v>
      </c>
      <c r="L113" s="76">
        <v>53</v>
      </c>
      <c r="M113" s="76">
        <f ca="1">OFFSET(Receptury_z!$A$8,L113,0)</f>
        <v>7008</v>
      </c>
      <c r="N113" s="76">
        <f ca="1">OFFSET(Receptury_z!$C$8,L113,0)</f>
        <v>5465</v>
      </c>
      <c r="O113">
        <f t="shared" ca="1" si="35"/>
        <v>0</v>
      </c>
      <c r="P113">
        <f t="shared" ca="1" si="36"/>
        <v>3</v>
      </c>
      <c r="Q113">
        <f t="shared" ca="1" si="37"/>
        <v>0</v>
      </c>
      <c r="R113">
        <f t="shared" ca="1" si="38"/>
        <v>0</v>
      </c>
      <c r="S113" s="256">
        <f t="shared" ca="1" si="39"/>
        <v>0</v>
      </c>
      <c r="T113" s="282">
        <f t="shared" ca="1" si="40"/>
        <v>0</v>
      </c>
      <c r="U113">
        <f t="shared" ca="1" si="41"/>
        <v>7008</v>
      </c>
      <c r="V113">
        <f t="shared" ca="1" si="42"/>
        <v>0</v>
      </c>
      <c r="W113">
        <f t="shared" ca="1" si="43"/>
        <v>0</v>
      </c>
      <c r="X113">
        <f ca="1">IFERROR(VLOOKUP(U113,PLAN_P!$B:$D,3,0),0)</f>
        <v>0</v>
      </c>
      <c r="Y113">
        <f ca="1">IFERROR(VLOOKUP(V113,PLAN_P!$B:$D,3,0),0)</f>
        <v>0</v>
      </c>
      <c r="Z113">
        <f ca="1">IFERROR(VLOOKUP(W113,PLAN_P!$B:$D,3,0),0)</f>
        <v>0</v>
      </c>
      <c r="AC113" s="257">
        <f ca="1">SUMIF('Dane stany'!$J$5:$J$371,N113,'Dane stany'!$K$5:$K$371)</f>
        <v>4060.1</v>
      </c>
      <c r="AE113">
        <f ca="1">IF($N113=AE$60,SUM(AE$60:AE112)-VLOOKUP(N113,$A$60:$B$146,2,0),0)</f>
        <v>0</v>
      </c>
      <c r="AF113">
        <f ca="1">IF($N113=AF$59,SUM(AF$60:AF112)-VLOOKUP($N113,$A$60:$B$146,2,0),0)</f>
        <v>0</v>
      </c>
      <c r="AG113">
        <f ca="1">IF($N113=AG$59,SUM(AG$60:AG112)-VLOOKUP($N113,$A$60:$B$146,2,0),0)</f>
        <v>0</v>
      </c>
      <c r="AH113">
        <f ca="1">IF($N113=AH$59,SUM(AH$60:AH112)-VLOOKUP($N113,$A$60:$B$146,2,0),0)</f>
        <v>0</v>
      </c>
      <c r="AI113">
        <f ca="1">IF($N113=AI$59,SUM(AI$60:AI112)-VLOOKUP($N113,$A$60:$B$146,2,0),0)</f>
        <v>0</v>
      </c>
      <c r="AJ113">
        <f ca="1">IF($N113=AJ$59,SUM(AJ$60:AJ112)-VLOOKUP($N113,$A$60:$B$146,2,0),0)</f>
        <v>0</v>
      </c>
      <c r="AK113">
        <f ca="1">IF($N113=AK$59,SUM(AK$60:AK112)-VLOOKUP($N113,$A$60:$B$146,2,0),0)</f>
        <v>0</v>
      </c>
      <c r="AL113">
        <f ca="1">IF($N113=AL$59,SUM(AL$60:AL112)-VLOOKUP($N113,$A$60:$B$146,2,0),0)</f>
        <v>0</v>
      </c>
    </row>
    <row r="114" spans="1:38">
      <c r="A114">
        <v>5556</v>
      </c>
      <c r="B114" s="257">
        <f>SUMIF('Dane stany'!$J$5:$J$371,A114,'Dane stany'!$K$5:$K$371)</f>
        <v>0</v>
      </c>
      <c r="D114">
        <f t="shared" ca="1" si="44"/>
        <v>40000</v>
      </c>
      <c r="E114" s="88">
        <f t="shared" ca="1" si="34"/>
        <v>40000</v>
      </c>
      <c r="L114" s="76">
        <v>54</v>
      </c>
      <c r="M114" s="76">
        <f ca="1">OFFSET(Receptury_z!$A$8,L114,0)</f>
        <v>7034</v>
      </c>
      <c r="N114" s="76">
        <f ca="1">OFFSET(Receptury_z!$C$8,L114,0)</f>
        <v>5465</v>
      </c>
      <c r="O114">
        <f t="shared" ca="1" si="35"/>
        <v>0</v>
      </c>
      <c r="P114">
        <f t="shared" ca="1" si="36"/>
        <v>3</v>
      </c>
      <c r="Q114">
        <f t="shared" ca="1" si="37"/>
        <v>0</v>
      </c>
      <c r="R114">
        <f t="shared" ca="1" si="38"/>
        <v>0</v>
      </c>
      <c r="S114" s="256">
        <f t="shared" ca="1" si="39"/>
        <v>0</v>
      </c>
      <c r="T114" s="282">
        <f t="shared" ca="1" si="40"/>
        <v>0</v>
      </c>
      <c r="U114">
        <f t="shared" ca="1" si="41"/>
        <v>7034</v>
      </c>
      <c r="V114">
        <f t="shared" ca="1" si="42"/>
        <v>0</v>
      </c>
      <c r="W114">
        <f t="shared" ca="1" si="43"/>
        <v>0</v>
      </c>
      <c r="X114">
        <f ca="1">IFERROR(VLOOKUP(U114,PLAN_P!$B:$D,3,0),0)</f>
        <v>0</v>
      </c>
      <c r="Y114">
        <f ca="1">IFERROR(VLOOKUP(V114,PLAN_P!$B:$D,3,0),0)</f>
        <v>0</v>
      </c>
      <c r="Z114">
        <f ca="1">IFERROR(VLOOKUP(W114,PLAN_P!$B:$D,3,0),0)</f>
        <v>0</v>
      </c>
      <c r="AC114" s="257">
        <f ca="1">SUMIF('Dane stany'!$J$5:$J$371,N114,'Dane stany'!$K$5:$K$371)</f>
        <v>4060.1</v>
      </c>
      <c r="AE114">
        <f ca="1">IF($N114=AE$60,SUM(AE$60:AE113)-VLOOKUP(N114,$A$60:$B$146,2,0),0)</f>
        <v>0</v>
      </c>
      <c r="AF114">
        <f ca="1">IF($N114=AF$59,SUM(AF$60:AF113)-VLOOKUP($N114,$A$60:$B$146,2,0),0)</f>
        <v>0</v>
      </c>
      <c r="AG114">
        <f ca="1">IF($N114=AG$59,SUM(AG$60:AG113)-VLOOKUP($N114,$A$60:$B$146,2,0),0)</f>
        <v>0</v>
      </c>
      <c r="AH114">
        <f ca="1">IF($N114=AH$59,SUM(AH$60:AH113)-VLOOKUP($N114,$A$60:$B$146,2,0),0)</f>
        <v>0</v>
      </c>
      <c r="AI114">
        <f ca="1">IF($N114=AI$59,SUM(AI$60:AI113)-VLOOKUP($N114,$A$60:$B$146,2,0),0)</f>
        <v>0</v>
      </c>
      <c r="AJ114">
        <f ca="1">IF($N114=AJ$59,SUM(AJ$60:AJ113)-VLOOKUP($N114,$A$60:$B$146,2,0),0)</f>
        <v>0</v>
      </c>
      <c r="AK114">
        <f ca="1">IF($N114=AK$59,SUM(AK$60:AK113)-VLOOKUP($N114,$A$60:$B$146,2,0),0)</f>
        <v>0</v>
      </c>
      <c r="AL114">
        <f ca="1">IF($N114=AL$59,SUM(AL$60:AL113)-VLOOKUP($N114,$A$60:$B$146,2,0),0)</f>
        <v>0</v>
      </c>
    </row>
    <row r="115" spans="1:38">
      <c r="A115">
        <v>5545</v>
      </c>
      <c r="B115" s="257">
        <f>SUMIF('Dane stany'!$J$5:$J$371,A115,'Dane stany'!$K$5:$K$371)</f>
        <v>0</v>
      </c>
      <c r="D115">
        <f t="shared" ca="1" si="44"/>
        <v>0</v>
      </c>
      <c r="E115" s="88">
        <f t="shared" ca="1" si="34"/>
        <v>0</v>
      </c>
      <c r="L115" s="76">
        <v>55</v>
      </c>
      <c r="M115" s="76">
        <f ca="1">OFFSET(Receptury_z!$A$8,L115,0)</f>
        <v>7051</v>
      </c>
      <c r="N115" s="76">
        <f ca="1">OFFSET(Receptury_z!$C$8,L115,0)</f>
        <v>5465</v>
      </c>
      <c r="O115">
        <f t="shared" ca="1" si="35"/>
        <v>0</v>
      </c>
      <c r="P115">
        <f t="shared" ca="1" si="36"/>
        <v>3</v>
      </c>
      <c r="Q115">
        <f t="shared" ca="1" si="37"/>
        <v>0</v>
      </c>
      <c r="R115">
        <f t="shared" ca="1" si="38"/>
        <v>0</v>
      </c>
      <c r="S115" s="256">
        <f t="shared" ca="1" si="39"/>
        <v>0</v>
      </c>
      <c r="T115" s="282">
        <f t="shared" ca="1" si="40"/>
        <v>0</v>
      </c>
      <c r="U115">
        <f t="shared" ca="1" si="41"/>
        <v>7051</v>
      </c>
      <c r="V115">
        <f t="shared" ca="1" si="42"/>
        <v>0</v>
      </c>
      <c r="W115">
        <f t="shared" ca="1" si="43"/>
        <v>0</v>
      </c>
      <c r="X115">
        <f ca="1">IFERROR(VLOOKUP(U115,PLAN_P!$B:$D,3,0),0)</f>
        <v>0</v>
      </c>
      <c r="Y115">
        <f ca="1">IFERROR(VLOOKUP(V115,PLAN_P!$B:$D,3,0),0)</f>
        <v>0</v>
      </c>
      <c r="Z115">
        <f ca="1">IFERROR(VLOOKUP(W115,PLAN_P!$B:$D,3,0),0)</f>
        <v>0</v>
      </c>
      <c r="AC115" s="257">
        <f ca="1">SUMIF('Dane stany'!$J$5:$J$371,N115,'Dane stany'!$K$5:$K$371)</f>
        <v>4060.1</v>
      </c>
      <c r="AE115">
        <f ca="1">IF($N115=AE$60,SUM(AE$60:AE114)-VLOOKUP(N115,$A$60:$B$146,2,0),0)</f>
        <v>0</v>
      </c>
      <c r="AF115">
        <f ca="1">IF($N115=AF$59,SUM(AF$60:AF114)-VLOOKUP($N115,$A$60:$B$146,2,0),0)</f>
        <v>0</v>
      </c>
      <c r="AG115">
        <f ca="1">IF($N115=AG$59,SUM(AG$60:AG114)-VLOOKUP($N115,$A$60:$B$146,2,0),0)</f>
        <v>0</v>
      </c>
      <c r="AH115">
        <f ca="1">IF($N115=AH$59,SUM(AH$60:AH114)-VLOOKUP($N115,$A$60:$B$146,2,0),0)</f>
        <v>0</v>
      </c>
      <c r="AI115">
        <f ca="1">IF($N115=AI$59,SUM(AI$60:AI114)-VLOOKUP($N115,$A$60:$B$146,2,0),0)</f>
        <v>0</v>
      </c>
      <c r="AJ115">
        <f ca="1">IF($N115=AJ$59,SUM(AJ$60:AJ114)-VLOOKUP($N115,$A$60:$B$146,2,0),0)</f>
        <v>0</v>
      </c>
      <c r="AK115">
        <f ca="1">IF($N115=AK$59,SUM(AK$60:AK114)-VLOOKUP($N115,$A$60:$B$146,2,0),0)</f>
        <v>0</v>
      </c>
      <c r="AL115">
        <f ca="1">IF($N115=AL$59,SUM(AL$60:AL114)-VLOOKUP($N115,$A$60:$B$146,2,0),0)</f>
        <v>0</v>
      </c>
    </row>
    <row r="116" spans="1:38">
      <c r="A116">
        <v>5547</v>
      </c>
      <c r="B116" s="257">
        <f>SUMIF('Dane stany'!$J$5:$J$371,A116,'Dane stany'!$K$5:$K$371)</f>
        <v>0</v>
      </c>
      <c r="D116">
        <f t="shared" ca="1" si="44"/>
        <v>0</v>
      </c>
      <c r="E116" s="88">
        <f t="shared" ca="1" si="34"/>
        <v>0</v>
      </c>
      <c r="L116" s="76">
        <v>56</v>
      </c>
      <c r="M116" s="76">
        <f ca="1">OFFSET(Receptury_z!$A$8,L116,0)</f>
        <v>7004</v>
      </c>
      <c r="N116" s="76">
        <f ca="1">OFFSET(Receptury_z!$C$8,L116,0)</f>
        <v>5492</v>
      </c>
      <c r="O116">
        <f t="shared" ca="1" si="35"/>
        <v>6000</v>
      </c>
      <c r="P116">
        <f t="shared" ca="1" si="36"/>
        <v>1</v>
      </c>
      <c r="Q116">
        <f t="shared" ca="1" si="37"/>
        <v>0</v>
      </c>
      <c r="R116">
        <f t="shared" ca="1" si="38"/>
        <v>0</v>
      </c>
      <c r="S116" s="256">
        <f t="shared" ca="1" si="39"/>
        <v>0</v>
      </c>
      <c r="T116" s="282">
        <f t="shared" ca="1" si="40"/>
        <v>0</v>
      </c>
      <c r="U116">
        <f t="shared" ca="1" si="41"/>
        <v>7004</v>
      </c>
      <c r="V116">
        <f t="shared" ca="1" si="42"/>
        <v>0</v>
      </c>
      <c r="W116">
        <f t="shared" ca="1" si="43"/>
        <v>0</v>
      </c>
      <c r="X116">
        <f ca="1">IFERROR(VLOOKUP(U116,PLAN_P!$B:$D,3,0),0)</f>
        <v>6000</v>
      </c>
      <c r="Y116">
        <f ca="1">IFERROR(VLOOKUP(V116,PLAN_P!$B:$D,3,0),0)</f>
        <v>0</v>
      </c>
      <c r="Z116">
        <f ca="1">IFERROR(VLOOKUP(W116,PLAN_P!$B:$D,3,0),0)</f>
        <v>0</v>
      </c>
      <c r="AC116" s="257">
        <f ca="1">SUMIF('Dane stany'!$J$5:$J$371,N116,'Dane stany'!$K$5:$K$371)</f>
        <v>0</v>
      </c>
      <c r="AE116">
        <f ca="1">IF($N116=AE$60,SUM(AE$60:AE115)-VLOOKUP(N116,$A$60:$B$146,2,0),0)</f>
        <v>0</v>
      </c>
      <c r="AF116">
        <f ca="1">IF($N116=AF$59,SUM(AF$60:AF115)-VLOOKUP($N116,$A$60:$B$146,2,0),0)</f>
        <v>0</v>
      </c>
      <c r="AG116">
        <f ca="1">IF($N116=AG$59,SUM(AG$60:AG115)-VLOOKUP($N116,$A$60:$B$146,2,0),0)</f>
        <v>0</v>
      </c>
      <c r="AH116">
        <f ca="1">IF($N116=AH$59,SUM(AH$60:AH115)-VLOOKUP($N116,$A$60:$B$146,2,0),0)</f>
        <v>0</v>
      </c>
      <c r="AI116">
        <f ca="1">IF($N116=AI$59,SUM(AI$60:AI115)-VLOOKUP($N116,$A$60:$B$146,2,0),0)</f>
        <v>0</v>
      </c>
      <c r="AJ116">
        <f ca="1">IF($N116=AJ$59,SUM(AJ$60:AJ115)-VLOOKUP($N116,$A$60:$B$146,2,0),0)</f>
        <v>0</v>
      </c>
      <c r="AK116">
        <f ca="1">IF($N116=AK$59,SUM(AK$60:AK115)-VLOOKUP($N116,$A$60:$B$146,2,0),0)</f>
        <v>0</v>
      </c>
      <c r="AL116">
        <f ca="1">IF($N116=AL$59,SUM(AL$60:AL115)-VLOOKUP($N116,$A$60:$B$146,2,0),0)</f>
        <v>0</v>
      </c>
    </row>
    <row r="117" spans="1:38">
      <c r="A117">
        <v>5561</v>
      </c>
      <c r="B117" s="257">
        <f>SUMIF('Dane stany'!$J$5:$J$371,A117,'Dane stany'!$K$5:$K$371)</f>
        <v>0</v>
      </c>
      <c r="D117">
        <f t="shared" ca="1" si="44"/>
        <v>0</v>
      </c>
      <c r="E117" s="88">
        <f t="shared" ca="1" si="34"/>
        <v>0</v>
      </c>
      <c r="L117" s="76">
        <v>57</v>
      </c>
      <c r="M117" s="76">
        <f ca="1">OFFSET(Receptury_z!$A$8,L117,0)</f>
        <v>7035</v>
      </c>
      <c r="N117" s="76">
        <f ca="1">OFFSET(Receptury_z!$C$8,L117,0)</f>
        <v>5524</v>
      </c>
      <c r="O117">
        <f t="shared" ca="1" si="35"/>
        <v>3500</v>
      </c>
      <c r="P117">
        <f t="shared" ca="1" si="36"/>
        <v>1</v>
      </c>
      <c r="Q117">
        <f t="shared" ca="1" si="37"/>
        <v>0</v>
      </c>
      <c r="R117">
        <f t="shared" ca="1" si="38"/>
        <v>0</v>
      </c>
      <c r="S117" s="256">
        <f t="shared" ca="1" si="39"/>
        <v>0</v>
      </c>
      <c r="T117" s="282">
        <f t="shared" ca="1" si="40"/>
        <v>0</v>
      </c>
      <c r="U117">
        <f t="shared" ca="1" si="41"/>
        <v>7035</v>
      </c>
      <c r="V117">
        <f t="shared" ca="1" si="42"/>
        <v>0</v>
      </c>
      <c r="W117">
        <f t="shared" ca="1" si="43"/>
        <v>0</v>
      </c>
      <c r="X117">
        <f ca="1">IFERROR(VLOOKUP(U117,PLAN_P!$B:$D,3,0),0)</f>
        <v>3500</v>
      </c>
      <c r="Y117">
        <f ca="1">IFERROR(VLOOKUP(V117,PLAN_P!$B:$D,3,0),0)</f>
        <v>0</v>
      </c>
      <c r="Z117">
        <f ca="1">IFERROR(VLOOKUP(W117,PLAN_P!$B:$D,3,0),0)</f>
        <v>0</v>
      </c>
      <c r="AC117" s="257">
        <f ca="1">SUMIF('Dane stany'!$J$5:$J$371,N117,'Dane stany'!$K$5:$K$371)</f>
        <v>0</v>
      </c>
      <c r="AE117">
        <f ca="1">IF($N117=AE$60,SUM(AE$60:AE116)-VLOOKUP(N117,$A$60:$B$146,2,0),0)</f>
        <v>0</v>
      </c>
      <c r="AF117">
        <f ca="1">IF($N117=AF$59,SUM(AF$60:AF116)-VLOOKUP($N117,$A$60:$B$146,2,0),0)</f>
        <v>0</v>
      </c>
      <c r="AG117">
        <f ca="1">IF($N117=AG$59,SUM(AG$60:AG116)-VLOOKUP($N117,$A$60:$B$146,2,0),0)</f>
        <v>0</v>
      </c>
      <c r="AH117">
        <f ca="1">IF($N117=AH$59,SUM(AH$60:AH116)-VLOOKUP($N117,$A$60:$B$146,2,0),0)</f>
        <v>0</v>
      </c>
      <c r="AI117">
        <f ca="1">IF($N117=AI$59,SUM(AI$60:AI116)-VLOOKUP($N117,$A$60:$B$146,2,0),0)</f>
        <v>0</v>
      </c>
      <c r="AJ117">
        <f ca="1">IF($N117=AJ$59,SUM(AJ$60:AJ116)-VLOOKUP($N117,$A$60:$B$146,2,0),0)</f>
        <v>0</v>
      </c>
      <c r="AK117">
        <f ca="1">IF($N117=AK$59,SUM(AK$60:AK116)-VLOOKUP($N117,$A$60:$B$146,2,0),0)</f>
        <v>0</v>
      </c>
      <c r="AL117">
        <f ca="1">IF($N117=AL$59,SUM(AL$60:AL116)-VLOOKUP($N117,$A$60:$B$146,2,0),0)</f>
        <v>0</v>
      </c>
    </row>
    <row r="118" spans="1:38">
      <c r="A118">
        <v>5548</v>
      </c>
      <c r="B118" s="257">
        <f>SUMIF('Dane stany'!$J$5:$J$371,A118,'Dane stany'!$K$5:$K$371)</f>
        <v>0</v>
      </c>
      <c r="D118">
        <f t="shared" ca="1" si="44"/>
        <v>0</v>
      </c>
      <c r="E118" s="88">
        <f t="shared" ca="1" si="34"/>
        <v>0</v>
      </c>
      <c r="L118" s="76">
        <v>58</v>
      </c>
      <c r="M118" s="76" t="str">
        <f ca="1">OFFSET(Receptury_z!$A$8,L118,0)</f>
        <v>7031+7063+7040</v>
      </c>
      <c r="N118" s="76">
        <f ca="1">OFFSET(Receptury_z!$C$8,L118,0)</f>
        <v>5522</v>
      </c>
      <c r="O118">
        <f t="shared" ca="1" si="35"/>
        <v>0</v>
      </c>
      <c r="P118">
        <f t="shared" ca="1" si="36"/>
        <v>1</v>
      </c>
      <c r="Q118">
        <f t="shared" ca="1" si="37"/>
        <v>5</v>
      </c>
      <c r="R118">
        <f t="shared" ca="1" si="38"/>
        <v>0</v>
      </c>
      <c r="S118" s="256">
        <f t="shared" ca="1" si="39"/>
        <v>0</v>
      </c>
      <c r="T118" s="282">
        <f t="shared" ca="1" si="40"/>
        <v>0</v>
      </c>
      <c r="U118">
        <f ca="1">MID(M118,1,4)*1</f>
        <v>7031</v>
      </c>
      <c r="V118">
        <f t="shared" ca="1" si="42"/>
        <v>7063</v>
      </c>
      <c r="W118">
        <f t="shared" ca="1" si="43"/>
        <v>7040</v>
      </c>
      <c r="X118">
        <f ca="1">IFERROR(VLOOKUP(U118,PLAN_P!$B:$D,3,0),0)</f>
        <v>0</v>
      </c>
      <c r="Y118">
        <f ca="1">IFERROR(VLOOKUP(V118,PLAN_P!$B:$D,3,0),0)</f>
        <v>0</v>
      </c>
      <c r="Z118">
        <f ca="1">IFERROR(VLOOKUP(W118,PLAN_P!$B:$D,3,0),0)</f>
        <v>0</v>
      </c>
      <c r="AC118" s="257">
        <f ca="1">SUMIF('Dane stany'!$J$5:$J$371,N118,'Dane stany'!$K$5:$K$371)</f>
        <v>0</v>
      </c>
      <c r="AE118">
        <f ca="1">IF($N118=AE$60,SUM(AE$60:AE117)-VLOOKUP(N118,$A$60:$B$146,2,0),0)</f>
        <v>0</v>
      </c>
      <c r="AF118">
        <f ca="1">IF($N118=AF$59,SUM(AF$60:AF117)-VLOOKUP($N118,$A$60:$B$146,2,0),0)</f>
        <v>0</v>
      </c>
      <c r="AG118">
        <f ca="1">IF($N118=AG$59,SUM(AG$60:AG117)-VLOOKUP($N118,$A$60:$B$146,2,0),0)</f>
        <v>0</v>
      </c>
      <c r="AH118">
        <f ca="1">IF($N118=AH$59,SUM(AH$60:AH117)-VLOOKUP($N118,$A$60:$B$146,2,0),0)</f>
        <v>0</v>
      </c>
      <c r="AI118">
        <f ca="1">IF($N118=AI$59,SUM(AI$60:AI117)-VLOOKUP($N118,$A$60:$B$146,2,0),0)</f>
        <v>0</v>
      </c>
      <c r="AJ118">
        <f ca="1">IF($N118=AJ$59,SUM(AJ$60:AJ117)-VLOOKUP($N118,$A$60:$B$146,2,0),0)</f>
        <v>0</v>
      </c>
      <c r="AK118">
        <f ca="1">IF($N118=AK$59,SUM(AK$60:AK117)-VLOOKUP($N118,$A$60:$B$146,2,0),0)</f>
        <v>0</v>
      </c>
      <c r="AL118">
        <f ca="1">IF($N118=AL$59,SUM(AL$60:AL117)-VLOOKUP($N118,$A$60:$B$146,2,0),0)</f>
        <v>0</v>
      </c>
    </row>
    <row r="119" spans="1:38">
      <c r="A119">
        <v>5546</v>
      </c>
      <c r="B119" s="257">
        <f>SUMIF('Dane stany'!$J$5:$J$371,A119,'Dane stany'!$K$5:$K$371)</f>
        <v>0</v>
      </c>
      <c r="D119">
        <f t="shared" ca="1" si="44"/>
        <v>0</v>
      </c>
      <c r="E119" s="88">
        <f t="shared" ca="1" si="34"/>
        <v>0</v>
      </c>
      <c r="L119" s="76">
        <v>59</v>
      </c>
      <c r="M119" s="76" t="str">
        <f ca="1">OFFSET(Receptury_z!$A$8,L119,0)</f>
        <v>7032+7052+7041</v>
      </c>
      <c r="N119" s="76">
        <f ca="1">OFFSET(Receptury_z!$C$8,L119,0)</f>
        <v>5523</v>
      </c>
      <c r="O119">
        <f t="shared" ca="1" si="35"/>
        <v>13200</v>
      </c>
      <c r="P119">
        <f t="shared" ca="1" si="36"/>
        <v>2</v>
      </c>
      <c r="Q119">
        <f t="shared" ca="1" si="37"/>
        <v>6</v>
      </c>
      <c r="R119">
        <f t="shared" ca="1" si="38"/>
        <v>13200</v>
      </c>
      <c r="S119" s="256">
        <f t="shared" ca="1" si="39"/>
        <v>1</v>
      </c>
      <c r="T119" s="282">
        <f t="shared" ca="1" si="40"/>
        <v>12.45</v>
      </c>
      <c r="U119">
        <f t="shared" ca="1" si="41"/>
        <v>7032</v>
      </c>
      <c r="V119">
        <f t="shared" ca="1" si="42"/>
        <v>7052</v>
      </c>
      <c r="W119">
        <f t="shared" ca="1" si="43"/>
        <v>7041</v>
      </c>
      <c r="X119">
        <f ca="1">IFERROR(VLOOKUP(U119,PLAN_P!$B:$D,3,0),0)</f>
        <v>8800</v>
      </c>
      <c r="Y119">
        <f ca="1">IFERROR(VLOOKUP(V119,PLAN_P!$B:$D,3,0),0)</f>
        <v>4400</v>
      </c>
      <c r="Z119">
        <f ca="1">IFERROR(VLOOKUP(W119,PLAN_P!$B:$D,3,0),0)</f>
        <v>0</v>
      </c>
      <c r="AC119" s="257">
        <f ca="1">SUMIF('Dane stany'!$J$5:$J$371,N119,'Dane stany'!$K$5:$K$371)</f>
        <v>750</v>
      </c>
      <c r="AE119">
        <f ca="1">IF($N119=AE$60,SUM(AE$60:AE118)-VLOOKUP(N119,$A$60:$B$146,2,0),0)</f>
        <v>0</v>
      </c>
      <c r="AF119">
        <f ca="1">IF($N119=AF$59,SUM(AF$60:AF118)-VLOOKUP($N119,$A$60:$B$146,2,0),0)</f>
        <v>0</v>
      </c>
      <c r="AG119">
        <f ca="1">IF($N119=AG$59,SUM(AG$60:AG118)-VLOOKUP($N119,$A$60:$B$146,2,0),0)</f>
        <v>0</v>
      </c>
      <c r="AH119">
        <f ca="1">IF($N119=AH$59,SUM(AH$60:AH118)-VLOOKUP($N119,$A$60:$B$146,2,0),0)</f>
        <v>0</v>
      </c>
      <c r="AI119">
        <f ca="1">IF($N119=AI$59,SUM(AI$60:AI118)-VLOOKUP($N119,$A$60:$B$146,2,0),0)</f>
        <v>0</v>
      </c>
      <c r="AJ119">
        <f ca="1">IF($N119=AJ$59,SUM(AJ$60:AJ118)-VLOOKUP($N119,$A$60:$B$146,2,0),0)</f>
        <v>-750</v>
      </c>
      <c r="AK119">
        <f ca="1">IF($N119=AK$59,SUM(AK$60:AK118)-VLOOKUP($N119,$A$60:$B$146,2,0),0)</f>
        <v>0</v>
      </c>
      <c r="AL119">
        <f ca="1">IF($N119=AL$59,SUM(AL$60:AL118)-VLOOKUP($N119,$A$60:$B$146,2,0),0)</f>
        <v>0</v>
      </c>
    </row>
    <row r="120" spans="1:38">
      <c r="A120">
        <v>5022</v>
      </c>
      <c r="B120" s="257">
        <f>SUMIF('Dane stany'!$J$5:$J$371,A120,'Dane stany'!$K$5:$K$371)</f>
        <v>3983</v>
      </c>
      <c r="D120">
        <f t="shared" ca="1" si="44"/>
        <v>0</v>
      </c>
      <c r="E120" s="88">
        <f t="shared" ca="1" si="34"/>
        <v>-3983</v>
      </c>
      <c r="L120" s="76">
        <v>60</v>
      </c>
      <c r="M120" s="76">
        <f ca="1">OFFSET(Receptury_z!$A$8,L120,0)</f>
        <v>7933</v>
      </c>
      <c r="N120" s="76">
        <f ca="1">OFFSET(Receptury_z!$C$8,L120,0)</f>
        <v>5698</v>
      </c>
      <c r="O120">
        <f t="shared" ca="1" si="35"/>
        <v>0</v>
      </c>
      <c r="P120">
        <f t="shared" ca="1" si="36"/>
        <v>1</v>
      </c>
      <c r="Q120">
        <f t="shared" ca="1" si="37"/>
        <v>0</v>
      </c>
      <c r="R120">
        <f t="shared" ca="1" si="38"/>
        <v>0</v>
      </c>
      <c r="S120" s="256">
        <f t="shared" ca="1" si="39"/>
        <v>0</v>
      </c>
      <c r="T120" s="282">
        <f t="shared" ca="1" si="40"/>
        <v>0</v>
      </c>
      <c r="U120">
        <f t="shared" ca="1" si="41"/>
        <v>7933</v>
      </c>
      <c r="V120">
        <f t="shared" ca="1" si="42"/>
        <v>0</v>
      </c>
      <c r="W120">
        <f t="shared" ca="1" si="43"/>
        <v>0</v>
      </c>
      <c r="X120">
        <f ca="1">IFERROR(VLOOKUP(U120,PLAN_P!$B:$D,3,0),0)</f>
        <v>0</v>
      </c>
      <c r="Y120">
        <f ca="1">IFERROR(VLOOKUP(V120,PLAN_P!$B:$D,3,0),0)</f>
        <v>0</v>
      </c>
      <c r="Z120">
        <f ca="1">IFERROR(VLOOKUP(W120,PLAN_P!$B:$D,3,0),0)</f>
        <v>0</v>
      </c>
      <c r="AC120" s="257">
        <f ca="1">SUMIF('Dane stany'!$J$5:$J$371,N120,'Dane stany'!$K$5:$K$371)</f>
        <v>0</v>
      </c>
      <c r="AE120">
        <f ca="1">IF($N120=AE$60,SUM(AE$60:AE119)-VLOOKUP(N120,$A$60:$B$146,2,0),0)</f>
        <v>0</v>
      </c>
      <c r="AF120">
        <f ca="1">IF($N120=AF$59,SUM(AF$60:AF119)-VLOOKUP($N120,$A$60:$B$146,2,0),0)</f>
        <v>0</v>
      </c>
      <c r="AG120">
        <f ca="1">IF($N120=AG$59,SUM(AG$60:AG119)-VLOOKUP($N120,$A$60:$B$146,2,0),0)</f>
        <v>0</v>
      </c>
      <c r="AH120">
        <f ca="1">IF($N120=AH$59,SUM(AH$60:AH119)-VLOOKUP($N120,$A$60:$B$146,2,0),0)</f>
        <v>0</v>
      </c>
      <c r="AI120">
        <f ca="1">IF($N120=AI$59,SUM(AI$60:AI119)-VLOOKUP($N120,$A$60:$B$146,2,0),0)</f>
        <v>0</v>
      </c>
      <c r="AJ120">
        <f ca="1">IF($N120=AJ$59,SUM(AJ$60:AJ119)-VLOOKUP($N120,$A$60:$B$146,2,0),0)</f>
        <v>0</v>
      </c>
      <c r="AK120">
        <f ca="1">IF($N120=AK$59,SUM(AK$60:AK119)-VLOOKUP($N120,$A$60:$B$146,2,0),0)</f>
        <v>0</v>
      </c>
      <c r="AL120">
        <f ca="1">IF($N120=AL$59,SUM(AL$60:AL119)-VLOOKUP($N120,$A$60:$B$146,2,0),0)</f>
        <v>0</v>
      </c>
    </row>
    <row r="121" spans="1:38">
      <c r="A121">
        <v>5781</v>
      </c>
      <c r="B121" s="257">
        <f>SUMIF('Dane stany'!$J$5:$J$371,A121,'Dane stany'!$K$5:$K$371)</f>
        <v>2226</v>
      </c>
      <c r="D121">
        <f t="shared" ca="1" si="44"/>
        <v>0</v>
      </c>
      <c r="E121" s="88">
        <f t="shared" ca="1" si="34"/>
        <v>-2226</v>
      </c>
      <c r="L121" s="76">
        <v>61</v>
      </c>
      <c r="M121" s="76">
        <f ca="1">OFFSET(Receptury_z!$A$8,L121,0)</f>
        <v>7043</v>
      </c>
      <c r="N121" s="76">
        <f ca="1">OFFSET(Receptury_z!$C$8,L121,0)</f>
        <v>5551</v>
      </c>
      <c r="O121">
        <f t="shared" ca="1" si="35"/>
        <v>0</v>
      </c>
      <c r="P121">
        <f t="shared" ca="1" si="36"/>
        <v>1</v>
      </c>
      <c r="Q121">
        <f t="shared" ca="1" si="37"/>
        <v>0</v>
      </c>
      <c r="R121">
        <f t="shared" ca="1" si="38"/>
        <v>0</v>
      </c>
      <c r="S121" s="256">
        <f t="shared" ca="1" si="39"/>
        <v>0</v>
      </c>
      <c r="T121" s="282">
        <f t="shared" ca="1" si="40"/>
        <v>0</v>
      </c>
      <c r="U121">
        <f t="shared" ca="1" si="41"/>
        <v>7043</v>
      </c>
      <c r="V121">
        <f t="shared" ca="1" si="42"/>
        <v>0</v>
      </c>
      <c r="W121">
        <f t="shared" ca="1" si="43"/>
        <v>0</v>
      </c>
      <c r="X121">
        <f ca="1">IFERROR(VLOOKUP(U121,PLAN_P!$B:$D,3,0),0)</f>
        <v>0</v>
      </c>
      <c r="Y121">
        <f ca="1">IFERROR(VLOOKUP(V121,PLAN_P!$B:$D,3,0),0)</f>
        <v>0</v>
      </c>
      <c r="Z121">
        <f ca="1">IFERROR(VLOOKUP(W121,PLAN_P!$B:$D,3,0),0)</f>
        <v>0</v>
      </c>
      <c r="AC121" s="257">
        <f ca="1">SUMIF('Dane stany'!$J$5:$J$371,N121,'Dane stany'!$K$5:$K$371)</f>
        <v>0</v>
      </c>
      <c r="AE121">
        <f ca="1">IF($N121=AE$60,SUM(AE$60:AE120)-VLOOKUP(N121,$A$60:$B$146,2,0),0)</f>
        <v>0</v>
      </c>
      <c r="AF121">
        <f ca="1">IF($N121=AF$59,SUM(AF$60:AF120)-VLOOKUP($N121,$A$60:$B$146,2,0),0)</f>
        <v>0</v>
      </c>
      <c r="AG121">
        <f ca="1">IF($N121=AG$59,SUM(AG$60:AG120)-VLOOKUP($N121,$A$60:$B$146,2,0),0)</f>
        <v>0</v>
      </c>
      <c r="AH121">
        <f ca="1">IF($N121=AH$59,SUM(AH$60:AH120)-VLOOKUP($N121,$A$60:$B$146,2,0),0)</f>
        <v>0</v>
      </c>
      <c r="AI121">
        <f ca="1">IF($N121=AI$59,SUM(AI$60:AI120)-VLOOKUP($N121,$A$60:$B$146,2,0),0)</f>
        <v>0</v>
      </c>
      <c r="AJ121">
        <f ca="1">IF($N121=AJ$59,SUM(AJ$60:AJ120)-VLOOKUP($N121,$A$60:$B$146,2,0),0)</f>
        <v>0</v>
      </c>
      <c r="AK121">
        <f ca="1">IF($N121=AK$59,SUM(AK$60:AK120)-VLOOKUP($N121,$A$60:$B$146,2,0),0)</f>
        <v>0</v>
      </c>
      <c r="AL121">
        <f ca="1">IF($N121=AL$59,SUM(AL$60:AL120)-VLOOKUP($N121,$A$60:$B$146,2,0),0)</f>
        <v>0</v>
      </c>
    </row>
    <row r="122" spans="1:38">
      <c r="A122">
        <v>5534</v>
      </c>
      <c r="B122" s="257">
        <f>SUMIF('Dane stany'!$J$5:$J$371,A122,'Dane stany'!$K$5:$K$371)</f>
        <v>0</v>
      </c>
      <c r="D122">
        <f t="shared" ca="1" si="44"/>
        <v>0</v>
      </c>
      <c r="E122" s="88">
        <f t="shared" ca="1" si="34"/>
        <v>0</v>
      </c>
      <c r="L122" s="76">
        <v>62</v>
      </c>
      <c r="M122" s="76">
        <f ca="1">OFFSET(Receptury_z!$A$8,L122,0)</f>
        <v>7053</v>
      </c>
      <c r="N122" s="76">
        <f ca="1">OFFSET(Receptury_z!$C$8,L122,0)</f>
        <v>5552</v>
      </c>
      <c r="O122">
        <f t="shared" ca="1" si="35"/>
        <v>0</v>
      </c>
      <c r="P122">
        <f t="shared" ca="1" si="36"/>
        <v>2</v>
      </c>
      <c r="Q122">
        <f t="shared" ca="1" si="37"/>
        <v>8</v>
      </c>
      <c r="R122">
        <f t="shared" ca="1" si="38"/>
        <v>2700</v>
      </c>
      <c r="S122" s="256">
        <f t="shared" ref="S122:S123" ca="1" si="45">IFERROR(O122/R122,0)</f>
        <v>0</v>
      </c>
      <c r="T122" s="282">
        <f t="shared" ca="1" si="40"/>
        <v>0</v>
      </c>
      <c r="U122">
        <f t="shared" ref="U122:U123" ca="1" si="46">MID(M122,1,4)*1</f>
        <v>7053</v>
      </c>
      <c r="V122">
        <f t="shared" ca="1" si="42"/>
        <v>0</v>
      </c>
      <c r="W122">
        <f t="shared" ca="1" si="43"/>
        <v>0</v>
      </c>
      <c r="X122">
        <f ca="1">IFERROR(VLOOKUP(U122,PLAN_P!$B:$D,3,0),0)</f>
        <v>0</v>
      </c>
      <c r="Y122">
        <f ca="1">IFERROR(VLOOKUP(V122,PLAN_P!$B:$D,3,0),0)</f>
        <v>0</v>
      </c>
      <c r="Z122">
        <f ca="1">IFERROR(VLOOKUP(W122,PLAN_P!$B:$D,3,0),0)</f>
        <v>0</v>
      </c>
      <c r="AC122" s="257">
        <f ca="1">SUMIF('Dane stany'!$J$5:$J$371,N122,'Dane stany'!$K$5:$K$371)</f>
        <v>1100.0999999999999</v>
      </c>
      <c r="AE122">
        <f ca="1">IF($N122=AE$60,SUM(AE$60:AE121)-VLOOKUP(N122,$A$60:$B$146,2,0),0)</f>
        <v>0</v>
      </c>
      <c r="AF122">
        <f ca="1">IF($N122=AF$59,SUM(AF$60:AF121)-VLOOKUP($N122,$A$60:$B$146,2,0),0)</f>
        <v>0</v>
      </c>
      <c r="AG122">
        <f ca="1">IF($N122=AG$59,SUM(AG$60:AG121)-VLOOKUP($N122,$A$60:$B$146,2,0),0)</f>
        <v>0</v>
      </c>
      <c r="AH122">
        <f ca="1">IF($N122=AH$59,SUM(AH$60:AH121)-VLOOKUP($N122,$A$60:$B$146,2,0),0)</f>
        <v>0</v>
      </c>
      <c r="AI122">
        <f ca="1">IF($N122=AI$59,SUM(AI$60:AI121)-VLOOKUP($N122,$A$60:$B$146,2,0),0)</f>
        <v>0</v>
      </c>
      <c r="AJ122">
        <f ca="1">IF($N122=AJ$59,SUM(AJ$60:AJ121)-VLOOKUP($N122,$A$60:$B$146,2,0),0)</f>
        <v>0</v>
      </c>
      <c r="AK122">
        <f ca="1">IF($N122=AK$59,SUM(AK$60:AK121)-VLOOKUP($N122,$A$60:$B$146,2,0),0)</f>
        <v>0</v>
      </c>
      <c r="AL122">
        <f ca="1">IF($N122=AL$59,SUM(AL$60:AL121)-VLOOKUP($N122,$A$60:$B$146,2,0),0)</f>
        <v>0</v>
      </c>
    </row>
    <row r="123" spans="1:38">
      <c r="A123">
        <v>5535</v>
      </c>
      <c r="B123" s="257">
        <f>SUMIF('Dane stany'!$J$5:$J$371,A123,'Dane stany'!$K$5:$K$371)</f>
        <v>0</v>
      </c>
      <c r="D123">
        <f t="shared" ca="1" si="44"/>
        <v>0</v>
      </c>
      <c r="E123" s="88">
        <f t="shared" ca="1" si="34"/>
        <v>0</v>
      </c>
      <c r="L123" s="76">
        <v>63</v>
      </c>
      <c r="M123" s="76">
        <f ca="1">OFFSET(Receptury_z!$A$8,L123,0)</f>
        <v>7055</v>
      </c>
      <c r="N123" s="76">
        <f ca="1">OFFSET(Receptury_z!$C$8,L123,0)</f>
        <v>5554</v>
      </c>
      <c r="O123">
        <f t="shared" ca="1" si="35"/>
        <v>0</v>
      </c>
      <c r="P123">
        <f t="shared" ca="1" si="36"/>
        <v>1</v>
      </c>
      <c r="Q123">
        <f t="shared" ca="1" si="37"/>
        <v>0</v>
      </c>
      <c r="R123">
        <f t="shared" ca="1" si="38"/>
        <v>0</v>
      </c>
      <c r="S123" s="256">
        <f t="shared" ca="1" si="45"/>
        <v>0</v>
      </c>
      <c r="T123" s="282">
        <f t="shared" ca="1" si="40"/>
        <v>0</v>
      </c>
      <c r="U123">
        <f t="shared" ca="1" si="46"/>
        <v>7055</v>
      </c>
      <c r="V123">
        <f t="shared" ca="1" si="42"/>
        <v>0</v>
      </c>
      <c r="W123">
        <f t="shared" ca="1" si="43"/>
        <v>0</v>
      </c>
      <c r="X123">
        <f ca="1">IFERROR(VLOOKUP(U123,PLAN_P!$B:$D,3,0),0)</f>
        <v>0</v>
      </c>
      <c r="Y123">
        <f ca="1">IFERROR(VLOOKUP(V123,PLAN_P!$B:$D,3,0),0)</f>
        <v>0</v>
      </c>
      <c r="Z123">
        <f ca="1">IFERROR(VLOOKUP(W123,PLAN_P!$B:$D,3,0),0)</f>
        <v>0</v>
      </c>
      <c r="AC123" s="257">
        <f ca="1">SUMIF('Dane stany'!$J$5:$J$371,N123,'Dane stany'!$K$5:$K$371)</f>
        <v>0</v>
      </c>
      <c r="AE123">
        <f ca="1">IF($N123=AE$60,SUM(AE$60:AE122)-VLOOKUP(N123,$A$60:$B$146,2,0),0)</f>
        <v>0</v>
      </c>
      <c r="AF123">
        <f ca="1">IF($N123=AF$59,SUM(AF$60:AF122)-VLOOKUP($N123,$A$60:$B$146,2,0),0)</f>
        <v>0</v>
      </c>
      <c r="AG123">
        <f ca="1">IF($N123=AG$59,SUM(AG$60:AG122)-VLOOKUP($N123,$A$60:$B$146,2,0),0)</f>
        <v>0</v>
      </c>
      <c r="AH123">
        <f ca="1">IF($N123=AH$59,SUM(AH$60:AH122)-VLOOKUP($N123,$A$60:$B$146,2,0),0)</f>
        <v>0</v>
      </c>
      <c r="AI123">
        <f ca="1">IF($N123=AI$59,SUM(AI$60:AI122)-VLOOKUP($N123,$A$60:$B$146,2,0),0)</f>
        <v>0</v>
      </c>
      <c r="AJ123">
        <f ca="1">IF($N123=AJ$59,SUM(AJ$60:AJ122)-VLOOKUP($N123,$A$60:$B$146,2,0),0)</f>
        <v>0</v>
      </c>
      <c r="AK123">
        <f ca="1">IF($N123=AK$59,SUM(AK$60:AK122)-VLOOKUP($N123,$A$60:$B$146,2,0),0)</f>
        <v>0</v>
      </c>
      <c r="AL123">
        <f ca="1">IF($N123=AL$59,SUM(AL$60:AL122)-VLOOKUP($N123,$A$60:$B$146,2,0),0)</f>
        <v>0</v>
      </c>
    </row>
    <row r="124" spans="1:38">
      <c r="A124">
        <v>5214</v>
      </c>
      <c r="B124" s="257">
        <f>SUMIF('Dane stany'!$J$5:$J$371,A124,'Dane stany'!$K$5:$K$371)</f>
        <v>4306.5</v>
      </c>
      <c r="D124">
        <f t="shared" ref="D124:D142" ca="1" si="47">SUMIF($N$60:$N$147,A124,$O$60:$O$147)</f>
        <v>0</v>
      </c>
      <c r="E124" s="88">
        <f t="shared" ca="1" si="34"/>
        <v>-4306.5</v>
      </c>
      <c r="L124" s="76">
        <v>64</v>
      </c>
      <c r="M124" s="76">
        <f ca="1">OFFSET(Receptury_z!$A$8,L124,0)</f>
        <v>7056</v>
      </c>
      <c r="N124" s="76">
        <f ca="1">OFFSET(Receptury_z!$C$8,L124,0)</f>
        <v>5558</v>
      </c>
      <c r="O124">
        <f t="shared" ca="1" si="35"/>
        <v>0</v>
      </c>
      <c r="P124">
        <f t="shared" ca="1" si="36"/>
        <v>1</v>
      </c>
      <c r="Q124">
        <f t="shared" ca="1" si="37"/>
        <v>0</v>
      </c>
      <c r="R124">
        <f t="shared" ca="1" si="38"/>
        <v>0</v>
      </c>
      <c r="S124" s="256">
        <f t="shared" ca="1" si="39"/>
        <v>0</v>
      </c>
      <c r="T124" s="282">
        <f t="shared" ca="1" si="40"/>
        <v>0</v>
      </c>
      <c r="U124">
        <f t="shared" ca="1" si="41"/>
        <v>7056</v>
      </c>
      <c r="V124">
        <f t="shared" ca="1" si="42"/>
        <v>0</v>
      </c>
      <c r="W124">
        <f t="shared" ca="1" si="43"/>
        <v>0</v>
      </c>
      <c r="X124">
        <f ca="1">IFERROR(VLOOKUP(U124,PLAN_P!$B:$D,3,0),0)</f>
        <v>0</v>
      </c>
      <c r="Y124">
        <f ca="1">IFERROR(VLOOKUP(V124,PLAN_P!$B:$D,3,0),0)</f>
        <v>0</v>
      </c>
      <c r="Z124">
        <f ca="1">IFERROR(VLOOKUP(W124,PLAN_P!$B:$D,3,0),0)</f>
        <v>0</v>
      </c>
      <c r="AC124" s="257">
        <f ca="1">SUMIF('Dane stany'!$J$5:$J$371,N124,'Dane stany'!$K$5:$K$371)</f>
        <v>0</v>
      </c>
      <c r="AE124">
        <f ca="1">IF($N124=AE$60,SUM(AE$60:AE123)-VLOOKUP(N124,$A$60:$B$146,2,0),0)</f>
        <v>0</v>
      </c>
      <c r="AF124">
        <f ca="1">IF($N124=AF$59,SUM(AF$60:AF123)-VLOOKUP($N124,$A$60:$B$146,2,0),0)</f>
        <v>0</v>
      </c>
      <c r="AG124">
        <f ca="1">IF($N124=AG$59,SUM(AG$60:AG123)-VLOOKUP($N124,$A$60:$B$146,2,0),0)</f>
        <v>0</v>
      </c>
      <c r="AH124">
        <f ca="1">IF($N124=AH$59,SUM(AH$60:AH123)-VLOOKUP($N124,$A$60:$B$146,2,0),0)</f>
        <v>0</v>
      </c>
      <c r="AI124">
        <f ca="1">IF($N124=AI$59,SUM(AI$60:AI123)-VLOOKUP($N124,$A$60:$B$146,2,0),0)</f>
        <v>0</v>
      </c>
      <c r="AJ124">
        <f ca="1">IF($N124=AJ$59,SUM(AJ$60:AJ123)-VLOOKUP($N124,$A$60:$B$146,2,0),0)</f>
        <v>0</v>
      </c>
      <c r="AK124">
        <f ca="1">IF($N124=AK$59,SUM(AK$60:AK123)-VLOOKUP($N124,$A$60:$B$146,2,0),0)</f>
        <v>0</v>
      </c>
      <c r="AL124">
        <f ca="1">IF($N124=AL$59,SUM(AL$60:AL123)-VLOOKUP($N124,$A$60:$B$146,2,0),0)</f>
        <v>0</v>
      </c>
    </row>
    <row r="125" spans="1:38">
      <c r="A125">
        <v>5215</v>
      </c>
      <c r="B125" s="257">
        <f>SUMIF('Dane stany'!$J$5:$J$371,A125,'Dane stany'!$K$5:$K$371)</f>
        <v>4200</v>
      </c>
      <c r="D125">
        <f t="shared" ca="1" si="47"/>
        <v>0</v>
      </c>
      <c r="E125" s="88">
        <f t="shared" ca="1" si="34"/>
        <v>-4200</v>
      </c>
      <c r="L125" s="76">
        <v>65</v>
      </c>
      <c r="M125" s="76">
        <f ca="1">OFFSET(Receptury_z!$A$8,L125,0)</f>
        <v>7059</v>
      </c>
      <c r="N125" s="76">
        <f ca="1">OFFSET(Receptury_z!$C$8,L125,0)</f>
        <v>5562</v>
      </c>
      <c r="O125">
        <f t="shared" ref="O125:O148" ca="1" si="48">SUM(X125:Z125)</f>
        <v>0</v>
      </c>
      <c r="P125">
        <f t="shared" ref="P125:P148" ca="1" si="49">COUNTIF($N$60:$N$148,N125)</f>
        <v>2</v>
      </c>
      <c r="Q125">
        <f t="shared" ref="Q125:Q148" ca="1" si="50">IFERROR(VLOOKUP(N125,$A$60:$C$143,3,0),0)</f>
        <v>10</v>
      </c>
      <c r="R125">
        <f t="shared" ref="R125:R148" ca="1" si="51">IFERROR(IF(Q125&gt;0,SUMIF($Q$60:$Q$148,Q125,$O$60:$O$148),0),0)</f>
        <v>0</v>
      </c>
      <c r="S125" s="256">
        <f t="shared" ca="1" si="39"/>
        <v>0</v>
      </c>
      <c r="T125" s="282">
        <f t="shared" ref="T125:T148" ca="1" si="52">(VLOOKUP(N125,$A$60:$E$143,5,0)*S125)/1000</f>
        <v>0</v>
      </c>
      <c r="U125">
        <f t="shared" ca="1" si="41"/>
        <v>7059</v>
      </c>
      <c r="V125">
        <f t="shared" ca="1" si="42"/>
        <v>0</v>
      </c>
      <c r="W125">
        <f t="shared" ca="1" si="43"/>
        <v>0</v>
      </c>
      <c r="X125">
        <f ca="1">IFERROR(VLOOKUP(U125,PLAN_P!$B:$D,3,0),0)</f>
        <v>0</v>
      </c>
      <c r="Y125">
        <f ca="1">IFERROR(VLOOKUP(V125,PLAN_P!$B:$D,3,0),0)</f>
        <v>0</v>
      </c>
      <c r="Z125">
        <f ca="1">IFERROR(VLOOKUP(W125,PLAN_P!$B:$D,3,0),0)</f>
        <v>0</v>
      </c>
      <c r="AC125" s="257">
        <f ca="1">SUMIF('Dane stany'!$J$5:$J$371,N125,'Dane stany'!$K$5:$K$371)</f>
        <v>0</v>
      </c>
      <c r="AE125">
        <f ca="1">IF($N125=AE$60,SUM(AE$60:AE124)-VLOOKUP(N125,$A$60:$B$146,2,0),0)</f>
        <v>0</v>
      </c>
      <c r="AF125">
        <f ca="1">IF($N125=AF$59,SUM(AF$60:AF124)-VLOOKUP($N125,$A$60:$B$146,2,0),0)</f>
        <v>0</v>
      </c>
      <c r="AG125">
        <f ca="1">IF($N125=AG$59,SUM(AG$60:AG124)-VLOOKUP($N125,$A$60:$B$146,2,0),0)</f>
        <v>0</v>
      </c>
      <c r="AH125">
        <f ca="1">IF($N125=AH$59,SUM(AH$60:AH124)-VLOOKUP($N125,$A$60:$B$146,2,0),0)</f>
        <v>0</v>
      </c>
      <c r="AI125">
        <f ca="1">IF($N125=AI$59,SUM(AI$60:AI124)-VLOOKUP($N125,$A$60:$B$146,2,0),0)</f>
        <v>0</v>
      </c>
      <c r="AJ125">
        <f ca="1">IF($N125=AJ$59,SUM(AJ$60:AJ124)-VLOOKUP($N125,$A$60:$B$146,2,0),0)</f>
        <v>0</v>
      </c>
      <c r="AK125">
        <f ca="1">IF($N125=AK$59,SUM(AK$60:AK124)-VLOOKUP($N125,$A$60:$B$146,2,0),0)</f>
        <v>0</v>
      </c>
      <c r="AL125">
        <f ca="1">IF($N125=AL$59,SUM(AL$60:AL124)-VLOOKUP($N125,$A$60:$B$146,2,0),0)</f>
        <v>0</v>
      </c>
    </row>
    <row r="126" spans="1:38">
      <c r="A126">
        <v>5010</v>
      </c>
      <c r="B126" s="257">
        <f>SUMIF('Dane stany'!$J$5:$J$371,A126,'Dane stany'!$K$5:$K$371)</f>
        <v>0</v>
      </c>
      <c r="D126">
        <f t="shared" ca="1" si="47"/>
        <v>0</v>
      </c>
      <c r="E126" s="88">
        <f t="shared" ca="1" si="34"/>
        <v>0</v>
      </c>
      <c r="L126" s="76">
        <v>66</v>
      </c>
      <c r="M126" s="76">
        <f ca="1">OFFSET(Receptury_z!$A$8,L126,0)</f>
        <v>7061</v>
      </c>
      <c r="N126" s="76">
        <f ca="1">OFFSET(Receptury_z!$C$8,L126,0)</f>
        <v>5534</v>
      </c>
      <c r="O126">
        <f t="shared" ca="1" si="48"/>
        <v>0</v>
      </c>
      <c r="P126">
        <f t="shared" ca="1" si="49"/>
        <v>1</v>
      </c>
      <c r="Q126">
        <f t="shared" ca="1" si="50"/>
        <v>0</v>
      </c>
      <c r="R126">
        <f t="shared" ca="1" si="51"/>
        <v>0</v>
      </c>
      <c r="S126" s="256">
        <f t="shared" ca="1" si="39"/>
        <v>0</v>
      </c>
      <c r="T126" s="282">
        <f t="shared" ca="1" si="52"/>
        <v>0</v>
      </c>
      <c r="U126">
        <f t="shared" ca="1" si="41"/>
        <v>7061</v>
      </c>
      <c r="V126">
        <f t="shared" ref="V126:V148" ca="1" si="53">IFERROR(MID(M126,6,4)*1,0)</f>
        <v>0</v>
      </c>
      <c r="W126">
        <f t="shared" ref="W126:W148" ca="1" si="54">IFERROR(MID(M126,11,4)*1,0)</f>
        <v>0</v>
      </c>
      <c r="X126">
        <f ca="1">IFERROR(VLOOKUP(U126,PLAN_P!$B:$D,3,0),0)</f>
        <v>0</v>
      </c>
      <c r="Y126">
        <f ca="1">IFERROR(VLOOKUP(V126,PLAN_P!$B:$D,3,0),0)</f>
        <v>0</v>
      </c>
      <c r="Z126">
        <f ca="1">IFERROR(VLOOKUP(W126,PLAN_P!$B:$D,3,0),0)</f>
        <v>0</v>
      </c>
      <c r="AC126" s="257">
        <f ca="1">SUMIF('Dane stany'!$J$5:$J$371,N126,'Dane stany'!$K$5:$K$371)</f>
        <v>0</v>
      </c>
      <c r="AE126">
        <f ca="1">IF($N126=AE$60,SUM(AE$60:AE125)-VLOOKUP(N126,$A$60:$B$146,2,0),0)</f>
        <v>0</v>
      </c>
      <c r="AF126">
        <f ca="1">IF($N126=AF$59,SUM(AF$60:AF125)-VLOOKUP($N126,$A$60:$B$146,2,0),0)</f>
        <v>0</v>
      </c>
      <c r="AG126">
        <f ca="1">IF($N126=AG$59,SUM(AG$60:AG125)-VLOOKUP($N126,$A$60:$B$146,2,0),0)</f>
        <v>0</v>
      </c>
      <c r="AH126">
        <f ca="1">IF($N126=AH$59,SUM(AH$60:AH125)-VLOOKUP($N126,$A$60:$B$146,2,0),0)</f>
        <v>0</v>
      </c>
      <c r="AI126">
        <f ca="1">IF($N126=AI$59,SUM(AI$60:AI125)-VLOOKUP($N126,$A$60:$B$146,2,0),0)</f>
        <v>0</v>
      </c>
      <c r="AJ126">
        <f ca="1">IF($N126=AJ$59,SUM(AJ$60:AJ125)-VLOOKUP($N126,$A$60:$B$146,2,0),0)</f>
        <v>0</v>
      </c>
      <c r="AK126">
        <f ca="1">IF($N126=AK$59,SUM(AK$60:AK125)-VLOOKUP($N126,$A$60:$B$146,2,0),0)</f>
        <v>0</v>
      </c>
      <c r="AL126">
        <f ca="1">IF($N126=AL$59,SUM(AL$60:AL125)-VLOOKUP($N126,$A$60:$B$146,2,0),0)</f>
        <v>0</v>
      </c>
    </row>
    <row r="127" spans="1:38">
      <c r="A127">
        <v>5226</v>
      </c>
      <c r="B127" s="257">
        <f>SUMIF('Dane stany'!$J$5:$J$371,A127,'Dane stany'!$K$5:$K$371)</f>
        <v>0</v>
      </c>
      <c r="D127">
        <f t="shared" ca="1" si="47"/>
        <v>0</v>
      </c>
      <c r="E127" s="88">
        <f t="shared" ref="E127:E132" ca="1" si="55">D127-B127</f>
        <v>0</v>
      </c>
      <c r="L127" s="76">
        <v>67</v>
      </c>
      <c r="M127" s="76">
        <f ca="1">OFFSET(Receptury_z!$A$8,L127,0)</f>
        <v>7064</v>
      </c>
      <c r="N127" s="76">
        <f ca="1">OFFSET(Receptury_z!$C$8,L127,0)</f>
        <v>5535</v>
      </c>
      <c r="O127">
        <f t="shared" ca="1" si="48"/>
        <v>0</v>
      </c>
      <c r="P127">
        <f t="shared" ca="1" si="49"/>
        <v>1</v>
      </c>
      <c r="Q127">
        <f t="shared" ca="1" si="50"/>
        <v>0</v>
      </c>
      <c r="R127">
        <f t="shared" ca="1" si="51"/>
        <v>0</v>
      </c>
      <c r="S127" s="256">
        <f t="shared" ref="S127:S129" ca="1" si="56">IFERROR(O127/R127,0)</f>
        <v>0</v>
      </c>
      <c r="T127" s="282">
        <f t="shared" ca="1" si="52"/>
        <v>0</v>
      </c>
      <c r="U127">
        <f t="shared" ref="U127:U129" ca="1" si="57">MID(M127,1,4)*1</f>
        <v>7064</v>
      </c>
      <c r="V127">
        <f t="shared" ca="1" si="53"/>
        <v>0</v>
      </c>
      <c r="W127">
        <f t="shared" ca="1" si="54"/>
        <v>0</v>
      </c>
      <c r="X127">
        <f ca="1">IFERROR(VLOOKUP(U127,PLAN_P!$B:$D,3,0),0)</f>
        <v>0</v>
      </c>
      <c r="Y127">
        <f ca="1">IFERROR(VLOOKUP(V127,PLAN_P!$B:$D,3,0),0)</f>
        <v>0</v>
      </c>
      <c r="Z127">
        <f ca="1">IFERROR(VLOOKUP(W127,PLAN_P!$B:$D,3,0),0)</f>
        <v>0</v>
      </c>
      <c r="AC127" s="257">
        <f ca="1">SUMIF('Dane stany'!$J$5:$J$371,N127,'Dane stany'!$K$5:$K$371)</f>
        <v>0</v>
      </c>
      <c r="AE127">
        <f ca="1">IF($N127=AE$60,SUM(AE$60:AE126)-VLOOKUP(N127,$A$60:$B$146,2,0),0)</f>
        <v>0</v>
      </c>
      <c r="AF127">
        <f ca="1">IF($N127=AF$59,SUM(AF$60:AF126)-VLOOKUP($N127,$A$60:$B$146,2,0),0)</f>
        <v>0</v>
      </c>
      <c r="AG127">
        <f ca="1">IF($N127=AG$59,SUM(AG$60:AG126)-VLOOKUP($N127,$A$60:$B$146,2,0),0)</f>
        <v>0</v>
      </c>
      <c r="AH127">
        <f ca="1">IF($N127=AH$59,SUM(AH$60:AH126)-VLOOKUP($N127,$A$60:$B$146,2,0),0)</f>
        <v>0</v>
      </c>
      <c r="AI127">
        <f ca="1">IF($N127=AI$59,SUM(AI$60:AI126)-VLOOKUP($N127,$A$60:$B$146,2,0),0)</f>
        <v>0</v>
      </c>
      <c r="AJ127">
        <f ca="1">IF($N127=AJ$59,SUM(AJ$60:AJ126)-VLOOKUP($N127,$A$60:$B$146,2,0),0)</f>
        <v>0</v>
      </c>
      <c r="AK127">
        <f ca="1">IF($N127=AK$59,SUM(AK$60:AK126)-VLOOKUP($N127,$A$60:$B$146,2,0),0)</f>
        <v>0</v>
      </c>
      <c r="AL127">
        <f ca="1">IF($N127=AL$59,SUM(AL$60:AL126)-VLOOKUP($N127,$A$60:$B$146,2,0),0)</f>
        <v>0</v>
      </c>
    </row>
    <row r="128" spans="1:38">
      <c r="A128">
        <v>5025</v>
      </c>
      <c r="B128" s="257">
        <f>SUMIF('Dane stany'!$J$5:$J$371,A128,'Dane stany'!$K$5:$K$371)</f>
        <v>0</v>
      </c>
      <c r="D128">
        <f t="shared" ca="1" si="47"/>
        <v>0</v>
      </c>
      <c r="E128" s="88">
        <f t="shared" ca="1" si="55"/>
        <v>0</v>
      </c>
      <c r="L128" s="76">
        <v>68</v>
      </c>
      <c r="M128" s="76">
        <f ca="1">OFFSET(Receptury_z!$A$8,L128,0)</f>
        <v>7065</v>
      </c>
      <c r="N128" s="76">
        <f ca="1">OFFSET(Receptury_z!$C$8,L128,0)</f>
        <v>5562</v>
      </c>
      <c r="O128">
        <f t="shared" ca="1" si="48"/>
        <v>0</v>
      </c>
      <c r="P128">
        <f t="shared" ca="1" si="49"/>
        <v>2</v>
      </c>
      <c r="Q128">
        <f t="shared" ca="1" si="50"/>
        <v>10</v>
      </c>
      <c r="R128">
        <f t="shared" ca="1" si="51"/>
        <v>0</v>
      </c>
      <c r="S128" s="256">
        <f t="shared" ca="1" si="56"/>
        <v>0</v>
      </c>
      <c r="T128" s="282">
        <f t="shared" ca="1" si="52"/>
        <v>0</v>
      </c>
      <c r="U128">
        <f t="shared" ca="1" si="57"/>
        <v>7065</v>
      </c>
      <c r="V128">
        <f t="shared" ca="1" si="53"/>
        <v>0</v>
      </c>
      <c r="W128">
        <f t="shared" ca="1" si="54"/>
        <v>0</v>
      </c>
      <c r="X128">
        <f ca="1">IFERROR(VLOOKUP(U128,PLAN_P!$B:$D,3,0),0)</f>
        <v>0</v>
      </c>
      <c r="Y128">
        <f ca="1">IFERROR(VLOOKUP(V128,PLAN_P!$B:$D,3,0),0)</f>
        <v>0</v>
      </c>
      <c r="Z128">
        <f ca="1">IFERROR(VLOOKUP(W128,PLAN_P!$B:$D,3,0),0)</f>
        <v>0</v>
      </c>
      <c r="AC128" s="257">
        <f ca="1">SUMIF('Dane stany'!$J$5:$J$371,N128,'Dane stany'!$K$5:$K$371)</f>
        <v>0</v>
      </c>
      <c r="AE128">
        <f ca="1">IF($N128=AE$60,SUM(AE$60:AE127)-VLOOKUP(N128,$A$60:$B$146,2,0),0)</f>
        <v>0</v>
      </c>
      <c r="AF128">
        <f ca="1">IF($N128=AF$59,SUM(AF$60:AF127)-VLOOKUP($N128,$A$60:$B$146,2,0),0)</f>
        <v>0</v>
      </c>
      <c r="AG128">
        <f ca="1">IF($N128=AG$59,SUM(AG$60:AG127)-VLOOKUP($N128,$A$60:$B$146,2,0),0)</f>
        <v>0</v>
      </c>
      <c r="AH128">
        <f ca="1">IF($N128=AH$59,SUM(AH$60:AH127)-VLOOKUP($N128,$A$60:$B$146,2,0),0)</f>
        <v>0</v>
      </c>
      <c r="AI128">
        <f ca="1">IF($N128=AI$59,SUM(AI$60:AI127)-VLOOKUP($N128,$A$60:$B$146,2,0),0)</f>
        <v>0</v>
      </c>
      <c r="AJ128">
        <f ca="1">IF($N128=AJ$59,SUM(AJ$60:AJ127)-VLOOKUP($N128,$A$60:$B$146,2,0),0)</f>
        <v>0</v>
      </c>
      <c r="AK128">
        <f ca="1">IF($N128=AK$59,SUM(AK$60:AK127)-VLOOKUP($N128,$A$60:$B$146,2,0),0)</f>
        <v>0</v>
      </c>
      <c r="AL128">
        <f ca="1">IF($N128=AL$59,SUM(AL$60:AL127)-VLOOKUP($N128,$A$60:$B$146,2,0),0)</f>
        <v>0</v>
      </c>
    </row>
    <row r="129" spans="1:38">
      <c r="A129">
        <v>52264</v>
      </c>
      <c r="B129" s="257">
        <f>SUMIF('Dane stany'!$J$5:$J$371,A129,'Dane stany'!$K$5:$K$371)</f>
        <v>0</v>
      </c>
      <c r="D129">
        <f t="shared" ca="1" si="47"/>
        <v>0</v>
      </c>
      <c r="E129" s="88">
        <f t="shared" ca="1" si="55"/>
        <v>0</v>
      </c>
      <c r="L129" s="76">
        <v>69</v>
      </c>
      <c r="M129" s="76">
        <f ca="1">OFFSET(Receptury_z!$A$8,L129,0)</f>
        <v>7077</v>
      </c>
      <c r="N129" s="76">
        <f ca="1">OFFSET(Receptury_z!$C$8,L129,0)</f>
        <v>5523</v>
      </c>
      <c r="O129">
        <f t="shared" ca="1" si="48"/>
        <v>0</v>
      </c>
      <c r="P129">
        <f t="shared" ca="1" si="49"/>
        <v>2</v>
      </c>
      <c r="Q129">
        <f t="shared" ca="1" si="50"/>
        <v>6</v>
      </c>
      <c r="R129">
        <f t="shared" ca="1" si="51"/>
        <v>13200</v>
      </c>
      <c r="S129" s="256">
        <f t="shared" ca="1" si="56"/>
        <v>0</v>
      </c>
      <c r="T129" s="282">
        <f t="shared" ca="1" si="52"/>
        <v>0</v>
      </c>
      <c r="U129">
        <f t="shared" ca="1" si="57"/>
        <v>7077</v>
      </c>
      <c r="V129">
        <f t="shared" ca="1" si="53"/>
        <v>0</v>
      </c>
      <c r="W129">
        <f t="shared" ca="1" si="54"/>
        <v>0</v>
      </c>
      <c r="X129">
        <f ca="1">IFERROR(VLOOKUP(U129,PLAN_P!$B:$D,3,0),0)</f>
        <v>0</v>
      </c>
      <c r="Y129">
        <f ca="1">IFERROR(VLOOKUP(V129,PLAN_P!$B:$D,3,0),0)</f>
        <v>0</v>
      </c>
      <c r="Z129">
        <f ca="1">IFERROR(VLOOKUP(W129,PLAN_P!$B:$D,3,0),0)</f>
        <v>0</v>
      </c>
      <c r="AC129" s="257">
        <f ca="1">SUMIF('Dane stany'!$J$5:$J$371,N129,'Dane stany'!$K$5:$K$371)</f>
        <v>750</v>
      </c>
      <c r="AE129">
        <f ca="1">IF($N129=AE$60,SUM(AE$60:AE128)-VLOOKUP(N129,$A$60:$B$146,2,0),0)</f>
        <v>0</v>
      </c>
      <c r="AF129">
        <f ca="1">IF($N129=AF$59,SUM(AF$60:AF128)-VLOOKUP($N129,$A$60:$B$146,2,0),0)</f>
        <v>0</v>
      </c>
      <c r="AG129">
        <f ca="1">IF($N129=AG$59,SUM(AG$60:AG128)-VLOOKUP($N129,$A$60:$B$146,2,0),0)</f>
        <v>0</v>
      </c>
      <c r="AH129">
        <f ca="1">IF($N129=AH$59,SUM(AH$60:AH128)-VLOOKUP($N129,$A$60:$B$146,2,0),0)</f>
        <v>0</v>
      </c>
      <c r="AI129">
        <f ca="1">IF($N129=AI$59,SUM(AI$60:AI128)-VLOOKUP($N129,$A$60:$B$146,2,0),0)</f>
        <v>0</v>
      </c>
      <c r="AJ129">
        <f ca="1">IF($N129=AJ$59,SUM(AJ$60:AJ128)-VLOOKUP($N129,$A$60:$B$146,2,0),0)</f>
        <v>-1500</v>
      </c>
      <c r="AK129">
        <f ca="1">IF($N129=AK$59,SUM(AK$60:AK128)-VLOOKUP($N129,$A$60:$B$146,2,0),0)</f>
        <v>0</v>
      </c>
      <c r="AL129">
        <f ca="1">IF($N129=AL$59,SUM(AL$60:AL128)-VLOOKUP($N129,$A$60:$B$146,2,0),0)</f>
        <v>0</v>
      </c>
    </row>
    <row r="130" spans="1:38">
      <c r="A130">
        <v>5592</v>
      </c>
      <c r="B130" s="257">
        <f>SUMIF('Dane stany'!$J$5:$J$371,A130,'Dane stany'!$K$5:$K$371)</f>
        <v>2540</v>
      </c>
      <c r="D130">
        <f t="shared" ca="1" si="47"/>
        <v>0</v>
      </c>
      <c r="E130" s="88">
        <f t="shared" ca="1" si="55"/>
        <v>-2540</v>
      </c>
      <c r="L130" s="76">
        <v>70</v>
      </c>
      <c r="M130" s="76">
        <f ca="1">OFFSET(Receptury_z!$A$8,L130,0)</f>
        <v>7078</v>
      </c>
      <c r="N130" s="76">
        <f ca="1">OFFSET(Receptury_z!$C$8,L130,0)</f>
        <v>5552</v>
      </c>
      <c r="O130">
        <f t="shared" ca="1" si="48"/>
        <v>2700</v>
      </c>
      <c r="P130">
        <f t="shared" ca="1" si="49"/>
        <v>2</v>
      </c>
      <c r="Q130">
        <f t="shared" ca="1" si="50"/>
        <v>8</v>
      </c>
      <c r="R130">
        <f t="shared" ca="1" si="51"/>
        <v>2700</v>
      </c>
      <c r="S130" s="256">
        <f t="shared" ref="S130:S137" ca="1" si="58">IFERROR(O130/R130,0)</f>
        <v>1</v>
      </c>
      <c r="T130" s="282">
        <f t="shared" ca="1" si="52"/>
        <v>1.5999000000000001</v>
      </c>
      <c r="U130">
        <f t="shared" ref="U130:U137" ca="1" si="59">MID(M130,1,4)*1</f>
        <v>7078</v>
      </c>
      <c r="V130">
        <f t="shared" ca="1" si="53"/>
        <v>0</v>
      </c>
      <c r="W130">
        <f t="shared" ca="1" si="54"/>
        <v>0</v>
      </c>
      <c r="X130">
        <f ca="1">IFERROR(VLOOKUP(U130,PLAN_P!$B:$D,3,0),0)</f>
        <v>2700</v>
      </c>
      <c r="Y130">
        <f ca="1">IFERROR(VLOOKUP(V130,PLAN_P!$B:$D,3,0),0)</f>
        <v>0</v>
      </c>
      <c r="Z130">
        <f ca="1">IFERROR(VLOOKUP(W130,PLAN_P!$B:$D,3,0),0)</f>
        <v>0</v>
      </c>
      <c r="AC130" s="257">
        <f ca="1">SUMIF('Dane stany'!$J$5:$J$371,N130,'Dane stany'!$K$5:$K$371)</f>
        <v>1100.0999999999999</v>
      </c>
      <c r="AE130">
        <f ca="1">IF($N130=AE$60,SUM(AE$60:AE129)-VLOOKUP(N130,$A$60:$B$146,2,0),0)</f>
        <v>0</v>
      </c>
      <c r="AF130">
        <f ca="1">IF($N130=AF$59,SUM(AF$60:AF129)-VLOOKUP($N130,$A$60:$B$146,2,0),0)</f>
        <v>0</v>
      </c>
      <c r="AG130">
        <f ca="1">IF($N130=AG$59,SUM(AG$60:AG129)-VLOOKUP($N130,$A$60:$B$146,2,0),0)</f>
        <v>0</v>
      </c>
      <c r="AH130">
        <f ca="1">IF($N130=AH$59,SUM(AH$60:AH129)-VLOOKUP($N130,$A$60:$B$146,2,0),0)</f>
        <v>0</v>
      </c>
      <c r="AI130">
        <f ca="1">IF($N130=AI$59,SUM(AI$60:AI129)-VLOOKUP($N130,$A$60:$B$146,2,0),0)</f>
        <v>0</v>
      </c>
      <c r="AJ130">
        <f ca="1">IF($N130=AJ$59,SUM(AJ$60:AJ129)-VLOOKUP($N130,$A$60:$B$146,2,0),0)</f>
        <v>0</v>
      </c>
      <c r="AK130">
        <f ca="1">IF($N130=AK$59,SUM(AK$60:AK129)-VLOOKUP($N130,$A$60:$B$146,2,0),0)</f>
        <v>0</v>
      </c>
      <c r="AL130">
        <f ca="1">IF($N130=AL$59,SUM(AL$60:AL129)-VLOOKUP($N130,$A$60:$B$146,2,0),0)</f>
        <v>0</v>
      </c>
    </row>
    <row r="131" spans="1:38">
      <c r="A131">
        <v>5593</v>
      </c>
      <c r="B131" s="257">
        <f>SUMIF('Dane stany'!$J$5:$J$371,A131,'Dane stany'!$K$5:$K$371)</f>
        <v>0</v>
      </c>
      <c r="D131">
        <f t="shared" ca="1" si="47"/>
        <v>0</v>
      </c>
      <c r="E131" s="88">
        <f t="shared" ca="1" si="55"/>
        <v>0</v>
      </c>
      <c r="L131" s="76">
        <v>71</v>
      </c>
      <c r="M131" s="76" t="s">
        <v>17990</v>
      </c>
      <c r="N131" s="76">
        <f ca="1">OFFSET(Receptury_z!$C$8,L131,0)</f>
        <v>5692</v>
      </c>
      <c r="O131">
        <f t="shared" si="48"/>
        <v>3600</v>
      </c>
      <c r="P131">
        <f t="shared" ca="1" si="49"/>
        <v>1</v>
      </c>
      <c r="Q131">
        <f t="shared" ca="1" si="50"/>
        <v>0</v>
      </c>
      <c r="R131">
        <f t="shared" ca="1" si="51"/>
        <v>0</v>
      </c>
      <c r="S131" s="256">
        <f t="shared" ca="1" si="58"/>
        <v>0</v>
      </c>
      <c r="T131" s="282">
        <f t="shared" ca="1" si="52"/>
        <v>0</v>
      </c>
      <c r="U131">
        <f t="shared" si="59"/>
        <v>7910</v>
      </c>
      <c r="V131">
        <f t="shared" si="53"/>
        <v>7911</v>
      </c>
      <c r="W131">
        <f t="shared" si="54"/>
        <v>0</v>
      </c>
      <c r="X131">
        <f>IFERROR(VLOOKUP(U131,PLAN_P!$B:$D,3,0),0)</f>
        <v>3600</v>
      </c>
      <c r="Y131">
        <f>IFERROR(VLOOKUP(V131,PLAN_P!$B:$D,3,0),0)</f>
        <v>0</v>
      </c>
      <c r="Z131">
        <f>IFERROR(VLOOKUP(W131,PLAN_P!$B:$D,3,0),0)</f>
        <v>0</v>
      </c>
      <c r="AC131" s="257">
        <f ca="1">SUMIF('Dane stany'!$J$5:$J$371,N131,'Dane stany'!$K$5:$K$371)</f>
        <v>3408</v>
      </c>
      <c r="AE131">
        <f ca="1">IF($N131=AE$60,SUM(AE$60:AE130)-VLOOKUP(N131,$A$60:$B$146,2,0),0)</f>
        <v>0</v>
      </c>
      <c r="AF131">
        <f ca="1">IF($N131=AF$59,SUM(AF$60:AF130)-VLOOKUP($N131,$A$60:$B$146,2,0),0)</f>
        <v>0</v>
      </c>
      <c r="AG131">
        <f ca="1">IF($N131=AG$59,SUM(AG$60:AG130)-VLOOKUP($N131,$A$60:$B$146,2,0),0)</f>
        <v>0</v>
      </c>
      <c r="AH131">
        <f ca="1">IF($N131=AH$59,SUM(AH$60:AH130)-VLOOKUP($N131,$A$60:$B$146,2,0),0)</f>
        <v>0</v>
      </c>
      <c r="AI131">
        <f ca="1">IF($N131=AI$59,SUM(AI$60:AI130)-VLOOKUP($N131,$A$60:$B$146,2,0),0)</f>
        <v>0</v>
      </c>
      <c r="AJ131">
        <f ca="1">IF($N131=AJ$59,SUM(AJ$60:AJ130)-VLOOKUP($N131,$A$60:$B$146,2,0),0)</f>
        <v>0</v>
      </c>
      <c r="AK131">
        <f ca="1">IF($N131=AK$59,SUM(AK$60:AK130)-VLOOKUP($N131,$A$60:$B$146,2,0),0)</f>
        <v>0</v>
      </c>
      <c r="AL131">
        <f ca="1">IF($N131=AL$59,SUM(AL$60:AL130)-VLOOKUP($N131,$A$60:$B$146,2,0),0)</f>
        <v>0</v>
      </c>
    </row>
    <row r="132" spans="1:38">
      <c r="A132">
        <v>5594</v>
      </c>
      <c r="B132" s="257">
        <f>SUMIF('Dane stany'!$J$5:$J$371,A132,'Dane stany'!$K$5:$K$371)</f>
        <v>0</v>
      </c>
      <c r="D132">
        <f t="shared" ca="1" si="47"/>
        <v>40000</v>
      </c>
      <c r="E132" s="88">
        <f t="shared" ca="1" si="55"/>
        <v>40000</v>
      </c>
      <c r="L132" s="76">
        <v>72</v>
      </c>
      <c r="M132" s="76">
        <f ca="1">OFFSET(Receptury_z!$A$8,L132,0)</f>
        <v>7920</v>
      </c>
      <c r="N132" s="76">
        <f ca="1">OFFSET(Receptury_z!$C$8,L132,0)</f>
        <v>5691</v>
      </c>
      <c r="O132">
        <f t="shared" ca="1" si="48"/>
        <v>1800</v>
      </c>
      <c r="P132">
        <f t="shared" ca="1" si="49"/>
        <v>1</v>
      </c>
      <c r="Q132">
        <f t="shared" ca="1" si="50"/>
        <v>12</v>
      </c>
      <c r="R132">
        <f t="shared" ca="1" si="51"/>
        <v>1800</v>
      </c>
      <c r="S132" s="256">
        <f t="shared" ca="1" si="58"/>
        <v>1</v>
      </c>
      <c r="T132" s="282">
        <f t="shared" ca="1" si="52"/>
        <v>1.8</v>
      </c>
      <c r="U132">
        <f t="shared" ca="1" si="59"/>
        <v>7920</v>
      </c>
      <c r="V132">
        <f t="shared" ca="1" si="53"/>
        <v>0</v>
      </c>
      <c r="W132">
        <f t="shared" ca="1" si="54"/>
        <v>0</v>
      </c>
      <c r="X132">
        <f ca="1">IFERROR(VLOOKUP(U132,PLAN_P!$B:$D,3,0),0)</f>
        <v>1800</v>
      </c>
      <c r="Y132">
        <f ca="1">IFERROR(VLOOKUP(V132,PLAN_P!$B:$D,3,0),0)</f>
        <v>0</v>
      </c>
      <c r="Z132">
        <f ca="1">IFERROR(VLOOKUP(W132,PLAN_P!$B:$D,3,0),0)</f>
        <v>0</v>
      </c>
      <c r="AC132" s="257">
        <f ca="1">SUMIF('Dane stany'!$J$5:$J$371,N132,'Dane stany'!$K$5:$K$371)</f>
        <v>0</v>
      </c>
      <c r="AE132">
        <f ca="1">IF($N132=AE$60,SUM(AE$60:AE131)-VLOOKUP(N132,$A$60:$B$146,2,0),0)</f>
        <v>0</v>
      </c>
      <c r="AF132">
        <f ca="1">IF($N132=AF$59,SUM(AF$60:AF131)-VLOOKUP($N132,$A$60:$B$146,2,0),0)</f>
        <v>0</v>
      </c>
      <c r="AG132">
        <f ca="1">IF($N132=AG$59,SUM(AG$60:AG131)-VLOOKUP($N132,$A$60:$B$146,2,0),0)</f>
        <v>0</v>
      </c>
      <c r="AH132">
        <f ca="1">IF($N132=AH$59,SUM(AH$60:AH131)-VLOOKUP($N132,$A$60:$B$146,2,0),0)</f>
        <v>0</v>
      </c>
      <c r="AI132">
        <f ca="1">IF($N132=AI$59,SUM(AI$60:AI131)-VLOOKUP($N132,$A$60:$B$146,2,0),0)</f>
        <v>0</v>
      </c>
      <c r="AJ132">
        <f ca="1">IF($N132=AJ$59,SUM(AJ$60:AJ131)-VLOOKUP($N132,$A$60:$B$146,2,0),0)</f>
        <v>0</v>
      </c>
      <c r="AK132">
        <f ca="1">IF($N132=AK$59,SUM(AK$60:AK131)-VLOOKUP($N132,$A$60:$B$146,2,0),0)</f>
        <v>0</v>
      </c>
      <c r="AL132">
        <f ca="1">IF($N132=AL$59,SUM(AL$60:AL131)-VLOOKUP($N132,$A$60:$B$146,2,0),0)</f>
        <v>0</v>
      </c>
    </row>
    <row r="133" spans="1:38">
      <c r="A133">
        <v>5595</v>
      </c>
      <c r="B133" s="257">
        <f>SUMIF('Dane stany'!$J$5:$J$371,A133,'Dane stany'!$K$5:$K$371)</f>
        <v>1500</v>
      </c>
      <c r="D133">
        <f t="shared" ca="1" si="47"/>
        <v>0</v>
      </c>
      <c r="E133" s="88">
        <f t="shared" ref="E133" ca="1" si="60">D133-B133</f>
        <v>-1500</v>
      </c>
      <c r="L133" s="76">
        <v>73</v>
      </c>
      <c r="M133" s="76" t="s">
        <v>17989</v>
      </c>
      <c r="N133" s="76">
        <f ca="1">OFFSET(Receptury_z!$C$8,L133,0)</f>
        <v>5693</v>
      </c>
      <c r="O133">
        <f t="shared" si="48"/>
        <v>6200</v>
      </c>
      <c r="P133">
        <f t="shared" ca="1" si="49"/>
        <v>1</v>
      </c>
      <c r="Q133">
        <f t="shared" ca="1" si="50"/>
        <v>0</v>
      </c>
      <c r="R133">
        <f t="shared" ca="1" si="51"/>
        <v>0</v>
      </c>
      <c r="S133" s="256">
        <f t="shared" ca="1" si="58"/>
        <v>0</v>
      </c>
      <c r="T133" s="282">
        <f t="shared" ca="1" si="52"/>
        <v>0</v>
      </c>
      <c r="U133">
        <f t="shared" si="59"/>
        <v>7930</v>
      </c>
      <c r="V133">
        <f t="shared" si="53"/>
        <v>7932</v>
      </c>
      <c r="W133">
        <f t="shared" si="54"/>
        <v>0</v>
      </c>
      <c r="X133">
        <f>IFERROR(VLOOKUP(U133,PLAN_P!$B:$D,3,0),0)</f>
        <v>1800</v>
      </c>
      <c r="Y133">
        <f>IFERROR(VLOOKUP(V133,PLAN_P!$B:$D,3,0),0)</f>
        <v>4400</v>
      </c>
      <c r="Z133">
        <f>IFERROR(VLOOKUP(W133,PLAN_P!$B:$D,3,0),0)</f>
        <v>0</v>
      </c>
      <c r="AC133" s="257">
        <f ca="1">SUMIF('Dane stany'!$J$5:$J$371,N133,'Dane stany'!$K$5:$K$371)</f>
        <v>0</v>
      </c>
      <c r="AE133">
        <f ca="1">IF($N133=AE$60,SUM(AE$60:AE132)-VLOOKUP(N133,$A$60:$B$146,2,0),0)</f>
        <v>0</v>
      </c>
      <c r="AF133">
        <f ca="1">IF($N133=AF$59,SUM(AF$60:AF132)-VLOOKUP($N133,$A$60:$B$146,2,0),0)</f>
        <v>0</v>
      </c>
      <c r="AG133">
        <f ca="1">IF($N133=AG$59,SUM(AG$60:AG132)-VLOOKUP($N133,$A$60:$B$146,2,0),0)</f>
        <v>0</v>
      </c>
      <c r="AH133">
        <f ca="1">IF($N133=AH$59,SUM(AH$60:AH132)-VLOOKUP($N133,$A$60:$B$146,2,0),0)</f>
        <v>0</v>
      </c>
      <c r="AI133">
        <f ca="1">IF($N133=AI$59,SUM(AI$60:AI132)-VLOOKUP($N133,$A$60:$B$146,2,0),0)</f>
        <v>0</v>
      </c>
      <c r="AJ133">
        <f ca="1">IF($N133=AJ$59,SUM(AJ$60:AJ132)-VLOOKUP($N133,$A$60:$B$146,2,0),0)</f>
        <v>0</v>
      </c>
      <c r="AK133">
        <f ca="1">IF($N133=AK$59,SUM(AK$60:AK132)-VLOOKUP($N133,$A$60:$B$146,2,0),0)</f>
        <v>0</v>
      </c>
      <c r="AL133">
        <f ca="1">IF($N133=AL$59,SUM(AL$60:AL132)-VLOOKUP($N133,$A$60:$B$146,2,0),0)</f>
        <v>0</v>
      </c>
    </row>
    <row r="134" spans="1:38">
      <c r="A134">
        <v>5600</v>
      </c>
      <c r="B134" s="257">
        <f>SUMIF('Dane stany'!$J$5:$J$371,A134,'Dane stany'!$K$5:$K$371)</f>
        <v>0</v>
      </c>
      <c r="D134">
        <f t="shared" ca="1" si="47"/>
        <v>80000</v>
      </c>
      <c r="E134" s="88">
        <f t="shared" ref="E134" ca="1" si="61">D134-B134</f>
        <v>80000</v>
      </c>
      <c r="L134" s="76">
        <v>74</v>
      </c>
      <c r="M134" s="76">
        <f ca="1">OFFSET(Receptury_z!$A$8,L134,0)</f>
        <v>7081</v>
      </c>
      <c r="N134" s="76">
        <f ca="1">OFFSET(Receptury_z!$C$8,L134,0)</f>
        <v>5695</v>
      </c>
      <c r="O134">
        <f t="shared" ca="1" si="48"/>
        <v>0</v>
      </c>
      <c r="P134">
        <f t="shared" ca="1" si="49"/>
        <v>1</v>
      </c>
      <c r="Q134">
        <f t="shared" ca="1" si="50"/>
        <v>0</v>
      </c>
      <c r="R134">
        <f t="shared" ca="1" si="51"/>
        <v>0</v>
      </c>
      <c r="S134" s="256">
        <f t="shared" ca="1" si="58"/>
        <v>0</v>
      </c>
      <c r="T134" s="282">
        <f t="shared" ca="1" si="52"/>
        <v>0</v>
      </c>
      <c r="U134">
        <f t="shared" ca="1" si="59"/>
        <v>7081</v>
      </c>
      <c r="V134">
        <f t="shared" ca="1" si="53"/>
        <v>0</v>
      </c>
      <c r="W134">
        <f t="shared" ca="1" si="54"/>
        <v>0</v>
      </c>
      <c r="X134">
        <f ca="1">IFERROR(VLOOKUP(U134,PLAN_P!$B:$D,3,0),0)</f>
        <v>0</v>
      </c>
      <c r="Y134">
        <f ca="1">IFERROR(VLOOKUP(V134,PLAN_P!$B:$D,3,0),0)</f>
        <v>0</v>
      </c>
      <c r="Z134">
        <f ca="1">IFERROR(VLOOKUP(W134,PLAN_P!$B:$D,3,0),0)</f>
        <v>0</v>
      </c>
      <c r="AC134" s="257">
        <f ca="1">SUMIF('Dane stany'!$J$5:$J$371,N134,'Dane stany'!$K$5:$K$371)</f>
        <v>0</v>
      </c>
      <c r="AE134">
        <f ca="1">IF($N134=AE$60,SUM(AE$60:AE133)-VLOOKUP(N134,$A$60:$B$146,2,0),0)</f>
        <v>0</v>
      </c>
      <c r="AF134">
        <f ca="1">IF($N134=AF$59,SUM(AF$60:AF133)-VLOOKUP($N134,$A$60:$B$146,2,0),0)</f>
        <v>0</v>
      </c>
      <c r="AG134">
        <f ca="1">IF($N134=AG$59,SUM(AG$60:AG133)-VLOOKUP($N134,$A$60:$B$146,2,0),0)</f>
        <v>0</v>
      </c>
      <c r="AH134">
        <f ca="1">IF($N134=AH$59,SUM(AH$60:AH133)-VLOOKUP($N134,$A$60:$B$146,2,0),0)</f>
        <v>0</v>
      </c>
      <c r="AI134">
        <f ca="1">IF($N134=AI$59,SUM(AI$60:AI133)-VLOOKUP($N134,$A$60:$B$146,2,0),0)</f>
        <v>0</v>
      </c>
      <c r="AJ134">
        <f ca="1">IF($N134=AJ$59,SUM(AJ$60:AJ133)-VLOOKUP($N134,$A$60:$B$146,2,0),0)</f>
        <v>0</v>
      </c>
      <c r="AK134">
        <f ca="1">IF($N134=AK$59,SUM(AK$60:AK133)-VLOOKUP($N134,$A$60:$B$146,2,0),0)</f>
        <v>0</v>
      </c>
      <c r="AL134">
        <f ca="1">IF($N134=AL$59,SUM(AL$60:AL133)-VLOOKUP($N134,$A$60:$B$146,2,0),0)</f>
        <v>0</v>
      </c>
    </row>
    <row r="135" spans="1:38">
      <c r="A135">
        <v>5694</v>
      </c>
      <c r="B135" s="257">
        <f>SUMIF('Dane stany'!$J$5:$J$371,A135,'Dane stany'!$K$5:$K$371)</f>
        <v>0</v>
      </c>
      <c r="D135">
        <f t="shared" ca="1" si="47"/>
        <v>0</v>
      </c>
      <c r="E135" s="88">
        <f t="shared" ref="E135:E136" ca="1" si="62">D135-B135</f>
        <v>0</v>
      </c>
      <c r="L135" s="76">
        <v>75</v>
      </c>
      <c r="M135" s="76">
        <f ca="1">OFFSET(Receptury_z!$A$8,L135,0)</f>
        <v>6499</v>
      </c>
      <c r="N135" s="76">
        <f ca="1">OFFSET(Receptury_z!$C$8,L135,0)</f>
        <v>5528</v>
      </c>
      <c r="O135">
        <f t="shared" ca="1" si="48"/>
        <v>0</v>
      </c>
      <c r="P135">
        <f t="shared" ca="1" si="49"/>
        <v>1</v>
      </c>
      <c r="Q135">
        <f t="shared" ca="1" si="50"/>
        <v>0</v>
      </c>
      <c r="R135">
        <f t="shared" ca="1" si="51"/>
        <v>0</v>
      </c>
      <c r="S135" s="256">
        <f t="shared" ca="1" si="58"/>
        <v>0</v>
      </c>
      <c r="T135" s="282">
        <f t="shared" ca="1" si="52"/>
        <v>0</v>
      </c>
      <c r="U135">
        <f t="shared" ca="1" si="59"/>
        <v>6499</v>
      </c>
      <c r="V135">
        <f t="shared" ca="1" si="53"/>
        <v>0</v>
      </c>
      <c r="W135">
        <f t="shared" ca="1" si="54"/>
        <v>0</v>
      </c>
      <c r="X135">
        <f ca="1">IFERROR(VLOOKUP(U135,PLAN_P!$B:$D,3,0),0)</f>
        <v>0</v>
      </c>
      <c r="Y135">
        <f ca="1">IFERROR(VLOOKUP(V135,PLAN_P!$B:$D,3,0),0)</f>
        <v>0</v>
      </c>
      <c r="Z135">
        <f ca="1">IFERROR(VLOOKUP(W135,PLAN_P!$B:$D,3,0),0)</f>
        <v>0</v>
      </c>
      <c r="AC135" s="257">
        <f ca="1">SUMIF('Dane stany'!$J$5:$J$371,N135,'Dane stany'!$K$5:$K$371)</f>
        <v>0</v>
      </c>
      <c r="AE135">
        <f ca="1">IF($N135=AE$60,SUM(AE$60:AE134)-VLOOKUP(N135,$A$60:$B$146,2,0),0)</f>
        <v>0</v>
      </c>
      <c r="AF135">
        <f ca="1">IF($N135=AF$59,SUM(AF$60:AF134)-VLOOKUP($N135,$A$60:$B$146,2,0),0)</f>
        <v>0</v>
      </c>
      <c r="AG135">
        <f ca="1">IF($N135=AG$59,SUM(AG$60:AG134)-VLOOKUP($N135,$A$60:$B$146,2,0),0)</f>
        <v>0</v>
      </c>
      <c r="AH135">
        <f ca="1">IF($N135=AH$59,SUM(AH$60:AH134)-VLOOKUP($N135,$A$60:$B$146,2,0),0)</f>
        <v>0</v>
      </c>
      <c r="AI135">
        <f ca="1">IF($N135=AI$59,SUM(AI$60:AI134)-VLOOKUP($N135,$A$60:$B$146,2,0),0)</f>
        <v>0</v>
      </c>
      <c r="AJ135">
        <f ca="1">IF($N135=AJ$59,SUM(AJ$60:AJ134)-VLOOKUP($N135,$A$60:$B$146,2,0),0)</f>
        <v>0</v>
      </c>
      <c r="AK135">
        <f ca="1">IF($N135=AK$59,SUM(AK$60:AK134)-VLOOKUP($N135,$A$60:$B$146,2,0),0)</f>
        <v>0</v>
      </c>
      <c r="AL135">
        <f ca="1">IF($N135=AL$59,SUM(AL$60:AL134)-VLOOKUP($N135,$A$60:$B$146,2,0),0)</f>
        <v>0</v>
      </c>
    </row>
    <row r="136" spans="1:38">
      <c r="A136">
        <v>5601</v>
      </c>
      <c r="B136" s="257">
        <f>SUMIF('Dane stany'!$J$5:$J$371,A136,'Dane stany'!$K$5:$K$371)</f>
        <v>3980</v>
      </c>
      <c r="D136">
        <f t="shared" ca="1" si="47"/>
        <v>21000</v>
      </c>
      <c r="E136" s="88">
        <f t="shared" ca="1" si="62"/>
        <v>17020</v>
      </c>
      <c r="L136" s="76">
        <v>76</v>
      </c>
      <c r="M136" s="76">
        <f ca="1">OFFSET(Receptury_z!$A$8,L136,0)</f>
        <v>6448</v>
      </c>
      <c r="N136" s="76">
        <f ca="1">OFFSET(Receptury_z!$C$8,L136,0)</f>
        <v>5544</v>
      </c>
      <c r="O136">
        <f t="shared" ca="1" si="48"/>
        <v>0</v>
      </c>
      <c r="P136">
        <f t="shared" ca="1" si="49"/>
        <v>1</v>
      </c>
      <c r="Q136">
        <f t="shared" ca="1" si="50"/>
        <v>0</v>
      </c>
      <c r="R136">
        <f t="shared" ca="1" si="51"/>
        <v>0</v>
      </c>
      <c r="S136" s="256">
        <f t="shared" ca="1" si="58"/>
        <v>0</v>
      </c>
      <c r="T136" s="282">
        <f t="shared" ca="1" si="52"/>
        <v>0</v>
      </c>
      <c r="U136">
        <f t="shared" ca="1" si="59"/>
        <v>6448</v>
      </c>
      <c r="V136">
        <f t="shared" ca="1" si="53"/>
        <v>0</v>
      </c>
      <c r="W136">
        <f t="shared" ca="1" si="54"/>
        <v>0</v>
      </c>
      <c r="X136">
        <f ca="1">IFERROR(VLOOKUP(U136,PLAN_P!$B:$D,3,0),0)</f>
        <v>0</v>
      </c>
      <c r="Y136">
        <f ca="1">IFERROR(VLOOKUP(V136,PLAN_P!$B:$D,3,0),0)</f>
        <v>0</v>
      </c>
      <c r="Z136">
        <f ca="1">IFERROR(VLOOKUP(W136,PLAN_P!$B:$D,3,0),0)</f>
        <v>0</v>
      </c>
      <c r="AC136" s="257">
        <f ca="1">SUMIF('Dane stany'!$J$5:$J$371,N136,'Dane stany'!$K$5:$K$371)</f>
        <v>0</v>
      </c>
      <c r="AE136">
        <f ca="1">IF($N136=AE$60,SUM(AE$60:AE135)-VLOOKUP(N136,$A$60:$B$146,2,0),0)</f>
        <v>0</v>
      </c>
      <c r="AF136">
        <f ca="1">IF($N136=AF$59,SUM(AF$60:AF135)-VLOOKUP($N136,$A$60:$B$146,2,0),0)</f>
        <v>0</v>
      </c>
      <c r="AG136">
        <f ca="1">IF($N136=AG$59,SUM(AG$60:AG135)-VLOOKUP($N136,$A$60:$B$146,2,0),0)</f>
        <v>0</v>
      </c>
      <c r="AH136">
        <f ca="1">IF($N136=AH$59,SUM(AH$60:AH135)-VLOOKUP($N136,$A$60:$B$146,2,0),0)</f>
        <v>0</v>
      </c>
      <c r="AI136">
        <f ca="1">IF($N136=AI$59,SUM(AI$60:AI135)-VLOOKUP($N136,$A$60:$B$146,2,0),0)</f>
        <v>0</v>
      </c>
      <c r="AJ136">
        <f ca="1">IF($N136=AJ$59,SUM(AJ$60:AJ135)-VLOOKUP($N136,$A$60:$B$146,2,0),0)</f>
        <v>0</v>
      </c>
      <c r="AK136">
        <f ca="1">IF($N136=AK$59,SUM(AK$60:AK135)-VLOOKUP($N136,$A$60:$B$146,2,0),0)</f>
        <v>0</v>
      </c>
      <c r="AL136">
        <f ca="1">IF($N136=AL$59,SUM(AL$60:AL135)-VLOOKUP($N136,$A$60:$B$146,2,0),0)</f>
        <v>0</v>
      </c>
    </row>
    <row r="137" spans="1:38">
      <c r="A137">
        <v>5692</v>
      </c>
      <c r="B137" s="257">
        <f>SUMIF('Dane stany'!$J$5:$J$371,A137,'Dane stany'!$K$5:$K$371)</f>
        <v>3408</v>
      </c>
      <c r="D137">
        <f t="shared" ca="1" si="47"/>
        <v>3600</v>
      </c>
      <c r="E137" s="88">
        <f t="shared" ref="E137:E141" ca="1" si="63">D137-B137</f>
        <v>192</v>
      </c>
      <c r="L137" s="76">
        <v>77</v>
      </c>
      <c r="M137" s="76">
        <f ca="1">OFFSET(Receptury_z!$A$8,L137,0)</f>
        <v>6479</v>
      </c>
      <c r="N137" s="76">
        <f ca="1">OFFSET(Receptury_z!$C$8,L137,0)</f>
        <v>5594</v>
      </c>
      <c r="O137">
        <f t="shared" ca="1" si="48"/>
        <v>40000</v>
      </c>
      <c r="P137">
        <f t="shared" ca="1" si="49"/>
        <v>1</v>
      </c>
      <c r="Q137">
        <f t="shared" ca="1" si="50"/>
        <v>0</v>
      </c>
      <c r="R137">
        <f t="shared" ca="1" si="51"/>
        <v>0</v>
      </c>
      <c r="S137" s="256">
        <f t="shared" ca="1" si="58"/>
        <v>0</v>
      </c>
      <c r="T137" s="282">
        <f t="shared" ca="1" si="52"/>
        <v>0</v>
      </c>
      <c r="U137">
        <f t="shared" ca="1" si="59"/>
        <v>6479</v>
      </c>
      <c r="V137">
        <f t="shared" ca="1" si="53"/>
        <v>0</v>
      </c>
      <c r="W137">
        <f t="shared" ca="1" si="54"/>
        <v>0</v>
      </c>
      <c r="X137">
        <f ca="1">IFERROR(VLOOKUP(U137,PLAN_P!$B:$D,3,0),0)</f>
        <v>40000</v>
      </c>
      <c r="Y137">
        <f ca="1">IFERROR(VLOOKUP(V137,PLAN_P!$B:$D,3,0),0)</f>
        <v>0</v>
      </c>
      <c r="Z137">
        <f ca="1">IFERROR(VLOOKUP(W137,PLAN_P!$B:$D,3,0),0)</f>
        <v>0</v>
      </c>
      <c r="AC137" s="257">
        <f ca="1">SUMIF('Dane stany'!$J$5:$J$371,N137,'Dane stany'!$K$5:$K$371)</f>
        <v>0</v>
      </c>
      <c r="AE137">
        <f ca="1">IF($N137=AE$60,SUM(AE$60:AE136)-VLOOKUP(N137,$A$60:$B$146,2,0),0)</f>
        <v>0</v>
      </c>
      <c r="AF137">
        <f ca="1">IF($N137=AF$59,SUM(AF$60:AF136)-VLOOKUP($N137,$A$60:$B$146,2,0),0)</f>
        <v>0</v>
      </c>
      <c r="AG137">
        <f ca="1">IF($N137=AG$59,SUM(AG$60:AG136)-VLOOKUP($N137,$A$60:$B$146,2,0),0)</f>
        <v>0</v>
      </c>
      <c r="AH137">
        <f ca="1">IF($N137=AH$59,SUM(AH$60:AH136)-VLOOKUP($N137,$A$60:$B$146,2,0),0)</f>
        <v>0</v>
      </c>
      <c r="AI137">
        <f ca="1">IF($N137=AI$59,SUM(AI$60:AI136)-VLOOKUP($N137,$A$60:$B$146,2,0),0)</f>
        <v>0</v>
      </c>
      <c r="AJ137">
        <f ca="1">IF($N137=AJ$59,SUM(AJ$60:AJ136)-VLOOKUP($N137,$A$60:$B$146,2,0),0)</f>
        <v>0</v>
      </c>
      <c r="AK137">
        <f ca="1">IF($N137=AK$59,SUM(AK$60:AK136)-VLOOKUP($N137,$A$60:$B$146,2,0),0)</f>
        <v>0</v>
      </c>
      <c r="AL137">
        <f ca="1">IF($N137=AL$59,SUM(AL$60:AL136)-VLOOKUP($N137,$A$60:$B$146,2,0),0)</f>
        <v>0</v>
      </c>
    </row>
    <row r="138" spans="1:38">
      <c r="A138">
        <v>5693</v>
      </c>
      <c r="B138" s="257">
        <f>SUMIF('Dane stany'!$J$5:$J$371,A138,'Dane stany'!$K$5:$K$371)</f>
        <v>0</v>
      </c>
      <c r="D138">
        <f t="shared" ca="1" si="47"/>
        <v>6200</v>
      </c>
      <c r="E138" s="88">
        <f t="shared" ca="1" si="63"/>
        <v>6200</v>
      </c>
      <c r="L138" s="76">
        <v>78</v>
      </c>
      <c r="M138" s="76">
        <f ca="1">OFFSET(Receptury_z!$A$8,L138,0)</f>
        <v>6486</v>
      </c>
      <c r="N138" s="76">
        <f ca="1">OFFSET(Receptury_z!$C$8,L138,0)</f>
        <v>5593</v>
      </c>
      <c r="O138">
        <f t="shared" ca="1" si="48"/>
        <v>0</v>
      </c>
      <c r="P138">
        <f t="shared" ca="1" si="49"/>
        <v>1</v>
      </c>
      <c r="Q138">
        <f t="shared" ca="1" si="50"/>
        <v>0</v>
      </c>
      <c r="R138">
        <f t="shared" ca="1" si="51"/>
        <v>0</v>
      </c>
      <c r="S138" s="256">
        <f t="shared" ref="S138:S139" ca="1" si="64">IFERROR(O138/R138,0)</f>
        <v>0</v>
      </c>
      <c r="T138" s="282">
        <f t="shared" ca="1" si="52"/>
        <v>0</v>
      </c>
      <c r="U138">
        <f t="shared" ref="U138:U139" ca="1" si="65">MID(M138,1,4)*1</f>
        <v>6486</v>
      </c>
      <c r="V138">
        <f t="shared" ca="1" si="53"/>
        <v>0</v>
      </c>
      <c r="W138">
        <f t="shared" ca="1" si="54"/>
        <v>0</v>
      </c>
      <c r="X138">
        <f ca="1">IFERROR(VLOOKUP(U138,PLAN_P!$B:$D,3,0),0)</f>
        <v>0</v>
      </c>
      <c r="Y138">
        <f ca="1">IFERROR(VLOOKUP(V138,PLAN_P!$B:$D,3,0),0)</f>
        <v>0</v>
      </c>
      <c r="Z138">
        <f ca="1">IFERROR(VLOOKUP(W138,PLAN_P!$B:$D,3,0),0)</f>
        <v>0</v>
      </c>
      <c r="AC138" s="257">
        <f ca="1">SUMIF('Dane stany'!$J$5:$J$371,N138,'Dane stany'!$K$5:$K$371)</f>
        <v>0</v>
      </c>
      <c r="AE138">
        <f ca="1">IF($N138=AE$60,SUM(AE$60:AE137)-VLOOKUP(N138,$A$60:$B$146,2,0),0)</f>
        <v>0</v>
      </c>
      <c r="AF138">
        <f ca="1">IF($N138=AF$59,SUM(AF$60:AF137)-VLOOKUP($N138,$A$60:$B$146,2,0),0)</f>
        <v>0</v>
      </c>
      <c r="AG138">
        <f ca="1">IF($N138=AG$59,SUM(AG$60:AG137)-VLOOKUP($N138,$A$60:$B$146,2,0),0)</f>
        <v>0</v>
      </c>
      <c r="AH138">
        <f ca="1">IF($N138=AH$59,SUM(AH$60:AH137)-VLOOKUP($N138,$A$60:$B$146,2,0),0)</f>
        <v>0</v>
      </c>
      <c r="AI138">
        <f ca="1">IF($N138=AI$59,SUM(AI$60:AI137)-VLOOKUP($N138,$A$60:$B$146,2,0),0)</f>
        <v>0</v>
      </c>
      <c r="AJ138">
        <f ca="1">IF($N138=AJ$59,SUM(AJ$60:AJ137)-VLOOKUP($N138,$A$60:$B$146,2,0),0)</f>
        <v>0</v>
      </c>
      <c r="AK138">
        <f ca="1">IF($N138=AK$59,SUM(AK$60:AK137)-VLOOKUP($N138,$A$60:$B$146,2,0),0)</f>
        <v>0</v>
      </c>
      <c r="AL138">
        <f ca="1">IF($N138=AL$59,SUM(AL$60:AL137)-VLOOKUP($N138,$A$60:$B$146,2,0),0)</f>
        <v>0</v>
      </c>
    </row>
    <row r="139" spans="1:38">
      <c r="A139">
        <v>5695</v>
      </c>
      <c r="B139" s="257">
        <f>SUMIF('Dane stany'!$J$5:$J$371,A139,'Dane stany'!$K$5:$K$371)</f>
        <v>0</v>
      </c>
      <c r="D139">
        <f t="shared" ca="1" si="47"/>
        <v>0</v>
      </c>
      <c r="E139" s="88">
        <f t="shared" ca="1" si="63"/>
        <v>0</v>
      </c>
      <c r="L139" s="76">
        <v>79</v>
      </c>
      <c r="M139" s="76">
        <f ca="1">OFFSET(Receptury_z!$A$8,L139,0)</f>
        <v>6599</v>
      </c>
      <c r="N139" s="76">
        <f ca="1">OFFSET(Receptury_z!$C$8,L139,0)</f>
        <v>5600</v>
      </c>
      <c r="O139">
        <f t="shared" ca="1" si="48"/>
        <v>40000</v>
      </c>
      <c r="P139">
        <f t="shared" ca="1" si="49"/>
        <v>2</v>
      </c>
      <c r="Q139">
        <f t="shared" ca="1" si="50"/>
        <v>0</v>
      </c>
      <c r="R139">
        <f t="shared" ca="1" si="51"/>
        <v>0</v>
      </c>
      <c r="S139" s="256">
        <f t="shared" ca="1" si="64"/>
        <v>0</v>
      </c>
      <c r="T139" s="282">
        <f t="shared" ca="1" si="52"/>
        <v>0</v>
      </c>
      <c r="U139">
        <f t="shared" ca="1" si="65"/>
        <v>6599</v>
      </c>
      <c r="V139">
        <f t="shared" ca="1" si="53"/>
        <v>0</v>
      </c>
      <c r="W139">
        <f t="shared" ca="1" si="54"/>
        <v>0</v>
      </c>
      <c r="X139">
        <f ca="1">IFERROR(VLOOKUP(U139,PLAN_P!$B:$D,3,0),0)</f>
        <v>40000</v>
      </c>
      <c r="Y139">
        <f ca="1">IFERROR(VLOOKUP(V139,PLAN_P!$B:$D,3,0),0)</f>
        <v>0</v>
      </c>
      <c r="Z139">
        <f ca="1">IFERROR(VLOOKUP(W139,PLAN_P!$B:$D,3,0),0)</f>
        <v>0</v>
      </c>
      <c r="AC139" s="257">
        <f ca="1">SUMIF('Dane stany'!$J$5:$J$371,N139,'Dane stany'!$K$5:$K$371)</f>
        <v>0</v>
      </c>
      <c r="AE139">
        <f ca="1">IF($N139=AE$60,SUM(AE$60:AE138)-VLOOKUP(N139,$A$60:$B$146,2,0),0)</f>
        <v>0</v>
      </c>
      <c r="AF139">
        <f ca="1">IF($N139=AF$59,SUM(AF$60:AF138)-VLOOKUP($N139,$A$60:$B$146,2,0),0)</f>
        <v>0</v>
      </c>
      <c r="AG139">
        <f ca="1">IF($N139=AG$59,SUM(AG$60:AG138)-VLOOKUP($N139,$A$60:$B$146,2,0),0)</f>
        <v>0</v>
      </c>
      <c r="AH139">
        <f ca="1">IF($N139=AH$59,SUM(AH$60:AH138)-VLOOKUP($N139,$A$60:$B$146,2,0),0)</f>
        <v>0</v>
      </c>
      <c r="AI139">
        <f ca="1">IF($N139=AI$59,SUM(AI$60:AI138)-VLOOKUP($N139,$A$60:$B$146,2,0),0)</f>
        <v>0</v>
      </c>
      <c r="AJ139">
        <f ca="1">IF($N139=AJ$59,SUM(AJ$60:AJ138)-VLOOKUP($N139,$A$60:$B$146,2,0),0)</f>
        <v>0</v>
      </c>
      <c r="AK139">
        <f ca="1">IF($N139=AK$59,SUM(AK$60:AK138)-VLOOKUP($N139,$A$60:$B$146,2,0),0)</f>
        <v>0</v>
      </c>
      <c r="AL139">
        <f ca="1">IF($N139=AL$59,SUM(AL$60:AL138)-VLOOKUP($N139,$A$60:$B$146,2,0),0)</f>
        <v>0</v>
      </c>
    </row>
    <row r="140" spans="1:38">
      <c r="A140">
        <v>5691</v>
      </c>
      <c r="B140" s="257">
        <f>SUMIF('Dane stany'!$J$5:$J$371,A140,'Dane stany'!$K$5:$K$371)</f>
        <v>0</v>
      </c>
      <c r="C140">
        <v>12</v>
      </c>
      <c r="D140">
        <f t="shared" ca="1" si="47"/>
        <v>1800</v>
      </c>
      <c r="E140" s="88">
        <f t="shared" ca="1" si="63"/>
        <v>1800</v>
      </c>
      <c r="L140" s="76">
        <v>79</v>
      </c>
      <c r="M140" s="76">
        <f ca="1">OFFSET(Receptury_z!$A$8,L140,0)</f>
        <v>6599</v>
      </c>
      <c r="N140" s="76">
        <f ca="1">OFFSET(Receptury_z!$C$8,L140,0)</f>
        <v>5600</v>
      </c>
      <c r="O140">
        <f t="shared" ca="1" si="48"/>
        <v>40000</v>
      </c>
      <c r="P140">
        <f t="shared" ca="1" si="49"/>
        <v>2</v>
      </c>
      <c r="Q140">
        <f t="shared" ca="1" si="50"/>
        <v>0</v>
      </c>
      <c r="R140">
        <f t="shared" ca="1" si="51"/>
        <v>0</v>
      </c>
      <c r="S140" s="256">
        <f t="shared" ref="S140:S147" ca="1" si="66">IFERROR(O140/R140,0)</f>
        <v>0</v>
      </c>
      <c r="T140" s="282">
        <f t="shared" ca="1" si="52"/>
        <v>0</v>
      </c>
      <c r="U140">
        <f t="shared" ref="U140:U147" ca="1" si="67">MID(M140,1,4)*1</f>
        <v>6599</v>
      </c>
      <c r="V140">
        <f t="shared" ca="1" si="53"/>
        <v>0</v>
      </c>
      <c r="W140">
        <f t="shared" ca="1" si="54"/>
        <v>0</v>
      </c>
      <c r="X140">
        <f ca="1">IFERROR(VLOOKUP(U140,PLAN_P!$B:$D,3,0),0)</f>
        <v>40000</v>
      </c>
      <c r="Y140">
        <f ca="1">IFERROR(VLOOKUP(V140,PLAN_P!$B:$D,3,0),0)</f>
        <v>0</v>
      </c>
      <c r="Z140">
        <f ca="1">IFERROR(VLOOKUP(W140,PLAN_P!$B:$D,3,0),0)</f>
        <v>0</v>
      </c>
      <c r="AC140" s="257">
        <f ca="1">SUMIF('Dane stany'!$J$5:$J$371,N140,'Dane stany'!$K$5:$K$371)</f>
        <v>0</v>
      </c>
      <c r="AE140">
        <f ca="1">IF($N140=AE$60,SUM(AE$60:AE139)-VLOOKUP(N140,$A$60:$B$146,2,0),0)</f>
        <v>0</v>
      </c>
      <c r="AF140">
        <f ca="1">IF($N140=AF$59,SUM(AF$60:AF139)-VLOOKUP($N140,$A$60:$B$146,2,0),0)</f>
        <v>0</v>
      </c>
      <c r="AG140">
        <f ca="1">IF($N140=AG$59,SUM(AG$60:AG139)-VLOOKUP($N140,$A$60:$B$146,2,0),0)</f>
        <v>0</v>
      </c>
      <c r="AH140">
        <f ca="1">IF($N140=AH$59,SUM(AH$60:AH139)-VLOOKUP($N140,$A$60:$B$146,2,0),0)</f>
        <v>0</v>
      </c>
      <c r="AI140">
        <f ca="1">IF($N140=AI$59,SUM(AI$60:AI139)-VLOOKUP($N140,$A$60:$B$146,2,0),0)</f>
        <v>0</v>
      </c>
      <c r="AJ140">
        <f ca="1">IF($N140=AJ$59,SUM(AJ$60:AJ139)-VLOOKUP($N140,$A$60:$B$146,2,0),0)</f>
        <v>0</v>
      </c>
      <c r="AK140">
        <f ca="1">IF($N140=AK$59,SUM(AK$60:AK139)-VLOOKUP($N140,$A$60:$B$146,2,0),0)</f>
        <v>0</v>
      </c>
      <c r="AL140">
        <f ca="1">IF($N140=AL$59,SUM(AL$60:AL139)-VLOOKUP($N140,$A$60:$B$146,2,0),0)</f>
        <v>0</v>
      </c>
    </row>
    <row r="141" spans="1:38">
      <c r="A141">
        <v>5305</v>
      </c>
      <c r="B141" s="257">
        <f>SUMIF('Dane stany'!$J$5:$J$371,A141,'Dane stany'!$K$5:$K$371)</f>
        <v>0</v>
      </c>
      <c r="D141">
        <f t="shared" ca="1" si="47"/>
        <v>0</v>
      </c>
      <c r="E141" s="88">
        <f t="shared" ca="1" si="63"/>
        <v>0</v>
      </c>
      <c r="L141" s="76">
        <v>80</v>
      </c>
      <c r="M141" s="76">
        <f ca="1">OFFSET(Receptury_z!$A$8,L141,0)</f>
        <v>6439</v>
      </c>
      <c r="N141" s="76">
        <f ca="1">OFFSET(Receptury_z!$C$8,L141,0)</f>
        <v>5549</v>
      </c>
      <c r="O141">
        <f t="shared" ca="1" si="48"/>
        <v>0</v>
      </c>
      <c r="P141">
        <f t="shared" ca="1" si="49"/>
        <v>1</v>
      </c>
      <c r="Q141">
        <f t="shared" ca="1" si="50"/>
        <v>0</v>
      </c>
      <c r="R141">
        <f t="shared" ca="1" si="51"/>
        <v>0</v>
      </c>
      <c r="S141" s="256">
        <f t="shared" ca="1" si="66"/>
        <v>0</v>
      </c>
      <c r="T141" s="282">
        <f t="shared" ca="1" si="52"/>
        <v>0</v>
      </c>
      <c r="U141">
        <f t="shared" ca="1" si="67"/>
        <v>6439</v>
      </c>
      <c r="V141">
        <f t="shared" ca="1" si="53"/>
        <v>0</v>
      </c>
      <c r="W141">
        <f t="shared" ca="1" si="54"/>
        <v>0</v>
      </c>
      <c r="X141">
        <f ca="1">IFERROR(VLOOKUP(U141,PLAN_P!$B:$D,3,0),0)</f>
        <v>0</v>
      </c>
      <c r="Y141">
        <f ca="1">IFERROR(VLOOKUP(V141,PLAN_P!$B:$D,3,0),0)</f>
        <v>0</v>
      </c>
      <c r="Z141">
        <f ca="1">IFERROR(VLOOKUP(W141,PLAN_P!$B:$D,3,0),0)</f>
        <v>0</v>
      </c>
      <c r="AC141" s="257">
        <f ca="1">SUMIF('Dane stany'!$J$5:$J$371,N141,'Dane stany'!$K$5:$K$371)</f>
        <v>0</v>
      </c>
      <c r="AE141">
        <f ca="1">IF($N141=AE$60,SUM(AE$60:AE140)-VLOOKUP(N141,$A$60:$B$146,2,0),0)</f>
        <v>0</v>
      </c>
      <c r="AF141">
        <f ca="1">IF($N141=AF$59,SUM(AF$60:AF140)-VLOOKUP($N141,$A$60:$B$146,2,0),0)</f>
        <v>0</v>
      </c>
      <c r="AG141">
        <f ca="1">IF($N141=AG$59,SUM(AG$60:AG140)-VLOOKUP($N141,$A$60:$B$146,2,0),0)</f>
        <v>0</v>
      </c>
      <c r="AH141">
        <f ca="1">IF($N141=AH$59,SUM(AH$60:AH140)-VLOOKUP($N141,$A$60:$B$146,2,0),0)</f>
        <v>0</v>
      </c>
      <c r="AI141">
        <f ca="1">IF($N141=AI$59,SUM(AI$60:AI140)-VLOOKUP($N141,$A$60:$B$146,2,0),0)</f>
        <v>0</v>
      </c>
      <c r="AJ141">
        <f ca="1">IF($N141=AJ$59,SUM(AJ$60:AJ140)-VLOOKUP($N141,$A$60:$B$146,2,0),0)</f>
        <v>0</v>
      </c>
      <c r="AK141">
        <f ca="1">IF($N141=AK$59,SUM(AK$60:AK140)-VLOOKUP($N141,$A$60:$B$146,2,0),0)</f>
        <v>0</v>
      </c>
      <c r="AL141">
        <f ca="1">IF($N141=AL$59,SUM(AL$60:AL140)-VLOOKUP($N141,$A$60:$B$146,2,0),0)</f>
        <v>0</v>
      </c>
    </row>
    <row r="142" spans="1:38">
      <c r="A142">
        <v>5696</v>
      </c>
      <c r="B142" s="257">
        <f>SUMIF('Dane stany'!$J$5:$J$371,A142,'Dane stany'!$K$5:$K$371)</f>
        <v>0</v>
      </c>
      <c r="D142">
        <f t="shared" ca="1" si="47"/>
        <v>0</v>
      </c>
      <c r="E142" s="88">
        <f t="shared" ref="E142" ca="1" si="68">D142-B142</f>
        <v>0</v>
      </c>
      <c r="L142" s="76">
        <v>81</v>
      </c>
      <c r="M142" s="76">
        <f ca="1">OFFSET(Receptury_z!$A$8,L142,0)</f>
        <v>6449</v>
      </c>
      <c r="N142" s="76">
        <f ca="1">OFFSET(Receptury_z!$C$8,L142,0)</f>
        <v>5550</v>
      </c>
      <c r="O142">
        <f t="shared" ca="1" si="48"/>
        <v>0</v>
      </c>
      <c r="P142">
        <f t="shared" ca="1" si="49"/>
        <v>1</v>
      </c>
      <c r="Q142">
        <f t="shared" ca="1" si="50"/>
        <v>0</v>
      </c>
      <c r="R142">
        <f t="shared" ca="1" si="51"/>
        <v>0</v>
      </c>
      <c r="S142" s="256">
        <f t="shared" ca="1" si="66"/>
        <v>0</v>
      </c>
      <c r="T142" s="282">
        <f t="shared" ca="1" si="52"/>
        <v>0</v>
      </c>
      <c r="U142">
        <f t="shared" ca="1" si="67"/>
        <v>6449</v>
      </c>
      <c r="V142">
        <f t="shared" ca="1" si="53"/>
        <v>0</v>
      </c>
      <c r="W142">
        <f t="shared" ca="1" si="54"/>
        <v>0</v>
      </c>
      <c r="X142">
        <f ca="1">IFERROR(VLOOKUP(U142,PLAN_P!$B:$D,3,0),0)</f>
        <v>0</v>
      </c>
      <c r="Y142">
        <f ca="1">IFERROR(VLOOKUP(V142,PLAN_P!$B:$D,3,0),0)</f>
        <v>0</v>
      </c>
      <c r="Z142">
        <f ca="1">IFERROR(VLOOKUP(W142,PLAN_P!$B:$D,3,0),0)</f>
        <v>0</v>
      </c>
      <c r="AC142" s="257">
        <f ca="1">SUMIF('Dane stany'!$J$5:$J$371,N142,'Dane stany'!$K$5:$K$371)</f>
        <v>0</v>
      </c>
      <c r="AE142">
        <f ca="1">IF($N142=AE$60,SUM(AE$60:AE141)-VLOOKUP(N142,$A$60:$B$146,2,0),0)</f>
        <v>0</v>
      </c>
      <c r="AF142">
        <f ca="1">IF($N142=AF$59,SUM(AF$60:AF141)-VLOOKUP($N142,$A$60:$B$146,2,0),0)</f>
        <v>0</v>
      </c>
      <c r="AG142">
        <f ca="1">IF($N142=AG$59,SUM(AG$60:AG141)-VLOOKUP($N142,$A$60:$B$146,2,0),0)</f>
        <v>0</v>
      </c>
      <c r="AH142">
        <f ca="1">IF($N142=AH$59,SUM(AH$60:AH141)-VLOOKUP($N142,$A$60:$B$146,2,0),0)</f>
        <v>0</v>
      </c>
      <c r="AI142">
        <f ca="1">IF($N142=AI$59,SUM(AI$60:AI141)-VLOOKUP($N142,$A$60:$B$146,2,0),0)</f>
        <v>0</v>
      </c>
      <c r="AJ142">
        <f ca="1">IF($N142=AJ$59,SUM(AJ$60:AJ141)-VLOOKUP($N142,$A$60:$B$146,2,0),0)</f>
        <v>0</v>
      </c>
      <c r="AK142">
        <f ca="1">IF($N142=AK$59,SUM(AK$60:AK141)-VLOOKUP($N142,$A$60:$B$146,2,0),0)</f>
        <v>0</v>
      </c>
      <c r="AL142">
        <f ca="1">IF($N142=AL$59,SUM(AL$60:AL141)-VLOOKUP($N142,$A$60:$B$146,2,0),0)</f>
        <v>0</v>
      </c>
    </row>
    <row r="143" spans="1:38">
      <c r="A143">
        <v>5698</v>
      </c>
      <c r="B143" s="257">
        <f>SUMIF('Dane stany'!$J$5:$J$371,A143,'Dane stany'!$K$5:$K$371)</f>
        <v>0</v>
      </c>
      <c r="D143">
        <f t="shared" ref="D143" ca="1" si="69">SUMIF($N$60:$N$147,A143,$O$60:$O$147)</f>
        <v>0</v>
      </c>
      <c r="E143" s="88">
        <f t="shared" ref="E143" ca="1" si="70">D143-B143</f>
        <v>0</v>
      </c>
      <c r="L143" s="76">
        <v>82</v>
      </c>
      <c r="M143" s="76">
        <f ca="1">OFFSET(Receptury_z!$A$8,L143,0)</f>
        <v>6451</v>
      </c>
      <c r="N143" s="76">
        <f ca="1">OFFSET(Receptury_z!$C$8,L143,0)</f>
        <v>5556</v>
      </c>
      <c r="O143">
        <f t="shared" ca="1" si="48"/>
        <v>40000</v>
      </c>
      <c r="P143">
        <f t="shared" ca="1" si="49"/>
        <v>1</v>
      </c>
      <c r="Q143">
        <f t="shared" ca="1" si="50"/>
        <v>0</v>
      </c>
      <c r="R143">
        <f t="shared" ca="1" si="51"/>
        <v>0</v>
      </c>
      <c r="S143" s="256">
        <f t="shared" ca="1" si="66"/>
        <v>0</v>
      </c>
      <c r="T143" s="282">
        <f t="shared" ca="1" si="52"/>
        <v>0</v>
      </c>
      <c r="U143">
        <f t="shared" ca="1" si="67"/>
        <v>6451</v>
      </c>
      <c r="V143">
        <f t="shared" ca="1" si="53"/>
        <v>0</v>
      </c>
      <c r="W143">
        <f t="shared" ca="1" si="54"/>
        <v>0</v>
      </c>
      <c r="X143">
        <f ca="1">IFERROR(VLOOKUP(U143,PLAN_P!$B:$D,3,0),0)</f>
        <v>40000</v>
      </c>
      <c r="Y143">
        <f ca="1">IFERROR(VLOOKUP(V143,PLAN_P!$B:$D,3,0),0)</f>
        <v>0</v>
      </c>
      <c r="Z143">
        <f ca="1">IFERROR(VLOOKUP(W143,PLAN_P!$B:$D,3,0),0)</f>
        <v>0</v>
      </c>
      <c r="AC143" s="257">
        <f ca="1">SUMIF('Dane stany'!$J$5:$J$371,N143,'Dane stany'!$K$5:$K$371)</f>
        <v>0</v>
      </c>
      <c r="AE143">
        <f ca="1">IF($N143=AE$60,SUM(AE$60:AE142)-VLOOKUP(N143,$A$60:$B$146,2,0),0)</f>
        <v>0</v>
      </c>
      <c r="AF143">
        <f ca="1">IF($N143=AF$59,SUM(AF$60:AF142)-VLOOKUP($N143,$A$60:$B$146,2,0),0)</f>
        <v>0</v>
      </c>
      <c r="AG143">
        <f ca="1">IF($N143=AG$59,SUM(AG$60:AG142)-VLOOKUP($N143,$A$60:$B$146,2,0),0)</f>
        <v>0</v>
      </c>
      <c r="AH143">
        <f ca="1">IF($N143=AH$59,SUM(AH$60:AH142)-VLOOKUP($N143,$A$60:$B$146,2,0),0)</f>
        <v>0</v>
      </c>
      <c r="AI143">
        <f ca="1">IF($N143=AI$59,SUM(AI$60:AI142)-VLOOKUP($N143,$A$60:$B$146,2,0),0)</f>
        <v>0</v>
      </c>
      <c r="AJ143">
        <f ca="1">IF($N143=AJ$59,SUM(AJ$60:AJ142)-VLOOKUP($N143,$A$60:$B$146,2,0),0)</f>
        <v>0</v>
      </c>
      <c r="AK143">
        <f ca="1">IF($N143=AK$59,SUM(AK$60:AK142)-VLOOKUP($N143,$A$60:$B$146,2,0),0)</f>
        <v>0</v>
      </c>
      <c r="AL143">
        <f ca="1">IF($N143=AL$59,SUM(AL$60:AL142)-VLOOKUP($N143,$A$60:$B$146,2,0),0)</f>
        <v>0</v>
      </c>
    </row>
    <row r="144" spans="1:38">
      <c r="L144" s="76">
        <v>83</v>
      </c>
      <c r="M144" s="76">
        <f ca="1">OFFSET(Receptury_z!$A$8,L144,0)</f>
        <v>6443</v>
      </c>
      <c r="N144" s="76">
        <f ca="1">OFFSET(Receptury_z!$C$8,L144,0)</f>
        <v>5545</v>
      </c>
      <c r="O144">
        <f t="shared" ca="1" si="48"/>
        <v>0</v>
      </c>
      <c r="P144">
        <f t="shared" ca="1" si="49"/>
        <v>1</v>
      </c>
      <c r="Q144">
        <f t="shared" ca="1" si="50"/>
        <v>0</v>
      </c>
      <c r="R144">
        <f t="shared" ca="1" si="51"/>
        <v>0</v>
      </c>
      <c r="S144" s="256">
        <f t="shared" ca="1" si="66"/>
        <v>0</v>
      </c>
      <c r="T144" s="282">
        <f t="shared" ca="1" si="52"/>
        <v>0</v>
      </c>
      <c r="U144">
        <f t="shared" ca="1" si="67"/>
        <v>6443</v>
      </c>
      <c r="V144">
        <f t="shared" ca="1" si="53"/>
        <v>0</v>
      </c>
      <c r="W144">
        <f t="shared" ca="1" si="54"/>
        <v>0</v>
      </c>
      <c r="X144">
        <f ca="1">IFERROR(VLOOKUP(U144,PLAN_P!$B:$D,3,0),0)</f>
        <v>0</v>
      </c>
      <c r="Y144">
        <f ca="1">IFERROR(VLOOKUP(V144,PLAN_P!$B:$D,3,0),0)</f>
        <v>0</v>
      </c>
      <c r="Z144">
        <f ca="1">IFERROR(VLOOKUP(W144,PLAN_P!$B:$D,3,0),0)</f>
        <v>0</v>
      </c>
      <c r="AC144" s="257">
        <f ca="1">SUMIF('Dane stany'!$J$5:$J$371,N144,'Dane stany'!$K$5:$K$371)</f>
        <v>0</v>
      </c>
      <c r="AE144">
        <f ca="1">IF($N144=AE$60,SUM(AE$60:AE143)-VLOOKUP(N144,$A$60:$B$146,2,0),0)</f>
        <v>0</v>
      </c>
      <c r="AF144">
        <f ca="1">IF($N144=AF$59,SUM(AF$60:AF143)-VLOOKUP($N144,$A$60:$B$146,2,0),0)</f>
        <v>0</v>
      </c>
      <c r="AG144">
        <f ca="1">IF($N144=AG$59,SUM(AG$60:AG143)-VLOOKUP($N144,$A$60:$B$146,2,0),0)</f>
        <v>0</v>
      </c>
      <c r="AH144">
        <f ca="1">IF($N144=AH$59,SUM(AH$60:AH143)-VLOOKUP($N144,$A$60:$B$146,2,0),0)</f>
        <v>0</v>
      </c>
      <c r="AI144">
        <f ca="1">IF($N144=AI$59,SUM(AI$60:AI143)-VLOOKUP($N144,$A$60:$B$146,2,0),0)</f>
        <v>0</v>
      </c>
      <c r="AJ144">
        <f ca="1">IF($N144=AJ$59,SUM(AJ$60:AJ143)-VLOOKUP($N144,$A$60:$B$146,2,0),0)</f>
        <v>0</v>
      </c>
      <c r="AK144">
        <f ca="1">IF($N144=AK$59,SUM(AK$60:AK143)-VLOOKUP($N144,$A$60:$B$146,2,0),0)</f>
        <v>0</v>
      </c>
      <c r="AL144">
        <f ca="1">IF($N144=AL$59,SUM(AL$60:AL143)-VLOOKUP($N144,$A$60:$B$146,2,0),0)</f>
        <v>0</v>
      </c>
    </row>
    <row r="145" spans="12:38">
      <c r="L145" s="76">
        <v>84</v>
      </c>
      <c r="M145" s="76">
        <f ca="1">OFFSET(Receptury_z!$A$8,L145,0)</f>
        <v>6445</v>
      </c>
      <c r="N145" s="76">
        <f ca="1">OFFSET(Receptury_z!$C$8,L145,0)</f>
        <v>5547</v>
      </c>
      <c r="O145">
        <f t="shared" ca="1" si="48"/>
        <v>0</v>
      </c>
      <c r="P145">
        <f t="shared" ca="1" si="49"/>
        <v>1</v>
      </c>
      <c r="Q145">
        <f t="shared" ca="1" si="50"/>
        <v>0</v>
      </c>
      <c r="R145">
        <f t="shared" ca="1" si="51"/>
        <v>0</v>
      </c>
      <c r="S145" s="256">
        <f t="shared" ca="1" si="66"/>
        <v>0</v>
      </c>
      <c r="T145" s="282">
        <f t="shared" ca="1" si="52"/>
        <v>0</v>
      </c>
      <c r="U145">
        <f t="shared" ca="1" si="67"/>
        <v>6445</v>
      </c>
      <c r="V145">
        <f t="shared" ca="1" si="53"/>
        <v>0</v>
      </c>
      <c r="W145">
        <f t="shared" ca="1" si="54"/>
        <v>0</v>
      </c>
      <c r="X145">
        <f ca="1">IFERROR(VLOOKUP(U145,PLAN_P!$B:$D,3,0),0)</f>
        <v>0</v>
      </c>
      <c r="Y145">
        <f ca="1">IFERROR(VLOOKUP(V145,PLAN_P!$B:$D,3,0),0)</f>
        <v>0</v>
      </c>
      <c r="Z145">
        <f ca="1">IFERROR(VLOOKUP(W145,PLAN_P!$B:$D,3,0),0)</f>
        <v>0</v>
      </c>
      <c r="AC145" s="257">
        <f ca="1">SUMIF('Dane stany'!$J$5:$J$371,N145,'Dane stany'!$K$5:$K$371)</f>
        <v>0</v>
      </c>
      <c r="AE145">
        <f ca="1">IF($N145=AE$60,SUM(AE$60:AE144)-VLOOKUP(N145,$A$60:$B$146,2,0),0)</f>
        <v>0</v>
      </c>
      <c r="AF145">
        <f ca="1">IF($N145=AF$59,SUM(AF$60:AF144)-VLOOKUP($N145,$A$60:$B$146,2,0),0)</f>
        <v>0</v>
      </c>
      <c r="AG145">
        <f ca="1">IF($N145=AG$59,SUM(AG$60:AG144)-VLOOKUP($N145,$A$60:$B$146,2,0),0)</f>
        <v>0</v>
      </c>
      <c r="AH145">
        <f ca="1">IF($N145=AH$59,SUM(AH$60:AH144)-VLOOKUP($N145,$A$60:$B$146,2,0),0)</f>
        <v>0</v>
      </c>
      <c r="AI145">
        <f ca="1">IF($N145=AI$59,SUM(AI$60:AI144)-VLOOKUP($N145,$A$60:$B$146,2,0),0)</f>
        <v>0</v>
      </c>
      <c r="AJ145">
        <f ca="1">IF($N145=AJ$59,SUM(AJ$60:AJ144)-VLOOKUP($N145,$A$60:$B$146,2,0),0)</f>
        <v>0</v>
      </c>
      <c r="AK145">
        <f ca="1">IF($N145=AK$59,SUM(AK$60:AK144)-VLOOKUP($N145,$A$60:$B$146,2,0),0)</f>
        <v>0</v>
      </c>
      <c r="AL145">
        <f ca="1">IF($N145=AL$59,SUM(AL$60:AL144)-VLOOKUP($N145,$A$60:$B$146,2,0),0)</f>
        <v>0</v>
      </c>
    </row>
    <row r="146" spans="12:38">
      <c r="L146" s="76">
        <v>85</v>
      </c>
      <c r="M146" s="76">
        <f ca="1">OFFSET(Receptury_z!$A$8,L146,0)</f>
        <v>6462</v>
      </c>
      <c r="N146" s="76">
        <f ca="1">OFFSET(Receptury_z!$C$8,L146,0)</f>
        <v>5561</v>
      </c>
      <c r="O146">
        <f t="shared" ca="1" si="48"/>
        <v>0</v>
      </c>
      <c r="P146">
        <f t="shared" ca="1" si="49"/>
        <v>1</v>
      </c>
      <c r="Q146">
        <f t="shared" ca="1" si="50"/>
        <v>0</v>
      </c>
      <c r="R146">
        <f t="shared" ca="1" si="51"/>
        <v>0</v>
      </c>
      <c r="S146" s="256">
        <f t="shared" ca="1" si="66"/>
        <v>0</v>
      </c>
      <c r="T146" s="282">
        <f t="shared" ca="1" si="52"/>
        <v>0</v>
      </c>
      <c r="U146">
        <f t="shared" ca="1" si="67"/>
        <v>6462</v>
      </c>
      <c r="V146">
        <f t="shared" ca="1" si="53"/>
        <v>0</v>
      </c>
      <c r="W146">
        <f t="shared" ca="1" si="54"/>
        <v>0</v>
      </c>
      <c r="X146">
        <f ca="1">IFERROR(VLOOKUP(U146,PLAN_P!$B:$D,3,0),0)</f>
        <v>0</v>
      </c>
      <c r="Y146">
        <f ca="1">IFERROR(VLOOKUP(V146,PLAN_P!$B:$D,3,0),0)</f>
        <v>0</v>
      </c>
      <c r="Z146">
        <f ca="1">IFERROR(VLOOKUP(W146,PLAN_P!$B:$D,3,0),0)</f>
        <v>0</v>
      </c>
      <c r="AC146" s="257">
        <f ca="1">SUMIF('Dane stany'!$J$5:$J$371,N146,'Dane stany'!$K$5:$K$371)</f>
        <v>0</v>
      </c>
      <c r="AE146">
        <f ca="1">IF($N146=AE$60,SUM(AE$60:AE145)-VLOOKUP(N146,$A$60:$B$146,2,0),0)</f>
        <v>0</v>
      </c>
      <c r="AF146">
        <f ca="1">IF($N146=AF$59,SUM(AF$60:AF145)-VLOOKUP($N146,$A$60:$B$146,2,0),0)</f>
        <v>0</v>
      </c>
      <c r="AG146">
        <f ca="1">IF($N146=AG$59,SUM(AG$60:AG145)-VLOOKUP($N146,$A$60:$B$146,2,0),0)</f>
        <v>0</v>
      </c>
      <c r="AH146">
        <f ca="1">IF($N146=AH$59,SUM(AH$60:AH145)-VLOOKUP($N146,$A$60:$B$146,2,0),0)</f>
        <v>0</v>
      </c>
      <c r="AI146">
        <f ca="1">IF($N146=AI$59,SUM(AI$60:AI145)-VLOOKUP($N146,$A$60:$B$146,2,0),0)</f>
        <v>0</v>
      </c>
      <c r="AJ146">
        <f ca="1">IF($N146=AJ$59,SUM(AJ$60:AJ145)-VLOOKUP($N146,$A$60:$B$146,2,0),0)</f>
        <v>0</v>
      </c>
      <c r="AK146">
        <f ca="1">IF($N146=AK$59,SUM(AK$60:AK145)-VLOOKUP($N146,$A$60:$B$146,2,0),0)</f>
        <v>0</v>
      </c>
      <c r="AL146">
        <f ca="1">IF($N146=AL$59,SUM(AL$60:AL145)-VLOOKUP($N146,$A$60:$B$146,2,0),0)</f>
        <v>0</v>
      </c>
    </row>
    <row r="147" spans="12:38">
      <c r="L147" s="76">
        <v>86</v>
      </c>
      <c r="M147" s="76">
        <f ca="1">OFFSET(Receptury_z!$A$8,L147,0)</f>
        <v>6447</v>
      </c>
      <c r="N147" s="76">
        <f ca="1">OFFSET(Receptury_z!$C$8,L147,0)</f>
        <v>5548</v>
      </c>
      <c r="O147">
        <f t="shared" ca="1" si="48"/>
        <v>0</v>
      </c>
      <c r="P147">
        <f t="shared" ca="1" si="49"/>
        <v>1</v>
      </c>
      <c r="Q147">
        <f t="shared" ca="1" si="50"/>
        <v>0</v>
      </c>
      <c r="R147">
        <f t="shared" ca="1" si="51"/>
        <v>0</v>
      </c>
      <c r="S147" s="256">
        <f t="shared" ca="1" si="66"/>
        <v>0</v>
      </c>
      <c r="T147" s="282">
        <f t="shared" ca="1" si="52"/>
        <v>0</v>
      </c>
      <c r="U147">
        <f t="shared" ca="1" si="67"/>
        <v>6447</v>
      </c>
      <c r="V147">
        <f t="shared" ca="1" si="53"/>
        <v>0</v>
      </c>
      <c r="W147">
        <f t="shared" ca="1" si="54"/>
        <v>0</v>
      </c>
      <c r="X147">
        <f ca="1">IFERROR(VLOOKUP(U147,PLAN_P!$B:$D,3,0),0)</f>
        <v>0</v>
      </c>
      <c r="Y147">
        <f ca="1">IFERROR(VLOOKUP(V147,PLAN_P!$B:$D,3,0),0)</f>
        <v>0</v>
      </c>
      <c r="Z147">
        <f ca="1">IFERROR(VLOOKUP(W147,PLAN_P!$B:$D,3,0),0)</f>
        <v>0</v>
      </c>
      <c r="AC147" s="257">
        <f ca="1">SUMIF('Dane stany'!$J$5:$J$371,N147,'Dane stany'!$K$5:$K$371)</f>
        <v>0</v>
      </c>
      <c r="AE147">
        <f ca="1">IF($N147=AE$60,SUM(AE$60:AE146)-VLOOKUP(N147,$A$60:$B$146,2,0),0)</f>
        <v>0</v>
      </c>
      <c r="AF147">
        <f ca="1">IF($N147=AF$59,SUM(AF$60:AF146)-VLOOKUP($N147,$A$60:$B$146,2,0),0)</f>
        <v>0</v>
      </c>
      <c r="AG147">
        <f ca="1">IF($N147=AG$59,SUM(AG$60:AG146)-VLOOKUP($N147,$A$60:$B$146,2,0),0)</f>
        <v>0</v>
      </c>
      <c r="AH147">
        <f ca="1">IF($N147=AH$59,SUM(AH$60:AH146)-VLOOKUP($N147,$A$60:$B$146,2,0),0)</f>
        <v>0</v>
      </c>
      <c r="AI147">
        <f ca="1">IF($N147=AI$59,SUM(AI$60:AI146)-VLOOKUP($N147,$A$60:$B$146,2,0),0)</f>
        <v>0</v>
      </c>
      <c r="AJ147">
        <f ca="1">IF($N147=AJ$59,SUM(AJ$60:AJ146)-VLOOKUP($N147,$A$60:$B$146,2,0),0)</f>
        <v>0</v>
      </c>
      <c r="AK147">
        <f ca="1">IF($N147=AK$59,SUM(AK$60:AK146)-VLOOKUP($N147,$A$60:$B$146,2,0),0)</f>
        <v>0</v>
      </c>
      <c r="AL147">
        <f ca="1">IF($N147=AL$59,SUM(AL$60:AL146)-VLOOKUP($N147,$A$60:$B$146,2,0),0)</f>
        <v>0</v>
      </c>
    </row>
    <row r="148" spans="12:38">
      <c r="L148" s="76">
        <v>87</v>
      </c>
      <c r="M148" s="76">
        <f ca="1">OFFSET(Receptury_z!$A$8,L148,0)</f>
        <v>6444</v>
      </c>
      <c r="N148" s="76">
        <f ca="1">OFFSET(Receptury_z!$C$8,L148,0)</f>
        <v>5546</v>
      </c>
      <c r="O148">
        <f t="shared" ca="1" si="48"/>
        <v>0</v>
      </c>
      <c r="P148">
        <f t="shared" ca="1" si="49"/>
        <v>1</v>
      </c>
      <c r="Q148">
        <f t="shared" ca="1" si="50"/>
        <v>0</v>
      </c>
      <c r="R148">
        <f t="shared" ca="1" si="51"/>
        <v>0</v>
      </c>
      <c r="S148" s="256">
        <f t="shared" ref="S148" ca="1" si="71">IFERROR(O148/R148,0)</f>
        <v>0</v>
      </c>
      <c r="T148" s="282">
        <f t="shared" ca="1" si="52"/>
        <v>0</v>
      </c>
      <c r="U148">
        <f t="shared" ref="U148" ca="1" si="72">MID(M148,1,4)*1</f>
        <v>6444</v>
      </c>
      <c r="V148">
        <f t="shared" ca="1" si="53"/>
        <v>0</v>
      </c>
      <c r="W148">
        <f t="shared" ca="1" si="54"/>
        <v>0</v>
      </c>
      <c r="X148">
        <f ca="1">IFERROR(VLOOKUP(U148,PLAN_P!$B:$D,3,0),0)</f>
        <v>0</v>
      </c>
      <c r="Y148">
        <f ca="1">IFERROR(VLOOKUP(V148,PLAN_P!$B:$D,3,0),0)</f>
        <v>0</v>
      </c>
      <c r="Z148">
        <f ca="1">IFERROR(VLOOKUP(W148,PLAN_P!$B:$D,3,0),0)</f>
        <v>0</v>
      </c>
      <c r="AC148" s="257">
        <f ca="1">SUMIF('Dane stany'!$J$5:$J$371,N148,'Dane stany'!$K$5:$K$371)</f>
        <v>0</v>
      </c>
      <c r="AE148">
        <f ca="1">IF($N148=AE$60,SUM(AE$60:AE147)-VLOOKUP(N148,$A$60:$B$146,2,0),0)</f>
        <v>0</v>
      </c>
      <c r="AF148">
        <f ca="1">IF($N148=AF$59,SUM(AF$60:AF147)-VLOOKUP($N148,$A$60:$B$146,2,0),0)</f>
        <v>0</v>
      </c>
      <c r="AG148">
        <f ca="1">IF($N148=AG$59,SUM(AG$60:AG147)-VLOOKUP($N148,$A$60:$B$146,2,0),0)</f>
        <v>0</v>
      </c>
      <c r="AH148">
        <f ca="1">IF($N148=AH$59,SUM(AH$60:AH147)-VLOOKUP($N148,$A$60:$B$146,2,0),0)</f>
        <v>0</v>
      </c>
      <c r="AI148">
        <f ca="1">IF($N148=AI$59,SUM(AI$60:AI147)-VLOOKUP($N148,$A$60:$B$146,2,0),0)</f>
        <v>0</v>
      </c>
      <c r="AJ148">
        <f ca="1">IF($N148=AJ$59,SUM(AJ$60:AJ147)-VLOOKUP($N148,$A$60:$B$146,2,0),0)</f>
        <v>0</v>
      </c>
      <c r="AK148">
        <f ca="1">IF($N148=AK$59,SUM(AK$60:AK147)-VLOOKUP($N148,$A$60:$B$146,2,0),0)</f>
        <v>0</v>
      </c>
      <c r="AL148">
        <f ca="1">IF($N148=AL$59,SUM(AL$60:AL147)-VLOOKUP($N148,$A$60:$B$146,2,0),0)</f>
        <v>0</v>
      </c>
    </row>
  </sheetData>
  <autoFilter ref="M59:AC147" xr:uid="{583E6CCA-1A14-4C09-855E-E2F4C08BCCFD}"/>
  <mergeCells count="1">
    <mergeCell ref="M1:Q1"/>
  </mergeCells>
  <phoneticPr fontId="6" type="noConversion"/>
  <conditionalFormatting sqref="J22">
    <cfRule type="expression" priority="3" stopIfTrue="1">
      <formula>$J$2</formula>
    </cfRule>
  </conditionalFormatting>
  <conditionalFormatting sqref="J23:J30">
    <cfRule type="expression" priority="1" stopIfTrue="1">
      <formula>$J$2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9165-5B99-4D89-896F-70048C48B1D4}">
  <sheetPr codeName="Arkusz7">
    <pageSetUpPr fitToPage="1"/>
  </sheetPr>
  <dimension ref="A3:BG151"/>
  <sheetViews>
    <sheetView topLeftCell="A4" zoomScaleNormal="100" workbookViewId="0">
      <pane xSplit="5" ySplit="4" topLeftCell="AK8" activePane="bottomRight" state="frozen"/>
      <selection activeCell="A4" sqref="A4"/>
      <selection pane="topRight" activeCell="F4" sqref="F4"/>
      <selection pane="bottomLeft" activeCell="A6" sqref="A6"/>
      <selection pane="bottomRight" activeCell="F85" sqref="F85:BA85"/>
    </sheetView>
  </sheetViews>
  <sheetFormatPr defaultRowHeight="15"/>
  <cols>
    <col min="2" max="2" width="14.42578125" bestFit="1" customWidth="1"/>
    <col min="3" max="3" width="15.42578125" bestFit="1" customWidth="1"/>
    <col min="4" max="4" width="21.42578125" customWidth="1"/>
    <col min="5" max="5" width="41" customWidth="1"/>
    <col min="6" max="6" width="14" customWidth="1"/>
    <col min="7" max="7" width="15.42578125" customWidth="1"/>
    <col min="8" max="8" width="15.5703125" customWidth="1"/>
    <col min="9" max="9" width="13.5703125" customWidth="1"/>
    <col min="10" max="10" width="11" customWidth="1"/>
    <col min="11" max="11" width="13.5703125" customWidth="1"/>
    <col min="12" max="14" width="15.42578125" customWidth="1"/>
    <col min="15" max="15" width="23.42578125" customWidth="1"/>
    <col min="16" max="16" width="15" customWidth="1"/>
    <col min="17" max="17" width="14" customWidth="1"/>
    <col min="18" max="18" width="10.5703125" customWidth="1"/>
    <col min="19" max="19" width="9.5703125" customWidth="1"/>
    <col min="20" max="21" width="18.42578125" customWidth="1"/>
    <col min="22" max="22" width="9.42578125" customWidth="1"/>
    <col min="23" max="23" width="22.42578125" customWidth="1"/>
    <col min="24" max="24" width="17.42578125" customWidth="1"/>
    <col min="25" max="25" width="16.42578125" customWidth="1"/>
    <col min="26" max="26" width="23.42578125" customWidth="1"/>
    <col min="27" max="27" width="21.42578125" customWidth="1"/>
    <col min="28" max="28" width="8.42578125" customWidth="1"/>
    <col min="29" max="29" width="9.5703125" customWidth="1"/>
    <col min="30" max="30" width="18.5703125" customWidth="1"/>
    <col min="31" max="32" width="12.5703125" customWidth="1"/>
    <col min="33" max="33" width="15.5703125" customWidth="1"/>
    <col min="34" max="34" width="11.42578125" customWidth="1"/>
    <col min="35" max="35" width="16.5703125" customWidth="1"/>
    <col min="36" max="36" width="25.42578125" customWidth="1"/>
    <col min="37" max="37" width="19.42578125" customWidth="1"/>
    <col min="38" max="39" width="16.5703125" customWidth="1"/>
    <col min="40" max="40" width="13.42578125" customWidth="1"/>
    <col min="41" max="41" width="16.5703125" customWidth="1"/>
    <col min="42" max="42" width="24" customWidth="1"/>
    <col min="43" max="43" width="16.5703125" customWidth="1"/>
    <col min="44" max="44" width="24.42578125" customWidth="1"/>
    <col min="45" max="47" width="17.42578125" customWidth="1"/>
    <col min="48" max="48" width="20.5703125" customWidth="1"/>
    <col min="49" max="49" width="12.42578125" bestFit="1" customWidth="1"/>
    <col min="50" max="52" width="13.5703125" customWidth="1"/>
    <col min="53" max="53" width="18.42578125" customWidth="1"/>
    <col min="54" max="54" width="14" customWidth="1"/>
    <col min="55" max="55" width="15.42578125" customWidth="1"/>
    <col min="56" max="56" width="11.42578125" customWidth="1"/>
  </cols>
  <sheetData>
    <row r="3" spans="1:59" ht="17.850000000000001" customHeight="1"/>
    <row r="4" spans="1:59" ht="17.850000000000001" customHeight="1">
      <c r="F4" s="604">
        <f>G114</f>
        <v>0.09</v>
      </c>
      <c r="G4" s="604">
        <f>G134</f>
        <v>0.18</v>
      </c>
      <c r="H4" s="604">
        <f>G113</f>
        <v>0.09</v>
      </c>
      <c r="I4" s="604">
        <f>G125</f>
        <v>7.0000000000000007E-2</v>
      </c>
      <c r="J4" s="604">
        <f>G126</f>
        <v>0.2</v>
      </c>
      <c r="K4" s="604">
        <v>0.06</v>
      </c>
      <c r="L4" s="604">
        <f>G115</f>
        <v>0.2</v>
      </c>
      <c r="M4" s="604">
        <f>G117</f>
        <v>0.4</v>
      </c>
      <c r="N4" s="604">
        <f>G119</f>
        <v>0.25</v>
      </c>
      <c r="O4" s="604">
        <f>G121</f>
        <v>0.35</v>
      </c>
      <c r="P4" s="604">
        <v>0</v>
      </c>
      <c r="Q4" s="604">
        <f>G130</f>
        <v>0.78</v>
      </c>
      <c r="R4" s="604">
        <f>G124</f>
        <v>0.57999999999999996</v>
      </c>
      <c r="S4" s="604">
        <v>0.16</v>
      </c>
      <c r="T4" s="604">
        <f>G115</f>
        <v>0.2</v>
      </c>
      <c r="U4" s="604">
        <f>G117</f>
        <v>0.4</v>
      </c>
      <c r="V4" s="604">
        <f>G147</f>
        <v>0.1</v>
      </c>
      <c r="W4" s="604">
        <v>0.1</v>
      </c>
      <c r="X4" s="604">
        <f>G119</f>
        <v>0.25</v>
      </c>
      <c r="Y4" s="604">
        <f>G134</f>
        <v>0.18</v>
      </c>
      <c r="Z4" s="604">
        <v>8.5000000000000006E-2</v>
      </c>
      <c r="AA4" s="604">
        <v>0.28000000000000003</v>
      </c>
      <c r="AB4" s="604">
        <v>0.16</v>
      </c>
      <c r="AC4" s="604">
        <f>G140</f>
        <v>0.13</v>
      </c>
      <c r="AD4" s="604">
        <f>G144</f>
        <v>0.1</v>
      </c>
      <c r="AE4" s="604">
        <f>G149</f>
        <v>0.15</v>
      </c>
      <c r="AF4" s="604">
        <f>G141</f>
        <v>0.15</v>
      </c>
      <c r="AG4" s="604">
        <f>G148</f>
        <v>0.43</v>
      </c>
      <c r="AH4" s="604">
        <v>0.22</v>
      </c>
      <c r="AI4" s="604">
        <v>0.22</v>
      </c>
      <c r="AJ4" s="604">
        <v>0.13</v>
      </c>
      <c r="AK4" s="604">
        <v>0.18</v>
      </c>
      <c r="AL4" s="604">
        <v>0.4</v>
      </c>
      <c r="AM4" s="604">
        <v>0.06</v>
      </c>
      <c r="AN4" s="604">
        <f>G121</f>
        <v>0.35</v>
      </c>
      <c r="AO4" s="604">
        <f>G109</f>
        <v>0.2</v>
      </c>
      <c r="AP4" s="604">
        <v>0.4</v>
      </c>
      <c r="AQ4" s="604">
        <f>G107</f>
        <v>8.1000000000000003E-2</v>
      </c>
      <c r="AR4" s="604">
        <f>G135</f>
        <v>0.35</v>
      </c>
      <c r="AS4" s="604">
        <v>0.3</v>
      </c>
      <c r="AT4" s="604">
        <f>G139</f>
        <v>0.05</v>
      </c>
      <c r="AU4" s="604">
        <f>G120</f>
        <v>0.2</v>
      </c>
      <c r="AV4" s="604">
        <f>G145</f>
        <v>0.12</v>
      </c>
      <c r="AW4" s="604">
        <f>G142</f>
        <v>0.13</v>
      </c>
      <c r="AX4" s="692">
        <f>G143</f>
        <v>0.15</v>
      </c>
      <c r="AY4" s="692">
        <f>G146</f>
        <v>0.12</v>
      </c>
      <c r="AZ4" s="692">
        <f>G139</f>
        <v>0.05</v>
      </c>
      <c r="BA4" s="692">
        <f>G150</f>
        <v>0.1</v>
      </c>
    </row>
    <row r="5" spans="1:59">
      <c r="E5" s="43" t="s">
        <v>17327</v>
      </c>
      <c r="F5" s="514">
        <f>F114</f>
        <v>14.6</v>
      </c>
      <c r="G5" s="514">
        <f>F134</f>
        <v>7</v>
      </c>
      <c r="H5" s="514">
        <f>F113</f>
        <v>14.6</v>
      </c>
      <c r="I5" s="514">
        <f>F125</f>
        <v>14.03</v>
      </c>
      <c r="J5" s="514">
        <f>F126</f>
        <v>7</v>
      </c>
      <c r="K5" s="514">
        <v>16</v>
      </c>
      <c r="L5" s="514">
        <f>F115</f>
        <v>12.9</v>
      </c>
      <c r="M5" s="514">
        <f>F117</f>
        <v>9.4</v>
      </c>
      <c r="N5" s="514">
        <f>F119</f>
        <v>12.7</v>
      </c>
      <c r="O5" s="514">
        <f>F121</f>
        <v>7</v>
      </c>
      <c r="P5" s="514"/>
      <c r="Q5" s="514">
        <f>F130</f>
        <v>3.5</v>
      </c>
      <c r="R5" s="514">
        <f>F124</f>
        <v>7</v>
      </c>
      <c r="S5" s="514">
        <v>5.3</v>
      </c>
      <c r="T5" s="514">
        <f>'Klon wp. tydzień 07'!E48</f>
        <v>12.98</v>
      </c>
      <c r="U5" s="514">
        <f>'Klon wp. tydzień 07'!E13</f>
        <v>9.51</v>
      </c>
      <c r="V5" s="514">
        <f>F147</f>
        <v>7.57</v>
      </c>
      <c r="W5" s="514">
        <f>'Klon wp. tydzień 07'!E116</f>
        <v>14.65</v>
      </c>
      <c r="X5" s="514">
        <f>'Klon wp. tydzień 07'!E97</f>
        <v>11.25</v>
      </c>
      <c r="Y5" s="514">
        <f>F121</f>
        <v>7</v>
      </c>
      <c r="Z5" s="514">
        <f>'Klon wp. tydzień 07'!E150</f>
        <v>16.14</v>
      </c>
      <c r="AA5" s="514">
        <f>'Klon wp. tydzień 07'!E187</f>
        <v>12</v>
      </c>
      <c r="AB5" s="514">
        <v>0.65</v>
      </c>
      <c r="AC5" s="514">
        <f>F140</f>
        <v>13</v>
      </c>
      <c r="AD5" s="514">
        <f>F144</f>
        <v>11</v>
      </c>
      <c r="AE5" s="514">
        <f>F149</f>
        <v>1.75</v>
      </c>
      <c r="AF5" s="514">
        <f>F141</f>
        <v>11.2</v>
      </c>
      <c r="AG5" s="514">
        <f>F148</f>
        <v>1.8</v>
      </c>
      <c r="AH5" s="514">
        <v>2.83</v>
      </c>
      <c r="AI5" s="514">
        <v>2.2400000000000002</v>
      </c>
      <c r="AJ5" s="514">
        <f>'Klon wp. tydzień 07'!E134</f>
        <v>14.65</v>
      </c>
      <c r="AK5" s="514">
        <f>F115</f>
        <v>12.9</v>
      </c>
      <c r="AL5" s="514">
        <v>3.53</v>
      </c>
      <c r="AM5" s="514"/>
      <c r="AN5" s="514">
        <f>'Klon wp. tydzień 07'!E158</f>
        <v>7.49</v>
      </c>
      <c r="AO5" s="514">
        <f>F109</f>
        <v>12.9</v>
      </c>
      <c r="AP5" s="514">
        <f>'Klon wp. tydzień 07'!E208</f>
        <v>8.59</v>
      </c>
      <c r="AQ5" s="514">
        <f>F107</f>
        <v>15.72</v>
      </c>
      <c r="AR5" s="514">
        <f>F135</f>
        <v>7</v>
      </c>
      <c r="AS5" s="514">
        <f>F116</f>
        <v>10.5</v>
      </c>
      <c r="AT5" s="514">
        <f>F139</f>
        <v>13</v>
      </c>
      <c r="AU5" s="514">
        <f>F120</f>
        <v>12.2</v>
      </c>
      <c r="AV5" s="514">
        <f>F145</f>
        <v>8.5</v>
      </c>
      <c r="AW5" s="514">
        <f>F142</f>
        <v>10.83</v>
      </c>
      <c r="AX5" s="514">
        <f>F143</f>
        <v>10.130000000000001</v>
      </c>
      <c r="AY5" s="514">
        <f>F146</f>
        <v>6.84</v>
      </c>
      <c r="AZ5" s="514">
        <f>F139</f>
        <v>13</v>
      </c>
      <c r="BA5" s="514">
        <f>F150</f>
        <v>15</v>
      </c>
    </row>
    <row r="6" spans="1:59">
      <c r="E6" s="43"/>
      <c r="F6">
        <v>3</v>
      </c>
      <c r="G6">
        <v>4</v>
      </c>
      <c r="H6">
        <v>5</v>
      </c>
      <c r="I6">
        <v>6</v>
      </c>
      <c r="J6">
        <v>7</v>
      </c>
      <c r="K6">
        <v>8</v>
      </c>
      <c r="L6">
        <v>9</v>
      </c>
      <c r="M6">
        <v>10</v>
      </c>
      <c r="N6">
        <v>11</v>
      </c>
      <c r="O6">
        <v>12</v>
      </c>
      <c r="P6">
        <v>13</v>
      </c>
      <c r="Q6">
        <v>14</v>
      </c>
      <c r="R6">
        <v>15</v>
      </c>
      <c r="S6">
        <v>16</v>
      </c>
      <c r="T6">
        <v>17</v>
      </c>
      <c r="U6">
        <v>18</v>
      </c>
      <c r="V6">
        <v>19</v>
      </c>
      <c r="W6">
        <v>20</v>
      </c>
      <c r="X6">
        <v>21</v>
      </c>
      <c r="Y6">
        <v>22</v>
      </c>
      <c r="Z6">
        <v>23</v>
      </c>
      <c r="AA6">
        <v>24</v>
      </c>
      <c r="AB6">
        <v>25</v>
      </c>
      <c r="AC6">
        <v>26</v>
      </c>
      <c r="AD6">
        <v>27</v>
      </c>
      <c r="AE6">
        <v>28</v>
      </c>
      <c r="AF6">
        <v>29</v>
      </c>
      <c r="AG6">
        <v>30</v>
      </c>
      <c r="AH6">
        <v>31</v>
      </c>
      <c r="AI6">
        <v>32</v>
      </c>
      <c r="AJ6">
        <v>33</v>
      </c>
      <c r="AK6">
        <v>34</v>
      </c>
      <c r="AL6">
        <v>35</v>
      </c>
      <c r="AM6">
        <v>36</v>
      </c>
    </row>
    <row r="7" spans="1:59" ht="15.75">
      <c r="B7" s="14" t="s">
        <v>173</v>
      </c>
      <c r="C7" s="14" t="s">
        <v>67</v>
      </c>
      <c r="D7" s="14" t="s">
        <v>68</v>
      </c>
      <c r="E7" s="14" t="s">
        <v>69</v>
      </c>
      <c r="F7" s="15" t="s">
        <v>3</v>
      </c>
      <c r="G7" s="15" t="s">
        <v>18002</v>
      </c>
      <c r="H7" s="15" t="s">
        <v>4</v>
      </c>
      <c r="I7" s="15" t="s">
        <v>7</v>
      </c>
      <c r="J7" s="15" t="s">
        <v>17950</v>
      </c>
      <c r="K7" s="15" t="s">
        <v>9</v>
      </c>
      <c r="L7" s="15" t="s">
        <v>0</v>
      </c>
      <c r="M7" s="15" t="s">
        <v>1</v>
      </c>
      <c r="N7" s="15" t="s">
        <v>2</v>
      </c>
      <c r="O7" s="15" t="s">
        <v>17948</v>
      </c>
      <c r="P7" s="15" t="s">
        <v>17874</v>
      </c>
      <c r="Q7" s="15" t="s">
        <v>10</v>
      </c>
      <c r="R7" s="15" t="s">
        <v>11</v>
      </c>
      <c r="S7" s="15" t="s">
        <v>12</v>
      </c>
      <c r="T7" s="15" t="s">
        <v>6</v>
      </c>
      <c r="U7" s="15" t="s">
        <v>5</v>
      </c>
      <c r="V7" s="15" t="s">
        <v>17877</v>
      </c>
      <c r="W7" s="15" t="s">
        <v>15</v>
      </c>
      <c r="X7" s="15" t="s">
        <v>183</v>
      </c>
      <c r="Y7" s="15" t="s">
        <v>17322</v>
      </c>
      <c r="Z7" s="15" t="s">
        <v>16</v>
      </c>
      <c r="AA7" s="15" t="s">
        <v>14</v>
      </c>
      <c r="AB7" s="15" t="s">
        <v>13</v>
      </c>
      <c r="AC7" s="14" t="s">
        <v>17977</v>
      </c>
      <c r="AD7" s="14" t="s">
        <v>17964</v>
      </c>
      <c r="AE7" s="14" t="s">
        <v>79</v>
      </c>
      <c r="AF7" s="14" t="s">
        <v>17962</v>
      </c>
      <c r="AG7" s="14" t="s">
        <v>80</v>
      </c>
      <c r="AH7" s="15" t="s">
        <v>74</v>
      </c>
      <c r="AI7" s="15" t="s">
        <v>75</v>
      </c>
      <c r="AJ7" s="15" t="s">
        <v>191</v>
      </c>
      <c r="AK7" s="15" t="s">
        <v>17987</v>
      </c>
      <c r="AL7" s="15" t="s">
        <v>209</v>
      </c>
      <c r="AM7" s="15" t="s">
        <v>17875</v>
      </c>
      <c r="AN7" s="574" t="s">
        <v>17951</v>
      </c>
      <c r="AO7" s="15" t="s">
        <v>325</v>
      </c>
      <c r="AP7" s="15" t="s">
        <v>359</v>
      </c>
      <c r="AQ7" s="15" t="s">
        <v>358</v>
      </c>
      <c r="AR7" s="15" t="s">
        <v>17862</v>
      </c>
      <c r="AS7" s="15" t="s">
        <v>15559</v>
      </c>
      <c r="AT7" s="15" t="str">
        <f>Konfiguracja!$B43</f>
        <v>KK M-SO MIX  JASNE D6</v>
      </c>
      <c r="AU7" s="15" t="s">
        <v>8517</v>
      </c>
      <c r="AV7" s="15" t="str">
        <f>Konfiguracja!B45</f>
        <v>M-so z Fileta</v>
      </c>
      <c r="AW7" s="15" t="str">
        <f>Konfiguracja!$B46</f>
        <v>Noga z/s</v>
      </c>
      <c r="AX7" s="15" t="str">
        <f>Konfiguracja!$B47</f>
        <v>Podudzie z/s</v>
      </c>
      <c r="AY7" s="15" t="str">
        <f>Konfiguracja!$B48</f>
        <v>M-so z Nogi</v>
      </c>
      <c r="AZ7" s="15" t="str">
        <f>Konfiguracja!B49</f>
        <v xml:space="preserve">KK Filet </v>
      </c>
      <c r="BA7" s="15" t="str">
        <f>Konfiguracja!B50</f>
        <v xml:space="preserve">KK Polędwiczka </v>
      </c>
      <c r="BB7" s="475" t="s">
        <v>17866</v>
      </c>
      <c r="BC7" s="475" t="s">
        <v>17953</v>
      </c>
      <c r="BD7" s="475" t="s">
        <v>17864</v>
      </c>
      <c r="BE7" s="475" t="s">
        <v>17326</v>
      </c>
      <c r="BF7" s="475" t="s">
        <v>17954</v>
      </c>
      <c r="BG7" s="475" t="s">
        <v>17865</v>
      </c>
    </row>
    <row r="8" spans="1:59" ht="31.5">
      <c r="A8">
        <f>D8</f>
        <v>6068</v>
      </c>
      <c r="B8" s="79" t="s">
        <v>188</v>
      </c>
      <c r="C8" s="16">
        <v>5135</v>
      </c>
      <c r="D8" s="17">
        <v>6068</v>
      </c>
      <c r="E8" s="18" t="s">
        <v>17</v>
      </c>
      <c r="F8" s="238">
        <v>0</v>
      </c>
      <c r="G8" s="238">
        <v>0</v>
      </c>
      <c r="H8" s="238">
        <v>0</v>
      </c>
      <c r="I8" s="238">
        <v>0</v>
      </c>
      <c r="J8" s="238">
        <v>0</v>
      </c>
      <c r="K8" s="238">
        <v>619.69000000000005</v>
      </c>
      <c r="L8" s="238">
        <v>0</v>
      </c>
      <c r="M8" s="238">
        <v>0</v>
      </c>
      <c r="N8" s="238">
        <v>0</v>
      </c>
      <c r="O8" s="238">
        <v>0</v>
      </c>
      <c r="P8" s="238">
        <v>0</v>
      </c>
      <c r="Q8" s="238">
        <v>0</v>
      </c>
      <c r="R8" s="238">
        <v>0</v>
      </c>
      <c r="S8" s="238">
        <v>0</v>
      </c>
      <c r="T8" s="238">
        <v>0</v>
      </c>
      <c r="U8" s="238">
        <v>0</v>
      </c>
      <c r="V8" s="238">
        <v>0</v>
      </c>
      <c r="W8" s="238">
        <v>0</v>
      </c>
      <c r="X8" s="238">
        <v>0</v>
      </c>
      <c r="Y8" s="238">
        <v>0</v>
      </c>
      <c r="Z8" s="238">
        <v>0</v>
      </c>
      <c r="AA8" s="238">
        <v>0</v>
      </c>
      <c r="AB8" s="238">
        <v>0</v>
      </c>
      <c r="AC8" s="238">
        <v>0</v>
      </c>
      <c r="AD8" s="238">
        <v>0</v>
      </c>
      <c r="AE8" s="238">
        <v>0</v>
      </c>
      <c r="AF8" s="238">
        <v>0</v>
      </c>
      <c r="AG8" s="238">
        <v>0</v>
      </c>
      <c r="AH8" s="238">
        <v>0</v>
      </c>
      <c r="AI8" s="238">
        <v>0</v>
      </c>
      <c r="AJ8" s="238">
        <v>0</v>
      </c>
      <c r="AK8" s="238">
        <v>0</v>
      </c>
      <c r="AL8" s="238">
        <v>0</v>
      </c>
      <c r="AM8" s="238">
        <v>0</v>
      </c>
      <c r="AN8" s="238">
        <v>0</v>
      </c>
      <c r="AO8" s="15"/>
      <c r="AP8" s="15"/>
      <c r="AQ8" s="15"/>
      <c r="AR8" s="15"/>
      <c r="AS8" s="15"/>
      <c r="AT8" s="15"/>
      <c r="AU8" s="15"/>
      <c r="AV8" s="15"/>
      <c r="AW8" s="233"/>
      <c r="AX8" s="233"/>
      <c r="AY8" s="233"/>
      <c r="AZ8" s="233"/>
      <c r="BA8" s="233"/>
      <c r="BB8" s="670">
        <f>1000-BC8</f>
        <v>380.30999999999995</v>
      </c>
      <c r="BC8" s="671">
        <f>SUM(F8:BA8)</f>
        <v>619.69000000000005</v>
      </c>
      <c r="BD8" s="668">
        <v>11.07</v>
      </c>
      <c r="BE8" s="667">
        <f t="shared" ref="BE8:BE39" si="0">SUMPRODUCT(F8:AY8,$F$5:$AY$5)/1000</f>
        <v>9.9150400000000012</v>
      </c>
      <c r="BF8" s="648" t="s">
        <v>17927</v>
      </c>
      <c r="BG8" s="669">
        <f t="shared" ref="BG8:BG39" si="1">SUMPRODUCT(F8:AY8,$F$4:$AY$4)/1000</f>
        <v>3.7181400000000003E-2</v>
      </c>
    </row>
    <row r="9" spans="1:59" ht="15.75">
      <c r="A9">
        <f>D9</f>
        <v>6066</v>
      </c>
      <c r="B9" s="79" t="s">
        <v>188</v>
      </c>
      <c r="C9" s="16">
        <v>5135</v>
      </c>
      <c r="D9" s="17">
        <v>6066</v>
      </c>
      <c r="E9" s="18" t="s">
        <v>15251</v>
      </c>
      <c r="F9" s="238">
        <v>0</v>
      </c>
      <c r="G9" s="238">
        <v>0</v>
      </c>
      <c r="H9" s="238">
        <v>0</v>
      </c>
      <c r="I9" s="238">
        <v>0</v>
      </c>
      <c r="J9" s="238">
        <v>0</v>
      </c>
      <c r="K9" s="238">
        <v>619.69000000000005</v>
      </c>
      <c r="L9" s="238">
        <v>0</v>
      </c>
      <c r="M9" s="238">
        <v>0</v>
      </c>
      <c r="N9" s="238">
        <v>0</v>
      </c>
      <c r="O9" s="238">
        <v>0</v>
      </c>
      <c r="P9" s="238">
        <v>0</v>
      </c>
      <c r="Q9" s="238">
        <v>0</v>
      </c>
      <c r="R9" s="238">
        <v>0</v>
      </c>
      <c r="S9" s="238">
        <v>0</v>
      </c>
      <c r="T9" s="238">
        <v>0</v>
      </c>
      <c r="U9" s="238">
        <v>0</v>
      </c>
      <c r="V9" s="238">
        <v>0</v>
      </c>
      <c r="W9" s="238">
        <v>0</v>
      </c>
      <c r="X9" s="238">
        <v>0</v>
      </c>
      <c r="Y9" s="238">
        <v>0</v>
      </c>
      <c r="Z9" s="238">
        <v>0</v>
      </c>
      <c r="AA9" s="238">
        <v>0</v>
      </c>
      <c r="AB9" s="238">
        <v>0</v>
      </c>
      <c r="AC9" s="238">
        <v>0</v>
      </c>
      <c r="AD9" s="238">
        <v>0</v>
      </c>
      <c r="AE9" s="238">
        <v>0</v>
      </c>
      <c r="AF9" s="238">
        <v>0</v>
      </c>
      <c r="AG9" s="238">
        <v>0</v>
      </c>
      <c r="AH9" s="238">
        <v>0</v>
      </c>
      <c r="AI9" s="238">
        <v>0</v>
      </c>
      <c r="AJ9" s="238">
        <v>0</v>
      </c>
      <c r="AK9" s="238">
        <v>0</v>
      </c>
      <c r="AL9" s="238">
        <v>0</v>
      </c>
      <c r="AM9" s="238">
        <v>0</v>
      </c>
      <c r="AN9" s="238"/>
      <c r="AO9" s="15"/>
      <c r="AP9" s="15"/>
      <c r="AQ9" s="15"/>
      <c r="AR9" s="15"/>
      <c r="AS9" s="15"/>
      <c r="AT9" s="15"/>
      <c r="AU9" s="15"/>
      <c r="AV9" s="15"/>
      <c r="AW9" s="233"/>
      <c r="AX9" s="233"/>
      <c r="AY9" s="233"/>
      <c r="AZ9" s="233"/>
      <c r="BA9" s="233"/>
      <c r="BB9" s="670">
        <f t="shared" ref="BB9:BB73" si="2">1000-BC9</f>
        <v>380.30999999999995</v>
      </c>
      <c r="BC9" s="671">
        <f t="shared" ref="BC9:BC65" si="3">SUM(F9:BA9)</f>
        <v>619.69000000000005</v>
      </c>
      <c r="BD9" s="668"/>
      <c r="BE9" s="667">
        <f t="shared" si="0"/>
        <v>9.9150400000000012</v>
      </c>
      <c r="BF9" s="648" t="s">
        <v>17927</v>
      </c>
      <c r="BG9" s="669">
        <f t="shared" si="1"/>
        <v>3.7181400000000003E-2</v>
      </c>
    </row>
    <row r="10" spans="1:59" ht="15.75">
      <c r="A10">
        <f t="shared" ref="A10:A96" si="4">D10</f>
        <v>6350</v>
      </c>
      <c r="B10" s="79" t="s">
        <v>188</v>
      </c>
      <c r="C10" s="16">
        <v>5114</v>
      </c>
      <c r="D10" s="19">
        <v>6350</v>
      </c>
      <c r="E10" s="18" t="s">
        <v>18</v>
      </c>
      <c r="F10" s="238">
        <v>248.5</v>
      </c>
      <c r="G10" s="238">
        <v>0</v>
      </c>
      <c r="H10" s="238">
        <v>0</v>
      </c>
      <c r="I10" s="238">
        <v>0</v>
      </c>
      <c r="J10" s="238">
        <v>0</v>
      </c>
      <c r="K10" s="238">
        <v>284</v>
      </c>
      <c r="L10" s="238">
        <v>0</v>
      </c>
      <c r="M10" s="238">
        <v>0</v>
      </c>
      <c r="N10" s="238">
        <v>106.46</v>
      </c>
      <c r="O10" s="238">
        <v>0</v>
      </c>
      <c r="P10" s="238">
        <v>0</v>
      </c>
      <c r="Q10" s="238">
        <v>0</v>
      </c>
      <c r="R10" s="238">
        <v>0</v>
      </c>
      <c r="S10" s="238">
        <v>0</v>
      </c>
      <c r="T10" s="238">
        <v>0</v>
      </c>
      <c r="U10" s="238">
        <v>0</v>
      </c>
      <c r="V10" s="238">
        <v>0</v>
      </c>
      <c r="W10" s="238">
        <v>0</v>
      </c>
      <c r="X10" s="238">
        <v>0</v>
      </c>
      <c r="Y10" s="238">
        <v>0</v>
      </c>
      <c r="Z10" s="238">
        <v>0</v>
      </c>
      <c r="AA10" s="238">
        <v>0</v>
      </c>
      <c r="AB10" s="238">
        <v>71.010000000000005</v>
      </c>
      <c r="AC10" s="238">
        <v>0</v>
      </c>
      <c r="AD10" s="238">
        <v>0</v>
      </c>
      <c r="AE10" s="238">
        <v>0</v>
      </c>
      <c r="AF10" s="238">
        <v>0</v>
      </c>
      <c r="AG10" s="238">
        <v>0</v>
      </c>
      <c r="AH10" s="238">
        <v>0</v>
      </c>
      <c r="AI10" s="238">
        <v>0</v>
      </c>
      <c r="AJ10" s="238">
        <v>0</v>
      </c>
      <c r="AK10" s="238">
        <v>0</v>
      </c>
      <c r="AL10" s="238">
        <v>0</v>
      </c>
      <c r="AM10" s="238">
        <v>0</v>
      </c>
      <c r="AN10" s="238"/>
      <c r="AO10" s="15"/>
      <c r="AP10" s="15"/>
      <c r="AQ10" s="15"/>
      <c r="AR10" s="15"/>
      <c r="AS10" s="15"/>
      <c r="AT10" s="15"/>
      <c r="AU10" s="15"/>
      <c r="AV10" s="15"/>
      <c r="AW10" s="233"/>
      <c r="AX10" s="233"/>
      <c r="AY10" s="233"/>
      <c r="AZ10" s="233"/>
      <c r="BA10" s="233"/>
      <c r="BB10" s="670">
        <f t="shared" si="2"/>
        <v>290.02999999999997</v>
      </c>
      <c r="BC10" s="671">
        <f t="shared" si="3"/>
        <v>709.97</v>
      </c>
      <c r="BD10" s="668">
        <v>10.7</v>
      </c>
      <c r="BE10" s="667">
        <f t="shared" si="0"/>
        <v>9.5702984999999998</v>
      </c>
      <c r="BF10" s="648" t="s">
        <v>17926</v>
      </c>
      <c r="BG10" s="669">
        <f t="shared" si="1"/>
        <v>7.7381599999999995E-2</v>
      </c>
    </row>
    <row r="11" spans="1:59" ht="15.75">
      <c r="A11">
        <f t="shared" si="4"/>
        <v>6354</v>
      </c>
      <c r="B11" s="79" t="s">
        <v>188</v>
      </c>
      <c r="C11" s="16">
        <v>5448</v>
      </c>
      <c r="D11" s="19">
        <v>6354</v>
      </c>
      <c r="E11" s="18" t="s">
        <v>19</v>
      </c>
      <c r="F11" s="238">
        <v>0</v>
      </c>
      <c r="G11" s="238">
        <v>0</v>
      </c>
      <c r="H11" s="238">
        <v>0</v>
      </c>
      <c r="I11" s="238">
        <v>0</v>
      </c>
      <c r="J11" s="238">
        <v>0</v>
      </c>
      <c r="K11" s="238">
        <v>0</v>
      </c>
      <c r="L11" s="238">
        <v>0</v>
      </c>
      <c r="M11" s="238">
        <v>0</v>
      </c>
      <c r="N11" s="238">
        <v>0</v>
      </c>
      <c r="O11" s="238">
        <v>0</v>
      </c>
      <c r="P11" s="238">
        <v>0</v>
      </c>
      <c r="Q11" s="238">
        <v>0</v>
      </c>
      <c r="R11" s="238">
        <v>0</v>
      </c>
      <c r="S11" s="238">
        <v>0</v>
      </c>
      <c r="T11" s="238">
        <v>0</v>
      </c>
      <c r="U11" s="238">
        <v>0</v>
      </c>
      <c r="V11" s="238">
        <v>0</v>
      </c>
      <c r="W11" s="238">
        <v>0</v>
      </c>
      <c r="X11" s="238">
        <v>0</v>
      </c>
      <c r="Y11" s="238">
        <v>0</v>
      </c>
      <c r="Z11" s="238">
        <v>0</v>
      </c>
      <c r="AA11" s="238">
        <v>0</v>
      </c>
      <c r="AB11" s="238">
        <v>0</v>
      </c>
      <c r="AC11" s="238">
        <v>969.1</v>
      </c>
      <c r="AD11" s="238">
        <v>0</v>
      </c>
      <c r="AE11" s="238">
        <v>0</v>
      </c>
      <c r="AF11" s="238">
        <v>0</v>
      </c>
      <c r="AG11" s="238">
        <v>0</v>
      </c>
      <c r="AH11" s="238">
        <v>0</v>
      </c>
      <c r="AI11" s="238">
        <v>0</v>
      </c>
      <c r="AJ11" s="238">
        <v>0</v>
      </c>
      <c r="AK11" s="238">
        <v>0</v>
      </c>
      <c r="AL11" s="238">
        <v>0</v>
      </c>
      <c r="AM11" s="238">
        <v>0</v>
      </c>
      <c r="AN11" s="238"/>
      <c r="AO11" s="15"/>
      <c r="AP11" s="15"/>
      <c r="AQ11" s="15"/>
      <c r="AR11" s="15"/>
      <c r="AS11" s="15"/>
      <c r="AT11" s="15"/>
      <c r="AU11" s="15"/>
      <c r="AV11" s="15"/>
      <c r="AW11" s="233"/>
      <c r="AX11" s="233"/>
      <c r="AY11" s="233"/>
      <c r="AZ11" s="233"/>
      <c r="BA11" s="233"/>
      <c r="BB11" s="670">
        <f t="shared" si="2"/>
        <v>30.899999999999977</v>
      </c>
      <c r="BC11" s="671">
        <f t="shared" si="3"/>
        <v>969.1</v>
      </c>
      <c r="BD11" s="668">
        <v>13.12</v>
      </c>
      <c r="BE11" s="667">
        <f t="shared" si="0"/>
        <v>12.598300000000002</v>
      </c>
      <c r="BF11" s="643" t="s">
        <v>17925</v>
      </c>
      <c r="BG11" s="669">
        <f t="shared" si="1"/>
        <v>0.12598300000000001</v>
      </c>
    </row>
    <row r="12" spans="1:59" ht="15.75">
      <c r="A12">
        <f t="shared" si="4"/>
        <v>6358</v>
      </c>
      <c r="B12" s="79" t="s">
        <v>188</v>
      </c>
      <c r="C12" s="16">
        <v>5103</v>
      </c>
      <c r="D12" s="19">
        <v>6358</v>
      </c>
      <c r="E12" s="18" t="s">
        <v>20</v>
      </c>
      <c r="F12" s="238">
        <f>299.5+146.6</f>
        <v>446.1</v>
      </c>
      <c r="G12" s="238">
        <v>0</v>
      </c>
      <c r="H12" s="238">
        <v>0</v>
      </c>
      <c r="I12" s="238">
        <v>0</v>
      </c>
      <c r="J12" s="238">
        <v>0</v>
      </c>
      <c r="K12" s="238">
        <v>0</v>
      </c>
      <c r="L12" s="238">
        <v>0</v>
      </c>
      <c r="M12" s="238">
        <v>63.7</v>
      </c>
      <c r="N12" s="238">
        <v>95.6</v>
      </c>
      <c r="O12" s="238">
        <v>0</v>
      </c>
      <c r="P12" s="238"/>
      <c r="Q12" s="238">
        <v>0</v>
      </c>
      <c r="R12" s="238">
        <v>0</v>
      </c>
      <c r="S12" s="238">
        <v>0</v>
      </c>
      <c r="T12" s="238">
        <v>0</v>
      </c>
      <c r="U12" s="238">
        <v>0</v>
      </c>
      <c r="V12" s="238">
        <v>0</v>
      </c>
      <c r="W12" s="238">
        <v>0</v>
      </c>
      <c r="X12" s="238">
        <v>0</v>
      </c>
      <c r="Y12" s="238">
        <v>0</v>
      </c>
      <c r="Z12" s="238">
        <v>0</v>
      </c>
      <c r="AA12" s="238">
        <v>0</v>
      </c>
      <c r="AB12" s="238">
        <v>31.9</v>
      </c>
      <c r="AC12" s="238">
        <v>0</v>
      </c>
      <c r="AD12" s="238">
        <v>0</v>
      </c>
      <c r="AE12" s="238">
        <v>0</v>
      </c>
      <c r="AF12" s="238">
        <v>0</v>
      </c>
      <c r="AG12" s="238">
        <v>0</v>
      </c>
      <c r="AH12" s="238">
        <v>0</v>
      </c>
      <c r="AI12" s="238">
        <v>0</v>
      </c>
      <c r="AJ12" s="238">
        <v>0</v>
      </c>
      <c r="AK12" s="238">
        <v>0</v>
      </c>
      <c r="AL12" s="238">
        <v>0</v>
      </c>
      <c r="AM12" s="238">
        <v>0</v>
      </c>
      <c r="AN12" s="238"/>
      <c r="AO12" s="15"/>
      <c r="AP12" s="15"/>
      <c r="AQ12" s="15"/>
      <c r="AR12" s="15"/>
      <c r="AS12" s="15"/>
      <c r="AT12" s="15"/>
      <c r="AU12" s="15"/>
      <c r="AV12" s="15"/>
      <c r="AW12" s="233"/>
      <c r="AX12" s="233"/>
      <c r="AY12" s="233"/>
      <c r="AZ12" s="233"/>
      <c r="BA12" s="233"/>
      <c r="BB12" s="670">
        <f t="shared" si="2"/>
        <v>362.70000000000005</v>
      </c>
      <c r="BC12" s="671">
        <f t="shared" si="3"/>
        <v>637.29999999999995</v>
      </c>
      <c r="BD12" s="668">
        <v>9.86</v>
      </c>
      <c r="BE12" s="667">
        <f t="shared" si="0"/>
        <v>8.3466950000000004</v>
      </c>
      <c r="BF12" s="643" t="s">
        <v>17924</v>
      </c>
      <c r="BG12" s="669">
        <f t="shared" si="1"/>
        <v>9.4632999999999995E-2</v>
      </c>
    </row>
    <row r="13" spans="1:59" ht="15.75">
      <c r="A13">
        <f t="shared" si="4"/>
        <v>6404</v>
      </c>
      <c r="B13" s="79" t="s">
        <v>188</v>
      </c>
      <c r="C13" s="16">
        <v>5410</v>
      </c>
      <c r="D13" s="19">
        <v>6404</v>
      </c>
      <c r="E13" s="18" t="s">
        <v>21</v>
      </c>
      <c r="F13" s="238">
        <v>63</v>
      </c>
      <c r="G13" s="238">
        <v>0</v>
      </c>
      <c r="H13" s="238">
        <v>0</v>
      </c>
      <c r="I13" s="238">
        <v>0</v>
      </c>
      <c r="J13" s="238">
        <v>0</v>
      </c>
      <c r="K13" s="238">
        <v>0</v>
      </c>
      <c r="L13" s="238">
        <v>482.4</v>
      </c>
      <c r="M13" s="238">
        <v>118.6</v>
      </c>
      <c r="N13" s="238"/>
      <c r="O13" s="238">
        <v>0</v>
      </c>
      <c r="P13" s="238">
        <v>0</v>
      </c>
      <c r="Q13" s="238">
        <v>0</v>
      </c>
      <c r="R13" s="238">
        <v>0</v>
      </c>
      <c r="S13" s="238">
        <v>0</v>
      </c>
      <c r="T13" s="238">
        <v>0</v>
      </c>
      <c r="U13" s="238">
        <v>0</v>
      </c>
      <c r="V13" s="238">
        <v>0</v>
      </c>
      <c r="W13" s="238">
        <v>0</v>
      </c>
      <c r="X13" s="238">
        <v>0</v>
      </c>
      <c r="Y13" s="238">
        <v>0</v>
      </c>
      <c r="Z13" s="238">
        <v>0</v>
      </c>
      <c r="AA13" s="238">
        <v>0</v>
      </c>
      <c r="AB13" s="238">
        <v>83</v>
      </c>
      <c r="AC13" s="238">
        <v>0</v>
      </c>
      <c r="AD13" s="238">
        <v>0</v>
      </c>
      <c r="AE13" s="238">
        <v>0</v>
      </c>
      <c r="AF13" s="238">
        <v>0</v>
      </c>
      <c r="AG13" s="238">
        <v>0</v>
      </c>
      <c r="AH13" s="238">
        <v>0</v>
      </c>
      <c r="AI13" s="238">
        <v>0</v>
      </c>
      <c r="AJ13" s="238">
        <v>0</v>
      </c>
      <c r="AK13" s="238">
        <v>0</v>
      </c>
      <c r="AL13" s="238">
        <v>0</v>
      </c>
      <c r="AM13" s="238">
        <v>0</v>
      </c>
      <c r="AN13" s="238"/>
      <c r="AO13" s="15"/>
      <c r="AP13" s="15"/>
      <c r="AQ13" s="15"/>
      <c r="AR13" s="15"/>
      <c r="AS13" s="15"/>
      <c r="AT13" s="15"/>
      <c r="AU13" s="238">
        <v>83</v>
      </c>
      <c r="AV13" s="15"/>
      <c r="AW13" s="233"/>
      <c r="AX13" s="233"/>
      <c r="AY13" s="233"/>
      <c r="AZ13" s="233"/>
      <c r="BA13" s="233"/>
      <c r="BB13" s="670">
        <f t="shared" si="2"/>
        <v>170</v>
      </c>
      <c r="BC13" s="671">
        <f t="shared" si="3"/>
        <v>830</v>
      </c>
      <c r="BD13" s="668"/>
      <c r="BE13" s="667">
        <f t="shared" si="0"/>
        <v>9.3241500000000013</v>
      </c>
      <c r="BF13" s="647" t="s">
        <v>17886</v>
      </c>
      <c r="BG13" s="669">
        <f t="shared" si="1"/>
        <v>0.17946999999999999</v>
      </c>
    </row>
    <row r="14" spans="1:59" ht="15.75">
      <c r="A14">
        <v>6405</v>
      </c>
      <c r="B14" s="79" t="s">
        <v>188</v>
      </c>
      <c r="C14" s="16">
        <v>5142</v>
      </c>
      <c r="D14" s="19">
        <v>6405</v>
      </c>
      <c r="E14" s="18" t="s">
        <v>22</v>
      </c>
      <c r="F14" s="238">
        <v>0</v>
      </c>
      <c r="G14" s="238">
        <v>0</v>
      </c>
      <c r="H14" s="238">
        <v>0</v>
      </c>
      <c r="I14" s="238">
        <v>0</v>
      </c>
      <c r="J14" s="372">
        <f>110.8-110.8</f>
        <v>0</v>
      </c>
      <c r="K14" s="238">
        <v>0</v>
      </c>
      <c r="L14" s="238">
        <v>0</v>
      </c>
      <c r="M14" s="238">
        <v>0</v>
      </c>
      <c r="N14" s="238">
        <v>0</v>
      </c>
      <c r="O14" s="238">
        <v>0</v>
      </c>
      <c r="P14" s="238">
        <v>0</v>
      </c>
      <c r="Q14" s="238">
        <v>0</v>
      </c>
      <c r="R14" s="238">
        <v>74</v>
      </c>
      <c r="S14" s="238">
        <v>0</v>
      </c>
      <c r="T14" s="238">
        <v>259.5</v>
      </c>
      <c r="U14" s="238">
        <f>222.3-49.5</f>
        <v>172.8</v>
      </c>
      <c r="V14" s="238">
        <v>0</v>
      </c>
      <c r="W14" s="238">
        <v>0</v>
      </c>
      <c r="X14" s="238">
        <v>110</v>
      </c>
      <c r="Y14" s="238">
        <v>0</v>
      </c>
      <c r="Z14" s="238">
        <v>0</v>
      </c>
      <c r="AA14" s="238">
        <v>0</v>
      </c>
      <c r="AB14" s="238">
        <v>75</v>
      </c>
      <c r="AC14" s="238">
        <v>0</v>
      </c>
      <c r="AD14" s="238">
        <v>0</v>
      </c>
      <c r="AE14" s="238">
        <v>0</v>
      </c>
      <c r="AF14" s="238">
        <v>0</v>
      </c>
      <c r="AG14" s="238">
        <v>0</v>
      </c>
      <c r="AH14" s="238">
        <v>50</v>
      </c>
      <c r="AI14" s="238">
        <v>0</v>
      </c>
      <c r="AJ14" s="238">
        <v>0</v>
      </c>
      <c r="AK14" s="238"/>
      <c r="AL14" s="238">
        <v>0</v>
      </c>
      <c r="AM14" s="238">
        <v>0</v>
      </c>
      <c r="AN14" s="238"/>
      <c r="AO14" s="15"/>
      <c r="AP14" s="15"/>
      <c r="AQ14" s="15"/>
      <c r="AR14" s="15"/>
      <c r="AS14" s="15"/>
      <c r="AT14" s="15"/>
      <c r="AU14" s="373"/>
      <c r="AV14" s="15"/>
      <c r="AW14" s="233"/>
      <c r="AX14" s="233"/>
      <c r="AY14" s="233"/>
      <c r="AZ14" s="233"/>
      <c r="BA14" s="233"/>
      <c r="BB14" s="670">
        <f t="shared" si="2"/>
        <v>258.70000000000005</v>
      </c>
      <c r="BC14" s="671">
        <f t="shared" si="3"/>
        <v>741.3</v>
      </c>
      <c r="BD14" s="668">
        <v>8.01</v>
      </c>
      <c r="BE14" s="667">
        <f t="shared" si="0"/>
        <v>6.9573879999999999</v>
      </c>
      <c r="BF14" s="642" t="s">
        <v>17923</v>
      </c>
      <c r="BG14" s="669">
        <f t="shared" si="1"/>
        <v>0.21443999999999999</v>
      </c>
    </row>
    <row r="15" spans="1:59" ht="15.75">
      <c r="A15">
        <f t="shared" si="4"/>
        <v>6406</v>
      </c>
      <c r="B15" s="79" t="s">
        <v>188</v>
      </c>
      <c r="C15" s="16">
        <v>5274</v>
      </c>
      <c r="D15" s="19">
        <v>6406</v>
      </c>
      <c r="E15" s="18" t="s">
        <v>24</v>
      </c>
      <c r="F15" s="238">
        <v>0</v>
      </c>
      <c r="G15" s="238">
        <v>0</v>
      </c>
      <c r="H15" s="238">
        <v>0</v>
      </c>
      <c r="I15" s="238">
        <v>126.91</v>
      </c>
      <c r="J15" s="238">
        <v>0</v>
      </c>
      <c r="K15" s="238">
        <v>0</v>
      </c>
      <c r="L15" s="238">
        <v>0</v>
      </c>
      <c r="M15" s="238">
        <v>0</v>
      </c>
      <c r="N15" s="238">
        <v>0</v>
      </c>
      <c r="O15" s="238">
        <v>0</v>
      </c>
      <c r="P15" s="238">
        <v>0</v>
      </c>
      <c r="Q15" s="238">
        <v>126.91</v>
      </c>
      <c r="R15" s="238">
        <v>0</v>
      </c>
      <c r="S15" s="238">
        <v>0</v>
      </c>
      <c r="T15" s="238">
        <f>169.21</f>
        <v>169.21</v>
      </c>
      <c r="U15" s="238">
        <v>25.38</v>
      </c>
      <c r="V15" s="238">
        <v>0</v>
      </c>
      <c r="W15" s="238">
        <v>0</v>
      </c>
      <c r="X15" s="238">
        <v>84.61</v>
      </c>
      <c r="Y15" s="238">
        <v>0</v>
      </c>
      <c r="Z15" s="238">
        <v>0</v>
      </c>
      <c r="AA15" s="238">
        <v>0</v>
      </c>
      <c r="AB15" s="238">
        <v>59.21</v>
      </c>
      <c r="AC15" s="238">
        <v>0</v>
      </c>
      <c r="AD15" s="238">
        <v>0</v>
      </c>
      <c r="AE15" s="238">
        <v>0</v>
      </c>
      <c r="AF15" s="238">
        <v>0</v>
      </c>
      <c r="AG15" s="238">
        <v>0</v>
      </c>
      <c r="AH15" s="238"/>
      <c r="AI15" s="238">
        <v>0</v>
      </c>
      <c r="AJ15" s="238">
        <v>253.82</v>
      </c>
      <c r="AK15" s="238"/>
      <c r="AL15" s="238">
        <v>0</v>
      </c>
      <c r="AM15" s="238">
        <v>0</v>
      </c>
      <c r="AN15" s="238"/>
      <c r="AO15" s="15"/>
      <c r="AP15" s="15"/>
      <c r="AQ15" s="15"/>
      <c r="AR15" s="15"/>
      <c r="AS15" s="15"/>
      <c r="AT15" s="15"/>
      <c r="AU15" s="15"/>
      <c r="AV15" s="15"/>
      <c r="AW15" s="233"/>
      <c r="AX15" s="233"/>
      <c r="AY15" s="233"/>
      <c r="AZ15" s="233"/>
      <c r="BA15" s="233"/>
      <c r="BB15" s="670">
        <f t="shared" si="2"/>
        <v>153.95000000000005</v>
      </c>
      <c r="BC15" s="671">
        <f t="shared" si="3"/>
        <v>846.05</v>
      </c>
      <c r="BD15" s="668">
        <v>9.73</v>
      </c>
      <c r="BE15" s="667">
        <f t="shared" si="0"/>
        <v>9.371253900000001</v>
      </c>
      <c r="BF15" s="642" t="s">
        <v>17879</v>
      </c>
      <c r="BG15" s="669">
        <f t="shared" si="1"/>
        <v>0.21549020000000002</v>
      </c>
    </row>
    <row r="16" spans="1:59" ht="15.75">
      <c r="A16">
        <f t="shared" si="4"/>
        <v>7058</v>
      </c>
      <c r="B16" s="79" t="s">
        <v>188</v>
      </c>
      <c r="C16" s="16">
        <v>5560</v>
      </c>
      <c r="D16" s="19">
        <v>7058</v>
      </c>
      <c r="E16" s="18" t="s">
        <v>25</v>
      </c>
      <c r="F16" s="238">
        <v>0</v>
      </c>
      <c r="G16" s="238">
        <v>0</v>
      </c>
      <c r="H16" s="238">
        <v>0</v>
      </c>
      <c r="I16" s="238">
        <v>0</v>
      </c>
      <c r="J16" s="238">
        <v>0</v>
      </c>
      <c r="K16" s="238">
        <v>0</v>
      </c>
      <c r="L16" s="238">
        <v>0</v>
      </c>
      <c r="M16" s="238">
        <v>0</v>
      </c>
      <c r="N16" s="238">
        <v>0</v>
      </c>
      <c r="O16" s="238">
        <v>0</v>
      </c>
      <c r="P16" s="238">
        <v>0</v>
      </c>
      <c r="Q16" s="238">
        <v>0</v>
      </c>
      <c r="R16" s="238">
        <v>0</v>
      </c>
      <c r="S16" s="238">
        <v>0</v>
      </c>
      <c r="T16" s="238">
        <f>172.5-50</f>
        <v>122.5</v>
      </c>
      <c r="U16" s="238">
        <v>258.8</v>
      </c>
      <c r="V16" s="238">
        <v>0</v>
      </c>
      <c r="W16" s="238">
        <v>0</v>
      </c>
      <c r="X16" s="238">
        <v>51.8</v>
      </c>
      <c r="Y16" s="238">
        <v>0</v>
      </c>
      <c r="Z16" s="238">
        <v>0</v>
      </c>
      <c r="AA16" s="238">
        <v>0</v>
      </c>
      <c r="AB16" s="238">
        <v>69</v>
      </c>
      <c r="AC16" s="238">
        <v>0</v>
      </c>
      <c r="AD16" s="238">
        <v>0</v>
      </c>
      <c r="AE16" s="238">
        <v>0</v>
      </c>
      <c r="AF16" s="238">
        <v>0</v>
      </c>
      <c r="AG16" s="238">
        <v>0</v>
      </c>
      <c r="AH16" s="238">
        <v>50</v>
      </c>
      <c r="AI16" s="238">
        <v>0</v>
      </c>
      <c r="AJ16" s="238">
        <v>310.60000000000002</v>
      </c>
      <c r="AK16" s="238"/>
      <c r="AL16" s="238">
        <v>0</v>
      </c>
      <c r="AM16" s="238">
        <v>0</v>
      </c>
      <c r="AN16" s="238"/>
      <c r="AO16" s="15"/>
      <c r="AP16" s="15"/>
      <c r="AQ16" s="15"/>
      <c r="AR16" s="15"/>
      <c r="AS16" s="15"/>
      <c r="AT16" s="15"/>
      <c r="AU16" s="15"/>
      <c r="AV16" s="15"/>
      <c r="AW16" s="233"/>
      <c r="AX16" s="233"/>
      <c r="AY16" s="233"/>
      <c r="AZ16" s="233"/>
      <c r="BA16" s="233"/>
      <c r="BB16" s="670">
        <f t="shared" si="2"/>
        <v>137.29999999999995</v>
      </c>
      <c r="BC16" s="671">
        <f t="shared" si="3"/>
        <v>862.7</v>
      </c>
      <c r="BD16" s="668">
        <v>10.25</v>
      </c>
      <c r="BE16" s="667">
        <f t="shared" si="0"/>
        <v>9.370628</v>
      </c>
      <c r="BF16" s="43"/>
      <c r="BG16" s="669">
        <f t="shared" si="1"/>
        <v>0.20338800000000001</v>
      </c>
    </row>
    <row r="17" spans="1:59" ht="15.75">
      <c r="A17">
        <f t="shared" si="4"/>
        <v>6413</v>
      </c>
      <c r="B17" s="79" t="s">
        <v>188</v>
      </c>
      <c r="C17" s="16">
        <v>5424</v>
      </c>
      <c r="D17" s="19">
        <v>6413</v>
      </c>
      <c r="E17" s="18" t="s">
        <v>27</v>
      </c>
      <c r="F17" s="238">
        <v>0</v>
      </c>
      <c r="G17" s="238">
        <v>0</v>
      </c>
      <c r="H17" s="238">
        <v>0</v>
      </c>
      <c r="I17" s="238">
        <v>0</v>
      </c>
      <c r="J17" s="238">
        <v>0</v>
      </c>
      <c r="K17" s="238">
        <v>0</v>
      </c>
      <c r="L17" s="238">
        <v>295.7</v>
      </c>
      <c r="M17" s="238">
        <v>168.9</v>
      </c>
      <c r="N17" s="238"/>
      <c r="O17" s="238">
        <v>0</v>
      </c>
      <c r="P17" s="238">
        <v>0</v>
      </c>
      <c r="Q17" s="238">
        <v>0</v>
      </c>
      <c r="R17" s="238">
        <v>0</v>
      </c>
      <c r="S17" s="238">
        <v>0</v>
      </c>
      <c r="T17" s="238">
        <v>0</v>
      </c>
      <c r="U17" s="238">
        <v>0</v>
      </c>
      <c r="V17" s="238">
        <v>0</v>
      </c>
      <c r="W17" s="238">
        <v>0</v>
      </c>
      <c r="X17" s="238">
        <v>0</v>
      </c>
      <c r="Y17" s="238">
        <v>0</v>
      </c>
      <c r="Z17" s="238">
        <v>0</v>
      </c>
      <c r="AA17" s="238">
        <v>0</v>
      </c>
      <c r="AB17" s="238">
        <v>84.5</v>
      </c>
      <c r="AC17" s="238">
        <v>0</v>
      </c>
      <c r="AD17" s="238">
        <v>0</v>
      </c>
      <c r="AE17" s="238">
        <v>0</v>
      </c>
      <c r="AF17" s="238">
        <v>0</v>
      </c>
      <c r="AG17" s="238">
        <v>0</v>
      </c>
      <c r="AH17" s="238">
        <v>0</v>
      </c>
      <c r="AI17" s="238">
        <v>0</v>
      </c>
      <c r="AJ17" s="238">
        <v>168.9</v>
      </c>
      <c r="AK17" s="238">
        <v>0</v>
      </c>
      <c r="AL17" s="238">
        <v>0</v>
      </c>
      <c r="AM17" s="238">
        <v>0</v>
      </c>
      <c r="AN17" s="238"/>
      <c r="AO17" s="15"/>
      <c r="AP17" s="15"/>
      <c r="AQ17" s="15"/>
      <c r="AR17" s="15"/>
      <c r="AS17" s="15"/>
      <c r="AT17" s="15"/>
      <c r="AU17" s="15">
        <v>126.7</v>
      </c>
      <c r="AV17" s="15"/>
      <c r="AW17" s="233"/>
      <c r="AX17" s="233"/>
      <c r="AY17" s="233"/>
      <c r="AZ17" s="233"/>
      <c r="BA17" s="233"/>
      <c r="BB17" s="670">
        <f t="shared" si="2"/>
        <v>155.29999999999995</v>
      </c>
      <c r="BC17" s="671">
        <f t="shared" si="3"/>
        <v>844.7</v>
      </c>
      <c r="BD17" s="668">
        <v>9.49</v>
      </c>
      <c r="BE17" s="667">
        <f t="shared" si="0"/>
        <v>9.4772400000000001</v>
      </c>
      <c r="BF17" s="642" t="s">
        <v>17922</v>
      </c>
      <c r="BG17" s="669">
        <f t="shared" si="1"/>
        <v>0.18751699999999999</v>
      </c>
    </row>
    <row r="18" spans="1:59" ht="15.75">
      <c r="A18">
        <f t="shared" si="4"/>
        <v>6418</v>
      </c>
      <c r="B18" s="79" t="s">
        <v>188</v>
      </c>
      <c r="C18" s="16">
        <v>5421</v>
      </c>
      <c r="D18" s="19">
        <v>6418</v>
      </c>
      <c r="E18" s="18" t="s">
        <v>28</v>
      </c>
      <c r="F18" s="238">
        <v>0</v>
      </c>
      <c r="G18" s="238">
        <v>0</v>
      </c>
      <c r="H18" s="238">
        <v>0</v>
      </c>
      <c r="I18" s="238">
        <v>0</v>
      </c>
      <c r="J18" s="238">
        <v>228.9</v>
      </c>
      <c r="K18" s="238">
        <v>0</v>
      </c>
      <c r="L18" s="238">
        <v>0</v>
      </c>
      <c r="M18" s="238">
        <v>312.10000000000002</v>
      </c>
      <c r="N18" s="238">
        <v>0</v>
      </c>
      <c r="O18" s="238">
        <v>69.400000000000006</v>
      </c>
      <c r="P18" s="238">
        <v>0</v>
      </c>
      <c r="Q18" s="238">
        <v>0</v>
      </c>
      <c r="R18" s="238">
        <v>0</v>
      </c>
      <c r="S18" s="238">
        <v>0</v>
      </c>
      <c r="T18" s="238">
        <v>0</v>
      </c>
      <c r="U18" s="238">
        <v>0</v>
      </c>
      <c r="V18" s="238">
        <v>0</v>
      </c>
      <c r="W18" s="238">
        <v>0</v>
      </c>
      <c r="X18" s="238">
        <v>0</v>
      </c>
      <c r="Y18" s="238">
        <v>0</v>
      </c>
      <c r="Z18" s="238">
        <v>0</v>
      </c>
      <c r="AA18" s="238">
        <v>0</v>
      </c>
      <c r="AB18" s="238">
        <v>83.2</v>
      </c>
      <c r="AC18" s="238">
        <v>0</v>
      </c>
      <c r="AD18" s="238">
        <v>0</v>
      </c>
      <c r="AE18" s="238">
        <v>0</v>
      </c>
      <c r="AF18" s="238">
        <v>0</v>
      </c>
      <c r="AG18" s="238">
        <v>0</v>
      </c>
      <c r="AH18" s="238">
        <v>0</v>
      </c>
      <c r="AI18" s="238">
        <v>0</v>
      </c>
      <c r="AJ18" s="238">
        <v>0</v>
      </c>
      <c r="AK18" s="238">
        <v>0</v>
      </c>
      <c r="AL18" s="238">
        <v>0</v>
      </c>
      <c r="AM18" s="238">
        <v>0</v>
      </c>
      <c r="AN18" s="238"/>
      <c r="AO18" s="15"/>
      <c r="AP18" s="15"/>
      <c r="AQ18" s="15"/>
      <c r="AR18" s="15"/>
      <c r="AS18" s="15"/>
      <c r="AT18" s="15"/>
      <c r="AU18" s="15"/>
      <c r="AV18" s="15"/>
      <c r="AW18" s="233"/>
      <c r="AX18" s="233"/>
      <c r="AY18" s="233"/>
      <c r="AZ18" s="233"/>
      <c r="BA18" s="233"/>
      <c r="BB18" s="670">
        <f t="shared" si="2"/>
        <v>306.39999999999998</v>
      </c>
      <c r="BC18" s="671">
        <f t="shared" si="3"/>
        <v>693.6</v>
      </c>
      <c r="BD18" s="668">
        <v>5.81</v>
      </c>
      <c r="BE18" s="667">
        <f t="shared" si="0"/>
        <v>5.07592</v>
      </c>
      <c r="BF18" s="643" t="s">
        <v>17921</v>
      </c>
      <c r="BG18" s="669">
        <f t="shared" si="1"/>
        <v>0.20822200000000002</v>
      </c>
    </row>
    <row r="19" spans="1:59" ht="15.75">
      <c r="A19">
        <f t="shared" si="4"/>
        <v>6419</v>
      </c>
      <c r="B19" s="79" t="s">
        <v>188</v>
      </c>
      <c r="C19" s="16">
        <v>5430</v>
      </c>
      <c r="D19" s="19">
        <v>6419</v>
      </c>
      <c r="E19" s="18" t="s">
        <v>73</v>
      </c>
      <c r="F19" s="238">
        <v>0</v>
      </c>
      <c r="G19" s="238">
        <v>0</v>
      </c>
      <c r="H19" s="238">
        <v>0</v>
      </c>
      <c r="I19" s="238">
        <v>0</v>
      </c>
      <c r="J19" s="372">
        <f>70-70</f>
        <v>0</v>
      </c>
      <c r="K19" s="238">
        <v>0</v>
      </c>
      <c r="L19" s="238">
        <v>0</v>
      </c>
      <c r="M19" s="238">
        <v>0</v>
      </c>
      <c r="N19" s="238">
        <v>0</v>
      </c>
      <c r="O19" s="238"/>
      <c r="P19" s="238">
        <v>0</v>
      </c>
      <c r="Q19" s="238">
        <v>0</v>
      </c>
      <c r="R19" s="238">
        <v>27</v>
      </c>
      <c r="S19" s="238">
        <v>0</v>
      </c>
      <c r="T19" s="238">
        <f>69.3</f>
        <v>69.3</v>
      </c>
      <c r="U19" s="242">
        <f>472-15-15</f>
        <v>442</v>
      </c>
      <c r="V19" s="238">
        <v>0</v>
      </c>
      <c r="W19" s="238">
        <v>0</v>
      </c>
      <c r="X19" s="238">
        <v>0</v>
      </c>
      <c r="Y19" s="238">
        <v>0</v>
      </c>
      <c r="Z19" s="238">
        <v>0</v>
      </c>
      <c r="AA19" s="238">
        <v>0</v>
      </c>
      <c r="AB19" s="238">
        <v>35.200000000000003</v>
      </c>
      <c r="AC19" s="238">
        <v>0</v>
      </c>
      <c r="AD19" s="238">
        <v>0</v>
      </c>
      <c r="AE19" s="238">
        <v>0</v>
      </c>
      <c r="AF19" s="238">
        <v>0</v>
      </c>
      <c r="AG19" s="238">
        <v>0</v>
      </c>
      <c r="AH19" s="242">
        <v>15</v>
      </c>
      <c r="AI19" s="238">
        <v>0</v>
      </c>
      <c r="AJ19" s="238">
        <v>0</v>
      </c>
      <c r="AK19" s="238"/>
      <c r="AL19" s="242">
        <v>15</v>
      </c>
      <c r="AM19" s="238">
        <v>0</v>
      </c>
      <c r="AN19" s="238">
        <v>70.8</v>
      </c>
      <c r="AO19" s="15"/>
      <c r="AP19" s="15"/>
      <c r="AQ19" s="15"/>
      <c r="AR19" s="15"/>
      <c r="AS19" s="15"/>
      <c r="AT19" s="15"/>
      <c r="AU19" s="373"/>
      <c r="AV19" s="15"/>
      <c r="AW19" s="233"/>
      <c r="AX19" s="233"/>
      <c r="AY19" s="233"/>
      <c r="AZ19" s="233"/>
      <c r="BA19" s="233"/>
      <c r="BB19" s="670">
        <f t="shared" si="2"/>
        <v>325.70000000000005</v>
      </c>
      <c r="BC19" s="671">
        <f t="shared" si="3"/>
        <v>674.3</v>
      </c>
      <c r="BD19" s="668"/>
      <c r="BE19" s="667">
        <f t="shared" si="0"/>
        <v>5.9405060000000001</v>
      </c>
      <c r="BF19" s="643" t="s">
        <v>17896</v>
      </c>
      <c r="BG19" s="669">
        <f t="shared" si="1"/>
        <v>0.246032</v>
      </c>
    </row>
    <row r="20" spans="1:59" ht="31.5">
      <c r="A20">
        <f t="shared" si="4"/>
        <v>6421</v>
      </c>
      <c r="B20" s="79" t="s">
        <v>188</v>
      </c>
      <c r="C20" s="16">
        <v>5431</v>
      </c>
      <c r="D20" s="19">
        <v>6421</v>
      </c>
      <c r="E20" s="18" t="s">
        <v>30</v>
      </c>
      <c r="F20" s="238">
        <v>0</v>
      </c>
      <c r="G20" s="238">
        <v>0</v>
      </c>
      <c r="H20" s="238">
        <v>190.9</v>
      </c>
      <c r="I20" s="238">
        <v>0</v>
      </c>
      <c r="J20" s="238">
        <v>0</v>
      </c>
      <c r="K20" s="238">
        <v>0</v>
      </c>
      <c r="L20" s="238">
        <v>420</v>
      </c>
      <c r="M20" s="238">
        <v>0</v>
      </c>
      <c r="N20" s="238">
        <v>0</v>
      </c>
      <c r="O20" s="238">
        <v>0</v>
      </c>
      <c r="P20" s="238">
        <v>0</v>
      </c>
      <c r="Q20" s="238">
        <v>76.400000000000006</v>
      </c>
      <c r="R20" s="238">
        <v>0</v>
      </c>
      <c r="S20" s="238">
        <v>0</v>
      </c>
      <c r="T20" s="238">
        <v>0</v>
      </c>
      <c r="U20" s="238">
        <v>0</v>
      </c>
      <c r="V20" s="238">
        <v>0</v>
      </c>
      <c r="W20" s="238">
        <v>0</v>
      </c>
      <c r="X20" s="238">
        <v>0</v>
      </c>
      <c r="Y20" s="238">
        <v>0</v>
      </c>
      <c r="Z20" s="238">
        <v>0</v>
      </c>
      <c r="AA20" s="238">
        <v>0</v>
      </c>
      <c r="AB20" s="238">
        <v>76.400000000000006</v>
      </c>
      <c r="AC20" s="238">
        <v>0</v>
      </c>
      <c r="AD20" s="238">
        <v>0</v>
      </c>
      <c r="AE20" s="238">
        <v>0</v>
      </c>
      <c r="AF20" s="238">
        <v>0</v>
      </c>
      <c r="AG20" s="238">
        <v>0</v>
      </c>
      <c r="AH20" s="238">
        <v>0</v>
      </c>
      <c r="AI20" s="238">
        <v>0</v>
      </c>
      <c r="AJ20" s="238">
        <v>0</v>
      </c>
      <c r="AK20" s="238">
        <v>0</v>
      </c>
      <c r="AL20" s="238">
        <v>0</v>
      </c>
      <c r="AM20" s="238">
        <v>0</v>
      </c>
      <c r="AN20" s="238"/>
      <c r="AO20" s="15"/>
      <c r="AP20" s="15"/>
      <c r="AQ20" s="15"/>
      <c r="AR20" s="15"/>
      <c r="AS20" s="15"/>
      <c r="AT20" s="15"/>
      <c r="AU20" s="15"/>
      <c r="AV20" s="15"/>
      <c r="AW20" s="233"/>
      <c r="AX20" s="233"/>
      <c r="AY20" s="233"/>
      <c r="AZ20" s="233"/>
      <c r="BA20" s="233"/>
      <c r="BB20" s="670">
        <f t="shared" si="2"/>
        <v>236.30000000000007</v>
      </c>
      <c r="BC20" s="671">
        <f t="shared" si="3"/>
        <v>763.69999999999993</v>
      </c>
      <c r="BD20" s="668"/>
      <c r="BE20" s="667">
        <f t="shared" si="0"/>
        <v>8.5221999999999998</v>
      </c>
      <c r="BF20" s="642" t="s">
        <v>17920</v>
      </c>
      <c r="BG20" s="669">
        <f t="shared" si="1"/>
        <v>0.17299699999999998</v>
      </c>
    </row>
    <row r="21" spans="1:59" ht="15.75">
      <c r="A21">
        <f>D21</f>
        <v>6501</v>
      </c>
      <c r="B21" s="79" t="s">
        <v>188</v>
      </c>
      <c r="C21" s="16">
        <v>5697</v>
      </c>
      <c r="D21" s="19">
        <v>6501</v>
      </c>
      <c r="E21" s="18" t="s">
        <v>17975</v>
      </c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AG21" s="238">
        <v>205.9</v>
      </c>
      <c r="AH21" s="238"/>
      <c r="AI21" s="238"/>
      <c r="AJ21" s="238"/>
      <c r="AK21" s="238"/>
      <c r="AL21" s="238"/>
      <c r="AM21" s="238"/>
      <c r="AN21" s="238"/>
      <c r="AO21" s="15"/>
      <c r="AP21" s="15"/>
      <c r="AQ21" s="15"/>
      <c r="AR21" s="15"/>
      <c r="AS21" s="15"/>
      <c r="AT21" s="15"/>
      <c r="AU21" s="15"/>
      <c r="AV21" s="15">
        <v>216.5</v>
      </c>
      <c r="AW21" s="233">
        <v>106.5</v>
      </c>
      <c r="AX21" s="233"/>
      <c r="AY21" s="233"/>
      <c r="AZ21" s="233">
        <v>71</v>
      </c>
      <c r="BA21" s="233">
        <v>110.05</v>
      </c>
      <c r="BB21" s="670">
        <f t="shared" si="2"/>
        <v>290.05000000000007</v>
      </c>
      <c r="BC21" s="671">
        <f t="shared" si="3"/>
        <v>709.94999999999993</v>
      </c>
      <c r="BD21" s="668"/>
      <c r="BE21" s="667">
        <f t="shared" si="0"/>
        <v>3.3642650000000001</v>
      </c>
      <c r="BF21" s="643" t="s">
        <v>17919</v>
      </c>
      <c r="BG21" s="669">
        <f t="shared" si="1"/>
        <v>0.12836200000000003</v>
      </c>
    </row>
    <row r="22" spans="1:59" ht="31.5">
      <c r="A22">
        <f t="shared" si="4"/>
        <v>6434</v>
      </c>
      <c r="B22" s="79" t="s">
        <v>188</v>
      </c>
      <c r="C22" s="16">
        <v>5438</v>
      </c>
      <c r="D22" s="19">
        <v>6434</v>
      </c>
      <c r="E22" s="18" t="s">
        <v>31</v>
      </c>
      <c r="F22" s="238">
        <v>0</v>
      </c>
      <c r="G22" s="242"/>
      <c r="H22" s="238">
        <v>0</v>
      </c>
      <c r="I22" s="238">
        <v>0</v>
      </c>
      <c r="J22" s="238">
        <v>0</v>
      </c>
      <c r="K22" s="238">
        <v>0</v>
      </c>
      <c r="L22" s="238">
        <v>0</v>
      </c>
      <c r="M22" s="238">
        <v>0</v>
      </c>
      <c r="N22" s="238">
        <v>0</v>
      </c>
      <c r="O22" s="238">
        <v>0</v>
      </c>
      <c r="P22" s="238">
        <v>0</v>
      </c>
      <c r="Q22" s="238">
        <v>74.900000000000006</v>
      </c>
      <c r="R22" s="238">
        <v>0</v>
      </c>
      <c r="S22" s="238">
        <v>0</v>
      </c>
      <c r="T22" s="238">
        <v>0</v>
      </c>
      <c r="U22" s="238">
        <v>0</v>
      </c>
      <c r="V22" s="238">
        <v>0</v>
      </c>
      <c r="W22" s="238">
        <v>0</v>
      </c>
      <c r="X22" s="238">
        <v>0</v>
      </c>
      <c r="Y22" s="238">
        <v>100</v>
      </c>
      <c r="Z22" s="238">
        <v>0</v>
      </c>
      <c r="AA22" s="238">
        <v>0</v>
      </c>
      <c r="AB22" s="238">
        <v>220.4</v>
      </c>
      <c r="AC22" s="238">
        <v>0</v>
      </c>
      <c r="AD22" s="238">
        <v>0</v>
      </c>
      <c r="AE22" s="372">
        <v>386.8</v>
      </c>
      <c r="AF22" s="238">
        <v>0</v>
      </c>
      <c r="AG22" s="238">
        <v>0</v>
      </c>
      <c r="AH22" s="238">
        <v>0</v>
      </c>
      <c r="AI22" s="238">
        <v>50</v>
      </c>
      <c r="AJ22" s="238">
        <v>0</v>
      </c>
      <c r="AK22" s="428"/>
      <c r="AL22" s="238">
        <v>0</v>
      </c>
      <c r="AM22" s="238">
        <v>0</v>
      </c>
      <c r="AN22" s="238"/>
      <c r="AO22" s="15"/>
      <c r="AP22" s="15"/>
      <c r="AQ22" s="15"/>
      <c r="AR22" s="15"/>
      <c r="AS22" s="15"/>
      <c r="AT22" s="15"/>
      <c r="AU22" s="15"/>
      <c r="AV22" s="15"/>
      <c r="AW22" s="233"/>
      <c r="AX22" s="233"/>
      <c r="AY22" s="233"/>
      <c r="AZ22" s="233"/>
      <c r="BA22" s="233"/>
      <c r="BB22" s="670">
        <f t="shared" si="2"/>
        <v>167.89999999999998</v>
      </c>
      <c r="BC22" s="671">
        <f t="shared" si="3"/>
        <v>832.1</v>
      </c>
      <c r="BD22" s="668">
        <v>3.36</v>
      </c>
      <c r="BE22" s="667">
        <f t="shared" si="0"/>
        <v>1.8943099999999999</v>
      </c>
      <c r="BF22" s="643" t="s">
        <v>17893</v>
      </c>
      <c r="BG22" s="669">
        <f t="shared" si="1"/>
        <v>0.18070600000000001</v>
      </c>
    </row>
    <row r="23" spans="1:59" ht="15.75">
      <c r="A23">
        <f t="shared" si="4"/>
        <v>6438</v>
      </c>
      <c r="B23" s="79" t="s">
        <v>188</v>
      </c>
      <c r="C23" s="16">
        <v>5529</v>
      </c>
      <c r="D23" s="19">
        <v>6438</v>
      </c>
      <c r="E23" s="18" t="s">
        <v>33</v>
      </c>
      <c r="F23" s="238">
        <v>0</v>
      </c>
      <c r="G23" s="238">
        <v>0</v>
      </c>
      <c r="H23" s="238">
        <v>0</v>
      </c>
      <c r="I23" s="238">
        <v>0</v>
      </c>
      <c r="J23" s="238">
        <v>0</v>
      </c>
      <c r="K23" s="238">
        <v>0</v>
      </c>
      <c r="L23" s="238">
        <v>0</v>
      </c>
      <c r="M23" s="238">
        <v>0</v>
      </c>
      <c r="N23" s="238"/>
      <c r="O23" s="238">
        <v>0</v>
      </c>
      <c r="P23" s="238">
        <v>0</v>
      </c>
      <c r="Q23" s="238">
        <v>0</v>
      </c>
      <c r="R23" s="238">
        <v>60.8</v>
      </c>
      <c r="S23" s="238">
        <v>0</v>
      </c>
      <c r="T23" s="238">
        <f>386.6</f>
        <v>386.6</v>
      </c>
      <c r="U23" s="238">
        <v>0</v>
      </c>
      <c r="V23" s="238">
        <v>0</v>
      </c>
      <c r="W23" s="242"/>
      <c r="X23" s="238">
        <v>0</v>
      </c>
      <c r="Y23" s="238">
        <v>0</v>
      </c>
      <c r="Z23" s="238">
        <v>0</v>
      </c>
      <c r="AA23" s="238">
        <v>0</v>
      </c>
      <c r="AB23" s="238">
        <v>104.2</v>
      </c>
      <c r="AC23" s="238">
        <v>0</v>
      </c>
      <c r="AD23" s="238">
        <v>0</v>
      </c>
      <c r="AE23" s="238">
        <v>0</v>
      </c>
      <c r="AF23" s="238">
        <v>0</v>
      </c>
      <c r="AG23" s="238">
        <v>0</v>
      </c>
      <c r="AH23" s="238">
        <v>0</v>
      </c>
      <c r="AI23" s="238">
        <v>0</v>
      </c>
      <c r="AJ23" s="242">
        <v>204.1</v>
      </c>
      <c r="AK23" s="238"/>
      <c r="AL23" s="238">
        <v>0</v>
      </c>
      <c r="AM23" s="238">
        <v>0</v>
      </c>
      <c r="AN23" s="238"/>
      <c r="AO23" s="15"/>
      <c r="AP23" s="15"/>
      <c r="AQ23" s="15"/>
      <c r="AR23" s="15"/>
      <c r="AS23" s="15"/>
      <c r="AT23" s="15"/>
      <c r="AU23" s="15">
        <v>112.9</v>
      </c>
      <c r="AV23" s="15"/>
      <c r="AW23" s="233"/>
      <c r="AX23" s="233"/>
      <c r="AY23" s="233"/>
      <c r="AZ23" s="233"/>
      <c r="BA23" s="233"/>
      <c r="BB23" s="670">
        <f t="shared" si="2"/>
        <v>131.39999999999998</v>
      </c>
      <c r="BC23" s="671">
        <f t="shared" si="3"/>
        <v>868.6</v>
      </c>
      <c r="BD23" s="668"/>
      <c r="BE23" s="667">
        <f t="shared" si="0"/>
        <v>9.8788429999999998</v>
      </c>
      <c r="BF23" s="643" t="s">
        <v>17918</v>
      </c>
      <c r="BG23" s="669">
        <f t="shared" si="1"/>
        <v>0.178369</v>
      </c>
    </row>
    <row r="24" spans="1:59" ht="15.75">
      <c r="A24">
        <f t="shared" si="4"/>
        <v>6551</v>
      </c>
      <c r="B24" s="79" t="s">
        <v>188</v>
      </c>
      <c r="C24" s="16">
        <v>5559</v>
      </c>
      <c r="D24" s="19">
        <v>6551</v>
      </c>
      <c r="E24" s="18" t="s">
        <v>35</v>
      </c>
      <c r="F24" s="238">
        <v>0</v>
      </c>
      <c r="G24" s="238">
        <v>0</v>
      </c>
      <c r="H24" s="238">
        <v>0</v>
      </c>
      <c r="I24" s="238">
        <v>0</v>
      </c>
      <c r="J24" s="238">
        <v>0</v>
      </c>
      <c r="K24" s="238">
        <v>0</v>
      </c>
      <c r="L24" s="238">
        <v>0</v>
      </c>
      <c r="M24" s="238">
        <v>0</v>
      </c>
      <c r="N24" s="238"/>
      <c r="O24" s="238">
        <v>0</v>
      </c>
      <c r="P24" s="238">
        <v>0</v>
      </c>
      <c r="Q24" s="238">
        <v>0</v>
      </c>
      <c r="R24" s="238">
        <v>0</v>
      </c>
      <c r="S24" s="238">
        <v>0</v>
      </c>
      <c r="T24" s="242">
        <v>227.6</v>
      </c>
      <c r="U24" s="238">
        <v>227.6</v>
      </c>
      <c r="V24" s="238">
        <v>0</v>
      </c>
      <c r="W24" s="238">
        <v>0</v>
      </c>
      <c r="X24" s="238">
        <v>52</v>
      </c>
      <c r="Y24" s="238">
        <v>0</v>
      </c>
      <c r="Z24" s="238">
        <v>0</v>
      </c>
      <c r="AA24" s="238">
        <v>0</v>
      </c>
      <c r="AB24" s="242">
        <v>39</v>
      </c>
      <c r="AC24" s="238">
        <v>0</v>
      </c>
      <c r="AD24" s="238">
        <v>0</v>
      </c>
      <c r="AE24" s="238">
        <v>0</v>
      </c>
      <c r="AF24" s="238">
        <v>0</v>
      </c>
      <c r="AG24" s="238">
        <v>0</v>
      </c>
      <c r="AH24" s="238">
        <v>0</v>
      </c>
      <c r="AI24" s="238">
        <v>0</v>
      </c>
      <c r="AJ24" s="238">
        <v>0</v>
      </c>
      <c r="AK24" s="238"/>
      <c r="AL24" s="238">
        <v>0</v>
      </c>
      <c r="AM24" s="238">
        <v>0</v>
      </c>
      <c r="AN24" s="242">
        <v>104</v>
      </c>
      <c r="AO24" s="15"/>
      <c r="AP24" s="15"/>
      <c r="AQ24" s="15"/>
      <c r="AR24" s="15"/>
      <c r="AS24" s="15"/>
      <c r="AT24" s="15"/>
      <c r="AU24" s="15"/>
      <c r="AV24" s="15"/>
      <c r="AW24" s="233"/>
      <c r="AX24" s="233"/>
      <c r="AY24" s="233"/>
      <c r="AZ24" s="233"/>
      <c r="BA24" s="233"/>
      <c r="BB24" s="670">
        <f t="shared" si="2"/>
        <v>349.79999999999995</v>
      </c>
      <c r="BC24" s="671">
        <f t="shared" si="3"/>
        <v>650.20000000000005</v>
      </c>
      <c r="BD24" s="668">
        <v>7.22</v>
      </c>
      <c r="BE24" s="667">
        <f t="shared" si="0"/>
        <v>6.5080340000000003</v>
      </c>
      <c r="BF24" s="643" t="s">
        <v>17894</v>
      </c>
      <c r="BG24" s="669">
        <f t="shared" si="1"/>
        <v>0.19220000000000001</v>
      </c>
    </row>
    <row r="25" spans="1:59" ht="15.75">
      <c r="A25">
        <f t="shared" si="4"/>
        <v>6454</v>
      </c>
      <c r="B25" s="79" t="s">
        <v>188</v>
      </c>
      <c r="C25" s="16">
        <v>5476</v>
      </c>
      <c r="D25" s="19">
        <v>6454</v>
      </c>
      <c r="E25" s="18" t="s">
        <v>37</v>
      </c>
      <c r="F25" s="238">
        <v>0</v>
      </c>
      <c r="G25" s="238">
        <v>0</v>
      </c>
      <c r="H25" s="238">
        <v>0</v>
      </c>
      <c r="I25" s="238">
        <v>0</v>
      </c>
      <c r="J25" s="238">
        <v>0</v>
      </c>
      <c r="K25" s="238">
        <v>0</v>
      </c>
      <c r="L25" s="238">
        <v>0</v>
      </c>
      <c r="M25" s="238">
        <v>0</v>
      </c>
      <c r="N25" s="238">
        <v>0</v>
      </c>
      <c r="O25" s="238">
        <v>0</v>
      </c>
      <c r="P25" s="238">
        <v>0</v>
      </c>
      <c r="Q25" s="238">
        <v>0</v>
      </c>
      <c r="R25" s="238">
        <v>73.8</v>
      </c>
      <c r="S25" s="238">
        <v>0</v>
      </c>
      <c r="T25" s="238">
        <f>110.8</f>
        <v>110.8</v>
      </c>
      <c r="U25" s="238">
        <v>258.5</v>
      </c>
      <c r="V25" s="238">
        <v>0</v>
      </c>
      <c r="W25" s="238">
        <v>0</v>
      </c>
      <c r="X25" s="238">
        <v>73.8</v>
      </c>
      <c r="Y25" s="238">
        <v>0</v>
      </c>
      <c r="Z25" s="238">
        <v>0</v>
      </c>
      <c r="AA25" s="238">
        <v>0</v>
      </c>
      <c r="AB25" s="238">
        <v>221.5</v>
      </c>
      <c r="AC25" s="238">
        <v>0</v>
      </c>
      <c r="AD25" s="238">
        <v>0</v>
      </c>
      <c r="AE25" s="238">
        <v>0</v>
      </c>
      <c r="AF25" s="238">
        <v>0</v>
      </c>
      <c r="AG25" s="238">
        <v>0</v>
      </c>
      <c r="AH25" s="238">
        <v>0</v>
      </c>
      <c r="AI25" s="238">
        <v>0</v>
      </c>
      <c r="AJ25" s="238">
        <v>0</v>
      </c>
      <c r="AK25" s="238"/>
      <c r="AL25" s="238">
        <v>0</v>
      </c>
      <c r="AM25" s="238">
        <v>0</v>
      </c>
      <c r="AN25" s="238"/>
      <c r="AO25" s="15"/>
      <c r="AP25" s="15"/>
      <c r="AQ25" s="15"/>
      <c r="AR25" s="15"/>
      <c r="AS25" s="15"/>
      <c r="AT25" s="15"/>
      <c r="AU25" s="15"/>
      <c r="AV25" s="15"/>
      <c r="AW25" s="233"/>
      <c r="AX25" s="233"/>
      <c r="AY25" s="233"/>
      <c r="AZ25" s="233"/>
      <c r="BA25" s="233"/>
      <c r="BB25" s="670">
        <f t="shared" si="2"/>
        <v>261.60000000000002</v>
      </c>
      <c r="BC25" s="671">
        <f t="shared" si="3"/>
        <v>738.4</v>
      </c>
      <c r="BD25" s="668">
        <v>6.78</v>
      </c>
      <c r="BE25" s="667">
        <f t="shared" si="0"/>
        <v>5.3873440000000006</v>
      </c>
      <c r="BF25" s="643" t="s">
        <v>17907</v>
      </c>
      <c r="BG25" s="669">
        <f t="shared" si="1"/>
        <v>0.22225399999999998</v>
      </c>
    </row>
    <row r="26" spans="1:59" ht="15.75">
      <c r="A26">
        <f t="shared" si="4"/>
        <v>6457</v>
      </c>
      <c r="B26" s="79" t="s">
        <v>188</v>
      </c>
      <c r="C26" s="16">
        <v>5553</v>
      </c>
      <c r="D26" s="19">
        <v>6457</v>
      </c>
      <c r="E26" s="18" t="s">
        <v>38</v>
      </c>
      <c r="F26" s="238">
        <v>0</v>
      </c>
      <c r="G26" s="238">
        <v>0</v>
      </c>
      <c r="H26" s="238">
        <v>0</v>
      </c>
      <c r="I26" s="238">
        <v>0</v>
      </c>
      <c r="J26" s="238">
        <v>0</v>
      </c>
      <c r="K26" s="238">
        <v>0</v>
      </c>
      <c r="L26" s="238">
        <v>0</v>
      </c>
      <c r="M26" s="238">
        <v>0</v>
      </c>
      <c r="N26" s="238">
        <v>0</v>
      </c>
      <c r="O26" s="238">
        <v>0</v>
      </c>
      <c r="P26" s="238">
        <v>0</v>
      </c>
      <c r="Q26" s="238">
        <v>0</v>
      </c>
      <c r="R26" s="238">
        <v>70</v>
      </c>
      <c r="S26" s="238">
        <v>0</v>
      </c>
      <c r="T26" s="238">
        <f>111.1</f>
        <v>111.1</v>
      </c>
      <c r="U26" s="238">
        <f>333.2-70</f>
        <v>263.2</v>
      </c>
      <c r="V26" s="238">
        <v>0</v>
      </c>
      <c r="W26" s="238">
        <v>0</v>
      </c>
      <c r="X26" s="238">
        <v>74</v>
      </c>
      <c r="Y26" s="238">
        <v>0</v>
      </c>
      <c r="Z26" s="238">
        <v>0</v>
      </c>
      <c r="AA26" s="238">
        <v>0</v>
      </c>
      <c r="AB26" s="238">
        <v>222.1</v>
      </c>
      <c r="AC26" s="238">
        <v>0</v>
      </c>
      <c r="AD26" s="238">
        <v>0</v>
      </c>
      <c r="AE26" s="238">
        <v>0</v>
      </c>
      <c r="AF26" s="238">
        <v>0</v>
      </c>
      <c r="AG26" s="238">
        <v>0</v>
      </c>
      <c r="AH26" s="238">
        <v>0</v>
      </c>
      <c r="AI26" s="238">
        <v>0</v>
      </c>
      <c r="AJ26" s="238">
        <v>0</v>
      </c>
      <c r="AK26" s="238"/>
      <c r="AL26" s="238">
        <v>0</v>
      </c>
      <c r="AM26" s="238">
        <v>0</v>
      </c>
      <c r="AN26" s="238"/>
      <c r="AO26" s="15"/>
      <c r="AP26" s="15"/>
      <c r="AQ26" s="15"/>
      <c r="AR26" s="15"/>
      <c r="AS26" s="15"/>
      <c r="AT26" s="15"/>
      <c r="AU26" s="15"/>
      <c r="AV26" s="15"/>
      <c r="AW26" s="233"/>
      <c r="AX26" s="233"/>
      <c r="AY26" s="233"/>
      <c r="AZ26" s="233"/>
      <c r="BA26" s="233"/>
      <c r="BB26" s="670">
        <f t="shared" si="2"/>
        <v>259.60000000000002</v>
      </c>
      <c r="BC26" s="671">
        <f t="shared" si="3"/>
        <v>740.4</v>
      </c>
      <c r="BD26" s="668">
        <v>7.08</v>
      </c>
      <c r="BE26" s="667">
        <f t="shared" si="0"/>
        <v>5.4119749999999991</v>
      </c>
      <c r="BF26" s="642" t="s">
        <v>17908</v>
      </c>
      <c r="BG26" s="669">
        <f t="shared" si="1"/>
        <v>0.222136</v>
      </c>
    </row>
    <row r="27" spans="1:59" ht="15.75">
      <c r="A27">
        <f>D27</f>
        <v>6458</v>
      </c>
      <c r="B27" s="79" t="s">
        <v>188</v>
      </c>
      <c r="C27" s="16">
        <v>5572</v>
      </c>
      <c r="D27" s="19">
        <v>6458</v>
      </c>
      <c r="E27" s="18" t="s">
        <v>176</v>
      </c>
      <c r="F27" s="238">
        <v>0</v>
      </c>
      <c r="G27" s="238">
        <v>0</v>
      </c>
      <c r="H27" s="238">
        <v>0</v>
      </c>
      <c r="I27" s="238">
        <v>0</v>
      </c>
      <c r="J27" s="238">
        <v>0</v>
      </c>
      <c r="K27" s="238">
        <v>0</v>
      </c>
      <c r="L27" s="238">
        <v>0</v>
      </c>
      <c r="M27" s="238">
        <v>0</v>
      </c>
      <c r="N27" s="238">
        <v>0</v>
      </c>
      <c r="O27" s="238">
        <v>0</v>
      </c>
      <c r="P27" s="238">
        <v>0</v>
      </c>
      <c r="Q27" s="238"/>
      <c r="R27" s="238">
        <v>73.5</v>
      </c>
      <c r="S27" s="238">
        <v>0</v>
      </c>
      <c r="T27" s="238">
        <f>110.2</f>
        <v>110.2</v>
      </c>
      <c r="U27" s="238">
        <v>257.10000000000002</v>
      </c>
      <c r="V27" s="238">
        <v>0</v>
      </c>
      <c r="W27" s="238">
        <v>0</v>
      </c>
      <c r="X27" s="238">
        <v>73.5</v>
      </c>
      <c r="Y27" s="238">
        <v>0</v>
      </c>
      <c r="Z27" s="238">
        <v>0</v>
      </c>
      <c r="AA27" s="238">
        <v>0</v>
      </c>
      <c r="AB27" s="238">
        <v>220.4</v>
      </c>
      <c r="AC27" s="238">
        <v>0</v>
      </c>
      <c r="AD27" s="238">
        <v>0</v>
      </c>
      <c r="AE27" s="238">
        <v>0</v>
      </c>
      <c r="AF27" s="238">
        <v>0</v>
      </c>
      <c r="AG27" s="238">
        <v>0</v>
      </c>
      <c r="AH27" s="238">
        <v>0</v>
      </c>
      <c r="AI27" s="238">
        <v>0</v>
      </c>
      <c r="AJ27" s="238">
        <v>0</v>
      </c>
      <c r="AK27" s="238"/>
      <c r="AL27" s="238">
        <v>0</v>
      </c>
      <c r="AM27" s="238">
        <v>0</v>
      </c>
      <c r="AN27" s="238"/>
      <c r="AO27" s="15"/>
      <c r="AP27" s="15"/>
      <c r="AQ27" s="15"/>
      <c r="AR27" s="15"/>
      <c r="AS27" s="15"/>
      <c r="AT27" s="15"/>
      <c r="AU27" s="15"/>
      <c r="AV27" s="15"/>
      <c r="AW27" s="233"/>
      <c r="AX27" s="233"/>
      <c r="AY27" s="233"/>
      <c r="AZ27" s="233"/>
      <c r="BA27" s="233"/>
      <c r="BB27" s="670">
        <f t="shared" si="2"/>
        <v>265.30000000000007</v>
      </c>
      <c r="BC27" s="671">
        <f t="shared" si="3"/>
        <v>734.69999999999993</v>
      </c>
      <c r="BD27" s="668"/>
      <c r="BE27" s="667">
        <f t="shared" si="0"/>
        <v>5.3600520000000005</v>
      </c>
      <c r="BF27" s="643" t="s">
        <v>17907</v>
      </c>
      <c r="BG27" s="669">
        <f t="shared" si="1"/>
        <v>0.22114900000000004</v>
      </c>
    </row>
    <row r="28" spans="1:59" ht="15.75">
      <c r="A28">
        <f t="shared" si="4"/>
        <v>6463</v>
      </c>
      <c r="B28" s="79" t="s">
        <v>188</v>
      </c>
      <c r="C28" s="23">
        <v>5574</v>
      </c>
      <c r="D28" s="19">
        <v>6463</v>
      </c>
      <c r="E28" s="18" t="s">
        <v>187</v>
      </c>
      <c r="F28" s="238">
        <v>0</v>
      </c>
      <c r="G28" s="238">
        <v>0</v>
      </c>
      <c r="H28" s="238">
        <v>0</v>
      </c>
      <c r="I28" s="238">
        <v>0</v>
      </c>
      <c r="J28" s="238">
        <v>0</v>
      </c>
      <c r="K28" s="238">
        <v>0</v>
      </c>
      <c r="L28" s="238">
        <v>0</v>
      </c>
      <c r="M28" s="238">
        <v>0</v>
      </c>
      <c r="N28" s="242"/>
      <c r="O28" s="238">
        <v>0</v>
      </c>
      <c r="P28" s="238">
        <v>0</v>
      </c>
      <c r="Q28" s="238">
        <v>0</v>
      </c>
      <c r="R28" s="238">
        <v>58.3</v>
      </c>
      <c r="S28" s="238">
        <v>0</v>
      </c>
      <c r="T28" s="238">
        <f>399.6</f>
        <v>399.6</v>
      </c>
      <c r="U28" s="238">
        <v>0</v>
      </c>
      <c r="V28" s="238">
        <v>0</v>
      </c>
      <c r="W28" s="242">
        <v>208.1</v>
      </c>
      <c r="X28" s="15">
        <v>166.5</v>
      </c>
      <c r="Y28" s="238">
        <v>0</v>
      </c>
      <c r="Z28" s="242"/>
      <c r="AA28" s="238">
        <v>0</v>
      </c>
      <c r="AB28" s="238">
        <v>0</v>
      </c>
      <c r="AC28" s="238">
        <v>0</v>
      </c>
      <c r="AD28" s="238">
        <v>0</v>
      </c>
      <c r="AE28" s="242">
        <v>0</v>
      </c>
      <c r="AF28" s="238">
        <v>0</v>
      </c>
      <c r="AG28" s="238">
        <v>0</v>
      </c>
      <c r="AH28" s="238"/>
      <c r="AI28" s="238">
        <v>0</v>
      </c>
      <c r="AJ28" s="242"/>
      <c r="AK28" s="238">
        <v>0</v>
      </c>
      <c r="AL28" s="238">
        <v>0</v>
      </c>
      <c r="AM28" s="238">
        <v>0</v>
      </c>
      <c r="AN28" s="238"/>
      <c r="AO28" s="15"/>
      <c r="AP28" s="15"/>
      <c r="AQ28" s="15"/>
      <c r="AR28" s="15"/>
      <c r="AS28" s="15"/>
      <c r="AT28" s="15"/>
      <c r="AU28" s="15">
        <v>0</v>
      </c>
      <c r="AV28" s="15"/>
      <c r="AW28" s="233"/>
      <c r="AX28" s="233"/>
      <c r="AY28" s="233"/>
      <c r="AZ28" s="233"/>
      <c r="BA28" s="233"/>
      <c r="BB28" s="670">
        <f t="shared" si="2"/>
        <v>167.5</v>
      </c>
      <c r="BC28" s="671">
        <f t="shared" si="3"/>
        <v>832.5</v>
      </c>
      <c r="BD28" s="668">
        <v>10.67</v>
      </c>
      <c r="BE28" s="667">
        <f t="shared" si="0"/>
        <v>10.516698</v>
      </c>
      <c r="BF28" s="646" t="s">
        <v>17904</v>
      </c>
      <c r="BG28" s="669">
        <f t="shared" si="1"/>
        <v>0.17616900000000002</v>
      </c>
    </row>
    <row r="29" spans="1:59" ht="15.75">
      <c r="A29">
        <f t="shared" si="4"/>
        <v>6461</v>
      </c>
      <c r="B29" s="79" t="s">
        <v>188</v>
      </c>
      <c r="C29" s="16">
        <v>5555</v>
      </c>
      <c r="D29" s="19">
        <v>6461</v>
      </c>
      <c r="E29" s="18" t="s">
        <v>39</v>
      </c>
      <c r="F29" s="238">
        <v>0</v>
      </c>
      <c r="G29" s="238">
        <v>0</v>
      </c>
      <c r="H29" s="238">
        <v>0</v>
      </c>
      <c r="I29" s="238">
        <v>0</v>
      </c>
      <c r="J29" s="238">
        <v>0</v>
      </c>
      <c r="K29" s="238">
        <v>0</v>
      </c>
      <c r="L29" s="238">
        <v>0</v>
      </c>
      <c r="M29" s="238">
        <v>0</v>
      </c>
      <c r="N29" s="238">
        <v>0</v>
      </c>
      <c r="O29" s="238">
        <v>0</v>
      </c>
      <c r="P29" s="238">
        <v>0</v>
      </c>
      <c r="Q29" s="238">
        <v>0</v>
      </c>
      <c r="R29" s="238">
        <v>0</v>
      </c>
      <c r="S29" s="238">
        <v>0</v>
      </c>
      <c r="T29" s="238">
        <f>389.9</f>
        <v>389.9</v>
      </c>
      <c r="U29" s="238">
        <v>288.8</v>
      </c>
      <c r="V29" s="238">
        <v>0</v>
      </c>
      <c r="W29" s="238">
        <v>0</v>
      </c>
      <c r="X29" s="238">
        <v>0</v>
      </c>
      <c r="Y29" s="238">
        <v>0</v>
      </c>
      <c r="Z29" s="238">
        <v>0</v>
      </c>
      <c r="AA29" s="238">
        <v>0</v>
      </c>
      <c r="AB29" s="238">
        <v>43.3</v>
      </c>
      <c r="AC29" s="238">
        <v>0</v>
      </c>
      <c r="AD29" s="238">
        <v>0</v>
      </c>
      <c r="AE29" s="238">
        <v>0</v>
      </c>
      <c r="AF29" s="238">
        <v>0</v>
      </c>
      <c r="AG29" s="238">
        <v>0</v>
      </c>
      <c r="AH29" s="238">
        <v>0</v>
      </c>
      <c r="AI29" s="238">
        <v>0</v>
      </c>
      <c r="AJ29" s="238">
        <v>0</v>
      </c>
      <c r="AK29" s="238"/>
      <c r="AL29" s="238">
        <v>0</v>
      </c>
      <c r="AM29" s="238">
        <v>0</v>
      </c>
      <c r="AN29" s="238"/>
      <c r="AO29" s="15"/>
      <c r="AP29" s="15"/>
      <c r="AQ29" s="15"/>
      <c r="AR29" s="15"/>
      <c r="AS29" s="15"/>
      <c r="AT29" s="15"/>
      <c r="AU29" s="15"/>
      <c r="AV29" s="15"/>
      <c r="AW29" s="233"/>
      <c r="AX29" s="233"/>
      <c r="AY29" s="233"/>
      <c r="AZ29" s="233"/>
      <c r="BA29" s="233"/>
      <c r="BB29" s="670">
        <f t="shared" si="2"/>
        <v>278</v>
      </c>
      <c r="BC29" s="671">
        <f t="shared" si="3"/>
        <v>722</v>
      </c>
      <c r="BD29" s="668"/>
      <c r="BE29" s="667">
        <f t="shared" si="0"/>
        <v>7.8355350000000001</v>
      </c>
      <c r="BF29" s="642" t="s">
        <v>17906</v>
      </c>
      <c r="BG29" s="669">
        <f t="shared" si="1"/>
        <v>0.200428</v>
      </c>
    </row>
    <row r="30" spans="1:59" ht="15.75">
      <c r="A30">
        <f t="shared" si="4"/>
        <v>6440</v>
      </c>
      <c r="B30" s="79" t="s">
        <v>188</v>
      </c>
      <c r="C30" s="16">
        <v>5527</v>
      </c>
      <c r="D30" s="19">
        <v>6440</v>
      </c>
      <c r="E30" s="18" t="s">
        <v>205</v>
      </c>
      <c r="F30" s="238">
        <v>0</v>
      </c>
      <c r="G30" s="238">
        <v>0</v>
      </c>
      <c r="H30" s="238">
        <v>0</v>
      </c>
      <c r="I30" s="238">
        <v>0</v>
      </c>
      <c r="J30" s="238">
        <v>0</v>
      </c>
      <c r="K30" s="238">
        <v>0</v>
      </c>
      <c r="L30" s="238">
        <v>507.1</v>
      </c>
      <c r="M30" s="238">
        <v>99.8</v>
      </c>
      <c r="N30" s="238">
        <v>0</v>
      </c>
      <c r="O30" s="238">
        <v>58.2</v>
      </c>
      <c r="P30" s="238">
        <v>0</v>
      </c>
      <c r="Q30" s="238">
        <v>0</v>
      </c>
      <c r="R30" s="238">
        <v>0</v>
      </c>
      <c r="S30" s="238">
        <v>0</v>
      </c>
      <c r="T30" s="238">
        <v>0</v>
      </c>
      <c r="U30" s="238">
        <v>0</v>
      </c>
      <c r="V30" s="238">
        <v>0</v>
      </c>
      <c r="W30" s="238">
        <v>0</v>
      </c>
      <c r="X30" s="238">
        <v>0</v>
      </c>
      <c r="Y30" s="238">
        <v>0</v>
      </c>
      <c r="Z30" s="238">
        <v>0</v>
      </c>
      <c r="AA30" s="238">
        <v>0</v>
      </c>
      <c r="AB30" s="238">
        <v>83.1</v>
      </c>
      <c r="AC30" s="238">
        <v>0</v>
      </c>
      <c r="AD30" s="238">
        <v>0</v>
      </c>
      <c r="AE30" s="238">
        <v>0</v>
      </c>
      <c r="AF30" s="238">
        <v>0</v>
      </c>
      <c r="AG30" s="238">
        <v>0</v>
      </c>
      <c r="AH30" s="238">
        <v>0</v>
      </c>
      <c r="AI30" s="238">
        <v>0</v>
      </c>
      <c r="AJ30" s="238">
        <v>0</v>
      </c>
      <c r="AK30" s="238">
        <v>0</v>
      </c>
      <c r="AL30" s="238">
        <v>0</v>
      </c>
      <c r="AM30" s="238">
        <v>0</v>
      </c>
      <c r="AN30" s="238">
        <v>0</v>
      </c>
      <c r="AO30" s="15">
        <v>0</v>
      </c>
      <c r="AP30" s="15">
        <v>0</v>
      </c>
      <c r="AQ30" s="15">
        <v>0</v>
      </c>
      <c r="AR30" s="15">
        <v>0</v>
      </c>
      <c r="AS30" s="15">
        <v>0</v>
      </c>
      <c r="AT30" s="15">
        <v>0</v>
      </c>
      <c r="AU30" s="15">
        <v>83.1</v>
      </c>
      <c r="AV30" s="15">
        <v>0</v>
      </c>
      <c r="AW30" s="233"/>
      <c r="AX30" s="233"/>
      <c r="AY30" s="233"/>
      <c r="AZ30" s="233"/>
      <c r="BA30" s="233"/>
      <c r="BB30" s="670">
        <f t="shared" si="2"/>
        <v>168.69999999999993</v>
      </c>
      <c r="BC30" s="671">
        <f t="shared" si="3"/>
        <v>831.30000000000007</v>
      </c>
      <c r="BD30" s="668"/>
      <c r="BE30" s="667">
        <f t="shared" si="0"/>
        <v>8.9549450000000004</v>
      </c>
      <c r="BF30" s="642" t="s">
        <v>17917</v>
      </c>
      <c r="BG30" s="669">
        <f t="shared" si="1"/>
        <v>0.19162600000000005</v>
      </c>
    </row>
    <row r="31" spans="1:59" ht="15.75">
      <c r="A31">
        <f t="shared" si="4"/>
        <v>6441</v>
      </c>
      <c r="B31" s="79" t="s">
        <v>188</v>
      </c>
      <c r="C31" s="16">
        <v>5542</v>
      </c>
      <c r="D31" s="19">
        <v>6441</v>
      </c>
      <c r="E31" s="18" t="s">
        <v>146</v>
      </c>
      <c r="F31" s="238">
        <v>0</v>
      </c>
      <c r="G31" s="238">
        <v>0</v>
      </c>
      <c r="H31" s="238">
        <v>0</v>
      </c>
      <c r="I31" s="238">
        <v>0</v>
      </c>
      <c r="J31" s="238">
        <v>0</v>
      </c>
      <c r="K31" s="238">
        <v>0</v>
      </c>
      <c r="L31" s="238">
        <v>0</v>
      </c>
      <c r="M31" s="238">
        <v>0</v>
      </c>
      <c r="N31" s="238">
        <v>50.4</v>
      </c>
      <c r="O31" s="238">
        <v>0</v>
      </c>
      <c r="P31" s="238">
        <v>0</v>
      </c>
      <c r="Q31" s="238">
        <v>0</v>
      </c>
      <c r="R31" s="238">
        <v>21.6</v>
      </c>
      <c r="S31" s="238">
        <v>0</v>
      </c>
      <c r="T31" s="238">
        <f>431.8</f>
        <v>431.8</v>
      </c>
      <c r="U31" s="238">
        <v>215.9</v>
      </c>
      <c r="V31" s="238">
        <v>0</v>
      </c>
      <c r="W31" s="238">
        <v>0</v>
      </c>
      <c r="X31" s="238">
        <v>0</v>
      </c>
      <c r="Y31" s="238">
        <v>0</v>
      </c>
      <c r="Z31" s="238">
        <v>0</v>
      </c>
      <c r="AA31" s="238">
        <v>0</v>
      </c>
      <c r="AB31" s="238">
        <v>0</v>
      </c>
      <c r="AC31" s="238">
        <v>0</v>
      </c>
      <c r="AD31" s="238">
        <v>0</v>
      </c>
      <c r="AE31" s="238">
        <v>0</v>
      </c>
      <c r="AF31" s="238">
        <v>0</v>
      </c>
      <c r="AG31" s="238">
        <v>0</v>
      </c>
      <c r="AH31" s="238">
        <v>0</v>
      </c>
      <c r="AI31" s="238">
        <v>0</v>
      </c>
      <c r="AJ31" s="238">
        <v>0</v>
      </c>
      <c r="AK31" s="238"/>
      <c r="AL31" s="238">
        <v>0</v>
      </c>
      <c r="AM31" s="238">
        <v>0</v>
      </c>
      <c r="AN31" s="238">
        <v>0</v>
      </c>
      <c r="AO31" s="15">
        <v>0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5">
        <v>0</v>
      </c>
      <c r="AV31" s="15">
        <v>0</v>
      </c>
      <c r="AW31" s="233"/>
      <c r="AX31" s="233"/>
      <c r="AY31" s="233"/>
      <c r="AZ31" s="233"/>
      <c r="BA31" s="233"/>
      <c r="BB31" s="670">
        <f t="shared" si="2"/>
        <v>280.29999999999995</v>
      </c>
      <c r="BC31" s="671">
        <f t="shared" si="3"/>
        <v>719.7</v>
      </c>
      <c r="BD31" s="668"/>
      <c r="BE31" s="667">
        <f t="shared" si="0"/>
        <v>8.4492530000000006</v>
      </c>
      <c r="BF31" s="643" t="s">
        <v>17899</v>
      </c>
      <c r="BG31" s="669">
        <f t="shared" si="1"/>
        <v>0.19784800000000002</v>
      </c>
    </row>
    <row r="32" spans="1:59" ht="15.75">
      <c r="A32">
        <f t="shared" si="4"/>
        <v>6442</v>
      </c>
      <c r="B32" s="79" t="s">
        <v>188</v>
      </c>
      <c r="C32" s="16">
        <v>5543</v>
      </c>
      <c r="D32" s="19">
        <v>6442</v>
      </c>
      <c r="E32" s="18" t="s">
        <v>147</v>
      </c>
      <c r="F32" s="238">
        <v>0</v>
      </c>
      <c r="G32" s="238">
        <v>0</v>
      </c>
      <c r="H32" s="238">
        <v>0</v>
      </c>
      <c r="I32" s="238">
        <v>0</v>
      </c>
      <c r="J32" s="238">
        <v>0</v>
      </c>
      <c r="K32" s="238">
        <v>0</v>
      </c>
      <c r="L32" s="238">
        <v>0</v>
      </c>
      <c r="M32" s="238">
        <v>0</v>
      </c>
      <c r="N32" s="238">
        <v>0</v>
      </c>
      <c r="O32" s="238">
        <v>0</v>
      </c>
      <c r="P32" s="238">
        <v>0</v>
      </c>
      <c r="Q32" s="238">
        <v>0</v>
      </c>
      <c r="R32" s="238">
        <v>0</v>
      </c>
      <c r="S32" s="238">
        <v>0</v>
      </c>
      <c r="T32" s="238">
        <f>505.2</f>
        <v>505.2</v>
      </c>
      <c r="U32" s="238">
        <v>0</v>
      </c>
      <c r="V32" s="238">
        <v>0</v>
      </c>
      <c r="W32" s="238">
        <v>0</v>
      </c>
      <c r="X32" s="238">
        <v>0</v>
      </c>
      <c r="Y32" s="238">
        <v>0</v>
      </c>
      <c r="Z32" s="238">
        <v>0</v>
      </c>
      <c r="AA32" s="238">
        <v>0</v>
      </c>
      <c r="AB32" s="238">
        <v>0</v>
      </c>
      <c r="AC32" s="238">
        <v>0</v>
      </c>
      <c r="AD32" s="238">
        <v>0</v>
      </c>
      <c r="AE32" s="238">
        <v>0</v>
      </c>
      <c r="AF32" s="238">
        <v>0</v>
      </c>
      <c r="AG32" s="238">
        <v>0</v>
      </c>
      <c r="AH32" s="238">
        <v>0</v>
      </c>
      <c r="AI32" s="238">
        <v>0</v>
      </c>
      <c r="AJ32" s="238">
        <v>0</v>
      </c>
      <c r="AK32" s="238"/>
      <c r="AL32" s="238">
        <v>216.5</v>
      </c>
      <c r="AM32" s="238">
        <v>0</v>
      </c>
      <c r="AN32" s="238">
        <v>0</v>
      </c>
      <c r="AO32" s="15">
        <v>0</v>
      </c>
      <c r="AP32" s="15">
        <v>0</v>
      </c>
      <c r="AQ32" s="15">
        <v>0</v>
      </c>
      <c r="AR32" s="15">
        <v>0</v>
      </c>
      <c r="AS32" s="15">
        <v>0</v>
      </c>
      <c r="AT32" s="15">
        <v>0</v>
      </c>
      <c r="AU32" s="15">
        <v>0</v>
      </c>
      <c r="AV32" s="15">
        <v>0</v>
      </c>
      <c r="AW32" s="233"/>
      <c r="AX32" s="233"/>
      <c r="AY32" s="233"/>
      <c r="AZ32" s="233"/>
      <c r="BA32" s="233"/>
      <c r="BB32" s="670">
        <f t="shared" si="2"/>
        <v>278.29999999999995</v>
      </c>
      <c r="BC32" s="671">
        <f t="shared" si="3"/>
        <v>721.7</v>
      </c>
      <c r="BD32" s="668"/>
      <c r="BE32" s="667">
        <f t="shared" si="0"/>
        <v>7.3217410000000003</v>
      </c>
      <c r="BF32" s="643" t="s">
        <v>17916</v>
      </c>
      <c r="BG32" s="669">
        <f t="shared" si="1"/>
        <v>0.18764</v>
      </c>
    </row>
    <row r="33" spans="1:59" ht="15.75">
      <c r="A33">
        <f t="shared" si="4"/>
        <v>6460</v>
      </c>
      <c r="B33" s="79" t="s">
        <v>188</v>
      </c>
      <c r="C33" s="16">
        <v>5555</v>
      </c>
      <c r="D33" s="19">
        <v>6460</v>
      </c>
      <c r="E33" s="18" t="s">
        <v>148</v>
      </c>
      <c r="F33" s="238">
        <v>0</v>
      </c>
      <c r="G33" s="238">
        <v>0</v>
      </c>
      <c r="H33" s="238">
        <v>0</v>
      </c>
      <c r="I33" s="238">
        <v>0</v>
      </c>
      <c r="J33" s="238">
        <v>0</v>
      </c>
      <c r="K33" s="238">
        <v>0</v>
      </c>
      <c r="L33" s="238">
        <v>0</v>
      </c>
      <c r="M33" s="238">
        <v>0</v>
      </c>
      <c r="N33" s="238">
        <v>0</v>
      </c>
      <c r="O33" s="238">
        <v>0</v>
      </c>
      <c r="P33" s="238">
        <v>0</v>
      </c>
      <c r="Q33" s="238">
        <v>0</v>
      </c>
      <c r="R33" s="238">
        <v>0</v>
      </c>
      <c r="S33" s="238">
        <v>0</v>
      </c>
      <c r="T33" s="238">
        <f>389.9</f>
        <v>389.9</v>
      </c>
      <c r="U33" s="238">
        <v>288.8</v>
      </c>
      <c r="V33" s="238">
        <v>0</v>
      </c>
      <c r="W33" s="238">
        <v>0</v>
      </c>
      <c r="X33" s="238">
        <v>0</v>
      </c>
      <c r="Y33" s="238">
        <v>0</v>
      </c>
      <c r="Z33" s="238">
        <v>0</v>
      </c>
      <c r="AA33" s="238">
        <v>0</v>
      </c>
      <c r="AB33" s="238">
        <v>43.3</v>
      </c>
      <c r="AC33" s="238">
        <v>0</v>
      </c>
      <c r="AD33" s="238">
        <v>0</v>
      </c>
      <c r="AE33" s="238">
        <v>0</v>
      </c>
      <c r="AF33" s="238">
        <v>0</v>
      </c>
      <c r="AG33" s="238">
        <v>0</v>
      </c>
      <c r="AH33" s="238">
        <v>0</v>
      </c>
      <c r="AI33" s="238">
        <v>0</v>
      </c>
      <c r="AJ33" s="238">
        <v>0</v>
      </c>
      <c r="AK33" s="238"/>
      <c r="AL33" s="238">
        <v>0</v>
      </c>
      <c r="AM33" s="238">
        <v>0</v>
      </c>
      <c r="AN33" s="238">
        <v>0</v>
      </c>
      <c r="AO33" s="15">
        <v>0</v>
      </c>
      <c r="AP33" s="15">
        <v>0</v>
      </c>
      <c r="AQ33" s="15">
        <v>0</v>
      </c>
      <c r="AR33" s="15">
        <v>0</v>
      </c>
      <c r="AS33" s="15">
        <v>0</v>
      </c>
      <c r="AT33" s="15">
        <v>0</v>
      </c>
      <c r="AU33" s="15">
        <v>0</v>
      </c>
      <c r="AV33" s="15">
        <v>0</v>
      </c>
      <c r="AW33" s="233"/>
      <c r="AX33" s="233"/>
      <c r="AY33" s="233"/>
      <c r="AZ33" s="233"/>
      <c r="BA33" s="233"/>
      <c r="BB33" s="670">
        <f t="shared" si="2"/>
        <v>278</v>
      </c>
      <c r="BC33" s="671">
        <f t="shared" si="3"/>
        <v>722</v>
      </c>
      <c r="BD33" s="668"/>
      <c r="BE33" s="667">
        <f t="shared" si="0"/>
        <v>7.8355350000000001</v>
      </c>
      <c r="BF33" s="642" t="s">
        <v>17903</v>
      </c>
      <c r="BG33" s="669">
        <f t="shared" si="1"/>
        <v>0.200428</v>
      </c>
    </row>
    <row r="34" spans="1:59" ht="15.75">
      <c r="A34">
        <f t="shared" si="4"/>
        <v>6464</v>
      </c>
      <c r="B34" s="79" t="s">
        <v>188</v>
      </c>
      <c r="C34" s="16">
        <v>5555</v>
      </c>
      <c r="D34" s="19">
        <v>6464</v>
      </c>
      <c r="E34" s="18" t="s">
        <v>206</v>
      </c>
      <c r="F34" s="238">
        <v>0</v>
      </c>
      <c r="G34" s="238">
        <v>0</v>
      </c>
      <c r="H34" s="238">
        <v>0</v>
      </c>
      <c r="I34" s="238">
        <v>0</v>
      </c>
      <c r="J34" s="238">
        <v>0</v>
      </c>
      <c r="K34" s="238">
        <v>0</v>
      </c>
      <c r="L34" s="238">
        <v>0</v>
      </c>
      <c r="M34" s="238">
        <v>0</v>
      </c>
      <c r="N34" s="238">
        <v>0</v>
      </c>
      <c r="O34" s="238">
        <v>0</v>
      </c>
      <c r="P34" s="238">
        <v>0</v>
      </c>
      <c r="Q34" s="238">
        <v>0</v>
      </c>
      <c r="R34" s="238">
        <v>0</v>
      </c>
      <c r="S34" s="238">
        <v>0</v>
      </c>
      <c r="T34" s="238">
        <f>389.9</f>
        <v>389.9</v>
      </c>
      <c r="U34" s="238">
        <v>288.8</v>
      </c>
      <c r="V34" s="238">
        <v>0</v>
      </c>
      <c r="W34" s="238">
        <v>0</v>
      </c>
      <c r="X34" s="238">
        <v>0</v>
      </c>
      <c r="Y34" s="238">
        <v>0</v>
      </c>
      <c r="Z34" s="238">
        <v>0</v>
      </c>
      <c r="AA34" s="238">
        <v>0</v>
      </c>
      <c r="AB34" s="238">
        <v>43.3</v>
      </c>
      <c r="AC34" s="238">
        <v>0</v>
      </c>
      <c r="AD34" s="238">
        <v>0</v>
      </c>
      <c r="AE34" s="238">
        <v>0</v>
      </c>
      <c r="AF34" s="238">
        <v>0</v>
      </c>
      <c r="AG34" s="238">
        <v>0</v>
      </c>
      <c r="AH34" s="238">
        <v>0</v>
      </c>
      <c r="AI34" s="238">
        <v>0</v>
      </c>
      <c r="AJ34" s="238">
        <v>0</v>
      </c>
      <c r="AK34" s="238"/>
      <c r="AL34" s="238">
        <v>0</v>
      </c>
      <c r="AM34" s="238">
        <v>0</v>
      </c>
      <c r="AN34" s="238">
        <v>0</v>
      </c>
      <c r="AO34" s="15">
        <v>0</v>
      </c>
      <c r="AP34" s="15">
        <v>0</v>
      </c>
      <c r="AQ34" s="15">
        <v>0</v>
      </c>
      <c r="AR34" s="15">
        <v>0</v>
      </c>
      <c r="AS34" s="15">
        <v>0</v>
      </c>
      <c r="AT34" s="15">
        <v>0</v>
      </c>
      <c r="AU34" s="15">
        <v>0</v>
      </c>
      <c r="AV34" s="15">
        <v>0</v>
      </c>
      <c r="AW34" s="233"/>
      <c r="AX34" s="233"/>
      <c r="AY34" s="233"/>
      <c r="AZ34" s="233"/>
      <c r="BA34" s="233"/>
      <c r="BB34" s="670">
        <f t="shared" si="2"/>
        <v>278</v>
      </c>
      <c r="BC34" s="671">
        <f t="shared" si="3"/>
        <v>722</v>
      </c>
      <c r="BD34" s="668"/>
      <c r="BE34" s="667">
        <f t="shared" si="0"/>
        <v>7.8355350000000001</v>
      </c>
      <c r="BF34" s="642" t="s">
        <v>17903</v>
      </c>
      <c r="BG34" s="669">
        <f t="shared" si="1"/>
        <v>0.200428</v>
      </c>
    </row>
    <row r="35" spans="1:59" ht="15.75">
      <c r="A35">
        <f t="shared" si="4"/>
        <v>6465</v>
      </c>
      <c r="B35" s="79" t="s">
        <v>188</v>
      </c>
      <c r="C35" s="16">
        <v>5576</v>
      </c>
      <c r="D35" s="19">
        <v>6465</v>
      </c>
      <c r="E35" s="18" t="s">
        <v>207</v>
      </c>
      <c r="F35" s="238">
        <v>0</v>
      </c>
      <c r="G35" s="238">
        <v>0</v>
      </c>
      <c r="H35" s="238">
        <v>0</v>
      </c>
      <c r="I35" s="238">
        <v>0</v>
      </c>
      <c r="J35" s="238">
        <v>0</v>
      </c>
      <c r="K35" s="238">
        <v>0</v>
      </c>
      <c r="L35" s="238">
        <v>259.3</v>
      </c>
      <c r="M35" s="238">
        <v>0</v>
      </c>
      <c r="N35" s="238"/>
      <c r="O35" s="238">
        <v>0</v>
      </c>
      <c r="P35" s="238">
        <v>0</v>
      </c>
      <c r="Q35" s="238">
        <v>0</v>
      </c>
      <c r="R35" s="238">
        <v>0</v>
      </c>
      <c r="S35" s="238">
        <v>0</v>
      </c>
      <c r="T35" s="238">
        <v>0</v>
      </c>
      <c r="U35" s="238">
        <v>407.4</v>
      </c>
      <c r="V35" s="238">
        <v>0</v>
      </c>
      <c r="W35" s="238">
        <v>0</v>
      </c>
      <c r="X35" s="238">
        <v>74.099999999999994</v>
      </c>
      <c r="Y35" s="238">
        <v>0</v>
      </c>
      <c r="Z35" s="238">
        <v>0</v>
      </c>
      <c r="AA35" s="238">
        <v>0</v>
      </c>
      <c r="AB35" s="238">
        <v>0</v>
      </c>
      <c r="AC35" s="238">
        <v>0</v>
      </c>
      <c r="AD35" s="238">
        <v>0</v>
      </c>
      <c r="AE35" s="238">
        <v>0</v>
      </c>
      <c r="AF35" s="238">
        <v>0</v>
      </c>
      <c r="AG35" s="238">
        <v>0</v>
      </c>
      <c r="AH35" s="238">
        <v>0</v>
      </c>
      <c r="AI35" s="238">
        <v>0</v>
      </c>
      <c r="AJ35" s="238">
        <v>0</v>
      </c>
      <c r="AK35" s="238">
        <v>0</v>
      </c>
      <c r="AL35" s="238">
        <v>0</v>
      </c>
      <c r="AM35" s="238">
        <v>0</v>
      </c>
      <c r="AN35" s="238">
        <v>0</v>
      </c>
      <c r="AO35" s="15">
        <v>0</v>
      </c>
      <c r="AP35" s="15">
        <v>0</v>
      </c>
      <c r="AQ35" s="15">
        <v>0</v>
      </c>
      <c r="AR35" s="15">
        <v>0</v>
      </c>
      <c r="AS35" s="15">
        <v>0</v>
      </c>
      <c r="AT35" s="15">
        <v>0</v>
      </c>
      <c r="AU35" s="15">
        <v>0</v>
      </c>
      <c r="AV35" s="15">
        <v>0</v>
      </c>
      <c r="AW35" s="233"/>
      <c r="AX35" s="233"/>
      <c r="AY35" s="233"/>
      <c r="AZ35" s="233"/>
      <c r="BA35" s="233"/>
      <c r="BB35" s="670">
        <f t="shared" si="2"/>
        <v>259.19999999999993</v>
      </c>
      <c r="BC35" s="671">
        <f t="shared" si="3"/>
        <v>740.80000000000007</v>
      </c>
      <c r="BD35" s="668"/>
      <c r="BE35" s="667">
        <f t="shared" si="0"/>
        <v>8.0529690000000009</v>
      </c>
      <c r="BF35" s="642" t="s">
        <v>17903</v>
      </c>
      <c r="BG35" s="669">
        <f t="shared" si="1"/>
        <v>0.23334500000000002</v>
      </c>
    </row>
    <row r="36" spans="1:59" ht="15.75">
      <c r="A36">
        <f t="shared" si="4"/>
        <v>6466</v>
      </c>
      <c r="B36" s="79" t="s">
        <v>188</v>
      </c>
      <c r="C36" s="16">
        <v>5577</v>
      </c>
      <c r="D36" s="19">
        <v>6466</v>
      </c>
      <c r="E36" s="18" t="s">
        <v>208</v>
      </c>
      <c r="F36" s="238">
        <v>0</v>
      </c>
      <c r="G36" s="238">
        <v>0</v>
      </c>
      <c r="H36" s="238">
        <v>0</v>
      </c>
      <c r="I36" s="238">
        <v>0</v>
      </c>
      <c r="J36" s="238">
        <v>0</v>
      </c>
      <c r="K36" s="238">
        <v>0</v>
      </c>
      <c r="L36" s="238">
        <v>0</v>
      </c>
      <c r="M36" s="238">
        <v>0</v>
      </c>
      <c r="N36" s="238">
        <v>0</v>
      </c>
      <c r="O36" s="238"/>
      <c r="P36" s="238">
        <v>0</v>
      </c>
      <c r="Q36" s="238">
        <v>0</v>
      </c>
      <c r="R36" s="238">
        <v>38.51</v>
      </c>
      <c r="S36" s="238">
        <v>0</v>
      </c>
      <c r="T36" s="238">
        <f>431.27</f>
        <v>431.27</v>
      </c>
      <c r="U36" s="238">
        <v>154.02000000000001</v>
      </c>
      <c r="V36" s="238">
        <v>0</v>
      </c>
      <c r="W36" s="238">
        <v>0</v>
      </c>
      <c r="X36" s="238">
        <v>107.82</v>
      </c>
      <c r="Y36" s="238">
        <v>0</v>
      </c>
      <c r="Z36" s="238">
        <v>0</v>
      </c>
      <c r="AA36" s="238">
        <v>0</v>
      </c>
      <c r="AB36" s="238">
        <v>0</v>
      </c>
      <c r="AC36" s="238">
        <v>0</v>
      </c>
      <c r="AD36" s="238">
        <v>0</v>
      </c>
      <c r="AE36" s="238">
        <v>0</v>
      </c>
      <c r="AF36" s="238">
        <v>0</v>
      </c>
      <c r="AG36" s="238">
        <v>0</v>
      </c>
      <c r="AH36" s="238">
        <v>0</v>
      </c>
      <c r="AI36" s="238">
        <v>0</v>
      </c>
      <c r="AJ36" s="238">
        <v>0</v>
      </c>
      <c r="AK36" s="238"/>
      <c r="AL36" s="238">
        <v>0</v>
      </c>
      <c r="AM36" s="238">
        <v>0</v>
      </c>
      <c r="AN36" s="238">
        <v>38.51</v>
      </c>
      <c r="AO36" s="15">
        <v>0</v>
      </c>
      <c r="AP36" s="15">
        <v>0</v>
      </c>
      <c r="AQ36" s="15">
        <v>0</v>
      </c>
      <c r="AR36" s="15">
        <v>0</v>
      </c>
      <c r="AS36" s="15">
        <v>0</v>
      </c>
      <c r="AT36" s="15">
        <v>0</v>
      </c>
      <c r="AU36" s="15">
        <v>0</v>
      </c>
      <c r="AV36" s="15">
        <v>0</v>
      </c>
      <c r="AW36" s="233"/>
      <c r="AX36" s="233"/>
      <c r="AY36" s="233"/>
      <c r="AZ36" s="233"/>
      <c r="BA36" s="233"/>
      <c r="BB36" s="670">
        <f t="shared" si="2"/>
        <v>229.87000000000012</v>
      </c>
      <c r="BC36" s="671">
        <f t="shared" si="3"/>
        <v>770.12999999999988</v>
      </c>
      <c r="BD36" s="668">
        <v>9.57</v>
      </c>
      <c r="BE36" s="667">
        <f t="shared" si="0"/>
        <v>8.8335996999999988</v>
      </c>
      <c r="BF36" s="642" t="s">
        <v>17900</v>
      </c>
      <c r="BG36" s="669">
        <f t="shared" si="1"/>
        <v>0.21063130000000002</v>
      </c>
    </row>
    <row r="37" spans="1:59" ht="15.75">
      <c r="A37">
        <f t="shared" si="4"/>
        <v>6473</v>
      </c>
      <c r="B37" s="79" t="s">
        <v>188</v>
      </c>
      <c r="C37" s="16">
        <v>5575</v>
      </c>
      <c r="D37" s="19">
        <v>6473</v>
      </c>
      <c r="E37" s="18" t="s">
        <v>252</v>
      </c>
      <c r="F37" s="238">
        <v>0</v>
      </c>
      <c r="G37" s="238">
        <v>0</v>
      </c>
      <c r="H37" s="238">
        <v>0</v>
      </c>
      <c r="I37" s="238">
        <v>0</v>
      </c>
      <c r="J37" s="238">
        <v>0</v>
      </c>
      <c r="K37" s="238">
        <v>0</v>
      </c>
      <c r="L37" s="238">
        <v>0</v>
      </c>
      <c r="M37" s="238">
        <v>0</v>
      </c>
      <c r="N37" s="238">
        <v>0</v>
      </c>
      <c r="O37" s="238">
        <v>0</v>
      </c>
      <c r="P37" s="238">
        <v>0</v>
      </c>
      <c r="Q37" s="238">
        <v>0</v>
      </c>
      <c r="R37" s="238">
        <v>0</v>
      </c>
      <c r="S37" s="238">
        <v>0</v>
      </c>
      <c r="T37" s="238">
        <f>501.8</f>
        <v>501.8</v>
      </c>
      <c r="U37" s="238">
        <v>143.4</v>
      </c>
      <c r="V37" s="238">
        <v>0</v>
      </c>
      <c r="W37" s="238">
        <v>0</v>
      </c>
      <c r="X37" s="238">
        <v>71.7</v>
      </c>
      <c r="Y37" s="238">
        <v>0</v>
      </c>
      <c r="Z37" s="238">
        <v>0</v>
      </c>
      <c r="AA37" s="238">
        <v>0</v>
      </c>
      <c r="AB37" s="238">
        <v>0</v>
      </c>
      <c r="AC37" s="238">
        <v>0</v>
      </c>
      <c r="AD37" s="238">
        <v>0</v>
      </c>
      <c r="AE37" s="238">
        <v>0</v>
      </c>
      <c r="AF37" s="238">
        <v>0</v>
      </c>
      <c r="AG37" s="238">
        <v>0</v>
      </c>
      <c r="AH37" s="238">
        <v>0</v>
      </c>
      <c r="AI37" s="238">
        <v>0</v>
      </c>
      <c r="AJ37" s="238">
        <v>0</v>
      </c>
      <c r="AK37" s="238"/>
      <c r="AL37" s="238">
        <v>0</v>
      </c>
      <c r="AM37" s="238">
        <v>0</v>
      </c>
      <c r="AN37" s="238">
        <v>0</v>
      </c>
      <c r="AO37" s="15">
        <v>0</v>
      </c>
      <c r="AP37" s="15">
        <v>0</v>
      </c>
      <c r="AQ37" s="15">
        <v>0</v>
      </c>
      <c r="AR37" s="15">
        <v>0</v>
      </c>
      <c r="AS37" s="15">
        <v>0</v>
      </c>
      <c r="AT37" s="15">
        <v>0</v>
      </c>
      <c r="AU37" s="15">
        <v>0</v>
      </c>
      <c r="AV37" s="15">
        <v>0</v>
      </c>
      <c r="AW37" s="233"/>
      <c r="AX37" s="233"/>
      <c r="AY37" s="233"/>
      <c r="AZ37" s="233"/>
      <c r="BA37" s="233"/>
      <c r="BB37" s="670">
        <f t="shared" si="2"/>
        <v>283.09999999999991</v>
      </c>
      <c r="BC37" s="671">
        <f t="shared" si="3"/>
        <v>716.90000000000009</v>
      </c>
      <c r="BD37" s="668"/>
      <c r="BE37" s="667">
        <f t="shared" si="0"/>
        <v>8.6837230000000005</v>
      </c>
      <c r="BF37" s="43"/>
      <c r="BG37" s="669">
        <f t="shared" si="1"/>
        <v>0.17564500000000005</v>
      </c>
    </row>
    <row r="38" spans="1:59" ht="15.75">
      <c r="A38">
        <f t="shared" si="4"/>
        <v>6480</v>
      </c>
      <c r="B38" s="79" t="s">
        <v>188</v>
      </c>
      <c r="C38" s="16">
        <v>5681</v>
      </c>
      <c r="D38" s="19">
        <v>6480</v>
      </c>
      <c r="E38" s="18" t="s">
        <v>40</v>
      </c>
      <c r="F38" s="238">
        <v>0</v>
      </c>
      <c r="G38" s="238">
        <v>0</v>
      </c>
      <c r="H38" s="238">
        <v>0</v>
      </c>
      <c r="I38" s="238">
        <v>0</v>
      </c>
      <c r="J38" s="238">
        <v>0</v>
      </c>
      <c r="K38" s="238">
        <v>0</v>
      </c>
      <c r="L38" s="238">
        <v>0</v>
      </c>
      <c r="M38" s="238">
        <v>0</v>
      </c>
      <c r="N38" s="238">
        <v>113.01</v>
      </c>
      <c r="O38" s="238"/>
      <c r="P38" s="238">
        <v>0</v>
      </c>
      <c r="Q38" s="238">
        <v>0</v>
      </c>
      <c r="R38" s="238">
        <v>60.85</v>
      </c>
      <c r="S38" s="238">
        <v>0</v>
      </c>
      <c r="T38" s="238">
        <v>591.15</v>
      </c>
      <c r="U38" s="238">
        <v>0</v>
      </c>
      <c r="V38" s="238">
        <v>0</v>
      </c>
      <c r="W38" s="238">
        <v>0</v>
      </c>
      <c r="X38" s="238">
        <v>0</v>
      </c>
      <c r="Y38" s="238">
        <v>0</v>
      </c>
      <c r="Z38" s="238">
        <v>0</v>
      </c>
      <c r="AA38" s="238">
        <v>0</v>
      </c>
      <c r="AB38" s="238">
        <v>104.32</v>
      </c>
      <c r="AC38" s="238">
        <v>0</v>
      </c>
      <c r="AD38" s="238">
        <v>0</v>
      </c>
      <c r="AE38" s="238">
        <v>0</v>
      </c>
      <c r="AF38" s="238">
        <v>0</v>
      </c>
      <c r="AG38" s="238">
        <v>0</v>
      </c>
      <c r="AH38" s="238">
        <v>0</v>
      </c>
      <c r="AI38" s="238">
        <v>0</v>
      </c>
      <c r="AJ38" s="238">
        <v>0</v>
      </c>
      <c r="AK38" s="238"/>
      <c r="AL38" s="238">
        <v>0</v>
      </c>
      <c r="AM38" s="238">
        <v>0</v>
      </c>
      <c r="AN38" s="238"/>
      <c r="AO38" s="15"/>
      <c r="AP38" s="15"/>
      <c r="AQ38" s="15"/>
      <c r="AR38" s="15"/>
      <c r="AS38" s="15"/>
      <c r="AT38" s="15"/>
      <c r="AU38" s="15"/>
      <c r="AV38" s="15"/>
      <c r="AW38" s="233"/>
      <c r="AX38" s="233"/>
      <c r="AY38" s="233"/>
      <c r="AZ38" s="233"/>
      <c r="BA38" s="233"/>
      <c r="BB38" s="670">
        <f t="shared" si="2"/>
        <v>130.67000000000007</v>
      </c>
      <c r="BC38" s="671">
        <f t="shared" si="3"/>
        <v>869.32999999999993</v>
      </c>
      <c r="BD38" s="668">
        <v>9.58</v>
      </c>
      <c r="BE38" s="667">
        <f t="shared" si="0"/>
        <v>9.6021120000000018</v>
      </c>
      <c r="BF38" s="643" t="s">
        <v>17898</v>
      </c>
      <c r="BG38" s="669">
        <f t="shared" si="1"/>
        <v>0.19846670000000002</v>
      </c>
    </row>
    <row r="39" spans="1:59" ht="15.75">
      <c r="A39">
        <f t="shared" si="4"/>
        <v>6482</v>
      </c>
      <c r="B39" s="79" t="s">
        <v>188</v>
      </c>
      <c r="C39" s="16">
        <v>5532</v>
      </c>
      <c r="D39" s="19">
        <v>6482</v>
      </c>
      <c r="E39" s="18" t="s">
        <v>42</v>
      </c>
      <c r="F39" s="238">
        <v>0</v>
      </c>
      <c r="G39" s="238">
        <v>0</v>
      </c>
      <c r="H39" s="238">
        <v>0</v>
      </c>
      <c r="I39" s="238">
        <v>0</v>
      </c>
      <c r="J39" s="238">
        <v>0</v>
      </c>
      <c r="K39" s="238">
        <v>0</v>
      </c>
      <c r="L39" s="238">
        <v>0</v>
      </c>
      <c r="M39" s="238">
        <v>0</v>
      </c>
      <c r="N39" s="238">
        <v>111.4</v>
      </c>
      <c r="O39" s="238">
        <v>0</v>
      </c>
      <c r="P39" s="238">
        <v>0</v>
      </c>
      <c r="Q39" s="238">
        <v>0</v>
      </c>
      <c r="R39" s="238">
        <v>74.3</v>
      </c>
      <c r="S39" s="238">
        <v>0</v>
      </c>
      <c r="T39" s="238">
        <f>148.5+161.4</f>
        <v>309.89999999999998</v>
      </c>
      <c r="U39" s="238">
        <v>222.8</v>
      </c>
      <c r="V39" s="238">
        <v>0</v>
      </c>
      <c r="W39" s="238">
        <v>0</v>
      </c>
      <c r="X39" s="238">
        <v>0</v>
      </c>
      <c r="Y39" s="238">
        <v>0</v>
      </c>
      <c r="Z39" s="238">
        <v>0</v>
      </c>
      <c r="AA39" s="238">
        <v>0</v>
      </c>
      <c r="AB39" s="238">
        <v>74.3</v>
      </c>
      <c r="AC39" s="238">
        <v>0</v>
      </c>
      <c r="AD39" s="238">
        <v>0</v>
      </c>
      <c r="AE39" s="238">
        <v>0</v>
      </c>
      <c r="AF39" s="238">
        <v>0</v>
      </c>
      <c r="AG39" s="238">
        <v>0</v>
      </c>
      <c r="AH39" s="238">
        <v>0</v>
      </c>
      <c r="AI39" s="238">
        <v>0</v>
      </c>
      <c r="AJ39" s="238">
        <v>0</v>
      </c>
      <c r="AK39" s="238"/>
      <c r="AL39" s="238">
        <v>0</v>
      </c>
      <c r="AM39" s="238">
        <v>0</v>
      </c>
      <c r="AN39" s="238"/>
      <c r="AO39" s="15"/>
      <c r="AP39" s="15"/>
      <c r="AQ39" s="15"/>
      <c r="AR39" s="15"/>
      <c r="AS39" s="15"/>
      <c r="AT39" s="15"/>
      <c r="AU39" s="15"/>
      <c r="AV39" s="15"/>
      <c r="AW39" s="233"/>
      <c r="AX39" s="233"/>
      <c r="AY39" s="233"/>
      <c r="AZ39" s="233"/>
      <c r="BA39" s="233"/>
      <c r="BB39" s="670">
        <f t="shared" si="2"/>
        <v>207.30000000000007</v>
      </c>
      <c r="BC39" s="671">
        <f t="shared" si="3"/>
        <v>792.69999999999993</v>
      </c>
      <c r="BD39" s="668"/>
      <c r="BE39" s="667">
        <f t="shared" si="0"/>
        <v>8.1245049999999992</v>
      </c>
      <c r="BF39" s="43"/>
      <c r="BG39" s="669">
        <f t="shared" si="1"/>
        <v>0.233932</v>
      </c>
    </row>
    <row r="40" spans="1:59" ht="31.5">
      <c r="A40">
        <f t="shared" si="4"/>
        <v>6485</v>
      </c>
      <c r="B40" s="79" t="s">
        <v>188</v>
      </c>
      <c r="C40" s="16">
        <v>5526</v>
      </c>
      <c r="D40" s="19">
        <v>6485</v>
      </c>
      <c r="E40" s="18" t="s">
        <v>43</v>
      </c>
      <c r="F40" s="238">
        <v>0</v>
      </c>
      <c r="G40" s="238">
        <v>0</v>
      </c>
      <c r="H40" s="238">
        <v>0</v>
      </c>
      <c r="I40" s="238">
        <v>0</v>
      </c>
      <c r="J40" s="238">
        <v>0</v>
      </c>
      <c r="K40" s="238">
        <v>0</v>
      </c>
      <c r="L40" s="238">
        <v>0</v>
      </c>
      <c r="M40" s="238">
        <v>0</v>
      </c>
      <c r="N40" s="238">
        <v>0</v>
      </c>
      <c r="O40" s="238">
        <v>0</v>
      </c>
      <c r="P40" s="238">
        <v>0</v>
      </c>
      <c r="Q40" s="238">
        <v>111.83</v>
      </c>
      <c r="R40" s="238">
        <v>0</v>
      </c>
      <c r="S40" s="238">
        <v>0</v>
      </c>
      <c r="T40" s="238">
        <f>172.04</f>
        <v>172.04</v>
      </c>
      <c r="U40" s="238">
        <v>25.81</v>
      </c>
      <c r="V40" s="238">
        <v>0</v>
      </c>
      <c r="W40" s="242">
        <v>404.3</v>
      </c>
      <c r="X40" s="238">
        <v>86.05</v>
      </c>
      <c r="Y40" s="238">
        <v>0</v>
      </c>
      <c r="Z40" s="238">
        <v>0</v>
      </c>
      <c r="AA40" s="238">
        <v>0</v>
      </c>
      <c r="AB40" s="238">
        <v>60.22</v>
      </c>
      <c r="AC40" s="238">
        <v>0</v>
      </c>
      <c r="AD40" s="238">
        <v>0</v>
      </c>
      <c r="AE40" s="238">
        <v>0</v>
      </c>
      <c r="AF40" s="238">
        <v>0</v>
      </c>
      <c r="AG40" s="238">
        <v>0</v>
      </c>
      <c r="AH40" s="238">
        <v>0</v>
      </c>
      <c r="AI40" s="238">
        <v>0</v>
      </c>
      <c r="AJ40" s="242"/>
      <c r="AK40" s="238"/>
      <c r="AL40" s="238">
        <v>0</v>
      </c>
      <c r="AM40" s="238">
        <v>0</v>
      </c>
      <c r="AN40" s="238"/>
      <c r="AO40" s="15"/>
      <c r="AP40" s="15"/>
      <c r="AQ40" s="15"/>
      <c r="AR40" s="15"/>
      <c r="AS40" s="15"/>
      <c r="AT40" s="15"/>
      <c r="AU40" s="15"/>
      <c r="AV40" s="15"/>
      <c r="AW40" s="233"/>
      <c r="AX40" s="233"/>
      <c r="AY40" s="233"/>
      <c r="AZ40" s="233"/>
      <c r="BA40" s="233"/>
      <c r="BB40" s="670">
        <f t="shared" si="2"/>
        <v>139.75</v>
      </c>
      <c r="BC40" s="671">
        <f t="shared" si="3"/>
        <v>860.25</v>
      </c>
      <c r="BD40" s="668">
        <v>10.039999999999999</v>
      </c>
      <c r="BE40" s="667">
        <f t="shared" ref="BE40:BE71" si="5">SUMPRODUCT(F40:AY40,$F$5:$AY$5)/1000</f>
        <v>9.8001377999999999</v>
      </c>
      <c r="BF40" s="642" t="s">
        <v>17902</v>
      </c>
      <c r="BG40" s="669">
        <f t="shared" ref="BG40:BG71" si="6">SUMPRODUCT(F40:AY40,$F$4:$AY$4)/1000</f>
        <v>0.2035371</v>
      </c>
    </row>
    <row r="41" spans="1:59" ht="15.75">
      <c r="A41">
        <f t="shared" si="4"/>
        <v>6487</v>
      </c>
      <c r="B41" s="79" t="s">
        <v>188</v>
      </c>
      <c r="C41" s="16">
        <v>5680</v>
      </c>
      <c r="D41" s="19">
        <v>6487</v>
      </c>
      <c r="E41" s="18" t="s">
        <v>221</v>
      </c>
      <c r="F41" s="238">
        <v>0</v>
      </c>
      <c r="G41" s="238">
        <v>0</v>
      </c>
      <c r="H41" s="238">
        <v>0</v>
      </c>
      <c r="I41" s="238">
        <v>0</v>
      </c>
      <c r="J41" s="238">
        <v>0</v>
      </c>
      <c r="K41" s="238">
        <v>0</v>
      </c>
      <c r="L41" s="238">
        <v>0</v>
      </c>
      <c r="M41" s="238">
        <v>0</v>
      </c>
      <c r="N41" s="238">
        <v>112.87</v>
      </c>
      <c r="O41" s="238">
        <v>0</v>
      </c>
      <c r="P41" s="238">
        <v>0</v>
      </c>
      <c r="Q41" s="238">
        <v>0</v>
      </c>
      <c r="R41" s="238">
        <v>60.77</v>
      </c>
      <c r="S41" s="238">
        <v>0</v>
      </c>
      <c r="T41" s="238">
        <v>590.38</v>
      </c>
      <c r="U41" s="238">
        <v>0</v>
      </c>
      <c r="V41" s="238">
        <v>0</v>
      </c>
      <c r="W41" s="238">
        <v>0</v>
      </c>
      <c r="X41" s="238">
        <v>0</v>
      </c>
      <c r="Y41" s="238">
        <v>0</v>
      </c>
      <c r="Z41" s="238">
        <v>0</v>
      </c>
      <c r="AA41" s="238">
        <v>0</v>
      </c>
      <c r="AB41" s="238">
        <v>104.18</v>
      </c>
      <c r="AC41" s="238">
        <v>0</v>
      </c>
      <c r="AD41" s="238">
        <v>0</v>
      </c>
      <c r="AE41" s="238">
        <v>0</v>
      </c>
      <c r="AF41" s="238">
        <v>0</v>
      </c>
      <c r="AG41" s="238">
        <v>0</v>
      </c>
      <c r="AH41" s="238">
        <v>0</v>
      </c>
      <c r="AI41" s="238">
        <v>0</v>
      </c>
      <c r="AJ41" s="238">
        <v>0</v>
      </c>
      <c r="AK41" s="238">
        <v>0</v>
      </c>
      <c r="AL41" s="238">
        <v>0</v>
      </c>
      <c r="AM41" s="238">
        <v>0</v>
      </c>
      <c r="AN41" s="238"/>
      <c r="AO41" s="15"/>
      <c r="AP41" s="15"/>
      <c r="AQ41" s="15"/>
      <c r="AR41" s="15"/>
      <c r="AS41" s="15"/>
      <c r="AT41" s="15"/>
      <c r="AU41" s="15"/>
      <c r="AV41" s="15"/>
      <c r="AW41" s="233"/>
      <c r="AX41" s="233"/>
      <c r="AY41" s="233"/>
      <c r="AZ41" s="233"/>
      <c r="BA41" s="233"/>
      <c r="BB41" s="670">
        <f t="shared" si="2"/>
        <v>131.79999999999995</v>
      </c>
      <c r="BC41" s="671">
        <f t="shared" si="3"/>
        <v>868.2</v>
      </c>
      <c r="BD41" s="668"/>
      <c r="BE41" s="667">
        <f t="shared" si="5"/>
        <v>9.5896884000000018</v>
      </c>
      <c r="BF41" s="43"/>
      <c r="BG41" s="669">
        <f t="shared" si="6"/>
        <v>0.19820889999999999</v>
      </c>
    </row>
    <row r="42" spans="1:59" ht="31.5">
      <c r="A42">
        <f t="shared" si="4"/>
        <v>6490</v>
      </c>
      <c r="B42" s="79" t="s">
        <v>188</v>
      </c>
      <c r="C42" s="16">
        <v>5445</v>
      </c>
      <c r="D42" s="19">
        <v>6490</v>
      </c>
      <c r="E42" s="18" t="s">
        <v>45</v>
      </c>
      <c r="F42" s="238">
        <v>0</v>
      </c>
      <c r="G42" s="238">
        <v>0</v>
      </c>
      <c r="H42" s="238">
        <v>0</v>
      </c>
      <c r="I42" s="238">
        <v>0</v>
      </c>
      <c r="J42" s="238">
        <v>0</v>
      </c>
      <c r="K42" s="238">
        <v>0</v>
      </c>
      <c r="L42" s="238">
        <v>0</v>
      </c>
      <c r="M42" s="238">
        <f>70.9-50</f>
        <v>20.900000000000006</v>
      </c>
      <c r="N42" s="238">
        <v>0</v>
      </c>
      <c r="O42" s="238"/>
      <c r="P42" s="238">
        <v>0</v>
      </c>
      <c r="Q42" s="238">
        <v>59.1</v>
      </c>
      <c r="R42" s="238">
        <v>0</v>
      </c>
      <c r="S42" s="238">
        <v>0</v>
      </c>
      <c r="T42" s="238">
        <v>0</v>
      </c>
      <c r="U42" s="238">
        <v>0</v>
      </c>
      <c r="V42" s="238">
        <v>0</v>
      </c>
      <c r="W42" s="238">
        <v>0</v>
      </c>
      <c r="X42" s="238">
        <v>0</v>
      </c>
      <c r="Y42" s="238">
        <v>0</v>
      </c>
      <c r="Z42" s="238">
        <v>0</v>
      </c>
      <c r="AA42" s="238">
        <v>0</v>
      </c>
      <c r="AB42" s="238">
        <v>0</v>
      </c>
      <c r="AC42" s="238">
        <v>0</v>
      </c>
      <c r="AD42" s="238"/>
      <c r="AE42" s="238">
        <v>445.2</v>
      </c>
      <c r="AF42" s="238"/>
      <c r="AG42" s="238">
        <v>149.69999999999999</v>
      </c>
      <c r="AH42" s="238">
        <v>0</v>
      </c>
      <c r="AI42" s="238">
        <v>50</v>
      </c>
      <c r="AJ42" s="238">
        <v>0</v>
      </c>
      <c r="AK42" s="238">
        <v>63</v>
      </c>
      <c r="AL42" s="238">
        <v>0</v>
      </c>
      <c r="AM42" s="238">
        <v>0</v>
      </c>
      <c r="AN42" s="238"/>
      <c r="AO42" s="15"/>
      <c r="AP42" s="15"/>
      <c r="AQ42" s="15"/>
      <c r="AR42" s="15"/>
      <c r="AS42" s="15"/>
      <c r="AT42" s="15"/>
      <c r="AU42" s="15"/>
      <c r="AV42" s="15"/>
      <c r="AW42" s="233"/>
      <c r="AX42" s="233"/>
      <c r="AY42" s="233"/>
      <c r="AZ42" s="233"/>
      <c r="BA42" s="233"/>
      <c r="BB42" s="670">
        <f t="shared" si="2"/>
        <v>212.09999999999991</v>
      </c>
      <c r="BC42" s="671">
        <f t="shared" si="3"/>
        <v>787.90000000000009</v>
      </c>
      <c r="BD42" s="668">
        <v>3.11</v>
      </c>
      <c r="BE42" s="667">
        <f t="shared" si="5"/>
        <v>2.3765700000000001</v>
      </c>
      <c r="BF42" s="643" t="s">
        <v>17901</v>
      </c>
      <c r="BG42" s="669">
        <f t="shared" si="6"/>
        <v>0.20794900000000002</v>
      </c>
    </row>
    <row r="43" spans="1:59" ht="15.75">
      <c r="A43">
        <f t="shared" si="4"/>
        <v>6496</v>
      </c>
      <c r="B43" s="79" t="s">
        <v>188</v>
      </c>
      <c r="C43" s="16">
        <v>5450</v>
      </c>
      <c r="D43" s="19">
        <v>6496</v>
      </c>
      <c r="E43" s="18" t="s">
        <v>46</v>
      </c>
      <c r="F43" s="238">
        <v>0</v>
      </c>
      <c r="G43" s="238">
        <v>0</v>
      </c>
      <c r="H43" s="238">
        <v>0</v>
      </c>
      <c r="I43" s="238">
        <v>0</v>
      </c>
      <c r="J43" s="238">
        <v>0</v>
      </c>
      <c r="K43" s="238">
        <v>0</v>
      </c>
      <c r="L43" s="238">
        <v>196</v>
      </c>
      <c r="M43" s="238">
        <v>511.5</v>
      </c>
      <c r="N43" s="238">
        <v>0</v>
      </c>
      <c r="O43" s="238">
        <v>0</v>
      </c>
      <c r="P43" s="238">
        <v>0</v>
      </c>
      <c r="Q43" s="238">
        <v>0</v>
      </c>
      <c r="R43" s="238">
        <v>0</v>
      </c>
      <c r="S43" s="238">
        <v>0</v>
      </c>
      <c r="T43" s="238">
        <v>0</v>
      </c>
      <c r="U43" s="238">
        <v>0</v>
      </c>
      <c r="V43" s="238">
        <v>0</v>
      </c>
      <c r="W43" s="238">
        <v>0</v>
      </c>
      <c r="X43" s="238">
        <v>0</v>
      </c>
      <c r="Y43" s="238">
        <v>0</v>
      </c>
      <c r="Z43" s="238">
        <v>0</v>
      </c>
      <c r="AA43" s="238">
        <v>0</v>
      </c>
      <c r="AB43" s="238">
        <v>0</v>
      </c>
      <c r="AC43" s="238">
        <v>0</v>
      </c>
      <c r="AD43" s="238">
        <v>0</v>
      </c>
      <c r="AE43" s="238">
        <v>0</v>
      </c>
      <c r="AF43" s="238">
        <v>0</v>
      </c>
      <c r="AG43" s="238">
        <v>0</v>
      </c>
      <c r="AH43" s="238">
        <v>0</v>
      </c>
      <c r="AI43" s="238">
        <v>0</v>
      </c>
      <c r="AJ43" s="238">
        <v>222.6</v>
      </c>
      <c r="AK43" s="238">
        <v>0</v>
      </c>
      <c r="AL43" s="238">
        <v>0</v>
      </c>
      <c r="AM43" s="238">
        <v>0</v>
      </c>
      <c r="AN43" s="238"/>
      <c r="AO43" s="15"/>
      <c r="AP43" s="15"/>
      <c r="AQ43" s="15"/>
      <c r="AR43" s="15"/>
      <c r="AS43" s="15"/>
      <c r="AT43" s="15"/>
      <c r="AU43" s="15"/>
      <c r="AV43" s="15"/>
      <c r="AW43" s="233"/>
      <c r="AX43" s="233"/>
      <c r="AY43" s="233"/>
      <c r="AZ43" s="233"/>
      <c r="BA43" s="233"/>
      <c r="BB43" s="670">
        <f t="shared" si="2"/>
        <v>69.899999999999977</v>
      </c>
      <c r="BC43" s="671">
        <f t="shared" si="3"/>
        <v>930.1</v>
      </c>
      <c r="BD43" s="668">
        <v>10.75</v>
      </c>
      <c r="BE43" s="667">
        <f t="shared" si="5"/>
        <v>10.59759</v>
      </c>
      <c r="BF43" s="644" t="s">
        <v>17899</v>
      </c>
      <c r="BG43" s="669">
        <f t="shared" si="6"/>
        <v>0.27273799999999998</v>
      </c>
    </row>
    <row r="44" spans="1:59" ht="15.75">
      <c r="A44">
        <f t="shared" si="4"/>
        <v>6548</v>
      </c>
      <c r="B44" s="79" t="s">
        <v>188</v>
      </c>
      <c r="C44" s="16">
        <v>5531</v>
      </c>
      <c r="D44" s="19">
        <v>6548</v>
      </c>
      <c r="E44" s="20" t="s">
        <v>47</v>
      </c>
      <c r="F44" s="238">
        <v>0</v>
      </c>
      <c r="G44" s="238">
        <v>0</v>
      </c>
      <c r="H44" s="238">
        <v>0</v>
      </c>
      <c r="I44" s="238">
        <v>0</v>
      </c>
      <c r="J44" s="238">
        <v>0</v>
      </c>
      <c r="K44" s="238">
        <v>0</v>
      </c>
      <c r="L44" s="238">
        <v>0</v>
      </c>
      <c r="M44" s="238">
        <v>0</v>
      </c>
      <c r="N44" s="238">
        <v>0</v>
      </c>
      <c r="O44" s="238">
        <v>0</v>
      </c>
      <c r="P44" s="238">
        <v>0</v>
      </c>
      <c r="Q44" s="238">
        <v>0</v>
      </c>
      <c r="R44" s="238">
        <v>0</v>
      </c>
      <c r="S44" s="238">
        <v>0</v>
      </c>
      <c r="T44" s="238">
        <f>780.9</f>
        <v>780.9</v>
      </c>
      <c r="U44" s="238">
        <v>195.2</v>
      </c>
      <c r="V44" s="238">
        <v>0</v>
      </c>
      <c r="W44" s="238">
        <v>0</v>
      </c>
      <c r="X44" s="238">
        <v>0</v>
      </c>
      <c r="Y44" s="238">
        <v>0</v>
      </c>
      <c r="Z44" s="238">
        <v>0</v>
      </c>
      <c r="AA44" s="238">
        <v>0</v>
      </c>
      <c r="AB44" s="238">
        <v>0</v>
      </c>
      <c r="AC44" s="238">
        <v>0</v>
      </c>
      <c r="AD44" s="238">
        <v>0</v>
      </c>
      <c r="AE44" s="238">
        <v>0</v>
      </c>
      <c r="AF44" s="238">
        <v>0</v>
      </c>
      <c r="AG44" s="238">
        <v>0</v>
      </c>
      <c r="AH44" s="238">
        <v>0</v>
      </c>
      <c r="AI44" s="238">
        <v>0</v>
      </c>
      <c r="AJ44" s="238">
        <v>0</v>
      </c>
      <c r="AK44" s="238"/>
      <c r="AL44" s="238">
        <v>0</v>
      </c>
      <c r="AM44" s="238">
        <v>0</v>
      </c>
      <c r="AN44" s="238"/>
      <c r="AO44" s="15"/>
      <c r="AP44" s="15"/>
      <c r="AQ44" s="15"/>
      <c r="AR44" s="15"/>
      <c r="AS44" s="15"/>
      <c r="AT44" s="15"/>
      <c r="AU44" s="15"/>
      <c r="AV44" s="15"/>
      <c r="AW44" s="233"/>
      <c r="AX44" s="233"/>
      <c r="AY44" s="233"/>
      <c r="AZ44" s="233"/>
      <c r="BA44" s="233"/>
      <c r="BB44" s="670">
        <f t="shared" si="2"/>
        <v>23.900000000000091</v>
      </c>
      <c r="BC44" s="671">
        <f t="shared" si="3"/>
        <v>976.09999999999991</v>
      </c>
      <c r="BD44" s="668"/>
      <c r="BE44" s="667">
        <f t="shared" si="5"/>
        <v>11.992434000000001</v>
      </c>
      <c r="BF44" s="642" t="s">
        <v>17895</v>
      </c>
      <c r="BG44" s="669">
        <f t="shared" si="6"/>
        <v>0.23426</v>
      </c>
    </row>
    <row r="45" spans="1:59" ht="15.75">
      <c r="A45">
        <f t="shared" si="4"/>
        <v>6627</v>
      </c>
      <c r="B45" s="79" t="s">
        <v>188</v>
      </c>
      <c r="C45" s="16">
        <v>5483</v>
      </c>
      <c r="D45" s="19">
        <v>6627</v>
      </c>
      <c r="E45" s="18" t="s">
        <v>48</v>
      </c>
      <c r="F45" s="238">
        <v>0</v>
      </c>
      <c r="G45" s="238">
        <v>0</v>
      </c>
      <c r="H45" s="238">
        <v>0</v>
      </c>
      <c r="I45" s="238">
        <v>0</v>
      </c>
      <c r="J45" s="238">
        <v>0</v>
      </c>
      <c r="K45" s="238">
        <v>0</v>
      </c>
      <c r="L45" s="238">
        <v>0</v>
      </c>
      <c r="M45" s="238">
        <v>0</v>
      </c>
      <c r="N45" s="238">
        <v>0</v>
      </c>
      <c r="O45" s="238">
        <v>0</v>
      </c>
      <c r="P45" s="238">
        <v>0</v>
      </c>
      <c r="Q45" s="238">
        <v>110.6</v>
      </c>
      <c r="R45" s="238">
        <v>61.4</v>
      </c>
      <c r="S45" s="238">
        <v>0</v>
      </c>
      <c r="T45" s="238">
        <v>0</v>
      </c>
      <c r="U45" s="238">
        <v>196.6</v>
      </c>
      <c r="V45" s="238">
        <v>0</v>
      </c>
      <c r="W45" s="238">
        <v>0</v>
      </c>
      <c r="X45" s="238">
        <v>141.30000000000001</v>
      </c>
      <c r="Y45" s="238">
        <v>0</v>
      </c>
      <c r="Z45" s="238">
        <v>0</v>
      </c>
      <c r="AA45" s="238">
        <v>0</v>
      </c>
      <c r="AB45" s="238">
        <v>104.4</v>
      </c>
      <c r="AC45" s="238">
        <v>0</v>
      </c>
      <c r="AD45" s="238">
        <v>0</v>
      </c>
      <c r="AE45" s="238">
        <v>0</v>
      </c>
      <c r="AF45" s="238">
        <v>0</v>
      </c>
      <c r="AG45" s="238">
        <v>0</v>
      </c>
      <c r="AH45" s="238">
        <v>0</v>
      </c>
      <c r="AI45" s="238">
        <v>0</v>
      </c>
      <c r="AJ45" s="238">
        <v>0</v>
      </c>
      <c r="AK45" s="238">
        <v>0</v>
      </c>
      <c r="AL45" s="238">
        <v>0</v>
      </c>
      <c r="AM45" s="238">
        <v>0</v>
      </c>
      <c r="AN45" s="238"/>
      <c r="AO45" s="15"/>
      <c r="AP45" s="15"/>
      <c r="AQ45" s="15"/>
      <c r="AR45" s="15"/>
      <c r="AS45" s="15"/>
      <c r="AT45" s="15"/>
      <c r="AU45" s="15"/>
      <c r="AV45" s="15"/>
      <c r="AW45" s="233"/>
      <c r="AX45" s="233"/>
      <c r="AY45" s="233"/>
      <c r="AZ45" s="233"/>
      <c r="BA45" s="233"/>
      <c r="BB45" s="670">
        <f t="shared" si="2"/>
        <v>385.69999999999993</v>
      </c>
      <c r="BC45" s="671">
        <f t="shared" si="3"/>
        <v>614.30000000000007</v>
      </c>
      <c r="BD45" s="668">
        <v>5.51</v>
      </c>
      <c r="BE45" s="667">
        <f t="shared" si="5"/>
        <v>4.3440509999999994</v>
      </c>
      <c r="BF45" s="643" t="s">
        <v>17892</v>
      </c>
      <c r="BG45" s="669">
        <f t="shared" si="6"/>
        <v>0.25254899999999997</v>
      </c>
    </row>
    <row r="46" spans="1:59" ht="15.75">
      <c r="A46">
        <f t="shared" si="4"/>
        <v>6628</v>
      </c>
      <c r="B46" s="79" t="s">
        <v>188</v>
      </c>
      <c r="C46" s="16">
        <v>5447</v>
      </c>
      <c r="D46" s="19">
        <v>6628</v>
      </c>
      <c r="E46" s="18" t="s">
        <v>49</v>
      </c>
      <c r="F46" s="238">
        <v>0</v>
      </c>
      <c r="G46" s="238">
        <v>0</v>
      </c>
      <c r="H46" s="238">
        <v>0</v>
      </c>
      <c r="I46" s="238">
        <v>0</v>
      </c>
      <c r="J46" s="238">
        <v>0</v>
      </c>
      <c r="K46" s="238">
        <v>0</v>
      </c>
      <c r="L46" s="238">
        <v>0</v>
      </c>
      <c r="M46" s="238">
        <v>0</v>
      </c>
      <c r="N46" s="238">
        <v>0</v>
      </c>
      <c r="O46" s="238">
        <v>0</v>
      </c>
      <c r="P46" s="238">
        <v>0</v>
      </c>
      <c r="Q46" s="238">
        <v>69.7</v>
      </c>
      <c r="R46" s="238">
        <v>0</v>
      </c>
      <c r="S46" s="238">
        <v>0</v>
      </c>
      <c r="T46" s="238">
        <v>0</v>
      </c>
      <c r="U46" s="238">
        <v>0</v>
      </c>
      <c r="V46" s="238">
        <v>0</v>
      </c>
      <c r="W46" s="238">
        <v>0</v>
      </c>
      <c r="X46" s="238">
        <v>0</v>
      </c>
      <c r="Y46" s="238">
        <v>0</v>
      </c>
      <c r="Z46" s="238">
        <v>0</v>
      </c>
      <c r="AA46" s="238">
        <v>0</v>
      </c>
      <c r="AB46" s="238">
        <v>0</v>
      </c>
      <c r="AC46" s="238">
        <v>0</v>
      </c>
      <c r="AD46" s="238">
        <v>0</v>
      </c>
      <c r="AE46" s="238">
        <v>348.6</v>
      </c>
      <c r="AF46" s="238">
        <v>0</v>
      </c>
      <c r="AG46" s="238">
        <v>278.89999999999998</v>
      </c>
      <c r="AH46" s="238">
        <v>0</v>
      </c>
      <c r="AI46" s="238">
        <v>0</v>
      </c>
      <c r="AJ46" s="238">
        <v>0</v>
      </c>
      <c r="AK46" s="238">
        <v>0</v>
      </c>
      <c r="AL46" s="238">
        <v>0</v>
      </c>
      <c r="AM46" s="238">
        <v>0</v>
      </c>
      <c r="AN46" s="238"/>
      <c r="AO46" s="15"/>
      <c r="AP46" s="15"/>
      <c r="AQ46" s="15"/>
      <c r="AR46" s="15"/>
      <c r="AS46" s="15"/>
      <c r="AT46" s="15"/>
      <c r="AU46" s="15"/>
      <c r="AV46" s="15"/>
      <c r="AW46" s="233"/>
      <c r="AX46" s="233"/>
      <c r="AY46" s="233"/>
      <c r="AZ46" s="233"/>
      <c r="BA46" s="233"/>
      <c r="BB46" s="670">
        <f t="shared" si="2"/>
        <v>302.79999999999995</v>
      </c>
      <c r="BC46" s="671">
        <f t="shared" si="3"/>
        <v>697.2</v>
      </c>
      <c r="BD46" s="668">
        <v>2.02</v>
      </c>
      <c r="BE46" s="667">
        <f t="shared" si="5"/>
        <v>1.35602</v>
      </c>
      <c r="BF46" s="643" t="s">
        <v>17891</v>
      </c>
      <c r="BG46" s="669">
        <f t="shared" si="6"/>
        <v>0.22658300000000001</v>
      </c>
    </row>
    <row r="47" spans="1:59" ht="15.75">
      <c r="A47">
        <f t="shared" si="4"/>
        <v>6629</v>
      </c>
      <c r="B47" s="79" t="s">
        <v>188</v>
      </c>
      <c r="C47" s="16">
        <v>5592</v>
      </c>
      <c r="D47" s="19">
        <v>6629</v>
      </c>
      <c r="E47" s="18" t="s">
        <v>15286</v>
      </c>
      <c r="F47" s="238">
        <v>0</v>
      </c>
      <c r="G47" s="238">
        <v>0</v>
      </c>
      <c r="H47" s="238">
        <v>0</v>
      </c>
      <c r="I47" s="238">
        <v>0</v>
      </c>
      <c r="J47" s="238">
        <v>0</v>
      </c>
      <c r="K47" s="238">
        <v>0</v>
      </c>
      <c r="L47" s="238">
        <v>0</v>
      </c>
      <c r="M47" s="238">
        <v>0</v>
      </c>
      <c r="N47" s="238">
        <v>0</v>
      </c>
      <c r="O47" s="238">
        <v>0</v>
      </c>
      <c r="P47" s="238">
        <v>0</v>
      </c>
      <c r="Q47" s="238">
        <v>0</v>
      </c>
      <c r="R47" s="238">
        <f>123.1+30</f>
        <v>153.1</v>
      </c>
      <c r="S47" s="238">
        <v>0</v>
      </c>
      <c r="T47" s="238">
        <f>181.2</f>
        <v>181.2</v>
      </c>
      <c r="U47" s="238">
        <f>202.8-30</f>
        <v>172.8</v>
      </c>
      <c r="V47" s="238">
        <v>0</v>
      </c>
      <c r="W47" s="238">
        <v>0</v>
      </c>
      <c r="X47" s="238">
        <v>0</v>
      </c>
      <c r="Y47" s="238">
        <v>0</v>
      </c>
      <c r="Z47" s="238">
        <v>0</v>
      </c>
      <c r="AA47" s="238">
        <v>0</v>
      </c>
      <c r="AB47" s="238">
        <v>108.6</v>
      </c>
      <c r="AC47" s="238">
        <v>0</v>
      </c>
      <c r="AD47" s="238"/>
      <c r="AE47" s="238"/>
      <c r="AF47" s="238"/>
      <c r="AG47" s="238">
        <v>0</v>
      </c>
      <c r="AH47" s="238">
        <v>0</v>
      </c>
      <c r="AI47" s="238">
        <v>0</v>
      </c>
      <c r="AJ47" s="238">
        <v>0</v>
      </c>
      <c r="AK47" s="238">
        <v>108.6</v>
      </c>
      <c r="AL47" s="238">
        <v>0</v>
      </c>
      <c r="AM47" s="238">
        <v>0</v>
      </c>
      <c r="AN47" s="238"/>
      <c r="AO47" s="15"/>
      <c r="AP47" s="15"/>
      <c r="AQ47" s="15"/>
      <c r="AR47" s="15"/>
      <c r="AS47" s="15"/>
      <c r="AT47" s="15"/>
      <c r="AU47" s="15"/>
      <c r="AV47" s="15"/>
      <c r="AW47" s="238"/>
      <c r="AX47" s="233"/>
      <c r="AY47" s="233"/>
      <c r="AZ47" s="233"/>
      <c r="BA47" s="233"/>
      <c r="BB47" s="670">
        <f t="shared" si="2"/>
        <v>275.70000000000005</v>
      </c>
      <c r="BC47" s="671">
        <f t="shared" si="3"/>
        <v>724.3</v>
      </c>
      <c r="BD47" s="668">
        <v>6.98</v>
      </c>
      <c r="BE47" s="667">
        <f t="shared" si="5"/>
        <v>6.5385340000000012</v>
      </c>
      <c r="BF47" s="645" t="s">
        <v>17890</v>
      </c>
      <c r="BG47" s="669">
        <f t="shared" si="6"/>
        <v>0.23108199999999998</v>
      </c>
    </row>
    <row r="48" spans="1:59" ht="15.75">
      <c r="A48">
        <f t="shared" si="4"/>
        <v>6579</v>
      </c>
      <c r="B48" s="79" t="s">
        <v>188</v>
      </c>
      <c r="C48" s="16">
        <v>5694</v>
      </c>
      <c r="D48" s="19">
        <v>6579</v>
      </c>
      <c r="E48" s="18" t="s">
        <v>15676</v>
      </c>
      <c r="F48" s="238">
        <v>0</v>
      </c>
      <c r="G48" s="242"/>
      <c r="H48" s="238">
        <v>0</v>
      </c>
      <c r="I48" s="238">
        <v>0</v>
      </c>
      <c r="J48" s="238">
        <v>0</v>
      </c>
      <c r="K48" s="238">
        <v>0</v>
      </c>
      <c r="L48" s="238">
        <v>0</v>
      </c>
      <c r="M48" s="238">
        <v>0</v>
      </c>
      <c r="N48" s="238">
        <v>0</v>
      </c>
      <c r="O48" s="238">
        <v>0</v>
      </c>
      <c r="P48" s="238">
        <v>0</v>
      </c>
      <c r="Q48" s="238">
        <v>74.900000000000006</v>
      </c>
      <c r="R48" s="238">
        <v>0</v>
      </c>
      <c r="S48" s="238">
        <v>0</v>
      </c>
      <c r="T48" s="238">
        <v>0</v>
      </c>
      <c r="U48" s="238">
        <v>0</v>
      </c>
      <c r="V48" s="238">
        <v>0</v>
      </c>
      <c r="W48" s="238">
        <v>0</v>
      </c>
      <c r="X48" s="238">
        <v>0</v>
      </c>
      <c r="Y48" s="238">
        <v>100</v>
      </c>
      <c r="Z48" s="238">
        <v>0</v>
      </c>
      <c r="AA48" s="238">
        <v>0</v>
      </c>
      <c r="AB48" s="238">
        <v>220.4</v>
      </c>
      <c r="AC48" s="238">
        <v>0</v>
      </c>
      <c r="AD48" s="238">
        <v>0</v>
      </c>
      <c r="AE48" s="372">
        <v>386.8</v>
      </c>
      <c r="AF48" s="238">
        <v>0</v>
      </c>
      <c r="AG48" s="238">
        <v>0</v>
      </c>
      <c r="AH48" s="238">
        <v>0</v>
      </c>
      <c r="AI48" s="238">
        <v>50</v>
      </c>
      <c r="AJ48" s="238">
        <v>0</v>
      </c>
      <c r="AK48" s="428"/>
      <c r="AL48" s="238">
        <v>0</v>
      </c>
      <c r="AM48" s="238">
        <v>0</v>
      </c>
      <c r="AN48" s="238"/>
      <c r="AO48" s="15"/>
      <c r="AP48" s="15"/>
      <c r="AQ48" s="15"/>
      <c r="AR48" s="15"/>
      <c r="AS48" s="15"/>
      <c r="AT48" s="15"/>
      <c r="AU48" s="15"/>
      <c r="AV48" s="15"/>
      <c r="AW48" s="233"/>
      <c r="AX48" s="233"/>
      <c r="AY48" s="233"/>
      <c r="AZ48" s="233"/>
      <c r="BA48" s="233"/>
      <c r="BB48" s="670">
        <f t="shared" si="2"/>
        <v>167.89999999999998</v>
      </c>
      <c r="BC48" s="671">
        <f t="shared" si="3"/>
        <v>832.1</v>
      </c>
      <c r="BD48" s="668">
        <v>2.37</v>
      </c>
      <c r="BE48" s="667">
        <f t="shared" si="5"/>
        <v>1.8943099999999999</v>
      </c>
      <c r="BF48" s="43"/>
      <c r="BG48" s="669">
        <f t="shared" si="6"/>
        <v>0.18070600000000001</v>
      </c>
    </row>
    <row r="49" spans="1:59" ht="15.75">
      <c r="A49">
        <f t="shared" si="4"/>
        <v>6699</v>
      </c>
      <c r="B49" s="79" t="s">
        <v>188</v>
      </c>
      <c r="C49" s="16">
        <v>5601</v>
      </c>
      <c r="D49" s="19">
        <v>6699</v>
      </c>
      <c r="E49" s="18" t="s">
        <v>15919</v>
      </c>
      <c r="F49" s="238">
        <v>0</v>
      </c>
      <c r="G49" s="238">
        <v>0</v>
      </c>
      <c r="H49" s="238">
        <v>0</v>
      </c>
      <c r="I49" s="238">
        <v>0</v>
      </c>
      <c r="J49" s="238"/>
      <c r="K49" s="238">
        <v>0</v>
      </c>
      <c r="L49" s="238">
        <v>0</v>
      </c>
      <c r="M49" s="238">
        <v>0</v>
      </c>
      <c r="N49" s="238">
        <v>0</v>
      </c>
      <c r="O49" s="238"/>
      <c r="P49" s="238">
        <v>0</v>
      </c>
      <c r="Q49" s="238"/>
      <c r="R49" s="238">
        <v>27.5</v>
      </c>
      <c r="S49" s="238">
        <v>0</v>
      </c>
      <c r="T49" s="238">
        <f>100</f>
        <v>100</v>
      </c>
      <c r="U49" s="372">
        <f>304.8-50-150</f>
        <v>104.80000000000001</v>
      </c>
      <c r="V49" s="238"/>
      <c r="W49" s="238">
        <v>0</v>
      </c>
      <c r="X49" s="238">
        <v>0</v>
      </c>
      <c r="Y49" s="238">
        <v>0</v>
      </c>
      <c r="Z49" s="238">
        <v>0</v>
      </c>
      <c r="AA49" s="238">
        <v>0</v>
      </c>
      <c r="AB49" s="238">
        <v>35.9</v>
      </c>
      <c r="AC49" s="238">
        <v>0</v>
      </c>
      <c r="AD49" s="238"/>
      <c r="AE49" s="238">
        <v>0</v>
      </c>
      <c r="AF49" s="238">
        <v>0</v>
      </c>
      <c r="AG49" s="238">
        <v>0</v>
      </c>
      <c r="AH49" s="238">
        <v>25</v>
      </c>
      <c r="AI49" s="238">
        <v>0</v>
      </c>
      <c r="AJ49" s="238">
        <v>0</v>
      </c>
      <c r="AK49" s="372">
        <f>247.3</f>
        <v>247.3</v>
      </c>
      <c r="AL49" s="238">
        <v>25</v>
      </c>
      <c r="AM49" s="238">
        <v>0</v>
      </c>
      <c r="AN49" s="238">
        <f>71.5+50</f>
        <v>121.5</v>
      </c>
      <c r="AO49" s="15"/>
      <c r="AP49" s="15"/>
      <c r="AQ49" s="15"/>
      <c r="AR49" s="15"/>
      <c r="AS49" s="15"/>
      <c r="AT49" s="15"/>
      <c r="AU49" s="15"/>
      <c r="AV49" s="15"/>
      <c r="AW49" s="238"/>
      <c r="AX49" s="233"/>
      <c r="AY49" s="233"/>
      <c r="AZ49" s="233"/>
      <c r="BA49" s="233"/>
      <c r="BB49" s="670">
        <f t="shared" si="2"/>
        <v>313</v>
      </c>
      <c r="BC49" s="671">
        <f t="shared" si="3"/>
        <v>687</v>
      </c>
      <c r="BD49" s="668">
        <v>7.08</v>
      </c>
      <c r="BE49" s="667">
        <f t="shared" si="5"/>
        <v>6.7696880000000004</v>
      </c>
      <c r="BF49" s="643" t="s">
        <v>17889</v>
      </c>
      <c r="BG49" s="669">
        <f t="shared" si="6"/>
        <v>0.18615300000000001</v>
      </c>
    </row>
    <row r="50" spans="1:59" ht="15.75">
      <c r="A50">
        <f t="shared" si="4"/>
        <v>7088</v>
      </c>
      <c r="B50" s="79" t="s">
        <v>188</v>
      </c>
      <c r="C50" s="16">
        <v>5305</v>
      </c>
      <c r="D50" s="19">
        <v>7088</v>
      </c>
      <c r="E50" s="479" t="s">
        <v>15937</v>
      </c>
      <c r="F50" s="238">
        <v>0</v>
      </c>
      <c r="G50" s="238">
        <v>0</v>
      </c>
      <c r="H50" s="238">
        <v>0</v>
      </c>
      <c r="I50" s="238">
        <v>0</v>
      </c>
      <c r="J50" s="238">
        <v>0</v>
      </c>
      <c r="K50" s="238">
        <v>0</v>
      </c>
      <c r="L50" s="238">
        <v>0</v>
      </c>
      <c r="M50" s="238">
        <v>0</v>
      </c>
      <c r="N50" s="238">
        <v>0</v>
      </c>
      <c r="O50" s="238">
        <v>0</v>
      </c>
      <c r="P50" s="238">
        <v>0</v>
      </c>
      <c r="Q50" s="238">
        <v>20</v>
      </c>
      <c r="R50" s="238">
        <v>0</v>
      </c>
      <c r="S50" s="238">
        <v>0</v>
      </c>
      <c r="T50" s="238"/>
      <c r="U50" s="238">
        <f>257.8-50-12.45-20</f>
        <v>175.35000000000002</v>
      </c>
      <c r="V50" s="238">
        <v>0</v>
      </c>
      <c r="W50" s="238">
        <v>0</v>
      </c>
      <c r="X50" s="238">
        <v>17.2</v>
      </c>
      <c r="Y50" s="238">
        <v>0</v>
      </c>
      <c r="Z50" s="238">
        <v>0</v>
      </c>
      <c r="AA50" s="238">
        <v>0</v>
      </c>
      <c r="AB50" s="238">
        <v>68.8</v>
      </c>
      <c r="AC50" s="238">
        <v>0</v>
      </c>
      <c r="AD50" s="238"/>
      <c r="AE50" s="238">
        <v>0</v>
      </c>
      <c r="AF50" s="238">
        <v>0</v>
      </c>
      <c r="AG50" s="238">
        <v>0</v>
      </c>
      <c r="AH50" s="238">
        <v>50</v>
      </c>
      <c r="AI50" s="238">
        <v>0</v>
      </c>
      <c r="AJ50" s="238">
        <v>250</v>
      </c>
      <c r="AK50" s="238">
        <v>278.05</v>
      </c>
      <c r="AL50" s="238">
        <v>0</v>
      </c>
      <c r="AM50" s="238">
        <v>0</v>
      </c>
      <c r="AN50" s="238"/>
      <c r="AO50" s="15"/>
      <c r="AP50" s="15"/>
      <c r="AQ50" s="15"/>
      <c r="AR50" s="15"/>
      <c r="AS50" s="15"/>
      <c r="AT50" s="15"/>
      <c r="AU50" s="15"/>
      <c r="AV50" s="15"/>
      <c r="AW50" s="238"/>
      <c r="AX50" s="233"/>
      <c r="AY50" s="233"/>
      <c r="AZ50" s="233"/>
      <c r="BA50" s="233"/>
      <c r="BB50" s="670">
        <f t="shared" si="2"/>
        <v>140.59999999999991</v>
      </c>
      <c r="BC50" s="671">
        <f t="shared" si="3"/>
        <v>859.40000000000009</v>
      </c>
      <c r="BD50" s="668">
        <v>9.61</v>
      </c>
      <c r="BE50" s="667">
        <f t="shared" si="5"/>
        <v>9.3666435000000003</v>
      </c>
      <c r="BF50" s="642" t="s">
        <v>17879</v>
      </c>
      <c r="BG50" s="669">
        <f t="shared" si="6"/>
        <v>0.19459700000000002</v>
      </c>
    </row>
    <row r="51" spans="1:59" ht="15.75">
      <c r="A51">
        <f t="shared" si="4"/>
        <v>6453</v>
      </c>
      <c r="B51" s="79" t="s">
        <v>188</v>
      </c>
      <c r="C51" s="16">
        <v>5676</v>
      </c>
      <c r="D51" s="19">
        <v>6453</v>
      </c>
      <c r="E51" s="20" t="s">
        <v>56</v>
      </c>
      <c r="F51" s="238">
        <v>0</v>
      </c>
      <c r="G51" s="238">
        <v>0</v>
      </c>
      <c r="H51" s="238">
        <v>0</v>
      </c>
      <c r="I51" s="238">
        <v>0</v>
      </c>
      <c r="J51" s="238">
        <v>0</v>
      </c>
      <c r="K51" s="238">
        <v>0</v>
      </c>
      <c r="L51" s="238">
        <v>0</v>
      </c>
      <c r="M51" s="238">
        <v>0</v>
      </c>
      <c r="N51" s="238">
        <v>0</v>
      </c>
      <c r="O51" s="238">
        <v>0</v>
      </c>
      <c r="P51" s="238">
        <v>0</v>
      </c>
      <c r="Q51" s="238">
        <v>0</v>
      </c>
      <c r="R51" s="238">
        <v>0</v>
      </c>
      <c r="S51" s="238">
        <v>0</v>
      </c>
      <c r="T51" s="238">
        <v>302.2</v>
      </c>
      <c r="U51" s="238">
        <v>511.4</v>
      </c>
      <c r="V51" s="238">
        <v>0</v>
      </c>
      <c r="W51" s="238">
        <v>0</v>
      </c>
      <c r="X51" s="238">
        <v>0</v>
      </c>
      <c r="Y51" s="238">
        <v>0</v>
      </c>
      <c r="Z51" s="238">
        <v>0</v>
      </c>
      <c r="AA51" s="238">
        <v>0</v>
      </c>
      <c r="AB51" s="238">
        <v>0</v>
      </c>
      <c r="AC51" s="238">
        <v>0</v>
      </c>
      <c r="AD51" s="238">
        <v>0</v>
      </c>
      <c r="AE51" s="238">
        <v>0</v>
      </c>
      <c r="AF51" s="238">
        <v>0</v>
      </c>
      <c r="AG51" s="238">
        <v>0</v>
      </c>
      <c r="AH51" s="238">
        <v>0</v>
      </c>
      <c r="AI51" s="238">
        <v>0</v>
      </c>
      <c r="AJ51" s="238">
        <v>116.2</v>
      </c>
      <c r="AK51" s="238">
        <v>0</v>
      </c>
      <c r="AL51" s="238">
        <v>0</v>
      </c>
      <c r="AM51" s="238">
        <v>0</v>
      </c>
      <c r="AN51" s="238"/>
      <c r="AO51" s="15"/>
      <c r="AP51" s="15"/>
      <c r="AQ51" s="15"/>
      <c r="AR51" s="15"/>
      <c r="AS51" s="15"/>
      <c r="AT51" s="15"/>
      <c r="AU51" s="15"/>
      <c r="AV51" s="15"/>
      <c r="AW51" s="233"/>
      <c r="AX51" s="233"/>
      <c r="AY51" s="233"/>
      <c r="AZ51" s="233"/>
      <c r="BA51" s="233"/>
      <c r="BB51" s="670">
        <f t="shared" si="2"/>
        <v>70.200000000000045</v>
      </c>
      <c r="BC51" s="671">
        <f t="shared" si="3"/>
        <v>929.8</v>
      </c>
      <c r="BD51" s="668">
        <v>10.85</v>
      </c>
      <c r="BE51" s="667">
        <f t="shared" si="5"/>
        <v>10.488299999999999</v>
      </c>
      <c r="BF51" s="643" t="s">
        <v>17888</v>
      </c>
      <c r="BG51" s="669">
        <f t="shared" si="6"/>
        <v>0.28010600000000002</v>
      </c>
    </row>
    <row r="52" spans="1:59" ht="15.75">
      <c r="A52">
        <f t="shared" si="4"/>
        <v>6512</v>
      </c>
      <c r="B52" s="79" t="s">
        <v>188</v>
      </c>
      <c r="C52" s="16">
        <v>5681</v>
      </c>
      <c r="D52" s="19">
        <v>6512</v>
      </c>
      <c r="E52" s="20" t="s">
        <v>152</v>
      </c>
      <c r="F52" s="238">
        <v>0</v>
      </c>
      <c r="G52" s="238">
        <v>0</v>
      </c>
      <c r="H52" s="238">
        <v>0</v>
      </c>
      <c r="I52" s="238">
        <v>0</v>
      </c>
      <c r="J52" s="238">
        <v>0</v>
      </c>
      <c r="K52" s="238">
        <v>0</v>
      </c>
      <c r="L52" s="238">
        <v>0</v>
      </c>
      <c r="M52" s="238">
        <v>0</v>
      </c>
      <c r="N52" s="238">
        <v>113.01</v>
      </c>
      <c r="O52" s="238">
        <v>0</v>
      </c>
      <c r="P52" s="238">
        <v>0</v>
      </c>
      <c r="Q52" s="238">
        <v>0</v>
      </c>
      <c r="R52" s="238">
        <v>60.85</v>
      </c>
      <c r="S52" s="238">
        <v>0</v>
      </c>
      <c r="T52" s="238">
        <f>591.15</f>
        <v>591.15</v>
      </c>
      <c r="U52" s="238">
        <v>0</v>
      </c>
      <c r="V52" s="238">
        <v>0</v>
      </c>
      <c r="W52" s="238">
        <v>0</v>
      </c>
      <c r="X52" s="238">
        <v>0</v>
      </c>
      <c r="Y52" s="238">
        <v>0</v>
      </c>
      <c r="Z52" s="238">
        <v>0</v>
      </c>
      <c r="AA52" s="238">
        <v>0</v>
      </c>
      <c r="AB52" s="238">
        <v>104.32</v>
      </c>
      <c r="AC52" s="238">
        <v>0</v>
      </c>
      <c r="AD52" s="238">
        <v>0</v>
      </c>
      <c r="AE52" s="238">
        <v>0</v>
      </c>
      <c r="AF52" s="238">
        <v>0</v>
      </c>
      <c r="AG52" s="238">
        <v>0</v>
      </c>
      <c r="AH52" s="238">
        <v>0</v>
      </c>
      <c r="AI52" s="238">
        <v>0</v>
      </c>
      <c r="AJ52" s="238">
        <v>0</v>
      </c>
      <c r="AK52" s="238"/>
      <c r="AL52" s="238">
        <v>0</v>
      </c>
      <c r="AM52" s="238">
        <v>0</v>
      </c>
      <c r="AN52" s="238"/>
      <c r="AO52" s="15"/>
      <c r="AP52" s="15"/>
      <c r="AQ52" s="15"/>
      <c r="AR52" s="15"/>
      <c r="AS52" s="15"/>
      <c r="AT52" s="15"/>
      <c r="AU52" s="15"/>
      <c r="AV52" s="15"/>
      <c r="AW52" s="233"/>
      <c r="AX52" s="233"/>
      <c r="AY52" s="233"/>
      <c r="AZ52" s="233"/>
      <c r="BA52" s="233"/>
      <c r="BB52" s="670">
        <f t="shared" si="2"/>
        <v>130.67000000000007</v>
      </c>
      <c r="BC52" s="671">
        <f t="shared" si="3"/>
        <v>869.32999999999993</v>
      </c>
      <c r="BD52" s="668">
        <v>9.58</v>
      </c>
      <c r="BE52" s="667">
        <f t="shared" si="5"/>
        <v>9.6021120000000018</v>
      </c>
      <c r="BF52" s="643" t="s">
        <v>17898</v>
      </c>
      <c r="BG52" s="669">
        <f t="shared" si="6"/>
        <v>0.19846670000000002</v>
      </c>
    </row>
    <row r="53" spans="1:59" ht="15.75">
      <c r="A53">
        <f t="shared" si="4"/>
        <v>6513</v>
      </c>
      <c r="B53" s="79" t="s">
        <v>188</v>
      </c>
      <c r="C53" s="16">
        <v>5573</v>
      </c>
      <c r="D53" s="19">
        <v>6513</v>
      </c>
      <c r="E53" s="20" t="s">
        <v>190</v>
      </c>
      <c r="F53" s="238">
        <v>0</v>
      </c>
      <c r="G53" s="238">
        <v>0</v>
      </c>
      <c r="H53" s="238">
        <v>0</v>
      </c>
      <c r="I53" s="238">
        <v>0</v>
      </c>
      <c r="J53" s="238">
        <v>0</v>
      </c>
      <c r="K53" s="238">
        <v>0</v>
      </c>
      <c r="L53" s="238">
        <v>0</v>
      </c>
      <c r="M53" s="238">
        <v>0</v>
      </c>
      <c r="N53" s="238">
        <v>0</v>
      </c>
      <c r="O53" s="238">
        <v>0</v>
      </c>
      <c r="P53" s="238">
        <v>0</v>
      </c>
      <c r="Q53" s="238">
        <v>0</v>
      </c>
      <c r="R53" s="238">
        <v>74</v>
      </c>
      <c r="S53" s="238">
        <v>0</v>
      </c>
      <c r="T53" s="238">
        <v>259.5</v>
      </c>
      <c r="U53" s="238">
        <f>222.3-49.5</f>
        <v>172.8</v>
      </c>
      <c r="V53" s="238">
        <v>0</v>
      </c>
      <c r="W53" s="238">
        <v>0</v>
      </c>
      <c r="X53" s="238">
        <v>110</v>
      </c>
      <c r="Y53" s="238">
        <v>0</v>
      </c>
      <c r="Z53" s="238">
        <v>0</v>
      </c>
      <c r="AA53" s="238">
        <v>0</v>
      </c>
      <c r="AB53" s="238">
        <v>75</v>
      </c>
      <c r="AC53" s="238">
        <v>0</v>
      </c>
      <c r="AD53" s="238">
        <v>0</v>
      </c>
      <c r="AE53" s="238">
        <v>0</v>
      </c>
      <c r="AF53" s="238">
        <v>0</v>
      </c>
      <c r="AG53" s="238">
        <v>0</v>
      </c>
      <c r="AH53" s="238">
        <v>50</v>
      </c>
      <c r="AI53" s="238">
        <v>0</v>
      </c>
      <c r="AJ53" s="238">
        <v>0</v>
      </c>
      <c r="AK53" s="238"/>
      <c r="AL53" s="238">
        <v>0</v>
      </c>
      <c r="AM53" s="238">
        <v>0</v>
      </c>
      <c r="AN53" s="238"/>
      <c r="AO53" s="15"/>
      <c r="AP53" s="15"/>
      <c r="AQ53" s="15"/>
      <c r="AR53" s="15"/>
      <c r="AS53" s="15"/>
      <c r="AT53" s="15"/>
      <c r="AU53" s="15"/>
      <c r="AV53" s="15"/>
      <c r="AW53" s="233"/>
      <c r="AX53" s="233"/>
      <c r="AY53" s="233"/>
      <c r="AZ53" s="233"/>
      <c r="BA53" s="233"/>
      <c r="BB53" s="670">
        <f t="shared" si="2"/>
        <v>258.70000000000005</v>
      </c>
      <c r="BC53" s="671">
        <f t="shared" si="3"/>
        <v>741.3</v>
      </c>
      <c r="BD53" s="668">
        <v>7.94</v>
      </c>
      <c r="BE53" s="667">
        <f t="shared" si="5"/>
        <v>6.9573879999999999</v>
      </c>
      <c r="BF53" s="643" t="s">
        <v>17897</v>
      </c>
      <c r="BG53" s="669">
        <f t="shared" si="6"/>
        <v>0.21443999999999999</v>
      </c>
    </row>
    <row r="54" spans="1:59" ht="15.75">
      <c r="A54">
        <f t="shared" si="4"/>
        <v>7028</v>
      </c>
      <c r="B54" s="79" t="s">
        <v>188</v>
      </c>
      <c r="C54" s="16">
        <v>5676</v>
      </c>
      <c r="D54" s="19">
        <v>7028</v>
      </c>
      <c r="E54" s="20" t="s">
        <v>57</v>
      </c>
      <c r="F54" s="238">
        <v>0</v>
      </c>
      <c r="G54" s="238">
        <v>0</v>
      </c>
      <c r="H54" s="238">
        <v>0</v>
      </c>
      <c r="I54" s="238">
        <v>0</v>
      </c>
      <c r="J54" s="238">
        <v>0</v>
      </c>
      <c r="K54" s="238">
        <v>0</v>
      </c>
      <c r="L54" s="238">
        <v>0</v>
      </c>
      <c r="M54" s="238">
        <v>0</v>
      </c>
      <c r="N54" s="238">
        <v>0</v>
      </c>
      <c r="O54" s="238">
        <v>0</v>
      </c>
      <c r="P54" s="238">
        <v>0</v>
      </c>
      <c r="Q54" s="238">
        <v>0</v>
      </c>
      <c r="R54" s="238">
        <v>0</v>
      </c>
      <c r="S54" s="238">
        <v>0</v>
      </c>
      <c r="T54" s="238">
        <f>302.2</f>
        <v>302.2</v>
      </c>
      <c r="U54" s="238">
        <v>511.4</v>
      </c>
      <c r="V54" s="238">
        <v>0</v>
      </c>
      <c r="W54" s="238">
        <v>0</v>
      </c>
      <c r="X54" s="238">
        <v>0</v>
      </c>
      <c r="Y54" s="238">
        <v>0</v>
      </c>
      <c r="Z54" s="238">
        <v>0</v>
      </c>
      <c r="AA54" s="238">
        <v>0</v>
      </c>
      <c r="AB54" s="238">
        <v>0</v>
      </c>
      <c r="AC54" s="238">
        <v>0</v>
      </c>
      <c r="AD54" s="238">
        <v>0</v>
      </c>
      <c r="AE54" s="238">
        <v>0</v>
      </c>
      <c r="AF54" s="238">
        <v>0</v>
      </c>
      <c r="AG54" s="238">
        <v>0</v>
      </c>
      <c r="AH54" s="238">
        <v>0</v>
      </c>
      <c r="AI54" s="238">
        <v>0</v>
      </c>
      <c r="AJ54" s="238">
        <v>116.2</v>
      </c>
      <c r="AK54" s="238"/>
      <c r="AL54" s="238">
        <v>0</v>
      </c>
      <c r="AM54" s="238">
        <v>0</v>
      </c>
      <c r="AN54" s="238"/>
      <c r="AO54" s="15"/>
      <c r="AP54" s="15"/>
      <c r="AQ54" s="15"/>
      <c r="AR54" s="15"/>
      <c r="AS54" s="15"/>
      <c r="AT54" s="15"/>
      <c r="AU54" s="15"/>
      <c r="AV54" s="15"/>
      <c r="AW54" s="233"/>
      <c r="AX54" s="233"/>
      <c r="AY54" s="233"/>
      <c r="AZ54" s="233"/>
      <c r="BA54" s="233"/>
      <c r="BB54" s="670">
        <f t="shared" si="2"/>
        <v>70.200000000000045</v>
      </c>
      <c r="BC54" s="671">
        <f t="shared" si="3"/>
        <v>929.8</v>
      </c>
      <c r="BD54" s="668"/>
      <c r="BE54" s="667">
        <f t="shared" si="5"/>
        <v>10.488299999999999</v>
      </c>
      <c r="BF54" s="643" t="s">
        <v>17888</v>
      </c>
      <c r="BG54" s="669">
        <f t="shared" si="6"/>
        <v>0.28010600000000002</v>
      </c>
    </row>
    <row r="55" spans="1:59" ht="15.75">
      <c r="A55">
        <f t="shared" si="4"/>
        <v>7038</v>
      </c>
      <c r="B55" s="79" t="s">
        <v>188</v>
      </c>
      <c r="C55" s="16">
        <v>5527</v>
      </c>
      <c r="D55" s="19">
        <v>7038</v>
      </c>
      <c r="E55" s="20" t="s">
        <v>58</v>
      </c>
      <c r="F55" s="238">
        <v>0</v>
      </c>
      <c r="G55" s="238">
        <v>0</v>
      </c>
      <c r="H55" s="238">
        <v>0</v>
      </c>
      <c r="I55" s="238">
        <v>0</v>
      </c>
      <c r="J55" s="238">
        <v>0</v>
      </c>
      <c r="K55" s="238">
        <v>0</v>
      </c>
      <c r="L55" s="238">
        <v>507.1</v>
      </c>
      <c r="M55" s="238">
        <v>99.8</v>
      </c>
      <c r="N55" s="238">
        <v>83.1</v>
      </c>
      <c r="O55" s="238">
        <v>58.2</v>
      </c>
      <c r="P55" s="238">
        <v>0</v>
      </c>
      <c r="Q55" s="238">
        <v>0</v>
      </c>
      <c r="R55" s="238">
        <v>0</v>
      </c>
      <c r="S55" s="238">
        <v>0</v>
      </c>
      <c r="T55" s="238">
        <v>0</v>
      </c>
      <c r="U55" s="238">
        <v>0</v>
      </c>
      <c r="V55" s="238">
        <v>0</v>
      </c>
      <c r="W55" s="238">
        <v>0</v>
      </c>
      <c r="X55" s="238">
        <v>0</v>
      </c>
      <c r="Y55" s="238">
        <v>0</v>
      </c>
      <c r="Z55" s="238">
        <v>0</v>
      </c>
      <c r="AA55" s="238">
        <v>0</v>
      </c>
      <c r="AB55" s="238">
        <v>83.1</v>
      </c>
      <c r="AC55" s="238">
        <v>0</v>
      </c>
      <c r="AD55" s="238">
        <v>0</v>
      </c>
      <c r="AE55" s="238">
        <v>0</v>
      </c>
      <c r="AF55" s="238">
        <v>0</v>
      </c>
      <c r="AG55" s="238">
        <v>0</v>
      </c>
      <c r="AH55" s="238">
        <v>0</v>
      </c>
      <c r="AI55" s="238">
        <v>0</v>
      </c>
      <c r="AJ55" s="238">
        <v>0</v>
      </c>
      <c r="AK55" s="238">
        <v>0</v>
      </c>
      <c r="AL55" s="238">
        <v>0</v>
      </c>
      <c r="AM55" s="238">
        <v>0</v>
      </c>
      <c r="AN55" s="238"/>
      <c r="AO55" s="15"/>
      <c r="AP55" s="15"/>
      <c r="AQ55" s="15"/>
      <c r="AR55" s="15"/>
      <c r="AS55" s="15"/>
      <c r="AT55" s="15"/>
      <c r="AU55" s="15"/>
      <c r="AV55" s="15"/>
      <c r="AW55" s="233"/>
      <c r="AX55" s="233"/>
      <c r="AY55" s="233"/>
      <c r="AZ55" s="233"/>
      <c r="BA55" s="233"/>
      <c r="BB55" s="670">
        <f t="shared" si="2"/>
        <v>168.69999999999993</v>
      </c>
      <c r="BC55" s="671">
        <f t="shared" si="3"/>
        <v>831.30000000000007</v>
      </c>
      <c r="BD55" s="668"/>
      <c r="BE55" s="667">
        <f t="shared" si="5"/>
        <v>8.9964949999999995</v>
      </c>
      <c r="BF55" s="643" t="s">
        <v>17886</v>
      </c>
      <c r="BG55" s="669">
        <f t="shared" si="6"/>
        <v>0.19578100000000004</v>
      </c>
    </row>
    <row r="56" spans="1:59" ht="15.75">
      <c r="A56">
        <f t="shared" si="4"/>
        <v>7050</v>
      </c>
      <c r="B56" s="79" t="s">
        <v>188</v>
      </c>
      <c r="C56" s="16">
        <v>5457</v>
      </c>
      <c r="D56" s="19">
        <v>7050</v>
      </c>
      <c r="E56" s="18" t="s">
        <v>62</v>
      </c>
      <c r="F56" s="238">
        <v>0</v>
      </c>
      <c r="G56" s="238">
        <v>0</v>
      </c>
      <c r="H56" s="238">
        <v>0</v>
      </c>
      <c r="I56" s="238">
        <v>0</v>
      </c>
      <c r="J56" s="238">
        <v>0</v>
      </c>
      <c r="K56" s="238">
        <v>0</v>
      </c>
      <c r="L56" s="238">
        <v>0</v>
      </c>
      <c r="M56" s="238">
        <v>179.3</v>
      </c>
      <c r="N56" s="238">
        <v>0</v>
      </c>
      <c r="O56" s="238">
        <v>0</v>
      </c>
      <c r="P56" s="238">
        <v>0</v>
      </c>
      <c r="Q56" s="238">
        <v>0</v>
      </c>
      <c r="R56" s="238">
        <v>89.7</v>
      </c>
      <c r="S56" s="238">
        <v>0</v>
      </c>
      <c r="T56" s="238">
        <v>0</v>
      </c>
      <c r="U56" s="238">
        <v>0</v>
      </c>
      <c r="V56" s="238">
        <v>0</v>
      </c>
      <c r="W56" s="238">
        <v>0</v>
      </c>
      <c r="X56" s="238">
        <v>0</v>
      </c>
      <c r="Y56" s="238">
        <v>0</v>
      </c>
      <c r="Z56" s="238">
        <v>0</v>
      </c>
      <c r="AA56" s="238">
        <v>0</v>
      </c>
      <c r="AB56" s="238">
        <v>0</v>
      </c>
      <c r="AC56" s="238">
        <v>0</v>
      </c>
      <c r="AD56" s="238">
        <v>0</v>
      </c>
      <c r="AE56" s="238">
        <v>0</v>
      </c>
      <c r="AF56" s="238">
        <v>0</v>
      </c>
      <c r="AG56" s="238">
        <v>0</v>
      </c>
      <c r="AH56" s="238">
        <v>0</v>
      </c>
      <c r="AI56" s="238">
        <v>0</v>
      </c>
      <c r="AJ56" s="238">
        <v>627.70000000000005</v>
      </c>
      <c r="AK56" s="238">
        <v>0</v>
      </c>
      <c r="AL56" s="238">
        <v>0</v>
      </c>
      <c r="AM56" s="238">
        <v>0</v>
      </c>
      <c r="AN56" s="238"/>
      <c r="AO56" s="15"/>
      <c r="AP56" s="15"/>
      <c r="AQ56" s="15"/>
      <c r="AR56" s="15"/>
      <c r="AS56" s="15"/>
      <c r="AT56" s="15"/>
      <c r="AU56" s="15"/>
      <c r="AV56" s="15"/>
      <c r="AW56" s="233"/>
      <c r="AX56" s="233"/>
      <c r="AY56" s="233"/>
      <c r="AZ56" s="233"/>
      <c r="BA56" s="233"/>
      <c r="BB56" s="670">
        <f t="shared" si="2"/>
        <v>103.29999999999995</v>
      </c>
      <c r="BC56" s="671">
        <f t="shared" si="3"/>
        <v>896.7</v>
      </c>
      <c r="BD56" s="668">
        <v>12.09</v>
      </c>
      <c r="BE56" s="667">
        <f t="shared" si="5"/>
        <v>11.509124999999999</v>
      </c>
      <c r="BF56" s="643" t="s">
        <v>17885</v>
      </c>
      <c r="BG56" s="669">
        <f t="shared" si="6"/>
        <v>0.20534700000000003</v>
      </c>
    </row>
    <row r="57" spans="1:59" ht="15.75">
      <c r="A57">
        <f t="shared" ref="A57" si="7">D57</f>
        <v>6500</v>
      </c>
      <c r="B57" s="79" t="s">
        <v>188</v>
      </c>
      <c r="C57" s="16">
        <v>5696</v>
      </c>
      <c r="D57" s="19">
        <v>6500</v>
      </c>
      <c r="E57" s="664" t="s">
        <v>17952</v>
      </c>
      <c r="F57" s="238"/>
      <c r="G57" s="238"/>
      <c r="H57" s="238"/>
      <c r="I57" s="238"/>
      <c r="J57" s="238"/>
      <c r="K57" s="238"/>
      <c r="L57" s="238"/>
      <c r="M57" s="238"/>
      <c r="N57" s="238"/>
      <c r="O57" s="238"/>
      <c r="P57" s="238"/>
      <c r="Q57" s="238"/>
      <c r="R57" s="238"/>
      <c r="S57" s="238"/>
      <c r="T57" s="238"/>
      <c r="U57" s="238"/>
      <c r="V57" s="238"/>
      <c r="W57" s="238"/>
      <c r="X57" s="238"/>
      <c r="Y57" s="238"/>
      <c r="Z57" s="238"/>
      <c r="AA57" s="238"/>
      <c r="AB57" s="238"/>
      <c r="AC57" s="238"/>
      <c r="AD57" s="238"/>
      <c r="AE57" s="238"/>
      <c r="AF57" s="238">
        <v>241.3</v>
      </c>
      <c r="AG57" s="238">
        <v>158.30000000000001</v>
      </c>
      <c r="AH57" s="238"/>
      <c r="AI57" s="238"/>
      <c r="AJ57" s="238"/>
      <c r="AK57" s="238"/>
      <c r="AL57" s="238"/>
      <c r="AM57" s="238"/>
      <c r="AN57" s="238"/>
      <c r="AO57" s="15"/>
      <c r="AP57" s="15"/>
      <c r="AQ57" s="15"/>
      <c r="AR57" s="15"/>
      <c r="AS57" s="15"/>
      <c r="AT57" s="15">
        <v>113.1</v>
      </c>
      <c r="AU57" s="15"/>
      <c r="AV57" s="15">
        <v>241.3</v>
      </c>
      <c r="AW57" s="233"/>
      <c r="AX57" s="233"/>
      <c r="AY57" s="233"/>
      <c r="AZ57" s="233"/>
      <c r="BA57" s="233"/>
      <c r="BB57" s="670">
        <f t="shared" ref="BB57" si="8">1000-BC57</f>
        <v>246</v>
      </c>
      <c r="BC57" s="671">
        <f t="shared" si="3"/>
        <v>754</v>
      </c>
      <c r="BD57" s="668"/>
      <c r="BE57" s="667">
        <f t="shared" si="5"/>
        <v>6.5088500000000007</v>
      </c>
      <c r="BF57" s="43"/>
      <c r="BG57" s="669">
        <f t="shared" si="6"/>
        <v>0.138875</v>
      </c>
    </row>
    <row r="58" spans="1:59" ht="18.75">
      <c r="A58">
        <f t="shared" si="4"/>
        <v>6520</v>
      </c>
      <c r="B58" s="79" t="s">
        <v>188</v>
      </c>
      <c r="C58" s="16">
        <v>5430</v>
      </c>
      <c r="D58" s="19">
        <v>6520</v>
      </c>
      <c r="E58" s="398" t="s">
        <v>8521</v>
      </c>
      <c r="F58" s="238">
        <v>0</v>
      </c>
      <c r="G58" s="238">
        <v>0</v>
      </c>
      <c r="H58" s="238">
        <v>0</v>
      </c>
      <c r="I58" s="238">
        <v>0</v>
      </c>
      <c r="J58" s="372">
        <f>70-70</f>
        <v>0</v>
      </c>
      <c r="K58" s="238">
        <v>0</v>
      </c>
      <c r="L58" s="238">
        <v>69.3</v>
      </c>
      <c r="M58" s="238">
        <v>0</v>
      </c>
      <c r="N58" s="238">
        <v>0</v>
      </c>
      <c r="O58" s="238"/>
      <c r="P58" s="238">
        <v>0</v>
      </c>
      <c r="Q58" s="238">
        <v>0</v>
      </c>
      <c r="R58" s="238">
        <v>27</v>
      </c>
      <c r="S58" s="238">
        <v>0</v>
      </c>
      <c r="T58" s="238">
        <v>0</v>
      </c>
      <c r="U58" s="242">
        <f>472-25-25</f>
        <v>422</v>
      </c>
      <c r="V58" s="238">
        <v>0</v>
      </c>
      <c r="W58" s="238">
        <v>0</v>
      </c>
      <c r="X58" s="238">
        <v>0</v>
      </c>
      <c r="Y58" s="238">
        <v>0</v>
      </c>
      <c r="Z58" s="238">
        <v>0</v>
      </c>
      <c r="AA58" s="238">
        <v>0</v>
      </c>
      <c r="AB58" s="238">
        <v>35.200000000000003</v>
      </c>
      <c r="AC58" s="238">
        <v>0</v>
      </c>
      <c r="AD58" s="238">
        <v>0</v>
      </c>
      <c r="AE58" s="238">
        <v>0</v>
      </c>
      <c r="AF58" s="238">
        <v>0</v>
      </c>
      <c r="AG58" s="238">
        <v>0</v>
      </c>
      <c r="AH58" s="242">
        <v>25</v>
      </c>
      <c r="AI58" s="238">
        <v>0</v>
      </c>
      <c r="AJ58" s="238">
        <v>0</v>
      </c>
      <c r="AK58" s="238"/>
      <c r="AL58" s="238">
        <v>25</v>
      </c>
      <c r="AM58" s="238">
        <v>0</v>
      </c>
      <c r="AN58" s="238">
        <v>70.8</v>
      </c>
      <c r="AO58" s="15"/>
      <c r="AP58" s="15"/>
      <c r="AQ58" s="15"/>
      <c r="AR58" s="15"/>
      <c r="AS58" s="15"/>
      <c r="AT58" s="15"/>
      <c r="AU58" s="373"/>
      <c r="AV58" s="15"/>
      <c r="AW58" s="233"/>
      <c r="AX58" s="233"/>
      <c r="AY58" s="233"/>
      <c r="AZ58" s="233"/>
      <c r="BA58" s="233"/>
      <c r="BB58" s="670">
        <f>1000-BC58</f>
        <v>325.70000000000005</v>
      </c>
      <c r="BC58" s="671">
        <f t="shared" si="3"/>
        <v>674.3</v>
      </c>
      <c r="BD58" s="668"/>
      <c r="BE58" s="667">
        <f t="shared" si="5"/>
        <v>5.8083619999999998</v>
      </c>
      <c r="BF58" s="643" t="s">
        <v>17896</v>
      </c>
      <c r="BG58" s="669">
        <f t="shared" si="6"/>
        <v>0.244232</v>
      </c>
    </row>
    <row r="59" spans="1:59" ht="15.75">
      <c r="A59">
        <f t="shared" si="4"/>
        <v>7080</v>
      </c>
      <c r="B59" s="79" t="s">
        <v>188</v>
      </c>
      <c r="C59" s="16">
        <v>5595</v>
      </c>
      <c r="D59" s="19">
        <v>7080</v>
      </c>
      <c r="E59" s="18" t="s">
        <v>15544</v>
      </c>
      <c r="F59" s="238">
        <v>0</v>
      </c>
      <c r="G59" s="238">
        <v>0</v>
      </c>
      <c r="H59" s="238">
        <v>0</v>
      </c>
      <c r="I59" s="238">
        <v>0</v>
      </c>
      <c r="J59" s="238">
        <v>0</v>
      </c>
      <c r="K59" s="238">
        <v>0</v>
      </c>
      <c r="L59" s="238">
        <f>610.95-100</f>
        <v>510.95000000000005</v>
      </c>
      <c r="M59" s="238">
        <f>162.92+100</f>
        <v>262.91999999999996</v>
      </c>
      <c r="N59" s="238">
        <v>0</v>
      </c>
      <c r="O59" s="238"/>
      <c r="P59" s="238">
        <v>0</v>
      </c>
      <c r="Q59" s="238">
        <v>0</v>
      </c>
      <c r="R59" s="238">
        <v>0</v>
      </c>
      <c r="S59" s="238">
        <v>0</v>
      </c>
      <c r="T59" s="238">
        <v>0</v>
      </c>
      <c r="U59" s="238">
        <v>0</v>
      </c>
      <c r="V59" s="238">
        <v>0</v>
      </c>
      <c r="W59" s="238">
        <v>0</v>
      </c>
      <c r="X59" s="238">
        <v>0</v>
      </c>
      <c r="Y59" s="238">
        <v>0</v>
      </c>
      <c r="Z59" s="238">
        <v>0</v>
      </c>
      <c r="AA59" s="238">
        <v>0</v>
      </c>
      <c r="AB59" s="238">
        <v>0</v>
      </c>
      <c r="AC59" s="238">
        <v>0</v>
      </c>
      <c r="AD59" s="238">
        <v>0</v>
      </c>
      <c r="AE59" s="238">
        <v>0</v>
      </c>
      <c r="AF59" s="238">
        <v>0</v>
      </c>
      <c r="AG59" s="238">
        <v>0</v>
      </c>
      <c r="AH59" s="238">
        <v>0</v>
      </c>
      <c r="AI59" s="238">
        <v>0</v>
      </c>
      <c r="AJ59" s="238">
        <v>0</v>
      </c>
      <c r="AK59" s="238">
        <v>0</v>
      </c>
      <c r="AL59" s="238">
        <v>0</v>
      </c>
      <c r="AM59" s="238">
        <v>0</v>
      </c>
      <c r="AN59" s="238">
        <v>40.729999999999997</v>
      </c>
      <c r="AO59" s="15"/>
      <c r="AP59" s="15"/>
      <c r="AQ59" s="15"/>
      <c r="AR59" s="15"/>
      <c r="AS59" s="15"/>
      <c r="AT59" s="15"/>
      <c r="AU59" s="373"/>
      <c r="AV59" s="15"/>
      <c r="AW59" s="233"/>
      <c r="AX59" s="233"/>
      <c r="AY59" s="233"/>
      <c r="AZ59" s="233"/>
      <c r="BA59" s="233"/>
      <c r="BB59" s="670">
        <f t="shared" si="2"/>
        <v>185.39999999999998</v>
      </c>
      <c r="BC59" s="671">
        <f t="shared" si="3"/>
        <v>814.6</v>
      </c>
      <c r="BD59" s="668">
        <v>9.81</v>
      </c>
      <c r="BE59" s="667">
        <f t="shared" si="5"/>
        <v>9.3677707000000012</v>
      </c>
      <c r="BF59" s="641" t="s">
        <v>17880</v>
      </c>
      <c r="BG59" s="669">
        <f t="shared" si="6"/>
        <v>0.22161349999999999</v>
      </c>
    </row>
    <row r="60" spans="1:59" ht="15.75">
      <c r="A60">
        <f t="shared" si="4"/>
        <v>7054</v>
      </c>
      <c r="B60" s="79" t="s">
        <v>188</v>
      </c>
      <c r="C60" s="16">
        <v>5533</v>
      </c>
      <c r="D60" s="19">
        <v>7054</v>
      </c>
      <c r="E60" s="18" t="s">
        <v>64</v>
      </c>
      <c r="F60" s="238">
        <v>0</v>
      </c>
      <c r="G60" s="238">
        <v>0</v>
      </c>
      <c r="H60" s="238">
        <v>0</v>
      </c>
      <c r="I60" s="238">
        <v>0</v>
      </c>
      <c r="J60" s="238">
        <v>0</v>
      </c>
      <c r="K60" s="238">
        <v>0</v>
      </c>
      <c r="L60" s="238">
        <v>0</v>
      </c>
      <c r="M60" s="238">
        <v>0</v>
      </c>
      <c r="N60" s="238">
        <v>0</v>
      </c>
      <c r="O60" s="238">
        <v>0</v>
      </c>
      <c r="P60" s="238">
        <v>0</v>
      </c>
      <c r="Q60" s="238">
        <v>0</v>
      </c>
      <c r="R60" s="238">
        <v>0</v>
      </c>
      <c r="S60" s="238">
        <v>0</v>
      </c>
      <c r="T60" s="238">
        <v>0</v>
      </c>
      <c r="U60" s="238">
        <v>141.69999999999999</v>
      </c>
      <c r="V60" s="238">
        <v>0</v>
      </c>
      <c r="W60" s="238">
        <v>0</v>
      </c>
      <c r="X60" s="238">
        <v>70.8</v>
      </c>
      <c r="Y60" s="238">
        <v>0</v>
      </c>
      <c r="Z60" s="238">
        <v>0</v>
      </c>
      <c r="AA60" s="238">
        <v>0</v>
      </c>
      <c r="AB60" s="238">
        <v>0</v>
      </c>
      <c r="AC60" s="238">
        <v>0</v>
      </c>
      <c r="AD60" s="238">
        <v>0</v>
      </c>
      <c r="AE60" s="238">
        <v>0</v>
      </c>
      <c r="AF60" s="238">
        <v>0</v>
      </c>
      <c r="AG60" s="238">
        <v>0</v>
      </c>
      <c r="AH60" s="238">
        <v>0</v>
      </c>
      <c r="AI60" s="238">
        <v>0</v>
      </c>
      <c r="AJ60" s="238">
        <v>495.8</v>
      </c>
      <c r="AK60" s="238">
        <v>0</v>
      </c>
      <c r="AL60" s="238">
        <v>0</v>
      </c>
      <c r="AM60" s="238">
        <v>0</v>
      </c>
      <c r="AN60" s="238"/>
      <c r="AO60" s="15"/>
      <c r="AP60" s="15"/>
      <c r="AQ60" s="15"/>
      <c r="AR60" s="15"/>
      <c r="AS60" s="15"/>
      <c r="AT60" s="15"/>
      <c r="AU60" s="15"/>
      <c r="AV60" s="15"/>
      <c r="AW60" s="233"/>
      <c r="AX60" s="233"/>
      <c r="AY60" s="233"/>
      <c r="AZ60" s="233"/>
      <c r="BA60" s="233"/>
      <c r="BB60" s="670">
        <f t="shared" si="2"/>
        <v>291.70000000000005</v>
      </c>
      <c r="BC60" s="671">
        <f t="shared" si="3"/>
        <v>708.3</v>
      </c>
      <c r="BD60" s="668"/>
      <c r="BE60" s="667">
        <f t="shared" si="5"/>
        <v>9.4075369999999996</v>
      </c>
      <c r="BF60" s="643" t="s">
        <v>17883</v>
      </c>
      <c r="BG60" s="669">
        <f t="shared" si="6"/>
        <v>0.13883400000000001</v>
      </c>
    </row>
    <row r="61" spans="1:59" ht="15.75">
      <c r="A61">
        <f t="shared" si="4"/>
        <v>7008</v>
      </c>
      <c r="B61" s="79" t="s">
        <v>188</v>
      </c>
      <c r="C61" s="21">
        <v>5465</v>
      </c>
      <c r="D61" s="22">
        <v>7008</v>
      </c>
      <c r="E61" s="3" t="s">
        <v>51</v>
      </c>
      <c r="F61" s="238">
        <v>0</v>
      </c>
      <c r="G61" s="238">
        <v>0</v>
      </c>
      <c r="H61" s="238">
        <v>0</v>
      </c>
      <c r="I61" s="238">
        <v>0</v>
      </c>
      <c r="J61" s="238">
        <v>0</v>
      </c>
      <c r="K61" s="238">
        <v>0</v>
      </c>
      <c r="L61" s="238">
        <v>0</v>
      </c>
      <c r="M61" s="238">
        <v>0</v>
      </c>
      <c r="N61" s="238">
        <v>0</v>
      </c>
      <c r="O61" s="238"/>
      <c r="P61" s="238">
        <v>0</v>
      </c>
      <c r="Q61" s="238">
        <v>47.9</v>
      </c>
      <c r="R61" s="238">
        <v>0</v>
      </c>
      <c r="S61" s="238">
        <v>0</v>
      </c>
      <c r="T61" s="238">
        <v>210.6</v>
      </c>
      <c r="U61" s="238">
        <v>28.7</v>
      </c>
      <c r="V61" s="238">
        <v>0</v>
      </c>
      <c r="W61" s="238">
        <v>0</v>
      </c>
      <c r="X61" s="238">
        <v>0</v>
      </c>
      <c r="Y61" s="238">
        <v>0</v>
      </c>
      <c r="Z61" s="242">
        <v>670.1</v>
      </c>
      <c r="AA61" s="238">
        <v>0</v>
      </c>
      <c r="AB61" s="242"/>
      <c r="AC61" s="238">
        <v>0</v>
      </c>
      <c r="AD61" s="238">
        <v>0</v>
      </c>
      <c r="AE61" s="238">
        <v>0</v>
      </c>
      <c r="AF61" s="238">
        <v>0</v>
      </c>
      <c r="AG61" s="238">
        <v>0</v>
      </c>
      <c r="AH61" s="238">
        <v>0</v>
      </c>
      <c r="AI61" s="238">
        <v>0</v>
      </c>
      <c r="AJ61" s="238">
        <v>0</v>
      </c>
      <c r="AK61" s="238">
        <v>0</v>
      </c>
      <c r="AL61" s="238">
        <v>0</v>
      </c>
      <c r="AM61" s="238">
        <v>0</v>
      </c>
      <c r="AN61" s="238">
        <v>0</v>
      </c>
      <c r="AO61" s="15"/>
      <c r="AP61" s="15"/>
      <c r="AQ61" s="15"/>
      <c r="AR61" s="15"/>
      <c r="AS61" s="15"/>
      <c r="AT61" s="15"/>
      <c r="AU61" s="15"/>
      <c r="AV61" s="15"/>
      <c r="AW61" s="233"/>
      <c r="AX61" s="233"/>
      <c r="AY61" s="233"/>
      <c r="AZ61" s="233"/>
      <c r="BA61" s="233"/>
      <c r="BB61" s="670">
        <f t="shared" si="2"/>
        <v>42.700000000000045</v>
      </c>
      <c r="BC61" s="671">
        <f t="shared" si="3"/>
        <v>957.3</v>
      </c>
      <c r="BD61" s="668">
        <v>13.43</v>
      </c>
      <c r="BE61" s="667">
        <f t="shared" si="5"/>
        <v>13.989589</v>
      </c>
      <c r="BF61" s="643" t="s">
        <v>17884</v>
      </c>
      <c r="BG61" s="669">
        <f t="shared" si="6"/>
        <v>0.14792050000000001</v>
      </c>
    </row>
    <row r="62" spans="1:59" ht="15.75">
      <c r="A62">
        <f t="shared" si="4"/>
        <v>7034</v>
      </c>
      <c r="B62" s="79" t="s">
        <v>188</v>
      </c>
      <c r="C62" s="21">
        <v>5465</v>
      </c>
      <c r="D62" s="22">
        <v>7034</v>
      </c>
      <c r="E62" s="3" t="s">
        <v>54</v>
      </c>
      <c r="F62" s="238">
        <v>0</v>
      </c>
      <c r="G62" s="238">
        <v>0</v>
      </c>
      <c r="H62" s="238">
        <v>0</v>
      </c>
      <c r="I62" s="238">
        <v>0</v>
      </c>
      <c r="J62" s="238">
        <v>0</v>
      </c>
      <c r="K62" s="238">
        <v>0</v>
      </c>
      <c r="L62" s="238">
        <v>0</v>
      </c>
      <c r="M62" s="238">
        <v>0</v>
      </c>
      <c r="N62" s="238">
        <v>0</v>
      </c>
      <c r="O62" s="238"/>
      <c r="P62" s="238">
        <v>0</v>
      </c>
      <c r="Q62" s="238">
        <v>47.9</v>
      </c>
      <c r="R62" s="238">
        <v>0</v>
      </c>
      <c r="S62" s="238">
        <v>0</v>
      </c>
      <c r="T62" s="238">
        <v>210.6</v>
      </c>
      <c r="U62" s="238">
        <v>28.7</v>
      </c>
      <c r="V62" s="238">
        <v>0</v>
      </c>
      <c r="W62" s="238">
        <v>0</v>
      </c>
      <c r="X62" s="238">
        <v>0</v>
      </c>
      <c r="Y62" s="238">
        <v>0</v>
      </c>
      <c r="Z62" s="242">
        <v>670.1</v>
      </c>
      <c r="AA62" s="238">
        <v>0</v>
      </c>
      <c r="AB62" s="242"/>
      <c r="AC62" s="238">
        <v>0</v>
      </c>
      <c r="AD62" s="238">
        <v>0</v>
      </c>
      <c r="AE62" s="238">
        <v>0</v>
      </c>
      <c r="AF62" s="238">
        <v>0</v>
      </c>
      <c r="AG62" s="238">
        <v>0</v>
      </c>
      <c r="AH62" s="238">
        <v>0</v>
      </c>
      <c r="AI62" s="238">
        <v>0</v>
      </c>
      <c r="AJ62" s="238">
        <v>0</v>
      </c>
      <c r="AK62" s="238">
        <v>0</v>
      </c>
      <c r="AL62" s="238">
        <v>0</v>
      </c>
      <c r="AM62" s="238">
        <v>0</v>
      </c>
      <c r="AN62" s="238">
        <v>0</v>
      </c>
      <c r="AO62" s="15"/>
      <c r="AP62" s="15"/>
      <c r="AQ62" s="15"/>
      <c r="AR62" s="15"/>
      <c r="AS62" s="15"/>
      <c r="AT62" s="15"/>
      <c r="AU62" s="15"/>
      <c r="AV62" s="15"/>
      <c r="AW62" s="233"/>
      <c r="AX62" s="233"/>
      <c r="AY62" s="233"/>
      <c r="AZ62" s="233"/>
      <c r="BA62" s="233"/>
      <c r="BB62" s="670">
        <f t="shared" si="2"/>
        <v>42.700000000000045</v>
      </c>
      <c r="BC62" s="671">
        <f t="shared" si="3"/>
        <v>957.3</v>
      </c>
      <c r="BD62" s="668">
        <v>13.43</v>
      </c>
      <c r="BE62" s="667">
        <f t="shared" si="5"/>
        <v>13.989589</v>
      </c>
      <c r="BF62" s="643" t="s">
        <v>17884</v>
      </c>
      <c r="BG62" s="669">
        <f t="shared" si="6"/>
        <v>0.14792050000000001</v>
      </c>
    </row>
    <row r="63" spans="1:59" ht="15.75">
      <c r="A63">
        <f t="shared" si="4"/>
        <v>7051</v>
      </c>
      <c r="B63" s="79" t="s">
        <v>188</v>
      </c>
      <c r="C63" s="21">
        <v>5465</v>
      </c>
      <c r="D63" s="22">
        <v>7051</v>
      </c>
      <c r="E63" s="3" t="s">
        <v>63</v>
      </c>
      <c r="F63" s="238">
        <v>0</v>
      </c>
      <c r="G63" s="238">
        <v>0</v>
      </c>
      <c r="H63" s="238">
        <v>0</v>
      </c>
      <c r="I63" s="238">
        <v>0</v>
      </c>
      <c r="J63" s="238">
        <v>0</v>
      </c>
      <c r="K63" s="238">
        <v>0</v>
      </c>
      <c r="L63" s="238">
        <v>0</v>
      </c>
      <c r="M63" s="238">
        <v>0</v>
      </c>
      <c r="N63" s="238">
        <v>0</v>
      </c>
      <c r="O63" s="238"/>
      <c r="P63" s="238">
        <v>0</v>
      </c>
      <c r="Q63" s="238">
        <v>47.9</v>
      </c>
      <c r="R63" s="238">
        <v>0</v>
      </c>
      <c r="S63" s="238">
        <v>0</v>
      </c>
      <c r="T63" s="238">
        <v>210.6</v>
      </c>
      <c r="U63" s="238">
        <v>28.7</v>
      </c>
      <c r="V63" s="238">
        <v>0</v>
      </c>
      <c r="W63" s="238">
        <v>0</v>
      </c>
      <c r="X63" s="238">
        <v>0</v>
      </c>
      <c r="Y63" s="238">
        <v>0</v>
      </c>
      <c r="Z63" s="242">
        <v>670.1</v>
      </c>
      <c r="AA63" s="238">
        <v>0</v>
      </c>
      <c r="AB63" s="242"/>
      <c r="AC63" s="238">
        <v>0</v>
      </c>
      <c r="AD63" s="238">
        <v>0</v>
      </c>
      <c r="AE63" s="238">
        <v>0</v>
      </c>
      <c r="AF63" s="238">
        <v>0</v>
      </c>
      <c r="AG63" s="238">
        <v>0</v>
      </c>
      <c r="AH63" s="238">
        <v>0</v>
      </c>
      <c r="AI63" s="238">
        <v>0</v>
      </c>
      <c r="AJ63" s="238">
        <v>0</v>
      </c>
      <c r="AK63" s="238">
        <v>0</v>
      </c>
      <c r="AL63" s="238">
        <v>0</v>
      </c>
      <c r="AM63" s="238">
        <v>0</v>
      </c>
      <c r="AN63" s="238">
        <v>0</v>
      </c>
      <c r="AO63" s="15"/>
      <c r="AP63" s="15"/>
      <c r="AQ63" s="15"/>
      <c r="AR63" s="15"/>
      <c r="AS63" s="15"/>
      <c r="AT63" s="15"/>
      <c r="AU63" s="15"/>
      <c r="AV63" s="15"/>
      <c r="AW63" s="233"/>
      <c r="AX63" s="233"/>
      <c r="AY63" s="233"/>
      <c r="AZ63" s="233"/>
      <c r="BA63" s="233"/>
      <c r="BB63" s="670">
        <f t="shared" si="2"/>
        <v>42.700000000000045</v>
      </c>
      <c r="BC63" s="671">
        <f t="shared" si="3"/>
        <v>957.3</v>
      </c>
      <c r="BD63" s="668">
        <v>13.43</v>
      </c>
      <c r="BE63" s="667">
        <f t="shared" si="5"/>
        <v>13.989589</v>
      </c>
      <c r="BF63" s="643" t="s">
        <v>17884</v>
      </c>
      <c r="BG63" s="669">
        <f t="shared" si="6"/>
        <v>0.14792050000000001</v>
      </c>
    </row>
    <row r="64" spans="1:59" ht="15.75">
      <c r="A64">
        <f t="shared" si="4"/>
        <v>7004</v>
      </c>
      <c r="B64" s="79" t="s">
        <v>188</v>
      </c>
      <c r="C64" s="23">
        <v>5492</v>
      </c>
      <c r="D64" s="24">
        <v>7004</v>
      </c>
      <c r="E64" s="25" t="s">
        <v>50</v>
      </c>
      <c r="F64" s="238">
        <v>0</v>
      </c>
      <c r="G64" s="238">
        <v>0</v>
      </c>
      <c r="H64" s="238">
        <v>0</v>
      </c>
      <c r="I64" s="238">
        <f>60+38.6</f>
        <v>98.6</v>
      </c>
      <c r="J64" s="238">
        <v>0</v>
      </c>
      <c r="K64" s="238">
        <v>0</v>
      </c>
      <c r="L64" s="238">
        <f>50+48.6</f>
        <v>98.6</v>
      </c>
      <c r="M64" s="238">
        <v>0</v>
      </c>
      <c r="N64" s="238">
        <v>0</v>
      </c>
      <c r="O64" s="238">
        <v>0</v>
      </c>
      <c r="P64" s="238">
        <v>0</v>
      </c>
      <c r="Q64" s="238">
        <v>39.4</v>
      </c>
      <c r="R64" s="238">
        <v>0</v>
      </c>
      <c r="S64" s="238">
        <v>0</v>
      </c>
      <c r="T64" s="238">
        <v>0</v>
      </c>
      <c r="U64" s="238">
        <f>487.5-48.6+10</f>
        <v>448.9</v>
      </c>
      <c r="V64" s="238">
        <v>0</v>
      </c>
      <c r="W64" s="238">
        <v>0</v>
      </c>
      <c r="X64" s="238">
        <v>49.9</v>
      </c>
      <c r="Y64" s="238">
        <v>100</v>
      </c>
      <c r="Z64" s="238">
        <v>0</v>
      </c>
      <c r="AA64" s="238">
        <v>129.69999999999999</v>
      </c>
      <c r="AB64" s="238">
        <v>0</v>
      </c>
      <c r="AC64" s="238">
        <v>0</v>
      </c>
      <c r="AD64" s="238">
        <v>0</v>
      </c>
      <c r="AE64" s="238">
        <v>0</v>
      </c>
      <c r="AF64" s="238">
        <v>0</v>
      </c>
      <c r="AG64" s="238">
        <v>0</v>
      </c>
      <c r="AH64" s="238">
        <v>0</v>
      </c>
      <c r="AI64" s="238">
        <v>0</v>
      </c>
      <c r="AJ64" s="238">
        <f>70-38.6</f>
        <v>31.4</v>
      </c>
      <c r="AK64" s="428"/>
      <c r="AL64" s="238">
        <v>0</v>
      </c>
      <c r="AM64" s="238">
        <v>0</v>
      </c>
      <c r="AN64" s="238"/>
      <c r="AO64" s="15"/>
      <c r="AP64" s="238"/>
      <c r="AQ64" s="238"/>
      <c r="AR64" s="238"/>
      <c r="AS64" s="238"/>
      <c r="AT64" s="238"/>
      <c r="AU64" s="238"/>
      <c r="AV64" s="238"/>
      <c r="AW64" s="233"/>
      <c r="AX64" s="233"/>
      <c r="AY64" s="233"/>
      <c r="AZ64" s="233"/>
      <c r="BA64" s="233"/>
      <c r="BB64" s="670">
        <f t="shared" si="2"/>
        <v>3.5000000000001137</v>
      </c>
      <c r="BC64" s="671">
        <f t="shared" si="3"/>
        <v>996.49999999999989</v>
      </c>
      <c r="BD64" s="668">
        <v>11.59</v>
      </c>
      <c r="BE64" s="667">
        <f t="shared" si="5"/>
        <v>10.340021999999999</v>
      </c>
      <c r="BF64" s="644" t="s">
        <v>17882</v>
      </c>
      <c r="BG64" s="669">
        <f t="shared" si="6"/>
        <v>0.30778700000000003</v>
      </c>
    </row>
    <row r="65" spans="1:59" ht="15.75">
      <c r="A65">
        <f t="shared" si="4"/>
        <v>7035</v>
      </c>
      <c r="B65" s="79" t="s">
        <v>188</v>
      </c>
      <c r="C65" s="23">
        <v>5524</v>
      </c>
      <c r="D65" s="24">
        <v>7035</v>
      </c>
      <c r="E65" s="25" t="s">
        <v>55</v>
      </c>
      <c r="F65" s="238">
        <v>0</v>
      </c>
      <c r="G65" s="238">
        <v>581.79999999999995</v>
      </c>
      <c r="H65" s="238">
        <v>0</v>
      </c>
      <c r="I65" s="238">
        <v>0</v>
      </c>
      <c r="J65" s="238">
        <v>0</v>
      </c>
      <c r="K65" s="238">
        <v>0</v>
      </c>
      <c r="L65" s="238">
        <f>236.7-40-20</f>
        <v>176.7</v>
      </c>
      <c r="M65" s="238">
        <v>0</v>
      </c>
      <c r="N65" s="238">
        <v>0</v>
      </c>
      <c r="O65" s="238">
        <v>0</v>
      </c>
      <c r="P65" s="238">
        <v>0</v>
      </c>
      <c r="Q65" s="238">
        <v>120</v>
      </c>
      <c r="R65" s="238">
        <v>0</v>
      </c>
      <c r="S65" s="238">
        <v>0</v>
      </c>
      <c r="T65" s="238">
        <v>0</v>
      </c>
      <c r="U65" s="238">
        <f>87.6+20</f>
        <v>107.6</v>
      </c>
      <c r="V65" s="238">
        <v>0</v>
      </c>
      <c r="W65" s="238">
        <v>0</v>
      </c>
      <c r="X65" s="238">
        <v>0</v>
      </c>
      <c r="Y65" s="238">
        <v>0</v>
      </c>
      <c r="Z65" s="238">
        <v>0</v>
      </c>
      <c r="AA65" s="238">
        <v>0</v>
      </c>
      <c r="AB65" s="238">
        <v>0</v>
      </c>
      <c r="AC65" s="238">
        <v>0</v>
      </c>
      <c r="AD65" s="238"/>
      <c r="AE65" s="238">
        <v>0</v>
      </c>
      <c r="AF65" s="238"/>
      <c r="AG65" s="238">
        <v>0</v>
      </c>
      <c r="AH65" s="238">
        <v>0</v>
      </c>
      <c r="AI65" s="238">
        <v>0</v>
      </c>
      <c r="AJ65" s="238">
        <v>0</v>
      </c>
      <c r="AK65" s="238"/>
      <c r="AL65" s="238">
        <v>0</v>
      </c>
      <c r="AM65" s="238">
        <v>0</v>
      </c>
      <c r="AN65" s="238"/>
      <c r="AO65" s="15"/>
      <c r="AP65" s="238"/>
      <c r="AQ65" s="238"/>
      <c r="AR65" s="238"/>
      <c r="AS65" s="238"/>
      <c r="AT65" s="238"/>
      <c r="AU65" s="238"/>
      <c r="AV65" s="238"/>
      <c r="AW65" s="238"/>
      <c r="AX65" s="233"/>
      <c r="AY65" s="233"/>
      <c r="AZ65" s="233"/>
      <c r="BA65" s="233"/>
      <c r="BB65" s="670">
        <f t="shared" si="2"/>
        <v>13.899999999999977</v>
      </c>
      <c r="BC65" s="671">
        <f t="shared" si="3"/>
        <v>986.1</v>
      </c>
      <c r="BD65" s="668">
        <v>10.78</v>
      </c>
      <c r="BE65" s="667">
        <f t="shared" si="5"/>
        <v>7.7953059999999983</v>
      </c>
      <c r="BF65" s="643" t="s">
        <v>17887</v>
      </c>
      <c r="BG65" s="669">
        <f t="shared" si="6"/>
        <v>0.27670400000000001</v>
      </c>
    </row>
    <row r="66" spans="1:59" ht="15.75">
      <c r="A66" t="str">
        <f t="shared" si="4"/>
        <v>7031+7063+7040</v>
      </c>
      <c r="B66" s="79" t="s">
        <v>188</v>
      </c>
      <c r="C66" s="23">
        <v>5522</v>
      </c>
      <c r="D66" s="24" t="s">
        <v>17998</v>
      </c>
      <c r="E66" s="25" t="s">
        <v>52</v>
      </c>
      <c r="F66" s="238">
        <v>0</v>
      </c>
      <c r="G66" s="238">
        <v>0</v>
      </c>
      <c r="H66" s="238">
        <v>0</v>
      </c>
      <c r="I66" s="238">
        <v>0</v>
      </c>
      <c r="J66" s="238">
        <v>0</v>
      </c>
      <c r="K66" s="238">
        <v>0</v>
      </c>
      <c r="L66" s="238">
        <v>0</v>
      </c>
      <c r="M66" s="238">
        <v>0</v>
      </c>
      <c r="N66" s="238">
        <v>0</v>
      </c>
      <c r="O66" s="238">
        <v>0</v>
      </c>
      <c r="P66" s="238">
        <v>0</v>
      </c>
      <c r="Q66" s="238">
        <v>0</v>
      </c>
      <c r="R66" s="238">
        <v>0</v>
      </c>
      <c r="S66" s="238">
        <v>0</v>
      </c>
      <c r="T66" s="238">
        <v>0</v>
      </c>
      <c r="U66" s="238">
        <v>0</v>
      </c>
      <c r="V66" s="238">
        <v>0</v>
      </c>
      <c r="W66" s="238">
        <v>0</v>
      </c>
      <c r="X66" s="238">
        <v>0</v>
      </c>
      <c r="Y66" s="463">
        <v>186.8</v>
      </c>
      <c r="Z66" s="238">
        <v>0</v>
      </c>
      <c r="AA66" s="238">
        <f>506.7+120+73.2</f>
        <v>699.90000000000009</v>
      </c>
      <c r="AB66" s="238">
        <v>46.7</v>
      </c>
      <c r="AC66" s="238">
        <v>0</v>
      </c>
      <c r="AD66" s="238">
        <v>0</v>
      </c>
      <c r="AE66" s="238">
        <v>0</v>
      </c>
      <c r="AF66" s="238">
        <v>0</v>
      </c>
      <c r="AG66" s="238">
        <v>0</v>
      </c>
      <c r="AH66" s="238">
        <v>0</v>
      </c>
      <c r="AI66" s="238">
        <v>0</v>
      </c>
      <c r="AJ66" s="238">
        <v>0</v>
      </c>
      <c r="AK66" s="428"/>
      <c r="AL66" s="238">
        <v>0</v>
      </c>
      <c r="AM66" s="238">
        <v>100</v>
      </c>
      <c r="AN66" s="238"/>
      <c r="AO66" s="15"/>
      <c r="AP66" s="238"/>
      <c r="AQ66" s="238"/>
      <c r="AR66" s="238"/>
      <c r="AS66" s="238"/>
      <c r="AT66" s="238"/>
      <c r="AU66" s="238"/>
      <c r="AV66" s="238"/>
      <c r="AW66" s="233"/>
      <c r="AX66" s="233"/>
      <c r="AY66" s="233"/>
      <c r="AZ66" s="233"/>
      <c r="BA66" s="233"/>
      <c r="BB66" s="670">
        <f>1000-BC66</f>
        <v>66.599999999999909</v>
      </c>
      <c r="BC66" s="671">
        <f>SUM(F66:AL66,AN66:BA66)</f>
        <v>933.40000000000009</v>
      </c>
      <c r="BD66" s="668">
        <v>11.76</v>
      </c>
      <c r="BE66" s="667">
        <f t="shared" si="5"/>
        <v>9.7367550000000005</v>
      </c>
      <c r="BF66" s="644" t="s">
        <v>17882</v>
      </c>
      <c r="BG66" s="669">
        <f t="shared" si="6"/>
        <v>0.24306800000000003</v>
      </c>
    </row>
    <row r="67" spans="1:59" ht="15.75">
      <c r="A67" t="str">
        <f t="shared" si="4"/>
        <v>7032+7052+7041</v>
      </c>
      <c r="B67" s="79" t="s">
        <v>188</v>
      </c>
      <c r="C67" s="23">
        <v>5523</v>
      </c>
      <c r="D67" s="24" t="s">
        <v>17999</v>
      </c>
      <c r="E67" s="25" t="s">
        <v>53</v>
      </c>
      <c r="F67" s="238">
        <v>0</v>
      </c>
      <c r="G67" s="238">
        <v>324.63</v>
      </c>
      <c r="H67" s="238">
        <v>0</v>
      </c>
      <c r="I67" s="238">
        <v>0</v>
      </c>
      <c r="J67" s="238">
        <v>0</v>
      </c>
      <c r="K67" s="238">
        <v>0</v>
      </c>
      <c r="L67" s="238">
        <v>0</v>
      </c>
      <c r="M67" s="238">
        <v>0</v>
      </c>
      <c r="N67" s="238">
        <v>0</v>
      </c>
      <c r="O67" s="238">
        <v>0</v>
      </c>
      <c r="P67" s="238">
        <v>0</v>
      </c>
      <c r="Q67" s="238">
        <v>0</v>
      </c>
      <c r="R67" s="238">
        <v>0</v>
      </c>
      <c r="S67" s="238">
        <v>0</v>
      </c>
      <c r="T67" s="238">
        <v>0</v>
      </c>
      <c r="U67" s="238">
        <v>0</v>
      </c>
      <c r="V67" s="238">
        <v>0</v>
      </c>
      <c r="W67" s="238">
        <v>0</v>
      </c>
      <c r="X67" s="238">
        <v>0</v>
      </c>
      <c r="Y67" s="463">
        <v>146.5</v>
      </c>
      <c r="Z67" s="238">
        <v>0</v>
      </c>
      <c r="AA67" s="238"/>
      <c r="AB67" s="238">
        <v>25.02</v>
      </c>
      <c r="AC67" s="238">
        <v>0</v>
      </c>
      <c r="AD67" s="238"/>
      <c r="AE67" s="463">
        <v>61.2</v>
      </c>
      <c r="AF67" s="238"/>
      <c r="AG67" s="238">
        <v>46.67</v>
      </c>
      <c r="AH67" s="238">
        <v>0</v>
      </c>
      <c r="AI67" s="238">
        <v>0</v>
      </c>
      <c r="AJ67" s="238">
        <v>0</v>
      </c>
      <c r="AK67" s="428"/>
      <c r="AL67" s="238">
        <v>0</v>
      </c>
      <c r="AM67" s="238">
        <v>100</v>
      </c>
      <c r="AN67" s="238">
        <v>0</v>
      </c>
      <c r="AO67" s="15"/>
      <c r="AP67" s="238">
        <f>248.24+83.74</f>
        <v>331.98</v>
      </c>
      <c r="AQ67" s="238"/>
      <c r="AR67" s="238"/>
      <c r="AS67" s="238"/>
      <c r="AT67" s="238"/>
      <c r="AU67" s="238"/>
      <c r="AV67" s="238"/>
      <c r="AW67" s="238"/>
      <c r="AX67" s="233"/>
      <c r="AY67" s="233"/>
      <c r="AZ67" s="233"/>
      <c r="BA67" s="233"/>
      <c r="BB67" s="670">
        <f t="shared" si="2"/>
        <v>64</v>
      </c>
      <c r="BC67" s="671">
        <f>SUM(F67:AL67,AN67:BA67)</f>
        <v>936</v>
      </c>
      <c r="BD67" s="668">
        <v>9.58</v>
      </c>
      <c r="BE67" s="667">
        <f t="shared" si="5"/>
        <v>6.3569871999999998</v>
      </c>
      <c r="BF67" s="643" t="s">
        <v>17881</v>
      </c>
      <c r="BG67" s="669">
        <f t="shared" si="6"/>
        <v>0.25684669999999998</v>
      </c>
    </row>
    <row r="68" spans="1:59" ht="15.75">
      <c r="A68">
        <f t="shared" si="4"/>
        <v>7933</v>
      </c>
      <c r="B68" s="79" t="s">
        <v>188</v>
      </c>
      <c r="C68" s="23">
        <v>5698</v>
      </c>
      <c r="D68" s="24">
        <v>7933</v>
      </c>
      <c r="E68" s="26" t="s">
        <v>18000</v>
      </c>
      <c r="F68" s="238"/>
      <c r="G68" s="238">
        <v>147</v>
      </c>
      <c r="H68" s="238"/>
      <c r="I68" s="238"/>
      <c r="J68" s="238"/>
      <c r="K68" s="238"/>
      <c r="L68" s="238"/>
      <c r="M68" s="238"/>
      <c r="N68" s="238"/>
      <c r="O68" s="238">
        <v>64.3</v>
      </c>
      <c r="P68" s="238"/>
      <c r="Q68" s="238">
        <v>27.6</v>
      </c>
      <c r="R68" s="238"/>
      <c r="S68" s="238"/>
      <c r="T68" s="238"/>
      <c r="U68" s="238"/>
      <c r="V68" s="238">
        <v>340</v>
      </c>
      <c r="W68" s="238"/>
      <c r="X68" s="238"/>
      <c r="Y68" s="463"/>
      <c r="Z68" s="238"/>
      <c r="AA68" s="238"/>
      <c r="AB68" s="238">
        <v>27.6</v>
      </c>
      <c r="AC68" s="238"/>
      <c r="AD68" s="238"/>
      <c r="AE68" s="238"/>
      <c r="AF68" s="238"/>
      <c r="AG68" s="238"/>
      <c r="AH68" s="238"/>
      <c r="AI68" s="238"/>
      <c r="AJ68" s="238"/>
      <c r="AK68" s="428"/>
      <c r="AL68" s="238"/>
      <c r="AM68" s="238"/>
      <c r="AN68" s="238"/>
      <c r="AO68" s="15"/>
      <c r="AP68" s="238">
        <v>312.39999999999998</v>
      </c>
      <c r="AQ68" s="238"/>
      <c r="AR68" s="238"/>
      <c r="AS68" s="238"/>
      <c r="AT68" s="238"/>
      <c r="AU68" s="238"/>
      <c r="AV68" s="238"/>
      <c r="AW68" s="233"/>
      <c r="AX68" s="233"/>
      <c r="AY68" s="233"/>
      <c r="AZ68" s="233"/>
      <c r="BA68" s="233"/>
      <c r="BB68" s="670">
        <f t="shared" si="2"/>
        <v>81.100000000000023</v>
      </c>
      <c r="BC68" s="671">
        <f>SUM(F68:AL68,AN68:BA68)</f>
        <v>918.9</v>
      </c>
      <c r="BD68" s="668"/>
      <c r="BE68" s="667">
        <f t="shared" si="5"/>
        <v>6.8509559999999992</v>
      </c>
      <c r="BF68" s="644" t="s">
        <v>17882</v>
      </c>
      <c r="BG68" s="669">
        <f t="shared" si="6"/>
        <v>0.23386899999999997</v>
      </c>
    </row>
    <row r="69" spans="1:59" ht="15.75">
      <c r="A69">
        <f t="shared" si="4"/>
        <v>7043</v>
      </c>
      <c r="B69" s="79" t="s">
        <v>188</v>
      </c>
      <c r="C69" s="23">
        <v>5551</v>
      </c>
      <c r="D69" s="24">
        <v>7043</v>
      </c>
      <c r="E69" s="26" t="s">
        <v>60</v>
      </c>
      <c r="F69" s="238">
        <v>0</v>
      </c>
      <c r="G69" s="238">
        <v>331.56</v>
      </c>
      <c r="H69" s="238">
        <v>0</v>
      </c>
      <c r="I69" s="238">
        <v>0</v>
      </c>
      <c r="J69" s="238">
        <v>0</v>
      </c>
      <c r="K69" s="238">
        <v>0</v>
      </c>
      <c r="L69" s="238">
        <v>0</v>
      </c>
      <c r="M69" s="238">
        <v>0</v>
      </c>
      <c r="N69" s="238">
        <v>0</v>
      </c>
      <c r="O69" s="238">
        <v>0</v>
      </c>
      <c r="P69" s="238">
        <v>100</v>
      </c>
      <c r="Q69" s="238">
        <v>0</v>
      </c>
      <c r="R69" s="238">
        <v>0</v>
      </c>
      <c r="S69" s="238">
        <v>0</v>
      </c>
      <c r="T69" s="238">
        <v>0</v>
      </c>
      <c r="U69" s="238">
        <v>0</v>
      </c>
      <c r="V69" s="238">
        <v>0</v>
      </c>
      <c r="W69" s="238">
        <v>0</v>
      </c>
      <c r="X69" s="238">
        <v>0</v>
      </c>
      <c r="Y69" s="463">
        <v>41.4</v>
      </c>
      <c r="Z69" s="238">
        <v>0</v>
      </c>
      <c r="AA69" s="238"/>
      <c r="AB69" s="238">
        <v>25.02</v>
      </c>
      <c r="AC69" s="238">
        <v>0</v>
      </c>
      <c r="AD69" s="238"/>
      <c r="AE69" s="463">
        <v>41.49</v>
      </c>
      <c r="AF69" s="238">
        <v>0</v>
      </c>
      <c r="AG69" s="238">
        <v>41.49</v>
      </c>
      <c r="AH69" s="238">
        <v>0</v>
      </c>
      <c r="AI69" s="238">
        <v>0</v>
      </c>
      <c r="AJ69" s="238">
        <v>0</v>
      </c>
      <c r="AK69" s="428"/>
      <c r="AL69" s="238">
        <v>0</v>
      </c>
      <c r="AM69" s="238">
        <v>0</v>
      </c>
      <c r="AN69" s="238">
        <v>0</v>
      </c>
      <c r="AO69" s="15"/>
      <c r="AP69" s="238">
        <f>356.49+92.85</f>
        <v>449.34000000000003</v>
      </c>
      <c r="AQ69" s="238"/>
      <c r="AR69" s="238"/>
      <c r="AS69" s="238"/>
      <c r="AT69" s="238"/>
      <c r="AU69" s="238"/>
      <c r="AV69" s="238"/>
      <c r="AW69" s="238"/>
      <c r="AX69" s="233"/>
      <c r="AY69" s="233"/>
      <c r="AZ69" s="233"/>
      <c r="BA69" s="233"/>
      <c r="BB69" s="670">
        <f t="shared" si="2"/>
        <v>69.700000000000045</v>
      </c>
      <c r="BC69" s="671">
        <f>SUM(F69:O69,Q69:BA69)</f>
        <v>930.3</v>
      </c>
      <c r="BD69" s="668">
        <v>9.9700000000000006</v>
      </c>
      <c r="BE69" s="667">
        <f t="shared" si="5"/>
        <v>6.6341030999999999</v>
      </c>
      <c r="BF69" s="643" t="s">
        <v>17881</v>
      </c>
      <c r="BG69" s="669">
        <f t="shared" si="6"/>
        <v>0.27493619999999996</v>
      </c>
    </row>
    <row r="70" spans="1:59" ht="15.75">
      <c r="A70">
        <f t="shared" si="4"/>
        <v>7053</v>
      </c>
      <c r="B70" s="79" t="s">
        <v>188</v>
      </c>
      <c r="C70" s="23">
        <v>5552</v>
      </c>
      <c r="D70" s="24">
        <v>7053</v>
      </c>
      <c r="E70" s="26" t="s">
        <v>61</v>
      </c>
      <c r="F70" s="238">
        <v>0</v>
      </c>
      <c r="G70" s="238">
        <v>332.73</v>
      </c>
      <c r="H70" s="238">
        <v>0</v>
      </c>
      <c r="I70" s="238">
        <v>0</v>
      </c>
      <c r="J70" s="238">
        <v>0</v>
      </c>
      <c r="K70" s="238">
        <v>0</v>
      </c>
      <c r="L70" s="238">
        <v>0</v>
      </c>
      <c r="M70" s="238">
        <v>0</v>
      </c>
      <c r="N70" s="238">
        <v>0</v>
      </c>
      <c r="O70" s="238">
        <v>0</v>
      </c>
      <c r="P70" s="238">
        <v>100</v>
      </c>
      <c r="Q70" s="238">
        <v>0</v>
      </c>
      <c r="R70" s="238">
        <v>0</v>
      </c>
      <c r="S70" s="238">
        <v>0</v>
      </c>
      <c r="T70" s="238">
        <v>0</v>
      </c>
      <c r="U70" s="238">
        <v>0</v>
      </c>
      <c r="V70" s="238">
        <v>0</v>
      </c>
      <c r="W70" s="238">
        <v>0</v>
      </c>
      <c r="X70" s="238">
        <v>0</v>
      </c>
      <c r="Y70" s="463">
        <v>41.67</v>
      </c>
      <c r="Z70" s="238">
        <v>0</v>
      </c>
      <c r="AA70" s="238"/>
      <c r="AB70" s="238">
        <v>24.93</v>
      </c>
      <c r="AC70" s="238">
        <v>0</v>
      </c>
      <c r="AD70" s="238"/>
      <c r="AE70" s="463">
        <v>41.58</v>
      </c>
      <c r="AF70" s="238">
        <v>0</v>
      </c>
      <c r="AG70" s="238">
        <v>41.58</v>
      </c>
      <c r="AH70" s="238">
        <v>0</v>
      </c>
      <c r="AI70" s="238">
        <v>0</v>
      </c>
      <c r="AJ70" s="238">
        <v>0</v>
      </c>
      <c r="AK70" s="428"/>
      <c r="AL70" s="238">
        <v>0</v>
      </c>
      <c r="AM70" s="238">
        <v>0</v>
      </c>
      <c r="AN70" s="238">
        <v>0</v>
      </c>
      <c r="AO70" s="15"/>
      <c r="AP70" s="238">
        <f>357.66+93.35</f>
        <v>451.01</v>
      </c>
      <c r="AQ70" s="238"/>
      <c r="AR70" s="238"/>
      <c r="AS70" s="238"/>
      <c r="AT70" s="238"/>
      <c r="AU70" s="238"/>
      <c r="AV70" s="238"/>
      <c r="AW70" s="238"/>
      <c r="AX70" s="233"/>
      <c r="AY70" s="233"/>
      <c r="AZ70" s="233"/>
      <c r="BA70" s="233"/>
      <c r="BB70" s="670">
        <f t="shared" si="2"/>
        <v>66.5</v>
      </c>
      <c r="BC70" s="671">
        <f>SUM(F70:O70,Q70:BA70)</f>
        <v>933.5</v>
      </c>
      <c r="BD70" s="668">
        <v>9.73</v>
      </c>
      <c r="BE70" s="667">
        <f t="shared" si="5"/>
        <v>6.6587893999999999</v>
      </c>
      <c r="BF70" s="643" t="s">
        <v>17881</v>
      </c>
      <c r="BG70" s="669">
        <f t="shared" si="6"/>
        <v>0.27590120000000001</v>
      </c>
    </row>
    <row r="71" spans="1:59" ht="15.75">
      <c r="A71">
        <f t="shared" si="4"/>
        <v>7055</v>
      </c>
      <c r="B71" s="79" t="s">
        <v>188</v>
      </c>
      <c r="C71" s="23">
        <v>5554</v>
      </c>
      <c r="D71" s="24">
        <v>7055</v>
      </c>
      <c r="E71" s="26" t="s">
        <v>65</v>
      </c>
      <c r="F71" s="238">
        <v>0</v>
      </c>
      <c r="G71" s="238">
        <v>331.56</v>
      </c>
      <c r="H71" s="238">
        <v>0</v>
      </c>
      <c r="I71" s="238">
        <v>0</v>
      </c>
      <c r="J71" s="238">
        <v>0</v>
      </c>
      <c r="K71" s="238">
        <v>0</v>
      </c>
      <c r="L71" s="238">
        <v>0</v>
      </c>
      <c r="M71" s="238">
        <v>0</v>
      </c>
      <c r="N71" s="238">
        <v>0</v>
      </c>
      <c r="O71" s="238">
        <v>0</v>
      </c>
      <c r="P71" s="238">
        <v>0</v>
      </c>
      <c r="Q71" s="238">
        <v>0</v>
      </c>
      <c r="R71" s="238">
        <v>0</v>
      </c>
      <c r="S71" s="238">
        <v>0</v>
      </c>
      <c r="T71" s="238">
        <v>0</v>
      </c>
      <c r="U71" s="238">
        <v>0</v>
      </c>
      <c r="V71" s="238">
        <v>0</v>
      </c>
      <c r="W71" s="238">
        <v>0</v>
      </c>
      <c r="X71" s="238">
        <v>0</v>
      </c>
      <c r="Y71" s="463">
        <v>41.4</v>
      </c>
      <c r="Z71" s="238">
        <v>0</v>
      </c>
      <c r="AA71" s="238"/>
      <c r="AB71" s="238">
        <v>25.02</v>
      </c>
      <c r="AC71" s="238">
        <v>0</v>
      </c>
      <c r="AD71" s="238"/>
      <c r="AE71" s="463">
        <v>41.49</v>
      </c>
      <c r="AF71" s="238">
        <v>0</v>
      </c>
      <c r="AG71" s="238">
        <v>41.49</v>
      </c>
      <c r="AH71" s="238">
        <v>0</v>
      </c>
      <c r="AI71" s="238">
        <v>0</v>
      </c>
      <c r="AJ71" s="238">
        <v>0</v>
      </c>
      <c r="AK71" s="428"/>
      <c r="AL71" s="238">
        <v>0</v>
      </c>
      <c r="AM71" s="238">
        <v>100</v>
      </c>
      <c r="AN71" s="238">
        <v>0</v>
      </c>
      <c r="AO71" s="15"/>
      <c r="AP71" s="238">
        <f>356.49+92.85</f>
        <v>449.34000000000003</v>
      </c>
      <c r="AQ71" s="238"/>
      <c r="AR71" s="238"/>
      <c r="AS71" s="238"/>
      <c r="AT71" s="238"/>
      <c r="AU71" s="238"/>
      <c r="AV71" s="238"/>
      <c r="AW71" s="238"/>
      <c r="AX71" s="233"/>
      <c r="AY71" s="233"/>
      <c r="AZ71" s="233"/>
      <c r="BA71" s="233"/>
      <c r="BB71" s="670">
        <f t="shared" si="2"/>
        <v>69.700000000000045</v>
      </c>
      <c r="BC71" s="671">
        <f t="shared" ref="BC71:BC77" si="9">SUM(F71:AL71,AN71:BA71)</f>
        <v>930.3</v>
      </c>
      <c r="BD71" s="668">
        <v>9.7899999999999991</v>
      </c>
      <c r="BE71" s="667">
        <f t="shared" si="5"/>
        <v>6.6341030999999999</v>
      </c>
      <c r="BF71" s="643" t="s">
        <v>17881</v>
      </c>
      <c r="BG71" s="669">
        <f t="shared" si="6"/>
        <v>0.28093619999999997</v>
      </c>
    </row>
    <row r="72" spans="1:59" ht="15.75">
      <c r="A72">
        <f t="shared" si="4"/>
        <v>7056</v>
      </c>
      <c r="B72" s="79" t="s">
        <v>188</v>
      </c>
      <c r="C72" s="23">
        <v>5558</v>
      </c>
      <c r="D72" s="24">
        <v>7056</v>
      </c>
      <c r="E72" s="26" t="s">
        <v>66</v>
      </c>
      <c r="F72" s="238">
        <v>0</v>
      </c>
      <c r="G72" s="238">
        <v>369.18</v>
      </c>
      <c r="H72" s="238">
        <v>0</v>
      </c>
      <c r="I72" s="238">
        <v>0</v>
      </c>
      <c r="J72" s="238">
        <v>0</v>
      </c>
      <c r="K72" s="238">
        <v>0</v>
      </c>
      <c r="L72" s="238">
        <v>0</v>
      </c>
      <c r="M72" s="238">
        <v>0</v>
      </c>
      <c r="N72" s="238">
        <v>0</v>
      </c>
      <c r="O72" s="238">
        <v>0</v>
      </c>
      <c r="P72" s="238">
        <v>0</v>
      </c>
      <c r="Q72" s="238">
        <v>0</v>
      </c>
      <c r="R72" s="238">
        <v>0</v>
      </c>
      <c r="S72" s="238">
        <v>0</v>
      </c>
      <c r="T72" s="238">
        <v>0</v>
      </c>
      <c r="U72" s="238">
        <v>0</v>
      </c>
      <c r="V72" s="238">
        <v>0</v>
      </c>
      <c r="W72" s="238">
        <v>0</v>
      </c>
      <c r="X72" s="238">
        <v>0</v>
      </c>
      <c r="Y72" s="238">
        <v>12.24</v>
      </c>
      <c r="Z72" s="238">
        <v>0</v>
      </c>
      <c r="AA72" s="238"/>
      <c r="AB72" s="238">
        <v>25.02</v>
      </c>
      <c r="AC72" s="238">
        <v>0</v>
      </c>
      <c r="AD72" s="238"/>
      <c r="AE72" s="238">
        <v>0</v>
      </c>
      <c r="AF72" s="238">
        <v>0</v>
      </c>
      <c r="AG72" s="238">
        <v>47.79</v>
      </c>
      <c r="AH72" s="238">
        <v>0</v>
      </c>
      <c r="AI72" s="238">
        <v>0</v>
      </c>
      <c r="AJ72" s="238">
        <v>0</v>
      </c>
      <c r="AK72" s="428"/>
      <c r="AL72" s="238">
        <v>0</v>
      </c>
      <c r="AM72" s="238">
        <v>100</v>
      </c>
      <c r="AN72" s="238">
        <v>0</v>
      </c>
      <c r="AO72" s="15"/>
      <c r="AP72" s="238">
        <f>396.45+89.62</f>
        <v>486.07</v>
      </c>
      <c r="AQ72" s="238"/>
      <c r="AR72" s="238"/>
      <c r="AS72" s="238"/>
      <c r="AT72" s="238"/>
      <c r="AU72" s="238"/>
      <c r="AV72" s="238"/>
      <c r="AW72" s="238"/>
      <c r="AX72" s="233"/>
      <c r="AY72" s="233"/>
      <c r="AZ72" s="233"/>
      <c r="BA72" s="233"/>
      <c r="BB72" s="670">
        <f t="shared" si="2"/>
        <v>59.700000000000045</v>
      </c>
      <c r="BC72" s="671">
        <f t="shared" si="9"/>
        <v>940.3</v>
      </c>
      <c r="BD72" s="668"/>
      <c r="BE72" s="667">
        <f t="shared" ref="BE72:BE97" si="10">SUMPRODUCT(F72:AY72,$F$5:$AY$5)/1000</f>
        <v>6.9475663000000001</v>
      </c>
      <c r="BF72" s="643" t="s">
        <v>17881</v>
      </c>
      <c r="BG72" s="669">
        <f t="shared" ref="BG72:BG97" si="11">SUMPRODUCT(F72:AY72,$F$4:$AY$4)/1000</f>
        <v>0.29363649999999997</v>
      </c>
    </row>
    <row r="73" spans="1:59" ht="15.75">
      <c r="A73">
        <f t="shared" si="4"/>
        <v>7059</v>
      </c>
      <c r="B73" s="79" t="s">
        <v>188</v>
      </c>
      <c r="C73" s="23">
        <v>5562</v>
      </c>
      <c r="D73" s="24">
        <v>7059</v>
      </c>
      <c r="E73" s="26" t="s">
        <v>329</v>
      </c>
      <c r="F73" s="238"/>
      <c r="G73" s="238"/>
      <c r="H73" s="238"/>
      <c r="I73" s="238"/>
      <c r="J73" s="238"/>
      <c r="K73" s="238"/>
      <c r="L73" s="238">
        <v>0</v>
      </c>
      <c r="M73" s="238">
        <v>0</v>
      </c>
      <c r="N73" s="238">
        <v>0</v>
      </c>
      <c r="O73" s="238">
        <v>0</v>
      </c>
      <c r="P73" s="238">
        <v>0</v>
      </c>
      <c r="Q73" s="238">
        <v>0</v>
      </c>
      <c r="R73" s="238">
        <v>0</v>
      </c>
      <c r="S73" s="238">
        <v>0</v>
      </c>
      <c r="T73" s="238">
        <v>0</v>
      </c>
      <c r="U73" s="238">
        <v>0</v>
      </c>
      <c r="V73" s="238">
        <v>0</v>
      </c>
      <c r="W73" s="238">
        <v>0</v>
      </c>
      <c r="X73" s="238">
        <v>0</v>
      </c>
      <c r="Y73" s="238">
        <v>46.7</v>
      </c>
      <c r="Z73" s="238">
        <v>0</v>
      </c>
      <c r="AA73" s="238">
        <f>672.3+93.4</f>
        <v>765.69999999999993</v>
      </c>
      <c r="AB73" s="238">
        <v>46.7</v>
      </c>
      <c r="AC73" s="238"/>
      <c r="AD73" s="238"/>
      <c r="AE73" s="238"/>
      <c r="AF73" s="238">
        <v>0</v>
      </c>
      <c r="AG73" s="238"/>
      <c r="AH73" s="238"/>
      <c r="AI73" s="238"/>
      <c r="AJ73" s="238"/>
      <c r="AK73" s="428"/>
      <c r="AL73" s="238">
        <v>84.1</v>
      </c>
      <c r="AM73" s="238">
        <v>100</v>
      </c>
      <c r="AN73" s="238"/>
      <c r="AO73" s="15"/>
      <c r="AP73" s="15"/>
      <c r="AQ73" s="15"/>
      <c r="AR73" s="15"/>
      <c r="AS73" s="15"/>
      <c r="AT73" s="15"/>
      <c r="AU73" s="15"/>
      <c r="AV73" s="15"/>
      <c r="AW73" s="238"/>
      <c r="AX73" s="233"/>
      <c r="AY73" s="233"/>
      <c r="AZ73" s="233"/>
      <c r="BA73" s="233"/>
      <c r="BB73" s="670">
        <f t="shared" si="2"/>
        <v>56.799999999999955</v>
      </c>
      <c r="BC73" s="671">
        <f t="shared" si="9"/>
        <v>943.2</v>
      </c>
      <c r="BD73" s="668">
        <v>11.8</v>
      </c>
      <c r="BE73" s="667">
        <f t="shared" si="10"/>
        <v>9.8425279999999979</v>
      </c>
      <c r="BF73" s="642" t="s">
        <v>17882</v>
      </c>
      <c r="BG73" s="669">
        <f t="shared" si="11"/>
        <v>0.26991400000000004</v>
      </c>
    </row>
    <row r="74" spans="1:59" ht="15.75">
      <c r="A74">
        <f t="shared" si="4"/>
        <v>7061</v>
      </c>
      <c r="B74" s="79" t="s">
        <v>188</v>
      </c>
      <c r="C74" s="23">
        <v>5534</v>
      </c>
      <c r="D74" s="24">
        <v>7061</v>
      </c>
      <c r="E74" s="26" t="s">
        <v>5436</v>
      </c>
      <c r="F74" s="238">
        <v>0</v>
      </c>
      <c r="G74" s="238">
        <v>377.46</v>
      </c>
      <c r="H74" s="238">
        <v>0</v>
      </c>
      <c r="I74" s="238">
        <v>0</v>
      </c>
      <c r="J74" s="238">
        <v>0</v>
      </c>
      <c r="K74" s="238">
        <v>0</v>
      </c>
      <c r="L74" s="238">
        <v>0</v>
      </c>
      <c r="M74" s="238">
        <v>0</v>
      </c>
      <c r="N74" s="238">
        <v>0</v>
      </c>
      <c r="O74" s="238">
        <v>0</v>
      </c>
      <c r="P74" s="238">
        <v>0</v>
      </c>
      <c r="Q74" s="238">
        <v>0</v>
      </c>
      <c r="R74" s="238">
        <v>0</v>
      </c>
      <c r="S74" s="238">
        <v>0</v>
      </c>
      <c r="T74" s="238">
        <v>0</v>
      </c>
      <c r="U74" s="238">
        <v>0</v>
      </c>
      <c r="V74" s="238">
        <v>0</v>
      </c>
      <c r="W74" s="238">
        <v>0</v>
      </c>
      <c r="X74" s="238">
        <v>0</v>
      </c>
      <c r="Y74" s="463">
        <v>41.4</v>
      </c>
      <c r="Z74" s="238">
        <v>0</v>
      </c>
      <c r="AA74" s="238"/>
      <c r="AB74" s="238">
        <v>25.02</v>
      </c>
      <c r="AC74" s="238">
        <v>0</v>
      </c>
      <c r="AD74" s="238"/>
      <c r="AE74" s="238">
        <v>0</v>
      </c>
      <c r="AF74" s="238">
        <v>0</v>
      </c>
      <c r="AG74" s="238">
        <v>47.79</v>
      </c>
      <c r="AH74" s="238">
        <v>0</v>
      </c>
      <c r="AI74" s="238">
        <v>0</v>
      </c>
      <c r="AJ74" s="238">
        <v>0</v>
      </c>
      <c r="AK74" s="238"/>
      <c r="AL74" s="238">
        <v>0</v>
      </c>
      <c r="AM74" s="238">
        <v>100</v>
      </c>
      <c r="AN74" s="238">
        <v>0</v>
      </c>
      <c r="AO74" s="15"/>
      <c r="AP74" s="238">
        <f>391.95+52.18</f>
        <v>444.13</v>
      </c>
      <c r="AQ74" s="238"/>
      <c r="AR74" s="238"/>
      <c r="AS74" s="238"/>
      <c r="AT74" s="238"/>
      <c r="AU74" s="238"/>
      <c r="AV74" s="238"/>
      <c r="AW74" s="238"/>
      <c r="AX74" s="233"/>
      <c r="AY74" s="233"/>
      <c r="AZ74" s="233"/>
      <c r="BA74" s="233"/>
      <c r="BB74" s="670">
        <f t="shared" ref="BB74:BB97" si="12">1000-BC74</f>
        <v>64.200000000000045</v>
      </c>
      <c r="BC74" s="671">
        <f t="shared" si="9"/>
        <v>935.8</v>
      </c>
      <c r="BD74" s="668"/>
      <c r="BE74" s="667">
        <f t="shared" si="10"/>
        <v>6.8493817000000004</v>
      </c>
      <c r="BF74" s="643" t="s">
        <v>17881</v>
      </c>
      <c r="BG74" s="669">
        <f t="shared" si="11"/>
        <v>0.28359970000000001</v>
      </c>
    </row>
    <row r="75" spans="1:59" ht="15.75">
      <c r="A75">
        <f t="shared" si="4"/>
        <v>7064</v>
      </c>
      <c r="B75" s="79" t="s">
        <v>188</v>
      </c>
      <c r="C75" s="23">
        <v>5535</v>
      </c>
      <c r="D75" s="24">
        <v>7064</v>
      </c>
      <c r="E75" s="26" t="s">
        <v>8519</v>
      </c>
      <c r="F75" s="238">
        <v>0</v>
      </c>
      <c r="G75" s="238">
        <v>331.47</v>
      </c>
      <c r="H75" s="238">
        <v>0</v>
      </c>
      <c r="I75" s="238">
        <v>0</v>
      </c>
      <c r="J75" s="238">
        <v>0</v>
      </c>
      <c r="K75" s="238">
        <v>0</v>
      </c>
      <c r="L75" s="238">
        <v>0</v>
      </c>
      <c r="M75" s="238"/>
      <c r="N75" s="238">
        <v>0</v>
      </c>
      <c r="O75" s="238">
        <v>0</v>
      </c>
      <c r="P75" s="238">
        <v>0</v>
      </c>
      <c r="Q75" s="238">
        <v>0</v>
      </c>
      <c r="R75" s="238">
        <v>0</v>
      </c>
      <c r="S75" s="238">
        <v>0</v>
      </c>
      <c r="T75" s="238">
        <v>0</v>
      </c>
      <c r="U75" s="238">
        <v>0</v>
      </c>
      <c r="V75" s="238">
        <v>0</v>
      </c>
      <c r="W75" s="238">
        <v>0</v>
      </c>
      <c r="X75" s="238">
        <v>0</v>
      </c>
      <c r="Y75" s="463">
        <v>41.4</v>
      </c>
      <c r="Z75" s="238">
        <v>0</v>
      </c>
      <c r="AA75" s="238"/>
      <c r="AB75" s="238">
        <v>25.02</v>
      </c>
      <c r="AC75" s="238">
        <v>0</v>
      </c>
      <c r="AD75" s="238"/>
      <c r="AE75" s="463">
        <v>41.4</v>
      </c>
      <c r="AF75" s="238">
        <v>0</v>
      </c>
      <c r="AG75" s="238">
        <v>41.4</v>
      </c>
      <c r="AH75" s="238">
        <v>0</v>
      </c>
      <c r="AI75" s="238">
        <v>0</v>
      </c>
      <c r="AJ75" s="238">
        <v>0</v>
      </c>
      <c r="AK75" s="428"/>
      <c r="AL75" s="238">
        <v>0</v>
      </c>
      <c r="AM75" s="238">
        <v>100</v>
      </c>
      <c r="AN75" s="238">
        <v>0</v>
      </c>
      <c r="AO75" s="15"/>
      <c r="AP75" s="238">
        <f>356.41+92.9</f>
        <v>449.31000000000006</v>
      </c>
      <c r="AQ75" s="238"/>
      <c r="AR75" s="238"/>
      <c r="AS75" s="238"/>
      <c r="AT75" s="238"/>
      <c r="AU75" s="238"/>
      <c r="AV75" s="238"/>
      <c r="AW75" s="238"/>
      <c r="AX75" s="233"/>
      <c r="AY75" s="233"/>
      <c r="AZ75" s="233"/>
      <c r="BA75" s="233"/>
      <c r="BB75" s="670">
        <f t="shared" si="12"/>
        <v>70</v>
      </c>
      <c r="BC75" s="671">
        <f t="shared" si="9"/>
        <v>930</v>
      </c>
      <c r="BD75" s="668"/>
      <c r="BE75" s="667">
        <f t="shared" si="10"/>
        <v>6.6328959000000003</v>
      </c>
      <c r="BF75" s="643" t="s">
        <v>17881</v>
      </c>
      <c r="BG75" s="669">
        <f t="shared" si="11"/>
        <v>0.28085580000000004</v>
      </c>
    </row>
    <row r="76" spans="1:59" ht="15.75">
      <c r="A76">
        <f t="shared" si="4"/>
        <v>7065</v>
      </c>
      <c r="B76" s="79" t="s">
        <v>188</v>
      </c>
      <c r="C76" s="23">
        <v>5562</v>
      </c>
      <c r="D76" s="24">
        <v>7065</v>
      </c>
      <c r="E76" s="26" t="s">
        <v>8520</v>
      </c>
      <c r="F76" s="238"/>
      <c r="G76" s="238"/>
      <c r="H76" s="238"/>
      <c r="I76" s="238"/>
      <c r="J76" s="238"/>
      <c r="K76" s="238"/>
      <c r="L76" s="238">
        <v>0</v>
      </c>
      <c r="M76" s="238">
        <v>0</v>
      </c>
      <c r="N76" s="238">
        <v>0</v>
      </c>
      <c r="O76" s="238">
        <v>0</v>
      </c>
      <c r="P76" s="238">
        <v>0</v>
      </c>
      <c r="Q76" s="238">
        <v>0</v>
      </c>
      <c r="R76" s="238">
        <v>0</v>
      </c>
      <c r="S76" s="238">
        <v>0</v>
      </c>
      <c r="T76" s="238">
        <v>0</v>
      </c>
      <c r="U76" s="238">
        <v>0</v>
      </c>
      <c r="V76" s="238">
        <v>0</v>
      </c>
      <c r="W76" s="238">
        <v>0</v>
      </c>
      <c r="X76" s="238">
        <v>0</v>
      </c>
      <c r="Y76" s="238">
        <v>46.7</v>
      </c>
      <c r="Z76" s="238">
        <v>0</v>
      </c>
      <c r="AA76" s="238">
        <f>672.3+93.4</f>
        <v>765.69999999999993</v>
      </c>
      <c r="AB76" s="238">
        <v>46.7</v>
      </c>
      <c r="AC76" s="238"/>
      <c r="AD76" s="238"/>
      <c r="AE76" s="238"/>
      <c r="AF76" s="238">
        <v>0</v>
      </c>
      <c r="AG76" s="238"/>
      <c r="AH76" s="238"/>
      <c r="AI76" s="238"/>
      <c r="AJ76" s="238"/>
      <c r="AK76" s="428"/>
      <c r="AL76" s="238">
        <v>84.1</v>
      </c>
      <c r="AM76" s="238">
        <v>100</v>
      </c>
      <c r="AN76" s="238"/>
      <c r="AO76" s="15"/>
      <c r="AP76" s="15"/>
      <c r="AQ76" s="15"/>
      <c r="AR76" s="15"/>
      <c r="AS76" s="15"/>
      <c r="AT76" s="15"/>
      <c r="AU76" s="15"/>
      <c r="AV76" s="15"/>
      <c r="AW76" s="238"/>
      <c r="AX76" s="233"/>
      <c r="AY76" s="233"/>
      <c r="AZ76" s="233"/>
      <c r="BA76" s="233"/>
      <c r="BB76" s="670">
        <f t="shared" si="12"/>
        <v>56.799999999999955</v>
      </c>
      <c r="BC76" s="671">
        <f t="shared" si="9"/>
        <v>943.2</v>
      </c>
      <c r="BD76" s="668"/>
      <c r="BE76" s="667">
        <f t="shared" si="10"/>
        <v>9.8425279999999979</v>
      </c>
      <c r="BF76" s="642" t="s">
        <v>17882</v>
      </c>
      <c r="BG76" s="669">
        <f t="shared" si="11"/>
        <v>0.26991400000000004</v>
      </c>
    </row>
    <row r="77" spans="1:59" ht="15.75">
      <c r="A77">
        <f t="shared" si="4"/>
        <v>7077</v>
      </c>
      <c r="B77" s="79" t="s">
        <v>188</v>
      </c>
      <c r="C77" s="23">
        <v>5523</v>
      </c>
      <c r="D77" s="24">
        <v>7077</v>
      </c>
      <c r="E77" s="26" t="s">
        <v>15213</v>
      </c>
      <c r="F77" s="238">
        <v>0</v>
      </c>
      <c r="G77" s="238">
        <v>324.63</v>
      </c>
      <c r="H77" s="238">
        <v>0</v>
      </c>
      <c r="I77" s="238">
        <v>0</v>
      </c>
      <c r="J77" s="238">
        <v>0</v>
      </c>
      <c r="K77" s="238">
        <v>0</v>
      </c>
      <c r="L77" s="238">
        <v>0</v>
      </c>
      <c r="M77" s="238">
        <v>0</v>
      </c>
      <c r="N77" s="238">
        <v>0</v>
      </c>
      <c r="O77" s="238">
        <v>0</v>
      </c>
      <c r="P77" s="238">
        <v>0</v>
      </c>
      <c r="Q77" s="238">
        <v>0</v>
      </c>
      <c r="R77" s="238">
        <v>0</v>
      </c>
      <c r="S77" s="238">
        <v>0</v>
      </c>
      <c r="T77" s="238">
        <v>0</v>
      </c>
      <c r="U77" s="238">
        <v>0</v>
      </c>
      <c r="V77" s="238">
        <v>0</v>
      </c>
      <c r="W77" s="238">
        <v>0</v>
      </c>
      <c r="X77" s="238">
        <v>0</v>
      </c>
      <c r="Y77" s="463">
        <v>146.5</v>
      </c>
      <c r="Z77" s="238">
        <v>0</v>
      </c>
      <c r="AA77" s="238"/>
      <c r="AB77" s="238">
        <v>25.02</v>
      </c>
      <c r="AC77" s="238">
        <v>0</v>
      </c>
      <c r="AD77" s="238"/>
      <c r="AE77" s="463">
        <v>61.2</v>
      </c>
      <c r="AF77" s="238"/>
      <c r="AG77" s="238">
        <v>46.67</v>
      </c>
      <c r="AH77" s="238">
        <v>0</v>
      </c>
      <c r="AI77" s="238">
        <v>0</v>
      </c>
      <c r="AJ77" s="238">
        <v>0</v>
      </c>
      <c r="AK77" s="428"/>
      <c r="AL77" s="238">
        <v>0</v>
      </c>
      <c r="AM77" s="238">
        <v>100</v>
      </c>
      <c r="AN77" s="238">
        <v>0</v>
      </c>
      <c r="AO77" s="15"/>
      <c r="AP77" s="238">
        <f>248.24+83.74</f>
        <v>331.98</v>
      </c>
      <c r="AQ77" s="238"/>
      <c r="AR77" s="238"/>
      <c r="AS77" s="238"/>
      <c r="AT77" s="238"/>
      <c r="AU77" s="238"/>
      <c r="AV77" s="238"/>
      <c r="AW77" s="238"/>
      <c r="AX77" s="233"/>
      <c r="AY77" s="233"/>
      <c r="AZ77" s="233"/>
      <c r="BA77" s="233"/>
      <c r="BB77" s="670">
        <f t="shared" si="12"/>
        <v>64</v>
      </c>
      <c r="BC77" s="671">
        <f t="shared" si="9"/>
        <v>936</v>
      </c>
      <c r="BD77" s="668">
        <v>9.58</v>
      </c>
      <c r="BE77" s="667">
        <f t="shared" si="10"/>
        <v>6.3569871999999998</v>
      </c>
      <c r="BF77" s="642" t="s">
        <v>17881</v>
      </c>
      <c r="BG77" s="669">
        <f t="shared" si="11"/>
        <v>0.25684669999999998</v>
      </c>
    </row>
    <row r="78" spans="1:59" ht="15.75">
      <c r="A78">
        <f t="shared" si="4"/>
        <v>7078</v>
      </c>
      <c r="B78" s="79" t="s">
        <v>188</v>
      </c>
      <c r="C78" s="23">
        <v>5552</v>
      </c>
      <c r="D78" s="24">
        <v>7078</v>
      </c>
      <c r="E78" s="26" t="s">
        <v>15218</v>
      </c>
      <c r="F78" s="238">
        <v>0</v>
      </c>
      <c r="G78" s="238">
        <v>332.73</v>
      </c>
      <c r="H78" s="238">
        <v>0</v>
      </c>
      <c r="I78" s="238">
        <v>0</v>
      </c>
      <c r="J78" s="238">
        <v>0</v>
      </c>
      <c r="K78" s="238">
        <v>0</v>
      </c>
      <c r="L78" s="238">
        <v>0</v>
      </c>
      <c r="M78" s="238"/>
      <c r="N78" s="238">
        <v>0</v>
      </c>
      <c r="O78" s="238">
        <v>0</v>
      </c>
      <c r="P78" s="238">
        <v>100</v>
      </c>
      <c r="Q78" s="238">
        <v>0</v>
      </c>
      <c r="R78" s="238">
        <v>0</v>
      </c>
      <c r="S78" s="238">
        <v>0</v>
      </c>
      <c r="T78" s="238">
        <v>0</v>
      </c>
      <c r="U78" s="238">
        <v>0</v>
      </c>
      <c r="V78" s="238">
        <v>0</v>
      </c>
      <c r="W78" s="238">
        <v>0</v>
      </c>
      <c r="X78" s="238">
        <v>0</v>
      </c>
      <c r="Y78" s="463">
        <v>41.67</v>
      </c>
      <c r="Z78" s="238">
        <v>0</v>
      </c>
      <c r="AA78" s="238"/>
      <c r="AB78" s="238">
        <v>24.93</v>
      </c>
      <c r="AC78" s="238">
        <v>0</v>
      </c>
      <c r="AD78" s="238"/>
      <c r="AE78" s="463">
        <v>41.58</v>
      </c>
      <c r="AF78" s="238">
        <v>0</v>
      </c>
      <c r="AG78" s="238">
        <v>41.58</v>
      </c>
      <c r="AH78" s="238">
        <v>0</v>
      </c>
      <c r="AI78" s="238">
        <v>0</v>
      </c>
      <c r="AJ78" s="238">
        <v>0</v>
      </c>
      <c r="AK78" s="428"/>
      <c r="AL78" s="238">
        <v>0</v>
      </c>
      <c r="AM78" s="238">
        <v>0</v>
      </c>
      <c r="AN78" s="238">
        <v>0</v>
      </c>
      <c r="AO78" s="15"/>
      <c r="AP78" s="238">
        <f>357.66+93.35</f>
        <v>451.01</v>
      </c>
      <c r="AQ78" s="238"/>
      <c r="AR78" s="238"/>
      <c r="AS78" s="238"/>
      <c r="AT78" s="238"/>
      <c r="AU78" s="238"/>
      <c r="AV78" s="238"/>
      <c r="AW78" s="238"/>
      <c r="AX78" s="233"/>
      <c r="AY78" s="233"/>
      <c r="AZ78" s="233"/>
      <c r="BA78" s="233"/>
      <c r="BB78" s="670">
        <f t="shared" si="12"/>
        <v>66.5</v>
      </c>
      <c r="BC78" s="671">
        <f>SUM(F78:O78,Q78:BA78)</f>
        <v>933.5</v>
      </c>
      <c r="BD78" s="668">
        <v>9.73</v>
      </c>
      <c r="BE78" s="667">
        <f t="shared" si="10"/>
        <v>6.6587893999999999</v>
      </c>
      <c r="BF78" s="642" t="s">
        <v>17881</v>
      </c>
      <c r="BG78" s="669">
        <f t="shared" si="11"/>
        <v>0.27590120000000001</v>
      </c>
    </row>
    <row r="79" spans="1:59" s="228" customFormat="1" ht="15.75">
      <c r="A79" s="228" t="str">
        <f t="shared" si="4"/>
        <v>7910+7911</v>
      </c>
      <c r="B79" s="585" t="s">
        <v>188</v>
      </c>
      <c r="C79" s="548">
        <v>5692</v>
      </c>
      <c r="D79" s="549" t="s">
        <v>17990</v>
      </c>
      <c r="E79" s="550" t="s">
        <v>17346</v>
      </c>
      <c r="F79" s="551"/>
      <c r="G79" s="551">
        <v>288.60000000000002</v>
      </c>
      <c r="H79" s="551"/>
      <c r="I79" s="551"/>
      <c r="J79" s="551"/>
      <c r="K79" s="551"/>
      <c r="L79" s="551"/>
      <c r="M79" s="551"/>
      <c r="N79" s="551"/>
      <c r="O79" s="551"/>
      <c r="P79" s="551"/>
      <c r="Q79" s="551"/>
      <c r="R79" s="551"/>
      <c r="S79" s="551"/>
      <c r="T79" s="551"/>
      <c r="U79" s="551"/>
      <c r="V79" s="551"/>
      <c r="W79" s="551"/>
      <c r="X79" s="551"/>
      <c r="Y79" s="551"/>
      <c r="Z79" s="551"/>
      <c r="AA79" s="551"/>
      <c r="AB79" s="551">
        <f>27.6+22.4</f>
        <v>50</v>
      </c>
      <c r="AC79" s="551"/>
      <c r="AD79" s="551"/>
      <c r="AE79" s="551">
        <v>30</v>
      </c>
      <c r="AF79" s="551"/>
      <c r="AG79" s="551">
        <v>46.1</v>
      </c>
      <c r="AH79" s="551"/>
      <c r="AI79" s="551"/>
      <c r="AJ79" s="551"/>
      <c r="AK79" s="551"/>
      <c r="AL79" s="551"/>
      <c r="AM79" s="551">
        <v>100</v>
      </c>
      <c r="AN79" s="551">
        <v>64.5</v>
      </c>
      <c r="AO79" s="552"/>
      <c r="AP79" s="552">
        <v>350.2</v>
      </c>
      <c r="AQ79" s="552"/>
      <c r="AR79" s="552"/>
      <c r="AS79" s="552"/>
      <c r="AT79" s="552"/>
      <c r="AU79" s="552"/>
      <c r="AV79" s="552"/>
      <c r="AW79" s="551"/>
      <c r="AX79" s="552"/>
      <c r="AY79" s="552">
        <v>92.2</v>
      </c>
      <c r="AZ79" s="552"/>
      <c r="BA79" s="552"/>
      <c r="BB79" s="672">
        <f t="shared" si="12"/>
        <v>78.399999999999864</v>
      </c>
      <c r="BC79" s="671">
        <f>SUM(F79:AL79,AN79:BA79)</f>
        <v>921.60000000000014</v>
      </c>
      <c r="BD79" s="668">
        <v>8.91</v>
      </c>
      <c r="BE79" s="667">
        <f t="shared" si="10"/>
        <v>6.3101510000000012</v>
      </c>
      <c r="BF79" s="641" t="s">
        <v>17878</v>
      </c>
      <c r="BG79" s="669">
        <f t="shared" si="11"/>
        <v>0.26399000000000006</v>
      </c>
    </row>
    <row r="80" spans="1:59" s="228" customFormat="1" ht="15.75">
      <c r="A80" s="228">
        <f t="shared" si="4"/>
        <v>7920</v>
      </c>
      <c r="B80" s="585" t="s">
        <v>188</v>
      </c>
      <c r="C80" s="548">
        <v>5691</v>
      </c>
      <c r="D80" s="549">
        <v>7920</v>
      </c>
      <c r="E80" s="550" t="s">
        <v>17853</v>
      </c>
      <c r="F80" s="551"/>
      <c r="G80" s="551">
        <v>286.8</v>
      </c>
      <c r="H80" s="551"/>
      <c r="I80" s="551"/>
      <c r="J80" s="551"/>
      <c r="K80" s="551"/>
      <c r="L80" s="551"/>
      <c r="M80" s="551"/>
      <c r="N80" s="551"/>
      <c r="O80" s="551"/>
      <c r="P80" s="551">
        <v>100</v>
      </c>
      <c r="Q80" s="551"/>
      <c r="R80" s="551"/>
      <c r="S80" s="551"/>
      <c r="T80" s="551"/>
      <c r="U80" s="551"/>
      <c r="V80" s="551"/>
      <c r="W80" s="551"/>
      <c r="X80" s="551"/>
      <c r="Y80" s="551"/>
      <c r="Z80" s="551"/>
      <c r="AA80" s="551"/>
      <c r="AB80" s="551">
        <f>27.5+22.5</f>
        <v>50</v>
      </c>
      <c r="AC80" s="551"/>
      <c r="AD80" s="551"/>
      <c r="AE80" s="551">
        <v>30</v>
      </c>
      <c r="AF80" s="551"/>
      <c r="AG80" s="551">
        <v>45.9</v>
      </c>
      <c r="AH80" s="551"/>
      <c r="AI80" s="551"/>
      <c r="AJ80" s="551"/>
      <c r="AK80" s="551"/>
      <c r="AL80" s="551"/>
      <c r="AM80" s="551"/>
      <c r="AN80" s="551">
        <v>64.2</v>
      </c>
      <c r="AO80" s="552"/>
      <c r="AP80" s="552">
        <v>348.5</v>
      </c>
      <c r="AQ80" s="552"/>
      <c r="AR80" s="552"/>
      <c r="AS80" s="552"/>
      <c r="AT80" s="552"/>
      <c r="AU80" s="552"/>
      <c r="AV80" s="552"/>
      <c r="AW80" s="551"/>
      <c r="AX80" s="552"/>
      <c r="AY80" s="552">
        <v>91.7</v>
      </c>
      <c r="AZ80" s="552"/>
      <c r="BA80" s="552"/>
      <c r="BB80" s="672">
        <f t="shared" si="12"/>
        <v>82.899999999999977</v>
      </c>
      <c r="BC80" s="671">
        <f>SUM(F80:O80,Q80:BA80)</f>
        <v>917.1</v>
      </c>
      <c r="BD80" s="668">
        <v>9.2200000000000006</v>
      </c>
      <c r="BE80" s="667">
        <f t="shared" si="10"/>
        <v>6.2769210000000006</v>
      </c>
      <c r="BF80" s="641" t="s">
        <v>17878</v>
      </c>
      <c r="BG80" s="669">
        <f t="shared" si="11"/>
        <v>0.25673499999999999</v>
      </c>
    </row>
    <row r="81" spans="1:59" s="228" customFormat="1" ht="15.75">
      <c r="A81" s="228" t="str">
        <f t="shared" si="4"/>
        <v>7930+7932</v>
      </c>
      <c r="B81" s="585" t="s">
        <v>188</v>
      </c>
      <c r="C81" s="548">
        <v>5693</v>
      </c>
      <c r="D81" s="549" t="s">
        <v>17989</v>
      </c>
      <c r="E81" s="550" t="s">
        <v>17855</v>
      </c>
      <c r="F81" s="551"/>
      <c r="G81" s="551">
        <v>587.9</v>
      </c>
      <c r="H81" s="551"/>
      <c r="I81" s="551"/>
      <c r="J81" s="551"/>
      <c r="K81" s="551"/>
      <c r="L81" s="551"/>
      <c r="M81" s="551"/>
      <c r="N81" s="551"/>
      <c r="O81" s="551"/>
      <c r="P81" s="551"/>
      <c r="Q81" s="551"/>
      <c r="R81" s="551"/>
      <c r="S81" s="551"/>
      <c r="T81" s="551"/>
      <c r="U81" s="551"/>
      <c r="V81" s="551"/>
      <c r="W81" s="551"/>
      <c r="X81" s="551"/>
      <c r="Y81" s="551"/>
      <c r="Z81" s="551"/>
      <c r="AA81" s="551"/>
      <c r="AB81" s="551"/>
      <c r="AC81" s="551"/>
      <c r="AD81" s="551"/>
      <c r="AE81" s="551">
        <v>50</v>
      </c>
      <c r="AF81" s="551"/>
      <c r="AG81" s="551">
        <v>273.39999999999998</v>
      </c>
      <c r="AH81" s="551"/>
      <c r="AI81" s="551"/>
      <c r="AJ81" s="551"/>
      <c r="AK81" s="551"/>
      <c r="AL81" s="551"/>
      <c r="AM81" s="551">
        <v>100</v>
      </c>
      <c r="AN81" s="551"/>
      <c r="AO81" s="552"/>
      <c r="AP81" s="552"/>
      <c r="AQ81" s="552"/>
      <c r="AR81" s="552"/>
      <c r="AS81" s="552"/>
      <c r="AT81" s="552"/>
      <c r="AU81" s="552"/>
      <c r="AV81" s="552"/>
      <c r="AW81" s="551"/>
      <c r="AX81" s="552"/>
      <c r="AY81" s="552"/>
      <c r="AZ81" s="552"/>
      <c r="BA81" s="552"/>
      <c r="BB81" s="672">
        <f>1000-BC81</f>
        <v>88.700000000000045</v>
      </c>
      <c r="BC81" s="671">
        <f>SUM(F81:AL81,AN81:BA81)</f>
        <v>911.3</v>
      </c>
      <c r="BD81" s="668">
        <v>8.93</v>
      </c>
      <c r="BE81" s="667">
        <f t="shared" si="10"/>
        <v>4.6949199999999998</v>
      </c>
      <c r="BF81" s="641" t="s">
        <v>17878</v>
      </c>
      <c r="BG81" s="669">
        <f t="shared" si="11"/>
        <v>0.23688399999999996</v>
      </c>
    </row>
    <row r="82" spans="1:59" s="228" customFormat="1" ht="15.75">
      <c r="A82" s="228">
        <f t="shared" si="4"/>
        <v>7081</v>
      </c>
      <c r="B82" s="585" t="s">
        <v>188</v>
      </c>
      <c r="C82" s="548">
        <v>5695</v>
      </c>
      <c r="D82" s="549">
        <v>7081</v>
      </c>
      <c r="E82" s="550" t="s">
        <v>17856</v>
      </c>
      <c r="F82" s="551"/>
      <c r="G82" s="551">
        <v>600.6</v>
      </c>
      <c r="H82" s="551"/>
      <c r="I82" s="551"/>
      <c r="J82" s="551"/>
      <c r="K82" s="551"/>
      <c r="L82" s="551"/>
      <c r="M82" s="551"/>
      <c r="N82" s="551"/>
      <c r="O82" s="551"/>
      <c r="P82" s="551"/>
      <c r="Q82" s="551">
        <v>100.1</v>
      </c>
      <c r="R82" s="551"/>
      <c r="S82" s="551"/>
      <c r="T82" s="551"/>
      <c r="U82" s="551"/>
      <c r="V82" s="551"/>
      <c r="W82" s="551"/>
      <c r="X82" s="551"/>
      <c r="Y82" s="551">
        <v>72.8</v>
      </c>
      <c r="Z82" s="551"/>
      <c r="AA82" s="551"/>
      <c r="AB82" s="551">
        <v>45.5</v>
      </c>
      <c r="AC82" s="551"/>
      <c r="AD82" s="551"/>
      <c r="AE82" s="551"/>
      <c r="AF82" s="551"/>
      <c r="AG82" s="551"/>
      <c r="AH82" s="551"/>
      <c r="AI82" s="551"/>
      <c r="AJ82" s="551"/>
      <c r="AK82" s="551"/>
      <c r="AL82" s="551"/>
      <c r="AM82" s="551">
        <v>100</v>
      </c>
      <c r="AN82" s="551"/>
      <c r="AO82" s="552"/>
      <c r="AP82" s="552">
        <v>91</v>
      </c>
      <c r="AQ82" s="552"/>
      <c r="AR82" s="552"/>
      <c r="AS82" s="552"/>
      <c r="AT82" s="552"/>
      <c r="AU82" s="552"/>
      <c r="AV82" s="552"/>
      <c r="AW82" s="552"/>
      <c r="AX82" s="552"/>
      <c r="AY82" s="552"/>
      <c r="AZ82" s="552"/>
      <c r="BA82" s="552"/>
      <c r="BB82" s="672">
        <f t="shared" si="12"/>
        <v>90</v>
      </c>
      <c r="BC82" s="671">
        <f>SUM(F82:AL82,AN82:BA82)</f>
        <v>910</v>
      </c>
      <c r="BD82" s="668">
        <v>9.42</v>
      </c>
      <c r="BE82" s="667">
        <f t="shared" si="10"/>
        <v>5.8754150000000003</v>
      </c>
      <c r="BF82" s="641" t="s">
        <v>17878</v>
      </c>
      <c r="BG82" s="669">
        <f t="shared" si="11"/>
        <v>0.24897000000000002</v>
      </c>
    </row>
    <row r="83" spans="1:59" ht="15.75">
      <c r="A83">
        <f t="shared" si="4"/>
        <v>6499</v>
      </c>
      <c r="B83" s="79" t="s">
        <v>188</v>
      </c>
      <c r="C83" s="27">
        <v>5528</v>
      </c>
      <c r="D83" s="28">
        <v>6499</v>
      </c>
      <c r="E83" s="1" t="s">
        <v>29</v>
      </c>
      <c r="F83" s="238">
        <v>0</v>
      </c>
      <c r="G83" s="238">
        <v>0</v>
      </c>
      <c r="H83" s="238">
        <v>0</v>
      </c>
      <c r="I83" s="238">
        <v>0</v>
      </c>
      <c r="J83" s="238">
        <v>0</v>
      </c>
      <c r="K83" s="238">
        <v>0</v>
      </c>
      <c r="L83" s="238">
        <v>0</v>
      </c>
      <c r="M83" s="238">
        <v>0</v>
      </c>
      <c r="N83" s="238">
        <v>0</v>
      </c>
      <c r="O83" s="238"/>
      <c r="P83" s="238">
        <v>0</v>
      </c>
      <c r="Q83" s="238">
        <v>0</v>
      </c>
      <c r="R83" s="238">
        <v>29</v>
      </c>
      <c r="S83" s="238">
        <v>0</v>
      </c>
      <c r="T83" s="238">
        <f>74.6</f>
        <v>74.599999999999994</v>
      </c>
      <c r="U83" s="242">
        <f>471.54</f>
        <v>471.54</v>
      </c>
      <c r="V83" s="238">
        <v>0</v>
      </c>
      <c r="W83" s="238">
        <v>0</v>
      </c>
      <c r="X83" s="238">
        <v>0</v>
      </c>
      <c r="Y83" s="238">
        <v>0</v>
      </c>
      <c r="Z83" s="238">
        <v>0</v>
      </c>
      <c r="AA83" s="238">
        <v>0</v>
      </c>
      <c r="AB83" s="238">
        <v>37.9</v>
      </c>
      <c r="AC83" s="238">
        <v>0</v>
      </c>
      <c r="AD83" s="238">
        <v>0</v>
      </c>
      <c r="AE83" s="238">
        <v>0</v>
      </c>
      <c r="AF83" s="238">
        <v>0</v>
      </c>
      <c r="AG83" s="238">
        <v>0</v>
      </c>
      <c r="AH83" s="242">
        <v>15</v>
      </c>
      <c r="AI83" s="238">
        <v>0</v>
      </c>
      <c r="AJ83" s="238">
        <v>0</v>
      </c>
      <c r="AK83" s="238"/>
      <c r="AL83" s="238">
        <v>15</v>
      </c>
      <c r="AM83" s="238">
        <v>0</v>
      </c>
      <c r="AN83" s="238">
        <f>75.6</f>
        <v>75.599999999999994</v>
      </c>
      <c r="AO83" s="15"/>
      <c r="AP83" s="15"/>
      <c r="AQ83" s="15"/>
      <c r="AR83" s="15"/>
      <c r="AS83" s="15"/>
      <c r="AT83" s="15"/>
      <c r="AU83" s="15"/>
      <c r="AV83" s="15"/>
      <c r="AW83" s="233"/>
      <c r="AX83" s="233"/>
      <c r="AY83" s="233"/>
      <c r="AZ83" s="233"/>
      <c r="BA83" s="233"/>
      <c r="BB83" s="670">
        <f t="shared" si="12"/>
        <v>281.36</v>
      </c>
      <c r="BC83" s="671">
        <f>SUM(F83:BA83)</f>
        <v>718.64</v>
      </c>
      <c r="BD83" s="668">
        <v>7.49</v>
      </c>
      <c r="BE83" s="667">
        <f t="shared" si="10"/>
        <v>6.3419323999999992</v>
      </c>
      <c r="BF83" s="643" t="s">
        <v>17889</v>
      </c>
      <c r="BG83" s="669">
        <f t="shared" si="11"/>
        <v>0.26218000000000002</v>
      </c>
    </row>
    <row r="84" spans="1:59" ht="15.75">
      <c r="A84">
        <f t="shared" si="4"/>
        <v>6448</v>
      </c>
      <c r="B84" s="79" t="s">
        <v>188</v>
      </c>
      <c r="C84" s="27">
        <v>5544</v>
      </c>
      <c r="D84" s="28">
        <v>6448</v>
      </c>
      <c r="E84" s="1" t="s">
        <v>32</v>
      </c>
      <c r="F84" s="238">
        <v>0</v>
      </c>
      <c r="G84" s="242"/>
      <c r="H84" s="238">
        <v>0</v>
      </c>
      <c r="I84" s="238">
        <v>0</v>
      </c>
      <c r="J84" s="238">
        <v>0</v>
      </c>
      <c r="K84" s="238">
        <v>0</v>
      </c>
      <c r="L84" s="238">
        <v>0</v>
      </c>
      <c r="M84" s="238">
        <v>0</v>
      </c>
      <c r="N84" s="238">
        <v>0</v>
      </c>
      <c r="O84" s="238">
        <v>0</v>
      </c>
      <c r="P84" s="238">
        <v>0</v>
      </c>
      <c r="Q84" s="238">
        <v>81.099999999999994</v>
      </c>
      <c r="R84" s="238">
        <v>0</v>
      </c>
      <c r="S84" s="238">
        <v>0</v>
      </c>
      <c r="T84" s="238">
        <v>0</v>
      </c>
      <c r="U84" s="238">
        <v>0</v>
      </c>
      <c r="V84" s="238">
        <v>0</v>
      </c>
      <c r="W84" s="238">
        <v>0</v>
      </c>
      <c r="X84" s="238">
        <v>0</v>
      </c>
      <c r="Y84" s="238">
        <v>100</v>
      </c>
      <c r="Z84" s="238">
        <v>0</v>
      </c>
      <c r="AA84" s="238">
        <v>0</v>
      </c>
      <c r="AB84" s="238">
        <v>279.2</v>
      </c>
      <c r="AC84" s="238">
        <v>0</v>
      </c>
      <c r="AD84" s="238">
        <v>0</v>
      </c>
      <c r="AE84" s="372">
        <v>390.45</v>
      </c>
      <c r="AF84" s="238">
        <v>0</v>
      </c>
      <c r="AG84" s="238">
        <v>0</v>
      </c>
      <c r="AH84" s="238">
        <v>0</v>
      </c>
      <c r="AI84" s="238">
        <v>50</v>
      </c>
      <c r="AJ84" s="238">
        <v>0</v>
      </c>
      <c r="AK84" s="428"/>
      <c r="AL84" s="238">
        <v>0</v>
      </c>
      <c r="AM84" s="238">
        <v>0</v>
      </c>
      <c r="AN84" s="238"/>
      <c r="AO84" s="15"/>
      <c r="AP84" s="15"/>
      <c r="AQ84" s="15"/>
      <c r="AR84" s="15"/>
      <c r="AS84" s="15"/>
      <c r="AT84" s="15"/>
      <c r="AU84" s="15"/>
      <c r="AV84" s="15"/>
      <c r="AW84" s="233"/>
      <c r="AX84" s="233"/>
      <c r="AY84" s="233"/>
      <c r="AZ84" s="233"/>
      <c r="BA84" s="233"/>
      <c r="BB84" s="670">
        <f t="shared" si="12"/>
        <v>99.25</v>
      </c>
      <c r="BC84" s="671">
        <f t="shared" ref="BC84:BC97" si="13">SUM(F84:BA84)</f>
        <v>900.75</v>
      </c>
      <c r="BD84" s="668">
        <v>3.68</v>
      </c>
      <c r="BE84" s="667">
        <f t="shared" si="10"/>
        <v>1.9606174999999999</v>
      </c>
      <c r="BF84" s="643" t="s">
        <v>17911</v>
      </c>
      <c r="BG84" s="669">
        <f t="shared" si="11"/>
        <v>0.19549749999999999</v>
      </c>
    </row>
    <row r="85" spans="1:59" ht="31.5">
      <c r="A85">
        <f t="shared" si="4"/>
        <v>6479</v>
      </c>
      <c r="B85" s="79" t="s">
        <v>188</v>
      </c>
      <c r="C85" s="27">
        <v>5594</v>
      </c>
      <c r="D85" s="28">
        <v>6479</v>
      </c>
      <c r="E85" s="1" t="s">
        <v>15439</v>
      </c>
      <c r="F85" s="238">
        <v>0</v>
      </c>
      <c r="G85" s="242"/>
      <c r="H85" s="238">
        <v>0</v>
      </c>
      <c r="I85" s="238">
        <v>0</v>
      </c>
      <c r="J85" s="238">
        <v>0</v>
      </c>
      <c r="K85" s="238">
        <v>0</v>
      </c>
      <c r="L85" s="238">
        <v>0</v>
      </c>
      <c r="M85" s="238">
        <v>0</v>
      </c>
      <c r="N85" s="238">
        <v>0</v>
      </c>
      <c r="O85" s="238">
        <v>0</v>
      </c>
      <c r="P85" s="238">
        <v>0</v>
      </c>
      <c r="Q85" s="238">
        <v>81.099999999999994</v>
      </c>
      <c r="R85" s="238">
        <v>0</v>
      </c>
      <c r="S85" s="238">
        <v>0</v>
      </c>
      <c r="T85" s="238">
        <v>0</v>
      </c>
      <c r="U85" s="238">
        <v>0</v>
      </c>
      <c r="V85" s="238">
        <v>0</v>
      </c>
      <c r="W85" s="238">
        <v>0</v>
      </c>
      <c r="X85" s="238">
        <v>0</v>
      </c>
      <c r="Y85" s="238">
        <v>100</v>
      </c>
      <c r="Z85" s="238">
        <v>0</v>
      </c>
      <c r="AA85" s="238">
        <v>0</v>
      </c>
      <c r="AB85" s="238">
        <v>279.2</v>
      </c>
      <c r="AC85" s="238">
        <v>0</v>
      </c>
      <c r="AD85" s="238">
        <v>0</v>
      </c>
      <c r="AE85" s="372">
        <v>390.45</v>
      </c>
      <c r="AF85" s="238">
        <v>0</v>
      </c>
      <c r="AG85" s="238">
        <v>0</v>
      </c>
      <c r="AH85" s="238">
        <v>0</v>
      </c>
      <c r="AI85" s="238">
        <v>50</v>
      </c>
      <c r="AJ85" s="238">
        <v>0</v>
      </c>
      <c r="AK85" s="428"/>
      <c r="AL85" s="238">
        <v>0</v>
      </c>
      <c r="AM85" s="238">
        <v>0</v>
      </c>
      <c r="AN85" s="238"/>
      <c r="AO85" s="15"/>
      <c r="AP85" s="15"/>
      <c r="AQ85" s="15"/>
      <c r="AR85" s="15"/>
      <c r="AS85" s="15"/>
      <c r="AT85" s="15"/>
      <c r="AU85" s="15"/>
      <c r="AV85" s="15"/>
      <c r="AW85" s="233"/>
      <c r="AX85" s="233"/>
      <c r="AY85" s="233"/>
      <c r="AZ85" s="233"/>
      <c r="BA85" s="233"/>
      <c r="BB85" s="670">
        <f t="shared" si="12"/>
        <v>99.25</v>
      </c>
      <c r="BC85" s="671">
        <f t="shared" si="13"/>
        <v>900.75</v>
      </c>
      <c r="BD85" s="668">
        <v>2.67</v>
      </c>
      <c r="BE85" s="667">
        <f t="shared" si="10"/>
        <v>1.9606174999999999</v>
      </c>
      <c r="BF85" s="641" t="s">
        <v>17893</v>
      </c>
      <c r="BG85" s="669">
        <f t="shared" si="11"/>
        <v>0.19549749999999999</v>
      </c>
    </row>
    <row r="86" spans="1:59" ht="31.5">
      <c r="A86">
        <f t="shared" si="4"/>
        <v>6486</v>
      </c>
      <c r="B86" s="79" t="s">
        <v>188</v>
      </c>
      <c r="C86" s="27">
        <v>5593</v>
      </c>
      <c r="D86" s="28">
        <v>6486</v>
      </c>
      <c r="E86" s="1" t="s">
        <v>15389</v>
      </c>
      <c r="F86" s="238">
        <v>0</v>
      </c>
      <c r="G86" s="238">
        <v>0</v>
      </c>
      <c r="H86" s="238">
        <v>0</v>
      </c>
      <c r="I86" s="238">
        <v>0</v>
      </c>
      <c r="J86" s="238">
        <v>0</v>
      </c>
      <c r="K86" s="238">
        <v>0</v>
      </c>
      <c r="L86" s="238">
        <v>0</v>
      </c>
      <c r="M86" s="238">
        <v>0</v>
      </c>
      <c r="N86" s="238">
        <v>0</v>
      </c>
      <c r="O86" s="238">
        <v>0</v>
      </c>
      <c r="P86" s="238">
        <v>0</v>
      </c>
      <c r="Q86" s="238">
        <v>61.2</v>
      </c>
      <c r="R86" s="238">
        <v>0</v>
      </c>
      <c r="S86" s="238">
        <v>0</v>
      </c>
      <c r="T86" s="238">
        <v>0</v>
      </c>
      <c r="U86" s="238">
        <v>23.5</v>
      </c>
      <c r="V86" s="238">
        <v>0</v>
      </c>
      <c r="W86" s="238">
        <v>0</v>
      </c>
      <c r="X86" s="238">
        <v>0</v>
      </c>
      <c r="Y86" s="238">
        <v>0</v>
      </c>
      <c r="Z86" s="238">
        <v>0</v>
      </c>
      <c r="AA86" s="238">
        <v>0</v>
      </c>
      <c r="AB86" s="238">
        <v>0</v>
      </c>
      <c r="AC86" s="238">
        <v>0</v>
      </c>
      <c r="AD86" s="238"/>
      <c r="AE86" s="238">
        <v>461.2</v>
      </c>
      <c r="AF86" s="238">
        <v>0</v>
      </c>
      <c r="AG86" s="238">
        <v>155.1</v>
      </c>
      <c r="AH86" s="238"/>
      <c r="AI86" s="238">
        <v>50</v>
      </c>
      <c r="AJ86" s="238">
        <v>0</v>
      </c>
      <c r="AK86" s="238">
        <v>65.3</v>
      </c>
      <c r="AL86" s="238">
        <v>0</v>
      </c>
      <c r="AM86" s="238">
        <v>0</v>
      </c>
      <c r="AN86" s="238"/>
      <c r="AO86" s="15"/>
      <c r="AP86" s="15"/>
      <c r="AQ86" s="15"/>
      <c r="AR86" s="15"/>
      <c r="AS86" s="15"/>
      <c r="AT86" s="15"/>
      <c r="AU86" s="15"/>
      <c r="AV86" s="15"/>
      <c r="AW86" s="233"/>
      <c r="AX86" s="233"/>
      <c r="AY86" s="233"/>
      <c r="AZ86" s="233"/>
      <c r="BA86" s="233"/>
      <c r="BB86" s="670">
        <f t="shared" si="12"/>
        <v>183.70000000000005</v>
      </c>
      <c r="BC86" s="671">
        <f t="shared" si="13"/>
        <v>816.3</v>
      </c>
      <c r="BD86" s="668"/>
      <c r="BE86" s="667">
        <f t="shared" si="10"/>
        <v>2.478335</v>
      </c>
      <c r="BF86" s="643" t="s">
        <v>17901</v>
      </c>
      <c r="BG86" s="669">
        <f t="shared" si="11"/>
        <v>0.21576300000000001</v>
      </c>
    </row>
    <row r="87" spans="1:59" ht="31.5">
      <c r="A87">
        <f t="shared" si="4"/>
        <v>6599</v>
      </c>
      <c r="B87" s="79" t="s">
        <v>188</v>
      </c>
      <c r="C87" s="27">
        <v>5600</v>
      </c>
      <c r="D87" s="28">
        <v>6599</v>
      </c>
      <c r="E87" s="1" t="s">
        <v>15606</v>
      </c>
      <c r="F87" s="238">
        <v>0</v>
      </c>
      <c r="G87" s="238">
        <v>0</v>
      </c>
      <c r="H87" s="238">
        <v>0</v>
      </c>
      <c r="I87" s="238">
        <v>0</v>
      </c>
      <c r="J87" s="238">
        <v>0</v>
      </c>
      <c r="K87" s="238">
        <v>0</v>
      </c>
      <c r="L87" s="238">
        <v>0</v>
      </c>
      <c r="M87" s="238">
        <v>0</v>
      </c>
      <c r="N87" s="238">
        <v>0</v>
      </c>
      <c r="O87" s="238"/>
      <c r="P87" s="238">
        <v>0</v>
      </c>
      <c r="Q87" s="372"/>
      <c r="R87" s="238">
        <v>29</v>
      </c>
      <c r="S87" s="238">
        <v>0</v>
      </c>
      <c r="T87" s="238">
        <f>100</f>
        <v>100</v>
      </c>
      <c r="U87" s="372">
        <f>321.54-50-150</f>
        <v>121.54000000000002</v>
      </c>
      <c r="V87" s="238">
        <v>100</v>
      </c>
      <c r="W87" s="238">
        <v>0</v>
      </c>
      <c r="X87" s="238">
        <v>0</v>
      </c>
      <c r="Y87" s="238">
        <v>0</v>
      </c>
      <c r="Z87" s="238">
        <v>0</v>
      </c>
      <c r="AA87" s="238">
        <v>0</v>
      </c>
      <c r="AB87" s="238">
        <v>37.799999999999997</v>
      </c>
      <c r="AC87" s="238">
        <v>0</v>
      </c>
      <c r="AD87" s="238"/>
      <c r="AE87" s="238">
        <v>0</v>
      </c>
      <c r="AF87" s="238"/>
      <c r="AG87" s="238">
        <v>0</v>
      </c>
      <c r="AH87" s="238">
        <v>25</v>
      </c>
      <c r="AI87" s="238">
        <v>0</v>
      </c>
      <c r="AJ87" s="238">
        <v>0</v>
      </c>
      <c r="AK87" s="372">
        <f>210.8-50</f>
        <v>160.80000000000001</v>
      </c>
      <c r="AL87" s="238">
        <v>25</v>
      </c>
      <c r="AM87" s="238">
        <v>0</v>
      </c>
      <c r="AN87" s="238">
        <f>75.4+50</f>
        <v>125.4</v>
      </c>
      <c r="AO87" s="15"/>
      <c r="AP87" s="15"/>
      <c r="AQ87" s="15"/>
      <c r="AR87" s="15"/>
      <c r="AS87" s="15"/>
      <c r="AT87" s="15"/>
      <c r="AU87" s="15"/>
      <c r="AV87" s="15"/>
      <c r="AW87" s="238"/>
      <c r="AX87" s="233"/>
      <c r="AY87" s="233"/>
      <c r="AZ87" s="233"/>
      <c r="BA87" s="233"/>
      <c r="BB87" s="670">
        <f t="shared" si="12"/>
        <v>275.45999999999992</v>
      </c>
      <c r="BC87" s="671">
        <f t="shared" si="13"/>
        <v>724.54000000000008</v>
      </c>
      <c r="BD87" s="668">
        <v>7.43</v>
      </c>
      <c r="BE87" s="667">
        <f t="shared" si="10"/>
        <v>6.6109814000000009</v>
      </c>
      <c r="BF87" s="643" t="s">
        <v>17889</v>
      </c>
      <c r="BG87" s="669">
        <f t="shared" si="11"/>
        <v>0.18981799999999999</v>
      </c>
    </row>
    <row r="88" spans="1:59" ht="15.75">
      <c r="A88">
        <f t="shared" si="4"/>
        <v>6439</v>
      </c>
      <c r="B88" s="79" t="s">
        <v>188</v>
      </c>
      <c r="C88" s="27">
        <v>5549</v>
      </c>
      <c r="D88" s="28">
        <v>6439</v>
      </c>
      <c r="E88" s="2" t="s">
        <v>34</v>
      </c>
      <c r="F88" s="238">
        <v>0</v>
      </c>
      <c r="G88" s="238">
        <v>0</v>
      </c>
      <c r="H88" s="238">
        <v>0</v>
      </c>
      <c r="I88" s="238">
        <v>0</v>
      </c>
      <c r="J88" s="238">
        <v>0</v>
      </c>
      <c r="K88" s="238">
        <v>0</v>
      </c>
      <c r="L88" s="238">
        <v>0</v>
      </c>
      <c r="M88" s="238">
        <v>0</v>
      </c>
      <c r="N88" s="238"/>
      <c r="O88" s="238">
        <v>0</v>
      </c>
      <c r="P88" s="238">
        <v>0</v>
      </c>
      <c r="Q88" s="238">
        <v>0</v>
      </c>
      <c r="R88" s="238">
        <v>62.7</v>
      </c>
      <c r="S88" s="238">
        <v>0</v>
      </c>
      <c r="T88" s="238">
        <f>398.7</f>
        <v>398.7</v>
      </c>
      <c r="U88" s="238">
        <v>0</v>
      </c>
      <c r="V88" s="238">
        <v>0</v>
      </c>
      <c r="W88" s="242"/>
      <c r="X88" s="238">
        <v>0</v>
      </c>
      <c r="Y88" s="238">
        <v>0</v>
      </c>
      <c r="Z88" s="238">
        <v>0</v>
      </c>
      <c r="AA88" s="238">
        <v>0</v>
      </c>
      <c r="AB88" s="238">
        <v>107.5</v>
      </c>
      <c r="AC88" s="238">
        <v>0</v>
      </c>
      <c r="AD88" s="238">
        <v>0</v>
      </c>
      <c r="AE88" s="238">
        <v>0</v>
      </c>
      <c r="AF88" s="238">
        <v>0</v>
      </c>
      <c r="AG88" s="238">
        <v>0</v>
      </c>
      <c r="AH88" s="238">
        <v>0</v>
      </c>
      <c r="AI88" s="238">
        <v>0</v>
      </c>
      <c r="AJ88" s="242">
        <v>210.6</v>
      </c>
      <c r="AK88" s="238"/>
      <c r="AL88" s="238">
        <v>0</v>
      </c>
      <c r="AM88" s="238">
        <v>0</v>
      </c>
      <c r="AN88" s="238"/>
      <c r="AO88" s="15"/>
      <c r="AP88" s="15"/>
      <c r="AQ88" s="15"/>
      <c r="AR88" s="15"/>
      <c r="AS88" s="15"/>
      <c r="AT88" s="15"/>
      <c r="AU88" s="15">
        <v>116.5</v>
      </c>
      <c r="AV88" s="15"/>
      <c r="AW88" s="233"/>
      <c r="AX88" s="233"/>
      <c r="AY88" s="233"/>
      <c r="AZ88" s="233"/>
      <c r="BA88" s="233"/>
      <c r="BB88" s="670">
        <f t="shared" si="12"/>
        <v>104</v>
      </c>
      <c r="BC88" s="671">
        <f t="shared" si="13"/>
        <v>896</v>
      </c>
      <c r="BD88" s="668"/>
      <c r="BE88" s="667">
        <f t="shared" si="10"/>
        <v>10.190490999999998</v>
      </c>
      <c r="BF88" s="643" t="s">
        <v>17893</v>
      </c>
      <c r="BG88" s="669">
        <f t="shared" si="11"/>
        <v>0.18398400000000004</v>
      </c>
    </row>
    <row r="89" spans="1:59" ht="15.75">
      <c r="A89">
        <f t="shared" si="4"/>
        <v>6449</v>
      </c>
      <c r="B89" s="79" t="s">
        <v>188</v>
      </c>
      <c r="C89" s="27">
        <v>5550</v>
      </c>
      <c r="D89" s="28">
        <v>6449</v>
      </c>
      <c r="E89" s="1" t="s">
        <v>41</v>
      </c>
      <c r="F89" s="238">
        <v>0</v>
      </c>
      <c r="G89" s="238">
        <v>0</v>
      </c>
      <c r="H89" s="238">
        <v>0</v>
      </c>
      <c r="I89" s="238">
        <v>0</v>
      </c>
      <c r="J89" s="238">
        <v>0</v>
      </c>
      <c r="K89" s="238">
        <v>0</v>
      </c>
      <c r="L89" s="238">
        <v>0</v>
      </c>
      <c r="M89" s="238">
        <v>0</v>
      </c>
      <c r="N89" s="238">
        <v>117.19</v>
      </c>
      <c r="O89" s="238"/>
      <c r="P89" s="238">
        <v>0</v>
      </c>
      <c r="Q89" s="238">
        <v>0</v>
      </c>
      <c r="R89" s="238">
        <v>63.1</v>
      </c>
      <c r="S89" s="238">
        <v>0</v>
      </c>
      <c r="T89" s="238">
        <v>613</v>
      </c>
      <c r="U89" s="238">
        <v>0</v>
      </c>
      <c r="V89" s="238">
        <v>0</v>
      </c>
      <c r="W89" s="238">
        <v>0</v>
      </c>
      <c r="X89" s="238">
        <v>0</v>
      </c>
      <c r="Y89" s="238">
        <v>0</v>
      </c>
      <c r="Z89" s="238">
        <v>0</v>
      </c>
      <c r="AA89" s="238">
        <v>0</v>
      </c>
      <c r="AB89" s="238">
        <v>108.18</v>
      </c>
      <c r="AC89" s="238">
        <v>0</v>
      </c>
      <c r="AD89" s="238">
        <v>0</v>
      </c>
      <c r="AE89" s="238">
        <v>0</v>
      </c>
      <c r="AF89" s="238">
        <v>0</v>
      </c>
      <c r="AG89" s="238">
        <v>0</v>
      </c>
      <c r="AH89" s="238">
        <v>0</v>
      </c>
      <c r="AI89" s="238">
        <v>0</v>
      </c>
      <c r="AJ89" s="238">
        <v>0</v>
      </c>
      <c r="AK89" s="238"/>
      <c r="AL89" s="238">
        <v>0</v>
      </c>
      <c r="AM89" s="238">
        <v>0</v>
      </c>
      <c r="AN89" s="238"/>
      <c r="AO89" s="15"/>
      <c r="AP89" s="15"/>
      <c r="AQ89" s="15"/>
      <c r="AR89" s="15"/>
      <c r="AS89" s="15"/>
      <c r="AT89" s="15"/>
      <c r="AU89" s="15"/>
      <c r="AV89" s="15"/>
      <c r="AW89" s="233"/>
      <c r="AX89" s="233"/>
      <c r="AY89" s="233"/>
      <c r="AZ89" s="233"/>
      <c r="BA89" s="233"/>
      <c r="BB89" s="670">
        <f t="shared" si="12"/>
        <v>98.529999999999973</v>
      </c>
      <c r="BC89" s="671">
        <f t="shared" si="13"/>
        <v>901.47</v>
      </c>
      <c r="BD89" s="668">
        <v>10.06</v>
      </c>
      <c r="BE89" s="667">
        <f t="shared" si="10"/>
        <v>9.9570699999999999</v>
      </c>
      <c r="BF89" s="645" t="s">
        <v>17910</v>
      </c>
      <c r="BG89" s="669">
        <f t="shared" si="11"/>
        <v>0.2058043</v>
      </c>
    </row>
    <row r="90" spans="1:59" ht="15.75">
      <c r="A90">
        <f t="shared" si="4"/>
        <v>6451</v>
      </c>
      <c r="B90" s="79" t="s">
        <v>188</v>
      </c>
      <c r="C90" s="27">
        <v>5556</v>
      </c>
      <c r="D90" s="28">
        <v>6451</v>
      </c>
      <c r="E90" s="1" t="s">
        <v>36</v>
      </c>
      <c r="F90" s="238">
        <v>0</v>
      </c>
      <c r="G90" s="238">
        <v>0</v>
      </c>
      <c r="H90" s="238"/>
      <c r="I90" s="238">
        <v>0</v>
      </c>
      <c r="J90" s="238">
        <v>0</v>
      </c>
      <c r="K90" s="238">
        <v>0</v>
      </c>
      <c r="L90" s="238">
        <v>0</v>
      </c>
      <c r="M90" s="238">
        <v>0</v>
      </c>
      <c r="N90" s="238"/>
      <c r="O90" s="238"/>
      <c r="P90" s="238">
        <v>0</v>
      </c>
      <c r="Q90" s="238">
        <v>0</v>
      </c>
      <c r="R90" s="238">
        <v>0</v>
      </c>
      <c r="S90" s="238">
        <v>0</v>
      </c>
      <c r="T90" s="242">
        <v>246.85</v>
      </c>
      <c r="U90" s="238">
        <v>246.85</v>
      </c>
      <c r="V90" s="238">
        <v>0</v>
      </c>
      <c r="W90" s="238">
        <v>0</v>
      </c>
      <c r="X90" s="238">
        <v>56.4</v>
      </c>
      <c r="Y90" s="238">
        <v>0</v>
      </c>
      <c r="Z90" s="238">
        <v>0</v>
      </c>
      <c r="AA90" s="238">
        <v>0</v>
      </c>
      <c r="AB90" s="242">
        <v>42.3</v>
      </c>
      <c r="AC90" s="238">
        <v>0</v>
      </c>
      <c r="AD90" s="238">
        <v>0</v>
      </c>
      <c r="AE90" s="238">
        <v>0</v>
      </c>
      <c r="AF90" s="238">
        <v>0</v>
      </c>
      <c r="AG90" s="238">
        <v>0</v>
      </c>
      <c r="AH90" s="238">
        <v>0</v>
      </c>
      <c r="AI90" s="238">
        <v>0</v>
      </c>
      <c r="AJ90" s="238">
        <v>0</v>
      </c>
      <c r="AK90" s="238"/>
      <c r="AL90" s="238">
        <v>0</v>
      </c>
      <c r="AM90" s="238">
        <v>0</v>
      </c>
      <c r="AN90" s="242">
        <v>112.8</v>
      </c>
      <c r="AO90" s="15"/>
      <c r="AP90" s="15"/>
      <c r="AQ90" s="15"/>
      <c r="AR90" s="15"/>
      <c r="AS90" s="15"/>
      <c r="AT90" s="15"/>
      <c r="AU90" s="15"/>
      <c r="AV90" s="15"/>
      <c r="AW90" s="233"/>
      <c r="AX90" s="233"/>
      <c r="AY90" s="233"/>
      <c r="AZ90" s="233"/>
      <c r="BA90" s="233"/>
      <c r="BB90" s="670">
        <f t="shared" si="12"/>
        <v>294.80000000000007</v>
      </c>
      <c r="BC90" s="671">
        <f t="shared" si="13"/>
        <v>705.19999999999993</v>
      </c>
      <c r="BD90" s="668">
        <v>7.94</v>
      </c>
      <c r="BE90" s="667">
        <f t="shared" si="10"/>
        <v>7.0585234999999997</v>
      </c>
      <c r="BF90" s="643" t="s">
        <v>17909</v>
      </c>
      <c r="BG90" s="669">
        <f t="shared" si="11"/>
        <v>0.208458</v>
      </c>
    </row>
    <row r="91" spans="1:59" ht="15.75">
      <c r="A91">
        <f t="shared" si="4"/>
        <v>6443</v>
      </c>
      <c r="B91" s="79" t="s">
        <v>174</v>
      </c>
      <c r="C91" s="27">
        <v>5545</v>
      </c>
      <c r="D91" s="28">
        <v>6443</v>
      </c>
      <c r="E91" s="1" t="s">
        <v>23</v>
      </c>
      <c r="F91" s="238">
        <v>0</v>
      </c>
      <c r="G91" s="238">
        <v>0</v>
      </c>
      <c r="H91" s="238">
        <v>0</v>
      </c>
      <c r="I91" s="238">
        <v>0</v>
      </c>
      <c r="J91" s="238">
        <v>0</v>
      </c>
      <c r="K91" s="238">
        <v>0</v>
      </c>
      <c r="L91" s="238">
        <v>0</v>
      </c>
      <c r="M91" s="238">
        <v>0</v>
      </c>
      <c r="N91" s="238">
        <v>116.4</v>
      </c>
      <c r="O91" s="238">
        <v>0</v>
      </c>
      <c r="P91" s="238">
        <v>0</v>
      </c>
      <c r="Q91" s="238">
        <v>0</v>
      </c>
      <c r="R91" s="238">
        <v>77.599999999999994</v>
      </c>
      <c r="S91" s="238">
        <v>0</v>
      </c>
      <c r="T91" s="238">
        <f>155.2+116.4</f>
        <v>271.60000000000002</v>
      </c>
      <c r="U91" s="238">
        <v>232.8</v>
      </c>
      <c r="V91" s="238">
        <v>0</v>
      </c>
      <c r="W91" s="238">
        <v>0</v>
      </c>
      <c r="X91" s="238">
        <v>0</v>
      </c>
      <c r="Y91" s="238">
        <v>0</v>
      </c>
      <c r="Z91" s="238">
        <v>0</v>
      </c>
      <c r="AA91" s="238">
        <v>0</v>
      </c>
      <c r="AB91" s="238">
        <v>77.599999999999994</v>
      </c>
      <c r="AC91" s="238">
        <v>0</v>
      </c>
      <c r="AD91" s="238">
        <v>0</v>
      </c>
      <c r="AE91" s="238">
        <v>0</v>
      </c>
      <c r="AF91" s="238">
        <v>0</v>
      </c>
      <c r="AG91" s="238">
        <v>0</v>
      </c>
      <c r="AH91" s="238">
        <v>0</v>
      </c>
      <c r="AI91" s="238">
        <v>0</v>
      </c>
      <c r="AJ91" s="238">
        <v>0</v>
      </c>
      <c r="AK91" s="238">
        <v>0</v>
      </c>
      <c r="AL91" s="238">
        <v>0</v>
      </c>
      <c r="AM91" s="238">
        <v>0</v>
      </c>
      <c r="AN91" s="238"/>
      <c r="AO91" s="15"/>
      <c r="AP91" s="15"/>
      <c r="AQ91" s="15"/>
      <c r="AR91" s="15"/>
      <c r="AS91" s="15"/>
      <c r="AT91" s="15"/>
      <c r="AU91" s="15"/>
      <c r="AV91" s="15"/>
      <c r="AW91" s="233"/>
      <c r="AX91" s="233"/>
      <c r="AY91" s="233"/>
      <c r="AZ91" s="233"/>
      <c r="BA91" s="233"/>
      <c r="BB91" s="670">
        <f t="shared" si="12"/>
        <v>223.99999999999989</v>
      </c>
      <c r="BC91" s="671">
        <f t="shared" si="13"/>
        <v>776.00000000000011</v>
      </c>
      <c r="BD91" s="668"/>
      <c r="BE91" s="667">
        <f t="shared" si="10"/>
        <v>7.811215999999999</v>
      </c>
      <c r="BF91" s="643" t="s">
        <v>17915</v>
      </c>
      <c r="BG91" s="669">
        <f t="shared" si="11"/>
        <v>0.23396400000000001</v>
      </c>
    </row>
    <row r="92" spans="1:59" ht="31.5">
      <c r="A92">
        <f t="shared" si="4"/>
        <v>6445</v>
      </c>
      <c r="B92" s="79" t="s">
        <v>174</v>
      </c>
      <c r="C92" s="27">
        <v>5547</v>
      </c>
      <c r="D92" s="28">
        <v>6445</v>
      </c>
      <c r="E92" s="1" t="s">
        <v>44</v>
      </c>
      <c r="F92" s="238">
        <v>0</v>
      </c>
      <c r="G92" s="238">
        <v>0</v>
      </c>
      <c r="H92" s="238">
        <v>0</v>
      </c>
      <c r="I92" s="238">
        <v>138.1</v>
      </c>
      <c r="J92" s="238">
        <v>0</v>
      </c>
      <c r="K92" s="238">
        <v>0</v>
      </c>
      <c r="L92" s="238">
        <v>0</v>
      </c>
      <c r="M92" s="238">
        <v>0</v>
      </c>
      <c r="N92" s="238">
        <v>93.6</v>
      </c>
      <c r="O92" s="238">
        <v>0</v>
      </c>
      <c r="P92" s="238">
        <v>0</v>
      </c>
      <c r="Q92" s="238">
        <v>121.6</v>
      </c>
      <c r="R92" s="238">
        <v>0</v>
      </c>
      <c r="S92" s="238">
        <v>0</v>
      </c>
      <c r="T92" s="238">
        <v>187.13</v>
      </c>
      <c r="U92" s="238">
        <v>28.1</v>
      </c>
      <c r="V92" s="238">
        <v>0</v>
      </c>
      <c r="W92" s="238">
        <v>0</v>
      </c>
      <c r="X92" s="238">
        <v>0</v>
      </c>
      <c r="Y92" s="238">
        <v>0</v>
      </c>
      <c r="Z92" s="238">
        <v>0</v>
      </c>
      <c r="AA92" s="238">
        <v>0</v>
      </c>
      <c r="AB92" s="238">
        <v>65.5</v>
      </c>
      <c r="AC92" s="238">
        <v>0</v>
      </c>
      <c r="AD92" s="238">
        <v>0</v>
      </c>
      <c r="AE92" s="238">
        <v>0</v>
      </c>
      <c r="AF92" s="238">
        <v>0</v>
      </c>
      <c r="AG92" s="238">
        <v>0</v>
      </c>
      <c r="AH92" s="238">
        <v>0</v>
      </c>
      <c r="AI92" s="238">
        <v>0</v>
      </c>
      <c r="AJ92" s="238">
        <f>276.2+25.4</f>
        <v>301.59999999999997</v>
      </c>
      <c r="AK92" s="238">
        <v>0</v>
      </c>
      <c r="AL92" s="238">
        <v>0</v>
      </c>
      <c r="AM92" s="238">
        <v>0</v>
      </c>
      <c r="AN92" s="238"/>
      <c r="AO92" s="15"/>
      <c r="AP92" s="15"/>
      <c r="AQ92" s="15"/>
      <c r="AR92" s="15"/>
      <c r="AS92" s="15"/>
      <c r="AT92" s="15"/>
      <c r="AU92" s="15"/>
      <c r="AV92" s="15"/>
      <c r="AW92" s="233"/>
      <c r="AX92" s="233"/>
      <c r="AY92" s="233"/>
      <c r="AZ92" s="233"/>
      <c r="BA92" s="233"/>
      <c r="BB92" s="670">
        <f t="shared" si="12"/>
        <v>64.370000000000118</v>
      </c>
      <c r="BC92" s="671">
        <f t="shared" si="13"/>
        <v>935.62999999999988</v>
      </c>
      <c r="BD92" s="668"/>
      <c r="BE92" s="667">
        <f t="shared" si="10"/>
        <v>10.7090564</v>
      </c>
      <c r="BF92" s="642" t="s">
        <v>17913</v>
      </c>
      <c r="BG92" s="669">
        <f t="shared" si="11"/>
        <v>0.226269</v>
      </c>
    </row>
    <row r="93" spans="1:59" ht="15.75">
      <c r="A93">
        <f t="shared" si="4"/>
        <v>6462</v>
      </c>
      <c r="B93" s="79" t="s">
        <v>188</v>
      </c>
      <c r="C93" s="23">
        <v>5561</v>
      </c>
      <c r="D93" s="28">
        <v>6462</v>
      </c>
      <c r="E93" s="1" t="s">
        <v>186</v>
      </c>
      <c r="F93" s="238">
        <v>0</v>
      </c>
      <c r="G93" s="238">
        <v>0</v>
      </c>
      <c r="H93" s="238">
        <v>0</v>
      </c>
      <c r="I93" s="238">
        <v>0</v>
      </c>
      <c r="J93" s="238">
        <v>0</v>
      </c>
      <c r="K93" s="238">
        <v>0</v>
      </c>
      <c r="L93" s="238">
        <v>0</v>
      </c>
      <c r="M93" s="238">
        <v>0</v>
      </c>
      <c r="N93" s="242"/>
      <c r="O93" s="238">
        <v>0</v>
      </c>
      <c r="P93" s="238">
        <v>0</v>
      </c>
      <c r="Q93" s="238">
        <v>0</v>
      </c>
      <c r="R93" s="238">
        <v>60.8</v>
      </c>
      <c r="S93" s="238">
        <v>0</v>
      </c>
      <c r="T93" s="372">
        <f>417-30</f>
        <v>387</v>
      </c>
      <c r="U93" s="238">
        <v>0</v>
      </c>
      <c r="V93" s="238">
        <v>0</v>
      </c>
      <c r="W93" s="242">
        <v>217.2</v>
      </c>
      <c r="X93" s="15">
        <v>173.7</v>
      </c>
      <c r="Y93" s="238">
        <v>0</v>
      </c>
      <c r="Z93" s="242"/>
      <c r="AA93" s="238">
        <v>0</v>
      </c>
      <c r="AB93" s="238">
        <v>0</v>
      </c>
      <c r="AC93" s="238">
        <v>0</v>
      </c>
      <c r="AD93" s="238">
        <v>0</v>
      </c>
      <c r="AE93" s="238">
        <v>0</v>
      </c>
      <c r="AF93" s="238">
        <v>0</v>
      </c>
      <c r="AG93" s="238">
        <v>0</v>
      </c>
      <c r="AH93" s="238">
        <v>30</v>
      </c>
      <c r="AI93" s="238">
        <v>0</v>
      </c>
      <c r="AJ93" s="242"/>
      <c r="AK93" s="242"/>
      <c r="AL93" s="238">
        <v>0</v>
      </c>
      <c r="AM93" s="238">
        <v>0</v>
      </c>
      <c r="AN93" s="238"/>
      <c r="AO93" s="15"/>
      <c r="AP93" s="15"/>
      <c r="AQ93" s="15"/>
      <c r="AR93" s="15"/>
      <c r="AS93" s="15"/>
      <c r="AT93" s="15"/>
      <c r="AU93" s="15">
        <v>0</v>
      </c>
      <c r="AV93" s="15"/>
      <c r="AW93" s="233"/>
      <c r="AX93" s="233"/>
      <c r="AY93" s="233"/>
      <c r="AZ93" s="233"/>
      <c r="BA93" s="233"/>
      <c r="BB93" s="670">
        <f t="shared" si="12"/>
        <v>131.29999999999995</v>
      </c>
      <c r="BC93" s="671">
        <f t="shared" si="13"/>
        <v>868.7</v>
      </c>
      <c r="BD93" s="668"/>
      <c r="BE93" s="667">
        <f t="shared" si="10"/>
        <v>10.669865</v>
      </c>
      <c r="BF93" s="646" t="s">
        <v>17905</v>
      </c>
      <c r="BG93" s="669">
        <f t="shared" si="11"/>
        <v>0.18440900000000002</v>
      </c>
    </row>
    <row r="94" spans="1:59" ht="31.5">
      <c r="A94">
        <f t="shared" si="4"/>
        <v>6447</v>
      </c>
      <c r="B94" s="79" t="s">
        <v>174</v>
      </c>
      <c r="C94" s="23">
        <v>5548</v>
      </c>
      <c r="D94" s="28">
        <v>6447</v>
      </c>
      <c r="E94" s="1" t="s">
        <v>151</v>
      </c>
      <c r="F94" s="238">
        <v>0</v>
      </c>
      <c r="G94" s="238">
        <v>0</v>
      </c>
      <c r="H94" s="238">
        <v>0</v>
      </c>
      <c r="I94" s="238">
        <v>0</v>
      </c>
      <c r="J94" s="238">
        <v>0</v>
      </c>
      <c r="K94" s="238">
        <v>0</v>
      </c>
      <c r="L94" s="238">
        <v>0</v>
      </c>
      <c r="M94" s="238">
        <v>0</v>
      </c>
      <c r="N94" s="238">
        <v>0</v>
      </c>
      <c r="O94" s="238">
        <v>0</v>
      </c>
      <c r="P94" s="238">
        <v>0</v>
      </c>
      <c r="Q94" s="238">
        <v>0</v>
      </c>
      <c r="R94" s="238">
        <v>77.599999999999994</v>
      </c>
      <c r="S94" s="238">
        <v>0</v>
      </c>
      <c r="T94" s="238">
        <f>185.2-30+116.4</f>
        <v>271.60000000000002</v>
      </c>
      <c r="U94" s="238">
        <v>232.8</v>
      </c>
      <c r="V94" s="238">
        <v>0</v>
      </c>
      <c r="W94" s="238">
        <v>0</v>
      </c>
      <c r="X94" s="238">
        <v>116.4</v>
      </c>
      <c r="Y94" s="238">
        <v>0</v>
      </c>
      <c r="Z94" s="238">
        <v>0</v>
      </c>
      <c r="AA94" s="238">
        <v>0</v>
      </c>
      <c r="AB94" s="238">
        <v>77.599999999999994</v>
      </c>
      <c r="AC94" s="238">
        <v>0</v>
      </c>
      <c r="AD94" s="238"/>
      <c r="AE94" s="238">
        <v>0</v>
      </c>
      <c r="AF94" s="238">
        <v>0</v>
      </c>
      <c r="AG94" s="238">
        <v>0</v>
      </c>
      <c r="AH94" s="238">
        <v>30</v>
      </c>
      <c r="AI94" s="238">
        <v>0</v>
      </c>
      <c r="AJ94" s="238">
        <v>0</v>
      </c>
      <c r="AK94" s="238">
        <v>0</v>
      </c>
      <c r="AL94" s="238">
        <v>0</v>
      </c>
      <c r="AM94" s="238">
        <v>0</v>
      </c>
      <c r="AN94" s="238"/>
      <c r="AO94" s="15"/>
      <c r="AP94" s="15"/>
      <c r="AQ94" s="15"/>
      <c r="AR94" s="15"/>
      <c r="AS94" s="15"/>
      <c r="AT94" s="15"/>
      <c r="AU94" s="15"/>
      <c r="AV94" s="15"/>
      <c r="AW94" s="233"/>
      <c r="AX94" s="233"/>
      <c r="AY94" s="233"/>
      <c r="AZ94" s="233"/>
      <c r="BA94" s="233"/>
      <c r="BB94" s="670">
        <f t="shared" si="12"/>
        <v>194</v>
      </c>
      <c r="BC94" s="671">
        <f t="shared" si="13"/>
        <v>806</v>
      </c>
      <c r="BD94" s="668"/>
      <c r="BE94" s="667">
        <f t="shared" si="10"/>
        <v>7.7273359999999993</v>
      </c>
      <c r="BF94" s="642" t="s">
        <v>17912</v>
      </c>
      <c r="BG94" s="669">
        <f t="shared" si="11"/>
        <v>0.240564</v>
      </c>
    </row>
    <row r="95" spans="1:59" ht="31.5">
      <c r="A95">
        <f t="shared" si="4"/>
        <v>6444</v>
      </c>
      <c r="B95" s="79" t="s">
        <v>174</v>
      </c>
      <c r="C95" s="27">
        <v>5546</v>
      </c>
      <c r="D95" s="28">
        <v>6444</v>
      </c>
      <c r="E95" s="1" t="s">
        <v>26</v>
      </c>
      <c r="F95" s="238">
        <v>0</v>
      </c>
      <c r="G95" s="238">
        <v>0</v>
      </c>
      <c r="H95" s="238">
        <v>0</v>
      </c>
      <c r="I95" s="238">
        <v>138.01</v>
      </c>
      <c r="J95" s="238"/>
      <c r="K95" s="238"/>
      <c r="L95" s="238"/>
      <c r="M95" s="238"/>
      <c r="N95" s="238"/>
      <c r="O95" s="238"/>
      <c r="P95" s="238"/>
      <c r="Q95" s="238">
        <v>138.01</v>
      </c>
      <c r="R95" s="238"/>
      <c r="S95" s="238"/>
      <c r="T95" s="238">
        <v>154.02000000000001</v>
      </c>
      <c r="U95" s="238">
        <v>27.6</v>
      </c>
      <c r="V95" s="238"/>
      <c r="W95" s="238">
        <v>276.02</v>
      </c>
      <c r="X95" s="238">
        <v>92.01</v>
      </c>
      <c r="Y95" s="238"/>
      <c r="Z95" s="238"/>
      <c r="AA95" s="238"/>
      <c r="AB95" s="238">
        <v>64.41</v>
      </c>
      <c r="AC95" s="238"/>
      <c r="AD95" s="238"/>
      <c r="AE95" s="238"/>
      <c r="AF95" s="238"/>
      <c r="AG95" s="238"/>
      <c r="AH95" s="238"/>
      <c r="AI95" s="238"/>
      <c r="AJ95" s="238"/>
      <c r="AK95" s="238"/>
      <c r="AL95" s="238"/>
      <c r="AM95" s="238"/>
      <c r="AN95" s="238"/>
      <c r="AO95" s="15"/>
      <c r="AP95" s="15"/>
      <c r="AQ95" s="15"/>
      <c r="AR95" s="15"/>
      <c r="AS95" s="15"/>
      <c r="AT95" s="15"/>
      <c r="AU95" s="15"/>
      <c r="AV95" s="15"/>
      <c r="AW95" s="233"/>
      <c r="AX95" s="233"/>
      <c r="AY95" s="233"/>
      <c r="AZ95" s="233"/>
      <c r="BA95" s="233"/>
      <c r="BB95" s="670">
        <f t="shared" si="12"/>
        <v>109.92000000000007</v>
      </c>
      <c r="BC95" s="671">
        <f t="shared" si="13"/>
        <v>890.07999999999993</v>
      </c>
      <c r="BD95" s="668"/>
      <c r="BE95" s="667">
        <f t="shared" si="10"/>
        <v>9.8016428999999992</v>
      </c>
      <c r="BF95" s="642" t="s">
        <v>17914</v>
      </c>
      <c r="BG95" s="669">
        <f t="shared" si="11"/>
        <v>0.2200626</v>
      </c>
    </row>
    <row r="96" spans="1:59" ht="15.75">
      <c r="A96">
        <f t="shared" si="4"/>
        <v>5781</v>
      </c>
      <c r="B96" s="79" t="s">
        <v>188</v>
      </c>
      <c r="C96" s="29">
        <v>5781</v>
      </c>
      <c r="D96" s="35">
        <v>5781</v>
      </c>
      <c r="E96" s="30" t="s">
        <v>13</v>
      </c>
      <c r="F96" s="238">
        <v>0</v>
      </c>
      <c r="G96" s="238">
        <v>0</v>
      </c>
      <c r="H96" s="238">
        <v>0</v>
      </c>
      <c r="I96" s="238">
        <v>0</v>
      </c>
      <c r="J96" s="238">
        <v>0</v>
      </c>
      <c r="K96" s="238">
        <v>0</v>
      </c>
      <c r="L96" s="238">
        <v>0</v>
      </c>
      <c r="M96" s="238">
        <v>0</v>
      </c>
      <c r="N96" s="238">
        <v>0</v>
      </c>
      <c r="O96" s="238">
        <v>0</v>
      </c>
      <c r="P96" s="238">
        <v>0</v>
      </c>
      <c r="Q96" s="238">
        <v>0</v>
      </c>
      <c r="R96" s="238">
        <v>0</v>
      </c>
      <c r="S96" s="238">
        <v>501.2</v>
      </c>
      <c r="T96" s="238">
        <v>0</v>
      </c>
      <c r="U96" s="238">
        <v>0</v>
      </c>
      <c r="V96" s="238">
        <v>0</v>
      </c>
      <c r="W96" s="238">
        <v>0</v>
      </c>
      <c r="X96" s="238">
        <v>0</v>
      </c>
      <c r="Y96" s="238">
        <v>0</v>
      </c>
      <c r="Z96" s="238">
        <v>0</v>
      </c>
      <c r="AA96" s="238">
        <v>0</v>
      </c>
      <c r="AB96" s="238">
        <v>0</v>
      </c>
      <c r="AC96" s="238">
        <v>0</v>
      </c>
      <c r="AD96" s="238">
        <v>0</v>
      </c>
      <c r="AE96" s="238">
        <v>0</v>
      </c>
      <c r="AF96" s="238">
        <v>0</v>
      </c>
      <c r="AG96" s="238">
        <v>0</v>
      </c>
      <c r="AH96" s="238">
        <v>0</v>
      </c>
      <c r="AI96" s="238">
        <v>0</v>
      </c>
      <c r="AJ96" s="238">
        <v>0</v>
      </c>
      <c r="AK96" s="238">
        <v>0</v>
      </c>
      <c r="AL96" s="238">
        <v>0</v>
      </c>
      <c r="AM96" s="238">
        <v>0</v>
      </c>
      <c r="AN96" s="238"/>
      <c r="AO96" s="15"/>
      <c r="AP96" s="15"/>
      <c r="AQ96" s="15"/>
      <c r="AR96" s="15"/>
      <c r="AS96" s="15"/>
      <c r="AT96" s="15"/>
      <c r="AU96" s="15"/>
      <c r="AV96" s="15"/>
      <c r="AW96" s="233"/>
      <c r="AX96" s="233"/>
      <c r="AY96" s="233"/>
      <c r="AZ96" s="233"/>
      <c r="BA96" s="233"/>
      <c r="BB96" s="670">
        <f t="shared" si="12"/>
        <v>498.8</v>
      </c>
      <c r="BC96" s="671">
        <f t="shared" si="13"/>
        <v>501.2</v>
      </c>
      <c r="BD96" s="668"/>
      <c r="BE96" s="667">
        <f t="shared" si="10"/>
        <v>2.6563599999999998</v>
      </c>
      <c r="BF96" s="43"/>
      <c r="BG96" s="669">
        <f t="shared" si="11"/>
        <v>8.0191999999999999E-2</v>
      </c>
    </row>
    <row r="97" spans="1:59" ht="16.5" thickBot="1">
      <c r="A97">
        <f>D97</f>
        <v>5203</v>
      </c>
      <c r="B97" s="79" t="s">
        <v>188</v>
      </c>
      <c r="C97" s="36">
        <v>5203</v>
      </c>
      <c r="D97" s="35">
        <v>5203</v>
      </c>
      <c r="E97" s="285" t="s">
        <v>15560</v>
      </c>
      <c r="F97" s="238"/>
      <c r="G97" s="238"/>
      <c r="H97" s="238"/>
      <c r="I97" s="238"/>
      <c r="J97" s="238"/>
      <c r="K97" s="238"/>
      <c r="L97" s="238"/>
      <c r="M97" s="238"/>
      <c r="N97" s="238"/>
      <c r="O97" s="238"/>
      <c r="P97" s="238"/>
      <c r="Q97" s="238">
        <v>156</v>
      </c>
      <c r="R97" s="238"/>
      <c r="S97" s="238"/>
      <c r="T97" s="238"/>
      <c r="U97" s="238"/>
      <c r="V97" s="238"/>
      <c r="W97" s="238"/>
      <c r="X97" s="238"/>
      <c r="Y97" s="238">
        <v>350</v>
      </c>
      <c r="Z97" s="238"/>
      <c r="AA97" s="238"/>
      <c r="AB97" s="238"/>
      <c r="AC97" s="238"/>
      <c r="AD97" s="238"/>
      <c r="AE97" s="238"/>
      <c r="AF97" s="238"/>
      <c r="AG97" s="238"/>
      <c r="AH97" s="238"/>
      <c r="AI97" s="238"/>
      <c r="AJ97" s="238"/>
      <c r="AK97" s="238"/>
      <c r="AL97" s="238"/>
      <c r="AM97" s="238"/>
      <c r="AN97" s="238"/>
      <c r="AO97" s="14"/>
      <c r="AP97" s="14"/>
      <c r="AQ97" s="14"/>
      <c r="AR97" s="14">
        <v>397</v>
      </c>
      <c r="AS97" s="14"/>
      <c r="AT97" s="14"/>
      <c r="AU97" s="14">
        <v>97</v>
      </c>
      <c r="AV97" s="14"/>
      <c r="AW97" s="233"/>
      <c r="AX97" s="233"/>
      <c r="AY97" s="233"/>
      <c r="AZ97" s="233"/>
      <c r="BA97" s="233"/>
      <c r="BB97" s="670">
        <f t="shared" si="12"/>
        <v>0</v>
      </c>
      <c r="BC97" s="671">
        <f t="shared" si="13"/>
        <v>1000</v>
      </c>
      <c r="BD97" s="668"/>
      <c r="BE97" s="667">
        <f t="shared" si="10"/>
        <v>6.9583999999999993</v>
      </c>
      <c r="BF97" s="43"/>
      <c r="BG97" s="669">
        <f t="shared" si="11"/>
        <v>0.34302999999999995</v>
      </c>
    </row>
    <row r="98" spans="1:59" ht="15.75" thickTop="1"/>
    <row r="101" spans="1:59">
      <c r="D101">
        <f>COLUMN(D100)-3</f>
        <v>1</v>
      </c>
      <c r="E101">
        <f t="shared" ref="E101:AM101" si="14">COLUMN(E100)-3</f>
        <v>2</v>
      </c>
      <c r="F101">
        <f t="shared" si="14"/>
        <v>3</v>
      </c>
      <c r="G101">
        <f t="shared" si="14"/>
        <v>4</v>
      </c>
      <c r="H101">
        <f t="shared" si="14"/>
        <v>5</v>
      </c>
      <c r="I101">
        <f t="shared" si="14"/>
        <v>6</v>
      </c>
      <c r="J101">
        <f t="shared" si="14"/>
        <v>7</v>
      </c>
      <c r="K101">
        <f t="shared" si="14"/>
        <v>8</v>
      </c>
      <c r="L101">
        <f t="shared" si="14"/>
        <v>9</v>
      </c>
      <c r="M101">
        <f t="shared" si="14"/>
        <v>10</v>
      </c>
      <c r="N101">
        <f t="shared" si="14"/>
        <v>11</v>
      </c>
      <c r="O101">
        <f t="shared" si="14"/>
        <v>12</v>
      </c>
      <c r="P101">
        <f t="shared" si="14"/>
        <v>13</v>
      </c>
      <c r="Q101">
        <f t="shared" si="14"/>
        <v>14</v>
      </c>
      <c r="R101">
        <f t="shared" si="14"/>
        <v>15</v>
      </c>
      <c r="S101">
        <f t="shared" si="14"/>
        <v>16</v>
      </c>
      <c r="T101">
        <f t="shared" si="14"/>
        <v>17</v>
      </c>
      <c r="U101">
        <f t="shared" si="14"/>
        <v>18</v>
      </c>
      <c r="V101">
        <f t="shared" si="14"/>
        <v>19</v>
      </c>
      <c r="W101">
        <f t="shared" si="14"/>
        <v>20</v>
      </c>
      <c r="X101">
        <f t="shared" si="14"/>
        <v>21</v>
      </c>
      <c r="Y101">
        <f t="shared" si="14"/>
        <v>22</v>
      </c>
      <c r="Z101">
        <f t="shared" si="14"/>
        <v>23</v>
      </c>
      <c r="AA101">
        <f t="shared" si="14"/>
        <v>24</v>
      </c>
      <c r="AB101">
        <f t="shared" si="14"/>
        <v>25</v>
      </c>
      <c r="AC101">
        <f t="shared" si="14"/>
        <v>26</v>
      </c>
      <c r="AD101">
        <f t="shared" si="14"/>
        <v>27</v>
      </c>
      <c r="AE101">
        <f t="shared" si="14"/>
        <v>28</v>
      </c>
      <c r="AF101">
        <f t="shared" si="14"/>
        <v>29</v>
      </c>
      <c r="AG101">
        <f t="shared" si="14"/>
        <v>30</v>
      </c>
      <c r="AH101">
        <f t="shared" si="14"/>
        <v>31</v>
      </c>
      <c r="AI101">
        <f t="shared" si="14"/>
        <v>32</v>
      </c>
      <c r="AJ101">
        <f t="shared" si="14"/>
        <v>33</v>
      </c>
      <c r="AK101">
        <f t="shared" si="14"/>
        <v>34</v>
      </c>
      <c r="AL101">
        <f t="shared" si="14"/>
        <v>35</v>
      </c>
      <c r="AM101">
        <f t="shared" si="14"/>
        <v>36</v>
      </c>
      <c r="AN101">
        <f>COLUMN(AN100)-3</f>
        <v>37</v>
      </c>
      <c r="AO101">
        <f>COLUMN(AO100)-3</f>
        <v>38</v>
      </c>
      <c r="AP101">
        <f>COLUMN(AP100)-3</f>
        <v>39</v>
      </c>
      <c r="AQ101">
        <f>COLUMN(AQ100)-3</f>
        <v>40</v>
      </c>
      <c r="AR101">
        <f t="shared" ref="AR101:BA101" si="15">COLUMN(AR100)-3</f>
        <v>41</v>
      </c>
      <c r="AS101">
        <f t="shared" si="15"/>
        <v>42</v>
      </c>
      <c r="AT101">
        <f t="shared" si="15"/>
        <v>43</v>
      </c>
      <c r="AU101">
        <f t="shared" si="15"/>
        <v>44</v>
      </c>
      <c r="AV101">
        <f t="shared" si="15"/>
        <v>45</v>
      </c>
      <c r="AW101">
        <f t="shared" si="15"/>
        <v>46</v>
      </c>
      <c r="AX101">
        <f t="shared" si="15"/>
        <v>47</v>
      </c>
      <c r="BA101">
        <f t="shared" si="15"/>
        <v>50</v>
      </c>
    </row>
    <row r="105" spans="1:59" ht="15.75" thickBot="1"/>
    <row r="106" spans="1:59" ht="22.5" thickTop="1" thickBot="1">
      <c r="D106" s="522" t="s">
        <v>17333</v>
      </c>
      <c r="E106" s="1002" t="s">
        <v>17334</v>
      </c>
      <c r="F106" s="1003"/>
      <c r="G106" s="522" t="s">
        <v>17336</v>
      </c>
    </row>
    <row r="107" spans="1:59" ht="19.5" thickTop="1">
      <c r="D107" s="657">
        <v>1</v>
      </c>
      <c r="E107" s="658" t="s">
        <v>16313</v>
      </c>
      <c r="F107" s="659">
        <v>15.72</v>
      </c>
      <c r="G107" s="660">
        <v>8.1000000000000003E-2</v>
      </c>
    </row>
    <row r="108" spans="1:59" ht="18.75">
      <c r="D108" s="543">
        <v>2</v>
      </c>
      <c r="E108" s="544" t="s">
        <v>16024</v>
      </c>
      <c r="F108" s="536">
        <v>16.3</v>
      </c>
      <c r="G108" s="537">
        <v>0.06</v>
      </c>
    </row>
    <row r="109" spans="1:59" ht="18.75">
      <c r="D109" s="543">
        <v>3</v>
      </c>
      <c r="E109" s="544" t="s">
        <v>16004</v>
      </c>
      <c r="F109" s="536">
        <v>12.9</v>
      </c>
      <c r="G109" s="537">
        <v>0.2</v>
      </c>
    </row>
    <row r="110" spans="1:59" ht="18.75">
      <c r="D110" s="543">
        <v>4</v>
      </c>
      <c r="E110" s="544" t="s">
        <v>16048</v>
      </c>
      <c r="F110" s="767">
        <v>33573</v>
      </c>
      <c r="G110" s="537">
        <v>0.16</v>
      </c>
    </row>
    <row r="111" spans="1:59" ht="18.75">
      <c r="D111" s="543">
        <v>5</v>
      </c>
      <c r="E111" s="544" t="s">
        <v>16042</v>
      </c>
      <c r="F111" s="536">
        <v>12.9</v>
      </c>
      <c r="G111" s="537">
        <v>0.2</v>
      </c>
    </row>
    <row r="112" spans="1:59" ht="18.75">
      <c r="D112" s="543">
        <v>6</v>
      </c>
      <c r="E112" s="544" t="s">
        <v>16046</v>
      </c>
      <c r="F112" s="536">
        <v>13.5</v>
      </c>
      <c r="G112" s="537">
        <v>0.26</v>
      </c>
    </row>
    <row r="113" spans="4:7" ht="18.75">
      <c r="D113" s="543">
        <v>7</v>
      </c>
      <c r="E113" s="544" t="s">
        <v>16219</v>
      </c>
      <c r="F113" s="536">
        <v>14.6</v>
      </c>
      <c r="G113" s="537">
        <v>0.09</v>
      </c>
    </row>
    <row r="114" spans="4:7" ht="18.75">
      <c r="D114" s="543">
        <v>8</v>
      </c>
      <c r="E114" s="544" t="s">
        <v>16217</v>
      </c>
      <c r="F114" s="536">
        <v>14.6</v>
      </c>
      <c r="G114" s="537">
        <v>0.09</v>
      </c>
    </row>
    <row r="115" spans="4:7" ht="18.75">
      <c r="D115" s="543">
        <v>9</v>
      </c>
      <c r="E115" s="544" t="s">
        <v>16220</v>
      </c>
      <c r="F115" s="536">
        <v>12.9</v>
      </c>
      <c r="G115" s="537">
        <v>0.2</v>
      </c>
    </row>
    <row r="116" spans="4:7" ht="18.75">
      <c r="D116" s="543">
        <v>10</v>
      </c>
      <c r="E116" s="544" t="s">
        <v>16213</v>
      </c>
      <c r="F116" s="536">
        <v>10.5</v>
      </c>
      <c r="G116" s="537">
        <v>0.3</v>
      </c>
    </row>
    <row r="117" spans="4:7" ht="18.75">
      <c r="D117" s="543">
        <v>11</v>
      </c>
      <c r="E117" s="544" t="s">
        <v>16202</v>
      </c>
      <c r="F117" s="536">
        <v>9.4</v>
      </c>
      <c r="G117" s="537">
        <v>0.4</v>
      </c>
    </row>
    <row r="118" spans="4:7" ht="18.75">
      <c r="D118" s="543">
        <v>12</v>
      </c>
      <c r="E118" s="544" t="s">
        <v>16214</v>
      </c>
      <c r="F118" s="536">
        <v>7.6</v>
      </c>
      <c r="G118" s="537">
        <v>0.5</v>
      </c>
    </row>
    <row r="119" spans="4:7" ht="18.75">
      <c r="D119" s="543">
        <v>13</v>
      </c>
      <c r="E119" s="544" t="s">
        <v>16170</v>
      </c>
      <c r="F119" s="536">
        <v>12.7</v>
      </c>
      <c r="G119" s="537">
        <v>0.25</v>
      </c>
    </row>
    <row r="120" spans="4:7" ht="18.75">
      <c r="D120" s="543">
        <v>14</v>
      </c>
      <c r="E120" s="544" t="s">
        <v>16224</v>
      </c>
      <c r="F120" s="536">
        <v>12.2</v>
      </c>
      <c r="G120" s="537">
        <v>0.2</v>
      </c>
    </row>
    <row r="121" spans="4:7" ht="18.75">
      <c r="D121" s="543">
        <v>15</v>
      </c>
      <c r="E121" s="544" t="s">
        <v>16216</v>
      </c>
      <c r="F121" s="536">
        <v>7</v>
      </c>
      <c r="G121" s="537">
        <v>0.35</v>
      </c>
    </row>
    <row r="122" spans="4:7" ht="18.75">
      <c r="D122" s="543">
        <v>16</v>
      </c>
      <c r="E122" s="544" t="s">
        <v>16031</v>
      </c>
      <c r="F122" s="536">
        <v>13.77</v>
      </c>
      <c r="G122" s="537">
        <v>0.1</v>
      </c>
    </row>
    <row r="123" spans="4:7" ht="18.75">
      <c r="D123" s="543">
        <v>17</v>
      </c>
      <c r="E123" s="544" t="s">
        <v>16056</v>
      </c>
      <c r="F123" s="536">
        <v>13.04</v>
      </c>
      <c r="G123" s="537">
        <v>0.1</v>
      </c>
    </row>
    <row r="124" spans="4:7" ht="18.75">
      <c r="D124" s="543">
        <v>18</v>
      </c>
      <c r="E124" s="544" t="s">
        <v>16177</v>
      </c>
      <c r="F124" s="536">
        <v>7</v>
      </c>
      <c r="G124" s="537">
        <v>0.57999999999999996</v>
      </c>
    </row>
    <row r="125" spans="4:7" ht="18.75">
      <c r="D125" s="543">
        <v>19</v>
      </c>
      <c r="E125" s="544" t="s">
        <v>16028</v>
      </c>
      <c r="F125" s="536">
        <v>14.03</v>
      </c>
      <c r="G125" s="537">
        <v>7.0000000000000007E-2</v>
      </c>
    </row>
    <row r="126" spans="4:7" ht="18.75">
      <c r="D126" s="543">
        <v>20</v>
      </c>
      <c r="E126" s="544" t="s">
        <v>16172</v>
      </c>
      <c r="F126" s="536">
        <v>7</v>
      </c>
      <c r="G126" s="537">
        <v>0.2</v>
      </c>
    </row>
    <row r="127" spans="4:7" ht="18.75">
      <c r="D127" s="543">
        <v>21</v>
      </c>
      <c r="E127" s="544" t="s">
        <v>16240</v>
      </c>
      <c r="F127" s="536">
        <v>1.3</v>
      </c>
      <c r="G127" s="537"/>
    </row>
    <row r="128" spans="4:7" ht="18.75">
      <c r="D128" s="543">
        <v>22</v>
      </c>
      <c r="E128" s="544" t="s">
        <v>16245</v>
      </c>
      <c r="F128" s="536">
        <v>6.2</v>
      </c>
      <c r="G128" s="537">
        <v>0.78</v>
      </c>
    </row>
    <row r="129" spans="4:7" ht="18.75">
      <c r="D129" s="543">
        <v>23</v>
      </c>
      <c r="E129" s="544" t="s">
        <v>16252</v>
      </c>
      <c r="F129" s="536">
        <v>5</v>
      </c>
      <c r="G129" s="537">
        <v>0.78</v>
      </c>
    </row>
    <row r="130" spans="4:7" ht="18.75">
      <c r="D130" s="543">
        <v>24</v>
      </c>
      <c r="E130" s="544" t="s">
        <v>16247</v>
      </c>
      <c r="F130" s="536">
        <v>3.5</v>
      </c>
      <c r="G130" s="537">
        <v>0.78</v>
      </c>
    </row>
    <row r="131" spans="4:7" ht="18.75">
      <c r="D131" s="543">
        <v>25</v>
      </c>
      <c r="E131" s="544" t="s">
        <v>16243</v>
      </c>
      <c r="F131" s="536">
        <v>6.77</v>
      </c>
      <c r="G131" s="537">
        <v>0.43</v>
      </c>
    </row>
    <row r="132" spans="4:7" ht="18.75">
      <c r="D132" s="543">
        <v>26</v>
      </c>
      <c r="E132" s="544" t="s">
        <v>16241</v>
      </c>
      <c r="F132" s="536">
        <v>3.87</v>
      </c>
      <c r="G132" s="537">
        <v>0.43</v>
      </c>
    </row>
    <row r="133" spans="4:7" ht="18.75">
      <c r="D133" s="543">
        <v>27</v>
      </c>
      <c r="E133" s="544" t="s">
        <v>15359</v>
      </c>
      <c r="F133" s="536">
        <v>0</v>
      </c>
      <c r="G133" s="537">
        <v>0</v>
      </c>
    </row>
    <row r="134" spans="4:7" ht="19.5" thickBot="1">
      <c r="D134" s="545">
        <v>28</v>
      </c>
      <c r="E134" s="546" t="s">
        <v>17341</v>
      </c>
      <c r="F134" s="538">
        <v>7</v>
      </c>
      <c r="G134" s="539">
        <v>0.18</v>
      </c>
    </row>
    <row r="135" spans="4:7" ht="20.25" thickTop="1" thickBot="1">
      <c r="D135" s="622">
        <v>29</v>
      </c>
      <c r="E135" s="623" t="s">
        <v>17862</v>
      </c>
      <c r="F135" s="624">
        <v>7</v>
      </c>
      <c r="G135" s="625">
        <v>0.35</v>
      </c>
    </row>
    <row r="136" spans="4:7" ht="15.75" thickTop="1"/>
    <row r="138" spans="4:7" ht="19.5" thickBot="1">
      <c r="D138" s="1004" t="s">
        <v>17873</v>
      </c>
      <c r="E138" s="1004"/>
      <c r="F138" s="1004"/>
      <c r="G138" s="1004"/>
    </row>
    <row r="139" spans="4:7" ht="19.5" thickTop="1">
      <c r="E139" s="605" t="s">
        <v>18053</v>
      </c>
      <c r="F139" s="608">
        <v>13</v>
      </c>
      <c r="G139" s="676">
        <v>0.05</v>
      </c>
    </row>
    <row r="140" spans="4:7" ht="18.75">
      <c r="E140" s="606" t="s">
        <v>70</v>
      </c>
      <c r="F140" s="609">
        <v>13</v>
      </c>
      <c r="G140" s="677">
        <v>0.13</v>
      </c>
    </row>
    <row r="141" spans="4:7" ht="18.75">
      <c r="E141" s="606" t="s">
        <v>17962</v>
      </c>
      <c r="F141" s="609">
        <v>11.2</v>
      </c>
      <c r="G141" s="677">
        <v>0.15</v>
      </c>
    </row>
    <row r="142" spans="4:7" ht="18.75">
      <c r="E142" s="606" t="s">
        <v>17957</v>
      </c>
      <c r="F142" s="609">
        <v>10.83</v>
      </c>
      <c r="G142" s="677">
        <v>0.13</v>
      </c>
    </row>
    <row r="143" spans="4:7" ht="18.75">
      <c r="E143" s="607" t="s">
        <v>17958</v>
      </c>
      <c r="F143" s="609">
        <v>10.130000000000001</v>
      </c>
      <c r="G143" s="677">
        <v>0.15</v>
      </c>
    </row>
    <row r="144" spans="4:7" ht="18.75">
      <c r="E144" s="607" t="s">
        <v>17964</v>
      </c>
      <c r="F144" s="609">
        <v>11</v>
      </c>
      <c r="G144" s="677">
        <v>0.1</v>
      </c>
    </row>
    <row r="145" spans="5:7" ht="18.75">
      <c r="E145" s="607" t="s">
        <v>17956</v>
      </c>
      <c r="F145" s="609">
        <v>8.5</v>
      </c>
      <c r="G145" s="677">
        <v>0.12</v>
      </c>
    </row>
    <row r="146" spans="5:7" ht="18.75">
      <c r="E146" s="607" t="s">
        <v>17959</v>
      </c>
      <c r="F146" s="609">
        <v>6.84</v>
      </c>
      <c r="G146" s="677">
        <v>0.12</v>
      </c>
    </row>
    <row r="147" spans="5:7" ht="18.75">
      <c r="E147" s="606" t="s">
        <v>17955</v>
      </c>
      <c r="F147" s="609">
        <v>7.57</v>
      </c>
      <c r="G147" s="677">
        <v>0.1</v>
      </c>
    </row>
    <row r="148" spans="5:7" ht="18.75">
      <c r="E148" s="606" t="s">
        <v>80</v>
      </c>
      <c r="F148" s="609">
        <v>1.8</v>
      </c>
      <c r="G148" s="677">
        <v>0.43</v>
      </c>
    </row>
    <row r="149" spans="5:7" ht="18.75">
      <c r="E149" s="606" t="s">
        <v>79</v>
      </c>
      <c r="F149" s="609">
        <v>1.75</v>
      </c>
      <c r="G149" s="677">
        <v>0.15</v>
      </c>
    </row>
    <row r="150" spans="5:7" ht="19.5" thickBot="1">
      <c r="E150" s="611" t="s">
        <v>18054</v>
      </c>
      <c r="F150" s="610">
        <v>15</v>
      </c>
      <c r="G150" s="678">
        <v>0.1</v>
      </c>
    </row>
    <row r="151" spans="5:7" ht="15.75" thickTop="1"/>
  </sheetData>
  <sheetProtection sheet="1" selectLockedCells="1" autoFilter="0" selectUnlockedCells="1"/>
  <autoFilter ref="B7:AV101" xr:uid="{47539165-5B99-4D89-896F-70048C48B1D4}"/>
  <mergeCells count="2">
    <mergeCell ref="E106:F106"/>
    <mergeCell ref="D138:G138"/>
  </mergeCells>
  <phoneticPr fontId="6" type="noConversion"/>
  <conditionalFormatting sqref="B8:B96">
    <cfRule type="cellIs" dxfId="318" priority="34" operator="equal">
      <formula>"OFF"</formula>
    </cfRule>
    <cfRule type="cellIs" dxfId="317" priority="35" operator="equal">
      <formula>"ON"</formula>
    </cfRule>
  </conditionalFormatting>
  <conditionalFormatting sqref="B97">
    <cfRule type="cellIs" dxfId="316" priority="28" operator="equal">
      <formula>"OFF"</formula>
    </cfRule>
    <cfRule type="cellIs" dxfId="315" priority="29" operator="equal">
      <formula>"ON"</formula>
    </cfRule>
  </conditionalFormatting>
  <conditionalFormatting sqref="E58">
    <cfRule type="expression" dxfId="314" priority="22">
      <formula>AS58=5523</formula>
    </cfRule>
    <cfRule type="expression" dxfId="313" priority="23">
      <formula>AS58=5522</formula>
    </cfRule>
    <cfRule type="expression" dxfId="312" priority="24">
      <formula>AS58=5676</formula>
    </cfRule>
    <cfRule type="expression" dxfId="311" priority="25">
      <formula>AS58=5681</formula>
    </cfRule>
    <cfRule type="expression" dxfId="310" priority="26">
      <formula>AS58=5527</formula>
    </cfRule>
    <cfRule type="expression" dxfId="309" priority="27">
      <formula>AS58=5555</formula>
    </cfRule>
  </conditionalFormatting>
  <conditionalFormatting sqref="E50">
    <cfRule type="expression" dxfId="308" priority="15">
      <formula>AS50=5523</formula>
    </cfRule>
    <cfRule type="expression" dxfId="307" priority="17">
      <formula>AS50=5522</formula>
    </cfRule>
    <cfRule type="expression" dxfId="306" priority="18">
      <formula>AS50=5676</formula>
    </cfRule>
    <cfRule type="expression" dxfId="305" priority="19">
      <formula>AS50=5681</formula>
    </cfRule>
    <cfRule type="expression" dxfId="304" priority="20">
      <formula>AS50=5527</formula>
    </cfRule>
    <cfRule type="expression" dxfId="303" priority="21">
      <formula>AS50=5555</formula>
    </cfRule>
  </conditionalFormatting>
  <conditionalFormatting sqref="E50">
    <cfRule type="expression" dxfId="302" priority="16">
      <formula>AS50=5552</formula>
    </cfRule>
  </conditionalFormatting>
  <conditionalFormatting sqref="E68">
    <cfRule type="expression" dxfId="301" priority="1">
      <formula>AS68=5523</formula>
    </cfRule>
    <cfRule type="expression" dxfId="300" priority="2">
      <formula>AS68=5522</formula>
    </cfRule>
    <cfRule type="expression" dxfId="299" priority="3">
      <formula>AS68=5676</formula>
    </cfRule>
    <cfRule type="expression" dxfId="298" priority="4">
      <formula>AS68=5681</formula>
    </cfRule>
    <cfRule type="expression" dxfId="297" priority="5">
      <formula>AS68=5527</formula>
    </cfRule>
    <cfRule type="expression" dxfId="296" priority="6">
      <formula>AS68=5555</formula>
    </cfRule>
  </conditionalFormatting>
  <conditionalFormatting sqref="E68">
    <cfRule type="expression" dxfId="295" priority="7">
      <formula>AS68=5552</formula>
    </cfRule>
  </conditionalFormatting>
  <conditionalFormatting sqref="E68">
    <cfRule type="expression" dxfId="294" priority="8">
      <formula>AS71=5523</formula>
    </cfRule>
    <cfRule type="expression" dxfId="293" priority="9">
      <formula>AS71=5522</formula>
    </cfRule>
    <cfRule type="expression" dxfId="292" priority="10">
      <formula>AS71=5676</formula>
    </cfRule>
    <cfRule type="expression" dxfId="291" priority="11">
      <formula>AS71=5681</formula>
    </cfRule>
    <cfRule type="expression" dxfId="290" priority="12">
      <formula>AS71=5527</formula>
    </cfRule>
    <cfRule type="expression" dxfId="289" priority="13">
      <formula>AS71=5555</formula>
    </cfRule>
  </conditionalFormatting>
  <conditionalFormatting sqref="E68">
    <cfRule type="expression" dxfId="288" priority="14">
      <formula>AS71=5552</formula>
    </cfRule>
  </conditionalFormatting>
  <dataValidations count="1">
    <dataValidation type="list" allowBlank="1" showInputMessage="1" showErrorMessage="1" sqref="B8:B97" xr:uid="{5EA0F864-2450-40A4-A163-771F15AD5618}">
      <formula1>"ON,OFF"</formula1>
    </dataValidation>
  </dataValidations>
  <pageMargins left="0.7" right="0.7" top="0.75" bottom="0.75" header="0.3" footer="0.3"/>
  <pageSetup scale="1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79F9D-6CA2-40C0-BA14-576E2D63F87E}">
  <sheetPr codeName="Arkusz4"/>
  <dimension ref="C3:R137"/>
  <sheetViews>
    <sheetView topLeftCell="A40" zoomScale="70" zoomScaleNormal="70" workbookViewId="0">
      <selection activeCell="A101" sqref="A101:XFD110"/>
    </sheetView>
  </sheetViews>
  <sheetFormatPr defaultRowHeight="15"/>
  <cols>
    <col min="2" max="2" width="4.5703125" customWidth="1"/>
    <col min="3" max="3" width="45.42578125" customWidth="1"/>
    <col min="4" max="4" width="14.42578125" bestFit="1" customWidth="1"/>
    <col min="5" max="5" width="13.42578125" customWidth="1"/>
    <col min="6" max="6" width="9.42578125" bestFit="1" customWidth="1"/>
    <col min="7" max="7" width="14.42578125" bestFit="1" customWidth="1"/>
    <col min="8" max="8" width="48.42578125" customWidth="1"/>
    <col min="9" max="9" width="12" customWidth="1"/>
    <col min="10" max="10" width="9.5703125" bestFit="1" customWidth="1"/>
    <col min="12" max="12" width="13.42578125" customWidth="1"/>
    <col min="13" max="13" width="14.42578125" bestFit="1" customWidth="1"/>
    <col min="14" max="14" width="10.42578125" customWidth="1"/>
    <col min="15" max="15" width="11.5703125" customWidth="1"/>
    <col min="16" max="16" width="15" bestFit="1" customWidth="1"/>
  </cols>
  <sheetData>
    <row r="3" spans="3:18" ht="14.85" customHeight="1" thickBot="1">
      <c r="C3" s="60"/>
      <c r="D3" s="60"/>
      <c r="E3" s="60"/>
      <c r="F3" s="72"/>
      <c r="G3" s="72"/>
      <c r="H3" s="60"/>
      <c r="I3" s="60"/>
      <c r="J3" s="60"/>
      <c r="K3" s="60"/>
      <c r="L3" s="60"/>
      <c r="M3" s="72"/>
      <c r="N3" s="72"/>
      <c r="O3" s="72"/>
      <c r="P3" s="73"/>
    </row>
    <row r="4" spans="3:18" ht="38.25">
      <c r="C4" s="442" t="s">
        <v>111</v>
      </c>
      <c r="D4" s="443" t="s">
        <v>112</v>
      </c>
      <c r="E4" s="443"/>
      <c r="F4" s="444" t="str">
        <f>+"cena zł/kg tydz "&amp;$C$3</f>
        <v xml:space="preserve">cena zł/kg tydz </v>
      </c>
      <c r="G4" s="444" t="s">
        <v>113</v>
      </c>
      <c r="H4" s="443" t="s">
        <v>114</v>
      </c>
      <c r="I4" s="443"/>
      <c r="J4" s="443" t="s">
        <v>115</v>
      </c>
      <c r="K4" s="443" t="s">
        <v>116</v>
      </c>
      <c r="L4" s="444" t="str">
        <f>+"Cena zamiennika Tydz "&amp;$C$3</f>
        <v xml:space="preserve">Cena zamiennika Tydz </v>
      </c>
      <c r="M4" s="444" t="s">
        <v>117</v>
      </c>
      <c r="N4" s="444" t="s">
        <v>118</v>
      </c>
      <c r="O4" s="445" t="s">
        <v>119</v>
      </c>
      <c r="P4" s="55" t="s">
        <v>120</v>
      </c>
      <c r="Q4" s="228"/>
      <c r="R4" s="228"/>
    </row>
    <row r="5" spans="3:18" ht="15.75">
      <c r="C5" s="1005" t="s">
        <v>121</v>
      </c>
      <c r="D5" s="1007">
        <v>2205</v>
      </c>
      <c r="E5" s="1009">
        <v>3025254</v>
      </c>
      <c r="F5" s="1011">
        <f>IF(ISERROR(VLOOKUP(E5,[5]lsmw!$F$2:$H$1048576,3,0)),VLOOKUP(E5,[5]lsmw!$A$2:$C$1048576,3,0),VLOOKUP(E5,[5]lsmw!$F$2:$H$1048576,3,0))</f>
        <v>9.4</v>
      </c>
      <c r="G5" s="1013">
        <v>1</v>
      </c>
      <c r="H5" s="56" t="str">
        <f>VLOOKUP(I5,[6]baza2!$C$1:$D$65536,2,0)</f>
        <v>EU TRYM.WP.60/40 PBX ST2</v>
      </c>
      <c r="I5" s="40">
        <v>3025248</v>
      </c>
      <c r="J5" s="40">
        <v>41</v>
      </c>
      <c r="K5" s="57">
        <f>+G5*(J5/100)</f>
        <v>0.41</v>
      </c>
      <c r="L5" s="58">
        <f>IF(ISERROR(VLOOKUP(I5,[5]lsmw!$F$2:$H$1048576,3,0)),VLOOKUP(I5,[5]lsmw!$A$2:$C$1048576,3,0),VLOOKUP(I5,[5]lsmw!$F$2:$H$1048576,3,0))</f>
        <v>9.4</v>
      </c>
      <c r="M5" s="58">
        <f>J5*L5/100</f>
        <v>3.8540000000000005</v>
      </c>
      <c r="N5" s="41">
        <v>42</v>
      </c>
      <c r="O5" s="59">
        <f>J5*N5/100</f>
        <v>17.22</v>
      </c>
      <c r="P5" s="60"/>
      <c r="Q5" s="228"/>
      <c r="R5" s="228"/>
    </row>
    <row r="6" spans="3:18" ht="15.75">
      <c r="C6" s="1006"/>
      <c r="D6" s="1008"/>
      <c r="E6" s="1010"/>
      <c r="F6" s="1012"/>
      <c r="G6" s="1014"/>
      <c r="H6" s="56" t="str">
        <f>VLOOKUP(I6,[6]baza2!$C$1:$D$65536,2,0)</f>
        <v>EU M-SO WP.DR.KL4 CIE.PBX USR ST2</v>
      </c>
      <c r="I6" s="40">
        <v>3025260</v>
      </c>
      <c r="J6" s="40">
        <v>5</v>
      </c>
      <c r="K6" s="446">
        <f>+G5*(J6/100)</f>
        <v>0.05</v>
      </c>
      <c r="L6" s="58">
        <f>IF(ISERROR(VLOOKUP(I6,[5]lsmw!$F$2:$H$1048576,3,0)),VLOOKUP(I6,[5]lsmw!$A$2:$C$1048576,3,0),VLOOKUP(I6,[5]lsmw!$F$2:$H$1048576,3,0))</f>
        <v>7</v>
      </c>
      <c r="M6" s="58">
        <f>J6*L6/100</f>
        <v>0.35</v>
      </c>
      <c r="N6" s="41">
        <v>36</v>
      </c>
      <c r="O6" s="59">
        <f>J6*N6/100</f>
        <v>1.8</v>
      </c>
      <c r="P6" s="60"/>
      <c r="Q6" s="228"/>
      <c r="R6" s="228"/>
    </row>
    <row r="7" spans="3:18" ht="15.75">
      <c r="C7" s="1006"/>
      <c r="D7" s="1008"/>
      <c r="E7" s="1010"/>
      <c r="F7" s="1012"/>
      <c r="G7" s="1014"/>
      <c r="H7" s="56" t="str">
        <f>VLOOKUP(I7,[6]baza2!$C$1:$D$65536,2,0)</f>
        <v>PL SZYN.1.5D PBX ST2</v>
      </c>
      <c r="I7" s="40">
        <v>3025789</v>
      </c>
      <c r="J7" s="40">
        <v>30</v>
      </c>
      <c r="K7" s="61">
        <f>+G5*(J7/100)</f>
        <v>0.3</v>
      </c>
      <c r="L7" s="62">
        <f>IF(ISERROR(VLOOKUP(I7,[5]lsmw!$F$2:$H$1048576,3,0)),VLOOKUP(I7,[5]lsmw!$A$2:$C$1048576,3,0),VLOOKUP(I7,[5]lsmw!$F$2:$H$1048576,3,0))</f>
        <v>12.9</v>
      </c>
      <c r="M7" s="62">
        <f>J7*L7/100</f>
        <v>3.87</v>
      </c>
      <c r="N7" s="42">
        <v>22</v>
      </c>
      <c r="O7" s="63">
        <f>J7*N7/100</f>
        <v>6.6</v>
      </c>
      <c r="P7" s="60"/>
      <c r="Q7" s="228"/>
      <c r="R7" s="228"/>
    </row>
    <row r="8" spans="3:18" ht="16.5" thickBot="1">
      <c r="C8" s="1006"/>
      <c r="D8" s="1008"/>
      <c r="E8" s="1010"/>
      <c r="F8" s="1012"/>
      <c r="G8" s="1014"/>
      <c r="H8" s="56" t="str">
        <f>VLOOKUP(I8,[6]baza2!$C$1:$D$65536,2,0)</f>
        <v>TŁUSZCZ DR.USR PBX USRST2</v>
      </c>
      <c r="I8" s="74">
        <v>3025270</v>
      </c>
      <c r="J8" s="40">
        <v>24</v>
      </c>
      <c r="K8" s="64">
        <f>+G5*(J8/100)</f>
        <v>0.24</v>
      </c>
      <c r="L8" s="58">
        <f>IF(ISERROR(VLOOKUP(I8,[5]lsmw!$F$2:$H$1048576,3,0)),VLOOKUP(I8,[5]lsmw!$A$2:$C$1048576,3,0),VLOOKUP(I8,[5]lsmw!$F$2:$H$1048576,3,0))</f>
        <v>3.5</v>
      </c>
      <c r="M8" s="58">
        <f>J8*L8/100</f>
        <v>0.84</v>
      </c>
      <c r="N8" s="41">
        <v>78</v>
      </c>
      <c r="O8" s="59">
        <f>J8*N8/100</f>
        <v>18.72</v>
      </c>
      <c r="P8" s="60"/>
      <c r="Q8" s="228"/>
      <c r="R8" s="228"/>
    </row>
    <row r="9" spans="3:18" ht="16.5" thickBot="1">
      <c r="C9" s="65"/>
      <c r="D9" s="66"/>
      <c r="E9" s="66"/>
      <c r="F9" s="66"/>
      <c r="G9" s="66"/>
      <c r="H9" s="66"/>
      <c r="I9" s="66"/>
      <c r="J9" s="66"/>
      <c r="K9" s="66">
        <f>SUM(K5:K8)</f>
        <v>1</v>
      </c>
      <c r="L9" s="67"/>
      <c r="M9" s="68">
        <f>SUM(M5:M8)</f>
        <v>8.9140000000000015</v>
      </c>
      <c r="N9" s="69"/>
      <c r="O9" s="70">
        <f>SUM(O5:O8)</f>
        <v>44.339999999999996</v>
      </c>
      <c r="P9" s="60"/>
      <c r="Q9" s="228"/>
      <c r="R9" s="228"/>
    </row>
    <row r="10" spans="3:18" ht="15.75">
      <c r="C10" s="60"/>
      <c r="D10" s="71"/>
      <c r="E10" s="71"/>
      <c r="F10" s="72" t="s">
        <v>122</v>
      </c>
      <c r="G10" s="72">
        <f>+G5*F5</f>
        <v>9.4</v>
      </c>
      <c r="H10" s="71"/>
      <c r="I10" s="71"/>
      <c r="J10" s="71">
        <f>SUM(J5:J8)</f>
        <v>100</v>
      </c>
      <c r="K10" s="71"/>
      <c r="L10" s="71"/>
      <c r="M10" s="72">
        <f>+K9*M9</f>
        <v>8.9140000000000015</v>
      </c>
      <c r="N10" s="72"/>
      <c r="O10" s="72"/>
      <c r="P10" s="73">
        <f>+G10-M10</f>
        <v>0.48599999999999888</v>
      </c>
      <c r="Q10" s="228"/>
      <c r="R10" s="228"/>
    </row>
    <row r="11" spans="3:18" ht="15.75">
      <c r="C11" s="60"/>
      <c r="D11" s="60"/>
      <c r="E11" s="60"/>
      <c r="F11" s="72"/>
      <c r="G11" s="72"/>
      <c r="H11" s="60"/>
      <c r="I11" s="60"/>
      <c r="J11" s="60"/>
      <c r="K11" s="60"/>
      <c r="L11" s="60"/>
      <c r="M11" s="72"/>
      <c r="N11" s="72"/>
      <c r="O11" s="72"/>
      <c r="P11" s="73"/>
      <c r="Q11" s="228"/>
      <c r="R11" s="228"/>
    </row>
    <row r="12" spans="3:18">
      <c r="Q12" s="228"/>
      <c r="R12" s="228"/>
    </row>
    <row r="13" spans="3:18" ht="15.75" thickBot="1">
      <c r="Q13" s="228"/>
      <c r="R13" s="228"/>
    </row>
    <row r="14" spans="3:18" ht="38.25">
      <c r="C14" s="442" t="s">
        <v>111</v>
      </c>
      <c r="D14" s="443" t="s">
        <v>112</v>
      </c>
      <c r="E14" s="443"/>
      <c r="F14" s="444" t="str">
        <f>+"cena zł/kg tydz "&amp;$C$3</f>
        <v xml:space="preserve">cena zł/kg tydz </v>
      </c>
      <c r="G14" s="444" t="s">
        <v>113</v>
      </c>
      <c r="H14" s="443" t="s">
        <v>114</v>
      </c>
      <c r="I14" s="443"/>
      <c r="J14" s="443" t="s">
        <v>115</v>
      </c>
      <c r="K14" s="443" t="s">
        <v>116</v>
      </c>
      <c r="L14" s="444" t="str">
        <f>+"Cena zamiennika Tydz "&amp;$C$3</f>
        <v xml:space="preserve">Cena zamiennika Tydz </v>
      </c>
      <c r="M14" s="444" t="s">
        <v>117</v>
      </c>
      <c r="N14" s="444" t="s">
        <v>118</v>
      </c>
      <c r="O14" s="445" t="s">
        <v>119</v>
      </c>
      <c r="P14" s="55" t="s">
        <v>120</v>
      </c>
      <c r="Q14" s="228"/>
      <c r="R14" s="228"/>
    </row>
    <row r="15" spans="3:18" ht="15.75">
      <c r="C15" s="1005" t="s">
        <v>121</v>
      </c>
      <c r="D15" s="1007">
        <v>2204</v>
      </c>
      <c r="E15" s="1009">
        <v>3025254</v>
      </c>
      <c r="F15" s="1011">
        <f>IF(ISERROR(VLOOKUP(E15,[5]lsmw!$F$2:$H$1048576,3,0)),VLOOKUP(E15,[5]lsmw!$A$2:$C$1048576,3,0),VLOOKUP(E15,[5]lsmw!$F$2:$H$1048576,3,0))</f>
        <v>9.4</v>
      </c>
      <c r="G15" s="1013">
        <v>1</v>
      </c>
      <c r="H15" s="56" t="s">
        <v>14671</v>
      </c>
      <c r="I15" s="40">
        <v>3025248</v>
      </c>
      <c r="J15" s="283">
        <v>70</v>
      </c>
      <c r="K15" s="57">
        <f>+G15*(J15/100)</f>
        <v>0.7</v>
      </c>
      <c r="L15" s="58">
        <v>8.4</v>
      </c>
      <c r="M15" s="58">
        <f>J15*L15/100</f>
        <v>5.88</v>
      </c>
      <c r="N15" s="41">
        <v>50</v>
      </c>
      <c r="O15" s="59">
        <f>J15*N15/100</f>
        <v>35</v>
      </c>
      <c r="P15" s="60"/>
      <c r="Q15" s="228"/>
      <c r="R15" s="228"/>
    </row>
    <row r="16" spans="3:18" ht="15.75">
      <c r="C16" s="1006"/>
      <c r="D16" s="1008"/>
      <c r="E16" s="1010"/>
      <c r="F16" s="1012"/>
      <c r="G16" s="1014"/>
      <c r="H16" s="56" t="str">
        <f>VLOOKUP(I16,[6]baza2!$C$1:$D$65536,2,0)</f>
        <v>EU M-SO WP.DR.KL4 CIE.PBX USR ST2</v>
      </c>
      <c r="I16" s="40">
        <v>3025260</v>
      </c>
      <c r="J16" s="40">
        <v>5</v>
      </c>
      <c r="K16" s="446">
        <f>+G15*(J16/100)</f>
        <v>0.05</v>
      </c>
      <c r="L16" s="58">
        <f>IF(ISERROR(VLOOKUP(I16,[5]lsmw!$F$2:$H$1048576,3,0)),VLOOKUP(I16,[5]lsmw!$A$2:$C$1048576,3,0),VLOOKUP(I16,[5]lsmw!$F$2:$H$1048576,3,0))</f>
        <v>7</v>
      </c>
      <c r="M16" s="58">
        <f>J16*L16/100</f>
        <v>0.35</v>
      </c>
      <c r="N16" s="41">
        <v>36</v>
      </c>
      <c r="O16" s="59">
        <f>J16*N16/100</f>
        <v>1.8</v>
      </c>
      <c r="P16" s="60"/>
      <c r="Q16" s="228"/>
      <c r="R16" s="228"/>
    </row>
    <row r="17" spans="3:18" ht="16.5" thickBot="1">
      <c r="C17" s="1006"/>
      <c r="D17" s="1008"/>
      <c r="E17" s="1010"/>
      <c r="F17" s="1012"/>
      <c r="G17" s="1014"/>
      <c r="H17" s="56" t="s">
        <v>14219</v>
      </c>
      <c r="I17" s="74">
        <v>3025270</v>
      </c>
      <c r="J17" s="283">
        <v>25</v>
      </c>
      <c r="K17" s="61">
        <f>+G15*(J17/100)</f>
        <v>0.25</v>
      </c>
      <c r="L17" s="58">
        <v>9.8000000000000007</v>
      </c>
      <c r="M17" s="58">
        <f>J17*L17/100</f>
        <v>2.4500000000000002</v>
      </c>
      <c r="N17" s="41">
        <v>30</v>
      </c>
      <c r="O17" s="59">
        <f>J17*N17/100</f>
        <v>7.5</v>
      </c>
      <c r="P17" s="60"/>
      <c r="Q17" s="228"/>
      <c r="R17" s="228"/>
    </row>
    <row r="18" spans="3:18" ht="16.5" thickBot="1">
      <c r="C18" s="65"/>
      <c r="D18" s="66"/>
      <c r="E18" s="66"/>
      <c r="F18" s="66"/>
      <c r="G18" s="66"/>
      <c r="H18" s="66"/>
      <c r="I18" s="66"/>
      <c r="J18" s="66"/>
      <c r="K18" s="66">
        <f>SUM(K15:K17)</f>
        <v>1</v>
      </c>
      <c r="L18" s="67"/>
      <c r="M18" s="68">
        <f>SUM(M15:M17)</f>
        <v>8.68</v>
      </c>
      <c r="N18" s="69"/>
      <c r="O18" s="70">
        <f>SUM(O15:O17)</f>
        <v>44.3</v>
      </c>
      <c r="P18" s="60"/>
      <c r="Q18" s="228"/>
      <c r="R18" s="228"/>
    </row>
    <row r="19" spans="3:18" ht="15.75">
      <c r="C19" s="60"/>
      <c r="D19" s="71"/>
      <c r="E19" s="71"/>
      <c r="F19" s="72" t="s">
        <v>122</v>
      </c>
      <c r="G19" s="72">
        <f>+G15*F15</f>
        <v>9.4</v>
      </c>
      <c r="H19" s="71"/>
      <c r="I19" s="71"/>
      <c r="J19" s="447">
        <f>J15+J17+J16</f>
        <v>100</v>
      </c>
      <c r="K19" s="71"/>
      <c r="L19" s="71"/>
      <c r="M19" s="72">
        <f>+K18*M18</f>
        <v>8.68</v>
      </c>
      <c r="N19" s="72"/>
      <c r="O19" s="72"/>
      <c r="P19" s="73">
        <f>+G19-M19</f>
        <v>0.72000000000000064</v>
      </c>
      <c r="Q19" s="228"/>
      <c r="R19" s="228"/>
    </row>
    <row r="20" spans="3:18" ht="15.75">
      <c r="C20" s="60"/>
      <c r="D20" s="60"/>
      <c r="E20" s="60"/>
      <c r="F20" s="72"/>
      <c r="G20" s="72"/>
      <c r="H20" s="60"/>
      <c r="I20" s="60"/>
      <c r="J20" s="60"/>
      <c r="K20" s="60"/>
      <c r="L20" s="60"/>
      <c r="M20" s="72"/>
      <c r="N20" s="72"/>
      <c r="O20" s="72"/>
      <c r="P20" s="73"/>
      <c r="Q20" s="228"/>
      <c r="R20" s="228"/>
    </row>
    <row r="21" spans="3:18" ht="15.75" thickBot="1">
      <c r="Q21" s="228"/>
      <c r="R21" s="228"/>
    </row>
    <row r="22" spans="3:18" ht="38.25">
      <c r="C22" s="442" t="s">
        <v>111</v>
      </c>
      <c r="D22" s="443" t="s">
        <v>112</v>
      </c>
      <c r="E22" s="443"/>
      <c r="F22" s="444" t="str">
        <f>+"cena zł/kg tydz "&amp;$C$3</f>
        <v xml:space="preserve">cena zł/kg tydz </v>
      </c>
      <c r="G22" s="444" t="s">
        <v>113</v>
      </c>
      <c r="H22" s="443" t="s">
        <v>114</v>
      </c>
      <c r="I22" s="443"/>
      <c r="J22" s="443" t="s">
        <v>115</v>
      </c>
      <c r="K22" s="443" t="s">
        <v>116</v>
      </c>
      <c r="L22" s="444" t="str">
        <f>+"Cena zamiennika Tydz "&amp;$C$3</f>
        <v xml:space="preserve">Cena zamiennika Tydz </v>
      </c>
      <c r="M22" s="444" t="s">
        <v>117</v>
      </c>
      <c r="N22" s="444" t="s">
        <v>118</v>
      </c>
      <c r="O22" s="445" t="s">
        <v>119</v>
      </c>
      <c r="P22" s="55" t="s">
        <v>120</v>
      </c>
      <c r="Q22" s="228"/>
      <c r="R22" s="228"/>
    </row>
    <row r="23" spans="3:18" ht="15.75">
      <c r="C23" s="1005" t="s">
        <v>121</v>
      </c>
      <c r="D23" s="1007">
        <v>2204</v>
      </c>
      <c r="E23" s="1009">
        <v>3025254</v>
      </c>
      <c r="F23" s="1011">
        <f>IF(ISERROR(VLOOKUP(E23,[5]lsmw!$F$2:$H$1048576,3,0)),VLOOKUP(E23,[5]lsmw!$A$2:$C$1048576,3,0),VLOOKUP(E23,[5]lsmw!$F$2:$H$1048576,3,0))</f>
        <v>9.4</v>
      </c>
      <c r="G23" s="1013">
        <v>1</v>
      </c>
      <c r="H23" s="56" t="s">
        <v>14219</v>
      </c>
      <c r="I23" s="40">
        <v>3025252</v>
      </c>
      <c r="J23" s="283">
        <v>66</v>
      </c>
      <c r="K23" s="57">
        <f>+G23*(J23/100)</f>
        <v>0.66</v>
      </c>
      <c r="L23" s="58">
        <v>9.8000000000000007</v>
      </c>
      <c r="M23" s="58">
        <f>J23*L23/100</f>
        <v>6.4680000000000009</v>
      </c>
      <c r="N23" s="41">
        <v>30</v>
      </c>
      <c r="O23" s="59">
        <f>J23*N23/100</f>
        <v>19.8</v>
      </c>
      <c r="P23" s="60"/>
      <c r="Q23" s="228"/>
      <c r="R23" s="228"/>
    </row>
    <row r="24" spans="3:18" ht="15.75">
      <c r="C24" s="1006"/>
      <c r="D24" s="1008"/>
      <c r="E24" s="1010"/>
      <c r="F24" s="1012"/>
      <c r="G24" s="1014"/>
      <c r="H24" s="56" t="str">
        <f>VLOOKUP(I24,[6]baza2!$C$1:$D$65536,2,0)</f>
        <v>EU M-SO WP.DR.KL4 CIE.PBX USR ST2</v>
      </c>
      <c r="I24" s="40">
        <v>3025260</v>
      </c>
      <c r="J24" s="40">
        <v>5</v>
      </c>
      <c r="K24" s="446">
        <f>+G23*(J24/100)</f>
        <v>0.05</v>
      </c>
      <c r="L24" s="58">
        <f>IF(ISERROR(VLOOKUP(I24,[5]lsmw!$F$2:$H$1048576,3,0)),VLOOKUP(I24,[5]lsmw!$A$2:$C$1048576,3,0),VLOOKUP(I24,[5]lsmw!$F$2:$H$1048576,3,0))</f>
        <v>7</v>
      </c>
      <c r="M24" s="58">
        <f>J24*L24/100</f>
        <v>0.35</v>
      </c>
      <c r="N24" s="41">
        <v>36</v>
      </c>
      <c r="O24" s="59">
        <f>J24*N24/100</f>
        <v>1.8</v>
      </c>
      <c r="P24" s="60"/>
      <c r="Q24" s="228"/>
      <c r="R24" s="228"/>
    </row>
    <row r="25" spans="3:18" ht="16.5" thickBot="1">
      <c r="C25" s="1006"/>
      <c r="D25" s="1008"/>
      <c r="E25" s="1010"/>
      <c r="F25" s="1012"/>
      <c r="G25" s="1014"/>
      <c r="H25" s="56" t="str">
        <f>VLOOKUP(I25,[6]baza2!$C$1:$D$65536,2,0)</f>
        <v>TŁUSZCZ DR.USR PBX USRST2</v>
      </c>
      <c r="I25" s="74">
        <v>3025270</v>
      </c>
      <c r="J25" s="283">
        <v>29</v>
      </c>
      <c r="K25" s="61">
        <f>+G23*(J25/100)</f>
        <v>0.28999999999999998</v>
      </c>
      <c r="L25" s="58">
        <f>IF(ISERROR(VLOOKUP(I25,[5]lsmw!$F$2:$H$1048576,3,0)),VLOOKUP(I25,[5]lsmw!$A$2:$C$1048576,3,0),VLOOKUP(I25,[5]lsmw!$F$2:$H$1048576,3,0))</f>
        <v>3.5</v>
      </c>
      <c r="M25" s="58">
        <f>J25*L25/100</f>
        <v>1.0149999999999999</v>
      </c>
      <c r="N25" s="41">
        <v>78</v>
      </c>
      <c r="O25" s="59">
        <f>J25*N25/100</f>
        <v>22.62</v>
      </c>
      <c r="P25" s="60"/>
      <c r="Q25" s="228"/>
      <c r="R25" s="228"/>
    </row>
    <row r="26" spans="3:18" ht="16.5" thickBot="1">
      <c r="C26" s="65"/>
      <c r="D26" s="66"/>
      <c r="E26" s="66"/>
      <c r="F26" s="66"/>
      <c r="G26" s="66"/>
      <c r="H26" s="66"/>
      <c r="I26" s="66"/>
      <c r="J26" s="66"/>
      <c r="K26" s="66">
        <f>SUM(K23:K25)</f>
        <v>1</v>
      </c>
      <c r="L26" s="67"/>
      <c r="M26" s="68">
        <f>SUM(M23:M25)</f>
        <v>7.8330000000000002</v>
      </c>
      <c r="N26" s="69"/>
      <c r="O26" s="70">
        <f>SUM(O23:O25)</f>
        <v>44.22</v>
      </c>
      <c r="P26" s="60"/>
      <c r="Q26" s="228"/>
      <c r="R26" s="228"/>
    </row>
    <row r="27" spans="3:18" ht="15.75">
      <c r="C27" s="60"/>
      <c r="D27" s="71"/>
      <c r="E27" s="71"/>
      <c r="F27" s="72" t="s">
        <v>122</v>
      </c>
      <c r="G27" s="72">
        <f>+G23*F23</f>
        <v>9.4</v>
      </c>
      <c r="H27" s="71"/>
      <c r="I27" s="71"/>
      <c r="J27" s="447">
        <f>J23+J25+J24</f>
        <v>100</v>
      </c>
      <c r="K27" s="71"/>
      <c r="L27" s="71"/>
      <c r="M27" s="72">
        <f>+K26*M26</f>
        <v>7.8330000000000002</v>
      </c>
      <c r="N27" s="72"/>
      <c r="O27" s="72"/>
      <c r="P27" s="73">
        <f>+G27-M27</f>
        <v>1.5670000000000002</v>
      </c>
      <c r="Q27" s="228"/>
      <c r="R27" s="228"/>
    </row>
    <row r="28" spans="3:18" ht="15.75">
      <c r="C28" s="60"/>
      <c r="D28" s="60"/>
      <c r="E28" s="60"/>
      <c r="F28" s="72"/>
      <c r="G28" s="72"/>
      <c r="H28" s="60"/>
      <c r="I28" s="60"/>
      <c r="J28" s="462"/>
      <c r="K28" s="60"/>
      <c r="L28" s="60"/>
      <c r="M28" s="72"/>
      <c r="N28" s="72"/>
      <c r="O28" s="72"/>
      <c r="P28" s="73"/>
      <c r="Q28" s="228"/>
      <c r="R28" s="228"/>
    </row>
    <row r="29" spans="3:18" ht="16.5" thickBot="1">
      <c r="C29" s="60"/>
      <c r="D29" s="60"/>
      <c r="E29" s="60"/>
      <c r="F29" s="72"/>
      <c r="G29" s="72"/>
      <c r="H29" s="60"/>
      <c r="I29" s="60"/>
      <c r="J29" s="462"/>
      <c r="K29" s="60"/>
      <c r="L29" s="60"/>
      <c r="M29" s="72"/>
      <c r="N29" s="72"/>
      <c r="O29" s="72"/>
      <c r="P29" s="73"/>
      <c r="Q29" s="228"/>
      <c r="R29" s="228"/>
    </row>
    <row r="30" spans="3:18" ht="38.25">
      <c r="C30" s="442" t="s">
        <v>111</v>
      </c>
      <c r="D30" s="443" t="s">
        <v>112</v>
      </c>
      <c r="E30" s="443"/>
      <c r="F30" s="444" t="str">
        <f>+"cena zł/kg tydz "&amp;$C$3</f>
        <v xml:space="preserve">cena zł/kg tydz </v>
      </c>
      <c r="G30" s="444" t="s">
        <v>113</v>
      </c>
      <c r="H30" s="443" t="s">
        <v>114</v>
      </c>
      <c r="I30" s="443"/>
      <c r="J30" s="443" t="s">
        <v>115</v>
      </c>
      <c r="K30" s="443" t="s">
        <v>116</v>
      </c>
      <c r="L30" s="444" t="str">
        <f>+"Cena zamiennika Tydz "&amp;$C$3</f>
        <v xml:space="preserve">Cena zamiennika Tydz </v>
      </c>
      <c r="M30" s="444" t="s">
        <v>117</v>
      </c>
      <c r="N30" s="444" t="s">
        <v>118</v>
      </c>
      <c r="O30" s="445" t="s">
        <v>119</v>
      </c>
      <c r="P30" s="55" t="s">
        <v>120</v>
      </c>
      <c r="Q30" s="228"/>
      <c r="R30" s="228"/>
    </row>
    <row r="31" spans="3:18" ht="15.75">
      <c r="C31" s="1005" t="s">
        <v>121</v>
      </c>
      <c r="D31" s="1007">
        <v>2204</v>
      </c>
      <c r="E31" s="1009">
        <v>3025254</v>
      </c>
      <c r="F31" s="1011">
        <f>IF(ISERROR(VLOOKUP(E31,[5]lsmw!$F$2:$H$1048576,3,0)),VLOOKUP(E31,[5]lsmw!$A$2:$C$1048576,3,0),VLOOKUP(E31,[5]lsmw!$F$2:$H$1048576,3,0))</f>
        <v>9.4</v>
      </c>
      <c r="G31" s="1013">
        <v>1</v>
      </c>
      <c r="H31" s="56" t="s">
        <v>14219</v>
      </c>
      <c r="I31" s="40">
        <v>3025252</v>
      </c>
      <c r="J31" s="283">
        <v>55</v>
      </c>
      <c r="K31" s="57">
        <f>+G31*(J31/100)</f>
        <v>0.55000000000000004</v>
      </c>
      <c r="L31" s="58">
        <v>9.8000000000000007</v>
      </c>
      <c r="M31" s="58">
        <f>J31*L31/100</f>
        <v>5.39</v>
      </c>
      <c r="N31" s="41">
        <v>30</v>
      </c>
      <c r="O31" s="59">
        <f>J31*N31/100</f>
        <v>16.5</v>
      </c>
      <c r="P31" s="60"/>
      <c r="Q31" s="228"/>
      <c r="R31" s="228"/>
    </row>
    <row r="32" spans="3:18" ht="15.75">
      <c r="C32" s="1006"/>
      <c r="D32" s="1008"/>
      <c r="E32" s="1010"/>
      <c r="F32" s="1012"/>
      <c r="G32" s="1014"/>
      <c r="H32" s="56" t="str">
        <f>VLOOKUP(I32,[6]baza2!$C$1:$D$65536,2,0)</f>
        <v>TŁUSZCZ DR.USR PBX USRST2</v>
      </c>
      <c r="I32" s="74">
        <v>3025270</v>
      </c>
      <c r="J32" s="283">
        <v>10</v>
      </c>
      <c r="K32" s="61">
        <f>+G31*(J32/100)</f>
        <v>0.1</v>
      </c>
      <c r="L32" s="58">
        <f>IF(ISERROR(VLOOKUP(I32,[5]lsmw!$F$2:$H$1048576,3,0)),VLOOKUP(I32,[5]lsmw!$A$2:$C$1048576,3,0),VLOOKUP(I32,[5]lsmw!$F$2:$H$1048576,3,0))</f>
        <v>3.5</v>
      </c>
      <c r="M32" s="58">
        <f>J32*L32/100</f>
        <v>0.35</v>
      </c>
      <c r="N32" s="41">
        <v>78</v>
      </c>
      <c r="O32" s="59">
        <f>J32*N32/100</f>
        <v>7.8</v>
      </c>
      <c r="P32" s="60"/>
      <c r="Q32" s="228"/>
      <c r="R32" s="228"/>
    </row>
    <row r="33" spans="3:18" ht="15.75">
      <c r="C33" s="1006"/>
      <c r="D33" s="1008"/>
      <c r="E33" s="1010"/>
      <c r="F33" s="1012"/>
      <c r="G33" s="1014"/>
      <c r="H33" s="56" t="str">
        <f>VLOOKUP(I33,[6]baza2!$C$1:$D$65536,2,0)</f>
        <v>EU M-SO WP.DR.KL4 CIE.PBX USR ST2</v>
      </c>
      <c r="I33" s="40">
        <v>3025260</v>
      </c>
      <c r="J33" s="283">
        <v>5</v>
      </c>
      <c r="K33" s="61">
        <f>+G31*(J33/100)</f>
        <v>0.05</v>
      </c>
      <c r="L33" s="58">
        <f>IF(ISERROR(VLOOKUP(I33,[5]lsmw!$F$2:$H$1048576,3,0)),VLOOKUP(I33,[5]lsmw!$A$2:$C$1048576,3,0),VLOOKUP(I33,[5]lsmw!$F$2:$H$1048576,3,0))</f>
        <v>7</v>
      </c>
      <c r="M33" s="58">
        <f>J33*L33/100</f>
        <v>0.35</v>
      </c>
      <c r="N33" s="41">
        <v>36</v>
      </c>
      <c r="O33" s="59">
        <f>J33*N33/100</f>
        <v>1.8</v>
      </c>
      <c r="P33" s="60"/>
      <c r="Q33" s="228"/>
      <c r="R33" s="228"/>
    </row>
    <row r="34" spans="3:18" ht="16.5" thickBot="1">
      <c r="C34" s="1006"/>
      <c r="D34" s="1008"/>
      <c r="E34" s="1010"/>
      <c r="F34" s="1012"/>
      <c r="G34" s="1014"/>
      <c r="H34" s="56" t="str">
        <f>VLOOKUP(I34,[6]baza2!$C$1:$D$65536,2,0)</f>
        <v>PL PODG.B/S.PBX ST2</v>
      </c>
      <c r="I34" s="40">
        <v>3025229</v>
      </c>
      <c r="J34" s="283">
        <v>30</v>
      </c>
      <c r="K34" s="61">
        <f>+G31*(J34/100)</f>
        <v>0.3</v>
      </c>
      <c r="L34" s="58">
        <f>IF(ISERROR(VLOOKUP(I34,[5]lsmw!$F$2:$H$1048576,3,0)),VLOOKUP(I34,[5]lsmw!$A$2:$C$1048576,3,0),VLOOKUP(I34,[5]lsmw!$F$2:$H$1048576,3,0))</f>
        <v>7</v>
      </c>
      <c r="M34" s="58">
        <f>J34*L34/100</f>
        <v>2.1</v>
      </c>
      <c r="N34" s="41">
        <v>58</v>
      </c>
      <c r="O34" s="59">
        <f>J34*N34/100</f>
        <v>17.399999999999999</v>
      </c>
      <c r="P34" s="60"/>
      <c r="Q34" s="228"/>
      <c r="R34" s="228"/>
    </row>
    <row r="35" spans="3:18" ht="16.5" thickBot="1">
      <c r="C35" s="65"/>
      <c r="D35" s="66"/>
      <c r="E35" s="66"/>
      <c r="F35" s="66"/>
      <c r="G35" s="66"/>
      <c r="H35" s="66"/>
      <c r="I35" s="66"/>
      <c r="J35" s="66"/>
      <c r="K35" s="66">
        <f>SUM(K31:K34)</f>
        <v>1</v>
      </c>
      <c r="L35" s="67"/>
      <c r="M35" s="68">
        <f>SUM(M31:M34)</f>
        <v>8.19</v>
      </c>
      <c r="N35" s="69"/>
      <c r="O35" s="70">
        <f>SUM(O31:O34)</f>
        <v>43.5</v>
      </c>
      <c r="P35" s="60"/>
      <c r="Q35" s="228"/>
      <c r="R35" s="228"/>
    </row>
    <row r="36" spans="3:18" ht="15.75">
      <c r="C36" s="60"/>
      <c r="D36" s="71"/>
      <c r="E36" s="71"/>
      <c r="F36" s="72" t="s">
        <v>122</v>
      </c>
      <c r="G36" s="72">
        <f>+G31*F31</f>
        <v>9.4</v>
      </c>
      <c r="H36" s="71"/>
      <c r="I36" s="71"/>
      <c r="J36" s="447">
        <f>J31+J34+J33+J32</f>
        <v>100</v>
      </c>
      <c r="K36" s="71"/>
      <c r="L36" s="71"/>
      <c r="M36" s="72">
        <f>+K35*M35</f>
        <v>8.19</v>
      </c>
      <c r="N36" s="72"/>
      <c r="O36" s="72"/>
      <c r="P36" s="73">
        <f>+G36-M36</f>
        <v>1.2100000000000009</v>
      </c>
      <c r="Q36" s="228"/>
      <c r="R36" s="228"/>
    </row>
    <row r="37" spans="3:18">
      <c r="Q37" s="228"/>
      <c r="R37" s="228"/>
    </row>
    <row r="38" spans="3:18" ht="16.5" thickBot="1">
      <c r="C38" s="60"/>
      <c r="D38" s="60"/>
      <c r="E38" s="60"/>
      <c r="F38" s="72"/>
      <c r="G38" s="72"/>
      <c r="H38" s="60"/>
      <c r="I38" s="60"/>
      <c r="J38" s="60"/>
      <c r="K38" s="60"/>
      <c r="L38" s="60"/>
      <c r="M38" s="72"/>
      <c r="N38" s="72"/>
      <c r="O38" s="72"/>
      <c r="P38" s="73"/>
      <c r="Q38" s="228"/>
      <c r="R38" s="228"/>
    </row>
    <row r="39" spans="3:18" ht="38.25">
      <c r="C39" s="442" t="s">
        <v>111</v>
      </c>
      <c r="D39" s="443" t="s">
        <v>112</v>
      </c>
      <c r="E39" s="443"/>
      <c r="F39" s="444" t="str">
        <f>+"cena zł/kg tydz "&amp;$C$3</f>
        <v xml:space="preserve">cena zł/kg tydz </v>
      </c>
      <c r="G39" s="444" t="s">
        <v>113</v>
      </c>
      <c r="H39" s="443" t="s">
        <v>114</v>
      </c>
      <c r="I39" s="443"/>
      <c r="J39" s="443" t="s">
        <v>115</v>
      </c>
      <c r="K39" s="443" t="s">
        <v>116</v>
      </c>
      <c r="L39" s="444" t="str">
        <f>+"Cena zamiennika Tydz "&amp;$C$3</f>
        <v xml:space="preserve">Cena zamiennika Tydz </v>
      </c>
      <c r="M39" s="444" t="s">
        <v>117</v>
      </c>
      <c r="N39" s="444" t="s">
        <v>118</v>
      </c>
      <c r="O39" s="445" t="s">
        <v>119</v>
      </c>
      <c r="P39" s="55" t="s">
        <v>120</v>
      </c>
      <c r="Q39" s="228"/>
      <c r="R39" s="228"/>
    </row>
    <row r="40" spans="3:18" ht="15.75">
      <c r="C40" s="1005" t="s">
        <v>123</v>
      </c>
      <c r="D40" s="1007">
        <v>2204</v>
      </c>
      <c r="E40" s="1009">
        <v>3025252</v>
      </c>
      <c r="F40" s="1011">
        <f>IF(ISERROR(VLOOKUP(E40,[5]lsmw!$F$2:$H$1048576,3,0)),VLOOKUP(E40,[5]lsmw!$A$2:$C$1048576,3,0),VLOOKUP(E40,[5]lsmw!$F$2:$H$1048576,3,0))</f>
        <v>12.9</v>
      </c>
      <c r="G40" s="1013">
        <v>1</v>
      </c>
      <c r="H40" s="56" t="str">
        <f>VLOOKUP(I40,[6]baza2!$C$1:$D$65536,2,0)</f>
        <v>EU M-SO WP.DR.KL2A USR PBX ST2</v>
      </c>
      <c r="I40" s="40">
        <v>3025252</v>
      </c>
      <c r="J40" s="283">
        <v>40</v>
      </c>
      <c r="K40" s="57">
        <f>+G40*(J40/100)</f>
        <v>0.4</v>
      </c>
      <c r="L40" s="58">
        <f>IF(ISERROR(VLOOKUP(I40,[5]lsmw!$F$2:$H$1048576,3,0)),VLOOKUP(I40,[5]lsmw!$A$2:$C$1048576,3,0),VLOOKUP(I40,[5]lsmw!$F$2:$H$1048576,3,0))</f>
        <v>12.9</v>
      </c>
      <c r="M40" s="58">
        <f>J40*L40/100</f>
        <v>5.16</v>
      </c>
      <c r="N40" s="41">
        <v>22</v>
      </c>
      <c r="O40" s="59">
        <f>J40*N40/100</f>
        <v>8.8000000000000007</v>
      </c>
      <c r="P40" s="60"/>
      <c r="Q40" s="228"/>
      <c r="R40" s="228"/>
    </row>
    <row r="41" spans="3:18" ht="15.75">
      <c r="C41" s="1006"/>
      <c r="D41" s="1008"/>
      <c r="E41" s="1010"/>
      <c r="F41" s="1012"/>
      <c r="G41" s="1014"/>
      <c r="H41" s="56" t="str">
        <f>VLOOKUP(I41,[6]baza2!$C$1:$D$65536,2,0)</f>
        <v>PL SZYN.1.5D PBX ST2</v>
      </c>
      <c r="I41" s="40">
        <v>3025789</v>
      </c>
      <c r="J41" s="283">
        <v>56</v>
      </c>
      <c r="K41" s="61">
        <f>+G40*(J41/100)</f>
        <v>0.56000000000000005</v>
      </c>
      <c r="L41" s="58">
        <f>IF(ISERROR(VLOOKUP(I41,[5]lsmw!$F$2:$H$1048576,3,0)),VLOOKUP(I41,[5]lsmw!$A$2:$C$1048576,3,0),VLOOKUP(I41,[5]lsmw!$F$2:$H$1048576,3,0))</f>
        <v>12.9</v>
      </c>
      <c r="M41" s="58">
        <f>J41*L41/100</f>
        <v>7.2240000000000002</v>
      </c>
      <c r="N41" s="41">
        <v>22</v>
      </c>
      <c r="O41" s="59">
        <f>J41*N41/100</f>
        <v>12.32</v>
      </c>
      <c r="P41" s="60"/>
      <c r="Q41" s="228"/>
      <c r="R41" s="228"/>
    </row>
    <row r="42" spans="3:18" ht="16.5" thickBot="1">
      <c r="C42" s="1006"/>
      <c r="D42" s="1008"/>
      <c r="E42" s="1010"/>
      <c r="F42" s="1012"/>
      <c r="G42" s="1014"/>
      <c r="H42" s="56" t="str">
        <f>VLOOKUP(I42,[6]baza2!$C$1:$D$65536,2,0)</f>
        <v>TŁUSZCZ DR.USR PBX USRST2</v>
      </c>
      <c r="I42" s="74">
        <v>3025270</v>
      </c>
      <c r="J42" s="283">
        <v>4</v>
      </c>
      <c r="K42" s="64">
        <f>+G40*(J42/100)</f>
        <v>0.04</v>
      </c>
      <c r="L42" s="58">
        <f>IF(ISERROR(VLOOKUP(I42,[5]lsmw!$F$2:$H$1048576,3,0)),VLOOKUP(I42,[5]lsmw!$A$2:$C$1048576,3,0),VLOOKUP(I42,[5]lsmw!$F$2:$H$1048576,3,0))</f>
        <v>3.5</v>
      </c>
      <c r="M42" s="58">
        <f>J42*L42/100</f>
        <v>0.14000000000000001</v>
      </c>
      <c r="N42" s="41">
        <v>78</v>
      </c>
      <c r="O42" s="59">
        <f>J42*N42/100</f>
        <v>3.12</v>
      </c>
      <c r="P42" s="60"/>
      <c r="Q42" s="228"/>
      <c r="R42" s="228"/>
    </row>
    <row r="43" spans="3:18" ht="16.5" thickBot="1">
      <c r="C43" s="65"/>
      <c r="D43" s="66"/>
      <c r="E43" s="66"/>
      <c r="F43" s="66"/>
      <c r="G43" s="66"/>
      <c r="H43" s="66"/>
      <c r="I43" s="66"/>
      <c r="J43" s="66"/>
      <c r="K43" s="66">
        <f>SUM(K40:K42)</f>
        <v>1</v>
      </c>
      <c r="L43" s="67"/>
      <c r="M43" s="68">
        <f>SUM(M40:M42)</f>
        <v>12.524000000000001</v>
      </c>
      <c r="N43" s="69"/>
      <c r="O43" s="70">
        <f>SUM(O40:O42)</f>
        <v>24.240000000000002</v>
      </c>
      <c r="P43" s="60"/>
      <c r="Q43" s="228"/>
      <c r="R43" s="228"/>
    </row>
    <row r="44" spans="3:18" ht="17.850000000000001" customHeight="1">
      <c r="C44" s="60"/>
      <c r="D44" s="71"/>
      <c r="E44" s="71"/>
      <c r="F44" s="72" t="s">
        <v>122</v>
      </c>
      <c r="G44" s="72">
        <f>+G40*F40</f>
        <v>12.9</v>
      </c>
      <c r="H44" s="71"/>
      <c r="I44" s="71"/>
      <c r="J44" s="447">
        <f>J40+J41+J42</f>
        <v>100</v>
      </c>
      <c r="K44" s="71"/>
      <c r="L44" s="71"/>
      <c r="M44" s="72">
        <f>+K43*M43</f>
        <v>12.524000000000001</v>
      </c>
      <c r="N44" s="72"/>
      <c r="O44" s="72"/>
      <c r="P44" s="73">
        <f>+G44-M44</f>
        <v>0.37599999999999945</v>
      </c>
      <c r="Q44" s="228"/>
      <c r="R44" s="228"/>
    </row>
    <row r="45" spans="3:18" ht="15.75">
      <c r="C45" s="60"/>
      <c r="D45" s="60"/>
      <c r="E45" s="60"/>
      <c r="F45" s="72"/>
      <c r="G45" s="72"/>
      <c r="H45" s="60"/>
      <c r="I45" s="60"/>
      <c r="J45" s="60"/>
      <c r="K45" s="60"/>
      <c r="L45" s="60"/>
      <c r="M45" s="72"/>
      <c r="N45" s="72"/>
      <c r="O45" s="72"/>
      <c r="P45" s="73"/>
      <c r="Q45" s="228"/>
      <c r="R45" s="228"/>
    </row>
    <row r="46" spans="3:18" ht="15.75">
      <c r="C46" s="60"/>
      <c r="D46" s="60"/>
      <c r="E46" s="60"/>
      <c r="F46" s="72"/>
      <c r="G46" s="72"/>
      <c r="H46" s="60"/>
      <c r="I46" s="60"/>
      <c r="J46" s="60"/>
      <c r="K46" s="60"/>
      <c r="L46" s="60"/>
      <c r="M46" s="72"/>
      <c r="N46" s="72"/>
      <c r="O46" s="72"/>
      <c r="P46" s="73"/>
      <c r="Q46" s="228"/>
      <c r="R46" s="228"/>
    </row>
    <row r="47" spans="3:18" ht="16.5" thickBot="1">
      <c r="C47" s="60"/>
      <c r="D47" s="60"/>
      <c r="E47" s="60"/>
      <c r="F47" s="72"/>
      <c r="G47" s="72"/>
      <c r="H47" s="60"/>
      <c r="I47" s="60"/>
      <c r="J47" s="60"/>
      <c r="K47" s="60"/>
      <c r="L47" s="60"/>
      <c r="M47" s="72"/>
      <c r="N47" s="72"/>
      <c r="O47" s="72"/>
      <c r="P47" s="73"/>
      <c r="Q47" s="228"/>
      <c r="R47" s="228"/>
    </row>
    <row r="48" spans="3:18" ht="38.25">
      <c r="C48" s="442" t="s">
        <v>111</v>
      </c>
      <c r="D48" s="443" t="s">
        <v>112</v>
      </c>
      <c r="E48" s="443"/>
      <c r="F48" s="444" t="str">
        <f>+"cena zł/kg tydz "&amp;$C$3</f>
        <v xml:space="preserve">cena zł/kg tydz </v>
      </c>
      <c r="G48" s="444" t="s">
        <v>113</v>
      </c>
      <c r="H48" s="443" t="s">
        <v>114</v>
      </c>
      <c r="I48" s="443"/>
      <c r="J48" s="443" t="s">
        <v>115</v>
      </c>
      <c r="K48" s="443" t="s">
        <v>116</v>
      </c>
      <c r="L48" s="444" t="str">
        <f>+"Cena zamiennika Tydz "&amp;$C$3</f>
        <v xml:space="preserve">Cena zamiennika Tydz </v>
      </c>
      <c r="M48" s="444" t="s">
        <v>117</v>
      </c>
      <c r="N48" s="444" t="s">
        <v>118</v>
      </c>
      <c r="O48" s="445" t="s">
        <v>119</v>
      </c>
      <c r="P48" s="55" t="s">
        <v>120</v>
      </c>
      <c r="Q48" s="228"/>
      <c r="R48" s="228"/>
    </row>
    <row r="49" spans="3:18" ht="15.75">
      <c r="C49" s="1005" t="s">
        <v>123</v>
      </c>
      <c r="D49" s="1007">
        <v>2204</v>
      </c>
      <c r="E49" s="1009">
        <v>3025252</v>
      </c>
      <c r="F49" s="1011">
        <f>IF(ISERROR(VLOOKUP(E49,[5]lsmw!$F$2:$H$1048576,3,0)),VLOOKUP(E49,[5]lsmw!$A$2:$C$1048576,3,0),VLOOKUP(E49,[5]lsmw!$F$2:$H$1048576,3,0))</f>
        <v>12.9</v>
      </c>
      <c r="G49" s="1013">
        <v>1</v>
      </c>
      <c r="H49" s="56" t="str">
        <f>VLOOKUP(I49,[6]baza2!$C$1:$D$65536,2,0)</f>
        <v>EU M-SO WP.DR.KL2A USR PBX ST2</v>
      </c>
      <c r="I49" s="40">
        <v>3025252</v>
      </c>
      <c r="J49" s="283">
        <v>40</v>
      </c>
      <c r="K49" s="57">
        <f>+G49*(J49/100)</f>
        <v>0.4</v>
      </c>
      <c r="L49" s="58">
        <f>IF(ISERROR(VLOOKUP(I49,[5]lsmw!$F$2:$H$1048576,3,0)),VLOOKUP(I49,[5]lsmw!$A$2:$C$1048576,3,0),VLOOKUP(I49,[5]lsmw!$F$2:$H$1048576,3,0))</f>
        <v>12.9</v>
      </c>
      <c r="M49" s="58">
        <f>J49*L49/100</f>
        <v>5.16</v>
      </c>
      <c r="N49" s="41">
        <v>22</v>
      </c>
      <c r="O49" s="59">
        <f>J49*N49/100</f>
        <v>8.8000000000000007</v>
      </c>
      <c r="P49" s="60"/>
      <c r="Q49" s="228"/>
      <c r="R49" s="228"/>
    </row>
    <row r="50" spans="3:18" ht="15.75">
      <c r="C50" s="1006"/>
      <c r="D50" s="1008"/>
      <c r="E50" s="1010"/>
      <c r="F50" s="1012"/>
      <c r="G50" s="1014"/>
      <c r="H50" s="56" t="str">
        <f>VLOOKUP(I50,[6]baza2!$C$1:$D$65536,2,0)</f>
        <v>PL SZYN.1.5D PBX ST2</v>
      </c>
      <c r="I50" s="40">
        <v>3025789</v>
      </c>
      <c r="J50" s="283">
        <v>54</v>
      </c>
      <c r="K50" s="61">
        <f>+G49*(J50/100)</f>
        <v>0.54</v>
      </c>
      <c r="L50" s="58">
        <f>IF(ISERROR(VLOOKUP(I50,[5]lsmw!$F$2:$H$1048576,3,0)),VLOOKUP(I50,[5]lsmw!$A$2:$C$1048576,3,0),VLOOKUP(I50,[5]lsmw!$F$2:$H$1048576,3,0))</f>
        <v>12.9</v>
      </c>
      <c r="M50" s="58">
        <f>J50*L50/100</f>
        <v>6.9660000000000002</v>
      </c>
      <c r="N50" s="41">
        <v>22</v>
      </c>
      <c r="O50" s="59">
        <f>J50*N50/100</f>
        <v>11.88</v>
      </c>
      <c r="P50" s="60"/>
      <c r="Q50" s="228"/>
      <c r="R50" s="228"/>
    </row>
    <row r="51" spans="3:18" ht="16.5" thickBot="1">
      <c r="C51" s="1006"/>
      <c r="D51" s="1008"/>
      <c r="E51" s="1010"/>
      <c r="F51" s="1012"/>
      <c r="G51" s="1014"/>
      <c r="H51" s="56" t="str">
        <f>VLOOKUP(I51,[6]baza2!$C$1:$D$65536,2,0)</f>
        <v>PL PODG.B/S.PBX ST2</v>
      </c>
      <c r="I51" s="40">
        <v>3025229</v>
      </c>
      <c r="J51" s="283">
        <v>6</v>
      </c>
      <c r="K51" s="64">
        <f>+G49*(J51/100)</f>
        <v>0.06</v>
      </c>
      <c r="L51" s="58">
        <f>IF(ISERROR(VLOOKUP(I51,[5]lsmw!$F$2:$H$1048576,3,0)),VLOOKUP(I51,[5]lsmw!$A$2:$C$1048576,3,0),VLOOKUP(I51,[5]lsmw!$F$2:$H$1048576,3,0))</f>
        <v>7</v>
      </c>
      <c r="M51" s="58">
        <f>J51*L51/100</f>
        <v>0.42</v>
      </c>
      <c r="N51" s="41">
        <v>58</v>
      </c>
      <c r="O51" s="59">
        <f>J51*N51/100</f>
        <v>3.48</v>
      </c>
      <c r="P51" s="60"/>
      <c r="Q51" s="228"/>
      <c r="R51" s="228"/>
    </row>
    <row r="52" spans="3:18" ht="16.5" thickBot="1">
      <c r="C52" s="65"/>
      <c r="D52" s="66"/>
      <c r="E52" s="66"/>
      <c r="F52" s="66"/>
      <c r="G52" s="66"/>
      <c r="H52" s="66"/>
      <c r="I52" s="66"/>
      <c r="J52" s="66"/>
      <c r="K52" s="66">
        <f>SUM(K49:K51)</f>
        <v>1</v>
      </c>
      <c r="L52" s="67"/>
      <c r="M52" s="68">
        <f>SUM(M49:M51)</f>
        <v>12.546000000000001</v>
      </c>
      <c r="N52" s="69"/>
      <c r="O52" s="70">
        <f>SUM(O49:O51)</f>
        <v>24.16</v>
      </c>
      <c r="P52" s="60"/>
      <c r="Q52" s="228"/>
      <c r="R52" s="228"/>
    </row>
    <row r="53" spans="3:18" ht="15.75">
      <c r="C53" s="60"/>
      <c r="D53" s="71"/>
      <c r="E53" s="71"/>
      <c r="F53" s="72" t="s">
        <v>122</v>
      </c>
      <c r="G53" s="72">
        <f>+G49*F49</f>
        <v>12.9</v>
      </c>
      <c r="H53" s="71"/>
      <c r="I53" s="71"/>
      <c r="J53" s="447">
        <f>J49+J50+J51</f>
        <v>100</v>
      </c>
      <c r="K53" s="71"/>
      <c r="L53" s="71"/>
      <c r="M53" s="72">
        <f>+K52*M52</f>
        <v>12.546000000000001</v>
      </c>
      <c r="N53" s="72"/>
      <c r="O53" s="72"/>
      <c r="P53" s="73">
        <f>+G53-M53</f>
        <v>0.3539999999999992</v>
      </c>
      <c r="Q53" s="228"/>
      <c r="R53" s="228"/>
    </row>
    <row r="54" spans="3:18" ht="15.75">
      <c r="C54" s="60"/>
      <c r="D54" s="60"/>
      <c r="E54" s="60"/>
      <c r="F54" s="72"/>
      <c r="G54" s="72"/>
      <c r="H54" s="60"/>
      <c r="I54" s="60"/>
      <c r="J54" s="60"/>
      <c r="K54" s="60"/>
      <c r="L54" s="60"/>
      <c r="M54" s="72"/>
      <c r="N54" s="72"/>
      <c r="O54" s="72"/>
      <c r="P54" s="73"/>
      <c r="Q54" s="228"/>
      <c r="R54" s="228"/>
    </row>
    <row r="55" spans="3:18" ht="15.75" thickBot="1">
      <c r="Q55" s="228"/>
      <c r="R55" s="228"/>
    </row>
    <row r="56" spans="3:18" ht="38.25">
      <c r="C56" s="442" t="s">
        <v>111</v>
      </c>
      <c r="D56" s="443" t="s">
        <v>112</v>
      </c>
      <c r="E56" s="443"/>
      <c r="F56" s="444" t="str">
        <f>+"cena zł/kg tydz "&amp;$C$3</f>
        <v xml:space="preserve">cena zł/kg tydz </v>
      </c>
      <c r="G56" s="444" t="s">
        <v>113</v>
      </c>
      <c r="H56" s="443" t="s">
        <v>114</v>
      </c>
      <c r="I56" s="443"/>
      <c r="J56" s="443" t="s">
        <v>115</v>
      </c>
      <c r="K56" s="443" t="s">
        <v>116</v>
      </c>
      <c r="L56" s="444" t="str">
        <f>+"Cena zamiennika Tydz "&amp;$C$3</f>
        <v xml:space="preserve">Cena zamiennika Tydz </v>
      </c>
      <c r="M56" s="444" t="s">
        <v>117</v>
      </c>
      <c r="N56" s="444" t="s">
        <v>118</v>
      </c>
      <c r="O56" s="445" t="s">
        <v>119</v>
      </c>
      <c r="P56" s="55" t="s">
        <v>120</v>
      </c>
      <c r="Q56" s="228"/>
      <c r="R56" s="228"/>
    </row>
    <row r="57" spans="3:18" ht="15.75">
      <c r="C57" s="1005" t="s">
        <v>123</v>
      </c>
      <c r="D57" s="1007">
        <v>2204</v>
      </c>
      <c r="E57" s="1009">
        <v>3025252</v>
      </c>
      <c r="F57" s="1011">
        <f>IF(ISERROR(VLOOKUP(E57,[5]lsmw!$F$2:$H$1048576,3,0)),VLOOKUP(E57,[5]lsmw!$A$2:$C$1048576,3,0),VLOOKUP(E57,[5]lsmw!$F$2:$H$1048576,3,0))</f>
        <v>12.9</v>
      </c>
      <c r="G57" s="1013">
        <v>1</v>
      </c>
      <c r="H57" s="56" t="str">
        <f>VLOOKUP(I57,[6]baza2!$C$1:$D$65536,2,0)</f>
        <v>EU M-SO WP.DR.KL2A USR PBX ST2</v>
      </c>
      <c r="I57" s="40">
        <v>3025252</v>
      </c>
      <c r="J57" s="283">
        <v>40</v>
      </c>
      <c r="K57" s="57">
        <f>+G57*(J57/100)</f>
        <v>0.4</v>
      </c>
      <c r="L57" s="58">
        <f>IF(ISERROR(VLOOKUP(I57,[5]lsmw!$F$2:$H$1048576,3,0)),VLOOKUP(I57,[5]lsmw!$A$2:$C$1048576,3,0),VLOOKUP(I57,[5]lsmw!$F$2:$H$1048576,3,0))</f>
        <v>12.9</v>
      </c>
      <c r="M57" s="58">
        <f>J57*L57/100</f>
        <v>5.16</v>
      </c>
      <c r="N57" s="41">
        <v>22</v>
      </c>
      <c r="O57" s="59">
        <f>J57*N57/100</f>
        <v>8.8000000000000007</v>
      </c>
      <c r="P57" s="60"/>
      <c r="Q57" s="228"/>
      <c r="R57" s="228"/>
    </row>
    <row r="58" spans="3:18" ht="15.75">
      <c r="C58" s="1006"/>
      <c r="D58" s="1008"/>
      <c r="E58" s="1010"/>
      <c r="F58" s="1012"/>
      <c r="G58" s="1014"/>
      <c r="H58" s="56" t="s">
        <v>14219</v>
      </c>
      <c r="I58" s="40">
        <v>3025789</v>
      </c>
      <c r="J58" s="283">
        <v>48</v>
      </c>
      <c r="K58" s="61">
        <f>+G57*(J58/100)</f>
        <v>0.48</v>
      </c>
      <c r="L58" s="58">
        <v>9.8000000000000007</v>
      </c>
      <c r="M58" s="58">
        <f>J58*L58/100</f>
        <v>4.7040000000000006</v>
      </c>
      <c r="N58" s="41">
        <v>30</v>
      </c>
      <c r="O58" s="59">
        <f>J58*N58/100</f>
        <v>14.4</v>
      </c>
      <c r="P58" s="60"/>
      <c r="Q58" s="228"/>
      <c r="R58" s="228"/>
    </row>
    <row r="59" spans="3:18" ht="16.5" thickBot="1">
      <c r="C59" s="1006"/>
      <c r="D59" s="1008"/>
      <c r="E59" s="1010"/>
      <c r="F59" s="1012"/>
      <c r="G59" s="1014"/>
      <c r="H59" s="56" t="str">
        <f>VLOOKUP(I59,[6]baza2!$C$1:$D$65536,2,0)</f>
        <v>EU M-SO WP.DR.KL1 CIE.Z SZYN.PBX2</v>
      </c>
      <c r="I59" s="40">
        <v>3025250</v>
      </c>
      <c r="J59" s="283">
        <v>12</v>
      </c>
      <c r="K59" s="64">
        <f>+G57*(J59/100)</f>
        <v>0.12</v>
      </c>
      <c r="L59" s="58">
        <f>IF(ISERROR(VLOOKUP(I59,[5]lsmw!$F$2:$H$1048576,3,0)),VLOOKUP(I59,[5]lsmw!$A$2:$C$1048576,3,0),VLOOKUP(I59,[5]lsmw!$F$2:$H$1048576,3,0))</f>
        <v>14.6</v>
      </c>
      <c r="M59" s="58">
        <f>J59*L59/100</f>
        <v>1.7519999999999998</v>
      </c>
      <c r="N59" s="41">
        <v>7</v>
      </c>
      <c r="O59" s="59">
        <f>J59*N59/100</f>
        <v>0.84</v>
      </c>
      <c r="P59" s="60"/>
      <c r="Q59" s="228"/>
      <c r="R59" s="228"/>
    </row>
    <row r="60" spans="3:18" ht="16.5" thickBot="1">
      <c r="C60" s="65"/>
      <c r="D60" s="66"/>
      <c r="E60" s="66"/>
      <c r="F60" s="66"/>
      <c r="G60" s="66"/>
      <c r="H60" s="66"/>
      <c r="I60" s="66"/>
      <c r="J60" s="66"/>
      <c r="K60" s="66">
        <f>SUM(K57:K59)</f>
        <v>1</v>
      </c>
      <c r="L60" s="67"/>
      <c r="M60" s="68">
        <f>SUM(M57:M59)</f>
        <v>11.616</v>
      </c>
      <c r="N60" s="69"/>
      <c r="O60" s="70">
        <f>SUM(O57:O59)</f>
        <v>24.040000000000003</v>
      </c>
      <c r="P60" s="60"/>
      <c r="Q60" s="228"/>
      <c r="R60" s="228"/>
    </row>
    <row r="61" spans="3:18" ht="15.75">
      <c r="C61" s="60"/>
      <c r="D61" s="71"/>
      <c r="E61" s="71"/>
      <c r="F61" s="72" t="s">
        <v>122</v>
      </c>
      <c r="G61" s="72">
        <f>+G57*F57</f>
        <v>12.9</v>
      </c>
      <c r="H61" s="71"/>
      <c r="I61" s="71"/>
      <c r="J61" s="447">
        <f>J57+J58+J59</f>
        <v>100</v>
      </c>
      <c r="K61" s="71"/>
      <c r="L61" s="71"/>
      <c r="M61" s="72">
        <f>+K60*M60</f>
        <v>11.616</v>
      </c>
      <c r="N61" s="72"/>
      <c r="O61" s="72"/>
      <c r="P61" s="73">
        <f>+G61-M61</f>
        <v>1.2840000000000007</v>
      </c>
      <c r="Q61" s="228"/>
      <c r="R61" s="228"/>
    </row>
    <row r="62" spans="3:18">
      <c r="Q62" s="228"/>
      <c r="R62" s="228"/>
    </row>
    <row r="63" spans="3:18" ht="15.75" thickBot="1">
      <c r="Q63" s="228"/>
      <c r="R63" s="228"/>
    </row>
    <row r="64" spans="3:18" ht="38.25">
      <c r="C64" s="442" t="s">
        <v>111</v>
      </c>
      <c r="D64" s="443" t="s">
        <v>112</v>
      </c>
      <c r="E64" s="443"/>
      <c r="F64" s="444" t="str">
        <f>+"cena zł/kg tydz "&amp;$C$3</f>
        <v xml:space="preserve">cena zł/kg tydz </v>
      </c>
      <c r="G64" s="444" t="s">
        <v>113</v>
      </c>
      <c r="H64" s="443" t="s">
        <v>114</v>
      </c>
      <c r="I64" s="443"/>
      <c r="J64" s="443" t="s">
        <v>115</v>
      </c>
      <c r="K64" s="443" t="s">
        <v>116</v>
      </c>
      <c r="L64" s="444" t="str">
        <f>+"Cena zamiennika Tydz "&amp;$C$3</f>
        <v xml:space="preserve">Cena zamiennika Tydz </v>
      </c>
      <c r="M64" s="444" t="s">
        <v>117</v>
      </c>
      <c r="N64" s="444" t="s">
        <v>118</v>
      </c>
      <c r="O64" s="445" t="s">
        <v>119</v>
      </c>
      <c r="P64" s="55" t="s">
        <v>120</v>
      </c>
      <c r="Q64" s="228"/>
      <c r="R64" s="228"/>
    </row>
    <row r="65" spans="3:18" ht="15.75">
      <c r="C65" s="1005" t="s">
        <v>14672</v>
      </c>
      <c r="D65" s="1007">
        <v>5202</v>
      </c>
      <c r="E65" s="1009">
        <v>3025257</v>
      </c>
      <c r="F65" s="1011">
        <f>IF(ISERROR(VLOOKUP(E65,[5]lsmw!$F$2:$H$1048576,3,0)),VLOOKUP(E65,[5]lsmw!$A$2:$C$1048576,3,0),VLOOKUP(E65,[5]lsmw!$F$2:$H$1048576,3,0))</f>
        <v>12.7</v>
      </c>
      <c r="G65" s="1013">
        <v>1</v>
      </c>
      <c r="H65" s="56" t="str">
        <f>VLOOKUP(I65,[6]baza2!$C$1:$D$65536,2,0)</f>
        <v>EU M-SO WP.DR.KL3B USR CH2</v>
      </c>
      <c r="I65" s="40">
        <v>3020314</v>
      </c>
      <c r="J65" s="40">
        <v>38</v>
      </c>
      <c r="K65" s="57">
        <f>+G65*(J65/100)</f>
        <v>0.38</v>
      </c>
      <c r="L65" s="58">
        <f>IF(ISERROR(VLOOKUP(I65,[5]lsmw!$F$2:$H$1048576,3,0)),VLOOKUP(I65,[5]lsmw!$A$2:$C$1048576,3,0),VLOOKUP(I65,[5]lsmw!$F$2:$H$1048576,3,0))</f>
        <v>12.2</v>
      </c>
      <c r="M65" s="58">
        <f>J65*L65/100</f>
        <v>4.6359999999999992</v>
      </c>
      <c r="N65" s="41">
        <v>21</v>
      </c>
      <c r="O65" s="59">
        <f>J65*N65/100</f>
        <v>7.98</v>
      </c>
      <c r="P65" s="60"/>
      <c r="Q65" s="228"/>
      <c r="R65" s="228"/>
    </row>
    <row r="66" spans="3:18" ht="15.75">
      <c r="C66" s="1006"/>
      <c r="D66" s="1008"/>
      <c r="E66" s="1010"/>
      <c r="F66" s="1012"/>
      <c r="G66" s="1014"/>
      <c r="H66" s="56" t="str">
        <f>VLOOKUP(I66,[6]baza2!$C$1:$D$65536,2,0)</f>
        <v>EU M-SO WP.DR.KL3A PBX USR ST2</v>
      </c>
      <c r="I66" s="40">
        <v>3025257</v>
      </c>
      <c r="J66" s="40">
        <v>30</v>
      </c>
      <c r="K66" s="57">
        <f>+G65*(J66/100)</f>
        <v>0.3</v>
      </c>
      <c r="L66" s="58">
        <f>IF(ISERROR(VLOOKUP(I66,[5]lsmw!$F$2:$H$1048576,3,0)),VLOOKUP(I66,[5]lsmw!$A$2:$C$1048576,3,0),VLOOKUP(I66,[5]lsmw!$F$2:$H$1048576,3,0))</f>
        <v>12.7</v>
      </c>
      <c r="M66" s="58">
        <f t="shared" ref="M66:M68" si="0">J66*L66/100</f>
        <v>3.81</v>
      </c>
      <c r="N66" s="41">
        <v>25</v>
      </c>
      <c r="O66" s="59">
        <f t="shared" ref="O66:O68" si="1">J66*N66/100</f>
        <v>7.5</v>
      </c>
      <c r="P66" s="60"/>
      <c r="Q66" s="228"/>
      <c r="R66" s="228"/>
    </row>
    <row r="67" spans="3:18" ht="15.75">
      <c r="C67" s="1006"/>
      <c r="D67" s="1008"/>
      <c r="E67" s="1010"/>
      <c r="F67" s="1012"/>
      <c r="G67" s="1014"/>
      <c r="H67" s="56" t="s">
        <v>14673</v>
      </c>
      <c r="I67" s="40">
        <v>3020314</v>
      </c>
      <c r="J67" s="40">
        <v>5</v>
      </c>
      <c r="K67" s="57">
        <f>+G65*(J67/100)</f>
        <v>0.05</v>
      </c>
      <c r="L67" s="58">
        <f>IF(ISERROR(VLOOKUP(I67,[5]lsmw!$F$2:$H$1048576,3,0)),VLOOKUP(I67,[5]lsmw!$A$2:$C$1048576,3,0),VLOOKUP(I67,[5]lsmw!$F$2:$H$1048576,3,0))</f>
        <v>12.2</v>
      </c>
      <c r="M67" s="58">
        <f t="shared" si="0"/>
        <v>0.61</v>
      </c>
      <c r="N67" s="41">
        <v>16</v>
      </c>
      <c r="O67" s="59">
        <f t="shared" si="1"/>
        <v>0.8</v>
      </c>
      <c r="P67" s="60"/>
      <c r="Q67" s="228"/>
      <c r="R67" s="228"/>
    </row>
    <row r="68" spans="3:18" ht="15.75">
      <c r="C68" s="1006"/>
      <c r="D68" s="1008"/>
      <c r="E68" s="1010"/>
      <c r="F68" s="1012"/>
      <c r="G68" s="1014"/>
      <c r="H68" s="56" t="s">
        <v>14674</v>
      </c>
      <c r="I68" s="40">
        <v>3032222</v>
      </c>
      <c r="J68" s="40">
        <v>20</v>
      </c>
      <c r="K68" s="57">
        <f>+G65*(J68/100)</f>
        <v>0.2</v>
      </c>
      <c r="L68" s="58">
        <f>IF(ISERROR(VLOOKUP(I68,[5]lsmw!$F$2:$H$1048576,3,0)),VLOOKUP(I68,[5]lsmw!$A$2:$C$1048576,3,0),VLOOKUP(I68,[5]lsmw!$F$2:$H$1048576,3,0))</f>
        <v>7</v>
      </c>
      <c r="M68" s="58">
        <f t="shared" si="0"/>
        <v>1.4</v>
      </c>
      <c r="N68" s="41">
        <v>16</v>
      </c>
      <c r="O68" s="59">
        <f t="shared" si="1"/>
        <v>3.2</v>
      </c>
      <c r="P68" s="60"/>
      <c r="Q68" s="228"/>
      <c r="R68" s="228"/>
    </row>
    <row r="69" spans="3:18" ht="16.5" thickBot="1">
      <c r="C69" s="1006"/>
      <c r="D69" s="1008"/>
      <c r="E69" s="1010"/>
      <c r="F69" s="1012"/>
      <c r="G69" s="1014"/>
      <c r="H69" s="56" t="str">
        <f>VLOOKUP(I69,[6]baza2!$C$1:$D$65536,2,0)</f>
        <v>TŁUSZCZ DR.USR PBX USRST2</v>
      </c>
      <c r="I69" s="74">
        <v>3025270</v>
      </c>
      <c r="J69" s="40">
        <v>7</v>
      </c>
      <c r="K69" s="61">
        <f>+G65*(J69/100)</f>
        <v>7.0000000000000007E-2</v>
      </c>
      <c r="L69" s="58">
        <f>IF(ISERROR(VLOOKUP(I69,[5]lsmw!$F$2:$H$1048576,3,0)),VLOOKUP(I69,[5]lsmw!$A$2:$C$1048576,3,0),VLOOKUP(I69,[5]lsmw!$F$2:$H$1048576,3,0))</f>
        <v>3.5</v>
      </c>
      <c r="M69" s="58">
        <f>J69*L69/100</f>
        <v>0.245</v>
      </c>
      <c r="N69" s="41">
        <v>78</v>
      </c>
      <c r="O69" s="59">
        <f>J69*N69/100</f>
        <v>5.46</v>
      </c>
      <c r="P69" s="60"/>
      <c r="Q69" s="228"/>
      <c r="R69" s="228"/>
    </row>
    <row r="70" spans="3:18" ht="16.5" thickBot="1">
      <c r="C70" s="65"/>
      <c r="D70" s="66"/>
      <c r="E70" s="66"/>
      <c r="F70" s="66"/>
      <c r="G70" s="66"/>
      <c r="H70" s="66"/>
      <c r="I70" s="66"/>
      <c r="J70" s="66"/>
      <c r="K70" s="66">
        <f>SUM(K65:K69)</f>
        <v>1</v>
      </c>
      <c r="L70" s="67"/>
      <c r="M70" s="68">
        <f>SUM(M65:M69)</f>
        <v>10.700999999999999</v>
      </c>
      <c r="N70" s="69"/>
      <c r="O70" s="70">
        <f>SUM(O65:O69)</f>
        <v>24.94</v>
      </c>
      <c r="P70" s="60"/>
      <c r="Q70" s="228"/>
      <c r="R70" s="228"/>
    </row>
    <row r="71" spans="3:18" ht="15.75">
      <c r="C71" s="60"/>
      <c r="D71" s="71"/>
      <c r="E71" s="71"/>
      <c r="F71" s="72" t="s">
        <v>122</v>
      </c>
      <c r="G71" s="72">
        <f>+G65*F65</f>
        <v>12.7</v>
      </c>
      <c r="H71" s="71"/>
      <c r="I71" s="71"/>
      <c r="J71" s="71">
        <f>SUM(J65:J69)</f>
        <v>100</v>
      </c>
      <c r="K71" s="71"/>
      <c r="L71" s="71"/>
      <c r="M71" s="72">
        <f>+K70*M70</f>
        <v>10.700999999999999</v>
      </c>
      <c r="N71" s="72"/>
      <c r="O71" s="72"/>
      <c r="P71" s="448">
        <f>+G71-M71</f>
        <v>1.9990000000000006</v>
      </c>
      <c r="Q71" s="228"/>
      <c r="R71" s="228"/>
    </row>
    <row r="72" spans="3:18">
      <c r="Q72" s="228"/>
      <c r="R72" s="228"/>
    </row>
    <row r="73" spans="3:18">
      <c r="Q73" s="228"/>
      <c r="R73" s="228"/>
    </row>
    <row r="74" spans="3:18" ht="15.75" thickBot="1">
      <c r="Q74" s="228"/>
      <c r="R74" s="228"/>
    </row>
    <row r="75" spans="3:18" ht="38.25">
      <c r="C75" s="442" t="s">
        <v>111</v>
      </c>
      <c r="D75" s="443" t="s">
        <v>112</v>
      </c>
      <c r="E75" s="443"/>
      <c r="F75" s="444" t="str">
        <f>+"cena zł/kg tydz "&amp;$C$3</f>
        <v xml:space="preserve">cena zł/kg tydz </v>
      </c>
      <c r="G75" s="444" t="s">
        <v>113</v>
      </c>
      <c r="H75" s="443" t="s">
        <v>114</v>
      </c>
      <c r="I75" s="443"/>
      <c r="J75" s="443" t="s">
        <v>115</v>
      </c>
      <c r="K75" s="443" t="s">
        <v>116</v>
      </c>
      <c r="L75" s="444" t="str">
        <f>+"Cena zamiennika Tydz "&amp;$C$3</f>
        <v xml:space="preserve">Cena zamiennika Tydz </v>
      </c>
      <c r="M75" s="444" t="s">
        <v>117</v>
      </c>
      <c r="N75" s="444" t="s">
        <v>118</v>
      </c>
      <c r="O75" s="445" t="s">
        <v>119</v>
      </c>
      <c r="P75" s="55" t="s">
        <v>120</v>
      </c>
      <c r="Q75" s="228"/>
      <c r="R75" s="228"/>
    </row>
    <row r="76" spans="3:18" ht="15.75">
      <c r="C76" s="1015" t="s">
        <v>14675</v>
      </c>
      <c r="D76" s="1007">
        <v>50250000</v>
      </c>
      <c r="E76" s="1009">
        <v>3025262</v>
      </c>
      <c r="F76" s="1011">
        <f>IF(ISERROR(VLOOKUP(E76,[5]lsmw!$F$2:$H$1048576,3,0)),VLOOKUP(E76,[5]lsmw!$A$2:$C$1048576,3,0),VLOOKUP(E76,[5]lsmw!$F$2:$H$1048576,3,0))</f>
        <v>14.6</v>
      </c>
      <c r="G76" s="1013">
        <v>1</v>
      </c>
      <c r="H76" s="405" t="s">
        <v>371</v>
      </c>
      <c r="I76" s="40">
        <v>3025250</v>
      </c>
      <c r="J76" s="40">
        <v>93</v>
      </c>
      <c r="K76" s="57">
        <f>+G76*(J76/100)</f>
        <v>0.93</v>
      </c>
      <c r="L76" s="58">
        <v>13.73</v>
      </c>
      <c r="M76" s="58">
        <f>J76*L76/100</f>
        <v>12.7689</v>
      </c>
      <c r="N76" s="41">
        <v>6</v>
      </c>
      <c r="O76" s="59">
        <f>J76*N76/100</f>
        <v>5.58</v>
      </c>
      <c r="P76" s="60"/>
      <c r="Q76" s="228"/>
      <c r="R76" s="228"/>
    </row>
    <row r="77" spans="3:18" ht="16.5" thickBot="1">
      <c r="C77" s="1016"/>
      <c r="D77" s="1017"/>
      <c r="E77" s="1018"/>
      <c r="F77" s="1019"/>
      <c r="G77" s="1020"/>
      <c r="H77" s="56" t="str">
        <f>VLOOKUP(I77,[6]baza2!$C$1:$D$65536,2,0)</f>
        <v>TŁUSZCZ DR.USR PBX USRST2</v>
      </c>
      <c r="I77" s="74">
        <v>3025270</v>
      </c>
      <c r="J77" s="40">
        <v>7</v>
      </c>
      <c r="K77" s="61">
        <f>+G76*(J77/100)</f>
        <v>7.0000000000000007E-2</v>
      </c>
      <c r="L77" s="58">
        <f>IF(ISERROR(VLOOKUP(I77,[5]lsmw!$F$2:$H$1048576,3,0)),VLOOKUP(I77,[5]lsmw!$A$2:$C$1048576,3,0),VLOOKUP(I77,[5]lsmw!$F$2:$H$1048576,3,0))</f>
        <v>3.5</v>
      </c>
      <c r="M77" s="58">
        <f>J77*L77/100</f>
        <v>0.245</v>
      </c>
      <c r="N77" s="41">
        <v>78</v>
      </c>
      <c r="O77" s="59">
        <f>J77*N77/100</f>
        <v>5.46</v>
      </c>
      <c r="P77" s="60"/>
      <c r="Q77" s="228"/>
      <c r="R77" s="228"/>
    </row>
    <row r="78" spans="3:18" ht="16.5" thickBot="1">
      <c r="C78" s="65"/>
      <c r="D78" s="66"/>
      <c r="E78" s="66"/>
      <c r="F78" s="66"/>
      <c r="G78" s="66"/>
      <c r="H78" s="66"/>
      <c r="I78" s="66"/>
      <c r="J78" s="66"/>
      <c r="K78" s="66">
        <f>SUM(K76:K77)</f>
        <v>1</v>
      </c>
      <c r="L78" s="67"/>
      <c r="M78" s="68">
        <f>SUM(M76:M77)</f>
        <v>13.0139</v>
      </c>
      <c r="N78" s="69"/>
      <c r="O78" s="70">
        <f>SUM(O76:O77)</f>
        <v>11.04</v>
      </c>
      <c r="P78" s="60"/>
      <c r="Q78" s="228"/>
      <c r="R78" s="228"/>
    </row>
    <row r="79" spans="3:18" ht="15.75">
      <c r="C79" s="60"/>
      <c r="D79" s="71"/>
      <c r="E79" s="71"/>
      <c r="F79" s="72" t="s">
        <v>122</v>
      </c>
      <c r="G79" s="72">
        <f>+G76*F76</f>
        <v>14.6</v>
      </c>
      <c r="H79" s="71"/>
      <c r="I79" s="71"/>
      <c r="J79" s="71">
        <f>J76+J77</f>
        <v>100</v>
      </c>
      <c r="K79" s="71"/>
      <c r="L79" s="71"/>
      <c r="M79" s="72">
        <f>+K78*M78</f>
        <v>13.0139</v>
      </c>
      <c r="N79" s="72"/>
      <c r="O79" s="72"/>
      <c r="P79" s="73">
        <f>+G79-M79</f>
        <v>1.5861000000000001</v>
      </c>
      <c r="Q79" s="228"/>
      <c r="R79" s="228"/>
    </row>
    <row r="80" spans="3:18">
      <c r="Q80" s="228"/>
      <c r="R80" s="228"/>
    </row>
    <row r="81" spans="3:18">
      <c r="Q81" s="228"/>
      <c r="R81" s="228"/>
    </row>
    <row r="82" spans="3:18">
      <c r="Q82" s="228"/>
      <c r="R82" s="228"/>
    </row>
    <row r="83" spans="3:18">
      <c r="Q83" s="228"/>
      <c r="R83" s="228"/>
    </row>
    <row r="84" spans="3:18" ht="15.75" thickBot="1">
      <c r="Q84" s="228"/>
      <c r="R84" s="228"/>
    </row>
    <row r="85" spans="3:18" ht="38.25">
      <c r="C85" s="442" t="s">
        <v>111</v>
      </c>
      <c r="D85" s="443" t="s">
        <v>112</v>
      </c>
      <c r="E85" s="443"/>
      <c r="F85" s="444" t="str">
        <f>+"cena zł/kg tydz "&amp;$C$3</f>
        <v xml:space="preserve">cena zł/kg tydz </v>
      </c>
      <c r="G85" s="444" t="s">
        <v>113</v>
      </c>
      <c r="H85" s="443" t="s">
        <v>114</v>
      </c>
      <c r="I85" s="443"/>
      <c r="J85" s="443" t="s">
        <v>115</v>
      </c>
      <c r="K85" s="443" t="s">
        <v>116</v>
      </c>
      <c r="L85" s="444" t="str">
        <f>+"Cena zamiennika Tydz "&amp;$C$3</f>
        <v xml:space="preserve">Cena zamiennika Tydz </v>
      </c>
      <c r="M85" s="444" t="s">
        <v>117</v>
      </c>
      <c r="N85" s="444" t="s">
        <v>118</v>
      </c>
      <c r="O85" s="445" t="s">
        <v>119</v>
      </c>
      <c r="P85" s="55" t="s">
        <v>120</v>
      </c>
      <c r="Q85" s="228"/>
      <c r="R85" s="228"/>
    </row>
    <row r="86" spans="3:18" ht="15.75">
      <c r="C86" s="1015" t="s">
        <v>14676</v>
      </c>
      <c r="D86" s="1007">
        <v>52264000</v>
      </c>
      <c r="E86" s="1009">
        <v>3025262</v>
      </c>
      <c r="F86" s="1011">
        <f>IF(ISERROR(VLOOKUP(E86,[5]lsmw!$F$2:$H$1048576,3,0)),VLOOKUP(E86,[5]lsmw!$A$2:$C$1048576,3,0),VLOOKUP(E86,[5]lsmw!$F$2:$H$1048576,3,0))</f>
        <v>14.6</v>
      </c>
      <c r="G86" s="1013">
        <v>1</v>
      </c>
      <c r="H86" s="56" t="str">
        <f>VLOOKUP(I86,[6]baza2!$C$1:$D$65536,2,0)</f>
        <v>EU M-SO WP.DR.KL1 CIE.Z SZYN.PBX2</v>
      </c>
      <c r="I86" s="40">
        <v>3025250</v>
      </c>
      <c r="J86" s="40">
        <v>50</v>
      </c>
      <c r="K86" s="57">
        <f>+G86*(J86/100)</f>
        <v>0.5</v>
      </c>
      <c r="L86" s="58">
        <f>IF(ISERROR(VLOOKUP(I86,[5]lsmw!$F$2:$H$1048576,3,0)),VLOOKUP(I86,[5]lsmw!$A$2:$C$1048576,3,0),VLOOKUP(I86,[5]lsmw!$F$2:$H$1048576,3,0))</f>
        <v>14.6</v>
      </c>
      <c r="M86" s="58">
        <f>J86*L86/100</f>
        <v>7.3</v>
      </c>
      <c r="N86" s="41">
        <v>6</v>
      </c>
      <c r="O86" s="59">
        <f>J86*N86/100</f>
        <v>3</v>
      </c>
      <c r="P86" s="60"/>
      <c r="Q86" s="228"/>
      <c r="R86" s="228"/>
    </row>
    <row r="87" spans="3:18" ht="16.5" thickBot="1">
      <c r="C87" s="1016"/>
      <c r="D87" s="1017"/>
      <c r="E87" s="1018"/>
      <c r="F87" s="1019"/>
      <c r="G87" s="1020"/>
      <c r="H87" s="56" t="str">
        <f>VLOOKUP(I87,[6]baza2!$C$1:$D$65536,2,0)</f>
        <v>EU M-SO WP.DR.KL2A USR PBX ST2</v>
      </c>
      <c r="I87" s="40">
        <v>3025252</v>
      </c>
      <c r="J87" s="40">
        <v>50</v>
      </c>
      <c r="K87" s="61">
        <f>+G86*(J87/100)</f>
        <v>0.5</v>
      </c>
      <c r="L87" s="58">
        <f>IF(ISERROR(VLOOKUP(I87,[5]lsmw!$F$2:$H$1048576,3,0)),VLOOKUP(I87,[5]lsmw!$A$2:$C$1048576,3,0),VLOOKUP(I87,[5]lsmw!$F$2:$H$1048576,3,0))</f>
        <v>12.9</v>
      </c>
      <c r="M87" s="58">
        <f>J87*L87/100</f>
        <v>6.45</v>
      </c>
      <c r="N87" s="41">
        <v>22</v>
      </c>
      <c r="O87" s="59">
        <f>J87*N87/100</f>
        <v>11</v>
      </c>
      <c r="P87" s="60"/>
      <c r="Q87" s="228"/>
      <c r="R87" s="228"/>
    </row>
    <row r="88" spans="3:18" ht="16.5" thickBot="1">
      <c r="C88" s="65"/>
      <c r="D88" s="66"/>
      <c r="E88" s="66"/>
      <c r="F88" s="66"/>
      <c r="G88" s="66"/>
      <c r="H88" s="66"/>
      <c r="I88" s="66"/>
      <c r="J88" s="66"/>
      <c r="K88" s="66">
        <f>SUM(K86:K87)</f>
        <v>1</v>
      </c>
      <c r="L88" s="67"/>
      <c r="M88" s="68">
        <f>SUM(M86:M87)</f>
        <v>13.75</v>
      </c>
      <c r="N88" s="69"/>
      <c r="O88" s="70">
        <f>SUM(O86:O87)</f>
        <v>14</v>
      </c>
      <c r="P88" s="60"/>
      <c r="Q88" s="228"/>
      <c r="R88" s="228"/>
    </row>
    <row r="89" spans="3:18" ht="15.75">
      <c r="C89" s="60"/>
      <c r="D89" s="71"/>
      <c r="E89" s="71"/>
      <c r="F89" s="72" t="s">
        <v>122</v>
      </c>
      <c r="G89" s="72">
        <f>+G86*F86</f>
        <v>14.6</v>
      </c>
      <c r="H89" s="71"/>
      <c r="I89" s="71"/>
      <c r="J89" s="71">
        <f>J86+J87</f>
        <v>100</v>
      </c>
      <c r="K89" s="71"/>
      <c r="L89" s="71"/>
      <c r="M89" s="72">
        <f>+K88*M88</f>
        <v>13.75</v>
      </c>
      <c r="N89" s="72"/>
      <c r="O89" s="72"/>
      <c r="P89" s="73">
        <f>+G89-M89</f>
        <v>0.84999999999999964</v>
      </c>
      <c r="Q89" s="228"/>
      <c r="R89" s="228"/>
    </row>
    <row r="90" spans="3:18">
      <c r="Q90" s="228"/>
      <c r="R90" s="228"/>
    </row>
    <row r="91" spans="3:18">
      <c r="Q91" s="228"/>
      <c r="R91" s="228"/>
    </row>
    <row r="92" spans="3:18" ht="15.75" thickBot="1">
      <c r="Q92" s="228"/>
      <c r="R92" s="228"/>
    </row>
    <row r="93" spans="3:18" ht="38.25">
      <c r="C93" s="442" t="s">
        <v>111</v>
      </c>
      <c r="D93" s="443" t="s">
        <v>112</v>
      </c>
      <c r="E93" s="443"/>
      <c r="F93" s="444" t="str">
        <f>+"cena zł/kg tydz "&amp;$C$3</f>
        <v xml:space="preserve">cena zł/kg tydz </v>
      </c>
      <c r="G93" s="444" t="s">
        <v>113</v>
      </c>
      <c r="H93" s="443" t="s">
        <v>114</v>
      </c>
      <c r="I93" s="443"/>
      <c r="J93" s="443" t="s">
        <v>115</v>
      </c>
      <c r="K93" s="443" t="s">
        <v>116</v>
      </c>
      <c r="L93" s="444" t="str">
        <f>+"Cena zamiennika Tydz "&amp;$C$3</f>
        <v xml:space="preserve">Cena zamiennika Tydz </v>
      </c>
      <c r="M93" s="444" t="s">
        <v>117</v>
      </c>
      <c r="N93" s="444" t="s">
        <v>118</v>
      </c>
      <c r="O93" s="445" t="s">
        <v>119</v>
      </c>
      <c r="P93" s="55" t="s">
        <v>120</v>
      </c>
      <c r="Q93" s="228"/>
      <c r="R93" s="228"/>
    </row>
    <row r="94" spans="3:18" ht="15.75">
      <c r="C94" s="1015" t="s">
        <v>14677</v>
      </c>
      <c r="D94" s="1007">
        <v>52260000</v>
      </c>
      <c r="E94" s="1009">
        <v>3025262</v>
      </c>
      <c r="F94" s="1011">
        <f>IF(ISERROR(VLOOKUP(E94,[5]lsmw!$F$2:$H$1048576,3,0)),VLOOKUP(E94,[5]lsmw!$A$2:$C$1048576,3,0),VLOOKUP(E94,[5]lsmw!$F$2:$H$1048576,3,0))</f>
        <v>14.6</v>
      </c>
      <c r="G94" s="1022">
        <v>1</v>
      </c>
      <c r="H94" s="405" t="s">
        <v>371</v>
      </c>
      <c r="I94" s="40">
        <v>3020226</v>
      </c>
      <c r="J94" s="40">
        <v>30</v>
      </c>
      <c r="K94" s="57">
        <f>+G94*(J94/100)</f>
        <v>0.3</v>
      </c>
      <c r="L94" s="58">
        <v>13.73</v>
      </c>
      <c r="M94" s="58">
        <f>J94*L94/100</f>
        <v>4.1190000000000007</v>
      </c>
      <c r="N94" s="41">
        <v>6</v>
      </c>
      <c r="O94" s="59">
        <f>J94*N94/100</f>
        <v>1.8</v>
      </c>
      <c r="P94" s="60"/>
      <c r="Q94" s="228"/>
      <c r="R94" s="228"/>
    </row>
    <row r="95" spans="3:18" ht="15.75">
      <c r="C95" s="1021"/>
      <c r="D95" s="1008"/>
      <c r="E95" s="1010"/>
      <c r="F95" s="1012"/>
      <c r="G95" s="1023"/>
      <c r="H95" s="56" t="str">
        <f>VLOOKUP(I95,[6]baza2!$C$1:$D$65536,2,0)</f>
        <v>EU M-SO WP.DR.KL1 CIE.Z SZYN.PBX2</v>
      </c>
      <c r="I95" s="40">
        <v>3025250</v>
      </c>
      <c r="J95" s="40">
        <v>49</v>
      </c>
      <c r="K95" s="61">
        <f>+G94*(J95/100)</f>
        <v>0.49</v>
      </c>
      <c r="L95" s="58">
        <f>IF(ISERROR(VLOOKUP(I95,[5]lsmw!$F$2:$H$1048576,3,0)),VLOOKUP(I95,[5]lsmw!$A$2:$C$1048576,3,0),VLOOKUP(I95,[5]lsmw!$F$2:$H$1048576,3,0))</f>
        <v>14.6</v>
      </c>
      <c r="M95" s="58">
        <f>J95*L95/100</f>
        <v>7.1539999999999999</v>
      </c>
      <c r="N95" s="41">
        <v>6</v>
      </c>
      <c r="O95" s="59">
        <f>J95*N95/100</f>
        <v>2.94</v>
      </c>
      <c r="P95" s="60"/>
      <c r="Q95" s="228"/>
      <c r="R95" s="228"/>
    </row>
    <row r="96" spans="3:18" ht="15.75">
      <c r="C96" s="1021"/>
      <c r="D96" s="1008"/>
      <c r="E96" s="1010"/>
      <c r="F96" s="1012"/>
      <c r="G96" s="1023"/>
      <c r="H96" s="56" t="s">
        <v>14678</v>
      </c>
      <c r="I96" s="40">
        <v>3020226</v>
      </c>
      <c r="J96" s="40">
        <v>15</v>
      </c>
      <c r="K96" s="61">
        <f>+G94*(J96/100)</f>
        <v>0.15</v>
      </c>
      <c r="L96" s="58">
        <f>IF(ISERROR(VLOOKUP(I96,[5]lsmw!$F$2:$H$1048576,3,0)),VLOOKUP(I96,[5]lsmw!$A$2:$C$1048576,3,0),VLOOKUP(I96,[5]lsmw!$F$2:$H$1048576,3,0))</f>
        <v>14.03</v>
      </c>
      <c r="M96" s="58">
        <f>J96*L96/100</f>
        <v>2.1044999999999998</v>
      </c>
      <c r="N96" s="41">
        <v>6</v>
      </c>
      <c r="O96" s="59">
        <f>J96*N96/100</f>
        <v>0.9</v>
      </c>
      <c r="P96" s="60"/>
      <c r="Q96" s="228"/>
      <c r="R96" s="228"/>
    </row>
    <row r="97" spans="3:18" ht="16.5" thickBot="1">
      <c r="C97" s="1016"/>
      <c r="D97" s="1017"/>
      <c r="E97" s="1018"/>
      <c r="F97" s="1019"/>
      <c r="G97" s="1024"/>
      <c r="H97" s="56" t="str">
        <f>VLOOKUP(I97,[6]baza2!$C$1:$D$65536,2,0)</f>
        <v>TŁUSZCZ DR.USR PBX USRST2</v>
      </c>
      <c r="I97" s="74">
        <v>3025270</v>
      </c>
      <c r="J97" s="40">
        <v>6</v>
      </c>
      <c r="K97" s="64">
        <f>+G94*(J97/100)</f>
        <v>0.06</v>
      </c>
      <c r="L97" s="58">
        <f>IF(ISERROR(VLOOKUP(I97,[5]lsmw!$F$2:$H$1048576,3,0)),VLOOKUP(I97,[5]lsmw!$A$2:$C$1048576,3,0),VLOOKUP(I97,[5]lsmw!$F$2:$H$1048576,3,0))</f>
        <v>3.5</v>
      </c>
      <c r="M97" s="58">
        <f>J97*L97/100</f>
        <v>0.21</v>
      </c>
      <c r="N97" s="41">
        <v>78</v>
      </c>
      <c r="O97" s="59">
        <f>J97*N97/100</f>
        <v>4.68</v>
      </c>
      <c r="P97" s="60"/>
      <c r="Q97" s="228"/>
      <c r="R97" s="228"/>
    </row>
    <row r="98" spans="3:18" ht="16.5" thickBot="1">
      <c r="C98" s="65"/>
      <c r="D98" s="66"/>
      <c r="E98" s="66"/>
      <c r="F98" s="66"/>
      <c r="G98" s="66"/>
      <c r="H98" s="66"/>
      <c r="I98" s="66"/>
      <c r="J98" s="66"/>
      <c r="K98" s="66">
        <f>SUM(K94:K97)</f>
        <v>1</v>
      </c>
      <c r="L98" s="67"/>
      <c r="M98" s="68">
        <f>SUM(M94:M97)</f>
        <v>13.5875</v>
      </c>
      <c r="N98" s="69"/>
      <c r="O98" s="70">
        <f>SUM(O94:O97)</f>
        <v>10.32</v>
      </c>
      <c r="P98" s="60"/>
      <c r="Q98" s="228"/>
      <c r="R98" s="228"/>
    </row>
    <row r="99" spans="3:18" ht="15.75">
      <c r="C99" s="60"/>
      <c r="D99" s="71"/>
      <c r="E99" s="71"/>
      <c r="F99" s="72" t="s">
        <v>122</v>
      </c>
      <c r="G99" s="72">
        <f>+G94*F94</f>
        <v>14.6</v>
      </c>
      <c r="H99" s="71"/>
      <c r="I99" s="71"/>
      <c r="J99" s="71">
        <f>J94+J95+J97+J96</f>
        <v>100</v>
      </c>
      <c r="K99" s="71"/>
      <c r="L99" s="71"/>
      <c r="M99" s="72">
        <f>+K98*M98</f>
        <v>13.5875</v>
      </c>
      <c r="N99" s="72"/>
      <c r="O99" s="72"/>
      <c r="P99" s="73">
        <f>+G99-M99</f>
        <v>1.0124999999999993</v>
      </c>
      <c r="Q99" s="228"/>
      <c r="R99" s="228"/>
    </row>
    <row r="100" spans="3:18" ht="15.75">
      <c r="C100" s="454"/>
      <c r="D100" s="454"/>
      <c r="E100" s="453"/>
      <c r="F100" s="460"/>
      <c r="G100" s="461"/>
      <c r="H100" s="452"/>
      <c r="I100" s="453"/>
      <c r="J100" s="453"/>
      <c r="K100" s="454"/>
      <c r="L100" s="450"/>
      <c r="M100" s="450"/>
      <c r="N100" s="455"/>
      <c r="O100" s="450"/>
      <c r="P100" s="449"/>
      <c r="Q100" s="228"/>
      <c r="R100" s="228"/>
    </row>
    <row r="101" spans="3:18" ht="15.75">
      <c r="C101" s="454"/>
      <c r="D101" s="454"/>
      <c r="E101" s="453"/>
      <c r="F101" s="460"/>
      <c r="G101" s="461"/>
      <c r="H101" s="452"/>
      <c r="I101" s="456"/>
      <c r="J101" s="453"/>
      <c r="K101" s="457"/>
      <c r="L101" s="450"/>
      <c r="M101" s="450"/>
      <c r="N101" s="455"/>
      <c r="O101" s="450"/>
      <c r="P101" s="449"/>
      <c r="Q101" s="228"/>
      <c r="R101" s="228"/>
    </row>
    <row r="102" spans="3:18" ht="15.75">
      <c r="C102" s="449"/>
      <c r="D102" s="449"/>
      <c r="E102" s="449"/>
      <c r="F102" s="449"/>
      <c r="G102" s="449"/>
      <c r="H102" s="449"/>
      <c r="I102" s="449"/>
      <c r="J102" s="449"/>
      <c r="K102" s="449"/>
      <c r="L102" s="449"/>
      <c r="M102" s="458"/>
      <c r="N102" s="450"/>
      <c r="O102" s="459"/>
      <c r="P102" s="449"/>
      <c r="Q102" s="228"/>
      <c r="R102" s="228"/>
    </row>
    <row r="103" spans="3:18" ht="15.75">
      <c r="C103" s="449"/>
      <c r="D103" s="449"/>
      <c r="E103" s="449"/>
      <c r="F103" s="450"/>
      <c r="G103" s="450"/>
      <c r="H103" s="449"/>
      <c r="I103" s="449"/>
      <c r="J103" s="449"/>
      <c r="K103" s="449"/>
      <c r="L103" s="449"/>
      <c r="M103" s="450"/>
      <c r="N103" s="450"/>
      <c r="O103" s="450"/>
      <c r="P103" s="451"/>
      <c r="Q103" s="228"/>
      <c r="R103" s="228"/>
    </row>
    <row r="104" spans="3:18" ht="15.75" thickBot="1"/>
    <row r="105" spans="3:18" ht="48" thickTop="1">
      <c r="C105" s="99" t="s">
        <v>114</v>
      </c>
      <c r="D105" s="100" t="s">
        <v>192</v>
      </c>
      <c r="E105" s="100" t="s">
        <v>193</v>
      </c>
      <c r="F105" s="101" t="s">
        <v>118</v>
      </c>
    </row>
    <row r="106" spans="3:18" ht="15.75">
      <c r="C106" s="102" t="str">
        <f>VLOOKUP(E106,[6]baza2!$C$1:$D$65536,2,0)</f>
        <v>PL SZYN.1.5D PBX ST2</v>
      </c>
      <c r="D106" s="56">
        <v>12020907</v>
      </c>
      <c r="E106" s="40">
        <v>3025789</v>
      </c>
      <c r="F106" s="103">
        <v>20</v>
      </c>
    </row>
    <row r="107" spans="3:18" ht="31.5">
      <c r="C107" s="104" t="str">
        <f>VLOOKUP(E107,[6]baza2!$C$1:$D$65536,2,0)</f>
        <v>PL SZYN.B/K/MŚ.DWUG/MŚ.PÓŁ.1205 PBX ST2</v>
      </c>
      <c r="D107" s="56">
        <v>12220907</v>
      </c>
      <c r="E107" s="74">
        <v>3025121</v>
      </c>
      <c r="F107" s="103">
        <v>10</v>
      </c>
    </row>
    <row r="108" spans="3:18" ht="15.75">
      <c r="C108" s="102" t="str">
        <f>VLOOKUP(E108,[6]baza2!$C$1:$D$65536,2,0)</f>
        <v>PL ŁOP.1.5D PBX ST2</v>
      </c>
      <c r="D108" s="56">
        <v>13150907</v>
      </c>
      <c r="E108" s="40">
        <v>3025511</v>
      </c>
      <c r="F108" s="103">
        <v>22</v>
      </c>
    </row>
    <row r="109" spans="3:18" ht="15.75">
      <c r="C109" s="102" t="str">
        <f>VLOOKUP(E109,[6]baza2!$C$1:$D$65536,2,0)</f>
        <v>PRZEP.KL2 CH2</v>
      </c>
      <c r="D109" s="98">
        <v>19230900</v>
      </c>
      <c r="E109" s="40">
        <v>3020278</v>
      </c>
      <c r="F109" s="103">
        <v>18</v>
      </c>
    </row>
    <row r="110" spans="3:18" ht="15.75">
      <c r="C110" s="102" t="str">
        <f>VLOOKUP(E110,[6]baza2!$C$1:$D$65536,2,0)</f>
        <v>PL PODG.B/S.PBX ST2</v>
      </c>
      <c r="D110" s="98">
        <v>20030907</v>
      </c>
      <c r="E110" s="40">
        <v>3025229</v>
      </c>
      <c r="F110" s="103">
        <v>55</v>
      </c>
    </row>
    <row r="111" spans="3:18" ht="15.75">
      <c r="C111" s="105" t="str">
        <f>VLOOKUP(E111,[6]baza2!$C$1:$D$65536,2,0)</f>
        <v>EU M-SO WP.DR.KL1 CIE.Z SZYN.PBX2</v>
      </c>
      <c r="D111" s="97">
        <v>22030907</v>
      </c>
      <c r="E111" s="40">
        <v>3025250</v>
      </c>
      <c r="F111" s="103">
        <v>6</v>
      </c>
    </row>
    <row r="112" spans="3:18" ht="15.75">
      <c r="C112" s="102" t="str">
        <f>VLOOKUP(E112,[6]baza2!$C$1:$D$65536,2,0)</f>
        <v>EU M-SO WP.DR.KL2A USR PBX ST2</v>
      </c>
      <c r="D112" s="56">
        <v>22043907</v>
      </c>
      <c r="E112" s="40">
        <v>3025252</v>
      </c>
      <c r="F112" s="103">
        <v>20</v>
      </c>
    </row>
    <row r="113" spans="3:6" ht="15.75">
      <c r="C113" s="102" t="str">
        <f>VLOOKUP(E113,[6]baza2!$C$1:$D$65536,2,0)</f>
        <v>EU M-SO WP.DR.KL2B USR PBX2</v>
      </c>
      <c r="D113" s="56">
        <v>22053907</v>
      </c>
      <c r="E113" s="40">
        <v>3025254</v>
      </c>
      <c r="F113" s="103">
        <v>40</v>
      </c>
    </row>
    <row r="114" spans="3:6" ht="15.75">
      <c r="C114" s="102" t="str">
        <f>VLOOKUP(E114,[6]baza2!$C$1:$D$65536,2,0)</f>
        <v>EU M-SO WP.DR.KL3A Z SZYN.PBX2</v>
      </c>
      <c r="D114" s="56">
        <v>22062907</v>
      </c>
      <c r="E114" s="40">
        <v>3025256</v>
      </c>
      <c r="F114" s="103">
        <v>25</v>
      </c>
    </row>
    <row r="115" spans="3:6" ht="15.75">
      <c r="C115" s="102" t="str">
        <f>VLOOKUP(E115,[6]baza2!$C$1:$D$65536,2,0)</f>
        <v>EU M-SO WP.DR.KL3A PBX USR ST2</v>
      </c>
      <c r="D115" s="56">
        <v>22063907</v>
      </c>
      <c r="E115" s="40">
        <v>3025257</v>
      </c>
      <c r="F115" s="103">
        <v>25</v>
      </c>
    </row>
    <row r="116" spans="3:6" ht="15.75">
      <c r="C116" s="102" t="str">
        <f>VLOOKUP(E116,[6]baza2!$C$1:$D$65536,2,0)</f>
        <v>EU M-SO WP.DR.KL1 CIE.USR PBX2</v>
      </c>
      <c r="D116" s="56">
        <v>22133907</v>
      </c>
      <c r="E116" s="40">
        <v>3025262</v>
      </c>
      <c r="F116" s="103">
        <v>6</v>
      </c>
    </row>
    <row r="117" spans="3:6" ht="15.75">
      <c r="C117" s="102" t="str">
        <f>VLOOKUP(E117,[6]baza2!$C$1:$D$65536,2,0)</f>
        <v>TŁUSZCZ DR.Z SZYN.PBX2</v>
      </c>
      <c r="D117" s="56">
        <v>23162907</v>
      </c>
      <c r="E117" s="74">
        <v>3025269</v>
      </c>
      <c r="F117" s="103">
        <v>78</v>
      </c>
    </row>
    <row r="118" spans="3:6" ht="15.75">
      <c r="C118" s="105" t="str">
        <f>VLOOKUP(E118,[6]baza2!$C$1:$D$65536,2,0)</f>
        <v>TŁUSZCZ DR.USR PBX USRST2</v>
      </c>
      <c r="D118" s="97">
        <v>23163907</v>
      </c>
      <c r="E118" s="74">
        <v>3025270</v>
      </c>
      <c r="F118" s="103">
        <v>78</v>
      </c>
    </row>
    <row r="119" spans="3:6" ht="15.75">
      <c r="C119" s="102" t="str">
        <f>VLOOKUP(E119,[6]baza2!$C$1:$D$65536,2,0)</f>
        <v>EU M-SO WP.DR.KL2B Z SZYN.PBX2</v>
      </c>
      <c r="D119" s="98">
        <v>22052907</v>
      </c>
      <c r="E119" s="40">
        <v>3025253</v>
      </c>
      <c r="F119" s="103">
        <v>40</v>
      </c>
    </row>
    <row r="120" spans="3:6" ht="15.75">
      <c r="C120" s="102" t="str">
        <f>VLOOKUP(E120,[6]baza2!$C$1:$D$65536,2,0)</f>
        <v>EU TRYM.WP.60/40 PBX ST2</v>
      </c>
      <c r="D120" s="98">
        <v>21970907</v>
      </c>
      <c r="E120" s="40">
        <v>3025248</v>
      </c>
      <c r="F120" s="103">
        <v>40</v>
      </c>
    </row>
    <row r="121" spans="3:6" ht="15.75">
      <c r="C121" s="102" t="str">
        <f>VLOOKUP(E121,[6]baza2!$C$1:$D$65536,2,0)</f>
        <v>EU M-SO WP.DR.KL4 CIE.Z SZYN.PBX2</v>
      </c>
      <c r="D121" s="98">
        <v>22092907</v>
      </c>
      <c r="E121" s="40">
        <v>3032222</v>
      </c>
      <c r="F121" s="103">
        <v>36</v>
      </c>
    </row>
    <row r="122" spans="3:6" ht="15.75">
      <c r="C122" s="102" t="str">
        <f>VLOOKUP(E122,[6]baza2!$C$1:$D$65536,2,0)</f>
        <v>M-SO WP.KL3 ŻWACZE PBX2</v>
      </c>
      <c r="D122" s="98">
        <v>22065907</v>
      </c>
      <c r="E122" s="40">
        <v>3037135</v>
      </c>
      <c r="F122" s="103">
        <v>25</v>
      </c>
    </row>
    <row r="123" spans="3:6" ht="15.75">
      <c r="C123" s="102" t="str">
        <f>VLOOKUP(E123,[6]baza2!$C$1:$D$65536,2,0)</f>
        <v>EU M-SO WP.DR.KL2A Z SZYN.PBX2</v>
      </c>
      <c r="D123" s="98">
        <v>22042907</v>
      </c>
      <c r="E123" s="40">
        <v>3025251</v>
      </c>
      <c r="F123" s="103">
        <v>20</v>
      </c>
    </row>
    <row r="124" spans="3:6" ht="15.75">
      <c r="C124" s="102" t="str">
        <f>VLOOKUP(E124,[6]baza2!$C$1:$D$65536,2,0)</f>
        <v>EU M-SO WP.DR.KL2A Z ŁOP.PBX ST2</v>
      </c>
      <c r="D124" s="98">
        <v>22140907</v>
      </c>
      <c r="E124" s="40">
        <v>3025263</v>
      </c>
      <c r="F124" s="103">
        <v>20</v>
      </c>
    </row>
    <row r="125" spans="3:6" ht="15.75">
      <c r="C125" s="102" t="str">
        <f>VLOOKUP(E125,[6]baza2!$C$1:$D$65536,2,0)</f>
        <v>EU M-SO WP.DR.KL4 CIE.PBX USR ST2</v>
      </c>
      <c r="D125" s="56">
        <v>22093907</v>
      </c>
      <c r="E125" s="40">
        <v>3025260</v>
      </c>
      <c r="F125" s="103">
        <v>36</v>
      </c>
    </row>
    <row r="126" spans="3:6" ht="15.75">
      <c r="C126" s="102" t="str">
        <f>VLOOKUP(E126,[6]baza2!$C$1:$D$65536,2,0)</f>
        <v>EU M-SO WP.DR.KL3B USR CH2</v>
      </c>
      <c r="D126" s="56">
        <v>22083900</v>
      </c>
      <c r="E126" s="40">
        <v>3020314</v>
      </c>
      <c r="F126" s="103">
        <v>20</v>
      </c>
    </row>
    <row r="127" spans="3:6" ht="15.75">
      <c r="C127" s="102" t="str">
        <f>VLOOKUP(E127,[6]baza2!$C$1:$D$65536,2,0)</f>
        <v>PL ŁOP.2D PBX CH2</v>
      </c>
      <c r="D127" s="56">
        <v>19450907</v>
      </c>
      <c r="E127" s="40">
        <v>3025220</v>
      </c>
      <c r="F127" s="103">
        <v>25</v>
      </c>
    </row>
    <row r="128" spans="3:6" ht="15.75">
      <c r="C128" s="102" t="s">
        <v>194</v>
      </c>
      <c r="D128" s="56">
        <v>12550907</v>
      </c>
      <c r="E128" s="40">
        <v>3025131</v>
      </c>
      <c r="F128" s="103">
        <v>10</v>
      </c>
    </row>
    <row r="129" spans="3:6" ht="15.75">
      <c r="C129" s="102" t="s">
        <v>195</v>
      </c>
      <c r="D129" s="56">
        <v>19300907</v>
      </c>
      <c r="E129" s="40">
        <v>3025216</v>
      </c>
      <c r="F129" s="103">
        <v>22</v>
      </c>
    </row>
    <row r="130" spans="3:6" ht="15.75">
      <c r="C130" s="102" t="s">
        <v>196</v>
      </c>
      <c r="D130" s="56">
        <v>16240907</v>
      </c>
      <c r="E130" s="40">
        <v>3025193</v>
      </c>
      <c r="F130" s="103">
        <v>10</v>
      </c>
    </row>
    <row r="131" spans="3:6" ht="15.75">
      <c r="C131" s="102" t="str">
        <f>VLOOKUP(E131,[6]baza2!$C$1:$D$65536,2,0)</f>
        <v>POLICZEK WEW.WP.CH2</v>
      </c>
      <c r="D131" s="56">
        <v>18990900</v>
      </c>
      <c r="E131" s="40">
        <v>3024697</v>
      </c>
      <c r="F131" s="103">
        <v>25</v>
      </c>
    </row>
    <row r="132" spans="3:6" ht="15.75">
      <c r="C132" s="102" t="str">
        <f>VLOOKUP(E132,[6]baza2!$C$1:$D$65536,2,0)</f>
        <v>M-SO WP.ODŚC.80/20 PBX2</v>
      </c>
      <c r="D132" s="56">
        <v>22086907</v>
      </c>
      <c r="E132" s="40">
        <v>3025259</v>
      </c>
      <c r="F132" s="103">
        <v>20</v>
      </c>
    </row>
    <row r="133" spans="3:6" ht="15.75">
      <c r="C133" s="102" t="s">
        <v>197</v>
      </c>
      <c r="D133" s="56">
        <v>12652900</v>
      </c>
      <c r="E133" s="40">
        <v>3020236</v>
      </c>
      <c r="F133" s="103">
        <v>2</v>
      </c>
    </row>
    <row r="134" spans="3:6" ht="15.75">
      <c r="C134" s="405" t="s">
        <v>371</v>
      </c>
      <c r="D134" s="56">
        <v>27960000</v>
      </c>
      <c r="E134" s="284">
        <v>3015913</v>
      </c>
      <c r="F134" s="103">
        <v>6</v>
      </c>
    </row>
    <row r="135" spans="3:6" ht="15.75">
      <c r="C135" s="102" t="s">
        <v>14219</v>
      </c>
      <c r="D135" s="56">
        <v>21940000</v>
      </c>
      <c r="E135" s="406"/>
      <c r="F135" s="103">
        <v>30</v>
      </c>
    </row>
    <row r="136" spans="3:6" ht="16.5" thickBot="1">
      <c r="C136" s="106" t="s">
        <v>14220</v>
      </c>
      <c r="D136" s="107">
        <v>12450907</v>
      </c>
      <c r="E136" s="227">
        <v>3020226</v>
      </c>
      <c r="F136" s="108">
        <v>6</v>
      </c>
    </row>
    <row r="137" spans="3:6" ht="15.75" thickTop="1"/>
  </sheetData>
  <mergeCells count="55">
    <mergeCell ref="C94:C97"/>
    <mergeCell ref="D94:D97"/>
    <mergeCell ref="E94:E97"/>
    <mergeCell ref="F94:F97"/>
    <mergeCell ref="G94:G97"/>
    <mergeCell ref="C86:C87"/>
    <mergeCell ref="D86:D87"/>
    <mergeCell ref="E86:E87"/>
    <mergeCell ref="F86:F87"/>
    <mergeCell ref="G86:G87"/>
    <mergeCell ref="C76:C77"/>
    <mergeCell ref="D76:D77"/>
    <mergeCell ref="E76:E77"/>
    <mergeCell ref="F76:F77"/>
    <mergeCell ref="G76:G77"/>
    <mergeCell ref="C15:C17"/>
    <mergeCell ref="D15:D17"/>
    <mergeCell ref="E15:E17"/>
    <mergeCell ref="F15:F17"/>
    <mergeCell ref="G15:G17"/>
    <mergeCell ref="C5:C8"/>
    <mergeCell ref="D5:D8"/>
    <mergeCell ref="E5:E8"/>
    <mergeCell ref="F5:F8"/>
    <mergeCell ref="G5:G8"/>
    <mergeCell ref="C31:C34"/>
    <mergeCell ref="D31:D34"/>
    <mergeCell ref="E31:E34"/>
    <mergeCell ref="F31:F34"/>
    <mergeCell ref="G31:G34"/>
    <mergeCell ref="C23:C25"/>
    <mergeCell ref="D23:D25"/>
    <mergeCell ref="E23:E25"/>
    <mergeCell ref="F23:F25"/>
    <mergeCell ref="G23:G25"/>
    <mergeCell ref="C49:C51"/>
    <mergeCell ref="D49:D51"/>
    <mergeCell ref="E49:E51"/>
    <mergeCell ref="F49:F51"/>
    <mergeCell ref="G49:G51"/>
    <mergeCell ref="C40:C42"/>
    <mergeCell ref="D40:D42"/>
    <mergeCell ref="E40:E42"/>
    <mergeCell ref="F40:F42"/>
    <mergeCell ref="G40:G42"/>
    <mergeCell ref="C65:C69"/>
    <mergeCell ref="D65:D69"/>
    <mergeCell ref="E65:E69"/>
    <mergeCell ref="F65:F69"/>
    <mergeCell ref="G65:G69"/>
    <mergeCell ref="C57:C59"/>
    <mergeCell ref="D57:D59"/>
    <mergeCell ref="E57:E59"/>
    <mergeCell ref="F57:F59"/>
    <mergeCell ref="G57:G59"/>
  </mergeCells>
  <pageMargins left="0.7" right="0.7" top="0.75" bottom="0.75" header="0.3" footer="0.3"/>
  <pageSetup paperSize="9" scale="4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E88B3-F301-4302-BE8D-09092E93298C}">
  <sheetPr codeName="Arkusz22"/>
  <dimension ref="C1:P256"/>
  <sheetViews>
    <sheetView topLeftCell="A26" zoomScale="70" zoomScaleNormal="70" workbookViewId="0">
      <selection activeCell="F43" sqref="F43"/>
    </sheetView>
  </sheetViews>
  <sheetFormatPr defaultColWidth="8.5703125" defaultRowHeight="15"/>
  <cols>
    <col min="2" max="2" width="4.5703125" customWidth="1"/>
    <col min="3" max="3" width="11.42578125" customWidth="1"/>
    <col min="4" max="4" width="44.5703125" customWidth="1"/>
    <col min="5" max="5" width="11.42578125" customWidth="1"/>
    <col min="6" max="6" width="20.5703125" customWidth="1"/>
    <col min="7" max="7" width="14.42578125" customWidth="1"/>
    <col min="8" max="8" width="32.7109375" customWidth="1"/>
    <col min="9" max="9" width="15.42578125" customWidth="1"/>
    <col min="10" max="10" width="12.42578125" customWidth="1"/>
    <col min="11" max="11" width="9.42578125" bestFit="1" customWidth="1"/>
    <col min="12" max="12" width="12" customWidth="1"/>
    <col min="13" max="13" width="20" customWidth="1"/>
    <col min="14" max="14" width="16.42578125" customWidth="1"/>
    <col min="15" max="15" width="19.42578125" bestFit="1" customWidth="1"/>
    <col min="20" max="20" width="41" bestFit="1" customWidth="1"/>
    <col min="21" max="21" width="8.5703125" bestFit="1" customWidth="1"/>
    <col min="22" max="22" width="10.5703125" bestFit="1" customWidth="1"/>
    <col min="23" max="23" width="12.42578125" bestFit="1" customWidth="1"/>
    <col min="24" max="24" width="13.42578125" customWidth="1"/>
  </cols>
  <sheetData>
    <row r="1" spans="3:16" ht="15.75" thickBot="1"/>
    <row r="2" spans="3:16" ht="20.25" thickTop="1" thickBot="1">
      <c r="C2" s="1061" t="s">
        <v>17983</v>
      </c>
      <c r="D2" s="1047" t="s">
        <v>15558</v>
      </c>
      <c r="E2" s="1048"/>
      <c r="F2" s="1048"/>
      <c r="G2" s="1048"/>
      <c r="H2" s="752" t="s">
        <v>17980</v>
      </c>
      <c r="I2" s="753"/>
      <c r="J2" s="753"/>
      <c r="K2" s="753"/>
      <c r="L2" s="753"/>
      <c r="M2" s="753"/>
      <c r="N2" s="754"/>
      <c r="O2" s="228"/>
    </row>
    <row r="3" spans="3:16" ht="39" thickTop="1" thickBot="1">
      <c r="C3" s="1061"/>
      <c r="D3" s="698" t="s">
        <v>111</v>
      </c>
      <c r="E3" s="515" t="s">
        <v>17327</v>
      </c>
      <c r="F3" s="515"/>
      <c r="G3" s="515" t="s">
        <v>17331</v>
      </c>
      <c r="H3" s="699" t="s">
        <v>114</v>
      </c>
      <c r="I3" s="699" t="s">
        <v>115</v>
      </c>
      <c r="J3" s="699" t="s">
        <v>116</v>
      </c>
      <c r="K3" s="515" t="s">
        <v>17326</v>
      </c>
      <c r="L3" s="515" t="s">
        <v>17332</v>
      </c>
      <c r="M3" s="515" t="s">
        <v>118</v>
      </c>
      <c r="N3" s="516" t="s">
        <v>119</v>
      </c>
      <c r="O3" s="55"/>
      <c r="P3" s="228"/>
    </row>
    <row r="4" spans="3:16" ht="16.5" thickTop="1">
      <c r="C4" s="1061"/>
      <c r="D4" s="1034" t="s">
        <v>17867</v>
      </c>
      <c r="E4" s="1028">
        <v>9.51</v>
      </c>
      <c r="F4" s="1039">
        <v>15000</v>
      </c>
      <c r="G4" s="523">
        <v>11</v>
      </c>
      <c r="H4" s="700" t="str">
        <f>IF(G4="","",CHOOSE(G4,$D$223,$D$224,$D$225,$D$226,$D$227,$D$228,$D$229,$D$230,$D$231,$D$232,$D$233,$D$234,$D$235,$D$236,$D$237,$D$238,$D$239,$D$240,$D$241,$D$242,$D$243,$D$244,$D$245,$D$246,$D$247,$D$248,$D$249))</f>
        <v>2670 - M-SO DROBNE KL2B</v>
      </c>
      <c r="I4" s="524">
        <v>0.875</v>
      </c>
      <c r="J4" s="701">
        <f>+F4*I4</f>
        <v>13125</v>
      </c>
      <c r="K4" s="702">
        <f>IF(G4="","",CHOOSE(G4,$E$223,$E$224,$E$225,$E$226,$E$227,$E$228,$E$229,$E$230,$E$231,$E$232,$E$233,$E$234,$E$235,$E$236,$E$237,$E$238,$E$239,$E$240,$E$241,$E$242,$E$243,$E$244,$E$245,$E$246,$E$247,$E$248,$E$249))</f>
        <v>9.4</v>
      </c>
      <c r="L4" s="485">
        <f>IF(I4="","",I4*K4)</f>
        <v>8.2249999999999996</v>
      </c>
      <c r="M4" s="525">
        <f>IF(G4="","",CHOOSE(G4,$F$223,$F$224,$F$225,$F$226,$F$227,$F$228,$F$229,$F$230,$F$231,$F$232,$F$233,$F$234,$F$235,$F$236,$F$237,$F$238,$F$239,$F$240,$F$241,$F$242,$F$243,$F$244,$F$245,$F$246,$F$247,$F$248,$F$249))</f>
        <v>0.4</v>
      </c>
      <c r="N4" s="486">
        <f>I4*M4</f>
        <v>0.35000000000000003</v>
      </c>
      <c r="O4" s="526"/>
      <c r="P4" s="527"/>
    </row>
    <row r="5" spans="3:16" ht="15.75">
      <c r="C5" s="1061"/>
      <c r="D5" s="1035"/>
      <c r="E5" s="1029"/>
      <c r="F5" s="1040"/>
      <c r="G5" s="528">
        <v>15</v>
      </c>
      <c r="H5" s="703" t="str">
        <f>IF(G5="","",CHOOSE(G5,$D$223,$D$224,$D$225,$D$226,$D$227,$D$228,$D$229,$D$230,$D$231,$D$232,$D$233,$D$234,$D$235,$D$236,$D$237,$D$238,$D$239,$D$240,$D$241,$D$242,$D$243,$D$244,$D$245,$D$246,$D$247,$D$248,$D$249))</f>
        <v>2685 - M-SO DROBNE KL4</v>
      </c>
      <c r="I5" s="529">
        <v>0.05</v>
      </c>
      <c r="J5" s="704">
        <f>+F4*I5</f>
        <v>750</v>
      </c>
      <c r="K5" s="705">
        <f>IF(G5="","",CHOOSE(G5,$E$223,$E$224,$E$225,$E$226,$E$227,$E$228,$E$229,$E$230,$E$231,$E$232,$E$233,$E$234,$E$235,$E$236,$E$237,$E$238,$E$239,$E$240,$E$241,$E$242,$E$243,$E$244,$E$245,$E$246,$E$247,$E$248,$E$249))</f>
        <v>7</v>
      </c>
      <c r="L5" s="484">
        <f t="shared" ref="L5:L6" si="0">IF(I5="","",I5*K5)</f>
        <v>0.35000000000000003</v>
      </c>
      <c r="M5" s="530">
        <f>IF(G5="","",CHOOSE(G5,$F$223,$F$224,$F$225,$F$226,$F$227,$F$228,$F$229,$F$230,$F$231,$F$232,$F$233,$F$234,$F$235,$F$236,$F$237,$F$238,$F$239,$F$240,$F$241,$F$242,$F$243,$F$244,$F$245,$F$246,$F$247,$F$248,$F$249))</f>
        <v>0.35</v>
      </c>
      <c r="N5" s="487">
        <f>I5*M5</f>
        <v>1.7499999999999998E-2</v>
      </c>
      <c r="O5" s="526"/>
      <c r="P5" s="527"/>
    </row>
    <row r="6" spans="3:16" ht="15.75">
      <c r="C6" s="1061"/>
      <c r="D6" s="1035"/>
      <c r="E6" s="1029"/>
      <c r="F6" s="1040"/>
      <c r="G6" s="528">
        <v>24</v>
      </c>
      <c r="H6" s="703" t="str">
        <f>IF(G6="","",CHOOSE(G6,$D$223,$D$224,$D$225,$D$226,$D$227,$D$228,$D$229,$D$230,$D$231,$D$232,$D$233,$D$234,$D$235,$D$236,$D$237,$D$238,$D$239,$D$240,$D$241,$D$242,$D$243,$D$244,$D$245,$D$246,$D$247,$D$248,$D$249))</f>
        <v>2710 - TŁUSZCZ DR.</v>
      </c>
      <c r="I6" s="529">
        <v>2.5000000000000001E-2</v>
      </c>
      <c r="J6" s="704">
        <f>+F4*I6</f>
        <v>375</v>
      </c>
      <c r="K6" s="705">
        <f>IF(G6="","",CHOOSE(G6,$E$223,$E$224,$E$225,$E$226,$E$227,$E$228,$E$229,$E$230,$E$231,$E$232,$E$233,$E$234,$E$235,$E$236,$E$237,$E$238,$E$239,$E$240,$E$241,$E$242,$E$243,$E$244,$E$245,$E$246,$E$247,$E$248,$E$249))</f>
        <v>3.5</v>
      </c>
      <c r="L6" s="484">
        <f t="shared" si="0"/>
        <v>8.7500000000000008E-2</v>
      </c>
      <c r="M6" s="530">
        <f>IF(G6="","",CHOOSE(G6,$F$223,$F$224,$F$225,$F$226,$F$227,$F$228,$F$229,$F$230,$F$231,$F$232,$F$233,$F$234,$F$235,$F$236,$F$237,$F$238,$F$239,$F$240,$F$241,$F$242,$F$243,$F$244,$F$245,$F$246,$F$247,$F$248,$F$249))</f>
        <v>0.78</v>
      </c>
      <c r="N6" s="487">
        <f>I6*M6</f>
        <v>1.9500000000000003E-2</v>
      </c>
      <c r="O6" s="526"/>
      <c r="P6" s="527"/>
    </row>
    <row r="7" spans="3:16" ht="16.5" thickBot="1">
      <c r="C7" s="1061"/>
      <c r="D7" s="1056"/>
      <c r="E7" s="1030"/>
      <c r="F7" s="1041"/>
      <c r="G7" s="626">
        <v>13</v>
      </c>
      <c r="H7" s="703" t="str">
        <f>IF(G7="","",CHOOSE(G7,$D$223,$D$224,$D$225,$D$226,$D$227,$D$228,$D$229,$D$230,$D$231,$D$232,$D$233,$D$234,$D$235,$D$236,$D$237,$D$238,$D$239,$D$240,$D$241,$D$242,$D$243,$D$244,$D$245,$D$246,$D$247,$D$248,$D$249))</f>
        <v>2675 - M-SO DROBNE KL3A</v>
      </c>
      <c r="I7" s="529">
        <v>0.05</v>
      </c>
      <c r="J7" s="704">
        <f>+F4*I7</f>
        <v>750</v>
      </c>
      <c r="K7" s="705">
        <f>IF(G7="","",CHOOSE(G7,$E$223,$E$224,$E$225,$E$226,$E$227,$E$228,$E$229,$E$230,$E$231,$E$232,$E$233,$E$234,$E$235,$E$236,$E$237,$E$238,$E$239,$E$240,$E$241,$E$242,$E$243,$E$244,$E$245,$E$246,$E$247,$E$248,$E$249))</f>
        <v>12.7</v>
      </c>
      <c r="L7" s="484">
        <f t="shared" ref="L7" si="1">IF(I7="","",I7*K7)</f>
        <v>0.63500000000000001</v>
      </c>
      <c r="M7" s="530">
        <f>IF(G7="","",CHOOSE(G7,$F$223,$F$224,$F$225,$F$226,$F$227,$F$228,$F$229,$F$230,$F$231,$F$232,$F$233,$F$234,$F$235,$F$236,$F$237,$F$238,$F$239,$F$240,$F$241,$F$242,$F$243,$F$244,$F$245,$F$246,$F$247,$F$248,$F$249))</f>
        <v>0.25</v>
      </c>
      <c r="N7" s="488">
        <f>I7*M7</f>
        <v>1.2500000000000001E-2</v>
      </c>
      <c r="O7" s="1052" t="s">
        <v>120</v>
      </c>
      <c r="P7" s="1052"/>
    </row>
    <row r="8" spans="3:16" ht="17.25" thickTop="1" thickBot="1">
      <c r="C8" s="1061"/>
      <c r="D8" s="709"/>
      <c r="E8" s="517"/>
      <c r="F8" s="710"/>
      <c r="G8" s="710"/>
      <c r="H8" s="710"/>
      <c r="I8" s="711">
        <f>SUM(I4:I7)</f>
        <v>1</v>
      </c>
      <c r="J8" s="710">
        <f>SUM(J4:J7)</f>
        <v>15000</v>
      </c>
      <c r="K8" s="710"/>
      <c r="L8" s="518">
        <f>SUM(L4:L7)</f>
        <v>9.2974999999999994</v>
      </c>
      <c r="M8" s="517"/>
      <c r="N8" s="519">
        <f>SUM(N4:N7)</f>
        <v>0.39950000000000008</v>
      </c>
      <c r="O8" s="520">
        <f>(+E4*F4)-(L8*F4)</f>
        <v>3187.5</v>
      </c>
      <c r="P8" s="228" t="s">
        <v>15360</v>
      </c>
    </row>
    <row r="9" spans="3:16" ht="15.75" thickTop="1"/>
    <row r="10" spans="3:16" ht="15.75" thickBot="1"/>
    <row r="11" spans="3:16" ht="20.25" thickTop="1" thickBot="1">
      <c r="C11" s="1061" t="s">
        <v>17984</v>
      </c>
      <c r="D11" s="1042" t="s">
        <v>15554</v>
      </c>
      <c r="E11" s="1043"/>
      <c r="F11" s="1043"/>
      <c r="G11" s="1043"/>
      <c r="H11" s="696"/>
      <c r="I11" s="696"/>
      <c r="J11" s="696"/>
      <c r="K11" s="696"/>
      <c r="L11" s="696"/>
      <c r="M11" s="696"/>
      <c r="N11" s="697"/>
      <c r="O11" s="228"/>
    </row>
    <row r="12" spans="3:16" ht="39" thickTop="1" thickBot="1">
      <c r="C12" s="1061"/>
      <c r="D12" s="698" t="s">
        <v>111</v>
      </c>
      <c r="E12" s="515" t="s">
        <v>17327</v>
      </c>
      <c r="F12" s="515"/>
      <c r="G12" s="515" t="s">
        <v>17331</v>
      </c>
      <c r="H12" s="699" t="s">
        <v>114</v>
      </c>
      <c r="I12" s="699" t="s">
        <v>115</v>
      </c>
      <c r="J12" s="699" t="s">
        <v>116</v>
      </c>
      <c r="K12" s="515" t="s">
        <v>17326</v>
      </c>
      <c r="L12" s="515" t="s">
        <v>17332</v>
      </c>
      <c r="M12" s="515" t="s">
        <v>118</v>
      </c>
      <c r="N12" s="516" t="s">
        <v>119</v>
      </c>
      <c r="O12" s="55"/>
      <c r="P12" s="228"/>
    </row>
    <row r="13" spans="3:16" ht="16.5" thickTop="1">
      <c r="C13" s="1061"/>
      <c r="D13" s="1034" t="s">
        <v>17867</v>
      </c>
      <c r="E13" s="1028">
        <v>9.51</v>
      </c>
      <c r="F13" s="1039"/>
      <c r="G13" s="523">
        <v>11</v>
      </c>
      <c r="H13" s="700" t="str">
        <f>IF(G13="","",CHOOSE(G13,$D$223,$D$224,$D$225,$D$226,$D$227,$D$228,$D$229,$D$230,$D$231,$D$232,$D$233,$D$234,$D$235,$D$236,$D$237,$D$238,$D$239,$D$240,$D$241,$D$242,$D$243,$D$244,$D$245,$D$246,$D$247,$D$248,$D$249))</f>
        <v>2670 - M-SO DROBNE KL2B</v>
      </c>
      <c r="I13" s="524">
        <v>0.875</v>
      </c>
      <c r="J13" s="701">
        <f>+F13*I13</f>
        <v>0</v>
      </c>
      <c r="K13" s="702">
        <f>IF(G13="","",CHOOSE(G13,$E$223,$E$224,$E$225,$E$226,$E$227,$E$228,$E$229,$E$230,$E$231,$E$232,$E$233,$E$234,$E$235,$E$236,$E$237,$E$238,$E$239,$E$240,$E$241,$E$242,$E$243,$E$244,$E$245,$E$246,$E$247,$E$248,$E$249))</f>
        <v>9.4</v>
      </c>
      <c r="L13" s="485">
        <f>IF(I13="","",I13*K13)</f>
        <v>8.2249999999999996</v>
      </c>
      <c r="M13" s="525">
        <f>IF(G13="","",CHOOSE(G13,$F$223,$F$224,$F$225,$F$226,$F$227,$F$228,$F$229,$F$230,$F$231,$F$232,$F$233,$F$234,$F$235,$F$236,$F$237,$F$238,$F$239,$F$240,$F$241,$F$242,$F$243,$F$244,$F$245,$F$246,$F$247,$F$248,$F$249))</f>
        <v>0.4</v>
      </c>
      <c r="N13" s="486">
        <f>I13*M13</f>
        <v>0.35000000000000003</v>
      </c>
      <c r="O13" s="526"/>
      <c r="P13" s="527"/>
    </row>
    <row r="14" spans="3:16" ht="15.75">
      <c r="C14" s="1061"/>
      <c r="D14" s="1035"/>
      <c r="E14" s="1029"/>
      <c r="F14" s="1040"/>
      <c r="G14" s="528">
        <v>15</v>
      </c>
      <c r="H14" s="703" t="str">
        <f>IF(G14="","",CHOOSE(G14,$D$223,$D$224,$D$225,$D$226,$D$227,$D$228,$D$229,$D$230,$D$231,$D$232,$D$233,$D$234,$D$235,$D$236,$D$237,$D$238,$D$239,$D$240,$D$241,$D$242,$D$243,$D$244,$D$245,$D$246,$D$247,$D$248,$D$249))</f>
        <v>2685 - M-SO DROBNE KL4</v>
      </c>
      <c r="I14" s="529">
        <v>0.05</v>
      </c>
      <c r="J14" s="704">
        <f>+F13*I14</f>
        <v>0</v>
      </c>
      <c r="K14" s="705">
        <f>IF(G14="","",CHOOSE(G14,$E$223,$E$224,$E$225,$E$226,$E$227,$E$228,$E$229,$E$230,$E$231,$E$232,$E$233,$E$234,$E$235,$E$236,$E$237,$E$238,$E$239,$E$240,$E$241,$E$242,$E$243,$E$244,$E$245,$E$246,$E$247,$E$248,$E$249))</f>
        <v>7</v>
      </c>
      <c r="L14" s="484">
        <f t="shared" ref="L14:L16" si="2">IF(I14="","",I14*K14)</f>
        <v>0.35000000000000003</v>
      </c>
      <c r="M14" s="530">
        <f>IF(G14="","",CHOOSE(G14,$F$223,$F$224,$F$225,$F$226,$F$227,$F$228,$F$229,$F$230,$F$231,$F$232,$F$233,$F$234,$F$235,$F$236,$F$237,$F$238,$F$239,$F$240,$F$241,$F$242,$F$243,$F$244,$F$245,$F$246,$F$247,$F$248,$F$249))</f>
        <v>0.35</v>
      </c>
      <c r="N14" s="487">
        <f>I14*M14</f>
        <v>1.7499999999999998E-2</v>
      </c>
      <c r="O14" s="526"/>
      <c r="P14" s="527"/>
    </row>
    <row r="15" spans="3:16" ht="15.75">
      <c r="C15" s="1061"/>
      <c r="D15" s="1035"/>
      <c r="E15" s="1029"/>
      <c r="F15" s="1040"/>
      <c r="G15" s="528">
        <v>24</v>
      </c>
      <c r="H15" s="703" t="str">
        <f>IF(G15="","",CHOOSE(G15,$D$223,$D$224,$D$225,$D$226,$D$227,$D$228,$D$229,$D$230,$D$231,$D$232,$D$233,$D$234,$D$235,$D$236,$D$237,$D$238,$D$239,$D$240,$D$241,$D$242,$D$243,$D$244,$D$245,$D$246,$D$247,$D$248,$D$249))</f>
        <v>2710 - TŁUSZCZ DR.</v>
      </c>
      <c r="I15" s="529">
        <v>2.5000000000000001E-2</v>
      </c>
      <c r="J15" s="704">
        <f>+F13*I15</f>
        <v>0</v>
      </c>
      <c r="K15" s="705">
        <f>IF(G15="","",CHOOSE(G15,$E$223,$E$224,$E$225,$E$226,$E$227,$E$228,$E$229,$E$230,$E$231,$E$232,$E$233,$E$234,$E$235,$E$236,$E$237,$E$238,$E$239,$E$240,$E$241,$E$242,$E$243,$E$244,$E$245,$E$246,$E$247,$E$248,$E$249))</f>
        <v>3.5</v>
      </c>
      <c r="L15" s="484">
        <f t="shared" si="2"/>
        <v>8.7500000000000008E-2</v>
      </c>
      <c r="M15" s="530">
        <f>IF(G15="","",CHOOSE(G15,$F$223,$F$224,$F$225,$F$226,$F$227,$F$228,$F$229,$F$230,$F$231,$F$232,$F$233,$F$234,$F$235,$F$236,$F$237,$F$238,$F$239,$F$240,$F$241,$F$242,$F$243,$F$244,$F$245,$F$246,$F$247,$F$248,$F$249))</f>
        <v>0.78</v>
      </c>
      <c r="N15" s="487">
        <f>I15*M15</f>
        <v>1.9500000000000003E-2</v>
      </c>
      <c r="O15" s="526"/>
      <c r="P15" s="527"/>
    </row>
    <row r="16" spans="3:16" ht="16.5" thickBot="1">
      <c r="C16" s="1061"/>
      <c r="D16" s="1056"/>
      <c r="E16" s="1030"/>
      <c r="F16" s="1041"/>
      <c r="G16" s="626">
        <v>13</v>
      </c>
      <c r="H16" s="703" t="str">
        <f>IF(G16="","",CHOOSE(G16,$D$223,$D$224,$D$225,$D$226,$D$227,$D$228,$D$229,$D$230,$D$231,$D$232,$D$233,$D$234,$D$235,$D$236,$D$237,$D$238,$D$239,$D$240,$D$241,$D$242,$D$243,$D$244,$D$245,$D$246,$D$247,$D$248,$D$249))</f>
        <v>2675 - M-SO DROBNE KL3A</v>
      </c>
      <c r="I16" s="529">
        <v>0.05</v>
      </c>
      <c r="J16" s="704">
        <f>+F13*I16</f>
        <v>0</v>
      </c>
      <c r="K16" s="705">
        <f>IF(G16="","",CHOOSE(G16,$E$223,$E$224,$E$225,$E$226,$E$227,$E$228,$E$229,$E$230,$E$231,$E$232,$E$233,$E$234,$E$235,$E$236,$E$237,$E$238,$E$239,$E$240,$E$241,$E$242,$E$243,$E$244,$E$245,$E$246,$E$247,$E$248,$E$249))</f>
        <v>12.7</v>
      </c>
      <c r="L16" s="484">
        <f t="shared" si="2"/>
        <v>0.63500000000000001</v>
      </c>
      <c r="M16" s="530">
        <f>IF(G16="","",CHOOSE(G16,$F$223,$F$224,$F$225,$F$226,$F$227,$F$228,$F$229,$F$230,$F$231,$F$232,$F$233,$F$234,$F$235,$F$236,$F$237,$F$238,$F$239,$F$240,$F$241,$F$242,$F$243,$F$244,$F$245,$F$246,$F$247,$F$248,$F$249))</f>
        <v>0.25</v>
      </c>
      <c r="N16" s="488">
        <f>I16*M16</f>
        <v>1.2500000000000001E-2</v>
      </c>
      <c r="O16" s="1052" t="s">
        <v>120</v>
      </c>
      <c r="P16" s="1052"/>
    </row>
    <row r="17" spans="3:16" ht="17.25" thickTop="1" thickBot="1">
      <c r="C17" s="1061"/>
      <c r="D17" s="709"/>
      <c r="E17" s="517"/>
      <c r="F17" s="710"/>
      <c r="G17" s="710"/>
      <c r="H17" s="710"/>
      <c r="I17" s="711">
        <f>SUM(I13:I16)</f>
        <v>1</v>
      </c>
      <c r="J17" s="710">
        <f>SUM(J13:J16)</f>
        <v>0</v>
      </c>
      <c r="K17" s="710"/>
      <c r="L17" s="518">
        <f>SUM(L13:L16)</f>
        <v>9.2974999999999994</v>
      </c>
      <c r="M17" s="517"/>
      <c r="N17" s="519">
        <f>SUM(N13:N16)</f>
        <v>0.39950000000000008</v>
      </c>
      <c r="O17" s="520">
        <f>(+E13*F13)-(L17*F13)</f>
        <v>0</v>
      </c>
      <c r="P17" s="228" t="s">
        <v>15360</v>
      </c>
    </row>
    <row r="18" spans="3:16" ht="17.100000000000001" customHeight="1" thickTop="1"/>
    <row r="19" spans="3:16" ht="15.75" thickBot="1"/>
    <row r="20" spans="3:16" ht="20.25" thickTop="1" thickBot="1">
      <c r="C20" s="1061" t="s">
        <v>17984</v>
      </c>
      <c r="D20" s="1042" t="s">
        <v>15555</v>
      </c>
      <c r="E20" s="1043"/>
      <c r="F20" s="1043"/>
      <c r="G20" s="1043"/>
      <c r="H20" s="696"/>
      <c r="I20" s="696"/>
      <c r="J20" s="696"/>
      <c r="K20" s="696"/>
      <c r="L20" s="696"/>
      <c r="M20" s="696"/>
      <c r="N20" s="697"/>
      <c r="O20" s="228"/>
    </row>
    <row r="21" spans="3:16" ht="39" thickTop="1" thickBot="1">
      <c r="C21" s="1061"/>
      <c r="D21" s="698" t="s">
        <v>111</v>
      </c>
      <c r="E21" s="515" t="s">
        <v>17327</v>
      </c>
      <c r="F21" s="515"/>
      <c r="G21" s="515" t="s">
        <v>17331</v>
      </c>
      <c r="H21" s="699" t="s">
        <v>114</v>
      </c>
      <c r="I21" s="699" t="s">
        <v>115</v>
      </c>
      <c r="J21" s="699" t="s">
        <v>116</v>
      </c>
      <c r="K21" s="515" t="s">
        <v>17326</v>
      </c>
      <c r="L21" s="515" t="s">
        <v>17332</v>
      </c>
      <c r="M21" s="515" t="s">
        <v>118</v>
      </c>
      <c r="N21" s="516" t="s">
        <v>119</v>
      </c>
      <c r="O21" s="55"/>
      <c r="P21" s="228"/>
    </row>
    <row r="22" spans="3:16" ht="16.350000000000001" customHeight="1" thickTop="1">
      <c r="C22" s="1061"/>
      <c r="D22" s="1034" t="s">
        <v>17867</v>
      </c>
      <c r="E22" s="1028">
        <v>9.51</v>
      </c>
      <c r="F22" s="1039"/>
      <c r="G22" s="523">
        <v>9</v>
      </c>
      <c r="H22" s="712" t="str">
        <f>IF(G22="","",CHOOSE(G22,$D$223,$D$224,$D$225,$D$226,$D$227,$D$228,$D$229,$D$230,$D$231,$D$232,$D$233,$D$234,$D$235,$D$236,$D$237,$D$238,$D$239,$D$240,$D$241,$D$242,$D$243,$D$244,$D$245,$D$246,$D$247,$D$248,$D$249,$D$250))</f>
        <v>2660 - M-SO DROBNE KL2A</v>
      </c>
      <c r="I22" s="524">
        <v>0.44</v>
      </c>
      <c r="J22" s="701">
        <f>+F22*I22</f>
        <v>0</v>
      </c>
      <c r="K22" s="702">
        <f>IF(G22="","",CHOOSE(G22,$E$223,$E$224,$E$225,$E$226,$E$227,$E$228,$E$229,$E$230,$E$231,$E$232,$E$233,$E$234,$E$235,$E$236,$E$237,$E$238,$E$239,$E$240,$E$241,$E$242,$E$243,$E$244,$E$245,$E$246,$E$247,$E$248,$E$249,$E$250))</f>
        <v>12.9</v>
      </c>
      <c r="L22" s="485">
        <f>IF(I22="","",I22*K22)</f>
        <v>5.6760000000000002</v>
      </c>
      <c r="M22" s="525">
        <f>IF(G22="","",CHOOSE(G22,$F$223,$F$224,$F$225,$F$226,$F$227,$F$228,$F$229,$F$230,$F$231,$F$232,$F$233,$F$234,$F$235,$F$236,$F$237,$F$238,$F$239,$F$240,$F$241,$F$242,$F$243,$F$244,$F$245,$F$246,$F$247,$F$248,$F$249,$F$250))</f>
        <v>0.2</v>
      </c>
      <c r="N22" s="486">
        <f>I22*M22</f>
        <v>8.8000000000000009E-2</v>
      </c>
      <c r="O22" s="526"/>
      <c r="P22" s="527"/>
    </row>
    <row r="23" spans="3:16" ht="15.6" customHeight="1">
      <c r="C23" s="1061"/>
      <c r="D23" s="1035"/>
      <c r="E23" s="1029"/>
      <c r="F23" s="1040"/>
      <c r="G23" s="528">
        <v>15</v>
      </c>
      <c r="H23" s="713" t="str">
        <f>IF(G23="","",CHOOSE(G23,$D$223,$D$224,$D$225,$D$226,$D$227,$D$228,$D$229,$D$230,$D$231,$D$232,$D$233,$D$234,$D$235,$D$236,$D$237,$D$238,$D$239,$D$240,$D$241,$D$242,$D$243,$D$244,$D$245,$D$246,$D$247,$D$248,$D$249,$D$250))</f>
        <v>2685 - M-SO DROBNE KL4</v>
      </c>
      <c r="I23" s="529">
        <v>0.05</v>
      </c>
      <c r="J23" s="704">
        <f>+F22*I23</f>
        <v>0</v>
      </c>
      <c r="K23" s="705">
        <f>IF(G23="","",CHOOSE(G23,$E$223,$E$224,$E$225,$E$226,$E$227,$E$228,$E$229,$E$230,$E$231,$E$232,$E$233,$E$234,$E$235,$E$236,$E$237,$E$238,$E$239,$E$240,$E$241,$E$242,$E$243,$E$244,$E$245,$E$246,$E$247,$E$248,$E$249,$E$250))</f>
        <v>7</v>
      </c>
      <c r="L23" s="484">
        <f t="shared" ref="L23" si="3">IF(I23="","",I23*K23)</f>
        <v>0.35000000000000003</v>
      </c>
      <c r="M23" s="530">
        <f>IF(G23="","",CHOOSE(G23,$F$223,$F$224,$F$225,$F$226,$F$227,$F$228,$F$229,$F$230,$F$231,$F$232,$F$233,$F$234,$F$235,$F$236,$F$237,$F$238,$F$239,$F$240,$F$241,$F$242,$F$243,$F$244,$F$245,$F$246,$F$247,$F$248,$F$249,$F$250))</f>
        <v>0.35</v>
      </c>
      <c r="N23" s="487">
        <f>I23*M23</f>
        <v>1.7499999999999998E-2</v>
      </c>
      <c r="O23" s="526"/>
      <c r="P23" s="527"/>
    </row>
    <row r="24" spans="3:16" ht="15.6" customHeight="1">
      <c r="C24" s="1061"/>
      <c r="D24" s="1035"/>
      <c r="E24" s="1029"/>
      <c r="F24" s="1040"/>
      <c r="G24" s="528">
        <v>18</v>
      </c>
      <c r="H24" s="713" t="str">
        <f>IF(G24="","",CHOOSE(G24,$D$223,$D$224,$D$225,$D$226,$D$227,$D$228,$D$229,$D$230,$D$231,$D$232,$D$233,$D$234,$D$235,$D$236,$D$237,$D$238,$D$239,$D$240,$D$241,$D$242,$D$243,$D$244,$D$245,$D$246,$D$247,$D$248,$D$249,$D$250))</f>
        <v>2631 - PODG.B/SK.</v>
      </c>
      <c r="I24" s="529">
        <v>0.51</v>
      </c>
      <c r="J24" s="704">
        <f>+F22*I24</f>
        <v>0</v>
      </c>
      <c r="K24" s="705">
        <f>IF(G24="","",CHOOSE(G24,$E$223,$E$224,$E$225,$E$226,$E$227,$E$228,$E$229,$E$230,$E$231,$E$232,$E$233,$E$234,$E$235,$E$236,$E$237,$E$238,$E$239,$E$240,$E$241,$E$242,$E$243,$E$244,$E$245,$E$246,$E$247,$E$248,$E$249,$E$250))</f>
        <v>7</v>
      </c>
      <c r="L24" s="484">
        <f>IF(I24="","",I24*K24)</f>
        <v>3.5700000000000003</v>
      </c>
      <c r="M24" s="530">
        <f>IF(G24="","",CHOOSE(G24,$F$223,$F$224,$F$225,$F$226,$F$227,$F$228,$F$229,$F$230,$F$231,$F$232,$F$233,$F$234,$F$235,$F$236,$F$237,$F$238,$F$239,$F$240,$F$241,$F$242,$F$243,$F$244,$F$245,$F$246,$F$247,$F$248,$F$249,$F$250))</f>
        <v>0.57999999999999996</v>
      </c>
      <c r="N24" s="487">
        <f t="shared" ref="N24:N25" si="4">I24*M24</f>
        <v>0.29580000000000001</v>
      </c>
      <c r="O24" s="526"/>
      <c r="P24" s="527"/>
    </row>
    <row r="25" spans="3:16" ht="16.350000000000001" customHeight="1" thickBot="1">
      <c r="C25" s="1061"/>
      <c r="D25" s="1056"/>
      <c r="E25" s="1030"/>
      <c r="F25" s="1041"/>
      <c r="G25" s="531">
        <v>27</v>
      </c>
      <c r="H25" s="706" t="str">
        <f>IF(G25="","",CHOOSE(G25,$D$223,$D$224,$D$225,$D$226,$D$227,$D$228,$D$229,$D$230,$D$231,$D$232,$D$233,$D$234,$D$235,$D$236,$D$237,$D$238,$D$239,$D$240,$D$241,$D$242,$D$243,$D$244,$D$245,$D$246,$D$247,$D$248,$D$249))</f>
        <v xml:space="preserve">Woda </v>
      </c>
      <c r="I25" s="532">
        <v>0</v>
      </c>
      <c r="J25" s="707">
        <f>+F22*I25</f>
        <v>0</v>
      </c>
      <c r="K25" s="708">
        <f>IF(G25="","",CHOOSE(G25,$E$223,$E$224,$E$225,$E$226,$E$227,$E$228,$E$229,$E$230,$E$231,$E$232,$E$233,$E$234,$E$235,$E$236,$E$237,$E$238,$E$239,$E$240,$E$241,$E$242,$E$243,$E$244,$E$245,$E$246,$E$247,$E$248,$E$249))</f>
        <v>0</v>
      </c>
      <c r="L25" s="521">
        <f t="shared" ref="L25" si="5">IF(I25="","",I25*K25)</f>
        <v>0</v>
      </c>
      <c r="M25" s="533"/>
      <c r="N25" s="488">
        <f t="shared" si="4"/>
        <v>0</v>
      </c>
      <c r="O25" s="1052" t="s">
        <v>120</v>
      </c>
      <c r="P25" s="1052"/>
    </row>
    <row r="26" spans="3:16" ht="17.25" thickTop="1" thickBot="1">
      <c r="C26" s="1061"/>
      <c r="D26" s="709"/>
      <c r="E26" s="517"/>
      <c r="F26" s="710"/>
      <c r="G26" s="710"/>
      <c r="H26" s="710"/>
      <c r="I26" s="711">
        <f>SUM(I22:I25)</f>
        <v>1</v>
      </c>
      <c r="J26" s="710">
        <f>SUM(J22:J25)</f>
        <v>0</v>
      </c>
      <c r="K26" s="710"/>
      <c r="L26" s="518">
        <f>SUM(L22:L25)</f>
        <v>9.5960000000000001</v>
      </c>
      <c r="M26" s="517"/>
      <c r="N26" s="519">
        <f>SUM(N22:N25)</f>
        <v>0.40129999999999999</v>
      </c>
      <c r="O26" s="520">
        <f>(+E22*F22)-(L26*F22)</f>
        <v>0</v>
      </c>
      <c r="P26" s="228" t="s">
        <v>15360</v>
      </c>
    </row>
    <row r="27" spans="3:16" ht="15.75" thickTop="1">
      <c r="C27" s="228"/>
    </row>
    <row r="28" spans="3:16" ht="15.75" thickBot="1">
      <c r="C28" s="228"/>
    </row>
    <row r="29" spans="3:16" ht="20.25" thickTop="1" thickBot="1">
      <c r="C29" s="1061" t="s">
        <v>17984</v>
      </c>
      <c r="D29" s="1042" t="s">
        <v>15556</v>
      </c>
      <c r="E29" s="1043"/>
      <c r="F29" s="1043"/>
      <c r="G29" s="1043"/>
      <c r="H29" s="696"/>
      <c r="I29" s="696"/>
      <c r="J29" s="696"/>
      <c r="K29" s="696"/>
      <c r="L29" s="696"/>
      <c r="M29" s="696"/>
      <c r="N29" s="697"/>
      <c r="O29" s="228"/>
    </row>
    <row r="30" spans="3:16" ht="39" thickTop="1" thickBot="1">
      <c r="C30" s="1061"/>
      <c r="D30" s="698" t="s">
        <v>111</v>
      </c>
      <c r="E30" s="515" t="s">
        <v>17327</v>
      </c>
      <c r="F30" s="515"/>
      <c r="G30" s="515" t="s">
        <v>17331</v>
      </c>
      <c r="H30" s="699" t="s">
        <v>114</v>
      </c>
      <c r="I30" s="699" t="s">
        <v>115</v>
      </c>
      <c r="J30" s="699" t="s">
        <v>116</v>
      </c>
      <c r="K30" s="515" t="s">
        <v>17326</v>
      </c>
      <c r="L30" s="515" t="s">
        <v>17332</v>
      </c>
      <c r="M30" s="515" t="s">
        <v>118</v>
      </c>
      <c r="N30" s="516" t="s">
        <v>119</v>
      </c>
      <c r="O30" s="55"/>
      <c r="P30" s="228"/>
    </row>
    <row r="31" spans="3:16" ht="16.5" thickTop="1">
      <c r="C31" s="1061"/>
      <c r="D31" s="1034" t="s">
        <v>17867</v>
      </c>
      <c r="E31" s="1028">
        <v>9.51</v>
      </c>
      <c r="F31" s="1031">
        <v>10000</v>
      </c>
      <c r="G31" s="523">
        <v>7</v>
      </c>
      <c r="H31" s="712" t="str">
        <f>IF(G31="","",CHOOSE(G31,$D$223,$D$224,$D$225,$D$226,$D$227,$D$228,$D$229,$D$230,$D$231,$D$232,$D$233,$D$234,$D$235,$D$236,$D$237,$D$238,$D$239,$D$240,$D$241,$D$242,$D$243,$D$244,$D$245,$D$246,$D$247,$D$248,$D$249,$D$250))</f>
        <v>2650 - M-SO DROBNE KL1 CIE.</v>
      </c>
      <c r="I31" s="534">
        <v>0.48</v>
      </c>
      <c r="J31" s="701">
        <f>+F31*I31</f>
        <v>4800</v>
      </c>
      <c r="K31" s="702">
        <f>IF(G31="","",CHOOSE(G31,$E$223,$E$224,$E$225,$E$226,$E$227,$E$228,$E$229,$E$230,$E$231,$E$232,$E$233,$E$234,$E$235,$E$236,$E$237,$E$238,$E$239,$E$240,$E$241,$E$242,$E$243,$E$244,$E$245,$E$246,$E$247,$E$248,$E$249,$E$250))</f>
        <v>14.6</v>
      </c>
      <c r="L31" s="485">
        <f>IF(I31="","",I31*K31)</f>
        <v>7.008</v>
      </c>
      <c r="M31" s="525">
        <f>IF(G31="","",CHOOSE(G31,$F$223,$F$224,$F$225,$F$226,$F$227,$F$228,$F$229,$F$230,$F$231,$F$232,$F$233,$F$234,$F$235,$F$236,$F$237,$F$238,$F$239,$F$240,$F$241,$F$242,$F$243,$F$244,$F$245,$F$246,$F$247,$F$248,$F$249,$F$250))</f>
        <v>0.09</v>
      </c>
      <c r="N31" s="486">
        <f>I31*M31</f>
        <v>4.3199999999999995E-2</v>
      </c>
      <c r="O31" s="526"/>
      <c r="P31" s="527"/>
    </row>
    <row r="32" spans="3:16" ht="15.75">
      <c r="C32" s="1061"/>
      <c r="D32" s="1035"/>
      <c r="E32" s="1029"/>
      <c r="F32" s="1032"/>
      <c r="G32" s="528">
        <v>15</v>
      </c>
      <c r="H32" s="713" t="str">
        <f>IF(G32="","",CHOOSE(G32,$D$223,$D$224,$D$225,$D$226,$D$227,$D$228,$D$229,$D$230,$D$231,$D$232,$D$233,$D$234,$D$235,$D$236,$D$237,$D$238,$D$239,$D$240,$D$241,$D$242,$D$243,$D$244,$D$245,$D$246,$D$247,$D$248,$D$249,$D$250))</f>
        <v>2685 - M-SO DROBNE KL4</v>
      </c>
      <c r="I32" s="535">
        <v>0.05</v>
      </c>
      <c r="J32" s="704">
        <f>+F31*I32</f>
        <v>500</v>
      </c>
      <c r="K32" s="705">
        <f>IF(G32="","",CHOOSE(G32,$E$223,$E$224,$E$225,$E$226,$E$227,$E$228,$E$229,$E$230,$E$231,$E$232,$E$233,$E$234,$E$235,$E$236,$E$237,$E$238,$E$239,$E$240,$E$241,$E$242,$E$243,$E$244,$E$245,$E$246,$E$247,$E$248,$E$249,$E$250))</f>
        <v>7</v>
      </c>
      <c r="L32" s="484">
        <f t="shared" ref="L32:L34" si="6">IF(I32="","",I32*K32)</f>
        <v>0.35000000000000003</v>
      </c>
      <c r="M32" s="530">
        <f>IF(G32="","",CHOOSE(G32,$F$223,$F$224,$F$225,$F$226,$F$227,$F$228,$F$229,$F$230,$F$231,$F$232,$F$233,$F$234,$F$235,$F$236,$F$237,$F$238,$F$239,$F$240,$F$241,$F$242,$F$243,$F$244,$F$245,$F$246,$F$247,$F$248,$F$249,$F$250))</f>
        <v>0.35</v>
      </c>
      <c r="N32" s="487">
        <f>I32*M32</f>
        <v>1.7499999999999998E-2</v>
      </c>
      <c r="O32" s="526"/>
      <c r="P32" s="527"/>
    </row>
    <row r="33" spans="3:16" ht="15.75">
      <c r="C33" s="1061"/>
      <c r="D33" s="1035"/>
      <c r="E33" s="1029"/>
      <c r="F33" s="1032"/>
      <c r="G33" s="528">
        <v>24</v>
      </c>
      <c r="H33" s="713" t="str">
        <f>IF(G33="","",CHOOSE(G33,$D$223,$D$224,$D$225,$D$226,$D$227,$D$228,$D$229,$D$230,$D$231,$D$232,$D$233,$D$234,$D$235,$D$236,$D$237,$D$238,$D$239,$D$240,$D$241,$D$242,$D$243,$D$244,$D$245,$D$246,$D$247,$D$248,$D$249,$D$250))</f>
        <v>2710 - TŁUSZCZ DR.</v>
      </c>
      <c r="I33" s="535">
        <v>0.42</v>
      </c>
      <c r="J33" s="704">
        <f>+F31*I33</f>
        <v>4200</v>
      </c>
      <c r="K33" s="705">
        <f>IF(G33="","",CHOOSE(G33,$E$223,$E$224,$E$225,$E$226,$E$227,$E$228,$E$229,$E$230,$E$231,$E$232,$E$233,$E$234,$E$235,$E$236,$E$237,$E$238,$E$239,$E$240,$E$241,$E$242,$E$243,$E$244,$E$245,$E$246,$E$247,$E$248,$E$249,$E$250))</f>
        <v>3.5</v>
      </c>
      <c r="L33" s="484">
        <f t="shared" si="6"/>
        <v>1.47</v>
      </c>
      <c r="M33" s="530">
        <f>IF(G33="","",CHOOSE(G33,$F$223,$F$224,$F$225,$F$226,$F$227,$F$228,$F$229,$F$230,$F$231,$F$232,$F$233,$F$234,$F$235,$F$236,$F$237,$F$238,$F$239,$F$240,$F$241,$F$242,$F$243,$F$244,$F$245,$F$246,$F$247,$F$248,$F$249,$F$250))</f>
        <v>0.78</v>
      </c>
      <c r="N33" s="487">
        <f t="shared" ref="N33" si="7">I33*M33</f>
        <v>0.3276</v>
      </c>
      <c r="O33" s="526"/>
      <c r="P33" s="527"/>
    </row>
    <row r="34" spans="3:16" ht="16.5" thickBot="1">
      <c r="C34" s="1061"/>
      <c r="D34" s="1056"/>
      <c r="E34" s="1030"/>
      <c r="F34" s="1033"/>
      <c r="G34" s="626">
        <v>13</v>
      </c>
      <c r="H34" s="714" t="str">
        <f>IF(G34="","",CHOOSE(G34,$D$223,$D$224,$D$225,$D$226,$D$227,$D$228,$D$229,$D$230,$D$231,$D$232,$D$233,$D$234,$D$235,$D$236,$D$237,$D$238,$D$239,$D$240,$D$241,$D$242,$D$243,$D$244,$D$245,$D$246,$D$247,$D$248,$D$249))</f>
        <v>2675 - M-SO DROBNE KL3A</v>
      </c>
      <c r="I34" s="627">
        <v>0.05</v>
      </c>
      <c r="J34" s="715">
        <f>+F31*I34</f>
        <v>500</v>
      </c>
      <c r="K34" s="716">
        <f>IF(G34="","",CHOOSE(G34,$E$223,$E$224,$E$225,$E$226,$E$227,$E$228,$E$229,$E$230,$E$231,$E$232,$E$233,$E$234,$E$235,$E$236,$E$237,$E$238,$E$239,$E$240,$E$241,$E$242,$E$243,$E$244,$E$245,$E$246,$E$247,$E$248,$E$249))</f>
        <v>12.7</v>
      </c>
      <c r="L34" s="628">
        <f t="shared" si="6"/>
        <v>0.63500000000000001</v>
      </c>
      <c r="M34" s="629">
        <f>IF(G34="","",CHOOSE(G34,$F$223,$F$224,$F$225,$F$226,$F$227,$F$228,$F$229,$F$230,$F$231,$F$232,$F$233,$F$234,$F$235,$F$236,$F$237,$F$238,$F$239,$F$240,$F$241,$F$242,$F$243,$F$244,$F$245,$F$246,$F$247,$F$248,$F$249))</f>
        <v>0.25</v>
      </c>
      <c r="N34" s="488">
        <f>I34*M34</f>
        <v>1.2500000000000001E-2</v>
      </c>
      <c r="O34" s="1052" t="s">
        <v>120</v>
      </c>
      <c r="P34" s="1052"/>
    </row>
    <row r="35" spans="3:16" ht="17.25" thickTop="1" thickBot="1">
      <c r="C35" s="1061"/>
      <c r="D35" s="709"/>
      <c r="E35" s="517"/>
      <c r="F35" s="710"/>
      <c r="G35" s="710"/>
      <c r="H35" s="710"/>
      <c r="I35" s="711">
        <f>SUM(I31:I34)</f>
        <v>1</v>
      </c>
      <c r="J35" s="710">
        <f>SUM(J31:J34)</f>
        <v>10000</v>
      </c>
      <c r="K35" s="710"/>
      <c r="L35" s="518">
        <f>SUM(L31:L34)</f>
        <v>9.4629999999999992</v>
      </c>
      <c r="M35" s="517"/>
      <c r="N35" s="519">
        <f>SUM(N31:N34)</f>
        <v>0.40079999999999999</v>
      </c>
      <c r="O35" s="520">
        <f>(+E31*F31)-(L35*F31)</f>
        <v>470.00000000001455</v>
      </c>
      <c r="P35" s="228" t="s">
        <v>15360</v>
      </c>
    </row>
    <row r="36" spans="3:16" ht="22.35" customHeight="1" thickTop="1">
      <c r="C36" s="228"/>
    </row>
    <row r="37" spans="3:16" ht="15.75" thickBot="1">
      <c r="C37" s="228"/>
    </row>
    <row r="38" spans="3:16" ht="20.25" thickTop="1" thickBot="1">
      <c r="C38" s="1062" t="s">
        <v>17983</v>
      </c>
      <c r="D38" s="1047" t="s">
        <v>15558</v>
      </c>
      <c r="E38" s="1048"/>
      <c r="F38" s="1048"/>
      <c r="G38" s="1048"/>
      <c r="H38" s="752" t="s">
        <v>17980</v>
      </c>
      <c r="I38" s="753"/>
      <c r="J38" s="753"/>
      <c r="K38" s="753"/>
      <c r="L38" s="753"/>
      <c r="M38" s="753"/>
      <c r="N38" s="754"/>
      <c r="O38" s="228"/>
    </row>
    <row r="39" spans="3:16" ht="39" thickTop="1" thickBot="1">
      <c r="C39" s="1062"/>
      <c r="D39" s="698" t="s">
        <v>111</v>
      </c>
      <c r="E39" s="515" t="s">
        <v>17327</v>
      </c>
      <c r="F39" s="515"/>
      <c r="G39" s="515" t="s">
        <v>17331</v>
      </c>
      <c r="H39" s="699" t="s">
        <v>114</v>
      </c>
      <c r="I39" s="699" t="s">
        <v>115</v>
      </c>
      <c r="J39" s="699" t="s">
        <v>116</v>
      </c>
      <c r="K39" s="515" t="s">
        <v>17326</v>
      </c>
      <c r="L39" s="515" t="s">
        <v>17332</v>
      </c>
      <c r="M39" s="515" t="s">
        <v>118</v>
      </c>
      <c r="N39" s="516" t="s">
        <v>119</v>
      </c>
      <c r="O39" s="55"/>
      <c r="P39" s="228"/>
    </row>
    <row r="40" spans="3:16" ht="16.5" thickTop="1">
      <c r="C40" s="1062"/>
      <c r="D40" s="1034" t="s">
        <v>17868</v>
      </c>
      <c r="E40" s="1028">
        <v>12.98</v>
      </c>
      <c r="F40" s="1031">
        <v>40000</v>
      </c>
      <c r="G40" s="523">
        <v>9</v>
      </c>
      <c r="H40" s="712" t="str">
        <f>IF(G40="","",CHOOSE(G40,$D$223,$D$224,$D$225,$D$226,$D$227,$D$228,$D$229,$D$230,$D$231,$D$232,$D$233,$D$234,$D$235,$D$236,$D$237,$D$238,$D$239,$D$240,$D$241,$D$242,$D$243,$D$244,$D$245,$D$246,$D$247,$D$248,$D$249,$D$250))</f>
        <v>2660 - M-SO DROBNE KL2A</v>
      </c>
      <c r="I40" s="578">
        <v>0.98</v>
      </c>
      <c r="J40" s="701">
        <f>+F40*I40</f>
        <v>39200</v>
      </c>
      <c r="K40" s="702">
        <f>IF(G40="","",CHOOSE(G40,$E$223,$E$224,$E$225,$E$226,$E$227,$E$228,$E$229,$E$230,$E$231,$E$232,$E$233,$E$234,$E$235,$E$236,$E$237,$E$238,$E$239,$E$240,$E$241,$E$242,$E$243,$E$244,$E$245,$E$246,$E$247,$E$248,$E$249,$E$250))</f>
        <v>12.9</v>
      </c>
      <c r="L40" s="485">
        <f>IF(I40="","",I40*K40)</f>
        <v>12.641999999999999</v>
      </c>
      <c r="M40" s="525">
        <f>IF(G40="","",CHOOSE(G40,$F$223,$F$224,$F$225,$F$226,$F$227,$F$228,$F$229,$F$230,$F$231,$F$232,$F$233,$F$234,$F$235,$F$236,$F$237,$F$238,$F$239,$F$240,$F$241,$F$242,$F$243,$F$244,$F$245,$F$246,$F$247,$F$248,$F$249,$F$250))</f>
        <v>0.2</v>
      </c>
      <c r="N40" s="486">
        <f>I40*M40</f>
        <v>0.19600000000000001</v>
      </c>
      <c r="O40" s="526"/>
      <c r="P40" s="527"/>
    </row>
    <row r="41" spans="3:16" ht="15.75">
      <c r="C41" s="1062"/>
      <c r="D41" s="1035"/>
      <c r="E41" s="1029"/>
      <c r="F41" s="1032"/>
      <c r="G41" s="528">
        <v>24</v>
      </c>
      <c r="H41" s="713" t="str">
        <f>IF(G41="","",CHOOSE(G41,$D$223,$D$224,$D$225,$D$226,$D$227,$D$228,$D$229,$D$230,$D$231,$D$232,$D$233,$D$234,$D$235,$D$236,$D$237,$D$238,$D$239,$D$240,$D$241,$D$242,$D$243,$D$244,$D$245,$D$246,$D$247,$D$248,$D$249,$D$250))</f>
        <v>2710 - TŁUSZCZ DR.</v>
      </c>
      <c r="I41" s="580">
        <v>0.02</v>
      </c>
      <c r="J41" s="704">
        <f>+F40*I41</f>
        <v>800</v>
      </c>
      <c r="K41" s="705">
        <f>IF(G41="","",CHOOSE(G41,$E$223,$E$224,$E$225,$E$226,$E$227,$E$228,$E$229,$E$230,$E$231,$E$232,$E$233,$E$234,$E$235,$E$236,$E$237,$E$238,$E$239,$E$240,$E$241,$E$242,$E$243,$E$244,$E$245,$E$246,$E$247,$E$248,$E$249,$E$250))</f>
        <v>3.5</v>
      </c>
      <c r="L41" s="484">
        <f>IF(I41="","",I41*K41)</f>
        <v>7.0000000000000007E-2</v>
      </c>
      <c r="M41" s="530">
        <f>IF(G41="","",CHOOSE(G41,$F$223,$F$224,$F$225,$F$226,$F$227,$F$228,$F$229,$F$230,$F$231,$F$232,$F$233,$F$234,$F$235,$F$236,$F$237,$F$238,$F$239,$F$240,$F$241,$F$242,$F$243,$F$244,$F$245,$F$246,$F$247,$F$248,$F$249,$F$250))</f>
        <v>0.78</v>
      </c>
      <c r="N41" s="487">
        <f t="shared" ref="N41:N42" si="8">I41*M41</f>
        <v>1.5600000000000001E-2</v>
      </c>
      <c r="O41" s="526"/>
      <c r="P41" s="527"/>
    </row>
    <row r="42" spans="3:16" ht="16.5" thickBot="1">
      <c r="C42" s="1062"/>
      <c r="D42" s="1056"/>
      <c r="E42" s="1030"/>
      <c r="F42" s="1033"/>
      <c r="G42" s="531">
        <v>27</v>
      </c>
      <c r="H42" s="706" t="str">
        <f>IF(G42="","",CHOOSE(G42,$D$223,$D$224,$D$225,$D$226,$D$227,$D$228,$D$229,$D$230,$D$231,$D$232,$D$233,$D$234,$D$235,$D$236,$D$237,$D$238,$D$239,$D$240,$D$241,$D$242,$D$243,$D$244,$D$245,$D$246,$D$247,$D$248,$D$249))</f>
        <v xml:space="preserve">Woda </v>
      </c>
      <c r="I42" s="532">
        <v>0</v>
      </c>
      <c r="J42" s="707">
        <f>+F40*I42</f>
        <v>0</v>
      </c>
      <c r="K42" s="708">
        <f>IF(G42="","",CHOOSE(G42,$E$223,$E$224,$E$225,$E$226,$E$227,$E$228,$E$229,$E$230,$E$231,$E$232,$E$233,$E$234,$E$235,$E$236,$E$237,$E$238,$E$239,$E$240,$E$241,$E$242,$E$243,$E$244,$E$245,$E$246,$E$247,$E$248,$E$249))</f>
        <v>0</v>
      </c>
      <c r="L42" s="521">
        <f t="shared" ref="L42" si="9">IF(I42="","",I42*K42)</f>
        <v>0</v>
      </c>
      <c r="M42" s="533"/>
      <c r="N42" s="488">
        <f t="shared" si="8"/>
        <v>0</v>
      </c>
      <c r="O42" s="1052" t="s">
        <v>120</v>
      </c>
      <c r="P42" s="1052"/>
    </row>
    <row r="43" spans="3:16" ht="17.25" thickTop="1" thickBot="1">
      <c r="C43" s="1062"/>
      <c r="D43" s="709"/>
      <c r="E43" s="517"/>
      <c r="F43" s="710"/>
      <c r="G43" s="710"/>
      <c r="H43" s="710"/>
      <c r="I43" s="711">
        <f>SUM(I40:I42)</f>
        <v>1</v>
      </c>
      <c r="J43" s="710">
        <f>SUM(J40:J42)</f>
        <v>40000</v>
      </c>
      <c r="K43" s="710"/>
      <c r="L43" s="518">
        <f>SUM(L40:L42)</f>
        <v>12.712</v>
      </c>
      <c r="M43" s="517"/>
      <c r="N43" s="519">
        <f>SUM(N40:N42)</f>
        <v>0.21160000000000001</v>
      </c>
      <c r="O43" s="520">
        <f>(+E40*F40)-(L43*F40)</f>
        <v>10720</v>
      </c>
      <c r="P43" s="228" t="s">
        <v>15360</v>
      </c>
    </row>
    <row r="44" spans="3:16" ht="15.75" thickTop="1">
      <c r="C44" s="228"/>
    </row>
    <row r="45" spans="3:16" ht="15.75" thickBot="1">
      <c r="C45" s="228"/>
    </row>
    <row r="46" spans="3:16" ht="20.25" thickTop="1" thickBot="1">
      <c r="C46" s="1062" t="s">
        <v>17984</v>
      </c>
      <c r="D46" s="1042" t="s">
        <v>15554</v>
      </c>
      <c r="E46" s="1043"/>
      <c r="F46" s="1043"/>
      <c r="G46" s="1043"/>
      <c r="H46" s="696"/>
      <c r="I46" s="696"/>
      <c r="J46" s="696"/>
      <c r="K46" s="696"/>
      <c r="L46" s="696"/>
      <c r="M46" s="696"/>
      <c r="N46" s="697"/>
      <c r="O46" s="228"/>
    </row>
    <row r="47" spans="3:16" ht="39" thickTop="1" thickBot="1">
      <c r="C47" s="1062"/>
      <c r="D47" s="698" t="s">
        <v>111</v>
      </c>
      <c r="E47" s="515" t="s">
        <v>17327</v>
      </c>
      <c r="F47" s="515"/>
      <c r="G47" s="515" t="s">
        <v>17331</v>
      </c>
      <c r="H47" s="699" t="s">
        <v>114</v>
      </c>
      <c r="I47" s="699" t="s">
        <v>115</v>
      </c>
      <c r="J47" s="699" t="s">
        <v>116</v>
      </c>
      <c r="K47" s="515" t="s">
        <v>17326</v>
      </c>
      <c r="L47" s="515" t="s">
        <v>17332</v>
      </c>
      <c r="M47" s="515" t="s">
        <v>118</v>
      </c>
      <c r="N47" s="516" t="s">
        <v>119</v>
      </c>
      <c r="O47" s="55"/>
      <c r="P47" s="228"/>
    </row>
    <row r="48" spans="3:16" ht="16.5" thickTop="1">
      <c r="C48" s="1062"/>
      <c r="D48" s="1034" t="s">
        <v>17868</v>
      </c>
      <c r="E48" s="1028">
        <v>12.98</v>
      </c>
      <c r="F48" s="1031"/>
      <c r="G48" s="523">
        <v>9</v>
      </c>
      <c r="H48" s="712" t="str">
        <f>IF(G48="","",CHOOSE(G48,$D$223,$D$224,$D$225,$D$226,$D$227,$D$228,$D$229,$D$230,$D$231,$D$232,$D$233,$D$234,$D$235,$D$236,$D$237,$D$238,$D$239,$D$240,$D$241,$D$242,$D$243,$D$244,$D$245,$D$246,$D$247,$D$248,$D$249,$D$250))</f>
        <v>2660 - M-SO DROBNE KL2A</v>
      </c>
      <c r="I48" s="578">
        <v>0.98</v>
      </c>
      <c r="J48" s="701">
        <f>+F48*I48</f>
        <v>0</v>
      </c>
      <c r="K48" s="702">
        <f>IF(G48="","",CHOOSE(G48,$E$223,$E$224,$E$225,$E$226,$E$227,$E$228,$E$229,$E$230,$E$231,$E$232,$E$233,$E$234,$E$235,$E$236,$E$237,$E$238,$E$239,$E$240,$E$241,$E$242,$E$243,$E$244,$E$245,$E$246,$E$247,$E$248,$E$249,$E$250))</f>
        <v>12.9</v>
      </c>
      <c r="L48" s="485">
        <f>IF(I48="","",I48*K48)</f>
        <v>12.641999999999999</v>
      </c>
      <c r="M48" s="525">
        <f>IF(G48="","",CHOOSE(G48,$F$223,$F$224,$F$225,$F$226,$F$227,$F$228,$F$229,$F$230,$F$231,$F$232,$F$233,$F$234,$F$235,$F$236,$F$237,$F$238,$F$239,$F$240,$F$241,$F$242,$F$243,$F$244,$F$245,$F$246,$F$247,$F$248,$F$249,$F$250))</f>
        <v>0.2</v>
      </c>
      <c r="N48" s="486">
        <f>I48*M48</f>
        <v>0.19600000000000001</v>
      </c>
      <c r="O48" s="526"/>
      <c r="P48" s="527"/>
    </row>
    <row r="49" spans="3:16" ht="15.75">
      <c r="C49" s="1062"/>
      <c r="D49" s="1035"/>
      <c r="E49" s="1029"/>
      <c r="F49" s="1032"/>
      <c r="G49" s="528">
        <v>24</v>
      </c>
      <c r="H49" s="713" t="str">
        <f>IF(G49="","",CHOOSE(G49,$D$223,$D$224,$D$225,$D$226,$D$227,$D$228,$D$229,$D$230,$D$231,$D$232,$D$233,$D$234,$D$235,$D$236,$D$237,$D$238,$D$239,$D$240,$D$241,$D$242,$D$243,$D$244,$D$245,$D$246,$D$247,$D$248,$D$249,$D$250))</f>
        <v>2710 - TŁUSZCZ DR.</v>
      </c>
      <c r="I49" s="580">
        <v>0.02</v>
      </c>
      <c r="J49" s="704">
        <f>+F48*I49</f>
        <v>0</v>
      </c>
      <c r="K49" s="705">
        <f>IF(G49="","",CHOOSE(G49,$E$223,$E$224,$E$225,$E$226,$E$227,$E$228,$E$229,$E$230,$E$231,$E$232,$E$233,$E$234,$E$235,$E$236,$E$237,$E$238,$E$239,$E$240,$E$241,$E$242,$E$243,$E$244,$E$245,$E$246,$E$247,$E$248,$E$249,$E$250))</f>
        <v>3.5</v>
      </c>
      <c r="L49" s="484">
        <f>IF(I49="","",I49*K49)</f>
        <v>7.0000000000000007E-2</v>
      </c>
      <c r="M49" s="530">
        <f>IF(G49="","",CHOOSE(G49,$F$223,$F$224,$F$225,$F$226,$F$227,$F$228,$F$229,$F$230,$F$231,$F$232,$F$233,$F$234,$F$235,$F$236,$F$237,$F$238,$F$239,$F$240,$F$241,$F$242,$F$243,$F$244,$F$245,$F$246,$F$247,$F$248,$F$249,$F$250))</f>
        <v>0.78</v>
      </c>
      <c r="N49" s="487">
        <f t="shared" ref="N49:N50" si="10">I49*M49</f>
        <v>1.5600000000000001E-2</v>
      </c>
      <c r="O49" s="526"/>
      <c r="P49" s="527"/>
    </row>
    <row r="50" spans="3:16" ht="16.350000000000001" customHeight="1" thickBot="1">
      <c r="C50" s="1062"/>
      <c r="D50" s="1056"/>
      <c r="E50" s="1030"/>
      <c r="F50" s="1033"/>
      <c r="G50" s="531">
        <v>27</v>
      </c>
      <c r="H50" s="706" t="str">
        <f>IF(G50="","",CHOOSE(G50,$D$223,$D$224,$D$225,$D$226,$D$227,$D$228,$D$229,$D$230,$D$231,$D$232,$D$233,$D$234,$D$235,$D$236,$D$237,$D$238,$D$239,$D$240,$D$241,$D$242,$D$243,$D$244,$D$245,$D$246,$D$247,$D$248,$D$249))</f>
        <v xml:space="preserve">Woda </v>
      </c>
      <c r="I50" s="532">
        <v>0</v>
      </c>
      <c r="J50" s="707">
        <f>+F48*I50</f>
        <v>0</v>
      </c>
      <c r="K50" s="708">
        <f>IF(G50="","",CHOOSE(G50,$E$223,$E$224,$E$225,$E$226,$E$227,$E$228,$E$229,$E$230,$E$231,$E$232,$E$233,$E$234,$E$235,$E$236,$E$237,$E$238,$E$239,$E$240,$E$241,$E$242,$E$243,$E$244,$E$245,$E$246,$E$247,$E$248,$E$249))</f>
        <v>0</v>
      </c>
      <c r="L50" s="521">
        <f t="shared" ref="L50" si="11">IF(I50="","",I50*K50)</f>
        <v>0</v>
      </c>
      <c r="M50" s="533"/>
      <c r="N50" s="488">
        <f t="shared" si="10"/>
        <v>0</v>
      </c>
      <c r="O50" s="1052" t="s">
        <v>120</v>
      </c>
      <c r="P50" s="1052"/>
    </row>
    <row r="51" spans="3:16" ht="17.25" thickTop="1" thickBot="1">
      <c r="C51" s="1062"/>
      <c r="D51" s="709"/>
      <c r="E51" s="517"/>
      <c r="F51" s="710"/>
      <c r="G51" s="710"/>
      <c r="H51" s="710"/>
      <c r="I51" s="711">
        <f>SUM(I48:I50)</f>
        <v>1</v>
      </c>
      <c r="J51" s="710">
        <f>SUM(J48:J50)</f>
        <v>0</v>
      </c>
      <c r="K51" s="710"/>
      <c r="L51" s="518">
        <f>SUM(L48:L50)</f>
        <v>12.712</v>
      </c>
      <c r="M51" s="517"/>
      <c r="N51" s="519">
        <f>SUM(N48:N50)</f>
        <v>0.21160000000000001</v>
      </c>
      <c r="O51" s="520">
        <f>(+E48*F48)-(L51*F48)</f>
        <v>0</v>
      </c>
      <c r="P51" s="228" t="s">
        <v>15360</v>
      </c>
    </row>
    <row r="52" spans="3:16" ht="15" customHeight="1" thickTop="1">
      <c r="C52" s="228"/>
    </row>
    <row r="53" spans="3:16" ht="15" customHeight="1" thickBot="1">
      <c r="C53" s="228"/>
    </row>
    <row r="54" spans="3:16" ht="19.5" customHeight="1" thickTop="1" thickBot="1">
      <c r="C54" s="1061" t="s">
        <v>17984</v>
      </c>
      <c r="D54" s="1042" t="s">
        <v>15555</v>
      </c>
      <c r="E54" s="1043"/>
      <c r="F54" s="1043"/>
      <c r="G54" s="1043"/>
      <c r="H54" s="696"/>
      <c r="I54" s="696"/>
      <c r="J54" s="696"/>
      <c r="K54" s="696"/>
      <c r="L54" s="696"/>
      <c r="M54" s="696"/>
      <c r="N54" s="697"/>
      <c r="O54" s="228"/>
    </row>
    <row r="55" spans="3:16" ht="38.1" customHeight="1" thickTop="1" thickBot="1">
      <c r="C55" s="1061"/>
      <c r="D55" s="698" t="s">
        <v>111</v>
      </c>
      <c r="E55" s="515" t="s">
        <v>17327</v>
      </c>
      <c r="F55" s="515"/>
      <c r="G55" s="515" t="s">
        <v>17331</v>
      </c>
      <c r="H55" s="699" t="s">
        <v>114</v>
      </c>
      <c r="I55" s="699" t="s">
        <v>115</v>
      </c>
      <c r="J55" s="699" t="s">
        <v>116</v>
      </c>
      <c r="K55" s="515" t="s">
        <v>17326</v>
      </c>
      <c r="L55" s="515" t="s">
        <v>17332</v>
      </c>
      <c r="M55" s="515" t="s">
        <v>118</v>
      </c>
      <c r="N55" s="516" t="s">
        <v>119</v>
      </c>
      <c r="O55" s="55"/>
      <c r="P55" s="228"/>
    </row>
    <row r="56" spans="3:16" ht="16.350000000000001" customHeight="1" thickTop="1">
      <c r="C56" s="1061"/>
      <c r="D56" s="1049" t="s">
        <v>17868</v>
      </c>
      <c r="E56" s="1036">
        <v>12.98</v>
      </c>
      <c r="F56" s="1044"/>
      <c r="G56" s="523">
        <v>9</v>
      </c>
      <c r="H56" s="712" t="str">
        <f>IF(G56="","",CHOOSE(G56,$D$223,$D$224,$D$225,$D$226,$D$227,$D$228,$D$229,$D$230,$D$231,$D$232,$D$233,$D$234,$D$235,$D$236,$D$237,$D$238,$D$239,$D$240,$D$241,$D$242,$D$243,$D$244,$D$245,$D$246,$D$247,$D$248,$D$249,$D$250))</f>
        <v>2660 - M-SO DROBNE KL2A</v>
      </c>
      <c r="I56" s="524">
        <v>0.97</v>
      </c>
      <c r="J56" s="701">
        <f>+F56*I56</f>
        <v>0</v>
      </c>
      <c r="K56" s="702">
        <f>IF(G56="","",CHOOSE(G56,$E$223,$E$224,$E$225,$E$226,$E$227,$E$228,$E$229,$E$230,$E$231,$E$232,$E$233,$E$234,$E$235,$E$236,$E$237,$E$238,$E$239,$E$240,$E$241,$E$242,$E$243,$E$244,$E$245,$E$246,$E$247,$E$248,$E$249,$E$250))</f>
        <v>12.9</v>
      </c>
      <c r="L56" s="485">
        <f>IF(I56="","",I56*K56)</f>
        <v>12.513</v>
      </c>
      <c r="M56" s="525">
        <f>IF(G56="","",CHOOSE(G56,$F$223,$F$224,$F$225,$F$226,$F$227,$F$228,$F$229,$F$230,$F$231,$F$232,$F$233,$F$234,$F$235,$F$236,$F$237,$F$238,$F$239,$F$240,$F$241,$F$242,$F$243,$F$244,$F$245,$F$246,$F$247,$F$248,$F$249,$F$250))</f>
        <v>0.2</v>
      </c>
      <c r="N56" s="486">
        <f>I56*M56</f>
        <v>0.19400000000000001</v>
      </c>
      <c r="O56" s="526"/>
      <c r="P56" s="527"/>
    </row>
    <row r="57" spans="3:16" ht="15.6" customHeight="1">
      <c r="C57" s="1061"/>
      <c r="D57" s="1050"/>
      <c r="E57" s="1037"/>
      <c r="F57" s="1045"/>
      <c r="G57" s="528">
        <v>18</v>
      </c>
      <c r="H57" s="713" t="str">
        <f>IF(G57="","",CHOOSE(G57,$D$223,$D$224,$D$225,$D$226,$D$227,$D$228,$D$229,$D$230,$D$231,$D$232,$D$233,$D$234,$D$235,$D$236,$D$237,$D$238,$D$239,$D$240,$D$241,$D$242,$D$243,$D$244,$D$245,$D$246,$D$247,$D$248,$D$249,$D$250))</f>
        <v>2631 - PODG.B/SK.</v>
      </c>
      <c r="I57" s="529">
        <v>0.03</v>
      </c>
      <c r="J57" s="704">
        <f>+F56*I57</f>
        <v>0</v>
      </c>
      <c r="K57" s="705">
        <f>IF(G57="","",CHOOSE(G57,$E$223,$E$224,$E$225,$E$226,$E$227,$E$228,$E$229,$E$230,$E$231,$E$232,$E$233,$E$234,$E$235,$E$236,$E$237,$E$238,$E$239,$E$240,$E$241,$E$242,$E$243,$E$244,$E$245,$E$246,$E$247,$E$248,$E$249,$E$250))</f>
        <v>7</v>
      </c>
      <c r="L57" s="484">
        <f>IF(I57="","",I57*K57)</f>
        <v>0.21</v>
      </c>
      <c r="M57" s="530">
        <f>IF(G57="","",CHOOSE(G57,$F$223,$F$224,$F$225,$F$226,$F$227,$F$228,$F$229,$F$230,$F$231,$F$232,$F$233,$F$234,$F$235,$F$236,$F$237,$F$238,$F$239,$F$240,$F$241,$F$242,$F$243,$F$244,$F$245,$F$246,$F$247,$F$248,$F$249,$F$250))</f>
        <v>0.57999999999999996</v>
      </c>
      <c r="N57" s="487">
        <f t="shared" ref="N57:N58" si="12">I57*M57</f>
        <v>1.7399999999999999E-2</v>
      </c>
      <c r="O57" s="526"/>
      <c r="P57" s="527"/>
    </row>
    <row r="58" spans="3:16" ht="16.350000000000001" customHeight="1" thickBot="1">
      <c r="C58" s="1061"/>
      <c r="D58" s="1051"/>
      <c r="E58" s="1038"/>
      <c r="F58" s="1046"/>
      <c r="G58" s="531">
        <v>27</v>
      </c>
      <c r="H58" s="706" t="str">
        <f>IF(G58="","",CHOOSE(G58,$D$223,$D$224,$D$225,$D$226,$D$227,$D$228,$D$229,$D$230,$D$231,$D$232,$D$233,$D$234,$D$235,$D$236,$D$237,$D$238,$D$239,$D$240,$D$241,$D$242,$D$243,$D$244,$D$245,$D$246,$D$247,$D$248,$D$249))</f>
        <v xml:space="preserve">Woda </v>
      </c>
      <c r="I58" s="532">
        <v>0</v>
      </c>
      <c r="J58" s="707">
        <f>+F56*I58</f>
        <v>0</v>
      </c>
      <c r="K58" s="708">
        <f>IF(G58="","",CHOOSE(G58,$E$223,$E$224,$E$225,$E$226,$E$227,$E$228,$E$229,$E$230,$E$231,$E$232,$E$233,$E$234,$E$235,$E$236,$E$237,$E$238,$E$239,$E$240,$E$241,$E$242,$E$243,$E$244,$E$245,$E$246,$E$247,$E$248,$E$249))</f>
        <v>0</v>
      </c>
      <c r="L58" s="521">
        <f t="shared" ref="L58" si="13">IF(I58="","",I58*K58)</f>
        <v>0</v>
      </c>
      <c r="M58" s="533"/>
      <c r="N58" s="488">
        <f t="shared" si="12"/>
        <v>0</v>
      </c>
      <c r="O58" s="1055" t="s">
        <v>120</v>
      </c>
      <c r="P58" s="1052"/>
    </row>
    <row r="59" spans="3:16" ht="16.5" customHeight="1" thickTop="1" thickBot="1">
      <c r="C59" s="1061"/>
      <c r="D59" s="709"/>
      <c r="E59" s="517"/>
      <c r="F59" s="710"/>
      <c r="G59" s="710"/>
      <c r="H59" s="710"/>
      <c r="I59" s="711">
        <f>SUM(I56:I58)</f>
        <v>1</v>
      </c>
      <c r="J59" s="710">
        <f>SUM(J56:J58)</f>
        <v>0</v>
      </c>
      <c r="K59" s="710"/>
      <c r="L59" s="518">
        <f>SUM(L56:L58)</f>
        <v>12.723000000000001</v>
      </c>
      <c r="M59" s="517"/>
      <c r="N59" s="519">
        <f>SUM(N56:N58)</f>
        <v>0.2114</v>
      </c>
      <c r="O59" s="520">
        <f>(+E56*F56)-(L59*F56)</f>
        <v>0</v>
      </c>
      <c r="P59" s="228" t="s">
        <v>15360</v>
      </c>
    </row>
    <row r="60" spans="3:16" ht="15" customHeight="1" thickTop="1">
      <c r="C60" s="228"/>
    </row>
    <row r="61" spans="3:16" ht="15.75" thickBot="1">
      <c r="C61" s="228"/>
    </row>
    <row r="62" spans="3:16" ht="20.25" thickTop="1" thickBot="1">
      <c r="C62" s="1061" t="s">
        <v>17984</v>
      </c>
      <c r="D62" s="1042" t="s">
        <v>15556</v>
      </c>
      <c r="E62" s="1043"/>
      <c r="F62" s="1043"/>
      <c r="G62" s="1043"/>
      <c r="H62" s="696"/>
      <c r="I62" s="696"/>
      <c r="J62" s="696"/>
      <c r="K62" s="696"/>
      <c r="L62" s="696"/>
      <c r="M62" s="696"/>
      <c r="N62" s="697"/>
      <c r="O62" s="228"/>
    </row>
    <row r="63" spans="3:16" ht="39" thickTop="1" thickBot="1">
      <c r="C63" s="1061"/>
      <c r="D63" s="698" t="s">
        <v>111</v>
      </c>
      <c r="E63" s="515" t="s">
        <v>17327</v>
      </c>
      <c r="F63" s="515"/>
      <c r="G63" s="515" t="s">
        <v>17331</v>
      </c>
      <c r="H63" s="699" t="s">
        <v>114</v>
      </c>
      <c r="I63" s="699" t="s">
        <v>115</v>
      </c>
      <c r="J63" s="699" t="s">
        <v>116</v>
      </c>
      <c r="K63" s="515" t="s">
        <v>17326</v>
      </c>
      <c r="L63" s="515" t="s">
        <v>17332</v>
      </c>
      <c r="M63" s="515" t="s">
        <v>118</v>
      </c>
      <c r="N63" s="516" t="s">
        <v>119</v>
      </c>
      <c r="O63" s="55"/>
      <c r="P63" s="228"/>
    </row>
    <row r="64" spans="3:16" ht="16.5" thickTop="1">
      <c r="C64" s="1061"/>
      <c r="D64" s="1049" t="s">
        <v>17868</v>
      </c>
      <c r="E64" s="1036">
        <v>12.98</v>
      </c>
      <c r="F64" s="1039"/>
      <c r="G64" s="523">
        <v>7</v>
      </c>
      <c r="H64" s="712" t="str">
        <f>IF(G64="","",CHOOSE(G64,$D$223,$D$224,$D$225,$D$226,$D$227,$D$228,$D$229,$D$230,$D$231,$D$232,$D$233,$D$234,$D$235,$D$236,$D$237,$D$238,$D$239,$D$240,$D$241,$D$242,$D$243,$D$244,$D$245,$D$246,$D$247,$D$248,$D$249,$D$250))</f>
        <v>2650 - M-SO DROBNE KL1 CIE.</v>
      </c>
      <c r="I64" s="578">
        <v>0.82</v>
      </c>
      <c r="J64" s="701">
        <f>+F64*I64</f>
        <v>0</v>
      </c>
      <c r="K64" s="702">
        <f>IF(G64="","",CHOOSE(G64,$E$223,$E$224,$E$225,$E$226,$E$227,$E$228,$E$229,$E$230,$E$231,$E$232,$E$233,$E$234,$E$235,$E$236,$E$237,$E$238,$E$239,$E$240,$E$241,$E$242,$E$243,$E$244,$E$245,$E$246,$E$247,$E$248,$E$249,$E$250))</f>
        <v>14.6</v>
      </c>
      <c r="L64" s="485">
        <f>IF(I64="","",I64*K64)</f>
        <v>11.972</v>
      </c>
      <c r="M64" s="525">
        <f>IF(G64="","",CHOOSE(G64,$F$223,$F$224,$F$225,$F$226,$F$227,$F$228,$F$229,$F$230,$F$231,$F$232,$F$233,$F$234,$F$235,$F$236,$F$237,$F$238,$F$239,$F$240,$F$241,$F$242,$F$243,$F$244,$F$245,$F$246,$F$247,$F$248,$F$249,$F$250))</f>
        <v>0.09</v>
      </c>
      <c r="N64" s="486">
        <f>I64*M64</f>
        <v>7.3799999999999991E-2</v>
      </c>
      <c r="O64" s="526"/>
      <c r="P64" s="527"/>
    </row>
    <row r="65" spans="3:16" ht="15.75">
      <c r="C65" s="1061"/>
      <c r="D65" s="1050"/>
      <c r="E65" s="1037"/>
      <c r="F65" s="1040"/>
      <c r="G65" s="528">
        <v>24</v>
      </c>
      <c r="H65" s="713" t="str">
        <f>IF(G65="","",CHOOSE(G65,$D$223,$D$224,$D$225,$D$226,$D$227,$D$228,$D$229,$D$230,$D$231,$D$232,$D$233,$D$234,$D$235,$D$236,$D$237,$D$238,$D$239,$D$240,$D$241,$D$242,$D$243,$D$244,$D$245,$D$246,$D$247,$D$248,$D$249,$D$250))</f>
        <v>2710 - TŁUSZCZ DR.</v>
      </c>
      <c r="I65" s="580">
        <v>0.18</v>
      </c>
      <c r="J65" s="704">
        <f>+F64*I65</f>
        <v>0</v>
      </c>
      <c r="K65" s="705">
        <f>IF(G65="","",CHOOSE(G65,$E$223,$E$224,$E$225,$E$226,$E$227,$E$228,$E$229,$E$230,$E$231,$E$232,$E$233,$E$234,$E$235,$E$236,$E$237,$E$238,$E$239,$E$240,$E$241,$E$242,$E$243,$E$244,$E$245,$E$246,$E$247,$E$248,$E$249,$E$250))</f>
        <v>3.5</v>
      </c>
      <c r="L65" s="484">
        <f t="shared" ref="L65:L66" si="14">IF(I65="","",I65*K65)</f>
        <v>0.63</v>
      </c>
      <c r="M65" s="530">
        <f>IF(G65="","",CHOOSE(G65,$F$223,$F$224,$F$225,$F$226,$F$227,$F$228,$F$229,$F$230,$F$231,$F$232,$F$233,$F$234,$F$235,$F$236,$F$237,$F$238,$F$239,$F$240,$F$241,$F$242,$F$243,$F$244,$F$245,$F$246,$F$247,$F$248,$F$249,$F$250))</f>
        <v>0.78</v>
      </c>
      <c r="N65" s="487">
        <f>I65*M65</f>
        <v>0.1404</v>
      </c>
      <c r="O65" s="526"/>
      <c r="P65" s="527"/>
    </row>
    <row r="66" spans="3:16" ht="16.350000000000001" customHeight="1" thickBot="1">
      <c r="C66" s="1061"/>
      <c r="D66" s="1051"/>
      <c r="E66" s="1038"/>
      <c r="F66" s="1041"/>
      <c r="G66" s="531">
        <v>27</v>
      </c>
      <c r="H66" s="706" t="str">
        <f>IF(G66="","",CHOOSE(G66,$D$223,$D$224,$D$225,$D$226,$D$227,$D$228,$D$229,$D$230,$D$231,$D$232,$D$233,$D$234,$D$235,$D$236,$D$237,$D$238,$D$239,$D$240,$D$241,$D$242,$D$243,$D$244,$D$245,$D$246,$D$247,$D$248,$D$249))</f>
        <v xml:space="preserve">Woda </v>
      </c>
      <c r="I66" s="532">
        <v>0</v>
      </c>
      <c r="J66" s="707">
        <f>+F64*I66</f>
        <v>0</v>
      </c>
      <c r="K66" s="708">
        <f>IF(G66="","",CHOOSE(G66,$E$223,$E$224,$E$225,$E$226,$E$227,$E$228,$E$229,$E$230,$E$231,$E$232,$E$233,$E$234,$E$235,$E$236,$E$237,$E$238,$E$239,$E$240,$E$241,$E$242,$E$243,$E$244,$E$245,$E$246,$E$247,$E$248,$E$249))</f>
        <v>0</v>
      </c>
      <c r="L66" s="521">
        <f t="shared" si="14"/>
        <v>0</v>
      </c>
      <c r="M66" s="533"/>
      <c r="N66" s="488">
        <f t="shared" ref="N66" si="15">I66*M66</f>
        <v>0</v>
      </c>
      <c r="O66" s="1055" t="s">
        <v>120</v>
      </c>
      <c r="P66" s="1052"/>
    </row>
    <row r="67" spans="3:16" ht="17.25" thickTop="1" thickBot="1">
      <c r="C67" s="1061"/>
      <c r="D67" s="709"/>
      <c r="E67" s="517"/>
      <c r="F67" s="710"/>
      <c r="G67" s="710"/>
      <c r="H67" s="710"/>
      <c r="I67" s="711">
        <f>SUM(I64:I66)</f>
        <v>1</v>
      </c>
      <c r="J67" s="710">
        <f>SUM(J64:J66)</f>
        <v>0</v>
      </c>
      <c r="K67" s="710"/>
      <c r="L67" s="518">
        <f>SUM(L64:L66)</f>
        <v>12.602</v>
      </c>
      <c r="M67" s="517"/>
      <c r="N67" s="519">
        <f>SUM(N64:N66)</f>
        <v>0.2142</v>
      </c>
      <c r="O67" s="520">
        <f>(+E64*F64)-(L67*F64)</f>
        <v>0</v>
      </c>
      <c r="P67" s="228" t="s">
        <v>15360</v>
      </c>
    </row>
    <row r="68" spans="3:16" ht="16.5" thickTop="1">
      <c r="C68" s="858"/>
      <c r="D68" s="858"/>
      <c r="E68" s="858"/>
      <c r="F68" s="858"/>
      <c r="G68" s="858"/>
      <c r="H68" s="858"/>
      <c r="I68" s="858"/>
      <c r="J68" s="858"/>
      <c r="K68" s="858"/>
      <c r="L68" s="858"/>
      <c r="M68" s="858"/>
      <c r="N68" s="858"/>
      <c r="O68" s="520"/>
      <c r="P68" s="228"/>
    </row>
    <row r="69" spans="3:16" ht="16.5" thickBot="1">
      <c r="C69" s="858"/>
      <c r="D69" s="858"/>
      <c r="E69" s="858"/>
      <c r="G69" s="858"/>
      <c r="H69" s="858"/>
      <c r="I69" s="858"/>
      <c r="J69" s="858"/>
      <c r="K69" s="858"/>
      <c r="L69" s="858"/>
      <c r="M69" s="858"/>
      <c r="N69" s="858"/>
      <c r="O69" s="520"/>
      <c r="P69" s="228"/>
    </row>
    <row r="70" spans="3:16" ht="20.25" thickTop="1" thickBot="1">
      <c r="C70" s="858"/>
      <c r="D70" s="1042" t="s">
        <v>15557</v>
      </c>
      <c r="E70" s="1043"/>
      <c r="F70" s="1043"/>
      <c r="G70" s="1043"/>
      <c r="H70" s="696"/>
      <c r="I70" s="696"/>
      <c r="J70" s="696"/>
      <c r="K70" s="696"/>
      <c r="L70" s="696"/>
      <c r="M70" s="696"/>
      <c r="N70" s="697"/>
      <c r="O70" s="228"/>
    </row>
    <row r="71" spans="3:16" ht="39" thickTop="1" thickBot="1">
      <c r="C71" s="858"/>
      <c r="D71" s="698" t="s">
        <v>111</v>
      </c>
      <c r="E71" s="515" t="s">
        <v>17327</v>
      </c>
      <c r="F71" s="515"/>
      <c r="G71" s="515" t="s">
        <v>17331</v>
      </c>
      <c r="H71" s="699" t="s">
        <v>114</v>
      </c>
      <c r="I71" s="699" t="s">
        <v>115</v>
      </c>
      <c r="J71" s="699" t="s">
        <v>116</v>
      </c>
      <c r="K71" s="515" t="s">
        <v>17326</v>
      </c>
      <c r="L71" s="515" t="s">
        <v>17332</v>
      </c>
      <c r="M71" s="515" t="s">
        <v>118</v>
      </c>
      <c r="N71" s="516" t="s">
        <v>119</v>
      </c>
      <c r="O71" s="55"/>
      <c r="P71" s="228"/>
    </row>
    <row r="72" spans="3:16" ht="16.5" thickTop="1">
      <c r="C72" s="858"/>
      <c r="D72" s="1049" t="s">
        <v>17868</v>
      </c>
      <c r="E72" s="1036">
        <v>12.98</v>
      </c>
      <c r="F72" s="1039"/>
      <c r="G72" s="523">
        <v>7</v>
      </c>
      <c r="H72" s="712" t="str">
        <f>IF(G72="","",CHOOSE(G72,$D$223,$D$224,$D$225,$D$226,$D$227,$D$228,$D$229,$D$230,$D$231,$D$232,$D$233,$D$234,$D$235,$D$236,$D$237,$D$238,$D$239,$D$240,$D$241,$D$242,$D$243,$D$244,$D$245,$D$246,$D$247,$D$248,$D$249,$D$250))</f>
        <v>2650 - M-SO DROBNE KL1 CIE.</v>
      </c>
      <c r="I72" s="578">
        <v>0.62</v>
      </c>
      <c r="J72" s="701">
        <f>+F72*I72</f>
        <v>0</v>
      </c>
      <c r="K72" s="702">
        <f>IF(G72="","",CHOOSE(G72,$E$223,$E$224,$E$225,$E$226,$E$227,$E$228,$E$229,$E$230,$E$231,$E$232,$E$233,$E$234,$E$235,$E$236,$E$237,$E$238,$E$239,$E$240,$E$241,$E$242,$E$243,$E$244,$E$245,$E$246,$E$247,$E$248,$E$249,$E$250))</f>
        <v>14.6</v>
      </c>
      <c r="L72" s="485">
        <f>IF(I72="","",I72*K72)</f>
        <v>9.0519999999999996</v>
      </c>
      <c r="M72" s="525">
        <f>IF(G72="","",CHOOSE(G72,$F$223,$F$224,$F$225,$F$226,$F$227,$F$228,$F$229,$F$230,$F$231,$F$232,$F$233,$F$234,$F$235,$F$236,$F$237,$F$238,$F$239,$F$240,$F$241,$F$242,$F$243,$F$244,$F$245,$F$246,$F$247,$F$248,$F$249,$F$250))</f>
        <v>0.09</v>
      </c>
      <c r="N72" s="486">
        <f>I72*M72</f>
        <v>5.5799999999999995E-2</v>
      </c>
      <c r="O72" s="526"/>
      <c r="P72" s="527"/>
    </row>
    <row r="73" spans="3:16" ht="15.75">
      <c r="C73" s="858"/>
      <c r="D73" s="1050"/>
      <c r="E73" s="1037"/>
      <c r="F73" s="1040"/>
      <c r="G73" s="528">
        <v>11</v>
      </c>
      <c r="H73" s="713" t="str">
        <f>IF(G73="","",CHOOSE(G73,$D$223,$D$224,$D$225,$D$226,$D$227,$D$228,$D$229,$D$230,$D$231,$D$232,$D$233,$D$234,$D$235,$D$236,$D$237,$D$238,$D$239,$D$240,$D$241,$D$242,$D$243,$D$244,$D$245,$D$246,$D$247,$D$248,$D$249,$D$250))</f>
        <v>2670 - M-SO DROBNE KL2B</v>
      </c>
      <c r="I73" s="580">
        <v>0.38</v>
      </c>
      <c r="J73" s="704">
        <f>+F72*I73</f>
        <v>0</v>
      </c>
      <c r="K73" s="705">
        <f>IF(G73="","",CHOOSE(G73,$E$223,$E$224,$E$225,$E$226,$E$227,$E$228,$E$229,$E$230,$E$231,$E$232,$E$233,$E$234,$E$235,$E$236,$E$237,$E$238,$E$239,$E$240,$E$241,$E$242,$E$243,$E$244,$E$245,$E$246,$E$247,$E$248,$E$249,$E$250))</f>
        <v>9.4</v>
      </c>
      <c r="L73" s="484">
        <f t="shared" ref="L73:L74" si="16">IF(I73="","",I73*K73)</f>
        <v>3.5720000000000001</v>
      </c>
      <c r="M73" s="530">
        <f>IF(G73="","",CHOOSE(G73,$F$223,$F$224,$F$225,$F$226,$F$227,$F$228,$F$229,$F$230,$F$231,$F$232,$F$233,$F$234,$F$235,$F$236,$F$237,$F$238,$F$239,$F$240,$F$241,$F$242,$F$243,$F$244,$F$245,$F$246,$F$247,$F$248,$F$249,$F$250))</f>
        <v>0.4</v>
      </c>
      <c r="N73" s="487">
        <f>I73*M73</f>
        <v>0.15200000000000002</v>
      </c>
      <c r="O73" s="526"/>
      <c r="P73" s="527"/>
    </row>
    <row r="74" spans="3:16" ht="16.5" thickBot="1">
      <c r="C74" s="858"/>
      <c r="D74" s="1051"/>
      <c r="E74" s="1038"/>
      <c r="F74" s="1041"/>
      <c r="G74" s="531">
        <v>27</v>
      </c>
      <c r="H74" s="706" t="str">
        <f>IF(G74="","",CHOOSE(G74,$D$223,$D$224,$D$225,$D$226,$D$227,$D$228,$D$229,$D$230,$D$231,$D$232,$D$233,$D$234,$D$235,$D$236,$D$237,$D$238,$D$239,$D$240,$D$241,$D$242,$D$243,$D$244,$D$245,$D$246,$D$247,$D$248,$D$249))</f>
        <v xml:space="preserve">Woda </v>
      </c>
      <c r="I74" s="532">
        <v>0</v>
      </c>
      <c r="J74" s="707">
        <f>+F72*I74</f>
        <v>0</v>
      </c>
      <c r="K74" s="708">
        <f>IF(G74="","",CHOOSE(G74,$E$223,$E$224,$E$225,$E$226,$E$227,$E$228,$E$229,$E$230,$E$231,$E$232,$E$233,$E$234,$E$235,$E$236,$E$237,$E$238,$E$239,$E$240,$E$241,$E$242,$E$243,$E$244,$E$245,$E$246,$E$247,$E$248,$E$249))</f>
        <v>0</v>
      </c>
      <c r="L74" s="521">
        <f t="shared" si="16"/>
        <v>0</v>
      </c>
      <c r="M74" s="533"/>
      <c r="N74" s="488">
        <f t="shared" ref="N74" si="17">I74*M74</f>
        <v>0</v>
      </c>
      <c r="O74" s="1055" t="s">
        <v>120</v>
      </c>
      <c r="P74" s="1052"/>
    </row>
    <row r="75" spans="3:16" ht="17.25" thickTop="1" thickBot="1">
      <c r="C75" s="858"/>
      <c r="D75" s="709"/>
      <c r="E75" s="517"/>
      <c r="F75" s="710"/>
      <c r="G75" s="710"/>
      <c r="H75" s="710"/>
      <c r="I75" s="711">
        <f>SUM(I72:I74)</f>
        <v>1</v>
      </c>
      <c r="J75" s="710">
        <f>SUM(J72:J74)</f>
        <v>0</v>
      </c>
      <c r="K75" s="710"/>
      <c r="L75" s="518">
        <f>SUM(L72:L74)</f>
        <v>12.623999999999999</v>
      </c>
      <c r="M75" s="517"/>
      <c r="N75" s="519">
        <f>SUM(N72:N74)</f>
        <v>0.20780000000000001</v>
      </c>
      <c r="O75" s="520">
        <f>(+E72*F72)-(L75*F72)</f>
        <v>0</v>
      </c>
      <c r="P75" s="228" t="s">
        <v>15360</v>
      </c>
    </row>
    <row r="76" spans="3:16" ht="15.75" thickTop="1">
      <c r="C76" s="228"/>
    </row>
    <row r="77" spans="3:16" ht="15.75" thickBot="1">
      <c r="C77" s="228"/>
    </row>
    <row r="78" spans="3:16" ht="20.25" thickTop="1" thickBot="1">
      <c r="C78" s="1061" t="s">
        <v>17984</v>
      </c>
      <c r="D78" s="1042" t="s">
        <v>15563</v>
      </c>
      <c r="E78" s="1043"/>
      <c r="F78" s="1043"/>
      <c r="G78" s="1043"/>
      <c r="H78" s="696"/>
      <c r="I78" s="696"/>
      <c r="J78" s="696"/>
      <c r="K78" s="696"/>
      <c r="L78" s="696"/>
      <c r="M78" s="696"/>
      <c r="N78" s="697"/>
      <c r="O78" s="228"/>
    </row>
    <row r="79" spans="3:16" ht="39" thickTop="1" thickBot="1">
      <c r="C79" s="1061"/>
      <c r="D79" s="698" t="s">
        <v>111</v>
      </c>
      <c r="E79" s="515" t="s">
        <v>17327</v>
      </c>
      <c r="F79" s="515"/>
      <c r="G79" s="515" t="s">
        <v>17331</v>
      </c>
      <c r="H79" s="699" t="s">
        <v>114</v>
      </c>
      <c r="I79" s="699" t="s">
        <v>115</v>
      </c>
      <c r="J79" s="699" t="s">
        <v>116</v>
      </c>
      <c r="K79" s="515" t="s">
        <v>17326</v>
      </c>
      <c r="L79" s="515" t="s">
        <v>17332</v>
      </c>
      <c r="M79" s="515" t="s">
        <v>118</v>
      </c>
      <c r="N79" s="516" t="s">
        <v>119</v>
      </c>
      <c r="O79" s="55"/>
      <c r="P79" s="228"/>
    </row>
    <row r="80" spans="3:16" ht="16.5" thickTop="1">
      <c r="C80" s="1061"/>
      <c r="D80" s="1049" t="s">
        <v>17868</v>
      </c>
      <c r="E80" s="1036">
        <v>12.98</v>
      </c>
      <c r="F80" s="1039"/>
      <c r="G80" s="523">
        <v>7</v>
      </c>
      <c r="H80" s="712" t="str">
        <f>IF(G80="","",CHOOSE(G80,$D$223,$D$224,$D$225,$D$226,$D$227,$D$228,$D$229,$D$230,$D$231,$D$232,$D$233,$D$234,$D$235,$D$236,$D$237,$D$238,$D$239,$D$240,$D$241,$D$242,$D$243,$D$244,$D$245,$D$246,$D$247,$D$248,$D$249,$D$250))</f>
        <v>2650 - M-SO DROBNE KL1 CIE.</v>
      </c>
      <c r="I80" s="578">
        <v>0.75</v>
      </c>
      <c r="J80" s="701">
        <f>+F80*I80</f>
        <v>0</v>
      </c>
      <c r="K80" s="702">
        <f>IF(G80="","",CHOOSE(G80,$E$223,$E$224,$E$225,$E$226,$E$227,$E$228,$E$229,$E$230,$E$231,$E$232,$E$233,$E$234,$E$235,$E$236,$E$237,$E$238,$E$239,$E$240,$E$241,$E$242,$E$243,$E$244,$E$245,$E$246,$E$247,$E$248,$E$249,$E$250))</f>
        <v>14.6</v>
      </c>
      <c r="L80" s="485">
        <f>IF(I80="","",I80*K80)</f>
        <v>10.95</v>
      </c>
      <c r="M80" s="525">
        <f>IF(G80="","",CHOOSE(G80,$F$223,$F$224,$F$225,$F$226,$F$227,$F$228,$F$229,$F$230,$F$231,$F$232,$F$233,$F$234,$F$235,$F$236,$F$237,$F$238,$F$239,$F$240,$F$241,$F$242,$F$243,$F$244,$F$245,$F$246,$F$247,$F$248,$F$249,$F$250))</f>
        <v>0.09</v>
      </c>
      <c r="N80" s="486">
        <f>I80*M80</f>
        <v>6.7500000000000004E-2</v>
      </c>
      <c r="O80" s="526"/>
      <c r="P80" s="527"/>
    </row>
    <row r="81" spans="3:16" ht="15.75">
      <c r="C81" s="1061"/>
      <c r="D81" s="1050"/>
      <c r="E81" s="1037"/>
      <c r="F81" s="1040"/>
      <c r="G81" s="528">
        <v>18</v>
      </c>
      <c r="H81" s="713" t="str">
        <f>IF(G81="","",CHOOSE(G81,$D$223,$D$224,$D$225,$D$226,$D$227,$D$228,$D$229,$D$230,$D$231,$D$232,$D$233,$D$234,$D$235,$D$236,$D$237,$D$238,$D$239,$D$240,$D$241,$D$242,$D$243,$D$244,$D$245,$D$246,$D$247,$D$248,$D$249,$D$250))</f>
        <v>2631 - PODG.B/SK.</v>
      </c>
      <c r="I81" s="580">
        <v>0.25</v>
      </c>
      <c r="J81" s="704">
        <f>+F80*I81</f>
        <v>0</v>
      </c>
      <c r="K81" s="705">
        <f>IF(G81="","",CHOOSE(G81,$E$223,$E$224,$E$225,$E$226,$E$227,$E$228,$E$229,$E$230,$E$231,$E$232,$E$233,$E$234,$E$235,$E$236,$E$237,$E$238,$E$239,$E$240,$E$241,$E$242,$E$243,$E$244,$E$245,$E$246,$E$247,$E$248,$E$249,$E$250))</f>
        <v>7</v>
      </c>
      <c r="L81" s="484">
        <f t="shared" ref="L81:L82" si="18">IF(I81="","",I81*K81)</f>
        <v>1.75</v>
      </c>
      <c r="M81" s="530">
        <f>IF(G81="","",CHOOSE(G81,$F$223,$F$224,$F$225,$F$226,$F$227,$F$228,$F$229,$F$230,$F$231,$F$232,$F$233,$F$234,$F$235,$F$236,$F$237,$F$238,$F$239,$F$240,$F$241,$F$242,$F$243,$F$244,$F$245,$F$246,$F$247,$F$248,$F$249,$F$250))</f>
        <v>0.57999999999999996</v>
      </c>
      <c r="N81" s="487">
        <f>I81*M81</f>
        <v>0.14499999999999999</v>
      </c>
      <c r="O81" s="526"/>
      <c r="P81" s="527"/>
    </row>
    <row r="82" spans="3:16" ht="16.350000000000001" customHeight="1" thickBot="1">
      <c r="C82" s="1061"/>
      <c r="D82" s="1051"/>
      <c r="E82" s="1038"/>
      <c r="F82" s="1041"/>
      <c r="G82" s="531">
        <v>27</v>
      </c>
      <c r="H82" s="706" t="str">
        <f>IF(G82="","",CHOOSE(G82,$D$223,$D$224,$D$225,$D$226,$D$227,$D$228,$D$229,$D$230,$D$231,$D$232,$D$233,$D$234,$D$235,$D$236,$D$237,$D$238,$D$239,$D$240,$D$241,$D$242,$D$243,$D$244,$D$245,$D$246,$D$247,$D$248,$D$249))</f>
        <v xml:space="preserve">Woda </v>
      </c>
      <c r="I82" s="532">
        <v>0</v>
      </c>
      <c r="J82" s="707">
        <f>+F80*I82</f>
        <v>0</v>
      </c>
      <c r="K82" s="708">
        <f>IF(G82="","",CHOOSE(G82,$E$223,$E$224,$E$225,$E$226,$E$227,$E$228,$E$229,$E$230,$E$231,$E$232,$E$233,$E$234,$E$235,$E$236,$E$237,$E$238,$E$239,$E$240,$E$241,$E$242,$E$243,$E$244,$E$245,$E$246,$E$247,$E$248,$E$249))</f>
        <v>0</v>
      </c>
      <c r="L82" s="521">
        <f t="shared" si="18"/>
        <v>0</v>
      </c>
      <c r="M82" s="533"/>
      <c r="N82" s="488">
        <f t="shared" ref="N82" si="19">I82*M82</f>
        <v>0</v>
      </c>
      <c r="O82" s="1055" t="s">
        <v>120</v>
      </c>
      <c r="P82" s="1052"/>
    </row>
    <row r="83" spans="3:16" ht="17.25" thickTop="1" thickBot="1">
      <c r="C83" s="1061"/>
      <c r="D83" s="709"/>
      <c r="E83" s="517"/>
      <c r="F83" s="710"/>
      <c r="G83" s="710"/>
      <c r="H83" s="710"/>
      <c r="I83" s="711">
        <f>SUM(I80:I82)</f>
        <v>1</v>
      </c>
      <c r="J83" s="710">
        <f>SUM(J80:J82)</f>
        <v>0</v>
      </c>
      <c r="K83" s="710"/>
      <c r="L83" s="518">
        <f>SUM(L80:L82)</f>
        <v>12.7</v>
      </c>
      <c r="M83" s="517"/>
      <c r="N83" s="519">
        <f>SUM(N80:N82)</f>
        <v>0.21249999999999999</v>
      </c>
      <c r="O83" s="520">
        <f>(+E80*F80)-(L83*F80)</f>
        <v>0</v>
      </c>
      <c r="P83" s="228" t="s">
        <v>15360</v>
      </c>
    </row>
    <row r="84" spans="3:16" ht="15.75" thickTop="1">
      <c r="C84" s="228"/>
    </row>
    <row r="85" spans="3:16" ht="15.75" thickBot="1">
      <c r="C85" s="228"/>
    </row>
    <row r="86" spans="3:16" ht="20.25" thickTop="1" thickBot="1">
      <c r="C86" s="1061" t="s">
        <v>17983</v>
      </c>
      <c r="D86" s="1047" t="s">
        <v>15558</v>
      </c>
      <c r="E86" s="1048"/>
      <c r="F86" s="1048"/>
      <c r="G86" s="1048"/>
      <c r="H86" s="752" t="s">
        <v>17980</v>
      </c>
      <c r="I86" s="753"/>
      <c r="J86" s="753"/>
      <c r="K86" s="753"/>
      <c r="L86" s="753"/>
      <c r="M86" s="753"/>
      <c r="N86" s="754"/>
      <c r="O86" s="228"/>
    </row>
    <row r="87" spans="3:16" ht="39" thickTop="1" thickBot="1">
      <c r="C87" s="1061"/>
      <c r="D87" s="698" t="s">
        <v>111</v>
      </c>
      <c r="E87" s="515" t="s">
        <v>17327</v>
      </c>
      <c r="F87" s="515"/>
      <c r="G87" s="515" t="s">
        <v>17331</v>
      </c>
      <c r="H87" s="699" t="s">
        <v>114</v>
      </c>
      <c r="I87" s="699" t="s">
        <v>115</v>
      </c>
      <c r="J87" s="699" t="s">
        <v>116</v>
      </c>
      <c r="K87" s="515" t="s">
        <v>17326</v>
      </c>
      <c r="L87" s="515" t="s">
        <v>17332</v>
      </c>
      <c r="M87" s="515" t="s">
        <v>118</v>
      </c>
      <c r="N87" s="516" t="s">
        <v>119</v>
      </c>
      <c r="O87" s="55"/>
      <c r="P87" s="228"/>
    </row>
    <row r="88" spans="3:16" ht="16.5" thickTop="1">
      <c r="C88" s="1061"/>
      <c r="D88" s="1034" t="s">
        <v>17872</v>
      </c>
      <c r="E88" s="1028">
        <v>11.25</v>
      </c>
      <c r="F88" s="1031">
        <v>12500</v>
      </c>
      <c r="G88" s="523">
        <v>13</v>
      </c>
      <c r="H88" s="712" t="str">
        <f>IF(G88="","",CHOOSE(G88,$D$223,$D$224,$D$225,$D$226,$D$227,$D$228,$D$229,$D$230,$D$231,$D$232,$D$233,$D$234,$D$235,$D$236,$D$237,$D$238,$D$239,$D$240,$D$241,$D$242,$D$243,$D$244,$D$245,$D$246,$D$247,$D$248,$D$249,$D$250))</f>
        <v>2675 - M-SO DROBNE KL3A</v>
      </c>
      <c r="I88" s="524">
        <v>0.36</v>
      </c>
      <c r="J88" s="701">
        <f>+F88*I88</f>
        <v>4500</v>
      </c>
      <c r="K88" s="702">
        <f>IF(G88="","",CHOOSE(G88,$E$223,$E$224,$E$225,$E$226,$E$227,$E$228,$E$229,$E$230,$E$231,$E$232,$E$233,$E$234,$E$235,$E$236,$E$237,$E$238,$E$239,$E$240,$E$241,$E$242,$E$243,$E$244,$E$245,$E$246,$E$247,$E$248,$E$249,$E$250))</f>
        <v>12.7</v>
      </c>
      <c r="L88" s="485">
        <f>IF(I88="","",I88*K88)</f>
        <v>4.5719999999999992</v>
      </c>
      <c r="M88" s="525">
        <f>IF(G88="","",CHOOSE(G88,$F$223,$F$224,$F$225,$F$226,$F$227,$F$228,$F$229,$F$230,$F$231,$F$232,$F$233,$F$234,$F$235,$F$236,$F$237,$F$238,$F$239,$F$240,$F$241,$F$242,$F$243,$F$244,$F$245,$F$246,$F$247,$F$248,$F$249,$F$250))</f>
        <v>0.25</v>
      </c>
      <c r="N88" s="486">
        <f>I88*M88</f>
        <v>0.09</v>
      </c>
      <c r="O88" s="526"/>
      <c r="P88" s="527"/>
    </row>
    <row r="89" spans="3:16" ht="15.75">
      <c r="C89" s="1061"/>
      <c r="D89" s="1035"/>
      <c r="E89" s="1029"/>
      <c r="F89" s="1032"/>
      <c r="G89" s="528">
        <v>14</v>
      </c>
      <c r="H89" s="713" t="str">
        <f>IF(G89="","",CHOOSE(G89,$D$223,$D$224,$D$225,$D$226,$D$227,$D$228,$D$229,$D$230,$D$231,$D$232,$D$233,$D$234,$D$235,$D$236,$D$237,$D$238,$D$239,$D$240,$D$241,$D$242,$D$243,$D$244,$D$245,$D$246,$D$247,$D$248,$D$249,$D$250))</f>
        <v>2680 - M-SO DROBNE KL3B</v>
      </c>
      <c r="I89" s="529">
        <v>0.36</v>
      </c>
      <c r="J89" s="704">
        <f>+F88*I89</f>
        <v>4500</v>
      </c>
      <c r="K89" s="705">
        <f>IF(G89="","",CHOOSE(G89,$E$223,$E$224,$E$225,$E$226,$E$227,$E$228,$E$229,$E$230,$E$231,$E$232,$E$233,$E$234,$E$235,$E$236,$E$237,$E$238,$E$239,$E$240,$E$241,$E$242,$E$243,$E$244,$E$245,$E$246,$E$247,$E$248,$E$249,$E$250))</f>
        <v>12.2</v>
      </c>
      <c r="L89" s="484">
        <f t="shared" ref="L89:L90" si="20">IF(I89="","",I89*K89)</f>
        <v>4.3919999999999995</v>
      </c>
      <c r="M89" s="530">
        <f>IF(G89="","",CHOOSE(G89,$F$223,$F$224,$F$225,$F$226,$F$227,$F$228,$F$229,$F$230,$F$231,$F$232,$F$233,$F$234,$F$235,$F$236,$F$237,$F$238,$F$239,$F$240,$F$241,$F$242,$F$243,$F$244,$F$245,$F$246,$F$247,$F$248,$F$249,$F$250))</f>
        <v>0.2</v>
      </c>
      <c r="N89" s="487">
        <f>I89*M89</f>
        <v>7.1999999999999995E-2</v>
      </c>
      <c r="O89" s="526"/>
      <c r="P89" s="527"/>
    </row>
    <row r="90" spans="3:16" ht="15.75">
      <c r="C90" s="1061"/>
      <c r="D90" s="1035"/>
      <c r="E90" s="1029"/>
      <c r="F90" s="1032"/>
      <c r="G90" s="528">
        <v>15</v>
      </c>
      <c r="H90" s="713" t="str">
        <f>IF(G90="","",CHOOSE(G90,$D$223,$D$224,$D$225,$D$226,$D$227,$D$228,$D$229,$D$230,$D$231,$D$232,$D$233,$D$234,$D$235,$D$236,$D$237,$D$238,$D$239,$D$240,$D$241,$D$242,$D$243,$D$244,$D$245,$D$246,$D$247,$D$248,$D$249,$D$250))</f>
        <v>2685 - M-SO DROBNE KL4</v>
      </c>
      <c r="I90" s="529">
        <v>0.28000000000000003</v>
      </c>
      <c r="J90" s="704">
        <f>+F88*I90</f>
        <v>3500.0000000000005</v>
      </c>
      <c r="K90" s="705">
        <f>IF(G90="","",CHOOSE(G90,$E$223,$E$224,$E$225,$E$226,$E$227,$E$228,$E$229,$E$230,$E$231,$E$232,$E$233,$E$234,$E$235,$E$236,$E$237,$E$238,$E$239,$E$240,$E$241,$E$242,$E$243,$E$244,$E$245,$E$246,$E$247,$E$248,$E$249,$E$250))</f>
        <v>7</v>
      </c>
      <c r="L90" s="484">
        <f t="shared" si="20"/>
        <v>1.9600000000000002</v>
      </c>
      <c r="M90" s="530">
        <f>IF(G90="","",CHOOSE(G90,$F$223,$F$224,$F$225,$F$226,$F$227,$F$228,$F$229,$F$230,$F$231,$F$232,$F$233,$F$234,$F$235,$F$236,$F$237,$F$238,$F$239,$F$240,$F$241,$F$242,$F$243,$F$244,$F$245,$F$246,$F$247,$F$248,$F$249,$F$250))</f>
        <v>0.35</v>
      </c>
      <c r="N90" s="487">
        <f>I90*M90</f>
        <v>9.8000000000000004E-2</v>
      </c>
      <c r="O90" s="526"/>
      <c r="P90" s="527"/>
    </row>
    <row r="91" spans="3:16" ht="16.5" thickBot="1">
      <c r="C91" s="1061"/>
      <c r="D91" s="1035"/>
      <c r="E91" s="1029"/>
      <c r="F91" s="1032"/>
      <c r="G91" s="528">
        <v>24</v>
      </c>
      <c r="H91" s="713" t="str">
        <f>IF(G91="","",CHOOSE(G91,$D$223,$D$224,$D$225,$D$226,$D$227,$D$228,$D$229,$D$230,$D$231,$D$232,$D$233,$D$234,$D$235,$D$236,$D$237,$D$238,$D$239,$D$240,$D$241,$D$242,$D$243,$D$244,$D$245,$D$246,$D$247,$D$248,$D$249,$D$250))</f>
        <v>2710 - TŁUSZCZ DR.</v>
      </c>
      <c r="I91" s="529">
        <v>0</v>
      </c>
      <c r="J91" s="704">
        <f>+F88*I91</f>
        <v>0</v>
      </c>
      <c r="K91" s="705">
        <f>IF(G91="","",CHOOSE(G91,$E$223,$E$224,$E$225,$E$226,$E$227,$E$228,$E$229,$E$230,$E$231,$E$232,$E$233,$E$234,$E$235,$E$236,$E$237,$E$238,$E$239,$E$240,$E$241,$E$242,$E$243,$E$244,$E$245,$E$246,$E$247,$E$248,$E$249,$E$250))</f>
        <v>3.5</v>
      </c>
      <c r="L91" s="484">
        <f>IF(I91="","",I91*K91)</f>
        <v>0</v>
      </c>
      <c r="M91" s="530">
        <f>IF(G91="","",CHOOSE(G91,$F$223,$F$224,$F$225,$F$226,$F$227,$F$228,$F$229,$F$230,$F$231,$F$232,$F$233,$F$234,$F$235,$F$236,$F$237,$F$238,$F$239,$F$240,$F$241,$F$242,$F$243,$F$244,$F$245,$F$246,$F$247,$F$248,$F$249,$F$250))</f>
        <v>0.78</v>
      </c>
      <c r="N91" s="487">
        <f t="shared" ref="N91" si="21">I91*M91</f>
        <v>0</v>
      </c>
      <c r="O91" s="526"/>
      <c r="P91" s="527"/>
    </row>
    <row r="92" spans="3:16" ht="17.25" thickTop="1" thickBot="1">
      <c r="C92" s="1061"/>
      <c r="D92" s="709"/>
      <c r="E92" s="517"/>
      <c r="F92" s="710"/>
      <c r="G92" s="710"/>
      <c r="H92" s="710"/>
      <c r="I92" s="711">
        <f>SUM(I88:I91)</f>
        <v>1</v>
      </c>
      <c r="J92" s="710">
        <f>SUM(J88:J91)</f>
        <v>12500</v>
      </c>
      <c r="K92" s="710"/>
      <c r="L92" s="518">
        <f>SUM(L88:L91)</f>
        <v>10.923999999999999</v>
      </c>
      <c r="M92" s="517"/>
      <c r="N92" s="519">
        <f>SUM(N88:N91)</f>
        <v>0.26</v>
      </c>
      <c r="O92" s="520">
        <f>(+E88*F88)-(L92*F88)</f>
        <v>4075</v>
      </c>
      <c r="P92" s="228" t="s">
        <v>15360</v>
      </c>
    </row>
    <row r="93" spans="3:16" ht="16.5" thickTop="1">
      <c r="C93" s="228"/>
      <c r="D93" s="755"/>
      <c r="E93" s="460"/>
      <c r="F93" s="755"/>
      <c r="G93" s="755"/>
      <c r="H93" s="755"/>
      <c r="I93" s="756"/>
      <c r="J93" s="755"/>
      <c r="K93" s="755"/>
      <c r="L93" s="757"/>
      <c r="M93" s="460"/>
      <c r="N93" s="758"/>
      <c r="O93" s="520"/>
      <c r="P93" s="228"/>
    </row>
    <row r="94" spans="3:16" ht="15.75" thickBot="1">
      <c r="C94" s="228"/>
    </row>
    <row r="95" spans="3:16" ht="20.25" thickTop="1" thickBot="1">
      <c r="C95" s="1061" t="s">
        <v>17984</v>
      </c>
      <c r="D95" s="1042" t="s">
        <v>15554</v>
      </c>
      <c r="E95" s="1043"/>
      <c r="F95" s="1043"/>
      <c r="G95" s="1043"/>
      <c r="H95" s="696"/>
      <c r="I95" s="696"/>
      <c r="J95" s="696"/>
      <c r="K95" s="696"/>
      <c r="L95" s="696"/>
      <c r="M95" s="696"/>
      <c r="N95" s="697"/>
      <c r="O95" s="228"/>
    </row>
    <row r="96" spans="3:16" ht="39" thickTop="1" thickBot="1">
      <c r="C96" s="1061"/>
      <c r="D96" s="698" t="s">
        <v>111</v>
      </c>
      <c r="E96" s="515" t="s">
        <v>17327</v>
      </c>
      <c r="F96" s="515"/>
      <c r="G96" s="515" t="s">
        <v>17331</v>
      </c>
      <c r="H96" s="699" t="s">
        <v>114</v>
      </c>
      <c r="I96" s="699" t="s">
        <v>115</v>
      </c>
      <c r="J96" s="699" t="s">
        <v>116</v>
      </c>
      <c r="K96" s="515" t="s">
        <v>17326</v>
      </c>
      <c r="L96" s="515" t="s">
        <v>17332</v>
      </c>
      <c r="M96" s="515" t="s">
        <v>118</v>
      </c>
      <c r="N96" s="516" t="s">
        <v>119</v>
      </c>
      <c r="O96" s="55"/>
      <c r="P96" s="228"/>
    </row>
    <row r="97" spans="3:16" ht="16.5" thickTop="1">
      <c r="C97" s="1061"/>
      <c r="D97" s="1034" t="s">
        <v>17985</v>
      </c>
      <c r="E97" s="1028">
        <v>11.25</v>
      </c>
      <c r="F97" s="1031"/>
      <c r="G97" s="523">
        <v>13</v>
      </c>
      <c r="H97" s="712" t="str">
        <f>IF(G97="","",CHOOSE(G97,$D$223,$D$224,$D$225,$D$226,$D$227,$D$228,$D$229,$D$230,$D$231,$D$232,$D$233,$D$234,$D$235,$D$236,$D$237,$D$238,$D$239,$D$240,$D$241,$D$242,$D$243,$D$244,$D$245,$D$246,$D$247,$D$248,$D$249,$D$250))</f>
        <v>2675 - M-SO DROBNE KL3A</v>
      </c>
      <c r="I97" s="524">
        <v>0.36</v>
      </c>
      <c r="J97" s="701">
        <f>+F97*I97</f>
        <v>0</v>
      </c>
      <c r="K97" s="702">
        <f>IF(G97="","",CHOOSE(G97,$E$223,$E$224,$E$225,$E$226,$E$227,$E$228,$E$229,$E$230,$E$231,$E$232,$E$233,$E$234,$E$235,$E$236,$E$237,$E$238,$E$239,$E$240,$E$241,$E$242,$E$243,$E$244,$E$245,$E$246,$E$247,$E$248,$E$249,$E$250))</f>
        <v>12.7</v>
      </c>
      <c r="L97" s="485">
        <f>IF(I97="","",I97*K97)</f>
        <v>4.5719999999999992</v>
      </c>
      <c r="M97" s="525">
        <f>IF(G97="","",CHOOSE(G97,$F$223,$F$224,$F$225,$F$226,$F$227,$F$228,$F$229,$F$230,$F$231,$F$232,$F$233,$F$234,$F$235,$F$236,$F$237,$F$238,$F$239,$F$240,$F$241,$F$242,$F$243,$F$244,$F$245,$F$246,$F$247,$F$248,$F$249,$F$250))</f>
        <v>0.25</v>
      </c>
      <c r="N97" s="486">
        <f>I97*M97</f>
        <v>0.09</v>
      </c>
      <c r="O97" s="526"/>
      <c r="P97" s="527"/>
    </row>
    <row r="98" spans="3:16" ht="15.75">
      <c r="C98" s="1061"/>
      <c r="D98" s="1035"/>
      <c r="E98" s="1029"/>
      <c r="F98" s="1032"/>
      <c r="G98" s="528">
        <v>14</v>
      </c>
      <c r="H98" s="713" t="str">
        <f>IF(G98="","",CHOOSE(G98,$D$223,$D$224,$D$225,$D$226,$D$227,$D$228,$D$229,$D$230,$D$231,$D$232,$D$233,$D$234,$D$235,$D$236,$D$237,$D$238,$D$239,$D$240,$D$241,$D$242,$D$243,$D$244,$D$245,$D$246,$D$247,$D$248,$D$249,$D$250))</f>
        <v>2680 - M-SO DROBNE KL3B</v>
      </c>
      <c r="I98" s="529">
        <v>0.36</v>
      </c>
      <c r="J98" s="704">
        <f>+F97*I98</f>
        <v>0</v>
      </c>
      <c r="K98" s="705">
        <f>IF(G98="","",CHOOSE(G98,$E$223,$E$224,$E$225,$E$226,$E$227,$E$228,$E$229,$E$230,$E$231,$E$232,$E$233,$E$234,$E$235,$E$236,$E$237,$E$238,$E$239,$E$240,$E$241,$E$242,$E$243,$E$244,$E$245,$E$246,$E$247,$E$248,$E$249,$E$250))</f>
        <v>12.2</v>
      </c>
      <c r="L98" s="484">
        <f t="shared" ref="L98:L99" si="22">IF(I98="","",I98*K98)</f>
        <v>4.3919999999999995</v>
      </c>
      <c r="M98" s="530">
        <f>IF(G98="","",CHOOSE(G98,$F$223,$F$224,$F$225,$F$226,$F$227,$F$228,$F$229,$F$230,$F$231,$F$232,$F$233,$F$234,$F$235,$F$236,$F$237,$F$238,$F$239,$F$240,$F$241,$F$242,$F$243,$F$244,$F$245,$F$246,$F$247,$F$248,$F$249,$F$250))</f>
        <v>0.2</v>
      </c>
      <c r="N98" s="487">
        <f>I98*M98</f>
        <v>7.1999999999999995E-2</v>
      </c>
      <c r="O98" s="526"/>
      <c r="P98" s="527"/>
    </row>
    <row r="99" spans="3:16" ht="15.75">
      <c r="C99" s="1061"/>
      <c r="D99" s="1035"/>
      <c r="E99" s="1029"/>
      <c r="F99" s="1032"/>
      <c r="G99" s="528">
        <v>15</v>
      </c>
      <c r="H99" s="713" t="str">
        <f>IF(G99="","",CHOOSE(G99,$D$223,$D$224,$D$225,$D$226,$D$227,$D$228,$D$229,$D$230,$D$231,$D$232,$D$233,$D$234,$D$235,$D$236,$D$237,$D$238,$D$239,$D$240,$D$241,$D$242,$D$243,$D$244,$D$245,$D$246,$D$247,$D$248,$D$249,$D$250))</f>
        <v>2685 - M-SO DROBNE KL4</v>
      </c>
      <c r="I99" s="529">
        <v>0.28000000000000003</v>
      </c>
      <c r="J99" s="704">
        <f>+F97*I99</f>
        <v>0</v>
      </c>
      <c r="K99" s="705">
        <f>IF(G99="","",CHOOSE(G99,$E$223,$E$224,$E$225,$E$226,$E$227,$E$228,$E$229,$E$230,$E$231,$E$232,$E$233,$E$234,$E$235,$E$236,$E$237,$E$238,$E$239,$E$240,$E$241,$E$242,$E$243,$E$244,$E$245,$E$246,$E$247,$E$248,$E$249,$E$250))</f>
        <v>7</v>
      </c>
      <c r="L99" s="484">
        <f t="shared" si="22"/>
        <v>1.9600000000000002</v>
      </c>
      <c r="M99" s="530">
        <f>IF(G99="","",CHOOSE(G99,$F$223,$F$224,$F$225,$F$226,$F$227,$F$228,$F$229,$F$230,$F$231,$F$232,$F$233,$F$234,$F$235,$F$236,$F$237,$F$238,$F$239,$F$240,$F$241,$F$242,$F$243,$F$244,$F$245,$F$246,$F$247,$F$248,$F$249,$F$250))</f>
        <v>0.35</v>
      </c>
      <c r="N99" s="487">
        <f>I99*M99</f>
        <v>9.8000000000000004E-2</v>
      </c>
      <c r="O99" s="526"/>
      <c r="P99" s="527"/>
    </row>
    <row r="100" spans="3:16" ht="16.5" thickBot="1">
      <c r="C100" s="1061"/>
      <c r="D100" s="1035"/>
      <c r="E100" s="1029"/>
      <c r="F100" s="1032"/>
      <c r="G100" s="528">
        <v>24</v>
      </c>
      <c r="H100" s="713" t="str">
        <f>IF(G100="","",CHOOSE(G100,$D$223,$D$224,$D$225,$D$226,$D$227,$D$228,$D$229,$D$230,$D$231,$D$232,$D$233,$D$234,$D$235,$D$236,$D$237,$D$238,$D$239,$D$240,$D$241,$D$242,$D$243,$D$244,$D$245,$D$246,$D$247,$D$248,$D$249,$D$250))</f>
        <v>2710 - TŁUSZCZ DR.</v>
      </c>
      <c r="I100" s="529">
        <v>0</v>
      </c>
      <c r="J100" s="704">
        <f>+F97*I100</f>
        <v>0</v>
      </c>
      <c r="K100" s="705">
        <f>IF(G100="","",CHOOSE(G100,$E$223,$E$224,$E$225,$E$226,$E$227,$E$228,$E$229,$E$230,$E$231,$E$232,$E$233,$E$234,$E$235,$E$236,$E$237,$E$238,$E$239,$E$240,$E$241,$E$242,$E$243,$E$244,$E$245,$E$246,$E$247,$E$248,$E$249,$E$250))</f>
        <v>3.5</v>
      </c>
      <c r="L100" s="484">
        <f>IF(I100="","",I100*K100)</f>
        <v>0</v>
      </c>
      <c r="M100" s="530">
        <f>IF(G100="","",CHOOSE(G100,$F$223,$F$224,$F$225,$F$226,$F$227,$F$228,$F$229,$F$230,$F$231,$F$232,$F$233,$F$234,$F$235,$F$236,$F$237,$F$238,$F$239,$F$240,$F$241,$F$242,$F$243,$F$244,$F$245,$F$246,$F$247,$F$248,$F$249,$F$250))</f>
        <v>0.78</v>
      </c>
      <c r="N100" s="487">
        <f t="shared" ref="N100" si="23">I100*M100</f>
        <v>0</v>
      </c>
      <c r="O100" s="526"/>
      <c r="P100" s="527"/>
    </row>
    <row r="101" spans="3:16" ht="17.25" thickTop="1" thickBot="1">
      <c r="C101" s="1061"/>
      <c r="D101" s="709"/>
      <c r="E101" s="517"/>
      <c r="F101" s="710"/>
      <c r="G101" s="710"/>
      <c r="H101" s="710"/>
      <c r="I101" s="711">
        <f>SUM(I97:I100)</f>
        <v>1</v>
      </c>
      <c r="J101" s="710">
        <f>SUM(J97:J100)</f>
        <v>0</v>
      </c>
      <c r="K101" s="710"/>
      <c r="L101" s="518">
        <f>SUM(L97:L100)</f>
        <v>10.923999999999999</v>
      </c>
      <c r="M101" s="517"/>
      <c r="N101" s="519">
        <f>SUM(N97:N100)</f>
        <v>0.26</v>
      </c>
      <c r="O101" s="520">
        <f>(+E97*F97)-(L101*F97)</f>
        <v>0</v>
      </c>
      <c r="P101" s="228" t="s">
        <v>15360</v>
      </c>
    </row>
    <row r="102" spans="3:16" ht="15.75" thickTop="1">
      <c r="C102" s="228"/>
    </row>
    <row r="103" spans="3:16" ht="15.75" thickBot="1">
      <c r="C103" s="228"/>
    </row>
    <row r="104" spans="3:16" ht="20.25" thickTop="1" thickBot="1">
      <c r="C104" s="1062" t="s">
        <v>17983</v>
      </c>
      <c r="D104" s="1047" t="s">
        <v>15558</v>
      </c>
      <c r="E104" s="1048"/>
      <c r="F104" s="1048"/>
      <c r="G104" s="1048"/>
      <c r="H104" s="752" t="s">
        <v>17980</v>
      </c>
      <c r="I104" s="753"/>
      <c r="J104" s="753"/>
      <c r="K104" s="753"/>
      <c r="L104" s="753"/>
      <c r="M104" s="753"/>
      <c r="N104" s="754"/>
      <c r="O104" s="228"/>
    </row>
    <row r="105" spans="3:16" ht="39" thickTop="1" thickBot="1">
      <c r="C105" s="1062"/>
      <c r="D105" s="698" t="s">
        <v>111</v>
      </c>
      <c r="E105" s="515" t="s">
        <v>17327</v>
      </c>
      <c r="F105" s="515"/>
      <c r="G105" s="515" t="s">
        <v>17331</v>
      </c>
      <c r="H105" s="699" t="s">
        <v>114</v>
      </c>
      <c r="I105" s="699" t="s">
        <v>115</v>
      </c>
      <c r="J105" s="699" t="s">
        <v>116</v>
      </c>
      <c r="K105" s="515" t="s">
        <v>17326</v>
      </c>
      <c r="L105" s="515" t="s">
        <v>17332</v>
      </c>
      <c r="M105" s="515" t="s">
        <v>118</v>
      </c>
      <c r="N105" s="516" t="s">
        <v>119</v>
      </c>
      <c r="O105" s="55"/>
      <c r="P105" s="228"/>
    </row>
    <row r="106" spans="3:16" ht="32.25" thickTop="1">
      <c r="C106" s="1062"/>
      <c r="D106" s="1025" t="s">
        <v>17870</v>
      </c>
      <c r="E106" s="1028">
        <v>14.65</v>
      </c>
      <c r="F106" s="1031"/>
      <c r="G106" s="523">
        <v>1</v>
      </c>
      <c r="H106" s="712" t="str">
        <f>IF(G106="","",CHOOSE(G106,$D$223,$D$224,$D$225,$D$226,$D$227,$D$228,$D$229,$D$230,$D$231,$D$232,$D$233,$D$234,$D$235,$D$236,$D$237,$D$238,$D$239,$D$240,$D$241,$D$242,$D$243,$D$244,$D$245,$D$246,$D$247,$D$248,$D$249,$D$250))</f>
        <v>1003 - MŚ.CZTEROG.N/OBR.Z/NAP.</v>
      </c>
      <c r="I106" s="578">
        <v>0.3</v>
      </c>
      <c r="J106" s="701">
        <f>+F106*I106</f>
        <v>0</v>
      </c>
      <c r="K106" s="702">
        <f>IF(G106="","",CHOOSE(G106,$E$223,$E$224,$E$225,$E$226,$E$227,$E$228,$E$229,$E$230,$E$231,$E$232,$E$233,$E$234,$E$235,$E$236,$E$237,$E$238,$E$239,$E$240,$E$241,$E$242,$E$243,$E$244,$E$245,$E$246,$E$247,$E$248,$E$249,$E$250))</f>
        <v>15.72</v>
      </c>
      <c r="L106" s="485">
        <f>IF(I106="","",I106*K106)</f>
        <v>4.7160000000000002</v>
      </c>
      <c r="M106" s="525">
        <f>IF(G106="","",CHOOSE(G106,$F$223,$F$224,$F$225,$F$226,$F$227,$F$228,$F$229,$F$230,$F$231,$F$232,$F$233,$F$234,$F$235,$F$236,$F$237,$F$238,$F$239,$F$240,$F$241,$F$242,$F$243,$F$244,$F$245,$F$246,$F$247,$F$248,$F$249,$F$250))</f>
        <v>8.1000000000000003E-2</v>
      </c>
      <c r="N106" s="486">
        <f>I106*M106</f>
        <v>2.4299999999999999E-2</v>
      </c>
      <c r="O106" s="526"/>
      <c r="P106" s="527"/>
    </row>
    <row r="107" spans="3:16" ht="15.75">
      <c r="C107" s="1062"/>
      <c r="D107" s="1026"/>
      <c r="E107" s="1029"/>
      <c r="F107" s="1032"/>
      <c r="G107" s="528">
        <v>7</v>
      </c>
      <c r="H107" s="713" t="str">
        <f>IF(G107="","",CHOOSE(G107,$D$223,$D$224,$D$225,$D$226,$D$227,$D$228,$D$229,$D$230,$D$231,$D$232,$D$233,$D$234,$D$235,$D$236,$D$237,$D$238,$D$239,$D$240,$D$241,$D$242,$D$243,$D$244,$D$245,$D$246,$D$247,$D$248,$D$249,$D$250))</f>
        <v>2650 - M-SO DROBNE KL1 CIE.</v>
      </c>
      <c r="I107" s="580">
        <v>0.46</v>
      </c>
      <c r="J107" s="704">
        <f>+F106*I107</f>
        <v>0</v>
      </c>
      <c r="K107" s="705">
        <f>IF(G107="","",CHOOSE(G107,$E$223,$E$224,$E$225,$E$226,$E$227,$E$228,$E$229,$E$230,$E$231,$E$232,$E$233,$E$234,$E$235,$E$236,$E$237,$E$238,$E$239,$E$240,$E$241,$E$242,$E$243,$E$244,$E$245,$E$246,$E$247,$E$248,$E$249,$E$250))</f>
        <v>14.6</v>
      </c>
      <c r="L107" s="484">
        <f t="shared" ref="L107" si="24">IF(I107="","",I107*K107)</f>
        <v>6.7160000000000002</v>
      </c>
      <c r="M107" s="530">
        <f>IF(G107="","",CHOOSE(G107,$F$223,$F$224,$F$225,$F$226,$F$227,$F$228,$F$229,$F$230,$F$231,$F$232,$F$233,$F$234,$F$235,$F$236,$F$237,$F$238,$F$239,$F$240,$F$241,$F$242,$F$243,$F$244,$F$245,$F$246,$F$247,$F$248,$F$249,$F$250))</f>
        <v>0.09</v>
      </c>
      <c r="N107" s="487">
        <f>I107*M107</f>
        <v>4.1399999999999999E-2</v>
      </c>
      <c r="O107" s="526"/>
      <c r="P107" s="527"/>
    </row>
    <row r="108" spans="3:16" ht="15.75">
      <c r="C108" s="1062"/>
      <c r="D108" s="1026"/>
      <c r="E108" s="1029"/>
      <c r="F108" s="1032"/>
      <c r="G108" s="528">
        <v>19</v>
      </c>
      <c r="H108" s="713" t="str">
        <f>IF(G108="","",CHOOSE(G108,$D$223,$D$224,$D$225,$D$226,$D$227,$D$228,$D$229,$D$230,$D$231,$D$232,$D$233,$D$234,$D$235,$D$236,$D$237,$D$238,$D$239,$D$240,$D$241,$D$242,$D$243,$D$244,$D$245,$D$246,$D$247,$D$248,$D$249,$D$250))</f>
        <v>2620 - MŚ.BRZUCH.</v>
      </c>
      <c r="I108" s="580">
        <v>0.18</v>
      </c>
      <c r="J108" s="704">
        <f>+F106*I108</f>
        <v>0</v>
      </c>
      <c r="K108" s="705">
        <f>IF(G108="","",CHOOSE(G108,$E$223,$E$224,$E$225,$E$226,$E$227,$E$228,$E$229,$E$230,$E$231,$E$232,$E$233,$E$234,$E$235,$E$236,$E$237,$E$238,$E$239,$E$240,$E$241,$E$242,$E$243,$E$244,$E$245,$E$246,$E$247,$E$248,$E$249,$E$250))</f>
        <v>14.03</v>
      </c>
      <c r="L108" s="484">
        <f>IF(I108="","",I108*K108)</f>
        <v>2.5253999999999999</v>
      </c>
      <c r="M108" s="530">
        <f>IF(G108="","",CHOOSE(G108,$F$223,$F$224,$F$225,$F$226,$F$227,$F$228,$F$229,$F$230,$F$231,$F$232,$F$233,$F$234,$F$235,$F$236,$F$237,$F$238,$F$239,$F$240,$F$241,$F$242,$F$243,$F$244,$F$245,$F$246,$F$247,$F$248,$F$249,$F$250))</f>
        <v>7.0000000000000007E-2</v>
      </c>
      <c r="N108" s="487">
        <f t="shared" ref="N108:N110" si="25">I108*M108</f>
        <v>1.26E-2</v>
      </c>
      <c r="O108" s="526"/>
      <c r="P108" s="527"/>
    </row>
    <row r="109" spans="3:16" ht="15.75">
      <c r="C109" s="1062"/>
      <c r="D109" s="1026"/>
      <c r="E109" s="1029"/>
      <c r="F109" s="1032"/>
      <c r="G109" s="528">
        <v>24</v>
      </c>
      <c r="H109" s="713" t="str">
        <f>IF(G109="","",CHOOSE(G109,$D$223,$D$224,$D$225,$D$226,$D$227,$D$228,$D$229,$D$230,$D$231,$D$232,$D$233,$D$234,$D$235,$D$236,$D$237,$D$238,$D$239,$D$240,$D$241,$D$242,$D$243,$D$244,$D$245,$D$246,$D$247,$D$248,$D$249,$D$250))</f>
        <v>2710 - TŁUSZCZ DR.</v>
      </c>
      <c r="I109" s="580">
        <v>0.03</v>
      </c>
      <c r="J109" s="704">
        <f>+F106*I109</f>
        <v>0</v>
      </c>
      <c r="K109" s="705">
        <f>IF(G109="","",CHOOSE(G109,$E$223,$E$224,$E$225,$E$226,$E$227,$E$228,$E$229,$E$230,$E$231,$E$232,$E$233,$E$234,$E$235,$E$236,$E$237,$E$238,$E$239,$E$240,$E$241,$E$242,$E$243,$E$244,$E$245,$E$246,$E$247,$E$248,$E$249,$E$250))</f>
        <v>3.5</v>
      </c>
      <c r="L109" s="484">
        <f t="shared" ref="L109:L110" si="26">IF(I109="","",I109*K109)</f>
        <v>0.105</v>
      </c>
      <c r="M109" s="530">
        <f>IF(G109="","",CHOOSE(G109,$F$223,$F$224,$F$225,$F$226,$F$227,$F$228,$F$229,$F$230,$F$231,$F$232,$F$233,$F$234,$F$235,$F$236,$F$237,$F$238,$F$239,$F$240,$F$241,$F$242,$F$243,$F$244,$F$245,$F$246,$F$247,$F$248,$F$249,$F$250))</f>
        <v>0.78</v>
      </c>
      <c r="N109" s="487">
        <f t="shared" si="25"/>
        <v>2.3400000000000001E-2</v>
      </c>
      <c r="O109" s="526"/>
      <c r="P109" s="527"/>
    </row>
    <row r="110" spans="3:16" ht="16.5" thickBot="1">
      <c r="C110" s="1062"/>
      <c r="D110" s="1027"/>
      <c r="E110" s="1030"/>
      <c r="F110" s="1033"/>
      <c r="G110" s="531">
        <v>27</v>
      </c>
      <c r="H110" s="706" t="str">
        <f>IF(G110="","",CHOOSE(G110,$D$223,$D$224,$D$225,$D$226,$D$227,$D$228,$D$229,$D$230,$D$231,$D$232,$D$233,$D$234,$D$235,$D$236,$D$237,$D$238,$D$239,$D$240,$D$241,$D$242,$D$243,$D$244,$D$245,$D$246,$D$247,$D$248,$D$249))</f>
        <v xml:space="preserve">Woda </v>
      </c>
      <c r="I110" s="532">
        <v>0.03</v>
      </c>
      <c r="J110" s="707">
        <f>+F106*I110</f>
        <v>0</v>
      </c>
      <c r="K110" s="708">
        <f>IF(G110="","",CHOOSE(G110,$E$223,$E$224,$E$225,$E$226,$E$227,$E$228,$E$229,$E$230,$E$231,$E$232,$E$233,$E$234,$E$235,$E$236,$E$237,$E$238,$E$239,$E$240,$E$241,$E$242,$E$243,$E$244,$E$245,$E$246,$E$247,$E$248,$E$249))</f>
        <v>0</v>
      </c>
      <c r="L110" s="521">
        <f t="shared" si="26"/>
        <v>0</v>
      </c>
      <c r="M110" s="533"/>
      <c r="N110" s="488">
        <f t="shared" si="25"/>
        <v>0</v>
      </c>
      <c r="O110" s="1052" t="s">
        <v>120</v>
      </c>
      <c r="P110" s="1052"/>
    </row>
    <row r="111" spans="3:16" ht="17.25" thickTop="1" thickBot="1">
      <c r="C111" s="1062"/>
      <c r="D111" s="709"/>
      <c r="E111" s="517"/>
      <c r="F111" s="710"/>
      <c r="G111" s="710"/>
      <c r="H111" s="710"/>
      <c r="I111" s="711">
        <f>SUM(I106:I110)</f>
        <v>1</v>
      </c>
      <c r="J111" s="710">
        <f>SUM(J106:J110)</f>
        <v>0</v>
      </c>
      <c r="K111" s="710"/>
      <c r="L111" s="518">
        <f>SUM(L106:L110)</f>
        <v>14.0624</v>
      </c>
      <c r="M111" s="517"/>
      <c r="N111" s="519">
        <f>SUM(N106:N110)</f>
        <v>0.1017</v>
      </c>
      <c r="O111" s="520">
        <f>(+E106*F106)-(L111*F106)</f>
        <v>0</v>
      </c>
      <c r="P111" s="228" t="s">
        <v>15360</v>
      </c>
    </row>
    <row r="112" spans="3:16" ht="9" customHeight="1" thickTop="1">
      <c r="C112" s="228"/>
    </row>
    <row r="113" spans="3:16" ht="15.75" thickBot="1">
      <c r="C113" s="228"/>
    </row>
    <row r="114" spans="3:16" ht="20.25" thickTop="1" thickBot="1">
      <c r="C114" s="1062" t="s">
        <v>17984</v>
      </c>
      <c r="D114" s="1042" t="s">
        <v>15554</v>
      </c>
      <c r="E114" s="1043"/>
      <c r="F114" s="1043"/>
      <c r="G114" s="1043"/>
      <c r="H114" s="696"/>
      <c r="I114" s="696"/>
      <c r="J114" s="696"/>
      <c r="K114" s="696"/>
      <c r="L114" s="696"/>
      <c r="M114" s="696"/>
      <c r="N114" s="697"/>
      <c r="O114" s="228"/>
    </row>
    <row r="115" spans="3:16" ht="39" thickTop="1" thickBot="1">
      <c r="C115" s="1062"/>
      <c r="D115" s="698" t="s">
        <v>111</v>
      </c>
      <c r="E115" s="515" t="s">
        <v>17327</v>
      </c>
      <c r="F115" s="515"/>
      <c r="G115" s="515" t="s">
        <v>17331</v>
      </c>
      <c r="H115" s="699" t="s">
        <v>114</v>
      </c>
      <c r="I115" s="699" t="s">
        <v>115</v>
      </c>
      <c r="J115" s="699" t="s">
        <v>116</v>
      </c>
      <c r="K115" s="515" t="s">
        <v>17326</v>
      </c>
      <c r="L115" s="515" t="s">
        <v>17332</v>
      </c>
      <c r="M115" s="515" t="s">
        <v>118</v>
      </c>
      <c r="N115" s="516" t="s">
        <v>119</v>
      </c>
      <c r="O115" s="55"/>
      <c r="P115" s="228"/>
    </row>
    <row r="116" spans="3:16" ht="32.25" thickTop="1">
      <c r="C116" s="1062"/>
      <c r="D116" s="1025" t="s">
        <v>17870</v>
      </c>
      <c r="E116" s="1028">
        <v>14.65</v>
      </c>
      <c r="F116" s="1031"/>
      <c r="G116" s="523">
        <v>1</v>
      </c>
      <c r="H116" s="712" t="str">
        <f>IF(G116="","",CHOOSE(G116,$D$223,$D$224,$D$225,$D$226,$D$227,$D$228,$D$229,$D$230,$D$231,$D$232,$D$233,$D$234,$D$235,$D$236,$D$237,$D$238,$D$239,$D$240,$D$241,$D$242,$D$243,$D$244,$D$245,$D$246,$D$247,$D$248,$D$249,$D$250))</f>
        <v>1003 - MŚ.CZTEROG.N/OBR.Z/NAP.</v>
      </c>
      <c r="I116" s="578">
        <v>0.3</v>
      </c>
      <c r="J116" s="701">
        <f>+F116*I116</f>
        <v>0</v>
      </c>
      <c r="K116" s="702">
        <f>IF(G116="","",CHOOSE(G116,$E$223,$E$224,$E$225,$E$226,$E$227,$E$228,$E$229,$E$230,$E$231,$E$232,$E$233,$E$234,$E$235,$E$236,$E$237,$E$238,$E$239,$E$240,$E$241,$E$242,$E$243,$E$244,$E$245,$E$246,$E$247,$E$248,$E$249,$E$250))</f>
        <v>15.72</v>
      </c>
      <c r="L116" s="485">
        <f>IF(I116="","",I116*K116)</f>
        <v>4.7160000000000002</v>
      </c>
      <c r="M116" s="525">
        <f>IF(G116="","",CHOOSE(G116,$F$223,$F$224,$F$225,$F$226,$F$227,$F$228,$F$229,$F$230,$F$231,$F$232,$F$233,$F$234,$F$235,$F$236,$F$237,$F$238,$F$239,$F$240,$F$241,$F$242,$F$243,$F$244,$F$245,$F$246,$F$247,$F$248,$F$249,$F$250))</f>
        <v>8.1000000000000003E-2</v>
      </c>
      <c r="N116" s="486">
        <f>I116*M116</f>
        <v>2.4299999999999999E-2</v>
      </c>
      <c r="O116" s="526"/>
      <c r="P116" s="527"/>
    </row>
    <row r="117" spans="3:16" ht="15.75">
      <c r="C117" s="1062"/>
      <c r="D117" s="1026"/>
      <c r="E117" s="1029"/>
      <c r="F117" s="1032"/>
      <c r="G117" s="528">
        <v>7</v>
      </c>
      <c r="H117" s="713" t="str">
        <f>IF(G117="","",CHOOSE(G117,$D$223,$D$224,$D$225,$D$226,$D$227,$D$228,$D$229,$D$230,$D$231,$D$232,$D$233,$D$234,$D$235,$D$236,$D$237,$D$238,$D$239,$D$240,$D$241,$D$242,$D$243,$D$244,$D$245,$D$246,$D$247,$D$248,$D$249,$D$250))</f>
        <v>2650 - M-SO DROBNE KL1 CIE.</v>
      </c>
      <c r="I117" s="580">
        <v>0.46</v>
      </c>
      <c r="J117" s="704">
        <f>+F116*I117</f>
        <v>0</v>
      </c>
      <c r="K117" s="705">
        <f>IF(G117="","",CHOOSE(G117,$E$223,$E$224,$E$225,$E$226,$E$227,$E$228,$E$229,$E$230,$E$231,$E$232,$E$233,$E$234,$E$235,$E$236,$E$237,$E$238,$E$239,$E$240,$E$241,$E$242,$E$243,$E$244,$E$245,$E$246,$E$247,$E$248,$E$249,$E$250))</f>
        <v>14.6</v>
      </c>
      <c r="L117" s="484">
        <f t="shared" ref="L117" si="27">IF(I117="","",I117*K117)</f>
        <v>6.7160000000000002</v>
      </c>
      <c r="M117" s="530">
        <f>IF(G117="","",CHOOSE(G117,$F$223,$F$224,$F$225,$F$226,$F$227,$F$228,$F$229,$F$230,$F$231,$F$232,$F$233,$F$234,$F$235,$F$236,$F$237,$F$238,$F$239,$F$240,$F$241,$F$242,$F$243,$F$244,$F$245,$F$246,$F$247,$F$248,$F$249,$F$250))</f>
        <v>0.09</v>
      </c>
      <c r="N117" s="487">
        <f>I117*M117</f>
        <v>4.1399999999999999E-2</v>
      </c>
      <c r="O117" s="526"/>
      <c r="P117" s="527"/>
    </row>
    <row r="118" spans="3:16" ht="15.75">
      <c r="C118" s="1062"/>
      <c r="D118" s="1026"/>
      <c r="E118" s="1029"/>
      <c r="F118" s="1032"/>
      <c r="G118" s="528">
        <v>19</v>
      </c>
      <c r="H118" s="713" t="str">
        <f>IF(G118="","",CHOOSE(G118,$D$223,$D$224,$D$225,$D$226,$D$227,$D$228,$D$229,$D$230,$D$231,$D$232,$D$233,$D$234,$D$235,$D$236,$D$237,$D$238,$D$239,$D$240,$D$241,$D$242,$D$243,$D$244,$D$245,$D$246,$D$247,$D$248,$D$249,$D$250))</f>
        <v>2620 - MŚ.BRZUCH.</v>
      </c>
      <c r="I118" s="580">
        <v>0.18</v>
      </c>
      <c r="J118" s="704">
        <f>+F116*I118</f>
        <v>0</v>
      </c>
      <c r="K118" s="705">
        <f>IF(G118="","",CHOOSE(G118,$E$223,$E$224,$E$225,$E$226,$E$227,$E$228,$E$229,$E$230,$E$231,$E$232,$E$233,$E$234,$E$235,$E$236,$E$237,$E$238,$E$239,$E$240,$E$241,$E$242,$E$243,$E$244,$E$245,$E$246,$E$247,$E$248,$E$249,$E$250))</f>
        <v>14.03</v>
      </c>
      <c r="L118" s="484">
        <f>IF(I118="","",I118*K118)</f>
        <v>2.5253999999999999</v>
      </c>
      <c r="M118" s="530">
        <f>IF(G118="","",CHOOSE(G118,$F$223,$F$224,$F$225,$F$226,$F$227,$F$228,$F$229,$F$230,$F$231,$F$232,$F$233,$F$234,$F$235,$F$236,$F$237,$F$238,$F$239,$F$240,$F$241,$F$242,$F$243,$F$244,$F$245,$F$246,$F$247,$F$248,$F$249,$F$250))</f>
        <v>7.0000000000000007E-2</v>
      </c>
      <c r="N118" s="487">
        <f t="shared" ref="N118:N120" si="28">I118*M118</f>
        <v>1.26E-2</v>
      </c>
      <c r="O118" s="526"/>
      <c r="P118" s="527"/>
    </row>
    <row r="119" spans="3:16" ht="15.75">
      <c r="C119" s="1062"/>
      <c r="D119" s="1026"/>
      <c r="E119" s="1029"/>
      <c r="F119" s="1032"/>
      <c r="G119" s="528">
        <v>24</v>
      </c>
      <c r="H119" s="713" t="str">
        <f>IF(G119="","",CHOOSE(G119,$D$223,$D$224,$D$225,$D$226,$D$227,$D$228,$D$229,$D$230,$D$231,$D$232,$D$233,$D$234,$D$235,$D$236,$D$237,$D$238,$D$239,$D$240,$D$241,$D$242,$D$243,$D$244,$D$245,$D$246,$D$247,$D$248,$D$249,$D$250))</f>
        <v>2710 - TŁUSZCZ DR.</v>
      </c>
      <c r="I119" s="580">
        <v>0.03</v>
      </c>
      <c r="J119" s="704">
        <f>+F116*I119</f>
        <v>0</v>
      </c>
      <c r="K119" s="705">
        <f>IF(G119="","",CHOOSE(G119,$E$223,$E$224,$E$225,$E$226,$E$227,$E$228,$E$229,$E$230,$E$231,$E$232,$E$233,$E$234,$E$235,$E$236,$E$237,$E$238,$E$239,$E$240,$E$241,$E$242,$E$243,$E$244,$E$245,$E$246,$E$247,$E$248,$E$249,$E$250))</f>
        <v>3.5</v>
      </c>
      <c r="L119" s="484">
        <f t="shared" ref="L119:L120" si="29">IF(I119="","",I119*K119)</f>
        <v>0.105</v>
      </c>
      <c r="M119" s="530">
        <f>IF(G119="","",CHOOSE(G119,$F$223,$F$224,$F$225,$F$226,$F$227,$F$228,$F$229,$F$230,$F$231,$F$232,$F$233,$F$234,$F$235,$F$236,$F$237,$F$238,$F$239,$F$240,$F$241,$F$242,$F$243,$F$244,$F$245,$F$246,$F$247,$F$248,$F$249,$F$250))</f>
        <v>0.78</v>
      </c>
      <c r="N119" s="487">
        <f t="shared" si="28"/>
        <v>2.3400000000000001E-2</v>
      </c>
      <c r="O119" s="526"/>
      <c r="P119" s="527"/>
    </row>
    <row r="120" spans="3:16" ht="16.5" thickBot="1">
      <c r="C120" s="1062"/>
      <c r="D120" s="1027"/>
      <c r="E120" s="1030"/>
      <c r="F120" s="1033"/>
      <c r="G120" s="531">
        <v>27</v>
      </c>
      <c r="H120" s="706" t="str">
        <f>IF(G120="","",CHOOSE(G120,$D$223,$D$224,$D$225,$D$226,$D$227,$D$228,$D$229,$D$230,$D$231,$D$232,$D$233,$D$234,$D$235,$D$236,$D$237,$D$238,$D$239,$D$240,$D$241,$D$242,$D$243,$D$244,$D$245,$D$246,$D$247,$D$248,$D$249))</f>
        <v xml:space="preserve">Woda </v>
      </c>
      <c r="I120" s="532">
        <v>0.03</v>
      </c>
      <c r="J120" s="707">
        <f>+F116*I120</f>
        <v>0</v>
      </c>
      <c r="K120" s="708">
        <f>IF(G120="","",CHOOSE(G120,$E$223,$E$224,$E$225,$E$226,$E$227,$E$228,$E$229,$E$230,$E$231,$E$232,$E$233,$E$234,$E$235,$E$236,$E$237,$E$238,$E$239,$E$240,$E$241,$E$242,$E$243,$E$244,$E$245,$E$246,$E$247,$E$248,$E$249))</f>
        <v>0</v>
      </c>
      <c r="L120" s="521">
        <f t="shared" si="29"/>
        <v>0</v>
      </c>
      <c r="M120" s="533"/>
      <c r="N120" s="488">
        <f t="shared" si="28"/>
        <v>0</v>
      </c>
      <c r="O120" s="1052" t="s">
        <v>120</v>
      </c>
      <c r="P120" s="1052"/>
    </row>
    <row r="121" spans="3:16" ht="17.25" thickTop="1" thickBot="1">
      <c r="C121" s="1062"/>
      <c r="D121" s="709"/>
      <c r="E121" s="517"/>
      <c r="F121" s="710"/>
      <c r="G121" s="710"/>
      <c r="H121" s="710"/>
      <c r="I121" s="711">
        <f>SUM(I116:I120)</f>
        <v>1</v>
      </c>
      <c r="J121" s="710">
        <f>SUM(J116:J120)</f>
        <v>0</v>
      </c>
      <c r="K121" s="710"/>
      <c r="L121" s="518">
        <f>SUM(L116:L120)</f>
        <v>14.0624</v>
      </c>
      <c r="M121" s="517"/>
      <c r="N121" s="519">
        <f>SUM(N116:N120)</f>
        <v>0.1017</v>
      </c>
      <c r="O121" s="520">
        <f>(+E116*F116)-(L121*F116)</f>
        <v>0</v>
      </c>
      <c r="P121" s="228" t="s">
        <v>15360</v>
      </c>
    </row>
    <row r="122" spans="3:16" ht="15.75" thickTop="1">
      <c r="C122" s="228"/>
    </row>
    <row r="123" spans="3:16" ht="15.75" thickBot="1">
      <c r="C123" s="228"/>
    </row>
    <row r="124" spans="3:16" ht="20.25" thickTop="1" thickBot="1">
      <c r="C124" s="1062" t="s">
        <v>17983</v>
      </c>
      <c r="D124" s="1047" t="s">
        <v>15558</v>
      </c>
      <c r="E124" s="1048"/>
      <c r="F124" s="1048"/>
      <c r="G124" s="1048"/>
      <c r="H124" s="752" t="s">
        <v>17980</v>
      </c>
      <c r="I124" s="753"/>
      <c r="J124" s="753"/>
      <c r="K124" s="753"/>
      <c r="L124" s="753"/>
      <c r="M124" s="753"/>
      <c r="N124" s="754"/>
      <c r="O124" s="228"/>
    </row>
    <row r="125" spans="3:16" ht="39" thickTop="1" thickBot="1">
      <c r="C125" s="1062"/>
      <c r="D125" s="698" t="s">
        <v>111</v>
      </c>
      <c r="E125" s="515" t="s">
        <v>17327</v>
      </c>
      <c r="F125" s="515"/>
      <c r="G125" s="515" t="s">
        <v>17331</v>
      </c>
      <c r="H125" s="699" t="s">
        <v>114</v>
      </c>
      <c r="I125" s="699" t="s">
        <v>115</v>
      </c>
      <c r="J125" s="699" t="s">
        <v>116</v>
      </c>
      <c r="K125" s="515" t="s">
        <v>17326</v>
      </c>
      <c r="L125" s="515" t="s">
        <v>17332</v>
      </c>
      <c r="M125" s="515" t="s">
        <v>118</v>
      </c>
      <c r="N125" s="516" t="s">
        <v>119</v>
      </c>
      <c r="O125" s="55"/>
      <c r="P125" s="228"/>
    </row>
    <row r="126" spans="3:16" ht="16.5" thickTop="1">
      <c r="C126" s="1062"/>
      <c r="D126" s="1025" t="s">
        <v>17871</v>
      </c>
      <c r="E126" s="1028">
        <v>14.65</v>
      </c>
      <c r="F126" s="1031">
        <v>3000</v>
      </c>
      <c r="G126" s="523">
        <v>7</v>
      </c>
      <c r="H126" s="712" t="str">
        <f>IF(G126="","",CHOOSE(G126,$D$223,$D$224,$D$225,$D$226,$D$227,$D$228,$D$229,$D$230,$D$231,$D$232,$D$233,$D$234,$D$235,$D$236,$D$237,$D$238,$D$239,$D$240,$D$241,$D$242,$D$243,$D$244,$D$245,$D$246,$D$247,$D$248,$D$249,$D$250))</f>
        <v>2650 - M-SO DROBNE KL1 CIE.</v>
      </c>
      <c r="I126" s="524">
        <v>0.47</v>
      </c>
      <c r="J126" s="701">
        <f>+F126*I126</f>
        <v>1410</v>
      </c>
      <c r="K126" s="702">
        <f>IF(G126="","",CHOOSE(G126,$E$223,$E$224,$E$225,$E$226,$E$227,$E$228,$E$229,$E$230,$E$231,$E$232,$E$233,$E$234,$E$235,$E$236,$E$237,$E$238,$E$239,$E$240,$E$241,$E$242,$E$243,$E$244,$E$245,$E$246,$E$247,$E$248,$E$249,$E$250))</f>
        <v>14.6</v>
      </c>
      <c r="L126" s="485">
        <f>IF(I126="","",I126*K126)</f>
        <v>6.8619999999999992</v>
      </c>
      <c r="M126" s="525">
        <f>IF(G126="","",CHOOSE(G126,$F$223,$F$224,$F$225,$F$226,$F$227,$F$228,$F$229,$F$230,$F$231,$F$232,$F$233,$F$234,$F$235,$F$236,$F$237,$F$238,$F$239,$F$240,$F$241,$F$242,$F$243,$F$244,$F$245,$F$246,$F$247,$F$248,$F$249,$F$250))</f>
        <v>0.09</v>
      </c>
      <c r="N126" s="486">
        <f>I126*M126</f>
        <v>4.2299999999999997E-2</v>
      </c>
      <c r="O126" s="526"/>
      <c r="P126" s="527"/>
    </row>
    <row r="127" spans="3:16" ht="15.75">
      <c r="C127" s="1062"/>
      <c r="D127" s="1026"/>
      <c r="E127" s="1029"/>
      <c r="F127" s="1032"/>
      <c r="G127" s="528">
        <v>9</v>
      </c>
      <c r="H127" s="713" t="str">
        <f>IF(G127="","",CHOOSE(G127,$D$223,$D$224,$D$225,$D$226,$D$227,$D$228,$D$229,$D$230,$D$231,$D$232,$D$233,$D$234,$D$235,$D$236,$D$237,$D$238,$D$239,$D$240,$D$241,$D$242,$D$243,$D$244,$D$245,$D$246,$D$247,$D$248,$D$249,$D$250))</f>
        <v>2660 - M-SO DROBNE KL2A</v>
      </c>
      <c r="I127" s="529">
        <v>0.5</v>
      </c>
      <c r="J127" s="704">
        <f>+F126*I127</f>
        <v>1500</v>
      </c>
      <c r="K127" s="705">
        <f>IF(G127="","",CHOOSE(G127,$E$223,$E$224,$E$225,$E$226,$E$227,$E$228,$E$229,$E$230,$E$231,$E$232,$E$233,$E$234,$E$235,$E$236,$E$237,$E$238,$E$239,$E$240,$E$241,$E$242,$E$243,$E$244,$E$245,$E$246,$E$247,$E$248,$E$249,$E$250))</f>
        <v>12.9</v>
      </c>
      <c r="L127" s="484">
        <f t="shared" ref="L127:L128" si="30">IF(I127="","",I127*K127)</f>
        <v>6.45</v>
      </c>
      <c r="M127" s="530">
        <f>IF(G127="","",CHOOSE(G127,$F$223,$F$224,$F$225,$F$226,$F$227,$F$228,$F$229,$F$230,$F$231,$F$232,$F$233,$F$234,$F$235,$F$236,$F$237,$F$238,$F$239,$F$240,$F$241,$F$242,$F$243,$F$244,$F$245,$F$246,$F$247,$F$248,$F$249,$F$250))</f>
        <v>0.2</v>
      </c>
      <c r="N127" s="487">
        <f>I127*M127</f>
        <v>0.1</v>
      </c>
      <c r="O127" s="526"/>
      <c r="P127" s="527"/>
    </row>
    <row r="128" spans="3:16" ht="16.5" thickBot="1">
      <c r="C128" s="1062"/>
      <c r="D128" s="1027"/>
      <c r="E128" s="1030"/>
      <c r="F128" s="1033"/>
      <c r="G128" s="531">
        <v>27</v>
      </c>
      <c r="H128" s="706" t="str">
        <f>IF(G128="","",CHOOSE(G128,$D$223,$D$224,$D$225,$D$226,$D$227,$D$228,$D$229,$D$230,$D$231,$D$232,$D$233,$D$234,$D$235,$D$236,$D$237,$D$238,$D$239,$D$240,$D$241,$D$242,$D$243,$D$244,$D$245,$D$246,$D$247,$D$248,$D$249))</f>
        <v xml:space="preserve">Woda </v>
      </c>
      <c r="I128" s="532">
        <v>0.03</v>
      </c>
      <c r="J128" s="707">
        <f>+F126*I128</f>
        <v>90</v>
      </c>
      <c r="K128" s="708">
        <f>IF(G128="","",CHOOSE(G128,$E$223,$E$224,$E$225,$E$226,$E$227,$E$228,$E$229,$E$230,$E$231,$E$232,$E$233,$E$234,$E$235,$E$236,$E$237,$E$238,$E$239,$E$240,$E$241,$E$242,$E$243,$E$244,$E$245,$E$246,$E$247,$E$248,$E$249))</f>
        <v>0</v>
      </c>
      <c r="L128" s="521">
        <f t="shared" si="30"/>
        <v>0</v>
      </c>
      <c r="M128" s="533"/>
      <c r="N128" s="488">
        <f t="shared" ref="N128" si="31">I128*M128</f>
        <v>0</v>
      </c>
      <c r="O128" s="1052" t="s">
        <v>120</v>
      </c>
      <c r="P128" s="1052"/>
    </row>
    <row r="129" spans="3:16" ht="17.25" thickTop="1" thickBot="1">
      <c r="C129" s="1062"/>
      <c r="D129" s="709"/>
      <c r="E129" s="517"/>
      <c r="F129" s="710"/>
      <c r="G129" s="710"/>
      <c r="H129" s="710"/>
      <c r="I129" s="711">
        <f>SUM(I126:I128)</f>
        <v>1</v>
      </c>
      <c r="J129" s="710">
        <f>SUM(J126:J128)</f>
        <v>3000</v>
      </c>
      <c r="K129" s="710"/>
      <c r="L129" s="518">
        <f>SUM(L126:L128)</f>
        <v>13.311999999999999</v>
      </c>
      <c r="M129" s="517"/>
      <c r="N129" s="519">
        <f>SUM(N126:N128)</f>
        <v>0.14230000000000001</v>
      </c>
      <c r="O129" s="520">
        <f>(+E126*F126)-(L129*F126)</f>
        <v>4014</v>
      </c>
      <c r="P129" s="228" t="s">
        <v>15360</v>
      </c>
    </row>
    <row r="130" spans="3:16" ht="15.75" thickTop="1">
      <c r="C130" s="228"/>
    </row>
    <row r="131" spans="3:16" ht="22.35" customHeight="1" thickBot="1">
      <c r="C131" s="228"/>
    </row>
    <row r="132" spans="3:16" ht="20.25" thickTop="1" thickBot="1">
      <c r="C132" s="1063" t="s">
        <v>17984</v>
      </c>
      <c r="D132" s="1042" t="s">
        <v>15554</v>
      </c>
      <c r="E132" s="1043"/>
      <c r="F132" s="1043"/>
      <c r="G132" s="1043"/>
      <c r="H132" s="696"/>
      <c r="I132" s="696"/>
      <c r="J132" s="696"/>
      <c r="K132" s="696"/>
      <c r="L132" s="696"/>
      <c r="M132" s="696"/>
      <c r="N132" s="697"/>
      <c r="O132" s="228"/>
    </row>
    <row r="133" spans="3:16" ht="39" thickTop="1" thickBot="1">
      <c r="C133" s="1063"/>
      <c r="D133" s="698" t="s">
        <v>111</v>
      </c>
      <c r="E133" s="515" t="s">
        <v>17327</v>
      </c>
      <c r="F133" s="515"/>
      <c r="G133" s="515" t="s">
        <v>17331</v>
      </c>
      <c r="H133" s="699" t="s">
        <v>114</v>
      </c>
      <c r="I133" s="699" t="s">
        <v>115</v>
      </c>
      <c r="J133" s="699" t="s">
        <v>116</v>
      </c>
      <c r="K133" s="515" t="s">
        <v>17326</v>
      </c>
      <c r="L133" s="515" t="s">
        <v>17332</v>
      </c>
      <c r="M133" s="515" t="s">
        <v>118</v>
      </c>
      <c r="N133" s="516" t="s">
        <v>119</v>
      </c>
      <c r="O133" s="55"/>
      <c r="P133" s="228"/>
    </row>
    <row r="134" spans="3:16" ht="16.5" thickTop="1">
      <c r="C134" s="1063"/>
      <c r="D134" s="1025" t="s">
        <v>17871</v>
      </c>
      <c r="E134" s="1028">
        <v>14.65</v>
      </c>
      <c r="F134" s="1031"/>
      <c r="G134" s="523">
        <v>7</v>
      </c>
      <c r="H134" s="712" t="str">
        <f>IF(G134="","",CHOOSE(G134,$D$223,$D$224,$D$225,$D$226,$D$227,$D$228,$D$229,$D$230,$D$231,$D$232,$D$233,$D$234,$D$235,$D$236,$D$237,$D$238,$D$239,$D$240,$D$241,$D$242,$D$243,$D$244,$D$245,$D$246,$D$247,$D$248,$D$249,$D$250))</f>
        <v>2650 - M-SO DROBNE KL1 CIE.</v>
      </c>
      <c r="I134" s="524">
        <v>0.47</v>
      </c>
      <c r="J134" s="701">
        <f>+F134*I134</f>
        <v>0</v>
      </c>
      <c r="K134" s="702">
        <f>IF(G134="","",CHOOSE(G134,$E$223,$E$224,$E$225,$E$226,$E$227,$E$228,$E$229,$E$230,$E$231,$E$232,$E$233,$E$234,$E$235,$E$236,$E$237,$E$238,$E$239,$E$240,$E$241,$E$242,$E$243,$E$244,$E$245,$E$246,$E$247,$E$248,$E$249,$E$250))</f>
        <v>14.6</v>
      </c>
      <c r="L134" s="485">
        <f>IF(I134="","",I134*K134)</f>
        <v>6.8619999999999992</v>
      </c>
      <c r="M134" s="525">
        <f>IF(G134="","",CHOOSE(G134,$F$223,$F$224,$F$225,$F$226,$F$227,$F$228,$F$229,$F$230,$F$231,$F$232,$F$233,$F$234,$F$235,$F$236,$F$237,$F$238,$F$239,$F$240,$F$241,$F$242,$F$243,$F$244,$F$245,$F$246,$F$247,$F$248,$F$249,$F$250))</f>
        <v>0.09</v>
      </c>
      <c r="N134" s="486">
        <f>I134*M134</f>
        <v>4.2299999999999997E-2</v>
      </c>
      <c r="O134" s="526"/>
      <c r="P134" s="527"/>
    </row>
    <row r="135" spans="3:16" ht="15.75">
      <c r="C135" s="1063"/>
      <c r="D135" s="1026"/>
      <c r="E135" s="1029"/>
      <c r="F135" s="1032"/>
      <c r="G135" s="528">
        <v>9</v>
      </c>
      <c r="H135" s="713" t="str">
        <f>IF(G135="","",CHOOSE(G135,$D$223,$D$224,$D$225,$D$226,$D$227,$D$228,$D$229,$D$230,$D$231,$D$232,$D$233,$D$234,$D$235,$D$236,$D$237,$D$238,$D$239,$D$240,$D$241,$D$242,$D$243,$D$244,$D$245,$D$246,$D$247,$D$248,$D$249,$D$250))</f>
        <v>2660 - M-SO DROBNE KL2A</v>
      </c>
      <c r="I135" s="529">
        <v>0.5</v>
      </c>
      <c r="J135" s="704">
        <f>+F134*I135</f>
        <v>0</v>
      </c>
      <c r="K135" s="705">
        <f>IF(G135="","",CHOOSE(G135,$E$223,$E$224,$E$225,$E$226,$E$227,$E$228,$E$229,$E$230,$E$231,$E$232,$E$233,$E$234,$E$235,$E$236,$E$237,$E$238,$E$239,$E$240,$E$241,$E$242,$E$243,$E$244,$E$245,$E$246,$E$247,$E$248,$E$249,$E$250))</f>
        <v>12.9</v>
      </c>
      <c r="L135" s="484">
        <f t="shared" ref="L135:L136" si="32">IF(I135="","",I135*K135)</f>
        <v>6.45</v>
      </c>
      <c r="M135" s="530">
        <f>IF(G135="","",CHOOSE(G135,$F$223,$F$224,$F$225,$F$226,$F$227,$F$228,$F$229,$F$230,$F$231,$F$232,$F$233,$F$234,$F$235,$F$236,$F$237,$F$238,$F$239,$F$240,$F$241,$F$242,$F$243,$F$244,$F$245,$F$246,$F$247,$F$248,$F$249,$F$250))</f>
        <v>0.2</v>
      </c>
      <c r="N135" s="487">
        <f>I135*M135</f>
        <v>0.1</v>
      </c>
      <c r="O135" s="526"/>
      <c r="P135" s="527"/>
    </row>
    <row r="136" spans="3:16" ht="16.5" thickBot="1">
      <c r="C136" s="1063"/>
      <c r="D136" s="1027"/>
      <c r="E136" s="1030"/>
      <c r="F136" s="1033"/>
      <c r="G136" s="531">
        <v>27</v>
      </c>
      <c r="H136" s="706" t="str">
        <f>IF(G136="","",CHOOSE(G136,$D$223,$D$224,$D$225,$D$226,$D$227,$D$228,$D$229,$D$230,$D$231,$D$232,$D$233,$D$234,$D$235,$D$236,$D$237,$D$238,$D$239,$D$240,$D$241,$D$242,$D$243,$D$244,$D$245,$D$246,$D$247,$D$248,$D$249))</f>
        <v xml:space="preserve">Woda </v>
      </c>
      <c r="I136" s="532">
        <v>0.03</v>
      </c>
      <c r="J136" s="707">
        <f>+F134*I136</f>
        <v>0</v>
      </c>
      <c r="K136" s="708">
        <f>IF(G136="","",CHOOSE(G136,$E$223,$E$224,$E$225,$E$226,$E$227,$E$228,$E$229,$E$230,$E$231,$E$232,$E$233,$E$234,$E$235,$E$236,$E$237,$E$238,$E$239,$E$240,$E$241,$E$242,$E$243,$E$244,$E$245,$E$246,$E$247,$E$248,$E$249))</f>
        <v>0</v>
      </c>
      <c r="L136" s="521">
        <f t="shared" si="32"/>
        <v>0</v>
      </c>
      <c r="M136" s="533"/>
      <c r="N136" s="488">
        <f t="shared" ref="N136" si="33">I136*M136</f>
        <v>0</v>
      </c>
      <c r="O136" s="1052" t="s">
        <v>120</v>
      </c>
      <c r="P136" s="1052"/>
    </row>
    <row r="137" spans="3:16" ht="17.25" thickTop="1" thickBot="1">
      <c r="C137" s="1063"/>
      <c r="D137" s="709"/>
      <c r="E137" s="517"/>
      <c r="F137" s="710"/>
      <c r="G137" s="710"/>
      <c r="H137" s="710"/>
      <c r="I137" s="711">
        <f>SUM(I134:I136)</f>
        <v>1</v>
      </c>
      <c r="J137" s="710">
        <f>SUM(J134:J136)</f>
        <v>0</v>
      </c>
      <c r="K137" s="710"/>
      <c r="L137" s="518">
        <f>SUM(L134:L136)</f>
        <v>13.311999999999999</v>
      </c>
      <c r="M137" s="517"/>
      <c r="N137" s="519">
        <f>SUM(N134:N136)</f>
        <v>0.14230000000000001</v>
      </c>
      <c r="O137" s="520">
        <f>(+E134*F134)-(L137*F134)</f>
        <v>0</v>
      </c>
      <c r="P137" s="228" t="s">
        <v>15360</v>
      </c>
    </row>
    <row r="138" spans="3:16" ht="16.5" thickTop="1">
      <c r="C138" s="228"/>
      <c r="D138" s="755"/>
      <c r="E138" s="460"/>
      <c r="F138" s="755"/>
      <c r="G138" s="755"/>
      <c r="H138" s="755"/>
      <c r="I138" s="756"/>
      <c r="J138" s="755"/>
      <c r="K138" s="755"/>
      <c r="L138" s="757"/>
      <c r="M138" s="460"/>
      <c r="N138" s="758"/>
      <c r="O138" s="520"/>
      <c r="P138" s="228"/>
    </row>
    <row r="139" spans="3:16" ht="16.5" thickBot="1">
      <c r="C139" s="762"/>
      <c r="D139" s="755"/>
      <c r="E139" s="460"/>
      <c r="F139" s="755"/>
      <c r="G139" s="755"/>
      <c r="H139" s="755"/>
      <c r="I139" s="756"/>
      <c r="J139" s="755"/>
      <c r="K139" s="755"/>
      <c r="L139" s="757"/>
      <c r="M139" s="460"/>
      <c r="N139" s="758"/>
      <c r="O139" s="520"/>
      <c r="P139" s="228"/>
    </row>
    <row r="140" spans="3:16" ht="20.25" thickTop="1" thickBot="1">
      <c r="C140" s="1062" t="s">
        <v>17983</v>
      </c>
      <c r="D140" s="1047" t="s">
        <v>15558</v>
      </c>
      <c r="E140" s="1048"/>
      <c r="F140" s="1048"/>
      <c r="G140" s="1048"/>
      <c r="H140" s="752" t="s">
        <v>17980</v>
      </c>
      <c r="I140" s="753"/>
      <c r="J140" s="753"/>
      <c r="K140" s="753"/>
      <c r="L140" s="753"/>
      <c r="M140" s="753"/>
      <c r="N140" s="754"/>
      <c r="O140" s="228"/>
    </row>
    <row r="141" spans="3:16" ht="39" thickTop="1" thickBot="1">
      <c r="C141" s="1062"/>
      <c r="D141" s="698" t="s">
        <v>111</v>
      </c>
      <c r="E141" s="515" t="s">
        <v>17327</v>
      </c>
      <c r="F141" s="515"/>
      <c r="G141" s="515" t="s">
        <v>17331</v>
      </c>
      <c r="H141" s="699" t="s">
        <v>114</v>
      </c>
      <c r="I141" s="699" t="s">
        <v>115</v>
      </c>
      <c r="J141" s="699" t="s">
        <v>116</v>
      </c>
      <c r="K141" s="515" t="s">
        <v>17326</v>
      </c>
      <c r="L141" s="515" t="s">
        <v>17332</v>
      </c>
      <c r="M141" s="515" t="s">
        <v>118</v>
      </c>
      <c r="N141" s="516" t="s">
        <v>119</v>
      </c>
      <c r="O141" s="55"/>
      <c r="P141" s="228"/>
    </row>
    <row r="142" spans="3:16" ht="32.25" thickTop="1">
      <c r="C142" s="1062"/>
      <c r="D142" s="1025" t="s">
        <v>17335</v>
      </c>
      <c r="E142" s="1028">
        <v>16.14</v>
      </c>
      <c r="F142" s="1031">
        <v>4700</v>
      </c>
      <c r="G142" s="523">
        <v>1</v>
      </c>
      <c r="H142" s="712" t="str">
        <f>IF(G142="","",CHOOSE(G142,$D$223,$D$224,$D$225,$D$226,$D$227,$D$228,$D$229,$D$230,$D$231,$D$232,$D$233,$D$234,$D$235,$D$236,$D$237,$D$238,$D$239,$D$240,$D$241,$D$242,$D$243,$D$244,$D$245,$D$246,$D$247,$D$248,$D$249,$D$250,$D$251))</f>
        <v>1003 - MŚ.CZTEROG.N/OBR.Z/NAP.</v>
      </c>
      <c r="I142" s="534">
        <v>0.6</v>
      </c>
      <c r="J142" s="701">
        <f>+F142*I142</f>
        <v>2820</v>
      </c>
      <c r="K142" s="702">
        <f>IF(G142="","",CHOOSE(G142,$E$223,$E$224,$E$225,$E$226,$E$227,$E$228,$E$229,$E$230,$E$231,$E$232,$E$233,$E$234,$E$235,$E$236,$E$237,$E$238,$E$239,$E$240,$E$241,$E$242,$E$243,$E$244,$E$245,$E$246,$E$247,$E$248,$E$249,$E$250,$E$251))</f>
        <v>15.72</v>
      </c>
      <c r="L142" s="485">
        <f>IF(I142="","",I142*K142)</f>
        <v>9.4320000000000004</v>
      </c>
      <c r="M142" s="525">
        <f>IF(G142="","",CHOOSE(G142,$F$223,$F$224,$F$225,$F$226,$F$227,$F$228,$F$229,$F$230,$F$231,$F$232,$F$233,$F$234,$F$235,$F$236,$F$237,$F$238,$F$239,$F$240,$F$241,$F$242,$F$243,$F$244,$F$245,$F$246,$F$247,$F$248,$F$249,$F$250,$F$251))</f>
        <v>8.1000000000000003E-2</v>
      </c>
      <c r="N142" s="486">
        <f>I142*M142</f>
        <v>4.8599999999999997E-2</v>
      </c>
      <c r="O142" s="526"/>
      <c r="P142" s="527"/>
    </row>
    <row r="143" spans="3:16" ht="15.75">
      <c r="C143" s="1062"/>
      <c r="D143" s="1026"/>
      <c r="E143" s="1029"/>
      <c r="F143" s="1032"/>
      <c r="G143" s="528">
        <v>7</v>
      </c>
      <c r="H143" s="713" t="str">
        <f>IF(G143="","",CHOOSE(G143,$D$223,$D$224,$D$225,$D$226,$D$227,$D$228,$D$229,$D$230,$D$231,$D$232,$D$233,$D$234,$D$235,$D$236,$D$237,$D$238,$D$239,$D$240,$D$241,$D$242,$D$243,$D$244,$D$245,$D$246,$D$247,$D$248,$D$249,$D$250,$D$251))</f>
        <v>2650 - M-SO DROBNE KL1 CIE.</v>
      </c>
      <c r="I143" s="535">
        <v>0.4</v>
      </c>
      <c r="J143" s="704">
        <f>+F142*I143</f>
        <v>1880</v>
      </c>
      <c r="K143" s="705">
        <f>IF(G143="","",CHOOSE(G143,$E$223,$E$224,$E$225,$E$226,$E$227,$E$228,$E$229,$E$230,$E$231,$E$232,$E$233,$E$234,$E$235,$E$236,$E$237,$E$238,$E$239,$E$240,$E$241,$E$242,$E$243,$E$244,$E$245,$E$246,$E$247,$E$248,$E$249,$E$250,$E$251))</f>
        <v>14.6</v>
      </c>
      <c r="L143" s="484">
        <f t="shared" ref="L143:L144" si="34">IF(I143="","",I143*K143)</f>
        <v>5.84</v>
      </c>
      <c r="M143" s="530">
        <f>IF(G143="","",CHOOSE(G143,$F$223,$F$224,$F$225,$F$226,$F$227,$F$228,$F$229,$F$230,$F$231,$F$232,$F$233,$F$234,$F$235,$F$236,$F$237,$F$238,$F$239,$F$240,$F$241,$F$242,$F$243,$F$244,$F$245,$F$246,$F$247,$F$248,$F$249,$F$250,$F$251))</f>
        <v>0.09</v>
      </c>
      <c r="N143" s="487">
        <f t="shared" ref="N143:N144" si="35">I143*M143</f>
        <v>3.5999999999999997E-2</v>
      </c>
      <c r="O143" s="526"/>
      <c r="P143" s="527"/>
    </row>
    <row r="144" spans="3:16" ht="16.5" thickBot="1">
      <c r="C144" s="1062"/>
      <c r="D144" s="1026"/>
      <c r="E144" s="1029"/>
      <c r="F144" s="1032"/>
      <c r="G144" s="626">
        <v>24</v>
      </c>
      <c r="H144" s="714" t="str">
        <f>IF(G144="","",CHOOSE(G144,$D$223,$D$224,$D$225,$D$226,$D$227,$D$228,$D$229,$D$230,$D$231,$D$232,$D$233,$D$234,$D$235,$D$236,$D$237,$D$238,$D$239,$D$240,$D$241,$D$242,$D$243,$D$244,$D$245,$D$246,$D$247,$D$248,$D$249,$D$250,$D$251))</f>
        <v>2710 - TŁUSZCZ DR.</v>
      </c>
      <c r="I144" s="627">
        <v>0</v>
      </c>
      <c r="J144" s="715">
        <f>+F142*I144</f>
        <v>0</v>
      </c>
      <c r="K144" s="716">
        <f>IF(G144="","",CHOOSE(G144,$E$223,$E$224,$E$225,$E$226,$E$227,$E$228,$E$229,$E$230,$E$231,$E$232,$E$233,$E$234,$E$235,$E$236,$E$237,$E$238,$E$239,$E$240,$E$241,$E$242,$E$243,$E$244,$E$245,$E$246,$E$247,$E$248,$E$249,$E$250,$E$251))</f>
        <v>3.5</v>
      </c>
      <c r="L144" s="628">
        <f t="shared" si="34"/>
        <v>0</v>
      </c>
      <c r="M144" s="629">
        <f>IF(G144="","",CHOOSE(G144,$F$223,$F$224,$F$225,$F$226,$F$227,$F$228,$F$229,$F$230,$F$231,$F$232,$F$233,$F$234,$F$235,$F$236,$F$237,$F$238,$F$239,$F$240,$F$241,$F$242,$F$243,$F$244,$F$245,$F$246,$F$247,$F$248,$F$249,$F$250,$F$251))</f>
        <v>0.78</v>
      </c>
      <c r="N144" s="488">
        <f t="shared" si="35"/>
        <v>0</v>
      </c>
      <c r="O144" s="1052" t="s">
        <v>120</v>
      </c>
      <c r="P144" s="1052"/>
    </row>
    <row r="145" spans="3:16" ht="17.25" thickTop="1" thickBot="1">
      <c r="C145" s="1062"/>
      <c r="D145" s="709"/>
      <c r="E145" s="517"/>
      <c r="F145" s="710"/>
      <c r="G145" s="710"/>
      <c r="H145" s="710"/>
      <c r="I145" s="711">
        <f>SUM(I142:I144)</f>
        <v>1</v>
      </c>
      <c r="J145" s="710">
        <f>SUM(J142:J144)</f>
        <v>4700</v>
      </c>
      <c r="K145" s="710"/>
      <c r="L145" s="518">
        <f>SUM(L142:L144)</f>
        <v>15.272</v>
      </c>
      <c r="M145" s="517"/>
      <c r="N145" s="519">
        <f>SUM(N142:N144)</f>
        <v>8.4599999999999995E-2</v>
      </c>
      <c r="O145" s="540">
        <f>(+E142*F142)-(L145*F142)</f>
        <v>4079.6000000000058</v>
      </c>
      <c r="P145" s="541" t="s">
        <v>15360</v>
      </c>
    </row>
    <row r="146" spans="3:16" ht="16.5" thickTop="1">
      <c r="C146" s="228"/>
      <c r="D146" s="755"/>
      <c r="E146" s="460"/>
      <c r="F146" s="755"/>
      <c r="G146" s="755"/>
      <c r="H146" s="755"/>
      <c r="I146" s="756"/>
      <c r="J146" s="755"/>
      <c r="K146" s="755"/>
      <c r="L146" s="757"/>
      <c r="M146" s="460"/>
      <c r="N146" s="758"/>
      <c r="O146" s="520"/>
      <c r="P146" s="228"/>
    </row>
    <row r="147" spans="3:16" ht="15.75" thickBot="1">
      <c r="C147" s="228"/>
    </row>
    <row r="148" spans="3:16" ht="20.25" thickTop="1" thickBot="1">
      <c r="C148" s="1062" t="s">
        <v>17984</v>
      </c>
      <c r="D148" s="1042" t="s">
        <v>15554</v>
      </c>
      <c r="E148" s="1043"/>
      <c r="F148" s="1043"/>
      <c r="G148" s="1043"/>
      <c r="H148" s="696"/>
      <c r="I148" s="696"/>
      <c r="J148" s="696"/>
      <c r="K148" s="696"/>
      <c r="L148" s="696"/>
      <c r="M148" s="696"/>
      <c r="N148" s="697"/>
      <c r="O148" s="228"/>
    </row>
    <row r="149" spans="3:16" ht="39" thickTop="1" thickBot="1">
      <c r="C149" s="1062"/>
      <c r="D149" s="698" t="s">
        <v>111</v>
      </c>
      <c r="E149" s="515" t="s">
        <v>17327</v>
      </c>
      <c r="F149" s="515"/>
      <c r="G149" s="515" t="s">
        <v>17331</v>
      </c>
      <c r="H149" s="699" t="s">
        <v>114</v>
      </c>
      <c r="I149" s="699" t="s">
        <v>115</v>
      </c>
      <c r="J149" s="699" t="s">
        <v>116</v>
      </c>
      <c r="K149" s="515" t="s">
        <v>17326</v>
      </c>
      <c r="L149" s="515" t="s">
        <v>17332</v>
      </c>
      <c r="M149" s="515" t="s">
        <v>118</v>
      </c>
      <c r="N149" s="516" t="s">
        <v>119</v>
      </c>
      <c r="O149" s="55"/>
      <c r="P149" s="228"/>
    </row>
    <row r="150" spans="3:16" ht="32.25" thickTop="1">
      <c r="C150" s="1062"/>
      <c r="D150" s="1025" t="s">
        <v>17335</v>
      </c>
      <c r="E150" s="1028">
        <v>16.14</v>
      </c>
      <c r="F150" s="1031"/>
      <c r="G150" s="523">
        <v>1</v>
      </c>
      <c r="H150" s="712" t="str">
        <f>IF(G150="","",CHOOSE(G150,$D$223,$D$224,$D$225,$D$226,$D$227,$D$228,$D$229,$D$230,$D$231,$D$232,$D$233,$D$234,$D$235,$D$236,$D$237,$D$238,$D$239,$D$240,$D$241,$D$242,$D$243,$D$244,$D$245,$D$246,$D$247,$D$248,$D$249,$D$250,$D$251))</f>
        <v>1003 - MŚ.CZTEROG.N/OBR.Z/NAP.</v>
      </c>
      <c r="I150" s="534">
        <v>0.6</v>
      </c>
      <c r="J150" s="701">
        <f>+F150*I150</f>
        <v>0</v>
      </c>
      <c r="K150" s="702">
        <f>IF(G150="","",CHOOSE(G150,$E$223,$E$224,$E$225,$E$226,$E$227,$E$228,$E$229,$E$230,$E$231,$E$232,$E$233,$E$234,$E$235,$E$236,$E$237,$E$238,$E$239,$E$240,$E$241,$E$242,$E$243,$E$244,$E$245,$E$246,$E$247,$E$248,$E$249,$E$250,$E$251))</f>
        <v>15.72</v>
      </c>
      <c r="L150" s="485">
        <f>IF(I150="","",I150*K150)</f>
        <v>9.4320000000000004</v>
      </c>
      <c r="M150" s="525">
        <f>IF(G150="","",CHOOSE(G150,$F$223,$F$224,$F$225,$F$226,$F$227,$F$228,$F$229,$F$230,$F$231,$F$232,$F$233,$F$234,$F$235,$F$236,$F$237,$F$238,$F$239,$F$240,$F$241,$F$242,$F$243,$F$244,$F$245,$F$246,$F$247,$F$248,$F$249,$F$250,$F$251))</f>
        <v>8.1000000000000003E-2</v>
      </c>
      <c r="N150" s="486">
        <f>I150*M150</f>
        <v>4.8599999999999997E-2</v>
      </c>
      <c r="O150" s="526"/>
      <c r="P150" s="527"/>
    </row>
    <row r="151" spans="3:16" ht="15.75">
      <c r="C151" s="1062"/>
      <c r="D151" s="1026"/>
      <c r="E151" s="1029"/>
      <c r="F151" s="1032"/>
      <c r="G151" s="528">
        <v>7</v>
      </c>
      <c r="H151" s="713" t="str">
        <f>IF(G151="","",CHOOSE(G151,$D$223,$D$224,$D$225,$D$226,$D$227,$D$228,$D$229,$D$230,$D$231,$D$232,$D$233,$D$234,$D$235,$D$236,$D$237,$D$238,$D$239,$D$240,$D$241,$D$242,$D$243,$D$244,$D$245,$D$246,$D$247,$D$248,$D$249,$D$250,$D$251))</f>
        <v>2650 - M-SO DROBNE KL1 CIE.</v>
      </c>
      <c r="I151" s="535">
        <v>0.4</v>
      </c>
      <c r="J151" s="704">
        <f>+F150*I151</f>
        <v>0</v>
      </c>
      <c r="K151" s="705">
        <f>IF(G151="","",CHOOSE(G151,$E$223,$E$224,$E$225,$E$226,$E$227,$E$228,$E$229,$E$230,$E$231,$E$232,$E$233,$E$234,$E$235,$E$236,$E$237,$E$238,$E$239,$E$240,$E$241,$E$242,$E$243,$E$244,$E$245,$E$246,$E$247,$E$248,$E$249,$E$250,$E$251))</f>
        <v>14.6</v>
      </c>
      <c r="L151" s="484">
        <f t="shared" ref="L151:L152" si="36">IF(I151="","",I151*K151)</f>
        <v>5.84</v>
      </c>
      <c r="M151" s="530">
        <f>IF(G151="","",CHOOSE(G151,$F$223,$F$224,$F$225,$F$226,$F$227,$F$228,$F$229,$F$230,$F$231,$F$232,$F$233,$F$234,$F$235,$F$236,$F$237,$F$238,$F$239,$F$240,$F$241,$F$242,$F$243,$F$244,$F$245,$F$246,$F$247,$F$248,$F$249,$F$250,$F$251))</f>
        <v>0.09</v>
      </c>
      <c r="N151" s="487">
        <f t="shared" ref="N151:N152" si="37">I151*M151</f>
        <v>3.5999999999999997E-2</v>
      </c>
      <c r="O151" s="526"/>
      <c r="P151" s="527"/>
    </row>
    <row r="152" spans="3:16" ht="16.350000000000001" customHeight="1" thickBot="1">
      <c r="C152" s="1062"/>
      <c r="D152" s="1026"/>
      <c r="E152" s="1029"/>
      <c r="F152" s="1032"/>
      <c r="G152" s="626">
        <v>24</v>
      </c>
      <c r="H152" s="714" t="str">
        <f>IF(G152="","",CHOOSE(G152,$D$223,$D$224,$D$225,$D$226,$D$227,$D$228,$D$229,$D$230,$D$231,$D$232,$D$233,$D$234,$D$235,$D$236,$D$237,$D$238,$D$239,$D$240,$D$241,$D$242,$D$243,$D$244,$D$245,$D$246,$D$247,$D$248,$D$249,$D$250,$D$251))</f>
        <v>2710 - TŁUSZCZ DR.</v>
      </c>
      <c r="I152" s="627">
        <v>0</v>
      </c>
      <c r="J152" s="715">
        <f>+F150*I152</f>
        <v>0</v>
      </c>
      <c r="K152" s="716">
        <f>IF(G152="","",CHOOSE(G152,$E$223,$E$224,$E$225,$E$226,$E$227,$E$228,$E$229,$E$230,$E$231,$E$232,$E$233,$E$234,$E$235,$E$236,$E$237,$E$238,$E$239,$E$240,$E$241,$E$242,$E$243,$E$244,$E$245,$E$246,$E$247,$E$248,$E$249,$E$250,$E$251))</f>
        <v>3.5</v>
      </c>
      <c r="L152" s="628">
        <f t="shared" si="36"/>
        <v>0</v>
      </c>
      <c r="M152" s="629">
        <f>IF(G152="","",CHOOSE(G152,$F$223,$F$224,$F$225,$F$226,$F$227,$F$228,$F$229,$F$230,$F$231,$F$232,$F$233,$F$234,$F$235,$F$236,$F$237,$F$238,$F$239,$F$240,$F$241,$F$242,$F$243,$F$244,$F$245,$F$246,$F$247,$F$248,$F$249,$F$250,$F$251))</f>
        <v>0.78</v>
      </c>
      <c r="N152" s="488">
        <f t="shared" si="37"/>
        <v>0</v>
      </c>
      <c r="O152" s="1052" t="s">
        <v>120</v>
      </c>
      <c r="P152" s="1052"/>
    </row>
    <row r="153" spans="3:16" ht="17.25" thickTop="1" thickBot="1">
      <c r="C153" s="1062"/>
      <c r="D153" s="709"/>
      <c r="E153" s="517"/>
      <c r="F153" s="710"/>
      <c r="G153" s="710"/>
      <c r="H153" s="710"/>
      <c r="I153" s="711">
        <f>SUM(I150:I152)</f>
        <v>1</v>
      </c>
      <c r="J153" s="710">
        <f>SUM(J150:J152)</f>
        <v>0</v>
      </c>
      <c r="K153" s="710"/>
      <c r="L153" s="518">
        <f>SUM(L150:L152)</f>
        <v>15.272</v>
      </c>
      <c r="M153" s="517"/>
      <c r="N153" s="519">
        <f>SUM(N150:N152)</f>
        <v>8.4599999999999995E-2</v>
      </c>
      <c r="O153" s="540">
        <f>(+E150*F150)-(L153*F150)</f>
        <v>0</v>
      </c>
      <c r="P153" s="541" t="s">
        <v>15360</v>
      </c>
    </row>
    <row r="154" spans="3:16" ht="15.75" thickTop="1">
      <c r="C154" s="228"/>
    </row>
    <row r="155" spans="3:16" ht="15.75" thickBot="1">
      <c r="C155" s="228"/>
    </row>
    <row r="156" spans="3:16" ht="20.25" thickTop="1" thickBot="1">
      <c r="C156" s="1062" t="s">
        <v>17984</v>
      </c>
      <c r="D156" s="1047" t="s">
        <v>15558</v>
      </c>
      <c r="E156" s="1048"/>
      <c r="F156" s="1048"/>
      <c r="G156" s="1048"/>
      <c r="H156" s="752" t="s">
        <v>17980</v>
      </c>
      <c r="I156" s="753"/>
      <c r="J156" s="753"/>
      <c r="K156" s="753"/>
      <c r="L156" s="753"/>
      <c r="M156" s="753"/>
      <c r="N156" s="754"/>
      <c r="O156" s="228"/>
    </row>
    <row r="157" spans="3:16" ht="39" thickTop="1" thickBot="1">
      <c r="C157" s="1062"/>
      <c r="D157" s="698" t="s">
        <v>111</v>
      </c>
      <c r="E157" s="515" t="s">
        <v>17327</v>
      </c>
      <c r="F157" s="515"/>
      <c r="G157" s="515" t="s">
        <v>17331</v>
      </c>
      <c r="H157" s="699" t="s">
        <v>114</v>
      </c>
      <c r="I157" s="699" t="s">
        <v>115</v>
      </c>
      <c r="J157" s="699" t="s">
        <v>116</v>
      </c>
      <c r="K157" s="515" t="s">
        <v>17326</v>
      </c>
      <c r="L157" s="515" t="s">
        <v>17332</v>
      </c>
      <c r="M157" s="515" t="s">
        <v>118</v>
      </c>
      <c r="N157" s="516" t="s">
        <v>119</v>
      </c>
      <c r="O157" s="55"/>
      <c r="P157" s="228"/>
    </row>
    <row r="158" spans="3:16" ht="16.5" thickTop="1">
      <c r="C158" s="1062"/>
      <c r="D158" s="1025" t="s">
        <v>17869</v>
      </c>
      <c r="E158" s="1028">
        <v>7.49</v>
      </c>
      <c r="F158" s="1031">
        <v>3000</v>
      </c>
      <c r="G158" s="523">
        <v>15</v>
      </c>
      <c r="H158" s="712" t="str">
        <f>IF(G158="","",CHOOSE(G158,$D$223,$D$224,$D$225,$D$226,$D$227,$D$228,$D$229,$D$230,$D$231,$D$232,$D$233,$D$234,$D$235,$D$236,$D$237,$D$238,$D$239,$D$240,$D$241,$D$242,$D$243,$D$244,$D$245,$D$246,$D$247,$D$248,$D$249,$D$250,$D$251))</f>
        <v>2685 - M-SO DROBNE KL4</v>
      </c>
      <c r="I158" s="524">
        <v>0.28000000000000003</v>
      </c>
      <c r="J158" s="701">
        <f>+F158*I158</f>
        <v>840.00000000000011</v>
      </c>
      <c r="K158" s="702">
        <f>IF(G158="","",CHOOSE(G158,$E$223,$E$224,$E$225,$E$226,$E$227,$E$228,$E$229,$E$230,$E$231,$E$232,$E$233,$E$234,$E$235,$E$236,$E$237,$E$238,$E$239,$E$240,$E$241,$E$242,$E$243,$E$244,$E$245,$E$246,$E$247,$E$248,$E$249,$E$250,$E$251))</f>
        <v>7</v>
      </c>
      <c r="L158" s="485">
        <f>IF(I158="","",I158*K158)</f>
        <v>1.9600000000000002</v>
      </c>
      <c r="M158" s="525">
        <f>IF(G158="","",CHOOSE(G158,$F$223,$F$224,$F$225,$F$226,$F$227,$F$228,$F$229,$F$230,$F$231,$F$232,$F$233,$F$234,$F$235,$F$236,$F$237,$F$238,$F$239,$F$240,$F$241,$F$242,$F$243,$F$244,$F$245,$F$246,$F$247,$F$248,$F$249,$F$250,$F$251))</f>
        <v>0.35</v>
      </c>
      <c r="N158" s="486">
        <f>I158*M158</f>
        <v>9.8000000000000004E-2</v>
      </c>
      <c r="O158" s="526"/>
      <c r="P158" s="527"/>
    </row>
    <row r="159" spans="3:16" ht="15.75">
      <c r="C159" s="1062"/>
      <c r="D159" s="1026"/>
      <c r="E159" s="1053"/>
      <c r="F159" s="1054"/>
      <c r="G159" s="528">
        <v>20</v>
      </c>
      <c r="H159" s="713" t="str">
        <f>IF(G159="","",CHOOSE(G159,$D$223,$D$224,$D$225,$D$226,$D$227,$D$228,$D$229,$D$230,$D$231,$D$232,$D$233,$D$234,$D$235,$D$236,$D$237,$D$238,$D$239,$D$240,$D$241,$D$242,$D$243,$D$244,$D$245,$D$246,$D$247,$D$248,$D$249,$D$250,$D$251))</f>
        <v>2834 - PRZEPONA</v>
      </c>
      <c r="I159" s="535">
        <v>0.1</v>
      </c>
      <c r="J159" s="704">
        <f>+F158*I159</f>
        <v>300</v>
      </c>
      <c r="K159" s="705">
        <f>IF(G159="","",CHOOSE(G159,$E$223,$E$224,$E$225,$E$226,$E$227,$E$228,$E$229,$E$230,$E$231,$E$232,$E$233,$E$234,$E$235,$E$236,$E$237,$E$238,$E$239,$E$240,$E$241,$E$242,$E$243,$E$244,$E$245,$E$246,$E$247,$E$248,$E$249,$E$250,$E$251))</f>
        <v>7</v>
      </c>
      <c r="L159" s="484">
        <f t="shared" ref="L159:L162" si="38">IF(I159="","",I159*K159)</f>
        <v>0.70000000000000007</v>
      </c>
      <c r="M159" s="530">
        <f>IF(G159="","",CHOOSE(G159,$F$223,$F$224,$F$225,$F$226,$F$227,$F$228,$F$229,$F$230,$F$231,$F$232,$F$233,$F$234,$F$235,$F$236,$F$237,$F$238,$F$239,$F$240,$F$241,$F$242,$F$243,$F$244,$F$245,$F$246,$F$247,$F$248,$F$249,$F$250,$F$251))</f>
        <v>0.2</v>
      </c>
      <c r="N159" s="487">
        <f>I159*M159</f>
        <v>2.0000000000000004E-2</v>
      </c>
      <c r="O159" s="526"/>
      <c r="P159" s="527"/>
    </row>
    <row r="160" spans="3:16" ht="15.75">
      <c r="C160" s="1062"/>
      <c r="D160" s="1026"/>
      <c r="E160" s="1053"/>
      <c r="F160" s="1054"/>
      <c r="G160" s="528">
        <v>28</v>
      </c>
      <c r="H160" s="713" t="str">
        <f>IF(G160="","",CHOOSE(G160,$D$223,$D$224,$D$225,$D$226,$D$227,$D$228,$D$229,$D$230,$D$231,$D$232,$D$233,$D$234,$D$235,$D$236,$D$237,$D$238,$D$239,$D$240,$D$241,$D$242,$D$243,$D$244,$D$245,$D$246,$D$247,$D$248,$D$249,$D$250,$D$251))</f>
        <v>2223 - M-SO DROBNE KL4 M</v>
      </c>
      <c r="I160" s="535">
        <v>0.2</v>
      </c>
      <c r="J160" s="704">
        <f>+F158*I160</f>
        <v>600</v>
      </c>
      <c r="K160" s="705">
        <f>IF(G160="","",CHOOSE(G160,$E$223,$E$224,$E$225,$E$226,$E$227,$E$228,$E$229,$E$230,$E$231,$E$232,$E$233,$E$234,$E$235,$E$236,$E$237,$E$238,$E$239,$E$240,$E$241,$E$242,$E$243,$E$244,$E$245,$E$246,$E$247,$E$248,$E$249,$E$250,$E$251))</f>
        <v>7</v>
      </c>
      <c r="L160" s="484">
        <f t="shared" ref="L160" si="39">IF(I160="","",I160*K160)</f>
        <v>1.4000000000000001</v>
      </c>
      <c r="M160" s="530">
        <f>IF(G160="","",CHOOSE(G160,$F$223,$F$224,$F$225,$F$226,$F$227,$F$228,$F$229,$F$230,$F$231,$F$232,$F$233,$F$234,$F$235,$F$236,$F$237,$F$238,$F$239,$F$240,$F$241,$F$242,$F$243,$F$244,$F$245,$F$246,$F$247,$F$248,$F$249,$F$250,$F$251))</f>
        <v>0.18</v>
      </c>
      <c r="N160" s="487">
        <f>I160*M160</f>
        <v>3.5999999999999997E-2</v>
      </c>
      <c r="O160" s="526"/>
      <c r="P160" s="527"/>
    </row>
    <row r="161" spans="3:16" ht="15.75">
      <c r="C161" s="1062"/>
      <c r="D161" s="1026"/>
      <c r="E161" s="1053"/>
      <c r="F161" s="1054"/>
      <c r="G161" s="528">
        <v>14</v>
      </c>
      <c r="H161" s="713" t="str">
        <f>IF(G161="","",CHOOSE(G161,$D$223,$D$224,$D$225,$D$226,$D$227,$D$228,$D$229,$D$230,$D$231,$D$232,$D$233,$D$234,$D$235,$D$236,$D$237,$D$238,$D$239,$D$240,$D$241,$D$242,$D$243,$D$244,$D$245,$D$246,$D$247,$D$248,$D$249,$D$250,$D$251))</f>
        <v>2680 - M-SO DROBNE KL3B</v>
      </c>
      <c r="I161" s="535">
        <v>0.2</v>
      </c>
      <c r="J161" s="704">
        <f>+F158*I161</f>
        <v>600</v>
      </c>
      <c r="K161" s="705">
        <f>IF(G161="","",CHOOSE(G161,$E$223,$E$224,$E$225,$E$226,$E$227,$E$228,$E$229,$E$230,$E$231,$E$232,$E$233,$E$234,$E$235,$E$236,$E$237,$E$238,$E$239,$E$240,$E$241,$E$242,$E$243,$E$244,$E$245,$E$246,$E$247,$E$248,$E$249,$E$250,$E$251))</f>
        <v>12.2</v>
      </c>
      <c r="L161" s="484">
        <f t="shared" si="38"/>
        <v>2.44</v>
      </c>
      <c r="M161" s="530">
        <f>IF(G161="","",CHOOSE(G161,$F$223,$F$224,$F$225,$F$226,$F$227,$F$228,$F$229,$F$230,$F$231,$F$232,$F$233,$F$234,$F$235,$F$236,$F$237,$F$238,$F$239,$F$240,$F$241,$F$242,$F$243,$F$244,$F$245,$F$246,$F$247,$F$248,$F$249,$F$250,$F$251))</f>
        <v>0.2</v>
      </c>
      <c r="N161" s="487">
        <f t="shared" ref="N161:N162" si="40">I161*M161</f>
        <v>4.0000000000000008E-2</v>
      </c>
      <c r="O161" s="526"/>
      <c r="P161" s="527"/>
    </row>
    <row r="162" spans="3:16" ht="16.5" thickBot="1">
      <c r="C162" s="1062"/>
      <c r="D162" s="1026"/>
      <c r="E162" s="1029"/>
      <c r="F162" s="1032"/>
      <c r="G162" s="626">
        <v>24</v>
      </c>
      <c r="H162" s="713" t="str">
        <f>IF(G162="","",CHOOSE(G162,$D$223,$D$224,$D$225,$D$226,$D$227,$D$228,$D$229,$D$230,$D$231,$D$232,$D$233,$D$234,$D$235,$D$236,$D$237,$D$238,$D$239,$D$240,$D$241,$D$242,$D$243,$D$244,$D$245,$D$246,$D$247,$D$248,$D$249,$D$250,$D$251))</f>
        <v>2710 - TŁUSZCZ DR.</v>
      </c>
      <c r="I162" s="627">
        <v>0.22</v>
      </c>
      <c r="J162" s="715">
        <f>+F158*I162</f>
        <v>660</v>
      </c>
      <c r="K162" s="716">
        <f>IF(G162="","",CHOOSE(G162,$E$223,$E$224,$E$225,$E$226,$E$227,$E$228,$E$229,$E$230,$E$231,$E$232,$E$233,$E$234,$E$235,$E$236,$E$237,$E$238,$E$239,$E$240,$E$241,$E$242,$E$243,$E$244,$E$245,$E$246,$E$247,$E$248,$E$249,$E$250,$E$251))</f>
        <v>3.5</v>
      </c>
      <c r="L162" s="628">
        <f t="shared" si="38"/>
        <v>0.77</v>
      </c>
      <c r="M162" s="629">
        <f>IF(G162="","",CHOOSE(G162,$F$223,$F$224,$F$225,$F$226,$F$227,$F$228,$F$229,$F$230,$F$231,$F$232,$F$233,$F$234,$F$235,$F$236,$F$237,$F$238,$F$239,$F$240,$F$241,$F$242,$F$243,$F$244,$F$245,$F$246,$F$247,$F$248,$F$249,$F$250,$F$251))</f>
        <v>0.78</v>
      </c>
      <c r="N162" s="488">
        <f t="shared" si="40"/>
        <v>0.1716</v>
      </c>
      <c r="O162" s="1052" t="s">
        <v>120</v>
      </c>
      <c r="P162" s="1052"/>
    </row>
    <row r="163" spans="3:16" ht="17.25" thickTop="1" thickBot="1">
      <c r="C163" s="1062"/>
      <c r="D163" s="709"/>
      <c r="E163" s="517"/>
      <c r="F163" s="710"/>
      <c r="G163" s="710"/>
      <c r="H163" s="710"/>
      <c r="I163" s="711">
        <f>SUM(I158:I162)</f>
        <v>1</v>
      </c>
      <c r="J163" s="710">
        <f>SUM(J158:J162)</f>
        <v>3000</v>
      </c>
      <c r="K163" s="710"/>
      <c r="L163" s="518">
        <f>SUM(L158:L162)</f>
        <v>7.27</v>
      </c>
      <c r="M163" s="517"/>
      <c r="N163" s="519">
        <f>SUM(N158:N162)</f>
        <v>0.36560000000000004</v>
      </c>
      <c r="O163" s="520">
        <f>(+E158*F158)-(L163*F158)</f>
        <v>660</v>
      </c>
      <c r="P163" s="228" t="s">
        <v>15360</v>
      </c>
    </row>
    <row r="164" spans="3:16" ht="15.75" thickTop="1">
      <c r="C164" s="228"/>
    </row>
    <row r="165" spans="3:16" ht="15.75" thickBot="1">
      <c r="C165" s="228"/>
    </row>
    <row r="166" spans="3:16" ht="20.25" thickTop="1" thickBot="1">
      <c r="C166" s="1061" t="s">
        <v>17984</v>
      </c>
      <c r="D166" s="1042" t="s">
        <v>15554</v>
      </c>
      <c r="E166" s="1043"/>
      <c r="F166" s="1043"/>
      <c r="G166" s="1043"/>
      <c r="H166" s="696"/>
      <c r="I166" s="696"/>
      <c r="J166" s="696"/>
      <c r="K166" s="696"/>
      <c r="L166" s="696"/>
      <c r="M166" s="696"/>
      <c r="N166" s="697"/>
      <c r="O166" s="228"/>
    </row>
    <row r="167" spans="3:16" ht="39" thickTop="1" thickBot="1">
      <c r="C167" s="1061"/>
      <c r="D167" s="698" t="s">
        <v>111</v>
      </c>
      <c r="E167" s="515" t="s">
        <v>17327</v>
      </c>
      <c r="F167" s="515"/>
      <c r="G167" s="515" t="s">
        <v>17331</v>
      </c>
      <c r="H167" s="699" t="s">
        <v>114</v>
      </c>
      <c r="I167" s="699" t="s">
        <v>115</v>
      </c>
      <c r="J167" s="699" t="s">
        <v>116</v>
      </c>
      <c r="K167" s="515" t="s">
        <v>17326</v>
      </c>
      <c r="L167" s="515" t="s">
        <v>17332</v>
      </c>
      <c r="M167" s="515" t="s">
        <v>118</v>
      </c>
      <c r="N167" s="516" t="s">
        <v>119</v>
      </c>
      <c r="O167" s="55"/>
      <c r="P167" s="228"/>
    </row>
    <row r="168" spans="3:16" ht="16.5" thickTop="1">
      <c r="C168" s="1061"/>
      <c r="D168" s="1025" t="s">
        <v>17965</v>
      </c>
      <c r="E168" s="1028">
        <v>7.12</v>
      </c>
      <c r="F168" s="1031"/>
      <c r="G168" s="523">
        <v>28</v>
      </c>
      <c r="H168" s="712" t="str">
        <f>IF(G168="","",CHOOSE(G168,$D$223,$D$224,$D$225,$D$226,$D$227,$D$228,$D$229,$D$230,$D$231,$D$232,$D$233,$D$234,$D$235,$D$236,$D$237,$D$238,$D$239,$D$240,$D$241,$D$242,$D$243,$D$244,$D$245,$D$246,$D$247,$D$248,$D$249,$D$250))</f>
        <v>2223 - M-SO DROBNE KL4 M</v>
      </c>
      <c r="I168" s="524">
        <v>0.25</v>
      </c>
      <c r="J168" s="701">
        <f>+F168*I168</f>
        <v>0</v>
      </c>
      <c r="K168" s="702">
        <f>IF(G168="","",CHOOSE(G168,$E$223,$E$224,$E$225,$E$226,$E$227,$E$228,$E$229,$E$230,$E$231,$E$232,$E$233,$E$234,$E$235,$E$236,$E$237,$E$238,$E$239,$E$240,$E$241,$E$242,$E$243,$E$244,$E$245,$E$246,$E$247,$E$248,$E$249,$E$250))</f>
        <v>7</v>
      </c>
      <c r="L168" s="485">
        <f t="shared" ref="L168:L171" si="41">IF(I168="","",I168*K168)</f>
        <v>1.75</v>
      </c>
      <c r="M168" s="525">
        <f>IF(G168="","",CHOOSE(G168,$F$223,$F$224,$F$225,$F$226,$F$227,$F$228,$F$229,$F$230,$F$231,$F$232,$F$233,$F$234,$F$235,$F$236,$F$237,$F$238,$F$239,$F$240,$F$241,$F$242,$F$243,$F$244,$F$245,$F$246,$F$247,$F$248,$F$249,$F$250))</f>
        <v>0.18</v>
      </c>
      <c r="N168" s="486">
        <f>I168*M168</f>
        <v>4.4999999999999998E-2</v>
      </c>
      <c r="O168" s="526"/>
      <c r="P168" s="527"/>
    </row>
    <row r="169" spans="3:16" ht="15.75">
      <c r="C169" s="1061"/>
      <c r="D169" s="1026"/>
      <c r="E169" s="1053"/>
      <c r="F169" s="1054"/>
      <c r="G169" s="528">
        <v>20</v>
      </c>
      <c r="H169" s="713" t="str">
        <f>IF(G169="","",CHOOSE(G169,$D$223,$D$224,$D$225,$D$226,$D$227,$D$228,$D$229,$D$230,$D$231,$D$232,$D$233,$D$234,$D$235,$D$236,$D$237,$D$238,$D$239,$D$240,$D$241,$D$242,$D$243,$D$244,$D$245,$D$246,$D$247,$D$248,$D$249,$D$250))</f>
        <v>2834 - PRZEPONA</v>
      </c>
      <c r="I169" s="535">
        <v>0.21</v>
      </c>
      <c r="J169" s="704">
        <f>+F168*I169</f>
        <v>0</v>
      </c>
      <c r="K169" s="705">
        <f>IF(G169="","",CHOOSE(G169,$E$223,$E$224,$E$225,$E$226,$E$227,$E$228,$E$229,$E$230,$E$231,$E$232,$E$233,$E$234,$E$235,$E$236,$E$237,$E$238,$E$239,$E$240,$E$241,$E$242,$E$243,$E$244,$E$245,$E$246,$E$247,$E$248,$E$249,$E$250))</f>
        <v>7</v>
      </c>
      <c r="L169" s="484">
        <f t="shared" si="41"/>
        <v>1.47</v>
      </c>
      <c r="M169" s="530">
        <f>IF(G169="","",CHOOSE(G169,$F$223,$F$224,$F$225,$F$226,$F$227,$F$228,$F$229,$F$230,$F$231,$F$232,$F$233,$F$234,$F$235,$F$236,$F$237,$F$238,$F$239,$F$240,$F$241,$F$242,$F$243,$F$244,$F$245,$F$246,$F$247,$F$248,$F$249,$F$250))</f>
        <v>0.2</v>
      </c>
      <c r="N169" s="487">
        <f>I169*M169</f>
        <v>4.2000000000000003E-2</v>
      </c>
      <c r="O169" s="526"/>
      <c r="P169" s="527"/>
    </row>
    <row r="170" spans="3:16" ht="15.75">
      <c r="C170" s="1061"/>
      <c r="D170" s="1026"/>
      <c r="E170" s="1029"/>
      <c r="F170" s="1032"/>
      <c r="G170" s="528">
        <v>15</v>
      </c>
      <c r="H170" s="713" t="str">
        <f>IF(G170="","",CHOOSE(G170,$D$223,$D$224,$D$225,$D$226,$D$227,$D$228,$D$229,$D$230,$D$231,$D$232,$D$233,$D$234,$D$235,$D$236,$D$237,$D$238,$D$239,$D$240,$D$241,$D$242,$D$243,$D$244,$D$245,$D$246,$D$247,$D$248,$D$249,$D$250))</f>
        <v>2685 - M-SO DROBNE KL4</v>
      </c>
      <c r="I170" s="529">
        <v>0.34</v>
      </c>
      <c r="J170" s="704">
        <f>+F168*I170</f>
        <v>0</v>
      </c>
      <c r="K170" s="705">
        <f>IF(G170="","",CHOOSE(G170,$E$223,$E$224,$E$225,$E$226,$E$227,$E$228,$E$229,$E$230,$E$231,$E$232,$E$233,$E$234,$E$235,$E$236,$E$237,$E$238,$E$239,$E$240,$E$241,$E$242,$E$243,$E$244,$E$245,$E$246,$E$247,$E$248,$E$249,$E$250))</f>
        <v>7</v>
      </c>
      <c r="L170" s="484">
        <f t="shared" si="41"/>
        <v>2.3800000000000003</v>
      </c>
      <c r="M170" s="530">
        <f>IF(G170="","",CHOOSE(G170,$F$223,$F$224,$F$225,$F$226,$F$227,$F$228,$F$229,$F$230,$F$231,$F$232,$F$233,$F$234,$F$235,$F$236,$F$237,$F$238,$F$239,$F$240,$F$241,$F$242,$F$243,$F$244,$F$245,$F$246,$F$247,$F$248,$F$249,$F$250))</f>
        <v>0.35</v>
      </c>
      <c r="N170" s="487">
        <f>I170*M170</f>
        <v>0.11899999999999999</v>
      </c>
      <c r="O170" s="526"/>
      <c r="P170" s="527"/>
    </row>
    <row r="171" spans="3:16" ht="16.5" thickBot="1">
      <c r="C171" s="1061"/>
      <c r="D171" s="1026"/>
      <c r="E171" s="1029"/>
      <c r="F171" s="1032"/>
      <c r="G171" s="528">
        <v>24</v>
      </c>
      <c r="H171" s="713" t="str">
        <f>IF(G171="","",CHOOSE(G171,$D$223,$D$224,$D$225,$D$226,$D$227,$D$228,$D$229,$D$230,$D$231,$D$232,$D$233,$D$234,$D$235,$D$236,$D$237,$D$238,$D$239,$D$240,$D$241,$D$242,$D$243,$D$244,$D$245,$D$246,$D$247,$D$248,$D$249,$D$250))</f>
        <v>2710 - TŁUSZCZ DR.</v>
      </c>
      <c r="I171" s="529">
        <v>0.2</v>
      </c>
      <c r="J171" s="704">
        <f>+F168*I171</f>
        <v>0</v>
      </c>
      <c r="K171" s="705">
        <f>IF(G171="","",CHOOSE(G171,$E$223,$E$224,$E$225,$E$226,$E$227,$E$228,$E$229,$E$230,$E$231,$E$232,$E$233,$E$234,$E$235,$E$236,$E$237,$E$238,$E$239,$E$240,$E$241,$E$242,$E$243,$E$244,$E$245,$E$246,$E$247,$E$248,$E$249,$E$250))</f>
        <v>3.5</v>
      </c>
      <c r="L171" s="484">
        <f t="shared" si="41"/>
        <v>0.70000000000000007</v>
      </c>
      <c r="M171" s="530">
        <f>IF(G171="","",CHOOSE(G171,$F$223,$F$224,$F$225,$F$226,$F$227,$F$228,$F$229,$F$230,$F$231,$F$232,$F$233,$F$234,$F$235,$F$236,$F$237,$F$238,$F$239,$F$240,$F$241,$F$242,$F$243,$F$244,$F$245,$F$246,$F$247,$F$248,$F$249,$F$250))</f>
        <v>0.78</v>
      </c>
      <c r="N171" s="487">
        <f t="shared" ref="N171" si="42">I171*M171</f>
        <v>0.15600000000000003</v>
      </c>
      <c r="O171" s="1052" t="s">
        <v>120</v>
      </c>
      <c r="P171" s="1052"/>
    </row>
    <row r="172" spans="3:16" ht="17.25" thickTop="1" thickBot="1">
      <c r="C172" s="1061"/>
      <c r="D172" s="709"/>
      <c r="E172" s="517"/>
      <c r="F172" s="710"/>
      <c r="G172" s="710"/>
      <c r="H172" s="710"/>
      <c r="I172" s="711">
        <f>SUM(I168:I171)</f>
        <v>1</v>
      </c>
      <c r="J172" s="710">
        <f>SUM(J168:J171)</f>
        <v>0</v>
      </c>
      <c r="K172" s="710"/>
      <c r="L172" s="518">
        <f>SUM(L168:L171)</f>
        <v>6.3</v>
      </c>
      <c r="M172" s="517"/>
      <c r="N172" s="519">
        <f>SUM(N168:N171)</f>
        <v>0.36199999999999999</v>
      </c>
      <c r="O172" s="520">
        <f>(+E168*F168)-(L172*F168)</f>
        <v>0</v>
      </c>
      <c r="P172" s="228" t="s">
        <v>15360</v>
      </c>
    </row>
    <row r="173" spans="3:16" ht="15.75" thickTop="1">
      <c r="C173" s="228"/>
    </row>
    <row r="174" spans="3:16" ht="15.75" thickBot="1">
      <c r="C174" s="228"/>
    </row>
    <row r="175" spans="3:16" ht="20.25" thickTop="1" thickBot="1">
      <c r="C175" s="1062" t="s">
        <v>17983</v>
      </c>
      <c r="D175" s="1047" t="s">
        <v>15558</v>
      </c>
      <c r="E175" s="1048"/>
      <c r="F175" s="1048"/>
      <c r="G175" s="1048"/>
      <c r="H175" s="752" t="s">
        <v>17980</v>
      </c>
      <c r="I175" s="753"/>
      <c r="J175" s="753"/>
      <c r="K175" s="753"/>
      <c r="L175" s="753"/>
      <c r="M175" s="753"/>
      <c r="N175" s="754"/>
      <c r="O175" s="228"/>
    </row>
    <row r="176" spans="3:16" ht="39" thickTop="1" thickBot="1">
      <c r="C176" s="1062"/>
      <c r="D176" s="698" t="s">
        <v>111</v>
      </c>
      <c r="E176" s="515" t="s">
        <v>17327</v>
      </c>
      <c r="F176" s="515"/>
      <c r="G176" s="515" t="s">
        <v>17331</v>
      </c>
      <c r="H176" s="699" t="s">
        <v>114</v>
      </c>
      <c r="I176" s="699" t="s">
        <v>115</v>
      </c>
      <c r="J176" s="699" t="s">
        <v>116</v>
      </c>
      <c r="K176" s="515" t="s">
        <v>17326</v>
      </c>
      <c r="L176" s="515" t="s">
        <v>17332</v>
      </c>
      <c r="M176" s="515" t="s">
        <v>118</v>
      </c>
      <c r="N176" s="516" t="s">
        <v>119</v>
      </c>
      <c r="O176" s="55"/>
      <c r="P176" s="228"/>
    </row>
    <row r="177" spans="3:16" ht="16.5" thickTop="1">
      <c r="C177" s="1062"/>
      <c r="D177" s="1025" t="s">
        <v>17858</v>
      </c>
      <c r="E177" s="1028">
        <v>12</v>
      </c>
      <c r="F177" s="1031"/>
      <c r="G177" s="523">
        <v>19</v>
      </c>
      <c r="H177" s="712" t="str">
        <f>IF(G177="","",CHOOSE(G177,$D$223,$D$224,$D$225,$D$226,$D$227,$D$228,$D$229,$D$230,$D$231,$D$232,$D$233,$D$234,$D$235,$D$236,$D$237,$D$238,$D$239,$D$240,$D$241,$D$242,$D$243,$D$244,$D$245,$D$246,$D$247,$D$248,$D$249,$D$250))</f>
        <v>2620 - MŚ.BRZUCH.</v>
      </c>
      <c r="I177" s="578">
        <v>0.105</v>
      </c>
      <c r="J177" s="701">
        <f>+F177*I177</f>
        <v>0</v>
      </c>
      <c r="K177" s="702">
        <f>IF(G177="","",CHOOSE(G177,$E$223,$E$224,$E$225,$E$226,$E$227,$E$228,$E$229,$E$230,$E$231,$E$232,$E$233,$E$234,$E$235,$E$236,$E$237,$E$238,$E$239,$E$240,$E$241,$E$242,$E$243,$E$244,$E$245,$E$246,$E$247,$E$248,$E$249,$E$250))</f>
        <v>14.03</v>
      </c>
      <c r="L177" s="485">
        <f t="shared" ref="L177:L180" si="43">IF(I177="","",I177*K177)</f>
        <v>1.47315</v>
      </c>
      <c r="M177" s="525">
        <f>IF(G177="","",CHOOSE(G177,$F$223,$F$224,$F$225,$F$226,$F$227,$F$228,$F$229,$F$230,$F$231,$F$232,$F$233,$F$234,$F$235,$F$236,$F$237,$F$238,$F$239,$F$240,$F$241,$F$242,$F$243,$F$244,$F$245,$F$246,$F$247,$F$248,$F$249,$F$250))</f>
        <v>7.0000000000000007E-2</v>
      </c>
      <c r="N177" s="486">
        <f>I177*M177</f>
        <v>7.3500000000000006E-3</v>
      </c>
      <c r="O177" s="526"/>
      <c r="P177" s="527"/>
    </row>
    <row r="178" spans="3:16" ht="15.75">
      <c r="C178" s="1062"/>
      <c r="D178" s="1026"/>
      <c r="E178" s="1053"/>
      <c r="F178" s="1054"/>
      <c r="G178" s="528">
        <v>9</v>
      </c>
      <c r="H178" s="713" t="str">
        <f>IF(G178="","",CHOOSE(G178,$D$223,$D$224,$D$225,$D$226,$D$227,$D$228,$D$229,$D$230,$D$231,$D$232,$D$233,$D$234,$D$235,$D$236,$D$237,$D$238,$D$239,$D$240,$D$241,$D$242,$D$243,$D$244,$D$245,$D$246,$D$247,$D$248,$D$249,$D$250))</f>
        <v>2660 - M-SO DROBNE KL2A</v>
      </c>
      <c r="I178" s="579">
        <v>0.56000000000000005</v>
      </c>
      <c r="J178" s="704">
        <f>+F177*I178</f>
        <v>0</v>
      </c>
      <c r="K178" s="705">
        <f>IF(G178="","",CHOOSE(G178,$E$223,$E$224,$E$225,$E$226,$E$227,$E$228,$E$229,$E$230,$E$231,$E$232,$E$233,$E$234,$E$235,$E$236,$E$237,$E$238,$E$239,$E$240,$E$241,$E$242,$E$243,$E$244,$E$245,$E$246,$E$247,$E$248,$E$249,$E$250))</f>
        <v>12.9</v>
      </c>
      <c r="L178" s="484">
        <f t="shared" si="43"/>
        <v>7.2240000000000011</v>
      </c>
      <c r="M178" s="530">
        <f>IF(G178="","",CHOOSE(G178,$F$223,$F$224,$F$225,$F$226,$F$227,$F$228,$F$229,$F$230,$F$231,$F$232,$F$233,$F$234,$F$235,$F$236,$F$237,$F$238,$F$239,$F$240,$F$241,$F$242,$F$243,$F$244,$F$245,$F$246,$F$247,$F$248,$F$249,$F$250))</f>
        <v>0.2</v>
      </c>
      <c r="N178" s="487">
        <f>I178*M178</f>
        <v>0.11200000000000002</v>
      </c>
      <c r="O178" s="526"/>
      <c r="P178" s="527"/>
    </row>
    <row r="179" spans="3:16" ht="15.75">
      <c r="C179" s="1062"/>
      <c r="D179" s="1026"/>
      <c r="E179" s="1029"/>
      <c r="F179" s="1032"/>
      <c r="G179" s="528">
        <v>18</v>
      </c>
      <c r="H179" s="713" t="str">
        <f>IF(G179="","",CHOOSE(G179,$D$223,$D$224,$D$225,$D$226,$D$227,$D$228,$D$229,$D$230,$D$231,$D$232,$D$233,$D$234,$D$235,$D$236,$D$237,$D$238,$D$239,$D$240,$D$241,$D$242,$D$243,$D$244,$D$245,$D$246,$D$247,$D$248,$D$249,$D$250))</f>
        <v>2631 - PODG.B/SK.</v>
      </c>
      <c r="I179" s="580">
        <v>0.24</v>
      </c>
      <c r="J179" s="704">
        <f>+F177*I179</f>
        <v>0</v>
      </c>
      <c r="K179" s="705">
        <f>IF(G179="","",CHOOSE(G179,$E$223,$E$224,$E$225,$E$226,$E$227,$E$228,$E$229,$E$230,$E$231,$E$232,$E$233,$E$234,$E$235,$E$236,$E$237,$E$238,$E$239,$E$240,$E$241,$E$242,$E$243,$E$244,$E$245,$E$246,$E$247,$E$248,$E$249,$E$250))</f>
        <v>7</v>
      </c>
      <c r="L179" s="484">
        <f t="shared" si="43"/>
        <v>1.68</v>
      </c>
      <c r="M179" s="530">
        <f>IF(G179="","",CHOOSE(G179,$F$223,$F$224,$F$225,$F$226,$F$227,$F$228,$F$229,$F$230,$F$231,$F$232,$F$233,$F$234,$F$235,$F$236,$F$237,$F$238,$F$239,$F$240,$F$241,$F$242,$F$243,$F$244,$F$245,$F$246,$F$247,$F$248,$F$249,$F$250))</f>
        <v>0.57999999999999996</v>
      </c>
      <c r="N179" s="487">
        <f>I179*M179</f>
        <v>0.13919999999999999</v>
      </c>
      <c r="O179" s="526"/>
      <c r="P179" s="527"/>
    </row>
    <row r="180" spans="3:16" ht="15.75">
      <c r="C180" s="1062"/>
      <c r="D180" s="1026"/>
      <c r="E180" s="1029"/>
      <c r="F180" s="1032"/>
      <c r="G180" s="528">
        <v>15</v>
      </c>
      <c r="H180" s="713" t="str">
        <f>IF(G180="","",CHOOSE(G180,$D$223,$D$224,$D$225,$D$226,$D$227,$D$228,$D$229,$D$230,$D$231,$D$232,$D$233,$D$234,$D$235,$D$236,$D$237,$D$238,$D$239,$D$240,$D$241,$D$242,$D$243,$D$244,$D$245,$D$246,$D$247,$D$248,$D$249,$D$250))</f>
        <v>2685 - M-SO DROBNE KL4</v>
      </c>
      <c r="I180" s="529">
        <v>0.08</v>
      </c>
      <c r="J180" s="704">
        <f>+F177*I180</f>
        <v>0</v>
      </c>
      <c r="K180" s="705">
        <f>IF(G180="","",CHOOSE(G180,$E$223,$E$224,$E$225,$E$226,$E$227,$E$228,$E$229,$E$230,$E$231,$E$232,$E$233,$E$234,$E$235,$E$236,$E$237,$E$238,$E$239,$E$240,$E$241,$E$242,$E$243,$E$244,$E$245,$E$246,$E$247,$E$248,$E$249,$E$250))</f>
        <v>7</v>
      </c>
      <c r="L180" s="484">
        <f t="shared" si="43"/>
        <v>0.56000000000000005</v>
      </c>
      <c r="M180" s="530">
        <f>IF(G180="","",CHOOSE(G180,$F$223,$F$224,$F$225,$F$226,$F$227,$F$228,$F$229,$F$230,$F$231,$F$232,$F$233,$F$234,$F$235,$F$236,$F$237,$F$238,$F$239,$F$240,$F$241,$F$242,$F$243,$F$244,$F$245,$F$246,$F$247,$F$248,$F$249,$F$250))</f>
        <v>0.35</v>
      </c>
      <c r="N180" s="487">
        <f>I180*M180</f>
        <v>2.7999999999999997E-2</v>
      </c>
      <c r="O180" s="526"/>
      <c r="P180" s="527"/>
    </row>
    <row r="181" spans="3:16" ht="16.5" thickBot="1">
      <c r="C181" s="1062"/>
      <c r="D181" s="1027"/>
      <c r="E181" s="1030"/>
      <c r="F181" s="1033"/>
      <c r="G181" s="531">
        <v>27</v>
      </c>
      <c r="H181" s="706" t="s">
        <v>17859</v>
      </c>
      <c r="I181" s="581">
        <v>1.4999999999999999E-2</v>
      </c>
      <c r="J181" s="707">
        <f>+F177*I181</f>
        <v>0</v>
      </c>
      <c r="K181" s="708">
        <f>IF(G181="","",CHOOSE(G181,$E$37,$E$38,$E$39,$E$40,#REF!,#REF!,$E$41,$E$42,$E$43,$E$44,$E$45,$E$46,$E$47,$E$48,#REF!,#REF!,$E$49,$E$50,$E$51,$E$52,$E$53,$E$54,$E$55,$E$56,#REF!,$E$57,$E$58))</f>
        <v>0</v>
      </c>
      <c r="L181" s="521">
        <f t="shared" ref="L181" si="44">IF(I181="","",I181*K181)</f>
        <v>0</v>
      </c>
      <c r="M181" s="533"/>
      <c r="N181" s="488">
        <f t="shared" ref="N181" si="45">I181*M181</f>
        <v>0</v>
      </c>
      <c r="O181" s="1052" t="s">
        <v>120</v>
      </c>
      <c r="P181" s="1052"/>
    </row>
    <row r="182" spans="3:16" ht="17.25" thickTop="1" thickBot="1">
      <c r="C182" s="1062"/>
      <c r="D182" s="709"/>
      <c r="E182" s="517"/>
      <c r="F182" s="710"/>
      <c r="G182" s="710"/>
      <c r="H182" s="710"/>
      <c r="I182" s="711">
        <f>SUM(I177:I181)</f>
        <v>1</v>
      </c>
      <c r="J182" s="710">
        <f>SUM(J177:J181)</f>
        <v>0</v>
      </c>
      <c r="K182" s="710"/>
      <c r="L182" s="518">
        <f>SUM(L177:L181)</f>
        <v>10.937150000000001</v>
      </c>
      <c r="M182" s="517"/>
      <c r="N182" s="519">
        <f>SUM(N177:N181)</f>
        <v>0.28654999999999997</v>
      </c>
      <c r="O182" s="520">
        <f>(+E177*F177)-(L182*F177)</f>
        <v>0</v>
      </c>
      <c r="P182" s="228" t="s">
        <v>15360</v>
      </c>
    </row>
    <row r="183" spans="3:16" ht="16.5" thickTop="1">
      <c r="C183" s="228"/>
      <c r="D183" s="755"/>
      <c r="E183" s="460"/>
      <c r="F183" s="755"/>
      <c r="G183" s="755"/>
      <c r="H183" s="755"/>
      <c r="I183" s="756"/>
      <c r="J183" s="755"/>
      <c r="K183" s="755"/>
      <c r="L183" s="757"/>
      <c r="M183" s="460"/>
      <c r="N183" s="758"/>
      <c r="O183" s="520"/>
      <c r="P183" s="228"/>
    </row>
    <row r="184" spans="3:16" ht="15.75" thickBot="1">
      <c r="C184" s="228"/>
    </row>
    <row r="185" spans="3:16" ht="20.25" thickTop="1" thickBot="1">
      <c r="C185" s="1062" t="s">
        <v>17984</v>
      </c>
      <c r="D185" s="1042" t="s">
        <v>15554</v>
      </c>
      <c r="E185" s="1043"/>
      <c r="F185" s="1043"/>
      <c r="G185" s="1043"/>
      <c r="H185" s="696"/>
      <c r="I185" s="696"/>
      <c r="J185" s="696"/>
      <c r="K185" s="696"/>
      <c r="L185" s="696"/>
      <c r="M185" s="696"/>
      <c r="N185" s="697"/>
      <c r="O185" s="228"/>
    </row>
    <row r="186" spans="3:16" ht="39" thickTop="1" thickBot="1">
      <c r="C186" s="1062"/>
      <c r="D186" s="698" t="s">
        <v>111</v>
      </c>
      <c r="E186" s="515" t="s">
        <v>17327</v>
      </c>
      <c r="F186" s="515"/>
      <c r="G186" s="515" t="s">
        <v>17331</v>
      </c>
      <c r="H186" s="699" t="s">
        <v>114</v>
      </c>
      <c r="I186" s="699" t="s">
        <v>115</v>
      </c>
      <c r="J186" s="699" t="s">
        <v>116</v>
      </c>
      <c r="K186" s="515" t="s">
        <v>17326</v>
      </c>
      <c r="L186" s="515" t="s">
        <v>17332</v>
      </c>
      <c r="M186" s="515" t="s">
        <v>118</v>
      </c>
      <c r="N186" s="516" t="s">
        <v>119</v>
      </c>
      <c r="O186" s="55"/>
      <c r="P186" s="228"/>
    </row>
    <row r="187" spans="3:16" ht="16.5" thickTop="1">
      <c r="C187" s="1062"/>
      <c r="D187" s="1025" t="s">
        <v>17858</v>
      </c>
      <c r="E187" s="1028">
        <v>12</v>
      </c>
      <c r="F187" s="1031"/>
      <c r="G187" s="523">
        <v>19</v>
      </c>
      <c r="H187" s="712" t="str">
        <f>IF(G187="","",CHOOSE(G187,$D$223,$D$224,$D$225,$D$226,$D$227,$D$228,$D$229,$D$230,$D$231,$D$232,$D$233,$D$234,$D$235,$D$236,$D$237,$D$238,$D$239,$D$240,$D$241,$D$242,$D$243,$D$244,$D$245,$D$246,$D$247,$D$248,$D$249,$D$250))</f>
        <v>2620 - MŚ.BRZUCH.</v>
      </c>
      <c r="I187" s="578">
        <v>0.105</v>
      </c>
      <c r="J187" s="701">
        <f>+F187*I187</f>
        <v>0</v>
      </c>
      <c r="K187" s="702">
        <f>IF(G187="","",CHOOSE(G187,$E$223,$E$224,$E$225,$E$226,$E$227,$E$228,$E$229,$E$230,$E$231,$E$232,$E$233,$E$234,$E$235,$E$236,$E$237,$E$238,$E$239,$E$240,$E$241,$E$242,$E$243,$E$244,$E$245,$E$246,$E$247,$E$248,$E$249,$E$250))</f>
        <v>14.03</v>
      </c>
      <c r="L187" s="485">
        <f t="shared" ref="L187:L191" si="46">IF(I187="","",I187*K187)</f>
        <v>1.47315</v>
      </c>
      <c r="M187" s="525">
        <f>IF(G187="","",CHOOSE(G187,$F$223,$F$224,$F$225,$F$226,$F$227,$F$228,$F$229,$F$230,$F$231,$F$232,$F$233,$F$234,$F$235,$F$236,$F$237,$F$238,$F$239,$F$240,$F$241,$F$242,$F$243,$F$244,$F$245,$F$246,$F$247,$F$248,$F$249,$F$250))</f>
        <v>7.0000000000000007E-2</v>
      </c>
      <c r="N187" s="486">
        <f>I187*M187</f>
        <v>7.3500000000000006E-3</v>
      </c>
      <c r="O187" s="526"/>
      <c r="P187" s="527"/>
    </row>
    <row r="188" spans="3:16" ht="15.75">
      <c r="C188" s="1062"/>
      <c r="D188" s="1026"/>
      <c r="E188" s="1053"/>
      <c r="F188" s="1054"/>
      <c r="G188" s="528">
        <v>9</v>
      </c>
      <c r="H188" s="713" t="str">
        <f>IF(G188="","",CHOOSE(G188,$D$223,$D$224,$D$225,$D$226,$D$227,$D$228,$D$229,$D$230,$D$231,$D$232,$D$233,$D$234,$D$235,$D$236,$D$237,$D$238,$D$239,$D$240,$D$241,$D$242,$D$243,$D$244,$D$245,$D$246,$D$247,$D$248,$D$249,$D$250))</f>
        <v>2660 - M-SO DROBNE KL2A</v>
      </c>
      <c r="I188" s="579">
        <v>0.56000000000000005</v>
      </c>
      <c r="J188" s="704">
        <f>+F187*I188</f>
        <v>0</v>
      </c>
      <c r="K188" s="705">
        <f>IF(G188="","",CHOOSE(G188,$E$223,$E$224,$E$225,$E$226,$E$227,$E$228,$E$229,$E$230,$E$231,$E$232,$E$233,$E$234,$E$235,$E$236,$E$237,$E$238,$E$239,$E$240,$E$241,$E$242,$E$243,$E$244,$E$245,$E$246,$E$247,$E$248,$E$249,$E$250))</f>
        <v>12.9</v>
      </c>
      <c r="L188" s="484">
        <f t="shared" si="46"/>
        <v>7.2240000000000011</v>
      </c>
      <c r="M188" s="530">
        <f>IF(G188="","",CHOOSE(G188,$F$223,$F$224,$F$225,$F$226,$F$227,$F$228,$F$229,$F$230,$F$231,$F$232,$F$233,$F$234,$F$235,$F$236,$F$237,$F$238,$F$239,$F$240,$F$241,$F$242,$F$243,$F$244,$F$245,$F$246,$F$247,$F$248,$F$249,$F$250))</f>
        <v>0.2</v>
      </c>
      <c r="N188" s="487">
        <f>I188*M188</f>
        <v>0.11200000000000002</v>
      </c>
      <c r="O188" s="526"/>
      <c r="P188" s="527"/>
    </row>
    <row r="189" spans="3:16" ht="15.75">
      <c r="C189" s="1062"/>
      <c r="D189" s="1026"/>
      <c r="E189" s="1029"/>
      <c r="F189" s="1032"/>
      <c r="G189" s="528">
        <v>18</v>
      </c>
      <c r="H189" s="713" t="str">
        <f>IF(G189="","",CHOOSE(G189,$D$223,$D$224,$D$225,$D$226,$D$227,$D$228,$D$229,$D$230,$D$231,$D$232,$D$233,$D$234,$D$235,$D$236,$D$237,$D$238,$D$239,$D$240,$D$241,$D$242,$D$243,$D$244,$D$245,$D$246,$D$247,$D$248,$D$249,$D$250))</f>
        <v>2631 - PODG.B/SK.</v>
      </c>
      <c r="I189" s="580">
        <v>0.24</v>
      </c>
      <c r="J189" s="704">
        <f>+F187*I189</f>
        <v>0</v>
      </c>
      <c r="K189" s="705">
        <f>IF(G189="","",CHOOSE(G189,$E$223,$E$224,$E$225,$E$226,$E$227,$E$228,$E$229,$E$230,$E$231,$E$232,$E$233,$E$234,$E$235,$E$236,$E$237,$E$238,$E$239,$E$240,$E$241,$E$242,$E$243,$E$244,$E$245,$E$246,$E$247,$E$248,$E$249,$E$250))</f>
        <v>7</v>
      </c>
      <c r="L189" s="484">
        <f t="shared" si="46"/>
        <v>1.68</v>
      </c>
      <c r="M189" s="530">
        <f>IF(G189="","",CHOOSE(G189,$F$223,$F$224,$F$225,$F$226,$F$227,$F$228,$F$229,$F$230,$F$231,$F$232,$F$233,$F$234,$F$235,$F$236,$F$237,$F$238,$F$239,$F$240,$F$241,$F$242,$F$243,$F$244,$F$245,$F$246,$F$247,$F$248,$F$249,$F$250))</f>
        <v>0.57999999999999996</v>
      </c>
      <c r="N189" s="487">
        <f>I189*M189</f>
        <v>0.13919999999999999</v>
      </c>
      <c r="O189" s="526"/>
      <c r="P189" s="527"/>
    </row>
    <row r="190" spans="3:16" ht="15.75">
      <c r="C190" s="1062"/>
      <c r="D190" s="1026"/>
      <c r="E190" s="1029"/>
      <c r="F190" s="1032"/>
      <c r="G190" s="528">
        <v>15</v>
      </c>
      <c r="H190" s="713" t="str">
        <f>IF(G190="","",CHOOSE(G190,$D$223,$D$224,$D$225,$D$226,$D$227,$D$228,$D$229,$D$230,$D$231,$D$232,$D$233,$D$234,$D$235,$D$236,$D$237,$D$238,$D$239,$D$240,$D$241,$D$242,$D$243,$D$244,$D$245,$D$246,$D$247,$D$248,$D$249,$D$250))</f>
        <v>2685 - M-SO DROBNE KL4</v>
      </c>
      <c r="I190" s="529">
        <v>0.08</v>
      </c>
      <c r="J190" s="704">
        <f>+F187*I190</f>
        <v>0</v>
      </c>
      <c r="K190" s="705">
        <f>IF(G190="","",CHOOSE(G190,$E$223,$E$224,$E$225,$E$226,$E$227,$E$228,$E$229,$E$230,$E$231,$E$232,$E$233,$E$234,$E$235,$E$236,$E$237,$E$238,$E$239,$E$240,$E$241,$E$242,$E$243,$E$244,$E$245,$E$246,$E$247,$E$248,$E$249,$E$250))</f>
        <v>7</v>
      </c>
      <c r="L190" s="484">
        <f t="shared" si="46"/>
        <v>0.56000000000000005</v>
      </c>
      <c r="M190" s="530">
        <f>IF(G190="","",CHOOSE(G190,$F$223,$F$224,$F$225,$F$226,$F$227,$F$228,$F$229,$F$230,$F$231,$F$232,$F$233,$F$234,$F$235,$F$236,$F$237,$F$238,$F$239,$F$240,$F$241,$F$242,$F$243,$F$244,$F$245,$F$246,$F$247,$F$248,$F$249,$F$250))</f>
        <v>0.35</v>
      </c>
      <c r="N190" s="487">
        <f>I190*M190</f>
        <v>2.7999999999999997E-2</v>
      </c>
      <c r="O190" s="526"/>
      <c r="P190" s="527"/>
    </row>
    <row r="191" spans="3:16" ht="16.5" thickBot="1">
      <c r="C191" s="1062"/>
      <c r="D191" s="1027"/>
      <c r="E191" s="1030"/>
      <c r="F191" s="1033"/>
      <c r="G191" s="531">
        <v>27</v>
      </c>
      <c r="H191" s="706" t="s">
        <v>17859</v>
      </c>
      <c r="I191" s="581">
        <v>1.4999999999999999E-2</v>
      </c>
      <c r="J191" s="707">
        <f>+F187*I191</f>
        <v>0</v>
      </c>
      <c r="K191" s="708">
        <f>IF(G191="","",CHOOSE(G191,$E$223,$E$224,$E$225,$E$226,$E$227,$E$228,$E$229,$E$230,$E$231,$E$232,$E$233,$E$234,$E$235,$E$236,$E$237,$E$238,$E$239,$E$240,$E$241,$E$242,$E$243,$E$244,$E$245,$E$246,$E$247,$E$248,$E$249))</f>
        <v>0</v>
      </c>
      <c r="L191" s="521">
        <f t="shared" si="46"/>
        <v>0</v>
      </c>
      <c r="M191" s="533"/>
      <c r="N191" s="488">
        <f t="shared" ref="N191" si="47">I191*M191</f>
        <v>0</v>
      </c>
      <c r="O191" s="1052" t="s">
        <v>120</v>
      </c>
      <c r="P191" s="1052"/>
    </row>
    <row r="192" spans="3:16" ht="17.25" thickTop="1" thickBot="1">
      <c r="C192" s="1062"/>
      <c r="D192" s="709"/>
      <c r="E192" s="517"/>
      <c r="F192" s="710"/>
      <c r="G192" s="710"/>
      <c r="H192" s="710"/>
      <c r="I192" s="711">
        <f>SUM(I187:I191)</f>
        <v>1</v>
      </c>
      <c r="J192" s="710">
        <f>SUM(J187:J191)</f>
        <v>0</v>
      </c>
      <c r="K192" s="710"/>
      <c r="L192" s="518">
        <f>SUM(L187:L191)</f>
        <v>10.937150000000001</v>
      </c>
      <c r="M192" s="517"/>
      <c r="N192" s="519">
        <f>SUM(N187:N191)</f>
        <v>0.28654999999999997</v>
      </c>
      <c r="O192" s="520">
        <f>(+E187*F187)-(L192*F187)</f>
        <v>0</v>
      </c>
      <c r="P192" s="228" t="s">
        <v>15360</v>
      </c>
    </row>
    <row r="193" spans="3:16" ht="15.75" thickTop="1">
      <c r="C193" s="228"/>
    </row>
    <row r="194" spans="3:16" ht="15.75" thickBot="1">
      <c r="C194" s="228"/>
    </row>
    <row r="195" spans="3:16" ht="20.25" thickTop="1" thickBot="1">
      <c r="C195" s="1062" t="s">
        <v>17983</v>
      </c>
      <c r="D195" s="1047" t="s">
        <v>15558</v>
      </c>
      <c r="E195" s="1048"/>
      <c r="F195" s="1048"/>
      <c r="G195" s="1048"/>
      <c r="H195" s="752" t="s">
        <v>17980</v>
      </c>
      <c r="I195" s="753"/>
      <c r="J195" s="753"/>
      <c r="K195" s="753"/>
      <c r="L195" s="753"/>
      <c r="M195" s="753"/>
      <c r="N195" s="754"/>
      <c r="O195" s="228"/>
    </row>
    <row r="196" spans="3:16" ht="39" thickTop="1" thickBot="1">
      <c r="C196" s="1062"/>
      <c r="D196" s="698" t="s">
        <v>111</v>
      </c>
      <c r="E196" s="515" t="s">
        <v>17327</v>
      </c>
      <c r="F196" s="515"/>
      <c r="G196" s="515" t="s">
        <v>17331</v>
      </c>
      <c r="H196" s="699" t="s">
        <v>114</v>
      </c>
      <c r="I196" s="699" t="s">
        <v>115</v>
      </c>
      <c r="J196" s="699" t="s">
        <v>116</v>
      </c>
      <c r="K196" s="515" t="s">
        <v>17326</v>
      </c>
      <c r="L196" s="515" t="s">
        <v>17332</v>
      </c>
      <c r="M196" s="515" t="s">
        <v>118</v>
      </c>
      <c r="N196" s="516" t="s">
        <v>119</v>
      </c>
      <c r="O196" s="55"/>
      <c r="P196" s="228"/>
    </row>
    <row r="197" spans="3:16" ht="16.5" thickTop="1">
      <c r="C197" s="1062"/>
      <c r="D197" s="1025" t="s">
        <v>17860</v>
      </c>
      <c r="E197" s="1028">
        <v>8.59</v>
      </c>
      <c r="F197" s="1031">
        <v>8000</v>
      </c>
      <c r="G197" s="523">
        <v>19</v>
      </c>
      <c r="H197" s="712" t="str">
        <f>IF(G197="","",CHOOSE(G197,$D$223,$D$224,$D$225,$D$226,$D$227,$D$228,$D$229,$D$230,$D$231,$D$232,$D$233,$D$234,$D$235,$D$236,$D$237,$D$238,$D$239,$D$240,$D$241,$D$242,$D$243,$D$244,$D$245,$D$246,$D$247,$D$248,$D$249,$D$250))</f>
        <v>2620 - MŚ.BRZUCH.</v>
      </c>
      <c r="I197" s="578">
        <v>0.14499999999999999</v>
      </c>
      <c r="J197" s="701">
        <f>+F197*I197</f>
        <v>1160</v>
      </c>
      <c r="K197" s="702">
        <f>IF(G197="","",CHOOSE(G197,$E$223,$E$224,$E$225,$E$226,$E$227,$E$228,$E$229,$E$230,$E$231,$E$232,$E$233,$E$234,$E$235,$E$236,$E$237,$E$238,$E$239,$E$240,$E$241,$E$242,$E$243,$E$244,$E$245,$E$246,$E$247,$E$248,$E$249,$E$250))</f>
        <v>14.03</v>
      </c>
      <c r="L197" s="485">
        <f t="shared" ref="L197" si="48">IF(I197="","",I197*K197)</f>
        <v>2.0343499999999999</v>
      </c>
      <c r="M197" s="525">
        <f>IF(G197="","",CHOOSE(G197,$F$223,$F$224,$F$225,$F$226,$F$227,$F$228,$F$229,$F$230,$F$231,$F$232,$F$233,$F$234,$F$235,$F$236,$F$237,$F$238,$F$239,$F$240,$F$241,$F$242,$F$243,$F$244,$F$245,$F$246,$F$247,$F$248,$F$249,$F$250))</f>
        <v>7.0000000000000007E-2</v>
      </c>
      <c r="N197" s="486">
        <f>I197*M197</f>
        <v>1.0150000000000001E-2</v>
      </c>
      <c r="O197" s="526"/>
      <c r="P197" s="527"/>
    </row>
    <row r="198" spans="3:16" ht="15.75">
      <c r="C198" s="1062"/>
      <c r="D198" s="1026"/>
      <c r="E198" s="1053"/>
      <c r="F198" s="1054"/>
      <c r="G198" s="528">
        <v>11</v>
      </c>
      <c r="H198" s="713" t="str">
        <f>IF(G198="","",CHOOSE(G198,$D$223,$D$224,$D$225,$D$226,$D$227,$D$228,$D$229,$D$230,$D$231,$D$232,$D$233,$D$234,$D$235,$D$236,$D$237,$D$238,$D$239,$D$240,$D$241,$D$242,$D$243,$D$244,$D$245,$D$246,$D$247,$D$248,$D$249,$D$250))</f>
        <v>2670 - M-SO DROBNE KL2B</v>
      </c>
      <c r="I198" s="579">
        <v>0.28999999999999998</v>
      </c>
      <c r="J198" s="704">
        <f>+F197*I198</f>
        <v>2320</v>
      </c>
      <c r="K198" s="705">
        <f>IF(G198="","",CHOOSE(G198,$E$223,$E$224,$E$225,$E$226,$E$227,$E$228,$E$229,$E$230,$E$231,$E$232,$E$233,$E$234,$E$235,$E$236,$E$237,$E$238,$E$239,$E$240,$E$241,$E$242,$E$243,$E$244,$E$245,$E$246,$E$247,$E$248,$E$249,$E$250))</f>
        <v>9.4</v>
      </c>
      <c r="L198" s="484">
        <f>IF(I198="","",I198*K198)</f>
        <v>2.726</v>
      </c>
      <c r="M198" s="530">
        <f>IF(G198="","",CHOOSE(G198,$F$223,$F$224,$F$225,$F$226,$F$227,$F$228,$F$229,$F$230,$F$231,$F$232,$F$233,$F$234,$F$235,$F$236,$F$237,$F$238,$F$239,$F$240,$F$241,$F$242,$F$243,$F$244,$F$245,$F$246,$F$247,$F$248,$F$249,$F$250))</f>
        <v>0.4</v>
      </c>
      <c r="N198" s="487">
        <f>I198*M198</f>
        <v>0.11599999999999999</v>
      </c>
      <c r="O198" s="526"/>
      <c r="P198" s="527"/>
    </row>
    <row r="199" spans="3:16" ht="15.75">
      <c r="C199" s="1062"/>
      <c r="D199" s="1026"/>
      <c r="E199" s="1029"/>
      <c r="F199" s="1032"/>
      <c r="G199" s="528">
        <v>20</v>
      </c>
      <c r="H199" s="713" t="str">
        <f>IF(G199="","",CHOOSE(G199,$D$223,$D$224,$D$225,$D$226,$D$227,$D$228,$D$229,$D$230,$D$231,$D$232,$D$233,$D$234,$D$235,$D$236,$D$237,$D$238,$D$239,$D$240,$D$241,$D$242,$D$243,$D$244,$D$245,$D$246,$D$247,$D$248,$D$249,$D$250))</f>
        <v>2834 - PRZEPONA</v>
      </c>
      <c r="I199" s="579">
        <v>0.1</v>
      </c>
      <c r="J199" s="704">
        <f>+F197*I199</f>
        <v>800</v>
      </c>
      <c r="K199" s="705">
        <f>IF(G199="","",CHOOSE(G199,$E$223,$E$224,$E$225,$E$226,$E$227,$E$228,$E$229,$E$230,$E$231,$E$232,$E$233,$E$234,$E$235,$E$236,$E$237,$E$238,$E$239,$E$240,$E$241,$E$242,$E$243,$E$244,$E$245,$E$246,$E$247,$E$248,$E$249,$E$250))</f>
        <v>7</v>
      </c>
      <c r="L199" s="484">
        <f>IF(I199="","",I199*K199)</f>
        <v>0.70000000000000007</v>
      </c>
      <c r="M199" s="530">
        <f>IF(G199="","",CHOOSE(G199,$F$223,$F$224,$F$225,$F$226,$F$227,$F$228,$F$229,$F$230,$F$231,$F$232,$F$233,$F$234,$F$235,$F$236,$F$237,$F$238,$F$239,$F$240,$F$241,$F$242,$F$243,$F$244,$F$245,$F$246,$F$247,$F$248,$F$249,$F$250))</f>
        <v>0.2</v>
      </c>
      <c r="N199" s="487">
        <f>I199*M199</f>
        <v>2.0000000000000004E-2</v>
      </c>
      <c r="O199" s="526"/>
      <c r="P199" s="527"/>
    </row>
    <row r="200" spans="3:16" ht="15.75">
      <c r="C200" s="1062"/>
      <c r="D200" s="1026"/>
      <c r="E200" s="1029"/>
      <c r="F200" s="1032"/>
      <c r="G200" s="528">
        <v>15</v>
      </c>
      <c r="H200" s="713" t="str">
        <f>IF(G200="","",CHOOSE(G200,$D$223,$D$224,$D$225,$D$226,$D$227,$D$228,$D$229,$D$230,$D$231,$D$232,$D$233,$D$234,$D$235,$D$236,$D$237,$D$238,$D$239,$D$240,$D$241,$D$242,$D$243,$D$244,$D$245,$D$246,$D$247,$D$248,$D$249,$D$250))</f>
        <v>2685 - M-SO DROBNE KL4</v>
      </c>
      <c r="I200" s="580">
        <v>0.28000000000000003</v>
      </c>
      <c r="J200" s="704">
        <f>+F197*I200</f>
        <v>2240</v>
      </c>
      <c r="K200" s="705">
        <f>IF(G200="","",CHOOSE(G200,$E$223,$E$224,$E$225,$E$226,$E$227,$E$228,$E$229,$E$230,$E$231,$E$232,$E$233,$E$234,$E$235,$E$236,$E$237,$E$238,$E$239,$E$240,$E$241,$E$242,$E$243,$E$244,$E$245,$E$246,$E$247,$E$248,$E$249,$E$250))</f>
        <v>7</v>
      </c>
      <c r="L200" s="484">
        <f>IF(I200="","",I200*K200)</f>
        <v>1.9600000000000002</v>
      </c>
      <c r="M200" s="530">
        <f>IF(G200="","",CHOOSE(G200,$F$223,$F$224,$F$225,$F$226,$F$227,$F$228,$F$229,$F$230,$F$231,$F$232,$F$233,$F$234,$F$235,$F$236,$F$237,$F$238,$F$239,$F$240,$F$241,$F$242,$F$243,$F$244,$F$245,$F$246,$F$247,$F$248,$F$249,$F$250))</f>
        <v>0.35</v>
      </c>
      <c r="N200" s="582">
        <f>I200*M200</f>
        <v>9.8000000000000004E-2</v>
      </c>
      <c r="O200" s="526"/>
      <c r="P200" s="527"/>
    </row>
    <row r="201" spans="3:16" ht="15.75">
      <c r="C201" s="1062"/>
      <c r="D201" s="1026"/>
      <c r="E201" s="1029"/>
      <c r="F201" s="1032"/>
      <c r="G201" s="528">
        <v>24</v>
      </c>
      <c r="H201" s="713" t="str">
        <f>IF(G201="","",CHOOSE(G201,$D$223,$D$224,$D$225,$D$226,$D$227,$D$228,$D$229,$D$230,$D$231,$D$232,$D$233,$D$234,$D$235,$D$236,$D$237,$D$238,$D$239,$D$240,$D$241,$D$242,$D$243,$D$244,$D$245,$D$246,$D$247,$D$248,$D$249,$D$250))</f>
        <v>2710 - TŁUSZCZ DR.</v>
      </c>
      <c r="I201" s="580">
        <v>0.17</v>
      </c>
      <c r="J201" s="704">
        <f>+F197*I201</f>
        <v>1360</v>
      </c>
      <c r="K201" s="705">
        <f>IF(G201="","",CHOOSE(G201,$E$223,$E$224,$E$225,$E$226,$E$227,$E$228,$E$229,$E$230,$E$231,$E$232,$E$233,$E$234,$E$235,$E$236,$E$237,$E$238,$E$239,$E$240,$E$241,$E$242,$E$243,$E$244,$E$245,$E$246,$E$247,$E$248,$E$249,$E$250))</f>
        <v>3.5</v>
      </c>
      <c r="L201" s="484">
        <f t="shared" ref="L201:L202" si="49">IF(I201="","",I201*K201)</f>
        <v>0.59500000000000008</v>
      </c>
      <c r="M201" s="530">
        <f>IF(G201="","",CHOOSE(G201,$F$223,$F$224,$F$225,$F$226,$F$227,$F$228,$F$229,$F$230,$F$231,$F$232,$F$233,$F$234,$F$235,$F$236,$F$237,$F$238,$F$239,$F$240,$F$241,$F$242,$F$243,$F$244,$F$245,$F$246,$F$247,$F$248,$F$249,$F$250))</f>
        <v>0.78</v>
      </c>
      <c r="N201" s="487">
        <f t="shared" ref="N201:N202" si="50">I201*M201</f>
        <v>0.13260000000000002</v>
      </c>
      <c r="O201" s="526"/>
      <c r="P201" s="527"/>
    </row>
    <row r="202" spans="3:16" ht="16.5" thickBot="1">
      <c r="C202" s="1062"/>
      <c r="D202" s="1027"/>
      <c r="E202" s="1030"/>
      <c r="F202" s="1033"/>
      <c r="G202" s="531">
        <v>27</v>
      </c>
      <c r="H202" s="706" t="s">
        <v>17859</v>
      </c>
      <c r="I202" s="581">
        <v>1.4999999999999999E-2</v>
      </c>
      <c r="J202" s="707">
        <f>+F197*I202</f>
        <v>120</v>
      </c>
      <c r="K202" s="708">
        <f>IF(G202="","",CHOOSE(G202,$E$223,$E$224,$E$225,$E$226,$E$227,$E$228,$E$229,$E$230,$E$231,$E$232,$E$233,$E$234,$E$235,$E$236,$E$237,$E$238,$E$239,$E$240,$E$241,$E$242,$E$243,$E$244,$E$245,$E$246,$E$247,$E$248,$E$249))</f>
        <v>0</v>
      </c>
      <c r="L202" s="521">
        <f t="shared" si="49"/>
        <v>0</v>
      </c>
      <c r="M202" s="533"/>
      <c r="N202" s="488">
        <f t="shared" si="50"/>
        <v>0</v>
      </c>
      <c r="O202" s="1052" t="s">
        <v>120</v>
      </c>
      <c r="P202" s="1052"/>
    </row>
    <row r="203" spans="3:16" ht="17.25" thickTop="1" thickBot="1">
      <c r="C203" s="1062"/>
      <c r="D203" s="709"/>
      <c r="E203" s="517"/>
      <c r="F203" s="710"/>
      <c r="G203" s="710"/>
      <c r="H203" s="710"/>
      <c r="I203" s="711">
        <f>SUM(I197:I202)</f>
        <v>1</v>
      </c>
      <c r="J203" s="710">
        <f>SUM(J197:J202)</f>
        <v>8000</v>
      </c>
      <c r="K203" s="710"/>
      <c r="L203" s="518">
        <f>SUM(L197:L202)</f>
        <v>8.0153499999999998</v>
      </c>
      <c r="M203" s="517"/>
      <c r="N203" s="519">
        <f>SUM(N197:N202)</f>
        <v>0.37675000000000003</v>
      </c>
      <c r="O203" s="520">
        <f>(+E197*F197)-(L203*F197)</f>
        <v>4597.2000000000044</v>
      </c>
      <c r="P203" s="228" t="s">
        <v>15360</v>
      </c>
    </row>
    <row r="204" spans="3:16" ht="15.75" thickTop="1">
      <c r="C204" s="228"/>
    </row>
    <row r="205" spans="3:16" ht="15.75" thickBot="1">
      <c r="C205" s="228"/>
    </row>
    <row r="206" spans="3:16" ht="20.25" thickTop="1" thickBot="1">
      <c r="C206" s="1062" t="s">
        <v>17984</v>
      </c>
      <c r="D206" s="1042" t="s">
        <v>15554</v>
      </c>
      <c r="E206" s="1043"/>
      <c r="F206" s="1043"/>
      <c r="G206" s="1043"/>
      <c r="H206" s="696"/>
      <c r="I206" s="696"/>
      <c r="J206" s="696"/>
      <c r="K206" s="696"/>
      <c r="L206" s="696"/>
      <c r="M206" s="696"/>
      <c r="N206" s="697"/>
      <c r="O206" s="228"/>
    </row>
    <row r="207" spans="3:16" ht="39" thickTop="1" thickBot="1">
      <c r="C207" s="1062"/>
      <c r="D207" s="698" t="s">
        <v>111</v>
      </c>
      <c r="E207" s="515" t="s">
        <v>17327</v>
      </c>
      <c r="F207" s="515"/>
      <c r="G207" s="515" t="s">
        <v>17331</v>
      </c>
      <c r="H207" s="699" t="s">
        <v>114</v>
      </c>
      <c r="I207" s="699" t="s">
        <v>115</v>
      </c>
      <c r="J207" s="699" t="s">
        <v>116</v>
      </c>
      <c r="K207" s="515" t="s">
        <v>17326</v>
      </c>
      <c r="L207" s="515" t="s">
        <v>17332</v>
      </c>
      <c r="M207" s="515" t="s">
        <v>118</v>
      </c>
      <c r="N207" s="516" t="s">
        <v>119</v>
      </c>
      <c r="O207" s="55"/>
      <c r="P207" s="228"/>
    </row>
    <row r="208" spans="3:16" ht="16.5" thickTop="1">
      <c r="C208" s="1062"/>
      <c r="D208" s="1025" t="s">
        <v>17860</v>
      </c>
      <c r="E208" s="1028">
        <v>8.59</v>
      </c>
      <c r="F208" s="1031"/>
      <c r="G208" s="523">
        <v>19</v>
      </c>
      <c r="H208" s="712" t="str">
        <f>IF(G208="","",CHOOSE(G208,$D$223,$D$224,$D$225,$D$226,$D$227,$D$228,$D$229,$D$230,$D$231,$D$232,$D$233,$D$234,$D$235,$D$236,$D$237,$D$238,$D$239,$D$240,$D$241,$D$242,$D$243,$D$244,$D$245,$D$246,$D$247,$D$248,$D$249,$D$250))</f>
        <v>2620 - MŚ.BRZUCH.</v>
      </c>
      <c r="I208" s="578">
        <v>0.14499999999999999</v>
      </c>
      <c r="J208" s="701">
        <f>+F208*I208</f>
        <v>0</v>
      </c>
      <c r="K208" s="702">
        <f>IF(G208="","",CHOOSE(G208,$E$223,$E$224,$E$225,$E$226,$E$227,$E$228,$E$229,$E$230,$E$231,$E$232,$E$233,$E$234,$E$235,$E$236,$E$237,$E$238,$E$239,$E$240,$E$241,$E$242,$E$243,$E$244,$E$245,$E$246,$E$247,$E$248,$E$249,$E$250))</f>
        <v>14.03</v>
      </c>
      <c r="L208" s="485">
        <f t="shared" ref="L208:L213" si="51">IF(I208="","",I208*K208)</f>
        <v>2.0343499999999999</v>
      </c>
      <c r="M208" s="525">
        <f>IF(G208="","",CHOOSE(G208,$F$223,$F$224,$F$225,$F$226,$F$227,$F$228,$F$229,$F$230,$F$231,$F$232,$F$233,$F$234,$F$235,$F$236,$F$237,$F$238,$F$239,$F$240,$F$241,$F$242,$F$243,$F$244,$F$245,$F$246,$F$247,$F$248,$F$249,$F$250))</f>
        <v>7.0000000000000007E-2</v>
      </c>
      <c r="N208" s="486">
        <f>I208*M208</f>
        <v>1.0150000000000001E-2</v>
      </c>
      <c r="O208" s="526"/>
      <c r="P208" s="527"/>
    </row>
    <row r="209" spans="3:16" ht="15.75">
      <c r="C209" s="1062"/>
      <c r="D209" s="1026"/>
      <c r="E209" s="1053"/>
      <c r="F209" s="1054"/>
      <c r="G209" s="528">
        <v>11</v>
      </c>
      <c r="H209" s="713" t="str">
        <f>IF(G209="","",CHOOSE(G209,$D$223,$D$224,$D$225,$D$226,$D$227,$D$228,$D$229,$D$230,$D$231,$D$232,$D$233,$D$234,$D$235,$D$236,$D$237,$D$238,$D$239,$D$240,$D$241,$D$242,$D$243,$D$244,$D$245,$D$246,$D$247,$D$248,$D$249,$D$250))</f>
        <v>2670 - M-SO DROBNE KL2B</v>
      </c>
      <c r="I209" s="579">
        <v>0.28999999999999998</v>
      </c>
      <c r="J209" s="704">
        <f>+F208*I209</f>
        <v>0</v>
      </c>
      <c r="K209" s="705">
        <f>IF(G209="","",CHOOSE(G209,$E$223,$E$224,$E$225,$E$226,$E$227,$E$228,$E$229,$E$230,$E$231,$E$232,$E$233,$E$234,$E$235,$E$236,$E$237,$E$238,$E$239,$E$240,$E$241,$E$242,$E$243,$E$244,$E$245,$E$246,$E$247,$E$248,$E$249,$E$250))</f>
        <v>9.4</v>
      </c>
      <c r="L209" s="484">
        <f>IF(I209="","",I209*K209)</f>
        <v>2.726</v>
      </c>
      <c r="M209" s="530">
        <f>IF(G209="","",CHOOSE(G209,$F$223,$F$224,$F$225,$F$226,$F$227,$F$228,$F$229,$F$230,$F$231,$F$232,$F$233,$F$234,$F$235,$F$236,$F$237,$F$238,$F$239,$F$240,$F$241,$F$242,$F$243,$F$244,$F$245,$F$246,$F$247,$F$248,$F$249,$F$250))</f>
        <v>0.4</v>
      </c>
      <c r="N209" s="487">
        <f>I209*M209</f>
        <v>0.11599999999999999</v>
      </c>
      <c r="O209" s="526"/>
      <c r="P209" s="527"/>
    </row>
    <row r="210" spans="3:16" ht="15.6" customHeight="1">
      <c r="C210" s="1062"/>
      <c r="D210" s="1026"/>
      <c r="E210" s="1029"/>
      <c r="F210" s="1032"/>
      <c r="G210" s="528">
        <v>20</v>
      </c>
      <c r="H210" s="713" t="str">
        <f>IF(G210="","",CHOOSE(G210,$D$223,$D$224,$D$225,$D$226,$D$227,$D$228,$D$229,$D$230,$D$231,$D$232,$D$233,$D$234,$D$235,$D$236,$D$237,$D$238,$D$239,$D$240,$D$241,$D$242,$D$243,$D$244,$D$245,$D$246,$D$247,$D$248,$D$249,$D$250))</f>
        <v>2834 - PRZEPONA</v>
      </c>
      <c r="I210" s="579">
        <v>0.1</v>
      </c>
      <c r="J210" s="704">
        <f>+F208*I210</f>
        <v>0</v>
      </c>
      <c r="K210" s="705">
        <f>IF(G210="","",CHOOSE(G210,$E$223,$E$224,$E$225,$E$226,$E$227,$E$228,$E$229,$E$230,$E$231,$E$232,$E$233,$E$234,$E$235,$E$236,$E$237,$E$238,$E$239,$E$240,$E$241,$E$242,$E$243,$E$244,$E$245,$E$246,$E$247,$E$248,$E$249,$E$250))</f>
        <v>7</v>
      </c>
      <c r="L210" s="484">
        <f>IF(I210="","",I210*K210)</f>
        <v>0.70000000000000007</v>
      </c>
      <c r="M210" s="530">
        <f>IF(G210="","",CHOOSE(G210,$F$223,$F$224,$F$225,$F$226,$F$227,$F$228,$F$229,$F$230,$F$231,$F$232,$F$233,$F$234,$F$235,$F$236,$F$237,$F$238,$F$239,$F$240,$F$241,$F$242,$F$243,$F$244,$F$245,$F$246,$F$247,$F$248,$F$249,$F$250))</f>
        <v>0.2</v>
      </c>
      <c r="N210" s="487">
        <f>I210*M210</f>
        <v>2.0000000000000004E-2</v>
      </c>
      <c r="O210" s="526"/>
      <c r="P210" s="527"/>
    </row>
    <row r="211" spans="3:16" ht="15.75">
      <c r="C211" s="1062"/>
      <c r="D211" s="1026"/>
      <c r="E211" s="1029"/>
      <c r="F211" s="1032"/>
      <c r="G211" s="528">
        <v>15</v>
      </c>
      <c r="H211" s="713" t="str">
        <f>IF(G211="","",CHOOSE(G211,$D$223,$D$224,$D$225,$D$226,$D$227,$D$228,$D$229,$D$230,$D$231,$D$232,$D$233,$D$234,$D$235,$D$236,$D$237,$D$238,$D$239,$D$240,$D$241,$D$242,$D$243,$D$244,$D$245,$D$246,$D$247,$D$248,$D$249,$D$250))</f>
        <v>2685 - M-SO DROBNE KL4</v>
      </c>
      <c r="I211" s="580">
        <v>0.28000000000000003</v>
      </c>
      <c r="J211" s="704">
        <f>+F208*I211</f>
        <v>0</v>
      </c>
      <c r="K211" s="705">
        <f>IF(G211="","",CHOOSE(G211,$E$223,$E$224,$E$225,$E$226,$E$227,$E$228,$E$229,$E$230,$E$231,$E$232,$E$233,$E$234,$E$235,$E$236,$E$237,$E$238,$E$239,$E$240,$E$241,$E$242,$E$243,$E$244,$E$245,$E$246,$E$247,$E$248,$E$249,$E$250))</f>
        <v>7</v>
      </c>
      <c r="L211" s="484">
        <f>IF(I211="","",I211*K211)</f>
        <v>1.9600000000000002</v>
      </c>
      <c r="M211" s="530">
        <f>IF(G211="","",CHOOSE(G211,$F$223,$F$224,$F$225,$F$226,$F$227,$F$228,$F$229,$F$230,$F$231,$F$232,$F$233,$F$234,$F$235,$F$236,$F$237,$F$238,$F$239,$F$240,$F$241,$F$242,$F$243,$F$244,$F$245,$F$246,$F$247,$F$248,$F$249,$F$250))</f>
        <v>0.35</v>
      </c>
      <c r="N211" s="582">
        <f>I211*M211</f>
        <v>9.8000000000000004E-2</v>
      </c>
      <c r="O211" s="526"/>
      <c r="P211" s="527"/>
    </row>
    <row r="212" spans="3:16" ht="15.75">
      <c r="C212" s="1062"/>
      <c r="D212" s="1026"/>
      <c r="E212" s="1029"/>
      <c r="F212" s="1032"/>
      <c r="G212" s="528">
        <v>24</v>
      </c>
      <c r="H212" s="713" t="str">
        <f>IF(G212="","",CHOOSE(G212,$D$223,$D$224,$D$225,$D$226,$D$227,$D$228,$D$229,$D$230,$D$231,$D$232,$D$233,$D$234,$D$235,$D$236,$D$237,$D$238,$D$239,$D$240,$D$241,$D$242,$D$243,$D$244,$D$245,$D$246,$D$247,$D$248,$D$249,$D$250))</f>
        <v>2710 - TŁUSZCZ DR.</v>
      </c>
      <c r="I212" s="580">
        <v>0.17</v>
      </c>
      <c r="J212" s="704">
        <f>+F208*I212</f>
        <v>0</v>
      </c>
      <c r="K212" s="705">
        <f>IF(G212="","",CHOOSE(G212,$E$223,$E$224,$E$225,$E$226,$E$227,$E$228,$E$229,$E$230,$E$231,$E$232,$E$233,$E$234,$E$235,$E$236,$E$237,$E$238,$E$239,$E$240,$E$241,$E$242,$E$243,$E$244,$E$245,$E$246,$E$247,$E$248,$E$249,$E$250))</f>
        <v>3.5</v>
      </c>
      <c r="L212" s="484">
        <f t="shared" ref="L212" si="52">IF(I212="","",I212*K212)</f>
        <v>0.59500000000000008</v>
      </c>
      <c r="M212" s="530">
        <f>IF(G212="","",CHOOSE(G212,$F$223,$F$224,$F$225,$F$226,$F$227,$F$228,$F$229,$F$230,$F$231,$F$232,$F$233,$F$234,$F$235,$F$236,$F$237,$F$238,$F$239,$F$240,$F$241,$F$242,$F$243,$F$244,$F$245,$F$246,$F$247,$F$248,$F$249,$F$250))</f>
        <v>0.78</v>
      </c>
      <c r="N212" s="487">
        <f t="shared" ref="N212:N213" si="53">I212*M212</f>
        <v>0.13260000000000002</v>
      </c>
      <c r="O212" s="526"/>
      <c r="P212" s="527"/>
    </row>
    <row r="213" spans="3:16" ht="16.5" thickBot="1">
      <c r="C213" s="1062"/>
      <c r="D213" s="1027"/>
      <c r="E213" s="1030"/>
      <c r="F213" s="1033"/>
      <c r="G213" s="531">
        <v>27</v>
      </c>
      <c r="H213" s="706" t="s">
        <v>17859</v>
      </c>
      <c r="I213" s="581">
        <v>1.4999999999999999E-2</v>
      </c>
      <c r="J213" s="707">
        <f>+F208*I213</f>
        <v>0</v>
      </c>
      <c r="K213" s="708">
        <f>IF(G213="","",CHOOSE(G213,$E$223,$E$224,$E$225,$E$226,$E$227,$E$228,$E$229,$E$230,$E$231,$E$232,$E$233,$E$234,$E$235,$E$236,$E$237,$E$238,$E$239,$E$240,$E$241,$E$242,$E$243,$E$244,$E$245,$E$246,$E$247,$E$248,$E$249))</f>
        <v>0</v>
      </c>
      <c r="L213" s="521">
        <f t="shared" si="51"/>
        <v>0</v>
      </c>
      <c r="M213" s="533"/>
      <c r="N213" s="488">
        <f t="shared" si="53"/>
        <v>0</v>
      </c>
      <c r="O213" s="1052" t="s">
        <v>120</v>
      </c>
      <c r="P213" s="1052"/>
    </row>
    <row r="214" spans="3:16" ht="17.25" thickTop="1" thickBot="1">
      <c r="C214" s="1062"/>
      <c r="D214" s="709"/>
      <c r="E214" s="517"/>
      <c r="F214" s="710"/>
      <c r="G214" s="710"/>
      <c r="H214" s="710"/>
      <c r="I214" s="711">
        <f>SUM(I208:I213)</f>
        <v>1</v>
      </c>
      <c r="J214" s="710">
        <f>SUM(J208:J213)</f>
        <v>0</v>
      </c>
      <c r="K214" s="710"/>
      <c r="L214" s="518">
        <f>SUM(L208:L213)</f>
        <v>8.0153499999999998</v>
      </c>
      <c r="M214" s="517"/>
      <c r="N214" s="519">
        <f>SUM(N208:N213)</f>
        <v>0.37675000000000003</v>
      </c>
      <c r="O214" s="520">
        <f>(+E208*F208)-(L214*F208)</f>
        <v>0</v>
      </c>
      <c r="P214" s="228" t="s">
        <v>15360</v>
      </c>
    </row>
    <row r="215" spans="3:16" ht="15.75" thickTop="1">
      <c r="C215" s="228"/>
    </row>
    <row r="216" spans="3:16">
      <c r="C216" s="228"/>
    </row>
    <row r="217" spans="3:16" ht="15.75" thickBot="1">
      <c r="C217" s="228"/>
    </row>
    <row r="218" spans="3:16" ht="30" customHeight="1" thickTop="1" thickBot="1">
      <c r="C218" s="228"/>
      <c r="M218" s="89"/>
      <c r="N218" s="577" t="s">
        <v>17861</v>
      </c>
      <c r="O218" s="583">
        <f>F13+F22+F31+F48+F56+F64+F80+F97+F134+F116+F150+F158+F168+F187+F208+F4+F40+F88+F106+F126+F142+F177+F197+F72</f>
        <v>96200</v>
      </c>
    </row>
    <row r="219" spans="3:16" ht="16.5" thickTop="1" thickBot="1">
      <c r="C219" s="228"/>
    </row>
    <row r="220" spans="3:16" ht="27.75" thickTop="1" thickBot="1">
      <c r="M220" s="1059" t="s">
        <v>17337</v>
      </c>
      <c r="N220" s="1060"/>
      <c r="O220" s="584">
        <f>O17+O26+O35+O51+O67+O101+O137+O121+O153+O163+O172+O192+O214+O203+O182+O145+O129+O111+O92+O59+O43+O8+O83</f>
        <v>31803.300000000025</v>
      </c>
    </row>
    <row r="221" spans="3:16" ht="16.5" thickTop="1" thickBot="1"/>
    <row r="222" spans="3:16" ht="22.5" thickTop="1" thickBot="1">
      <c r="C222" s="763" t="s">
        <v>17333</v>
      </c>
      <c r="D222" s="1057" t="s">
        <v>17334</v>
      </c>
      <c r="E222" s="1058"/>
      <c r="F222" s="763" t="s">
        <v>17336</v>
      </c>
      <c r="G222" s="764" t="s">
        <v>17981</v>
      </c>
      <c r="H222" s="765" t="s">
        <v>17982</v>
      </c>
    </row>
    <row r="223" spans="3:16" ht="19.5" thickTop="1">
      <c r="C223" s="657">
        <v>1</v>
      </c>
      <c r="D223" s="658" t="s">
        <v>16313</v>
      </c>
      <c r="E223" s="659">
        <v>15.72</v>
      </c>
      <c r="F223" s="660">
        <v>8.1000000000000003E-2</v>
      </c>
      <c r="G223" s="661" cm="1">
        <f t="array" ref="G223:G251">SUMIF($H$2:$H$214,$D$223:$D$251,$J$2:$J$214)</f>
        <v>2820</v>
      </c>
      <c r="H223" s="759" cm="1">
        <f t="array" ref="H223:H251">SUMIF($H$40:$H$42,$D$223:$D$251,$J$40:$J$42)+SUMIF($H$88:$H$91,$D$223:$D$251,$J$88:$J$91)+SUMIF($H$106:$H$109,$D$223:$D$251,$J$106:$J$109)+SUMIF($H$126:$H$128,$D$223:$D$251,$J$126:$J$128)+SUMIF($H$4:$H$7,$D$223:$D$251,$J$4:$J$7)+SUMIF($H$142:$H$144,$D$223:$D$251,$J$142:$J$144)+SUMIF($H$158:$H$162,$D$223:$D$251,$J$158:$J$162)+SUMIF($H$197:$H$202,$D$223:$D$251,$J$197:$J$202)</f>
        <v>2820</v>
      </c>
    </row>
    <row r="224" spans="3:16" ht="18.75">
      <c r="C224" s="543">
        <v>2</v>
      </c>
      <c r="D224" s="544" t="s">
        <v>16024</v>
      </c>
      <c r="E224" s="536">
        <v>16.3</v>
      </c>
      <c r="F224" s="537">
        <v>0.06</v>
      </c>
      <c r="G224" s="662">
        <v>0</v>
      </c>
      <c r="H224" s="760">
        <v>0</v>
      </c>
    </row>
    <row r="225" spans="3:8" ht="18.75">
      <c r="C225" s="543">
        <v>3</v>
      </c>
      <c r="D225" s="544" t="s">
        <v>16004</v>
      </c>
      <c r="E225" s="536">
        <v>12.9</v>
      </c>
      <c r="F225" s="537">
        <v>0.2</v>
      </c>
      <c r="G225" s="662">
        <v>0</v>
      </c>
      <c r="H225" s="760">
        <v>0</v>
      </c>
    </row>
    <row r="226" spans="3:8" ht="18.75">
      <c r="C226" s="543">
        <v>4</v>
      </c>
      <c r="D226" s="544" t="s">
        <v>16048</v>
      </c>
      <c r="E226" s="767">
        <v>33573</v>
      </c>
      <c r="F226" s="537">
        <v>0.16</v>
      </c>
      <c r="G226" s="662">
        <v>0</v>
      </c>
      <c r="H226" s="760">
        <v>0</v>
      </c>
    </row>
    <row r="227" spans="3:8" ht="18.75">
      <c r="C227" s="543">
        <v>5</v>
      </c>
      <c r="D227" s="544" t="s">
        <v>16042</v>
      </c>
      <c r="E227" s="536">
        <v>12.9</v>
      </c>
      <c r="F227" s="537">
        <v>0.2</v>
      </c>
      <c r="G227" s="662">
        <v>0</v>
      </c>
      <c r="H227" s="760">
        <v>0</v>
      </c>
    </row>
    <row r="228" spans="3:8" ht="18.75">
      <c r="C228" s="543">
        <v>6</v>
      </c>
      <c r="D228" s="544" t="s">
        <v>16046</v>
      </c>
      <c r="E228" s="536">
        <v>13.5</v>
      </c>
      <c r="F228" s="537">
        <v>0.26</v>
      </c>
      <c r="G228" s="662">
        <v>0</v>
      </c>
      <c r="H228" s="760">
        <v>0</v>
      </c>
    </row>
    <row r="229" spans="3:8" ht="18.75">
      <c r="C229" s="543">
        <v>7</v>
      </c>
      <c r="D229" s="544" t="s">
        <v>16219</v>
      </c>
      <c r="E229" s="536">
        <v>14.6</v>
      </c>
      <c r="F229" s="537">
        <v>0.09</v>
      </c>
      <c r="G229" s="662">
        <v>8090</v>
      </c>
      <c r="H229" s="760">
        <v>3290</v>
      </c>
    </row>
    <row r="230" spans="3:8" ht="18.75">
      <c r="C230" s="543">
        <v>8</v>
      </c>
      <c r="D230" s="544" t="s">
        <v>16217</v>
      </c>
      <c r="E230" s="536">
        <v>14.6</v>
      </c>
      <c r="F230" s="537">
        <v>0.09</v>
      </c>
      <c r="G230" s="662">
        <v>0</v>
      </c>
      <c r="H230" s="760">
        <v>0</v>
      </c>
    </row>
    <row r="231" spans="3:8" ht="18.75">
      <c r="C231" s="543">
        <v>9</v>
      </c>
      <c r="D231" s="544" t="s">
        <v>16220</v>
      </c>
      <c r="E231" s="536">
        <v>12.9</v>
      </c>
      <c r="F231" s="537">
        <v>0.2</v>
      </c>
      <c r="G231" s="662">
        <v>40700</v>
      </c>
      <c r="H231" s="760">
        <v>40700</v>
      </c>
    </row>
    <row r="232" spans="3:8" ht="18.75">
      <c r="C232" s="543">
        <v>10</v>
      </c>
      <c r="D232" s="544" t="s">
        <v>16213</v>
      </c>
      <c r="E232" s="536">
        <v>10.5</v>
      </c>
      <c r="F232" s="537">
        <v>0.3</v>
      </c>
      <c r="G232" s="662">
        <v>0</v>
      </c>
      <c r="H232" s="760">
        <v>0</v>
      </c>
    </row>
    <row r="233" spans="3:8" ht="18.75">
      <c r="C233" s="543">
        <v>11</v>
      </c>
      <c r="D233" s="544" t="s">
        <v>16202</v>
      </c>
      <c r="E233" s="536">
        <v>9.4</v>
      </c>
      <c r="F233" s="537">
        <v>0.4</v>
      </c>
      <c r="G233" s="662">
        <v>15445</v>
      </c>
      <c r="H233" s="760">
        <v>15445</v>
      </c>
    </row>
    <row r="234" spans="3:8" ht="18.75">
      <c r="C234" s="543">
        <v>12</v>
      </c>
      <c r="D234" s="544" t="s">
        <v>16214</v>
      </c>
      <c r="E234" s="536">
        <v>7.6</v>
      </c>
      <c r="F234" s="537">
        <v>0.5</v>
      </c>
      <c r="G234" s="662">
        <v>0</v>
      </c>
      <c r="H234" s="760">
        <v>0</v>
      </c>
    </row>
    <row r="235" spans="3:8" ht="18.75">
      <c r="C235" s="543">
        <v>13</v>
      </c>
      <c r="D235" s="544" t="s">
        <v>16170</v>
      </c>
      <c r="E235" s="536">
        <v>12.7</v>
      </c>
      <c r="F235" s="537">
        <v>0.25</v>
      </c>
      <c r="G235" s="662">
        <v>5750</v>
      </c>
      <c r="H235" s="760">
        <v>5250</v>
      </c>
    </row>
    <row r="236" spans="3:8" ht="18.75">
      <c r="C236" s="543">
        <v>14</v>
      </c>
      <c r="D236" s="544" t="s">
        <v>16224</v>
      </c>
      <c r="E236" s="536">
        <v>12.2</v>
      </c>
      <c r="F236" s="537">
        <v>0.2</v>
      </c>
      <c r="G236" s="662">
        <v>5100</v>
      </c>
      <c r="H236" s="760">
        <v>5100</v>
      </c>
    </row>
    <row r="237" spans="3:8" ht="18.75">
      <c r="C237" s="543">
        <v>15</v>
      </c>
      <c r="D237" s="544" t="s">
        <v>16216</v>
      </c>
      <c r="E237" s="536">
        <v>7</v>
      </c>
      <c r="F237" s="537">
        <v>0.35</v>
      </c>
      <c r="G237" s="662">
        <v>7830</v>
      </c>
      <c r="H237" s="760">
        <v>7330</v>
      </c>
    </row>
    <row r="238" spans="3:8" ht="18.75">
      <c r="C238" s="543">
        <v>16</v>
      </c>
      <c r="D238" s="544" t="s">
        <v>16031</v>
      </c>
      <c r="E238" s="536">
        <v>13.77</v>
      </c>
      <c r="F238" s="537">
        <v>0.1</v>
      </c>
      <c r="G238" s="662">
        <v>0</v>
      </c>
      <c r="H238" s="760">
        <v>0</v>
      </c>
    </row>
    <row r="239" spans="3:8" ht="18.75">
      <c r="C239" s="543">
        <v>17</v>
      </c>
      <c r="D239" s="544" t="s">
        <v>16056</v>
      </c>
      <c r="E239" s="536">
        <v>13.04</v>
      </c>
      <c r="F239" s="537">
        <v>0.1</v>
      </c>
      <c r="G239" s="662">
        <v>0</v>
      </c>
      <c r="H239" s="760">
        <v>0</v>
      </c>
    </row>
    <row r="240" spans="3:8" ht="18.75">
      <c r="C240" s="543">
        <v>18</v>
      </c>
      <c r="D240" s="544" t="s">
        <v>16177</v>
      </c>
      <c r="E240" s="536">
        <v>7</v>
      </c>
      <c r="F240" s="537">
        <v>0.57999999999999996</v>
      </c>
      <c r="G240" s="662">
        <v>0</v>
      </c>
      <c r="H240" s="760">
        <v>0</v>
      </c>
    </row>
    <row r="241" spans="3:9" ht="18.75">
      <c r="C241" s="543">
        <v>19</v>
      </c>
      <c r="D241" s="544" t="s">
        <v>16028</v>
      </c>
      <c r="E241" s="536">
        <v>14.03</v>
      </c>
      <c r="F241" s="537">
        <v>7.0000000000000007E-2</v>
      </c>
      <c r="G241" s="662">
        <v>1160</v>
      </c>
      <c r="H241" s="760">
        <v>1160</v>
      </c>
    </row>
    <row r="242" spans="3:9" ht="18.75">
      <c r="C242" s="543">
        <v>20</v>
      </c>
      <c r="D242" s="544" t="s">
        <v>16172</v>
      </c>
      <c r="E242" s="536">
        <v>7</v>
      </c>
      <c r="F242" s="537">
        <v>0.2</v>
      </c>
      <c r="G242" s="662">
        <v>1100</v>
      </c>
      <c r="H242" s="760">
        <v>1100</v>
      </c>
    </row>
    <row r="243" spans="3:9" ht="18.75">
      <c r="C243" s="543">
        <v>21</v>
      </c>
      <c r="D243" s="544" t="s">
        <v>16240</v>
      </c>
      <c r="E243" s="536">
        <v>1.3</v>
      </c>
      <c r="F243" s="537"/>
      <c r="G243" s="662">
        <v>0</v>
      </c>
      <c r="H243" s="760">
        <v>0</v>
      </c>
    </row>
    <row r="244" spans="3:9" ht="18.75">
      <c r="C244" s="543">
        <v>22</v>
      </c>
      <c r="D244" s="544" t="s">
        <v>16245</v>
      </c>
      <c r="E244" s="536">
        <v>6.2</v>
      </c>
      <c r="F244" s="537">
        <v>0.78</v>
      </c>
      <c r="G244" s="662">
        <v>0</v>
      </c>
      <c r="H244" s="760">
        <v>0</v>
      </c>
    </row>
    <row r="245" spans="3:9" ht="18.75">
      <c r="C245" s="543">
        <v>23</v>
      </c>
      <c r="D245" s="544" t="s">
        <v>16252</v>
      </c>
      <c r="E245" s="536">
        <v>5</v>
      </c>
      <c r="F245" s="537">
        <v>0.78</v>
      </c>
      <c r="G245" s="662">
        <v>0</v>
      </c>
      <c r="H245" s="760">
        <v>0</v>
      </c>
    </row>
    <row r="246" spans="3:9" ht="18.75">
      <c r="C246" s="543">
        <v>24</v>
      </c>
      <c r="D246" s="544" t="s">
        <v>16247</v>
      </c>
      <c r="E246" s="536">
        <v>3.5</v>
      </c>
      <c r="F246" s="537">
        <v>0.78</v>
      </c>
      <c r="G246" s="662">
        <v>7395</v>
      </c>
      <c r="H246" s="760">
        <v>3195</v>
      </c>
    </row>
    <row r="247" spans="3:9" ht="18.75">
      <c r="C247" s="543">
        <v>25</v>
      </c>
      <c r="D247" s="544" t="s">
        <v>16243</v>
      </c>
      <c r="E247" s="536">
        <v>6.77</v>
      </c>
      <c r="F247" s="537">
        <v>0.43</v>
      </c>
      <c r="G247" s="662">
        <v>0</v>
      </c>
      <c r="H247" s="760">
        <v>0</v>
      </c>
    </row>
    <row r="248" spans="3:9" ht="18.75">
      <c r="C248" s="543">
        <v>26</v>
      </c>
      <c r="D248" s="544" t="s">
        <v>16241</v>
      </c>
      <c r="E248" s="536">
        <v>3.87</v>
      </c>
      <c r="F248" s="537">
        <v>0.43</v>
      </c>
      <c r="G248" s="662">
        <v>0</v>
      </c>
      <c r="H248" s="760">
        <v>0</v>
      </c>
    </row>
    <row r="249" spans="3:9" ht="18.75">
      <c r="C249" s="543">
        <v>27</v>
      </c>
      <c r="D249" s="544" t="s">
        <v>15359</v>
      </c>
      <c r="E249" s="536">
        <v>0</v>
      </c>
      <c r="F249" s="537">
        <v>0</v>
      </c>
      <c r="G249" s="662">
        <v>90</v>
      </c>
      <c r="H249" s="760">
        <v>90</v>
      </c>
    </row>
    <row r="250" spans="3:9" ht="19.5" thickBot="1">
      <c r="C250" s="545">
        <v>28</v>
      </c>
      <c r="D250" s="546" t="s">
        <v>17341</v>
      </c>
      <c r="E250" s="538">
        <v>7</v>
      </c>
      <c r="F250" s="539">
        <v>0.18</v>
      </c>
      <c r="G250" s="662">
        <v>600</v>
      </c>
      <c r="H250" s="760">
        <v>600</v>
      </c>
    </row>
    <row r="251" spans="3:9" ht="20.25" thickTop="1" thickBot="1">
      <c r="C251" s="622">
        <v>29</v>
      </c>
      <c r="D251" s="623" t="s">
        <v>17862</v>
      </c>
      <c r="E251" s="624">
        <v>7</v>
      </c>
      <c r="F251" s="625">
        <v>0.35</v>
      </c>
      <c r="G251" s="663">
        <v>0</v>
      </c>
      <c r="H251" s="761">
        <v>0</v>
      </c>
      <c r="I251" s="476"/>
    </row>
    <row r="252" spans="3:9" ht="16.5" thickTop="1">
      <c r="C252" s="476"/>
      <c r="F252" s="366" t="s">
        <v>93</v>
      </c>
      <c r="G252" s="366">
        <f>SUM(_xlfn.ANCHORARRAY(G223))</f>
        <v>96080</v>
      </c>
      <c r="I252" s="476"/>
    </row>
    <row r="253" spans="3:9">
      <c r="C253" s="476"/>
    </row>
    <row r="254" spans="3:9">
      <c r="C254" s="476"/>
    </row>
    <row r="255" spans="3:9">
      <c r="C255" s="476"/>
    </row>
    <row r="256" spans="3:9">
      <c r="C256" s="476"/>
    </row>
  </sheetData>
  <sheetProtection autoFilter="0"/>
  <autoFilter ref="C1:C256" xr:uid="{57AE88B3-F301-4302-BE8D-09092E93298C}"/>
  <mergeCells count="143">
    <mergeCell ref="C86:C92"/>
    <mergeCell ref="C78:C83"/>
    <mergeCell ref="C62:C67"/>
    <mergeCell ref="C11:C17"/>
    <mergeCell ref="C2:C8"/>
    <mergeCell ref="C54:C59"/>
    <mergeCell ref="C46:C51"/>
    <mergeCell ref="C38:C43"/>
    <mergeCell ref="C29:C35"/>
    <mergeCell ref="C20:C26"/>
    <mergeCell ref="C132:C137"/>
    <mergeCell ref="C124:C129"/>
    <mergeCell ref="C114:C121"/>
    <mergeCell ref="C104:C111"/>
    <mergeCell ref="C206:C214"/>
    <mergeCell ref="C195:C203"/>
    <mergeCell ref="C185:C192"/>
    <mergeCell ref="C175:C182"/>
    <mergeCell ref="C95:C101"/>
    <mergeCell ref="D195:G195"/>
    <mergeCell ref="D197:D202"/>
    <mergeCell ref="E197:E202"/>
    <mergeCell ref="F197:F202"/>
    <mergeCell ref="O202:P202"/>
    <mergeCell ref="C166:C172"/>
    <mergeCell ref="C156:C163"/>
    <mergeCell ref="C148:C153"/>
    <mergeCell ref="C140:C145"/>
    <mergeCell ref="D166:G166"/>
    <mergeCell ref="D156:G156"/>
    <mergeCell ref="O162:P162"/>
    <mergeCell ref="O191:P191"/>
    <mergeCell ref="D222:E222"/>
    <mergeCell ref="M220:N220"/>
    <mergeCell ref="D168:D171"/>
    <mergeCell ref="E168:E171"/>
    <mergeCell ref="F168:F171"/>
    <mergeCell ref="O136:P136"/>
    <mergeCell ref="D116:D120"/>
    <mergeCell ref="E116:E120"/>
    <mergeCell ref="F116:F120"/>
    <mergeCell ref="O120:P120"/>
    <mergeCell ref="D150:D152"/>
    <mergeCell ref="E150:E152"/>
    <mergeCell ref="F150:F152"/>
    <mergeCell ref="O152:P152"/>
    <mergeCell ref="D158:D162"/>
    <mergeCell ref="E158:E162"/>
    <mergeCell ref="F158:F162"/>
    <mergeCell ref="O171:P171"/>
    <mergeCell ref="D208:D213"/>
    <mergeCell ref="O213:P213"/>
    <mergeCell ref="D206:G206"/>
    <mergeCell ref="D185:G185"/>
    <mergeCell ref="E208:E213"/>
    <mergeCell ref="F208:F213"/>
    <mergeCell ref="D2:G2"/>
    <mergeCell ref="D4:D7"/>
    <mergeCell ref="O16:P16"/>
    <mergeCell ref="D22:D25"/>
    <mergeCell ref="E22:E25"/>
    <mergeCell ref="E4:E7"/>
    <mergeCell ref="F4:F7"/>
    <mergeCell ref="O7:P7"/>
    <mergeCell ref="D38:G38"/>
    <mergeCell ref="O25:P25"/>
    <mergeCell ref="D20:G20"/>
    <mergeCell ref="D11:G11"/>
    <mergeCell ref="D13:D16"/>
    <mergeCell ref="E13:E16"/>
    <mergeCell ref="F13:F16"/>
    <mergeCell ref="F22:F25"/>
    <mergeCell ref="O34:P34"/>
    <mergeCell ref="D29:G29"/>
    <mergeCell ref="O82:P82"/>
    <mergeCell ref="F64:F66"/>
    <mergeCell ref="O66:P66"/>
    <mergeCell ref="D31:D34"/>
    <mergeCell ref="E31:E34"/>
    <mergeCell ref="F31:F34"/>
    <mergeCell ref="D64:D66"/>
    <mergeCell ref="E64:E66"/>
    <mergeCell ref="D40:D42"/>
    <mergeCell ref="E40:E42"/>
    <mergeCell ref="F40:F42"/>
    <mergeCell ref="O42:P42"/>
    <mergeCell ref="D78:G78"/>
    <mergeCell ref="D62:G62"/>
    <mergeCell ref="E48:E50"/>
    <mergeCell ref="F48:F50"/>
    <mergeCell ref="D48:D50"/>
    <mergeCell ref="D46:G46"/>
    <mergeCell ref="O50:P50"/>
    <mergeCell ref="O58:P58"/>
    <mergeCell ref="D54:G54"/>
    <mergeCell ref="O74:P74"/>
    <mergeCell ref="O110:P110"/>
    <mergeCell ref="D148:G148"/>
    <mergeCell ref="E97:E100"/>
    <mergeCell ref="F97:F100"/>
    <mergeCell ref="F126:F128"/>
    <mergeCell ref="E187:E191"/>
    <mergeCell ref="F187:F191"/>
    <mergeCell ref="D126:D128"/>
    <mergeCell ref="E126:E128"/>
    <mergeCell ref="D187:D191"/>
    <mergeCell ref="D175:G175"/>
    <mergeCell ref="D177:D181"/>
    <mergeCell ref="E177:E181"/>
    <mergeCell ref="F177:F181"/>
    <mergeCell ref="O181:P181"/>
    <mergeCell ref="D114:G114"/>
    <mergeCell ref="O128:P128"/>
    <mergeCell ref="D124:G124"/>
    <mergeCell ref="D140:G140"/>
    <mergeCell ref="D142:D144"/>
    <mergeCell ref="E142:E144"/>
    <mergeCell ref="F142:F144"/>
    <mergeCell ref="O144:P144"/>
    <mergeCell ref="D132:G132"/>
    <mergeCell ref="D134:D136"/>
    <mergeCell ref="E134:E136"/>
    <mergeCell ref="F134:F136"/>
    <mergeCell ref="D88:D91"/>
    <mergeCell ref="E80:E82"/>
    <mergeCell ref="F80:F82"/>
    <mergeCell ref="D95:G95"/>
    <mergeCell ref="E56:E58"/>
    <mergeCell ref="F56:F58"/>
    <mergeCell ref="D104:G104"/>
    <mergeCell ref="D106:D110"/>
    <mergeCell ref="D97:D100"/>
    <mergeCell ref="D56:D58"/>
    <mergeCell ref="E106:E110"/>
    <mergeCell ref="F106:F110"/>
    <mergeCell ref="E88:E91"/>
    <mergeCell ref="F88:F91"/>
    <mergeCell ref="D80:D82"/>
    <mergeCell ref="D86:G86"/>
    <mergeCell ref="D70:G70"/>
    <mergeCell ref="D72:D74"/>
    <mergeCell ref="E72:E74"/>
    <mergeCell ref="F72:F74"/>
  </mergeCells>
  <conditionalFormatting sqref="O17">
    <cfRule type="cellIs" dxfId="287" priority="32" operator="lessThan">
      <formula>0</formula>
    </cfRule>
  </conditionalFormatting>
  <conditionalFormatting sqref="O26">
    <cfRule type="cellIs" dxfId="286" priority="30" operator="lessThan">
      <formula>0</formula>
    </cfRule>
  </conditionalFormatting>
  <conditionalFormatting sqref="O35">
    <cfRule type="cellIs" dxfId="285" priority="27" operator="lessThan">
      <formula>0</formula>
    </cfRule>
  </conditionalFormatting>
  <conditionalFormatting sqref="O51">
    <cfRule type="cellIs" dxfId="284" priority="24" operator="lessThan">
      <formula>0</formula>
    </cfRule>
  </conditionalFormatting>
  <conditionalFormatting sqref="O67:O69">
    <cfRule type="cellIs" dxfId="283" priority="22" operator="lessThan">
      <formula>0</formula>
    </cfRule>
  </conditionalFormatting>
  <conditionalFormatting sqref="O101">
    <cfRule type="cellIs" dxfId="282" priority="21" operator="lessThan">
      <formula>0</formula>
    </cfRule>
  </conditionalFormatting>
  <conditionalFormatting sqref="O137:O139 O146">
    <cfRule type="cellIs" dxfId="281" priority="20" operator="lessThan">
      <formula>0</formula>
    </cfRule>
  </conditionalFormatting>
  <conditionalFormatting sqref="O121">
    <cfRule type="cellIs" dxfId="280" priority="19" operator="lessThan">
      <formula>0</formula>
    </cfRule>
  </conditionalFormatting>
  <conditionalFormatting sqref="O153">
    <cfRule type="cellIs" dxfId="279" priority="18" operator="lessThan">
      <formula>0</formula>
    </cfRule>
  </conditionalFormatting>
  <conditionalFormatting sqref="O163">
    <cfRule type="cellIs" dxfId="278" priority="17" operator="lessThan">
      <formula>0</formula>
    </cfRule>
  </conditionalFormatting>
  <conditionalFormatting sqref="O172">
    <cfRule type="cellIs" dxfId="277" priority="16" operator="lessThan">
      <formula>0</formula>
    </cfRule>
  </conditionalFormatting>
  <conditionalFormatting sqref="O83">
    <cfRule type="cellIs" dxfId="276" priority="15" operator="lessThan">
      <formula>0</formula>
    </cfRule>
  </conditionalFormatting>
  <conditionalFormatting sqref="O59">
    <cfRule type="cellIs" dxfId="275" priority="13" operator="lessThan">
      <formula>0</formula>
    </cfRule>
  </conditionalFormatting>
  <conditionalFormatting sqref="O192">
    <cfRule type="cellIs" dxfId="274" priority="12" operator="lessThan">
      <formula>0</formula>
    </cfRule>
  </conditionalFormatting>
  <conditionalFormatting sqref="O214">
    <cfRule type="cellIs" dxfId="273" priority="11" operator="lessThan">
      <formula>0</formula>
    </cfRule>
  </conditionalFormatting>
  <conditionalFormatting sqref="O8">
    <cfRule type="cellIs" dxfId="272" priority="10" operator="lessThan">
      <formula>0</formula>
    </cfRule>
  </conditionalFormatting>
  <conditionalFormatting sqref="O43">
    <cfRule type="cellIs" dxfId="271" priority="9" operator="lessThan">
      <formula>0</formula>
    </cfRule>
  </conditionalFormatting>
  <conditionalFormatting sqref="O92:O93">
    <cfRule type="cellIs" dxfId="270" priority="8" operator="lessThan">
      <formula>0</formula>
    </cfRule>
  </conditionalFormatting>
  <conditionalFormatting sqref="O111">
    <cfRule type="cellIs" dxfId="269" priority="7" operator="lessThan">
      <formula>0</formula>
    </cfRule>
  </conditionalFormatting>
  <conditionalFormatting sqref="O129">
    <cfRule type="cellIs" dxfId="268" priority="6" operator="lessThan">
      <formula>0</formula>
    </cfRule>
  </conditionalFormatting>
  <conditionalFormatting sqref="O145">
    <cfRule type="cellIs" dxfId="267" priority="5" operator="lessThan">
      <formula>0</formula>
    </cfRule>
  </conditionalFormatting>
  <conditionalFormatting sqref="O182:O183">
    <cfRule type="cellIs" dxfId="266" priority="3" operator="lessThan">
      <formula>0</formula>
    </cfRule>
  </conditionalFormatting>
  <conditionalFormatting sqref="O203">
    <cfRule type="cellIs" dxfId="265" priority="2" operator="lessThan">
      <formula>0</formula>
    </cfRule>
  </conditionalFormatting>
  <conditionalFormatting sqref="O75">
    <cfRule type="cellIs" dxfId="264" priority="1" operator="less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DC71-11E2-417D-897A-872A8B75FBB1}">
  <sheetPr codeName="Arkusz2">
    <pageSetUpPr fitToPage="1"/>
  </sheetPr>
  <dimension ref="A1:AV176"/>
  <sheetViews>
    <sheetView topLeftCell="A66" zoomScale="60" zoomScaleNormal="60" zoomScaleSheetLayoutView="66" workbookViewId="0">
      <selection activeCell="D19" sqref="D19"/>
    </sheetView>
  </sheetViews>
  <sheetFormatPr defaultRowHeight="15" outlineLevelCol="1"/>
  <cols>
    <col min="2" max="2" width="11.5703125" customWidth="1"/>
    <col min="3" max="3" width="19.5703125" customWidth="1"/>
    <col min="4" max="4" width="57.42578125" customWidth="1"/>
    <col min="5" max="5" width="14.5703125" customWidth="1"/>
    <col min="6" max="6" width="11.7109375" customWidth="1"/>
    <col min="7" max="7" width="9.5703125" customWidth="1"/>
    <col min="8" max="8" width="10.5703125" customWidth="1"/>
    <col min="9" max="9" width="29.5703125" customWidth="1"/>
    <col min="10" max="10" width="28" customWidth="1"/>
    <col min="11" max="11" width="18.42578125" customWidth="1"/>
    <col min="12" max="12" width="21.5703125" customWidth="1"/>
    <col min="13" max="13" width="21" customWidth="1"/>
    <col min="14" max="14" width="16.42578125" customWidth="1"/>
    <col min="15" max="15" width="16.5703125" customWidth="1"/>
    <col min="16" max="17" width="12.42578125" customWidth="1"/>
    <col min="18" max="18" width="14.5703125" customWidth="1"/>
    <col min="19" max="19" width="14" customWidth="1"/>
    <col min="20" max="22" width="14.42578125" customWidth="1"/>
    <col min="23" max="23" width="9.5703125" customWidth="1"/>
    <col min="24" max="25" width="8.5703125" customWidth="1"/>
    <col min="26" max="26" width="9.42578125" customWidth="1"/>
    <col min="27" max="27" width="10.5703125" customWidth="1"/>
    <col min="28" max="28" width="6" customWidth="1"/>
    <col min="29" max="29" width="3.42578125" customWidth="1"/>
    <col min="30" max="32" width="9.5703125" customWidth="1"/>
    <col min="33" max="35" width="9.42578125" customWidth="1" outlineLevel="1"/>
    <col min="36" max="36" width="9.42578125" customWidth="1"/>
    <col min="37" max="45" width="8.5703125" customWidth="1"/>
    <col min="46" max="47" width="10.42578125" customWidth="1"/>
    <col min="48" max="49" width="8.5703125" customWidth="1"/>
  </cols>
  <sheetData>
    <row r="1" spans="1:48" ht="15" customHeight="1">
      <c r="F1" s="1065" t="s">
        <v>249</v>
      </c>
      <c r="G1" s="1065"/>
      <c r="H1" s="1065"/>
      <c r="I1" s="1065"/>
    </row>
    <row r="2" spans="1:48">
      <c r="F2" s="1065"/>
      <c r="G2" s="1065"/>
      <c r="H2" s="1065"/>
      <c r="I2" s="1065"/>
      <c r="O2" s="233"/>
      <c r="P2" s="233"/>
      <c r="Q2" s="233"/>
      <c r="R2" s="233"/>
      <c r="S2" s="233"/>
      <c r="T2" s="233"/>
      <c r="U2" s="233"/>
    </row>
    <row r="3" spans="1:48" ht="17.850000000000001" customHeight="1" thickBot="1">
      <c r="F3" s="1065"/>
      <c r="G3" s="1065"/>
      <c r="H3" s="1065"/>
      <c r="I3" s="1065"/>
      <c r="O3" s="233"/>
      <c r="P3" s="406" t="s">
        <v>18801</v>
      </c>
      <c r="Q3" s="233"/>
      <c r="R3" s="406" t="s">
        <v>18802</v>
      </c>
      <c r="S3" s="233"/>
      <c r="T3" s="652" t="s">
        <v>18970</v>
      </c>
      <c r="U3" s="233"/>
    </row>
    <row r="4" spans="1:48" ht="20.25" thickTop="1" thickBot="1">
      <c r="A4" s="33">
        <f>SUMIF(PLAN_P!$B$5:$B$215,$W4,PLAN_P!H$5:H$215)+SUMIF(PLAN_P!$B$5:$B$215,$X4,PLAN_P!H$5:H$215)+SUMIF(PLAN_P!$B$5:$B$215,$Y4,PLAN_P!H$5:H$215)</f>
        <v>0</v>
      </c>
      <c r="B4" t="s">
        <v>14679</v>
      </c>
      <c r="E4" s="234" t="s">
        <v>18971</v>
      </c>
      <c r="F4" s="121">
        <f>IF($E$4="x",0,IF($E$4="d",AK4,IF((A4-E4)&lt;0,0,A4-E4)))</f>
        <v>0</v>
      </c>
      <c r="G4" s="32">
        <f>SUMIF(PLAN_P!$B$5:$B$215,W4,PLAN_P!I$5:I$215)+SUMIF(PLAN_P!$B$5:$B$215,X4,PLAN_P!I$5:I$215)+SUMIF(PLAN_P!$B$5:$B$215,Y4,PLAN_P!I$5:I$215)</f>
        <v>0</v>
      </c>
      <c r="H4" s="32">
        <f>SUMIF(PLAN_P!$B$5:$B$215,W4,PLAN_P!J$5:J$215)+SUMIF(PLAN_P!$B$5:$B$215,X4,PLAN_P!J$5:J$215)+SUMIF(PLAN_P!$B$5:$B$215,Y4,PLAN_P!J$5:J$215)</f>
        <v>0</v>
      </c>
      <c r="J4" s="94">
        <v>45392</v>
      </c>
      <c r="L4" s="90" t="s">
        <v>182</v>
      </c>
      <c r="M4" s="90"/>
      <c r="O4" s="278"/>
      <c r="P4" s="569"/>
      <c r="Q4" s="278"/>
      <c r="R4" s="278"/>
      <c r="S4" s="278"/>
      <c r="T4" s="278"/>
      <c r="U4" s="278"/>
      <c r="W4" s="1064" t="s">
        <v>171</v>
      </c>
      <c r="X4" s="1064"/>
      <c r="Y4" s="1064"/>
      <c r="Z4" s="1064"/>
      <c r="AA4" s="1064"/>
      <c r="AB4" s="1064"/>
      <c r="AC4" s="1064"/>
      <c r="AD4" s="1064"/>
      <c r="AE4" s="1064"/>
      <c r="AF4" s="1064"/>
      <c r="AG4" s="1064"/>
      <c r="AH4" s="1064"/>
      <c r="AI4" s="1064"/>
      <c r="AR4" s="1067" t="s">
        <v>346</v>
      </c>
      <c r="AS4" s="1001"/>
    </row>
    <row r="5" spans="1:48" ht="17.25" thickTop="1" thickBot="1">
      <c r="A5" t="s">
        <v>189</v>
      </c>
      <c r="B5" s="8" t="s">
        <v>175</v>
      </c>
      <c r="C5" s="500" t="s">
        <v>68</v>
      </c>
      <c r="D5" s="501" t="s">
        <v>69</v>
      </c>
      <c r="E5" s="502" t="s">
        <v>124</v>
      </c>
      <c r="F5" s="495" t="s">
        <v>84</v>
      </c>
      <c r="G5" s="495" t="s">
        <v>85</v>
      </c>
      <c r="H5" s="495" t="s">
        <v>86</v>
      </c>
      <c r="I5" s="496" t="s">
        <v>17320</v>
      </c>
      <c r="J5" s="6" t="s">
        <v>69</v>
      </c>
      <c r="K5" s="7" t="s">
        <v>87</v>
      </c>
      <c r="L5" s="7" t="s">
        <v>204</v>
      </c>
      <c r="M5" s="7" t="s">
        <v>17979</v>
      </c>
      <c r="N5" s="7" t="s">
        <v>91</v>
      </c>
      <c r="O5" s="7" t="s">
        <v>15966</v>
      </c>
      <c r="P5" s="572" t="s">
        <v>218</v>
      </c>
      <c r="Q5" s="7" t="s">
        <v>92</v>
      </c>
      <c r="R5" s="572" t="s">
        <v>219</v>
      </c>
      <c r="S5" s="653" t="s">
        <v>89</v>
      </c>
      <c r="T5" s="656" t="s">
        <v>220</v>
      </c>
      <c r="U5" s="654" t="s">
        <v>90</v>
      </c>
      <c r="V5" s="573" t="s">
        <v>203</v>
      </c>
      <c r="AK5" t="s">
        <v>250</v>
      </c>
      <c r="AL5" s="1066" t="s">
        <v>327</v>
      </c>
      <c r="AM5" s="1066"/>
      <c r="AN5" s="1066"/>
      <c r="AO5" s="1066"/>
      <c r="AQ5" s="259" t="s">
        <v>338</v>
      </c>
      <c r="AR5" t="s">
        <v>125</v>
      </c>
      <c r="AS5" t="s">
        <v>361</v>
      </c>
      <c r="AT5" s="237" t="s">
        <v>350</v>
      </c>
      <c r="AU5" s="270" t="s">
        <v>357</v>
      </c>
    </row>
    <row r="6" spans="1:48" ht="24.75" thickTop="1" thickBot="1">
      <c r="A6" s="33">
        <f>SUMIF(IND_PLAN_BAZA,$W7,IL_PL_0)+SUMIF(IND_PLAN_BAZA,$X7,IL_PL_0)+SUMIF(IND_PLAN_BAZA,$Y7,IL_PL_0)</f>
        <v>0</v>
      </c>
      <c r="B6" s="43" t="str">
        <f>IFERROR(VLOOKUP(C6,Receptury_z!$A:$B,2,0),"Brak w bazie")</f>
        <v>ON</v>
      </c>
      <c r="C6" s="9">
        <v>6068</v>
      </c>
      <c r="D6" s="861" t="s">
        <v>17</v>
      </c>
      <c r="E6" s="869">
        <f>IF(OR($E$4="x",$E$4="d"),0,AT7)</f>
        <v>0</v>
      </c>
      <c r="F6" s="867">
        <f>IF($E$4="x",0,IF($E$4="d",AK7,IF(AV7&gt;1,VLOOKUP(C6,Konfiguracja!$M$60:$T$148,8,0),IF((A6-E6)&lt;0,0,A6-E6))))</f>
        <v>0</v>
      </c>
      <c r="G6" s="202">
        <f>SUMIF(IND_PLAN_BAZA,$W7,IL_PL_1)+SUMIF(IND_PLAN_BAZA,$X7,IL_PL_1)+SUMIF(IND_PLAN_BAZA,$Y7,IL_PL_1)</f>
        <v>0</v>
      </c>
      <c r="H6" s="497">
        <f>SUMIF(IND_PLAN_BAZA,W7,IL_PL_2)+SUMIF(IND_PLAN_BAZA,X7,IL_PL_2)+SUMIF(IND_PLAN_BAZA,Y7,IL_PL_2)</f>
        <v>0</v>
      </c>
      <c r="I6">
        <v>1624</v>
      </c>
      <c r="J6" s="206" t="s">
        <v>88</v>
      </c>
      <c r="K6" s="748">
        <v>102.5</v>
      </c>
      <c r="L6" s="220"/>
      <c r="M6" s="207"/>
      <c r="N6" s="207"/>
      <c r="O6" s="207"/>
      <c r="P6" s="639">
        <f ca="1">AD6</f>
        <v>0</v>
      </c>
      <c r="Q6" s="614">
        <f t="shared" ref="Q6:Q7" ca="1" si="0">(K6+N6+O6+L6+M6)-P6</f>
        <v>102.5</v>
      </c>
      <c r="R6" s="639">
        <f ca="1">AE6</f>
        <v>0</v>
      </c>
      <c r="S6" s="614">
        <f ca="1">Q6-R6</f>
        <v>102.5</v>
      </c>
      <c r="T6" s="655">
        <f ca="1">AF6</f>
        <v>0</v>
      </c>
      <c r="U6" s="640">
        <f ca="1">S6-AF6</f>
        <v>102.5</v>
      </c>
      <c r="V6" s="254">
        <f ca="1">R6+T6</f>
        <v>0</v>
      </c>
      <c r="W6">
        <f>IF(LEN(C13)&gt;4,9999,C13)</f>
        <v>6406</v>
      </c>
      <c r="X6">
        <f>IF(LEN(C13)&gt;4,9999,0)</f>
        <v>0</v>
      </c>
      <c r="Y6">
        <f>IF(LEN(C13)&gt;4,9999,0)</f>
        <v>0</v>
      </c>
      <c r="Z6">
        <f ca="1">VLOOKUP($J6,Konfiguracja!$B$3:$E$49,2,0)</f>
        <v>118</v>
      </c>
      <c r="AA6">
        <f ca="1">VLOOKUP($J6,Konfiguracja!$B$3:$E$49,3,0)</f>
        <v>119</v>
      </c>
      <c r="AB6">
        <f ca="1">VLOOKUP($J6,Konfiguracja!$B$3:$E$49,4,0)</f>
        <v>120</v>
      </c>
      <c r="AC6" t="s">
        <v>177</v>
      </c>
      <c r="AD6" s="630">
        <f ca="1">IFERROR(VLOOKUP($AC6,'Receptury '!$D$100:$IA$100,Z6,0),0)</f>
        <v>0</v>
      </c>
      <c r="AE6" s="631">
        <f ca="1">IFERROR(VLOOKUP($AC6,'Receptury '!$D$100:$IA$100,AA6,0),0)</f>
        <v>0</v>
      </c>
      <c r="AF6" s="632">
        <f ca="1">IFERROR(VLOOKUP($AC6,'Receptury '!$D$100:$IA$100,AB6,0),0)</f>
        <v>0</v>
      </c>
      <c r="AG6" s="88">
        <f ca="1">P6-AD6</f>
        <v>0</v>
      </c>
      <c r="AH6" s="88">
        <f ca="1">R6-AE6</f>
        <v>0</v>
      </c>
      <c r="AI6" s="88">
        <f ca="1">T6-AF6</f>
        <v>0</v>
      </c>
      <c r="AJ6">
        <v>37643.490010000001</v>
      </c>
      <c r="AK6">
        <f>IF(IFERROR(VLOOKUP(W6,DROBIE,1,0),0),A13,0)</f>
        <v>0</v>
      </c>
      <c r="AL6" s="247">
        <f ca="1">IFERROR(VLOOKUP($I45,Konfiguracja!$M:$U,9,0),0)</f>
        <v>0</v>
      </c>
      <c r="AM6" s="248">
        <f ca="1">IFERROR(VLOOKUP($I45,Konfiguracja!$M:$U,6,0),0)</f>
        <v>0</v>
      </c>
      <c r="AN6" s="248">
        <f ca="1">IFERROR(VLOOKUP($I45,Konfiguracja!$M:$U,7,0),0)</f>
        <v>0</v>
      </c>
      <c r="AO6" s="249">
        <f ca="1">IFERROR(VLOOKUP($I45,Konfiguracja!$M:$U,8,0),0)</f>
        <v>0</v>
      </c>
      <c r="AQ6" s="258">
        <f>IFERROR(VLOOKUP($I6,Konfiguracja!M:AF,16,0),0)</f>
        <v>102.5</v>
      </c>
      <c r="AR6">
        <f>IFERROR(VLOOKUP(C13,Receptury_z!$A:$C,3,0),0)</f>
        <v>5274</v>
      </c>
      <c r="AS6" s="256">
        <f>SUMIF(TPS_mięsa!$Q$2:$Q$300,AR6,TPS_mięsa!$G$2:$G$300)/1000</f>
        <v>6</v>
      </c>
      <c r="AT6" s="268">
        <f ca="1">VLOOKUP(AR6,Konfiguracja!$N$60:$AC$148,16,0)/1000</f>
        <v>6</v>
      </c>
      <c r="AU6" s="270">
        <f>IFERROR(VLOOKUP(I6,Konfiguracja!$M$3:$AM$57,26,0),0)</f>
        <v>0</v>
      </c>
      <c r="AV6" s="279">
        <f t="shared" ref="AV6:AV41" si="1">COUNTIF($AR$6:$AR$176,AR6)</f>
        <v>1</v>
      </c>
    </row>
    <row r="7" spans="1:48" ht="23.25">
      <c r="A7" s="33">
        <f>SUMIF(IND_PLAN_BAZA,$W34,IL_PL_0)+SUMIF(IND_PLAN_BAZA,$X34,IL_PL_0)+SUMIF(IND_PLAN_BAZA,$Y34,IL_PL_0)</f>
        <v>0</v>
      </c>
      <c r="B7" s="43" t="str">
        <f>IFERROR(VLOOKUP(C7,Receptury_z!$A:$B,2,0),"Brak w bazie")</f>
        <v>ON</v>
      </c>
      <c r="C7" s="10">
        <v>6350</v>
      </c>
      <c r="D7" s="862" t="s">
        <v>18</v>
      </c>
      <c r="E7" s="870">
        <f>IF(OR($E$4="x",$E$4="d"),0,AT34)</f>
        <v>0</v>
      </c>
      <c r="F7" s="860">
        <f>IF($E$4="x",0,IF($E$4="d",AK34,IF(AV34&gt;1,VLOOKUP(C7,Konfiguracja!$M$60:$T$148,8,0),IF((A7-E7)&lt;0,0,A7-E7))))</f>
        <v>0</v>
      </c>
      <c r="G7" s="203">
        <f>SUMIF(IND_PLAN_BAZA,$W34,IL_PL_1)+SUMIF(IND_PLAN_BAZA,$X34,IL_PL_1)+SUMIF(IND_PLAN_BAZA,$Y34,IL_PL_1)</f>
        <v>0</v>
      </c>
      <c r="H7" s="498">
        <f>SUMIF(IND_PLAN_BAZA,W34,IL_PL_2)+SUMIF(IND_PLAN_BAZA,X34,IL_PL_2)+SUMIF(IND_PLAN_BAZA,Y34,IL_PL_2)</f>
        <v>0</v>
      </c>
      <c r="I7" t="s">
        <v>399</v>
      </c>
      <c r="J7" s="570" t="s">
        <v>3</v>
      </c>
      <c r="K7" s="748">
        <v>3057.5</v>
      </c>
      <c r="L7" s="220"/>
      <c r="M7" s="207"/>
      <c r="N7" s="220"/>
      <c r="O7" s="220"/>
      <c r="P7" s="208">
        <f ca="1">AD7+'Klon wp. tydzień 07'!G230</f>
        <v>0</v>
      </c>
      <c r="Q7" s="209">
        <f t="shared" ca="1" si="0"/>
        <v>3057.5</v>
      </c>
      <c r="R7" s="208">
        <f ca="1">AE7</f>
        <v>0</v>
      </c>
      <c r="S7" s="209">
        <f ca="1">Q7-R7</f>
        <v>3057.5</v>
      </c>
      <c r="T7" s="208">
        <f ca="1">AF7</f>
        <v>0</v>
      </c>
      <c r="U7" s="557">
        <f ca="1">S7-AF7</f>
        <v>3057.5</v>
      </c>
      <c r="V7" s="571">
        <f ca="1">R7+T7</f>
        <v>0</v>
      </c>
      <c r="W7">
        <f>IF(LEN(C6)&gt;4,9999,C6)</f>
        <v>6068</v>
      </c>
      <c r="X7">
        <f>IF(LEN(C6)&gt;4,9999,0)</f>
        <v>0</v>
      </c>
      <c r="Y7">
        <f>IF(LEN(C6)&gt;4,9999,0)</f>
        <v>0</v>
      </c>
      <c r="Z7">
        <f ca="1">VLOOKUP($J7,Konfiguracja!$B$3:$E$49,2,0)</f>
        <v>103</v>
      </c>
      <c r="AA7">
        <f ca="1">VLOOKUP($J7,Konfiguracja!$B$3:$E$49,3,0)</f>
        <v>104</v>
      </c>
      <c r="AB7">
        <f ca="1">VLOOKUP($J7,Konfiguracja!$B$3:$E$49,4,0)</f>
        <v>105</v>
      </c>
      <c r="AC7" t="s">
        <v>177</v>
      </c>
      <c r="AD7" s="633">
        <f ca="1">IFERROR(VLOOKUP($AC7,'Receptury '!$D$100:$IA$100,Z7,0),0)</f>
        <v>0</v>
      </c>
      <c r="AE7" s="634">
        <f ca="1">IFERROR(VLOOKUP($AC7,'Receptury '!$D$100:$IA$100,AA7,0),0)</f>
        <v>0</v>
      </c>
      <c r="AF7" s="635">
        <f ca="1">IFERROR(VLOOKUP($AC7,'Receptury '!$D$100:$IA$100,AB7,0),0)</f>
        <v>0</v>
      </c>
      <c r="AG7" s="88">
        <f ca="1">P7-AD7</f>
        <v>0</v>
      </c>
      <c r="AH7" s="88">
        <f ca="1">R7-AE7</f>
        <v>0</v>
      </c>
      <c r="AI7" s="88">
        <f ca="1">T7-AF7</f>
        <v>0</v>
      </c>
      <c r="AJ7">
        <v>6003.2945</v>
      </c>
      <c r="AK7">
        <f>IF(IFERROR(VLOOKUP(W7,DROBIE,1,0),0),A6,0)</f>
        <v>0</v>
      </c>
      <c r="AL7" s="244">
        <f ca="1">IFERROR(VLOOKUP($I6,Konfiguracja!$M:$U,9,0),0)</f>
        <v>1</v>
      </c>
      <c r="AM7" s="245">
        <f ca="1">IFERROR(VLOOKUP($I6,Konfiguracja!$M:$U,6,0),0)</f>
        <v>102.5</v>
      </c>
      <c r="AN7" s="245">
        <f ca="1">IFERROR(VLOOKUP($I6,Konfiguracja!$M:$U,7,0),0)</f>
        <v>0</v>
      </c>
      <c r="AO7" s="246">
        <f ca="1">IFERROR(VLOOKUP($I6,Konfiguracja!$M:$U,8,0),0)</f>
        <v>0</v>
      </c>
      <c r="AQ7" s="258">
        <f>IFERROR(VLOOKUP($I7,Konfiguracja!M:AF,16,0),0)</f>
        <v>2057.5</v>
      </c>
      <c r="AR7">
        <f>IFERROR(VLOOKUP(C6,Receptury_z!$A:$C,3,0),0)</f>
        <v>5135</v>
      </c>
      <c r="AS7" s="256">
        <f>SUMIF(TPS_mięsa!$Q$2:$Q$300,AR7,TPS_mięsa!$G$2:$G$300)/1000</f>
        <v>1.3</v>
      </c>
      <c r="AT7" s="268">
        <f ca="1">VLOOKUP(AR7,Konfiguracja!$N$60:$AC$148,16,0)/1000</f>
        <v>1.3</v>
      </c>
      <c r="AU7" s="270">
        <f>IFERROR(VLOOKUP(I7,Konfiguracja!$M$3:$AM$57,26,0),0)</f>
        <v>1000</v>
      </c>
      <c r="AV7" s="278">
        <f t="shared" si="1"/>
        <v>2</v>
      </c>
    </row>
    <row r="8" spans="1:48" ht="23.25">
      <c r="A8" s="33">
        <f>SUMIF(IND_PLAN_BAZA,$W8,IL_PL_0)+SUMIF(IND_PLAN_BAZA,$X8,IL_PL_0)+SUMIF(IND_PLAN_BAZA,$Y8,IL_PL_0)</f>
        <v>0</v>
      </c>
      <c r="B8" s="43" t="str">
        <f>IFERROR(VLOOKUP(C8,Receptury_z!$A:$B,2,0),"Brak w bazie")</f>
        <v>ON</v>
      </c>
      <c r="C8" s="110">
        <v>6354</v>
      </c>
      <c r="D8" s="862" t="s">
        <v>19</v>
      </c>
      <c r="E8" s="870">
        <f>IF(OR($E$4="x",$E$4="d"),0,AT8)</f>
        <v>0</v>
      </c>
      <c r="F8" s="860">
        <f>IF($E$4="x",0,IF($E$4="d",AK8,IF(AV8&gt;1,VLOOKUP(C8,Konfiguracja!$M$60:$T$148,8,0),IF((A8-E8)&lt;0,0,A8-E8))))</f>
        <v>0</v>
      </c>
      <c r="G8" s="203">
        <f>SUMIF(IND_PLAN_BAZA,$W8,IL_PL_1)+SUMIF(IND_PLAN_BAZA,$X8,IL_PL_1)+SUMIF(IND_PLAN_BAZA,$Y8,IL_PL_1)</f>
        <v>2</v>
      </c>
      <c r="H8" s="498">
        <f>SUMIF(IND_PLAN_BAZA,W8,IL_PL_2)+SUMIF(IND_PLAN_BAZA,X8,IL_PL_2)+SUMIF(IND_PLAN_BAZA,Y8,IL_PL_2)</f>
        <v>0</v>
      </c>
      <c r="I8" t="s">
        <v>17967</v>
      </c>
      <c r="J8" s="695" t="s">
        <v>4</v>
      </c>
      <c r="K8" s="749">
        <v>11793.5</v>
      </c>
      <c r="L8" s="207">
        <v>7500</v>
      </c>
      <c r="M8" s="766"/>
      <c r="N8" s="207"/>
      <c r="O8" s="207"/>
      <c r="P8" s="208">
        <f ca="1">AD8+'Klon wp. tydzień 07'!G229</f>
        <v>8090</v>
      </c>
      <c r="Q8" s="209">
        <f ca="1">(K8+N8+O8+L8+M8)-P8</f>
        <v>11203.5</v>
      </c>
      <c r="R8" s="208">
        <f t="shared" ref="R8:R14" ca="1" si="2">AE8</f>
        <v>0</v>
      </c>
      <c r="S8" s="209">
        <f t="shared" ref="S8:U53" ca="1" si="3">Q8-R8</f>
        <v>11203.5</v>
      </c>
      <c r="T8" s="208">
        <f t="shared" ref="T8:T14" ca="1" si="4">AF8</f>
        <v>0</v>
      </c>
      <c r="U8" s="557">
        <f t="shared" ref="U8:U23" ca="1" si="5">S8-AF8</f>
        <v>11203.5</v>
      </c>
      <c r="V8" s="254">
        <f t="shared" ref="V8:V21" ca="1" si="6">R8+T8</f>
        <v>0</v>
      </c>
      <c r="W8">
        <f>IF(LEN(C8)&gt;4,9999,C8)</f>
        <v>6354</v>
      </c>
      <c r="X8">
        <f>IF(LEN(C8)&gt;4,9999,0)</f>
        <v>0</v>
      </c>
      <c r="Y8">
        <f>IF(LEN(C8)&gt;4,9999,0)</f>
        <v>0</v>
      </c>
      <c r="Z8">
        <f ca="1">VLOOKUP($J8,Konfiguracja!$B$3:$E$49,2,0)</f>
        <v>109</v>
      </c>
      <c r="AA8">
        <f ca="1">VLOOKUP($J8,Konfiguracja!$B$3:$E$49,3,0)</f>
        <v>110</v>
      </c>
      <c r="AB8">
        <f ca="1">VLOOKUP($J8,Konfiguracja!$B$3:$E$49,4,0)</f>
        <v>111</v>
      </c>
      <c r="AC8" t="s">
        <v>177</v>
      </c>
      <c r="AD8" s="633">
        <f ca="1">IFERROR(VLOOKUP($AC8,'Receptury '!$D$100:$IA$100,Z8,0),0)</f>
        <v>0</v>
      </c>
      <c r="AE8" s="634">
        <f ca="1">IFERROR(VLOOKUP($AC8,'Receptury '!$D$100:$IA$100,AA8,0),0)</f>
        <v>0</v>
      </c>
      <c r="AF8" s="635">
        <f ca="1">IFERROR(VLOOKUP($AC8,'Receptury '!$D$100:$IA$100,AB8,0),0)</f>
        <v>0</v>
      </c>
      <c r="AG8" s="88">
        <f t="shared" ref="AG8:AG50" ca="1" si="7">P8-AD8</f>
        <v>8090</v>
      </c>
      <c r="AH8" s="88">
        <f t="shared" ref="AH8:AH50" ca="1" si="8">R8-AE8</f>
        <v>0</v>
      </c>
      <c r="AI8" s="88">
        <f t="shared" ref="AI8:AI50" ca="1" si="9">T8-AF8</f>
        <v>0</v>
      </c>
      <c r="AJ8">
        <v>17704.905746000004</v>
      </c>
      <c r="AK8">
        <f>IF(IFERROR(VLOOKUP(W8,DROBIE,1,0),0),A8,0)</f>
        <v>0</v>
      </c>
      <c r="AL8" s="247">
        <f ca="1">IFERROR(VLOOKUP($I34,Konfiguracja!$M:$U,9,0),0)</f>
        <v>0</v>
      </c>
      <c r="AM8" s="248">
        <f ca="1">IFERROR(VLOOKUP($I34,Konfiguracja!$M:$U,6,0),0)</f>
        <v>0</v>
      </c>
      <c r="AN8" s="248">
        <f ca="1">IFERROR(VLOOKUP($I34,Konfiguracja!$M:$U,7,0),0)</f>
        <v>0</v>
      </c>
      <c r="AO8" s="249">
        <f ca="1">IFERROR(VLOOKUP($I34,Konfiguracja!$M:$U,8,0),0)</f>
        <v>0</v>
      </c>
      <c r="AQ8" s="258">
        <f>IFERROR(VLOOKUP($I8,Konfiguracja!M:AF,16,0),0)</f>
        <v>6106.5</v>
      </c>
      <c r="AR8">
        <f>IFERROR(VLOOKUP(C8,Receptury_z!$A:$C,3,0),0)</f>
        <v>5448</v>
      </c>
      <c r="AS8" s="256">
        <f>SUMIF(TPS_mięsa!$Q$2:$Q$300,AR8,TPS_mięsa!$G$2:$G$300)/1000</f>
        <v>0</v>
      </c>
      <c r="AT8" s="268">
        <f ca="1">VLOOKUP(AR8,Konfiguracja!$N$60:$AC$148,16,0)/1000</f>
        <v>0</v>
      </c>
      <c r="AU8" s="270">
        <f>IFERROR(VLOOKUP(I8,Konfiguracja!$M$3:$AM$57,26,0),0)</f>
        <v>5000</v>
      </c>
      <c r="AV8" s="279">
        <f t="shared" si="1"/>
        <v>1</v>
      </c>
    </row>
    <row r="9" spans="1:48" ht="23.25">
      <c r="A9" s="33">
        <f>SUMIF(IND_PLAN_BAZA,$W52,IL_PL_0)+SUMIF(IND_PLAN_BAZA,$X52,IL_PL_0)+SUMIF(IND_PLAN_BAZA,$Y52,IL_PL_0)</f>
        <v>0</v>
      </c>
      <c r="B9" s="43" t="str">
        <f>IFERROR(VLOOKUP(C9,Receptury_z!$A:$B,2,0),"Brak w bazie")</f>
        <v>ON</v>
      </c>
      <c r="C9" s="10">
        <v>6358</v>
      </c>
      <c r="D9" s="862" t="s">
        <v>20</v>
      </c>
      <c r="E9" s="870">
        <f>IF(OR($E$4="x",$E$4="d"),0,AT52)</f>
        <v>0</v>
      </c>
      <c r="F9" s="860">
        <f>IF($E$4="x",0,IF($E$4="d",AK52,IF(AV52&gt;1,VLOOKUP(C9,Konfiguracja!$M$60:$T$148,8,0),IF((A9-E9)&lt;0,0,A9-E9))))</f>
        <v>0</v>
      </c>
      <c r="G9" s="203">
        <f>SUMIF(IND_PLAN_BAZA,$W52,IL_PL_1)+SUMIF(IND_PLAN_BAZA,$X52,IL_PL_1)+SUMIF(IND_PLAN_BAZA,$Y52,IL_PL_1)</f>
        <v>0</v>
      </c>
      <c r="H9" s="498">
        <f>SUMIF(IND_PLAN_BAZA,W52,IL_PL_2)+SUMIF(IND_PLAN_BAZA,X52,IL_PL_2)+SUMIF(IND_PLAN_BAZA,Y52,IL_PL_2)</f>
        <v>0</v>
      </c>
      <c r="I9" t="s">
        <v>14222</v>
      </c>
      <c r="J9" s="206" t="s">
        <v>358</v>
      </c>
      <c r="K9" s="749">
        <v>11513</v>
      </c>
      <c r="L9" s="207">
        <v>2000</v>
      </c>
      <c r="M9" s="207"/>
      <c r="N9" s="207"/>
      <c r="O9" s="207"/>
      <c r="P9" s="208">
        <f ca="1">AD9+'Klon wp. tydzień 07'!G223</f>
        <v>2820</v>
      </c>
      <c r="Q9" s="565">
        <f ca="1">(K9+N9+O9+L9+M9)-P9</f>
        <v>10693</v>
      </c>
      <c r="R9" s="208">
        <f ca="1">AE9</f>
        <v>0</v>
      </c>
      <c r="S9" s="565">
        <f ca="1">Q9-R9</f>
        <v>10693</v>
      </c>
      <c r="T9" s="208">
        <f ca="1">AF9</f>
        <v>0</v>
      </c>
      <c r="U9" s="566">
        <f ca="1">S9-AF9</f>
        <v>10693</v>
      </c>
      <c r="V9" s="254">
        <f ca="1">R9+T9</f>
        <v>0</v>
      </c>
      <c r="W9">
        <f>IF(LEN(C46)&gt;4,9999,C46)</f>
        <v>6548</v>
      </c>
      <c r="X9">
        <f>IF(LEN(C46)&gt;4,9999,0)</f>
        <v>0</v>
      </c>
      <c r="Y9">
        <f>IF(LEN(C46)&gt;4,9999,0)</f>
        <v>0</v>
      </c>
      <c r="Z9">
        <f ca="1">VLOOKUP($J9,Konfiguracja!$B$3:$E$49,2,0)</f>
        <v>214</v>
      </c>
      <c r="AA9">
        <f ca="1">VLOOKUP($J9,Konfiguracja!$B$3:$E$49,3,0)</f>
        <v>215</v>
      </c>
      <c r="AB9">
        <f ca="1">VLOOKUP($J9,Konfiguracja!$B$3:$E$49,4,0)</f>
        <v>216</v>
      </c>
      <c r="AC9" t="s">
        <v>177</v>
      </c>
      <c r="AD9" s="633">
        <f ca="1">IFERROR(VLOOKUP($AC9,'Receptury '!$D$100:$IA$100,Z9,0),0)</f>
        <v>0</v>
      </c>
      <c r="AE9" s="634">
        <f ca="1">IFERROR(VLOOKUP($AC9,'Receptury '!$D$100:$IA$100,AA9,0),0)</f>
        <v>0</v>
      </c>
      <c r="AF9" s="635">
        <f ca="1">IFERROR(VLOOKUP($AC9,'Receptury '!$D$100:$IA$100,AB9,0),0)</f>
        <v>0</v>
      </c>
      <c r="AG9" s="88">
        <f ca="1">P9-AD9</f>
        <v>2820</v>
      </c>
      <c r="AH9" s="88">
        <f ca="1">R9-AE9</f>
        <v>0</v>
      </c>
      <c r="AI9" s="88">
        <f ca="1">T9-AF9</f>
        <v>0</v>
      </c>
      <c r="AK9">
        <f>IF(IFERROR(VLOOKUP(W9,DROBIE,1,0),0),A46,0)</f>
        <v>0</v>
      </c>
      <c r="AL9" s="247">
        <f ca="1">IFERROR(VLOOKUP($I9,Konfiguracja!$M:$U,9,0),0)</f>
        <v>1</v>
      </c>
      <c r="AM9" s="248">
        <f ca="1">IFERROR(VLOOKUP($I9,Konfiguracja!$M:$U,6,0),0)</f>
        <v>6478</v>
      </c>
      <c r="AN9" s="248">
        <f ca="1">IFERROR(VLOOKUP($I9,Konfiguracja!$M:$U,7,0),0)</f>
        <v>0</v>
      </c>
      <c r="AO9" s="249">
        <f ca="1">IFERROR(VLOOKUP($I9,Konfiguracja!$M:$U,8,0),0)</f>
        <v>0</v>
      </c>
      <c r="AQ9" s="258">
        <f>IFERROR(VLOOKUP($I9,Konfiguracja!M:AF,16,0),0)</f>
        <v>5913</v>
      </c>
      <c r="AR9">
        <f>IFERROR(VLOOKUP(C46,Receptury_z!$A:$C,3,0),0)</f>
        <v>5531</v>
      </c>
      <c r="AS9" s="256">
        <f>SUMIF(TPS_mięsa!$Q$2:$Q$300,AR9,TPS_mięsa!$G$2:$G$300)/1000</f>
        <v>0</v>
      </c>
      <c r="AT9" s="268">
        <f ca="1">VLOOKUP(AR9,Konfiguracja!$N$60:$AC$148,16,0)/1000</f>
        <v>0</v>
      </c>
      <c r="AU9" s="270">
        <f>IFERROR(VLOOKUP(I9,Konfiguracja!$M$3:$AM$57,26,0),0)</f>
        <v>5600</v>
      </c>
      <c r="AV9" s="279">
        <f t="shared" si="1"/>
        <v>1</v>
      </c>
    </row>
    <row r="10" spans="1:48" ht="24" thickBot="1">
      <c r="A10" s="33">
        <f>SUMIF(IND_PLAN_BAZA,$W10,IL_PL_0)+SUMIF(IND_PLAN_BAZA,$X10,IL_PL_0)+SUMIF(IND_PLAN_BAZA,$Y10,IL_PL_0)</f>
        <v>0</v>
      </c>
      <c r="B10" s="43" t="str">
        <f>IFERROR(VLOOKUP(C10,Receptury_z!$A:$B,2,0),"Brak w bazie")</f>
        <v>ON</v>
      </c>
      <c r="C10" s="10">
        <v>6404</v>
      </c>
      <c r="D10" s="862" t="s">
        <v>21</v>
      </c>
      <c r="E10" s="870">
        <f>IF(OR($E$4="x",$E$4="d"),0,AT10)</f>
        <v>0</v>
      </c>
      <c r="F10" s="860">
        <f>IF($E$4="x",0,IF($E$4="d",AK10,IF(AV10&gt;1,VLOOKUP(C10,Konfiguracja!$M$60:$T$148,8,0),IF((A10-E10)&lt;0,0,A10-E10))))</f>
        <v>0</v>
      </c>
      <c r="G10" s="203">
        <f>SUMIF(IND_PLAN_BAZA,$W10,IL_PL_1)+SUMIF(IND_PLAN_BAZA,$X10,IL_PL_1)+SUMIF(IND_PLAN_BAZA,$Y10,IL_PL_1)</f>
        <v>0</v>
      </c>
      <c r="H10" s="498">
        <f>SUMIF(IND_PLAN_BAZA,W10,IL_PL_2)+SUMIF(IND_PLAN_BAZA,X10,IL_PL_2)+SUMIF(IND_PLAN_BAZA,Y10,IL_PL_2)</f>
        <v>0</v>
      </c>
      <c r="I10">
        <v>1239</v>
      </c>
      <c r="J10" s="695" t="s">
        <v>7</v>
      </c>
      <c r="K10" s="749">
        <v>3452.67</v>
      </c>
      <c r="L10" s="207">
        <v>2500</v>
      </c>
      <c r="M10" s="207"/>
      <c r="N10" s="207"/>
      <c r="O10" s="207"/>
      <c r="P10" s="208">
        <f ca="1">AD10+'Klon wp. tydzień 07'!G241</f>
        <v>1160</v>
      </c>
      <c r="Q10" s="209">
        <f ca="1">(K10+N10+O10+L10+M10)-P10</f>
        <v>4792.67</v>
      </c>
      <c r="R10" s="208">
        <f t="shared" ca="1" si="2"/>
        <v>0</v>
      </c>
      <c r="S10" s="209">
        <f t="shared" ca="1" si="3"/>
        <v>4792.67</v>
      </c>
      <c r="T10" s="208">
        <f t="shared" ca="1" si="4"/>
        <v>1353.06</v>
      </c>
      <c r="U10" s="557">
        <f t="shared" ca="1" si="5"/>
        <v>3439.61</v>
      </c>
      <c r="V10" s="254">
        <f t="shared" ca="1" si="6"/>
        <v>1353.06</v>
      </c>
      <c r="W10">
        <f>IF(LEN(C10)&gt;4,9999,C10)</f>
        <v>6404</v>
      </c>
      <c r="X10">
        <f>IF(LEN(C10)&gt;4,9999,0)</f>
        <v>0</v>
      </c>
      <c r="Y10">
        <f>IF(LEN(C10)&gt;4,9999,0)</f>
        <v>0</v>
      </c>
      <c r="Z10">
        <f ca="1">VLOOKUP($J10,Konfiguracja!$B$3:$E$49,2,0)</f>
        <v>112</v>
      </c>
      <c r="AA10">
        <f ca="1">VLOOKUP($J10,Konfiguracja!$B$3:$E$49,3,0)</f>
        <v>113</v>
      </c>
      <c r="AB10">
        <f ca="1">VLOOKUP($J10,Konfiguracja!$B$3:$E$49,4,0)</f>
        <v>114</v>
      </c>
      <c r="AC10" t="s">
        <v>177</v>
      </c>
      <c r="AD10" s="633">
        <f ca="1">IFERROR(VLOOKUP($AC10,'Receptury '!$D$100:$IA$100,Z10,0),0)</f>
        <v>0</v>
      </c>
      <c r="AE10" s="634">
        <f ca="1">IFERROR(VLOOKUP($AC10,'Receptury '!$D$100:$IA$100,AA10,0),0)</f>
        <v>0</v>
      </c>
      <c r="AF10" s="635">
        <f ca="1">IFERROR(VLOOKUP($AC10,'Receptury '!$D$100:$IA$100,AB10,0),0)</f>
        <v>1353.06</v>
      </c>
      <c r="AG10" s="88">
        <f t="shared" ca="1" si="7"/>
        <v>1160</v>
      </c>
      <c r="AH10" s="88">
        <f t="shared" ca="1" si="8"/>
        <v>0</v>
      </c>
      <c r="AI10" s="88">
        <f t="shared" ca="1" si="9"/>
        <v>0</v>
      </c>
      <c r="AJ10">
        <v>3551.2000000000007</v>
      </c>
      <c r="AK10">
        <f>IF(IFERROR(VLOOKUP(W10,DROBIE,1,0),0),A10,0)</f>
        <v>0</v>
      </c>
      <c r="AL10" s="247">
        <f ca="1">IFERROR(VLOOKUP($I52,Konfiguracja!$M:$U,9,0),0)</f>
        <v>0</v>
      </c>
      <c r="AM10" s="248">
        <f ca="1">IFERROR(VLOOKUP($I52,Konfiguracja!$M:$U,6,0),0)</f>
        <v>0</v>
      </c>
      <c r="AN10" s="248">
        <f ca="1">IFERROR(VLOOKUP($I52,Konfiguracja!$M:$U,7,0),0)</f>
        <v>0</v>
      </c>
      <c r="AO10" s="249">
        <f ca="1">IFERROR(VLOOKUP($I52,Konfiguracja!$M:$U,8,0),0)</f>
        <v>0</v>
      </c>
      <c r="AQ10" s="258">
        <f>IFERROR(VLOOKUP($I10,Konfiguracja!M:AF,16,0),0)</f>
        <v>2867.5</v>
      </c>
      <c r="AR10">
        <f>IFERROR(VLOOKUP(C10,Receptury_z!$A:$C,3,0),0)</f>
        <v>5410</v>
      </c>
      <c r="AS10" s="256">
        <f>SUMIF(TPS_mięsa!$Q$2:$Q$300,AR10,TPS_mięsa!$G$2:$G$300)/1000</f>
        <v>0</v>
      </c>
      <c r="AT10" s="268">
        <f ca="1">VLOOKUP(AR10,Konfiguracja!$N$60:$AC$148,16,0)/1000</f>
        <v>0</v>
      </c>
      <c r="AU10" s="270">
        <f>IFERROR(VLOOKUP(I10,Konfiguracja!$M$3:$AM$57,26,0),0)</f>
        <v>2500</v>
      </c>
      <c r="AV10" s="279">
        <f t="shared" si="1"/>
        <v>1</v>
      </c>
    </row>
    <row r="11" spans="1:48" ht="27.6" customHeight="1" thickTop="1" thickBot="1">
      <c r="A11" s="33">
        <f>SUMIF(IND_PLAN_BAZA,$W27,IL_PL_0)+SUMIF(IND_PLAN_BAZA,$X27,IL_PL_0)+SUMIF(IND_PLAN_BAZA,$Y27,IL_PL_0)</f>
        <v>0</v>
      </c>
      <c r="B11" s="43" t="str">
        <f>IFERROR(VLOOKUP(C11,Receptury_z!$A:$B,2,0),"Brak w bazie")</f>
        <v>ON</v>
      </c>
      <c r="C11" s="10">
        <v>6405</v>
      </c>
      <c r="D11" s="862" t="s">
        <v>22</v>
      </c>
      <c r="E11" s="870">
        <f>IF(OR($E$4="x",$E$4="d"),0,AT27)</f>
        <v>0</v>
      </c>
      <c r="F11" s="860">
        <f>IF($E$4="x",0,IF($E$4="d",AK27,IF(AV27&gt;1,VLOOKUP(C11,Konfiguracja!$M$60:$T$148,8,0),IF((A11-E11)&lt;0,0,A11-E11))))</f>
        <v>0</v>
      </c>
      <c r="G11" s="203">
        <f>SUMIF(IND_PLAN_BAZA,$W27,IL_PL_1)+SUMIF(IND_PLAN_BAZA,$X27,IL_PL_1)+SUMIF(IND_PLAN_BAZA,$Y27,IL_PL_1)</f>
        <v>6</v>
      </c>
      <c r="H11" s="498">
        <f>SUMIF(IND_PLAN_BAZA,W27,IL_PL_2)+SUMIF(IND_PLAN_BAZA,X27,IL_PL_2)+SUMIF(IND_PLAN_BAZA,Y27,IL_PL_2)</f>
        <v>0</v>
      </c>
      <c r="I11">
        <v>5226</v>
      </c>
      <c r="J11" s="575" t="s">
        <v>97</v>
      </c>
      <c r="K11" s="750">
        <v>0</v>
      </c>
      <c r="L11" s="207"/>
      <c r="M11" s="207"/>
      <c r="N11" s="207"/>
      <c r="O11" s="207">
        <v>500</v>
      </c>
      <c r="P11" s="222">
        <f ca="1">AD11</f>
        <v>0</v>
      </c>
      <c r="Q11" s="255">
        <f ca="1">(K11+N11+O11+L11+M11)-P11</f>
        <v>500</v>
      </c>
      <c r="R11" s="224">
        <f ca="1">AE11</f>
        <v>624.29999999999995</v>
      </c>
      <c r="S11" s="255">
        <f ca="1">Q11-R11</f>
        <v>-124.29999999999995</v>
      </c>
      <c r="T11" s="224">
        <f ca="1">AF11</f>
        <v>0</v>
      </c>
      <c r="U11" s="255">
        <f ca="1">S11-AF11</f>
        <v>-124.29999999999995</v>
      </c>
      <c r="V11" s="254">
        <f ca="1">R11+T11</f>
        <v>624.29999999999995</v>
      </c>
      <c r="W11">
        <f>IF(LEN(C26)&gt;4,9999,C26)</f>
        <v>6458</v>
      </c>
      <c r="X11">
        <f>IF(LEN(C26)&gt;4,9999,0)</f>
        <v>0</v>
      </c>
      <c r="Y11">
        <f>IF(LEN(C26)&gt;4,9999,0)</f>
        <v>0</v>
      </c>
      <c r="Z11">
        <f ca="1">VLOOKUP($J11,Konfiguracja!$B$3:$E$49,2,0)</f>
        <v>154</v>
      </c>
      <c r="AA11">
        <f ca="1">VLOOKUP($J11,Konfiguracja!$B$3:$E$49,3,0)</f>
        <v>155</v>
      </c>
      <c r="AB11">
        <f ca="1">VLOOKUP($J11,Konfiguracja!$B$3:$E$49,4,0)</f>
        <v>156</v>
      </c>
      <c r="AC11" t="s">
        <v>177</v>
      </c>
      <c r="AD11" s="633">
        <f ca="1">IFERROR(VLOOKUP($AC11,'Receptury '!$D$100:$IA$100,Z11,0),0)</f>
        <v>0</v>
      </c>
      <c r="AE11" s="634">
        <f ca="1">IFERROR(VLOOKUP($AC11,'Receptury '!$D$100:$IA$100,AA11,0),0)</f>
        <v>624.29999999999995</v>
      </c>
      <c r="AF11" s="635">
        <f ca="1">IFERROR(VLOOKUP($AC11,'Receptury '!$D$100:$IA$100,AB11,0),0)</f>
        <v>0</v>
      </c>
      <c r="AG11" s="88">
        <f ca="1">P11-AD11</f>
        <v>0</v>
      </c>
      <c r="AH11" s="88">
        <f ca="1">R11-AE11</f>
        <v>0</v>
      </c>
      <c r="AI11" s="88">
        <f ca="1">T11-AF11</f>
        <v>0</v>
      </c>
      <c r="AJ11">
        <v>-1342.3600000000006</v>
      </c>
      <c r="AK11">
        <f>IF(IFERROR(VLOOKUP(W11,DROBIE,1,0),0),A26,0)</f>
        <v>0</v>
      </c>
      <c r="AL11" s="247">
        <f ca="1">IFERROR(VLOOKUP($I11,Konfiguracja!$M:$U,9,0),0)</f>
        <v>1</v>
      </c>
      <c r="AM11" s="248">
        <f ca="1">IFERROR(VLOOKUP($I11,Konfiguracja!$M:$U,6,0),0)</f>
        <v>4603</v>
      </c>
      <c r="AN11" s="248">
        <f ca="1">IFERROR(VLOOKUP($I11,Konfiguracja!$M:$U,7,0),0)</f>
        <v>0</v>
      </c>
      <c r="AO11" s="249">
        <f ca="1">IFERROR(VLOOKUP($I11,Konfiguracja!$M:$U,8,0),0)</f>
        <v>0</v>
      </c>
      <c r="AQ11" s="258">
        <f>IFERROR(VLOOKUP($I11,Konfiguracja!M:AF,16,0),0)</f>
        <v>0</v>
      </c>
      <c r="AR11">
        <f>IFERROR(VLOOKUP(C26,Receptury_z!$A:$C,3,0),0)</f>
        <v>5572</v>
      </c>
      <c r="AS11" s="256">
        <f>SUMIF(TPS_mięsa!$Q$2:$Q$300,AR11,TPS_mięsa!$G$2:$G$300)/1000</f>
        <v>0</v>
      </c>
      <c r="AT11" s="268">
        <f ca="1">VLOOKUP(AR11,Konfiguracja!$N$60:$AC$148,16,0)/1000</f>
        <v>0</v>
      </c>
      <c r="AU11" s="270">
        <f>IFERROR(VLOOKUP(I11,Konfiguracja!$M$3:$AM$57,26,0),0)</f>
        <v>0</v>
      </c>
      <c r="AV11" s="279">
        <f t="shared" si="1"/>
        <v>1</v>
      </c>
    </row>
    <row r="12" spans="1:48" ht="24.75" thickTop="1" thickBot="1">
      <c r="A12" s="33">
        <f>SUMIF(IND_PLAN_BAZA,$W45,IL_PL_0)+SUMIF(IND_PLAN_BAZA,$X45,IL_PL_0)+SUMIF(IND_PLAN_BAZA,$Y45,IL_PL_0)</f>
        <v>0</v>
      </c>
      <c r="B12" s="43" t="str">
        <f>IFERROR(VLOOKUP(C12,Receptury_z!$A:$B,2,0),"Brak w bazie")</f>
        <v>ON</v>
      </c>
      <c r="C12" s="10">
        <v>6066</v>
      </c>
      <c r="D12" s="862" t="s">
        <v>15251</v>
      </c>
      <c r="E12" s="870">
        <f>IF(OR($E$4="x",$E$4="d"),0,AT13)</f>
        <v>0</v>
      </c>
      <c r="F12" s="860">
        <f>IF($E$4="x",0,IF($E$4="d",AK45,IF(AV45&gt;1,VLOOKUP(C12,Konfiguracja!$M$60:$T$148,8,0),IF((A12-E12)&lt;0,0,A12-E12))))</f>
        <v>0</v>
      </c>
      <c r="G12" s="203">
        <f>SUMIF(IND_PLAN_BAZA,$W45,IL_PL_1)+SUMIF(IND_PLAN_BAZA,$X45,IL_PL_1)+SUMIF(IND_PLAN_BAZA,$Y45,IL_PL_1)</f>
        <v>0</v>
      </c>
      <c r="H12" s="498">
        <f>SUMIF(IND_PLAN_BAZA,W45,IL_PL_2)+SUMIF(IND_PLAN_BAZA,X45,IL_PL_2)+SUMIF(IND_PLAN_BAZA,Y45,IL_PL_2)</f>
        <v>0</v>
      </c>
      <c r="I12">
        <v>52264000</v>
      </c>
      <c r="J12" s="575" t="s">
        <v>191</v>
      </c>
      <c r="K12" s="750">
        <v>817.54</v>
      </c>
      <c r="L12" s="207"/>
      <c r="M12" s="207"/>
      <c r="N12" s="207"/>
      <c r="O12" s="207">
        <v>3000</v>
      </c>
      <c r="P12" s="222">
        <f ca="1">AD12</f>
        <v>0</v>
      </c>
      <c r="Q12" s="255">
        <f ca="1">(K12+N12+O12+L12)-P12</f>
        <v>3817.54</v>
      </c>
      <c r="R12" s="224">
        <f ca="1">AE12</f>
        <v>1609.35</v>
      </c>
      <c r="S12" s="255">
        <f ca="1">Q12-R12</f>
        <v>2208.19</v>
      </c>
      <c r="T12" s="224">
        <f ca="1">AF12</f>
        <v>2218.02</v>
      </c>
      <c r="U12" s="255">
        <f ca="1">S12-AF12</f>
        <v>-9.8299999999999272</v>
      </c>
      <c r="V12" s="254">
        <f ca="1">R12+T12</f>
        <v>3827.37</v>
      </c>
      <c r="W12">
        <f>IF(LEN(C27)&gt;4,9999,C27)</f>
        <v>6463</v>
      </c>
      <c r="X12">
        <f>IF(LEN(C27)&gt;4,9999,0)</f>
        <v>0</v>
      </c>
      <c r="Y12">
        <f>IF(LEN(C27)&gt;4,9999,0)</f>
        <v>0</v>
      </c>
      <c r="Z12">
        <f ca="1">VLOOKUP($J12,Konfiguracja!$B$3:$E$49,2,0)</f>
        <v>193</v>
      </c>
      <c r="AA12">
        <f ca="1">VLOOKUP($J12,Konfiguracja!$B$3:$E$49,3,0)</f>
        <v>194</v>
      </c>
      <c r="AB12">
        <f ca="1">VLOOKUP($J12,Konfiguracja!$B$3:$E$49,4,0)</f>
        <v>195</v>
      </c>
      <c r="AC12" t="s">
        <v>177</v>
      </c>
      <c r="AD12" s="633">
        <f ca="1">IFERROR(VLOOKUP($AC12,'Receptury '!$D$100:$IA$100,Z12,0),0)</f>
        <v>0</v>
      </c>
      <c r="AE12" s="634">
        <f ca="1">IFERROR(VLOOKUP($AC12,'Receptury '!$D$100:$IA$100,AA12,0),0)</f>
        <v>1609.35</v>
      </c>
      <c r="AF12" s="635">
        <f ca="1">IFERROR(VLOOKUP($AC12,'Receptury '!$D$100:$IA$100,AB12,0),0)</f>
        <v>2218.02</v>
      </c>
      <c r="AG12" s="88">
        <f ca="1">P12-AD12</f>
        <v>0</v>
      </c>
      <c r="AH12" s="88">
        <f ca="1">R12-AE12</f>
        <v>0</v>
      </c>
      <c r="AI12" s="88">
        <f ca="1">T12-AF12</f>
        <v>0</v>
      </c>
      <c r="AJ12">
        <v>-4340</v>
      </c>
      <c r="AK12">
        <f>IF(IFERROR(VLOOKUP(W12,DROBIE,1,0),0),A27,0)</f>
        <v>0</v>
      </c>
      <c r="AL12" s="247">
        <f ca="1">IFERROR(VLOOKUP($I12,Konfiguracja!$M:$U,9,0),0)</f>
        <v>0</v>
      </c>
      <c r="AM12" s="248">
        <f ca="1">IFERROR(VLOOKUP($I12,Konfiguracja!$M:$U,6,0),0)</f>
        <v>0</v>
      </c>
      <c r="AN12" s="248">
        <f ca="1">IFERROR(VLOOKUP($I12,Konfiguracja!$M:$U,7,0),0)</f>
        <v>0</v>
      </c>
      <c r="AO12" s="249">
        <f ca="1">IFERROR(VLOOKUP($I12,Konfiguracja!$M:$U,8,0),0)</f>
        <v>0</v>
      </c>
      <c r="AQ12" s="258">
        <f>IFERROR(VLOOKUP($I12,Konfiguracja!M:AF,16,0),0)</f>
        <v>4603</v>
      </c>
      <c r="AR12">
        <f>IFERROR(VLOOKUP(C27,Receptury_z!$A:$C,3,0),0)</f>
        <v>5574</v>
      </c>
      <c r="AS12" s="256">
        <f>SUMIF(TPS_mięsa!$Q$2:$Q$300,AR12,TPS_mięsa!$G$2:$G$300)/1000</f>
        <v>0</v>
      </c>
      <c r="AT12" s="268">
        <f ca="1">VLOOKUP(AR12,Konfiguracja!$N$60:$AC$148,16,0)/1000</f>
        <v>0</v>
      </c>
      <c r="AU12" s="270">
        <f>IFERROR(VLOOKUP(I12,Konfiguracja!$M$3:$AM$57,26,0),0)</f>
        <v>0</v>
      </c>
      <c r="AV12" s="279">
        <f t="shared" si="1"/>
        <v>1</v>
      </c>
    </row>
    <row r="13" spans="1:48" ht="24.75" thickTop="1" thickBot="1">
      <c r="A13" s="33">
        <f>SUMIF(IND_PLAN_BAZA,$W6,IL_PL_0)+SUMIF(IND_PLAN_BAZA,$X6,IL_PL_0)+SUMIF(IND_PLAN_BAZA,$Y6,IL_PL_0)</f>
        <v>3</v>
      </c>
      <c r="B13" s="43" t="str">
        <f>IFERROR(VLOOKUP(C13,Receptury_z!$A:$B,2,0),"Brak w bazie")</f>
        <v>ON</v>
      </c>
      <c r="C13" s="10">
        <v>6406</v>
      </c>
      <c r="D13" s="862" t="s">
        <v>24</v>
      </c>
      <c r="E13" s="870">
        <f>IF(OR($E$4="x",$E$4="d"),0,AT6)</f>
        <v>0</v>
      </c>
      <c r="F13" s="860">
        <f>IF($E$4="x",0,IF($E$4="d",AK6,IF(AV6&gt;1,VLOOKUP(C13,Konfiguracja!$M$60:$T$148,8,0),IF((A13-E13)&lt;0,0,A13-E13))))</f>
        <v>0</v>
      </c>
      <c r="G13" s="203">
        <f>SUMIF(IND_PLAN_BAZA,$W6,IL_PL_1)+SUMIF(IND_PLAN_BAZA,$X6,IL_PL_1)+SUMIF(IND_PLAN_BAZA,$Y6,IL_PL_1)</f>
        <v>0</v>
      </c>
      <c r="H13" s="498">
        <f>SUMIF(IND_PLAN_BAZA,W6,IL_PL_2)+SUMIF(IND_PLAN_BAZA,X6,IL_PL_2)+SUMIF(IND_PLAN_BAZA,Y6,IL_PL_2)</f>
        <v>6</v>
      </c>
      <c r="I13">
        <v>5025</v>
      </c>
      <c r="J13" s="575" t="s">
        <v>185</v>
      </c>
      <c r="K13" s="749">
        <v>-26.736989999999587</v>
      </c>
      <c r="L13" s="207"/>
      <c r="M13" s="207"/>
      <c r="N13" s="207"/>
      <c r="O13" s="207">
        <v>4700</v>
      </c>
      <c r="P13" s="222">
        <f ca="1">AD13</f>
        <v>0</v>
      </c>
      <c r="Q13" s="255">
        <f t="shared" ref="Q13:Q18" ca="1" si="10">(K13+N13+O13+L13+M13)-P13</f>
        <v>4673.2630100000006</v>
      </c>
      <c r="R13" s="224">
        <f ca="1">AE13</f>
        <v>0</v>
      </c>
      <c r="S13" s="255">
        <f ca="1">Q13-R13</f>
        <v>4673.2630100000006</v>
      </c>
      <c r="T13" s="224">
        <f ca="1">AF13</f>
        <v>4690.7</v>
      </c>
      <c r="U13" s="255">
        <f ca="1">S13-AF13</f>
        <v>-17.436989999999241</v>
      </c>
      <c r="V13" s="254">
        <f ca="1">R13+T13</f>
        <v>4690.7</v>
      </c>
      <c r="W13">
        <f>IF(LEN(C30)&gt;4,9999,C30)</f>
        <v>6460</v>
      </c>
      <c r="X13">
        <f>IF(LEN(C30)&gt;4,9999,0)</f>
        <v>0</v>
      </c>
      <c r="Y13">
        <f>IF(LEN(C30)&gt;4,9999,0)</f>
        <v>0</v>
      </c>
      <c r="Z13">
        <f ca="1">VLOOKUP($J13,Konfiguracja!$B$3:$E$49,2,0)</f>
        <v>163</v>
      </c>
      <c r="AA13">
        <f ca="1">VLOOKUP($J13,Konfiguracja!$B$3:$E$49,3,0)</f>
        <v>164</v>
      </c>
      <c r="AB13">
        <f ca="1">VLOOKUP($J13,Konfiguracja!$B$3:$E$49,4,0)</f>
        <v>165</v>
      </c>
      <c r="AC13" t="s">
        <v>177</v>
      </c>
      <c r="AD13" s="633">
        <f ca="1">IFERROR(VLOOKUP($AC13,'Receptury '!$D$100:$IA$100,Z13,0),0)</f>
        <v>0</v>
      </c>
      <c r="AE13" s="634">
        <f ca="1">IFERROR(VLOOKUP($AC13,'Receptury '!$D$100:$IA$100,AA13,0),0)</f>
        <v>0</v>
      </c>
      <c r="AF13" s="635">
        <f ca="1">IFERROR(VLOOKUP($AC13,'Receptury '!$D$100:$IA$100,AB13,0),0)</f>
        <v>4690.7</v>
      </c>
      <c r="AG13" s="88">
        <f ca="1">P13-AD13</f>
        <v>0</v>
      </c>
      <c r="AH13" s="88">
        <f ca="1">R13-AE13</f>
        <v>0</v>
      </c>
      <c r="AI13" s="88">
        <f ca="1">T13-AF13</f>
        <v>0</v>
      </c>
      <c r="AJ13">
        <v>-11080.599999999999</v>
      </c>
      <c r="AK13">
        <f>IF(IFERROR(VLOOKUP(W13,DROBIE,1,0),0),A30,0)</f>
        <v>0</v>
      </c>
      <c r="AL13" s="247">
        <f ca="1">IFERROR(VLOOKUP($I13,Konfiguracja!$M:$U,9,0),0)</f>
        <v>0</v>
      </c>
      <c r="AM13" s="248">
        <f ca="1">IFERROR(VLOOKUP($I13,Konfiguracja!$M:$U,6,0),0)</f>
        <v>0</v>
      </c>
      <c r="AN13" s="248">
        <f ca="1">IFERROR(VLOOKUP($I13,Konfiguracja!$M:$U,7,0),0)</f>
        <v>0</v>
      </c>
      <c r="AO13" s="249">
        <f ca="1">IFERROR(VLOOKUP($I13,Konfiguracja!$M:$U,8,0),0)</f>
        <v>0</v>
      </c>
      <c r="AQ13" s="258">
        <f>IFERROR(VLOOKUP($I13,Konfiguracja!M:AF,16,0),0)</f>
        <v>0</v>
      </c>
      <c r="AR13">
        <f>IFERROR(VLOOKUP(C30,Receptury_z!$A:$C,3,0),0)</f>
        <v>5555</v>
      </c>
      <c r="AS13" s="256">
        <f>SUMIF(TPS_mięsa!$Q$2:$Q$300,AR13,TPS_mięsa!$G$2:$G$300)/1000</f>
        <v>0</v>
      </c>
      <c r="AT13" s="268">
        <f ca="1">VLOOKUP(AR13,Konfiguracja!$N$60:$AC$148,16,0)/1000</f>
        <v>0</v>
      </c>
      <c r="AU13" s="270">
        <f>IFERROR(VLOOKUP(I13,Konfiguracja!$M$3:$AM$57,26,0),0)</f>
        <v>0</v>
      </c>
      <c r="AV13" s="279">
        <f t="shared" si="1"/>
        <v>3</v>
      </c>
    </row>
    <row r="14" spans="1:48" ht="24" thickTop="1">
      <c r="A14" s="33">
        <f>SUMIF(IND_PLAN_BAZA,$W14,IL_PL_0)+SUMIF(IND_PLAN_BAZA,$X14,IL_PL_0)+SUMIF(IND_PLAN_BAZA,$Y14,IL_PL_0)</f>
        <v>0</v>
      </c>
      <c r="B14" s="43" t="str">
        <f>IFERROR(VLOOKUP(C14,Receptury_z!$A:$B,2,0),"Brak w bazie")</f>
        <v>ON</v>
      </c>
      <c r="C14" s="10">
        <v>7058</v>
      </c>
      <c r="D14" s="862" t="s">
        <v>25</v>
      </c>
      <c r="E14" s="870">
        <f>IF(OR($E$4="x",$E$4="d"),0,AT14)</f>
        <v>0</v>
      </c>
      <c r="F14" s="860">
        <f>IF($E$4="x",0,IF($E$4="d",AK14,IF(AV14&gt;1,VLOOKUP(C14,Konfiguracja!$M$60:$T$148,8,0),IF((A14-E14)&lt;0,0,A14-E14))))</f>
        <v>0</v>
      </c>
      <c r="G14" s="203">
        <f>SUMIF(IND_PLAN_BAZA,$W14,IL_PL_1)+SUMIF(IND_PLAN_BAZA,$X14,IL_PL_1)+SUMIF(IND_PLAN_BAZA,$Y14,IL_PL_1)</f>
        <v>0</v>
      </c>
      <c r="H14" s="498">
        <f>SUMIF(IND_PLAN_BAZA,W14,IL_PL_2)+SUMIF(IND_PLAN_BAZA,X14,IL_PL_2)+SUMIF(IND_PLAN_BAZA,Y14,IL_PL_2)</f>
        <v>0</v>
      </c>
      <c r="I14" t="s">
        <v>202</v>
      </c>
      <c r="J14" s="694" t="s">
        <v>0</v>
      </c>
      <c r="K14" s="749">
        <v>24209.45</v>
      </c>
      <c r="L14" s="207">
        <v>11800</v>
      </c>
      <c r="M14" s="207"/>
      <c r="N14" s="207">
        <v>557</v>
      </c>
      <c r="O14" s="207">
        <v>8887</v>
      </c>
      <c r="P14" s="208">
        <f ca="1">AD14+'Klon wp. tydzień 07'!G231</f>
        <v>40700</v>
      </c>
      <c r="Q14" s="614">
        <f ca="1">(K14+N14+O14+L14+M14)-P14</f>
        <v>4753.4499999999971</v>
      </c>
      <c r="R14" s="208">
        <f t="shared" ca="1" si="2"/>
        <v>588</v>
      </c>
      <c r="S14" s="614">
        <f t="shared" ca="1" si="3"/>
        <v>4165.4499999999971</v>
      </c>
      <c r="T14" s="208">
        <f t="shared" ca="1" si="4"/>
        <v>2863.5749999999998</v>
      </c>
      <c r="U14" s="613">
        <f ca="1">S14-AF14</f>
        <v>1301.8749999999973</v>
      </c>
      <c r="V14" s="254">
        <f t="shared" ca="1" si="6"/>
        <v>3451.5749999999998</v>
      </c>
      <c r="W14">
        <f>IF(LEN(C14)&gt;4,9999,C14)</f>
        <v>7058</v>
      </c>
      <c r="X14">
        <f>IF(LEN(C14)&gt;4,9999,0)</f>
        <v>0</v>
      </c>
      <c r="Y14">
        <f>IF(LEN(C14)&gt;4,9999,0)</f>
        <v>0</v>
      </c>
      <c r="Z14">
        <f ca="1">VLOOKUP($J14,Konfiguracja!$B$3:$E$49,2,0)</f>
        <v>121</v>
      </c>
      <c r="AA14">
        <f ca="1">VLOOKUP($J14,Konfiguracja!$B$3:$E$49,3,0)</f>
        <v>122</v>
      </c>
      <c r="AB14">
        <f ca="1">VLOOKUP($J14,Konfiguracja!$B$3:$E$49,4,0)</f>
        <v>123</v>
      </c>
      <c r="AC14" t="s">
        <v>177</v>
      </c>
      <c r="AD14" s="633">
        <f ca="1">IFERROR(VLOOKUP($AC14,'Receptury '!$D$100:$IA$100,Z14,0),0)</f>
        <v>0</v>
      </c>
      <c r="AE14" s="634">
        <f ca="1">IFERROR(VLOOKUP($AC14,'Receptury '!$D$100:$IA$100,AA14,0),0)</f>
        <v>588</v>
      </c>
      <c r="AF14" s="635">
        <f ca="1">IFERROR(VLOOKUP($AC14,'Receptury '!$D$100:$IA$100,AB14,0),0)</f>
        <v>2863.5749999999998</v>
      </c>
      <c r="AG14" s="88">
        <f t="shared" ca="1" si="7"/>
        <v>40700</v>
      </c>
      <c r="AH14" s="88">
        <f t="shared" ca="1" si="8"/>
        <v>0</v>
      </c>
      <c r="AI14" s="88">
        <f t="shared" ca="1" si="9"/>
        <v>0</v>
      </c>
      <c r="AJ14">
        <v>-30902.292999999998</v>
      </c>
      <c r="AK14">
        <f>IF(IFERROR(VLOOKUP(W14,DROBIE,1,0),0),A14,0)</f>
        <v>0</v>
      </c>
      <c r="AL14" s="247">
        <f ca="1">IFERROR(VLOOKUP($I14,Konfiguracja!$M:$U,9,0),0)</f>
        <v>2</v>
      </c>
      <c r="AM14" s="248">
        <f ca="1">IFERROR(VLOOKUP($I14,Konfiguracja!$M:$U,6,0),0)</f>
        <v>35038</v>
      </c>
      <c r="AN14" s="248">
        <f ca="1">IFERROR(VLOOKUP($I14,Konfiguracja!$M:$U,7,0),0)</f>
        <v>560</v>
      </c>
      <c r="AO14" s="249">
        <f ca="1">IFERROR(VLOOKUP($I14,Konfiguracja!$M:$U,8,0),0)</f>
        <v>0</v>
      </c>
      <c r="AQ14" s="258">
        <f>IFERROR(VLOOKUP($I14,Konfiguracja!M:AF,16,0),0)</f>
        <v>32348.5</v>
      </c>
      <c r="AR14">
        <f>IFERROR(VLOOKUP(C14,Receptury_z!$A:$C,3,0),0)</f>
        <v>5560</v>
      </c>
      <c r="AS14" s="256">
        <f>SUMIF(TPS_mięsa!$Q$2:$Q$300,AR14,TPS_mięsa!$G$2:$G$300)/1000</f>
        <v>0</v>
      </c>
      <c r="AT14" s="268">
        <f ca="1">VLOOKUP(AR14,Konfiguracja!$N$60:$AC$148,16,0)/1000</f>
        <v>0</v>
      </c>
      <c r="AU14" s="270">
        <f>IFERROR(VLOOKUP(I14,Konfiguracja!$M$3:$AM$57,26,0),0)</f>
        <v>8600</v>
      </c>
      <c r="AV14" s="279">
        <f t="shared" si="1"/>
        <v>1</v>
      </c>
    </row>
    <row r="15" spans="1:48" ht="23.25">
      <c r="A15" s="33">
        <f>SUMIF(IND_PLAN_BAZA,$W16,IL_PL_0)+SUMIF(IND_PLAN_BAZA,$X16,IL_PL_0)+SUMIF(IND_PLAN_BAZA,$Y16,IL_PL_0)</f>
        <v>0</v>
      </c>
      <c r="B15" s="43" t="str">
        <f>IFERROR(VLOOKUP(C15,Receptury_z!$A:$B,2,0),"Brak w bazie")</f>
        <v>ON</v>
      </c>
      <c r="C15" s="10">
        <v>6413</v>
      </c>
      <c r="D15" s="862" t="s">
        <v>27</v>
      </c>
      <c r="E15" s="870">
        <f>IF(OR($E$4="x",$E$4="d"),0,AT16)</f>
        <v>0</v>
      </c>
      <c r="F15" s="860">
        <f>IF($E$4="x",0,IF($E$4="d",AK16,IF(AV16&gt;1,VLOOKUP(C15,Konfiguracja!$M$60:$T$148,8,0),IF((A15-E15)&lt;0,0,A15-E15))))</f>
        <v>0</v>
      </c>
      <c r="G15" s="203">
        <f>SUMIF(IND_PLAN_BAZA,$W16,IL_PL_1)+SUMIF(IND_PLAN_BAZA,$X16,IL_PL_1)+SUMIF(IND_PLAN_BAZA,$Y16,IL_PL_1)</f>
        <v>0</v>
      </c>
      <c r="H15" s="498">
        <f>SUMIF(IND_PLAN_BAZA,W16,IL_PL_2)+SUMIF(IND_PLAN_BAZA,X16,IL_PL_2)+SUMIF(IND_PLAN_BAZA,Y16,IL_PL_2)</f>
        <v>3</v>
      </c>
      <c r="I15" t="s">
        <v>17344</v>
      </c>
      <c r="J15" s="694" t="s">
        <v>17857</v>
      </c>
      <c r="K15" s="749">
        <v>0</v>
      </c>
      <c r="L15" s="207"/>
      <c r="M15" s="207"/>
      <c r="N15" s="207"/>
      <c r="O15" s="207"/>
      <c r="P15" s="208">
        <f ca="1">AD15+'Klon wp. tydzień 07'!G225+'Klon wp. tydzień 07'!G227</f>
        <v>0</v>
      </c>
      <c r="Q15" s="221">
        <f ca="1">(K15+N15+O15+L15+M15)-P15</f>
        <v>0</v>
      </c>
      <c r="R15" s="208">
        <f ca="1">AE15</f>
        <v>0</v>
      </c>
      <c r="S15" s="221">
        <f ca="1">Q15-R15</f>
        <v>0</v>
      </c>
      <c r="T15" s="208">
        <f ca="1">AF15</f>
        <v>0</v>
      </c>
      <c r="U15" s="563">
        <f ca="1">S15-AF15</f>
        <v>0</v>
      </c>
      <c r="V15" s="254">
        <f ca="1">R15+T15</f>
        <v>0</v>
      </c>
      <c r="W15">
        <f>IF(LEN(C44)&gt;4,9999,C44)</f>
        <v>6496</v>
      </c>
      <c r="X15">
        <f>IF(LEN(C44)&gt;4,9999,0)</f>
        <v>0</v>
      </c>
      <c r="Y15">
        <f>IF(LEN(C44)&gt;4,9999,0)</f>
        <v>0</v>
      </c>
      <c r="Z15">
        <f ca="1">VLOOKUP($J15,Konfiguracja!$B$3:$E$49,2,0)</f>
        <v>208</v>
      </c>
      <c r="AA15">
        <f ca="1">VLOOKUP($J15,Konfiguracja!$B$3:$E$49,3,0)</f>
        <v>209</v>
      </c>
      <c r="AB15">
        <f ca="1">VLOOKUP($J15,Konfiguracja!$B$3:$E$49,4,0)</f>
        <v>210</v>
      </c>
      <c r="AC15" t="s">
        <v>177</v>
      </c>
      <c r="AD15" s="633">
        <f ca="1">IFERROR(VLOOKUP($AC15,'Receptury '!$D$100:$IA$100,Z15,0),0)</f>
        <v>0</v>
      </c>
      <c r="AE15" s="634">
        <f ca="1">IFERROR(VLOOKUP($AC15,'Receptury '!$D$100:$IA$100,AA15,0),0)</f>
        <v>0</v>
      </c>
      <c r="AF15" s="635">
        <f ca="1">IFERROR(VLOOKUP($AC15,'Receptury '!$D$100:$IA$100,AB15,0),0)</f>
        <v>0</v>
      </c>
      <c r="AG15" s="88">
        <f ca="1">P15-AD15</f>
        <v>0</v>
      </c>
      <c r="AH15" s="88">
        <f ca="1">R15-AE15</f>
        <v>0</v>
      </c>
      <c r="AI15" s="88">
        <f ca="1">T15-AF15</f>
        <v>0</v>
      </c>
      <c r="AK15">
        <f>IF(IFERROR(VLOOKUP(W15,DROBIE,1,0),0),A44,0)</f>
        <v>0</v>
      </c>
      <c r="AL15" s="247">
        <f ca="1">IFERROR(VLOOKUP($I15,Konfiguracja!$M:$U,9,0),0)</f>
        <v>0</v>
      </c>
      <c r="AM15" s="248">
        <f ca="1">IFERROR(VLOOKUP($I15,Konfiguracja!$M:$U,6,0),0)</f>
        <v>0</v>
      </c>
      <c r="AN15" s="248">
        <f ca="1">IFERROR(VLOOKUP($I15,Konfiguracja!$M:$U,7,0),0)</f>
        <v>0</v>
      </c>
      <c r="AO15" s="249">
        <f ca="1">IFERROR(VLOOKUP($I15,Konfiguracja!$M:$U,8,0),0)</f>
        <v>0</v>
      </c>
      <c r="AQ15" s="258">
        <f>IFERROR(VLOOKUP($I15,Konfiguracja!M:AF,16,0),0)</f>
        <v>0</v>
      </c>
      <c r="AR15">
        <f>IFERROR(VLOOKUP(C44,Receptury_z!$A:$C,3,0),0)</f>
        <v>5450</v>
      </c>
      <c r="AS15" s="256">
        <f>SUMIF(TPS_mięsa!$Q$2:$Q$300,AR15,TPS_mięsa!$G$2:$G$300)/1000</f>
        <v>0</v>
      </c>
      <c r="AT15" s="268">
        <f ca="1">VLOOKUP(AR15,Konfiguracja!$N$60:$AC$148,16,0)/1000</f>
        <v>0</v>
      </c>
      <c r="AU15" s="270">
        <f>IFERROR(VLOOKUP(I15,Konfiguracja!$M$3:$AM$57,26,0),0)</f>
        <v>0</v>
      </c>
      <c r="AV15" s="279">
        <f t="shared" si="1"/>
        <v>1</v>
      </c>
    </row>
    <row r="16" spans="1:48" ht="24" thickBot="1">
      <c r="A16" s="33">
        <f>SUMIF(IND_PLAN_BAZA,$W26,IL_PL_0)+SUMIF(IND_PLAN_BAZA,$X26,IL_PL_0)+SUMIF(IND_PLAN_BAZA,$Y26,IL_PL_0)</f>
        <v>0</v>
      </c>
      <c r="B16" s="43" t="str">
        <f>IFERROR(VLOOKUP(C16,Receptury_z!$A:$B,2,0),"Brak w bazie")</f>
        <v>ON</v>
      </c>
      <c r="C16" s="10">
        <v>6418</v>
      </c>
      <c r="D16" s="862" t="s">
        <v>28</v>
      </c>
      <c r="E16" s="870">
        <f>IF(OR($E$4="x",$E$4="d"),0,AT26)</f>
        <v>0</v>
      </c>
      <c r="F16" s="860">
        <f>IF($E$4="x",0,IF($E$4="d",AK26,IF(AV26&gt;1,VLOOKUP(C16,Konfiguracja!$M$60:$T$148,8,0),IF((A16-E16)&lt;0,0,A16-E16))))</f>
        <v>0</v>
      </c>
      <c r="G16" s="203">
        <f>SUMIF(IND_PLAN_BAZA,$W26,IL_PL_1)+SUMIF(IND_PLAN_BAZA,$X26,IL_PL_1)+SUMIF(IND_PLAN_BAZA,$Y26,IL_PL_1)</f>
        <v>1.5</v>
      </c>
      <c r="H16" s="498">
        <f>SUMIF(IND_PLAN_BAZA,W26,IL_PL_2)+SUMIF(IND_PLAN_BAZA,X26,IL_PL_2)+SUMIF(IND_PLAN_BAZA,Y26,IL_PL_2)</f>
        <v>0</v>
      </c>
      <c r="I16">
        <v>5214</v>
      </c>
      <c r="J16" s="575" t="s">
        <v>99</v>
      </c>
      <c r="K16" s="749">
        <v>-2262.9629399999976</v>
      </c>
      <c r="L16" s="207"/>
      <c r="M16" s="207"/>
      <c r="N16" s="207"/>
      <c r="O16" s="207">
        <v>40000</v>
      </c>
      <c r="P16" s="222">
        <f t="shared" ref="P16:P21" ca="1" si="11">AD16</f>
        <v>0</v>
      </c>
      <c r="Q16" s="211">
        <f t="shared" ca="1" si="10"/>
        <v>37737.037060000002</v>
      </c>
      <c r="R16" s="224">
        <f ca="1">AE16</f>
        <v>29443.95</v>
      </c>
      <c r="S16" s="211">
        <f ca="1">Q16-R16</f>
        <v>8293.0870600000017</v>
      </c>
      <c r="T16" s="224">
        <f t="shared" ref="T16:T36" ca="1" si="12">AF16</f>
        <v>18698.96</v>
      </c>
      <c r="U16" s="211">
        <f t="shared" ca="1" si="5"/>
        <v>-10405.872939999997</v>
      </c>
      <c r="V16" s="254">
        <f t="shared" ca="1" si="6"/>
        <v>48142.91</v>
      </c>
      <c r="W16">
        <f>IF(LEN(C15)&gt;4,9999,C15)</f>
        <v>6413</v>
      </c>
      <c r="X16">
        <f>IF(LEN(C15)&gt;4,9999,0)</f>
        <v>0</v>
      </c>
      <c r="Y16">
        <f>IF(LEN(C15)&gt;4,9999,0)</f>
        <v>0</v>
      </c>
      <c r="Z16">
        <f ca="1">VLOOKUP($J16,Konfiguracja!$B$3:$E$49,2,0)</f>
        <v>145</v>
      </c>
      <c r="AA16">
        <f ca="1">VLOOKUP($J16,Konfiguracja!$B$3:$E$49,3,0)</f>
        <v>146</v>
      </c>
      <c r="AB16">
        <f ca="1">VLOOKUP($J16,Konfiguracja!$B$3:$E$49,4,0)</f>
        <v>147</v>
      </c>
      <c r="AC16" t="s">
        <v>177</v>
      </c>
      <c r="AD16" s="633">
        <f ca="1">IFERROR(VLOOKUP($AC16,'Receptury '!$D$100:$IA$100,Z16,0),0)</f>
        <v>0</v>
      </c>
      <c r="AE16" s="634">
        <f ca="1">IFERROR(VLOOKUP($AC16,'Receptury '!$D$100:$IA$100,AA16,0),0)</f>
        <v>29443.95</v>
      </c>
      <c r="AF16" s="635">
        <f ca="1">IFERROR(VLOOKUP($AC16,'Receptury '!$D$100:$IA$100,AB16,0),0)</f>
        <v>18698.96</v>
      </c>
      <c r="AG16" s="88">
        <f t="shared" ca="1" si="7"/>
        <v>0</v>
      </c>
      <c r="AH16" s="88">
        <f t="shared" ca="1" si="8"/>
        <v>0</v>
      </c>
      <c r="AI16" s="88">
        <f t="shared" ca="1" si="9"/>
        <v>0</v>
      </c>
      <c r="AJ16">
        <v>1471.2474340000008</v>
      </c>
      <c r="AK16">
        <f>IF(IFERROR(VLOOKUP(W16,DROBIE,1,0),0),A15,0)</f>
        <v>0</v>
      </c>
      <c r="AL16" s="247">
        <f ca="1">IFERROR(VLOOKUP($I16,Konfiguracja!$M:$U,9,0),0)</f>
        <v>1</v>
      </c>
      <c r="AM16" s="248">
        <f ca="1">IFERROR(VLOOKUP($I16,Konfiguracja!$M:$U,6,0),0)</f>
        <v>3506.5</v>
      </c>
      <c r="AN16" s="248">
        <f ca="1">IFERROR(VLOOKUP($I16,Konfiguracja!$M:$U,7,0),0)</f>
        <v>0</v>
      </c>
      <c r="AO16" s="249">
        <f ca="1">IFERROR(VLOOKUP($I16,Konfiguracja!$M:$U,8,0),0)</f>
        <v>0</v>
      </c>
      <c r="AQ16" s="258">
        <f>IFERROR(VLOOKUP($I16,Konfiguracja!M:AF,16,0),0)</f>
        <v>4306.5</v>
      </c>
      <c r="AR16">
        <f>IFERROR(VLOOKUP(C15,Receptury_z!$A:$C,3,0),0)</f>
        <v>5424</v>
      </c>
      <c r="AS16" s="256">
        <f>SUMIF(TPS_mięsa!$Q$2:$Q$300,AR16,TPS_mięsa!$G$2:$G$300)/1000</f>
        <v>0</v>
      </c>
      <c r="AT16" s="268">
        <f ca="1">VLOOKUP(AR16,Konfiguracja!$N$60:$AC$148,16,0)/1000</f>
        <v>0</v>
      </c>
      <c r="AU16" s="270">
        <f>IFERROR(VLOOKUP(I16,Konfiguracja!$M$3:$AM$57,26,0),0)</f>
        <v>0</v>
      </c>
      <c r="AV16" s="279">
        <f t="shared" si="1"/>
        <v>1</v>
      </c>
    </row>
    <row r="17" spans="1:48" ht="24" thickTop="1">
      <c r="A17" s="33">
        <f>SUMIF(IND_PLAN_BAZA,$W17,IL_PL_0)+SUMIF(IND_PLAN_BAZA,$X17,IL_PL_0)+SUMIF(IND_PLAN_BAZA,$Y17,IL_PL_0)</f>
        <v>0</v>
      </c>
      <c r="B17" s="43" t="str">
        <f>IFERROR(VLOOKUP(C17,Receptury_z!$A:$B,2,0),"Brak w bazie")</f>
        <v>ON</v>
      </c>
      <c r="C17" s="507">
        <v>6419</v>
      </c>
      <c r="D17" s="863" t="s">
        <v>73</v>
      </c>
      <c r="E17" s="870">
        <f>IF(OR($E$4="x",$E$4="d"),0,AT17)</f>
        <v>0</v>
      </c>
      <c r="F17" s="860">
        <f>IF($E$4="x",0,IF($E$4="d",AK17,IF(AV17&gt;1,VLOOKUP(C17,Konfiguracja!$M$60:$T$148,8,0),IF((A17-E17)&lt;0,0,A17-E17))))</f>
        <v>0</v>
      </c>
      <c r="G17" s="203">
        <f>SUMIF(IND_PLAN_BAZA,$W17,IL_PL_1)+SUMIF(IND_PLAN_BAZA,$X17,IL_PL_1)+SUMIF(IND_PLAN_BAZA,$Y17,IL_PL_1)</f>
        <v>0</v>
      </c>
      <c r="H17" s="498">
        <f>SUMIF(IND_PLAN_BAZA,W17,IL_PL_2)+SUMIF(IND_PLAN_BAZA,X17,IL_PL_2)+SUMIF(IND_PLAN_BAZA,Y17,IL_PL_2)</f>
        <v>0</v>
      </c>
      <c r="I17" t="s">
        <v>17343</v>
      </c>
      <c r="J17" s="206" t="s">
        <v>1</v>
      </c>
      <c r="K17" s="749">
        <v>338.5</v>
      </c>
      <c r="L17" s="207">
        <v>13000</v>
      </c>
      <c r="M17" s="207"/>
      <c r="N17" s="207"/>
      <c r="O17" s="207">
        <v>11300</v>
      </c>
      <c r="P17" s="222">
        <f ca="1">AD17+'Klon wp. tydzień 07'!G233</f>
        <v>15445</v>
      </c>
      <c r="Q17" s="210">
        <f t="shared" ca="1" si="10"/>
        <v>9193.5</v>
      </c>
      <c r="R17" s="223">
        <f ca="1">AE17</f>
        <v>2271.6000000000004</v>
      </c>
      <c r="S17" s="210">
        <f t="shared" ca="1" si="3"/>
        <v>6921.9</v>
      </c>
      <c r="T17" s="223">
        <f t="shared" ca="1" si="12"/>
        <v>901.07999999999993</v>
      </c>
      <c r="U17" s="210">
        <f t="shared" ca="1" si="5"/>
        <v>6020.82</v>
      </c>
      <c r="V17" s="254">
        <f t="shared" ca="1" si="6"/>
        <v>3172.6800000000003</v>
      </c>
      <c r="W17">
        <f>IF(LEN(C17)&gt;4,9999,C17)</f>
        <v>6419</v>
      </c>
      <c r="X17">
        <f>IF(LEN(C17)&gt;4,9999,0)</f>
        <v>0</v>
      </c>
      <c r="Y17">
        <f>IF(LEN(C17)&gt;4,9999,0)</f>
        <v>0</v>
      </c>
      <c r="Z17">
        <f ca="1">VLOOKUP($J17,Konfiguracja!$B$3:$E$49,2,0)</f>
        <v>124</v>
      </c>
      <c r="AA17">
        <f ca="1">VLOOKUP($J17,Konfiguracja!$B$3:$E$49,3,0)</f>
        <v>125</v>
      </c>
      <c r="AB17">
        <f ca="1">VLOOKUP($J17,Konfiguracja!$B$3:$E$49,4,0)</f>
        <v>126</v>
      </c>
      <c r="AC17" t="s">
        <v>177</v>
      </c>
      <c r="AD17" s="633">
        <f ca="1">IFERROR(VLOOKUP($AC17,'Receptury '!$D$100:$IA$100,Z17,0),0)</f>
        <v>0</v>
      </c>
      <c r="AE17" s="634">
        <f ca="1">IFERROR(VLOOKUP($AC17,'Receptury '!$D$100:$IA$100,AA17,0),0)</f>
        <v>2271.6000000000004</v>
      </c>
      <c r="AF17" s="635">
        <f ca="1">IFERROR(VLOOKUP($AC17,'Receptury '!$D$100:$IA$100,AB17,0),0)</f>
        <v>901.07999999999993</v>
      </c>
      <c r="AG17" s="88">
        <f t="shared" ca="1" si="7"/>
        <v>15445</v>
      </c>
      <c r="AH17" s="88">
        <f t="shared" ca="1" si="8"/>
        <v>0</v>
      </c>
      <c r="AI17" s="88">
        <f t="shared" ca="1" si="9"/>
        <v>0</v>
      </c>
      <c r="AJ17">
        <v>-33472.615000000005</v>
      </c>
      <c r="AK17">
        <f>IF(IFERROR(VLOOKUP(W17,DROBIE,1,0),0),A17,0)</f>
        <v>0</v>
      </c>
      <c r="AL17" s="247">
        <f ca="1">IFERROR(VLOOKUP($I17,Konfiguracja!$M:$U,9,0),0)</f>
        <v>2</v>
      </c>
      <c r="AM17" s="248">
        <f ca="1">IFERROR(VLOOKUP($I17,Konfiguracja!$M:$U,6,0),0)</f>
        <v>2206</v>
      </c>
      <c r="AN17" s="248">
        <f ca="1">IFERROR(VLOOKUP($I17,Konfiguracja!$M:$U,7,0),0)</f>
        <v>1955</v>
      </c>
      <c r="AO17" s="249">
        <f ca="1">IFERROR(VLOOKUP($I17,Konfiguracja!$M:$U,8,0),0)</f>
        <v>0</v>
      </c>
      <c r="AQ17" s="258">
        <f>IFERROR(VLOOKUP($I17,Konfiguracja!M:AF,16,0),0)</f>
        <v>1692.5</v>
      </c>
      <c r="AR17">
        <f>IFERROR(VLOOKUP(C17,Receptury_z!$A:$C,3,0),0)</f>
        <v>5430</v>
      </c>
      <c r="AS17" s="256">
        <f>SUMIF(TPS_mięsa!$Q$2:$Q$300,AR17,TPS_mięsa!$G$2:$G$300)/1000</f>
        <v>6</v>
      </c>
      <c r="AT17" s="268">
        <f ca="1">VLOOKUP(AR17,Konfiguracja!$N$60:$AC$148,16,0)/1000</f>
        <v>6</v>
      </c>
      <c r="AU17" s="270">
        <f>IFERROR(VLOOKUP(I17,Konfiguracja!$M$3:$AM$57,26,0),0)</f>
        <v>10100</v>
      </c>
      <c r="AV17" s="279">
        <f t="shared" si="1"/>
        <v>2</v>
      </c>
    </row>
    <row r="18" spans="1:48" ht="24" thickBot="1">
      <c r="A18" s="33">
        <f>SUMIF(IND_PLAN_BAZA,$W18,IL_PL_0)+SUMIF(IND_PLAN_BAZA,$X18,IL_PL_0)+SUMIF(IND_PLAN_BAZA,$Y18,IL_PL_0)</f>
        <v>0</v>
      </c>
      <c r="B18" s="43" t="str">
        <f>IFERROR(VLOOKUP(C18,Receptury_z!$A:$B,2,0),"Brak w bazie")</f>
        <v>ON</v>
      </c>
      <c r="C18" s="10">
        <v>6421</v>
      </c>
      <c r="D18" s="862" t="s">
        <v>30</v>
      </c>
      <c r="E18" s="870">
        <f>IF(OR($E$4="x",$E$4="d"),0,AT19)</f>
        <v>0</v>
      </c>
      <c r="F18" s="860">
        <f>IF($E$4="x",0,IF($E$4="d",AK18,IF(AV18&gt;1,VLOOKUP(C18,Konfiguracja!$M$60:$T$148,8,0),IF((A18-E18)&lt;0,0,A18-E18))))</f>
        <v>0</v>
      </c>
      <c r="G18" s="203">
        <f>SUMIF(IND_PLAN_BAZA,$W18,IL_PL_1)+SUMIF(IND_PLAN_BAZA,$X18,IL_PL_1)+SUMIF(IND_PLAN_BAZA,$Y18,IL_PL_1)</f>
        <v>0</v>
      </c>
      <c r="H18" s="498">
        <f>SUMIF(IND_PLAN_BAZA,W18,IL_PL_2)+SUMIF(IND_PLAN_BAZA,X18,IL_PL_2)+SUMIF(IND_PLAN_BAZA,Y18,IL_PL_2)</f>
        <v>0</v>
      </c>
      <c r="I18">
        <v>5215</v>
      </c>
      <c r="J18" s="575" t="s">
        <v>98</v>
      </c>
      <c r="K18" s="749">
        <v>-1335.0511300000035</v>
      </c>
      <c r="L18" s="207"/>
      <c r="M18" s="207"/>
      <c r="N18" s="207"/>
      <c r="O18" s="207">
        <v>25000</v>
      </c>
      <c r="P18" s="222">
        <f t="shared" ca="1" si="11"/>
        <v>0</v>
      </c>
      <c r="Q18" s="211">
        <f t="shared" ca="1" si="10"/>
        <v>23664.948869999997</v>
      </c>
      <c r="R18" s="224">
        <f ca="1">AE18</f>
        <v>23593.68</v>
      </c>
      <c r="S18" s="211">
        <f t="shared" ca="1" si="3"/>
        <v>71.268869999996241</v>
      </c>
      <c r="T18" s="224">
        <f t="shared" ca="1" si="12"/>
        <v>19713.98</v>
      </c>
      <c r="U18" s="211">
        <f t="shared" ca="1" si="5"/>
        <v>-19642.711130000003</v>
      </c>
      <c r="V18" s="254">
        <f t="shared" ca="1" si="6"/>
        <v>43307.66</v>
      </c>
      <c r="W18">
        <f>IF(LEN(C18)&gt;4,9999,C18)</f>
        <v>6421</v>
      </c>
      <c r="X18">
        <f>IF(LEN(C18)&gt;4,9999,0)</f>
        <v>0</v>
      </c>
      <c r="Y18">
        <f>IF(LEN(C18)&gt;4,9999,0)</f>
        <v>0</v>
      </c>
      <c r="Z18">
        <f ca="1">VLOOKUP($J18,Konfiguracja!$B$3:$E$49,2,0)</f>
        <v>148</v>
      </c>
      <c r="AA18">
        <f ca="1">VLOOKUP($J18,Konfiguracja!$B$3:$E$49,3,0)</f>
        <v>149</v>
      </c>
      <c r="AB18">
        <f ca="1">VLOOKUP($J18,Konfiguracja!$B$3:$E$49,4,0)</f>
        <v>150</v>
      </c>
      <c r="AC18" t="s">
        <v>177</v>
      </c>
      <c r="AD18" s="633">
        <f ca="1">IFERROR(VLOOKUP($AC18,'Receptury '!$D$100:$IA$100,Z18,0),0)</f>
        <v>0</v>
      </c>
      <c r="AE18" s="634">
        <f ca="1">IFERROR(VLOOKUP($AC18,'Receptury '!$D$100:$IA$100,AA18,0),0)</f>
        <v>23593.68</v>
      </c>
      <c r="AF18" s="635">
        <f ca="1">IFERROR(VLOOKUP($AC18,'Receptury '!$D$100:$IA$100,AB18,0),0)</f>
        <v>19713.98</v>
      </c>
      <c r="AG18" s="88">
        <f t="shared" ca="1" si="7"/>
        <v>0</v>
      </c>
      <c r="AH18" s="88">
        <f t="shared" ca="1" si="8"/>
        <v>0</v>
      </c>
      <c r="AI18" s="88">
        <f t="shared" ca="1" si="9"/>
        <v>0</v>
      </c>
      <c r="AJ18">
        <v>8128.9419999999991</v>
      </c>
      <c r="AK18">
        <f>IF(IFERROR(VLOOKUP(W18,DROBIE,1,0),0),A18,0)</f>
        <v>0</v>
      </c>
      <c r="AL18" s="247">
        <f ca="1">IFERROR(VLOOKUP($I18,Konfiguracja!$M:$U,9,0),0)</f>
        <v>1</v>
      </c>
      <c r="AM18" s="248">
        <f ca="1">IFERROR(VLOOKUP($I18,Konfiguracja!$M:$U,6,0),0)</f>
        <v>3228</v>
      </c>
      <c r="AN18" s="248">
        <f ca="1">IFERROR(VLOOKUP($I18,Konfiguracja!$M:$U,7,0),0)</f>
        <v>0</v>
      </c>
      <c r="AO18" s="249">
        <f ca="1">IFERROR(VLOOKUP($I18,Konfiguracja!$M:$U,8,0),0)</f>
        <v>0</v>
      </c>
      <c r="AQ18" s="258">
        <f>IFERROR(VLOOKUP($I18,Konfiguracja!M:AF,16,0),0)</f>
        <v>4200</v>
      </c>
      <c r="AR18">
        <f>IFERROR(VLOOKUP(C18,Receptury_z!$A:$C,3,0),0)</f>
        <v>5431</v>
      </c>
      <c r="AS18" s="256">
        <f>SUMIF(TPS_mięsa!$Q$2:$Q$300,AR18,TPS_mięsa!$G$2:$G$300)/1000</f>
        <v>0</v>
      </c>
      <c r="AT18" s="268">
        <f ca="1">VLOOKUP(AR18,Konfiguracja!$N$60:$AC$148,16,0)/1000</f>
        <v>0</v>
      </c>
      <c r="AU18" s="270">
        <f>IFERROR(VLOOKUP(I18,Konfiguracja!$M$3:$AM$57,26,0),0)</f>
        <v>0</v>
      </c>
      <c r="AV18" s="279">
        <f t="shared" si="1"/>
        <v>1</v>
      </c>
    </row>
    <row r="19" spans="1:48" ht="24" thickTop="1">
      <c r="A19" s="33">
        <f>SUMIF(IND_PLAN_BAZA,$W19,IL_PL_0)+SUMIF(IND_PLAN_BAZA,$X19,IL_PL_0)+SUMIF(IND_PLAN_BAZA,$Y19,IL_PL_0)</f>
        <v>6</v>
      </c>
      <c r="B19" s="43" t="str">
        <f>IFERROR(VLOOKUP(C19,Receptury_z!$A:$B,2,0),"Brak w bazie")</f>
        <v>ON</v>
      </c>
      <c r="C19" s="251">
        <v>6501</v>
      </c>
      <c r="D19" s="864" t="s">
        <v>17975</v>
      </c>
      <c r="E19" s="870">
        <f>IF(OR($E$4="x",$E$4="d"),0,AT19)</f>
        <v>0</v>
      </c>
      <c r="F19" s="860">
        <f>IF($E$4="x",0,IF($E$4="d",AK19,IF(AV19&gt;1,VLOOKUP(C19,Konfiguracja!$M$60:$T$148,8,0),IF((A19-E19)&lt;0,0,A19-E19))))</f>
        <v>0</v>
      </c>
      <c r="G19" s="203">
        <f>SUMIF(IND_PLAN_BAZA,$W19,IL_PL_1)+SUMIF(IND_PLAN_BAZA,$X19,IL_PL_1)+SUMIF(IND_PLAN_BAZA,$Y19,IL_PL_1)</f>
        <v>9</v>
      </c>
      <c r="H19" s="498">
        <f>SUMIF(IND_PLAN_BAZA,W19,IL_PL_2)+SUMIF(IND_PLAN_BAZA,X19,IL_PL_2)+SUMIF(IND_PLAN_BAZA,Y19,IL_PL_2)</f>
        <v>9</v>
      </c>
      <c r="I19" t="s">
        <v>17945</v>
      </c>
      <c r="J19" s="206" t="s">
        <v>8518</v>
      </c>
      <c r="K19" s="749">
        <v>-2951.34</v>
      </c>
      <c r="L19" s="207">
        <v>3600</v>
      </c>
      <c r="M19" s="207"/>
      <c r="N19" s="207">
        <v>8000</v>
      </c>
      <c r="O19" s="207"/>
      <c r="P19" s="222">
        <f ca="1">AD19+'Klon wp. tydzień 07'!G235</f>
        <v>5750</v>
      </c>
      <c r="Q19" s="210">
        <f t="shared" ref="Q19" ca="1" si="13">(K19+N19+O19+L19+M19)-P19</f>
        <v>2898.66</v>
      </c>
      <c r="R19" s="223">
        <f t="shared" ref="R19:R23" ca="1" si="14">AE19</f>
        <v>678.06000000000006</v>
      </c>
      <c r="S19" s="210">
        <f t="shared" ca="1" si="3"/>
        <v>2220.6</v>
      </c>
      <c r="T19" s="223">
        <f t="shared" ca="1" si="12"/>
        <v>0</v>
      </c>
      <c r="U19" s="210">
        <f t="shared" ca="1" si="5"/>
        <v>2220.6</v>
      </c>
      <c r="V19" s="254">
        <f t="shared" ca="1" si="6"/>
        <v>678.06000000000006</v>
      </c>
      <c r="W19">
        <f>IF(LEN(C19)&gt;4,9999,C19)</f>
        <v>6501</v>
      </c>
      <c r="X19">
        <f>IF(LEN(C19)&gt;4,9999,0)</f>
        <v>0</v>
      </c>
      <c r="Y19">
        <f>IF(LEN(C19)&gt;4,9999,0)</f>
        <v>0</v>
      </c>
      <c r="Z19">
        <f ca="1">VLOOKUP($J19,Konfiguracja!$B$3:$E$49,2,0)</f>
        <v>127</v>
      </c>
      <c r="AA19">
        <f ca="1">VLOOKUP($J19,Konfiguracja!$B$3:$E$49,3,0)</f>
        <v>128</v>
      </c>
      <c r="AB19">
        <f ca="1">VLOOKUP($J19,Konfiguracja!$B$3:$E$49,4,0)</f>
        <v>129</v>
      </c>
      <c r="AC19" t="s">
        <v>177</v>
      </c>
      <c r="AD19" s="633">
        <f ca="1">IFERROR(VLOOKUP($AC19,'Receptury '!$D$100:$IA$100,Z19,0),0)</f>
        <v>0</v>
      </c>
      <c r="AE19" s="634">
        <f ca="1">IFERROR(VLOOKUP($AC19,'Receptury '!$D$100:$IA$100,AA19,0),0)</f>
        <v>678.06000000000006</v>
      </c>
      <c r="AF19" s="635">
        <f ca="1">IFERROR(VLOOKUP($AC19,'Receptury '!$D$100:$IA$100,AB19,0),0)</f>
        <v>0</v>
      </c>
      <c r="AG19" s="88">
        <f t="shared" ca="1" si="7"/>
        <v>5750</v>
      </c>
      <c r="AH19" s="88">
        <f t="shared" ca="1" si="8"/>
        <v>0</v>
      </c>
      <c r="AI19" s="88">
        <f t="shared" ca="1" si="9"/>
        <v>0</v>
      </c>
      <c r="AJ19">
        <v>-3168.35</v>
      </c>
      <c r="AK19">
        <f>IF(IFERROR(VLOOKUP(W19,DROBIE,1,0),0),A19,0)</f>
        <v>0</v>
      </c>
      <c r="AL19" s="247">
        <f ca="1">IFERROR(VLOOKUP($I19,Konfiguracja!$M:$U,9,0),0)</f>
        <v>1</v>
      </c>
      <c r="AM19" s="248">
        <f ca="1">IFERROR(VLOOKUP($I19,Konfiguracja!$M:$U,6,0),0)</f>
        <v>87.5</v>
      </c>
      <c r="AN19" s="248">
        <f ca="1">IFERROR(VLOOKUP($I19,Konfiguracja!$M:$U,7,0),0)</f>
        <v>0</v>
      </c>
      <c r="AO19" s="249">
        <f ca="1">IFERROR(VLOOKUP($I19,Konfiguracja!$M:$U,8,0),0)</f>
        <v>0</v>
      </c>
      <c r="AQ19" s="258">
        <f>IFERROR(VLOOKUP($I19,Konfiguracja!M:AF,16,0),0)</f>
        <v>87.5</v>
      </c>
      <c r="AR19">
        <f>IFERROR(VLOOKUP(C19,Receptury_z!$A:$C,3,0),0)</f>
        <v>5697</v>
      </c>
      <c r="AS19" s="256">
        <f>SUMIF(TPS_mięsa!$Q$2:$Q$300,AR19,TPS_mięsa!$G$2:$G$300)/1000</f>
        <v>0</v>
      </c>
      <c r="AT19" s="268">
        <f ca="1">VLOOKUP(AR19,Konfiguracja!$N$60:$AC$148,16,0)/1000</f>
        <v>0</v>
      </c>
      <c r="AU19" s="270">
        <f>IFERROR(VLOOKUP(I19,Konfiguracja!$M$3:$AM$57,26,0),0)</f>
        <v>3000</v>
      </c>
      <c r="AV19" s="279">
        <f t="shared" si="1"/>
        <v>1</v>
      </c>
    </row>
    <row r="20" spans="1:48" ht="24" thickBot="1">
      <c r="A20" s="33">
        <f>SUMIF(IND_PLAN_BAZA,$W21,IL_PL_0)+SUMIF(IND_PLAN_BAZA,$X21,IL_PL_0)+SUMIF(IND_PLAN_BAZA,$Y21,IL_PL_0)</f>
        <v>0</v>
      </c>
      <c r="B20" s="43" t="str">
        <f>IFERROR(VLOOKUP(C20,Receptury_z!$A:$B,2,0),"Brak w bazie")</f>
        <v>ON</v>
      </c>
      <c r="C20" s="110">
        <v>6434</v>
      </c>
      <c r="D20" s="862" t="s">
        <v>31</v>
      </c>
      <c r="E20" s="870">
        <f>IF(OR($E$4="x",$E$4="d"),0,AT21)</f>
        <v>0</v>
      </c>
      <c r="F20" s="860">
        <f>IF($E$4="x",0,IF($E$4="d",AK21,IF(AV21&gt;1,VLOOKUP(C20,Konfiguracja!$M$60:$T$148,8,0),IF((A20-E20)&lt;0,0,A20-E20))))</f>
        <v>0</v>
      </c>
      <c r="G20" s="203">
        <f>SUMIF(IND_PLAN_BAZA,$W21,IL_PL_1)+SUMIF(IND_PLAN_BAZA,$X21,IL_PL_1)+SUMIF(IND_PLAN_BAZA,$Y21,IL_PL_1)</f>
        <v>6</v>
      </c>
      <c r="H20" s="498">
        <f>SUMIF(IND_PLAN_BAZA,W21,IL_PL_2)+SUMIF(IND_PLAN_BAZA,X21,IL_PL_2)+SUMIF(IND_PLAN_BAZA,Y21,IL_PL_2)</f>
        <v>0</v>
      </c>
      <c r="I20">
        <v>2208</v>
      </c>
      <c r="J20" s="206" t="s">
        <v>8517</v>
      </c>
      <c r="K20" s="749">
        <v>3198.5</v>
      </c>
      <c r="L20" s="207">
        <v>3500</v>
      </c>
      <c r="M20" s="207"/>
      <c r="N20" s="207"/>
      <c r="O20" s="207"/>
      <c r="P20" s="222">
        <f ca="1">AD20+'Klon wp. tydzień 07'!G236</f>
        <v>5100</v>
      </c>
      <c r="Q20" s="568">
        <f ca="1">(K20+N20+O20+L20+M20)-P20</f>
        <v>1598.5</v>
      </c>
      <c r="R20" s="223">
        <f ca="1">AE20</f>
        <v>0</v>
      </c>
      <c r="S20" s="568">
        <f ca="1">Q20-R20</f>
        <v>1598.5</v>
      </c>
      <c r="T20" s="223">
        <f ca="1">AF20</f>
        <v>380.1</v>
      </c>
      <c r="U20" s="568">
        <f ca="1">S20-AF20</f>
        <v>1218.4000000000001</v>
      </c>
      <c r="V20" s="254">
        <f ca="1">R20+T20</f>
        <v>380.1</v>
      </c>
      <c r="W20">
        <f>IF(LEN(C21)&gt;4,9999,C21)</f>
        <v>6520</v>
      </c>
      <c r="X20">
        <f>IF(LEN(C21)&gt;4,9999,0)</f>
        <v>0</v>
      </c>
      <c r="Y20">
        <f>IF(LEN(C21)&gt;4,9999,0)</f>
        <v>0</v>
      </c>
      <c r="Z20">
        <f ca="1">VLOOKUP($J20,Konfiguracja!$B$3:$E$49,2,0)</f>
        <v>226</v>
      </c>
      <c r="AA20">
        <f ca="1">VLOOKUP($J20,Konfiguracja!$B$3:$E$49,3,0)</f>
        <v>227</v>
      </c>
      <c r="AB20">
        <f ca="1">VLOOKUP($J20,Konfiguracja!$B$3:$E$49,4,0)</f>
        <v>228</v>
      </c>
      <c r="AC20" t="s">
        <v>177</v>
      </c>
      <c r="AD20" s="633">
        <f ca="1">IFERROR(VLOOKUP($AC20,'Receptury '!$D$100:$IA$100,Z20,0),0)</f>
        <v>0</v>
      </c>
      <c r="AE20" s="634">
        <f ca="1">IFERROR(VLOOKUP($AC20,'Receptury '!$D$100:$IA$100,AA20,0),0)</f>
        <v>0</v>
      </c>
      <c r="AF20" s="635">
        <f ca="1">IFERROR(VLOOKUP($AC20,'Receptury '!$D$100:$IA$100,AB20,0),0)</f>
        <v>380.1</v>
      </c>
      <c r="AG20" s="88"/>
      <c r="AH20" s="88"/>
      <c r="AI20" s="88"/>
      <c r="AK20">
        <f>IF(IFERROR(VLOOKUP(W20,DROBIE,1,0),0),A21,0)</f>
        <v>0</v>
      </c>
      <c r="AL20" s="247">
        <f ca="1">IFERROR(VLOOKUP($I20,Konfiguracja!$M:$U,9,0),0)</f>
        <v>1</v>
      </c>
      <c r="AM20" s="248">
        <f ca="1">IFERROR(VLOOKUP($I20,Konfiguracja!$M:$U,6,0),0)</f>
        <v>2018.5</v>
      </c>
      <c r="AN20" s="248">
        <f ca="1">IFERROR(VLOOKUP($I20,Konfiguracja!$M:$U,7,0),0)</f>
        <v>0</v>
      </c>
      <c r="AO20" s="249">
        <f ca="1">IFERROR(VLOOKUP($I20,Konfiguracja!$M:$U,8,0),0)</f>
        <v>0</v>
      </c>
      <c r="AQ20" s="258">
        <f>IFERROR(VLOOKUP($I20,Konfiguracja!M:AF,16,0),0)</f>
        <v>2018.5</v>
      </c>
      <c r="AR20">
        <f>IFERROR(VLOOKUP(C21,Receptury_z!$A:$C,3,0),0)</f>
        <v>5430</v>
      </c>
      <c r="AS20" s="256">
        <f>SUMIF(TPS_mięsa!$Q$2:$Q$300,AR20,TPS_mięsa!$G$2:$G$300)/1000</f>
        <v>6</v>
      </c>
      <c r="AT20" s="268">
        <f ca="1">VLOOKUP(AR20,Konfiguracja!$N$60:$AC$148,16,0)/1000</f>
        <v>6</v>
      </c>
      <c r="AU20" s="270">
        <f>IFERROR(VLOOKUP(I20,Konfiguracja!$M$3:$AM$57,26,0),0)</f>
        <v>2900</v>
      </c>
      <c r="AV20" s="279">
        <f t="shared" si="1"/>
        <v>2</v>
      </c>
    </row>
    <row r="21" spans="1:48" ht="24" thickTop="1">
      <c r="A21" s="33">
        <f>SUMIF(IND_PLAN_BAZA,$W20,IL_PL_0)+SUMIF(IND_PLAN_BAZA,$X20,IL_PL_0)+SUMIF(IND_PLAN_BAZA,$Y20,IL_PL_0)</f>
        <v>0</v>
      </c>
      <c r="B21" s="43" t="str">
        <f>IFERROR(VLOOKUP(C21,Receptury_z!$A:$B,2,0),"Brak w bazie")</f>
        <v>ON</v>
      </c>
      <c r="C21" s="507">
        <v>6520</v>
      </c>
      <c r="D21" s="863" t="s">
        <v>8521</v>
      </c>
      <c r="E21" s="870">
        <f>IF(OR($E$4="x",$E$4="d"),0,AT20)</f>
        <v>0</v>
      </c>
      <c r="F21" s="860">
        <f>IF($E$4="x",0,IF($E$4="d",AK20,IF(AV20&gt;1,VLOOKUP(C21,Konfiguracja!$M$60:$T$148,8,0),IF((A21-E21)&lt;0,0,A21-E21))))</f>
        <v>0</v>
      </c>
      <c r="G21" s="203">
        <f>SUMIF(IND_PLAN_BAZA,$W20,IL_PL_1)+SUMIF(IND_PLAN_BAZA,$X20,IL_PL_1)+SUMIF(IND_PLAN_BAZA,$Y20,IL_PL_1)</f>
        <v>0</v>
      </c>
      <c r="H21" s="498">
        <f>SUMIF(IND_PLAN_BAZA,W20,IL_PL_2)+SUMIF(IND_PLAN_BAZA,X20,IL_PL_2)+SUMIF(IND_PLAN_BAZA,Y20,IL_PL_2)</f>
        <v>0</v>
      </c>
      <c r="I21" t="s">
        <v>14682</v>
      </c>
      <c r="J21" s="575" t="s">
        <v>184</v>
      </c>
      <c r="K21" s="749">
        <v>-1521.5099999999998</v>
      </c>
      <c r="L21" s="207"/>
      <c r="M21" s="207"/>
      <c r="N21" s="207"/>
      <c r="O21" s="207">
        <v>12500</v>
      </c>
      <c r="P21" s="222">
        <f t="shared" ca="1" si="11"/>
        <v>0</v>
      </c>
      <c r="Q21" s="567">
        <f ca="1">(K21+N21+O21+L21+M21)-P21</f>
        <v>10978.49</v>
      </c>
      <c r="R21" s="224">
        <f t="shared" ca="1" si="14"/>
        <v>6855.62</v>
      </c>
      <c r="S21" s="567">
        <f t="shared" ca="1" si="3"/>
        <v>4122.87</v>
      </c>
      <c r="T21" s="224">
        <f t="shared" ca="1" si="12"/>
        <v>4053.06</v>
      </c>
      <c r="U21" s="567">
        <f t="shared" ca="1" si="5"/>
        <v>69.809999999999945</v>
      </c>
      <c r="V21" s="254">
        <f t="shared" ca="1" si="6"/>
        <v>10908.68</v>
      </c>
      <c r="W21">
        <f>IF(LEN(C20)&gt;4,9999,C20)</f>
        <v>6434</v>
      </c>
      <c r="X21">
        <f>IF(LEN(C20)&gt;4,9999,0)</f>
        <v>0</v>
      </c>
      <c r="Y21">
        <f>IF(LEN(C20)&gt;4,9999,0)</f>
        <v>0</v>
      </c>
      <c r="Z21">
        <f ca="1">VLOOKUP($J21,Konfiguracja!$B$3:$E$49,2,0)</f>
        <v>157</v>
      </c>
      <c r="AA21">
        <f ca="1">VLOOKUP($J21,Konfiguracja!$B$3:$E$49,3,0)</f>
        <v>158</v>
      </c>
      <c r="AB21">
        <f ca="1">VLOOKUP($J21,Konfiguracja!$B$3:$E$49,4,0)</f>
        <v>159</v>
      </c>
      <c r="AC21" t="s">
        <v>177</v>
      </c>
      <c r="AD21" s="633">
        <f ca="1">IFERROR(VLOOKUP($AC21,'Receptury '!$D$100:$IA$100,Z21,0),0)</f>
        <v>0</v>
      </c>
      <c r="AE21" s="634">
        <f ca="1">IFERROR(VLOOKUP($AC21,'Receptury '!$D$100:$IA$100,AA21,0),0)</f>
        <v>6855.62</v>
      </c>
      <c r="AF21" s="635">
        <f ca="1">IFERROR(VLOOKUP($AC21,'Receptury '!$D$100:$IA$100,AB21,0),0)</f>
        <v>4053.06</v>
      </c>
      <c r="AG21" s="88">
        <f t="shared" ca="1" si="7"/>
        <v>0</v>
      </c>
      <c r="AH21" s="88">
        <f t="shared" ca="1" si="8"/>
        <v>0</v>
      </c>
      <c r="AI21" s="88">
        <f t="shared" ca="1" si="9"/>
        <v>0</v>
      </c>
      <c r="AJ21">
        <v>-190.58</v>
      </c>
      <c r="AK21">
        <f>IF(IFERROR(VLOOKUP(W21,DROBIE,1,0),0),A20,0)</f>
        <v>0</v>
      </c>
      <c r="AL21" s="247">
        <f ca="1">IFERROR(VLOOKUP($I21,Konfiguracja!$M:$U,9,0),0)</f>
        <v>1</v>
      </c>
      <c r="AM21" s="248">
        <f ca="1">IFERROR(VLOOKUP($I21,Konfiguracja!$M:$U,6,0),0)</f>
        <v>0</v>
      </c>
      <c r="AN21" s="248">
        <f ca="1">IFERROR(VLOOKUP($I21,Konfiguracja!$M:$U,7,0),0)</f>
        <v>1573</v>
      </c>
      <c r="AO21" s="249">
        <f ca="1">IFERROR(VLOOKUP($I21,Konfiguracja!$M:$U,8,0),0)</f>
        <v>0</v>
      </c>
      <c r="AQ21" s="258">
        <f>IFERROR(VLOOKUP($I21,Konfiguracja!M:AF,16,0),0)</f>
        <v>1573</v>
      </c>
      <c r="AR21">
        <f>IFERROR(VLOOKUP(C20,Receptury_z!$A:$C,3,0),0)</f>
        <v>5438</v>
      </c>
      <c r="AS21" s="256">
        <f>SUMIF(TPS_mięsa!$Q$2:$Q$300,AR21,TPS_mięsa!$G$2:$G$300)/1000</f>
        <v>0</v>
      </c>
      <c r="AT21" s="268">
        <f ca="1">VLOOKUP(AR21,Konfiguracja!$N$60:$AC$148,16,0)/1000</f>
        <v>0</v>
      </c>
      <c r="AU21" s="270">
        <f>IFERROR(VLOOKUP(I21,Konfiguracja!$M$3:$AM$57,26,0),0)</f>
        <v>0</v>
      </c>
      <c r="AV21" s="279">
        <f t="shared" si="1"/>
        <v>1</v>
      </c>
    </row>
    <row r="22" spans="1:48" ht="23.25">
      <c r="A22" s="33">
        <f>SUMIF(IND_PLAN_BAZA,$W51,IL_PL_0)+SUMIF(IND_PLAN_BAZA,$X51,IL_PL_0)+SUMIF(IND_PLAN_BAZA,$Y51,IL_PL_0)</f>
        <v>0</v>
      </c>
      <c r="B22" s="43" t="str">
        <f>IFERROR(VLOOKUP(C22,Receptury_z!$A:$B,2,0),"Brak w bazie")</f>
        <v>ON</v>
      </c>
      <c r="C22" s="10">
        <v>6438</v>
      </c>
      <c r="D22" s="862" t="s">
        <v>33</v>
      </c>
      <c r="E22" s="870">
        <f>IF(OR($E$4="x",$E$4="d"),0,AT23)</f>
        <v>0</v>
      </c>
      <c r="F22" s="860">
        <f>IF($E$4="x",0,IF($E$4="d",AK51,IF(AV51&gt;1,VLOOKUP(C22,Konfiguracja!$M$60:$T$148,8,0),IF((A22-E22)&lt;0,0,A22-E22))))</f>
        <v>0</v>
      </c>
      <c r="G22" s="203">
        <f>SUMIF(IND_PLAN_BAZA,$W51,IL_PL_1)+SUMIF(IND_PLAN_BAZA,$X51,IL_PL_1)+SUMIF(IND_PLAN_BAZA,$Y51,IL_PL_1)</f>
        <v>0</v>
      </c>
      <c r="H22" s="498">
        <f>SUMIF(IND_PLAN_BAZA,W51,IL_PL_2)+SUMIF(IND_PLAN_BAZA,X51,IL_PL_2)+SUMIF(IND_PLAN_BAZA,Y51,IL_PL_2)</f>
        <v>0</v>
      </c>
      <c r="I22" t="s">
        <v>15959</v>
      </c>
      <c r="J22" s="206" t="s">
        <v>10</v>
      </c>
      <c r="K22" s="749">
        <v>2941.3787899999998</v>
      </c>
      <c r="L22" s="207">
        <v>7000</v>
      </c>
      <c r="M22" s="207"/>
      <c r="N22" s="207"/>
      <c r="O22" s="207"/>
      <c r="P22" s="208">
        <f ca="1">AD22+'Klon wp. tydzień 07'!G246</f>
        <v>7395</v>
      </c>
      <c r="Q22" s="209">
        <f t="shared" ref="Q22:Q26" ca="1" si="15">(K22+N22+O22+L22+M22)-P22</f>
        <v>2546.3787899999988</v>
      </c>
      <c r="R22" s="208">
        <f t="shared" ca="1" si="14"/>
        <v>1348.2</v>
      </c>
      <c r="S22" s="209">
        <f ca="1">Q22-R22</f>
        <v>1198.1787899999988</v>
      </c>
      <c r="T22" s="208">
        <f t="shared" ca="1" si="12"/>
        <v>1802.84</v>
      </c>
      <c r="U22" s="557">
        <f ca="1">S22-AF22</f>
        <v>-604.66121000000112</v>
      </c>
      <c r="V22" s="254">
        <f t="shared" ref="V22:V23" ca="1" si="16">R22+T22</f>
        <v>3151.04</v>
      </c>
      <c r="W22">
        <f>IF(LEN(C23)&gt;4,9999,C23)</f>
        <v>6551</v>
      </c>
      <c r="X22">
        <f>IF(LEN(C23)&gt;4,9999,0)</f>
        <v>0</v>
      </c>
      <c r="Y22">
        <f>IF(LEN(C23)&gt;4,9999,0)</f>
        <v>0</v>
      </c>
      <c r="Z22">
        <f ca="1">VLOOKUP($J22,Konfiguracja!$B$3:$E$49,2,0)</f>
        <v>136</v>
      </c>
      <c r="AA22">
        <f ca="1">VLOOKUP($J22,Konfiguracja!$B$3:$E$49,3,0)</f>
        <v>137</v>
      </c>
      <c r="AB22">
        <f ca="1">VLOOKUP($J22,Konfiguracja!$B$3:$E$49,4,0)</f>
        <v>138</v>
      </c>
      <c r="AC22" t="s">
        <v>177</v>
      </c>
      <c r="AD22" s="633">
        <f ca="1">IFERROR(VLOOKUP($AC22,'Receptury '!$D$100:$IA$100,Z22,0),0)</f>
        <v>0</v>
      </c>
      <c r="AE22" s="634">
        <f ca="1">IFERROR(VLOOKUP($AC22,'Receptury '!$D$100:$IA$100,AA22,0),0)</f>
        <v>1348.2</v>
      </c>
      <c r="AF22" s="635">
        <f ca="1">IFERROR(VLOOKUP($AC22,'Receptury '!$D$100:$IA$100,AB22,0),0)</f>
        <v>1802.84</v>
      </c>
      <c r="AG22" s="88">
        <f t="shared" ca="1" si="7"/>
        <v>7395</v>
      </c>
      <c r="AH22" s="88">
        <f t="shared" ca="1" si="8"/>
        <v>0</v>
      </c>
      <c r="AI22" s="88">
        <f t="shared" ca="1" si="9"/>
        <v>0</v>
      </c>
      <c r="AJ22">
        <v>11897.815000000001</v>
      </c>
      <c r="AK22">
        <f>IF(IFERROR(VLOOKUP(W22,DROBIE,1,0),0),A23,0)</f>
        <v>0</v>
      </c>
      <c r="AL22" s="247">
        <f ca="1">IFERROR(VLOOKUP($I22,Konfiguracja!$M:$U,9,0),0)</f>
        <v>1</v>
      </c>
      <c r="AM22" s="248">
        <f ca="1">IFERROR(VLOOKUP($I22,Konfiguracja!$M:$U,6,0),0)</f>
        <v>0</v>
      </c>
      <c r="AN22" s="248">
        <f ca="1">IFERROR(VLOOKUP($I22,Konfiguracja!$M:$U,7,0),0)</f>
        <v>12788</v>
      </c>
      <c r="AO22" s="249">
        <f ca="1">IFERROR(VLOOKUP($I22,Konfiguracja!$M:$U,8,0),0)</f>
        <v>0</v>
      </c>
      <c r="AQ22" s="258">
        <f>IFERROR(VLOOKUP($I22,Konfiguracja!M:AF,16,0),0)</f>
        <v>12322.5</v>
      </c>
      <c r="AR22">
        <f>IFERROR(VLOOKUP(C23,Receptury_z!$A:$C,3,0),0)</f>
        <v>5559</v>
      </c>
      <c r="AS22" s="256">
        <f>SUMIF(TPS_mięsa!$Q$2:$Q$300,AR22,TPS_mięsa!$G$2:$G$300)/1000</f>
        <v>0</v>
      </c>
      <c r="AT22" s="268">
        <f ca="1">VLOOKUP(AR22,Konfiguracja!$N$60:$AC$148,16,0)/1000</f>
        <v>0</v>
      </c>
      <c r="AU22" s="270">
        <f>IFERROR(VLOOKUP(I22,Konfiguracja!$M$3:$AM$57,26,0),0)</f>
        <v>5000</v>
      </c>
      <c r="AV22" s="279">
        <f t="shared" si="1"/>
        <v>1</v>
      </c>
    </row>
    <row r="23" spans="1:48" ht="24" thickBot="1">
      <c r="A23" s="33">
        <f>SUMIF(IND_PLAN_BAZA,$W22,IL_PL_0)+SUMIF(IND_PLAN_BAZA,$X22,IL_PL_0)+SUMIF(IND_PLAN_BAZA,$Y22,IL_PL_0)</f>
        <v>0</v>
      </c>
      <c r="B23" s="43" t="str">
        <f>IFERROR(VLOOKUP(C23,Receptury_z!$A:$B,2,0),"Brak w bazie")</f>
        <v>ON</v>
      </c>
      <c r="C23" s="10">
        <v>6551</v>
      </c>
      <c r="D23" s="862" t="s">
        <v>35</v>
      </c>
      <c r="E23" s="870">
        <f>IF(OR($E$4="x",$E$4="d"),0,AT22)</f>
        <v>0</v>
      </c>
      <c r="F23" s="860">
        <f>IF($E$4="x",0,IF($E$4="d",AK22,IF(AV22&gt;1,VLOOKUP(C23,Konfiguracja!$M$60:$T$148,8,0),IF((A23-E23)&lt;0,0,A23-E23))))</f>
        <v>0</v>
      </c>
      <c r="G23" s="203">
        <f>SUMIF(IND_PLAN_BAZA,$W22,IL_PL_1)+SUMIF(IND_PLAN_BAZA,$X22,IL_PL_1)+SUMIF(IND_PLAN_BAZA,$Y22,IL_PL_1)</f>
        <v>0</v>
      </c>
      <c r="H23" s="498">
        <f>SUMIF(IND_PLAN_BAZA,W22,IL_PL_2)+SUMIF(IND_PLAN_BAZA,X22,IL_PL_2)+SUMIF(IND_PLAN_BAZA,Y22,IL_PL_2)</f>
        <v>0</v>
      </c>
      <c r="I23">
        <v>2003</v>
      </c>
      <c r="J23" s="206" t="s">
        <v>11</v>
      </c>
      <c r="K23" s="749">
        <v>1664.7600000000004</v>
      </c>
      <c r="L23" s="207">
        <v>4000</v>
      </c>
      <c r="M23" s="207"/>
      <c r="N23" s="207"/>
      <c r="O23" s="207"/>
      <c r="P23" s="208">
        <f ca="1">AD23+'Klon wp. tydzień 07'!G240</f>
        <v>0</v>
      </c>
      <c r="Q23" s="209">
        <f ca="1">(K23+N23+O23+L23+M23)-P23</f>
        <v>5664.76</v>
      </c>
      <c r="R23" s="208">
        <f t="shared" ca="1" si="14"/>
        <v>1881.61</v>
      </c>
      <c r="S23" s="209">
        <f t="shared" ca="1" si="3"/>
        <v>3783.1500000000005</v>
      </c>
      <c r="T23" s="208">
        <f t="shared" ca="1" si="12"/>
        <v>1826</v>
      </c>
      <c r="U23" s="557">
        <f t="shared" ca="1" si="5"/>
        <v>1957.1500000000005</v>
      </c>
      <c r="V23" s="254">
        <f t="shared" ca="1" si="16"/>
        <v>3707.6099999999997</v>
      </c>
      <c r="W23">
        <f>IF(LEN(C24)&gt;4,9999,C24)</f>
        <v>6454</v>
      </c>
      <c r="X23">
        <f>IF(LEN(C24)&gt;4,9999,0)</f>
        <v>0</v>
      </c>
      <c r="Y23">
        <f>IF(LEN(C24)&gt;4,9999,0)</f>
        <v>0</v>
      </c>
      <c r="Z23">
        <f ca="1">VLOOKUP($J23,Konfiguracja!$B$3:$E$49,2,0)</f>
        <v>139</v>
      </c>
      <c r="AA23">
        <f ca="1">VLOOKUP($J23,Konfiguracja!$B$3:$E$49,3,0)</f>
        <v>140</v>
      </c>
      <c r="AB23">
        <f ca="1">VLOOKUP($J23,Konfiguracja!$B$3:$E$49,4,0)</f>
        <v>141</v>
      </c>
      <c r="AC23" t="s">
        <v>177</v>
      </c>
      <c r="AD23" s="633">
        <f ca="1">IFERROR(VLOOKUP($AC23,'Receptury '!$D$100:$IA$100,Z23,0),0)</f>
        <v>0</v>
      </c>
      <c r="AE23" s="634">
        <f ca="1">IFERROR(VLOOKUP($AC23,'Receptury '!$D$100:$IA$100,AA23,0),0)</f>
        <v>1881.61</v>
      </c>
      <c r="AF23" s="635">
        <f ca="1">IFERROR(VLOOKUP($AC23,'Receptury '!$D$100:$IA$100,AB23,0),0)</f>
        <v>1826</v>
      </c>
      <c r="AG23" s="88">
        <f t="shared" ca="1" si="7"/>
        <v>0</v>
      </c>
      <c r="AH23" s="88">
        <f t="shared" ca="1" si="8"/>
        <v>0</v>
      </c>
      <c r="AI23" s="88">
        <f t="shared" ca="1" si="9"/>
        <v>0</v>
      </c>
      <c r="AJ23">
        <v>0</v>
      </c>
      <c r="AK23">
        <f>IF(IFERROR(VLOOKUP(W23,DROBIE,1,0),0),A24,0)</f>
        <v>0</v>
      </c>
      <c r="AL23" s="247">
        <f ca="1">IFERROR(VLOOKUP($I23,Konfiguracja!$M:$U,9,0),0)</f>
        <v>1</v>
      </c>
      <c r="AM23" s="248">
        <f ca="1">IFERROR(VLOOKUP($I23,Konfiguracja!$M:$U,6,0),0)</f>
        <v>5121</v>
      </c>
      <c r="AN23" s="248">
        <f ca="1">IFERROR(VLOOKUP($I23,Konfiguracja!$M:$U,7,0),0)</f>
        <v>0</v>
      </c>
      <c r="AO23" s="249">
        <f ca="1">IFERROR(VLOOKUP($I23,Konfiguracja!$M:$U,8,0),0)</f>
        <v>0</v>
      </c>
      <c r="AQ23" s="258">
        <f>IFERROR(VLOOKUP($I23,Konfiguracja!M:AF,16,0),0)</f>
        <v>4430</v>
      </c>
      <c r="AR23">
        <f>IFERROR(VLOOKUP(C24,Receptury_z!$A:$C,3,0),0)</f>
        <v>5476</v>
      </c>
      <c r="AS23" s="256">
        <f>SUMIF(TPS_mięsa!$Q$2:$Q$300,AR23,TPS_mięsa!$G$2:$G$300)/1000</f>
        <v>1.5</v>
      </c>
      <c r="AT23" s="268">
        <f ca="1">VLOOKUP(AR23,Konfiguracja!$N$60:$AC$148,16,0)/1000</f>
        <v>1.5</v>
      </c>
      <c r="AU23" s="270">
        <f>IFERROR(VLOOKUP(I23,Konfiguracja!$M$3:$AM$57,26,0),0)</f>
        <v>3400</v>
      </c>
      <c r="AV23" s="279">
        <f t="shared" si="1"/>
        <v>1</v>
      </c>
    </row>
    <row r="24" spans="1:48" ht="24.75" thickTop="1" thickBot="1">
      <c r="A24" s="33">
        <f>SUMIF(IND_PLAN_BAZA,$W23,IL_PL_0)+SUMIF(IND_PLAN_BAZA,$X23,IL_PL_0)+SUMIF(IND_PLAN_BAZA,$Y23,IL_PL_0)</f>
        <v>0</v>
      </c>
      <c r="B24" s="43" t="str">
        <f>IFERROR(VLOOKUP(C24,Receptury_z!$A:$B,2,0),"Brak w bazie")</f>
        <v>ON</v>
      </c>
      <c r="C24" s="10">
        <v>6454</v>
      </c>
      <c r="D24" s="862" t="s">
        <v>37</v>
      </c>
      <c r="E24" s="870">
        <f>IF(OR($E$4="x",$E$4="d"),0,AT25)</f>
        <v>0</v>
      </c>
      <c r="F24" s="860">
        <f>IF($E$4="x",0,IF($E$4="d",AK23,IF(AV23&gt;1,VLOOKUP(C24,Konfiguracja!$M$60:$T$148,8,0),IF((A24-E24)&lt;0,0,A24-E24))))</f>
        <v>0</v>
      </c>
      <c r="G24" s="203">
        <f>SUMIF(IND_PLAN_BAZA,$W23,IL_PL_1)+SUMIF(IND_PLAN_BAZA,$X23,IL_PL_1)+SUMIF(IND_PLAN_BAZA,$Y23,IL_PL_1)</f>
        <v>0</v>
      </c>
      <c r="H24" s="498">
        <f>SUMIF(IND_PLAN_BAZA,W23,IL_PL_2)+SUMIF(IND_PLAN_BAZA,X23,IL_PL_2)+SUMIF(IND_PLAN_BAZA,Y23,IL_PL_2)</f>
        <v>0</v>
      </c>
      <c r="I24">
        <v>5022</v>
      </c>
      <c r="J24" s="575" t="s">
        <v>96</v>
      </c>
      <c r="K24" s="749">
        <v>125.23999999999921</v>
      </c>
      <c r="L24" s="207"/>
      <c r="M24" s="207"/>
      <c r="N24" s="207"/>
      <c r="O24" s="207"/>
      <c r="P24" s="222">
        <f t="shared" ref="P24:P30" ca="1" si="17">AD24</f>
        <v>0</v>
      </c>
      <c r="Q24" s="255">
        <f ca="1">(K24+N24+O24+L24+M24)-P24</f>
        <v>125.23999999999921</v>
      </c>
      <c r="R24" s="224">
        <f t="shared" ref="R24:R37" ca="1" si="18">AE24</f>
        <v>0</v>
      </c>
      <c r="S24" s="255">
        <f t="shared" ca="1" si="3"/>
        <v>125.23999999999921</v>
      </c>
      <c r="T24" s="224">
        <f t="shared" ca="1" si="12"/>
        <v>778.19999999999993</v>
      </c>
      <c r="U24" s="255">
        <f t="shared" ref="U24:U50" ca="1" si="19">S24-AF24</f>
        <v>-652.96000000000072</v>
      </c>
      <c r="V24" s="254">
        <f t="shared" ref="V24:V32" ca="1" si="20">R24+T24</f>
        <v>778.19999999999993</v>
      </c>
      <c r="W24">
        <f>IF(LEN(C31)&gt;4,9999,C31)</f>
        <v>6464</v>
      </c>
      <c r="X24">
        <f>IF(LEN(C31)&gt;4,9999,0)</f>
        <v>0</v>
      </c>
      <c r="Y24">
        <f>IF(LEN(C31)&gt;4,9999,0)</f>
        <v>0</v>
      </c>
      <c r="Z24">
        <f ca="1">VLOOKUP($J24,Konfiguracja!$B$3:$E$49,2,0)</f>
        <v>166</v>
      </c>
      <c r="AA24">
        <f ca="1">VLOOKUP($J24,Konfiguracja!$B$3:$E$49,3,0)</f>
        <v>167</v>
      </c>
      <c r="AB24">
        <f ca="1">VLOOKUP($J24,Konfiguracja!$B$3:$E$49,4,0)</f>
        <v>168</v>
      </c>
      <c r="AC24" t="s">
        <v>177</v>
      </c>
      <c r="AD24" s="633">
        <f ca="1">IFERROR(VLOOKUP($AC24,'Receptury '!$D$100:$IA$100,Z24,0),0)</f>
        <v>0</v>
      </c>
      <c r="AE24" s="634">
        <f ca="1">IFERROR(VLOOKUP($AC24,'Receptury '!$D$100:$IA$100,AA24,0),0)</f>
        <v>0</v>
      </c>
      <c r="AF24" s="635">
        <f ca="1">IFERROR(VLOOKUP($AC24,'Receptury '!$D$100:$IA$100,AB24,0),0)</f>
        <v>778.19999999999993</v>
      </c>
      <c r="AG24" s="88">
        <f t="shared" ca="1" si="7"/>
        <v>0</v>
      </c>
      <c r="AH24" s="88">
        <f t="shared" ca="1" si="8"/>
        <v>0</v>
      </c>
      <c r="AI24" s="88">
        <f t="shared" ca="1" si="9"/>
        <v>0</v>
      </c>
      <c r="AJ24">
        <v>9260.472800399999</v>
      </c>
      <c r="AK24">
        <f>IF(IFERROR(VLOOKUP(W24,DROBIE,1,0),0),A31,0)</f>
        <v>0</v>
      </c>
      <c r="AL24" s="247">
        <f ca="1">IFERROR(VLOOKUP($I24,Konfiguracja!$M:$U,9,0),0)</f>
        <v>1</v>
      </c>
      <c r="AM24" s="248">
        <f ca="1">IFERROR(VLOOKUP($I24,Konfiguracja!$M:$U,6,0),0)</f>
        <v>3983</v>
      </c>
      <c r="AN24" s="248">
        <f ca="1">IFERROR(VLOOKUP($I24,Konfiguracja!$M:$U,7,0),0)</f>
        <v>0</v>
      </c>
      <c r="AO24" s="249">
        <f ca="1">IFERROR(VLOOKUP($I24,Konfiguracja!$M:$U,8,0),0)</f>
        <v>0</v>
      </c>
      <c r="AQ24" s="258">
        <f>IFERROR(VLOOKUP($I24,Konfiguracja!M:AF,16,0),0)</f>
        <v>3983</v>
      </c>
      <c r="AR24">
        <f>IFERROR(VLOOKUP(C31,Receptury_z!$A:$C,3,0),0)</f>
        <v>5555</v>
      </c>
      <c r="AS24" s="256">
        <f>SUMIF(TPS_mięsa!$Q$2:$Q$300,AR24,TPS_mięsa!$G$2:$G$300)/1000</f>
        <v>0</v>
      </c>
      <c r="AT24" s="268">
        <f ca="1">VLOOKUP(AR24,Konfiguracja!$N$60:$AC$148,16,0)/1000</f>
        <v>0</v>
      </c>
      <c r="AU24" s="270">
        <f>IFERROR(VLOOKUP(I24,Konfiguracja!$M$3:$AM$57,26,0),0)</f>
        <v>0</v>
      </c>
      <c r="AV24" s="279">
        <f t="shared" si="1"/>
        <v>3</v>
      </c>
    </row>
    <row r="25" spans="1:48" ht="24.75" thickTop="1" thickBot="1">
      <c r="A25" s="33">
        <f>SUMIF(IND_PLAN_BAZA,$W44,IL_PL_0)+SUMIF(IND_PLAN_BAZA,$X44,IL_PL_0)+SUMIF(IND_PLAN_BAZA,$Y44,IL_PL_0)</f>
        <v>0</v>
      </c>
      <c r="B25" s="43" t="str">
        <f>IFERROR(VLOOKUP(C25,Receptury_z!$A:$B,2,0),"Brak w bazie")</f>
        <v>ON</v>
      </c>
      <c r="C25" s="10">
        <v>6457</v>
      </c>
      <c r="D25" s="862" t="s">
        <v>38</v>
      </c>
      <c r="E25" s="870">
        <f>IF(OR($E$4="x",$E$4="d"),0,AT44)</f>
        <v>0</v>
      </c>
      <c r="F25" s="860">
        <f>IF($E$4="x",0,IF($E$4="d",AK44,IF(AV44&gt;1,VLOOKUP(C25,Konfiguracja!$M$60:$T$148,8,0),IF((A25-E25)&lt;0,0,A25-E25))))</f>
        <v>0</v>
      </c>
      <c r="G25" s="203">
        <f>SUMIF(IND_PLAN_BAZA,$W44,IL_PL_1)+SUMIF(IND_PLAN_BAZA,$X44,IL_PL_1)+SUMIF(IND_PLAN_BAZA,$Y44,IL_PL_1)</f>
        <v>1.3</v>
      </c>
      <c r="H25" s="498">
        <f>SUMIF(IND_PLAN_BAZA,W44,IL_PL_2)+SUMIF(IND_PLAN_BAZA,X44,IL_PL_2)+SUMIF(IND_PLAN_BAZA,Y44,IL_PL_2)</f>
        <v>0</v>
      </c>
      <c r="I25">
        <v>5027</v>
      </c>
      <c r="J25" s="575" t="s">
        <v>359</v>
      </c>
      <c r="K25" s="749">
        <v>-557.55129900000065</v>
      </c>
      <c r="L25" s="207"/>
      <c r="M25" s="207"/>
      <c r="N25" s="207"/>
      <c r="O25" s="207">
        <v>8000</v>
      </c>
      <c r="P25" s="222">
        <f t="shared" ca="1" si="17"/>
        <v>0</v>
      </c>
      <c r="Q25" s="255">
        <f ca="1">(K25+N25+O25+L25+M25)-P25</f>
        <v>7442.4487009999993</v>
      </c>
      <c r="R25" s="223">
        <f ca="1">AE25</f>
        <v>6654.0300000000007</v>
      </c>
      <c r="S25" s="255">
        <f ca="1">Q25-R25</f>
        <v>788.41870099999869</v>
      </c>
      <c r="T25" s="223">
        <f ca="1">AF25</f>
        <v>4519.8180000000002</v>
      </c>
      <c r="U25" s="255">
        <f ca="1">S25-AF25</f>
        <v>-3731.3992990000015</v>
      </c>
      <c r="V25" s="254">
        <f ca="1">R25+T25</f>
        <v>11173.848000000002</v>
      </c>
      <c r="W25">
        <f>IF(LEN(C45)&gt;4,9999,C45)</f>
        <v>6513</v>
      </c>
      <c r="X25">
        <f>IF(LEN(C45)&gt;4,9999,0)</f>
        <v>0</v>
      </c>
      <c r="Y25">
        <f>IF(LEN(C45)&gt;4,9999,0)</f>
        <v>0</v>
      </c>
      <c r="Z25">
        <f ca="1">VLOOKUP($J25,Konfiguracja!$B$3:$E$49,2,0)</f>
        <v>211</v>
      </c>
      <c r="AA25">
        <f ca="1">VLOOKUP($J25,Konfiguracja!$B$3:$E$49,3,0)</f>
        <v>212</v>
      </c>
      <c r="AB25">
        <f ca="1">VLOOKUP($J25,Konfiguracja!$B$3:$E$49,4,0)</f>
        <v>213</v>
      </c>
      <c r="AC25" t="s">
        <v>177</v>
      </c>
      <c r="AD25" s="633">
        <f ca="1">IFERROR(VLOOKUP($AC25,'Receptury '!$D$100:$IA$100,Z25,0),0)</f>
        <v>0</v>
      </c>
      <c r="AE25" s="634">
        <f ca="1">IFERROR(VLOOKUP($AC25,'Receptury '!$D$100:$IA$100,AA25,0),0)</f>
        <v>6654.0300000000007</v>
      </c>
      <c r="AF25" s="635">
        <f ca="1">IFERROR(VLOOKUP($AC25,'Receptury '!$D$100:$IA$100,AB25,0),0)</f>
        <v>4519.8180000000002</v>
      </c>
      <c r="AG25" s="88">
        <f ca="1">P25-AD25</f>
        <v>0</v>
      </c>
      <c r="AH25" s="88">
        <f ca="1">R25-AE25</f>
        <v>0</v>
      </c>
      <c r="AI25" s="88">
        <f ca="1">T25-AF25</f>
        <v>0</v>
      </c>
      <c r="AK25">
        <f>IF(IFERROR(VLOOKUP(W25,DROBIE,1,0),0),A45,0)</f>
        <v>0</v>
      </c>
      <c r="AL25" s="247">
        <f ca="1">IFERROR(VLOOKUP($I25,Konfiguracja!$M:$U,9,0),0)</f>
        <v>1</v>
      </c>
      <c r="AM25" s="248">
        <f ca="1">IFERROR(VLOOKUP($I25,Konfiguracja!$M:$U,6,0),0)</f>
        <v>1612</v>
      </c>
      <c r="AN25" s="248">
        <f ca="1">IFERROR(VLOOKUP($I25,Konfiguracja!$M:$U,7,0),0)</f>
        <v>0</v>
      </c>
      <c r="AO25" s="249">
        <f ca="1">IFERROR(VLOOKUP($I25,Konfiguracja!$M:$U,8,0),0)</f>
        <v>0</v>
      </c>
      <c r="AQ25" s="258">
        <f>IFERROR(VLOOKUP($I25,Konfiguracja!M:AF,16,0),0)</f>
        <v>1612</v>
      </c>
      <c r="AR25">
        <f>IFERROR(VLOOKUP(C45,Receptury_z!$A:$C,3,0),0)</f>
        <v>5573</v>
      </c>
      <c r="AS25" s="256">
        <f>SUMIF(TPS_mięsa!$Q$2:$Q$300,AR25,TPS_mięsa!$G$2:$G$300)/1000</f>
        <v>0</v>
      </c>
      <c r="AT25" s="268">
        <f ca="1">VLOOKUP(AR25,Konfiguracja!$N$60:$AC$148,16,0)/1000</f>
        <v>0</v>
      </c>
      <c r="AU25" s="270">
        <f>IFERROR(VLOOKUP(I25,Konfiguracja!$M$3:$AM$57,26,0),0)</f>
        <v>0</v>
      </c>
      <c r="AV25" s="279">
        <f t="shared" si="1"/>
        <v>1</v>
      </c>
    </row>
    <row r="26" spans="1:48" ht="24.75" customHeight="1" thickTop="1">
      <c r="A26" s="33">
        <f>SUMIF(IND_PLAN_BAZA,$W11,IL_PL_0)+SUMIF(IND_PLAN_BAZA,$X11,IL_PL_0)+SUMIF(IND_PLAN_BAZA,$Y11,IL_PL_0)</f>
        <v>0</v>
      </c>
      <c r="B26" s="43" t="str">
        <f>IFERROR(VLOOKUP(C26,Receptury_z!$A:$B,2,0),"Brak w bazie")</f>
        <v>ON</v>
      </c>
      <c r="C26" s="10">
        <v>6458</v>
      </c>
      <c r="D26" s="862" t="s">
        <v>176</v>
      </c>
      <c r="E26" s="870">
        <f>IF(OR($E$4="x",$E$4="d"),0,AT11)</f>
        <v>0</v>
      </c>
      <c r="F26" s="860">
        <f>IF($E$4="x",0,IF($E$4="d",AK11,IF(AV11&gt;1,VLOOKUP(C26,Konfiguracja!$M$60:$T$148,8,0),IF((A26-E26)&lt;0,0,A26-E26))))</f>
        <v>0</v>
      </c>
      <c r="G26" s="203">
        <f>SUMIF(IND_PLAN_BAZA,$W11,IL_PL_1)+SUMIF(IND_PLAN_BAZA,$X11,IL_PL_1)+SUMIF(IND_PLAN_BAZA,$Y11,IL_PL_1)</f>
        <v>6</v>
      </c>
      <c r="H26" s="498">
        <f>SUMIF(IND_PLAN_BAZA,W11,IL_PL_2)+SUMIF(IND_PLAN_BAZA,X11,IL_PL_2)+SUMIF(IND_PLAN_BAZA,Y11,IL_PL_2)</f>
        <v>0</v>
      </c>
      <c r="I26" t="s">
        <v>17949</v>
      </c>
      <c r="J26" s="206" t="s">
        <v>17948</v>
      </c>
      <c r="K26" s="749">
        <v>7185.46</v>
      </c>
      <c r="L26" s="207">
        <v>5100</v>
      </c>
      <c r="M26" s="207"/>
      <c r="N26" s="207"/>
      <c r="O26" s="207"/>
      <c r="P26" s="208">
        <f ca="1">AD26+'Klon wp. tydzień 07'!G237</f>
        <v>7830</v>
      </c>
      <c r="Q26" s="512">
        <f t="shared" ca="1" si="15"/>
        <v>4455.4599999999991</v>
      </c>
      <c r="R26" s="208">
        <f ca="1">AE26</f>
        <v>104.10000000000001</v>
      </c>
      <c r="S26" s="512">
        <f ca="1">Q26-R26</f>
        <v>4351.3599999999988</v>
      </c>
      <c r="T26" s="208">
        <f ca="1">AF26</f>
        <v>115.74</v>
      </c>
      <c r="U26" s="557">
        <f ca="1">S26-AF26</f>
        <v>4235.619999999999</v>
      </c>
      <c r="V26" s="254">
        <f ca="1">R26+T26</f>
        <v>219.84</v>
      </c>
      <c r="W26">
        <f>IF(LEN(C16)&gt;4,9999,C16)</f>
        <v>6418</v>
      </c>
      <c r="X26">
        <f>IF(LEN(C16)&gt;4,9999,0)</f>
        <v>0</v>
      </c>
      <c r="Y26">
        <f>IF(LEN(C16)&gt;4,9999,0)</f>
        <v>0</v>
      </c>
      <c r="Z26">
        <f ca="1">VLOOKUP($J26,Konfiguracja!$B$3:$E$49,2,0)</f>
        <v>130</v>
      </c>
      <c r="AA26">
        <f ca="1">VLOOKUP($J26,Konfiguracja!$B$3:$E$49,3,0)</f>
        <v>131</v>
      </c>
      <c r="AB26">
        <f ca="1">VLOOKUP($J26,Konfiguracja!$B$3:$E$49,4,0)</f>
        <v>132</v>
      </c>
      <c r="AC26" t="s">
        <v>177</v>
      </c>
      <c r="AD26" s="633">
        <f ca="1">IFERROR(VLOOKUP($AC26,'Receptury '!$D$100:$IA$100,Z26,0),0)</f>
        <v>0</v>
      </c>
      <c r="AE26" s="634">
        <f ca="1">IFERROR(VLOOKUP($AC26,'Receptury '!$D$100:$IA$100,AA26,0),0)</f>
        <v>104.10000000000001</v>
      </c>
      <c r="AF26" s="635">
        <f ca="1">IFERROR(VLOOKUP($AC26,'Receptury '!$D$100:$IA$100,AB26,0),0)</f>
        <v>115.74</v>
      </c>
      <c r="AG26" s="88">
        <f ca="1">P26-AD26</f>
        <v>7830</v>
      </c>
      <c r="AH26" s="88">
        <f ca="1">R26-AE26</f>
        <v>0</v>
      </c>
      <c r="AI26" s="88">
        <f ca="1">T26-AF26</f>
        <v>0</v>
      </c>
      <c r="AJ26">
        <v>-16470.423030000002</v>
      </c>
      <c r="AK26">
        <f>IF(IFERROR(VLOOKUP(W26,DROBIE,1,0),0),A16,0)</f>
        <v>0</v>
      </c>
      <c r="AL26" s="247">
        <f ca="1">IFERROR(VLOOKUP($I26,Konfiguracja!$M:$U,9,0),0)</f>
        <v>2</v>
      </c>
      <c r="AM26" s="248">
        <f ca="1">IFERROR(VLOOKUP($I26,Konfiguracja!$M:$U,6,0),0)</f>
        <v>116.5</v>
      </c>
      <c r="AN26" s="248">
        <f ca="1">IFERROR(VLOOKUP($I26,Konfiguracja!$M:$U,7,0),0)</f>
        <v>2546</v>
      </c>
      <c r="AO26" s="249">
        <f ca="1">IFERROR(VLOOKUP($I26,Konfiguracja!$M:$U,8,0),0)</f>
        <v>0</v>
      </c>
      <c r="AQ26" s="258">
        <f>IFERROR(VLOOKUP($I26,Konfiguracja!M:AF,16,0),0)</f>
        <v>2221.5</v>
      </c>
      <c r="AR26">
        <f>IFERROR(VLOOKUP(C16,Receptury_z!$A:$C,3,0),0)</f>
        <v>5421</v>
      </c>
      <c r="AS26" s="256">
        <f>SUMIF(TPS_mięsa!$Q$2:$Q$300,AR26,TPS_mięsa!$G$2:$G$300)/1000</f>
        <v>0</v>
      </c>
      <c r="AT26" s="268">
        <f ca="1">VLOOKUP(AR26,Konfiguracja!$N$60:$AC$148,16,0)/1000</f>
        <v>0</v>
      </c>
      <c r="AU26" s="270">
        <f>IFERROR(VLOOKUP(I26,Konfiguracja!$M$3:$AM$57,26,0),0)</f>
        <v>4000</v>
      </c>
      <c r="AV26" s="279">
        <f t="shared" si="1"/>
        <v>1</v>
      </c>
    </row>
    <row r="27" spans="1:48" ht="23.25">
      <c r="A27" s="33">
        <f>SUMIF(IND_PLAN_BAZA,$W12,IL_PL_0)+SUMIF(IND_PLAN_BAZA,$X12,IL_PL_0)+SUMIF(IND_PLAN_BAZA,$Y12,IL_PL_0)</f>
        <v>0</v>
      </c>
      <c r="B27" s="43" t="str">
        <f>IFERROR(VLOOKUP(C27,Receptury_z!$A:$B,2,0),"Brak w bazie")</f>
        <v>ON</v>
      </c>
      <c r="C27" s="10">
        <v>6463</v>
      </c>
      <c r="D27" s="862" t="s">
        <v>187</v>
      </c>
      <c r="E27" s="870">
        <f>IF(OR($E$4="x",$E$4="d"),0,AT12)</f>
        <v>0</v>
      </c>
      <c r="F27" s="860">
        <f>IF($E$4="x",0,IF($E$4="d",AK12,IF(AV12&gt;1,VLOOKUP(C27,Konfiguracja!$M$60:$T$148,8,0),IF((A27-E27)&lt;0,0,A27-E27))))</f>
        <v>0</v>
      </c>
      <c r="G27" s="203">
        <f>SUMIF(IND_PLAN_BAZA,$W12,IL_PL_1)+SUMIF(IND_PLAN_BAZA,$X12,IL_PL_1)+SUMIF(IND_PLAN_BAZA,$Y12,IL_PL_1)</f>
        <v>3</v>
      </c>
      <c r="H27" s="498">
        <f>SUMIF(IND_PLAN_BAZA,W12,IL_PL_2)+SUMIF(IND_PLAN_BAZA,X12,IL_PL_2)+SUMIF(IND_PLAN_BAZA,Y12,IL_PL_2)</f>
        <v>0</v>
      </c>
      <c r="I27">
        <v>1923</v>
      </c>
      <c r="J27" s="206" t="s">
        <v>17947</v>
      </c>
      <c r="K27" s="749">
        <v>1694</v>
      </c>
      <c r="L27" s="207">
        <v>2000</v>
      </c>
      <c r="M27" s="207"/>
      <c r="N27" s="207"/>
      <c r="O27" s="207"/>
      <c r="P27" s="208">
        <f ca="1">AD27+'Klon wp. tydzień 07'!G242</f>
        <v>1100</v>
      </c>
      <c r="Q27" s="209">
        <f t="shared" ref="Q27:Q33" ca="1" si="21">(K27+N27+O27+L27+M27)-P27</f>
        <v>2594</v>
      </c>
      <c r="R27" s="208">
        <f ca="1">AE27</f>
        <v>343.35</v>
      </c>
      <c r="S27" s="209">
        <f ca="1">Q27-R27</f>
        <v>2250.65</v>
      </c>
      <c r="T27" s="208">
        <f ca="1">AF27</f>
        <v>0</v>
      </c>
      <c r="U27" s="557">
        <f ca="1">S27-AF27</f>
        <v>2250.65</v>
      </c>
      <c r="V27" s="254">
        <f ca="1">R27+T27</f>
        <v>343.35</v>
      </c>
      <c r="W27">
        <f>IF(LEN(C11)&gt;4,9999,C11)</f>
        <v>6405</v>
      </c>
      <c r="X27">
        <f>IF(LEN(C11)&gt;4,9999,0)</f>
        <v>0</v>
      </c>
      <c r="Y27">
        <f>IF(LEN(C11)&gt;4,9999,0)</f>
        <v>0</v>
      </c>
      <c r="Z27">
        <f ca="1">VLOOKUP($J27,Konfiguracja!$B$3:$E$49,2,0)</f>
        <v>115</v>
      </c>
      <c r="AA27">
        <f ca="1">VLOOKUP($J27,Konfiguracja!$B$3:$E$49,3,0)</f>
        <v>116</v>
      </c>
      <c r="AB27">
        <f ca="1">VLOOKUP($J27,Konfiguracja!$B$3:$E$49,4,0)</f>
        <v>117</v>
      </c>
      <c r="AC27" t="s">
        <v>177</v>
      </c>
      <c r="AD27" s="633">
        <f ca="1">IFERROR(VLOOKUP($AC27,'Receptury '!$D$100:$IA$100,Z27,0),0)</f>
        <v>0</v>
      </c>
      <c r="AE27" s="634">
        <f ca="1">IFERROR(VLOOKUP($AC27,'Receptury '!$D$100:$IA$100,AA27,0),0)</f>
        <v>343.35</v>
      </c>
      <c r="AF27" s="635">
        <f ca="1">IFERROR(VLOOKUP($AC27,'Receptury '!$D$100:$IA$100,AB27,0),0)</f>
        <v>0</v>
      </c>
      <c r="AG27" s="88">
        <f ca="1">P27-AD27</f>
        <v>1100</v>
      </c>
      <c r="AH27" s="88">
        <f ca="1">R27-AE27</f>
        <v>0</v>
      </c>
      <c r="AI27" s="88">
        <f ca="1">T27-AF27</f>
        <v>0</v>
      </c>
      <c r="AJ27">
        <v>6.8000000000000114</v>
      </c>
      <c r="AK27">
        <f>IF(IFERROR(VLOOKUP(W27,DROBIE,1,0),0),A11,0)</f>
        <v>0</v>
      </c>
      <c r="AL27" s="247">
        <f ca="1">IFERROR(VLOOKUP($I10,Konfiguracja!$M:$U,9,0),0)</f>
        <v>1</v>
      </c>
      <c r="AM27" s="248">
        <f ca="1">IFERROR(VLOOKUP($I10,Konfiguracja!$M:$U,6,0),0)</f>
        <v>2867.5</v>
      </c>
      <c r="AN27" s="248">
        <f ca="1">IFERROR(VLOOKUP($I10,Konfiguracja!$M:$U,7,0),0)</f>
        <v>0</v>
      </c>
      <c r="AO27" s="249">
        <f ca="1">IFERROR(VLOOKUP($I10,Konfiguracja!$M:$U,8,0),0)</f>
        <v>0</v>
      </c>
      <c r="AQ27" s="258">
        <f>IFERROR(VLOOKUP($I27,Konfiguracja!M:AF,16,0),0)</f>
        <v>1044</v>
      </c>
      <c r="AR27">
        <f>IFERROR(VLOOKUP(C11,Receptury_z!$A:$C,3,0),0)</f>
        <v>5142</v>
      </c>
      <c r="AS27" s="256">
        <f>SUMIF(TPS_mięsa!$Q$2:$Q$300,AR27,TPS_mięsa!$G$2:$G$300)/1000</f>
        <v>0</v>
      </c>
      <c r="AT27" s="268">
        <f ca="1">VLOOKUP(AR27,Konfiguracja!$N$60:$AC$148,16,0)/1000</f>
        <v>0</v>
      </c>
      <c r="AU27" s="270">
        <f>IFERROR(VLOOKUP(I27,Konfiguracja!$M$3:$AM$57,26,0),0)</f>
        <v>1800</v>
      </c>
      <c r="AV27" s="279">
        <f t="shared" si="1"/>
        <v>1</v>
      </c>
    </row>
    <row r="28" spans="1:48" ht="23.25">
      <c r="A28" s="33">
        <f>SUMIF(IND_PLAN_BAZA,$W35,IL_PL_0)+SUMIF(IND_PLAN_BAZA,$X35,IL_PL_0)+SUMIF(IND_PLAN_BAZA,$Y35,IL_PL_0)</f>
        <v>0</v>
      </c>
      <c r="B28" s="43" t="str">
        <f>IFERROR(VLOOKUP(C28,Receptury_z!$A:$B,2,0),"Brak w bazie")</f>
        <v>ON</v>
      </c>
      <c r="C28" s="10">
        <v>6461</v>
      </c>
      <c r="D28" s="862" t="s">
        <v>39</v>
      </c>
      <c r="E28" s="870">
        <f>IF(OR($E$4="x",$E$4="d"),0,AT24)</f>
        <v>0</v>
      </c>
      <c r="F28" s="860">
        <f>IF($E$4="x",0,IF($E$4="d",AK35,IF(AV35&gt;1,VLOOKUP(C28,Konfiguracja!$M$60:$T$148,8,0),IF((A28-E28)&lt;0,0,A28-E28))))</f>
        <v>0</v>
      </c>
      <c r="G28" s="203">
        <f>SUMIF(IND_PLAN_BAZA,$W35,IL_PL_1)+SUMIF(IND_PLAN_BAZA,$X35,IL_PL_1)+SUMIF(IND_PLAN_BAZA,$Y35,IL_PL_1)</f>
        <v>0</v>
      </c>
      <c r="H28" s="498">
        <f>SUMIF(IND_PLAN_BAZA,W35,IL_PL_2)+SUMIF(IND_PLAN_BAZA,X35,IL_PL_2)+SUMIF(IND_PLAN_BAZA,Y35,IL_PL_2)</f>
        <v>0</v>
      </c>
      <c r="I28">
        <v>2231</v>
      </c>
      <c r="J28" s="206" t="s">
        <v>17862</v>
      </c>
      <c r="K28" s="749">
        <v>0</v>
      </c>
      <c r="L28" s="207"/>
      <c r="M28" s="207"/>
      <c r="N28" s="207"/>
      <c r="O28" s="207"/>
      <c r="P28" s="208">
        <f ca="1">AD28+'Klon wp. tydzień 07'!G251</f>
        <v>0</v>
      </c>
      <c r="Q28" s="209">
        <f t="shared" ca="1" si="21"/>
        <v>0</v>
      </c>
      <c r="R28" s="208">
        <f ca="1">AE28</f>
        <v>0</v>
      </c>
      <c r="S28" s="209">
        <f ca="1">Q28-R28</f>
        <v>0</v>
      </c>
      <c r="T28" s="208">
        <f ca="1">AF28</f>
        <v>0</v>
      </c>
      <c r="U28" s="557">
        <f ca="1">S28-AF28</f>
        <v>0</v>
      </c>
      <c r="V28" s="254">
        <f ca="1">R28+T28</f>
        <v>0</v>
      </c>
      <c r="W28">
        <f>IF(LEN(C47)&gt;4,9999,C47)</f>
        <v>6627</v>
      </c>
      <c r="X28">
        <f>IF(LEN(C47)&gt;4,9999,0)</f>
        <v>0</v>
      </c>
      <c r="Y28">
        <f>IF(LEN(C47)&gt;4,9999,0)</f>
        <v>0</v>
      </c>
      <c r="Z28">
        <f ca="1">VLOOKUP($J28,Konfiguracja!$B$3:$E$49,2,0)</f>
        <v>217</v>
      </c>
      <c r="AA28">
        <f ca="1">VLOOKUP($J28,Konfiguracja!$B$3:$E$49,3,0)</f>
        <v>218</v>
      </c>
      <c r="AB28">
        <f ca="1">VLOOKUP($J28,Konfiguracja!$B$3:$E$49,4,0)</f>
        <v>219</v>
      </c>
      <c r="AC28" t="s">
        <v>177</v>
      </c>
      <c r="AD28" s="633">
        <f ca="1">IFERROR(VLOOKUP($AC28,'Receptury '!$D$100:$IA$100,Z28,0),0)</f>
        <v>0</v>
      </c>
      <c r="AE28" s="634">
        <f ca="1">IFERROR(VLOOKUP($AC28,'Receptury '!$D$100:$IA$100,AA28,0),0)</f>
        <v>0</v>
      </c>
      <c r="AF28" s="635">
        <f ca="1">IFERROR(VLOOKUP($AC28,'Receptury '!$D$100:$IA$100,AB28,0),0)</f>
        <v>0</v>
      </c>
      <c r="AG28" s="88">
        <f ca="1">P28-AD28</f>
        <v>0</v>
      </c>
      <c r="AH28" s="88">
        <f ca="1">R28-AE28</f>
        <v>0</v>
      </c>
      <c r="AI28" s="88">
        <f ca="1">T28-AF28</f>
        <v>0</v>
      </c>
      <c r="AK28">
        <f>IF(IFERROR(VLOOKUP(W28,DROBIE,1,0),0),A47,0)</f>
        <v>0</v>
      </c>
      <c r="AL28" s="247">
        <f ca="1">IFERROR(VLOOKUP($I28,Konfiguracja!$M:$U,9,0),0)</f>
        <v>0</v>
      </c>
      <c r="AM28" s="248">
        <f ca="1">IFERROR(VLOOKUP($I28,Konfiguracja!$M:$U,6,0),0)</f>
        <v>0</v>
      </c>
      <c r="AN28" s="248">
        <f ca="1">IFERROR(VLOOKUP($I28,Konfiguracja!$M:$U,7,0),0)</f>
        <v>0</v>
      </c>
      <c r="AO28" s="249">
        <f ca="1">IFERROR(VLOOKUP($I28,Konfiguracja!$M:$U,8,0),0)</f>
        <v>0</v>
      </c>
      <c r="AQ28" s="258">
        <f>IFERROR(VLOOKUP($I28,Konfiguracja!M:AF,16,0),0)</f>
        <v>0</v>
      </c>
      <c r="AR28">
        <f>IFERROR(VLOOKUP(C47,Receptury_z!$A:$C,3,0),0)</f>
        <v>5483</v>
      </c>
      <c r="AS28" s="256">
        <f>SUMIF(TPS_mięsa!$Q$2:$Q$300,AR28,TPS_mięsa!$G$2:$G$300)/1000</f>
        <v>0</v>
      </c>
      <c r="AT28" s="268">
        <f ca="1">VLOOKUP(AR28,Konfiguracja!$N$60:$AC$148,16,0)/1000</f>
        <v>0</v>
      </c>
      <c r="AU28" s="270">
        <f>IFERROR(VLOOKUP(I28,Konfiguracja!$M$3:$AM$57,26,0),0)</f>
        <v>0</v>
      </c>
      <c r="AV28" s="279">
        <f t="shared" si="1"/>
        <v>1</v>
      </c>
    </row>
    <row r="29" spans="1:48" ht="24" thickBot="1">
      <c r="A29" s="33">
        <f>SUMIF(IND_PLAN_BAZA,$W29,IL_PL_0)+SUMIF(IND_PLAN_BAZA,$X29,IL_PL_0)+SUMIF(IND_PLAN_BAZA,$Y29,IL_PL_0)</f>
        <v>0</v>
      </c>
      <c r="B29" s="43" t="str">
        <f>IFERROR(VLOOKUP(C29,Receptury_z!$A:$B,2,0),"Brak w bazie")</f>
        <v>ON</v>
      </c>
      <c r="C29" s="10">
        <v>6440</v>
      </c>
      <c r="D29" s="862" t="s">
        <v>205</v>
      </c>
      <c r="E29" s="870">
        <f>IF(OR($E$4="x",$E$4="d"),0,AT30)</f>
        <v>0</v>
      </c>
      <c r="F29" s="860">
        <f>IF($E$4="x",0,IF($E$4="d",AK29,IF(AV29&gt;1,VLOOKUP(C29,Konfiguracja!$M$60:$T$148,8,0),IF((A29-E29)&lt;0,0,A29-E29))))</f>
        <v>0</v>
      </c>
      <c r="G29" s="203">
        <f>SUMIF(IND_PLAN_BAZA,$W29,IL_PL_1)+SUMIF(IND_PLAN_BAZA,$X29,IL_PL_1)+SUMIF(IND_PLAN_BAZA,$Y29,IL_PL_1)</f>
        <v>0</v>
      </c>
      <c r="H29" s="498">
        <f>SUMIF(IND_PLAN_BAZA,W29,IL_PL_2)+SUMIF(IND_PLAN_BAZA,X29,IL_PL_2)+SUMIF(IND_PLAN_BAZA,Y29,IL_PL_2)</f>
        <v>0</v>
      </c>
      <c r="I29">
        <v>2223</v>
      </c>
      <c r="J29" s="576" t="s">
        <v>17322</v>
      </c>
      <c r="K29" s="749">
        <v>-5660.8658330000007</v>
      </c>
      <c r="L29" s="207"/>
      <c r="M29" s="207"/>
      <c r="N29" s="207">
        <v>6000</v>
      </c>
      <c r="O29" s="207"/>
      <c r="P29" s="208">
        <f ca="1">AD29+'Klon wp. tydzień 07'!G250</f>
        <v>600</v>
      </c>
      <c r="Q29" s="221">
        <f t="shared" ca="1" si="21"/>
        <v>-260.86583300000075</v>
      </c>
      <c r="R29" s="208">
        <f ca="1">AE29</f>
        <v>2239.326</v>
      </c>
      <c r="S29" s="221">
        <f ca="1">Q29-R29</f>
        <v>-2500.1918330000008</v>
      </c>
      <c r="T29" s="208">
        <f ca="1">AF29</f>
        <v>675.00599999999997</v>
      </c>
      <c r="U29" s="563">
        <f ca="1">S29-AF29</f>
        <v>-3175.1978330000006</v>
      </c>
      <c r="V29" s="254">
        <f ca="1">R29+T29</f>
        <v>2914.3319999999999</v>
      </c>
      <c r="W29">
        <f>IF(LEN(C29)&gt;4,9999,C29)</f>
        <v>6440</v>
      </c>
      <c r="X29">
        <f>IF(LEN(C29)&gt;4,9999,0)</f>
        <v>0</v>
      </c>
      <c r="Y29">
        <f>IF(LEN(C29)&gt;4,9999,0)</f>
        <v>0</v>
      </c>
      <c r="Z29">
        <f ca="1">VLOOKUP($J29,Konfiguracja!$B$3:$E$49,2,0)</f>
        <v>160</v>
      </c>
      <c r="AA29">
        <f ca="1">VLOOKUP($J29,Konfiguracja!$B$3:$E$49,3,0)</f>
        <v>161</v>
      </c>
      <c r="AB29">
        <f ca="1">VLOOKUP($J29,Konfiguracja!$B$3:$E$49,4,0)</f>
        <v>162</v>
      </c>
      <c r="AC29" t="s">
        <v>177</v>
      </c>
      <c r="AD29" s="633">
        <f ca="1">IFERROR(VLOOKUP($AC29,'Receptury '!$D$100:$IA$100,Z29,0),0)</f>
        <v>0</v>
      </c>
      <c r="AE29" s="634">
        <f ca="1">IFERROR(VLOOKUP($AC29,'Receptury '!$D$100:$IA$100,AA29,0),0)</f>
        <v>2239.326</v>
      </c>
      <c r="AF29" s="635">
        <f ca="1">IFERROR(VLOOKUP($AC29,'Receptury '!$D$100:$IA$100,AB29,0),0)</f>
        <v>675.00599999999997</v>
      </c>
      <c r="AG29" s="88">
        <f ca="1">P29-AD29</f>
        <v>600</v>
      </c>
      <c r="AH29" s="88">
        <f ca="1">R29-AE29</f>
        <v>0</v>
      </c>
      <c r="AI29" s="88">
        <f ca="1">T29-AF29</f>
        <v>0</v>
      </c>
      <c r="AJ29">
        <v>-2811.4259999999995</v>
      </c>
      <c r="AK29">
        <f>IF(IFERROR(VLOOKUP(W29,DROBIE,1,0),0),A29,0)</f>
        <v>0</v>
      </c>
      <c r="AL29" s="247">
        <f ca="1">IFERROR(VLOOKUP($I29,Konfiguracja!$M:$U,9,0),0)</f>
        <v>1</v>
      </c>
      <c r="AM29" s="248">
        <f ca="1">IFERROR(VLOOKUP($I29,Konfiguracja!$M:$U,6,0),0)</f>
        <v>1836</v>
      </c>
      <c r="AN29" s="248">
        <f ca="1">IFERROR(VLOOKUP($I29,Konfiguracja!$M:$U,7,0),0)</f>
        <v>0</v>
      </c>
      <c r="AO29" s="249">
        <f ca="1">IFERROR(VLOOKUP($I29,Konfiguracja!$M:$U,8,0),0)</f>
        <v>0</v>
      </c>
      <c r="AQ29" s="258">
        <f>IFERROR(VLOOKUP($I29,Konfiguracja!M:AF,16,0),0)</f>
        <v>0</v>
      </c>
      <c r="AR29">
        <f>IFERROR(VLOOKUP(C29,Receptury_z!$A:$C,3,0),0)</f>
        <v>5527</v>
      </c>
      <c r="AS29" s="256">
        <f>SUMIF(TPS_mięsa!$Q$2:$Q$300,AR29,TPS_mięsa!$G$2:$G$300)/1000</f>
        <v>0</v>
      </c>
      <c r="AT29" s="268">
        <f ca="1">VLOOKUP(AR29,Konfiguracja!$N$60:$AC$148,16,0)/1000</f>
        <v>0</v>
      </c>
      <c r="AU29" s="270">
        <f>IFERROR(VLOOKUP(I29,Konfiguracja!$M$3:$AM$57,26,0),0)</f>
        <v>0</v>
      </c>
      <c r="AV29" s="279">
        <f t="shared" si="1"/>
        <v>2</v>
      </c>
    </row>
    <row r="30" spans="1:48" ht="24.75" thickTop="1" thickBot="1">
      <c r="A30" s="33">
        <f>SUMIF(IND_PLAN_BAZA,$W13,IL_PL_0)+SUMIF(IND_PLAN_BAZA,$X13,IL_PL_0)+SUMIF(IND_PLAN_BAZA,$Y13,IL_PL_0)</f>
        <v>0</v>
      </c>
      <c r="B30" s="43" t="str">
        <f>IFERROR(VLOOKUP(C30,Receptury_z!$A:$B,2,0),"Brak w bazie")</f>
        <v>ON</v>
      </c>
      <c r="C30" s="10">
        <v>6460</v>
      </c>
      <c r="D30" s="862" t="s">
        <v>148</v>
      </c>
      <c r="E30" s="870">
        <f>IF(OR($E$4="x",$E$4="d"),0,AT24)</f>
        <v>0</v>
      </c>
      <c r="F30" s="860">
        <f>IF($E$4="x",0,IF($E$4="d",AK13,IF(AV13&gt;1,VLOOKUP(C30,Konfiguracja!$M$60:$T$148,8,0),IF((A30-E30)&lt;0,0,A30-E30))))</f>
        <v>0</v>
      </c>
      <c r="G30" s="203">
        <f>SUMIF(IND_PLAN_BAZA,$W13,IL_PL_1)+SUMIF(IND_PLAN_BAZA,$X13,IL_PL_1)+SUMIF(IND_PLAN_BAZA,$Y13,IL_PL_1)</f>
        <v>0</v>
      </c>
      <c r="H30" s="498">
        <f>SUMIF(IND_PLAN_BAZA,W13,IL_PL_2)+SUMIF(IND_PLAN_BAZA,X13,IL_PL_2)+SUMIF(IND_PLAN_BAZA,Y13,IL_PL_2)</f>
        <v>0</v>
      </c>
      <c r="I30">
        <v>5209</v>
      </c>
      <c r="J30" s="575" t="s">
        <v>17951</v>
      </c>
      <c r="K30" s="749">
        <v>-1946.6640000000007</v>
      </c>
      <c r="L30" s="207"/>
      <c r="M30" s="207"/>
      <c r="N30" s="207"/>
      <c r="O30" s="207">
        <v>3000</v>
      </c>
      <c r="P30" s="222">
        <f t="shared" ca="1" si="17"/>
        <v>0</v>
      </c>
      <c r="Q30" s="255">
        <f t="shared" ca="1" si="21"/>
        <v>1053.3359999999993</v>
      </c>
      <c r="R30" s="224">
        <f t="shared" ca="1" si="18"/>
        <v>9602.82</v>
      </c>
      <c r="S30" s="255">
        <f t="shared" ca="1" si="3"/>
        <v>-8549.4840000000004</v>
      </c>
      <c r="T30" s="224">
        <f t="shared" ca="1" si="12"/>
        <v>10168.514999999999</v>
      </c>
      <c r="U30" s="255">
        <f t="shared" ca="1" si="19"/>
        <v>-18717.999</v>
      </c>
      <c r="V30" s="254">
        <f t="shared" ca="1" si="20"/>
        <v>19771.334999999999</v>
      </c>
      <c r="W30">
        <f>IF(LEN(C32)&gt;4,9999,C32)</f>
        <v>6465</v>
      </c>
      <c r="X30">
        <f>IF(LEN(C32)&gt;4,9999,0)</f>
        <v>0</v>
      </c>
      <c r="Y30">
        <f>IF(LEN(C32)&gt;4,9999,0)</f>
        <v>0</v>
      </c>
      <c r="Z30">
        <f ca="1">VLOOKUP($J30,Konfiguracja!$B$3:$E$49,2,0)</f>
        <v>205</v>
      </c>
      <c r="AA30">
        <f ca="1">VLOOKUP($J30,Konfiguracja!$B$3:$E$49,3,0)</f>
        <v>206</v>
      </c>
      <c r="AB30">
        <f ca="1">VLOOKUP($J30,Konfiguracja!$B$3:$E$49,4,0)</f>
        <v>207</v>
      </c>
      <c r="AC30" t="s">
        <v>177</v>
      </c>
      <c r="AD30" s="633">
        <f ca="1">IFERROR(VLOOKUP($AC30,'Receptury '!$D$100:$IA$100,Z30,0),0)</f>
        <v>0</v>
      </c>
      <c r="AE30" s="634">
        <f ca="1">IFERROR(VLOOKUP($AC30,'Receptury '!$D$100:$IA$100,AA30,0),0)</f>
        <v>9602.82</v>
      </c>
      <c r="AF30" s="635">
        <f ca="1">IFERROR(VLOOKUP($AC30,'Receptury '!$D$100:$IA$100,AB30,0),0)</f>
        <v>10168.514999999999</v>
      </c>
      <c r="AG30" s="88">
        <f t="shared" ca="1" si="7"/>
        <v>0</v>
      </c>
      <c r="AH30" s="88">
        <f t="shared" ca="1" si="8"/>
        <v>0</v>
      </c>
      <c r="AI30" s="88">
        <f t="shared" ca="1" si="9"/>
        <v>0</v>
      </c>
      <c r="AJ30">
        <v>-26238.082999999999</v>
      </c>
      <c r="AK30">
        <f>IF(IFERROR(VLOOKUP(W30,DROBIE,1,0),0),A32,0)</f>
        <v>0</v>
      </c>
      <c r="AL30" s="247">
        <f ca="1">IFERROR(VLOOKUP($I30,Konfiguracja!$M:$U,9,0),0)</f>
        <v>1</v>
      </c>
      <c r="AM30" s="248">
        <f ca="1">IFERROR(VLOOKUP($I30,Konfiguracja!$M:$U,6,0),0)</f>
        <v>6394</v>
      </c>
      <c r="AN30" s="248">
        <f ca="1">IFERROR(VLOOKUP($I30,Konfiguracja!$M:$U,7,0),0)</f>
        <v>0</v>
      </c>
      <c r="AO30" s="249">
        <f ca="1">IFERROR(VLOOKUP($I30,Konfiguracja!$M:$U,8,0),0)</f>
        <v>0</v>
      </c>
      <c r="AQ30" s="258">
        <f>IFERROR(VLOOKUP($I30,Konfiguracja!M:AF,16,0),0)</f>
        <v>7414</v>
      </c>
      <c r="AR30">
        <f>IFERROR(VLOOKUP(C32,Receptury_z!$A:$C,3,0),0)</f>
        <v>5576</v>
      </c>
      <c r="AS30" s="256">
        <f>SUMIF(TPS_mięsa!$Q$2:$Q$300,AR30,TPS_mięsa!$G$2:$G$300)/1000</f>
        <v>0</v>
      </c>
      <c r="AT30" s="268">
        <f ca="1">VLOOKUP(AR30,Konfiguracja!$N$60:$AC$148,16,0)/1000</f>
        <v>0</v>
      </c>
      <c r="AU30" s="270">
        <f>IFERROR(VLOOKUP(I30,Konfiguracja!$M$3:$AM$57,26,0),0)</f>
        <v>0</v>
      </c>
      <c r="AV30" s="279">
        <f t="shared" si="1"/>
        <v>1</v>
      </c>
    </row>
    <row r="31" spans="1:48" ht="24.75" thickTop="1" thickBot="1">
      <c r="A31" s="33">
        <f>SUMIF(IND_PLAN_BAZA,$W24,IL_PL_0)+SUMIF(IND_PLAN_BAZA,$X24,IL_PL_0)+SUMIF(IND_PLAN_BAZA,$Y24,IL_PL_0)</f>
        <v>0</v>
      </c>
      <c r="B31" s="43" t="str">
        <f>IFERROR(VLOOKUP(C31,Receptury_z!$A:$B,2,0),"Brak w bazie")</f>
        <v>ON</v>
      </c>
      <c r="C31" s="10">
        <v>6464</v>
      </c>
      <c r="D31" s="862" t="s">
        <v>206</v>
      </c>
      <c r="E31" s="870">
        <f>IF(OR($E$4="x",$E$4="d"),0,AT32)</f>
        <v>0</v>
      </c>
      <c r="F31" s="860">
        <f>IF($E$4="x",0,IF($E$4="d",AK24,IF(AV24&gt;1,VLOOKUP(C31,Konfiguracja!$M$60:$T$148,8,0),IF((A31-E31)&lt;0,0,A31-E31))))</f>
        <v>0</v>
      </c>
      <c r="G31" s="203">
        <f>SUMIF(IND_PLAN_BAZA,$W24,IL_PL_1)+SUMIF(IND_PLAN_BAZA,$X24,IL_PL_1)+SUMIF(IND_PLAN_BAZA,$Y24,IL_PL_1)</f>
        <v>0</v>
      </c>
      <c r="H31" s="498">
        <f>SUMIF(IND_PLAN_BAZA,W24,IL_PL_2)+SUMIF(IND_PLAN_BAZA,X24,IL_PL_2)+SUMIF(IND_PLAN_BAZA,Y24,IL_PL_2)</f>
        <v>0</v>
      </c>
      <c r="I31" t="s">
        <v>18764</v>
      </c>
      <c r="J31" s="206" t="s">
        <v>12</v>
      </c>
      <c r="K31" s="749">
        <v>712.96124650000002</v>
      </c>
      <c r="L31" s="207">
        <v>6000</v>
      </c>
      <c r="M31" s="207"/>
      <c r="N31" s="207"/>
      <c r="O31" s="207"/>
      <c r="P31" s="208">
        <f t="shared" ref="P31:P50" ca="1" si="22">AD31</f>
        <v>0</v>
      </c>
      <c r="Q31" s="512">
        <f t="shared" ca="1" si="21"/>
        <v>6712.9612465</v>
      </c>
      <c r="R31" s="208">
        <f t="shared" ca="1" si="18"/>
        <v>5349.05</v>
      </c>
      <c r="S31" s="512">
        <f t="shared" ca="1" si="3"/>
        <v>1363.9112464999998</v>
      </c>
      <c r="T31" s="208">
        <f t="shared" ca="1" si="12"/>
        <v>2516.1570000000002</v>
      </c>
      <c r="U31" s="564">
        <f t="shared" ca="1" si="19"/>
        <v>-1152.2457535000003</v>
      </c>
      <c r="V31" s="254">
        <f t="shared" ca="1" si="20"/>
        <v>7865.2070000000003</v>
      </c>
      <c r="W31">
        <f>IF(LEN(C33)&gt;4,9999,C33)</f>
        <v>6466</v>
      </c>
      <c r="X31">
        <f>IF(LEN(C33)&gt;4,9999,0)</f>
        <v>0</v>
      </c>
      <c r="Y31">
        <f>IF(LEN(C33)&gt;4,9999,0)</f>
        <v>0</v>
      </c>
      <c r="Z31">
        <f ca="1">VLOOKUP($J31,Konfiguracja!$B$3:$E$49,2,0)</f>
        <v>142</v>
      </c>
      <c r="AA31">
        <f ca="1">VLOOKUP($J31,Konfiguracja!$B$3:$E$49,3,0)</f>
        <v>143</v>
      </c>
      <c r="AB31">
        <f ca="1">VLOOKUP($J31,Konfiguracja!$B$3:$E$49,4,0)</f>
        <v>144</v>
      </c>
      <c r="AC31" t="s">
        <v>177</v>
      </c>
      <c r="AD31" s="633">
        <f ca="1">AD32*50%</f>
        <v>0</v>
      </c>
      <c r="AE31" s="634">
        <f t="shared" ref="AE31:AF31" ca="1" si="23">AE32*50%</f>
        <v>5349.05</v>
      </c>
      <c r="AF31" s="635">
        <f t="shared" ca="1" si="23"/>
        <v>2516.1570000000002</v>
      </c>
      <c r="AG31" s="88">
        <f ca="1">P31-AD31</f>
        <v>0</v>
      </c>
      <c r="AH31" s="88">
        <f t="shared" ca="1" si="8"/>
        <v>0</v>
      </c>
      <c r="AI31" s="88">
        <f t="shared" ca="1" si="9"/>
        <v>0</v>
      </c>
      <c r="AJ31">
        <v>53.349999999999909</v>
      </c>
      <c r="AK31">
        <f>IF(IFERROR(VLOOKUP(W31,DROBIE,1,0),0),A33,0)</f>
        <v>0</v>
      </c>
      <c r="AL31" s="247">
        <f ca="1">IFERROR(VLOOKUP($I31,Konfiguracja!$M:$U,9,0),0)</f>
        <v>2</v>
      </c>
      <c r="AM31" s="248">
        <f ca="1">IFERROR(VLOOKUP($I31,Konfiguracja!$M:$U,6,0),0)</f>
        <v>10393.5</v>
      </c>
      <c r="AN31" s="248">
        <f ca="1">IFERROR(VLOOKUP($I31,Konfiguracja!$M:$U,7,0),0)</f>
        <v>0</v>
      </c>
      <c r="AO31" s="249">
        <f ca="1">IFERROR(VLOOKUP($I31,Konfiguracja!$M:$U,8,0),0)</f>
        <v>1082</v>
      </c>
      <c r="AQ31" s="258">
        <f>IFERROR(VLOOKUP($I31,Konfiguracja!M:AF,16,0),0)</f>
        <v>11475.5</v>
      </c>
      <c r="AR31">
        <f>IFERROR(VLOOKUP(C33,Receptury_z!$A:$C,3,0),0)</f>
        <v>5577</v>
      </c>
      <c r="AS31" s="256">
        <f>SUMIF(TPS_mięsa!$Q$2:$Q$300,AR31,TPS_mięsa!$G$2:$G$300)/1000</f>
        <v>6.0042999999999997</v>
      </c>
      <c r="AT31" s="268">
        <f ca="1">VLOOKUP(AR31,Konfiguracja!$N$60:$AC$148,16,0)/1000</f>
        <v>6.0042999999999997</v>
      </c>
      <c r="AU31" s="270">
        <f>IFERROR(VLOOKUP(I31,Konfiguracja!$M$3:$AM$57,26,0),0)</f>
        <v>5000</v>
      </c>
      <c r="AV31" s="279">
        <f t="shared" si="1"/>
        <v>1</v>
      </c>
    </row>
    <row r="32" spans="1:48" ht="24.75" thickTop="1" thickBot="1">
      <c r="A32" s="33">
        <f>SUMIF(IND_PLAN_BAZA,$W30,IL_PL_0)+SUMIF(IND_PLAN_BAZA,$X30,IL_PL_0)+SUMIF(IND_PLAN_BAZA,$Y30,IL_PL_0)</f>
        <v>0</v>
      </c>
      <c r="B32" s="43" t="str">
        <f>IFERROR(VLOOKUP(C32,Receptury_z!$A:$B,2,0),"Brak w bazie")</f>
        <v>ON</v>
      </c>
      <c r="C32" s="10">
        <v>6465</v>
      </c>
      <c r="D32" s="862" t="s">
        <v>207</v>
      </c>
      <c r="E32" s="870">
        <f>IF(OR($E$4="x",$E$4="d"),0,AT33)</f>
        <v>0</v>
      </c>
      <c r="F32" s="860">
        <f>IF($E$4="x",0,IF($E$4="d",AK30,IF(AV30&gt;1,VLOOKUP(C32,Konfiguracja!$M$60:$T$148,8,0),IF((A32-E32)&lt;0,0,A32-E32))))</f>
        <v>0</v>
      </c>
      <c r="G32" s="203">
        <f>SUMIF(IND_PLAN_BAZA,$W30,IL_PL_1)+SUMIF(IND_PLAN_BAZA,$X30,IL_PL_1)+SUMIF(IND_PLAN_BAZA,$Y30,IL_PL_1)</f>
        <v>0</v>
      </c>
      <c r="H32" s="498">
        <f>SUMIF(IND_PLAN_BAZA,W30,IL_PL_2)+SUMIF(IND_PLAN_BAZA,X30,IL_PL_2)+SUMIF(IND_PLAN_BAZA,Y30,IL_PL_2)</f>
        <v>0</v>
      </c>
      <c r="I32">
        <v>5781</v>
      </c>
      <c r="J32" s="575" t="s">
        <v>13</v>
      </c>
      <c r="K32" s="749">
        <v>-29299.077507000002</v>
      </c>
      <c r="L32" s="207"/>
      <c r="M32" s="207"/>
      <c r="N32" s="207"/>
      <c r="O32" s="207"/>
      <c r="P32" s="222">
        <f t="shared" ca="1" si="22"/>
        <v>0</v>
      </c>
      <c r="Q32" s="255">
        <f t="shared" ca="1" si="21"/>
        <v>-29299.077507000002</v>
      </c>
      <c r="R32" s="224">
        <f t="shared" ca="1" si="18"/>
        <v>10698.1</v>
      </c>
      <c r="S32" s="255">
        <f t="shared" ca="1" si="3"/>
        <v>-39997.177507</v>
      </c>
      <c r="T32" s="224">
        <f t="shared" ca="1" si="12"/>
        <v>5032.3140000000003</v>
      </c>
      <c r="U32" s="255">
        <f t="shared" ca="1" si="19"/>
        <v>-45029.491506999999</v>
      </c>
      <c r="V32" s="254">
        <f t="shared" ca="1" si="20"/>
        <v>15730.414000000001</v>
      </c>
      <c r="W32">
        <f>IF(LEN(C34)&gt;4,9999,C34)</f>
        <v>6473</v>
      </c>
      <c r="X32">
        <f>IF(LEN(C34)&gt;4,9999,0)</f>
        <v>0</v>
      </c>
      <c r="Y32">
        <f>IF(LEN(C34)&gt;4,9999,0)</f>
        <v>0</v>
      </c>
      <c r="Z32">
        <f ca="1">VLOOKUP($J32,Konfiguracja!$B$3:$E$49,2,0)</f>
        <v>169</v>
      </c>
      <c r="AA32">
        <f ca="1">VLOOKUP($J32,Konfiguracja!$B$3:$E$49,3,0)</f>
        <v>170</v>
      </c>
      <c r="AB32">
        <f ca="1">VLOOKUP($J32,Konfiguracja!$B$3:$E$49,4,0)</f>
        <v>171</v>
      </c>
      <c r="AC32" t="s">
        <v>177</v>
      </c>
      <c r="AD32" s="633">
        <f ca="1">IFERROR(VLOOKUP($AC32,'Receptury '!$D$100:$IA$100,Z32,0),0)</f>
        <v>0</v>
      </c>
      <c r="AE32" s="634">
        <f ca="1">IFERROR(VLOOKUP($AC32,'Receptury '!$D$100:$IA$100,AA32,0),0)</f>
        <v>10698.1</v>
      </c>
      <c r="AF32" s="635">
        <f ca="1">IFERROR(VLOOKUP($AC32,'Receptury '!$D$100:$IA$100,AB32,0),0)</f>
        <v>5032.3140000000003</v>
      </c>
      <c r="AG32" s="88">
        <f t="shared" ca="1" si="7"/>
        <v>0</v>
      </c>
      <c r="AH32" s="88">
        <f t="shared" ca="1" si="8"/>
        <v>0</v>
      </c>
      <c r="AI32" s="88">
        <f t="shared" ca="1" si="9"/>
        <v>0</v>
      </c>
      <c r="AJ32">
        <v>-8624.1999999999989</v>
      </c>
      <c r="AK32">
        <f>IF(IFERROR(VLOOKUP(W32,DROBIE,1,0),0),A34,0)</f>
        <v>0</v>
      </c>
      <c r="AL32" s="247">
        <f ca="1">IFERROR(VLOOKUP($I32,Konfiguracja!$M:$U,9,0),0)</f>
        <v>1</v>
      </c>
      <c r="AM32" s="248">
        <f ca="1">IFERROR(VLOOKUP($I32,Konfiguracja!$M:$U,6,0),0)</f>
        <v>1921</v>
      </c>
      <c r="AN32" s="248">
        <f ca="1">IFERROR(VLOOKUP($I32,Konfiguracja!$M:$U,7,0),0)</f>
        <v>0</v>
      </c>
      <c r="AO32" s="249">
        <f ca="1">IFERROR(VLOOKUP($I32,Konfiguracja!$M:$U,8,0),0)</f>
        <v>0</v>
      </c>
      <c r="AQ32" s="258">
        <f>IFERROR(VLOOKUP($I32,Konfiguracja!M:AF,16,0),0)</f>
        <v>2226</v>
      </c>
      <c r="AR32">
        <f>IFERROR(VLOOKUP(C34,Receptury_z!$A:$C,3,0),0)</f>
        <v>5575</v>
      </c>
      <c r="AS32" s="256">
        <f>SUMIF(TPS_mięsa!$Q$2:$Q$300,AR32,TPS_mięsa!$G$2:$G$300)/1000</f>
        <v>0</v>
      </c>
      <c r="AT32" s="268">
        <f ca="1">VLOOKUP(AR32,Konfiguracja!$N$60:$AC$148,16,0)/1000</f>
        <v>0</v>
      </c>
      <c r="AU32" s="270">
        <f>IFERROR(VLOOKUP(I32,Konfiguracja!$M$3:$AM$57,26,0),0)</f>
        <v>0</v>
      </c>
      <c r="AV32" s="279">
        <f t="shared" si="1"/>
        <v>1</v>
      </c>
    </row>
    <row r="33" spans="1:48" ht="24.75" thickTop="1" thickBot="1">
      <c r="A33" s="33">
        <f>SUMIF(IND_PLAN_BAZA,$W31,IL_PL_0)+SUMIF(IND_PLAN_BAZA,$X31,IL_PL_0)+SUMIF(IND_PLAN_BAZA,$Y31,IL_PL_0)</f>
        <v>9</v>
      </c>
      <c r="B33" s="43" t="str">
        <f>IFERROR(VLOOKUP(C33,Receptury_z!$A:$B,2,0),"Brak w bazie")</f>
        <v>ON</v>
      </c>
      <c r="C33" s="10">
        <v>6466</v>
      </c>
      <c r="D33" s="862" t="s">
        <v>208</v>
      </c>
      <c r="E33" s="870">
        <f>IF(OR($E$4="x",$E$4="d"),0,AT31)</f>
        <v>0</v>
      </c>
      <c r="F33" s="860">
        <f>IF($E$4="x",0,IF($E$4="d",AK31,IF(AV31&gt;1,VLOOKUP(C33,Konfiguracja!$M$60:$T$148,8,0),IF((A33-E33)&lt;0,0,A33-E33))))</f>
        <v>0</v>
      </c>
      <c r="G33" s="203">
        <f>SUMIF(IND_PLAN_BAZA,$W31,IL_PL_1)+SUMIF(IND_PLAN_BAZA,$X31,IL_PL_1)+SUMIF(IND_PLAN_BAZA,$Y31,IL_PL_1)</f>
        <v>6</v>
      </c>
      <c r="H33" s="498">
        <f>SUMIF(IND_PLAN_BAZA,W31,IL_PL_2)+SUMIF(IND_PLAN_BAZA,X31,IL_PL_2)+SUMIF(IND_PLAN_BAZA,Y31,IL_PL_2)</f>
        <v>0</v>
      </c>
      <c r="I33" t="s">
        <v>337</v>
      </c>
      <c r="J33" s="212" t="s">
        <v>79</v>
      </c>
      <c r="K33" s="749">
        <v>13516.780158000001</v>
      </c>
      <c r="L33" s="207"/>
      <c r="M33" s="207"/>
      <c r="N33" s="207"/>
      <c r="O33" s="207">
        <v>7000</v>
      </c>
      <c r="P33" s="208">
        <f ca="1">AD33</f>
        <v>0</v>
      </c>
      <c r="Q33" s="209">
        <f t="shared" ca="1" si="21"/>
        <v>20516.780158000001</v>
      </c>
      <c r="R33" s="208">
        <f ca="1">AE33</f>
        <v>7654.3560000000007</v>
      </c>
      <c r="S33" s="209">
        <f ca="1">Q33-R33</f>
        <v>12862.424158000002</v>
      </c>
      <c r="T33" s="208">
        <f ca="1">AF33</f>
        <v>524.84400000000005</v>
      </c>
      <c r="U33" s="557">
        <f ca="1">S33-AF33</f>
        <v>12337.580158000001</v>
      </c>
      <c r="V33" s="254">
        <f ca="1">R33+T33</f>
        <v>8179.2000000000007</v>
      </c>
      <c r="W33">
        <f>IF(LEN(C37)&gt;4,9999,C37)</f>
        <v>6487</v>
      </c>
      <c r="X33">
        <f>IF(LEN(C37)&gt;4,9999,0)</f>
        <v>0</v>
      </c>
      <c r="Y33">
        <f>IF(LEN(C37)&gt;4,9999,0)</f>
        <v>0</v>
      </c>
      <c r="Z33">
        <f ca="1">VLOOKUP($J33,Konfiguracja!$B$3:$E$49,2,0)</f>
        <v>178</v>
      </c>
      <c r="AA33">
        <f ca="1">VLOOKUP($J33,Konfiguracja!$B$3:$E$49,3,0)</f>
        <v>179</v>
      </c>
      <c r="AB33">
        <f ca="1">VLOOKUP($J33,Konfiguracja!$B$3:$E$49,4,0)</f>
        <v>180</v>
      </c>
      <c r="AC33" t="s">
        <v>177</v>
      </c>
      <c r="AD33" s="633">
        <f ca="1">IFERROR(VLOOKUP($AC33,'Receptury '!$D$100:$IA$100,Z33,0),0)</f>
        <v>0</v>
      </c>
      <c r="AE33" s="634">
        <f ca="1">IFERROR(VLOOKUP($AC33,'Receptury '!$D$100:$IA$100,AA33,0),0)</f>
        <v>7654.3560000000007</v>
      </c>
      <c r="AF33" s="635">
        <f ca="1">IFERROR(VLOOKUP($AC33,'Receptury '!$D$100:$IA$100,AB33,0),0)</f>
        <v>524.84400000000005</v>
      </c>
      <c r="AG33" s="88">
        <f ca="1">P33-AD33</f>
        <v>0</v>
      </c>
      <c r="AH33" s="88">
        <f ca="1">R33-AE33</f>
        <v>0</v>
      </c>
      <c r="AI33" s="88">
        <f ca="1">T33-AF33</f>
        <v>0</v>
      </c>
      <c r="AJ33">
        <v>-46.399999999999864</v>
      </c>
      <c r="AK33">
        <f>IF(IFERROR(VLOOKUP(W33,DROBIE,1,0),0),A37,0)</f>
        <v>0</v>
      </c>
      <c r="AL33" s="247">
        <f ca="1">IFERROR(VLOOKUP($I33,Konfiguracja!$M:$U,9,0),0)</f>
        <v>1</v>
      </c>
      <c r="AM33" s="248">
        <f ca="1">IFERROR(VLOOKUP($I33,Konfiguracja!$M:$U,6,0),0)</f>
        <v>6519</v>
      </c>
      <c r="AN33" s="248">
        <f ca="1">IFERROR(VLOOKUP($I33,Konfiguracja!$M:$U,7,0),0)</f>
        <v>0</v>
      </c>
      <c r="AO33" s="249">
        <f ca="1">IFERROR(VLOOKUP($I33,Konfiguracja!$M:$U,8,0),0)</f>
        <v>0</v>
      </c>
      <c r="AQ33" s="258">
        <f>IFERROR(VLOOKUP($I33,Konfiguracja!M:AF,16,0),0)</f>
        <v>6519</v>
      </c>
      <c r="AR33">
        <f>IFERROR(VLOOKUP(C37,Receptury_z!$A:$C,3,0),0)</f>
        <v>5680</v>
      </c>
      <c r="AS33" s="256">
        <f>SUMIF(TPS_mięsa!$Q$2:$Q$300,AR33,TPS_mięsa!$G$2:$G$300)/1000</f>
        <v>0</v>
      </c>
      <c r="AT33" s="268">
        <f ca="1">VLOOKUP(AR33,Konfiguracja!$N$60:$AC$148,16,0)/1000</f>
        <v>0</v>
      </c>
      <c r="AU33" s="270">
        <f>IFERROR(VLOOKUP(I33,Konfiguracja!$M$3:$AM$57,26,0),0)</f>
        <v>0</v>
      </c>
      <c r="AV33" s="279">
        <f t="shared" si="1"/>
        <v>1</v>
      </c>
    </row>
    <row r="34" spans="1:48" ht="24" thickTop="1">
      <c r="A34" s="33">
        <f>SUMIF(IND_PLAN_BAZA,$W32,IL_PL_0)+SUMIF(IND_PLAN_BAZA,$X32,IL_PL_0)+SUMIF(IND_PLAN_BAZA,$Y32,IL_PL_0)</f>
        <v>0</v>
      </c>
      <c r="B34" s="43" t="str">
        <f>IFERROR(VLOOKUP(C34,Receptury_z!$A:$B,2,0),"Brak w bazie")</f>
        <v>ON</v>
      </c>
      <c r="C34" s="10">
        <v>6473</v>
      </c>
      <c r="D34" s="862" t="s">
        <v>252</v>
      </c>
      <c r="E34" s="870">
        <f>IF(OR($E$4="x",$E$4="d"),0,AT32)</f>
        <v>0</v>
      </c>
      <c r="F34" s="860">
        <f>IF($E$4="x",0,IF($E$4="d",AK32,IF(AV32&gt;1,VLOOKUP(C34,Konfiguracja!$M$60:$T$148,8,0),IF((A34-E34)&lt;0,0,A34-E34))))</f>
        <v>0</v>
      </c>
      <c r="G34" s="203">
        <f>SUMIF(IND_PLAN_BAZA,$W32,IL_PL_1)+SUMIF(IND_PLAN_BAZA,$X32,IL_PL_1)+SUMIF(IND_PLAN_BAZA,$Y32,IL_PL_1)</f>
        <v>0</v>
      </c>
      <c r="H34" s="498">
        <f>SUMIF(IND_PLAN_BAZA,W32,IL_PL_2)+SUMIF(IND_PLAN_BAZA,X32,IL_PL_2)+SUMIF(IND_PLAN_BAZA,Y32,IL_PL_2)</f>
        <v>0</v>
      </c>
      <c r="I34">
        <v>53064000</v>
      </c>
      <c r="J34" s="575" t="s">
        <v>18002</v>
      </c>
      <c r="K34" s="749">
        <v>-11392.213426999999</v>
      </c>
      <c r="L34" s="207"/>
      <c r="M34" s="207"/>
      <c r="N34" s="207"/>
      <c r="O34" s="207">
        <v>18000</v>
      </c>
      <c r="P34" s="208">
        <f ca="1">AD34</f>
        <v>0</v>
      </c>
      <c r="Q34" s="830">
        <f ca="1">(K34+N34+O34+L34)-P34</f>
        <v>6607.7865730000012</v>
      </c>
      <c r="R34" s="208">
        <f ca="1">AE34</f>
        <v>6130.0620000000008</v>
      </c>
      <c r="S34" s="830">
        <f ca="1">Q34-R34</f>
        <v>477.72457300000042</v>
      </c>
      <c r="T34" s="208">
        <f ca="1">AF34</f>
        <v>7607.1740000000009</v>
      </c>
      <c r="U34" s="830">
        <f ca="1">S34-AF34</f>
        <v>-7129.4494270000005</v>
      </c>
      <c r="V34" s="254">
        <f ca="1">R34+T34</f>
        <v>13737.236000000001</v>
      </c>
      <c r="W34">
        <f>IF(LEN(C7)&gt;4,9999,C7)</f>
        <v>6350</v>
      </c>
      <c r="X34">
        <f>IF(LEN(C7)&gt;4,9999,0)</f>
        <v>0</v>
      </c>
      <c r="Y34">
        <f>IF(LEN(C7)&gt;4,9999,0)</f>
        <v>0</v>
      </c>
      <c r="Z34">
        <f ca="1">VLOOKUP($J34,Konfiguracja!$B$3:$E$49,2,0)</f>
        <v>106</v>
      </c>
      <c r="AA34">
        <f ca="1">VLOOKUP($J34,Konfiguracja!$B$3:$E$49,3,0)</f>
        <v>107</v>
      </c>
      <c r="AB34">
        <f ca="1">VLOOKUP($J34,Konfiguracja!$B$3:$E$49,4,0)</f>
        <v>108</v>
      </c>
      <c r="AC34" t="s">
        <v>177</v>
      </c>
      <c r="AD34" s="633">
        <f ca="1">IFERROR(VLOOKUP($AC34,'Receptury '!$D$100:$IA$100,Z34,0),0)</f>
        <v>0</v>
      </c>
      <c r="AE34" s="634">
        <f ca="1">IFERROR(VLOOKUP($AC34,'Receptury '!$D$100:$IA$100,AA34,0),0)</f>
        <v>6130.0620000000008</v>
      </c>
      <c r="AF34" s="635">
        <f ca="1">IFERROR(VLOOKUP($AC34,'Receptury '!$D$100:$IA$100,AB34,0),0)</f>
        <v>7607.1740000000009</v>
      </c>
      <c r="AG34" s="88">
        <f ca="1">P34-AD34</f>
        <v>0</v>
      </c>
      <c r="AH34" s="88">
        <f ca="1">R34-AE34</f>
        <v>0</v>
      </c>
      <c r="AI34" s="88">
        <f ca="1">T34-AF34</f>
        <v>0</v>
      </c>
      <c r="AJ34">
        <v>499</v>
      </c>
      <c r="AK34">
        <f>IF(IFERROR(VLOOKUP(W34,DROBIE,1,0),0),A7,0)</f>
        <v>0</v>
      </c>
      <c r="AL34" s="247">
        <f ca="1">IFERROR(VLOOKUP($I7,Konfiguracja!$M:$U,9,0),0)</f>
        <v>2</v>
      </c>
      <c r="AM34" s="248">
        <f ca="1">IFERROR(VLOOKUP($I7,Konfiguracja!$M:$U,6,0),0)</f>
        <v>1857.5</v>
      </c>
      <c r="AN34" s="248">
        <f ca="1">IFERROR(VLOOKUP($I7,Konfiguracja!$M:$U,7,0),0)</f>
        <v>200</v>
      </c>
      <c r="AO34" s="249">
        <f ca="1">IFERROR(VLOOKUP($I7,Konfiguracja!$M:$U,8,0),0)</f>
        <v>0</v>
      </c>
      <c r="AQ34" s="258">
        <f>IFERROR(VLOOKUP($I34,Konfiguracja!M:AF,16,0),0)</f>
        <v>0</v>
      </c>
      <c r="AR34">
        <f>IFERROR(VLOOKUP(C7,Receptury_z!$A:$C,3,0),0)</f>
        <v>5114</v>
      </c>
      <c r="AS34" s="256">
        <f>SUMIF(TPS_mięsa!$Q$2:$Q$300,AR34,TPS_mięsa!$G$2:$G$300)/1000</f>
        <v>1</v>
      </c>
      <c r="AT34" s="268">
        <f ca="1">VLOOKUP(AR34,Konfiguracja!$N$60:$AC$148,16,0)/1000</f>
        <v>1</v>
      </c>
      <c r="AU34" s="270">
        <f>IFERROR(VLOOKUP(I34,Konfiguracja!$M$3:$AM$57,26,0),0)</f>
        <v>0</v>
      </c>
      <c r="AV34" s="279">
        <f t="shared" si="1"/>
        <v>1</v>
      </c>
    </row>
    <row r="35" spans="1:48" ht="24" thickBot="1">
      <c r="A35" s="33">
        <f>SUMIF(IND_PLAN_BAZA,$W36,IL_PL_0)+SUMIF(IND_PLAN_BAZA,$X36,IL_PL_0)+SUMIF(IND_PLAN_BAZA,$Y36,IL_PL_0)</f>
        <v>0</v>
      </c>
      <c r="B35" s="43" t="str">
        <f>IFERROR(VLOOKUP(C35,Receptury_z!$A:$B,2,0),"Brak w bazie")</f>
        <v>ON</v>
      </c>
      <c r="C35" s="10">
        <v>6441</v>
      </c>
      <c r="D35" s="862" t="s">
        <v>146</v>
      </c>
      <c r="E35" s="870">
        <f>IF(OR($E$4="x",$E$4="d"),0,AT36)</f>
        <v>0</v>
      </c>
      <c r="F35" s="860">
        <f>IF($E$4="x",0,IF($E$4="d",AK36,IF(AV36&gt;1,VLOOKUP(C35,Konfiguracja!$M$60:$T$148,8,0),IF((A35-E35)&lt;0,0,A35-E35))))</f>
        <v>0</v>
      </c>
      <c r="G35" s="203">
        <f>SUMIF(IND_PLAN_BAZA,$W36,IL_PL_1)+SUMIF(IND_PLAN_BAZA,$X36,IL_PL_1)+SUMIF(IND_PLAN_BAZA,$Y36,IL_PL_1)</f>
        <v>0</v>
      </c>
      <c r="H35" s="498">
        <f>SUMIF(IND_PLAN_BAZA,W36,IL_PL_2)+SUMIF(IND_PLAN_BAZA,X36,IL_PL_2)+SUMIF(IND_PLAN_BAZA,Y36,IL_PL_2)</f>
        <v>0</v>
      </c>
      <c r="I35">
        <v>5306</v>
      </c>
      <c r="J35" s="575" t="s">
        <v>17987</v>
      </c>
      <c r="K35" s="749">
        <v>-2854.4459999999999</v>
      </c>
      <c r="L35" s="207"/>
      <c r="M35" s="207"/>
      <c r="N35" s="207"/>
      <c r="O35" s="207">
        <v>3000</v>
      </c>
      <c r="P35" s="208">
        <f ca="1">AD35</f>
        <v>0</v>
      </c>
      <c r="Q35" s="211">
        <f ca="1">(K35+N35+O35+L35+M35)-P35</f>
        <v>145.55400000000009</v>
      </c>
      <c r="R35" s="208">
        <f ca="1">AE35</f>
        <v>0</v>
      </c>
      <c r="S35" s="211">
        <f ca="1">Q35-R35</f>
        <v>145.55400000000009</v>
      </c>
      <c r="T35" s="208">
        <f ca="1">AF35</f>
        <v>6432</v>
      </c>
      <c r="U35" s="211">
        <f t="shared" ca="1" si="3"/>
        <v>-6286.4459999999999</v>
      </c>
      <c r="V35" s="254">
        <f ca="1">R35+T35</f>
        <v>6432</v>
      </c>
      <c r="W35">
        <f>IF(LEN(C28)&gt;4,9999,C28)</f>
        <v>6461</v>
      </c>
      <c r="X35">
        <f>IF(LEN(C28)&gt;4,9999,0)</f>
        <v>0</v>
      </c>
      <c r="Y35">
        <f>IF(LEN(C28)&gt;4,9999,0)</f>
        <v>0</v>
      </c>
      <c r="Z35">
        <f ca="1">VLOOKUP($J35,Konfiguracja!$B$3:$E$49,2,0)</f>
        <v>196</v>
      </c>
      <c r="AA35">
        <f ca="1">VLOOKUP($J35,Konfiguracja!$B$3:$E$49,3,0)</f>
        <v>197</v>
      </c>
      <c r="AB35">
        <f ca="1">VLOOKUP($J35,Konfiguracja!$B$3:$E$49,4,0)</f>
        <v>198</v>
      </c>
      <c r="AC35" t="s">
        <v>177</v>
      </c>
      <c r="AD35" s="633">
        <f ca="1">IFERROR(VLOOKUP($AC35,'Receptury '!$D$100:$IA$100,Z35,0),0)</f>
        <v>0</v>
      </c>
      <c r="AE35" s="634">
        <f ca="1">IFERROR(VLOOKUP($AC35,'Receptury '!$D$100:$IA$100,AA35,0),0)</f>
        <v>0</v>
      </c>
      <c r="AF35" s="635">
        <f ca="1">IFERROR(VLOOKUP($AC35,'Receptury '!$D$100:$IA$100,AB35,0),0)</f>
        <v>6432</v>
      </c>
      <c r="AG35" s="88">
        <f ca="1">P35-AD35</f>
        <v>0</v>
      </c>
      <c r="AH35" s="88">
        <f ca="1">R35-AE35</f>
        <v>0</v>
      </c>
      <c r="AI35" s="88">
        <f ca="1">T35-AF35</f>
        <v>0</v>
      </c>
      <c r="AJ35">
        <v>0</v>
      </c>
      <c r="AK35">
        <f>IF(IFERROR(VLOOKUP(W35,DROBIE,1,0),0),A28,0)</f>
        <v>0</v>
      </c>
      <c r="AL35" s="247">
        <f ca="1">IFERROR(VLOOKUP($I35,Konfiguracja!$M:$U,9,0),0)</f>
        <v>1</v>
      </c>
      <c r="AM35" s="248">
        <f ca="1">IFERROR(VLOOKUP($I35,Konfiguracja!$M:$U,6,0),0)</f>
        <v>4048.5</v>
      </c>
      <c r="AN35" s="248">
        <f ca="1">IFERROR(VLOOKUP($I35,Konfiguracja!$M:$U,7,0),0)</f>
        <v>0</v>
      </c>
      <c r="AO35" s="249">
        <f ca="1">IFERROR(VLOOKUP($I35,Konfiguracja!$M:$U,8,0),0)</f>
        <v>0</v>
      </c>
      <c r="AQ35" s="258">
        <f>IFERROR(VLOOKUP($I35,Konfiguracja!M:AF,16,0),0)</f>
        <v>5353.5</v>
      </c>
      <c r="AR35">
        <f>IFERROR(VLOOKUP(C28,Receptury_z!$A:$C,3,0),0)</f>
        <v>5555</v>
      </c>
      <c r="AS35" s="256">
        <f>SUMIF(TPS_mięsa!$Q$2:$Q$300,AR35,TPS_mięsa!$G$2:$G$300)/1000</f>
        <v>0</v>
      </c>
      <c r="AT35" s="268">
        <f ca="1">VLOOKUP(AR35,Konfiguracja!$N$60:$AC$148,16,0)/1000</f>
        <v>0</v>
      </c>
      <c r="AU35" s="270">
        <f>IFERROR(VLOOKUP(I35,Konfiguracja!$M$3:$AM$57,26,0),0)</f>
        <v>0</v>
      </c>
      <c r="AV35" s="279">
        <f t="shared" si="1"/>
        <v>3</v>
      </c>
    </row>
    <row r="36" spans="1:48" ht="24" thickTop="1">
      <c r="A36" s="33">
        <f>SUMIF(IND_PLAN_BAZA,$W37,IL_PL_0)+SUMIF(IND_PLAN_BAZA,$X37,IL_PL_0)+SUMIF(IND_PLAN_BAZA,$Y37,IL_PL_0)</f>
        <v>0</v>
      </c>
      <c r="B36" s="43" t="str">
        <f>IFERROR(VLOOKUP(C36,Receptury_z!$A:$B,2,0),"Brak w bazie")</f>
        <v>ON</v>
      </c>
      <c r="C36" s="10">
        <v>6442</v>
      </c>
      <c r="D36" s="862" t="s">
        <v>147</v>
      </c>
      <c r="E36" s="870">
        <f>IF(OR($E$4="x",$E$4="d"),0,AT37)</f>
        <v>0</v>
      </c>
      <c r="F36" s="860">
        <f>IF($E$4="x",0,IF($E$4="d",AK37,IF(AV37&gt;1,VLOOKUP(C36,Konfiguracja!$M$60:$T$148,8,0),IF((A36-E36)&lt;0,0,A36-E36))))</f>
        <v>0</v>
      </c>
      <c r="G36" s="203">
        <f>SUMIF(IND_PLAN_BAZA,$W37,IL_PL_1)+SUMIF(IND_PLAN_BAZA,$X37,IL_PL_1)+SUMIF(IND_PLAN_BAZA,$Y37,IL_PL_1)</f>
        <v>0</v>
      </c>
      <c r="H36" s="498">
        <f>SUMIF(IND_PLAN_BAZA,W37,IL_PL_2)+SUMIF(IND_PLAN_BAZA,X37,IL_PL_2)+SUMIF(IND_PLAN_BAZA,Y37,IL_PL_2)</f>
        <v>0</v>
      </c>
      <c r="I36" t="s">
        <v>17338</v>
      </c>
      <c r="J36" s="681" t="s">
        <v>17977</v>
      </c>
      <c r="K36" s="749">
        <v>550</v>
      </c>
      <c r="L36" s="207"/>
      <c r="M36" s="207"/>
      <c r="N36" s="207">
        <v>4980</v>
      </c>
      <c r="O36" s="207">
        <v>8500</v>
      </c>
      <c r="P36" s="208">
        <f ca="1">AD36+'Klon Drobie 10'!G108</f>
        <v>13220</v>
      </c>
      <c r="Q36" s="565">
        <f t="shared" ref="Q36" ca="1" si="24">(K36+N36+O36+L36+M36)-P36</f>
        <v>810</v>
      </c>
      <c r="R36" s="208">
        <f t="shared" ca="1" si="18"/>
        <v>1938.2</v>
      </c>
      <c r="S36" s="565">
        <f t="shared" ca="1" si="3"/>
        <v>-1128.2</v>
      </c>
      <c r="T36" s="208">
        <f t="shared" ca="1" si="12"/>
        <v>0</v>
      </c>
      <c r="U36" s="566">
        <f t="shared" ca="1" si="19"/>
        <v>-1128.2</v>
      </c>
      <c r="V36" s="254">
        <f t="shared" ref="V36:V50" ca="1" si="25">R36+T36</f>
        <v>1938.2</v>
      </c>
      <c r="W36">
        <f>IF(LEN(C35)&gt;4,9999,C35)</f>
        <v>6441</v>
      </c>
      <c r="X36">
        <f>IF(LEN(C35)&gt;4,9999,0)</f>
        <v>0</v>
      </c>
      <c r="Y36">
        <f>IF(LEN(C35)&gt;4,9999,0)</f>
        <v>0</v>
      </c>
      <c r="Z36">
        <f ca="1">VLOOKUP($J36,Konfiguracja!$B$3:$E$49,2,0)</f>
        <v>172</v>
      </c>
      <c r="AA36">
        <f ca="1">VLOOKUP($J36,Konfiguracja!$B$3:$E$49,3,0)</f>
        <v>173</v>
      </c>
      <c r="AB36">
        <f ca="1">VLOOKUP($J36,Konfiguracja!$B$3:$E$49,4,0)</f>
        <v>174</v>
      </c>
      <c r="AC36" t="s">
        <v>177</v>
      </c>
      <c r="AD36" s="633">
        <f ca="1">IFERROR(VLOOKUP($AC36,'Receptury '!$D$100:$IA$100,Z36,0),0)</f>
        <v>0</v>
      </c>
      <c r="AE36" s="634">
        <f ca="1">IFERROR(VLOOKUP($AC36,'Receptury '!$D$100:$IA$100,AA36,0),0)</f>
        <v>1938.2</v>
      </c>
      <c r="AF36" s="635">
        <f ca="1">IFERROR(VLOOKUP($AC36,'Receptury '!$D$100:$IA$100,AB36,0),0)</f>
        <v>0</v>
      </c>
      <c r="AG36" s="88">
        <f t="shared" ca="1" si="7"/>
        <v>13220</v>
      </c>
      <c r="AH36" s="88">
        <f t="shared" ca="1" si="8"/>
        <v>0</v>
      </c>
      <c r="AI36" s="88">
        <f t="shared" ca="1" si="9"/>
        <v>0</v>
      </c>
      <c r="AJ36">
        <v>-15971.2</v>
      </c>
      <c r="AK36">
        <f>IF(IFERROR(VLOOKUP(W36,DROBIE,1,0),0),A35,0)</f>
        <v>0</v>
      </c>
      <c r="AL36" s="247">
        <f ca="1">IFERROR(VLOOKUP($I36,Konfiguracja!$M:$U,9,0),0)</f>
        <v>0</v>
      </c>
      <c r="AM36" s="248">
        <f ca="1">IFERROR(VLOOKUP($I36,Konfiguracja!$M:$U,6,0),0)</f>
        <v>0</v>
      </c>
      <c r="AN36" s="248">
        <f ca="1">IFERROR(VLOOKUP($I36,Konfiguracja!$M:$U,7,0),0)</f>
        <v>0</v>
      </c>
      <c r="AO36" s="249">
        <f ca="1">IFERROR(VLOOKUP($I36,Konfiguracja!$M:$U,8,0),0)</f>
        <v>0</v>
      </c>
      <c r="AQ36" s="258">
        <f>IFERROR(VLOOKUP($I36,Konfiguracja!M:AF,16,0),0)</f>
        <v>0</v>
      </c>
      <c r="AR36">
        <f>IFERROR(VLOOKUP(C35,Receptury_z!$A:$C,3,0),0)</f>
        <v>5542</v>
      </c>
      <c r="AS36" s="256">
        <f>SUMIF(TPS_mięsa!$Q$2:$Q$300,AR36,TPS_mięsa!$G$2:$G$300)/1000</f>
        <v>0</v>
      </c>
      <c r="AT36" s="268">
        <f ca="1">VLOOKUP(AR36,Konfiguracja!$N$60:$AC$148,16,0)/1000</f>
        <v>0</v>
      </c>
      <c r="AU36" s="270">
        <f>IFERROR(VLOOKUP(I36,Konfiguracja!$M$3:$AM$57,26,0),0)</f>
        <v>0</v>
      </c>
      <c r="AV36" s="279">
        <f t="shared" si="1"/>
        <v>1</v>
      </c>
    </row>
    <row r="37" spans="1:48" ht="23.25">
      <c r="A37" s="33">
        <f>SUMIF(IND_PLAN_BAZA,$W33,IL_PL_0)+SUMIF(IND_PLAN_BAZA,$X33,IL_PL_0)+SUMIF(IND_PLAN_BAZA,$Y33,IL_PL_0)</f>
        <v>0</v>
      </c>
      <c r="B37" s="43" t="str">
        <f>IFERROR(VLOOKUP(C37,Receptury_z!$A:$B,2,0),"Brak w bazie")</f>
        <v>ON</v>
      </c>
      <c r="C37" s="10">
        <v>6487</v>
      </c>
      <c r="D37" s="862" t="s">
        <v>221</v>
      </c>
      <c r="E37" s="870">
        <f>IF(OR($E$4="x",$E$4="d"),0,AT38)</f>
        <v>0</v>
      </c>
      <c r="F37" s="860">
        <f>IF($E$4="x",0,IF($E$4="d",AK37,IF(AV37&gt;1,VLOOKUP(C37,Konfiguracja!$M$60:$T$148,8,0),IF((A37-E37)&lt;0,0,A37-E37))))</f>
        <v>0</v>
      </c>
      <c r="G37" s="203">
        <f>SUMIF(IND_PLAN_BAZA,$W33,IL_PL_1)+SUMIF(IND_PLAN_BAZA,$X33,IL_PL_1)+SUMIF(IND_PLAN_BAZA,$Y33,IL_PL_1)</f>
        <v>0</v>
      </c>
      <c r="H37" s="498">
        <f>SUMIF(IND_PLAN_BAZA,W33,IL_PL_2)+SUMIF(IND_PLAN_BAZA,X33,IL_PL_2)+SUMIF(IND_PLAN_BAZA,Y33,IL_PL_2)</f>
        <v>0</v>
      </c>
      <c r="I37">
        <v>3009</v>
      </c>
      <c r="J37" s="681" t="s">
        <v>17963</v>
      </c>
      <c r="K37" s="749">
        <v>0</v>
      </c>
      <c r="L37" s="207"/>
      <c r="M37" s="207"/>
      <c r="N37" s="207"/>
      <c r="O37" s="207"/>
      <c r="P37" s="208">
        <f ca="1">AD37+'Klon Drobie 10'!G112</f>
        <v>0</v>
      </c>
      <c r="Q37" s="209">
        <f t="shared" ref="Q37:Q43" ca="1" si="26">(K37+N37+O37+L37+M37)-P37</f>
        <v>0</v>
      </c>
      <c r="R37" s="208">
        <f t="shared" ca="1" si="18"/>
        <v>0</v>
      </c>
      <c r="S37" s="209">
        <f t="shared" ca="1" si="3"/>
        <v>0</v>
      </c>
      <c r="T37" s="208">
        <f t="shared" ref="T37:T50" ca="1" si="27">AF37</f>
        <v>0</v>
      </c>
      <c r="U37" s="557">
        <f t="shared" ca="1" si="19"/>
        <v>0</v>
      </c>
      <c r="V37" s="254">
        <f t="shared" ca="1" si="25"/>
        <v>0</v>
      </c>
      <c r="W37">
        <f>IF(LEN(C36)&gt;4,9999,C36)</f>
        <v>6442</v>
      </c>
      <c r="X37">
        <f>IF(LEN(C36)&gt;4,9999,0)</f>
        <v>0</v>
      </c>
      <c r="Y37">
        <f>IF(LEN(C36)&gt;4,9999,0)</f>
        <v>0</v>
      </c>
      <c r="Z37">
        <f ca="1">VLOOKUP($J37,Konfiguracja!$B$3:$E$49,2,0)</f>
        <v>175</v>
      </c>
      <c r="AA37">
        <f ca="1">VLOOKUP($J37,Konfiguracja!$B$3:$E$49,3,0)</f>
        <v>176</v>
      </c>
      <c r="AB37">
        <f ca="1">VLOOKUP($J37,Konfiguracja!$B$3:$E$49,4,0)</f>
        <v>177</v>
      </c>
      <c r="AC37" t="s">
        <v>177</v>
      </c>
      <c r="AD37" s="633">
        <f ca="1">IFERROR(VLOOKUP($AC37,'Receptury '!$D$100:$IA$100,Z37,0),0)</f>
        <v>0</v>
      </c>
      <c r="AE37" s="634">
        <f ca="1">IFERROR(VLOOKUP($AC37,'Receptury '!$D$100:$IA$100,AA37,0),0)</f>
        <v>0</v>
      </c>
      <c r="AF37" s="635">
        <f ca="1">IFERROR(VLOOKUP($AC37,'Receptury '!$D$100:$IA$100,AB37,0),0)</f>
        <v>0</v>
      </c>
      <c r="AG37" s="88">
        <f t="shared" ca="1" si="7"/>
        <v>0</v>
      </c>
      <c r="AH37" s="88">
        <f t="shared" ca="1" si="8"/>
        <v>0</v>
      </c>
      <c r="AI37" s="88">
        <f t="shared" ca="1" si="9"/>
        <v>0</v>
      </c>
      <c r="AJ37">
        <v>11322</v>
      </c>
      <c r="AK37">
        <f>IF(IFERROR(VLOOKUP(W37,DROBIE,1,0),0),A36,0)</f>
        <v>0</v>
      </c>
      <c r="AL37" s="247">
        <f ca="1">IFERROR(VLOOKUP($I37,Konfiguracja!$M:$U,9,0),0)</f>
        <v>0</v>
      </c>
      <c r="AM37" s="248">
        <f ca="1">IFERROR(VLOOKUP($I37,Konfiguracja!$M:$U,6,0),0)</f>
        <v>0</v>
      </c>
      <c r="AN37" s="248">
        <f ca="1">IFERROR(VLOOKUP($I37,Konfiguracja!$M:$U,7,0),0)</f>
        <v>0</v>
      </c>
      <c r="AO37" s="249">
        <f ca="1">IFERROR(VLOOKUP($I37,Konfiguracja!$M:$U,8,0),0)</f>
        <v>0</v>
      </c>
      <c r="AQ37" s="258">
        <f>IFERROR(VLOOKUP($I37,Konfiguracja!M:AF,16,0),0)</f>
        <v>0</v>
      </c>
      <c r="AR37">
        <f>IFERROR(VLOOKUP(C36,Receptury_z!$A:$C,3,0),0)</f>
        <v>5543</v>
      </c>
      <c r="AS37" s="256">
        <f>SUMIF(TPS_mięsa!$Q$2:$Q$300,AR37,TPS_mięsa!$G$2:$G$300)/1000</f>
        <v>0</v>
      </c>
      <c r="AT37" s="268">
        <f ca="1">VLOOKUP(AR37,Konfiguracja!$N$60:$AC$148,16,0)/1000</f>
        <v>0</v>
      </c>
      <c r="AU37" s="270">
        <f>IFERROR(VLOOKUP(I37,Konfiguracja!$M$3:$AM$57,26,0),0)</f>
        <v>0</v>
      </c>
      <c r="AV37" s="279">
        <f t="shared" si="1"/>
        <v>1</v>
      </c>
    </row>
    <row r="38" spans="1:48" ht="23.25">
      <c r="A38" s="33">
        <f t="shared" ref="A38" si="28">SUMIF(IND_PLAN_BAZA,$W38,IL_PL_0)+SUMIF(IND_PLAN_BAZA,$X38,IL_PL_0)+SUMIF(IND_PLAN_BAZA,$Y38,IL_PL_0)</f>
        <v>0</v>
      </c>
      <c r="B38" s="43" t="str">
        <f>IFERROR(VLOOKUP(C38,Receptury_z!$A:$B,2,0),"Brak w bazie")</f>
        <v>ON</v>
      </c>
      <c r="C38" s="10">
        <v>6512</v>
      </c>
      <c r="D38" s="862" t="s">
        <v>152</v>
      </c>
      <c r="E38" s="870">
        <f>IF(OR($E$4="x",$E$4="d"),0,AT39)</f>
        <v>0</v>
      </c>
      <c r="F38" s="860">
        <f>IF($E$4="x",0,IF($E$4="d",AK38,IF(AV38&gt;1,VLOOKUP(C38,Konfiguracja!$M$60:$T$148,8,0),IF((A38-E38)&lt;0,0,A38-E38))))</f>
        <v>0</v>
      </c>
      <c r="G38" s="203">
        <f t="shared" ref="G38" si="29">SUMIF(IND_PLAN_BAZA,$W38,IL_PL_1)+SUMIF(IND_PLAN_BAZA,$X38,IL_PL_1)+SUMIF(IND_PLAN_BAZA,$Y38,IL_PL_1)</f>
        <v>0</v>
      </c>
      <c r="H38" s="498">
        <f t="shared" ref="H38" si="30">SUMIF(IND_PLAN_BAZA,W38,IL_PL_2)+SUMIF(IND_PLAN_BAZA,X38,IL_PL_2)+SUMIF(IND_PLAN_BAZA,Y38,IL_PL_2)</f>
        <v>0</v>
      </c>
      <c r="I38">
        <v>3015</v>
      </c>
      <c r="J38" s="681" t="s">
        <v>17961</v>
      </c>
      <c r="K38" s="749">
        <v>0</v>
      </c>
      <c r="L38" s="207"/>
      <c r="M38" s="207"/>
      <c r="N38" s="207"/>
      <c r="O38" s="207"/>
      <c r="P38" s="208">
        <f ca="1">AD38+'Klon Drobie 10'!G109</f>
        <v>0</v>
      </c>
      <c r="Q38" s="209">
        <f ca="1">(K38+N38+O38+L38+M38)-P38</f>
        <v>0</v>
      </c>
      <c r="R38" s="208">
        <f ca="1">AE38</f>
        <v>0</v>
      </c>
      <c r="S38" s="209">
        <f t="shared" ca="1" si="3"/>
        <v>0</v>
      </c>
      <c r="T38" s="208">
        <f ca="1">AF38</f>
        <v>0</v>
      </c>
      <c r="U38" s="557">
        <f ca="1">S38-AF38</f>
        <v>0</v>
      </c>
      <c r="V38" s="254">
        <f ca="1">R38+T38</f>
        <v>0</v>
      </c>
      <c r="W38">
        <f>IF(LEN(C38)&gt;4,9999,C38)</f>
        <v>6512</v>
      </c>
      <c r="X38">
        <f>IF(LEN(C38)&gt;4,9999,0)</f>
        <v>0</v>
      </c>
      <c r="Y38">
        <f>IF(LEN(C38)&gt;4,9999,0)</f>
        <v>0</v>
      </c>
      <c r="Z38">
        <f ca="1">VLOOKUP($J38,Konfiguracja!$B$3:$E$49,2,0)</f>
        <v>181</v>
      </c>
      <c r="AA38">
        <f ca="1">VLOOKUP($J38,Konfiguracja!$B$3:$E$49,3,0)</f>
        <v>182</v>
      </c>
      <c r="AB38">
        <f ca="1">VLOOKUP($J38,Konfiguracja!$B$3:$E$49,4,0)</f>
        <v>183</v>
      </c>
      <c r="AC38" t="s">
        <v>177</v>
      </c>
      <c r="AD38" s="633">
        <f ca="1">IFERROR(VLOOKUP($AC38,'Receptury '!$D$100:$IA$100,Z38,0),0)</f>
        <v>0</v>
      </c>
      <c r="AE38" s="634">
        <f ca="1">IFERROR(VLOOKUP($AC38,'Receptury '!$D$100:$IA$100,AA38,0),0)</f>
        <v>0</v>
      </c>
      <c r="AF38" s="635">
        <f ca="1">IFERROR(VLOOKUP($AC38,'Receptury '!$D$100:$IA$100,AB38,0),0)</f>
        <v>0</v>
      </c>
      <c r="AG38" s="88">
        <f ca="1">P38-AD38</f>
        <v>0</v>
      </c>
      <c r="AH38" s="88">
        <f ca="1">R38-AE38</f>
        <v>0</v>
      </c>
      <c r="AI38" s="88">
        <f ca="1">T38-AF38</f>
        <v>0</v>
      </c>
      <c r="AJ38">
        <v>-170</v>
      </c>
      <c r="AK38">
        <f t="shared" ref="AK38:AK41" si="31">IF(IFERROR(VLOOKUP(W38,DROBIE,1,0),0),A38,0)</f>
        <v>0</v>
      </c>
      <c r="AL38" s="247">
        <f ca="1">IFERROR(VLOOKUP($I38,Konfiguracja!$M:$U,9,0),0)</f>
        <v>0</v>
      </c>
      <c r="AM38" s="248">
        <f ca="1">IFERROR(VLOOKUP($I38,Konfiguracja!$M:$U,6,0),0)</f>
        <v>0</v>
      </c>
      <c r="AN38" s="248">
        <f ca="1">IFERROR(VLOOKUP($I38,Konfiguracja!$M:$U,7,0),0)</f>
        <v>0</v>
      </c>
      <c r="AO38" s="249">
        <f ca="1">IFERROR(VLOOKUP($I38,Konfiguracja!$M:$U,8,0),0)</f>
        <v>0</v>
      </c>
      <c r="AQ38" s="258">
        <f ca="1">IFERROR(VLOOKUP($I38,Konfiguracja!M:AF,16,0),0)</f>
        <v>0</v>
      </c>
      <c r="AR38">
        <f>IFERROR(VLOOKUP(C38,Receptury_z!$A:$C,3,0),0)</f>
        <v>5681</v>
      </c>
      <c r="AS38" s="256">
        <f>SUMIF(TPS_mięsa!$Q$2:$Q$300,AR38,TPS_mięsa!$G$2:$G$300)/1000</f>
        <v>0</v>
      </c>
      <c r="AT38" s="268">
        <f ca="1">VLOOKUP(AR38,Konfiguracja!$N$60:$AC$148,16,0)/1000</f>
        <v>0</v>
      </c>
      <c r="AU38" s="270">
        <f>IFERROR(VLOOKUP(I38,Konfiguracja!$M$3:$AM$57,26,0),0)</f>
        <v>0</v>
      </c>
      <c r="AV38" s="279">
        <f t="shared" si="1"/>
        <v>3</v>
      </c>
    </row>
    <row r="39" spans="1:48" ht="23.25">
      <c r="A39" s="33">
        <f>SUMIF(IND_PLAN_BAZA,$W47,IL_PL_0)+SUMIF(IND_PLAN_BAZA,$X47,IL_PL_0)+SUMIF(IND_PLAN_BAZA,$Y47,IL_PL_0)</f>
        <v>0</v>
      </c>
      <c r="B39" s="43" t="str">
        <f>IFERROR(VLOOKUP(C39,Receptury_z!$A:$B,2,0),"Brak w bazie")</f>
        <v>ON</v>
      </c>
      <c r="C39" s="10">
        <v>6480</v>
      </c>
      <c r="D39" s="862" t="s">
        <v>40</v>
      </c>
      <c r="E39" s="870">
        <f>IF(OR($E$4="x",$E$4="d"),0,AT38)</f>
        <v>0</v>
      </c>
      <c r="F39" s="860">
        <f>IF($E$4="x",0,IF($E$4="d",AK47,IF(AV47&gt;1,VLOOKUP(C39,Konfiguracja!$M$60:$T$148,8,0),IF((A39-E39)&lt;0,0,A39-E39))))</f>
        <v>0</v>
      </c>
      <c r="G39" s="203">
        <f>SUMIF(IND_PLAN_BAZA,$W47,IL_PL_1)+SUMIF(IND_PLAN_BAZA,$X47,IL_PL_1)+SUMIF(IND_PLAN_BAZA,$Y47,IL_PL_1)</f>
        <v>6</v>
      </c>
      <c r="H39" s="498">
        <f>SUMIF(IND_PLAN_BAZA,W47,IL_PL_2)+SUMIF(IND_PLAN_BAZA,X47,IL_PL_2)+SUMIF(IND_PLAN_BAZA,Y47,IL_PL_2)</f>
        <v>0</v>
      </c>
      <c r="I39" t="s">
        <v>17988</v>
      </c>
      <c r="J39" s="679" t="s">
        <v>17957</v>
      </c>
      <c r="K39" s="749">
        <v>580.5</v>
      </c>
      <c r="L39" s="207"/>
      <c r="M39" s="207"/>
      <c r="N39" s="207"/>
      <c r="O39" s="207"/>
      <c r="P39" s="208">
        <f ca="1">AD39+'Klon Drobie 10'!G110</f>
        <v>0</v>
      </c>
      <c r="Q39" s="209">
        <f ca="1">(K39+N39+O39+L39+M39)-P39</f>
        <v>580.5</v>
      </c>
      <c r="R39" s="208">
        <f t="shared" ref="R39:R41" ca="1" si="32">AE39</f>
        <v>958.5</v>
      </c>
      <c r="S39" s="209">
        <f t="shared" ref="S39:S41" ca="1" si="33">Q39-R39</f>
        <v>-378</v>
      </c>
      <c r="T39" s="208">
        <f t="shared" ref="T39:T41" ca="1" si="34">AF39</f>
        <v>958.5</v>
      </c>
      <c r="U39" s="557">
        <f t="shared" ref="U39:U41" ca="1" si="35">S39-AF39</f>
        <v>-1336.5</v>
      </c>
      <c r="V39" s="254">
        <f t="shared" ref="V39:V41" ca="1" si="36">R39+T39</f>
        <v>1917</v>
      </c>
      <c r="W39">
        <f>IF(LEN(C39)&gt;4,9999,C39)</f>
        <v>6480</v>
      </c>
      <c r="X39">
        <f>IF(LEN(C39)&gt;4,9999,0)</f>
        <v>0</v>
      </c>
      <c r="Y39">
        <f t="shared" ref="Y39:Y41" si="37">IF(LEN(C39)&gt;4,9999,0)</f>
        <v>0</v>
      </c>
      <c r="Z39">
        <f ca="1">VLOOKUP($J39,Konfiguracja!$B$3:$E$49,2,0)</f>
        <v>232</v>
      </c>
      <c r="AA39">
        <f ca="1">VLOOKUP($J39,Konfiguracja!$B$3:$E$49,3,0)</f>
        <v>233</v>
      </c>
      <c r="AB39">
        <f ca="1">VLOOKUP($J39,Konfiguracja!$B$3:$E$49,4,0)</f>
        <v>234</v>
      </c>
      <c r="AC39" t="s">
        <v>177</v>
      </c>
      <c r="AD39" s="633">
        <f ca="1">IFERROR(VLOOKUP($AC39,'Receptury '!$D$100:$IO$100,Z39,0),0)</f>
        <v>0</v>
      </c>
      <c r="AE39" s="634">
        <f ca="1">IFERROR(VLOOKUP($AC39,'Receptury '!$D$100:$IO$100,AA39,0),0)</f>
        <v>958.5</v>
      </c>
      <c r="AF39" s="635">
        <f ca="1">IFERROR(VLOOKUP($AC39,'Receptury '!$D$100:$IO$100,AB39,0),0)</f>
        <v>958.5</v>
      </c>
      <c r="AG39" s="88">
        <f t="shared" ref="AG39:AG41" ca="1" si="38">P39-AD39</f>
        <v>0</v>
      </c>
      <c r="AH39" s="88">
        <f t="shared" ref="AH39:AH41" ca="1" si="39">R39-AE39</f>
        <v>0</v>
      </c>
      <c r="AI39" s="88">
        <f t="shared" ref="AI39:AI41" ca="1" si="40">T39-AF39</f>
        <v>0</v>
      </c>
      <c r="AJ39">
        <v>-169</v>
      </c>
      <c r="AK39">
        <f t="shared" si="31"/>
        <v>0</v>
      </c>
      <c r="AL39" s="247">
        <f ca="1">IFERROR(VLOOKUP($I39,Konfiguracja!$M:$U,9,0),0)</f>
        <v>0</v>
      </c>
      <c r="AM39" s="248">
        <f ca="1">IFERROR(VLOOKUP($I39,Konfiguracja!$M:$U,6,0),0)</f>
        <v>0</v>
      </c>
      <c r="AN39" s="248">
        <f ca="1">IFERROR(VLOOKUP($I39,Konfiguracja!$M:$U,7,0),0)</f>
        <v>0</v>
      </c>
      <c r="AO39" s="249">
        <f ca="1">IFERROR(VLOOKUP($I39,Konfiguracja!$M:$U,8,0),0)</f>
        <v>0</v>
      </c>
      <c r="AQ39" s="258">
        <f>IFERROR(VLOOKUP($I39,Konfiguracja!M:AF,16,0),0)</f>
        <v>0</v>
      </c>
      <c r="AR39">
        <f>IFERROR(VLOOKUP(C39,Receptury_z!$A:$C,3,0),0)</f>
        <v>5681</v>
      </c>
      <c r="AS39" s="256">
        <f>SUMIF(TPS_mięsa!$Q$2:$Q$300,AR39,TPS_mięsa!$G$2:$G$300)/1000</f>
        <v>0</v>
      </c>
      <c r="AT39" s="268">
        <f ca="1">VLOOKUP(AR39,Konfiguracja!$N$60:$AC$148,16,0)/1000</f>
        <v>0</v>
      </c>
      <c r="AU39" s="270">
        <f>IFERROR(VLOOKUP(I39,Konfiguracja!$M$3:$AM$57,26,0),0)</f>
        <v>0</v>
      </c>
      <c r="AV39" s="279">
        <f t="shared" si="1"/>
        <v>3</v>
      </c>
    </row>
    <row r="40" spans="1:48" ht="23.25">
      <c r="A40" s="33">
        <f>SUMIF(IND_PLAN_BAZA,$W48,IL_PL_0)+SUMIF(IND_PLAN_BAZA,$X48,IL_PL_0)+SUMIF(IND_PLAN_BAZA,$Y48,IL_PL_0)</f>
        <v>0</v>
      </c>
      <c r="B40" s="43" t="str">
        <f>IFERROR(VLOOKUP(C40,Receptury_z!$A:$B,2,0),"Brak w bazie")</f>
        <v>ON</v>
      </c>
      <c r="C40" s="10">
        <v>6482</v>
      </c>
      <c r="D40" s="862" t="s">
        <v>42</v>
      </c>
      <c r="E40" s="870">
        <f>IF(OR($E$4="x",$E$4="d"),0,AT41)</f>
        <v>0</v>
      </c>
      <c r="F40" s="860">
        <f>A40-E40</f>
        <v>0</v>
      </c>
      <c r="G40" s="203">
        <f>SUMIF(IND_PLAN_BAZA,$W48,IL_PL_1)+SUMIF(IND_PLAN_BAZA,$X48,IL_PL_1)+SUMIF(IND_PLAN_BAZA,$Y48,IL_PL_1)</f>
        <v>0</v>
      </c>
      <c r="H40" s="498">
        <f>SUMIF(IND_PLAN_BAZA,W48,IL_PL_2)+SUMIF(IND_PLAN_BAZA,X48,IL_PL_2)+SUMIF(IND_PLAN_BAZA,Y48,IL_PL_2)</f>
        <v>0</v>
      </c>
      <c r="I40">
        <v>3012</v>
      </c>
      <c r="J40" s="679" t="s">
        <v>17958</v>
      </c>
      <c r="K40" s="749">
        <v>820.5</v>
      </c>
      <c r="L40" s="207"/>
      <c r="M40" s="207"/>
      <c r="N40" s="207">
        <v>2000</v>
      </c>
      <c r="O40" s="207"/>
      <c r="P40" s="208">
        <f ca="1">AD40+'Klon Drobie 10'!G111</f>
        <v>2550</v>
      </c>
      <c r="Q40" s="209">
        <f t="shared" ca="1" si="26"/>
        <v>270.5</v>
      </c>
      <c r="R40" s="208">
        <f t="shared" ca="1" si="32"/>
        <v>0</v>
      </c>
      <c r="S40" s="209">
        <f t="shared" ca="1" si="33"/>
        <v>270.5</v>
      </c>
      <c r="T40" s="208">
        <f t="shared" ca="1" si="34"/>
        <v>0</v>
      </c>
      <c r="U40" s="557">
        <f t="shared" ca="1" si="35"/>
        <v>270.5</v>
      </c>
      <c r="V40" s="254">
        <f t="shared" ca="1" si="36"/>
        <v>0</v>
      </c>
      <c r="W40">
        <f t="shared" ref="W40:W41" si="41">IF(LEN(C40)&gt;4,9999,C40)</f>
        <v>6482</v>
      </c>
      <c r="X40">
        <f t="shared" ref="X40:X41" si="42">IF(LEN(C40)&gt;4,9999,0)</f>
        <v>0</v>
      </c>
      <c r="Y40">
        <f t="shared" si="37"/>
        <v>0</v>
      </c>
      <c r="Z40">
        <f ca="1">VLOOKUP($J40,Konfiguracja!$B$3:$E$49,2,0)</f>
        <v>235</v>
      </c>
      <c r="AA40">
        <f ca="1">VLOOKUP($J40,Konfiguracja!$B$3:$E$49,3,0)</f>
        <v>236</v>
      </c>
      <c r="AB40">
        <f ca="1">VLOOKUP($J40,Konfiguracja!$B$3:$E$49,4,0)</f>
        <v>237</v>
      </c>
      <c r="AC40" t="s">
        <v>177</v>
      </c>
      <c r="AD40" s="633">
        <f ca="1">IFERROR(VLOOKUP($AC40,'Receptury '!$D$100:$IO$100,Z40,0),0)</f>
        <v>0</v>
      </c>
      <c r="AE40" s="634">
        <f ca="1">IFERROR(VLOOKUP($AC40,'Receptury '!$D$100:$IO$100,AA40,0),0)</f>
        <v>0</v>
      </c>
      <c r="AF40" s="635">
        <f ca="1">IFERROR(VLOOKUP($AC40,'Receptury '!$D$100:$IO$100,AB40,0),0)</f>
        <v>0</v>
      </c>
      <c r="AG40" s="88">
        <f t="shared" ca="1" si="38"/>
        <v>2550</v>
      </c>
      <c r="AH40" s="88">
        <f t="shared" ca="1" si="39"/>
        <v>0</v>
      </c>
      <c r="AI40" s="88">
        <f t="shared" ca="1" si="40"/>
        <v>0</v>
      </c>
      <c r="AJ40">
        <v>-168</v>
      </c>
      <c r="AK40">
        <f t="shared" si="31"/>
        <v>0</v>
      </c>
      <c r="AL40" s="247">
        <f ca="1">IFERROR(VLOOKUP($I40,Konfiguracja!$M:$U,9,0),0)</f>
        <v>1</v>
      </c>
      <c r="AM40" s="248">
        <f ca="1">IFERROR(VLOOKUP($I40,Konfiguracja!$M:$U,6,0),0)</f>
        <v>1895.5</v>
      </c>
      <c r="AN40" s="248">
        <f ca="1">IFERROR(VLOOKUP($I40,Konfiguracja!$M:$U,7,0),0)</f>
        <v>0</v>
      </c>
      <c r="AO40" s="249">
        <f ca="1">IFERROR(VLOOKUP($I40,Konfiguracja!$M:$U,8,0),0)</f>
        <v>0</v>
      </c>
      <c r="AQ40" s="258">
        <f>IFERROR(VLOOKUP($I40,Konfiguracja!M:AF,16,0),0)</f>
        <v>1895.5</v>
      </c>
      <c r="AR40">
        <f>IFERROR(VLOOKUP(C40,Receptury_z!$A:$C,3,0),0)</f>
        <v>5532</v>
      </c>
      <c r="AS40" s="256">
        <f>SUMIF(TPS_mięsa!$Q$2:$Q$300,AR40,TPS_mięsa!$G$2:$G$300)/1000</f>
        <v>0</v>
      </c>
      <c r="AT40" s="268">
        <f ca="1">VLOOKUP(AR40,Konfiguracja!$N$60:$AC$148,16,0)/1000</f>
        <v>0</v>
      </c>
      <c r="AU40" s="270">
        <f>IFERROR(VLOOKUP(I40,Konfiguracja!$M$3:$AM$57,26,0),0)</f>
        <v>0</v>
      </c>
      <c r="AV40" s="279">
        <f t="shared" si="1"/>
        <v>2</v>
      </c>
    </row>
    <row r="41" spans="1:48" ht="23.25">
      <c r="A41" s="33">
        <f>SUMIF(IND_PLAN_BAZA,$W46,IL_PL_0)+SUMIF(IND_PLAN_BAZA,$X46,IL_PL_0)+SUMIF(IND_PLAN_BAZA,$Y46,IL_PL_0)</f>
        <v>0</v>
      </c>
      <c r="B41" s="43" t="str">
        <f>IFERROR(VLOOKUP(C41,Receptury_z!$A:$B,2,0),"Brak w bazie")</f>
        <v>ON</v>
      </c>
      <c r="C41" s="10">
        <v>6500</v>
      </c>
      <c r="D41" s="664" t="s">
        <v>17952</v>
      </c>
      <c r="E41" s="870">
        <f>IF(OR($E$4="x",$E$4="d"),0,AT41)</f>
        <v>0</v>
      </c>
      <c r="F41" s="860">
        <f>IF($E$4="x",0,IF($E$4="d",AK49,IF(AV49&gt;1,VLOOKUP(C41,Konfiguracja!$M$60:$T$148,8,0),IF((A41-E41)&lt;0,0,A41-E41))))</f>
        <v>0</v>
      </c>
      <c r="G41" s="203">
        <f>SUMIF(IND_PLAN_BAZA,$W46,IL_PL_1)+SUMIF(IND_PLAN_BAZA,$X46,IL_PL_1)+SUMIF(IND_PLAN_BAZA,$Y46,IL_PL_1)</f>
        <v>0</v>
      </c>
      <c r="H41" s="498">
        <f>SUMIF(IND_PLAN_BAZA,W46,IL_PL_2)+SUMIF(IND_PLAN_BAZA,X46,IL_PL_2)+SUMIF(IND_PLAN_BAZA,Y46,IL_PL_2)</f>
        <v>0</v>
      </c>
      <c r="I41">
        <v>30110612</v>
      </c>
      <c r="J41" s="679" t="s">
        <v>17959</v>
      </c>
      <c r="K41" s="749">
        <v>-91.462400000000045</v>
      </c>
      <c r="L41" s="207"/>
      <c r="M41" s="207"/>
      <c r="N41" s="207"/>
      <c r="O41" s="207"/>
      <c r="P41" s="208">
        <f t="shared" ref="P41" ca="1" si="43">AD41</f>
        <v>0</v>
      </c>
      <c r="Q41" s="209">
        <f t="shared" ca="1" si="26"/>
        <v>-91.462400000000045</v>
      </c>
      <c r="R41" s="208">
        <f t="shared" ca="1" si="32"/>
        <v>496.98</v>
      </c>
      <c r="S41" s="209">
        <f t="shared" ca="1" si="33"/>
        <v>-588.44240000000002</v>
      </c>
      <c r="T41" s="208">
        <f t="shared" ca="1" si="34"/>
        <v>0</v>
      </c>
      <c r="U41" s="557">
        <f t="shared" ca="1" si="35"/>
        <v>-588.44240000000002</v>
      </c>
      <c r="V41" s="254">
        <f t="shared" ca="1" si="36"/>
        <v>496.98</v>
      </c>
      <c r="W41">
        <f t="shared" si="41"/>
        <v>6500</v>
      </c>
      <c r="X41">
        <f t="shared" si="42"/>
        <v>0</v>
      </c>
      <c r="Y41">
        <f t="shared" si="37"/>
        <v>0</v>
      </c>
      <c r="Z41">
        <f ca="1">VLOOKUP($J41,Konfiguracja!$B$3:$E$49,2,0)</f>
        <v>238</v>
      </c>
      <c r="AA41">
        <f ca="1">VLOOKUP($J41,Konfiguracja!$B$3:$E$49,3,0)</f>
        <v>239</v>
      </c>
      <c r="AB41">
        <f ca="1">VLOOKUP($J41,Konfiguracja!$B$3:$E$49,4,0)</f>
        <v>240</v>
      </c>
      <c r="AC41" t="s">
        <v>177</v>
      </c>
      <c r="AD41" s="633">
        <f ca="1">IFERROR(VLOOKUP($AC41,'Receptury '!$D$100:$IO$100,Z41,0),0)</f>
        <v>0</v>
      </c>
      <c r="AE41" s="634">
        <f ca="1">IFERROR(VLOOKUP($AC41,'Receptury '!$D$100:$IO$100,AA41,0),0)</f>
        <v>496.98</v>
      </c>
      <c r="AF41" s="635">
        <f ca="1">IFERROR(VLOOKUP($AC41,'Receptury '!$D$100:$IA$100,AB41,0),0)</f>
        <v>0</v>
      </c>
      <c r="AG41" s="88">
        <f t="shared" ca="1" si="38"/>
        <v>0</v>
      </c>
      <c r="AH41" s="88">
        <f t="shared" ca="1" si="39"/>
        <v>0</v>
      </c>
      <c r="AI41" s="88">
        <f t="shared" ca="1" si="40"/>
        <v>0</v>
      </c>
      <c r="AJ41">
        <v>-167</v>
      </c>
      <c r="AK41">
        <f t="shared" si="31"/>
        <v>0</v>
      </c>
      <c r="AL41" s="247">
        <f ca="1">IFERROR(VLOOKUP($I41,Konfiguracja!$M:$U,9,0),0)</f>
        <v>0</v>
      </c>
      <c r="AM41" s="248">
        <f ca="1">IFERROR(VLOOKUP($I41,Konfiguracja!$M:$U,6,0),0)</f>
        <v>0</v>
      </c>
      <c r="AN41" s="248">
        <f ca="1">IFERROR(VLOOKUP($I41,Konfiguracja!$M:$U,7,0),0)</f>
        <v>0</v>
      </c>
      <c r="AO41" s="249">
        <f ca="1">IFERROR(VLOOKUP($I41,Konfiguracja!$M:$U,8,0),0)</f>
        <v>0</v>
      </c>
      <c r="AQ41" s="258">
        <f>IFERROR(VLOOKUP($I41,Konfiguracja!M:AF,16,0),0)</f>
        <v>0</v>
      </c>
      <c r="AR41">
        <f>IFERROR(VLOOKUP(C41,Receptury_z!$A:$C,3,0),0)</f>
        <v>5696</v>
      </c>
      <c r="AS41" s="256">
        <f>SUMIF(TPS_mięsa!$Q$2:$Q$300,AR41,TPS_mięsa!$G$2:$G$300)/1000</f>
        <v>0</v>
      </c>
      <c r="AT41" s="268">
        <f ca="1">VLOOKUP(AR41,Konfiguracja!$N$60:$AC$148,16,0)/1000</f>
        <v>0</v>
      </c>
      <c r="AU41" s="270">
        <f>IFERROR(VLOOKUP(I41,Konfiguracja!$M$3:$AM$57,26,0),0)</f>
        <v>0</v>
      </c>
      <c r="AV41" s="279">
        <f t="shared" si="1"/>
        <v>2</v>
      </c>
    </row>
    <row r="42" spans="1:48" ht="23.25">
      <c r="A42" s="33">
        <f>SUMIF(IND_PLAN_BAZA,$W49,IL_PL_0)+SUMIF(IND_PLAN_BAZA,$X49,IL_PL_0)+SUMIF(IND_PLAN_BAZA,$Y49,IL_PL_0)</f>
        <v>0</v>
      </c>
      <c r="B42" s="43" t="str">
        <f>IFERROR(VLOOKUP(C42,Receptury_z!$A:$B,2,0),"Brak w bazie")</f>
        <v>ON</v>
      </c>
      <c r="C42" s="10">
        <v>6485</v>
      </c>
      <c r="D42" s="862" t="s">
        <v>43</v>
      </c>
      <c r="E42" s="870">
        <f>IF(OR($E$4="x",$E$4="d"),0,AT42)</f>
        <v>0</v>
      </c>
      <c r="F42" s="860">
        <f>A42-E42</f>
        <v>0</v>
      </c>
      <c r="G42" s="203">
        <f>SUMIF(IND_PLAN_BAZA,$W49,IL_PL_1)+SUMIF(IND_PLAN_BAZA,$X49,IL_PL_1)+SUMIF(IND_PLAN_BAZA,$Y49,IL_PL_1)</f>
        <v>0</v>
      </c>
      <c r="H42" s="498">
        <f>SUMIF(IND_PLAN_BAZA,W49,IL_PL_2)+SUMIF(IND_PLAN_BAZA,X49,IL_PL_2)+SUMIF(IND_PLAN_BAZA,Y49,IL_PL_2)</f>
        <v>0</v>
      </c>
      <c r="I42">
        <v>3005</v>
      </c>
      <c r="J42" s="679" t="s">
        <v>18053</v>
      </c>
      <c r="K42" s="749">
        <v>-213</v>
      </c>
      <c r="L42" s="207"/>
      <c r="M42" s="207"/>
      <c r="N42" s="207"/>
      <c r="O42" s="207">
        <v>4000</v>
      </c>
      <c r="P42" s="208">
        <f t="shared" ref="P42:P43" ca="1" si="44">AD42</f>
        <v>0</v>
      </c>
      <c r="Q42" s="209">
        <f t="shared" ca="1" si="26"/>
        <v>3787</v>
      </c>
      <c r="R42" s="208">
        <f t="shared" ref="R42:R43" ca="1" si="45">AE42</f>
        <v>639</v>
      </c>
      <c r="S42" s="209">
        <f t="shared" ref="S42:S43" ca="1" si="46">Q42-R42</f>
        <v>3148</v>
      </c>
      <c r="T42" s="208">
        <f t="shared" ref="T42:T43" ca="1" si="47">AF42</f>
        <v>0</v>
      </c>
      <c r="U42" s="557">
        <f t="shared" ref="U42:U43" ca="1" si="48">S42-AF42</f>
        <v>3148</v>
      </c>
      <c r="V42" s="254">
        <f t="shared" ref="V42:V43" ca="1" si="49">R42+T42</f>
        <v>639</v>
      </c>
      <c r="W42">
        <f t="shared" ref="W42:W43" si="50">IF(LEN(C42)&gt;4,9999,C42)</f>
        <v>6485</v>
      </c>
      <c r="X42">
        <f t="shared" ref="X42:X43" si="51">IF(LEN(C42)&gt;4,9999,0)</f>
        <v>0</v>
      </c>
      <c r="Y42">
        <f t="shared" ref="Y42:Y43" si="52">IF(LEN(C42)&gt;4,9999,0)</f>
        <v>0</v>
      </c>
      <c r="Z42">
        <f ca="1">VLOOKUP($J42,Konfiguracja!$B$3:$E$49,2,0)</f>
        <v>241</v>
      </c>
      <c r="AA42">
        <f ca="1">VLOOKUP($J42,Konfiguracja!$B$3:$E$49,3,0)</f>
        <v>242</v>
      </c>
      <c r="AB42">
        <f ca="1">VLOOKUP($J42,Konfiguracja!$B$3:$E$49,4,0)</f>
        <v>243</v>
      </c>
      <c r="AC42" t="s">
        <v>177</v>
      </c>
      <c r="AD42" s="633">
        <f ca="1">IFERROR(VLOOKUP($AC42,'Receptury '!$D$100:$IO$100,Z42,0),0)</f>
        <v>0</v>
      </c>
      <c r="AE42" s="634">
        <f ca="1">IFERROR(VLOOKUP($AC42,'Receptury '!$D$100:$IO$100,AA42,0),0)</f>
        <v>639</v>
      </c>
      <c r="AF42" s="635">
        <f ca="1">IFERROR(VLOOKUP($AC42,'Receptury '!$D$100:$IA$100,AB42,0),0)</f>
        <v>0</v>
      </c>
      <c r="AG42" s="88">
        <f t="shared" ref="AG42:AG43" ca="1" si="53">P42-AD42</f>
        <v>0</v>
      </c>
      <c r="AH42" s="88">
        <f t="shared" ref="AH42:AH43" ca="1" si="54">R42-AE42</f>
        <v>0</v>
      </c>
      <c r="AI42" s="88">
        <f t="shared" ref="AI42:AI43" ca="1" si="55">T42-AF42</f>
        <v>0</v>
      </c>
      <c r="AJ42">
        <v>-166</v>
      </c>
      <c r="AK42">
        <f>IF(IFERROR(VLOOKUP(W42,DROBIE,1,0),0),A42,0)</f>
        <v>0</v>
      </c>
      <c r="AL42" s="247">
        <f ca="1">IFERROR(VLOOKUP($I42,Konfiguracja!$M:$U,9,0),0)</f>
        <v>0</v>
      </c>
      <c r="AM42" s="248">
        <f ca="1">IFERROR(VLOOKUP($I42,Konfiguracja!$M:$U,6,0),0)</f>
        <v>0</v>
      </c>
      <c r="AN42" s="248">
        <f ca="1">IFERROR(VLOOKUP($I42,Konfiguracja!$M:$U,7,0),0)</f>
        <v>0</v>
      </c>
      <c r="AO42" s="249">
        <f ca="1">IFERROR(VLOOKUP($I42,Konfiguracja!$M:$U,8,0),0)</f>
        <v>0</v>
      </c>
      <c r="AQ42" s="258">
        <f>IFERROR(VLOOKUP($I42,Konfiguracja!M:AF,16,0),0)</f>
        <v>0</v>
      </c>
      <c r="AR42">
        <f>IFERROR(VLOOKUP(C42,Receptury_z!$A:$C,3,0),0)</f>
        <v>5526</v>
      </c>
      <c r="AS42" s="256">
        <f>SUMIF(TPS_mięsa!$Q$2:$Q$300,AR42,TPS_mięsa!$G$2:$G$300)/1000</f>
        <v>6</v>
      </c>
      <c r="AT42" s="268">
        <f ca="1">VLOOKUP(AR42,Konfiguracja!$N$60:$AC$148,16,0)/1000</f>
        <v>6</v>
      </c>
      <c r="AU42" s="270">
        <f>IFERROR(VLOOKUP(I42,Konfiguracja!$M$3:$AM$57,26,0),0)</f>
        <v>0</v>
      </c>
      <c r="AV42" s="279">
        <f t="shared" ref="AV42:AV43" si="56">COUNTIF($AR$6:$AR$176,AR42)</f>
        <v>2</v>
      </c>
    </row>
    <row r="43" spans="1:48" ht="23.25">
      <c r="A43" s="33">
        <f>SUMIF(IND_PLAN_BAZA,$W50,IL_PL_0)+SUMIF(IND_PLAN_BAZA,$X50,IL_PL_0)+SUMIF(IND_PLAN_BAZA,$Y50,IL_PL_0)</f>
        <v>0</v>
      </c>
      <c r="B43" s="43" t="str">
        <f>IFERROR(VLOOKUP(C43,Receptury_z!$A:$B,2,0),"Brak w bazie")</f>
        <v>ON</v>
      </c>
      <c r="C43" s="110">
        <v>6490</v>
      </c>
      <c r="D43" s="862" t="s">
        <v>45</v>
      </c>
      <c r="E43" s="870">
        <f>IF(OR($E$4="x",$E$4="d"),0,AT43)</f>
        <v>0</v>
      </c>
      <c r="F43" s="860">
        <f>IF($E$4="x",0,IF($E$4="d",AK51,IF(AV51&gt;1,VLOOKUP(C43,Konfiguracja!$M$60:$T$148,8,0),IF((A43-E43)&lt;0,0,A43-E43))))</f>
        <v>0</v>
      </c>
      <c r="G43" s="203">
        <f>SUMIF(IND_PLAN_BAZA,$W50,IL_PL_1)+SUMIF(IND_PLAN_BAZA,$X50,IL_PL_1)+SUMIF(IND_PLAN_BAZA,$Y50,IL_PL_1)</f>
        <v>0</v>
      </c>
      <c r="H43" s="498">
        <f>SUMIF(IND_PLAN_BAZA,W50,IL_PL_2)+SUMIF(IND_PLAN_BAZA,X50,IL_PL_2)+SUMIF(IND_PLAN_BAZA,Y50,IL_PL_2)</f>
        <v>0</v>
      </c>
      <c r="I43">
        <v>3007</v>
      </c>
      <c r="J43" s="679" t="s">
        <v>18054</v>
      </c>
      <c r="K43" s="749">
        <v>644.85</v>
      </c>
      <c r="L43" s="207"/>
      <c r="M43" s="207"/>
      <c r="N43" s="207">
        <v>1000</v>
      </c>
      <c r="O43" s="207"/>
      <c r="P43" s="208">
        <f t="shared" ca="1" si="44"/>
        <v>0</v>
      </c>
      <c r="Q43" s="209">
        <f t="shared" ca="1" si="26"/>
        <v>1644.85</v>
      </c>
      <c r="R43" s="208">
        <f t="shared" ca="1" si="45"/>
        <v>990.44999999999993</v>
      </c>
      <c r="S43" s="209">
        <f t="shared" ca="1" si="46"/>
        <v>654.4</v>
      </c>
      <c r="T43" s="208">
        <f t="shared" ca="1" si="47"/>
        <v>0</v>
      </c>
      <c r="U43" s="557">
        <f t="shared" ca="1" si="48"/>
        <v>654.4</v>
      </c>
      <c r="V43" s="254">
        <f t="shared" ca="1" si="49"/>
        <v>990.44999999999993</v>
      </c>
      <c r="W43">
        <f t="shared" si="50"/>
        <v>6490</v>
      </c>
      <c r="X43">
        <f t="shared" si="51"/>
        <v>0</v>
      </c>
      <c r="Y43">
        <f t="shared" si="52"/>
        <v>0</v>
      </c>
      <c r="Z43">
        <f ca="1">VLOOKUP($J43,Konfiguracja!$B$3:$E$54,2,0)</f>
        <v>244</v>
      </c>
      <c r="AA43">
        <f ca="1">VLOOKUP($J43,Konfiguracja!$B$3:$E$54,3,0)</f>
        <v>245</v>
      </c>
      <c r="AB43">
        <f ca="1">VLOOKUP($J43,Konfiguracja!$B$3:$E$54,4,0)</f>
        <v>246</v>
      </c>
      <c r="AC43" t="s">
        <v>177</v>
      </c>
      <c r="AD43" s="633">
        <f ca="1">IFERROR(VLOOKUP($AC43,'Receptury '!$D$100:$IO$100,Z43,0),0)</f>
        <v>0</v>
      </c>
      <c r="AE43" s="634">
        <f ca="1">IFERROR(VLOOKUP($AC43,'Receptury '!$D$100:$IO$100,AA43,0),0)</f>
        <v>990.44999999999993</v>
      </c>
      <c r="AF43" s="635">
        <f ca="1">IFERROR(VLOOKUP($AC43,'Receptury '!$D$100:$IA$100,AB43,0),0)</f>
        <v>0</v>
      </c>
      <c r="AG43" s="88">
        <f t="shared" ca="1" si="53"/>
        <v>0</v>
      </c>
      <c r="AH43" s="88">
        <f t="shared" ca="1" si="54"/>
        <v>0</v>
      </c>
      <c r="AI43" s="88">
        <f t="shared" ca="1" si="55"/>
        <v>0</v>
      </c>
      <c r="AJ43">
        <v>-165</v>
      </c>
      <c r="AK43">
        <f>IF(IFERROR(VLOOKUP(W43,DROBIE,1,0),0),A43,0)</f>
        <v>0</v>
      </c>
      <c r="AL43" s="247">
        <f ca="1">IFERROR(VLOOKUP($I43,Konfiguracja!$M:$U,9,0),0)</f>
        <v>0</v>
      </c>
      <c r="AM43" s="248">
        <f ca="1">IFERROR(VLOOKUP($I43,Konfiguracja!$M:$U,6,0),0)</f>
        <v>0</v>
      </c>
      <c r="AN43" s="248">
        <f ca="1">IFERROR(VLOOKUP($I43,Konfiguracja!$M:$U,7,0),0)</f>
        <v>0</v>
      </c>
      <c r="AO43" s="249">
        <f ca="1">IFERROR(VLOOKUP($I43,Konfiguracja!$M:$U,8,0),0)</f>
        <v>0</v>
      </c>
      <c r="AQ43" s="258">
        <f>IFERROR(VLOOKUP($I43,Konfiguracja!M:AF,16,0),0)</f>
        <v>0</v>
      </c>
      <c r="AR43">
        <f>IFERROR(VLOOKUP(C43,Receptury_z!$A:$C,3,0),0)</f>
        <v>5445</v>
      </c>
      <c r="AS43" s="256">
        <f>SUMIF(TPS_mięsa!$Q$2:$Q$300,AR43,TPS_mięsa!$G$2:$G$300)/1000</f>
        <v>0</v>
      </c>
      <c r="AT43" s="268">
        <f ca="1">VLOOKUP(AR43,Konfiguracja!$N$60:$AC$148,16,0)/1000</f>
        <v>0</v>
      </c>
      <c r="AU43" s="270">
        <f>IFERROR(VLOOKUP(I43,Konfiguracja!$M$3:$AM$57,26,0),0)</f>
        <v>0</v>
      </c>
      <c r="AV43" s="279">
        <f t="shared" si="56"/>
        <v>2</v>
      </c>
    </row>
    <row r="44" spans="1:48" ht="23.25">
      <c r="A44" s="33">
        <f>SUMIF(IND_PLAN_BAZA,$W15,IL_PL_0)+SUMIF(IND_PLAN_BAZA,$X15,IL_PL_0)+SUMIF(IND_PLAN_BAZA,$Y15,IL_PL_0)</f>
        <v>3</v>
      </c>
      <c r="B44" s="43" t="str">
        <f>IFERROR(VLOOKUP(C44,Receptury_z!$A:$B,2,0),"Brak w bazie")</f>
        <v>ON</v>
      </c>
      <c r="C44" s="10">
        <v>6496</v>
      </c>
      <c r="D44" s="862" t="s">
        <v>46</v>
      </c>
      <c r="E44" s="870">
        <f>IF(OR($E$4="x",$E$4="d"),0,AT15)</f>
        <v>0</v>
      </c>
      <c r="F44" s="860">
        <f>IF($E$4="x",0,IF($E$4="d",AK15,IF(AV15&gt;1,VLOOKUP(C44,Konfiguracja!$M$60:$T$148,8,0),IF((A44-E44)&lt;0,0,A44-E44))))</f>
        <v>0</v>
      </c>
      <c r="G44" s="203">
        <f>SUMIF(IND_PLAN_BAZA,$W15,IL_PL_1)+SUMIF(IND_PLAN_BAZA,$X15,IL_PL_1)+SUMIF(IND_PLAN_BAZA,$Y15,IL_PL_1)</f>
        <v>3</v>
      </c>
      <c r="H44" s="498">
        <f>SUMIF(IND_PLAN_BAZA,W15,IL_PL_2)+SUMIF(IND_PLAN_BAZA,X15,IL_PL_2)+SUMIF(IND_PLAN_BAZA,Y15,IL_PL_2)</f>
        <v>0</v>
      </c>
      <c r="I44" t="s">
        <v>18765</v>
      </c>
      <c r="J44" s="680" t="s">
        <v>17876</v>
      </c>
      <c r="K44" s="749">
        <v>1939</v>
      </c>
      <c r="L44" s="207"/>
      <c r="M44" s="207"/>
      <c r="N44" s="207">
        <v>2000</v>
      </c>
      <c r="O44" s="207"/>
      <c r="P44" s="208">
        <f ca="1">AD44</f>
        <v>0</v>
      </c>
      <c r="Q44" s="221">
        <f t="shared" ref="Q44:Q47" ca="1" si="57">(K44+N44+O44+L44+M44)-P44</f>
        <v>3939</v>
      </c>
      <c r="R44" s="208">
        <f ca="1">AE44</f>
        <v>0</v>
      </c>
      <c r="S44" s="221">
        <f ca="1">Q44-R44</f>
        <v>3939</v>
      </c>
      <c r="T44" s="208">
        <f ca="1">AF44</f>
        <v>4612</v>
      </c>
      <c r="U44" s="563">
        <f ca="1">S44-AF44</f>
        <v>-673</v>
      </c>
      <c r="V44" s="254">
        <f ca="1">R44+T44</f>
        <v>4612</v>
      </c>
      <c r="W44">
        <f>IF(LEN(C25)&gt;4,9999,C25)</f>
        <v>6457</v>
      </c>
      <c r="X44">
        <f>IF(LEN(C25)&gt;4,9999,0)</f>
        <v>0</v>
      </c>
      <c r="Y44">
        <f>IF(LEN(C25)&gt;4,9999,0)</f>
        <v>0</v>
      </c>
      <c r="Z44">
        <f ca="1">VLOOKUP($J44,Konfiguracja!$B$3:$E$49,2,0)</f>
        <v>151</v>
      </c>
      <c r="AA44">
        <f ca="1">VLOOKUP($J44,Konfiguracja!$B$3:$E$49,3,0)</f>
        <v>152</v>
      </c>
      <c r="AB44">
        <f ca="1">VLOOKUP($J44,Konfiguracja!$B$3:$E$49,4,0)</f>
        <v>153</v>
      </c>
      <c r="AC44" t="s">
        <v>177</v>
      </c>
      <c r="AD44" s="633">
        <f ca="1">IFERROR(VLOOKUP($AC44,'Receptury '!$D$100:$IA$100,Z44,0),0)</f>
        <v>0</v>
      </c>
      <c r="AE44" s="634">
        <f ca="1">IFERROR(VLOOKUP($AC44,'Receptury '!$D$100:$IA$100,AA44,0),0)</f>
        <v>0</v>
      </c>
      <c r="AF44" s="635">
        <f ca="1">IFERROR(VLOOKUP($AC44,'Receptury '!$D$100:$IA$100,AB44,0),0)</f>
        <v>4612</v>
      </c>
      <c r="AG44" s="88">
        <f ca="1">P44-AD44</f>
        <v>0</v>
      </c>
      <c r="AH44" s="88">
        <f ca="1">R44-AE44</f>
        <v>0</v>
      </c>
      <c r="AI44" s="88">
        <f ca="1">T44-AF44</f>
        <v>0</v>
      </c>
      <c r="AJ44">
        <v>0</v>
      </c>
      <c r="AK44">
        <f>IF(IFERROR(VLOOKUP(W44,DROBIE,1,0),0),A25,0)</f>
        <v>0</v>
      </c>
      <c r="AL44" s="247">
        <f ca="1">IFERROR(VLOOKUP($I44,Konfiguracja!$M:$U,9,0),0)</f>
        <v>2</v>
      </c>
      <c r="AM44" s="248">
        <f ca="1">IFERROR(VLOOKUP($I44,Konfiguracja!$M:$U,6,0),0)</f>
        <v>1182</v>
      </c>
      <c r="AN44" s="248">
        <f ca="1">IFERROR(VLOOKUP($I44,Konfiguracja!$M:$U,7,0),0)</f>
        <v>2010</v>
      </c>
      <c r="AO44" s="249">
        <f ca="1">IFERROR(VLOOKUP($I44,Konfiguracja!$M:$U,8,0),0)</f>
        <v>0</v>
      </c>
      <c r="AQ44" s="258">
        <f>IFERROR(VLOOKUP($I44,Konfiguracja!M:AF,16,0),0)</f>
        <v>3992</v>
      </c>
      <c r="AR44">
        <f>IFERROR(VLOOKUP(C25,Receptury_z!$A:$C,3,0),0)</f>
        <v>5553</v>
      </c>
      <c r="AS44" s="256">
        <f>SUMIF(TPS_mięsa!$Q$2:$Q$300,AR44,TPS_mięsa!$G$2:$G$300)/1000</f>
        <v>0</v>
      </c>
      <c r="AT44" s="268">
        <f ca="1">VLOOKUP(AR44,Konfiguracja!$N$60:$AC$148,16,0)/1000</f>
        <v>0</v>
      </c>
      <c r="AU44" s="270">
        <f>IFERROR(VLOOKUP(I44,Konfiguracja!$M$3:$AM$57,26,0),0)</f>
        <v>0</v>
      </c>
      <c r="AV44" s="279">
        <f t="shared" ref="AV44:AV75" si="58">COUNTIF($AR$6:$AR$176,AR44)</f>
        <v>1</v>
      </c>
    </row>
    <row r="45" spans="1:48" ht="23.25">
      <c r="A45" s="33">
        <f>SUMIF(IND_PLAN_BAZA,$W25,IL_PL_0)+SUMIF(IND_PLAN_BAZA,$X25,IL_PL_0)+SUMIF(IND_PLAN_BAZA,$Y25,IL_PL_0)</f>
        <v>0</v>
      </c>
      <c r="B45" s="43" t="str">
        <f>IFERROR(VLOOKUP(C45,Receptury_z!$A:$B,2,0),"Brak w bazie")</f>
        <v>ON</v>
      </c>
      <c r="C45" s="10">
        <v>6513</v>
      </c>
      <c r="D45" s="862" t="s">
        <v>190</v>
      </c>
      <c r="E45" s="870">
        <f>IF(OR($E$4="x",$E$4="d"),0,AT25)</f>
        <v>0</v>
      </c>
      <c r="F45" s="860">
        <f>IF($E$4="x",0,IF($E$4="d",AK25,IF(AV25&gt;1,VLOOKUP(C45,Konfiguracja!$M$60:$T$148,8,0),IF((A45-E45)&lt;0,0,A45-E45))))</f>
        <v>0</v>
      </c>
      <c r="G45" s="203">
        <f>SUMIF(IND_PLAN_BAZA,$W25,IL_PL_1)+SUMIF(IND_PLAN_BAZA,$X25,IL_PL_1)+SUMIF(IND_PLAN_BAZA,$Y25,IL_PL_1)</f>
        <v>0</v>
      </c>
      <c r="H45" s="498">
        <f>SUMIF(IND_PLAN_BAZA,W25,IL_PL_2)+SUMIF(IND_PLAN_BAZA,X25,IL_PL_2)+SUMIF(IND_PLAN_BAZA,Y25,IL_PL_2)</f>
        <v>9</v>
      </c>
      <c r="I45">
        <v>3043</v>
      </c>
      <c r="J45" s="679" t="s">
        <v>17971</v>
      </c>
      <c r="K45" s="749">
        <v>0</v>
      </c>
      <c r="L45" s="207"/>
      <c r="M45" s="207"/>
      <c r="N45" s="207"/>
      <c r="O45" s="207"/>
      <c r="P45" s="208">
        <f ca="1">AD45</f>
        <v>0</v>
      </c>
      <c r="Q45" s="209">
        <f ca="1">(K45+N45+O45+L45+M45)-P45</f>
        <v>0</v>
      </c>
      <c r="R45" s="208">
        <f ca="1">AE45</f>
        <v>0</v>
      </c>
      <c r="S45" s="209">
        <f ca="1">Q45-R45</f>
        <v>0</v>
      </c>
      <c r="T45" s="208">
        <f ca="1">AF45</f>
        <v>0</v>
      </c>
      <c r="U45" s="557">
        <f ca="1">S45-AF45</f>
        <v>0</v>
      </c>
      <c r="V45" s="254">
        <f ca="1">R45+T45</f>
        <v>0</v>
      </c>
      <c r="W45">
        <f>IF(LEN(C12)&gt;4,9999,C12)</f>
        <v>6066</v>
      </c>
      <c r="X45">
        <f>IF(LEN(C12)&gt;4,9999,0)</f>
        <v>0</v>
      </c>
      <c r="Y45">
        <f>IF(LEN(C12)&gt;4,9999,0)</f>
        <v>0</v>
      </c>
      <c r="Z45">
        <f ca="1">VLOOKUP($J45,Konfiguracja!$B$3:$E$49,2,0)</f>
        <v>223</v>
      </c>
      <c r="AA45">
        <f ca="1">VLOOKUP($J45,Konfiguracja!$B$3:$E$49,3,0)</f>
        <v>224</v>
      </c>
      <c r="AB45">
        <f ca="1">VLOOKUP($J45,Konfiguracja!$B$3:$E$49,4,0)</f>
        <v>225</v>
      </c>
      <c r="AC45" t="s">
        <v>177</v>
      </c>
      <c r="AD45" s="633">
        <f ca="1">IFERROR(VLOOKUP($AC45,'Receptury '!$D$100:$IA$100,Z45,0),0)</f>
        <v>0</v>
      </c>
      <c r="AE45" s="634">
        <f ca="1">IFERROR(VLOOKUP($AC45,'Receptury '!$D$100:$IA$100,AA45,0),0)</f>
        <v>0</v>
      </c>
      <c r="AF45" s="635">
        <f ca="1">IFERROR(VLOOKUP($AC45,'Receptury '!$D$100:$IA$100,AB45,0),0)</f>
        <v>0</v>
      </c>
      <c r="AG45" s="88">
        <f ca="1">P45-AD45</f>
        <v>0</v>
      </c>
      <c r="AH45" s="88">
        <f ca="1">R45-AE45</f>
        <v>0</v>
      </c>
      <c r="AI45" s="88">
        <f ca="1">T45-AF45</f>
        <v>0</v>
      </c>
      <c r="AJ45">
        <v>1</v>
      </c>
      <c r="AK45">
        <f>IF(IFERROR(VLOOKUP(W45,DROBIE,1,0),0),A26,0)</f>
        <v>0</v>
      </c>
      <c r="AL45" s="247">
        <f ca="1">IFERROR(VLOOKUP($I27,Konfiguracja!$M:$U,9,0),0)</f>
        <v>1</v>
      </c>
      <c r="AM45" s="248">
        <f ca="1">IFERROR(VLOOKUP($I27,Konfiguracja!$M:$U,6,0),0)</f>
        <v>1244</v>
      </c>
      <c r="AN45" s="248">
        <f ca="1">IFERROR(VLOOKUP($I27,Konfiguracja!$M:$U,7,0),0)</f>
        <v>0</v>
      </c>
      <c r="AO45" s="249">
        <f ca="1">IFERROR(VLOOKUP($I27,Konfiguracja!$M:$U,8,0),0)</f>
        <v>0</v>
      </c>
      <c r="AQ45" s="258">
        <f>IFERROR(VLOOKUP($I45,Konfiguracja!M:AF,16,0),0)</f>
        <v>0</v>
      </c>
      <c r="AR45">
        <f>IFERROR(VLOOKUP(C12,Receptury_z!$A:$C,3,0),0)</f>
        <v>5135</v>
      </c>
      <c r="AS45" s="256">
        <f>SUMIF(TPS_mięsa!$Q$2:$Q$300,AR45,TPS_mięsa!$G$2:$G$300)/1000</f>
        <v>1.3</v>
      </c>
      <c r="AT45" s="268">
        <f ca="1">VLOOKUP(AR45,Konfiguracja!$N$60:$AC$148,16,0)/1000</f>
        <v>1.3</v>
      </c>
      <c r="AU45" s="270">
        <f>IFERROR(VLOOKUP(I45,Konfiguracja!$M$3:$AM$57,26,0),0)</f>
        <v>0</v>
      </c>
      <c r="AV45" s="279">
        <f t="shared" si="58"/>
        <v>2</v>
      </c>
    </row>
    <row r="46" spans="1:48" ht="23.25">
      <c r="A46" s="33">
        <f>SUMIF(IND_PLAN_BAZA,$W9,IL_PL_0)+SUMIF(IND_PLAN_BAZA,$X9,IL_PL_0)+SUMIF(IND_PLAN_BAZA,$Y9,IL_PL_0)</f>
        <v>0</v>
      </c>
      <c r="B46" s="43" t="str">
        <f>IFERROR(VLOOKUP(C46,Receptury_z!$A:$B,2,0),"Brak w bazie")</f>
        <v>ON</v>
      </c>
      <c r="C46" s="10">
        <v>6548</v>
      </c>
      <c r="D46" s="865" t="s">
        <v>47</v>
      </c>
      <c r="E46" s="870">
        <f>IF(OR($E$4="x",$E$4="d"),0,AT9)</f>
        <v>0</v>
      </c>
      <c r="F46" s="860">
        <f>IF($E$4="x",0,IF($E$4="d",AK9,IF(AV9&gt;1,VLOOKUP(C46,Konfiguracja!$M$60:$T$148,8,0),IF((A46-E46)&lt;0,0,A46-E46))))</f>
        <v>0</v>
      </c>
      <c r="G46" s="203">
        <f>SUMIF(IND_PLAN_BAZA,$W9,IL_PL_1)+SUMIF(IND_PLAN_BAZA,$X9,IL_PL_1)+SUMIF(IND_PLAN_BAZA,$Y9,IL_PL_1)</f>
        <v>0</v>
      </c>
      <c r="H46" s="498">
        <f>SUMIF(IND_PLAN_BAZA,W9,IL_PL_2)+SUMIF(IND_PLAN_BAZA,X9,IL_PL_2)+SUMIF(IND_PLAN_BAZA,Y9,IL_PL_2)</f>
        <v>0</v>
      </c>
      <c r="I46">
        <v>3006</v>
      </c>
      <c r="J46" s="679" t="s">
        <v>17956</v>
      </c>
      <c r="K46" s="749">
        <v>1350.5</v>
      </c>
      <c r="L46" s="207"/>
      <c r="M46" s="207"/>
      <c r="N46" s="207">
        <v>3500</v>
      </c>
      <c r="O46" s="207"/>
      <c r="P46" s="208">
        <f ca="1">AD46+'Klon Drobie 10'!G113</f>
        <v>3000</v>
      </c>
      <c r="Q46" s="209">
        <f t="shared" ca="1" si="57"/>
        <v>1850.5</v>
      </c>
      <c r="R46" s="208">
        <f ca="1">AE46</f>
        <v>1948.5</v>
      </c>
      <c r="S46" s="209">
        <f ca="1">Q46-R46</f>
        <v>-98</v>
      </c>
      <c r="T46" s="208">
        <f ca="1">AF46</f>
        <v>1948.5</v>
      </c>
      <c r="U46" s="557">
        <f ca="1">S46-AF46</f>
        <v>-2046.5</v>
      </c>
      <c r="V46" s="254">
        <f ca="1">R46+T46</f>
        <v>3897</v>
      </c>
      <c r="W46">
        <v>6500</v>
      </c>
      <c r="X46">
        <f>IF(LEN(C13)&gt;4,9999,0)</f>
        <v>0</v>
      </c>
      <c r="Y46">
        <f>IF(LEN(C13)&gt;4,9999,0)</f>
        <v>0</v>
      </c>
      <c r="Z46">
        <f ca="1">VLOOKUP($J46,Konfiguracja!$B$3:$E$49,2,0)</f>
        <v>229</v>
      </c>
      <c r="AA46">
        <f ca="1">VLOOKUP($J46,Konfiguracja!$B$3:$E$49,3,0)</f>
        <v>230</v>
      </c>
      <c r="AB46">
        <f ca="1">VLOOKUP($J46,Konfiguracja!$B$3:$E$49,4,0)</f>
        <v>231</v>
      </c>
      <c r="AC46" t="s">
        <v>177</v>
      </c>
      <c r="AD46" s="633">
        <f ca="1">IFERROR(VLOOKUP($AC46,'Receptury '!$D$100:$IA$100,Z46,0),0)</f>
        <v>0</v>
      </c>
      <c r="AE46" s="634">
        <f ca="1">IFERROR(VLOOKUP($AC46,'Receptury '!$D$100:$IA$100,AA46,0),0)</f>
        <v>1948.5</v>
      </c>
      <c r="AF46" s="635">
        <f ca="1">IFERROR(VLOOKUP($AC46,'Receptury '!$D$100:$IA$100,AB46,0),0)</f>
        <v>1948.5</v>
      </c>
      <c r="AG46" s="88">
        <f ca="1">P46-AD46</f>
        <v>3000</v>
      </c>
      <c r="AH46" s="88">
        <f ca="1">R46-AE46</f>
        <v>0</v>
      </c>
      <c r="AI46" s="88">
        <f ca="1">T46-AF46</f>
        <v>0</v>
      </c>
      <c r="AJ46">
        <v>2</v>
      </c>
      <c r="AK46">
        <f>IF(IFERROR(VLOOKUP(W46,DROBIE,1,0),0),A27,0)</f>
        <v>0</v>
      </c>
      <c r="AL46" s="247">
        <f ca="1">IFERROR(VLOOKUP($I28,Konfiguracja!$M:$U,9,0),0)</f>
        <v>0</v>
      </c>
      <c r="AM46" s="248">
        <f ca="1">IFERROR(VLOOKUP($I28,Konfiguracja!$M:$U,6,0),0)</f>
        <v>0</v>
      </c>
      <c r="AN46" s="248">
        <f ca="1">IFERROR(VLOOKUP($I28,Konfiguracja!$M:$U,7,0),0)</f>
        <v>0</v>
      </c>
      <c r="AO46" s="249">
        <f ca="1">IFERROR(VLOOKUP($I28,Konfiguracja!$M:$U,8,0),0)</f>
        <v>0</v>
      </c>
      <c r="AQ46" s="258">
        <f>IFERROR(VLOOKUP($I46,Konfiguracja!M:AF,16,0),0)</f>
        <v>0</v>
      </c>
      <c r="AR46">
        <f>IFERROR(VLOOKUP(C41,Receptury_z!$A:$C,3,0),0)</f>
        <v>5696</v>
      </c>
      <c r="AS46" s="256">
        <f>SUMIF(TPS_mięsa!$Q$2:$Q$300,AR46,TPS_mięsa!$G$2:$G$300)/1000</f>
        <v>0</v>
      </c>
      <c r="AT46" s="268">
        <f ca="1">VLOOKUP(AR46,Konfiguracja!$N$60:$AC$148,16,0)/1000</f>
        <v>0</v>
      </c>
      <c r="AU46" s="270">
        <f>IFERROR(VLOOKUP(I46,Konfiguracja!$M$3:$AM$57,26,0),0)</f>
        <v>0</v>
      </c>
      <c r="AV46" s="279">
        <f t="shared" si="58"/>
        <v>2</v>
      </c>
    </row>
    <row r="47" spans="1:48" ht="23.25">
      <c r="A47" s="33">
        <f>SUMIF(IND_PLAN_BAZA,$W28,IL_PL_0)+SUMIF(IND_PLAN_BAZA,$X28,IL_PL_0)+SUMIF(IND_PLAN_BAZA,$Y28,IL_PL_0)</f>
        <v>0</v>
      </c>
      <c r="B47" s="43" t="str">
        <f>IFERROR(VLOOKUP(C47,Receptury_z!$A:$B,2,0),"Brak w bazie")</f>
        <v>ON</v>
      </c>
      <c r="C47" s="10">
        <v>6627</v>
      </c>
      <c r="D47" s="862" t="s">
        <v>48</v>
      </c>
      <c r="E47" s="870">
        <f>IF(OR($E$4="x",$E$4="d"),0,AT28)</f>
        <v>0</v>
      </c>
      <c r="F47" s="860">
        <f>IF($E$4="x",0,IF($E$4="d",AK28,IF(AV28&gt;1,VLOOKUP(C47,Konfiguracja!$M$60:$T$148,8,0),IF((A47-E47)&lt;0,0,A47-E47))))</f>
        <v>0</v>
      </c>
      <c r="G47" s="203">
        <f>SUMIF(IND_PLAN_BAZA,$W28,IL_PL_1)+SUMIF(IND_PLAN_BAZA,$X28,IL_PL_1)+SUMIF(IND_PLAN_BAZA,$Y28,IL_PL_1)</f>
        <v>0</v>
      </c>
      <c r="H47" s="498">
        <f>SUMIF(IND_PLAN_BAZA,W28,IL_PL_2)+SUMIF(IND_PLAN_BAZA,X28,IL_PL_2)+SUMIF(IND_PLAN_BAZA,Y28,IL_PL_2)</f>
        <v>0</v>
      </c>
      <c r="I47">
        <v>3008</v>
      </c>
      <c r="J47" s="857" t="s">
        <v>80</v>
      </c>
      <c r="K47" s="749">
        <v>2744.8484580000004</v>
      </c>
      <c r="L47" s="207"/>
      <c r="M47" s="207"/>
      <c r="N47" s="207">
        <v>2849</v>
      </c>
      <c r="O47" s="207">
        <v>3000</v>
      </c>
      <c r="P47" s="208">
        <f ca="1">AD47+'Klon Drobie 10'!G116</f>
        <v>2230</v>
      </c>
      <c r="Q47" s="209">
        <f t="shared" ca="1" si="57"/>
        <v>6363.8484580000004</v>
      </c>
      <c r="R47" s="208">
        <f t="shared" ref="R47:R50" ca="1" si="59">AE47</f>
        <v>3033.7559999999999</v>
      </c>
      <c r="S47" s="209">
        <f t="shared" ca="1" si="3"/>
        <v>3330.0924580000005</v>
      </c>
      <c r="T47" s="208">
        <f t="shared" ca="1" si="27"/>
        <v>3326.3639999999996</v>
      </c>
      <c r="U47" s="557">
        <f t="shared" ca="1" si="19"/>
        <v>3.7284580000009555</v>
      </c>
      <c r="V47" s="254">
        <f t="shared" ca="1" si="25"/>
        <v>6360.119999999999</v>
      </c>
      <c r="W47">
        <f>IF(LEN(C39)&gt;4,9999,C39)</f>
        <v>6480</v>
      </c>
      <c r="X47">
        <f>IF(LEN(C39)&gt;4,9999,0)</f>
        <v>0</v>
      </c>
      <c r="Y47">
        <f>IF(LEN(C39)&gt;4,9999,0)</f>
        <v>0</v>
      </c>
      <c r="Z47">
        <f ca="1">VLOOKUP($J47,Konfiguracja!$B$3:$E$49,2,0)</f>
        <v>184</v>
      </c>
      <c r="AA47">
        <f ca="1">VLOOKUP($J47,Konfiguracja!$B$3:$E$49,3,0)</f>
        <v>185</v>
      </c>
      <c r="AB47">
        <f ca="1">VLOOKUP($J47,Konfiguracja!$B$3:$E$49,4,0)</f>
        <v>186</v>
      </c>
      <c r="AC47" t="s">
        <v>177</v>
      </c>
      <c r="AD47" s="633">
        <f ca="1">IFERROR(VLOOKUP($AC47,'Receptury '!$D$100:$IA$100,Z47,0),0)</f>
        <v>0</v>
      </c>
      <c r="AE47" s="634">
        <f ca="1">IFERROR(VLOOKUP($AC47,'Receptury '!$D$100:$IA$100,AA47,0),0)</f>
        <v>3033.7559999999999</v>
      </c>
      <c r="AF47" s="635">
        <f ca="1">IFERROR(VLOOKUP($AC47,'Receptury '!$D$100:$IA$100,AB47,0),0)</f>
        <v>3326.3639999999996</v>
      </c>
      <c r="AG47" s="88">
        <f t="shared" ca="1" si="7"/>
        <v>2230</v>
      </c>
      <c r="AH47" s="88">
        <f t="shared" ca="1" si="8"/>
        <v>0</v>
      </c>
      <c r="AI47" s="88">
        <f t="shared" ca="1" si="9"/>
        <v>0</v>
      </c>
      <c r="AJ47">
        <v>-1820</v>
      </c>
      <c r="AK47">
        <f>IF(IFERROR(VLOOKUP(W47,DROBIE,1,0),0),A39,0)</f>
        <v>0</v>
      </c>
      <c r="AL47" s="247">
        <f ca="1">IFERROR(VLOOKUP($I47,Konfiguracja!$M:$U,9,0),0)</f>
        <v>1</v>
      </c>
      <c r="AM47" s="248">
        <f ca="1">IFERROR(VLOOKUP($I47,Konfiguracja!$M:$U,6,0),0)</f>
        <v>3615.5</v>
      </c>
      <c r="AN47" s="248">
        <f ca="1">IFERROR(VLOOKUP($I47,Konfiguracja!$M:$U,7,0),0)</f>
        <v>0</v>
      </c>
      <c r="AO47" s="249">
        <f ca="1">IFERROR(VLOOKUP($I47,Konfiguracja!$M:$U,8,0),0)</f>
        <v>0</v>
      </c>
      <c r="AQ47" s="258">
        <f>IFERROR(VLOOKUP($I47,Konfiguracja!M:AF,16,0),0)</f>
        <v>771</v>
      </c>
      <c r="AR47">
        <f>IFERROR(VLOOKUP(C39,Receptury_z!$A:$C,3,0),0)</f>
        <v>5681</v>
      </c>
      <c r="AS47" s="256">
        <f>SUMIF(TPS_mięsa!$Q$2:$Q$300,AR47,TPS_mięsa!$G$2:$G$300)/1000</f>
        <v>0</v>
      </c>
      <c r="AT47" s="268">
        <f ca="1">VLOOKUP(AR47,Konfiguracja!$N$60:$AC$148,16,0)/1000</f>
        <v>0</v>
      </c>
      <c r="AU47" s="270">
        <f>IFERROR(VLOOKUP(I47,Konfiguracja!$M$3:$AM$57,26,0),0)</f>
        <v>0</v>
      </c>
      <c r="AV47" s="279">
        <f t="shared" si="58"/>
        <v>3</v>
      </c>
    </row>
    <row r="48" spans="1:48" ht="23.25">
      <c r="A48" s="33">
        <f t="shared" ref="A48:A93" si="60">SUMIF(IND_PLAN_BAZA,$W53,IL_PL_0)+SUMIF(IND_PLAN_BAZA,$X53,IL_PL_0)+SUMIF(IND_PLAN_BAZA,$Y53,IL_PL_0)</f>
        <v>0</v>
      </c>
      <c r="B48" s="43" t="str">
        <f>IFERROR(VLOOKUP(C48,Receptury_z!$A:$B,2,0),"Brak w bazie")</f>
        <v>ON</v>
      </c>
      <c r="C48" s="110">
        <v>6628</v>
      </c>
      <c r="D48" s="862" t="s">
        <v>49</v>
      </c>
      <c r="E48" s="870">
        <f>IF(OR($E$4="x",$E$4="d"),0,AT53)</f>
        <v>0</v>
      </c>
      <c r="F48" s="860">
        <f>IF($E$4="x",0,IF($E$4="d",AK53,IF(AV53&gt;1,VLOOKUP(C48,Konfiguracja!$M$60:$T$148,8,0),IF((A48-E48)&lt;0,0,A48-E48))))</f>
        <v>0</v>
      </c>
      <c r="G48" s="203">
        <f t="shared" ref="G48:G93" si="61">SUMIF(IND_PLAN_BAZA,$W53,IL_PL_1)+SUMIF(IND_PLAN_BAZA,$X53,IL_PL_1)+SUMIF(IND_PLAN_BAZA,$Y53,IL_PL_1)</f>
        <v>0</v>
      </c>
      <c r="H48" s="498">
        <f t="shared" ref="H48:H93" si="62">SUMIF(IND_PLAN_BAZA,W53,IL_PL_2)+SUMIF(IND_PLAN_BAZA,X53,IL_PL_2)+SUMIF(IND_PLAN_BAZA,Y53,IL_PL_2)</f>
        <v>0</v>
      </c>
      <c r="I48" t="s">
        <v>17966</v>
      </c>
      <c r="J48" s="206" t="s">
        <v>74</v>
      </c>
      <c r="K48" s="749">
        <v>-739.5</v>
      </c>
      <c r="L48" s="207"/>
      <c r="M48" s="207"/>
      <c r="N48" s="207"/>
      <c r="O48" s="207"/>
      <c r="P48" s="208">
        <f t="shared" ca="1" si="22"/>
        <v>0</v>
      </c>
      <c r="Q48" s="209">
        <f t="shared" ref="Q48:Q53" ca="1" si="63">(K48+N48+O48+L48+M48)-P48</f>
        <v>-739.5</v>
      </c>
      <c r="R48" s="208">
        <f t="shared" ca="1" si="59"/>
        <v>300</v>
      </c>
      <c r="S48" s="209">
        <f t="shared" ca="1" si="3"/>
        <v>-1039.5</v>
      </c>
      <c r="T48" s="208">
        <f t="shared" ca="1" si="27"/>
        <v>1450</v>
      </c>
      <c r="U48" s="557">
        <f t="shared" ca="1" si="19"/>
        <v>-2489.5</v>
      </c>
      <c r="V48" s="254">
        <f t="shared" ca="1" si="25"/>
        <v>1750</v>
      </c>
      <c r="W48">
        <f>IF(LEN(C40)&gt;4,9999,C40)</f>
        <v>6482</v>
      </c>
      <c r="X48">
        <f>IF(LEN(C40)&gt;4,9999,0)</f>
        <v>0</v>
      </c>
      <c r="Y48">
        <f>IF(LEN(C40)&gt;4,9999,0)</f>
        <v>0</v>
      </c>
      <c r="Z48">
        <f ca="1">VLOOKUP($J48,Konfiguracja!$B$3:$E$49,2,0)</f>
        <v>187</v>
      </c>
      <c r="AA48">
        <f ca="1">VLOOKUP($J48,Konfiguracja!$B$3:$E$49,3,0)</f>
        <v>188</v>
      </c>
      <c r="AB48">
        <f ca="1">VLOOKUP($J48,Konfiguracja!$B$3:$E$49,4,0)</f>
        <v>189</v>
      </c>
      <c r="AC48" t="s">
        <v>177</v>
      </c>
      <c r="AD48" s="633">
        <f ca="1">IFERROR(VLOOKUP($AC48,'Receptury '!$D$100:$IA$100,Z48,0),0)</f>
        <v>0</v>
      </c>
      <c r="AE48" s="634">
        <f ca="1">IFERROR(VLOOKUP($AC48,'Receptury '!$D$100:$IA$100,AA48,0),0)</f>
        <v>300</v>
      </c>
      <c r="AF48" s="635">
        <f ca="1">IFERROR(VLOOKUP($AC48,'Receptury '!$D$100:$IA$100,AB48,0),0)</f>
        <v>1450</v>
      </c>
      <c r="AG48" s="88">
        <f t="shared" ca="1" si="7"/>
        <v>0</v>
      </c>
      <c r="AH48" s="88">
        <f t="shared" ca="1" si="8"/>
        <v>0</v>
      </c>
      <c r="AI48" s="88">
        <f t="shared" ca="1" si="9"/>
        <v>0</v>
      </c>
      <c r="AJ48">
        <v>-1082.5</v>
      </c>
      <c r="AK48">
        <f>IF(IFERROR(VLOOKUP(W48,DROBIE,1,0),0),A40,0)</f>
        <v>0</v>
      </c>
      <c r="AL48" s="247">
        <f ca="1">IFERROR(VLOOKUP($I48,Konfiguracja!$M:$U,9,0),0)</f>
        <v>2</v>
      </c>
      <c r="AM48" s="248">
        <f ca="1">IFERROR(VLOOKUP($I48,Konfiguracja!$M:$U,6,0),0)</f>
        <v>654</v>
      </c>
      <c r="AN48" s="248">
        <f ca="1">IFERROR(VLOOKUP($I48,Konfiguracja!$M:$U,7,0),0)</f>
        <v>632</v>
      </c>
      <c r="AO48" s="249">
        <f ca="1">IFERROR(VLOOKUP($I48,Konfiguracja!$M:$U,8,0),0)</f>
        <v>0</v>
      </c>
      <c r="AQ48" s="258">
        <f>IFERROR(VLOOKUP($I48,Konfiguracja!M:AF,16,0),0)</f>
        <v>1686</v>
      </c>
      <c r="AR48">
        <f>IFERROR(VLOOKUP(C40,Receptury_z!$A:$C,3,0),0)</f>
        <v>5532</v>
      </c>
      <c r="AS48" s="256">
        <f>SUMIF(TPS_mięsa!$Q$2:$Q$300,AR48,TPS_mięsa!$G$2:$G$300)/1000</f>
        <v>0</v>
      </c>
      <c r="AT48" s="268">
        <f ca="1">VLOOKUP(AR48,Konfiguracja!$N$60:$AC$148,16,0)/1000</f>
        <v>0</v>
      </c>
      <c r="AU48" s="270">
        <f>IFERROR(VLOOKUP(I48,Konfiguracja!$M$3:$AM$57,26,0),0)</f>
        <v>0</v>
      </c>
      <c r="AV48" s="279">
        <f t="shared" si="58"/>
        <v>2</v>
      </c>
    </row>
    <row r="49" spans="1:48" ht="23.25">
      <c r="A49" s="33">
        <f t="shared" si="60"/>
        <v>0</v>
      </c>
      <c r="B49" s="43" t="str">
        <f>IFERROR(VLOOKUP(C49,Receptury_z!$A:$B,2,0),"Brak w bazie")</f>
        <v>ON</v>
      </c>
      <c r="C49" s="110">
        <v>6629</v>
      </c>
      <c r="D49" s="862" t="s">
        <v>15286</v>
      </c>
      <c r="E49" s="870">
        <f>IF(OR($E$4="x",$E$4="d"),0,AT51)</f>
        <v>0</v>
      </c>
      <c r="F49" s="860">
        <f>IF($E$4="x",0,IF($E$4="d",AK54,IF(AV54&gt;1,VLOOKUP(C49,Konfiguracja!$M$60:$T$148,8,0),IF((A49-E49)&lt;0,0,A49-E49))))</f>
        <v>0</v>
      </c>
      <c r="G49" s="203">
        <f t="shared" si="61"/>
        <v>0</v>
      </c>
      <c r="H49" s="498">
        <f t="shared" si="62"/>
        <v>0</v>
      </c>
      <c r="I49">
        <v>6448</v>
      </c>
      <c r="J49" s="206" t="s">
        <v>75</v>
      </c>
      <c r="K49" s="749">
        <v>-3045</v>
      </c>
      <c r="L49" s="207"/>
      <c r="M49" s="207"/>
      <c r="N49" s="207"/>
      <c r="O49" s="207"/>
      <c r="P49" s="208">
        <f t="shared" ca="1" si="22"/>
        <v>0</v>
      </c>
      <c r="Q49" s="209">
        <f t="shared" ca="1" si="63"/>
        <v>-3045</v>
      </c>
      <c r="R49" s="208">
        <f t="shared" ca="1" si="59"/>
        <v>900</v>
      </c>
      <c r="S49" s="209">
        <f t="shared" ca="1" si="3"/>
        <v>-3945</v>
      </c>
      <c r="T49" s="208">
        <f t="shared" ca="1" si="27"/>
        <v>0</v>
      </c>
      <c r="U49" s="557">
        <f t="shared" ca="1" si="19"/>
        <v>-3945</v>
      </c>
      <c r="V49" s="254">
        <f t="shared" ca="1" si="25"/>
        <v>900</v>
      </c>
      <c r="W49">
        <f>IF(LEN(C42)&gt;4,9999,C42)</f>
        <v>6485</v>
      </c>
      <c r="X49">
        <f>IF(LEN(C42)&gt;4,9999,0)</f>
        <v>0</v>
      </c>
      <c r="Y49">
        <f>IF(LEN(C42)&gt;4,9999,0)</f>
        <v>0</v>
      </c>
      <c r="Z49">
        <f ca="1">VLOOKUP($J49,Konfiguracja!$B$3:$E$49,2,0)</f>
        <v>190</v>
      </c>
      <c r="AA49">
        <f ca="1">VLOOKUP($J49,Konfiguracja!$B$3:$E$49,3,0)</f>
        <v>191</v>
      </c>
      <c r="AB49">
        <f ca="1">VLOOKUP($J49,Konfiguracja!$B$3:$E$49,4,0)</f>
        <v>192</v>
      </c>
      <c r="AC49" t="s">
        <v>177</v>
      </c>
      <c r="AD49" s="633">
        <f ca="1">IFERROR(VLOOKUP($AC49,'Receptury '!$D$100:$IA$100,Z49,0),0)</f>
        <v>0</v>
      </c>
      <c r="AE49" s="634">
        <f ca="1">IFERROR(VLOOKUP($AC49,'Receptury '!$D$100:$IA$100,AA49,0),0)</f>
        <v>900</v>
      </c>
      <c r="AF49" s="635">
        <f ca="1">IFERROR(VLOOKUP($AC49,'Receptury '!$D$100:$IA$100,AB49,0),0)</f>
        <v>0</v>
      </c>
      <c r="AG49" s="88">
        <f t="shared" ca="1" si="7"/>
        <v>0</v>
      </c>
      <c r="AH49" s="88">
        <f t="shared" ca="1" si="8"/>
        <v>0</v>
      </c>
      <c r="AI49" s="88">
        <f t="shared" ca="1" si="9"/>
        <v>0</v>
      </c>
      <c r="AJ49">
        <v>-1081.5</v>
      </c>
      <c r="AK49">
        <f>IF(IFERROR(VLOOKUP(W49,DROBIE,1,0),0),A42,0)</f>
        <v>0</v>
      </c>
      <c r="AL49" s="247">
        <f ca="1">IFERROR(VLOOKUP($I49,Konfiguracja!$M:$U,9,0),0)</f>
        <v>1</v>
      </c>
      <c r="AM49" s="248">
        <f ca="1">IFERROR(VLOOKUP($I49,Konfiguracja!$M:$U,6,0),0)</f>
        <v>455</v>
      </c>
      <c r="AN49" s="248">
        <f ca="1">IFERROR(VLOOKUP($I49,Konfiguracja!$M:$U,7,0),0)</f>
        <v>0</v>
      </c>
      <c r="AO49" s="249">
        <f ca="1">IFERROR(VLOOKUP($I49,Konfiguracja!$M:$U,8,0),0)</f>
        <v>0</v>
      </c>
      <c r="AQ49" s="258">
        <f>IFERROR(VLOOKUP($I49,Konfiguracja!M:AF,16,0),0)</f>
        <v>455</v>
      </c>
      <c r="AR49">
        <f>IFERROR(VLOOKUP(C42,Receptury_z!$A:$C,3,0),0)</f>
        <v>5526</v>
      </c>
      <c r="AS49" s="256">
        <f>SUMIF(TPS_mięsa!$Q$2:$Q$300,AR49,TPS_mięsa!$G$2:$G$300)/1000</f>
        <v>6</v>
      </c>
      <c r="AT49" s="268">
        <f ca="1">VLOOKUP(AR49,Konfiguracja!$N$60:$AC$148,16,0)/1000</f>
        <v>6</v>
      </c>
      <c r="AU49" s="270">
        <f>IFERROR(VLOOKUP(I49,Konfiguracja!$M$3:$AM$57,26,0),0)</f>
        <v>0</v>
      </c>
      <c r="AV49" s="279">
        <f t="shared" si="58"/>
        <v>2</v>
      </c>
    </row>
    <row r="50" spans="1:48" ht="23.25">
      <c r="A50" s="33">
        <f t="shared" si="60"/>
        <v>0</v>
      </c>
      <c r="B50" s="43" t="str">
        <f>IFERROR(VLOOKUP(C50,Receptury_z!$A:$B,2,0),"Brak w bazie")</f>
        <v>ON</v>
      </c>
      <c r="C50" s="110">
        <v>6579</v>
      </c>
      <c r="D50" s="862" t="s">
        <v>15676</v>
      </c>
      <c r="E50" s="870">
        <f>IF(OR($E$4="x",$E$4="d"),0,AT55)</f>
        <v>0</v>
      </c>
      <c r="F50" s="860">
        <f>IF($E$4="x",0,IF($E$4="d",AK55,IF(AV55&gt;1,VLOOKUP(C50,Konfiguracja!$M$60:$T$148,8,0),IF((A50-E50)&lt;0,0,A50-E50))))</f>
        <v>0</v>
      </c>
      <c r="G50" s="203">
        <f t="shared" si="61"/>
        <v>12</v>
      </c>
      <c r="H50" s="498">
        <f t="shared" si="62"/>
        <v>0</v>
      </c>
      <c r="I50">
        <v>5788</v>
      </c>
      <c r="J50" s="206" t="s">
        <v>209</v>
      </c>
      <c r="K50" s="749">
        <v>-1380.5</v>
      </c>
      <c r="L50" s="207"/>
      <c r="M50" s="207"/>
      <c r="N50" s="207"/>
      <c r="O50" s="207"/>
      <c r="P50" s="208">
        <f t="shared" ca="1" si="22"/>
        <v>0</v>
      </c>
      <c r="Q50" s="209">
        <f t="shared" ca="1" si="63"/>
        <v>-1380.5</v>
      </c>
      <c r="R50" s="208">
        <f t="shared" ca="1" si="59"/>
        <v>0</v>
      </c>
      <c r="S50" s="209">
        <f t="shared" ca="1" si="3"/>
        <v>-1380.5</v>
      </c>
      <c r="T50" s="208">
        <f t="shared" ca="1" si="27"/>
        <v>1000</v>
      </c>
      <c r="U50" s="557">
        <f t="shared" ca="1" si="19"/>
        <v>-2380.5</v>
      </c>
      <c r="V50" s="254">
        <f t="shared" ca="1" si="25"/>
        <v>1000</v>
      </c>
      <c r="W50">
        <f>IF(LEN(C43)&gt;4,9999,C43)</f>
        <v>6490</v>
      </c>
      <c r="X50">
        <f>IF(LEN(C43)&gt;4,9999,0)</f>
        <v>0</v>
      </c>
      <c r="Y50">
        <f>IF(LEN(C43)&gt;4,9999,0)</f>
        <v>0</v>
      </c>
      <c r="Z50">
        <f ca="1">VLOOKUP($J50,Konfiguracja!$B$3:$E$49,2,0)</f>
        <v>199</v>
      </c>
      <c r="AA50">
        <f ca="1">VLOOKUP($J50,Konfiguracja!$B$3:$E$49,3,0)</f>
        <v>200</v>
      </c>
      <c r="AB50">
        <f ca="1">VLOOKUP($J50,Konfiguracja!$B$3:$E$49,4,0)</f>
        <v>201</v>
      </c>
      <c r="AC50" t="s">
        <v>177</v>
      </c>
      <c r="AD50" s="633">
        <f ca="1">IFERROR(VLOOKUP($AC50,'Receptury '!$D$100:$IA$100,Z50,0),0)</f>
        <v>0</v>
      </c>
      <c r="AE50" s="634">
        <f ca="1">IFERROR(VLOOKUP($AC50,'Receptury '!$D$100:$IA$100,AA50,0),0)</f>
        <v>0</v>
      </c>
      <c r="AF50" s="635">
        <f ca="1">IFERROR(VLOOKUP($AC50,'Receptury '!$D$100:$IA$100,AB50,0),0)</f>
        <v>1000</v>
      </c>
      <c r="AG50" s="88">
        <f t="shared" ca="1" si="7"/>
        <v>0</v>
      </c>
      <c r="AH50" s="88">
        <f t="shared" ca="1" si="8"/>
        <v>0</v>
      </c>
      <c r="AI50" s="88">
        <f t="shared" ca="1" si="9"/>
        <v>0</v>
      </c>
      <c r="AK50">
        <f>IF(IFERROR(VLOOKUP(W50,DROBIE,1,0),0),A43,0)</f>
        <v>0</v>
      </c>
      <c r="AL50" s="247">
        <f ca="1">IFERROR(VLOOKUP($I50,Konfiguracja!$M:$U,9,0),0)</f>
        <v>0</v>
      </c>
      <c r="AM50" s="248">
        <f ca="1">IFERROR(VLOOKUP($I50,Konfiguracja!$M:$U,6,0),0)</f>
        <v>0</v>
      </c>
      <c r="AN50" s="248">
        <f ca="1">IFERROR(VLOOKUP($I50,Konfiguracja!$M:$U,7,0),0)</f>
        <v>0</v>
      </c>
      <c r="AO50" s="249">
        <f ca="1">IFERROR(VLOOKUP($I50,Konfiguracja!$M:$U,8,0),0)</f>
        <v>0</v>
      </c>
      <c r="AQ50" s="258">
        <f>IFERROR(VLOOKUP($I50,Konfiguracja!M:AF,16,0),0)</f>
        <v>0</v>
      </c>
      <c r="AR50">
        <f>IFERROR(VLOOKUP(C43,Receptury_z!$A:$C,3,0),0)</f>
        <v>5445</v>
      </c>
      <c r="AS50" s="256">
        <f>SUMIF(TPS_mięsa!$Q$2:$Q$300,AR50,TPS_mięsa!$G$2:$G$300)/1000</f>
        <v>0</v>
      </c>
      <c r="AT50" s="268">
        <f ca="1">VLOOKUP(AR50,Konfiguracja!$N$60:$AC$148,16,0)/1000</f>
        <v>0</v>
      </c>
      <c r="AU50" s="270">
        <f>IFERROR(VLOOKUP(I50,Konfiguracja!$M$3:$AM$57,26,0),0)</f>
        <v>0</v>
      </c>
      <c r="AV50" s="279">
        <f t="shared" si="58"/>
        <v>2</v>
      </c>
    </row>
    <row r="51" spans="1:48" ht="23.25">
      <c r="A51" s="33">
        <f t="shared" si="60"/>
        <v>21</v>
      </c>
      <c r="B51" s="43" t="str">
        <f>IFERROR(VLOOKUP(C51,Receptury_z!$A:$B,2,0),"Brak w bazie")</f>
        <v>ON</v>
      </c>
      <c r="C51" s="110">
        <v>6699</v>
      </c>
      <c r="D51" s="862" t="s">
        <v>15919</v>
      </c>
      <c r="E51" s="870">
        <f>IF(OR($E$4="x",$E$4="d"),0,AT56)</f>
        <v>0</v>
      </c>
      <c r="F51" s="860">
        <f>IF($E$4="x",0,IF($E$4="d",AK56,IF(AV56&gt;1,VLOOKUP(C51,Konfiguracja!$M$60:$T$148,8,0),IF((A51-E51)&lt;0,0,A51-E51))))</f>
        <v>0</v>
      </c>
      <c r="G51" s="203">
        <f t="shared" si="61"/>
        <v>0</v>
      </c>
      <c r="H51" s="498">
        <f t="shared" si="62"/>
        <v>0</v>
      </c>
      <c r="I51">
        <v>5856</v>
      </c>
      <c r="J51" s="612" t="s">
        <v>17874</v>
      </c>
      <c r="K51" s="749">
        <v>-429.99</v>
      </c>
      <c r="L51" s="207"/>
      <c r="M51" s="207"/>
      <c r="N51" s="207"/>
      <c r="O51" s="207"/>
      <c r="P51" s="208">
        <f t="shared" ref="P51" ca="1" si="64">AD51</f>
        <v>0</v>
      </c>
      <c r="Q51" s="565">
        <f t="shared" ca="1" si="63"/>
        <v>-429.99</v>
      </c>
      <c r="R51" s="208">
        <f t="shared" ref="R51:R53" ca="1" si="65">AE51</f>
        <v>1240</v>
      </c>
      <c r="S51" s="565">
        <f ca="1">Q51-R51</f>
        <v>-1669.99</v>
      </c>
      <c r="T51" s="208">
        <f t="shared" ref="T51:T53" ca="1" si="66">AF51</f>
        <v>540</v>
      </c>
      <c r="U51" s="566">
        <f t="shared" ref="U51:U53" ca="1" si="67">S51-AF51</f>
        <v>-2209.9899999999998</v>
      </c>
      <c r="V51" s="254">
        <f t="shared" ref="V51:V53" ca="1" si="68">R51+T51</f>
        <v>1780</v>
      </c>
      <c r="W51">
        <f>IF(LEN(C22)&gt;4,9999,C22)</f>
        <v>6438</v>
      </c>
      <c r="X51">
        <f>IF(LEN(C22)&gt;4,9999,0)</f>
        <v>0</v>
      </c>
      <c r="Y51">
        <f>IF(LEN(C22)&gt;4,9999,0)</f>
        <v>0</v>
      </c>
      <c r="Z51">
        <f ca="1">VLOOKUP($J51,Konfiguracja!$B$3:$E$49,2,0)</f>
        <v>133</v>
      </c>
      <c r="AA51">
        <f ca="1">VLOOKUP($J51,Konfiguracja!$B$3:$E$49,3,0)</f>
        <v>134</v>
      </c>
      <c r="AB51">
        <f ca="1">VLOOKUP($J51,Konfiguracja!$B$3:$E$49,4,0)</f>
        <v>135</v>
      </c>
      <c r="AC51" t="s">
        <v>177</v>
      </c>
      <c r="AD51" s="633">
        <f ca="1">IFERROR(VLOOKUP($AC51,'Receptury '!$D$100:$IA$100,Z51,0),0)</f>
        <v>0</v>
      </c>
      <c r="AE51" s="634">
        <f ca="1">IFERROR(VLOOKUP($AC51,'Receptury '!$D$100:$IA$100,AA51,0),0)</f>
        <v>1240</v>
      </c>
      <c r="AF51" s="635">
        <f ca="1">IFERROR(VLOOKUP($AC51,'Receptury '!$D$100:$IA$100,AB51,0),0)</f>
        <v>540</v>
      </c>
      <c r="AG51" s="88">
        <f ca="1">P51-AD51</f>
        <v>0</v>
      </c>
      <c r="AH51" s="88">
        <f ca="1">R51-AE51</f>
        <v>0</v>
      </c>
      <c r="AI51" s="88">
        <f ca="1">T51-AF51</f>
        <v>0</v>
      </c>
      <c r="AJ51">
        <v>13616.275831999999</v>
      </c>
      <c r="AK51">
        <f>IF(IFERROR(VLOOKUP(W51,DROBIE,1,0),0),A22,0)</f>
        <v>0</v>
      </c>
      <c r="AL51" s="247">
        <f ca="1">IFERROR(VLOOKUP($I51,Konfiguracja!$M:$U,9,0),0)</f>
        <v>0</v>
      </c>
      <c r="AM51" s="248">
        <f ca="1">IFERROR(VLOOKUP($I51,Konfiguracja!$M:$U,6,0),0)</f>
        <v>0</v>
      </c>
      <c r="AN51" s="248">
        <f ca="1">IFERROR(VLOOKUP($I51,Konfiguracja!$M:$U,7,0),0)</f>
        <v>0</v>
      </c>
      <c r="AO51" s="249">
        <f ca="1">IFERROR(VLOOKUP($I51,Konfiguracja!$M:$U,8,0),0)</f>
        <v>0</v>
      </c>
      <c r="AQ51" s="258">
        <f>IFERROR(VLOOKUP($I51,Konfiguracja!M:AF,16,0),0)</f>
        <v>0</v>
      </c>
      <c r="AR51">
        <f>IFERROR(VLOOKUP(C22,Receptury_z!$A:$C,3,0),0)</f>
        <v>5529</v>
      </c>
      <c r="AS51" s="256">
        <f>SUMIF(TPS_mięsa!$Q$2:$Q$300,AR51,TPS_mięsa!$G$2:$G$300)/1000</f>
        <v>0</v>
      </c>
      <c r="AT51" s="268">
        <f ca="1">VLOOKUP(AR51,Konfiguracja!$N$60:$AC$148,16,0)/1000</f>
        <v>0</v>
      </c>
      <c r="AU51" s="270">
        <f>IFERROR(VLOOKUP(I51,Konfiguracja!$M$3:$AM$57,26,0),0)</f>
        <v>0</v>
      </c>
      <c r="AV51" s="279">
        <f t="shared" si="58"/>
        <v>1</v>
      </c>
    </row>
    <row r="52" spans="1:48" ht="23.25">
      <c r="A52" s="33">
        <f t="shared" si="60"/>
        <v>0</v>
      </c>
      <c r="B52" s="43" t="str">
        <f>IFERROR(VLOOKUP(C52,Receptury_z!$A:$B,2,0),"Brak w bazie")</f>
        <v>ON</v>
      </c>
      <c r="C52" s="110">
        <v>7088</v>
      </c>
      <c r="D52" s="862" t="s">
        <v>15937</v>
      </c>
      <c r="E52" s="870">
        <f>IF(OR($E$4="x",$E$4="d"),0,AT57)</f>
        <v>0</v>
      </c>
      <c r="F52" s="860">
        <f>IF($E$4="x",0,IF($E$4="d",AK57,IF(AV57&gt;1,VLOOKUP(C52,Konfiguracja!$M$60:$T$148,8,0),IF((A52-E52)&lt;0,0,A52-E52))))</f>
        <v>0</v>
      </c>
      <c r="G52" s="203">
        <f t="shared" si="61"/>
        <v>0</v>
      </c>
      <c r="H52" s="498">
        <f t="shared" si="62"/>
        <v>0</v>
      </c>
      <c r="I52">
        <v>5859</v>
      </c>
      <c r="J52" s="612" t="s">
        <v>17875</v>
      </c>
      <c r="K52" s="749">
        <v>-3414.2</v>
      </c>
      <c r="L52" s="207"/>
      <c r="M52" s="207"/>
      <c r="N52" s="207"/>
      <c r="O52" s="207"/>
      <c r="P52" s="208">
        <f ca="1">AD52</f>
        <v>0</v>
      </c>
      <c r="Q52" s="209">
        <f t="shared" ca="1" si="63"/>
        <v>-3414.2</v>
      </c>
      <c r="R52" s="208">
        <f ca="1">AE52</f>
        <v>540</v>
      </c>
      <c r="S52" s="209">
        <f ca="1">Q52-R52</f>
        <v>-3954.2</v>
      </c>
      <c r="T52" s="208">
        <f ca="1">AF52</f>
        <v>900</v>
      </c>
      <c r="U52" s="557">
        <f ca="1">S52-AF52</f>
        <v>-4854.2</v>
      </c>
      <c r="V52" s="254">
        <f ca="1">R52+T52</f>
        <v>1440</v>
      </c>
      <c r="W52">
        <f>IF(LEN(C9)&gt;4,9999,C9)</f>
        <v>6358</v>
      </c>
      <c r="X52">
        <f>IF(LEN(C9)&gt;4,9999,0)</f>
        <v>0</v>
      </c>
      <c r="Y52">
        <f>IF(LEN(C9)&gt;4,9999,0)</f>
        <v>0</v>
      </c>
      <c r="Z52">
        <f ca="1">VLOOKUP($J52,Konfiguracja!$B$3:$E$49,2,0)</f>
        <v>202</v>
      </c>
      <c r="AA52">
        <f ca="1">VLOOKUP($J52,Konfiguracja!$B$3:$E$49,3,0)</f>
        <v>203</v>
      </c>
      <c r="AB52">
        <f ca="1">VLOOKUP($J52,Konfiguracja!$B$3:$E$49,4,0)</f>
        <v>204</v>
      </c>
      <c r="AC52" t="s">
        <v>177</v>
      </c>
      <c r="AD52" s="633">
        <f ca="1">IFERROR(VLOOKUP($AC52,'Receptury '!$D$100:$IA$100,Z52,0),0)</f>
        <v>0</v>
      </c>
      <c r="AE52" s="634">
        <f ca="1">IFERROR(VLOOKUP($AC52,'Receptury '!$D$100:$IA$100,AA52,0),0)</f>
        <v>540</v>
      </c>
      <c r="AF52" s="635">
        <f ca="1">IFERROR(VLOOKUP($AC52,'Receptury '!$D$100:$IA$100,AB52,0),0)</f>
        <v>900</v>
      </c>
      <c r="AG52" s="88">
        <f ca="1">P52-AD52</f>
        <v>0</v>
      </c>
      <c r="AH52" s="88">
        <f ca="1">R52-AE52</f>
        <v>0</v>
      </c>
      <c r="AI52" s="88">
        <f ca="1">T52-AF52</f>
        <v>0</v>
      </c>
      <c r="AJ52">
        <v>871.97500000000002</v>
      </c>
      <c r="AK52">
        <f>IF(IFERROR(VLOOKUP(W52,DROBIE,1,0),0),A9,0)</f>
        <v>0</v>
      </c>
      <c r="AL52" s="247">
        <f ca="1">IFERROR(VLOOKUP($I8,Konfiguracja!$M:$U,9,0),0)</f>
        <v>2</v>
      </c>
      <c r="AM52" s="248">
        <f ca="1">IFERROR(VLOOKUP($I8,Konfiguracja!$M:$U,6,0),0)</f>
        <v>3097</v>
      </c>
      <c r="AN52" s="248">
        <f ca="1">IFERROR(VLOOKUP($I8,Konfiguracja!$M:$U,7,0),0)</f>
        <v>3573.5</v>
      </c>
      <c r="AO52" s="249">
        <f ca="1">IFERROR(VLOOKUP($I8,Konfiguracja!$M:$U,8,0),0)</f>
        <v>0</v>
      </c>
      <c r="AQ52" s="258">
        <f>IFERROR(VLOOKUP($I52,Konfiguracja!M:AF,16,0),0)</f>
        <v>0</v>
      </c>
      <c r="AR52">
        <f>IFERROR(VLOOKUP(C9,Receptury_z!$A:$C,3,0),0)</f>
        <v>5103</v>
      </c>
      <c r="AS52" s="256">
        <f>SUMIF(TPS_mięsa!$Q$2:$Q$300,AR52,TPS_mięsa!$G$2:$G$300)/1000</f>
        <v>0</v>
      </c>
      <c r="AT52" s="268">
        <f ca="1">VLOOKUP(AR52,Konfiguracja!$N$60:$AC$148,16,0)/1000</f>
        <v>0</v>
      </c>
      <c r="AU52" s="270">
        <f>IFERROR(VLOOKUP(I52,Konfiguracja!$M$3:$AM$57,26,0),0)</f>
        <v>0</v>
      </c>
      <c r="AV52" s="279">
        <f t="shared" si="58"/>
        <v>1</v>
      </c>
    </row>
    <row r="53" spans="1:48" ht="24" thickBot="1">
      <c r="A53" s="33">
        <f t="shared" si="60"/>
        <v>0</v>
      </c>
      <c r="B53" s="43" t="str">
        <f>IFERROR(VLOOKUP(C53,Receptury_z!$A:$B,2,0),"Brak w bazie")</f>
        <v>ON</v>
      </c>
      <c r="C53" s="10">
        <v>6453</v>
      </c>
      <c r="D53" s="865" t="s">
        <v>56</v>
      </c>
      <c r="E53" s="870">
        <f>IF(OR($E$4="x",$E$4="d"),0,AT54)</f>
        <v>0</v>
      </c>
      <c r="F53" s="860">
        <f>IF($E$4="x",0,IF($E$4="d",AK58,IF(AV58&gt;1,VLOOKUP(C53,Konfiguracja!$M$60:$T$148,8,0),IF((A53-E53)&lt;0,0,A53-E53))))</f>
        <v>0</v>
      </c>
      <c r="G53" s="203">
        <f t="shared" si="61"/>
        <v>0</v>
      </c>
      <c r="H53" s="498">
        <f t="shared" si="62"/>
        <v>0</v>
      </c>
      <c r="I53">
        <v>5203</v>
      </c>
      <c r="J53" s="558" t="s">
        <v>17968</v>
      </c>
      <c r="K53" s="751">
        <v>0</v>
      </c>
      <c r="L53" s="559"/>
      <c r="M53" s="559"/>
      <c r="N53" s="559"/>
      <c r="O53" s="559"/>
      <c r="P53" s="560">
        <f>AD53+'Klon wp. tydzień 07'!G232</f>
        <v>0</v>
      </c>
      <c r="Q53" s="561">
        <f t="shared" si="63"/>
        <v>0</v>
      </c>
      <c r="R53" s="560">
        <f t="shared" si="65"/>
        <v>0</v>
      </c>
      <c r="S53" s="221">
        <f t="shared" si="3"/>
        <v>0</v>
      </c>
      <c r="T53" s="560">
        <f t="shared" si="66"/>
        <v>0</v>
      </c>
      <c r="U53" s="562">
        <f t="shared" si="67"/>
        <v>0</v>
      </c>
      <c r="V53" s="254">
        <f t="shared" si="68"/>
        <v>0</v>
      </c>
      <c r="W53">
        <f t="shared" ref="W53:W68" si="69">IF(LEN(C48)&gt;4,9999,C48)</f>
        <v>6628</v>
      </c>
      <c r="X53">
        <f t="shared" ref="X53:X68" si="70">IF(LEN(C48)&gt;4,9999,0)</f>
        <v>0</v>
      </c>
      <c r="Y53">
        <f t="shared" ref="Y53:Y68" si="71">IF(LEN(C48)&gt;4,9999,0)</f>
        <v>0</v>
      </c>
      <c r="Z53" t="e">
        <f>VLOOKUP($J53,Konfiguracja!$B$3:$E$49,2,0)</f>
        <v>#N/A</v>
      </c>
      <c r="AA53" t="e">
        <f>VLOOKUP($J53,Konfiguracja!$B$3:$E$49,3,0)</f>
        <v>#N/A</v>
      </c>
      <c r="AB53" t="e">
        <f>VLOOKUP($J53,Konfiguracja!$B$3:$E$49,4,0)</f>
        <v>#N/A</v>
      </c>
      <c r="AC53" t="s">
        <v>177</v>
      </c>
      <c r="AD53" s="636">
        <f>IFERROR(VLOOKUP($AC53,'Receptury '!$D$100:$IA$100,Z53,0),0)</f>
        <v>0</v>
      </c>
      <c r="AE53" s="637">
        <f>IFERROR(VLOOKUP($AC53,'Receptury '!$D$100:$IA$100,AA53,0),0)</f>
        <v>0</v>
      </c>
      <c r="AF53" s="638">
        <f>IFERROR(VLOOKUP($AC53,'Receptury '!$D$100:$IA$100,AB53,0),0)</f>
        <v>0</v>
      </c>
      <c r="AK53">
        <f t="shared" ref="AK53:AK98" si="72">IF(IFERROR(VLOOKUP(W53,DROBIE,1,0),0),A48,0)</f>
        <v>0</v>
      </c>
      <c r="AL53" s="247">
        <f ca="1">IFERROR(VLOOKUP($I53,Konfiguracja!$M:$U,9,0),0)</f>
        <v>0</v>
      </c>
      <c r="AM53" s="248">
        <f ca="1">IFERROR(VLOOKUP($I53,Konfiguracja!$M:$U,6,0),0)</f>
        <v>0</v>
      </c>
      <c r="AN53" s="248">
        <f ca="1">IFERROR(VLOOKUP($I53,Konfiguracja!$M:$U,7,0),0)</f>
        <v>0</v>
      </c>
      <c r="AO53" s="249">
        <f ca="1">IFERROR(VLOOKUP($I53,Konfiguracja!$M:$U,8,0),0)</f>
        <v>0</v>
      </c>
      <c r="AQ53" s="258">
        <f ca="1">IFERROR(VLOOKUP($I53,Konfiguracja!M:AF,16,0),0)</f>
        <v>0</v>
      </c>
      <c r="AR53">
        <f>IFERROR(VLOOKUP(C48,Receptury_z!$A:$C,3,0),0)</f>
        <v>5447</v>
      </c>
      <c r="AS53" s="256">
        <f>SUMIF(TPS_mięsa!$Q$2:$Q$300,AR53,TPS_mięsa!$G$2:$G$300)/1000</f>
        <v>0</v>
      </c>
      <c r="AT53" s="268">
        <f ca="1">VLOOKUP(AR53,Konfiguracja!$N$60:$AC$148,16,0)/1000</f>
        <v>0</v>
      </c>
      <c r="AU53" s="270">
        <f>IFERROR(VLOOKUP(I53,Konfiguracja!$M$3:$AM$57,26,0),0)</f>
        <v>0</v>
      </c>
      <c r="AV53" s="279">
        <f t="shared" si="58"/>
        <v>1</v>
      </c>
    </row>
    <row r="54" spans="1:48" ht="24.75" thickTop="1" thickBot="1">
      <c r="A54" s="33">
        <f t="shared" si="60"/>
        <v>0</v>
      </c>
      <c r="B54" s="43" t="str">
        <f>IFERROR(VLOOKUP(C54,Receptury_z!$A:$B,2,0),"Brak w bazie")</f>
        <v>ON</v>
      </c>
      <c r="C54" s="10">
        <v>7028</v>
      </c>
      <c r="D54" s="865" t="s">
        <v>57</v>
      </c>
      <c r="E54" s="870">
        <f>IF(OR($E$4="x",$E$4="d"),0,AT55)</f>
        <v>0</v>
      </c>
      <c r="F54" s="860">
        <f>IF($E$4="x",0,IF($E$4="d",AK59,IF(AV59&gt;1,VLOOKUP(C54,Konfiguracja!$M$60:$T$148,8,0),IF((A54-E54)&lt;0,0,A54-E54))))</f>
        <v>0</v>
      </c>
      <c r="G54" s="203">
        <f t="shared" si="61"/>
        <v>0</v>
      </c>
      <c r="H54" s="498">
        <f t="shared" si="62"/>
        <v>0</v>
      </c>
      <c r="J54" s="213" t="s">
        <v>93</v>
      </c>
      <c r="K54" s="214">
        <f>SUM(STANY_MDR1)</f>
        <v>25831.867126499987</v>
      </c>
      <c r="L54" s="214">
        <f>SUM(ROZBIÓR1)</f>
        <v>68000</v>
      </c>
      <c r="M54" s="214"/>
      <c r="N54" s="214"/>
      <c r="O54" s="214"/>
      <c r="P54" s="215">
        <f t="shared" ref="P54:V54" ca="1" si="73">SUM(P6:P53)</f>
        <v>116990</v>
      </c>
      <c r="Q54" s="215">
        <f t="shared" ca="1" si="73"/>
        <v>168114.8671265</v>
      </c>
      <c r="R54" s="215">
        <f t="shared" ca="1" si="73"/>
        <v>130654.95000000001</v>
      </c>
      <c r="S54" s="215">
        <f t="shared" ca="1" si="73"/>
        <v>37459.917126500004</v>
      </c>
      <c r="T54" s="215">
        <f t="shared" ca="1" si="73"/>
        <v>111606.50699999998</v>
      </c>
      <c r="U54" s="215">
        <f t="shared" ca="1" si="73"/>
        <v>-74146.589873499994</v>
      </c>
      <c r="V54" s="215">
        <f t="shared" ca="1" si="73"/>
        <v>242261.45700000002</v>
      </c>
      <c r="W54">
        <f t="shared" si="69"/>
        <v>6629</v>
      </c>
      <c r="X54">
        <f t="shared" si="70"/>
        <v>0</v>
      </c>
      <c r="Y54">
        <f t="shared" si="71"/>
        <v>0</v>
      </c>
      <c r="Z54" t="e">
        <f>VLOOKUP($J54,Konfiguracja!$B$3:$E$42,2,0)</f>
        <v>#N/A</v>
      </c>
      <c r="AA54" t="e">
        <f>VLOOKUP($J54,Konfiguracja!$B$3:$E$42,3,0)</f>
        <v>#N/A</v>
      </c>
      <c r="AB54" t="e">
        <f>VLOOKUP($J54,Konfiguracja!$B$3:$E$42,4,0)</f>
        <v>#N/A</v>
      </c>
      <c r="AC54" t="s">
        <v>177</v>
      </c>
      <c r="AK54">
        <f t="shared" si="72"/>
        <v>0</v>
      </c>
      <c r="AL54" s="247">
        <f ca="1">IFERROR(VLOOKUP($I54,Konfiguracja!$M:$U,9,0),0)</f>
        <v>0</v>
      </c>
      <c r="AM54" s="248">
        <f ca="1">IFERROR(VLOOKUP($I54,Konfiguracja!$M:$U,6,0),0)</f>
        <v>0</v>
      </c>
      <c r="AN54" s="248">
        <f ca="1">IFERROR(VLOOKUP($I54,Konfiguracja!$M:$U,7,0),0)</f>
        <v>0</v>
      </c>
      <c r="AO54" s="249">
        <f ca="1">IFERROR(VLOOKUP($I54,Konfiguracja!$M:$U,8,0),0)</f>
        <v>0</v>
      </c>
      <c r="AQ54" s="258">
        <f ca="1">IFERROR(VLOOKUP($I54,Konfiguracja!M:AF,16,0),0)</f>
        <v>0</v>
      </c>
      <c r="AR54">
        <f>IFERROR(VLOOKUP(C49,Receptury_z!$A:$C,3,0),0)</f>
        <v>5592</v>
      </c>
      <c r="AS54" s="256">
        <f>SUMIF(TPS_mięsa!$Q$2:$Q$300,AR54,TPS_mięsa!$G$2:$G$300)/1000</f>
        <v>2.54</v>
      </c>
      <c r="AT54" s="268">
        <f ca="1">VLOOKUP(AR54,Konfiguracja!$N$60:$AC$148,16,0)/1000</f>
        <v>2.54</v>
      </c>
      <c r="AU54" s="270">
        <f>IFERROR(VLOOKUP(I54,Konfiguracja!$M$3:$AM$57,26,0),0)</f>
        <v>0</v>
      </c>
      <c r="AV54" s="279">
        <f t="shared" si="58"/>
        <v>1</v>
      </c>
    </row>
    <row r="55" spans="1:48" ht="24" thickTop="1">
      <c r="A55" s="33">
        <f t="shared" si="60"/>
        <v>0</v>
      </c>
      <c r="B55" s="43" t="str">
        <f>IFERROR(VLOOKUP(C55,Receptury_z!$A:$B,2,0),"Brak w bazie")</f>
        <v>ON</v>
      </c>
      <c r="C55" s="10">
        <v>7038</v>
      </c>
      <c r="D55" s="865" t="s">
        <v>58</v>
      </c>
      <c r="E55" s="870">
        <f>IF(OR($E$4="x",$E$4="d"),0,AT56)</f>
        <v>0</v>
      </c>
      <c r="F55" s="860">
        <f>IF($E$4="x",0,IF($E$4="d",AK60,IF(AV60&gt;1,VLOOKUP(C55,Konfiguracja!$M$60:$T$148,8,0),IF((A55-E55)&lt;0,0,A55-E55))))</f>
        <v>0</v>
      </c>
      <c r="G55" s="203">
        <f t="shared" si="61"/>
        <v>0</v>
      </c>
      <c r="H55" s="498">
        <f t="shared" si="62"/>
        <v>0</v>
      </c>
      <c r="J55" s="465"/>
      <c r="K55" s="466"/>
      <c r="L55" s="466"/>
      <c r="M55" s="466"/>
      <c r="N55" s="466"/>
      <c r="O55" s="466"/>
      <c r="P55" s="467"/>
      <c r="Q55" s="467"/>
      <c r="R55" s="467"/>
      <c r="S55" s="467"/>
      <c r="T55" s="467"/>
      <c r="U55" s="467"/>
      <c r="V55" s="467"/>
      <c r="W55">
        <f t="shared" si="69"/>
        <v>6579</v>
      </c>
      <c r="X55">
        <f t="shared" si="70"/>
        <v>0</v>
      </c>
      <c r="Y55">
        <f t="shared" si="71"/>
        <v>0</v>
      </c>
      <c r="Z55" t="e">
        <f>VLOOKUP($J55,Konfiguracja!$B$3:$E$42,2,0)</f>
        <v>#N/A</v>
      </c>
      <c r="AA55" t="e">
        <f>VLOOKUP($J55,Konfiguracja!$B$3:$E$42,3,0)</f>
        <v>#N/A</v>
      </c>
      <c r="AB55" t="e">
        <f>VLOOKUP($J55,Konfiguracja!$B$3:$E$42,4,0)</f>
        <v>#N/A</v>
      </c>
      <c r="AC55" t="s">
        <v>177</v>
      </c>
      <c r="AK55">
        <f t="shared" si="72"/>
        <v>0</v>
      </c>
      <c r="AL55" s="247">
        <f>IFERROR(VLOOKUP(#REF!,Konfiguracja!$M:$U,9,0),0)</f>
        <v>0</v>
      </c>
      <c r="AM55" s="248">
        <f>IFERROR(VLOOKUP(#REF!,Konfiguracja!$M:$U,6,0),0)</f>
        <v>0</v>
      </c>
      <c r="AN55" s="248">
        <f>IFERROR(VLOOKUP(#REF!,Konfiguracja!$M:$U,7,0),0)</f>
        <v>0</v>
      </c>
      <c r="AO55" s="249">
        <f>IFERROR(VLOOKUP(#REF!,Konfiguracja!$M:$U,8,0),0)</f>
        <v>0</v>
      </c>
      <c r="AQ55" s="258">
        <f>IFERROR(VLOOKUP(#REF!,Konfiguracja!M:AF,16,0),0)</f>
        <v>0</v>
      </c>
      <c r="AR55">
        <f>IFERROR(VLOOKUP(C50,Receptury_z!$A:$C,3,0),0)</f>
        <v>5694</v>
      </c>
      <c r="AS55" s="256">
        <f>SUMIF(TPS_mięsa!$Q$2:$Q$300,AR55,TPS_mięsa!$G$2:$G$300)/1000</f>
        <v>0</v>
      </c>
      <c r="AT55" s="268">
        <f ca="1">VLOOKUP(AR55,Konfiguracja!$N$60:$AC$148,16,0)/1000</f>
        <v>0</v>
      </c>
      <c r="AU55" s="270">
        <f>IFERROR(VLOOKUP(#REF!,Konfiguracja!$M$3:$AM$57,26,0),0)</f>
        <v>0</v>
      </c>
      <c r="AV55" s="279">
        <f t="shared" si="58"/>
        <v>1</v>
      </c>
    </row>
    <row r="56" spans="1:48" ht="23.25">
      <c r="A56" s="33">
        <f t="shared" si="60"/>
        <v>0</v>
      </c>
      <c r="B56" s="43" t="str">
        <f>IFERROR(VLOOKUP(C56,Receptury_z!$A:$B,2,0),"Brak w bazie")</f>
        <v>ON</v>
      </c>
      <c r="C56" s="10">
        <v>7080</v>
      </c>
      <c r="D56" s="865" t="s">
        <v>15544</v>
      </c>
      <c r="E56" s="870">
        <f>IF(OR($E$4="x",$E$4="d"),0,AT61)</f>
        <v>0</v>
      </c>
      <c r="F56" s="860">
        <f>IF($E$4="x",0,IF($E$4="d",AK61,IF(AV61&gt;1,VLOOKUP(C56,Konfiguracja!$M$60:$T$148,8,0),IF((A56-E56)&lt;0,0,A56-E56))))</f>
        <v>0</v>
      </c>
      <c r="G56" s="203">
        <f t="shared" si="61"/>
        <v>0</v>
      </c>
      <c r="H56" s="498">
        <f t="shared" si="62"/>
        <v>1.5</v>
      </c>
      <c r="J56" s="465"/>
      <c r="K56" s="465"/>
      <c r="L56" s="465"/>
      <c r="M56" s="466"/>
      <c r="N56" s="466"/>
      <c r="O56" s="466"/>
      <c r="P56" s="467"/>
      <c r="Q56" s="467"/>
      <c r="R56" s="467"/>
      <c r="S56" s="467"/>
      <c r="T56" s="467"/>
      <c r="U56" s="467"/>
      <c r="V56" s="467"/>
      <c r="W56">
        <f t="shared" si="69"/>
        <v>6699</v>
      </c>
      <c r="X56">
        <f t="shared" si="70"/>
        <v>0</v>
      </c>
      <c r="Y56">
        <f t="shared" si="71"/>
        <v>0</v>
      </c>
      <c r="Z56" t="e">
        <f>VLOOKUP($J56,Konfiguracja!$B$3:$E$42,2,0)</f>
        <v>#N/A</v>
      </c>
      <c r="AA56" t="e">
        <f>VLOOKUP($J56,Konfiguracja!$B$3:$E$42,3,0)</f>
        <v>#N/A</v>
      </c>
      <c r="AB56" t="e">
        <f>VLOOKUP($J56,Konfiguracja!$B$3:$E$42,4,0)</f>
        <v>#N/A</v>
      </c>
      <c r="AC56" t="s">
        <v>177</v>
      </c>
      <c r="AK56">
        <f t="shared" si="72"/>
        <v>21</v>
      </c>
      <c r="AL56" s="247">
        <f ca="1">IFERROR(VLOOKUP($I55,Konfiguracja!$M:$U,9,0),0)</f>
        <v>0</v>
      </c>
      <c r="AM56" s="248">
        <f ca="1">IFERROR(VLOOKUP($I55,Konfiguracja!$M:$U,6,0),0)</f>
        <v>0</v>
      </c>
      <c r="AN56" s="248">
        <f ca="1">IFERROR(VLOOKUP($I55,Konfiguracja!$M:$U,7,0),0)</f>
        <v>0</v>
      </c>
      <c r="AO56" s="249">
        <f ca="1">IFERROR(VLOOKUP($I55,Konfiguracja!$M:$U,8,0),0)</f>
        <v>0</v>
      </c>
      <c r="AQ56" s="258">
        <f ca="1">IFERROR(VLOOKUP($I55,Konfiguracja!M:AF,16,0),0)</f>
        <v>0</v>
      </c>
      <c r="AR56">
        <f>IFERROR(VLOOKUP(C51,Receptury_z!$A:$C,3,0),0)</f>
        <v>5601</v>
      </c>
      <c r="AS56" s="256">
        <f>SUMIF(TPS_mięsa!$Q$2:$Q$300,AR56,TPS_mięsa!$G$2:$G$300)/1000</f>
        <v>3.98</v>
      </c>
      <c r="AT56" s="268">
        <f ca="1">VLOOKUP(AR56,Konfiguracja!$N$60:$AC$148,16,0)/1000</f>
        <v>3.98</v>
      </c>
      <c r="AU56" s="270">
        <f>IFERROR(VLOOKUP(I55,Konfiguracja!$M$3:$AM$57,26,0),0)</f>
        <v>0</v>
      </c>
      <c r="AV56" s="279">
        <f t="shared" si="58"/>
        <v>1</v>
      </c>
    </row>
    <row r="57" spans="1:48" ht="23.25">
      <c r="A57" s="33">
        <f t="shared" si="60"/>
        <v>0</v>
      </c>
      <c r="B57" s="43" t="str">
        <f>IFERROR(VLOOKUP(C57,Receptury_z!$A:$B,2,0),"Brak w bazie")</f>
        <v>ON</v>
      </c>
      <c r="C57" s="10">
        <v>7050</v>
      </c>
      <c r="D57" s="862" t="s">
        <v>62</v>
      </c>
      <c r="E57" s="870">
        <f>IF(OR($E$4="x",$E$4="d"),0,AT62)</f>
        <v>0</v>
      </c>
      <c r="F57" s="860">
        <f>IF($E$4="x",0,IF($E$4="d",AK62,IF(AV62&gt;1,VLOOKUP(C57,Konfiguracja!$M$60:$T$148,8,0),IF((A57-E57)&lt;0,0,A57-E57))))</f>
        <v>0</v>
      </c>
      <c r="G57" s="203">
        <f t="shared" si="61"/>
        <v>1.5</v>
      </c>
      <c r="H57" s="498">
        <f t="shared" si="62"/>
        <v>0</v>
      </c>
      <c r="J57" s="465"/>
      <c r="K57" s="466"/>
      <c r="L57" s="466"/>
      <c r="M57" s="466"/>
      <c r="N57" s="466"/>
      <c r="O57" s="466"/>
      <c r="P57" s="467"/>
      <c r="Q57" s="467"/>
      <c r="R57" s="467"/>
      <c r="S57" s="467"/>
      <c r="T57" s="467"/>
      <c r="U57" s="467"/>
      <c r="V57" s="467"/>
      <c r="W57">
        <f t="shared" si="69"/>
        <v>7088</v>
      </c>
      <c r="X57">
        <f t="shared" si="70"/>
        <v>0</v>
      </c>
      <c r="Y57">
        <f t="shared" si="71"/>
        <v>0</v>
      </c>
      <c r="Z57" t="e">
        <f>VLOOKUP($J57,Konfiguracja!$B$3:$E$42,2,0)</f>
        <v>#N/A</v>
      </c>
      <c r="AA57" t="e">
        <f>VLOOKUP($J57,Konfiguracja!$B$3:$E$42,3,0)</f>
        <v>#N/A</v>
      </c>
      <c r="AB57" t="e">
        <f>VLOOKUP($J57,Konfiguracja!$B$3:$E$42,4,0)</f>
        <v>#N/A</v>
      </c>
      <c r="AC57" t="s">
        <v>177</v>
      </c>
      <c r="AK57">
        <f t="shared" si="72"/>
        <v>0</v>
      </c>
      <c r="AL57" s="247">
        <f ca="1">IFERROR(VLOOKUP($I57,Konfiguracja!$M:$U,9,0),0)</f>
        <v>0</v>
      </c>
      <c r="AM57" s="248">
        <f ca="1">IFERROR(VLOOKUP($I57,Konfiguracja!$M:$U,6,0),0)</f>
        <v>0</v>
      </c>
      <c r="AN57" s="248">
        <f ca="1">IFERROR(VLOOKUP($I57,Konfiguracja!$M:$U,7,0),0)</f>
        <v>0</v>
      </c>
      <c r="AO57" s="249">
        <f ca="1">IFERROR(VLOOKUP($I57,Konfiguracja!$M:$U,8,0),0)</f>
        <v>0</v>
      </c>
      <c r="AQ57" s="258">
        <f ca="1">IFERROR(VLOOKUP($I57,Konfiguracja!M:AF,16,0),0)</f>
        <v>0</v>
      </c>
      <c r="AR57">
        <f>IFERROR(VLOOKUP(C52,Receptury_z!$A:$C,3,0),0)</f>
        <v>5305</v>
      </c>
      <c r="AS57" s="256">
        <f>SUMIF(TPS_mięsa!$Q$2:$Q$300,AR57,TPS_mięsa!$G$2:$G$300)/1000</f>
        <v>0</v>
      </c>
      <c r="AT57" s="268">
        <f ca="1">VLOOKUP(AR57,Konfiguracja!$N$60:$AC$148,16,0)/1000</f>
        <v>0</v>
      </c>
      <c r="AU57" s="270">
        <f>IFERROR(VLOOKUP(I57,Konfiguracja!$M$3:$AM$57,26,0),0)</f>
        <v>0</v>
      </c>
      <c r="AV57" s="279">
        <f t="shared" si="58"/>
        <v>1</v>
      </c>
    </row>
    <row r="58" spans="1:48" ht="24" thickBot="1">
      <c r="A58" s="33">
        <f t="shared" si="60"/>
        <v>0</v>
      </c>
      <c r="B58" s="43" t="str">
        <f>IFERROR(VLOOKUP(C58,Receptury_z!$A:$B,2,0),"Brak w bazie")</f>
        <v>ON</v>
      </c>
      <c r="C58" s="508">
        <v>7054</v>
      </c>
      <c r="D58" s="866" t="s">
        <v>64</v>
      </c>
      <c r="E58" s="871">
        <f>IF(OR($E$4="x",$E$4="d"),0,AT59)</f>
        <v>0</v>
      </c>
      <c r="F58" s="868">
        <f>IF($E$4="x",0,IF($E$4="d",AK63,IF(AV63&gt;1,VLOOKUP(C58,Konfiguracja!$M$60:$T$148,8,0),IF((A58-E58)&lt;0,0,A58-E58))))</f>
        <v>0</v>
      </c>
      <c r="G58" s="204">
        <f t="shared" si="61"/>
        <v>0</v>
      </c>
      <c r="H58" s="499">
        <f t="shared" si="62"/>
        <v>0</v>
      </c>
      <c r="J58" s="465"/>
      <c r="K58" s="466"/>
      <c r="L58" s="466"/>
      <c r="M58" s="466"/>
      <c r="N58" s="466"/>
      <c r="O58" s="466"/>
      <c r="P58" s="467"/>
      <c r="Q58" s="467"/>
      <c r="R58" s="467"/>
      <c r="S58" s="467"/>
      <c r="T58" s="467"/>
      <c r="U58" s="467"/>
      <c r="V58" s="467"/>
      <c r="W58">
        <f t="shared" si="69"/>
        <v>6453</v>
      </c>
      <c r="X58">
        <f t="shared" si="70"/>
        <v>0</v>
      </c>
      <c r="Y58">
        <f t="shared" si="71"/>
        <v>0</v>
      </c>
      <c r="Z58" t="e">
        <f>VLOOKUP($J58,Konfiguracja!$B$3:$E$42,2,0)</f>
        <v>#N/A</v>
      </c>
      <c r="AA58" t="e">
        <f>VLOOKUP($J58,Konfiguracja!$B$3:$E$42,3,0)</f>
        <v>#N/A</v>
      </c>
      <c r="AB58" t="e">
        <f>VLOOKUP($J58,Konfiguracja!$B$3:$E$42,4,0)</f>
        <v>#N/A</v>
      </c>
      <c r="AC58" t="s">
        <v>177</v>
      </c>
      <c r="AK58">
        <f t="shared" si="72"/>
        <v>0</v>
      </c>
      <c r="AL58" s="247">
        <f ca="1">IFERROR(VLOOKUP($I58,Konfiguracja!$M:$U,9,0),0)</f>
        <v>0</v>
      </c>
      <c r="AM58" s="248">
        <f ca="1">IFERROR(VLOOKUP($I58,Konfiguracja!$M:$U,6,0),0)</f>
        <v>0</v>
      </c>
      <c r="AN58" s="248">
        <f ca="1">IFERROR(VLOOKUP($I58,Konfiguracja!$M:$U,7,0),0)</f>
        <v>0</v>
      </c>
      <c r="AO58" s="249">
        <f ca="1">IFERROR(VLOOKUP($I58,Konfiguracja!$M:$U,8,0),0)</f>
        <v>0</v>
      </c>
      <c r="AQ58" s="258">
        <f ca="1">IFERROR(VLOOKUP($I58,Konfiguracja!M:AF,16,0),0)</f>
        <v>0</v>
      </c>
      <c r="AR58">
        <f>IFERROR(VLOOKUP(C53,Receptury_z!$A:$C,3,0),0)</f>
        <v>5676</v>
      </c>
      <c r="AS58" s="256">
        <f>SUMIF(TPS_mięsa!$Q$2:$Q$300,AR58,TPS_mięsa!$G$2:$G$300)/1000</f>
        <v>0</v>
      </c>
      <c r="AT58" s="268">
        <f ca="1">VLOOKUP(AR58,Konfiguracja!$N$60:$AC$148,16,0)/1000</f>
        <v>0</v>
      </c>
      <c r="AU58" s="270">
        <f>IFERROR(VLOOKUP(I58,Konfiguracja!$M$3:$AM$57,26,0),0)</f>
        <v>0</v>
      </c>
      <c r="AV58" s="279">
        <f t="shared" si="58"/>
        <v>2</v>
      </c>
    </row>
    <row r="59" spans="1:48" ht="19.5" thickTop="1">
      <c r="A59" s="33">
        <f t="shared" si="60"/>
        <v>0</v>
      </c>
      <c r="B59" s="43" t="str">
        <f>IFERROR(VLOOKUP(C59,Receptury_z!$A:$B,2,0),"Brak w bazie")</f>
        <v>ON</v>
      </c>
      <c r="C59" s="505">
        <v>7008</v>
      </c>
      <c r="D59" s="506" t="s">
        <v>51</v>
      </c>
      <c r="E59" s="1068">
        <f>IF(OR($E$4="x",$E$4="d"),0,AT64)</f>
        <v>0</v>
      </c>
      <c r="F59" s="1071">
        <f>IF($E$4="x",0,IF($E$4="d",AK64,IF(((A59+A60+A61)-E$59)&lt;0,0,(A59+A60+A61)-E$59)))</f>
        <v>0</v>
      </c>
      <c r="G59" s="202">
        <f t="shared" si="61"/>
        <v>0</v>
      </c>
      <c r="H59" s="497">
        <f t="shared" si="62"/>
        <v>0</v>
      </c>
      <c r="P59" s="93"/>
      <c r="Q59" s="93"/>
      <c r="R59" s="93"/>
      <c r="S59" s="93"/>
      <c r="T59" s="93"/>
      <c r="U59" s="93"/>
      <c r="V59" s="93"/>
      <c r="W59">
        <f t="shared" si="69"/>
        <v>7028</v>
      </c>
      <c r="X59">
        <f t="shared" si="70"/>
        <v>0</v>
      </c>
      <c r="Y59">
        <f t="shared" si="71"/>
        <v>0</v>
      </c>
      <c r="Z59" t="e">
        <f>VLOOKUP($J59,Konfiguracja!$B$3:$E$49,2,0)</f>
        <v>#N/A</v>
      </c>
      <c r="AA59" t="e">
        <f>VLOOKUP($J59,Konfiguracja!$B$3:$E$49,3,0)</f>
        <v>#N/A</v>
      </c>
      <c r="AB59" t="e">
        <f>VLOOKUP($J59,Konfiguracja!$B$3:$E$49,4,0)</f>
        <v>#N/A</v>
      </c>
      <c r="AC59" t="s">
        <v>177</v>
      </c>
      <c r="AK59">
        <f t="shared" si="72"/>
        <v>0</v>
      </c>
      <c r="AL59" s="247">
        <f ca="1">IFERROR(VLOOKUP($I59,Konfiguracja!$M:$U,9,0),0)</f>
        <v>0</v>
      </c>
      <c r="AM59" s="248">
        <f ca="1">IFERROR(VLOOKUP($I59,Konfiguracja!$M:$U,6,0),0)</f>
        <v>0</v>
      </c>
      <c r="AN59" s="248">
        <f ca="1">IFERROR(VLOOKUP($I59,Konfiguracja!$M:$U,7,0),0)</f>
        <v>0</v>
      </c>
      <c r="AO59" s="249">
        <f ca="1">IFERROR(VLOOKUP($I59,Konfiguracja!$M:$U,8,0),0)</f>
        <v>0</v>
      </c>
      <c r="AQ59" s="258">
        <f ca="1">IFERROR(VLOOKUP($I59,Konfiguracja!M:AF,16,0),0)</f>
        <v>0</v>
      </c>
      <c r="AR59">
        <f>IFERROR(VLOOKUP(C54,Receptury_z!$A:$C,3,0),0)</f>
        <v>5676</v>
      </c>
      <c r="AS59" s="256">
        <f>SUMIF(TPS_mięsa!$Q$2:$Q$300,AR59,TPS_mięsa!$G$2:$G$300)/1000</f>
        <v>0</v>
      </c>
      <c r="AT59" s="268">
        <f ca="1">VLOOKUP(AR59,Konfiguracja!$N$60:$AC$148,16,0)/1000</f>
        <v>0</v>
      </c>
      <c r="AU59" s="270">
        <f>IFERROR(VLOOKUP(I59,Konfiguracja!$M$3:$AM$57,26,0),0)</f>
        <v>0</v>
      </c>
      <c r="AV59" s="279">
        <f t="shared" si="58"/>
        <v>2</v>
      </c>
    </row>
    <row r="60" spans="1:48" ht="18.75">
      <c r="A60" s="33">
        <f t="shared" si="60"/>
        <v>0</v>
      </c>
      <c r="B60" s="43" t="str">
        <f>IFERROR(VLOOKUP(C60,Receptury_z!$A:$B,2,0),"Brak w bazie")</f>
        <v>ON</v>
      </c>
      <c r="C60" s="11">
        <v>7034</v>
      </c>
      <c r="D60" s="3" t="s">
        <v>54</v>
      </c>
      <c r="E60" s="1069"/>
      <c r="F60" s="1072"/>
      <c r="G60" s="203">
        <f t="shared" si="61"/>
        <v>0</v>
      </c>
      <c r="H60" s="498">
        <f t="shared" si="62"/>
        <v>0</v>
      </c>
      <c r="W60">
        <f t="shared" si="69"/>
        <v>7038</v>
      </c>
      <c r="X60">
        <f t="shared" si="70"/>
        <v>0</v>
      </c>
      <c r="Y60">
        <f t="shared" si="71"/>
        <v>0</v>
      </c>
      <c r="Z60" t="e">
        <f>VLOOKUP($J60,Konfiguracja!$B$3:$E$49,2,0)</f>
        <v>#N/A</v>
      </c>
      <c r="AA60" t="e">
        <f>VLOOKUP($J60,Konfiguracja!$B$3:$E$49,3,0)</f>
        <v>#N/A</v>
      </c>
      <c r="AB60" t="e">
        <f>VLOOKUP($J60,Konfiguracja!$B$3:$E$49,4,0)</f>
        <v>#N/A</v>
      </c>
      <c r="AC60" t="s">
        <v>177</v>
      </c>
      <c r="AK60">
        <f t="shared" si="72"/>
        <v>0</v>
      </c>
      <c r="AL60" s="247">
        <f ca="1">IFERROR(VLOOKUP($I60,Konfiguracja!$M:$U,9,0),0)</f>
        <v>0</v>
      </c>
      <c r="AM60" s="248">
        <f ca="1">IFERROR(VLOOKUP($I60,Konfiguracja!$M:$U,6,0),0)</f>
        <v>0</v>
      </c>
      <c r="AN60" s="248">
        <f ca="1">IFERROR(VLOOKUP($I60,Konfiguracja!$M:$U,7,0),0)</f>
        <v>0</v>
      </c>
      <c r="AO60" s="249">
        <f ca="1">IFERROR(VLOOKUP($I60,Konfiguracja!$M:$U,8,0),0)</f>
        <v>0</v>
      </c>
      <c r="AQ60" s="258">
        <f ca="1">IFERROR(VLOOKUP($I60,Konfiguracja!M:AF,16,0),0)</f>
        <v>0</v>
      </c>
      <c r="AR60">
        <f>IFERROR(VLOOKUP(C55,Receptury_z!$A:$C,3,0),0)</f>
        <v>5527</v>
      </c>
      <c r="AS60" s="256">
        <f>SUMIF(TPS_mięsa!$Q$2:$Q$300,AR60,TPS_mięsa!$G$2:$G$300)/1000</f>
        <v>0</v>
      </c>
      <c r="AT60" s="268">
        <f ca="1">VLOOKUP(AR60,Konfiguracja!$N$60:$AC$148,16,0)/1000</f>
        <v>0</v>
      </c>
      <c r="AU60" s="270">
        <f>IFERROR(VLOOKUP(I60,Konfiguracja!$M$3:$AM$57,26,0),0)</f>
        <v>0</v>
      </c>
      <c r="AV60" s="279">
        <f t="shared" si="58"/>
        <v>2</v>
      </c>
    </row>
    <row r="61" spans="1:48" ht="19.5" thickBot="1">
      <c r="A61" s="33">
        <f t="shared" si="60"/>
        <v>0</v>
      </c>
      <c r="B61" s="43" t="str">
        <f>IFERROR(VLOOKUP(C61,Receptury_z!$A:$B,2,0),"Brak w bazie")</f>
        <v>ON</v>
      </c>
      <c r="C61" s="503">
        <v>7051</v>
      </c>
      <c r="D61" s="504" t="s">
        <v>63</v>
      </c>
      <c r="E61" s="1070"/>
      <c r="F61" s="1073"/>
      <c r="G61" s="204">
        <f t="shared" si="61"/>
        <v>0</v>
      </c>
      <c r="H61" s="499">
        <f t="shared" si="62"/>
        <v>7</v>
      </c>
      <c r="M61" s="90" t="s">
        <v>330</v>
      </c>
      <c r="W61">
        <f t="shared" si="69"/>
        <v>7080</v>
      </c>
      <c r="X61">
        <f t="shared" si="70"/>
        <v>0</v>
      </c>
      <c r="Y61">
        <f t="shared" si="71"/>
        <v>0</v>
      </c>
      <c r="Z61" t="e">
        <f>VLOOKUP($J61,Konfiguracja!$B$3:$E$42,2,0)</f>
        <v>#N/A</v>
      </c>
      <c r="AA61" t="e">
        <f>VLOOKUP($J61,Konfiguracja!$B$3:$E$42,3,0)</f>
        <v>#N/A</v>
      </c>
      <c r="AB61" t="e">
        <f>VLOOKUP($J61,Konfiguracja!$B$3:$E$42,4,0)</f>
        <v>#N/A</v>
      </c>
      <c r="AC61" t="s">
        <v>177</v>
      </c>
      <c r="AK61">
        <f t="shared" si="72"/>
        <v>0</v>
      </c>
      <c r="AL61" s="247">
        <f ca="1">IFERROR(VLOOKUP($I61,Konfiguracja!$M:$U,9,0),0)</f>
        <v>0</v>
      </c>
      <c r="AM61" s="248">
        <f ca="1">IFERROR(VLOOKUP($I61,Konfiguracja!$M:$U,6,0),0)</f>
        <v>0</v>
      </c>
      <c r="AN61" s="248">
        <f ca="1">IFERROR(VLOOKUP($I61,Konfiguracja!$M:$U,7,0),0)</f>
        <v>0</v>
      </c>
      <c r="AO61" s="249">
        <f ca="1">IFERROR(VLOOKUP($I61,Konfiguracja!$M:$U,8,0),0)</f>
        <v>0</v>
      </c>
      <c r="AQ61" s="258">
        <f ca="1">IFERROR(VLOOKUP($I61,Konfiguracja!M:AF,16,0),0)</f>
        <v>0</v>
      </c>
      <c r="AR61">
        <f>IFERROR(VLOOKUP(C56,Receptury_z!$A:$C,3,0),0)</f>
        <v>5595</v>
      </c>
      <c r="AS61" s="256">
        <f>SUMIF(TPS_mięsa!$Q$2:$Q$300,AR61,TPS_mięsa!$G$2:$G$300)/1000</f>
        <v>1.5</v>
      </c>
      <c r="AT61" s="268">
        <f ca="1">VLOOKUP(AR61,Konfiguracja!$N$60:$AC$148,16,0)/1000</f>
        <v>1.5</v>
      </c>
      <c r="AU61" s="270">
        <f>IFERROR(VLOOKUP(I61,Konfiguracja!$M$3:$AM$57,26,0),0)</f>
        <v>0</v>
      </c>
      <c r="AV61" s="279">
        <f t="shared" si="58"/>
        <v>1</v>
      </c>
    </row>
    <row r="62" spans="1:48" ht="24" thickTop="1">
      <c r="A62" s="33">
        <f t="shared" si="60"/>
        <v>6</v>
      </c>
      <c r="B62" s="43" t="str">
        <f>IFERROR(VLOOKUP(C62,Receptury_z!$A:$B,2,0),"Brak w bazie")</f>
        <v>ON</v>
      </c>
      <c r="C62" s="509">
        <v>7004</v>
      </c>
      <c r="D62" s="872" t="s">
        <v>50</v>
      </c>
      <c r="E62" s="869">
        <f t="shared" ref="E62:E93" si="74">IF(OR($E$4="x",$E$4="d"),0,AT67)</f>
        <v>0</v>
      </c>
      <c r="F62" s="867">
        <f>IF($E$4="x",0,IF($E$4="d",AK67,IF(AV67&gt;1,VLOOKUP(C62,Konfiguracja!$M$60:$T$148,8,0),IF((A62-E62)&lt;0,0,A62-E62))))</f>
        <v>0</v>
      </c>
      <c r="G62" s="202">
        <f t="shared" si="61"/>
        <v>0</v>
      </c>
      <c r="H62" s="497">
        <f t="shared" si="62"/>
        <v>6</v>
      </c>
      <c r="J62" s="5" t="s">
        <v>181</v>
      </c>
      <c r="K62" s="34" t="s">
        <v>246</v>
      </c>
      <c r="L62" s="34"/>
      <c r="M62" s="34"/>
      <c r="N62" s="34"/>
      <c r="O62" s="34"/>
      <c r="P62" s="13">
        <f>F112*$K$106</f>
        <v>0</v>
      </c>
      <c r="Q62" s="31"/>
      <c r="R62" s="13">
        <f>G112*$K$106</f>
        <v>0</v>
      </c>
      <c r="S62" s="31"/>
      <c r="T62" s="13">
        <f>H112*$K$106</f>
        <v>0</v>
      </c>
      <c r="U62" s="31"/>
      <c r="V62" s="109">
        <v>0</v>
      </c>
      <c r="W62">
        <f t="shared" si="69"/>
        <v>7050</v>
      </c>
      <c r="X62">
        <f t="shared" si="70"/>
        <v>0</v>
      </c>
      <c r="Y62">
        <f t="shared" si="71"/>
        <v>0</v>
      </c>
      <c r="Z62" t="e">
        <f>VLOOKUP($J62,Konfiguracja!$B$3:$E$49,2,0)</f>
        <v>#N/A</v>
      </c>
      <c r="AA62" t="e">
        <f>VLOOKUP($J62,Konfiguracja!$B$3:$E$49,3,0)</f>
        <v>#N/A</v>
      </c>
      <c r="AB62" t="e">
        <f>VLOOKUP($J62,Konfiguracja!$B$3:$E$49,4,0)</f>
        <v>#N/A</v>
      </c>
      <c r="AC62" t="s">
        <v>177</v>
      </c>
      <c r="AK62">
        <f t="shared" si="72"/>
        <v>0</v>
      </c>
      <c r="AL62" s="247">
        <f ca="1">IFERROR(VLOOKUP($I62,Konfiguracja!$M:$U,9,0),0)</f>
        <v>0</v>
      </c>
      <c r="AM62" s="248">
        <f ca="1">IFERROR(VLOOKUP($I62,Konfiguracja!$M:$U,6,0),0)</f>
        <v>0</v>
      </c>
      <c r="AN62" s="248">
        <f ca="1">IFERROR(VLOOKUP($I62,Konfiguracja!$M:$U,7,0),0)</f>
        <v>0</v>
      </c>
      <c r="AO62" s="249">
        <f ca="1">IFERROR(VLOOKUP($I62,Konfiguracja!$M:$U,8,0),0)</f>
        <v>0</v>
      </c>
      <c r="AQ62" s="258">
        <f ca="1">IFERROR(VLOOKUP($I62,Konfiguracja!M:AF,16,0),0)</f>
        <v>0</v>
      </c>
      <c r="AR62">
        <f>IFERROR(VLOOKUP(C57,Receptury_z!$A:$C,3,0),0)</f>
        <v>5457</v>
      </c>
      <c r="AS62" s="256">
        <f>SUMIF(TPS_mięsa!$Q$2:$Q$300,AR62,TPS_mięsa!$G$2:$G$300)/1000</f>
        <v>0</v>
      </c>
      <c r="AT62" s="268">
        <f ca="1">VLOOKUP(AR62,Konfiguracja!$N$60:$AC$148,16,0)/1000</f>
        <v>0</v>
      </c>
      <c r="AU62" s="270">
        <f>IFERROR(VLOOKUP(I62,Konfiguracja!$M$3:$AM$57,26,0),0)</f>
        <v>0</v>
      </c>
      <c r="AV62" s="279">
        <f t="shared" si="58"/>
        <v>1</v>
      </c>
    </row>
    <row r="63" spans="1:48" ht="23.25">
      <c r="A63" s="33">
        <f t="shared" si="60"/>
        <v>3.5</v>
      </c>
      <c r="B63" s="43" t="str">
        <f>IFERROR(VLOOKUP(C63,Receptury_z!$A:$B,2,0),"Brak w bazie")</f>
        <v>ON</v>
      </c>
      <c r="C63" s="110">
        <v>7035</v>
      </c>
      <c r="D63" s="864" t="s">
        <v>55</v>
      </c>
      <c r="E63" s="870">
        <f t="shared" si="74"/>
        <v>0</v>
      </c>
      <c r="F63" s="860">
        <f>IF($E$4="x",0,IF($E$4="d",AK68,IF(AV68&gt;1,VLOOKUP(C63,Konfiguracja!$M$60:$T$148,8,0),IF((A63-E63)&lt;0,0,A63-E63))))</f>
        <v>0</v>
      </c>
      <c r="G63" s="203">
        <f t="shared" si="61"/>
        <v>0</v>
      </c>
      <c r="H63" s="498">
        <f t="shared" si="62"/>
        <v>3.5</v>
      </c>
      <c r="J63" s="5" t="s">
        <v>180</v>
      </c>
      <c r="K63" s="34" t="s">
        <v>246</v>
      </c>
      <c r="L63" s="34"/>
      <c r="M63" s="34"/>
      <c r="N63" s="34"/>
      <c r="O63" s="34"/>
      <c r="P63" s="13">
        <f>F112*$K$107+F113*$L$107</f>
        <v>0</v>
      </c>
      <c r="Q63" s="31"/>
      <c r="R63" s="13">
        <f>G112*$K$107+G113*$L$107</f>
        <v>0</v>
      </c>
      <c r="S63" s="31"/>
      <c r="T63" s="13">
        <f>H112*$K$107+H113*$L$107</f>
        <v>0</v>
      </c>
      <c r="U63" s="31"/>
      <c r="V63" s="109">
        <v>0</v>
      </c>
      <c r="W63">
        <f t="shared" si="69"/>
        <v>7054</v>
      </c>
      <c r="X63">
        <f t="shared" si="70"/>
        <v>0</v>
      </c>
      <c r="Y63">
        <f t="shared" si="71"/>
        <v>0</v>
      </c>
      <c r="Z63" t="e">
        <f>VLOOKUP($J63,Konfiguracja!$B$3:$E$49,2,0)</f>
        <v>#N/A</v>
      </c>
      <c r="AA63" t="e">
        <f>VLOOKUP($J63,Konfiguracja!$B$3:$E$49,3,0)</f>
        <v>#N/A</v>
      </c>
      <c r="AB63" t="e">
        <f>VLOOKUP($J63,Konfiguracja!$B$3:$E$49,4,0)</f>
        <v>#N/A</v>
      </c>
      <c r="AC63" t="s">
        <v>177</v>
      </c>
      <c r="AK63">
        <f t="shared" si="72"/>
        <v>0</v>
      </c>
      <c r="AL63" s="247">
        <f ca="1">IFERROR(VLOOKUP($I63,Konfiguracja!$M:$U,9,0),0)</f>
        <v>0</v>
      </c>
      <c r="AM63" s="248">
        <f ca="1">IFERROR(VLOOKUP($I63,Konfiguracja!$M:$U,6,0),0)</f>
        <v>0</v>
      </c>
      <c r="AN63" s="248">
        <f ca="1">IFERROR(VLOOKUP($I63,Konfiguracja!$M:$U,7,0),0)</f>
        <v>0</v>
      </c>
      <c r="AO63" s="249">
        <f ca="1">IFERROR(VLOOKUP($I63,Konfiguracja!$M:$U,8,0),0)</f>
        <v>0</v>
      </c>
      <c r="AQ63" s="258">
        <f ca="1">IFERROR(VLOOKUP($I63,Konfiguracja!M:AF,16,0),0)</f>
        <v>0</v>
      </c>
      <c r="AR63">
        <f>IFERROR(VLOOKUP(C58,Receptury_z!$A:$C,3,0),0)</f>
        <v>5533</v>
      </c>
      <c r="AS63" s="256">
        <f>SUMIF(TPS_mięsa!$Q$2:$Q$300,AR63,TPS_mięsa!$G$2:$G$300)/1000</f>
        <v>0</v>
      </c>
      <c r="AT63" s="268">
        <f ca="1">VLOOKUP(AR63,Konfiguracja!$N$60:$AC$148,16,0)/1000</f>
        <v>0</v>
      </c>
      <c r="AU63" s="270">
        <f>IFERROR(VLOOKUP(I63,Konfiguracja!$M$3:$AM$57,26,0),0)</f>
        <v>0</v>
      </c>
      <c r="AV63" s="279">
        <f t="shared" si="58"/>
        <v>1</v>
      </c>
    </row>
    <row r="64" spans="1:48" ht="23.25">
      <c r="A64" s="33">
        <f t="shared" si="60"/>
        <v>0</v>
      </c>
      <c r="B64" s="43" t="str">
        <f>IFERROR(VLOOKUP(C64,Receptury_z!$A:$B,2,0),"Brak w bazie")</f>
        <v>ON</v>
      </c>
      <c r="C64" s="251" t="s">
        <v>17998</v>
      </c>
      <c r="D64" s="864" t="s">
        <v>52</v>
      </c>
      <c r="E64" s="870">
        <f t="shared" si="74"/>
        <v>0</v>
      </c>
      <c r="F64" s="860">
        <f>IF($E$4="x",0,IF($E$4="d",AK69,IF(AV69&gt;1,VLOOKUP(C64,Konfiguracja!$M$60:$T$148,8,0),IF((A64-E64)&lt;0,0,A64-E64))))</f>
        <v>0</v>
      </c>
      <c r="G64" s="203">
        <f t="shared" si="61"/>
        <v>0</v>
      </c>
      <c r="H64" s="498">
        <f t="shared" si="62"/>
        <v>0</v>
      </c>
      <c r="I64">
        <v>2395</v>
      </c>
      <c r="J64" s="5" t="s">
        <v>179</v>
      </c>
      <c r="K64" s="34" t="s">
        <v>245</v>
      </c>
      <c r="L64" s="34">
        <v>0</v>
      </c>
      <c r="M64" s="34"/>
      <c r="N64" s="34"/>
      <c r="O64" s="34"/>
      <c r="P64" s="13">
        <f>F112*$K$108</f>
        <v>0</v>
      </c>
      <c r="Q64" s="31"/>
      <c r="R64" s="13">
        <f>G112*$K$108</f>
        <v>0</v>
      </c>
      <c r="S64" s="31"/>
      <c r="T64" s="13">
        <f>H112*$K$108</f>
        <v>0</v>
      </c>
      <c r="U64" s="31"/>
      <c r="V64" s="109">
        <v>0</v>
      </c>
      <c r="W64">
        <f t="shared" si="69"/>
        <v>7008</v>
      </c>
      <c r="X64">
        <f t="shared" si="70"/>
        <v>0</v>
      </c>
      <c r="Y64">
        <f t="shared" si="71"/>
        <v>0</v>
      </c>
      <c r="Z64" t="e">
        <f>VLOOKUP($J64,Konfiguracja!$B$3:$E$49,2,0)</f>
        <v>#N/A</v>
      </c>
      <c r="AA64" t="e">
        <f>VLOOKUP($J64,Konfiguracja!$B$3:$E$49,3,0)</f>
        <v>#N/A</v>
      </c>
      <c r="AB64" t="e">
        <f>VLOOKUP($J64,Konfiguracja!$B$3:$E$49,4,0)</f>
        <v>#N/A</v>
      </c>
      <c r="AC64" t="s">
        <v>177</v>
      </c>
      <c r="AK64">
        <f t="shared" si="72"/>
        <v>0</v>
      </c>
      <c r="AL64" s="247">
        <f ca="1">IFERROR(VLOOKUP($I64,Konfiguracja!$M:$U,9,0),0)</f>
        <v>0</v>
      </c>
      <c r="AM64" s="248">
        <f ca="1">IFERROR(VLOOKUP($I64,Konfiguracja!$M:$U,6,0),0)</f>
        <v>0</v>
      </c>
      <c r="AN64" s="248">
        <f ca="1">IFERROR(VLOOKUP($I64,Konfiguracja!$M:$U,7,0),0)</f>
        <v>0</v>
      </c>
      <c r="AO64" s="249">
        <f ca="1">IFERROR(VLOOKUP($I64,Konfiguracja!$M:$U,8,0),0)</f>
        <v>0</v>
      </c>
      <c r="AQ64" s="258">
        <f>IFERROR(VLOOKUP($I64,Konfiguracja!M:AF,16,0),0)</f>
        <v>0</v>
      </c>
      <c r="AR64">
        <f>IFERROR(VLOOKUP(C59,Receptury_z!$A:$C,3,0),0)</f>
        <v>5465</v>
      </c>
      <c r="AS64" s="256">
        <f>SUMIF(TPS_mięsa!$Q$2:$Q$300,AR64,TPS_mięsa!$G$2:$G$300)/1000</f>
        <v>4.0601000000000003</v>
      </c>
      <c r="AT64" s="268">
        <f ca="1">VLOOKUP(AR64,Konfiguracja!$N$60:$AC$148,16,0)/1000</f>
        <v>4.0601000000000003</v>
      </c>
      <c r="AU64" s="270">
        <f>IFERROR(VLOOKUP(I64,Konfiguracja!$M$3:$AM$57,26,0),0)</f>
        <v>0</v>
      </c>
      <c r="AV64" s="279">
        <f t="shared" si="58"/>
        <v>3</v>
      </c>
    </row>
    <row r="65" spans="1:48" ht="23.25">
      <c r="A65" s="33">
        <f t="shared" si="60"/>
        <v>13.200000000000001</v>
      </c>
      <c r="B65" s="43" t="str">
        <f>IFERROR(VLOOKUP(C65,Receptury_z!$A:$B,2,0),"Brak w bazie")</f>
        <v>ON</v>
      </c>
      <c r="C65" s="110" t="s">
        <v>17999</v>
      </c>
      <c r="D65" s="864" t="s">
        <v>53</v>
      </c>
      <c r="E65" s="870">
        <f t="shared" si="74"/>
        <v>0</v>
      </c>
      <c r="F65" s="860">
        <f>IF($E$4="x",0,IF($E$4="d",AK70,IF(AV70&gt;1,VLOOKUP(C65,Konfiguracja!$M$60:$T$148,8,0),IF((A65-E65)&lt;0,0,A65-E65))))</f>
        <v>0</v>
      </c>
      <c r="G65" s="203">
        <f t="shared" si="61"/>
        <v>0</v>
      </c>
      <c r="H65" s="498">
        <f t="shared" si="62"/>
        <v>0</v>
      </c>
      <c r="J65" s="4" t="s">
        <v>77</v>
      </c>
      <c r="K65" s="34" t="s">
        <v>246</v>
      </c>
      <c r="L65" s="207"/>
      <c r="M65" s="34"/>
      <c r="N65" s="34"/>
      <c r="O65" s="34"/>
      <c r="P65" s="13">
        <f ca="1">P26</f>
        <v>7830</v>
      </c>
      <c r="Q65" s="31"/>
      <c r="R65" s="13">
        <f ca="1">R26</f>
        <v>104.10000000000001</v>
      </c>
      <c r="S65" s="31"/>
      <c r="T65" s="13">
        <f ca="1">T26</f>
        <v>115.74</v>
      </c>
      <c r="U65" s="31"/>
      <c r="V65" s="109">
        <v>9654.8158771000017</v>
      </c>
      <c r="W65">
        <f t="shared" si="69"/>
        <v>7034</v>
      </c>
      <c r="X65">
        <f t="shared" si="70"/>
        <v>0</v>
      </c>
      <c r="Y65">
        <f t="shared" si="71"/>
        <v>0</v>
      </c>
      <c r="Z65" t="e">
        <f>VLOOKUP($J65,Konfiguracja!$B$3:$E$42,2,0)</f>
        <v>#N/A</v>
      </c>
      <c r="AA65" t="e">
        <f>VLOOKUP($J65,Konfiguracja!$B$3:$E$42,3,0)</f>
        <v>#N/A</v>
      </c>
      <c r="AB65" t="e">
        <f>VLOOKUP($J65,Konfiguracja!$B$3:$E$42,4,0)</f>
        <v>#N/A</v>
      </c>
      <c r="AC65" t="s">
        <v>177</v>
      </c>
      <c r="AK65">
        <f t="shared" si="72"/>
        <v>0</v>
      </c>
      <c r="AL65" s="247">
        <f ca="1">IFERROR(VLOOKUP($I65,Konfiguracja!$M:$U,9,0),0)</f>
        <v>0</v>
      </c>
      <c r="AM65" s="248">
        <f ca="1">IFERROR(VLOOKUP($I65,Konfiguracja!$M:$U,6,0),0)</f>
        <v>0</v>
      </c>
      <c r="AN65" s="248">
        <f ca="1">IFERROR(VLOOKUP($I65,Konfiguracja!$M:$U,7,0),0)</f>
        <v>0</v>
      </c>
      <c r="AO65" s="249">
        <f ca="1">IFERROR(VLOOKUP($I65,Konfiguracja!$M:$U,8,0),0)</f>
        <v>0</v>
      </c>
      <c r="AQ65" s="258">
        <f ca="1">IFERROR(VLOOKUP($I65,Konfiguracja!M:AF,16,0),0)</f>
        <v>0</v>
      </c>
      <c r="AR65">
        <f>IFERROR(VLOOKUP(C60,Receptury_z!$A:$C,3,0),0)</f>
        <v>5465</v>
      </c>
      <c r="AS65" s="256">
        <f>SUMIF(TPS_mięsa!$Q$2:$Q$300,AR65,TPS_mięsa!$G$2:$G$300)/1000</f>
        <v>4.0601000000000003</v>
      </c>
      <c r="AT65" s="268">
        <f ca="1">VLOOKUP(AR65,Konfiguracja!$N$60:$AC$148,16,0)/1000</f>
        <v>4.0601000000000003</v>
      </c>
      <c r="AU65" s="270">
        <f>IFERROR(VLOOKUP(I65,Konfiguracja!$M$3:$AM$57,26,0),0)</f>
        <v>0</v>
      </c>
      <c r="AV65" s="279">
        <f t="shared" si="58"/>
        <v>3</v>
      </c>
    </row>
    <row r="66" spans="1:48" ht="23.25">
      <c r="A66" s="33">
        <f t="shared" si="60"/>
        <v>0</v>
      </c>
      <c r="B66" s="43" t="str">
        <f>IFERROR(VLOOKUP(C66,Receptury_z!$A:$B,2,0),"Brak w bazie")</f>
        <v>ON</v>
      </c>
      <c r="C66" s="251">
        <v>7933</v>
      </c>
      <c r="D66" s="873" t="s">
        <v>18000</v>
      </c>
      <c r="E66" s="870">
        <f t="shared" si="74"/>
        <v>0</v>
      </c>
      <c r="F66" s="860">
        <f>IF($E$4="x",0,IF($E$4="d",AK71,IF(AV71&gt;1,VLOOKUP(C66,Konfiguracja!$M$60:$T$148,8,0),IF((A66-E66)&lt;0,0,A66-E66))))</f>
        <v>0</v>
      </c>
      <c r="G66" s="203">
        <f t="shared" si="61"/>
        <v>0</v>
      </c>
      <c r="H66" s="498">
        <f t="shared" si="62"/>
        <v>1.8</v>
      </c>
      <c r="W66">
        <f t="shared" si="69"/>
        <v>7051</v>
      </c>
      <c r="X66">
        <f t="shared" si="70"/>
        <v>0</v>
      </c>
      <c r="Y66">
        <f t="shared" si="71"/>
        <v>0</v>
      </c>
      <c r="Z66" t="e">
        <f>VLOOKUP($J66,Konfiguracja!$B$3:$E$49,2,0)</f>
        <v>#N/A</v>
      </c>
      <c r="AA66" t="e">
        <f>VLOOKUP($J66,Konfiguracja!$B$3:$E$49,3,0)</f>
        <v>#N/A</v>
      </c>
      <c r="AB66" t="e">
        <f>VLOOKUP($J66,Konfiguracja!$B$3:$E$49,4,0)</f>
        <v>#N/A</v>
      </c>
      <c r="AC66" t="s">
        <v>177</v>
      </c>
      <c r="AK66">
        <f t="shared" si="72"/>
        <v>0</v>
      </c>
      <c r="AQ66" s="258">
        <f ca="1">IFERROR(VLOOKUP($I66,Konfiguracja!M:AF,16,0),0)</f>
        <v>0</v>
      </c>
      <c r="AR66">
        <f>IFERROR(VLOOKUP(C61,Receptury_z!$A:$C,3,0),0)</f>
        <v>5465</v>
      </c>
      <c r="AS66" s="256">
        <f>SUMIF(TPS_mięsa!$Q$2:$Q$300,AR66,TPS_mięsa!$G$2:$G$300)/1000</f>
        <v>4.0601000000000003</v>
      </c>
      <c r="AT66" s="268">
        <f ca="1">VLOOKUP(AR66,Konfiguracja!$N$60:$AC$148,16,0)/1000</f>
        <v>4.0601000000000003</v>
      </c>
      <c r="AU66" s="270">
        <f>IFERROR(VLOOKUP(I66,Konfiguracja!$M$3:$AM$57,26,0),0)</f>
        <v>0</v>
      </c>
      <c r="AV66" s="279">
        <f t="shared" si="58"/>
        <v>3</v>
      </c>
    </row>
    <row r="67" spans="1:48" ht="23.25">
      <c r="A67" s="33">
        <f t="shared" si="60"/>
        <v>0</v>
      </c>
      <c r="B67" s="43" t="str">
        <f>IFERROR(VLOOKUP(C67,Receptury_z!$A:$B,2,0),"Brak w bazie")</f>
        <v>ON</v>
      </c>
      <c r="C67" s="110">
        <v>7043</v>
      </c>
      <c r="D67" s="864" t="s">
        <v>60</v>
      </c>
      <c r="E67" s="870">
        <f t="shared" si="74"/>
        <v>0</v>
      </c>
      <c r="F67" s="860">
        <f>IF($E$4="x",0,IF($E$4="d",AK72,IF(AV72&gt;1,VLOOKUP(C67,Konfiguracja!$M$60:$T$148,8,0),IF((A67-E67)&lt;0,0,A67-E67))))</f>
        <v>0</v>
      </c>
      <c r="G67" s="203">
        <f t="shared" si="61"/>
        <v>8.8000000000000007</v>
      </c>
      <c r="H67" s="498">
        <f t="shared" si="62"/>
        <v>0</v>
      </c>
      <c r="I67">
        <v>1245</v>
      </c>
      <c r="J67" s="4" t="s">
        <v>1082</v>
      </c>
      <c r="K67" s="34" t="s">
        <v>245</v>
      </c>
      <c r="L67" s="34"/>
      <c r="M67" s="34"/>
      <c r="N67" s="34"/>
      <c r="O67" s="34"/>
      <c r="P67" s="208">
        <f>AD67</f>
        <v>0</v>
      </c>
      <c r="Q67" s="209"/>
      <c r="R67" s="208">
        <f>AE67</f>
        <v>0</v>
      </c>
      <c r="S67" s="209"/>
      <c r="T67" s="208">
        <f>AF67</f>
        <v>0</v>
      </c>
      <c r="U67" s="209"/>
      <c r="V67" s="205">
        <f>R67+T67</f>
        <v>0</v>
      </c>
      <c r="W67">
        <f t="shared" si="69"/>
        <v>7004</v>
      </c>
      <c r="X67">
        <f t="shared" si="70"/>
        <v>0</v>
      </c>
      <c r="Y67">
        <f t="shared" si="71"/>
        <v>0</v>
      </c>
      <c r="Z67" t="e">
        <f>VLOOKUP($J67,Konfiguracja!$B$3:$E$49,2,0)</f>
        <v>#N/A</v>
      </c>
      <c r="AA67" t="e">
        <f>VLOOKUP($J67,Konfiguracja!$B$3:$E$49,3,0)</f>
        <v>#N/A</v>
      </c>
      <c r="AB67" t="e">
        <f>VLOOKUP($J67,Konfiguracja!$B$3:$E$49,4,0)</f>
        <v>#N/A</v>
      </c>
      <c r="AC67" t="s">
        <v>177</v>
      </c>
      <c r="AK67">
        <f t="shared" si="72"/>
        <v>0</v>
      </c>
      <c r="AQ67" s="258">
        <f>IFERROR(VLOOKUP($I67,Konfiguracja!M:AF,16,0),0)</f>
        <v>0</v>
      </c>
      <c r="AR67">
        <f>IFERROR(VLOOKUP(C62,Receptury_z!$A:$C,3,0),0)</f>
        <v>5492</v>
      </c>
      <c r="AS67" s="256">
        <f>SUMIF(TPS_mięsa!$Q$2:$Q$300,AR67,TPS_mięsa!$G$2:$G$300)/1000</f>
        <v>0</v>
      </c>
      <c r="AT67" s="268">
        <f ca="1">VLOOKUP(AR67,Konfiguracja!$N$60:$AC$148,16,0)/1000</f>
        <v>0</v>
      </c>
      <c r="AU67" s="270">
        <f>IFERROR(VLOOKUP(I67,Konfiguracja!$M$3:$AM$57,26,0),0)</f>
        <v>0</v>
      </c>
      <c r="AV67" s="279">
        <f t="shared" si="58"/>
        <v>1</v>
      </c>
    </row>
    <row r="68" spans="1:48" ht="23.25">
      <c r="A68" s="33">
        <f t="shared" si="60"/>
        <v>0</v>
      </c>
      <c r="B68" s="43" t="str">
        <f>IFERROR(VLOOKUP(C68,Receptury_z!$A:$B,2,0),"Brak w bazie")</f>
        <v>ON</v>
      </c>
      <c r="C68" s="110">
        <v>7053</v>
      </c>
      <c r="D68" s="864" t="s">
        <v>61</v>
      </c>
      <c r="E68" s="870">
        <f t="shared" si="74"/>
        <v>0</v>
      </c>
      <c r="F68" s="860">
        <f>IF($E$4="x",0,IF($E$4="d",AK73,IF(AV73&gt;1,VLOOKUP(C68,Konfiguracja!$M$60:$T$148,8,0),IF((A68-E68)&lt;0,0,A68-E68))))</f>
        <v>0</v>
      </c>
      <c r="G68" s="203">
        <f t="shared" si="61"/>
        <v>0</v>
      </c>
      <c r="H68" s="498">
        <f t="shared" si="62"/>
        <v>0</v>
      </c>
      <c r="W68">
        <f t="shared" si="69"/>
        <v>7035</v>
      </c>
      <c r="X68">
        <f t="shared" si="70"/>
        <v>0</v>
      </c>
      <c r="Y68">
        <f t="shared" si="71"/>
        <v>0</v>
      </c>
      <c r="Z68" t="e">
        <f>VLOOKUP($J68,Konfiguracja!$B$3:$E$42,2,0)</f>
        <v>#N/A</v>
      </c>
      <c r="AA68" t="e">
        <f>VLOOKUP($J68,Konfiguracja!$B$3:$E$42,3,0)</f>
        <v>#N/A</v>
      </c>
      <c r="AB68" t="e">
        <f>VLOOKUP($J68,Konfiguracja!$B$3:$E$42,4,0)</f>
        <v>#N/A</v>
      </c>
      <c r="AC68" t="s">
        <v>177</v>
      </c>
      <c r="AK68">
        <f t="shared" si="72"/>
        <v>3.5</v>
      </c>
      <c r="AQ68" s="258">
        <f ca="1">IFERROR(VLOOKUP($I68,Konfiguracja!M:AF,16,0),0)</f>
        <v>0</v>
      </c>
      <c r="AR68">
        <f>IFERROR(VLOOKUP(C63,Receptury_z!$A:$C,3,0),0)</f>
        <v>5524</v>
      </c>
      <c r="AS68" s="256">
        <f>SUMIF(TPS_mięsa!$Q$2:$Q$300,AR68,TPS_mięsa!$G$2:$G$300)/1000</f>
        <v>0</v>
      </c>
      <c r="AT68" s="268">
        <f ca="1">VLOOKUP(AR68,Konfiguracja!$N$60:$AC$148,16,0)/1000</f>
        <v>0</v>
      </c>
      <c r="AU68" s="270">
        <f>IFERROR(VLOOKUP(I68,Konfiguracja!$M$3:$AM$57,26,0),0)</f>
        <v>0</v>
      </c>
      <c r="AV68" s="279">
        <f t="shared" si="58"/>
        <v>1</v>
      </c>
    </row>
    <row r="69" spans="1:48" ht="23.25">
      <c r="A69" s="33">
        <f t="shared" si="60"/>
        <v>0</v>
      </c>
      <c r="B69" s="43" t="str">
        <f>IFERROR(VLOOKUP(C69,Receptury_z!$A:$B,2,0),"Brak w bazie")</f>
        <v>ON</v>
      </c>
      <c r="C69" s="110">
        <v>7055</v>
      </c>
      <c r="D69" s="864" t="s">
        <v>65</v>
      </c>
      <c r="E69" s="870">
        <f t="shared" si="74"/>
        <v>0</v>
      </c>
      <c r="F69" s="860">
        <f>IF($E$4="x",0,IF($E$4="d",AK74,IF(AV74&gt;1,VLOOKUP(C69,Konfiguracja!$M$60:$T$148,8,0),IF((A69-E69)&lt;0,0,A69-E69))))</f>
        <v>0</v>
      </c>
      <c r="G69" s="203">
        <f t="shared" si="61"/>
        <v>0</v>
      </c>
      <c r="H69" s="498">
        <f t="shared" si="62"/>
        <v>0</v>
      </c>
      <c r="W69" s="91">
        <v>7031</v>
      </c>
      <c r="X69" s="91">
        <v>7063</v>
      </c>
      <c r="Y69" s="91">
        <v>7040</v>
      </c>
      <c r="Z69" t="e">
        <f>VLOOKUP($J69,Konfiguracja!$B$3:$E$49,2,0)</f>
        <v>#N/A</v>
      </c>
      <c r="AA69" t="e">
        <f>VLOOKUP($J69,Konfiguracja!$B$3:$E$49,3,0)</f>
        <v>#N/A</v>
      </c>
      <c r="AB69" t="e">
        <f>VLOOKUP($J69,Konfiguracja!$B$3:$E$49,4,0)</f>
        <v>#N/A</v>
      </c>
      <c r="AC69" t="s">
        <v>177</v>
      </c>
      <c r="AK69">
        <f t="shared" si="72"/>
        <v>0</v>
      </c>
      <c r="AQ69" s="258">
        <f ca="1">IFERROR(VLOOKUP($I69,Konfiguracja!M:AF,16,0),0)</f>
        <v>0</v>
      </c>
      <c r="AR69">
        <f>IFERROR(VLOOKUP(C64,Receptury_z!$A:$C,3,0),0)</f>
        <v>5522</v>
      </c>
      <c r="AS69" s="256">
        <f>SUMIF(TPS_mięsa!$Q$2:$Q$300,AR69,TPS_mięsa!$G$2:$G$300)/1000</f>
        <v>0</v>
      </c>
      <c r="AT69" s="268">
        <f ca="1">VLOOKUP(AR69,Konfiguracja!$N$60:$AC$148,16,0)/1000</f>
        <v>0</v>
      </c>
      <c r="AU69" s="270">
        <f>IFERROR(VLOOKUP(I69,Konfiguracja!$M$3:$AM$57,26,0),0)</f>
        <v>0</v>
      </c>
      <c r="AV69" s="279">
        <f t="shared" si="58"/>
        <v>1</v>
      </c>
    </row>
    <row r="70" spans="1:48" ht="23.25">
      <c r="A70" s="33">
        <f t="shared" si="60"/>
        <v>0</v>
      </c>
      <c r="B70" s="43" t="str">
        <f>IFERROR(VLOOKUP(C70,Receptury_z!$A:$B,2,0),"Brak w bazie")</f>
        <v>ON</v>
      </c>
      <c r="C70" s="110">
        <v>7056</v>
      </c>
      <c r="D70" s="864" t="s">
        <v>66</v>
      </c>
      <c r="E70" s="870">
        <f t="shared" si="74"/>
        <v>0</v>
      </c>
      <c r="F70" s="860">
        <f>IF($E$4="x",0,IF($E$4="d",AK75,IF(AV75&gt;1,VLOOKUP(C70,Konfiguracja!$M$60:$T$148,8,0),IF((A70-E70)&lt;0,0,A70-E70))))</f>
        <v>0</v>
      </c>
      <c r="G70" s="203">
        <f t="shared" si="61"/>
        <v>0</v>
      </c>
      <c r="H70" s="498">
        <f t="shared" si="62"/>
        <v>0</v>
      </c>
      <c r="W70" s="91">
        <v>7032</v>
      </c>
      <c r="X70" s="91">
        <v>7052</v>
      </c>
      <c r="Y70" s="91">
        <v>7041</v>
      </c>
      <c r="Z70" t="e">
        <f>VLOOKUP($J70,Konfiguracja!$B$3:$E$49,2,0)</f>
        <v>#N/A</v>
      </c>
      <c r="AA70" t="e">
        <f>VLOOKUP($J70,Konfiguracja!$B$3:$E$49,3,0)</f>
        <v>#N/A</v>
      </c>
      <c r="AB70" t="e">
        <f>VLOOKUP($J70,Konfiguracja!$B$3:$E$49,4,0)</f>
        <v>#N/A</v>
      </c>
      <c r="AC70" t="s">
        <v>177</v>
      </c>
      <c r="AK70">
        <f t="shared" si="72"/>
        <v>13.200000000000001</v>
      </c>
      <c r="AQ70" s="258">
        <f ca="1">IFERROR(VLOOKUP($I70,Konfiguracja!M:AF,16,0),0)</f>
        <v>0</v>
      </c>
      <c r="AR70">
        <f>IFERROR(VLOOKUP(C65,Receptury_z!$A:$C,3,0),0)</f>
        <v>5523</v>
      </c>
      <c r="AS70" s="256">
        <f>SUMIF(TPS_mięsa!$Q$2:$Q$300,AR70,TPS_mięsa!$G$2:$G$300)/1000</f>
        <v>0.75</v>
      </c>
      <c r="AT70" s="268">
        <f ca="1">VLOOKUP(AR70,Konfiguracja!$N$60:$AC$148,16,0)/1000</f>
        <v>0.75</v>
      </c>
      <c r="AU70" s="270">
        <f>IFERROR(VLOOKUP(I70,Konfiguracja!$M$3:$AM$57,26,0),0)</f>
        <v>0</v>
      </c>
      <c r="AV70" s="279">
        <f t="shared" si="58"/>
        <v>2</v>
      </c>
    </row>
    <row r="71" spans="1:48" ht="23.25">
      <c r="A71" s="33">
        <f t="shared" si="60"/>
        <v>0</v>
      </c>
      <c r="B71" s="43" t="str">
        <f>IFERROR(VLOOKUP(C71,Receptury_z!$A:$B,2,0),"Brak w bazie")</f>
        <v>ON</v>
      </c>
      <c r="C71" s="251">
        <v>7059</v>
      </c>
      <c r="D71" s="873" t="s">
        <v>329</v>
      </c>
      <c r="E71" s="870">
        <f t="shared" si="74"/>
        <v>0</v>
      </c>
      <c r="F71" s="860">
        <f>IF($E$4="x",0,IF($E$4="d",AK76,IF(AV76&gt;1,VLOOKUP(C71,Konfiguracja!$M$60:$T$148,8,0),IF((A71-E71)&lt;0,0,A71-E71))))</f>
        <v>0</v>
      </c>
      <c r="G71" s="203">
        <f t="shared" si="61"/>
        <v>0</v>
      </c>
      <c r="H71" s="498">
        <f t="shared" si="62"/>
        <v>0</v>
      </c>
      <c r="W71">
        <f t="shared" ref="W71:W81" si="75">IF(LEN(C66)&gt;4,9999,C66)</f>
        <v>7933</v>
      </c>
      <c r="X71">
        <f t="shared" ref="X71:X81" si="76">IF(LEN(C66)&gt;4,9999,0)</f>
        <v>0</v>
      </c>
      <c r="Y71">
        <f t="shared" ref="Y71:Y98" si="77">IF(LEN(C66)&gt;4,9999,0)</f>
        <v>0</v>
      </c>
      <c r="Z71" t="e">
        <f>VLOOKUP($J71,Konfiguracja!$B$3:$E$49,2,0)</f>
        <v>#N/A</v>
      </c>
      <c r="AA71" t="e">
        <f>VLOOKUP($J71,Konfiguracja!$B$3:$E$49,3,0)</f>
        <v>#N/A</v>
      </c>
      <c r="AB71" t="e">
        <f>VLOOKUP($J71,Konfiguracja!$B$3:$E$49,4,0)</f>
        <v>#N/A</v>
      </c>
      <c r="AC71" t="s">
        <v>177</v>
      </c>
      <c r="AK71">
        <f t="shared" si="72"/>
        <v>0</v>
      </c>
      <c r="AQ71" s="258">
        <f ca="1">IFERROR(VLOOKUP($I71,Konfiguracja!M:AF,16,0),0)</f>
        <v>0</v>
      </c>
      <c r="AR71">
        <f>IFERROR(VLOOKUP(C66,Receptury_z!$A:$C,3,0),0)</f>
        <v>5698</v>
      </c>
      <c r="AS71" s="256">
        <f>SUMIF(TPS_mięsa!$Q$2:$Q$300,AR71,TPS_mięsa!$G$2:$G$300)/1000</f>
        <v>0</v>
      </c>
      <c r="AT71" s="268">
        <f ca="1">VLOOKUP(AR71,Konfiguracja!$N$60:$AC$148,16,0)/1000</f>
        <v>0</v>
      </c>
      <c r="AU71" s="270">
        <f>IFERROR(VLOOKUP(I71,Konfiguracja!$M$3:$AM$57,26,0),0)</f>
        <v>0</v>
      </c>
      <c r="AV71" s="279">
        <f t="shared" si="58"/>
        <v>1</v>
      </c>
    </row>
    <row r="72" spans="1:48" ht="22.35" customHeight="1">
      <c r="A72" s="33">
        <f t="shared" si="60"/>
        <v>0</v>
      </c>
      <c r="B72" s="43" t="str">
        <f>IFERROR(VLOOKUP(C72,Receptury_z!$A:$B,2,0),"Brak w bazie")</f>
        <v>ON</v>
      </c>
      <c r="C72" s="110">
        <v>7061</v>
      </c>
      <c r="D72" s="864" t="s">
        <v>5436</v>
      </c>
      <c r="E72" s="870">
        <f t="shared" si="74"/>
        <v>0</v>
      </c>
      <c r="F72" s="860">
        <f>IF($E$4="x",0,IF($E$4="d",AK77,IF(AV77&gt;1,VLOOKUP(C72,Konfiguracja!$M$60:$T$148,8,0),IF((A72-E72)&lt;0,0,A72-E72))))</f>
        <v>0</v>
      </c>
      <c r="G72" s="203">
        <f t="shared" si="61"/>
        <v>0</v>
      </c>
      <c r="H72" s="498">
        <f t="shared" si="62"/>
        <v>0</v>
      </c>
      <c r="W72">
        <f t="shared" si="75"/>
        <v>7043</v>
      </c>
      <c r="X72">
        <f t="shared" si="76"/>
        <v>0</v>
      </c>
      <c r="Y72">
        <f t="shared" si="77"/>
        <v>0</v>
      </c>
      <c r="Z72" t="e">
        <f>VLOOKUP($J72,Konfiguracja!$B$3:$E$42,2,0)</f>
        <v>#N/A</v>
      </c>
      <c r="AA72" t="e">
        <f>VLOOKUP($J72,Konfiguracja!$B$3:$E$42,3,0)</f>
        <v>#N/A</v>
      </c>
      <c r="AB72" t="e">
        <f>VLOOKUP($J72,Konfiguracja!$B$3:$E$42,4,0)</f>
        <v>#N/A</v>
      </c>
      <c r="AC72" t="s">
        <v>177</v>
      </c>
      <c r="AK72">
        <f t="shared" si="72"/>
        <v>0</v>
      </c>
      <c r="AQ72" s="258">
        <f ca="1">IFERROR(VLOOKUP($I72,Konfiguracja!M:AF,16,0),0)</f>
        <v>0</v>
      </c>
      <c r="AR72">
        <f>IFERROR(VLOOKUP(C67,Receptury_z!$A:$C,3,0),0)</f>
        <v>5551</v>
      </c>
      <c r="AS72" s="256">
        <f>SUMIF(TPS_mięsa!$Q$2:$Q$300,AR72,TPS_mięsa!$G$2:$G$300)/1000</f>
        <v>0</v>
      </c>
      <c r="AT72" s="268">
        <f ca="1">VLOOKUP(AR72,Konfiguracja!$N$60:$AC$148,16,0)/1000</f>
        <v>0</v>
      </c>
      <c r="AU72" s="270">
        <f>IFERROR(VLOOKUP(I72,Konfiguracja!$M$3:$AM$57,26,0),0)</f>
        <v>0</v>
      </c>
      <c r="AV72" s="279">
        <f t="shared" si="58"/>
        <v>1</v>
      </c>
    </row>
    <row r="73" spans="1:48" ht="23.25">
      <c r="A73" s="33">
        <f t="shared" si="60"/>
        <v>0</v>
      </c>
      <c r="B73" s="43" t="str">
        <f>IFERROR(VLOOKUP(C73,Receptury_z!$A:$B,2,0),"Brak w bazie")</f>
        <v>ON</v>
      </c>
      <c r="C73" s="110">
        <v>7064</v>
      </c>
      <c r="D73" s="864" t="s">
        <v>8519</v>
      </c>
      <c r="E73" s="870">
        <f t="shared" si="74"/>
        <v>0</v>
      </c>
      <c r="F73" s="860">
        <f>IF($E$4="x",0,IF($E$4="d",AK78,IF(AV78&gt;1,VLOOKUP(C73,Konfiguracja!$M$60:$T$148,8,0),IF((A73-E73)&lt;0,0,A73-E73))))</f>
        <v>0</v>
      </c>
      <c r="G73" s="203">
        <f t="shared" si="61"/>
        <v>0</v>
      </c>
      <c r="H73" s="498">
        <f t="shared" si="62"/>
        <v>0</v>
      </c>
      <c r="W73">
        <f t="shared" si="75"/>
        <v>7053</v>
      </c>
      <c r="X73">
        <f t="shared" si="76"/>
        <v>0</v>
      </c>
      <c r="Y73">
        <f t="shared" si="77"/>
        <v>0</v>
      </c>
      <c r="Z73" t="e">
        <f>VLOOKUP($J73,Konfiguracja!$B$3:$E$49,2,0)</f>
        <v>#N/A</v>
      </c>
      <c r="AA73" t="e">
        <f>VLOOKUP($J73,Konfiguracja!$B$3:$E$49,3,0)</f>
        <v>#N/A</v>
      </c>
      <c r="AB73" t="e">
        <f>VLOOKUP($J73,Konfiguracja!$B$3:$E$49,4,0)</f>
        <v>#N/A</v>
      </c>
      <c r="AC73" t="s">
        <v>177</v>
      </c>
      <c r="AK73">
        <f t="shared" si="72"/>
        <v>0</v>
      </c>
      <c r="AQ73" s="258">
        <f ca="1">IFERROR(VLOOKUP($I73,Konfiguracja!M:AF,16,0),0)</f>
        <v>0</v>
      </c>
      <c r="AR73">
        <f>IFERROR(VLOOKUP(C68,Receptury_z!$A:$C,3,0),0)</f>
        <v>5552</v>
      </c>
      <c r="AS73" s="256">
        <f>SUMIF(TPS_mięsa!$Q$2:$Q$300,AR73,TPS_mięsa!$G$2:$G$300)/1000</f>
        <v>1.1880999999999999</v>
      </c>
      <c r="AT73" s="268">
        <f ca="1">VLOOKUP(AR73,Konfiguracja!$N$60:$AC$148,16,0)/1000</f>
        <v>1.1000999999999999</v>
      </c>
      <c r="AU73" s="270">
        <f>IFERROR(VLOOKUP(I73,Konfiguracja!$M$3:$AM$57,26,0),0)</f>
        <v>0</v>
      </c>
      <c r="AV73" s="279">
        <f t="shared" si="58"/>
        <v>2</v>
      </c>
    </row>
    <row r="74" spans="1:48" ht="23.25">
      <c r="A74" s="33">
        <f t="shared" si="60"/>
        <v>0</v>
      </c>
      <c r="B74" s="43" t="str">
        <f>IFERROR(VLOOKUP(C74,Receptury_z!$A:$B,2,0),"Brak w bazie")</f>
        <v>ON</v>
      </c>
      <c r="C74" s="110">
        <v>7065</v>
      </c>
      <c r="D74" s="864" t="s">
        <v>8520</v>
      </c>
      <c r="E74" s="870">
        <f t="shared" si="74"/>
        <v>0</v>
      </c>
      <c r="F74" s="860">
        <f>IF($E$4="x",0,IF($E$4="d",AK79,IF(AV79&gt;1,VLOOKUP(C74,Konfiguracja!$M$60:$T$148,8,0),IF((A74-E74)&lt;0,0,A74-E74))))</f>
        <v>0</v>
      </c>
      <c r="G74" s="203">
        <f t="shared" si="61"/>
        <v>0</v>
      </c>
      <c r="H74" s="498">
        <f t="shared" si="62"/>
        <v>0</v>
      </c>
      <c r="W74">
        <f t="shared" si="75"/>
        <v>7055</v>
      </c>
      <c r="X74">
        <f t="shared" si="76"/>
        <v>0</v>
      </c>
      <c r="Y74">
        <f t="shared" si="77"/>
        <v>0</v>
      </c>
      <c r="Z74" t="e">
        <f>VLOOKUP(#REF!,Konfiguracja!$B$3:$E$49,2,0)</f>
        <v>#REF!</v>
      </c>
      <c r="AA74" t="e">
        <f>VLOOKUP(#REF!,Konfiguracja!$B$3:$E$49,3,0)</f>
        <v>#REF!</v>
      </c>
      <c r="AB74" t="e">
        <f>VLOOKUP(#REF!,Konfiguracja!$B$3:$E$49,4,0)</f>
        <v>#REF!</v>
      </c>
      <c r="AC74" t="s">
        <v>177</v>
      </c>
      <c r="AK74">
        <f t="shared" si="72"/>
        <v>0</v>
      </c>
      <c r="AQ74" s="258">
        <f ca="1">IFERROR(VLOOKUP($I74,Konfiguracja!M:AF,16,0),0)</f>
        <v>0</v>
      </c>
      <c r="AR74">
        <f>IFERROR(VLOOKUP(C69,Receptury_z!$A:$C,3,0),0)</f>
        <v>5554</v>
      </c>
      <c r="AS74" s="256">
        <f>SUMIF(TPS_mięsa!$Q$2:$Q$300,AR74,TPS_mięsa!$G$2:$G$300)/1000</f>
        <v>0</v>
      </c>
      <c r="AT74" s="268">
        <f ca="1">VLOOKUP(AR74,Konfiguracja!$N$60:$AC$148,16,0)/1000</f>
        <v>0</v>
      </c>
      <c r="AU74" s="270">
        <f>IFERROR(VLOOKUP(I74,Konfiguracja!$M$3:$AM$57,26,0),0)</f>
        <v>0</v>
      </c>
      <c r="AV74" s="279">
        <f t="shared" si="58"/>
        <v>1</v>
      </c>
    </row>
    <row r="75" spans="1:48" ht="23.25">
      <c r="A75" s="33">
        <f t="shared" si="60"/>
        <v>0</v>
      </c>
      <c r="B75" s="43" t="str">
        <f>IFERROR(VLOOKUP(C75,Receptury_z!$A:$B,2,0),"Brak w bazie")</f>
        <v>ON</v>
      </c>
      <c r="C75" s="110">
        <v>7077</v>
      </c>
      <c r="D75" s="864" t="s">
        <v>15213</v>
      </c>
      <c r="E75" s="870">
        <f t="shared" si="74"/>
        <v>0</v>
      </c>
      <c r="F75" s="860">
        <f>IF($E$4="x",0,IF($E$4="d",AK80,IF(AV80&gt;1,VLOOKUP(C75,Konfiguracja!$M$60:$T$148,8,0),IF((A75-E75)&lt;0,0,A75-E75))))</f>
        <v>0</v>
      </c>
      <c r="G75" s="203">
        <f t="shared" si="61"/>
        <v>0</v>
      </c>
      <c r="H75" s="498">
        <f t="shared" si="62"/>
        <v>0</v>
      </c>
      <c r="W75">
        <f t="shared" si="75"/>
        <v>7056</v>
      </c>
      <c r="X75">
        <f t="shared" si="76"/>
        <v>0</v>
      </c>
      <c r="Y75">
        <f t="shared" si="77"/>
        <v>0</v>
      </c>
      <c r="Z75" t="e">
        <f>VLOOKUP($J74,Konfiguracja!$B$3:$E$49,2,0)</f>
        <v>#N/A</v>
      </c>
      <c r="AA75" t="e">
        <f>VLOOKUP($J74,Konfiguracja!$B$3:$E$49,3,0)</f>
        <v>#N/A</v>
      </c>
      <c r="AB75" t="e">
        <f>VLOOKUP($J74,Konfiguracja!$B$3:$E$49,4,0)</f>
        <v>#N/A</v>
      </c>
      <c r="AC75" t="s">
        <v>177</v>
      </c>
      <c r="AK75">
        <f t="shared" si="72"/>
        <v>0</v>
      </c>
      <c r="AQ75" s="258">
        <f ca="1">IFERROR(VLOOKUP($I75,Konfiguracja!M:AF,16,0),0)</f>
        <v>0</v>
      </c>
      <c r="AR75">
        <f>IFERROR(VLOOKUP(C70,Receptury_z!$A:$C,3,0),0)</f>
        <v>5558</v>
      </c>
      <c r="AS75" s="256">
        <f>SUMIF(TPS_mięsa!$Q$2:$Q$300,AR75,TPS_mięsa!$G$2:$G$300)/1000</f>
        <v>0</v>
      </c>
      <c r="AT75" s="268">
        <f ca="1">VLOOKUP(AR75,Konfiguracja!$N$60:$AC$148,16,0)/1000</f>
        <v>0</v>
      </c>
      <c r="AU75" s="270">
        <f>IFERROR(VLOOKUP(I75,Konfiguracja!$M$3:$AM$57,26,0),0)</f>
        <v>0</v>
      </c>
      <c r="AV75" s="279">
        <f t="shared" si="58"/>
        <v>1</v>
      </c>
    </row>
    <row r="76" spans="1:48" ht="24" thickBot="1">
      <c r="A76" s="33">
        <f t="shared" si="60"/>
        <v>2.7</v>
      </c>
      <c r="B76" s="43" t="str">
        <f>IFERROR(VLOOKUP(C76,Receptury_z!$A:$B,2,0),"Brak w bazie")</f>
        <v>ON</v>
      </c>
      <c r="C76" s="823">
        <v>7078</v>
      </c>
      <c r="D76" s="874" t="s">
        <v>15218</v>
      </c>
      <c r="E76" s="882">
        <f t="shared" si="74"/>
        <v>0</v>
      </c>
      <c r="F76" s="877">
        <f>IF($E$4="x",0,IF($E$4="d",AK81,IF(AV81&gt;1,VLOOKUP(C76,Konfiguracja!$M$60:$T$148,8,0),IF((A76-E76)&lt;0,0,A76-E76))))</f>
        <v>0</v>
      </c>
      <c r="G76" s="824">
        <f t="shared" si="61"/>
        <v>1.8</v>
      </c>
      <c r="H76" s="825">
        <f t="shared" si="62"/>
        <v>1.8</v>
      </c>
      <c r="W76">
        <f t="shared" si="75"/>
        <v>7059</v>
      </c>
      <c r="X76">
        <f t="shared" si="76"/>
        <v>0</v>
      </c>
      <c r="Y76">
        <f t="shared" si="77"/>
        <v>0</v>
      </c>
      <c r="Z76" t="e">
        <f>VLOOKUP($J76,Konfiguracja!$B$3:$E$42,2,0)</f>
        <v>#N/A</v>
      </c>
      <c r="AA76" t="e">
        <f>VLOOKUP($J76,Konfiguracja!$B$3:$E$42,3,0)</f>
        <v>#N/A</v>
      </c>
      <c r="AB76" t="e">
        <f>VLOOKUP($J76,Konfiguracja!$B$3:$E$42,4,0)</f>
        <v>#N/A</v>
      </c>
      <c r="AC76" t="s">
        <v>177</v>
      </c>
      <c r="AK76">
        <f t="shared" si="72"/>
        <v>0</v>
      </c>
      <c r="AQ76" s="258">
        <f ca="1">IFERROR(VLOOKUP($I76,Konfiguracja!M:AF,16,0),0)</f>
        <v>0</v>
      </c>
      <c r="AR76">
        <f>IFERROR(VLOOKUP(C71,Receptury_z!$A:$C,3,0),0)</f>
        <v>5562</v>
      </c>
      <c r="AS76" s="256">
        <f>SUMIF(TPS_mięsa!$Q$2:$Q$300,AR76,TPS_mięsa!$G$2:$G$300)/1000</f>
        <v>0</v>
      </c>
      <c r="AT76" s="268">
        <f ca="1">VLOOKUP(AR76,Konfiguracja!$N$60:$AC$148,16,0)/1000</f>
        <v>0</v>
      </c>
      <c r="AU76" s="270">
        <f>IFERROR(VLOOKUP(I76,Konfiguracja!$M$3:$AM$57,26,0),0)</f>
        <v>0</v>
      </c>
      <c r="AV76" s="279">
        <f t="shared" ref="AV76:AV110" si="78">COUNTIF($AR$6:$AR$176,AR76)</f>
        <v>2</v>
      </c>
    </row>
    <row r="77" spans="1:48" ht="24" thickTop="1">
      <c r="A77" s="33">
        <f t="shared" si="60"/>
        <v>3.6</v>
      </c>
      <c r="B77" s="43" t="str">
        <f>IFERROR(VLOOKUP(C77,Receptury_z!$A:$B,2,0),"Brak w bazie")</f>
        <v>ON</v>
      </c>
      <c r="C77" s="621" t="s">
        <v>17990</v>
      </c>
      <c r="D77" s="875" t="s">
        <v>17346</v>
      </c>
      <c r="E77" s="869">
        <f t="shared" si="74"/>
        <v>0</v>
      </c>
      <c r="F77" s="867">
        <f>IF($E$4="x",0,IF($E$4="d",AK82,IF(AV82&gt;1,VLOOKUP(C77,Konfiguracja!$M$60:$T$148,8,0),IF((A77-E77)&lt;0,0,A77-E77))))</f>
        <v>0</v>
      </c>
      <c r="G77" s="202">
        <f t="shared" si="61"/>
        <v>3.6</v>
      </c>
      <c r="H77" s="497">
        <f t="shared" si="62"/>
        <v>5.4</v>
      </c>
      <c r="W77">
        <f t="shared" si="75"/>
        <v>7061</v>
      </c>
      <c r="X77">
        <f t="shared" si="76"/>
        <v>0</v>
      </c>
      <c r="Y77">
        <f t="shared" si="77"/>
        <v>0</v>
      </c>
      <c r="Z77" t="e">
        <f>VLOOKUP($J77,Konfiguracja!$B$3:$E$42,2,0)</f>
        <v>#N/A</v>
      </c>
      <c r="AA77" t="e">
        <f>VLOOKUP($J77,Konfiguracja!$B$3:$E$42,3,0)</f>
        <v>#N/A</v>
      </c>
      <c r="AB77" t="e">
        <f>VLOOKUP($J77,Konfiguracja!$B$3:$E$42,4,0)</f>
        <v>#N/A</v>
      </c>
      <c r="AC77" t="s">
        <v>177</v>
      </c>
      <c r="AK77">
        <f t="shared" si="72"/>
        <v>0</v>
      </c>
      <c r="AQ77" s="258">
        <f ca="1">IFERROR(VLOOKUP($I77,Konfiguracja!M:AF,16,0),0)</f>
        <v>0</v>
      </c>
      <c r="AR77">
        <f>IFERROR(VLOOKUP(C72,Receptury_z!$A:$C,3,0),0)</f>
        <v>5534</v>
      </c>
      <c r="AS77" s="256">
        <f>SUMIF(TPS_mięsa!$Q$2:$Q$300,AR77,TPS_mięsa!$G$2:$G$300)/1000</f>
        <v>0</v>
      </c>
      <c r="AT77" s="268">
        <f ca="1">VLOOKUP(AR77,Konfiguracja!$N$60:$AC$148,16,0)/1000</f>
        <v>0</v>
      </c>
      <c r="AU77" s="270">
        <f>IFERROR(VLOOKUP(I77,Konfiguracja!$M$3:$AM$57,26,0),0)</f>
        <v>0</v>
      </c>
      <c r="AV77" s="279">
        <f t="shared" si="78"/>
        <v>1</v>
      </c>
    </row>
    <row r="78" spans="1:48" ht="23.25">
      <c r="A78" s="33">
        <f t="shared" si="60"/>
        <v>1.8</v>
      </c>
      <c r="B78" s="43" t="str">
        <f>IFERROR(VLOOKUP(C78,Receptury_z!$A:$B,2,0),"Brak w bazie")</f>
        <v>ON</v>
      </c>
      <c r="C78" s="110">
        <v>7920</v>
      </c>
      <c r="D78" s="873" t="s">
        <v>17854</v>
      </c>
      <c r="E78" s="870">
        <f t="shared" si="74"/>
        <v>0</v>
      </c>
      <c r="F78" s="878">
        <f>IF($E$4="x",0,IF($E$4="d",AK83,IF(AV83&gt;1,VLOOKUP(C78,Konfiguracja!$M$60:$T$148,8,0),IF((A78-E78)&lt;0,0,A78-E78))))</f>
        <v>0</v>
      </c>
      <c r="G78" s="203">
        <f t="shared" si="61"/>
        <v>1.8</v>
      </c>
      <c r="H78" s="498">
        <f t="shared" si="62"/>
        <v>3.6</v>
      </c>
      <c r="W78">
        <f t="shared" si="75"/>
        <v>7064</v>
      </c>
      <c r="X78">
        <f t="shared" si="76"/>
        <v>0</v>
      </c>
      <c r="Y78">
        <f t="shared" si="77"/>
        <v>0</v>
      </c>
      <c r="Z78" t="e">
        <f>VLOOKUP($J78,Konfiguracja!$B$3:$E$42,2,0)</f>
        <v>#N/A</v>
      </c>
      <c r="AA78" t="e">
        <f>VLOOKUP($J78,Konfiguracja!$B$3:$E$42,3,0)</f>
        <v>#N/A</v>
      </c>
      <c r="AB78" t="e">
        <f>VLOOKUP($J78,Konfiguracja!$B$3:$E$42,4,0)</f>
        <v>#N/A</v>
      </c>
      <c r="AC78" t="s">
        <v>177</v>
      </c>
      <c r="AK78">
        <f t="shared" si="72"/>
        <v>0</v>
      </c>
      <c r="AQ78" s="258">
        <f ca="1">IFERROR(VLOOKUP($I78,Konfiguracja!M:AF,16,0),0)</f>
        <v>0</v>
      </c>
      <c r="AR78">
        <f>IFERROR(VLOOKUP(C73,Receptury_z!$A:$C,3,0),0)</f>
        <v>5535</v>
      </c>
      <c r="AS78" s="256">
        <f>SUMIF(TPS_mięsa!$Q$2:$Q$300,AR78,TPS_mięsa!$G$2:$G$300)/1000</f>
        <v>0</v>
      </c>
      <c r="AT78" s="268">
        <f ca="1">VLOOKUP(AR78,Konfiguracja!$N$60:$AC$148,16,0)/1000</f>
        <v>0</v>
      </c>
      <c r="AU78" s="270">
        <f>IFERROR(VLOOKUP(I78,Konfiguracja!$M$3:$AM$57,26,0),0)</f>
        <v>0</v>
      </c>
      <c r="AV78" s="279">
        <f t="shared" si="78"/>
        <v>1</v>
      </c>
    </row>
    <row r="79" spans="1:48" ht="23.25">
      <c r="A79" s="33">
        <f t="shared" si="60"/>
        <v>6.2</v>
      </c>
      <c r="B79" s="43" t="str">
        <f>IFERROR(VLOOKUP(C79,Receptury_z!$A:$B,2,0),"Brak w bazie")</f>
        <v>ON</v>
      </c>
      <c r="C79" s="110" t="s">
        <v>17989</v>
      </c>
      <c r="D79" s="873" t="s">
        <v>17855</v>
      </c>
      <c r="E79" s="870">
        <f t="shared" si="74"/>
        <v>0</v>
      </c>
      <c r="F79" s="860">
        <f>IF($E$4="x",0,IF($E$4="d",AK84,IF(AV84&gt;1,VLOOKUP(C79,Konfiguracja!$M$60:$T$148,8,0),IF((A79-E79)&lt;0,0,A79-E79))))</f>
        <v>0</v>
      </c>
      <c r="G79" s="203">
        <f t="shared" si="61"/>
        <v>1.8</v>
      </c>
      <c r="H79" s="498">
        <f t="shared" si="62"/>
        <v>3.6</v>
      </c>
      <c r="W79">
        <f t="shared" si="75"/>
        <v>7065</v>
      </c>
      <c r="X79">
        <f t="shared" si="76"/>
        <v>0</v>
      </c>
      <c r="Y79">
        <f t="shared" si="77"/>
        <v>0</v>
      </c>
      <c r="Z79" t="e">
        <f>VLOOKUP($J79,Konfiguracja!$B$3:$E$42,2,0)</f>
        <v>#N/A</v>
      </c>
      <c r="AA79" t="e">
        <f>VLOOKUP($J79,Konfiguracja!$B$3:$E$42,3,0)</f>
        <v>#N/A</v>
      </c>
      <c r="AB79" t="e">
        <f>VLOOKUP($J79,Konfiguracja!$B$3:$E$42,4,0)</f>
        <v>#N/A</v>
      </c>
      <c r="AC79" t="s">
        <v>177</v>
      </c>
      <c r="AK79">
        <f t="shared" si="72"/>
        <v>0</v>
      </c>
      <c r="AQ79" s="258">
        <f ca="1">IFERROR(VLOOKUP($I79,Konfiguracja!M:AF,16,0),0)</f>
        <v>0</v>
      </c>
      <c r="AR79">
        <f>IFERROR(VLOOKUP(C74,Receptury_z!$A:$C,3,0),0)</f>
        <v>5562</v>
      </c>
      <c r="AS79" s="256">
        <f>SUMIF(TPS_mięsa!$Q$2:$Q$300,AR79,TPS_mięsa!$G$2:$G$300)/1000</f>
        <v>0</v>
      </c>
      <c r="AT79" s="268">
        <f ca="1">VLOOKUP(AR79,Konfiguracja!$N$60:$AC$148,16,0)/1000</f>
        <v>0</v>
      </c>
      <c r="AU79" s="270">
        <f>IFERROR(VLOOKUP(I79,Konfiguracja!$M$3:$AM$57,26,0),0)</f>
        <v>0</v>
      </c>
      <c r="AV79" s="279">
        <f t="shared" si="78"/>
        <v>2</v>
      </c>
    </row>
    <row r="80" spans="1:48" ht="24" thickBot="1">
      <c r="A80" s="33">
        <f t="shared" si="60"/>
        <v>0</v>
      </c>
      <c r="B80" s="43" t="str">
        <f>IFERROR(VLOOKUP(C80,Receptury_z!$A:$B,2,0),"Brak w bazie")</f>
        <v>ON</v>
      </c>
      <c r="C80" s="510">
        <v>7081</v>
      </c>
      <c r="D80" s="876" t="s">
        <v>17856</v>
      </c>
      <c r="E80" s="871">
        <f t="shared" si="74"/>
        <v>0</v>
      </c>
      <c r="F80" s="868">
        <f>IF($E$4="x",0,IF($E$4="d",AK85,IF(AV85&gt;1,VLOOKUP(C80,Konfiguracja!$M$60:$T$148,8,0),IF((A80-E80)&lt;0,0,A80-E80))))</f>
        <v>0</v>
      </c>
      <c r="G80" s="204">
        <f t="shared" si="61"/>
        <v>0</v>
      </c>
      <c r="H80" s="499">
        <f t="shared" si="62"/>
        <v>0</v>
      </c>
      <c r="W80">
        <f t="shared" si="75"/>
        <v>7077</v>
      </c>
      <c r="X80">
        <f t="shared" si="76"/>
        <v>0</v>
      </c>
      <c r="Y80">
        <f t="shared" si="77"/>
        <v>0</v>
      </c>
      <c r="Z80" t="e">
        <f>VLOOKUP($J80,Konfiguracja!$B$3:$E$42,2,0)</f>
        <v>#N/A</v>
      </c>
      <c r="AA80" t="e">
        <f>VLOOKUP($J80,Konfiguracja!$B$3:$E$42,3,0)</f>
        <v>#N/A</v>
      </c>
      <c r="AB80" t="e">
        <f>VLOOKUP($J80,Konfiguracja!$B$3:$E$42,4,0)</f>
        <v>#N/A</v>
      </c>
      <c r="AC80" t="s">
        <v>177</v>
      </c>
      <c r="AK80">
        <f t="shared" si="72"/>
        <v>0</v>
      </c>
      <c r="AQ80" s="258">
        <f ca="1">IFERROR(VLOOKUP($I80,Konfiguracja!M:AF,16,0),0)</f>
        <v>0</v>
      </c>
      <c r="AR80">
        <f>IFERROR(VLOOKUP(C75,Receptury_z!$A:$C,3,0),0)</f>
        <v>5523</v>
      </c>
      <c r="AS80" s="256">
        <f>SUMIF(TPS_mięsa!$Q$2:$Q$300,AR80,TPS_mięsa!$G$2:$G$300)/1000</f>
        <v>0.75</v>
      </c>
      <c r="AT80" s="268">
        <f ca="1">VLOOKUP(AR80,Konfiguracja!$N$60:$AC$148,16,0)/1000</f>
        <v>0.75</v>
      </c>
      <c r="AU80" s="270">
        <f>IFERROR(VLOOKUP(I80,Konfiguracja!$M$3:$AM$57,26,0),0)</f>
        <v>0</v>
      </c>
      <c r="AV80" s="279">
        <f t="shared" si="78"/>
        <v>2</v>
      </c>
    </row>
    <row r="81" spans="1:48" ht="24" thickTop="1">
      <c r="A81" s="33">
        <f t="shared" si="60"/>
        <v>0</v>
      </c>
      <c r="B81" s="43" t="str">
        <f>IFERROR(VLOOKUP(C81,Receptury_z!$A:$B,2,0),"Brak w bazie")</f>
        <v>ON</v>
      </c>
      <c r="C81" s="363">
        <v>6499</v>
      </c>
      <c r="D81" s="879" t="s">
        <v>29</v>
      </c>
      <c r="E81" s="869">
        <f t="shared" si="74"/>
        <v>0</v>
      </c>
      <c r="F81" s="867">
        <f>IF($E$4="x",0,IF($E$4="d",AK86,IF(AV86&gt;1,VLOOKUP(C81,Konfiguracja!$M$60:$T$148,8,0),IF((A81-E81)&lt;0,0,A81-E81))))</f>
        <v>0</v>
      </c>
      <c r="G81" s="202">
        <f t="shared" si="61"/>
        <v>0</v>
      </c>
      <c r="H81" s="497">
        <f t="shared" si="62"/>
        <v>0</v>
      </c>
      <c r="W81">
        <f t="shared" si="75"/>
        <v>7078</v>
      </c>
      <c r="X81">
        <f t="shared" si="76"/>
        <v>0</v>
      </c>
      <c r="Y81">
        <f t="shared" si="77"/>
        <v>0</v>
      </c>
      <c r="Z81" t="e">
        <f>VLOOKUP($J81,Konfiguracja!$B$3:$E$42,2,0)</f>
        <v>#N/A</v>
      </c>
      <c r="AA81" t="e">
        <f>VLOOKUP($J81,Konfiguracja!$B$3:$E$42,3,0)</f>
        <v>#N/A</v>
      </c>
      <c r="AB81" t="e">
        <f>VLOOKUP($J81,Konfiguracja!$B$3:$E$42,4,0)</f>
        <v>#N/A</v>
      </c>
      <c r="AC81" t="s">
        <v>177</v>
      </c>
      <c r="AK81">
        <f t="shared" si="72"/>
        <v>2.7</v>
      </c>
      <c r="AQ81" s="258">
        <f ca="1">IFERROR(VLOOKUP($I81,Konfiguracja!M:AF,16,0),0)</f>
        <v>0</v>
      </c>
      <c r="AR81">
        <f>IFERROR(VLOOKUP(C76,Receptury_z!$A:$C,3,0),0)</f>
        <v>5552</v>
      </c>
      <c r="AS81" s="256">
        <f>SUMIF(TPS_mięsa!$Q$2:$Q$300,AR81,TPS_mięsa!$G$2:$G$300)/1000</f>
        <v>1.1880999999999999</v>
      </c>
      <c r="AT81" s="268">
        <f ca="1">VLOOKUP(AR81,Konfiguracja!$N$60:$AC$148,16,0)/1000</f>
        <v>1.1000999999999999</v>
      </c>
      <c r="AU81" s="270">
        <f>IFERROR(VLOOKUP(I81,Konfiguracja!$M$3:$AM$57,26,0),0)</f>
        <v>0</v>
      </c>
      <c r="AV81" s="279">
        <f t="shared" si="78"/>
        <v>2</v>
      </c>
    </row>
    <row r="82" spans="1:48" ht="23.25">
      <c r="A82" s="33">
        <f t="shared" si="60"/>
        <v>0</v>
      </c>
      <c r="B82" s="43" t="str">
        <f>IFERROR(VLOOKUP(C82,Receptury_z!$A:$B,2,0),"Brak w bazie")</f>
        <v>ON</v>
      </c>
      <c r="C82" s="110">
        <v>6448</v>
      </c>
      <c r="D82" s="859" t="s">
        <v>32</v>
      </c>
      <c r="E82" s="870">
        <f t="shared" si="74"/>
        <v>0</v>
      </c>
      <c r="F82" s="860">
        <f>IF($E$4="x",0,IF($E$4="d",AK87,IF(AV87&gt;1,VLOOKUP(C82,Konfiguracja!$M$60:$T$148,8,0),IF((A82-E82)&lt;0,0,A82-E82))))</f>
        <v>0</v>
      </c>
      <c r="G82" s="203">
        <f t="shared" si="61"/>
        <v>0</v>
      </c>
      <c r="H82" s="498">
        <f t="shared" si="62"/>
        <v>0</v>
      </c>
      <c r="W82" s="91">
        <v>7910</v>
      </c>
      <c r="X82" s="91">
        <v>7911</v>
      </c>
      <c r="Y82" s="91">
        <f t="shared" si="77"/>
        <v>9999</v>
      </c>
      <c r="Z82" t="e">
        <f>VLOOKUP($J82,Konfiguracja!$B$3:$E$42,2,0)</f>
        <v>#N/A</v>
      </c>
      <c r="AA82" t="e">
        <f>VLOOKUP($J82,Konfiguracja!$B$3:$E$42,3,0)</f>
        <v>#N/A</v>
      </c>
      <c r="AB82" t="e">
        <f>VLOOKUP($J82,Konfiguracja!$B$3:$E$42,4,0)</f>
        <v>#N/A</v>
      </c>
      <c r="AC82" t="s">
        <v>177</v>
      </c>
      <c r="AK82">
        <f t="shared" si="72"/>
        <v>3.6</v>
      </c>
      <c r="AQ82" s="258"/>
      <c r="AR82">
        <f>IFERROR(VLOOKUP(C77,Receptury_z!$A:$C,3,0),0)</f>
        <v>5692</v>
      </c>
      <c r="AS82" s="256"/>
      <c r="AT82" s="268">
        <f ca="1">VLOOKUP(AR82,Konfiguracja!$N$60:$AC$148,16,0)/1000</f>
        <v>3.4079999999999999</v>
      </c>
      <c r="AU82" s="270">
        <f>IFERROR(VLOOKUP(I82,Konfiguracja!$M$3:$AM$57,26,0),0)</f>
        <v>0</v>
      </c>
      <c r="AV82" s="279">
        <f t="shared" si="78"/>
        <v>1</v>
      </c>
    </row>
    <row r="83" spans="1:48" ht="23.25">
      <c r="A83" s="33">
        <f t="shared" si="60"/>
        <v>40</v>
      </c>
      <c r="B83" s="43" t="str">
        <f>IFERROR(VLOOKUP(C83,Receptury_z!$A:$B,2,0),"Brak w bazie")</f>
        <v>ON</v>
      </c>
      <c r="C83" s="110">
        <v>6479</v>
      </c>
      <c r="D83" s="859" t="s">
        <v>15439</v>
      </c>
      <c r="E83" s="870">
        <f t="shared" si="74"/>
        <v>0</v>
      </c>
      <c r="F83" s="860">
        <f>IF($E$4="x",0,IF($E$4="d",AK88,IF(AV88&gt;1,VLOOKUP(C83,Konfiguracja!$M$60:$T$148,8,0),IF((A83-E83)&lt;0,0,A83-E83))))</f>
        <v>0</v>
      </c>
      <c r="G83" s="203">
        <f t="shared" si="61"/>
        <v>0</v>
      </c>
      <c r="H83" s="498">
        <f t="shared" si="62"/>
        <v>0</v>
      </c>
      <c r="W83">
        <f>IF(LEN(C78)&gt;4,9999,C78)</f>
        <v>7920</v>
      </c>
      <c r="X83">
        <f>IF(LEN(C78)&gt;4,9999,0)</f>
        <v>0</v>
      </c>
      <c r="Y83">
        <f t="shared" si="77"/>
        <v>0</v>
      </c>
      <c r="Z83" t="e">
        <f>VLOOKUP($J83,Konfiguracja!$B$3:$E$42,2,0)</f>
        <v>#N/A</v>
      </c>
      <c r="AA83" t="e">
        <f>VLOOKUP($J83,Konfiguracja!$B$3:$E$42,3,0)</f>
        <v>#N/A</v>
      </c>
      <c r="AB83" t="e">
        <f>VLOOKUP($J83,Konfiguracja!$B$3:$E$42,4,0)</f>
        <v>#N/A</v>
      </c>
      <c r="AC83" t="s">
        <v>177</v>
      </c>
      <c r="AK83">
        <f t="shared" si="72"/>
        <v>1.8</v>
      </c>
      <c r="AQ83" s="258"/>
      <c r="AR83">
        <f>IFERROR(VLOOKUP(C78,Receptury_z!$A:$C,3,0),0)</f>
        <v>5691</v>
      </c>
      <c r="AS83" s="256"/>
      <c r="AT83" s="268">
        <f ca="1">VLOOKUP(AR83,Konfiguracja!$N$60:$AC$148,16,0)/1000</f>
        <v>0</v>
      </c>
      <c r="AU83" s="270">
        <f>IFERROR(VLOOKUP(I83,Konfiguracja!$M$3:$AM$57,26,0),0)</f>
        <v>0</v>
      </c>
      <c r="AV83" s="279">
        <f t="shared" si="78"/>
        <v>1</v>
      </c>
    </row>
    <row r="84" spans="1:48" ht="23.25">
      <c r="A84" s="33">
        <f t="shared" si="60"/>
        <v>0</v>
      </c>
      <c r="B84" s="43" t="str">
        <f>IFERROR(VLOOKUP(C84,Receptury_z!$A:$B,2,0),"Brak w bazie")</f>
        <v>ON</v>
      </c>
      <c r="C84" s="110">
        <v>6486</v>
      </c>
      <c r="D84" s="859" t="s">
        <v>15389</v>
      </c>
      <c r="E84" s="870">
        <f t="shared" si="74"/>
        <v>0</v>
      </c>
      <c r="F84" s="860">
        <f>IF($E$4="x",0,IF($E$4="d",AK89,IF(AV89&gt;1,VLOOKUP(C84,Konfiguracja!$M$60:$T$148,8,0),IF((A84-E84)&lt;0,0,A84-E84))))</f>
        <v>0</v>
      </c>
      <c r="G84" s="203">
        <f t="shared" si="61"/>
        <v>0</v>
      </c>
      <c r="H84" s="498">
        <f t="shared" si="62"/>
        <v>0</v>
      </c>
      <c r="W84" s="91">
        <v>7930</v>
      </c>
      <c r="X84" s="91">
        <v>7932</v>
      </c>
      <c r="Y84" s="91">
        <f t="shared" si="77"/>
        <v>9999</v>
      </c>
      <c r="Z84" t="e">
        <f>VLOOKUP(#REF!,Konfiguracja!$B$3:$E$42,2,0)</f>
        <v>#REF!</v>
      </c>
      <c r="AA84" t="e">
        <f>VLOOKUP(#REF!,Konfiguracja!$B$3:$E$42,3,0)</f>
        <v>#REF!</v>
      </c>
      <c r="AB84" t="e">
        <f>VLOOKUP(#REF!,Konfiguracja!$B$3:$E$42,4,0)</f>
        <v>#REF!</v>
      </c>
      <c r="AC84" t="s">
        <v>177</v>
      </c>
      <c r="AK84">
        <f t="shared" si="72"/>
        <v>6.2</v>
      </c>
      <c r="AQ84" s="258"/>
      <c r="AR84">
        <f>IFERROR(VLOOKUP(C79,Receptury_z!$A:$C,3,0),0)</f>
        <v>5693</v>
      </c>
      <c r="AS84" s="256"/>
      <c r="AT84" s="268">
        <f ca="1">VLOOKUP(AR84,Konfiguracja!$N$60:$AC$148,16,0)/1000</f>
        <v>0</v>
      </c>
      <c r="AU84" s="270">
        <f>IFERROR(VLOOKUP(I84,Konfiguracja!$M$3:$AM$57,26,0),0)</f>
        <v>0</v>
      </c>
      <c r="AV84" s="279">
        <f t="shared" si="78"/>
        <v>1</v>
      </c>
    </row>
    <row r="85" spans="1:48" ht="23.25">
      <c r="A85" s="33">
        <f t="shared" si="60"/>
        <v>40</v>
      </c>
      <c r="B85" s="43" t="str">
        <f>IFERROR(VLOOKUP(C85,Receptury_z!$A:$B,2,0),"Brak w bazie")</f>
        <v>ON</v>
      </c>
      <c r="C85" s="110">
        <v>6599</v>
      </c>
      <c r="D85" s="859" t="s">
        <v>15606</v>
      </c>
      <c r="E85" s="870">
        <f t="shared" si="74"/>
        <v>0</v>
      </c>
      <c r="F85" s="860">
        <f>IF($E$4="x",0,IF($E$4="d",AK90,IF(AV90&gt;1,VLOOKUP(C85,Konfiguracja!$M$60:$T$148,8,0),IF((A85-E85)&lt;0,0,A85-E85))))</f>
        <v>0</v>
      </c>
      <c r="G85" s="203">
        <f t="shared" si="61"/>
        <v>0</v>
      </c>
      <c r="H85" s="498">
        <f t="shared" si="62"/>
        <v>40</v>
      </c>
      <c r="W85">
        <f t="shared" ref="W85:W98" si="79">IF(LEN(C80)&gt;4,9999,C80)</f>
        <v>7081</v>
      </c>
      <c r="X85">
        <f t="shared" ref="X85:X98" si="80">IF(LEN(C80)&gt;4,9999,0)</f>
        <v>0</v>
      </c>
      <c r="Y85">
        <f t="shared" si="77"/>
        <v>0</v>
      </c>
      <c r="Z85" t="e">
        <f>VLOOKUP($J84,Konfiguracja!$B$3:$E$42,2,0)</f>
        <v>#N/A</v>
      </c>
      <c r="AA85" t="e">
        <f>VLOOKUP($J84,Konfiguracja!$B$3:$E$42,3,0)</f>
        <v>#N/A</v>
      </c>
      <c r="AB85" t="e">
        <f>VLOOKUP($J84,Konfiguracja!$B$3:$E$42,4,0)</f>
        <v>#N/A</v>
      </c>
      <c r="AC85" t="s">
        <v>177</v>
      </c>
      <c r="AK85">
        <f t="shared" si="72"/>
        <v>0</v>
      </c>
      <c r="AQ85" s="258"/>
      <c r="AR85">
        <f>IFERROR(VLOOKUP(C80,Receptury_z!$A:$C,3,0),0)</f>
        <v>5695</v>
      </c>
      <c r="AS85" s="256"/>
      <c r="AT85" s="268">
        <f ca="1">VLOOKUP(AR85,Konfiguracja!$N$60:$AC$148,16,0)/1000</f>
        <v>0</v>
      </c>
      <c r="AU85" s="270">
        <f>IFERROR(VLOOKUP(I85,Konfiguracja!$M$3:$AM$57,26,0),0)</f>
        <v>0</v>
      </c>
      <c r="AV85" s="279">
        <f t="shared" si="78"/>
        <v>1</v>
      </c>
    </row>
    <row r="86" spans="1:48" ht="23.25">
      <c r="A86" s="33">
        <f t="shared" si="60"/>
        <v>0</v>
      </c>
      <c r="B86" s="43" t="str">
        <f>IFERROR(VLOOKUP(C86,Receptury_z!$A:$B,2,0),"Brak w bazie")</f>
        <v>ON</v>
      </c>
      <c r="C86" s="12">
        <v>6439</v>
      </c>
      <c r="D86" s="880" t="s">
        <v>34</v>
      </c>
      <c r="E86" s="870">
        <f t="shared" si="74"/>
        <v>0</v>
      </c>
      <c r="F86" s="860">
        <f>IF($E$4="x",0,IF($E$4="d",AK91,IF(AV91&gt;1,VLOOKUP(C86,Konfiguracja!$M$60:$T$148,8,0),IF((A86-E86)&lt;0,0,A86-E86))))</f>
        <v>0</v>
      </c>
      <c r="G86" s="203">
        <f t="shared" si="61"/>
        <v>0</v>
      </c>
      <c r="H86" s="498">
        <f t="shared" si="62"/>
        <v>0</v>
      </c>
      <c r="W86">
        <f t="shared" si="79"/>
        <v>6499</v>
      </c>
      <c r="X86">
        <f t="shared" si="80"/>
        <v>0</v>
      </c>
      <c r="Y86">
        <f t="shared" si="77"/>
        <v>0</v>
      </c>
      <c r="Z86" t="e">
        <f>VLOOKUP($J86,Konfiguracja!$B$3:$E$42,2,0)</f>
        <v>#N/A</v>
      </c>
      <c r="AA86" t="e">
        <f>VLOOKUP($J86,Konfiguracja!$B$3:$E$42,3,0)</f>
        <v>#N/A</v>
      </c>
      <c r="AB86" t="e">
        <f>VLOOKUP($J86,Konfiguracja!$B$3:$E$42,4,0)</f>
        <v>#N/A</v>
      </c>
      <c r="AC86" t="s">
        <v>177</v>
      </c>
      <c r="AK86">
        <f t="shared" si="72"/>
        <v>0</v>
      </c>
      <c r="AQ86" s="258">
        <f ca="1">IFERROR(VLOOKUP($I86,Konfiguracja!M:AF,16,0),0)</f>
        <v>0</v>
      </c>
      <c r="AR86">
        <f>IFERROR(VLOOKUP(C81,Receptury_z!$A:$C,3,0),0)</f>
        <v>5528</v>
      </c>
      <c r="AS86" s="256">
        <f>SUMIF(TPS_mięsa!$Q$2:$Q$300,AR86,TPS_mięsa!$G$2:$G$300)/1000</f>
        <v>0</v>
      </c>
      <c r="AT86" s="268">
        <f ca="1">VLOOKUP(AR86,Konfiguracja!$N$60:$AC$148,16,0)/1000</f>
        <v>0</v>
      </c>
      <c r="AU86" s="270">
        <f>IFERROR(VLOOKUP(I86,Konfiguracja!$M$3:$AM$57,26,0),0)</f>
        <v>0</v>
      </c>
      <c r="AV86" s="279">
        <f t="shared" si="78"/>
        <v>1</v>
      </c>
    </row>
    <row r="87" spans="1:48" ht="23.25">
      <c r="A87" s="33">
        <f t="shared" si="60"/>
        <v>0</v>
      </c>
      <c r="B87" s="43" t="str">
        <f>IFERROR(VLOOKUP(C87,Receptury_z!$A:$B,2,0),"Brak w bazie")</f>
        <v>ON</v>
      </c>
      <c r="C87" s="12">
        <v>6449</v>
      </c>
      <c r="D87" s="859" t="s">
        <v>41</v>
      </c>
      <c r="E87" s="870">
        <f t="shared" si="74"/>
        <v>0</v>
      </c>
      <c r="F87" s="860">
        <f>IF($E$4="x",0,IF($E$4="d",AK92,IF(AV92&gt;1,VLOOKUP(C87,Konfiguracja!$M$60:$T$148,8,0),IF((A87-E87)&lt;0,0,A87-E87))))</f>
        <v>0</v>
      </c>
      <c r="G87" s="203">
        <f t="shared" si="61"/>
        <v>0</v>
      </c>
      <c r="H87" s="498">
        <f t="shared" si="62"/>
        <v>0</v>
      </c>
      <c r="W87">
        <f t="shared" si="79"/>
        <v>6448</v>
      </c>
      <c r="X87">
        <f t="shared" si="80"/>
        <v>0</v>
      </c>
      <c r="Y87">
        <f t="shared" si="77"/>
        <v>0</v>
      </c>
      <c r="Z87" t="e">
        <f>VLOOKUP($J87,Konfiguracja!$B$3:$E$42,2,0)</f>
        <v>#N/A</v>
      </c>
      <c r="AA87" t="e">
        <f>VLOOKUP($J87,Konfiguracja!$B$3:$E$42,3,0)</f>
        <v>#N/A</v>
      </c>
      <c r="AB87" t="e">
        <f>VLOOKUP($J87,Konfiguracja!$B$3:$E$42,4,0)</f>
        <v>#N/A</v>
      </c>
      <c r="AC87" t="s">
        <v>177</v>
      </c>
      <c r="AK87">
        <f t="shared" si="72"/>
        <v>0</v>
      </c>
      <c r="AQ87" s="258">
        <f ca="1">IFERROR(VLOOKUP($I87,Konfiguracja!M:AF,16,0),0)</f>
        <v>0</v>
      </c>
      <c r="AR87">
        <f>IFERROR(VLOOKUP(C82,Receptury_z!$A:$C,3,0),0)</f>
        <v>5544</v>
      </c>
      <c r="AS87" s="256">
        <f>SUMIF(TPS_mięsa!$Q$2:$Q$300,AR87,TPS_mięsa!$G$2:$G$300)/1000</f>
        <v>0</v>
      </c>
      <c r="AT87" s="268">
        <f ca="1">VLOOKUP(AR87,Konfiguracja!$N$60:$AC$148,16,0)/1000</f>
        <v>0</v>
      </c>
      <c r="AU87" s="270">
        <f>IFERROR(VLOOKUP(I87,Konfiguracja!$M$3:$AM$57,26,0),0)</f>
        <v>0</v>
      </c>
      <c r="AV87" s="279">
        <f t="shared" si="78"/>
        <v>1</v>
      </c>
    </row>
    <row r="88" spans="1:48" ht="23.25">
      <c r="A88" s="33">
        <f t="shared" si="60"/>
        <v>40</v>
      </c>
      <c r="B88" s="43" t="str">
        <f>IFERROR(VLOOKUP(C88,Receptury_z!$A:$B,2,0),"Brak w bazie")</f>
        <v>ON</v>
      </c>
      <c r="C88" s="12">
        <v>6451</v>
      </c>
      <c r="D88" s="859" t="s">
        <v>36</v>
      </c>
      <c r="E88" s="870">
        <f t="shared" si="74"/>
        <v>0</v>
      </c>
      <c r="F88" s="860">
        <f>IF($E$4="x",0,IF($E$4="d",AK93,IF(AV93&gt;1,VLOOKUP(C88,Konfiguracja!$M$60:$T$148,8,0),IF((A88-E88)&lt;0,0,A88-E88))))</f>
        <v>0</v>
      </c>
      <c r="G88" s="203">
        <f t="shared" si="61"/>
        <v>80</v>
      </c>
      <c r="H88" s="498">
        <f t="shared" si="62"/>
        <v>40</v>
      </c>
      <c r="W88">
        <f t="shared" si="79"/>
        <v>6479</v>
      </c>
      <c r="X88">
        <f t="shared" si="80"/>
        <v>0</v>
      </c>
      <c r="Y88">
        <f t="shared" si="77"/>
        <v>0</v>
      </c>
      <c r="Z88" t="e">
        <f>VLOOKUP($J88,Konfiguracja!$B$3:$E$42,2,0)</f>
        <v>#N/A</v>
      </c>
      <c r="AA88" t="e">
        <f>VLOOKUP($J88,Konfiguracja!$B$3:$E$42,3,0)</f>
        <v>#N/A</v>
      </c>
      <c r="AB88" t="e">
        <f>VLOOKUP($J88,Konfiguracja!$B$3:$E$42,4,0)</f>
        <v>#N/A</v>
      </c>
      <c r="AC88" t="s">
        <v>177</v>
      </c>
      <c r="AK88">
        <f t="shared" si="72"/>
        <v>40</v>
      </c>
      <c r="AQ88" s="258">
        <f ca="1">IFERROR(VLOOKUP($I88,Konfiguracja!M:AF,16,0),0)</f>
        <v>0</v>
      </c>
      <c r="AR88">
        <f>IFERROR(VLOOKUP(C83,Receptury_z!$A:$C,3,0),0)</f>
        <v>5594</v>
      </c>
      <c r="AS88" s="256">
        <f>SUMIF(TPS_mięsa!$Q$2:$Q$300,AR88,TPS_mięsa!$G$2:$G$300)/1000</f>
        <v>0</v>
      </c>
      <c r="AT88" s="268">
        <f ca="1">VLOOKUP(AR88,Konfiguracja!$N$60:$AC$148,16,0)/1000</f>
        <v>0</v>
      </c>
      <c r="AU88" s="270">
        <f>IFERROR(VLOOKUP(I88,Konfiguracja!$M$3:$AM$57,26,0),0)</f>
        <v>0</v>
      </c>
      <c r="AV88" s="279">
        <f t="shared" si="78"/>
        <v>1</v>
      </c>
    </row>
    <row r="89" spans="1:48" ht="23.25">
      <c r="A89" s="33">
        <f t="shared" si="60"/>
        <v>0</v>
      </c>
      <c r="B89" s="43" t="str">
        <f>IFERROR(VLOOKUP(C89,Receptury_z!$A:$B,2,0),"Brak w bazie")</f>
        <v>OFF</v>
      </c>
      <c r="C89" s="12">
        <v>6443</v>
      </c>
      <c r="D89" s="859" t="s">
        <v>23</v>
      </c>
      <c r="E89" s="870">
        <f t="shared" si="74"/>
        <v>0</v>
      </c>
      <c r="F89" s="860">
        <f>IF($E$4="x",0,IF($E$4="d",AK94,IF(AV94&gt;1,VLOOKUP(C89,Konfiguracja!$M$60:$T$148,8,0),IF((A89-E89)&lt;0,0,A89-E89))))</f>
        <v>0</v>
      </c>
      <c r="G89" s="203">
        <f t="shared" si="61"/>
        <v>0</v>
      </c>
      <c r="H89" s="498">
        <f t="shared" si="62"/>
        <v>0</v>
      </c>
      <c r="W89">
        <f t="shared" si="79"/>
        <v>6486</v>
      </c>
      <c r="X89">
        <f t="shared" si="80"/>
        <v>0</v>
      </c>
      <c r="Y89">
        <f t="shared" si="77"/>
        <v>0</v>
      </c>
      <c r="Z89" t="e">
        <f>VLOOKUP($J89,Konfiguracja!$B$3:$E$42,2,0)</f>
        <v>#N/A</v>
      </c>
      <c r="AA89" t="e">
        <f>VLOOKUP($J89,Konfiguracja!$B$3:$E$42,3,0)</f>
        <v>#N/A</v>
      </c>
      <c r="AB89" t="e">
        <f>VLOOKUP($J89,Konfiguracja!$B$3:$E$42,4,0)</f>
        <v>#N/A</v>
      </c>
      <c r="AC89" t="s">
        <v>177</v>
      </c>
      <c r="AK89">
        <f t="shared" si="72"/>
        <v>0</v>
      </c>
      <c r="AQ89" s="258">
        <f ca="1">IFERROR(VLOOKUP($I89,Konfiguracja!M:AF,16,0),0)</f>
        <v>0</v>
      </c>
      <c r="AR89">
        <f>IFERROR(VLOOKUP(C84,Receptury_z!$A:$C,3,0),0)</f>
        <v>5593</v>
      </c>
      <c r="AS89" s="256">
        <f>SUMIF(TPS_mięsa!$Q$2:$Q$300,AR89,TPS_mięsa!$G$2:$G$300)/1000</f>
        <v>0</v>
      </c>
      <c r="AT89" s="268">
        <f ca="1">VLOOKUP(AR89,Konfiguracja!$N$60:$AC$148,16,0)/1000</f>
        <v>0</v>
      </c>
      <c r="AU89" s="270">
        <f>IFERROR(VLOOKUP(I89,Konfiguracja!$M$3:$AM$57,26,0),0)</f>
        <v>0</v>
      </c>
      <c r="AV89" s="279">
        <f t="shared" si="78"/>
        <v>1</v>
      </c>
    </row>
    <row r="90" spans="1:48" ht="23.25">
      <c r="A90" s="33">
        <f t="shared" si="60"/>
        <v>0</v>
      </c>
      <c r="B90" s="43" t="str">
        <f>IFERROR(VLOOKUP(C90,Receptury_z!$A:$B,2,0),"Brak w bazie")</f>
        <v>OFF</v>
      </c>
      <c r="C90" s="12">
        <v>6445</v>
      </c>
      <c r="D90" s="859" t="s">
        <v>44</v>
      </c>
      <c r="E90" s="870">
        <f t="shared" si="74"/>
        <v>0</v>
      </c>
      <c r="F90" s="860">
        <f>IF($E$4="x",0,IF($E$4="d",AK95,IF(AV95&gt;1,VLOOKUP(C90,Konfiguracja!$M$60:$T$148,8,0),IF((A90-E90)&lt;0,0,A90-E90))))</f>
        <v>0</v>
      </c>
      <c r="G90" s="203">
        <f t="shared" si="61"/>
        <v>0</v>
      </c>
      <c r="H90" s="498">
        <f t="shared" si="62"/>
        <v>0</v>
      </c>
      <c r="W90">
        <f t="shared" si="79"/>
        <v>6599</v>
      </c>
      <c r="X90">
        <f t="shared" si="80"/>
        <v>0</v>
      </c>
      <c r="Y90">
        <f t="shared" si="77"/>
        <v>0</v>
      </c>
      <c r="Z90" t="e">
        <f>VLOOKUP($J90,Konfiguracja!$B$3:$E$42,2,0)</f>
        <v>#N/A</v>
      </c>
      <c r="AA90" t="e">
        <f>VLOOKUP($J90,Konfiguracja!$B$3:$E$42,3,0)</f>
        <v>#N/A</v>
      </c>
      <c r="AB90" t="e">
        <f>VLOOKUP($J90,Konfiguracja!$B$3:$E$42,4,0)</f>
        <v>#N/A</v>
      </c>
      <c r="AC90" t="s">
        <v>177</v>
      </c>
      <c r="AK90">
        <f t="shared" si="72"/>
        <v>40</v>
      </c>
      <c r="AQ90" s="258">
        <f ca="1">IFERROR(VLOOKUP($I90,Konfiguracja!M:AF,16,0),0)</f>
        <v>0</v>
      </c>
      <c r="AR90">
        <f>IFERROR(VLOOKUP(C85,Receptury_z!$A:$C,3,0),0)</f>
        <v>5600</v>
      </c>
      <c r="AS90" s="256">
        <f>SUMIF(TPS_mięsa!$Q$2:$Q$300,AR90,TPS_mięsa!$G$2:$G$300)/1000</f>
        <v>0.4</v>
      </c>
      <c r="AT90" s="268">
        <f ca="1">VLOOKUP(AR90,Konfiguracja!$N$60:$AC$148,16,0)/1000</f>
        <v>0</v>
      </c>
      <c r="AU90" s="270">
        <f>IFERROR(VLOOKUP(I90,Konfiguracja!$M$3:$AM$57,26,0),0)</f>
        <v>0</v>
      </c>
      <c r="AV90" s="279">
        <f t="shared" si="78"/>
        <v>1</v>
      </c>
    </row>
    <row r="91" spans="1:48" ht="23.25">
      <c r="A91" s="33">
        <f t="shared" si="60"/>
        <v>0</v>
      </c>
      <c r="B91" s="43" t="str">
        <f>IFERROR(VLOOKUP(C91,Receptury_z!$A:$B,2,0),"Brak w bazie")</f>
        <v>ON</v>
      </c>
      <c r="C91" s="12">
        <v>6462</v>
      </c>
      <c r="D91" s="859" t="s">
        <v>186</v>
      </c>
      <c r="E91" s="870">
        <f t="shared" si="74"/>
        <v>0</v>
      </c>
      <c r="F91" s="860">
        <f>IF($E$4="x",0,IF($E$4="d",AK96,IF(AV96&gt;1,VLOOKUP(C91,Konfiguracja!$M$60:$T$148,8,0),IF((A91-E91)&lt;0,0,A91-E91))))</f>
        <v>0</v>
      </c>
      <c r="G91" s="203">
        <f t="shared" si="61"/>
        <v>0</v>
      </c>
      <c r="H91" s="498">
        <f t="shared" si="62"/>
        <v>0</v>
      </c>
      <c r="W91">
        <f t="shared" si="79"/>
        <v>6439</v>
      </c>
      <c r="X91">
        <f t="shared" si="80"/>
        <v>0</v>
      </c>
      <c r="Y91">
        <f t="shared" si="77"/>
        <v>0</v>
      </c>
      <c r="Z91" t="e">
        <f>VLOOKUP($J91,Konfiguracja!$B$3:$E$42,2,0)</f>
        <v>#N/A</v>
      </c>
      <c r="AA91" t="e">
        <f>VLOOKUP($J91,Konfiguracja!$B$3:$E$42,3,0)</f>
        <v>#N/A</v>
      </c>
      <c r="AB91" t="e">
        <f>VLOOKUP($J91,Konfiguracja!$B$3:$E$42,4,0)</f>
        <v>#N/A</v>
      </c>
      <c r="AC91" t="s">
        <v>177</v>
      </c>
      <c r="AK91">
        <f t="shared" si="72"/>
        <v>0</v>
      </c>
      <c r="AQ91" s="258">
        <f ca="1">IFERROR(VLOOKUP($I91,Konfiguracja!M:AF,16,0),0)</f>
        <v>0</v>
      </c>
      <c r="AR91">
        <f>IFERROR(VLOOKUP(C86,Receptury_z!$A:$C,3,0),0)</f>
        <v>5549</v>
      </c>
      <c r="AS91" s="256">
        <f>SUMIF(TPS_mięsa!$Q$2:$Q$300,AR91,TPS_mięsa!$G$2:$G$300)/1000</f>
        <v>0</v>
      </c>
      <c r="AT91" s="268">
        <f ca="1">VLOOKUP(AR91,Konfiguracja!$N$60:$AC$148,16,0)/1000</f>
        <v>0</v>
      </c>
      <c r="AU91" s="270">
        <f>IFERROR(VLOOKUP(I91,Konfiguracja!$M$3:$AM$57,26,0),0)</f>
        <v>0</v>
      </c>
      <c r="AV91" s="279">
        <f t="shared" si="78"/>
        <v>1</v>
      </c>
    </row>
    <row r="92" spans="1:48" ht="23.25">
      <c r="A92" s="33">
        <f t="shared" si="60"/>
        <v>0</v>
      </c>
      <c r="B92" s="43" t="str">
        <f>IFERROR(VLOOKUP(C92,Receptury_z!$A:$B,2,0),"Brak w bazie")</f>
        <v>OFF</v>
      </c>
      <c r="C92" s="12">
        <v>6447</v>
      </c>
      <c r="D92" s="859" t="s">
        <v>151</v>
      </c>
      <c r="E92" s="870">
        <f t="shared" si="74"/>
        <v>0</v>
      </c>
      <c r="F92" s="860">
        <f>IF($E$4="x",0,IF($E$4="d",AK97,IF(AV97&gt;1,VLOOKUP(C92,Konfiguracja!$M$60:$T$148,8,0),IF((A92-E92)&lt;0,0,A92-E92))))</f>
        <v>0</v>
      </c>
      <c r="G92" s="203">
        <f t="shared" si="61"/>
        <v>0</v>
      </c>
      <c r="H92" s="498">
        <f t="shared" si="62"/>
        <v>0</v>
      </c>
      <c r="W92">
        <f t="shared" si="79"/>
        <v>6449</v>
      </c>
      <c r="X92">
        <f t="shared" si="80"/>
        <v>0</v>
      </c>
      <c r="Y92">
        <f t="shared" si="77"/>
        <v>0</v>
      </c>
      <c r="Z92" t="e">
        <f>VLOOKUP($J92,Konfiguracja!$B$3:$E$42,2,0)</f>
        <v>#N/A</v>
      </c>
      <c r="AA92" t="e">
        <f>VLOOKUP($J92,Konfiguracja!$B$3:$E$42,3,0)</f>
        <v>#N/A</v>
      </c>
      <c r="AB92" t="e">
        <f>VLOOKUP($J92,Konfiguracja!$B$3:$E$42,4,0)</f>
        <v>#N/A</v>
      </c>
      <c r="AC92" t="s">
        <v>177</v>
      </c>
      <c r="AK92">
        <f t="shared" si="72"/>
        <v>0</v>
      </c>
      <c r="AQ92" s="258">
        <f ca="1">IFERROR(VLOOKUP($I92,Konfiguracja!M:AF,16,0),0)</f>
        <v>0</v>
      </c>
      <c r="AR92">
        <f>IFERROR(VLOOKUP(C87,Receptury_z!$A:$C,3,0),0)</f>
        <v>5550</v>
      </c>
      <c r="AS92" s="256">
        <f>SUMIF(TPS_mięsa!$Q$2:$Q$300,AR92,TPS_mięsa!$G$2:$G$300)/1000</f>
        <v>0</v>
      </c>
      <c r="AT92" s="268">
        <f ca="1">VLOOKUP(AR92,Konfiguracja!$N$60:$AC$148,16,0)/1000</f>
        <v>0</v>
      </c>
      <c r="AU92" s="270">
        <f>IFERROR(VLOOKUP(I92,Konfiguracja!$M$3:$AM$57,26,0),0)</f>
        <v>0</v>
      </c>
      <c r="AV92" s="279">
        <f t="shared" si="78"/>
        <v>1</v>
      </c>
    </row>
    <row r="93" spans="1:48" ht="24" thickBot="1">
      <c r="A93" s="33">
        <f t="shared" si="60"/>
        <v>0</v>
      </c>
      <c r="B93" s="43" t="str">
        <f>IFERROR(VLOOKUP(C93,Receptury_z!$A:$B,2,0),"Brak w bazie")</f>
        <v>OFF</v>
      </c>
      <c r="C93" s="511">
        <v>6444</v>
      </c>
      <c r="D93" s="881" t="s">
        <v>26</v>
      </c>
      <c r="E93" s="871">
        <f t="shared" si="74"/>
        <v>0</v>
      </c>
      <c r="F93" s="868">
        <f>IF($E$4="x",0,IF($E$4="d",AK98,IF(AV98&gt;1,VLOOKUP(C93,Konfiguracja!$M$60:$T$148,8,0),IF((A93-E93)&lt;0,0,A93-E93))))</f>
        <v>0</v>
      </c>
      <c r="G93" s="204">
        <f t="shared" si="61"/>
        <v>0</v>
      </c>
      <c r="H93" s="499">
        <f t="shared" si="62"/>
        <v>0</v>
      </c>
      <c r="W93">
        <f t="shared" si="79"/>
        <v>6451</v>
      </c>
      <c r="X93">
        <f t="shared" si="80"/>
        <v>0</v>
      </c>
      <c r="Y93">
        <f t="shared" si="77"/>
        <v>0</v>
      </c>
      <c r="Z93" t="e">
        <f>VLOOKUP($J93,Konfiguracja!$B$3:$E$42,2,0)</f>
        <v>#N/A</v>
      </c>
      <c r="AA93" t="e">
        <f>VLOOKUP($J93,Konfiguracja!$B$3:$E$42,3,0)</f>
        <v>#N/A</v>
      </c>
      <c r="AB93" t="e">
        <f>VLOOKUP($J93,Konfiguracja!$B$3:$E$42,4,0)</f>
        <v>#N/A</v>
      </c>
      <c r="AC93" t="s">
        <v>177</v>
      </c>
      <c r="AK93">
        <f t="shared" si="72"/>
        <v>0</v>
      </c>
      <c r="AQ93" s="258">
        <f ca="1">IFERROR(VLOOKUP($I93,Konfiguracja!M:AF,16,0),0)</f>
        <v>0</v>
      </c>
      <c r="AR93">
        <f>IFERROR(VLOOKUP(C88,Receptury_z!$A:$C,3,0),0)</f>
        <v>5556</v>
      </c>
      <c r="AS93" s="256">
        <f>SUMIF(TPS_mięsa!$Q$2:$Q$300,AR93,TPS_mięsa!$G$2:$G$300)/1000</f>
        <v>0</v>
      </c>
      <c r="AT93" s="268">
        <f ca="1">VLOOKUP(AR93,Konfiguracja!$N$60:$AC$148,16,0)/1000</f>
        <v>0</v>
      </c>
      <c r="AU93" s="270">
        <f>IFERROR(VLOOKUP(I93,Konfiguracja!$M$3:$AM$57,26,0),0)</f>
        <v>0</v>
      </c>
      <c r="AV93" s="279">
        <f t="shared" si="78"/>
        <v>1</v>
      </c>
    </row>
    <row r="94" spans="1:48" ht="16.5" thickTop="1">
      <c r="C94" s="139"/>
      <c r="D94" s="140" t="s">
        <v>247</v>
      </c>
      <c r="E94" s="141">
        <f>SUM(E6:E70)</f>
        <v>0</v>
      </c>
      <c r="F94" s="142">
        <f>SUM(F6:F80)</f>
        <v>0</v>
      </c>
      <c r="G94" s="142">
        <f>SUM(G6:G80)</f>
        <v>81.09999999999998</v>
      </c>
      <c r="H94" s="142">
        <f>SUM(H6:H80)</f>
        <v>61.199999999999996</v>
      </c>
      <c r="W94">
        <f t="shared" si="79"/>
        <v>6443</v>
      </c>
      <c r="X94">
        <f t="shared" si="80"/>
        <v>0</v>
      </c>
      <c r="Y94">
        <f t="shared" si="77"/>
        <v>0</v>
      </c>
      <c r="Z94" t="e">
        <f>VLOOKUP($J94,Konfiguracja!$B$3:$E$42,2,0)</f>
        <v>#N/A</v>
      </c>
      <c r="AA94" t="e">
        <f>VLOOKUP($J94,Konfiguracja!$B$3:$E$42,3,0)</f>
        <v>#N/A</v>
      </c>
      <c r="AB94" t="e">
        <f>VLOOKUP($J94,Konfiguracja!$B$3:$E$42,4,0)</f>
        <v>#N/A</v>
      </c>
      <c r="AC94" t="s">
        <v>177</v>
      </c>
      <c r="AK94">
        <f t="shared" si="72"/>
        <v>0</v>
      </c>
      <c r="AQ94" s="258">
        <f ca="1">IFERROR(VLOOKUP($I94,Konfiguracja!M:AF,16,0),0)</f>
        <v>0</v>
      </c>
      <c r="AR94">
        <f>IFERROR(VLOOKUP(C89,Receptury_z!$A:$C,3,0),0)</f>
        <v>5545</v>
      </c>
      <c r="AS94" s="256">
        <f>SUMIF(TPS_mięsa!$Q$2:$Q$300,AR94,TPS_mięsa!$G$2:$G$300)/1000</f>
        <v>0</v>
      </c>
      <c r="AT94" s="268">
        <f ca="1">VLOOKUP(AR94,Konfiguracja!$N$60:$AC$148,16,0)/1000</f>
        <v>0</v>
      </c>
      <c r="AU94" s="270">
        <f>IFERROR(VLOOKUP(I94,Konfiguracja!$M$3:$AM$57,26,0),0)</f>
        <v>0</v>
      </c>
      <c r="AV94" s="279">
        <f t="shared" si="78"/>
        <v>1</v>
      </c>
    </row>
    <row r="95" spans="1:48">
      <c r="W95">
        <f t="shared" si="79"/>
        <v>6445</v>
      </c>
      <c r="X95">
        <f t="shared" si="80"/>
        <v>0</v>
      </c>
      <c r="Y95">
        <f t="shared" si="77"/>
        <v>0</v>
      </c>
      <c r="Z95" t="e">
        <f>VLOOKUP($J95,Konfiguracja!$B$3:$E$42,2,0)</f>
        <v>#N/A</v>
      </c>
      <c r="AA95" t="e">
        <f>VLOOKUP($J95,Konfiguracja!$B$3:$E$42,3,0)</f>
        <v>#N/A</v>
      </c>
      <c r="AB95" t="e">
        <f>VLOOKUP($J95,Konfiguracja!$B$3:$E$42,4,0)</f>
        <v>#N/A</v>
      </c>
      <c r="AC95" t="s">
        <v>177</v>
      </c>
      <c r="AK95">
        <f t="shared" si="72"/>
        <v>0</v>
      </c>
      <c r="AQ95" s="258">
        <f ca="1">IFERROR(VLOOKUP($I95,Konfiguracja!M:AF,16,0),0)</f>
        <v>0</v>
      </c>
      <c r="AR95">
        <f>IFERROR(VLOOKUP(C90,Receptury_z!$A:$C,3,0),0)</f>
        <v>5547</v>
      </c>
      <c r="AS95" s="256">
        <f>SUMIF(TPS_mięsa!$Q$2:$Q$300,AR95,TPS_mięsa!$G$2:$G$300)/1000</f>
        <v>0</v>
      </c>
      <c r="AT95" s="268">
        <f ca="1">VLOOKUP(AR95,Konfiguracja!$N$60:$AC$148,16,0)/1000</f>
        <v>0</v>
      </c>
      <c r="AU95" s="270">
        <f>IFERROR(VLOOKUP(I95,Konfiguracja!$M$3:$AM$57,26,0),0)</f>
        <v>0</v>
      </c>
      <c r="AV95" s="279">
        <f t="shared" si="78"/>
        <v>1</v>
      </c>
    </row>
    <row r="96" spans="1:48">
      <c r="W96">
        <f t="shared" si="79"/>
        <v>6462</v>
      </c>
      <c r="X96">
        <f t="shared" si="80"/>
        <v>0</v>
      </c>
      <c r="Y96">
        <f t="shared" si="77"/>
        <v>0</v>
      </c>
      <c r="Z96" t="e">
        <f>VLOOKUP($J96,Konfiguracja!$B$3:$E$42,2,0)</f>
        <v>#N/A</v>
      </c>
      <c r="AA96" t="e">
        <f>VLOOKUP($J96,Konfiguracja!$B$3:$E$42,3,0)</f>
        <v>#N/A</v>
      </c>
      <c r="AB96" t="e">
        <f>VLOOKUP($J96,Konfiguracja!$B$3:$E$42,4,0)</f>
        <v>#N/A</v>
      </c>
      <c r="AC96" t="s">
        <v>177</v>
      </c>
      <c r="AK96">
        <f t="shared" si="72"/>
        <v>0</v>
      </c>
      <c r="AQ96" s="258">
        <f ca="1">IFERROR(VLOOKUP($I96,Konfiguracja!M:AF,16,0),0)</f>
        <v>0</v>
      </c>
      <c r="AR96">
        <f>IFERROR(VLOOKUP(C91,Receptury_z!$A:$C,3,0),0)</f>
        <v>5561</v>
      </c>
      <c r="AS96" s="256">
        <f>SUMIF(TPS_mięsa!$Q$2:$Q$300,AR96,TPS_mięsa!$G$2:$G$300)/1000</f>
        <v>0</v>
      </c>
      <c r="AT96" s="268">
        <f ca="1">VLOOKUP(AR96,Konfiguracja!$N$60:$AC$148,16,0)/1000</f>
        <v>0</v>
      </c>
      <c r="AU96" s="270">
        <f>IFERROR(VLOOKUP(I96,Konfiguracja!$M$3:$AM$57,26,0),0)</f>
        <v>0</v>
      </c>
      <c r="AV96" s="279">
        <f t="shared" si="78"/>
        <v>1</v>
      </c>
    </row>
    <row r="97" spans="23:48">
      <c r="W97">
        <f t="shared" si="79"/>
        <v>6447</v>
      </c>
      <c r="X97">
        <f t="shared" si="80"/>
        <v>0</v>
      </c>
      <c r="Y97">
        <f t="shared" si="77"/>
        <v>0</v>
      </c>
      <c r="Z97" t="e">
        <f>VLOOKUP($J97,Konfiguracja!$B$3:$E$42,2,0)</f>
        <v>#N/A</v>
      </c>
      <c r="AA97" t="e">
        <f>VLOOKUP($J97,Konfiguracja!$B$3:$E$42,3,0)</f>
        <v>#N/A</v>
      </c>
      <c r="AB97" t="e">
        <f>VLOOKUP($J97,Konfiguracja!$B$3:$E$42,4,0)</f>
        <v>#N/A</v>
      </c>
      <c r="AC97" t="s">
        <v>177</v>
      </c>
      <c r="AK97">
        <f t="shared" si="72"/>
        <v>0</v>
      </c>
      <c r="AQ97" s="258">
        <f ca="1">IFERROR(VLOOKUP($I97,Konfiguracja!M:AF,16,0),0)</f>
        <v>0</v>
      </c>
      <c r="AR97">
        <f>IFERROR(VLOOKUP(C92,Receptury_z!$A:$C,3,0),0)</f>
        <v>5548</v>
      </c>
      <c r="AS97" s="256">
        <f>SUMIF(TPS_mięsa!$Q$2:$Q$300,AR97,TPS_mięsa!$G$2:$G$300)/1000</f>
        <v>0</v>
      </c>
      <c r="AT97" s="268">
        <f ca="1">VLOOKUP(AR97,Konfiguracja!$N$60:$AC$148,16,0)/1000</f>
        <v>0</v>
      </c>
      <c r="AU97" s="270">
        <f>IFERROR(VLOOKUP(I97,Konfiguracja!$M$3:$AM$57,26,0),0)</f>
        <v>0</v>
      </c>
      <c r="AV97" s="279">
        <f t="shared" si="78"/>
        <v>1</v>
      </c>
    </row>
    <row r="98" spans="23:48">
      <c r="W98">
        <f t="shared" si="79"/>
        <v>6444</v>
      </c>
      <c r="X98">
        <f t="shared" si="80"/>
        <v>0</v>
      </c>
      <c r="Y98">
        <f t="shared" si="77"/>
        <v>0</v>
      </c>
      <c r="Z98" t="e">
        <f>VLOOKUP($J98,Konfiguracja!$B$3:$E$42,2,0)</f>
        <v>#N/A</v>
      </c>
      <c r="AA98" t="e">
        <f>VLOOKUP($J98,Konfiguracja!$B$3:$E$42,3,0)</f>
        <v>#N/A</v>
      </c>
      <c r="AB98" t="e">
        <f>VLOOKUP($J98,Konfiguracja!$B$3:$E$42,4,0)</f>
        <v>#N/A</v>
      </c>
      <c r="AC98" t="s">
        <v>177</v>
      </c>
      <c r="AK98">
        <f t="shared" si="72"/>
        <v>0</v>
      </c>
      <c r="AQ98" s="258">
        <f ca="1">IFERROR(VLOOKUP($I98,Konfiguracja!M:AF,16,0),0)</f>
        <v>0</v>
      </c>
      <c r="AR98">
        <f>IFERROR(VLOOKUP(C93,Receptury_z!$A:$C,3,0),0)</f>
        <v>5546</v>
      </c>
      <c r="AS98" s="256">
        <f>SUMIF(TPS_mięsa!$Q$2:$Q$300,AR98,TPS_mięsa!$G$2:$G$300)/1000</f>
        <v>0</v>
      </c>
      <c r="AT98" s="268">
        <f ca="1">VLOOKUP(AR98,Konfiguracja!$N$60:$AC$148,16,0)/1000</f>
        <v>0</v>
      </c>
      <c r="AU98" s="270">
        <f>IFERROR(VLOOKUP(I98,Konfiguracja!$M$3:$AM$57,26,0),0)</f>
        <v>0</v>
      </c>
      <c r="AV98" s="279">
        <f t="shared" si="78"/>
        <v>1</v>
      </c>
    </row>
    <row r="99" spans="23:48">
      <c r="W99">
        <f>IF(LEN(C101)&gt;4,9999,C101)</f>
        <v>0</v>
      </c>
      <c r="X99">
        <f>IF(LEN(C101)&gt;4,9999,0)</f>
        <v>0</v>
      </c>
      <c r="Y99">
        <f>IF(LEN(C101)&gt;4,9999,0)</f>
        <v>0</v>
      </c>
      <c r="Z99" t="e">
        <f>VLOOKUP($J99,Konfiguracja!$B$3:$E$42,2,0)</f>
        <v>#N/A</v>
      </c>
      <c r="AA99" t="e">
        <f>VLOOKUP($J99,Konfiguracja!$B$3:$E$42,3,0)</f>
        <v>#N/A</v>
      </c>
      <c r="AB99" t="e">
        <f>VLOOKUP($J99,Konfiguracja!$B$3:$E$42,4,0)</f>
        <v>#N/A</v>
      </c>
      <c r="AC99" t="s">
        <v>177</v>
      </c>
      <c r="AK99">
        <f>IF(IFERROR(VLOOKUP(W99,DROBIE,1,0),0),A101,0)</f>
        <v>0</v>
      </c>
      <c r="AQ99" s="258">
        <f ca="1">IFERROR(VLOOKUP($I99,Konfiguracja!M:AF,16,0),0)</f>
        <v>0</v>
      </c>
      <c r="AR99">
        <f>IFERROR(VLOOKUP(C101,Receptury_z!$A:$C,3,0),0)</f>
        <v>0</v>
      </c>
      <c r="AS99" s="256">
        <f>SUMIF(TPS_mięsa!$Q$2:$Q$300,AR99,TPS_mięsa!$G$2:$G$300)/1000</f>
        <v>0</v>
      </c>
      <c r="AT99" s="268" t="e">
        <f ca="1">VLOOKUP(AR99,Konfiguracja!$N$60:$AC$148,16,0)/1000</f>
        <v>#N/A</v>
      </c>
      <c r="AU99" s="270">
        <f>IFERROR(VLOOKUP(I99,Konfiguracja!$M$3:$AM$57,26,0),0)</f>
        <v>0</v>
      </c>
      <c r="AV99" s="279">
        <f t="shared" si="78"/>
        <v>12</v>
      </c>
    </row>
    <row r="100" spans="23:48">
      <c r="W100">
        <f>IF(LEN(C102)&gt;4,9999,C102)</f>
        <v>0</v>
      </c>
      <c r="X100">
        <f>IF(LEN(C102)&gt;4,9999,0)</f>
        <v>0</v>
      </c>
      <c r="Y100">
        <f>IF(LEN(C102)&gt;4,9999,0)</f>
        <v>0</v>
      </c>
      <c r="Z100" t="e">
        <f>VLOOKUP($J100,Konfiguracja!$B$3:$E$42,2,0)</f>
        <v>#N/A</v>
      </c>
      <c r="AA100" t="e">
        <f>VLOOKUP($J100,Konfiguracja!$B$3:$E$42,3,0)</f>
        <v>#N/A</v>
      </c>
      <c r="AB100" t="e">
        <f>VLOOKUP($J100,Konfiguracja!$B$3:$E$42,4,0)</f>
        <v>#N/A</v>
      </c>
      <c r="AC100" t="s">
        <v>177</v>
      </c>
      <c r="AK100">
        <f>IF(IFERROR(VLOOKUP(W100,DROBIE,1,0),0),A102,0)</f>
        <v>0</v>
      </c>
      <c r="AQ100" s="258">
        <f ca="1">IFERROR(VLOOKUP($I100,Konfiguracja!M:AF,16,0),0)</f>
        <v>0</v>
      </c>
      <c r="AR100">
        <f>IFERROR(VLOOKUP(C102,Receptury_z!$A:$C,3,0),0)</f>
        <v>0</v>
      </c>
      <c r="AS100" s="256">
        <f>SUMIF(TPS_mięsa!$Q$2:$Q$300,AR100,TPS_mięsa!$G$2:$G$300)/1000</f>
        <v>0</v>
      </c>
      <c r="AT100" s="268" t="e">
        <f ca="1">VLOOKUP(AR100,Konfiguracja!$N$60:$AC$148,16,0)/1000</f>
        <v>#N/A</v>
      </c>
      <c r="AU100" s="270">
        <f>IFERROR(VLOOKUP(I100,Konfiguracja!$M$3:$AM$57,26,0),0)</f>
        <v>0</v>
      </c>
      <c r="AV100" s="279">
        <f t="shared" si="78"/>
        <v>12</v>
      </c>
    </row>
    <row r="101" spans="23:48">
      <c r="W101">
        <f>IF(LEN(C103)&gt;4,9999,C103)</f>
        <v>0</v>
      </c>
      <c r="X101">
        <f>IF(LEN(C103)&gt;4,9999,0)</f>
        <v>0</v>
      </c>
      <c r="Y101">
        <f>IF(LEN(C103)&gt;4,9999,0)</f>
        <v>0</v>
      </c>
      <c r="Z101" t="e">
        <f>VLOOKUP($J101,Konfiguracja!$B$3:$E$42,2,0)</f>
        <v>#N/A</v>
      </c>
      <c r="AA101" t="e">
        <f>VLOOKUP($J101,Konfiguracja!$B$3:$E$42,3,0)</f>
        <v>#N/A</v>
      </c>
      <c r="AB101" t="e">
        <f>VLOOKUP($J101,Konfiguracja!$B$3:$E$42,4,0)</f>
        <v>#N/A</v>
      </c>
      <c r="AC101" t="s">
        <v>177</v>
      </c>
      <c r="AK101">
        <f>IF(IFERROR(VLOOKUP(W101,DROBIE,1,0),0),A103,0)</f>
        <v>0</v>
      </c>
      <c r="AQ101" s="258">
        <f ca="1">IFERROR(VLOOKUP($I101,Konfiguracja!M:AF,16,0),0)</f>
        <v>0</v>
      </c>
      <c r="AR101">
        <f>IFERROR(VLOOKUP(C103,Receptury_z!$A:$C,3,0),0)</f>
        <v>0</v>
      </c>
      <c r="AS101" s="256">
        <f>SUMIF(TPS_mięsa!$Q$2:$Q$300,AR101,TPS_mięsa!$G$2:$G$300)/1000</f>
        <v>0</v>
      </c>
      <c r="AT101" s="268" t="e">
        <f ca="1">VLOOKUP(AR101,Konfiguracja!$N$60:$AC$148,16,0)/1000</f>
        <v>#N/A</v>
      </c>
      <c r="AU101" s="270">
        <f>IFERROR(VLOOKUP(I101,Konfiguracja!$M$3:$AM$57,26,0),0)</f>
        <v>0</v>
      </c>
      <c r="AV101" s="279">
        <f t="shared" si="78"/>
        <v>12</v>
      </c>
    </row>
    <row r="102" spans="23:48">
      <c r="W102">
        <f>IF(LEN(C100)&gt;4,9999,C100)</f>
        <v>0</v>
      </c>
      <c r="X102">
        <f>IF(LEN(C100)&gt;4,9999,0)</f>
        <v>0</v>
      </c>
      <c r="Y102">
        <f>IF(LEN(C100)&gt;4,9999,0)</f>
        <v>0</v>
      </c>
      <c r="Z102" t="e">
        <f>VLOOKUP($J102,Konfiguracja!$B$3:$E$42,2,0)</f>
        <v>#N/A</v>
      </c>
      <c r="AA102" t="e">
        <f>VLOOKUP($J102,Konfiguracja!$B$3:$E$42,3,0)</f>
        <v>#N/A</v>
      </c>
      <c r="AB102" t="e">
        <f>VLOOKUP($J102,Konfiguracja!$B$3:$E$42,4,0)</f>
        <v>#N/A</v>
      </c>
      <c r="AC102" t="s">
        <v>177</v>
      </c>
      <c r="AK102">
        <f>IF(IFERROR(VLOOKUP(W102,DROBIE,1,0),0),A94,0)</f>
        <v>0</v>
      </c>
      <c r="AQ102" s="258">
        <f ca="1">IFERROR(VLOOKUP($I102,Konfiguracja!M:AF,16,0),0)</f>
        <v>0</v>
      </c>
      <c r="AR102">
        <f>IFERROR(VLOOKUP(C100,Receptury_z!$A:$C,3,0),0)</f>
        <v>0</v>
      </c>
      <c r="AS102" s="256">
        <f>SUMIF(TPS_mięsa!$Q$2:$Q$300,AR102,TPS_mięsa!$G$2:$G$300)/1000</f>
        <v>0</v>
      </c>
      <c r="AT102" s="268" t="e">
        <f ca="1">VLOOKUP(AR102,Konfiguracja!$N$60:$AC$148,16,0)/1000</f>
        <v>#N/A</v>
      </c>
      <c r="AU102" s="270">
        <f>IFERROR(VLOOKUP(I102,Konfiguracja!$M$3:$AM$57,26,0),0)</f>
        <v>0</v>
      </c>
      <c r="AV102" s="279">
        <f t="shared" si="78"/>
        <v>12</v>
      </c>
    </row>
    <row r="103" spans="23:48">
      <c r="W103">
        <f t="shared" ref="W103:W109" si="81">IF(LEN(C104)&gt;4,9999,C104)</f>
        <v>0</v>
      </c>
      <c r="X103">
        <f t="shared" ref="X103:X109" si="82">IF(LEN(C104)&gt;4,9999,0)</f>
        <v>0</v>
      </c>
      <c r="Y103">
        <f t="shared" ref="Y103:Y109" si="83">IF(LEN(C104)&gt;4,9999,0)</f>
        <v>0</v>
      </c>
      <c r="Z103" t="e">
        <f>VLOOKUP($J103,Konfiguracja!$B$3:$E$42,2,0)</f>
        <v>#N/A</v>
      </c>
      <c r="AA103" t="e">
        <f>VLOOKUP($J103,Konfiguracja!$B$3:$E$42,3,0)</f>
        <v>#N/A</v>
      </c>
      <c r="AB103" t="e">
        <f>VLOOKUP($J103,Konfiguracja!$B$3:$E$42,4,0)</f>
        <v>#N/A</v>
      </c>
      <c r="AC103" t="s">
        <v>177</v>
      </c>
      <c r="AK103">
        <f t="shared" ref="AK103:AK109" si="84">IF(IFERROR(VLOOKUP(W103,DROBIE,1,0),0),A104,0)</f>
        <v>0</v>
      </c>
      <c r="AQ103" s="258">
        <f ca="1">IFERROR(VLOOKUP($I103,Konfiguracja!M:AF,16,0),0)</f>
        <v>0</v>
      </c>
      <c r="AR103">
        <f>IFERROR(VLOOKUP(C104,Receptury_z!$A:$C,3,0),0)</f>
        <v>0</v>
      </c>
      <c r="AS103" s="256">
        <f>SUMIF(TPS_mięsa!$Q$2:$Q$300,AR103,TPS_mięsa!$G$2:$G$300)/1000</f>
        <v>0</v>
      </c>
      <c r="AT103" s="268" t="e">
        <f ca="1">VLOOKUP(AR103,Konfiguracja!$N$60:$AC$148,16,0)/1000</f>
        <v>#N/A</v>
      </c>
      <c r="AU103" s="270">
        <f>IFERROR(VLOOKUP(I103,Konfiguracja!$M$3:$AM$57,26,0),0)</f>
        <v>0</v>
      </c>
      <c r="AV103" s="279">
        <f t="shared" si="78"/>
        <v>12</v>
      </c>
    </row>
    <row r="104" spans="23:48">
      <c r="W104">
        <f t="shared" si="81"/>
        <v>0</v>
      </c>
      <c r="X104">
        <f t="shared" si="82"/>
        <v>0</v>
      </c>
      <c r="Y104">
        <f t="shared" si="83"/>
        <v>0</v>
      </c>
      <c r="Z104" t="e">
        <f>VLOOKUP($J104,Konfiguracja!$B$3:$E$42,2,0)</f>
        <v>#N/A</v>
      </c>
      <c r="AA104" t="e">
        <f>VLOOKUP($J104,Konfiguracja!$B$3:$E$42,3,0)</f>
        <v>#N/A</v>
      </c>
      <c r="AB104" t="e">
        <f>VLOOKUP($J104,Konfiguracja!$B$3:$E$42,4,0)</f>
        <v>#N/A</v>
      </c>
      <c r="AC104" t="s">
        <v>177</v>
      </c>
      <c r="AK104">
        <f t="shared" si="84"/>
        <v>0</v>
      </c>
      <c r="AQ104" s="258">
        <f ca="1">IFERROR(VLOOKUP($I104,Konfiguracja!M:AF,16,0),0)</f>
        <v>0</v>
      </c>
      <c r="AR104">
        <f>IFERROR(VLOOKUP(C105,Receptury_z!$A:$C,3,0),0)</f>
        <v>0</v>
      </c>
      <c r="AS104" s="256">
        <f>SUMIF(TPS_mięsa!$Q$2:$Q$300,AR104,TPS_mięsa!$G$2:$G$300)/1000</f>
        <v>0</v>
      </c>
      <c r="AT104" s="268" t="e">
        <f ca="1">VLOOKUP(AR104,Konfiguracja!$N$60:$AC$148,16,0)/1000</f>
        <v>#N/A</v>
      </c>
      <c r="AU104" s="270">
        <f>IFERROR(VLOOKUP(I104,Konfiguracja!$M$3:$AM$57,26,0),0)</f>
        <v>0</v>
      </c>
      <c r="AV104" s="279">
        <f t="shared" si="78"/>
        <v>12</v>
      </c>
    </row>
    <row r="105" spans="23:48">
      <c r="W105">
        <f t="shared" si="81"/>
        <v>0</v>
      </c>
      <c r="X105">
        <f t="shared" si="82"/>
        <v>0</v>
      </c>
      <c r="Y105">
        <f t="shared" si="83"/>
        <v>0</v>
      </c>
      <c r="Z105" t="e">
        <f>VLOOKUP($J105,Konfiguracja!$B$3:$E$42,2,0)</f>
        <v>#N/A</v>
      </c>
      <c r="AA105" t="e">
        <f>VLOOKUP($J105,Konfiguracja!$B$3:$E$42,3,0)</f>
        <v>#N/A</v>
      </c>
      <c r="AB105" t="e">
        <f>VLOOKUP($J105,Konfiguracja!$B$3:$E$42,4,0)</f>
        <v>#N/A</v>
      </c>
      <c r="AC105" t="s">
        <v>177</v>
      </c>
      <c r="AK105">
        <f t="shared" si="84"/>
        <v>0</v>
      </c>
      <c r="AQ105" s="258">
        <f ca="1">IFERROR(VLOOKUP($I105,Konfiguracja!M:AF,16,0),0)</f>
        <v>0</v>
      </c>
      <c r="AR105">
        <f>IFERROR(VLOOKUP(C106,Receptury_z!$A:$C,3,0),0)</f>
        <v>0</v>
      </c>
      <c r="AS105" s="256">
        <f>SUMIF(TPS_mięsa!$Q$2:$Q$300,AR105,TPS_mięsa!$G$2:$G$300)/1000</f>
        <v>0</v>
      </c>
      <c r="AT105" s="268" t="e">
        <f ca="1">VLOOKUP(AR105,Konfiguracja!$N$60:$AC$148,16,0)/1000</f>
        <v>#N/A</v>
      </c>
      <c r="AU105" s="270">
        <f>IFERROR(VLOOKUP(I105,Konfiguracja!$M$3:$AM$57,26,0),0)</f>
        <v>0</v>
      </c>
      <c r="AV105" s="279">
        <f t="shared" si="78"/>
        <v>12</v>
      </c>
    </row>
    <row r="106" spans="23:48">
      <c r="W106">
        <f t="shared" si="81"/>
        <v>0</v>
      </c>
      <c r="X106">
        <f t="shared" si="82"/>
        <v>0</v>
      </c>
      <c r="Y106">
        <f t="shared" si="83"/>
        <v>0</v>
      </c>
      <c r="Z106" t="e">
        <f>VLOOKUP($J106,Konfiguracja!$B$3:$E$42,2,0)</f>
        <v>#N/A</v>
      </c>
      <c r="AA106" t="e">
        <f>VLOOKUP($J106,Konfiguracja!$B$3:$E$42,3,0)</f>
        <v>#N/A</v>
      </c>
      <c r="AB106" t="e">
        <f>VLOOKUP($J106,Konfiguracja!$B$3:$E$42,4,0)</f>
        <v>#N/A</v>
      </c>
      <c r="AC106" t="s">
        <v>177</v>
      </c>
      <c r="AK106">
        <f t="shared" si="84"/>
        <v>0</v>
      </c>
      <c r="AQ106" s="258">
        <f ca="1">IFERROR(VLOOKUP($I107,Konfiguracja!M:AF,16,0),0)</f>
        <v>0</v>
      </c>
      <c r="AR106">
        <f>IFERROR(VLOOKUP(C107,Receptury_z!$A:$C,3,0),0)</f>
        <v>0</v>
      </c>
      <c r="AS106" s="256">
        <f>SUMIF(TPS_mięsa!$Q$2:$Q$300,AR106,TPS_mięsa!$G$2:$G$300)/1000</f>
        <v>0</v>
      </c>
      <c r="AT106" s="268" t="e">
        <f ca="1">VLOOKUP(AR106,Konfiguracja!$N$60:$AC$148,16,0)/1000</f>
        <v>#N/A</v>
      </c>
      <c r="AU106" s="270">
        <f>IFERROR(VLOOKUP(I107,Konfiguracja!$M$3:$AM$57,26,0),0)</f>
        <v>0</v>
      </c>
      <c r="AV106" s="279">
        <f t="shared" si="78"/>
        <v>12</v>
      </c>
    </row>
    <row r="107" spans="23:48">
      <c r="W107">
        <f t="shared" si="81"/>
        <v>0</v>
      </c>
      <c r="X107">
        <f t="shared" si="82"/>
        <v>0</v>
      </c>
      <c r="Y107">
        <f t="shared" si="83"/>
        <v>0</v>
      </c>
      <c r="Z107" t="e">
        <f>VLOOKUP($J107,Konfiguracja!$B$3:$E$42,2,0)</f>
        <v>#N/A</v>
      </c>
      <c r="AA107" t="e">
        <f>VLOOKUP($J107,Konfiguracja!$B$3:$E$42,3,0)</f>
        <v>#N/A</v>
      </c>
      <c r="AB107" t="e">
        <f>VLOOKUP($J107,Konfiguracja!$B$3:$E$42,4,0)</f>
        <v>#N/A</v>
      </c>
      <c r="AC107" t="s">
        <v>177</v>
      </c>
      <c r="AK107">
        <f t="shared" si="84"/>
        <v>0</v>
      </c>
      <c r="AQ107" s="258">
        <f>IFERROR(VLOOKUP(#REF!,Konfiguracja!M:AF,16,0),0)</f>
        <v>0</v>
      </c>
      <c r="AR107">
        <f>IFERROR(VLOOKUP(C108,Receptury_z!$A:$C,3,0),0)</f>
        <v>0</v>
      </c>
      <c r="AS107" s="256">
        <f>SUMIF(TPS_mięsa!$Q$2:$Q$300,AR107,TPS_mięsa!$G$2:$G$300)/1000</f>
        <v>0</v>
      </c>
      <c r="AT107" s="268" t="e">
        <f ca="1">VLOOKUP(AR107,Konfiguracja!$N$60:$AC$148,16,0)/1000</f>
        <v>#N/A</v>
      </c>
      <c r="AU107" s="270">
        <f>IFERROR(VLOOKUP(#REF!,Konfiguracja!$M$3:$AM$57,26,0),0)</f>
        <v>0</v>
      </c>
      <c r="AV107" s="279">
        <f t="shared" si="78"/>
        <v>12</v>
      </c>
    </row>
    <row r="108" spans="23:48">
      <c r="W108">
        <f t="shared" si="81"/>
        <v>0</v>
      </c>
      <c r="X108">
        <f t="shared" si="82"/>
        <v>0</v>
      </c>
      <c r="Y108">
        <f t="shared" si="83"/>
        <v>0</v>
      </c>
      <c r="Z108" t="e">
        <f>VLOOKUP($J108,Konfiguracja!$B$3:$E$42,2,0)</f>
        <v>#N/A</v>
      </c>
      <c r="AA108" t="e">
        <f>VLOOKUP($J108,Konfiguracja!$B$3:$E$42,3,0)</f>
        <v>#N/A</v>
      </c>
      <c r="AB108" t="e">
        <f>VLOOKUP($J108,Konfiguracja!$B$3:$E$42,4,0)</f>
        <v>#N/A</v>
      </c>
      <c r="AC108" t="s">
        <v>177</v>
      </c>
      <c r="AK108">
        <f t="shared" si="84"/>
        <v>0</v>
      </c>
      <c r="AQ108" s="258">
        <f ca="1">IFERROR(VLOOKUP($I108,Konfiguracja!M:AF,16,0),0)</f>
        <v>0</v>
      </c>
      <c r="AR108">
        <f>IFERROR(VLOOKUP(C109,Receptury_z!$A:$C,3,0),0)</f>
        <v>0</v>
      </c>
      <c r="AS108" s="256">
        <f>SUMIF(TPS_mięsa!$Q$2:$Q$300,AR108,TPS_mięsa!$G$2:$G$300)/1000</f>
        <v>0</v>
      </c>
      <c r="AT108" s="268" t="e">
        <f ca="1">VLOOKUP(AR108,Konfiguracja!$N$60:$AC$148,16,0)/1000</f>
        <v>#N/A</v>
      </c>
      <c r="AU108" s="270">
        <f>IFERROR(VLOOKUP(I108,Konfiguracja!$M$3:$AM$57,26,0),0)</f>
        <v>0</v>
      </c>
      <c r="AV108" s="279">
        <f t="shared" si="78"/>
        <v>12</v>
      </c>
    </row>
    <row r="109" spans="23:48">
      <c r="W109">
        <f t="shared" si="81"/>
        <v>0</v>
      </c>
      <c r="X109">
        <f t="shared" si="82"/>
        <v>0</v>
      </c>
      <c r="Y109">
        <f t="shared" si="83"/>
        <v>0</v>
      </c>
      <c r="Z109" t="e">
        <f>VLOOKUP($J109,Konfiguracja!$B$3:$E$42,2,0)</f>
        <v>#N/A</v>
      </c>
      <c r="AA109" t="e">
        <f>VLOOKUP($J109,Konfiguracja!$B$3:$E$42,3,0)</f>
        <v>#N/A</v>
      </c>
      <c r="AB109" t="e">
        <f>VLOOKUP($J109,Konfiguracja!$B$3:$E$42,4,0)</f>
        <v>#N/A</v>
      </c>
      <c r="AC109" t="s">
        <v>177</v>
      </c>
      <c r="AK109">
        <f t="shared" si="84"/>
        <v>0</v>
      </c>
      <c r="AQ109" s="258">
        <f ca="1">IFERROR(VLOOKUP($I109,Konfiguracja!M:AF,16,0),0)</f>
        <v>0</v>
      </c>
      <c r="AR109">
        <f>IFERROR(VLOOKUP(C110,Receptury_z!$A:$C,3,0),0)</f>
        <v>0</v>
      </c>
      <c r="AS109" s="256">
        <f>SUMIF(TPS_mięsa!$Q$2:$Q$300,AR109,TPS_mięsa!$G$2:$G$300)/1000</f>
        <v>0</v>
      </c>
      <c r="AT109" s="268" t="e">
        <f ca="1">VLOOKUP(AR109,Konfiguracja!$N$60:$AC$148,16,0)/1000</f>
        <v>#N/A</v>
      </c>
      <c r="AU109" s="270">
        <f>IFERROR(VLOOKUP(I109,Konfiguracja!$M$3:$AM$57,26,0),0)</f>
        <v>0</v>
      </c>
      <c r="AV109" s="279">
        <f t="shared" si="78"/>
        <v>12</v>
      </c>
    </row>
    <row r="110" spans="23:48">
      <c r="W110">
        <f>IF(LEN(C94)&gt;4,9999,C94)</f>
        <v>0</v>
      </c>
      <c r="X110">
        <f>IF(LEN(C94)&gt;4,9999,0)</f>
        <v>0</v>
      </c>
      <c r="Y110">
        <f>IF(LEN(C94)&gt;4,9999,0)</f>
        <v>0</v>
      </c>
      <c r="Z110" t="e">
        <f>VLOOKUP($J110,Konfiguracja!$B$3:$E$42,2,0)</f>
        <v>#N/A</v>
      </c>
      <c r="AA110" t="e">
        <f>VLOOKUP($J110,Konfiguracja!$B$3:$E$42,3,0)</f>
        <v>#N/A</v>
      </c>
      <c r="AB110" t="e">
        <f>VLOOKUP($J110,Konfiguracja!$B$3:$E$42,4,0)</f>
        <v>#N/A</v>
      </c>
      <c r="AC110" t="s">
        <v>177</v>
      </c>
      <c r="AK110">
        <f>IF(IFERROR(VLOOKUP(W110,DROBIE,1,0),0),A100,0)</f>
        <v>0</v>
      </c>
      <c r="AQ110" s="258">
        <f ca="1">IFERROR(VLOOKUP($I110,Konfiguracja!M:AF,16,0),0)</f>
        <v>0</v>
      </c>
      <c r="AR110">
        <f>IFERROR(VLOOKUP(C94,Receptury_z!$A:$C,3,0),0)</f>
        <v>0</v>
      </c>
      <c r="AS110" s="256">
        <f>SUMIF(TPS_mięsa!$Q$2:$Q$300,AR110,TPS_mięsa!$G$2:$G$300)/1000</f>
        <v>0</v>
      </c>
      <c r="AT110" s="268" t="e">
        <f ca="1">VLOOKUP(AR110,Konfiguracja!$N$60:$AC$148,16,0)/1000</f>
        <v>#N/A</v>
      </c>
      <c r="AU110" s="270">
        <f>IFERROR(VLOOKUP(I110,Konfiguracja!$M$3:$AM$57,26,0),0)</f>
        <v>0</v>
      </c>
      <c r="AV110" s="279">
        <f t="shared" si="78"/>
        <v>12</v>
      </c>
    </row>
    <row r="111" spans="23:48">
      <c r="W111">
        <f t="shared" ref="W111:W117" si="85">IF(LEN(C111)&gt;4,9999,C111)</f>
        <v>0</v>
      </c>
      <c r="X111">
        <f t="shared" ref="X111:X117" si="86">IF(LEN(C111)&gt;4,9999,0)</f>
        <v>0</v>
      </c>
      <c r="Y111">
        <f t="shared" ref="Y111:Y117" si="87">IF(LEN(C111)&gt;4,9999,0)</f>
        <v>0</v>
      </c>
      <c r="Z111" t="e">
        <f>VLOOKUP($J111,Konfiguracja!$B$3:$E$42,2,0)</f>
        <v>#N/A</v>
      </c>
      <c r="AA111" t="e">
        <f>VLOOKUP($J111,Konfiguracja!$B$3:$E$42,3,0)</f>
        <v>#N/A</v>
      </c>
      <c r="AB111" t="e">
        <f>VLOOKUP($J111,Konfiguracja!$B$3:$E$42,4,0)</f>
        <v>#N/A</v>
      </c>
      <c r="AC111" t="s">
        <v>177</v>
      </c>
      <c r="AK111">
        <f t="shared" ref="AK111:AK116" si="88">IF(IFERROR(VLOOKUP(W111,DROBIE,1,0),0),A111,0)</f>
        <v>0</v>
      </c>
      <c r="AV111" s="279"/>
    </row>
    <row r="112" spans="23:48">
      <c r="W112">
        <f t="shared" si="85"/>
        <v>0</v>
      </c>
      <c r="X112">
        <f t="shared" si="86"/>
        <v>0</v>
      </c>
      <c r="Y112">
        <f t="shared" si="87"/>
        <v>0</v>
      </c>
      <c r="Z112" t="e">
        <f>VLOOKUP($J112,Konfiguracja!$B$3:$E$42,2,0)</f>
        <v>#N/A</v>
      </c>
      <c r="AA112" t="e">
        <f>VLOOKUP($J112,Konfiguracja!$B$3:$E$42,3,0)</f>
        <v>#N/A</v>
      </c>
      <c r="AB112" t="e">
        <f>VLOOKUP($J112,Konfiguracja!$B$3:$E$42,4,0)</f>
        <v>#N/A</v>
      </c>
      <c r="AC112" t="s">
        <v>177</v>
      </c>
      <c r="AK112">
        <f t="shared" si="88"/>
        <v>0</v>
      </c>
      <c r="AV112" s="279"/>
    </row>
    <row r="113" spans="11:48">
      <c r="W113">
        <f t="shared" si="85"/>
        <v>0</v>
      </c>
      <c r="X113">
        <f t="shared" si="86"/>
        <v>0</v>
      </c>
      <c r="Y113">
        <f t="shared" si="87"/>
        <v>0</v>
      </c>
      <c r="Z113" t="e">
        <f>VLOOKUP($J113,Konfiguracja!$B$3:$E$42,2,0)</f>
        <v>#N/A</v>
      </c>
      <c r="AA113" t="e">
        <f>VLOOKUP($J113,Konfiguracja!$B$3:$E$42,3,0)</f>
        <v>#N/A</v>
      </c>
      <c r="AB113" t="e">
        <f>VLOOKUP($J113,Konfiguracja!$B$3:$E$42,4,0)</f>
        <v>#N/A</v>
      </c>
      <c r="AC113" t="s">
        <v>177</v>
      </c>
      <c r="AK113">
        <f t="shared" si="88"/>
        <v>0</v>
      </c>
      <c r="AV113" s="279"/>
    </row>
    <row r="114" spans="11:48">
      <c r="W114">
        <f t="shared" si="85"/>
        <v>0</v>
      </c>
      <c r="X114">
        <f t="shared" si="86"/>
        <v>0</v>
      </c>
      <c r="Y114">
        <f t="shared" si="87"/>
        <v>0</v>
      </c>
      <c r="Z114" t="e">
        <f>VLOOKUP($J114,Konfiguracja!$B$3:$E$42,2,0)</f>
        <v>#N/A</v>
      </c>
      <c r="AA114" t="e">
        <f>VLOOKUP($J114,Konfiguracja!$B$3:$E$42,3,0)</f>
        <v>#N/A</v>
      </c>
      <c r="AB114" t="e">
        <f>VLOOKUP($J114,Konfiguracja!$B$3:$E$42,4,0)</f>
        <v>#N/A</v>
      </c>
      <c r="AC114" t="s">
        <v>177</v>
      </c>
      <c r="AK114">
        <f t="shared" si="88"/>
        <v>0</v>
      </c>
      <c r="AV114" s="279"/>
    </row>
    <row r="115" spans="11:48">
      <c r="W115">
        <f t="shared" si="85"/>
        <v>0</v>
      </c>
      <c r="X115">
        <f t="shared" si="86"/>
        <v>0</v>
      </c>
      <c r="Y115">
        <f t="shared" si="87"/>
        <v>0</v>
      </c>
      <c r="Z115" t="e">
        <f>VLOOKUP($J115,Konfiguracja!$B$3:$E$42,2,0)</f>
        <v>#N/A</v>
      </c>
      <c r="AA115" t="e">
        <f>VLOOKUP($J115,Konfiguracja!$B$3:$E$42,3,0)</f>
        <v>#N/A</v>
      </c>
      <c r="AB115" t="e">
        <f>VLOOKUP($J115,Konfiguracja!$B$3:$E$42,4,0)</f>
        <v>#N/A</v>
      </c>
      <c r="AC115" t="s">
        <v>177</v>
      </c>
      <c r="AD115" s="87"/>
      <c r="AE115" s="87"/>
      <c r="AF115" s="87"/>
      <c r="AG115" s="88"/>
      <c r="AH115" s="88"/>
      <c r="AI115" s="88"/>
      <c r="AK115">
        <f t="shared" si="88"/>
        <v>0</v>
      </c>
      <c r="AV115" s="279"/>
    </row>
    <row r="116" spans="11:48">
      <c r="W116">
        <f t="shared" si="85"/>
        <v>0</v>
      </c>
      <c r="X116">
        <f t="shared" si="86"/>
        <v>0</v>
      </c>
      <c r="Y116">
        <f t="shared" si="87"/>
        <v>0</v>
      </c>
      <c r="Z116" t="e">
        <f>VLOOKUP($J116,Konfiguracja!$B$3:$E$42,2,0)</f>
        <v>#N/A</v>
      </c>
      <c r="AA116" t="e">
        <f>VLOOKUP($J116,Konfiguracja!$B$3:$E$42,3,0)</f>
        <v>#N/A</v>
      </c>
      <c r="AB116" t="e">
        <f>VLOOKUP($J116,Konfiguracja!$B$3:$E$42,4,0)</f>
        <v>#N/A</v>
      </c>
      <c r="AC116" t="s">
        <v>177</v>
      </c>
      <c r="AK116">
        <f t="shared" si="88"/>
        <v>0</v>
      </c>
      <c r="AV116" s="279"/>
    </row>
    <row r="117" spans="11:48">
      <c r="W117">
        <f t="shared" si="85"/>
        <v>0</v>
      </c>
      <c r="X117">
        <f t="shared" si="86"/>
        <v>0</v>
      </c>
      <c r="Y117">
        <f t="shared" si="87"/>
        <v>0</v>
      </c>
      <c r="Z117" t="e">
        <f>VLOOKUP($J117,Konfiguracja!$B$3:$E$42,2,0)</f>
        <v>#N/A</v>
      </c>
      <c r="AA117" t="e">
        <f>VLOOKUP($J117,Konfiguracja!$B$3:$E$42,3,0)</f>
        <v>#N/A</v>
      </c>
      <c r="AB117" t="e">
        <f>VLOOKUP($J117,Konfiguracja!$B$3:$E$42,4,0)</f>
        <v>#N/A</v>
      </c>
      <c r="AC117" t="s">
        <v>177</v>
      </c>
      <c r="AV117" s="279"/>
    </row>
    <row r="118" spans="11:48">
      <c r="AV118" s="279"/>
    </row>
    <row r="119" spans="11:48">
      <c r="AV119" s="279"/>
    </row>
    <row r="120" spans="11:48">
      <c r="AV120" s="279"/>
    </row>
    <row r="121" spans="11:48">
      <c r="AV121" s="279"/>
    </row>
    <row r="122" spans="11:48">
      <c r="AV122" s="279"/>
    </row>
    <row r="123" spans="11:48">
      <c r="AV123" s="279"/>
    </row>
    <row r="124" spans="11:48">
      <c r="AV124" s="279"/>
    </row>
    <row r="125" spans="11:48">
      <c r="K125">
        <v>0</v>
      </c>
      <c r="AV125" s="279"/>
    </row>
    <row r="126" spans="11:48">
      <c r="AV126" s="279"/>
    </row>
    <row r="127" spans="11:48">
      <c r="AV127" s="279"/>
    </row>
    <row r="128" spans="11:48">
      <c r="AV128" s="279"/>
    </row>
    <row r="129" spans="11:48">
      <c r="K129">
        <v>0</v>
      </c>
      <c r="AV129" s="279"/>
    </row>
    <row r="130" spans="11:48">
      <c r="AV130" s="279"/>
    </row>
    <row r="131" spans="11:48">
      <c r="AV131" s="279"/>
    </row>
    <row r="132" spans="11:48">
      <c r="AV132" s="279"/>
    </row>
    <row r="133" spans="11:48">
      <c r="AV133" s="279"/>
    </row>
    <row r="134" spans="11:48">
      <c r="AV134" s="279"/>
    </row>
    <row r="135" spans="11:48">
      <c r="AV135" s="279"/>
    </row>
    <row r="136" spans="11:48">
      <c r="AV136" s="279"/>
    </row>
    <row r="137" spans="11:48">
      <c r="AV137" s="279"/>
    </row>
    <row r="138" spans="11:48">
      <c r="AV138" s="279"/>
    </row>
    <row r="139" spans="11:48">
      <c r="K139">
        <v>0</v>
      </c>
      <c r="AV139" s="279"/>
    </row>
    <row r="140" spans="11:48">
      <c r="AV140" s="279"/>
    </row>
    <row r="141" spans="11:48">
      <c r="K141">
        <v>8</v>
      </c>
      <c r="AV141" s="279"/>
    </row>
    <row r="142" spans="11:48">
      <c r="AV142" s="279"/>
    </row>
    <row r="143" spans="11:48">
      <c r="K143">
        <v>0</v>
      </c>
      <c r="AV143" s="279"/>
    </row>
    <row r="144" spans="11:48">
      <c r="K144">
        <v>0</v>
      </c>
      <c r="AV144" s="279"/>
    </row>
    <row r="145" spans="11:48">
      <c r="K145">
        <v>0</v>
      </c>
      <c r="AV145" s="279"/>
    </row>
    <row r="146" spans="11:48">
      <c r="K146">
        <v>0</v>
      </c>
      <c r="AV146" s="279"/>
    </row>
    <row r="147" spans="11:48">
      <c r="AV147" s="279"/>
    </row>
    <row r="148" spans="11:48">
      <c r="K148">
        <v>24</v>
      </c>
      <c r="AV148" s="279"/>
    </row>
    <row r="149" spans="11:48">
      <c r="K149">
        <v>0</v>
      </c>
      <c r="AV149" s="279"/>
    </row>
    <row r="150" spans="11:48">
      <c r="AV150" s="279"/>
    </row>
    <row r="151" spans="11:48">
      <c r="AV151" s="279"/>
    </row>
    <row r="152" spans="11:48">
      <c r="AV152" s="279"/>
    </row>
    <row r="153" spans="11:48">
      <c r="AV153" s="279"/>
    </row>
    <row r="154" spans="11:48">
      <c r="AV154" s="279"/>
    </row>
    <row r="155" spans="11:48">
      <c r="AV155" s="279"/>
    </row>
    <row r="156" spans="11:48">
      <c r="AV156" s="279"/>
    </row>
    <row r="157" spans="11:48">
      <c r="AV157" s="279"/>
    </row>
    <row r="158" spans="11:48">
      <c r="AV158" s="279"/>
    </row>
    <row r="159" spans="11:48">
      <c r="AV159" s="279"/>
    </row>
    <row r="160" spans="11:48">
      <c r="AV160" s="279"/>
    </row>
    <row r="161" spans="48:48">
      <c r="AV161" s="279"/>
    </row>
    <row r="162" spans="48:48">
      <c r="AV162" s="279"/>
    </row>
    <row r="163" spans="48:48">
      <c r="AV163" s="279"/>
    </row>
    <row r="164" spans="48:48">
      <c r="AV164" s="279"/>
    </row>
    <row r="165" spans="48:48">
      <c r="AV165" s="279"/>
    </row>
    <row r="166" spans="48:48">
      <c r="AV166" s="279"/>
    </row>
    <row r="167" spans="48:48">
      <c r="AV167" s="279"/>
    </row>
    <row r="168" spans="48:48">
      <c r="AV168" s="279"/>
    </row>
    <row r="169" spans="48:48">
      <c r="AV169" s="279"/>
    </row>
    <row r="170" spans="48:48">
      <c r="AV170" s="279"/>
    </row>
    <row r="171" spans="48:48">
      <c r="AV171" s="279"/>
    </row>
    <row r="172" spans="48:48">
      <c r="AV172" s="279"/>
    </row>
    <row r="173" spans="48:48">
      <c r="AV173" s="279"/>
    </row>
    <row r="174" spans="48:48">
      <c r="AV174" s="279"/>
    </row>
    <row r="175" spans="48:48">
      <c r="AV175" s="279"/>
    </row>
    <row r="176" spans="48:48">
      <c r="AV176" s="280"/>
    </row>
  </sheetData>
  <autoFilter ref="AR1:AR176" xr:uid="{CF37DC71-11E2-417D-897A-872A8B75FBB1}"/>
  <mergeCells count="6">
    <mergeCell ref="W4:AI4"/>
    <mergeCell ref="F1:I3"/>
    <mergeCell ref="AL5:AO5"/>
    <mergeCell ref="AR4:AS4"/>
    <mergeCell ref="E59:E61"/>
    <mergeCell ref="F59:F61"/>
  </mergeCells>
  <phoneticPr fontId="6" type="noConversion"/>
  <conditionalFormatting sqref="X6:Y68">
    <cfRule type="cellIs" dxfId="263" priority="99" operator="greaterThan">
      <formula>0</formula>
    </cfRule>
  </conditionalFormatting>
  <conditionalFormatting sqref="W6:W68">
    <cfRule type="cellIs" dxfId="262" priority="98" operator="equal">
      <formula>9999</formula>
    </cfRule>
  </conditionalFormatting>
  <conditionalFormatting sqref="B100 B6:B93">
    <cfRule type="cellIs" dxfId="261" priority="94" operator="equal">
      <formula>"OFF"</formula>
    </cfRule>
    <cfRule type="cellIs" dxfId="260" priority="95" operator="equal">
      <formula>"ON"</formula>
    </cfRule>
  </conditionalFormatting>
  <conditionalFormatting sqref="F58:F59 A100 F62:F93 G58:H94 A6:A93 F6:H57">
    <cfRule type="cellIs" dxfId="259" priority="93" operator="equal">
      <formula>0</formula>
    </cfRule>
  </conditionalFormatting>
  <conditionalFormatting sqref="G4:H4">
    <cfRule type="cellIs" dxfId="258" priority="86" operator="equal">
      <formula>0</formula>
    </cfRule>
  </conditionalFormatting>
  <conditionalFormatting sqref="A4">
    <cfRule type="cellIs" dxfId="257" priority="83" operator="equal">
      <formula>0</formula>
    </cfRule>
  </conditionalFormatting>
  <conditionalFormatting sqref="F4">
    <cfRule type="cellIs" dxfId="256" priority="52" operator="equal">
      <formula>0</formula>
    </cfRule>
  </conditionalFormatting>
  <conditionalFormatting sqref="E62:E94 E6:E58">
    <cfRule type="cellIs" dxfId="255" priority="48" operator="equal">
      <formula>0</formula>
    </cfRule>
  </conditionalFormatting>
  <conditionalFormatting sqref="E59">
    <cfRule type="cellIs" dxfId="254" priority="46" operator="equal">
      <formula>0</formula>
    </cfRule>
  </conditionalFormatting>
  <conditionalFormatting sqref="AV6:AV176">
    <cfRule type="cellIs" dxfId="253" priority="45" operator="greaterThan">
      <formula>1</formula>
    </cfRule>
  </conditionalFormatting>
  <conditionalFormatting sqref="AR6:AR176">
    <cfRule type="expression" dxfId="252" priority="44">
      <formula>AV6&gt;1</formula>
    </cfRule>
  </conditionalFormatting>
  <conditionalFormatting sqref="D6 D20">
    <cfRule type="expression" dxfId="251" priority="17">
      <formula>AR7=5523</formula>
    </cfRule>
    <cfRule type="expression" dxfId="250" priority="39">
      <formula>AR7=5522</formula>
    </cfRule>
    <cfRule type="expression" dxfId="249" priority="40">
      <formula>AR7=5676</formula>
    </cfRule>
    <cfRule type="expression" dxfId="248" priority="41">
      <formula>AR7=5681</formula>
    </cfRule>
    <cfRule type="expression" dxfId="247" priority="42">
      <formula>AR7=5527</formula>
    </cfRule>
    <cfRule type="expression" dxfId="246" priority="43">
      <formula>AR7=5555</formula>
    </cfRule>
  </conditionalFormatting>
  <conditionalFormatting sqref="E6:E94">
    <cfRule type="cellIs" dxfId="245" priority="37" operator="equal">
      <formula>""</formula>
    </cfRule>
  </conditionalFormatting>
  <conditionalFormatting sqref="D15">
    <cfRule type="expression" dxfId="244" priority="31">
      <formula>AR16=5523</formula>
    </cfRule>
    <cfRule type="expression" dxfId="243" priority="32">
      <formula>AR16=5522</formula>
    </cfRule>
    <cfRule type="expression" dxfId="242" priority="33">
      <formula>AR16=5676</formula>
    </cfRule>
    <cfRule type="expression" dxfId="241" priority="34">
      <formula>AR16=5681</formula>
    </cfRule>
    <cfRule type="expression" dxfId="240" priority="35">
      <formula>AR16=5527</formula>
    </cfRule>
    <cfRule type="expression" dxfId="239" priority="36">
      <formula>AR16=5555</formula>
    </cfRule>
  </conditionalFormatting>
  <conditionalFormatting sqref="D8 D10 D29 D17:D19 D38:D94">
    <cfRule type="expression" dxfId="238" priority="25">
      <formula>AR8=5523</formula>
    </cfRule>
    <cfRule type="expression" dxfId="237" priority="26">
      <formula>AR8=5522</formula>
    </cfRule>
    <cfRule type="expression" dxfId="236" priority="27">
      <formula>AR8=5676</formula>
    </cfRule>
    <cfRule type="expression" dxfId="235" priority="28">
      <formula>AR8=5681</formula>
    </cfRule>
    <cfRule type="expression" dxfId="234" priority="29">
      <formula>AR8=5527</formula>
    </cfRule>
    <cfRule type="expression" dxfId="233" priority="30">
      <formula>AR8=5555</formula>
    </cfRule>
  </conditionalFormatting>
  <conditionalFormatting sqref="D6 D20">
    <cfRule type="expression" dxfId="232" priority="38">
      <formula>AR7=5552</formula>
    </cfRule>
  </conditionalFormatting>
  <conditionalFormatting sqref="I6:I7">
    <cfRule type="expression" dxfId="231" priority="13">
      <formula>AL7&gt;0</formula>
    </cfRule>
  </conditionalFormatting>
  <conditionalFormatting sqref="D23:D24">
    <cfRule type="expression" dxfId="230" priority="5">
      <formula>AR22=5523</formula>
    </cfRule>
    <cfRule type="expression" dxfId="229" priority="7">
      <formula>AR22=5522</formula>
    </cfRule>
    <cfRule type="expression" dxfId="228" priority="8">
      <formula>AR22=5676</formula>
    </cfRule>
    <cfRule type="expression" dxfId="227" priority="9">
      <formula>AR22=5681</formula>
    </cfRule>
    <cfRule type="expression" dxfId="226" priority="10">
      <formula>AR22=5527</formula>
    </cfRule>
    <cfRule type="expression" dxfId="225" priority="11">
      <formula>AR22=5555</formula>
    </cfRule>
  </conditionalFormatting>
  <conditionalFormatting sqref="D15">
    <cfRule type="expression" dxfId="224" priority="6">
      <formula>AR16=5552</formula>
    </cfRule>
  </conditionalFormatting>
  <conditionalFormatting sqref="D13">
    <cfRule type="expression" dxfId="223" priority="155">
      <formula>AR6=5523</formula>
    </cfRule>
    <cfRule type="expression" dxfId="222" priority="156">
      <formula>AR6=5522</formula>
    </cfRule>
    <cfRule type="expression" dxfId="221" priority="157">
      <formula>AR6=5676</formula>
    </cfRule>
    <cfRule type="expression" dxfId="220" priority="158">
      <formula>AR6=5681</formula>
    </cfRule>
    <cfRule type="expression" dxfId="219" priority="159">
      <formula>AR6=5527</formula>
    </cfRule>
    <cfRule type="expression" dxfId="218" priority="160">
      <formula>AR6=5555</formula>
    </cfRule>
  </conditionalFormatting>
  <conditionalFormatting sqref="D13">
    <cfRule type="expression" dxfId="217" priority="162">
      <formula>AR6=5552</formula>
    </cfRule>
  </conditionalFormatting>
  <conditionalFormatting sqref="I45:I46">
    <cfRule type="expression" dxfId="216" priority="164">
      <formula>AL6&gt;0</formula>
    </cfRule>
  </conditionalFormatting>
  <conditionalFormatting sqref="I53 I9 I11:I26 I28:I33 I47:I51 I62:I65 I35:I44">
    <cfRule type="expression" dxfId="215" priority="169">
      <formula>AL9&gt;0</formula>
    </cfRule>
  </conditionalFormatting>
  <conditionalFormatting sqref="D8 D10 D29 D18:D19 D38:D94">
    <cfRule type="expression" dxfId="214" priority="209">
      <formula>AR8=5552</formula>
    </cfRule>
  </conditionalFormatting>
  <conditionalFormatting sqref="D9">
    <cfRule type="expression" dxfId="213" priority="224">
      <formula>AR52=5523</formula>
    </cfRule>
    <cfRule type="expression" dxfId="212" priority="225">
      <formula>AR52=5522</formula>
    </cfRule>
    <cfRule type="expression" dxfId="211" priority="226">
      <formula>AR52=5676</formula>
    </cfRule>
    <cfRule type="expression" dxfId="210" priority="227">
      <formula>AR52=5681</formula>
    </cfRule>
    <cfRule type="expression" dxfId="209" priority="228">
      <formula>AR52=5527</formula>
    </cfRule>
    <cfRule type="expression" dxfId="208" priority="229">
      <formula>AR52=5555</formula>
    </cfRule>
  </conditionalFormatting>
  <conditionalFormatting sqref="D9">
    <cfRule type="expression" dxfId="207" priority="231">
      <formula>AR52=5552</formula>
    </cfRule>
  </conditionalFormatting>
  <conditionalFormatting sqref="I12:I13">
    <cfRule type="expression" dxfId="206" priority="234">
      <formula>AL53&gt;0</formula>
    </cfRule>
  </conditionalFormatting>
  <conditionalFormatting sqref="D16">
    <cfRule type="expression" dxfId="205" priority="283">
      <formula>AR26=5523</formula>
    </cfRule>
    <cfRule type="expression" dxfId="204" priority="284">
      <formula>AR26=5522</formula>
    </cfRule>
    <cfRule type="expression" dxfId="203" priority="285">
      <formula>AR26=5676</formula>
    </cfRule>
    <cfRule type="expression" dxfId="202" priority="286">
      <formula>AR26=5681</formula>
    </cfRule>
    <cfRule type="expression" dxfId="201" priority="287">
      <formula>AR26=5527</formula>
    </cfRule>
    <cfRule type="expression" dxfId="200" priority="288">
      <formula>AR26=5555</formula>
    </cfRule>
  </conditionalFormatting>
  <conditionalFormatting sqref="D16">
    <cfRule type="expression" dxfId="199" priority="290">
      <formula>AR26=5552</formula>
    </cfRule>
  </conditionalFormatting>
  <conditionalFormatting sqref="D14">
    <cfRule type="expression" dxfId="198" priority="303">
      <formula>AR14=5523</formula>
    </cfRule>
    <cfRule type="expression" dxfId="197" priority="304">
      <formula>AR14=5522</formula>
    </cfRule>
    <cfRule type="expression" dxfId="196" priority="305">
      <formula>AR14=5676</formula>
    </cfRule>
    <cfRule type="expression" dxfId="195" priority="306">
      <formula>AR14=5681</formula>
    </cfRule>
    <cfRule type="expression" dxfId="194" priority="307">
      <formula>AR14=5527</formula>
    </cfRule>
    <cfRule type="expression" dxfId="193" priority="308">
      <formula>AR14=5555</formula>
    </cfRule>
  </conditionalFormatting>
  <conditionalFormatting sqref="D14">
    <cfRule type="expression" dxfId="192" priority="310">
      <formula>AR14=5552</formula>
    </cfRule>
  </conditionalFormatting>
  <conditionalFormatting sqref="D44">
    <cfRule type="expression" dxfId="191" priority="328">
      <formula>AR15=5523</formula>
    </cfRule>
    <cfRule type="expression" dxfId="190" priority="329">
      <formula>AR15=5522</formula>
    </cfRule>
    <cfRule type="expression" dxfId="189" priority="330">
      <formula>AR15=5676</formula>
    </cfRule>
    <cfRule type="expression" dxfId="188" priority="331">
      <formula>AR15=5681</formula>
    </cfRule>
    <cfRule type="expression" dxfId="187" priority="332">
      <formula>AR15=5527</formula>
    </cfRule>
    <cfRule type="expression" dxfId="186" priority="333">
      <formula>AR15=5555</formula>
    </cfRule>
  </conditionalFormatting>
  <conditionalFormatting sqref="D44">
    <cfRule type="expression" dxfId="185" priority="335">
      <formula>AR15=5552</formula>
    </cfRule>
  </conditionalFormatting>
  <conditionalFormatting sqref="D31">
    <cfRule type="expression" dxfId="184" priority="377">
      <formula>AR24=5523</formula>
    </cfRule>
    <cfRule type="expression" dxfId="183" priority="378">
      <formula>AR24=5522</formula>
    </cfRule>
    <cfRule type="expression" dxfId="182" priority="379">
      <formula>AR24=5676</formula>
    </cfRule>
    <cfRule type="expression" dxfId="181" priority="380">
      <formula>AR24=5681</formula>
    </cfRule>
    <cfRule type="expression" dxfId="180" priority="381">
      <formula>AR24=5527</formula>
    </cfRule>
    <cfRule type="expression" dxfId="179" priority="382">
      <formula>AR24=5555</formula>
    </cfRule>
  </conditionalFormatting>
  <conditionalFormatting sqref="D31">
    <cfRule type="expression" dxfId="178" priority="383">
      <formula>AR24=5552</formula>
    </cfRule>
  </conditionalFormatting>
  <conditionalFormatting sqref="D26:D27">
    <cfRule type="expression" dxfId="177" priority="440">
      <formula>AR11=5523</formula>
    </cfRule>
    <cfRule type="expression" dxfId="176" priority="441">
      <formula>AR11=5522</formula>
    </cfRule>
    <cfRule type="expression" dxfId="175" priority="442">
      <formula>AR11=5676</formula>
    </cfRule>
    <cfRule type="expression" dxfId="174" priority="443">
      <formula>AR11=5681</formula>
    </cfRule>
    <cfRule type="expression" dxfId="173" priority="444">
      <formula>AR11=5527</formula>
    </cfRule>
    <cfRule type="expression" dxfId="172" priority="445">
      <formula>AR11=5555</formula>
    </cfRule>
  </conditionalFormatting>
  <conditionalFormatting sqref="D26:D27">
    <cfRule type="expression" dxfId="171" priority="447">
      <formula>AR11=5552</formula>
    </cfRule>
  </conditionalFormatting>
  <conditionalFormatting sqref="D30">
    <cfRule type="expression" dxfId="170" priority="456">
      <formula>AR13=5523</formula>
    </cfRule>
    <cfRule type="expression" dxfId="169" priority="457">
      <formula>AR13=5522</formula>
    </cfRule>
    <cfRule type="expression" dxfId="168" priority="458">
      <formula>AR13=5676</formula>
    </cfRule>
    <cfRule type="expression" dxfId="167" priority="459">
      <formula>AR13=5681</formula>
    </cfRule>
    <cfRule type="expression" dxfId="166" priority="460">
      <formula>AR13=5527</formula>
    </cfRule>
    <cfRule type="expression" dxfId="165" priority="461">
      <formula>AR13=5555</formula>
    </cfRule>
  </conditionalFormatting>
  <conditionalFormatting sqref="D30">
    <cfRule type="expression" dxfId="164" priority="463">
      <formula>AR13=5552</formula>
    </cfRule>
  </conditionalFormatting>
  <conditionalFormatting sqref="D35:D36">
    <cfRule type="expression" dxfId="163" priority="464">
      <formula>AR36=5523</formula>
    </cfRule>
    <cfRule type="expression" dxfId="162" priority="465">
      <formula>AR36=5522</formula>
    </cfRule>
    <cfRule type="expression" dxfId="161" priority="466">
      <formula>AR36=5676</formula>
    </cfRule>
    <cfRule type="expression" dxfId="160" priority="467">
      <formula>AR36=5681</formula>
    </cfRule>
    <cfRule type="expression" dxfId="159" priority="468">
      <formula>AR36=5527</formula>
    </cfRule>
    <cfRule type="expression" dxfId="158" priority="469">
      <formula>AR36=5555</formula>
    </cfRule>
  </conditionalFormatting>
  <conditionalFormatting sqref="D35:D36">
    <cfRule type="expression" dxfId="157" priority="494">
      <formula>AR36=5552</formula>
    </cfRule>
  </conditionalFormatting>
  <conditionalFormatting sqref="D21">
    <cfRule type="expression" dxfId="156" priority="509">
      <formula>AR20=5523</formula>
    </cfRule>
    <cfRule type="expression" dxfId="155" priority="510">
      <formula>AR20=5522</formula>
    </cfRule>
    <cfRule type="expression" dxfId="154" priority="511">
      <formula>AR20=5676</formula>
    </cfRule>
    <cfRule type="expression" dxfId="153" priority="512">
      <formula>AR20=5681</formula>
    </cfRule>
    <cfRule type="expression" dxfId="152" priority="513">
      <formula>AR20=5527</formula>
    </cfRule>
    <cfRule type="expression" dxfId="151" priority="514">
      <formula>AR20=5555</formula>
    </cfRule>
  </conditionalFormatting>
  <conditionalFormatting sqref="D21 D23:D24">
    <cfRule type="expression" dxfId="150" priority="522">
      <formula>AR20=5552</formula>
    </cfRule>
  </conditionalFormatting>
  <conditionalFormatting sqref="D22">
    <cfRule type="expression" dxfId="149" priority="537">
      <formula>AR51=5523</formula>
    </cfRule>
    <cfRule type="expression" dxfId="148" priority="538">
      <formula>AR51=5522</formula>
    </cfRule>
    <cfRule type="expression" dxfId="147" priority="539">
      <formula>AR51=5676</formula>
    </cfRule>
    <cfRule type="expression" dxfId="146" priority="540">
      <formula>AR51=5681</formula>
    </cfRule>
    <cfRule type="expression" dxfId="145" priority="541">
      <formula>AR51=5527</formula>
    </cfRule>
    <cfRule type="expression" dxfId="144" priority="542">
      <formula>AR51=5555</formula>
    </cfRule>
  </conditionalFormatting>
  <conditionalFormatting sqref="D22">
    <cfRule type="expression" dxfId="143" priority="544">
      <formula>AR51=5552</formula>
    </cfRule>
  </conditionalFormatting>
  <conditionalFormatting sqref="D45">
    <cfRule type="expression" dxfId="142" priority="562">
      <formula>AR25=5523</formula>
    </cfRule>
    <cfRule type="expression" dxfId="141" priority="563">
      <formula>AR25=5522</formula>
    </cfRule>
    <cfRule type="expression" dxfId="140" priority="564">
      <formula>AR25=5676</formula>
    </cfRule>
    <cfRule type="expression" dxfId="139" priority="565">
      <formula>AR25=5681</formula>
    </cfRule>
    <cfRule type="expression" dxfId="138" priority="566">
      <formula>AR25=5527</formula>
    </cfRule>
    <cfRule type="expression" dxfId="137" priority="567">
      <formula>AR25=5555</formula>
    </cfRule>
  </conditionalFormatting>
  <conditionalFormatting sqref="D45">
    <cfRule type="expression" dxfId="136" priority="569">
      <formula>AR25=5552</formula>
    </cfRule>
  </conditionalFormatting>
  <conditionalFormatting sqref="D32:D34">
    <cfRule type="expression" dxfId="135" priority="594">
      <formula>AR30=5523</formula>
    </cfRule>
    <cfRule type="expression" dxfId="134" priority="595">
      <formula>AR30=5522</formula>
    </cfRule>
    <cfRule type="expression" dxfId="133" priority="596">
      <formula>AR30=5676</formula>
    </cfRule>
    <cfRule type="expression" dxfId="132" priority="597">
      <formula>AR30=5681</formula>
    </cfRule>
    <cfRule type="expression" dxfId="131" priority="598">
      <formula>AR30=5527</formula>
    </cfRule>
    <cfRule type="expression" dxfId="130" priority="599">
      <formula>AR30=5555</formula>
    </cfRule>
  </conditionalFormatting>
  <conditionalFormatting sqref="D32:D34">
    <cfRule type="expression" dxfId="129" priority="606">
      <formula>AR30=5552</formula>
    </cfRule>
  </conditionalFormatting>
  <conditionalFormatting sqref="D37">
    <cfRule type="expression" dxfId="128" priority="623">
      <formula>AR33=5523</formula>
    </cfRule>
    <cfRule type="expression" dxfId="127" priority="624">
      <formula>AR33=5522</formula>
    </cfRule>
    <cfRule type="expression" dxfId="126" priority="625">
      <formula>AR33=5676</formula>
    </cfRule>
    <cfRule type="expression" dxfId="125" priority="626">
      <formula>AR33=5681</formula>
    </cfRule>
    <cfRule type="expression" dxfId="124" priority="627">
      <formula>AR33=5527</formula>
    </cfRule>
    <cfRule type="expression" dxfId="123" priority="628">
      <formula>AR33=5555</formula>
    </cfRule>
  </conditionalFormatting>
  <conditionalFormatting sqref="D37">
    <cfRule type="expression" dxfId="122" priority="630">
      <formula>AR33=5552</formula>
    </cfRule>
  </conditionalFormatting>
  <conditionalFormatting sqref="D28">
    <cfRule type="expression" dxfId="121" priority="678">
      <formula>AR35=5523</formula>
    </cfRule>
    <cfRule type="expression" dxfId="120" priority="679">
      <formula>AR35=5522</formula>
    </cfRule>
    <cfRule type="expression" dxfId="119" priority="680">
      <formula>AR35=5676</formula>
    </cfRule>
    <cfRule type="expression" dxfId="118" priority="681">
      <formula>AR35=5681</formula>
    </cfRule>
    <cfRule type="expression" dxfId="117" priority="682">
      <formula>AR35=5527</formula>
    </cfRule>
    <cfRule type="expression" dxfId="116" priority="683">
      <formula>AR35=5555</formula>
    </cfRule>
  </conditionalFormatting>
  <conditionalFormatting sqref="D28">
    <cfRule type="expression" dxfId="115" priority="684">
      <formula>AR35=5552</formula>
    </cfRule>
  </conditionalFormatting>
  <conditionalFormatting sqref="D7">
    <cfRule type="expression" dxfId="114" priority="744">
      <formula>AR34=5523</formula>
    </cfRule>
    <cfRule type="expression" dxfId="113" priority="745">
      <formula>AR34=5522</formula>
    </cfRule>
    <cfRule type="expression" dxfId="112" priority="746">
      <formula>AR34=5676</formula>
    </cfRule>
    <cfRule type="expression" dxfId="111" priority="747">
      <formula>AR34=5681</formula>
    </cfRule>
    <cfRule type="expression" dxfId="110" priority="748">
      <formula>AR34=5527</formula>
    </cfRule>
    <cfRule type="expression" dxfId="109" priority="749">
      <formula>AR34=5555</formula>
    </cfRule>
  </conditionalFormatting>
  <conditionalFormatting sqref="D7">
    <cfRule type="expression" dxfId="108" priority="757">
      <formula>AR34=5552</formula>
    </cfRule>
  </conditionalFormatting>
  <conditionalFormatting sqref="I34">
    <cfRule type="expression" dxfId="107" priority="759">
      <formula>AL8&gt;0</formula>
    </cfRule>
  </conditionalFormatting>
  <conditionalFormatting sqref="I9">
    <cfRule type="expression" dxfId="106" priority="776">
      <formula>AL10&gt;0</formula>
    </cfRule>
  </conditionalFormatting>
  <conditionalFormatting sqref="D46">
    <cfRule type="expression" dxfId="105" priority="787">
      <formula>AR9=5523</formula>
    </cfRule>
    <cfRule type="expression" dxfId="104" priority="788">
      <formula>AR9=5522</formula>
    </cfRule>
    <cfRule type="expression" dxfId="103" priority="789">
      <formula>AR9=5676</formula>
    </cfRule>
    <cfRule type="expression" dxfId="102" priority="790">
      <formula>AR9=5681</formula>
    </cfRule>
    <cfRule type="expression" dxfId="101" priority="791">
      <formula>AR9=5527</formula>
    </cfRule>
    <cfRule type="expression" dxfId="100" priority="792">
      <formula>AR9=5555</formula>
    </cfRule>
  </conditionalFormatting>
  <conditionalFormatting sqref="D46">
    <cfRule type="expression" dxfId="99" priority="793">
      <formula>AR9=5552</formula>
    </cfRule>
  </conditionalFormatting>
  <conditionalFormatting sqref="I52">
    <cfRule type="expression" dxfId="98" priority="816">
      <formula>AL10&gt;0</formula>
    </cfRule>
  </conditionalFormatting>
  <conditionalFormatting sqref="I8">
    <cfRule type="expression" dxfId="97" priority="2">
      <formula>AL1048565&gt;0</formula>
    </cfRule>
  </conditionalFormatting>
  <conditionalFormatting sqref="I27">
    <cfRule type="expression" dxfId="96" priority="1">
      <formula>AL86&gt;0</formula>
    </cfRule>
  </conditionalFormatting>
  <conditionalFormatting sqref="D25">
    <cfRule type="expression" dxfId="95" priority="826">
      <formula>AR44=5523</formula>
    </cfRule>
    <cfRule type="expression" dxfId="94" priority="827">
      <formula>AR44=5522</formula>
    </cfRule>
    <cfRule type="expression" dxfId="93" priority="828">
      <formula>AR44=5676</formula>
    </cfRule>
    <cfRule type="expression" dxfId="92" priority="829">
      <formula>AR44=5681</formula>
    </cfRule>
    <cfRule type="expression" dxfId="91" priority="830">
      <formula>AR44=5527</formula>
    </cfRule>
    <cfRule type="expression" dxfId="90" priority="831">
      <formula>AR44=5555</formula>
    </cfRule>
  </conditionalFormatting>
  <conditionalFormatting sqref="D25">
    <cfRule type="expression" dxfId="89" priority="832">
      <formula>AR44=5552</formula>
    </cfRule>
  </conditionalFormatting>
  <conditionalFormatting sqref="D47">
    <cfRule type="expression" dxfId="88" priority="899">
      <formula>AR28=5523</formula>
    </cfRule>
    <cfRule type="expression" dxfId="87" priority="900">
      <formula>AR28=5522</formula>
    </cfRule>
    <cfRule type="expression" dxfId="86" priority="901">
      <formula>AR28=5676</formula>
    </cfRule>
    <cfRule type="expression" dxfId="85" priority="902">
      <formula>AR28=5681</formula>
    </cfRule>
    <cfRule type="expression" dxfId="84" priority="903">
      <formula>AR28=5527</formula>
    </cfRule>
    <cfRule type="expression" dxfId="83" priority="904">
      <formula>AR28=5555</formula>
    </cfRule>
  </conditionalFormatting>
  <conditionalFormatting sqref="D47">
    <cfRule type="expression" dxfId="82" priority="905">
      <formula>AR28=5552</formula>
    </cfRule>
  </conditionalFormatting>
  <conditionalFormatting sqref="I10">
    <cfRule type="expression" dxfId="81" priority="916">
      <formula>AL27&gt;0</formula>
    </cfRule>
  </conditionalFormatting>
  <conditionalFormatting sqref="D11">
    <cfRule type="expression" dxfId="80" priority="923">
      <formula>AR27=5523</formula>
    </cfRule>
    <cfRule type="expression" dxfId="79" priority="924">
      <formula>AR27=5522</formula>
    </cfRule>
    <cfRule type="expression" dxfId="78" priority="925">
      <formula>AR27=5676</formula>
    </cfRule>
    <cfRule type="expression" dxfId="77" priority="926">
      <formula>AR27=5681</formula>
    </cfRule>
    <cfRule type="expression" dxfId="76" priority="927">
      <formula>AR27=5527</formula>
    </cfRule>
    <cfRule type="expression" dxfId="75" priority="928">
      <formula>AR27=5555</formula>
    </cfRule>
  </conditionalFormatting>
  <conditionalFormatting sqref="D11">
    <cfRule type="expression" dxfId="74" priority="930">
      <formula>AR27=5552</formula>
    </cfRule>
  </conditionalFormatting>
  <conditionalFormatting sqref="D42:D43">
    <cfRule type="expression" dxfId="73" priority="939">
      <formula>AR49=5523</formula>
    </cfRule>
    <cfRule type="expression" dxfId="72" priority="940">
      <formula>AR49=5522</formula>
    </cfRule>
    <cfRule type="expression" dxfId="71" priority="941">
      <formula>AR49=5676</formula>
    </cfRule>
    <cfRule type="expression" dxfId="70" priority="942">
      <formula>AR49=5681</formula>
    </cfRule>
    <cfRule type="expression" dxfId="69" priority="943">
      <formula>AR49=5527</formula>
    </cfRule>
    <cfRule type="expression" dxfId="68" priority="944">
      <formula>AR49=5555</formula>
    </cfRule>
  </conditionalFormatting>
  <conditionalFormatting sqref="D42:D43">
    <cfRule type="expression" dxfId="67" priority="969">
      <formula>AR49=5552</formula>
    </cfRule>
  </conditionalFormatting>
  <conditionalFormatting sqref="I11">
    <cfRule type="expression" dxfId="66" priority="980">
      <formula>AL45&gt;0</formula>
    </cfRule>
  </conditionalFormatting>
  <conditionalFormatting sqref="D12">
    <cfRule type="expression" dxfId="65" priority="981">
      <formula>AR45=5523</formula>
    </cfRule>
    <cfRule type="expression" dxfId="64" priority="982">
      <formula>AR45=5522</formula>
    </cfRule>
    <cfRule type="expression" dxfId="63" priority="983">
      <formula>AR45=5676</formula>
    </cfRule>
    <cfRule type="expression" dxfId="62" priority="984">
      <formula>AR45=5681</formula>
    </cfRule>
    <cfRule type="expression" dxfId="61" priority="985">
      <formula>AR45=5527</formula>
    </cfRule>
    <cfRule type="expression" dxfId="60" priority="986">
      <formula>AR45=5555</formula>
    </cfRule>
  </conditionalFormatting>
  <conditionalFormatting sqref="D12">
    <cfRule type="expression" dxfId="59" priority="987">
      <formula>AR45=5552</formula>
    </cfRule>
  </conditionalFormatting>
  <conditionalFormatting sqref="D39:D40">
    <cfRule type="expression" dxfId="58" priority="988">
      <formula>AR47=5523</formula>
    </cfRule>
    <cfRule type="expression" dxfId="57" priority="989">
      <formula>AR47=5522</formula>
    </cfRule>
    <cfRule type="expression" dxfId="56" priority="990">
      <formula>AR47=5676</formula>
    </cfRule>
    <cfRule type="expression" dxfId="55" priority="991">
      <formula>AR47=5681</formula>
    </cfRule>
    <cfRule type="expression" dxfId="54" priority="992">
      <formula>AR47=5527</formula>
    </cfRule>
    <cfRule type="expression" dxfId="53" priority="993">
      <formula>AR47=5555</formula>
    </cfRule>
  </conditionalFormatting>
  <conditionalFormatting sqref="D39:D40">
    <cfRule type="expression" dxfId="52" priority="1000">
      <formula>AR47=5552</formula>
    </cfRule>
  </conditionalFormatting>
  <conditionalFormatting sqref="D94">
    <cfRule type="expression" dxfId="51" priority="1011">
      <formula>AR100=5523</formula>
    </cfRule>
    <cfRule type="expression" dxfId="50" priority="1012">
      <formula>AR100=5522</formula>
    </cfRule>
    <cfRule type="expression" dxfId="49" priority="1013">
      <formula>AR100=5676</formula>
    </cfRule>
    <cfRule type="expression" dxfId="48" priority="1014">
      <formula>AR100=5681</formula>
    </cfRule>
    <cfRule type="expression" dxfId="47" priority="1015">
      <formula>AR100=5527</formula>
    </cfRule>
    <cfRule type="expression" dxfId="46" priority="1016">
      <formula>AR100=5555</formula>
    </cfRule>
  </conditionalFormatting>
  <conditionalFormatting sqref="D94">
    <cfRule type="expression" dxfId="45" priority="1043">
      <formula>AR100=5552</formula>
    </cfRule>
  </conditionalFormatting>
  <conditionalFormatting sqref="D81:D93 D48:D76">
    <cfRule type="expression" dxfId="44" priority="1058">
      <formula>AR53=5523</formula>
    </cfRule>
    <cfRule type="expression" dxfId="43" priority="1059">
      <formula>AR53=5522</formula>
    </cfRule>
    <cfRule type="expression" dxfId="42" priority="1060">
      <formula>AR53=5676</formula>
    </cfRule>
    <cfRule type="expression" dxfId="41" priority="1061">
      <formula>AR53=5681</formula>
    </cfRule>
    <cfRule type="expression" dxfId="40" priority="1062">
      <formula>AR53=5527</formula>
    </cfRule>
    <cfRule type="expression" dxfId="39" priority="1063">
      <formula>AR53=5555</formula>
    </cfRule>
  </conditionalFormatting>
  <conditionalFormatting sqref="D81:D93 D48:D76">
    <cfRule type="expression" dxfId="38" priority="1070">
      <formula>AR53=5552</formula>
    </cfRule>
  </conditionalFormatting>
  <conditionalFormatting sqref="D42:D94">
    <cfRule type="expression" dxfId="37" priority="1122">
      <formula>AR44=5523</formula>
    </cfRule>
    <cfRule type="expression" dxfId="36" priority="1123">
      <formula>AR44=5522</formula>
    </cfRule>
    <cfRule type="expression" dxfId="35" priority="1124">
      <formula>AR44=5676</formula>
    </cfRule>
    <cfRule type="expression" dxfId="34" priority="1125">
      <formula>AR44=5681</formula>
    </cfRule>
    <cfRule type="expression" dxfId="33" priority="1126">
      <formula>AR44=5527</formula>
    </cfRule>
    <cfRule type="expression" dxfId="32" priority="1127">
      <formula>AR44=5555</formula>
    </cfRule>
  </conditionalFormatting>
  <conditionalFormatting sqref="D42:D94">
    <cfRule type="expression" dxfId="31" priority="1129">
      <formula>AR44=5552</formula>
    </cfRule>
  </conditionalFormatting>
  <dataValidations count="1">
    <dataValidation type="list" allowBlank="1" showInputMessage="1" showErrorMessage="1" sqref="E4" xr:uid="{1CD688D1-A642-4B06-BE8C-EDB3005D551C}">
      <formula1>" ,x,d,"</formula1>
    </dataValidation>
  </dataValidations>
  <pageMargins left="0.70866141732283472" right="0.70866141732283472" top="0.35" bottom="0.52" header="0.27" footer="0.26"/>
  <pageSetup scale="3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k_Menu">
                <anchor moveWithCells="1" sizeWithCells="1">
                  <from>
                    <xdr:col>1</xdr:col>
                    <xdr:colOff>561975</xdr:colOff>
                    <xdr:row>0</xdr:row>
                    <xdr:rowOff>142875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9178E-AA7A-4F5E-96AA-82156643F7CB}">
  <sheetPr codeName="Arkusz5"/>
  <dimension ref="B3:P118"/>
  <sheetViews>
    <sheetView topLeftCell="A81" zoomScale="85" zoomScaleNormal="85" workbookViewId="0">
      <selection activeCell="F84" sqref="F84"/>
    </sheetView>
  </sheetViews>
  <sheetFormatPr defaultRowHeight="15"/>
  <cols>
    <col min="2" max="2" width="19.5703125" customWidth="1"/>
    <col min="4" max="4" width="30.5703125" bestFit="1" customWidth="1"/>
    <col min="6" max="6" width="13.5703125" customWidth="1"/>
    <col min="8" max="8" width="17.5703125" customWidth="1"/>
    <col min="11" max="11" width="13.5703125" customWidth="1"/>
    <col min="13" max="13" width="14.42578125" customWidth="1"/>
    <col min="14" max="14" width="15.42578125" customWidth="1"/>
    <col min="15" max="15" width="17.42578125" bestFit="1" customWidth="1"/>
  </cols>
  <sheetData>
    <row r="3" spans="3:16" ht="20.25" thickTop="1" thickBot="1">
      <c r="D3" s="1042" t="s">
        <v>15558</v>
      </c>
      <c r="E3" s="1043"/>
      <c r="F3" s="1043"/>
      <c r="G3" s="1043"/>
      <c r="H3" s="696"/>
      <c r="I3" s="696"/>
      <c r="J3" s="696"/>
      <c r="K3" s="696"/>
      <c r="L3" s="696"/>
      <c r="M3" s="696"/>
      <c r="N3" s="697"/>
      <c r="O3" s="228"/>
    </row>
    <row r="4" spans="3:16" ht="39" thickTop="1" thickBot="1">
      <c r="D4" s="698" t="s">
        <v>111</v>
      </c>
      <c r="E4" s="515" t="s">
        <v>17327</v>
      </c>
      <c r="F4" s="515" t="s">
        <v>113</v>
      </c>
      <c r="G4" s="515" t="s">
        <v>17331</v>
      </c>
      <c r="H4" s="699" t="s">
        <v>114</v>
      </c>
      <c r="I4" s="699" t="s">
        <v>115</v>
      </c>
      <c r="J4" s="699" t="s">
        <v>116</v>
      </c>
      <c r="K4" s="515" t="s">
        <v>17326</v>
      </c>
      <c r="L4" s="515" t="s">
        <v>17332</v>
      </c>
      <c r="M4" s="515" t="s">
        <v>118</v>
      </c>
      <c r="N4" s="516" t="s">
        <v>119</v>
      </c>
      <c r="O4" s="55"/>
      <c r="P4" s="228"/>
    </row>
    <row r="5" spans="3:16" ht="16.5" thickTop="1">
      <c r="D5" s="1034" t="s">
        <v>17992</v>
      </c>
      <c r="E5" s="1028">
        <v>10.86</v>
      </c>
      <c r="F5" s="1031"/>
      <c r="G5" s="523">
        <v>2</v>
      </c>
      <c r="H5" s="712" t="str">
        <f>IF(G5="","",CHOOSE(G5,$D$107,$D$108,$D$109,$D$110,$D$111,$D$112,$D$113,$D$114,$D$115,$D$116,$D$117))</f>
        <v xml:space="preserve">Udo </v>
      </c>
      <c r="I5" s="578">
        <v>0.60499999999999998</v>
      </c>
      <c r="J5" s="701">
        <f>+F5*I5</f>
        <v>0</v>
      </c>
      <c r="K5" s="702">
        <f>IF(G5="","",CHOOSE(G5,$E$107,$E$108,$E$109,$E$110,$E$111,$E$112,$E$113,$E$114,$E$115,$E$116,$E$117))</f>
        <v>10.7</v>
      </c>
      <c r="L5" s="485">
        <f>IF(I5="","",I5*K5)</f>
        <v>6.4734999999999996</v>
      </c>
      <c r="M5" s="525">
        <f>IF(G5="","",CHOOSE(G5,$F$107,$F$108,$F$109,$F$110,$F$111,$F$112,$F$113,$F$114,$F$115,$F$116,$F$117))</f>
        <v>0.13</v>
      </c>
      <c r="N5" s="486">
        <f>I5*M5</f>
        <v>7.8649999999999998E-2</v>
      </c>
      <c r="O5" s="526"/>
      <c r="P5" s="527"/>
    </row>
    <row r="6" spans="3:16" ht="15.75">
      <c r="D6" s="1035"/>
      <c r="E6" s="1029"/>
      <c r="F6" s="1032"/>
      <c r="G6" s="528">
        <v>10</v>
      </c>
      <c r="H6" s="713" t="str">
        <f>IF(G6="","",CHOOSE(G6,$D$107,$D$108,$D$109,$D$110,$D$111,$D$112,$D$113,$D$114,$D$115,$D$116,$D$117))</f>
        <v>KK skóry</v>
      </c>
      <c r="I6" s="580">
        <v>0.19500000000000001</v>
      </c>
      <c r="J6" s="704">
        <f>+F5*I6</f>
        <v>0</v>
      </c>
      <c r="K6" s="705">
        <f>IF(G6="","",CHOOSE(G6,$E$107,$E$108,$E$109,$E$110,$E$111,$E$112,$E$113,$E$114,$E$115,$E$116,$E$117))</f>
        <v>1.8</v>
      </c>
      <c r="L6" s="484">
        <f t="shared" ref="L6:L7" si="0">IF(I6="","",I6*K6)</f>
        <v>0.35100000000000003</v>
      </c>
      <c r="M6" s="530">
        <f>IF(G6="","",CHOOSE(G6,$F$107,$F$108,$F$109,$F$110,$F$111,$F$112,$F$113,$F$114,$F$115,$F$116,$F$117))</f>
        <v>0.5</v>
      </c>
      <c r="N6" s="487">
        <f>I6*M6</f>
        <v>9.7500000000000003E-2</v>
      </c>
      <c r="O6" s="526"/>
      <c r="P6" s="527"/>
    </row>
    <row r="7" spans="3:16" ht="16.5" thickBot="1">
      <c r="D7" s="1035"/>
      <c r="E7" s="1029"/>
      <c r="F7" s="1032"/>
      <c r="G7" s="528">
        <v>7</v>
      </c>
      <c r="H7" s="714" t="str">
        <f>IF(G7="","",CHOOSE(G7,$D$107,$D$108,$D$109,$D$110,$D$111,$D$112,$D$113,$D$114,$D$115,$D$116,$D$117))</f>
        <v>M-so z Fileta</v>
      </c>
      <c r="I7" s="580">
        <v>0.2</v>
      </c>
      <c r="J7" s="704">
        <f>+F5*I7</f>
        <v>0</v>
      </c>
      <c r="K7" s="705">
        <f>IF(G7="","",CHOOSE(G7,$E$107,$E$108,$E$109,$E$110,$E$111,$E$112,$E$113,$E$114,$E$115,$E$116,$E$117))</f>
        <v>8.5</v>
      </c>
      <c r="L7" s="484">
        <f t="shared" si="0"/>
        <v>1.7000000000000002</v>
      </c>
      <c r="M7" s="530">
        <f>IF(G7="","",CHOOSE(G7,$F$107,$F$108,$F$109,$F$110,$F$111,$F$112,$F$113,$F$114,$F$115,$F$116,$F$117))</f>
        <v>0.12</v>
      </c>
      <c r="N7" s="487">
        <f>I7*M7</f>
        <v>2.4E-2</v>
      </c>
      <c r="O7" s="526"/>
      <c r="P7" s="527"/>
    </row>
    <row r="8" spans="3:16" ht="17.25" thickTop="1" thickBot="1">
      <c r="D8" s="709"/>
      <c r="E8" s="517"/>
      <c r="F8" s="710"/>
      <c r="G8" s="710"/>
      <c r="H8" s="710"/>
      <c r="I8" s="711">
        <f>SUM(I5:I7)</f>
        <v>1</v>
      </c>
      <c r="J8" s="710">
        <f>SUM(J5:J7)</f>
        <v>0</v>
      </c>
      <c r="K8" s="710"/>
      <c r="L8" s="518">
        <f>SUM(L5:L7)</f>
        <v>8.5244999999999997</v>
      </c>
      <c r="M8" s="517"/>
      <c r="N8" s="519">
        <f>SUM(N5:N7)</f>
        <v>0.20014999999999999</v>
      </c>
      <c r="O8" s="520">
        <f>(+E5*F5)-(L8*F5)</f>
        <v>0</v>
      </c>
      <c r="P8" s="228" t="s">
        <v>15360</v>
      </c>
    </row>
    <row r="9" spans="3:16" ht="17.25" thickTop="1" thickBot="1">
      <c r="O9" s="520"/>
      <c r="P9" s="228"/>
    </row>
    <row r="10" spans="3:16" ht="20.25" thickTop="1" thickBot="1">
      <c r="D10" s="1074" t="s">
        <v>15558</v>
      </c>
      <c r="E10" s="1075"/>
      <c r="F10" s="1075"/>
      <c r="G10" s="1075"/>
      <c r="H10" s="774"/>
      <c r="I10" s="774"/>
      <c r="J10" s="774"/>
      <c r="K10" s="774"/>
      <c r="L10" s="774"/>
      <c r="M10" s="774"/>
      <c r="N10" s="775"/>
      <c r="O10" s="228"/>
    </row>
    <row r="11" spans="3:16" ht="39" thickTop="1" thickBot="1">
      <c r="D11" s="698" t="s">
        <v>111</v>
      </c>
      <c r="E11" s="515" t="s">
        <v>17327</v>
      </c>
      <c r="F11" s="515" t="s">
        <v>113</v>
      </c>
      <c r="G11" s="515" t="s">
        <v>17331</v>
      </c>
      <c r="H11" s="699" t="s">
        <v>114</v>
      </c>
      <c r="I11" s="699" t="s">
        <v>115</v>
      </c>
      <c r="J11" s="699" t="s">
        <v>116</v>
      </c>
      <c r="K11" s="515" t="s">
        <v>17326</v>
      </c>
      <c r="L11" s="515" t="s">
        <v>17332</v>
      </c>
      <c r="M11" s="515" t="s">
        <v>118</v>
      </c>
      <c r="N11" s="516" t="s">
        <v>119</v>
      </c>
      <c r="O11" s="55"/>
      <c r="P11" s="228"/>
    </row>
    <row r="12" spans="3:16" ht="16.5" thickTop="1">
      <c r="D12" s="1076" t="s">
        <v>17991</v>
      </c>
      <c r="E12" s="1028">
        <v>10.86</v>
      </c>
      <c r="F12" s="1031"/>
      <c r="G12" s="523">
        <v>4</v>
      </c>
      <c r="H12" s="712" t="str">
        <f>IF(G12="","",CHOOSE(G12,$D$107,$D$108,$D$109,$D$110,$D$111,$D$112,$D$113,$D$114,$D$115,$D$116,$D$117))</f>
        <v>Noga z/s</v>
      </c>
      <c r="I12" s="578">
        <v>0.61</v>
      </c>
      <c r="J12" s="701">
        <f>+F12*I12</f>
        <v>0</v>
      </c>
      <c r="K12" s="702">
        <f>IF(G12="","",CHOOSE(G12,$E$107,$E$108,$E$109,$E$110,$E$111,$E$112,$E$113,$E$114,$E$115,$E$116,$E$117))</f>
        <v>10.82</v>
      </c>
      <c r="L12" s="485">
        <f>IF(I12="","",I12*K12)</f>
        <v>6.6002000000000001</v>
      </c>
      <c r="M12" s="525">
        <f>IF(G12="","",CHOOSE(G12,$F$107,$F$108,$F$109,$F$110,$F$111,$F$112,$F$113,$F$114,$F$115,$F$116,$F$117))</f>
        <v>0.15</v>
      </c>
      <c r="N12" s="486">
        <f>I12*M12</f>
        <v>9.1499999999999998E-2</v>
      </c>
      <c r="O12" s="526"/>
      <c r="P12" s="527"/>
    </row>
    <row r="13" spans="3:16" ht="15.75">
      <c r="D13" s="1077"/>
      <c r="E13" s="1029"/>
      <c r="F13" s="1032"/>
      <c r="G13" s="528">
        <v>10</v>
      </c>
      <c r="H13" s="713" t="str">
        <f>IF(G13="","",CHOOSE(G13,$D$107,$D$108,$D$109,$D$110,$D$111,$D$112,$D$113,$D$114,$D$115,$D$116,$D$117))</f>
        <v>KK skóry</v>
      </c>
      <c r="I13" s="580">
        <v>0.09</v>
      </c>
      <c r="J13" s="704">
        <f>+F12*I13</f>
        <v>0</v>
      </c>
      <c r="K13" s="705">
        <f>IF(G13="","",CHOOSE(G13,$E$107,$E$108,$E$109,$E$110,$E$111,$E$112,$E$113,$E$114,$E$115,$E$116,$E$117))</f>
        <v>1.8</v>
      </c>
      <c r="L13" s="484">
        <f t="shared" ref="L13:L14" si="1">IF(I13="","",I13*K13)</f>
        <v>0.16200000000000001</v>
      </c>
      <c r="M13" s="530">
        <f>IF(G13="","",CHOOSE(G13,$F$107,$F$108,$F$109,$F$110,$F$111,$F$112,$F$113,$F$114,$F$115,$F$116,$F$117))</f>
        <v>0.5</v>
      </c>
      <c r="N13" s="487">
        <f>I13*M13</f>
        <v>4.4999999999999998E-2</v>
      </c>
      <c r="O13" s="526"/>
      <c r="P13" s="527"/>
    </row>
    <row r="14" spans="3:16" ht="16.5" thickBot="1">
      <c r="D14" s="1077"/>
      <c r="E14" s="1029"/>
      <c r="F14" s="1032"/>
      <c r="G14" s="528">
        <v>7</v>
      </c>
      <c r="H14" s="714" t="str">
        <f>IF(G14="","",CHOOSE(G14,$D$107,$D$108,$D$109,$D$110,$D$111,$D$112,$D$113,$D$114,$D$115,$D$116,$D$117))</f>
        <v>M-so z Fileta</v>
      </c>
      <c r="I14" s="580">
        <v>0.3</v>
      </c>
      <c r="J14" s="704">
        <f>+F12*I14</f>
        <v>0</v>
      </c>
      <c r="K14" s="705">
        <f>IF(G14="","",CHOOSE(G14,$E$107,$E$108,$E$109,$E$110,$E$111,$E$112,$E$113,$E$114,$E$115,$E$116,$E$117))</f>
        <v>8.5</v>
      </c>
      <c r="L14" s="484">
        <f t="shared" si="1"/>
        <v>2.5499999999999998</v>
      </c>
      <c r="M14" s="530">
        <f>IF(G14="","",CHOOSE(G14,$F$107,$F$108,$F$109,$F$110,$F$111,$F$112,$F$113,$F$114,$F$115,$F$116,$F$117))</f>
        <v>0.12</v>
      </c>
      <c r="N14" s="487">
        <f>I14*M14</f>
        <v>3.5999999999999997E-2</v>
      </c>
      <c r="O14" s="526"/>
      <c r="P14" s="527"/>
    </row>
    <row r="15" spans="3:16" ht="17.25" thickTop="1" thickBot="1">
      <c r="D15" s="806"/>
      <c r="E15" s="807"/>
      <c r="F15" s="808"/>
      <c r="G15" s="809"/>
      <c r="H15" s="810"/>
      <c r="I15" s="811"/>
      <c r="J15" s="812"/>
      <c r="K15" s="813"/>
      <c r="L15" s="805"/>
      <c r="M15" s="814"/>
      <c r="N15" s="815"/>
      <c r="O15" s="526"/>
      <c r="P15" s="527"/>
    </row>
    <row r="16" spans="3:16" ht="17.850000000000001" customHeight="1" thickTop="1" thickBot="1">
      <c r="C16" s="228"/>
      <c r="D16" s="709"/>
      <c r="E16" s="517"/>
      <c r="F16" s="710"/>
      <c r="G16" s="710"/>
      <c r="H16" s="710"/>
      <c r="I16" s="711">
        <f>SUM(I12:I14)</f>
        <v>1</v>
      </c>
      <c r="J16" s="710">
        <f>SUM(J12:J14)</f>
        <v>0</v>
      </c>
      <c r="K16" s="710"/>
      <c r="L16" s="518">
        <f>SUM(L12:L14)</f>
        <v>9.3122000000000007</v>
      </c>
      <c r="M16" s="517"/>
      <c r="N16" s="519">
        <f>SUM(N12:N14)</f>
        <v>0.17250000000000001</v>
      </c>
      <c r="O16" s="520">
        <f>(+E12*F12)-(L16*F12)</f>
        <v>0</v>
      </c>
      <c r="P16" s="228" t="s">
        <v>15360</v>
      </c>
    </row>
    <row r="17" spans="3:16" ht="17.25" thickTop="1" thickBot="1">
      <c r="C17" s="228"/>
      <c r="D17" s="755"/>
      <c r="E17" s="460"/>
      <c r="F17" s="755"/>
      <c r="G17" s="755"/>
      <c r="H17" s="755"/>
      <c r="I17" s="756"/>
      <c r="J17" s="755"/>
      <c r="K17" s="755"/>
      <c r="L17" s="757"/>
      <c r="M17" s="460"/>
      <c r="N17" s="758"/>
      <c r="O17" s="520"/>
      <c r="P17" s="228"/>
    </row>
    <row r="18" spans="3:16" ht="20.25" thickTop="1" thickBot="1">
      <c r="C18" s="228"/>
      <c r="D18" s="1042" t="s">
        <v>15554</v>
      </c>
      <c r="E18" s="1043"/>
      <c r="F18" s="1043"/>
      <c r="G18" s="1043"/>
      <c r="H18" s="696"/>
      <c r="I18" s="696"/>
      <c r="J18" s="696"/>
      <c r="K18" s="696"/>
      <c r="L18" s="696"/>
      <c r="M18" s="696"/>
      <c r="N18" s="697"/>
      <c r="O18" s="228"/>
    </row>
    <row r="19" spans="3:16" ht="39" thickTop="1" thickBot="1">
      <c r="C19" s="228"/>
      <c r="D19" s="698" t="s">
        <v>111</v>
      </c>
      <c r="E19" s="515" t="s">
        <v>17327</v>
      </c>
      <c r="F19" s="515" t="s">
        <v>113</v>
      </c>
      <c r="G19" s="515" t="s">
        <v>17331</v>
      </c>
      <c r="H19" s="699" t="s">
        <v>114</v>
      </c>
      <c r="I19" s="699" t="s">
        <v>115</v>
      </c>
      <c r="J19" s="699" t="s">
        <v>116</v>
      </c>
      <c r="K19" s="515" t="s">
        <v>17326</v>
      </c>
      <c r="L19" s="515" t="s">
        <v>17332</v>
      </c>
      <c r="M19" s="515" t="s">
        <v>118</v>
      </c>
      <c r="N19" s="516" t="s">
        <v>119</v>
      </c>
      <c r="O19" s="55"/>
      <c r="P19" s="228"/>
    </row>
    <row r="20" spans="3:16" ht="16.350000000000001" customHeight="1" thickTop="1">
      <c r="C20" s="228"/>
      <c r="D20" s="1034" t="s">
        <v>17992</v>
      </c>
      <c r="E20" s="1028">
        <v>10.86</v>
      </c>
      <c r="F20" s="1031"/>
      <c r="G20" s="523">
        <v>3</v>
      </c>
      <c r="H20" s="712" t="str">
        <f>IF(G20="","",CHOOSE(G20,$D$107,$D$108,$D$109,$D$110,$D$111,$D$112,$D$113,$D$114,$D$115,$D$116,$D$117))</f>
        <v xml:space="preserve">Noga b/s </v>
      </c>
      <c r="I20" s="578">
        <v>0.64</v>
      </c>
      <c r="J20" s="701">
        <f>+F20*I20</f>
        <v>0</v>
      </c>
      <c r="K20" s="702">
        <f>IF(G20="","",CHOOSE(G20,$E$107,$E$108,$E$109,$E$110,$E$111,$E$112,$E$113,$E$114,$E$115,$E$116,$E$117))</f>
        <v>12.24</v>
      </c>
      <c r="L20" s="485">
        <f>IF(I20="","",I20*K20)</f>
        <v>7.8336000000000006</v>
      </c>
      <c r="M20" s="525">
        <f>IF(G20="","",CHOOSE(G20,$F$107,$F$108,$F$109,$F$110,$F$111,$F$112,$F$113,$F$114,$F$115,$F$116,$F$117))</f>
        <v>0.13</v>
      </c>
      <c r="N20" s="486">
        <f>I20*M20</f>
        <v>8.320000000000001E-2</v>
      </c>
      <c r="O20" s="526"/>
      <c r="P20" s="527"/>
    </row>
    <row r="21" spans="3:16" ht="15.75">
      <c r="C21" s="228"/>
      <c r="D21" s="1035"/>
      <c r="E21" s="1029"/>
      <c r="F21" s="1032"/>
      <c r="G21" s="528">
        <v>10</v>
      </c>
      <c r="H21" s="713" t="str">
        <f>IF(G21="","",CHOOSE(G21,$D$107,$D$108,$D$109,$D$110,$D$111,$D$112,$D$113,$D$114,$D$115,$D$116,$D$117))</f>
        <v>KK skóry</v>
      </c>
      <c r="I21" s="580">
        <v>0.19500000000000001</v>
      </c>
      <c r="J21" s="704">
        <f>+F20*I21</f>
        <v>0</v>
      </c>
      <c r="K21" s="705">
        <f>IF(G21="","",CHOOSE(G21,$E$107,$E$108,$E$109,$E$110,$E$111,$E$112,$E$113,$E$114,$E$115,$E$116,$E$117))</f>
        <v>1.8</v>
      </c>
      <c r="L21" s="484">
        <f t="shared" ref="L21:L22" si="2">IF(I21="","",I21*K21)</f>
        <v>0.35100000000000003</v>
      </c>
      <c r="M21" s="530">
        <f>IF(G21="","",CHOOSE(G21,$F$107,$F$108,$F$109,$F$110,$F$111,$F$112,$F$113,$F$114,$F$115,$F$116,$F$117))</f>
        <v>0.5</v>
      </c>
      <c r="N21" s="487">
        <f>I21*M21</f>
        <v>9.7500000000000003E-2</v>
      </c>
      <c r="O21" s="526"/>
      <c r="P21" s="527"/>
    </row>
    <row r="22" spans="3:16" ht="16.5" thickBot="1">
      <c r="C22" s="228"/>
      <c r="D22" s="1035"/>
      <c r="E22" s="1029"/>
      <c r="F22" s="1032"/>
      <c r="G22" s="528">
        <v>7</v>
      </c>
      <c r="H22" s="714" t="str">
        <f>IF(G22="","",CHOOSE(G22,$D$107,$D$108,$D$109,$D$110,$D$111,$D$112,$D$113,$D$114,$D$115,$D$116,$D$117))</f>
        <v>M-so z Fileta</v>
      </c>
      <c r="I22" s="580">
        <v>0.16500000000000001</v>
      </c>
      <c r="J22" s="704">
        <f>+F20*I22</f>
        <v>0</v>
      </c>
      <c r="K22" s="705">
        <f>IF(G22="","",CHOOSE(G22,$E$107,$E$108,$E$109,$E$110,$E$111,$E$112,$E$113,$E$114,$E$115,$E$116,$E$117))</f>
        <v>8.5</v>
      </c>
      <c r="L22" s="484">
        <f t="shared" si="2"/>
        <v>1.4025000000000001</v>
      </c>
      <c r="M22" s="530">
        <f>IF(G22="","",CHOOSE(G22,$F$107,$F$108,$F$109,$F$110,$F$111,$F$112,$F$113,$F$114,$F$115,$F$116,$F$117))</f>
        <v>0.12</v>
      </c>
      <c r="N22" s="487">
        <f>I22*M22</f>
        <v>1.9800000000000002E-2</v>
      </c>
      <c r="O22" s="526"/>
      <c r="P22" s="527"/>
    </row>
    <row r="23" spans="3:16" ht="17.25" thickTop="1" thickBot="1">
      <c r="C23" s="228"/>
      <c r="D23" s="709"/>
      <c r="E23" s="517"/>
      <c r="F23" s="710"/>
      <c r="G23" s="710"/>
      <c r="H23" s="710"/>
      <c r="I23" s="711">
        <f>SUM(I20:I22)</f>
        <v>1</v>
      </c>
      <c r="J23" s="710">
        <f>SUM(J20:J22)</f>
        <v>0</v>
      </c>
      <c r="K23" s="710"/>
      <c r="L23" s="518">
        <f>SUM(L20:L22)</f>
        <v>9.5871000000000013</v>
      </c>
      <c r="M23" s="517"/>
      <c r="N23" s="519">
        <f>SUM(N20:N22)</f>
        <v>0.20050000000000004</v>
      </c>
      <c r="O23" s="520">
        <f>(+E20*F20)-(L23*F20)</f>
        <v>0</v>
      </c>
      <c r="P23" s="228" t="s">
        <v>15360</v>
      </c>
    </row>
    <row r="24" spans="3:16" ht="16.5" thickTop="1" thickBot="1"/>
    <row r="25" spans="3:16" ht="20.25" thickTop="1" thickBot="1">
      <c r="D25" s="1074" t="s">
        <v>15554</v>
      </c>
      <c r="E25" s="1075"/>
      <c r="F25" s="1075"/>
      <c r="G25" s="1075"/>
      <c r="H25" s="774"/>
      <c r="I25" s="774"/>
      <c r="J25" s="774"/>
      <c r="K25" s="774"/>
      <c r="L25" s="774"/>
      <c r="M25" s="774"/>
      <c r="N25" s="775"/>
      <c r="O25" s="228"/>
    </row>
    <row r="26" spans="3:16" ht="39" thickTop="1" thickBot="1">
      <c r="D26" s="698" t="s">
        <v>111</v>
      </c>
      <c r="E26" s="515" t="s">
        <v>17327</v>
      </c>
      <c r="F26" s="515" t="s">
        <v>113</v>
      </c>
      <c r="G26" s="515" t="s">
        <v>17331</v>
      </c>
      <c r="H26" s="699" t="s">
        <v>114</v>
      </c>
      <c r="I26" s="699" t="s">
        <v>115</v>
      </c>
      <c r="J26" s="699" t="s">
        <v>116</v>
      </c>
      <c r="K26" s="515" t="s">
        <v>17326</v>
      </c>
      <c r="L26" s="515" t="s">
        <v>17332</v>
      </c>
      <c r="M26" s="515" t="s">
        <v>118</v>
      </c>
      <c r="N26" s="516" t="s">
        <v>119</v>
      </c>
      <c r="O26" s="55"/>
      <c r="P26" s="228"/>
    </row>
    <row r="27" spans="3:16" ht="16.5" thickTop="1">
      <c r="D27" s="1076" t="s">
        <v>17991</v>
      </c>
      <c r="E27" s="1028">
        <v>10.86</v>
      </c>
      <c r="F27" s="1031"/>
      <c r="G27" s="523">
        <v>3</v>
      </c>
      <c r="H27" s="712" t="str">
        <f>IF(G27="","",CHOOSE(G27,$D$107,$D$108,$D$109,$D$110,$D$111,$D$112,$D$113,$D$114,$D$115,$D$116,$D$117))</f>
        <v xml:space="preserve">Noga b/s </v>
      </c>
      <c r="I27" s="578">
        <v>0.57999999999999996</v>
      </c>
      <c r="J27" s="701">
        <f>+F27*I27</f>
        <v>0</v>
      </c>
      <c r="K27" s="702">
        <f>IF(G27="","",CHOOSE(G27,$E$107,$E$108,$E$109,$E$110,$E$111,$E$112,$E$113,$E$114,$E$115,$E$116,$E$117))</f>
        <v>12.24</v>
      </c>
      <c r="L27" s="485">
        <f>IF(I27="","",I27*K27)</f>
        <v>7.0991999999999997</v>
      </c>
      <c r="M27" s="525">
        <f>IF(G27="","",CHOOSE(G27,$F$107,$F$108,$F$109,$F$110,$F$111,$F$112,$F$113,$F$114,$F$115,$F$116,$F$117))</f>
        <v>0.13</v>
      </c>
      <c r="N27" s="486">
        <f>I27*M27</f>
        <v>7.5399999999999995E-2</v>
      </c>
      <c r="O27" s="526"/>
      <c r="P27" s="527"/>
    </row>
    <row r="28" spans="3:16" ht="15.75">
      <c r="D28" s="1077"/>
      <c r="E28" s="1029"/>
      <c r="F28" s="1032"/>
      <c r="G28" s="528">
        <v>10</v>
      </c>
      <c r="H28" s="713" t="str">
        <f>IF(G28="","",CHOOSE(G28,$D$107,$D$108,$D$109,$D$110,$D$111,$D$112,$D$113,$D$114,$D$115,$D$116,$D$117))</f>
        <v>KK skóry</v>
      </c>
      <c r="I28" s="580">
        <v>0.12</v>
      </c>
      <c r="J28" s="704">
        <f>+F27*I28</f>
        <v>0</v>
      </c>
      <c r="K28" s="705">
        <f>IF(G28="","",CHOOSE(G28,$E$107,$E$108,$E$109,$E$110,$E$111,$E$112,$E$113,$E$114,$E$115,$E$116,$E$117))</f>
        <v>1.8</v>
      </c>
      <c r="L28" s="484">
        <f t="shared" ref="L28:L29" si="3">IF(I28="","",I28*K28)</f>
        <v>0.216</v>
      </c>
      <c r="M28" s="530">
        <f>IF(G28="","",CHOOSE(G28,$F$107,$F$108,$F$109,$F$110,$F$111,$F$112,$F$113,$F$114,$F$115,$F$116,$F$117))</f>
        <v>0.5</v>
      </c>
      <c r="N28" s="487">
        <f>I28*M28</f>
        <v>0.06</v>
      </c>
      <c r="O28" s="526"/>
      <c r="P28" s="527"/>
    </row>
    <row r="29" spans="3:16" ht="16.5" thickBot="1">
      <c r="D29" s="1077"/>
      <c r="E29" s="1029"/>
      <c r="F29" s="1032"/>
      <c r="G29" s="528">
        <v>7</v>
      </c>
      <c r="H29" s="714" t="str">
        <f>IF(G29="","",CHOOSE(G29,$D$107,$D$108,$D$109,$D$110,$D$111,$D$112,$D$113,$D$114,$D$115,$D$116,$D$117))</f>
        <v>M-so z Fileta</v>
      </c>
      <c r="I29" s="580">
        <v>0.3</v>
      </c>
      <c r="J29" s="704">
        <f>+F27*I29</f>
        <v>0</v>
      </c>
      <c r="K29" s="705">
        <f>IF(G29="","",CHOOSE(G29,$E$107,$E$108,$E$109,$E$110,$E$111,$E$112,$E$113,$E$114,$E$115,$E$116,$E$117))</f>
        <v>8.5</v>
      </c>
      <c r="L29" s="484">
        <f t="shared" si="3"/>
        <v>2.5499999999999998</v>
      </c>
      <c r="M29" s="530">
        <f>IF(G29="","",CHOOSE(G29,$F$107,$F$108,$F$109,$F$110,$F$111,$F$112,$F$113,$F$114,$F$115,$F$116,$F$117))</f>
        <v>0.12</v>
      </c>
      <c r="N29" s="487">
        <f>I29*M29</f>
        <v>3.5999999999999997E-2</v>
      </c>
      <c r="O29" s="526"/>
      <c r="P29" s="527"/>
    </row>
    <row r="30" spans="3:16" ht="17.25" thickTop="1" thickBot="1">
      <c r="D30" s="709"/>
      <c r="E30" s="517"/>
      <c r="F30" s="710"/>
      <c r="G30" s="710"/>
      <c r="H30" s="710"/>
      <c r="I30" s="711">
        <f>SUM(I27:I29)</f>
        <v>1</v>
      </c>
      <c r="J30" s="710">
        <f>SUM(J27:J29)</f>
        <v>0</v>
      </c>
      <c r="K30" s="710"/>
      <c r="L30" s="518">
        <f>SUM(L27:L29)</f>
        <v>9.8651999999999997</v>
      </c>
      <c r="M30" s="517"/>
      <c r="N30" s="519">
        <f>SUM(N27:N29)</f>
        <v>0.1714</v>
      </c>
      <c r="O30" s="520">
        <f>(+E27*F27)-(L30*F27)</f>
        <v>0</v>
      </c>
      <c r="P30" s="228" t="s">
        <v>15360</v>
      </c>
    </row>
    <row r="31" spans="3:16" ht="16.5" thickTop="1" thickBot="1"/>
    <row r="32" spans="3:16" ht="20.25" thickTop="1" thickBot="1">
      <c r="D32" s="1042" t="s">
        <v>15555</v>
      </c>
      <c r="E32" s="1043"/>
      <c r="F32" s="1043"/>
      <c r="G32" s="1043"/>
      <c r="H32" s="696"/>
      <c r="I32" s="696"/>
      <c r="J32" s="696"/>
      <c r="K32" s="696"/>
      <c r="L32" s="696"/>
      <c r="M32" s="696"/>
      <c r="N32" s="697"/>
      <c r="O32" s="228"/>
    </row>
    <row r="33" spans="4:16" ht="39" thickTop="1" thickBot="1">
      <c r="D33" s="698" t="s">
        <v>111</v>
      </c>
      <c r="E33" s="515" t="s">
        <v>17327</v>
      </c>
      <c r="F33" s="515" t="s">
        <v>113</v>
      </c>
      <c r="G33" s="515" t="s">
        <v>17331</v>
      </c>
      <c r="H33" s="699" t="s">
        <v>114</v>
      </c>
      <c r="I33" s="699" t="s">
        <v>115</v>
      </c>
      <c r="J33" s="699" t="s">
        <v>116</v>
      </c>
      <c r="K33" s="515" t="s">
        <v>17326</v>
      </c>
      <c r="L33" s="515" t="s">
        <v>17332</v>
      </c>
      <c r="M33" s="515" t="s">
        <v>118</v>
      </c>
      <c r="N33" s="516" t="s">
        <v>119</v>
      </c>
      <c r="O33" s="55"/>
      <c r="P33" s="228"/>
    </row>
    <row r="34" spans="4:16" ht="16.5" thickTop="1">
      <c r="D34" s="1034" t="s">
        <v>17992</v>
      </c>
      <c r="E34" s="1028">
        <v>10.86</v>
      </c>
      <c r="F34" s="1031"/>
      <c r="G34" s="523">
        <v>6</v>
      </c>
      <c r="H34" s="712" t="str">
        <f>IF(G34="","",CHOOSE(G34,$D$107,$D$108,$D$109,$D$110,$D$111,$D$112,$D$113,$D$114,$D$115,$D$116,$D$117))</f>
        <v xml:space="preserve">Podudzie b/s </v>
      </c>
      <c r="I34" s="578">
        <v>0.63</v>
      </c>
      <c r="J34" s="701">
        <f>+F34*I34</f>
        <v>0</v>
      </c>
      <c r="K34" s="702">
        <f>IF(G34="","",CHOOSE(G34,$E$107,$E$108,$E$109,$E$110,$E$111,$E$112,$E$113,$E$114,$E$115,$E$116,$E$117))</f>
        <v>11.25</v>
      </c>
      <c r="L34" s="485">
        <f>IF(I34="","",I34*K34)</f>
        <v>7.0875000000000004</v>
      </c>
      <c r="M34" s="525">
        <f>IF(G34="","",CHOOSE(G34,$F$107,$F$108,$F$109,$F$110,$F$111,$F$112,$F$113,$F$114,$F$115,$F$116,$F$117))</f>
        <v>0.12</v>
      </c>
      <c r="N34" s="486">
        <f>I34*M34</f>
        <v>7.5600000000000001E-2</v>
      </c>
      <c r="O34" s="526"/>
      <c r="P34" s="527"/>
    </row>
    <row r="35" spans="4:16" ht="15.75">
      <c r="D35" s="1035"/>
      <c r="E35" s="1029"/>
      <c r="F35" s="1032"/>
      <c r="G35" s="528">
        <v>10</v>
      </c>
      <c r="H35" s="713" t="str">
        <f>IF(G35="","",CHOOSE(G35,$D$107,$D$108,$D$109,$D$110,$D$111,$D$112,$D$113,$D$114,$D$115,$D$116,$D$117))</f>
        <v>KK skóry</v>
      </c>
      <c r="I35" s="580">
        <v>0.21</v>
      </c>
      <c r="J35" s="704">
        <f>+F34*I35</f>
        <v>0</v>
      </c>
      <c r="K35" s="705">
        <f>IF(G35="","",CHOOSE(G35,$E$107,$E$108,$E$109,$E$110,$E$111,$E$112,$E$113,$E$114,$E$115,$E$116,$E$117))</f>
        <v>1.8</v>
      </c>
      <c r="L35" s="484">
        <f t="shared" ref="L35:L36" si="4">IF(I35="","",I35*K35)</f>
        <v>0.378</v>
      </c>
      <c r="M35" s="530">
        <f>IF(G35="","",CHOOSE(G35,$F$107,$F$108,$F$109,$F$110,$F$111,$F$112,$F$113,$F$114,$F$115,$F$116,$F$117))</f>
        <v>0.5</v>
      </c>
      <c r="N35" s="487">
        <f>I35*M35</f>
        <v>0.105</v>
      </c>
      <c r="O35" s="526"/>
      <c r="P35" s="527"/>
    </row>
    <row r="36" spans="4:16" ht="16.5" thickBot="1">
      <c r="D36" s="1035"/>
      <c r="E36" s="1029"/>
      <c r="F36" s="1032"/>
      <c r="G36" s="528">
        <v>7</v>
      </c>
      <c r="H36" s="714" t="str">
        <f>IF(G36="","",CHOOSE(G36,$D$107,$D$108,$D$109,$D$110,$D$111,$D$112,$D$113,$D$114,$D$115,$D$116,$D$117))</f>
        <v>M-so z Fileta</v>
      </c>
      <c r="I36" s="580">
        <v>0.16</v>
      </c>
      <c r="J36" s="704">
        <f>+F34*I36</f>
        <v>0</v>
      </c>
      <c r="K36" s="705">
        <f>IF(G36="","",CHOOSE(G36,$E$107,$E$108,$E$109,$E$110,$E$111,$E$112,$E$113,$E$114,$E$115,$E$116,$E$117))</f>
        <v>8.5</v>
      </c>
      <c r="L36" s="484">
        <f t="shared" si="4"/>
        <v>1.36</v>
      </c>
      <c r="M36" s="530">
        <f>IF(G36="","",CHOOSE(G36,$F$107,$F$108,$F$109,$F$110,$F$111,$F$112,$F$113,$F$114,$F$115,$F$116,$F$117))</f>
        <v>0.12</v>
      </c>
      <c r="N36" s="487">
        <f>I36*M36</f>
        <v>1.9199999999999998E-2</v>
      </c>
      <c r="O36" s="526"/>
      <c r="P36" s="527"/>
    </row>
    <row r="37" spans="4:16" ht="17.25" thickTop="1" thickBot="1">
      <c r="D37" s="709"/>
      <c r="E37" s="517"/>
      <c r="F37" s="710"/>
      <c r="G37" s="710"/>
      <c r="H37" s="710"/>
      <c r="I37" s="711">
        <f>SUM(I34:I36)</f>
        <v>1</v>
      </c>
      <c r="J37" s="710">
        <f>SUM(J34:J36)</f>
        <v>0</v>
      </c>
      <c r="K37" s="710"/>
      <c r="L37" s="518">
        <f>SUM(L34:L36)</f>
        <v>8.8254999999999999</v>
      </c>
      <c r="M37" s="517"/>
      <c r="N37" s="519">
        <f>SUM(N34:N36)</f>
        <v>0.19979999999999998</v>
      </c>
      <c r="O37" s="520">
        <f>(+E34*F34)-(L37*F34)</f>
        <v>0</v>
      </c>
      <c r="P37" s="228" t="s">
        <v>15360</v>
      </c>
    </row>
    <row r="38" spans="4:16" ht="16.5" thickTop="1" thickBot="1"/>
    <row r="39" spans="4:16" ht="20.25" thickTop="1" thickBot="1">
      <c r="D39" s="1074" t="s">
        <v>15555</v>
      </c>
      <c r="E39" s="1075"/>
      <c r="F39" s="1075"/>
      <c r="G39" s="1075"/>
      <c r="H39" s="774"/>
      <c r="I39" s="774"/>
      <c r="J39" s="774"/>
      <c r="K39" s="774"/>
      <c r="L39" s="774"/>
      <c r="M39" s="774"/>
      <c r="N39" s="775"/>
      <c r="O39" s="228"/>
    </row>
    <row r="40" spans="4:16" ht="39" thickTop="1" thickBot="1">
      <c r="D40" s="698" t="s">
        <v>111</v>
      </c>
      <c r="E40" s="515" t="s">
        <v>17327</v>
      </c>
      <c r="F40" s="515" t="s">
        <v>113</v>
      </c>
      <c r="G40" s="515" t="s">
        <v>17331</v>
      </c>
      <c r="H40" s="699" t="s">
        <v>114</v>
      </c>
      <c r="I40" s="699" t="s">
        <v>115</v>
      </c>
      <c r="J40" s="699" t="s">
        <v>116</v>
      </c>
      <c r="K40" s="515" t="s">
        <v>17326</v>
      </c>
      <c r="L40" s="515" t="s">
        <v>17332</v>
      </c>
      <c r="M40" s="515" t="s">
        <v>118</v>
      </c>
      <c r="N40" s="516" t="s">
        <v>119</v>
      </c>
      <c r="O40" s="55"/>
      <c r="P40" s="228"/>
    </row>
    <row r="41" spans="4:16" ht="16.5" thickTop="1">
      <c r="D41" s="1076" t="s">
        <v>17991</v>
      </c>
      <c r="E41" s="1028">
        <v>10.86</v>
      </c>
      <c r="F41" s="1031"/>
      <c r="G41" s="523">
        <v>6</v>
      </c>
      <c r="H41" s="712" t="str">
        <f>IF(G41="","",CHOOSE(G41,$D$107,$D$108,$D$109,$D$110,$D$111,$D$112,$D$113,$D$114,$D$115,$D$116,$D$117))</f>
        <v xml:space="preserve">Podudzie b/s </v>
      </c>
      <c r="I41" s="578">
        <v>0.57999999999999996</v>
      </c>
      <c r="J41" s="701">
        <f>+F41*I41</f>
        <v>0</v>
      </c>
      <c r="K41" s="702">
        <f>IF(G41="","",CHOOSE(G41,$E$107,$E$108,$E$109,$E$110,$E$111,$E$112,$E$113,$E$114,$E$115,$E$116,$E$117))</f>
        <v>11.25</v>
      </c>
      <c r="L41" s="485">
        <f>IF(I41="","",I41*K41)</f>
        <v>6.5249999999999995</v>
      </c>
      <c r="M41" s="525">
        <f>IF(G41="","",CHOOSE(G41,$F$107,$F$108,$F$109,$F$110,$F$111,$F$112,$F$113,$F$114,$F$115,$F$116,$F$117))</f>
        <v>0.12</v>
      </c>
      <c r="N41" s="486">
        <f>I41*M41</f>
        <v>6.9599999999999995E-2</v>
      </c>
      <c r="O41" s="526"/>
      <c r="P41" s="527"/>
    </row>
    <row r="42" spans="4:16" ht="15.75">
      <c r="D42" s="1077"/>
      <c r="E42" s="1029"/>
      <c r="F42" s="1032"/>
      <c r="G42" s="528">
        <v>10</v>
      </c>
      <c r="H42" s="713" t="str">
        <f>IF(G42="","",CHOOSE(G42,$D$107,$D$108,$D$109,$D$110,$D$111,$D$112,$D$113,$D$114,$D$115,$D$116,$D$117))</f>
        <v>KK skóry</v>
      </c>
      <c r="I42" s="580">
        <v>0.12</v>
      </c>
      <c r="J42" s="704">
        <f>+F41*I42</f>
        <v>0</v>
      </c>
      <c r="K42" s="705">
        <f>IF(G42="","",CHOOSE(G42,$E$107,$E$108,$E$109,$E$110,$E$111,$E$112,$E$113,$E$114,$E$115,$E$116,$E$117))</f>
        <v>1.8</v>
      </c>
      <c r="L42" s="484">
        <f t="shared" ref="L42:L43" si="5">IF(I42="","",I42*K42)</f>
        <v>0.216</v>
      </c>
      <c r="M42" s="530">
        <f>IF(G42="","",CHOOSE(G42,$F$107,$F$108,$F$109,$F$110,$F$111,$F$112,$F$113,$F$114,$F$115,$F$116,$F$117))</f>
        <v>0.5</v>
      </c>
      <c r="N42" s="487">
        <f>I42*M42</f>
        <v>0.06</v>
      </c>
      <c r="O42" s="526"/>
      <c r="P42" s="527"/>
    </row>
    <row r="43" spans="4:16" ht="16.5" thickBot="1">
      <c r="D43" s="1077"/>
      <c r="E43" s="1029"/>
      <c r="F43" s="1032"/>
      <c r="G43" s="528">
        <v>7</v>
      </c>
      <c r="H43" s="714" t="str">
        <f>IF(G43="","",CHOOSE(G43,$D$107,$D$108,$D$109,$D$110,$D$111,$D$112,$D$113,$D$114,$D$115,$D$116,$D$117))</f>
        <v>M-so z Fileta</v>
      </c>
      <c r="I43" s="580">
        <v>0.3</v>
      </c>
      <c r="J43" s="704">
        <f>+F41*I43</f>
        <v>0</v>
      </c>
      <c r="K43" s="705">
        <f>IF(G43="","",CHOOSE(G43,$E$107,$E$108,$E$109,$E$110,$E$111,$E$112,$E$113,$E$114,$E$115,$E$116,$E$117))</f>
        <v>8.5</v>
      </c>
      <c r="L43" s="484">
        <f t="shared" si="5"/>
        <v>2.5499999999999998</v>
      </c>
      <c r="M43" s="530">
        <f>IF(G43="","",CHOOSE(G43,$F$107,$F$108,$F$109,$F$110,$F$111,$F$112,$F$113,$F$114,$F$115,$F$116,$F$117))</f>
        <v>0.12</v>
      </c>
      <c r="N43" s="487">
        <f>I43*M43</f>
        <v>3.5999999999999997E-2</v>
      </c>
      <c r="O43" s="526"/>
      <c r="P43" s="527"/>
    </row>
    <row r="44" spans="4:16" ht="17.25" thickTop="1" thickBot="1">
      <c r="D44" s="709"/>
      <c r="E44" s="517"/>
      <c r="F44" s="710"/>
      <c r="G44" s="710"/>
      <c r="H44" s="710"/>
      <c r="I44" s="711">
        <f>SUM(I41:I43)</f>
        <v>1</v>
      </c>
      <c r="J44" s="710">
        <f>SUM(J41:J43)</f>
        <v>0</v>
      </c>
      <c r="K44" s="710"/>
      <c r="L44" s="518">
        <f>SUM(L41:L43)</f>
        <v>9.2910000000000004</v>
      </c>
      <c r="M44" s="517"/>
      <c r="N44" s="519">
        <f>SUM(N41:N43)</f>
        <v>0.1656</v>
      </c>
      <c r="O44" s="520">
        <f>(+E41*F41)-(L44*F41)</f>
        <v>0</v>
      </c>
      <c r="P44" s="228" t="s">
        <v>15360</v>
      </c>
    </row>
    <row r="45" spans="4:16" ht="16.5" thickTop="1">
      <c r="D45" s="816"/>
      <c r="E45" s="817"/>
      <c r="F45" s="816"/>
      <c r="G45" s="816"/>
      <c r="H45" s="816"/>
      <c r="I45" s="818"/>
      <c r="J45" s="816"/>
      <c r="K45" s="816"/>
      <c r="L45" s="819"/>
      <c r="M45" s="817"/>
      <c r="N45" s="820"/>
      <c r="O45" s="520"/>
      <c r="P45" s="228"/>
    </row>
    <row r="46" spans="4:16" ht="15.75" thickBot="1"/>
    <row r="47" spans="4:16" ht="20.25" thickTop="1" thickBot="1">
      <c r="D47" s="1042" t="s">
        <v>15556</v>
      </c>
      <c r="E47" s="1043"/>
      <c r="F47" s="1043"/>
      <c r="G47" s="1043"/>
      <c r="H47" s="696"/>
      <c r="I47" s="696"/>
      <c r="J47" s="696"/>
      <c r="K47" s="696"/>
      <c r="L47" s="696"/>
      <c r="M47" s="696"/>
      <c r="N47" s="697"/>
      <c r="O47" s="228"/>
    </row>
    <row r="48" spans="4:16" ht="39" thickTop="1" thickBot="1">
      <c r="D48" s="698" t="s">
        <v>111</v>
      </c>
      <c r="E48" s="515" t="s">
        <v>17327</v>
      </c>
      <c r="F48" s="515" t="s">
        <v>113</v>
      </c>
      <c r="G48" s="515" t="s">
        <v>17331</v>
      </c>
      <c r="H48" s="699" t="s">
        <v>114</v>
      </c>
      <c r="I48" s="699" t="s">
        <v>115</v>
      </c>
      <c r="J48" s="699" t="s">
        <v>116</v>
      </c>
      <c r="K48" s="515" t="s">
        <v>17326</v>
      </c>
      <c r="L48" s="515" t="s">
        <v>17332</v>
      </c>
      <c r="M48" s="515" t="s">
        <v>118</v>
      </c>
      <c r="N48" s="516" t="s">
        <v>119</v>
      </c>
      <c r="O48" s="55"/>
      <c r="P48" s="228"/>
    </row>
    <row r="49" spans="3:16" ht="16.5" thickTop="1">
      <c r="D49" s="1034" t="s">
        <v>17992</v>
      </c>
      <c r="E49" s="1028">
        <v>10.86</v>
      </c>
      <c r="F49" s="1031"/>
      <c r="G49" s="523">
        <v>4</v>
      </c>
      <c r="H49" s="712" t="str">
        <f>IF(G49="","",CHOOSE(G49,$D$107,$D$108,$D$109,$D$110,$D$111,$D$112,$D$113,$D$114,$D$115,$D$116,$D$117))</f>
        <v>Noga z/s</v>
      </c>
      <c r="I49" s="578">
        <v>0.68</v>
      </c>
      <c r="J49" s="701">
        <f>+F49*I49</f>
        <v>0</v>
      </c>
      <c r="K49" s="702">
        <f>IF(G49="","",CHOOSE(G49,$E$107,$E$108,$E$109,$E$110,$E$111,$E$112,$E$113,$E$114,$E$115,$E$116,$E$117))</f>
        <v>10.82</v>
      </c>
      <c r="L49" s="485">
        <f>IF(I49="","",I49*K49)</f>
        <v>7.3576000000000006</v>
      </c>
      <c r="M49" s="525">
        <f>IF(G49="","",CHOOSE(G49,$F$107,$F$108,$F$109,$F$110,$F$111,$F$112,$F$113,$F$114,$F$115,$F$116,$F$117))</f>
        <v>0.15</v>
      </c>
      <c r="N49" s="486">
        <f>I49*M49</f>
        <v>0.10200000000000001</v>
      </c>
      <c r="O49" s="526"/>
      <c r="P49" s="527"/>
    </row>
    <row r="50" spans="3:16" ht="15.75">
      <c r="D50" s="1035"/>
      <c r="E50" s="1029"/>
      <c r="F50" s="1032"/>
      <c r="G50" s="528">
        <v>10</v>
      </c>
      <c r="H50" s="713" t="str">
        <f>IF(G50="","",CHOOSE(G50,$D$107,$D$108,$D$109,$D$110,$D$111,$D$112,$D$113,$D$114,$D$115,$D$116,$D$117))</f>
        <v>KK skóry</v>
      </c>
      <c r="I50" s="580">
        <v>0.16</v>
      </c>
      <c r="J50" s="704">
        <f>+F49*I50</f>
        <v>0</v>
      </c>
      <c r="K50" s="705">
        <f>IF(G50="","",CHOOSE(G50,$E$107,$E$108,$E$109,$E$110,$E$111,$E$112,$E$113,$E$114,$E$115,$E$116,$E$117))</f>
        <v>1.8</v>
      </c>
      <c r="L50" s="484">
        <f t="shared" ref="L50:L51" si="6">IF(I50="","",I50*K50)</f>
        <v>0.28800000000000003</v>
      </c>
      <c r="M50" s="530">
        <f>IF(G50="","",CHOOSE(G50,$F$107,$F$108,$F$109,$F$110,$F$111,$F$112,$F$113,$F$114,$F$115,$F$116,$F$117))</f>
        <v>0.5</v>
      </c>
      <c r="N50" s="487">
        <f>I50*M50</f>
        <v>0.08</v>
      </c>
      <c r="O50" s="526"/>
      <c r="P50" s="527"/>
    </row>
    <row r="51" spans="3:16" ht="16.5" thickBot="1">
      <c r="D51" s="1035"/>
      <c r="E51" s="1029"/>
      <c r="F51" s="1032"/>
      <c r="G51" s="528">
        <v>7</v>
      </c>
      <c r="H51" s="714" t="str">
        <f>IF(G51="","",CHOOSE(G51,$D$107,$D$108,$D$109,$D$110,$D$111,$D$112,$D$113,$D$114,$D$115,$D$116,$D$117))</f>
        <v>M-so z Fileta</v>
      </c>
      <c r="I51" s="580">
        <v>0.16</v>
      </c>
      <c r="J51" s="704">
        <f>+F49*I51</f>
        <v>0</v>
      </c>
      <c r="K51" s="705">
        <f>IF(G51="","",CHOOSE(G51,$E$107,$E$108,$E$109,$E$110,$E$111,$E$112,$E$113,$E$114,$E$115,$E$116,$E$117))</f>
        <v>8.5</v>
      </c>
      <c r="L51" s="484">
        <f t="shared" si="6"/>
        <v>1.36</v>
      </c>
      <c r="M51" s="530">
        <f>IF(G51="","",CHOOSE(G51,$F$107,$F$108,$F$109,$F$110,$F$111,$F$112,$F$113,$F$114,$F$115,$F$116,$F$117))</f>
        <v>0.12</v>
      </c>
      <c r="N51" s="487">
        <f>I51*M51</f>
        <v>1.9199999999999998E-2</v>
      </c>
      <c r="O51" s="526"/>
      <c r="P51" s="527"/>
    </row>
    <row r="52" spans="3:16" ht="17.25" thickTop="1" thickBot="1">
      <c r="D52" s="709"/>
      <c r="E52" s="517"/>
      <c r="F52" s="710"/>
      <c r="G52" s="710"/>
      <c r="H52" s="710"/>
      <c r="I52" s="711">
        <f>SUM(I49:I51)</f>
        <v>1</v>
      </c>
      <c r="J52" s="710">
        <f>SUM(J49:J51)</f>
        <v>0</v>
      </c>
      <c r="K52" s="710"/>
      <c r="L52" s="518">
        <f>SUM(L49:L51)</f>
        <v>9.0056000000000012</v>
      </c>
      <c r="M52" s="517"/>
      <c r="N52" s="519">
        <f>SUM(N49:N51)</f>
        <v>0.20119999999999999</v>
      </c>
      <c r="O52" s="520">
        <f>(+E49*F49)-(L52*F49)</f>
        <v>0</v>
      </c>
      <c r="P52" s="228" t="s">
        <v>15360</v>
      </c>
    </row>
    <row r="53" spans="3:16" ht="16.5" thickTop="1" thickBot="1"/>
    <row r="54" spans="3:16" ht="20.25" thickTop="1" thickBot="1">
      <c r="D54" s="1042" t="s">
        <v>15556</v>
      </c>
      <c r="E54" s="1043"/>
      <c r="F54" s="1043"/>
      <c r="G54" s="1043"/>
      <c r="H54" s="696"/>
      <c r="I54" s="696"/>
      <c r="J54" s="696"/>
      <c r="K54" s="696"/>
      <c r="L54" s="696"/>
      <c r="M54" s="696"/>
      <c r="N54" s="697"/>
      <c r="O54" s="228"/>
    </row>
    <row r="55" spans="3:16" ht="39" thickTop="1" thickBot="1">
      <c r="D55" s="698" t="s">
        <v>111</v>
      </c>
      <c r="E55" s="515" t="s">
        <v>17327</v>
      </c>
      <c r="F55" s="515" t="s">
        <v>113</v>
      </c>
      <c r="G55" s="515" t="s">
        <v>17331</v>
      </c>
      <c r="H55" s="699" t="s">
        <v>114</v>
      </c>
      <c r="I55" s="699" t="s">
        <v>115</v>
      </c>
      <c r="J55" s="699" t="s">
        <v>116</v>
      </c>
      <c r="K55" s="515" t="s">
        <v>17326</v>
      </c>
      <c r="L55" s="515" t="s">
        <v>17332</v>
      </c>
      <c r="M55" s="515" t="s">
        <v>118</v>
      </c>
      <c r="N55" s="516" t="s">
        <v>119</v>
      </c>
      <c r="O55" s="55"/>
      <c r="P55" s="228"/>
    </row>
    <row r="56" spans="3:16" ht="16.5" thickTop="1">
      <c r="D56" s="1076" t="s">
        <v>17991</v>
      </c>
      <c r="E56" s="1028">
        <v>10.86</v>
      </c>
      <c r="F56" s="1031"/>
      <c r="G56" s="523">
        <v>4</v>
      </c>
      <c r="H56" s="712" t="str">
        <f>IF(G56="","",CHOOSE(G56,$D$107,$D$108,$D$109,$D$110,$D$111,$D$112,$D$113,$D$114,$D$115,$D$116,$D$117))</f>
        <v>Noga z/s</v>
      </c>
      <c r="I56" s="578">
        <v>0.61</v>
      </c>
      <c r="J56" s="701">
        <f>+F56*I56</f>
        <v>0</v>
      </c>
      <c r="K56" s="702">
        <f>IF(G56="","",CHOOSE(G56,$E$107,$E$108,$E$109,$E$110,$E$111,$E$112,$E$113,$E$114,$E$115,$E$116,$E$117))</f>
        <v>10.82</v>
      </c>
      <c r="L56" s="485">
        <f>IF(I56="","",I56*K56)</f>
        <v>6.6002000000000001</v>
      </c>
      <c r="M56" s="525">
        <f>IF(G56="","",CHOOSE(G56,$F$107,$F$108,$F$109,$F$110,$F$111,$F$112,$F$113,$F$114,$F$115,$F$116,$F$117))</f>
        <v>0.15</v>
      </c>
      <c r="N56" s="486">
        <f>I56*M56</f>
        <v>9.1499999999999998E-2</v>
      </c>
      <c r="O56" s="526"/>
      <c r="P56" s="527"/>
    </row>
    <row r="57" spans="3:16" ht="15.75">
      <c r="D57" s="1077"/>
      <c r="E57" s="1029"/>
      <c r="F57" s="1032"/>
      <c r="G57" s="528">
        <v>10</v>
      </c>
      <c r="H57" s="713" t="str">
        <f>IF(G57="","",CHOOSE(G57,$D$107,$D$108,$D$109,$D$110,$D$111,$D$112,$D$113,$D$114,$D$115,$D$116,$D$117))</f>
        <v>KK skóry</v>
      </c>
      <c r="I57" s="580">
        <v>0.09</v>
      </c>
      <c r="J57" s="704">
        <f>+F56*I57</f>
        <v>0</v>
      </c>
      <c r="K57" s="705">
        <f>IF(G57="","",CHOOSE(G57,$E$107,$E$108,$E$109,$E$110,$E$111,$E$112,$E$113,$E$114,$E$115,$E$116,$E$117))</f>
        <v>1.8</v>
      </c>
      <c r="L57" s="484">
        <f t="shared" ref="L57:L58" si="7">IF(I57="","",I57*K57)</f>
        <v>0.16200000000000001</v>
      </c>
      <c r="M57" s="530">
        <f>IF(G57="","",CHOOSE(G57,$F$107,$F$108,$F$109,$F$110,$F$111,$F$112,$F$113,$F$114,$F$115,$F$116,$F$117))</f>
        <v>0.5</v>
      </c>
      <c r="N57" s="487">
        <f>I57*M57</f>
        <v>4.4999999999999998E-2</v>
      </c>
      <c r="O57" s="526"/>
      <c r="P57" s="527"/>
    </row>
    <row r="58" spans="3:16" ht="16.5" thickBot="1">
      <c r="D58" s="1077"/>
      <c r="E58" s="1029"/>
      <c r="F58" s="1032"/>
      <c r="G58" s="528">
        <v>7</v>
      </c>
      <c r="H58" s="714" t="str">
        <f>IF(G58="","",CHOOSE(G58,$D$107,$D$108,$D$109,$D$110,$D$111,$D$112,$D$113,$D$114,$D$115,$D$116,$D$117))</f>
        <v>M-so z Fileta</v>
      </c>
      <c r="I58" s="580">
        <v>0.3</v>
      </c>
      <c r="J58" s="704">
        <f>+F56*I58</f>
        <v>0</v>
      </c>
      <c r="K58" s="705">
        <f>IF(G58="","",CHOOSE(G58,$E$107,$E$108,$E$109,$E$110,$E$111,$E$112,$E$113,$E$114,$E$115,$E$116,$E$117))</f>
        <v>8.5</v>
      </c>
      <c r="L58" s="484">
        <f t="shared" si="7"/>
        <v>2.5499999999999998</v>
      </c>
      <c r="M58" s="530">
        <f>IF(G58="","",CHOOSE(G58,$F$107,$F$108,$F$109,$F$110,$F$111,$F$112,$F$113,$F$114,$F$115,$F$116,$F$117))</f>
        <v>0.12</v>
      </c>
      <c r="N58" s="487">
        <f>I58*M58</f>
        <v>3.5999999999999997E-2</v>
      </c>
      <c r="O58" s="526"/>
      <c r="P58" s="527"/>
    </row>
    <row r="59" spans="3:16" ht="17.25" thickTop="1" thickBot="1">
      <c r="D59" s="709"/>
      <c r="E59" s="517"/>
      <c r="F59" s="710"/>
      <c r="G59" s="710"/>
      <c r="H59" s="710"/>
      <c r="I59" s="711">
        <f>SUM(I56:I58)</f>
        <v>1</v>
      </c>
      <c r="J59" s="710">
        <f>SUM(J56:J58)</f>
        <v>0</v>
      </c>
      <c r="K59" s="710"/>
      <c r="L59" s="518">
        <f>SUM(L56:L58)</f>
        <v>9.3122000000000007</v>
      </c>
      <c r="M59" s="517"/>
      <c r="N59" s="519">
        <f>SUM(N56:N58)</f>
        <v>0.17250000000000001</v>
      </c>
      <c r="O59" s="520">
        <f>(+E56*F56)-(L59*F56)</f>
        <v>0</v>
      </c>
      <c r="P59" s="228" t="s">
        <v>15360</v>
      </c>
    </row>
    <row r="60" spans="3:16" ht="16.5" thickTop="1" thickBot="1"/>
    <row r="61" spans="3:16" ht="20.25" thickTop="1" thickBot="1">
      <c r="C61" s="228"/>
      <c r="D61" s="1042" t="s">
        <v>15557</v>
      </c>
      <c r="E61" s="1043"/>
      <c r="F61" s="1043"/>
      <c r="G61" s="1043"/>
      <c r="H61" s="696"/>
      <c r="I61" s="696"/>
      <c r="J61" s="696"/>
      <c r="K61" s="696"/>
      <c r="L61" s="696"/>
      <c r="M61" s="696"/>
      <c r="N61" s="697"/>
      <c r="O61" s="228"/>
    </row>
    <row r="62" spans="3:16" ht="39" thickTop="1" thickBot="1">
      <c r="C62" s="228"/>
      <c r="D62" s="698" t="s">
        <v>111</v>
      </c>
      <c r="E62" s="515" t="s">
        <v>17327</v>
      </c>
      <c r="F62" s="515" t="s">
        <v>113</v>
      </c>
      <c r="G62" s="515" t="s">
        <v>17331</v>
      </c>
      <c r="H62" s="699" t="s">
        <v>114</v>
      </c>
      <c r="I62" s="699" t="s">
        <v>115</v>
      </c>
      <c r="J62" s="699" t="s">
        <v>116</v>
      </c>
      <c r="K62" s="515" t="s">
        <v>17326</v>
      </c>
      <c r="L62" s="515" t="s">
        <v>17332</v>
      </c>
      <c r="M62" s="515" t="s">
        <v>118</v>
      </c>
      <c r="N62" s="516" t="s">
        <v>119</v>
      </c>
      <c r="O62" s="55"/>
      <c r="P62" s="228"/>
    </row>
    <row r="63" spans="3:16" ht="16.5" thickTop="1">
      <c r="C63" s="228"/>
      <c r="D63" s="1034" t="s">
        <v>17992</v>
      </c>
      <c r="E63" s="1028">
        <v>10.86</v>
      </c>
      <c r="F63" s="1031"/>
      <c r="G63" s="523">
        <v>5</v>
      </c>
      <c r="H63" s="712" t="str">
        <f>IF(G63="","",CHOOSE(G63,$D$107,$D$108,$D$109,$D$110,$D$111,$D$112,$D$113,$D$114,$D$115,$D$116,$D$117))</f>
        <v>Podudzie z/s</v>
      </c>
      <c r="I63" s="578">
        <v>0.68</v>
      </c>
      <c r="J63" s="701">
        <f>+F63*I63</f>
        <v>0</v>
      </c>
      <c r="K63" s="702">
        <f>IF(G63="","",CHOOSE(G63,$E$107,$E$108,$E$109,$E$110,$E$111,$E$112,$E$113,$E$114,$E$115,$E$116,$E$117))</f>
        <v>10.36</v>
      </c>
      <c r="L63" s="485">
        <f>IF(I63="","",I63*K63)</f>
        <v>7.0448000000000004</v>
      </c>
      <c r="M63" s="525">
        <f>IF(G63="","",CHOOSE(G63,$F$107,$F$108,$F$109,$F$110,$F$111,$F$112,$F$113,$F$114,$F$115,$F$116,$F$117))</f>
        <v>0.15</v>
      </c>
      <c r="N63" s="486">
        <f>I63*M63</f>
        <v>0.10200000000000001</v>
      </c>
      <c r="O63" s="526"/>
      <c r="P63" s="527"/>
    </row>
    <row r="64" spans="3:16" ht="15.75">
      <c r="C64" s="228"/>
      <c r="D64" s="1035"/>
      <c r="E64" s="1029"/>
      <c r="F64" s="1032"/>
      <c r="G64" s="528">
        <v>10</v>
      </c>
      <c r="H64" s="713" t="str">
        <f>IF(G64="","",CHOOSE(G64,$D$107,$D$108,$D$109,$D$110,$D$111,$D$112,$D$113,$D$114,$D$115,$D$116,$D$117))</f>
        <v>KK skóry</v>
      </c>
      <c r="I64" s="580">
        <v>0.16</v>
      </c>
      <c r="J64" s="704">
        <f>+F63*I64</f>
        <v>0</v>
      </c>
      <c r="K64" s="705">
        <f>IF(G64="","",CHOOSE(G64,$E$107,$E$108,$E$109,$E$110,$E$111,$E$112,$E$113,$E$114,$E$115,$E$116,$E$117))</f>
        <v>1.8</v>
      </c>
      <c r="L64" s="484">
        <f t="shared" ref="L64:L65" si="8">IF(I64="","",I64*K64)</f>
        <v>0.28800000000000003</v>
      </c>
      <c r="M64" s="530">
        <f>IF(G64="","",CHOOSE(G64,$F$107,$F$108,$F$109,$F$110,$F$111,$F$112,$F$113,$F$114,$F$115,$F$116,$F$117))</f>
        <v>0.5</v>
      </c>
      <c r="N64" s="487">
        <f>I64*M64</f>
        <v>0.08</v>
      </c>
      <c r="O64" s="526"/>
      <c r="P64" s="527"/>
    </row>
    <row r="65" spans="4:16" ht="16.5" thickBot="1">
      <c r="D65" s="1035"/>
      <c r="E65" s="1029"/>
      <c r="F65" s="1032"/>
      <c r="G65" s="528">
        <v>7</v>
      </c>
      <c r="H65" s="714" t="str">
        <f>IF(G65="","",CHOOSE(G65,$D$107,$D$108,$D$109,$D$110,$D$111,$D$112,$D$113,$D$114,$D$115,$D$116,$D$117))</f>
        <v>M-so z Fileta</v>
      </c>
      <c r="I65" s="580">
        <v>0.16</v>
      </c>
      <c r="J65" s="704">
        <f>+F63*I65</f>
        <v>0</v>
      </c>
      <c r="K65" s="705">
        <f>IF(G65="","",CHOOSE(G65,$E$107,$E$108,$E$109,$E$110,$E$111,$E$112,$E$113,$E$114,$E$115,$E$116,$E$117))</f>
        <v>8.5</v>
      </c>
      <c r="L65" s="484">
        <f t="shared" si="8"/>
        <v>1.36</v>
      </c>
      <c r="M65" s="530">
        <f>IF(G65="","",CHOOSE(G65,$F$107,$F$108,$F$109,$F$110,$F$111,$F$112,$F$113,$F$114,$F$115,$F$116,$F$117))</f>
        <v>0.12</v>
      </c>
      <c r="N65" s="487">
        <f>I65*M65</f>
        <v>1.9199999999999998E-2</v>
      </c>
      <c r="O65" s="526"/>
      <c r="P65" s="527"/>
    </row>
    <row r="66" spans="4:16" ht="17.25" thickTop="1" thickBot="1">
      <c r="D66" s="709"/>
      <c r="E66" s="517"/>
      <c r="F66" s="710"/>
      <c r="G66" s="710"/>
      <c r="H66" s="710"/>
      <c r="I66" s="711">
        <f>SUM(I63:I65)</f>
        <v>1</v>
      </c>
      <c r="J66" s="710">
        <f>SUM(J63:J65)</f>
        <v>0</v>
      </c>
      <c r="K66" s="710"/>
      <c r="L66" s="518">
        <f>SUM(L63:L65)</f>
        <v>8.6928000000000001</v>
      </c>
      <c r="M66" s="517"/>
      <c r="N66" s="519">
        <f>SUM(N63:N65)</f>
        <v>0.20119999999999999</v>
      </c>
      <c r="O66" s="520">
        <f>(+E63*F63)-(L66*F63)</f>
        <v>0</v>
      </c>
      <c r="P66" s="228" t="s">
        <v>15360</v>
      </c>
    </row>
    <row r="67" spans="4:16" ht="16.5" thickTop="1" thickBot="1"/>
    <row r="68" spans="4:16" ht="20.25" thickTop="1" thickBot="1">
      <c r="D68" s="1042" t="s">
        <v>15557</v>
      </c>
      <c r="E68" s="1043"/>
      <c r="F68" s="1043"/>
      <c r="G68" s="1043"/>
      <c r="H68" s="696"/>
      <c r="I68" s="696"/>
      <c r="J68" s="696"/>
      <c r="K68" s="696"/>
      <c r="L68" s="696"/>
      <c r="M68" s="696"/>
      <c r="N68" s="697"/>
      <c r="O68" s="228"/>
    </row>
    <row r="69" spans="4:16" ht="39" thickTop="1" thickBot="1">
      <c r="D69" s="698" t="s">
        <v>111</v>
      </c>
      <c r="E69" s="515" t="s">
        <v>17327</v>
      </c>
      <c r="F69" s="515" t="s">
        <v>113</v>
      </c>
      <c r="G69" s="515" t="s">
        <v>17331</v>
      </c>
      <c r="H69" s="699" t="s">
        <v>114</v>
      </c>
      <c r="I69" s="699" t="s">
        <v>115</v>
      </c>
      <c r="J69" s="699" t="s">
        <v>116</v>
      </c>
      <c r="K69" s="515" t="s">
        <v>17326</v>
      </c>
      <c r="L69" s="515" t="s">
        <v>17332</v>
      </c>
      <c r="M69" s="515" t="s">
        <v>118</v>
      </c>
      <c r="N69" s="516" t="s">
        <v>119</v>
      </c>
      <c r="O69" s="55"/>
      <c r="P69" s="228"/>
    </row>
    <row r="70" spans="4:16" ht="16.5" thickTop="1">
      <c r="D70" s="1076" t="s">
        <v>17991</v>
      </c>
      <c r="E70" s="1028">
        <v>10.86</v>
      </c>
      <c r="F70" s="1031">
        <v>10000</v>
      </c>
      <c r="G70" s="523">
        <v>2</v>
      </c>
      <c r="H70" s="712" t="str">
        <f>IF(G70="","",CHOOSE(G70,$D$107,$D$108,$D$109,$D$110,$D$111,$D$112,$D$113,$D$114,$D$115,$D$116,$D$117))</f>
        <v xml:space="preserve">Udo </v>
      </c>
      <c r="I70" s="578">
        <v>0.61</v>
      </c>
      <c r="J70" s="701">
        <f>+F70*I70</f>
        <v>6100</v>
      </c>
      <c r="K70" s="702">
        <f>IF(G70="","",CHOOSE(G70,$E$107,$E$108,$E$109,$E$110,$E$111,$E$112,$E$113,$E$114,$E$115,$E$116,$E$117))</f>
        <v>10.7</v>
      </c>
      <c r="L70" s="485">
        <f>IF(I70="","",I70*K70)</f>
        <v>6.5269999999999992</v>
      </c>
      <c r="M70" s="525">
        <f>IF(G70="","",CHOOSE(G70,$F$107,$F$108,$F$109,$F$110,$F$111,$F$112,$F$113,$F$114,$F$115,$F$116,$F$117))</f>
        <v>0.13</v>
      </c>
      <c r="N70" s="486">
        <f>I70*M70</f>
        <v>7.9299999999999995E-2</v>
      </c>
      <c r="O70" s="526"/>
      <c r="P70" s="527"/>
    </row>
    <row r="71" spans="4:16" ht="15.75">
      <c r="D71" s="1077"/>
      <c r="E71" s="1029"/>
      <c r="F71" s="1032"/>
      <c r="G71" s="528">
        <v>10</v>
      </c>
      <c r="H71" s="713" t="str">
        <f>IF(G71="","",CHOOSE(G71,$D$107,$D$108,$D$109,$D$110,$D$111,$D$112,$D$113,$D$114,$D$115,$D$116,$D$117))</f>
        <v>KK skóry</v>
      </c>
      <c r="I71" s="580">
        <v>0.09</v>
      </c>
      <c r="J71" s="704">
        <f>+F70*I71</f>
        <v>900</v>
      </c>
      <c r="K71" s="705">
        <f>IF(G71="","",CHOOSE(G71,$E$107,$E$108,$E$109,$E$110,$E$111,$E$112,$E$113,$E$114,$E$115,$E$116,$E$117))</f>
        <v>1.8</v>
      </c>
      <c r="L71" s="484">
        <f t="shared" ref="L71:L72" si="9">IF(I71="","",I71*K71)</f>
        <v>0.16200000000000001</v>
      </c>
      <c r="M71" s="530">
        <f>IF(G71="","",CHOOSE(G71,$F$107,$F$108,$F$109,$F$110,$F$111,$F$112,$F$113,$F$114,$F$115,$F$116,$F$117))</f>
        <v>0.5</v>
      </c>
      <c r="N71" s="487">
        <f>I71*M71</f>
        <v>4.4999999999999998E-2</v>
      </c>
      <c r="O71" s="526"/>
      <c r="P71" s="527"/>
    </row>
    <row r="72" spans="4:16" ht="16.5" thickBot="1">
      <c r="D72" s="1077"/>
      <c r="E72" s="1029"/>
      <c r="F72" s="1032"/>
      <c r="G72" s="528">
        <v>7</v>
      </c>
      <c r="H72" s="714" t="str">
        <f>IF(G72="","",CHOOSE(G72,$D$107,$D$108,$D$109,$D$110,$D$111,$D$112,$D$113,$D$114,$D$115,$D$116,$D$117))</f>
        <v>M-so z Fileta</v>
      </c>
      <c r="I72" s="580">
        <v>0.3</v>
      </c>
      <c r="J72" s="704">
        <f>+F70*I72</f>
        <v>3000</v>
      </c>
      <c r="K72" s="705">
        <f>IF(G72="","",CHOOSE(G72,$E$107,$E$108,$E$109,$E$110,$E$111,$E$112,$E$113,$E$114,$E$115,$E$116,$E$117))</f>
        <v>8.5</v>
      </c>
      <c r="L72" s="484">
        <f t="shared" si="9"/>
        <v>2.5499999999999998</v>
      </c>
      <c r="M72" s="530">
        <f>IF(G72="","",CHOOSE(G72,$F$107,$F$108,$F$109,$F$110,$F$111,$F$112,$F$113,$F$114,$F$115,$F$116,$F$117))</f>
        <v>0.12</v>
      </c>
      <c r="N72" s="487">
        <f>I72*M72</f>
        <v>3.5999999999999997E-2</v>
      </c>
      <c r="O72" s="526"/>
      <c r="P72" s="527"/>
    </row>
    <row r="73" spans="4:16" ht="17.25" thickTop="1" thickBot="1">
      <c r="D73" s="709"/>
      <c r="E73" s="517"/>
      <c r="F73" s="710"/>
      <c r="G73" s="710"/>
      <c r="H73" s="710"/>
      <c r="I73" s="711">
        <f>SUM(I70:I72)</f>
        <v>1</v>
      </c>
      <c r="J73" s="710">
        <f>SUM(J70:J72)</f>
        <v>10000</v>
      </c>
      <c r="K73" s="710"/>
      <c r="L73" s="518">
        <f>SUM(L70:L72)</f>
        <v>9.238999999999999</v>
      </c>
      <c r="M73" s="517"/>
      <c r="N73" s="519">
        <f>SUM(N70:N72)</f>
        <v>0.1603</v>
      </c>
      <c r="O73" s="520">
        <f>(+E70*F70)-(L73*F70)</f>
        <v>16210.000000000015</v>
      </c>
      <c r="P73" s="228" t="s">
        <v>15360</v>
      </c>
    </row>
    <row r="74" spans="4:16" ht="16.5" thickTop="1">
      <c r="O74" s="520"/>
      <c r="P74" s="228"/>
    </row>
    <row r="75" spans="4:16" ht="16.5" thickBot="1">
      <c r="O75" s="520"/>
      <c r="P75" s="228"/>
    </row>
    <row r="76" spans="4:16" ht="20.25" thickTop="1" thickBot="1">
      <c r="D76" s="1042" t="s">
        <v>15563</v>
      </c>
      <c r="E76" s="1043"/>
      <c r="F76" s="1043"/>
      <c r="G76" s="1043"/>
      <c r="H76" s="696"/>
      <c r="I76" s="696"/>
      <c r="J76" s="696"/>
      <c r="K76" s="696"/>
      <c r="L76" s="696"/>
      <c r="M76" s="696"/>
      <c r="N76" s="697"/>
      <c r="O76" s="228"/>
    </row>
    <row r="77" spans="4:16" ht="39" thickTop="1" thickBot="1">
      <c r="D77" s="698" t="s">
        <v>111</v>
      </c>
      <c r="E77" s="515" t="s">
        <v>17327</v>
      </c>
      <c r="F77" s="515" t="s">
        <v>113</v>
      </c>
      <c r="G77" s="515" t="s">
        <v>17331</v>
      </c>
      <c r="H77" s="699" t="s">
        <v>114</v>
      </c>
      <c r="I77" s="699" t="s">
        <v>115</v>
      </c>
      <c r="J77" s="699" t="s">
        <v>116</v>
      </c>
      <c r="K77" s="515" t="s">
        <v>17326</v>
      </c>
      <c r="L77" s="515" t="s">
        <v>17332</v>
      </c>
      <c r="M77" s="515" t="s">
        <v>118</v>
      </c>
      <c r="N77" s="516" t="s">
        <v>119</v>
      </c>
      <c r="O77" s="55"/>
      <c r="P77" s="228"/>
    </row>
    <row r="78" spans="4:16" ht="16.5" thickTop="1">
      <c r="D78" s="1076" t="s">
        <v>17991</v>
      </c>
      <c r="E78" s="1028">
        <v>10.86</v>
      </c>
      <c r="F78" s="1031">
        <v>8000</v>
      </c>
      <c r="G78" s="523">
        <v>2</v>
      </c>
      <c r="H78" s="712" t="str">
        <f>IF(G78="","",CHOOSE(G78,$D$107,$D$108,$D$109,$D$110,$D$111,$D$112,$D$113,$D$114,$D$115,$D$116,$D$117))</f>
        <v xml:space="preserve">Udo </v>
      </c>
      <c r="I78" s="578">
        <v>0.89</v>
      </c>
      <c r="J78" s="701">
        <f>+F78*I78</f>
        <v>7120</v>
      </c>
      <c r="K78" s="702">
        <f>IF(G78="","",CHOOSE(G78,$E$107,$E$108,$E$109,$E$110,$E$111,$E$112,$E$113,$E$114,$E$115,$E$116,$E$117))</f>
        <v>10.7</v>
      </c>
      <c r="L78" s="485">
        <f>IF(I78="","",I78*K78)</f>
        <v>9.5229999999999997</v>
      </c>
      <c r="M78" s="525">
        <f>IF(G78="","",CHOOSE(G78,$F$107,$F$108,$F$109,$F$110,$F$111,$F$112,$F$113,$F$114,$F$115,$F$116,$F$117))</f>
        <v>0.13</v>
      </c>
      <c r="N78" s="486">
        <f>I78*M78</f>
        <v>0.11570000000000001</v>
      </c>
      <c r="O78" s="526"/>
      <c r="P78" s="527"/>
    </row>
    <row r="79" spans="4:16" ht="16.5" thickBot="1">
      <c r="D79" s="1077"/>
      <c r="E79" s="1029"/>
      <c r="F79" s="1032"/>
      <c r="G79" s="528">
        <v>10</v>
      </c>
      <c r="H79" s="713" t="str">
        <f>IF(G79="","",CHOOSE(G79,$D$107,$D$108,$D$109,$D$110,$D$111,$D$112,$D$113,$D$114,$D$115,$D$116,$D$117))</f>
        <v>KK skóry</v>
      </c>
      <c r="I79" s="580">
        <v>0.11</v>
      </c>
      <c r="J79" s="704">
        <f>+F78*I79</f>
        <v>880</v>
      </c>
      <c r="K79" s="705">
        <f>IF(G79="","",CHOOSE(G79,$E$107,$E$108,$E$109,$E$110,$E$111,$E$112,$E$113,$E$114,$E$115,$E$116,$E$117))</f>
        <v>1.8</v>
      </c>
      <c r="L79" s="484">
        <f t="shared" ref="L79" si="10">IF(I79="","",I79*K79)</f>
        <v>0.19800000000000001</v>
      </c>
      <c r="M79" s="530">
        <f>IF(G79="","",CHOOSE(G79,$F$107,$F$108,$F$109,$F$110,$F$111,$F$112,$F$113,$F$114,$F$115,$F$116,$F$117))</f>
        <v>0.5</v>
      </c>
      <c r="N79" s="487">
        <f>I79*M79</f>
        <v>5.5E-2</v>
      </c>
      <c r="O79" s="526"/>
      <c r="P79" s="527"/>
    </row>
    <row r="80" spans="4:16" ht="17.25" thickTop="1" thickBot="1">
      <c r="D80" s="709"/>
      <c r="E80" s="517"/>
      <c r="F80" s="710"/>
      <c r="G80" s="710"/>
      <c r="H80" s="710"/>
      <c r="I80" s="711">
        <f>SUM(I78:I79)</f>
        <v>1</v>
      </c>
      <c r="J80" s="710">
        <f>SUM(J78:J79)</f>
        <v>8000</v>
      </c>
      <c r="K80" s="710"/>
      <c r="L80" s="518">
        <f>SUM(L78:L79)</f>
        <v>9.7210000000000001</v>
      </c>
      <c r="M80" s="517"/>
      <c r="N80" s="519">
        <f>SUM(N78:N79)</f>
        <v>0.17070000000000002</v>
      </c>
      <c r="O80" s="520">
        <f>(+E78*F78)-(L80*F78)</f>
        <v>9112</v>
      </c>
      <c r="P80" s="228" t="s">
        <v>15360</v>
      </c>
    </row>
    <row r="81" spans="4:16" ht="16.5" thickTop="1">
      <c r="O81" s="520"/>
      <c r="P81" s="228"/>
    </row>
    <row r="82" spans="4:16" ht="16.5" thickBot="1">
      <c r="O82" s="520"/>
      <c r="P82" s="228"/>
    </row>
    <row r="83" spans="4:16" ht="20.25" thickTop="1" thickBot="1">
      <c r="D83" s="1042" t="s">
        <v>15563</v>
      </c>
      <c r="E83" s="1043"/>
      <c r="F83" s="1043"/>
      <c r="G83" s="1043"/>
      <c r="H83" s="696"/>
      <c r="I83" s="696"/>
      <c r="J83" s="696"/>
      <c r="K83" s="696"/>
      <c r="L83" s="696"/>
      <c r="M83" s="696"/>
      <c r="N83" s="697"/>
      <c r="O83" s="228"/>
    </row>
    <row r="84" spans="4:16" ht="39" thickTop="1" thickBot="1">
      <c r="D84" s="698" t="s">
        <v>111</v>
      </c>
      <c r="E84" s="515" t="s">
        <v>17327</v>
      </c>
      <c r="F84" s="515" t="s">
        <v>113</v>
      </c>
      <c r="G84" s="515" t="s">
        <v>17331</v>
      </c>
      <c r="H84" s="699" t="s">
        <v>114</v>
      </c>
      <c r="I84" s="699" t="s">
        <v>115</v>
      </c>
      <c r="J84" s="699" t="s">
        <v>116</v>
      </c>
      <c r="K84" s="515" t="s">
        <v>17326</v>
      </c>
      <c r="L84" s="515" t="s">
        <v>17332</v>
      </c>
      <c r="M84" s="515" t="s">
        <v>118</v>
      </c>
      <c r="N84" s="516" t="s">
        <v>119</v>
      </c>
      <c r="O84" s="55"/>
      <c r="P84" s="228"/>
    </row>
    <row r="85" spans="4:16" ht="16.5" thickTop="1">
      <c r="D85" s="1034" t="s">
        <v>17992</v>
      </c>
      <c r="E85" s="1028">
        <v>10.86</v>
      </c>
      <c r="F85" s="1031">
        <v>3000</v>
      </c>
      <c r="G85" s="523">
        <v>5</v>
      </c>
      <c r="H85" s="712" t="str">
        <f>IF(G85="","",CHOOSE(G85,$D$107,$D$108,$D$109,$D$110,$D$111,$D$112,$D$113,$D$114,$D$115,$D$116,$D$117))</f>
        <v>Podudzie z/s</v>
      </c>
      <c r="I85" s="578">
        <v>0.85</v>
      </c>
      <c r="J85" s="701">
        <f>+F85*I85</f>
        <v>2550</v>
      </c>
      <c r="K85" s="702">
        <f>IF(G85="","",CHOOSE(G85,$E$107,$E$108,$E$109,$E$110,$E$111,$E$112,$E$113,$E$114,$E$115,$E$116,$E$117))</f>
        <v>10.36</v>
      </c>
      <c r="L85" s="485">
        <f>IF(I85="","",I85*K85)</f>
        <v>8.8059999999999992</v>
      </c>
      <c r="M85" s="525">
        <f>IF(G85="","",CHOOSE(G85,$F$107,$F$108,$F$109,$F$110,$F$111,$F$112,$F$113,$F$114,$F$115,$F$116,$F$117))</f>
        <v>0.15</v>
      </c>
      <c r="N85" s="486">
        <f>I85*M85</f>
        <v>0.1275</v>
      </c>
      <c r="O85" s="526"/>
      <c r="P85" s="527"/>
    </row>
    <row r="86" spans="4:16" ht="16.5" thickBot="1">
      <c r="D86" s="1035"/>
      <c r="E86" s="1029"/>
      <c r="F86" s="1032"/>
      <c r="G86" s="528">
        <v>10</v>
      </c>
      <c r="H86" s="713" t="str">
        <f>IF(G86="","",CHOOSE(G86,$D$107,$D$108,$D$109,$D$110,$D$111,$D$112,$D$113,$D$114,$D$115,$D$116,$D$117))</f>
        <v>KK skóry</v>
      </c>
      <c r="I86" s="580">
        <v>0.15</v>
      </c>
      <c r="J86" s="704">
        <f>+F85*I86</f>
        <v>450</v>
      </c>
      <c r="K86" s="705">
        <f>IF(G86="","",CHOOSE(G86,$E$107,$E$108,$E$109,$E$110,$E$111,$E$112,$E$113,$E$114,$E$115,$E$116,$E$117))</f>
        <v>1.8</v>
      </c>
      <c r="L86" s="484">
        <f t="shared" ref="L86" si="11">IF(I86="","",I86*K86)</f>
        <v>0.27</v>
      </c>
      <c r="M86" s="530">
        <f>IF(G86="","",CHOOSE(G86,$F$107,$F$108,$F$109,$F$110,$F$111,$F$112,$F$113,$F$114,$F$115,$F$116,$F$117))</f>
        <v>0.5</v>
      </c>
      <c r="N86" s="487">
        <f>I86*M86</f>
        <v>7.4999999999999997E-2</v>
      </c>
      <c r="O86" s="526"/>
      <c r="P86" s="527"/>
    </row>
    <row r="87" spans="4:16" ht="17.25" thickTop="1" thickBot="1">
      <c r="D87" s="709"/>
      <c r="E87" s="517"/>
      <c r="F87" s="710"/>
      <c r="G87" s="710"/>
      <c r="H87" s="710"/>
      <c r="I87" s="711">
        <f>SUM(I85:I86)</f>
        <v>1</v>
      </c>
      <c r="J87" s="710">
        <f>SUM(J85:J86)</f>
        <v>3000</v>
      </c>
      <c r="K87" s="710"/>
      <c r="L87" s="518">
        <f>SUM(L85:L86)</f>
        <v>9.0759999999999987</v>
      </c>
      <c r="M87" s="517"/>
      <c r="N87" s="519">
        <f>SUM(N85:N86)</f>
        <v>0.20250000000000001</v>
      </c>
      <c r="O87" s="520">
        <f>(+E85*F85)-(L87*F85)</f>
        <v>5352.0000000000036</v>
      </c>
      <c r="P87" s="228" t="s">
        <v>15360</v>
      </c>
    </row>
    <row r="88" spans="4:16" ht="17.25" thickTop="1" thickBot="1">
      <c r="O88" s="520"/>
      <c r="P88" s="228"/>
    </row>
    <row r="89" spans="4:16" ht="20.25" thickTop="1" thickBot="1">
      <c r="D89" s="1042" t="s">
        <v>15563</v>
      </c>
      <c r="E89" s="1043"/>
      <c r="F89" s="1043"/>
      <c r="G89" s="1043"/>
      <c r="H89" s="696"/>
      <c r="I89" s="696"/>
      <c r="J89" s="696"/>
      <c r="K89" s="696"/>
      <c r="L89" s="696"/>
      <c r="M89" s="696"/>
      <c r="N89" s="697"/>
      <c r="O89" s="228"/>
    </row>
    <row r="90" spans="4:16" ht="39" thickTop="1" thickBot="1">
      <c r="D90" s="698" t="s">
        <v>111</v>
      </c>
      <c r="E90" s="515" t="s">
        <v>17327</v>
      </c>
      <c r="F90" s="515" t="s">
        <v>113</v>
      </c>
      <c r="G90" s="515" t="s">
        <v>17331</v>
      </c>
      <c r="H90" s="699" t="s">
        <v>114</v>
      </c>
      <c r="I90" s="699" t="s">
        <v>115</v>
      </c>
      <c r="J90" s="699" t="s">
        <v>116</v>
      </c>
      <c r="K90" s="515" t="s">
        <v>17326</v>
      </c>
      <c r="L90" s="515" t="s">
        <v>17332</v>
      </c>
      <c r="M90" s="515" t="s">
        <v>118</v>
      </c>
      <c r="N90" s="516" t="s">
        <v>119</v>
      </c>
      <c r="O90" s="55"/>
      <c r="P90" s="228"/>
    </row>
    <row r="91" spans="4:16" ht="16.5" thickTop="1">
      <c r="D91" s="1076" t="s">
        <v>17991</v>
      </c>
      <c r="E91" s="1028">
        <v>10.86</v>
      </c>
      <c r="F91" s="1031"/>
      <c r="G91" s="523">
        <v>4</v>
      </c>
      <c r="H91" s="712" t="str">
        <f>IF(G91="","",CHOOSE(G91,$D$107,$D$108,$D$109,$D$110,$D$111,$D$112,$D$113,$D$114,$D$115,$D$116,$D$117))</f>
        <v>Noga z/s</v>
      </c>
      <c r="I91" s="578">
        <v>0.94</v>
      </c>
      <c r="J91" s="701">
        <f>+F91*I91</f>
        <v>0</v>
      </c>
      <c r="K91" s="702">
        <f>IF(G91="","",CHOOSE(G91,$E$107,$E$108,$E$109,$E$110,$E$111,$E$112,$E$113,$E$114,$E$115,$E$116,$E$117))</f>
        <v>10.82</v>
      </c>
      <c r="L91" s="485">
        <f>IF(I91="","",I91*K91)</f>
        <v>10.1708</v>
      </c>
      <c r="M91" s="525">
        <f>IF(G91="","",CHOOSE(G91,$F$107,$F$108,$F$109,$F$110,$F$111,$F$112,$F$113,$F$114,$F$115,$F$116,$F$117))</f>
        <v>0.15</v>
      </c>
      <c r="N91" s="486">
        <f>I91*M91</f>
        <v>0.14099999999999999</v>
      </c>
      <c r="O91" s="526"/>
      <c r="P91" s="527"/>
    </row>
    <row r="92" spans="4:16" ht="16.5" thickBot="1">
      <c r="D92" s="1077"/>
      <c r="E92" s="1029"/>
      <c r="F92" s="1032"/>
      <c r="G92" s="528">
        <v>10</v>
      </c>
      <c r="H92" s="713" t="str">
        <f>IF(G92="","",CHOOSE(G92,$D$107,$D$108,$D$109,$D$110,$D$111,$D$112,$D$113,$D$114,$D$115,$D$116,$D$117))</f>
        <v>KK skóry</v>
      </c>
      <c r="I92" s="580">
        <v>0.06</v>
      </c>
      <c r="J92" s="704">
        <f>+F91*I92</f>
        <v>0</v>
      </c>
      <c r="K92" s="705">
        <f>IF(G92="","",CHOOSE(G92,$E$107,$E$108,$E$109,$E$110,$E$111,$E$112,$E$113,$E$114,$E$115,$E$116,$E$117))</f>
        <v>1.8</v>
      </c>
      <c r="L92" s="484">
        <f t="shared" ref="L92" si="12">IF(I92="","",I92*K92)</f>
        <v>0.108</v>
      </c>
      <c r="M92" s="530">
        <f>IF(G92="","",CHOOSE(G92,$F$107,$F$108,$F$109,$F$110,$F$111,$F$112,$F$113,$F$114,$F$115,$F$116,$F$117))</f>
        <v>0.5</v>
      </c>
      <c r="N92" s="487">
        <f>I92*M92</f>
        <v>0.03</v>
      </c>
      <c r="O92" s="526"/>
      <c r="P92" s="527"/>
    </row>
    <row r="93" spans="4:16" ht="17.25" thickTop="1" thickBot="1">
      <c r="D93" s="709"/>
      <c r="E93" s="517"/>
      <c r="F93" s="710"/>
      <c r="G93" s="710"/>
      <c r="H93" s="710"/>
      <c r="I93" s="711">
        <f>SUM(I91:I92)</f>
        <v>1</v>
      </c>
      <c r="J93" s="710">
        <f>SUM(J91:J92)</f>
        <v>0</v>
      </c>
      <c r="K93" s="710"/>
      <c r="L93" s="518">
        <f>SUM(L91:L92)</f>
        <v>10.2788</v>
      </c>
      <c r="M93" s="517"/>
      <c r="N93" s="519">
        <f>SUM(N91:N92)</f>
        <v>0.17099999999999999</v>
      </c>
      <c r="O93" s="520">
        <f>(+E91*F91)-(L93*F91)</f>
        <v>0</v>
      </c>
      <c r="P93" s="228" t="s">
        <v>15360</v>
      </c>
    </row>
    <row r="94" spans="4:16" ht="16.5" thickTop="1">
      <c r="O94" s="520"/>
      <c r="P94" s="228"/>
    </row>
    <row r="95" spans="4:16" ht="15.75" thickBot="1"/>
    <row r="96" spans="4:16" ht="20.25" thickTop="1" thickBot="1">
      <c r="D96" s="1042" t="s">
        <v>15563</v>
      </c>
      <c r="E96" s="1043"/>
      <c r="F96" s="1043"/>
      <c r="G96" s="1043"/>
      <c r="H96" s="696"/>
      <c r="I96" s="696"/>
      <c r="J96" s="696"/>
      <c r="K96" s="696"/>
      <c r="L96" s="696"/>
      <c r="M96" s="696"/>
      <c r="N96" s="697"/>
      <c r="O96" s="228"/>
    </row>
    <row r="97" spans="2:16" ht="39" thickTop="1" thickBot="1">
      <c r="D97" s="698" t="s">
        <v>111</v>
      </c>
      <c r="E97" s="515" t="s">
        <v>17327</v>
      </c>
      <c r="F97" s="515" t="s">
        <v>113</v>
      </c>
      <c r="G97" s="515" t="s">
        <v>17331</v>
      </c>
      <c r="H97" s="699" t="s">
        <v>114</v>
      </c>
      <c r="I97" s="699" t="s">
        <v>115</v>
      </c>
      <c r="J97" s="699" t="s">
        <v>116</v>
      </c>
      <c r="K97" s="515" t="s">
        <v>17326</v>
      </c>
      <c r="L97" s="515" t="s">
        <v>17332</v>
      </c>
      <c r="M97" s="515" t="s">
        <v>118</v>
      </c>
      <c r="N97" s="516" t="s">
        <v>119</v>
      </c>
      <c r="O97" s="55"/>
      <c r="P97" s="228"/>
    </row>
    <row r="98" spans="2:16" ht="16.5" thickTop="1">
      <c r="D98" s="1034" t="s">
        <v>17992</v>
      </c>
      <c r="E98" s="1028">
        <v>10.86</v>
      </c>
      <c r="F98" s="1031"/>
      <c r="G98" s="523">
        <v>4</v>
      </c>
      <c r="H98" s="712" t="str">
        <f>IF(G98="","",CHOOSE(G98,$D$107,$D$108,$D$109,$D$110,$D$111,$D$112,$D$113,$D$114,$D$115,$D$116,$D$117))</f>
        <v>Noga z/s</v>
      </c>
      <c r="I98" s="578">
        <v>0.85</v>
      </c>
      <c r="J98" s="701">
        <f>+F98*I98</f>
        <v>0</v>
      </c>
      <c r="K98" s="702">
        <f>IF(G98="","",CHOOSE(G98,$E$107,$E$108,$E$109,$E$110,$E$111,$E$112,$E$113,$E$114,$E$115,$E$116,$E$117))</f>
        <v>10.82</v>
      </c>
      <c r="L98" s="485">
        <f>IF(I98="","",I98*K98)</f>
        <v>9.1969999999999992</v>
      </c>
      <c r="M98" s="525">
        <f>IF(G98="","",CHOOSE(G98,$F$107,$F$108,$F$109,$F$110,$F$111,$F$112,$F$113,$F$114,$F$115,$F$116,$F$117))</f>
        <v>0.15</v>
      </c>
      <c r="N98" s="486">
        <f>I98*M98</f>
        <v>0.1275</v>
      </c>
      <c r="O98" s="526"/>
      <c r="P98" s="527"/>
    </row>
    <row r="99" spans="2:16" ht="16.5" thickBot="1">
      <c r="D99" s="1035"/>
      <c r="E99" s="1029"/>
      <c r="F99" s="1032"/>
      <c r="G99" s="528">
        <v>10</v>
      </c>
      <c r="H99" s="713" t="str">
        <f>IF(G99="","",CHOOSE(G99,$D$107,$D$108,$D$109,$D$110,$D$111,$D$112,$D$113,$D$114,$D$115,$D$116,$D$117))</f>
        <v>KK skóry</v>
      </c>
      <c r="I99" s="580">
        <v>0.15</v>
      </c>
      <c r="J99" s="704">
        <f>+F98*I99</f>
        <v>0</v>
      </c>
      <c r="K99" s="705">
        <f>IF(G99="","",CHOOSE(G99,$E$107,$E$108,$E$109,$E$110,$E$111,$E$112,$E$113,$E$114,$E$115,$E$116,$E$117))</f>
        <v>1.8</v>
      </c>
      <c r="L99" s="484">
        <f t="shared" ref="L99" si="13">IF(I99="","",I99*K99)</f>
        <v>0.27</v>
      </c>
      <c r="M99" s="530">
        <f>IF(G99="","",CHOOSE(G99,$F$107,$F$108,$F$109,$F$110,$F$111,$F$112,$F$113,$F$114,$F$115,$F$116,$F$117))</f>
        <v>0.5</v>
      </c>
      <c r="N99" s="487">
        <f>I99*M99</f>
        <v>7.4999999999999997E-2</v>
      </c>
      <c r="O99" s="526"/>
      <c r="P99" s="527"/>
    </row>
    <row r="100" spans="2:16" ht="17.25" thickTop="1" thickBot="1">
      <c r="D100" s="709"/>
      <c r="E100" s="517"/>
      <c r="F100" s="710"/>
      <c r="G100" s="710"/>
      <c r="H100" s="710"/>
      <c r="I100" s="711">
        <f>SUM(I98:I99)</f>
        <v>1</v>
      </c>
      <c r="J100" s="710">
        <f>SUM(J98:J99)</f>
        <v>0</v>
      </c>
      <c r="K100" s="710"/>
      <c r="L100" s="518">
        <f>SUM(L98:L99)</f>
        <v>9.4669999999999987</v>
      </c>
      <c r="M100" s="517"/>
      <c r="N100" s="519">
        <f>SUM(N98:N99)</f>
        <v>0.20250000000000001</v>
      </c>
      <c r="O100" s="520">
        <f>(+E98*F98)-(L100*F98)</f>
        <v>0</v>
      </c>
      <c r="P100" s="228" t="s">
        <v>15360</v>
      </c>
    </row>
    <row r="101" spans="2:16" ht="15.75" thickTop="1"/>
    <row r="103" spans="2:16" ht="15.75" thickBot="1">
      <c r="C103" s="228"/>
    </row>
    <row r="104" spans="2:16" ht="20.25" thickTop="1" thickBot="1">
      <c r="C104" s="228"/>
      <c r="M104" s="89"/>
      <c r="N104" s="577" t="s">
        <v>17861</v>
      </c>
      <c r="O104" s="583">
        <f>F5+F34+F20+F49+F63+F98+F12+F27+F41+F56+F70+F78+F85+F91</f>
        <v>21000</v>
      </c>
    </row>
    <row r="105" spans="2:16" ht="16.5" thickTop="1" thickBot="1">
      <c r="C105" s="228"/>
    </row>
    <row r="106" spans="2:16" ht="27.75" thickTop="1" thickBot="1">
      <c r="C106" s="768" t="s">
        <v>17333</v>
      </c>
      <c r="D106" s="1078" t="s">
        <v>17334</v>
      </c>
      <c r="E106" s="1078"/>
      <c r="F106" s="769" t="s">
        <v>17336</v>
      </c>
      <c r="G106" s="770" t="s">
        <v>17986</v>
      </c>
      <c r="M106" s="1059" t="s">
        <v>17337</v>
      </c>
      <c r="N106" s="1060"/>
      <c r="O106" s="771">
        <f>O8+O37+O23+O52+O66+O100+O16+O30+O44+O59+O73+O80+O87+O93</f>
        <v>30674.000000000018</v>
      </c>
    </row>
    <row r="107" spans="2:16" ht="19.5" thickTop="1">
      <c r="C107" s="543">
        <v>1</v>
      </c>
      <c r="D107" s="605" t="s">
        <v>72</v>
      </c>
      <c r="E107" s="608">
        <v>13</v>
      </c>
      <c r="F107" s="676">
        <v>0.05</v>
      </c>
      <c r="G107" s="772" cm="1">
        <f t="array" ref="G107:G117">SUMIF(H4:H100,D107:D117,J4:J100)</f>
        <v>0</v>
      </c>
    </row>
    <row r="108" spans="2:16" ht="18.75">
      <c r="B108" s="776" t="s">
        <v>17338</v>
      </c>
      <c r="C108" s="543">
        <v>2</v>
      </c>
      <c r="D108" s="606" t="s">
        <v>70</v>
      </c>
      <c r="E108" s="609">
        <v>10.7</v>
      </c>
      <c r="F108" s="677">
        <v>0.13</v>
      </c>
      <c r="G108" s="772">
        <v>13220</v>
      </c>
    </row>
    <row r="109" spans="2:16" ht="18.75">
      <c r="B109" s="776">
        <v>3015</v>
      </c>
      <c r="C109" s="543">
        <v>3</v>
      </c>
      <c r="D109" s="606" t="s">
        <v>17962</v>
      </c>
      <c r="E109" s="609">
        <v>12.24</v>
      </c>
      <c r="F109" s="677">
        <v>0.13</v>
      </c>
      <c r="G109" s="772">
        <v>0</v>
      </c>
    </row>
    <row r="110" spans="2:16" ht="18.75">
      <c r="B110" s="776">
        <v>3016</v>
      </c>
      <c r="C110" s="543">
        <v>4</v>
      </c>
      <c r="D110" s="606" t="s">
        <v>17957</v>
      </c>
      <c r="E110" s="609">
        <v>10.82</v>
      </c>
      <c r="F110" s="677">
        <v>0.15</v>
      </c>
      <c r="G110" s="772">
        <v>0</v>
      </c>
    </row>
    <row r="111" spans="2:16" ht="18.75">
      <c r="B111" s="776">
        <v>3012</v>
      </c>
      <c r="C111" s="543">
        <v>5</v>
      </c>
      <c r="D111" s="607" t="s">
        <v>17958</v>
      </c>
      <c r="E111" s="609">
        <v>10.36</v>
      </c>
      <c r="F111" s="677">
        <v>0.15</v>
      </c>
      <c r="G111" s="772">
        <v>2550</v>
      </c>
    </row>
    <row r="112" spans="2:16" ht="18.75">
      <c r="B112" s="776">
        <v>3009</v>
      </c>
      <c r="C112" s="543">
        <v>6</v>
      </c>
      <c r="D112" s="607" t="s">
        <v>17964</v>
      </c>
      <c r="E112" s="609">
        <v>11.25</v>
      </c>
      <c r="F112" s="677">
        <v>0.12</v>
      </c>
      <c r="G112" s="772">
        <v>0</v>
      </c>
    </row>
    <row r="113" spans="2:7" ht="18.75">
      <c r="B113" s="776">
        <v>3006</v>
      </c>
      <c r="C113" s="543">
        <v>7</v>
      </c>
      <c r="D113" s="607" t="s">
        <v>17956</v>
      </c>
      <c r="E113" s="609">
        <v>8.5</v>
      </c>
      <c r="F113" s="677">
        <v>0.12</v>
      </c>
      <c r="G113" s="772">
        <v>3000</v>
      </c>
    </row>
    <row r="114" spans="2:7" ht="18.75">
      <c r="B114" s="776">
        <v>30110612</v>
      </c>
      <c r="C114" s="543">
        <v>8</v>
      </c>
      <c r="D114" s="607" t="s">
        <v>17959</v>
      </c>
      <c r="E114" s="609">
        <v>6.5</v>
      </c>
      <c r="F114" s="677">
        <v>0.12</v>
      </c>
      <c r="G114" s="772">
        <v>0</v>
      </c>
    </row>
    <row r="115" spans="2:7" ht="18.75">
      <c r="B115" s="776">
        <v>3020</v>
      </c>
      <c r="C115" s="543">
        <v>9</v>
      </c>
      <c r="D115" s="606" t="s">
        <v>17955</v>
      </c>
      <c r="E115" s="609">
        <v>7.57</v>
      </c>
      <c r="F115" s="677">
        <v>0.1</v>
      </c>
      <c r="G115" s="772">
        <v>0</v>
      </c>
    </row>
    <row r="116" spans="2:7" ht="18.75">
      <c r="B116" s="776">
        <v>3008</v>
      </c>
      <c r="C116" s="543">
        <v>10</v>
      </c>
      <c r="D116" s="606" t="s">
        <v>80</v>
      </c>
      <c r="E116" s="609">
        <v>1.8</v>
      </c>
      <c r="F116" s="677">
        <v>0.5</v>
      </c>
      <c r="G116" s="772">
        <v>2230</v>
      </c>
    </row>
    <row r="117" spans="2:7" ht="19.5" thickBot="1">
      <c r="B117" t="s">
        <v>337</v>
      </c>
      <c r="C117" s="773">
        <v>11</v>
      </c>
      <c r="D117" s="611" t="s">
        <v>79</v>
      </c>
      <c r="E117" s="610">
        <v>1.75</v>
      </c>
      <c r="F117" s="678">
        <v>0.15</v>
      </c>
      <c r="G117" s="772">
        <v>0</v>
      </c>
    </row>
    <row r="118" spans="2:7" ht="16.5" thickTop="1">
      <c r="C118" s="476"/>
      <c r="F118" s="366" t="s">
        <v>93</v>
      </c>
      <c r="G118" s="366">
        <f>SUM(_xlfn.ANCHORARRAY(G107))</f>
        <v>21000</v>
      </c>
    </row>
  </sheetData>
  <mergeCells count="58">
    <mergeCell ref="D106:E106"/>
    <mergeCell ref="M106:N106"/>
    <mergeCell ref="D61:G61"/>
    <mergeCell ref="D63:D65"/>
    <mergeCell ref="E63:E65"/>
    <mergeCell ref="F63:F65"/>
    <mergeCell ref="D96:G96"/>
    <mergeCell ref="D98:D99"/>
    <mergeCell ref="E98:E99"/>
    <mergeCell ref="F98:F99"/>
    <mergeCell ref="D70:D72"/>
    <mergeCell ref="E70:E72"/>
    <mergeCell ref="F70:F72"/>
    <mergeCell ref="E78:E79"/>
    <mergeCell ref="D78:D79"/>
    <mergeCell ref="D83:G83"/>
    <mergeCell ref="D20:D22"/>
    <mergeCell ref="E20:E22"/>
    <mergeCell ref="F20:F22"/>
    <mergeCell ref="D32:G32"/>
    <mergeCell ref="D34:D36"/>
    <mergeCell ref="E34:E36"/>
    <mergeCell ref="E27:E29"/>
    <mergeCell ref="F27:F29"/>
    <mergeCell ref="F34:F36"/>
    <mergeCell ref="D25:G25"/>
    <mergeCell ref="D27:D29"/>
    <mergeCell ref="D3:G3"/>
    <mergeCell ref="D5:D7"/>
    <mergeCell ref="E5:E7"/>
    <mergeCell ref="F5:F7"/>
    <mergeCell ref="D18:G18"/>
    <mergeCell ref="D10:G10"/>
    <mergeCell ref="D12:D14"/>
    <mergeCell ref="E12:E14"/>
    <mergeCell ref="F12:F14"/>
    <mergeCell ref="D91:D92"/>
    <mergeCell ref="E91:E92"/>
    <mergeCell ref="F91:F92"/>
    <mergeCell ref="D85:D86"/>
    <mergeCell ref="E85:E86"/>
    <mergeCell ref="F85:F86"/>
    <mergeCell ref="D39:G39"/>
    <mergeCell ref="D41:D43"/>
    <mergeCell ref="E41:E43"/>
    <mergeCell ref="F41:F43"/>
    <mergeCell ref="D89:G89"/>
    <mergeCell ref="D47:G47"/>
    <mergeCell ref="D49:D51"/>
    <mergeCell ref="E49:E51"/>
    <mergeCell ref="F78:F79"/>
    <mergeCell ref="D54:G54"/>
    <mergeCell ref="D56:D58"/>
    <mergeCell ref="E56:E58"/>
    <mergeCell ref="F56:F58"/>
    <mergeCell ref="D68:G68"/>
    <mergeCell ref="D76:G76"/>
    <mergeCell ref="F49:F51"/>
  </mergeCells>
  <conditionalFormatting sqref="O8:O9 O23 O16:O17">
    <cfRule type="cellIs" dxfId="30" priority="22" operator="lessThan">
      <formula>0</formula>
    </cfRule>
  </conditionalFormatting>
  <conditionalFormatting sqref="O37">
    <cfRule type="cellIs" dxfId="29" priority="21" operator="lessThan">
      <formula>0</formula>
    </cfRule>
  </conditionalFormatting>
  <conditionalFormatting sqref="O52">
    <cfRule type="cellIs" dxfId="28" priority="20" operator="lessThan">
      <formula>0</formula>
    </cfRule>
  </conditionalFormatting>
  <conditionalFormatting sqref="O66">
    <cfRule type="cellIs" dxfId="27" priority="19" operator="lessThan">
      <formula>0</formula>
    </cfRule>
  </conditionalFormatting>
  <conditionalFormatting sqref="O100">
    <cfRule type="cellIs" dxfId="26" priority="18" operator="lessThan">
      <formula>0</formula>
    </cfRule>
  </conditionalFormatting>
  <conditionalFormatting sqref="O30">
    <cfRule type="cellIs" dxfId="25" priority="17" operator="lessThan">
      <formula>0</formula>
    </cfRule>
  </conditionalFormatting>
  <conditionalFormatting sqref="O44:O45">
    <cfRule type="cellIs" dxfId="24" priority="16" operator="lessThan">
      <formula>0</formula>
    </cfRule>
  </conditionalFormatting>
  <conditionalFormatting sqref="O59">
    <cfRule type="cellIs" dxfId="23" priority="15" operator="lessThan">
      <formula>0</formula>
    </cfRule>
  </conditionalFormatting>
  <conditionalFormatting sqref="O73:O75">
    <cfRule type="cellIs" dxfId="22" priority="14" operator="lessThan">
      <formula>0</formula>
    </cfRule>
  </conditionalFormatting>
  <conditionalFormatting sqref="O80:O82 O87:O88 O94">
    <cfRule type="cellIs" dxfId="21" priority="13" operator="lessThan">
      <formula>0</formula>
    </cfRule>
  </conditionalFormatting>
  <conditionalFormatting sqref="B107:B108">
    <cfRule type="expression" dxfId="20" priority="12">
      <formula>AE107&gt;0</formula>
    </cfRule>
  </conditionalFormatting>
  <conditionalFormatting sqref="B110">
    <cfRule type="expression" dxfId="19" priority="10">
      <formula>AE110&gt;0</formula>
    </cfRule>
  </conditionalFormatting>
  <conditionalFormatting sqref="B109">
    <cfRule type="expression" dxfId="18" priority="9">
      <formula>AE109&gt;0</formula>
    </cfRule>
  </conditionalFormatting>
  <conditionalFormatting sqref="B112">
    <cfRule type="expression" dxfId="17" priority="8">
      <formula>AE112&gt;0</formula>
    </cfRule>
  </conditionalFormatting>
  <conditionalFormatting sqref="B111">
    <cfRule type="expression" dxfId="16" priority="7">
      <formula>AE111&gt;0</formula>
    </cfRule>
  </conditionalFormatting>
  <conditionalFormatting sqref="B113">
    <cfRule type="expression" dxfId="15" priority="6">
      <formula>AE63&gt;0</formula>
    </cfRule>
  </conditionalFormatting>
  <conditionalFormatting sqref="B114">
    <cfRule type="expression" dxfId="14" priority="5">
      <formula>AE114&gt;0</formula>
    </cfRule>
  </conditionalFormatting>
  <conditionalFormatting sqref="B116">
    <cfRule type="expression" dxfId="13" priority="4">
      <formula>AE116&gt;0</formula>
    </cfRule>
  </conditionalFormatting>
  <conditionalFormatting sqref="B115">
    <cfRule type="expression" dxfId="12" priority="3">
      <formula>AE115&gt;0</formula>
    </cfRule>
  </conditionalFormatting>
  <conditionalFormatting sqref="B117">
    <cfRule type="expression" dxfId="11" priority="2">
      <formula>AE117&gt;0</formula>
    </cfRule>
  </conditionalFormatting>
  <conditionalFormatting sqref="O93">
    <cfRule type="cellIs" dxfId="10" priority="1" operator="lessThan">
      <formula>0</formula>
    </cfRule>
  </conditionalFormatting>
  <pageMargins left="0.70866141732283472" right="0.70866141732283472" top="0.74803149606299213" bottom="0.74803149606299213" header="0.31496062992125984" footer="0.31496062992125984"/>
  <pageSetup scale="7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7FA11-782D-4318-8DD1-6518009F628A}">
  <sheetPr codeName="Arkusz3"/>
  <dimension ref="D4:T14"/>
  <sheetViews>
    <sheetView topLeftCell="B1" workbookViewId="0">
      <selection activeCell="N9" sqref="N9"/>
    </sheetView>
  </sheetViews>
  <sheetFormatPr defaultRowHeight="15"/>
  <cols>
    <col min="4" max="4" width="8.5703125" customWidth="1"/>
    <col min="6" max="6" width="12.42578125" customWidth="1"/>
  </cols>
  <sheetData>
    <row r="4" spans="4:20" ht="15.75" thickBot="1">
      <c r="D4" s="1079" t="s">
        <v>100</v>
      </c>
      <c r="E4" s="1079"/>
      <c r="F4" s="1079"/>
      <c r="G4" s="1079"/>
      <c r="H4" s="1079"/>
      <c r="I4" s="1079"/>
      <c r="J4" s="1079"/>
      <c r="K4" s="1079"/>
      <c r="M4" s="1079" t="s">
        <v>101</v>
      </c>
      <c r="N4" s="1079"/>
      <c r="O4" s="1079"/>
      <c r="P4" s="1079"/>
      <c r="Q4" s="1079"/>
      <c r="R4" s="1079"/>
      <c r="S4" s="1079"/>
      <c r="T4" s="1079"/>
    </row>
    <row r="5" spans="4:20">
      <c r="D5" s="44"/>
      <c r="E5" s="45"/>
      <c r="F5" s="45"/>
      <c r="G5" s="45"/>
      <c r="H5" s="45"/>
      <c r="I5" s="45"/>
      <c r="J5" s="45"/>
      <c r="K5" s="46"/>
      <c r="M5" s="44"/>
      <c r="N5" s="45"/>
      <c r="O5" s="45"/>
      <c r="P5" s="45"/>
      <c r="Q5" s="45"/>
      <c r="R5" s="45"/>
      <c r="S5" s="45"/>
      <c r="T5" s="46"/>
    </row>
    <row r="6" spans="4:20">
      <c r="D6" s="47"/>
      <c r="K6" s="48"/>
      <c r="M6" s="47"/>
      <c r="T6" s="48"/>
    </row>
    <row r="7" spans="4:20">
      <c r="D7" s="47"/>
      <c r="K7" s="48"/>
      <c r="M7" s="47"/>
      <c r="T7" s="48"/>
    </row>
    <row r="8" spans="4:20">
      <c r="D8" s="47"/>
      <c r="E8" t="s">
        <v>102</v>
      </c>
      <c r="F8" s="49"/>
      <c r="G8" t="s">
        <v>103</v>
      </c>
      <c r="I8" s="50" t="s">
        <v>104</v>
      </c>
      <c r="K8" s="48" t="s">
        <v>105</v>
      </c>
      <c r="M8" s="47"/>
      <c r="N8" t="s">
        <v>102</v>
      </c>
      <c r="O8" s="49"/>
      <c r="P8" t="s">
        <v>103</v>
      </c>
      <c r="R8" s="50" t="s">
        <v>104</v>
      </c>
      <c r="T8" s="48" t="s">
        <v>105</v>
      </c>
    </row>
    <row r="9" spans="4:20">
      <c r="D9" s="47"/>
      <c r="E9" s="37">
        <v>0.2</v>
      </c>
      <c r="F9" s="49" t="s">
        <v>106</v>
      </c>
      <c r="G9" s="38">
        <v>0.255</v>
      </c>
      <c r="H9" s="1080" t="s">
        <v>107</v>
      </c>
      <c r="I9" s="1081">
        <v>5050</v>
      </c>
      <c r="J9" s="1082" t="s">
        <v>108</v>
      </c>
      <c r="K9" s="1083">
        <f>((E9-G9)/(E10-G10))*I9</f>
        <v>2136.5384615384614</v>
      </c>
      <c r="M9" s="47"/>
      <c r="N9" s="37">
        <v>0.4</v>
      </c>
      <c r="O9" s="49" t="s">
        <v>106</v>
      </c>
      <c r="P9" s="38">
        <v>0.45100000000000001</v>
      </c>
      <c r="Q9" s="1080" t="s">
        <v>107</v>
      </c>
      <c r="R9" s="1081">
        <v>4000</v>
      </c>
      <c r="S9" s="1082" t="s">
        <v>108</v>
      </c>
      <c r="T9" s="1083">
        <f>((N9-P9)/(N10-P10))*R9</f>
        <v>618.18181818181802</v>
      </c>
    </row>
    <row r="10" spans="4:20">
      <c r="D10" s="47"/>
      <c r="E10" s="39">
        <v>7.0000000000000007E-2</v>
      </c>
      <c r="F10" s="51" t="s">
        <v>106</v>
      </c>
      <c r="G10" s="37">
        <v>0.2</v>
      </c>
      <c r="H10" s="1080"/>
      <c r="I10" s="1081"/>
      <c r="J10" s="1082"/>
      <c r="K10" s="1083"/>
      <c r="M10" s="47"/>
      <c r="N10" s="39">
        <v>7.0000000000000007E-2</v>
      </c>
      <c r="O10" s="51" t="s">
        <v>106</v>
      </c>
      <c r="P10" s="37">
        <v>0.4</v>
      </c>
      <c r="Q10" s="1080"/>
      <c r="R10" s="1081"/>
      <c r="S10" s="1082"/>
      <c r="T10" s="1083"/>
    </row>
    <row r="11" spans="4:20">
      <c r="D11" s="47"/>
      <c r="E11" t="s">
        <v>109</v>
      </c>
      <c r="G11" t="s">
        <v>110</v>
      </c>
      <c r="K11" s="48"/>
      <c r="M11" s="47"/>
      <c r="N11" t="s">
        <v>109</v>
      </c>
      <c r="P11" t="s">
        <v>110</v>
      </c>
      <c r="T11" s="48"/>
    </row>
    <row r="12" spans="4:20">
      <c r="D12" s="47"/>
      <c r="K12" s="48"/>
      <c r="M12" s="47"/>
      <c r="T12" s="48"/>
    </row>
    <row r="13" spans="4:20">
      <c r="D13" s="47"/>
      <c r="K13" s="48"/>
      <c r="M13" s="47"/>
      <c r="T13" s="48"/>
    </row>
    <row r="14" spans="4:20" ht="15.75" thickBot="1">
      <c r="D14" s="52"/>
      <c r="E14" s="53"/>
      <c r="F14" s="53"/>
      <c r="G14" s="53"/>
      <c r="H14" s="53"/>
      <c r="I14" s="53"/>
      <c r="J14" s="53"/>
      <c r="K14" s="54"/>
      <c r="M14" s="52"/>
      <c r="N14" s="53"/>
      <c r="O14" s="53"/>
      <c r="P14" s="53"/>
      <c r="Q14" s="53"/>
      <c r="R14" s="53"/>
      <c r="S14" s="53"/>
      <c r="T14" s="54"/>
    </row>
  </sheetData>
  <sheetProtection algorithmName="SHA-512" hashValue="TO1pj427VUk+9Vlt6b3IBqjP9JwDgCNaQumuQs23DN4Fk9rcqFKXSPerh1fDZwsOzckScyJvjem1cnoq0CEQyQ==" saltValue="Y387/wyjCAPJhNBcrSnLlQ==" spinCount="100000" sheet="1" objects="1" scenarios="1" selectLockedCells="1"/>
  <mergeCells count="10">
    <mergeCell ref="D4:K4"/>
    <mergeCell ref="M4:T4"/>
    <mergeCell ref="H9:H10"/>
    <mergeCell ref="I9:I10"/>
    <mergeCell ref="J9:J10"/>
    <mergeCell ref="K9:K10"/>
    <mergeCell ref="Q9:Q10"/>
    <mergeCell ref="R9:R10"/>
    <mergeCell ref="S9:S10"/>
    <mergeCell ref="T9:T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FF1A-F50D-40A8-B8C5-431D3394FEC6}">
  <sheetPr codeName="Arkusz9">
    <pageSetUpPr fitToPage="1"/>
  </sheetPr>
  <dimension ref="A3:AI53"/>
  <sheetViews>
    <sheetView topLeftCell="A4" zoomScale="50" zoomScaleNormal="50" workbookViewId="0">
      <selection activeCell="E34" sqref="E34"/>
    </sheetView>
  </sheetViews>
  <sheetFormatPr defaultRowHeight="15"/>
  <cols>
    <col min="2" max="2" width="54.5703125" bestFit="1" customWidth="1"/>
    <col min="3" max="3" width="12.5703125" customWidth="1"/>
    <col min="4" max="4" width="16" customWidth="1"/>
    <col min="5" max="5" width="16.42578125" customWidth="1"/>
    <col min="6" max="6" width="21" customWidth="1"/>
    <col min="7" max="7" width="10.42578125" bestFit="1" customWidth="1"/>
    <col min="8" max="8" width="11.42578125" bestFit="1" customWidth="1"/>
    <col min="9" max="9" width="14.5703125" customWidth="1"/>
    <col min="10" max="10" width="50.42578125" customWidth="1"/>
    <col min="11" max="11" width="13" customWidth="1"/>
    <col min="12" max="12" width="11" bestFit="1" customWidth="1"/>
    <col min="13" max="13" width="10.42578125" bestFit="1" customWidth="1"/>
    <col min="14" max="14" width="12.42578125" customWidth="1"/>
    <col min="15" max="15" width="9.5703125" customWidth="1"/>
    <col min="16" max="16" width="12.5703125" customWidth="1"/>
    <col min="17" max="17" width="11.42578125" customWidth="1"/>
    <col min="18" max="18" width="12.42578125" customWidth="1"/>
    <col min="19" max="19" width="11.5703125" customWidth="1"/>
    <col min="20" max="20" width="12.5703125" customWidth="1"/>
    <col min="21" max="21" width="17.5703125" customWidth="1"/>
    <col min="22" max="22" width="13.5703125" hidden="1" customWidth="1"/>
    <col min="23" max="23" width="24.42578125" hidden="1" customWidth="1"/>
    <col min="24" max="24" width="15.42578125" hidden="1" customWidth="1"/>
    <col min="25" max="25" width="11.5703125" hidden="1" customWidth="1"/>
    <col min="26" max="26" width="12.42578125" hidden="1" customWidth="1"/>
    <col min="27" max="27" width="10.42578125" hidden="1" customWidth="1"/>
    <col min="28" max="28" width="0" hidden="1" customWidth="1"/>
    <col min="29" max="29" width="15.42578125" hidden="1" customWidth="1"/>
  </cols>
  <sheetData>
    <row r="3" spans="1:30" ht="15.75" thickBot="1">
      <c r="B3" s="111">
        <v>45366</v>
      </c>
      <c r="C3" s="1001" t="s">
        <v>222</v>
      </c>
      <c r="D3" s="1001"/>
      <c r="E3" s="1001"/>
      <c r="F3" s="1001"/>
      <c r="G3" s="1001"/>
    </row>
    <row r="4" spans="1:30" ht="63" thickTop="1" thickBot="1">
      <c r="A4" s="112" t="s">
        <v>225</v>
      </c>
      <c r="B4" s="113" t="s">
        <v>126</v>
      </c>
      <c r="C4" s="114" t="s">
        <v>223</v>
      </c>
      <c r="D4" s="114" t="s">
        <v>204</v>
      </c>
      <c r="E4" s="216" t="s">
        <v>91</v>
      </c>
      <c r="F4" s="114" t="s">
        <v>224</v>
      </c>
      <c r="G4" s="115" t="s">
        <v>105</v>
      </c>
      <c r="H4" s="116" t="s">
        <v>210</v>
      </c>
      <c r="I4" s="117" t="s">
        <v>68</v>
      </c>
      <c r="J4" s="117" t="s">
        <v>69</v>
      </c>
      <c r="K4" s="118" t="s">
        <v>211</v>
      </c>
      <c r="L4" s="118" t="s">
        <v>212</v>
      </c>
      <c r="M4" s="118" t="s">
        <v>213</v>
      </c>
      <c r="N4" s="118" t="s">
        <v>214</v>
      </c>
      <c r="O4" s="119" t="s">
        <v>84</v>
      </c>
      <c r="P4" s="120" t="s">
        <v>215</v>
      </c>
      <c r="Q4" s="119" t="s">
        <v>85</v>
      </c>
      <c r="R4" s="120" t="s">
        <v>216</v>
      </c>
      <c r="S4" s="119" t="s">
        <v>86</v>
      </c>
      <c r="T4" s="120" t="s">
        <v>217</v>
      </c>
      <c r="U4" s="596" t="s">
        <v>248</v>
      </c>
      <c r="V4" s="588" t="s">
        <v>8522</v>
      </c>
      <c r="W4" s="403" t="s">
        <v>8523</v>
      </c>
      <c r="X4" s="408" t="s">
        <v>8526</v>
      </c>
      <c r="Y4" s="408" t="s">
        <v>8524</v>
      </c>
      <c r="Z4" s="408" t="s">
        <v>8525</v>
      </c>
      <c r="AA4" s="404" t="s">
        <v>8526</v>
      </c>
      <c r="AB4" s="404" t="s">
        <v>8524</v>
      </c>
      <c r="AC4" s="404" t="s">
        <v>8525</v>
      </c>
    </row>
    <row r="5" spans="1:30" ht="22.5" thickTop="1" thickBot="1">
      <c r="A5" s="144">
        <v>1166</v>
      </c>
      <c r="B5" s="150" t="s">
        <v>234</v>
      </c>
      <c r="C5" s="299">
        <f ca="1">SUMIF('Dane stany'!$J$5:$J$2321,A5,'Dane stany'!$K$5:$K$321)</f>
        <v>0</v>
      </c>
      <c r="D5" s="299">
        <f>SUMIF(Rozbiór!$I$3:$I$300,A5,Rozbiór!$J$3:$J$300)</f>
        <v>0</v>
      </c>
      <c r="E5" s="146"/>
      <c r="F5" s="146"/>
      <c r="G5" s="252">
        <f ca="1">SUM(C5:F5)</f>
        <v>0</v>
      </c>
      <c r="H5" s="151">
        <v>5031</v>
      </c>
      <c r="I5" s="152">
        <v>6003</v>
      </c>
      <c r="J5" s="153" t="s">
        <v>128</v>
      </c>
      <c r="K5" s="429">
        <f ca="1">SUMIF('Dane stany'!$J$5:$J$2321,H5,'Dane stany'!$K$5:$K$321)</f>
        <v>0</v>
      </c>
      <c r="L5" s="217"/>
      <c r="M5" s="145"/>
      <c r="N5" s="145"/>
      <c r="O5" s="122">
        <f>IFERROR(VLOOKUP('Kalkulator Wędzonki '!$I5,PLAN_P!$B:$G,3,0),0)</f>
        <v>0</v>
      </c>
      <c r="P5" s="123">
        <f t="shared" ref="P5:P49" ca="1" si="0">SUM(K5,M5,N5)-O5</f>
        <v>0</v>
      </c>
      <c r="Q5" s="122">
        <f>IFERROR(VLOOKUP('Kalkulator Wędzonki '!$I5,PLAN_P!$B:$G,4,0),0)</f>
        <v>2600</v>
      </c>
      <c r="R5" s="123">
        <f ca="1">P5-Q5</f>
        <v>-2600</v>
      </c>
      <c r="S5" s="122">
        <f>IFERROR(VLOOKUP('Kalkulator Wędzonki '!$I5,PLAN_P!$B:$G,5,0),0)</f>
        <v>0</v>
      </c>
      <c r="T5" s="400">
        <f ca="1">R5-S5</f>
        <v>-2600</v>
      </c>
      <c r="U5" s="597">
        <f ca="1">T5/1300</f>
        <v>-2</v>
      </c>
      <c r="V5" s="589">
        <v>1.9</v>
      </c>
      <c r="W5" s="409">
        <f ca="1">K5+M5+N5+(V5*G5)</f>
        <v>0</v>
      </c>
      <c r="X5" s="412">
        <f ca="1">W5-O5</f>
        <v>0</v>
      </c>
      <c r="Y5" s="413">
        <f ca="1">X5-Q5</f>
        <v>-2600</v>
      </c>
      <c r="Z5" s="414">
        <f ca="1">$Y5-$S5</f>
        <v>-2600</v>
      </c>
      <c r="AA5" s="415">
        <f ca="1">$X5/$V5</f>
        <v>0</v>
      </c>
      <c r="AB5" s="416">
        <f ca="1">$Y5/$V5</f>
        <v>-1368.421052631579</v>
      </c>
      <c r="AC5" s="417">
        <f ca="1">$Z5/$V5</f>
        <v>-1368.421052631579</v>
      </c>
      <c r="AD5">
        <v>-700</v>
      </c>
    </row>
    <row r="6" spans="1:30" ht="21.75" thickBot="1">
      <c r="A6" s="144">
        <v>1140</v>
      </c>
      <c r="B6" s="150" t="s">
        <v>390</v>
      </c>
      <c r="C6" s="299">
        <f ca="1">SUMIF('Dane stany'!$J$5:$J$2321,A6,'Dane stany'!$K$5:$K$321)</f>
        <v>0</v>
      </c>
      <c r="D6" s="299">
        <f>SUMIF(Rozbiór!$I$3:$I$300,A6,Rozbiór!$J$3:$J$300)</f>
        <v>0</v>
      </c>
      <c r="E6" s="146"/>
      <c r="F6" s="146"/>
      <c r="G6" s="252">
        <f ca="1">SUM(C6:F6)</f>
        <v>0</v>
      </c>
      <c r="H6" s="353"/>
      <c r="I6" s="354"/>
      <c r="J6" s="355"/>
      <c r="K6" s="299">
        <f ca="1">SUMIF('Dane stany'!$J$5:$J$2321,H6,'Dane stany'!$K$5:$K$321)</f>
        <v>0</v>
      </c>
      <c r="L6" s="306"/>
      <c r="M6" s="132"/>
      <c r="N6" s="132"/>
      <c r="O6" s="124">
        <f>IFERROR(VLOOKUP('Kalkulator Wędzonki '!$I6,PLAN_P!$B:$G,3,0),0)</f>
        <v>0</v>
      </c>
      <c r="P6" s="125">
        <f ca="1">SUM(K6,M6,N6)-O6</f>
        <v>0</v>
      </c>
      <c r="Q6" s="124">
        <f>IFERROR(VLOOKUP('Kalkulator Wędzonki '!$I6,PLAN_P!$B:$G,4,0),0)</f>
        <v>0</v>
      </c>
      <c r="R6" s="125">
        <f ca="1">P6-Q6</f>
        <v>0</v>
      </c>
      <c r="S6" s="124">
        <f>IFERROR(VLOOKUP('Kalkulator Wędzonki '!$I6,PLAN_P!$B:$G,5,0),0)</f>
        <v>0</v>
      </c>
      <c r="T6" s="401">
        <f ca="1">R6-S6</f>
        <v>0</v>
      </c>
      <c r="U6" s="598">
        <f ca="1">T6/1300</f>
        <v>0</v>
      </c>
      <c r="V6" s="590"/>
      <c r="W6" s="410">
        <f ca="1">K6+M6+N6+(V6*G6)</f>
        <v>0</v>
      </c>
      <c r="X6" s="418">
        <f t="shared" ref="X6:X50" ca="1" si="1">W6-O6</f>
        <v>0</v>
      </c>
      <c r="Y6" s="419">
        <f t="shared" ref="Y6:Y50" ca="1" si="2">X6-Q6</f>
        <v>0</v>
      </c>
      <c r="Z6" s="420">
        <f t="shared" ref="Z6:Z51" ca="1" si="3">$Y6-$S6</f>
        <v>0</v>
      </c>
      <c r="AA6" s="415"/>
      <c r="AB6" s="416"/>
      <c r="AC6" s="417"/>
    </row>
    <row r="7" spans="1:30" ht="21.75" thickBot="1">
      <c r="A7" s="144">
        <v>1158</v>
      </c>
      <c r="B7" s="150" t="s">
        <v>242</v>
      </c>
      <c r="C7" s="299">
        <f ca="1">SUMIF('Dane stany'!$J$5:$J$2321,A7,'Dane stany'!$K$5:$K$321)</f>
        <v>0</v>
      </c>
      <c r="D7" s="299">
        <f>SUMIF(Rozbiór!$I$3:$I$300,A7,Rozbiór!$J$3:$J$300)</f>
        <v>0</v>
      </c>
      <c r="E7" s="146"/>
      <c r="F7" s="146"/>
      <c r="G7" s="252">
        <f ca="1">SUM(C7:F7)</f>
        <v>0</v>
      </c>
      <c r="H7" s="154">
        <v>5368</v>
      </c>
      <c r="I7" s="155">
        <v>6007</v>
      </c>
      <c r="J7" s="156" t="s">
        <v>129</v>
      </c>
      <c r="K7" s="299">
        <f ca="1">SUMIF('Dane stany'!$J$5:$J$2321,H7,'Dane stany'!$K$5:$K$321)</f>
        <v>0</v>
      </c>
      <c r="L7" s="218"/>
      <c r="M7" s="146"/>
      <c r="N7" s="146"/>
      <c r="O7" s="124">
        <f>IFERROR(VLOOKUP('Kalkulator Wędzonki '!$I7,PLAN_P!$B:$G,3,0),0)</f>
        <v>0</v>
      </c>
      <c r="P7" s="125">
        <f t="shared" ca="1" si="0"/>
        <v>0</v>
      </c>
      <c r="Q7" s="124">
        <f>IFERROR(VLOOKUP('Kalkulator Wędzonki '!$I7,PLAN_P!$B:$G,4,0),0)</f>
        <v>0</v>
      </c>
      <c r="R7" s="125">
        <f t="shared" ref="R7:R48" ca="1" si="4">P7-Q7</f>
        <v>0</v>
      </c>
      <c r="S7" s="124">
        <f>IFERROR(VLOOKUP('Kalkulator Wędzonki '!$I7,PLAN_P!$B:$G,5,0),0)</f>
        <v>0</v>
      </c>
      <c r="T7" s="401">
        <f t="shared" ref="T7:T48" ca="1" si="5">R7-S7</f>
        <v>0</v>
      </c>
      <c r="U7" s="598">
        <f t="shared" ref="U7:U49" ca="1" si="6">T7/1300</f>
        <v>0</v>
      </c>
      <c r="V7" s="590"/>
      <c r="W7" s="410">
        <f ca="1">K7+M7+N7+(V7*G7)</f>
        <v>0</v>
      </c>
      <c r="X7" s="418">
        <f t="shared" ca="1" si="1"/>
        <v>0</v>
      </c>
      <c r="Y7" s="419">
        <f t="shared" ca="1" si="2"/>
        <v>0</v>
      </c>
      <c r="Z7" s="420">
        <f t="shared" ca="1" si="3"/>
        <v>0</v>
      </c>
      <c r="AA7" s="415"/>
      <c r="AB7" s="416"/>
      <c r="AC7" s="417"/>
    </row>
    <row r="8" spans="1:30" ht="21.75" thickBot="1">
      <c r="A8" s="144">
        <v>1280</v>
      </c>
      <c r="B8" s="150" t="s">
        <v>243</v>
      </c>
      <c r="C8" s="299">
        <f ca="1">SUMIF('Dane stany'!$J$5:$J$2321,A8,'Dane stany'!$K$5:$K$321)</f>
        <v>0</v>
      </c>
      <c r="D8" s="299">
        <f>SUMIF(Rozbiór!$I$3:$I$300,A8,Rozbiór!$J$3:$J$300)</f>
        <v>0</v>
      </c>
      <c r="E8" s="146"/>
      <c r="F8" s="146"/>
      <c r="G8" s="252">
        <f ca="1">SUM(C8:F8)</f>
        <v>0</v>
      </c>
      <c r="H8" s="154">
        <v>5126</v>
      </c>
      <c r="I8" s="157">
        <v>6090</v>
      </c>
      <c r="J8" s="156" t="s">
        <v>130</v>
      </c>
      <c r="K8" s="299">
        <f ca="1">SUMIF('Dane stany'!$J$5:$J$2321,H8,'Dane stany'!$K$5:$K$321)</f>
        <v>0</v>
      </c>
      <c r="L8" s="218"/>
      <c r="M8" s="146"/>
      <c r="N8" s="146"/>
      <c r="O8" s="124">
        <f>IFERROR(VLOOKUP('Kalkulator Wędzonki '!$I8,PLAN_P!$B:$G,3,0),0)</f>
        <v>0</v>
      </c>
      <c r="P8" s="125">
        <f t="shared" ca="1" si="0"/>
        <v>0</v>
      </c>
      <c r="Q8" s="124">
        <f>IFERROR(VLOOKUP('Kalkulator Wędzonki '!$I8,PLAN_P!$B:$G,4,0),0)</f>
        <v>0</v>
      </c>
      <c r="R8" s="125">
        <f t="shared" ca="1" si="4"/>
        <v>0</v>
      </c>
      <c r="S8" s="124">
        <f>IFERROR(VLOOKUP('Kalkulator Wędzonki '!$I8,PLAN_P!$B:$G,5,0),0)</f>
        <v>0</v>
      </c>
      <c r="T8" s="401">
        <f t="shared" ca="1" si="5"/>
        <v>0</v>
      </c>
      <c r="U8" s="598">
        <f t="shared" ca="1" si="6"/>
        <v>0</v>
      </c>
      <c r="V8" s="590">
        <v>1.7</v>
      </c>
      <c r="W8" s="410">
        <f ca="1">K8+M8+N8+(V8*G8)</f>
        <v>0</v>
      </c>
      <c r="X8" s="418">
        <f t="shared" ca="1" si="1"/>
        <v>0</v>
      </c>
      <c r="Y8" s="419">
        <f t="shared" ca="1" si="2"/>
        <v>0</v>
      </c>
      <c r="Z8" s="420">
        <f t="shared" ca="1" si="3"/>
        <v>0</v>
      </c>
      <c r="AA8" s="415">
        <f ca="1">$X8/$V8</f>
        <v>0</v>
      </c>
      <c r="AB8" s="416">
        <f ca="1">$Y8/$V8</f>
        <v>0</v>
      </c>
      <c r="AC8" s="417">
        <f ca="1">$Z8/$V8</f>
        <v>0</v>
      </c>
    </row>
    <row r="9" spans="1:30" ht="21.75" thickBot="1">
      <c r="A9" s="126">
        <v>1480</v>
      </c>
      <c r="B9" s="138" t="s">
        <v>244</v>
      </c>
      <c r="C9" s="300">
        <f ca="1">SUMIF('Dane stany'!$J$5:$J$2321,A9,'Dane stany'!$K$5:$K$321)</f>
        <v>0</v>
      </c>
      <c r="D9" s="299">
        <f>SUMIF(Rozbiór!$I$3:$I$300,A9,Rozbiór!$J$3:$J$300)</f>
        <v>0</v>
      </c>
      <c r="E9" s="127"/>
      <c r="F9" s="127"/>
      <c r="G9" s="253">
        <f ca="1">SUM(C9:F9)</f>
        <v>0</v>
      </c>
      <c r="H9" s="158">
        <v>5378</v>
      </c>
      <c r="I9" s="159">
        <v>6203</v>
      </c>
      <c r="J9" s="160" t="s">
        <v>131</v>
      </c>
      <c r="K9" s="300">
        <f ca="1">SUMIF('Dane stany'!$J$5:$J$2321,H9,'Dane stany'!$K$5:$K$321)</f>
        <v>0</v>
      </c>
      <c r="L9" s="219"/>
      <c r="M9" s="147"/>
      <c r="N9" s="147"/>
      <c r="O9" s="128">
        <f>IFERROR(VLOOKUP('Kalkulator Wędzonki '!$I9,PLAN_P!$B:$G,3,0),0)</f>
        <v>0</v>
      </c>
      <c r="P9" s="129">
        <f t="shared" ca="1" si="0"/>
        <v>0</v>
      </c>
      <c r="Q9" s="128">
        <f>IFERROR(VLOOKUP('Kalkulator Wędzonki '!$I9,PLAN_P!$B:$G,4,0),0)</f>
        <v>0</v>
      </c>
      <c r="R9" s="129">
        <f t="shared" ca="1" si="4"/>
        <v>0</v>
      </c>
      <c r="S9" s="128">
        <f>IFERROR(VLOOKUP('Kalkulator Wędzonki '!$I9,PLAN_P!$B:$G,5,0),0)</f>
        <v>0</v>
      </c>
      <c r="T9" s="402">
        <f t="shared" ca="1" si="5"/>
        <v>0</v>
      </c>
      <c r="U9" s="599">
        <f t="shared" ca="1" si="6"/>
        <v>0</v>
      </c>
      <c r="V9" s="591"/>
      <c r="W9" s="410">
        <f t="shared" ref="W9:W49" ca="1" si="7">K9+M9+N9+(V9*G9)</f>
        <v>0</v>
      </c>
      <c r="X9" s="418">
        <f t="shared" ca="1" si="1"/>
        <v>0</v>
      </c>
      <c r="Y9" s="419">
        <f t="shared" ca="1" si="2"/>
        <v>0</v>
      </c>
      <c r="Z9" s="420">
        <f t="shared" ca="1" si="3"/>
        <v>0</v>
      </c>
      <c r="AA9" s="415"/>
      <c r="AB9" s="416"/>
      <c r="AC9" s="417"/>
    </row>
    <row r="10" spans="1:30" ht="22.5" thickTop="1" thickBot="1">
      <c r="A10" s="1103">
        <v>2029</v>
      </c>
      <c r="B10" s="1087" t="s">
        <v>233</v>
      </c>
      <c r="C10" s="301">
        <f ca="1">SUMIF('Dane stany'!$J$5:$J$2321,A10,'Dane stany'!$K$5:$K$321)</f>
        <v>3241.5</v>
      </c>
      <c r="D10" s="1089">
        <f>SUMIF(Rozbiór!$I$3:$I$300,A10,Rozbiór!$J$3:$J$300)</f>
        <v>0</v>
      </c>
      <c r="E10" s="1091"/>
      <c r="F10" s="1091"/>
      <c r="G10" s="1093">
        <f ca="1">SUM(C10:F12)</f>
        <v>3241.5</v>
      </c>
      <c r="H10" s="161">
        <v>5041</v>
      </c>
      <c r="I10" s="162">
        <v>6231</v>
      </c>
      <c r="J10" s="163" t="s">
        <v>132</v>
      </c>
      <c r="K10" s="1107">
        <f ca="1">SUMIF('Dane stany'!$J$5:$J$2321,H10,'Dane stany'!$K$5:$K$321)</f>
        <v>2551</v>
      </c>
      <c r="L10" s="217"/>
      <c r="M10" s="145"/>
      <c r="N10" s="145"/>
      <c r="O10" s="122">
        <f>IFERROR(VLOOKUP('Kalkulator Wędzonki '!$I10,PLAN_P!$B:$G,3,0),0)</f>
        <v>0</v>
      </c>
      <c r="P10" s="123">
        <f t="shared" ca="1" si="0"/>
        <v>2551</v>
      </c>
      <c r="Q10" s="122">
        <f>IFERROR(VLOOKUP('Kalkulator Wędzonki '!$I10,PLAN_P!$B:$G,4,0),0)</f>
        <v>1300</v>
      </c>
      <c r="R10" s="123">
        <f t="shared" ca="1" si="4"/>
        <v>1251</v>
      </c>
      <c r="S10" s="122">
        <f>IFERROR(VLOOKUP('Kalkulator Wędzonki '!$I10,PLAN_P!$B:$G,5,0),0)</f>
        <v>0</v>
      </c>
      <c r="T10" s="400">
        <f t="shared" ca="1" si="5"/>
        <v>1251</v>
      </c>
      <c r="U10" s="600">
        <f t="shared" ca="1" si="6"/>
        <v>0.96230769230769231</v>
      </c>
      <c r="V10" s="592">
        <v>1.3</v>
      </c>
      <c r="W10" s="410"/>
      <c r="X10" s="418">
        <f>W10-O10</f>
        <v>0</v>
      </c>
      <c r="Y10" s="419">
        <f>X10-Q10</f>
        <v>-1300</v>
      </c>
      <c r="Z10" s="420">
        <f t="shared" si="3"/>
        <v>-1300</v>
      </c>
      <c r="AA10" s="415">
        <f>$X10/$V10</f>
        <v>0</v>
      </c>
      <c r="AB10" s="416">
        <f>$Y10/$V10</f>
        <v>-1000</v>
      </c>
      <c r="AC10" s="417">
        <f>$Z10/$V10</f>
        <v>-1000</v>
      </c>
      <c r="AD10" s="438" t="s">
        <v>14224</v>
      </c>
    </row>
    <row r="11" spans="1:30" ht="21.75" thickBot="1">
      <c r="A11" s="1110"/>
      <c r="B11" s="1088"/>
      <c r="C11" s="299">
        <f ca="1">SUMIF('Dane stany'!$J$5:$J$2321,A11,'Dane stany'!$K$5:$K$321)</f>
        <v>0</v>
      </c>
      <c r="D11" s="1090"/>
      <c r="E11" s="1092"/>
      <c r="F11" s="1092"/>
      <c r="G11" s="1094"/>
      <c r="H11" s="164">
        <v>5041</v>
      </c>
      <c r="I11" s="165">
        <v>6239</v>
      </c>
      <c r="J11" s="166" t="s">
        <v>136</v>
      </c>
      <c r="K11" s="1108"/>
      <c r="L11" s="218"/>
      <c r="M11" s="146"/>
      <c r="N11" s="146"/>
      <c r="O11" s="124">
        <f>IFERROR(VLOOKUP('Kalkulator Wędzonki '!$I11,PLAN_P!$B:$G,3,0),0)</f>
        <v>0</v>
      </c>
      <c r="P11" s="125">
        <f t="shared" si="0"/>
        <v>0</v>
      </c>
      <c r="Q11" s="124">
        <f>IFERROR(VLOOKUP('Kalkulator Wędzonki '!$I11,PLAN_P!$B:$G,4,0),0)</f>
        <v>2600</v>
      </c>
      <c r="R11" s="125">
        <f>P11-Q11</f>
        <v>-2600</v>
      </c>
      <c r="S11" s="124">
        <f>IFERROR(VLOOKUP('Kalkulator Wędzonki '!$I11,PLAN_P!$B:$G,5,0),0)</f>
        <v>0</v>
      </c>
      <c r="T11" s="401">
        <f>R11-S11</f>
        <v>-2600</v>
      </c>
      <c r="U11" s="598">
        <f t="shared" si="6"/>
        <v>-2</v>
      </c>
      <c r="V11" s="590"/>
      <c r="W11" s="410"/>
      <c r="X11" s="418">
        <f t="shared" si="1"/>
        <v>0</v>
      </c>
      <c r="Y11" s="419">
        <f t="shared" si="2"/>
        <v>-2600</v>
      </c>
      <c r="Z11" s="420">
        <f t="shared" si="3"/>
        <v>-2600</v>
      </c>
      <c r="AA11" s="415"/>
      <c r="AB11" s="416"/>
      <c r="AC11" s="417"/>
    </row>
    <row r="12" spans="1:30" ht="36.75" thickBot="1">
      <c r="A12" s="1110"/>
      <c r="B12" s="1088"/>
      <c r="C12" s="299">
        <f ca="1">SUMIF('Dane stany'!$J$5:$J$2321,A12,'Dane stany'!$K$5:$K$321)</f>
        <v>0</v>
      </c>
      <c r="D12" s="1090"/>
      <c r="E12" s="1092"/>
      <c r="F12" s="1092"/>
      <c r="G12" s="1094"/>
      <c r="H12" s="164">
        <v>5041</v>
      </c>
      <c r="I12" s="165">
        <v>6254</v>
      </c>
      <c r="J12" s="166" t="s">
        <v>143</v>
      </c>
      <c r="K12" s="1109"/>
      <c r="L12" s="218"/>
      <c r="M12" s="146"/>
      <c r="N12" s="146"/>
      <c r="O12" s="124">
        <f>IFERROR(VLOOKUP('Kalkulator Wędzonki '!$I12,PLAN_P!$B:$G,3,0),0)</f>
        <v>0</v>
      </c>
      <c r="P12" s="125">
        <f t="shared" si="0"/>
        <v>0</v>
      </c>
      <c r="Q12" s="124">
        <f>IFERROR(VLOOKUP('Kalkulator Wędzonki '!$I12,PLAN_P!$B:$G,4,0),0)</f>
        <v>0</v>
      </c>
      <c r="R12" s="125">
        <f>P12-Q12</f>
        <v>0</v>
      </c>
      <c r="S12" s="124">
        <f>IFERROR(VLOOKUP('Kalkulator Wędzonki '!$I12,PLAN_P!$B:$G,5,0),0)</f>
        <v>0</v>
      </c>
      <c r="T12" s="401">
        <f>R12-S12</f>
        <v>0</v>
      </c>
      <c r="U12" s="598">
        <f t="shared" si="6"/>
        <v>0</v>
      </c>
      <c r="V12" s="590"/>
      <c r="W12" s="410"/>
      <c r="X12" s="418">
        <f t="shared" si="1"/>
        <v>0</v>
      </c>
      <c r="Y12" s="419">
        <f t="shared" si="2"/>
        <v>0</v>
      </c>
      <c r="Z12" s="420">
        <f t="shared" si="3"/>
        <v>0</v>
      </c>
      <c r="AA12" s="415"/>
      <c r="AB12" s="416"/>
      <c r="AC12" s="417"/>
    </row>
    <row r="13" spans="1:30" ht="21.75" thickBot="1">
      <c r="A13" s="144">
        <v>2916</v>
      </c>
      <c r="B13" s="150" t="s">
        <v>339</v>
      </c>
      <c r="C13" s="299">
        <f ca="1">SUMIF('Dane stany'!$J$5:$J$2321,A13,'Dane stany'!$K$5:$K$321)</f>
        <v>0</v>
      </c>
      <c r="D13" s="299">
        <f>SUMIF(Rozbiór!$I$3:$I$300,A13,Rozbiór!$J$3:$J$300)</f>
        <v>0</v>
      </c>
      <c r="E13" s="146"/>
      <c r="F13" s="146"/>
      <c r="G13" s="252">
        <f ca="1">SUM(C13:F13)</f>
        <v>0</v>
      </c>
      <c r="H13" s="164">
        <v>5067</v>
      </c>
      <c r="I13" s="165">
        <v>6243</v>
      </c>
      <c r="J13" s="166" t="s">
        <v>139</v>
      </c>
      <c r="K13" s="299">
        <f ca="1">SUMIF('Dane stany'!$J$5:$J$2321,H13,'Dane stany'!$K$5:$K$321)</f>
        <v>0</v>
      </c>
      <c r="L13" s="218"/>
      <c r="M13" s="146"/>
      <c r="N13" s="146"/>
      <c r="O13" s="124"/>
      <c r="P13" s="125"/>
      <c r="Q13" s="124"/>
      <c r="R13" s="125"/>
      <c r="S13" s="124"/>
      <c r="T13" s="401"/>
      <c r="U13" s="598">
        <f t="shared" si="6"/>
        <v>0</v>
      </c>
      <c r="V13" s="590"/>
      <c r="W13" s="410"/>
      <c r="X13" s="418">
        <f t="shared" si="1"/>
        <v>0</v>
      </c>
      <c r="Y13" s="419">
        <f t="shared" si="2"/>
        <v>0</v>
      </c>
      <c r="Z13" s="420">
        <f t="shared" si="3"/>
        <v>0</v>
      </c>
      <c r="AA13" s="415"/>
      <c r="AB13" s="416"/>
      <c r="AC13" s="417"/>
    </row>
    <row r="14" spans="1:30" ht="21.75" thickBot="1">
      <c r="A14" s="143">
        <v>2904</v>
      </c>
      <c r="B14" s="149" t="s">
        <v>370</v>
      </c>
      <c r="C14" s="300">
        <f ca="1">SUMIF('Dane stany'!$J$5:$J$2321,A14,'Dane stany'!$K$5:$K$321)</f>
        <v>0</v>
      </c>
      <c r="D14" s="299">
        <f>SUMIF(Rozbiór!$I$3:$I$300,A14,Rozbiór!$J$3:$J$300)</f>
        <v>0</v>
      </c>
      <c r="E14" s="147"/>
      <c r="F14" s="147"/>
      <c r="G14" s="148"/>
      <c r="H14" s="167"/>
      <c r="I14" s="168"/>
      <c r="J14" s="169"/>
      <c r="K14" s="300">
        <f ca="1">SUMIF('Dane stany'!$J$5:$J$2321,H14,'Dane stany'!$K$5:$K$321)</f>
        <v>0</v>
      </c>
      <c r="L14" s="219"/>
      <c r="M14" s="147"/>
      <c r="N14" s="147"/>
      <c r="O14" s="128"/>
      <c r="P14" s="129"/>
      <c r="Q14" s="128"/>
      <c r="R14" s="129"/>
      <c r="S14" s="128"/>
      <c r="T14" s="402"/>
      <c r="U14" s="601">
        <f t="shared" si="6"/>
        <v>0</v>
      </c>
      <c r="V14" s="593"/>
      <c r="W14" s="410"/>
      <c r="X14" s="418">
        <f t="shared" si="1"/>
        <v>0</v>
      </c>
      <c r="Y14" s="419">
        <f t="shared" si="2"/>
        <v>0</v>
      </c>
      <c r="Z14" s="420">
        <f t="shared" si="3"/>
        <v>0</v>
      </c>
      <c r="AA14" s="415"/>
      <c r="AB14" s="416"/>
      <c r="AC14" s="417"/>
    </row>
    <row r="15" spans="1:30" ht="22.5" thickTop="1" thickBot="1">
      <c r="A15" s="1103">
        <v>2924</v>
      </c>
      <c r="B15" s="1087" t="s">
        <v>230</v>
      </c>
      <c r="C15" s="301">
        <f ca="1">SUMIF('Dane stany'!$J$5:$J$2321,A15,'Dane stany'!$K$5:$K$321)</f>
        <v>809.5</v>
      </c>
      <c r="D15" s="1096">
        <f>SUMIF(Rozbiór!$I$3:$I$300,A15,Rozbiór!$J$3:$J$300)</f>
        <v>800</v>
      </c>
      <c r="E15" s="1105"/>
      <c r="F15" s="1091"/>
      <c r="G15" s="1093">
        <f ca="1">SUM(C15:F16)</f>
        <v>1609.5</v>
      </c>
      <c r="H15" s="170">
        <v>5053</v>
      </c>
      <c r="I15" s="171">
        <v>6236</v>
      </c>
      <c r="J15" s="172" t="s">
        <v>133</v>
      </c>
      <c r="K15" s="429">
        <f ca="1">SUMIF('Dane stany'!$J$5:$J$2321,H15,'Dane stany'!$K$5:$K$321)</f>
        <v>0</v>
      </c>
      <c r="L15" s="217"/>
      <c r="M15" s="145"/>
      <c r="N15" s="145"/>
      <c r="O15" s="122">
        <f>IFERROR(VLOOKUP('Kalkulator Wędzonki '!$I15,PLAN_P!$B:$G,3,0),0)</f>
        <v>0</v>
      </c>
      <c r="P15" s="123">
        <f t="shared" ca="1" si="0"/>
        <v>0</v>
      </c>
      <c r="Q15" s="122">
        <f>IFERROR(VLOOKUP('Kalkulator Wędzonki '!$I15,PLAN_P!$B:$G,4,0),0)</f>
        <v>2600</v>
      </c>
      <c r="R15" s="123">
        <f t="shared" ca="1" si="4"/>
        <v>-2600</v>
      </c>
      <c r="S15" s="122">
        <f>IFERROR(VLOOKUP('Kalkulator Wędzonki '!$I15,PLAN_P!$B:$G,5,0),0)</f>
        <v>0</v>
      </c>
      <c r="T15" s="400">
        <f t="shared" ca="1" si="5"/>
        <v>-2600</v>
      </c>
      <c r="U15" s="597">
        <f t="shared" ca="1" si="6"/>
        <v>-2</v>
      </c>
      <c r="V15" s="589">
        <v>1.6</v>
      </c>
      <c r="W15" s="410">
        <f t="shared" ca="1" si="7"/>
        <v>2575.2000000000003</v>
      </c>
      <c r="X15" s="418">
        <f ca="1">W15-O15</f>
        <v>2575.2000000000003</v>
      </c>
      <c r="Y15" s="419">
        <f ca="1">X15-Q15</f>
        <v>-24.799999999999727</v>
      </c>
      <c r="Z15" s="420">
        <f t="shared" ca="1" si="3"/>
        <v>-24.799999999999727</v>
      </c>
      <c r="AA15" s="415">
        <f ca="1">$X15/$V15</f>
        <v>1609.5</v>
      </c>
      <c r="AB15" s="416">
        <f ca="1">$Y15/$V15</f>
        <v>-15.499999999999829</v>
      </c>
      <c r="AC15" s="417">
        <f ca="1">$Z15/$V15</f>
        <v>-15.499999999999829</v>
      </c>
    </row>
    <row r="16" spans="1:30" ht="21.75" thickBot="1">
      <c r="A16" s="1104"/>
      <c r="B16" s="1095"/>
      <c r="C16" s="300">
        <f ca="1">SUMIF('Dane stany'!$J$5:$J$2321,A16,'Dane stany'!$K$5:$K$321)</f>
        <v>0</v>
      </c>
      <c r="D16" s="1097"/>
      <c r="E16" s="1106"/>
      <c r="F16" s="1098"/>
      <c r="G16" s="1099"/>
      <c r="H16" s="173">
        <v>5392</v>
      </c>
      <c r="I16" s="174">
        <v>6830</v>
      </c>
      <c r="J16" s="175" t="s">
        <v>134</v>
      </c>
      <c r="K16" s="300">
        <f ca="1">SUMIF('Dane stany'!$J$5:$J$2321,H16,'Dane stany'!$K$5:$K$321)</f>
        <v>0</v>
      </c>
      <c r="L16" s="219"/>
      <c r="M16" s="147"/>
      <c r="N16" s="147"/>
      <c r="O16" s="128">
        <f>IFERROR(VLOOKUP('Kalkulator Wędzonki '!$I16,PLAN_P!$B:$G,3,0),0)</f>
        <v>0</v>
      </c>
      <c r="P16" s="129">
        <f t="shared" ca="1" si="0"/>
        <v>0</v>
      </c>
      <c r="Q16" s="128">
        <f>IFERROR(VLOOKUP('Kalkulator Wędzonki '!$I16,PLAN_P!$B:$G,4,0),0)</f>
        <v>0</v>
      </c>
      <c r="R16" s="129">
        <f t="shared" ca="1" si="4"/>
        <v>0</v>
      </c>
      <c r="S16" s="128">
        <f>IFERROR(VLOOKUP('Kalkulator Wędzonki '!$I16,PLAN_P!$B:$G,5,0),0)</f>
        <v>0</v>
      </c>
      <c r="T16" s="402">
        <f t="shared" ca="1" si="5"/>
        <v>0</v>
      </c>
      <c r="U16" s="599">
        <f t="shared" ca="1" si="6"/>
        <v>0</v>
      </c>
      <c r="V16" s="591"/>
      <c r="W16" s="410">
        <f t="shared" ca="1" si="7"/>
        <v>0</v>
      </c>
      <c r="X16" s="418">
        <f t="shared" ca="1" si="1"/>
        <v>0</v>
      </c>
      <c r="Y16" s="419">
        <f t="shared" ca="1" si="2"/>
        <v>0</v>
      </c>
      <c r="Z16" s="420">
        <f t="shared" ca="1" si="3"/>
        <v>0</v>
      </c>
      <c r="AA16" s="415"/>
      <c r="AB16" s="416"/>
      <c r="AC16" s="417"/>
    </row>
    <row r="17" spans="1:35" ht="22.5" thickTop="1" thickBot="1">
      <c r="A17" s="1103">
        <v>1559</v>
      </c>
      <c r="B17" s="1087" t="s">
        <v>229</v>
      </c>
      <c r="C17" s="301">
        <f ca="1">SUMIF('Dane stany'!$J$5:$J$2321,A17,'Dane stany'!$K$5:$K$321)</f>
        <v>1354</v>
      </c>
      <c r="D17" s="1096">
        <f>SUMIF(Rozbiór!$I$3:$I$300,A17,Rozbiór!$J$3:$J$300)</f>
        <v>0</v>
      </c>
      <c r="E17" s="1114"/>
      <c r="F17" s="1091"/>
      <c r="G17" s="1112">
        <f ca="1">SUM(C17:F22)</f>
        <v>1679</v>
      </c>
      <c r="H17" s="176">
        <v>5042</v>
      </c>
      <c r="I17" s="177">
        <v>6237</v>
      </c>
      <c r="J17" s="178" t="s">
        <v>135</v>
      </c>
      <c r="K17" s="429">
        <f ca="1">SUMIF('Dane stany'!$J$5:$J$2321,H17,'Dane stany'!$K$5:$K$321)</f>
        <v>2680.5</v>
      </c>
      <c r="L17" s="217"/>
      <c r="M17" s="145"/>
      <c r="N17" s="145"/>
      <c r="O17" s="122">
        <f>IFERROR(VLOOKUP('Kalkulator Wędzonki '!$I17,PLAN_P!$B:$G,3,0),0)</f>
        <v>1300</v>
      </c>
      <c r="P17" s="123">
        <f t="shared" ca="1" si="0"/>
        <v>1380.5</v>
      </c>
      <c r="Q17" s="122">
        <f>IFERROR(VLOOKUP('Kalkulator Wędzonki '!$I17,PLAN_P!$B:$G,4,0),0)</f>
        <v>1300</v>
      </c>
      <c r="R17" s="123">
        <f t="shared" ca="1" si="4"/>
        <v>80.5</v>
      </c>
      <c r="S17" s="122">
        <f>IFERROR(VLOOKUP('Kalkulator Wędzonki '!$I17,PLAN_P!$B:$G,5,0),0)</f>
        <v>0</v>
      </c>
      <c r="T17" s="400">
        <f t="shared" ca="1" si="5"/>
        <v>80.5</v>
      </c>
      <c r="U17" s="600">
        <f t="shared" ca="1" si="6"/>
        <v>6.1923076923076921E-2</v>
      </c>
      <c r="V17" s="592">
        <v>1.3</v>
      </c>
      <c r="W17" s="427">
        <f t="shared" ca="1" si="7"/>
        <v>4863.2000000000007</v>
      </c>
      <c r="X17" s="418">
        <f ca="1">W18-O17</f>
        <v>-132.5</v>
      </c>
      <c r="Y17" s="419">
        <f t="shared" ca="1" si="2"/>
        <v>-1432.5</v>
      </c>
      <c r="Z17" s="420">
        <f t="shared" ca="1" si="3"/>
        <v>-1432.5</v>
      </c>
      <c r="AA17" s="415">
        <f ca="1">$X17/$V17</f>
        <v>-101.92307692307692</v>
      </c>
      <c r="AB17" s="416">
        <f ca="1">$Y17/$V17</f>
        <v>-1101.9230769230769</v>
      </c>
      <c r="AC17" s="417">
        <f ca="1">$Z17/$V17</f>
        <v>-1101.9230769230769</v>
      </c>
      <c r="AD17">
        <v>-400</v>
      </c>
    </row>
    <row r="18" spans="1:35" ht="21.75" thickBot="1">
      <c r="A18" s="1110"/>
      <c r="B18" s="1088"/>
      <c r="C18" s="299">
        <f ca="1">SUMIF('Dane stany'!$J$5:$J$2321,A18,'Dane stany'!$K$5:$K$321)</f>
        <v>0</v>
      </c>
      <c r="D18" s="1100"/>
      <c r="E18" s="1115"/>
      <c r="F18" s="1092"/>
      <c r="G18" s="1113"/>
      <c r="H18" s="179">
        <v>5362</v>
      </c>
      <c r="I18" s="180">
        <v>6246</v>
      </c>
      <c r="J18" s="181" t="s">
        <v>140</v>
      </c>
      <c r="K18" s="299">
        <f ca="1">SUMIF('Dane stany'!$J$5:$J$2321,H18,'Dane stany'!$K$5:$K$321)</f>
        <v>1167.5</v>
      </c>
      <c r="L18" s="218"/>
      <c r="M18" s="146"/>
      <c r="N18" s="146"/>
      <c r="O18" s="124">
        <f>IFERROR(VLOOKUP('Kalkulator Wędzonki '!$I18,PLAN_P!$B:$G,3,0),0)</f>
        <v>2600</v>
      </c>
      <c r="P18" s="125">
        <f t="shared" ca="1" si="0"/>
        <v>-1432.5</v>
      </c>
      <c r="Q18" s="124">
        <f>IFERROR(VLOOKUP('Kalkulator Wędzonki '!$I18,PLAN_P!$B:$G,4,0),0)</f>
        <v>0</v>
      </c>
      <c r="R18" s="125">
        <f t="shared" ref="R18:R23" ca="1" si="8">P18-Q18</f>
        <v>-1432.5</v>
      </c>
      <c r="S18" s="124">
        <f>IFERROR(VLOOKUP('Kalkulator Wędzonki '!$I18,PLAN_P!$B:$G,5,0),0)</f>
        <v>1300</v>
      </c>
      <c r="T18" s="401">
        <f t="shared" ref="T18:T23" ca="1" si="9">R18-S18</f>
        <v>-2732.5</v>
      </c>
      <c r="U18" s="598">
        <f t="shared" ca="1" si="6"/>
        <v>-2.101923076923077</v>
      </c>
      <c r="V18" s="590">
        <v>1.22</v>
      </c>
      <c r="W18" s="427">
        <f ca="1">K18+M18+N18+(V18*G18)</f>
        <v>1167.5</v>
      </c>
      <c r="X18" s="418">
        <f ca="1">W19-O18</f>
        <v>-2600</v>
      </c>
      <c r="Y18" s="419">
        <f t="shared" ca="1" si="2"/>
        <v>-2600</v>
      </c>
      <c r="Z18" s="420">
        <f t="shared" ca="1" si="3"/>
        <v>-3900</v>
      </c>
      <c r="AA18" s="415">
        <f ca="1">$X18/$V18</f>
        <v>-2131.1475409836066</v>
      </c>
      <c r="AB18" s="416">
        <f ca="1">$Y18/$V18</f>
        <v>-2131.1475409836066</v>
      </c>
      <c r="AC18" s="417">
        <f ca="1">$Z18/$V18</f>
        <v>-3196.7213114754099</v>
      </c>
    </row>
    <row r="19" spans="1:35" ht="21.75" thickBot="1">
      <c r="A19" s="1110"/>
      <c r="B19" s="1088"/>
      <c r="C19" s="299">
        <f ca="1">SUMIF('Dane stany'!$J$5:$J$2321,A19,'Dane stany'!$K$5:$K$321)</f>
        <v>0</v>
      </c>
      <c r="D19" s="1100"/>
      <c r="E19" s="1115"/>
      <c r="F19" s="1092"/>
      <c r="G19" s="1113"/>
      <c r="H19" s="276">
        <v>5352</v>
      </c>
      <c r="I19" s="271">
        <v>6250</v>
      </c>
      <c r="J19" s="181" t="s">
        <v>142</v>
      </c>
      <c r="K19" s="299">
        <f ca="1">SUMIF('Dane stany'!$J$5:$J$2321,H19,'Dane stany'!$K$5:$K$321)</f>
        <v>0</v>
      </c>
      <c r="L19" s="218"/>
      <c r="M19" s="146"/>
      <c r="N19" s="146"/>
      <c r="O19" s="124">
        <f>IFERROR(VLOOKUP('Kalkulator Wędzonki '!$I19,PLAN_P!$B:$G,3,0),0)</f>
        <v>0</v>
      </c>
      <c r="P19" s="125">
        <f t="shared" ca="1" si="0"/>
        <v>0</v>
      </c>
      <c r="Q19" s="124">
        <f>IFERROR(VLOOKUP('Kalkulator Wędzonki '!$I19,PLAN_P!$B:$G,4,0),0)</f>
        <v>0</v>
      </c>
      <c r="R19" s="125">
        <f t="shared" ca="1" si="8"/>
        <v>0</v>
      </c>
      <c r="S19" s="124">
        <f>IFERROR(VLOOKUP('Kalkulator Wędzonki '!$I19,PLAN_P!$B:$G,5,0),0)</f>
        <v>0</v>
      </c>
      <c r="T19" s="401">
        <f t="shared" ca="1" si="9"/>
        <v>0</v>
      </c>
      <c r="U19" s="598">
        <f t="shared" ca="1" si="6"/>
        <v>0</v>
      </c>
      <c r="V19" s="590"/>
      <c r="W19" s="410">
        <f t="shared" ca="1" si="7"/>
        <v>0</v>
      </c>
      <c r="X19" s="418">
        <f t="shared" ca="1" si="1"/>
        <v>0</v>
      </c>
      <c r="Y19" s="419">
        <f t="shared" ca="1" si="2"/>
        <v>0</v>
      </c>
      <c r="Z19" s="420">
        <f t="shared" ca="1" si="3"/>
        <v>0</v>
      </c>
      <c r="AA19" s="415"/>
      <c r="AB19" s="416"/>
      <c r="AC19" s="417"/>
    </row>
    <row r="20" spans="1:35" ht="21.75" thickBot="1">
      <c r="A20" s="364">
        <v>1533</v>
      </c>
      <c r="B20" s="150" t="s">
        <v>388</v>
      </c>
      <c r="C20" s="299">
        <f ca="1">SUMIF('Dane stany'!$J$5:$J$2321,A20,'Dane stany'!$K$5:$K$321)</f>
        <v>0</v>
      </c>
      <c r="D20" s="299">
        <f>SUMIF(Rozbiór!$I$3:$I$300,A20,Rozbiór!$J$3:$J$300)</f>
        <v>0</v>
      </c>
      <c r="E20" s="307"/>
      <c r="F20" s="146"/>
      <c r="G20" s="1113"/>
      <c r="H20" s="308"/>
      <c r="I20" s="309"/>
      <c r="J20" s="310"/>
      <c r="K20" s="299">
        <f ca="1">SUMIF('Dane stany'!$J$5:$J$2321,H20,'Dane stany'!$K$5:$K$321)</f>
        <v>0</v>
      </c>
      <c r="L20" s="275"/>
      <c r="M20" s="127"/>
      <c r="N20" s="127"/>
      <c r="O20" s="124">
        <f>IFERROR(VLOOKUP('Kalkulator Wędzonki '!$I20,PLAN_P!$B:$G,3,0),0)</f>
        <v>0</v>
      </c>
      <c r="P20" s="125">
        <f ca="1">SUM(K20,M20,N20)-O20</f>
        <v>0</v>
      </c>
      <c r="Q20" s="124">
        <f>IFERROR(VLOOKUP('Kalkulator Wędzonki '!$I20,PLAN_P!$B:$G,4,0),0)</f>
        <v>0</v>
      </c>
      <c r="R20" s="125">
        <f t="shared" ca="1" si="8"/>
        <v>0</v>
      </c>
      <c r="S20" s="124">
        <f>IFERROR(VLOOKUP('Kalkulator Wędzonki '!$I20,PLAN_P!$B:$G,5,0),0)</f>
        <v>0</v>
      </c>
      <c r="T20" s="401">
        <f t="shared" ca="1" si="9"/>
        <v>0</v>
      </c>
      <c r="U20" s="598">
        <f t="shared" ca="1" si="6"/>
        <v>0</v>
      </c>
      <c r="V20" s="590"/>
      <c r="W20" s="410"/>
      <c r="X20" s="418">
        <f>W20-O20</f>
        <v>0</v>
      </c>
      <c r="Y20" s="419">
        <f>X20-Q20</f>
        <v>0</v>
      </c>
      <c r="Z20" s="420">
        <f t="shared" si="3"/>
        <v>0</v>
      </c>
      <c r="AA20" s="415"/>
      <c r="AB20" s="416"/>
      <c r="AC20" s="417"/>
    </row>
    <row r="21" spans="1:35" ht="21.75" thickBot="1">
      <c r="A21" s="364">
        <v>1518</v>
      </c>
      <c r="B21" s="365" t="s">
        <v>8516</v>
      </c>
      <c r="C21" s="299">
        <f ca="1">SUMIF('Dane stany'!$J$5:$J$2321,A21,'Dane stany'!$K$5:$K$321)</f>
        <v>0</v>
      </c>
      <c r="D21" s="299">
        <f>SUMIF(Rozbiór!$I$3:$I$300,A21,Rozbiór!$J$3:$J$300)</f>
        <v>0</v>
      </c>
      <c r="E21" s="307"/>
      <c r="F21" s="146"/>
      <c r="G21" s="1113"/>
      <c r="H21" s="308"/>
      <c r="I21" s="309"/>
      <c r="J21" s="310"/>
      <c r="K21" s="299">
        <f ca="1">SUMIF('Dane stany'!$J$5:$J$2321,H21,'Dane stany'!$K$5:$K$321)</f>
        <v>0</v>
      </c>
      <c r="L21" s="275"/>
      <c r="M21" s="127"/>
      <c r="N21" s="127"/>
      <c r="O21" s="124">
        <f>IFERROR(VLOOKUP('Kalkulator Wędzonki '!$I21,PLAN_P!$B:$G,3,0),0)</f>
        <v>0</v>
      </c>
      <c r="P21" s="125">
        <f ca="1">SUM(K21,M21,N21)-O21</f>
        <v>0</v>
      </c>
      <c r="Q21" s="124">
        <f>IFERROR(VLOOKUP('Kalkulator Wędzonki '!$I21,PLAN_P!$B:$G,4,0),0)</f>
        <v>0</v>
      </c>
      <c r="R21" s="125">
        <f t="shared" ca="1" si="8"/>
        <v>0</v>
      </c>
      <c r="S21" s="124">
        <f>IFERROR(VLOOKUP('Kalkulator Wędzonki '!$I21,PLAN_P!$B:$G,5,0),0)</f>
        <v>0</v>
      </c>
      <c r="T21" s="401">
        <f t="shared" ca="1" si="9"/>
        <v>0</v>
      </c>
      <c r="U21" s="598">
        <f t="shared" ca="1" si="6"/>
        <v>0</v>
      </c>
      <c r="V21" s="590"/>
      <c r="W21" s="410"/>
      <c r="X21" s="418">
        <f t="shared" si="1"/>
        <v>0</v>
      </c>
      <c r="Y21" s="419">
        <f t="shared" si="2"/>
        <v>0</v>
      </c>
      <c r="Z21" s="420">
        <f t="shared" si="3"/>
        <v>0</v>
      </c>
      <c r="AA21" s="415"/>
      <c r="AB21" s="416"/>
      <c r="AC21" s="417"/>
    </row>
    <row r="22" spans="1:35" ht="21.75" thickBot="1">
      <c r="A22" s="126">
        <v>2915</v>
      </c>
      <c r="B22" s="138" t="s">
        <v>336</v>
      </c>
      <c r="C22" s="732">
        <f ca="1">SUMIF('Dane stany'!$J$5:$J$2321,A22,'Dane stany'!$K$5:$K$321)</f>
        <v>325</v>
      </c>
      <c r="D22" s="732">
        <f>SUMIF(Rozbiór!$I$3:$I$300,A22,Rozbiór!$J$3:$J$300)</f>
        <v>0</v>
      </c>
      <c r="E22" s="741"/>
      <c r="F22" s="480"/>
      <c r="G22" s="1113"/>
      <c r="H22" s="308"/>
      <c r="I22" s="309"/>
      <c r="J22" s="310"/>
      <c r="K22" s="435">
        <f ca="1">SUMIF('Dane stany'!$J$5:$J$2321,H22,'Dane stany'!$K$5:$K$321)</f>
        <v>0</v>
      </c>
      <c r="L22" s="275"/>
      <c r="M22" s="127"/>
      <c r="N22" s="127"/>
      <c r="O22" s="436"/>
      <c r="P22" s="437">
        <f ca="1">SUM(K22,M22,N22)-O22</f>
        <v>0</v>
      </c>
      <c r="Q22" s="436">
        <f>IFERROR(VLOOKUP('Kalkulator Wędzonki '!$I22,PLAN_P!$B:$G,4,0),0)</f>
        <v>0</v>
      </c>
      <c r="R22" s="437">
        <f t="shared" ca="1" si="8"/>
        <v>0</v>
      </c>
      <c r="S22" s="436">
        <f>IFERROR(VLOOKUP('Kalkulator Wędzonki '!$I22,PLAN_P!$B:$G,5,0),0)</f>
        <v>0</v>
      </c>
      <c r="T22" s="587">
        <f t="shared" ca="1" si="9"/>
        <v>0</v>
      </c>
      <c r="U22" s="601">
        <f t="shared" ca="1" si="6"/>
        <v>0</v>
      </c>
      <c r="V22" s="593"/>
      <c r="W22" s="410"/>
      <c r="X22" s="418">
        <f t="shared" si="1"/>
        <v>0</v>
      </c>
      <c r="Y22" s="419">
        <f t="shared" si="2"/>
        <v>0</v>
      </c>
      <c r="Z22" s="420">
        <f t="shared" si="3"/>
        <v>0</v>
      </c>
      <c r="AA22" s="415"/>
      <c r="AB22" s="416"/>
      <c r="AC22" s="417"/>
      <c r="AI22" t="s">
        <v>17320</v>
      </c>
    </row>
    <row r="23" spans="1:35" ht="22.5" thickTop="1" thickBot="1">
      <c r="A23" s="720">
        <v>2813</v>
      </c>
      <c r="B23" s="721" t="s">
        <v>16322</v>
      </c>
      <c r="C23" s="301">
        <f ca="1">SUMIF('Dane stany'!$J$5:$J$2321,A23,'Dane stany'!$K$5:$K$321)</f>
        <v>0</v>
      </c>
      <c r="D23" s="301">
        <f>SUMIF(Rozbiór!$I$3:$I$300,A23,Rozbiór!$J$3:$J$300)</f>
        <v>0</v>
      </c>
      <c r="E23" s="132"/>
      <c r="F23" s="717"/>
      <c r="G23" s="719">
        <f ca="1">SUM(C23:F24)</f>
        <v>3599</v>
      </c>
      <c r="H23" s="722">
        <v>5152</v>
      </c>
      <c r="I23" s="723">
        <v>7089</v>
      </c>
      <c r="J23" s="724" t="s">
        <v>15960</v>
      </c>
      <c r="K23" s="718">
        <f ca="1">SUMIF('Dane stany'!$J$5:$J$2321,H23,'Dane stany'!$K$5:$K$321)</f>
        <v>0</v>
      </c>
      <c r="L23" s="725"/>
      <c r="M23" s="717"/>
      <c r="N23" s="717"/>
      <c r="O23" s="726">
        <f>IFERROR(VLOOKUP('Kalkulator Wędzonki '!$I23,PLAN_P!$B:$G,3,0),0)</f>
        <v>0</v>
      </c>
      <c r="P23" s="727">
        <f ca="1">SUM(K23,M23,N23)-O23</f>
        <v>0</v>
      </c>
      <c r="Q23" s="726">
        <f>IFERROR(VLOOKUP('Kalkulator Wędzonki '!$I23,PLAN_P!$B:$G,4,0),0)</f>
        <v>2600</v>
      </c>
      <c r="R23" s="727">
        <f t="shared" ca="1" si="8"/>
        <v>-2600</v>
      </c>
      <c r="S23" s="726">
        <f>IFERROR(VLOOKUP('Kalkulator Wędzonki '!$I23,PLAN_P!$B:$G,5,0),0)</f>
        <v>0</v>
      </c>
      <c r="T23" s="728">
        <f t="shared" ca="1" si="9"/>
        <v>-2600</v>
      </c>
      <c r="U23" s="729">
        <f t="shared" ca="1" si="6"/>
        <v>-2</v>
      </c>
      <c r="V23" s="586"/>
      <c r="W23" s="410"/>
      <c r="X23" s="418"/>
      <c r="Y23" s="419"/>
      <c r="Z23" s="420"/>
      <c r="AA23" s="415"/>
      <c r="AB23" s="416"/>
      <c r="AC23" s="417"/>
    </row>
    <row r="24" spans="1:35" ht="21.75" thickBot="1">
      <c r="A24" s="730">
        <v>2941</v>
      </c>
      <c r="B24" s="731"/>
      <c r="C24" s="732">
        <f ca="1">SUMIF('Dane stany'!$J$5:$J$2321,A24,'Dane stany'!$K$5:$K$321)</f>
        <v>1599</v>
      </c>
      <c r="D24" s="732">
        <f>SUMIF(Rozbiór!$I$3:$I$300,A24,Rozbiór!$J$3:$J$300)</f>
        <v>2000</v>
      </c>
      <c r="E24" s="733"/>
      <c r="F24" s="733"/>
      <c r="G24" s="730"/>
      <c r="H24" s="734"/>
      <c r="I24" s="735"/>
      <c r="J24" s="736"/>
      <c r="K24" s="732"/>
      <c r="L24" s="737"/>
      <c r="M24" s="733"/>
      <c r="N24" s="733"/>
      <c r="O24" s="738"/>
      <c r="P24" s="739"/>
      <c r="Q24" s="738"/>
      <c r="R24" s="739"/>
      <c r="S24" s="738"/>
      <c r="T24" s="739"/>
      <c r="U24" s="740"/>
      <c r="V24" s="586"/>
      <c r="W24" s="410"/>
      <c r="X24" s="418"/>
      <c r="Y24" s="419"/>
      <c r="Z24" s="420"/>
      <c r="AA24" s="415"/>
      <c r="AB24" s="416"/>
      <c r="AC24" s="417"/>
    </row>
    <row r="25" spans="1:35" ht="21.75" thickBot="1">
      <c r="A25" s="1111">
        <v>2910</v>
      </c>
      <c r="B25" s="131" t="s">
        <v>227</v>
      </c>
      <c r="C25" s="301">
        <f ca="1">SUMIF('Dane stany'!$J$5:$J$2321,A25,'Dane stany'!$K$5:$K$321)</f>
        <v>21326</v>
      </c>
      <c r="D25" s="301">
        <f>SUMIF(Rozbiór!$I$3:$I$300,A25,Rozbiór!$J$3:$J$300)</f>
        <v>12000</v>
      </c>
      <c r="E25" s="132"/>
      <c r="F25" s="132"/>
      <c r="G25" s="1101">
        <f ca="1">SUM(C25:F30)</f>
        <v>33972</v>
      </c>
      <c r="H25" s="303">
        <v>5363</v>
      </c>
      <c r="I25" s="304">
        <v>6241</v>
      </c>
      <c r="J25" s="305" t="s">
        <v>138</v>
      </c>
      <c r="K25" s="301">
        <f ca="1">SUMIF('Dane stany'!$J$5:$J$2321,H25,'Dane stany'!$K$5:$K$321)</f>
        <v>0</v>
      </c>
      <c r="L25" s="306"/>
      <c r="M25" s="132"/>
      <c r="N25" s="132"/>
      <c r="O25" s="481">
        <f>IFERROR(VLOOKUP('Kalkulator Wędzonki '!$I25,PLAN_P!$B:$G,3,0),0)</f>
        <v>0</v>
      </c>
      <c r="P25" s="482">
        <f t="shared" ca="1" si="0"/>
        <v>0</v>
      </c>
      <c r="Q25" s="481">
        <f>IFERROR(VLOOKUP('Kalkulator Wędzonki '!$I25,PLAN_P!$B:$G,4,0),0)</f>
        <v>0</v>
      </c>
      <c r="R25" s="482">
        <f t="shared" ca="1" si="4"/>
        <v>0</v>
      </c>
      <c r="S25" s="481">
        <f>IFERROR(VLOOKUP('Kalkulator Wędzonki '!$I25,PLAN_P!$B:$G,5,0),0)</f>
        <v>0</v>
      </c>
      <c r="T25" s="483">
        <f t="shared" ca="1" si="5"/>
        <v>0</v>
      </c>
      <c r="U25" s="600">
        <f t="shared" ca="1" si="6"/>
        <v>0</v>
      </c>
      <c r="V25" s="589">
        <v>1.22</v>
      </c>
      <c r="W25" s="410"/>
      <c r="X25" s="418">
        <f t="shared" si="1"/>
        <v>0</v>
      </c>
      <c r="Y25" s="419">
        <f t="shared" si="2"/>
        <v>0</v>
      </c>
      <c r="Z25" s="420">
        <f t="shared" si="3"/>
        <v>0</v>
      </c>
      <c r="AA25" s="415">
        <f>$X25/$V25</f>
        <v>0</v>
      </c>
      <c r="AB25" s="416">
        <f>$Y25/$V25</f>
        <v>0</v>
      </c>
      <c r="AC25" s="417">
        <f>$Z25/$V25</f>
        <v>0</v>
      </c>
    </row>
    <row r="26" spans="1:35" ht="21.75" thickBot="1">
      <c r="A26" s="1111"/>
      <c r="B26" s="131" t="s">
        <v>385</v>
      </c>
      <c r="C26" s="299">
        <f ca="1">SUMIF('Dane stany'!$J$5:$J$2321,A26,'Dane stany'!$K$5:$K$321)</f>
        <v>0</v>
      </c>
      <c r="D26" s="299">
        <f>SUMIF(Rozbiór!$I$3:$I$300,A26,Rozbiór!$J$3:$J$300)</f>
        <v>0</v>
      </c>
      <c r="E26" s="132"/>
      <c r="F26" s="132"/>
      <c r="G26" s="1101"/>
      <c r="H26" s="303"/>
      <c r="I26" s="304"/>
      <c r="J26" s="305"/>
      <c r="K26" s="299">
        <f ca="1">SUMIF('Dane stany'!$J$5:$J$2321,H26,'Dane stany'!$K$5:$K$321)</f>
        <v>0</v>
      </c>
      <c r="L26" s="306"/>
      <c r="M26" s="132"/>
      <c r="N26" s="132"/>
      <c r="O26" s="124">
        <f>IFERROR(VLOOKUP('Kalkulator Wędzonki '!$I26,PLAN_P!$B:$G,3,0),0)</f>
        <v>0</v>
      </c>
      <c r="P26" s="125">
        <f ca="1">SUM(K26,M26,N26)-O26</f>
        <v>0</v>
      </c>
      <c r="Q26" s="124">
        <f>IFERROR(VLOOKUP('Kalkulator Wędzonki '!$I26,PLAN_P!$B:$G,4,0),0)</f>
        <v>0</v>
      </c>
      <c r="R26" s="125">
        <f ca="1">P26-Q26</f>
        <v>0</v>
      </c>
      <c r="S26" s="124">
        <f>IFERROR(VLOOKUP('Kalkulator Wędzonki '!$I26,PLAN_P!$B:$G,5,0),0)</f>
        <v>0</v>
      </c>
      <c r="T26" s="401">
        <f ca="1">R26-S26</f>
        <v>0</v>
      </c>
      <c r="U26" s="598">
        <f t="shared" ca="1" si="6"/>
        <v>0</v>
      </c>
      <c r="V26" s="590"/>
      <c r="W26" s="410"/>
      <c r="X26" s="418">
        <f>W26-O26</f>
        <v>0</v>
      </c>
      <c r="Y26" s="419">
        <f>X26-Q26</f>
        <v>0</v>
      </c>
      <c r="Z26" s="420">
        <f t="shared" si="3"/>
        <v>0</v>
      </c>
      <c r="AA26" s="415"/>
      <c r="AB26" s="416"/>
      <c r="AC26" s="417"/>
    </row>
    <row r="27" spans="1:35" ht="21.75" thickBot="1">
      <c r="A27" s="1110"/>
      <c r="B27" s="150" t="s">
        <v>228</v>
      </c>
      <c r="C27" s="299">
        <f ca="1">SUMIF('Dane stany'!$J$5:$J$2321,A27,'Dane stany'!$K$5:$K$321)</f>
        <v>0</v>
      </c>
      <c r="D27" s="299">
        <f>SUMIF(Rozbiór!$I$3:$I$300,A27,Rozbiór!$J$3:$J$300)</f>
        <v>0</v>
      </c>
      <c r="E27" s="146"/>
      <c r="F27" s="146"/>
      <c r="G27" s="1094"/>
      <c r="H27" s="182">
        <v>5365</v>
      </c>
      <c r="I27" s="183">
        <v>6247</v>
      </c>
      <c r="J27" s="184" t="s">
        <v>141</v>
      </c>
      <c r="K27" s="299">
        <f ca="1">SUMIF('Dane stany'!$J$5:$J$2321,H27,'Dane stany'!$K$5:$K$321)</f>
        <v>0</v>
      </c>
      <c r="L27" s="218"/>
      <c r="M27" s="146"/>
      <c r="N27" s="146"/>
      <c r="O27" s="124">
        <f>IFERROR(VLOOKUP('Kalkulator Wędzonki '!$I27,PLAN_P!$B:$G,3,0),0)</f>
        <v>0</v>
      </c>
      <c r="P27" s="125">
        <f t="shared" ca="1" si="0"/>
        <v>0</v>
      </c>
      <c r="Q27" s="124">
        <f>IFERROR(VLOOKUP('Kalkulator Wędzonki '!$I27,PLAN_P!$B:$G,4,0),0)</f>
        <v>1300</v>
      </c>
      <c r="R27" s="125">
        <f t="shared" ca="1" si="4"/>
        <v>-1300</v>
      </c>
      <c r="S27" s="124">
        <f>IFERROR(VLOOKUP('Kalkulator Wędzonki '!$I27,PLAN_P!$B:$G,5,0),0)</f>
        <v>0</v>
      </c>
      <c r="T27" s="401">
        <f t="shared" ca="1" si="5"/>
        <v>-1300</v>
      </c>
      <c r="U27" s="598">
        <f t="shared" ca="1" si="6"/>
        <v>-1</v>
      </c>
      <c r="V27" s="590">
        <v>1.22</v>
      </c>
      <c r="W27" s="427">
        <f ca="1">V27*G25+K27+M27+N27+K30+M30+N30</f>
        <v>47375.34</v>
      </c>
      <c r="X27" s="418">
        <f t="shared" ca="1" si="1"/>
        <v>47375.34</v>
      </c>
      <c r="Y27" s="419">
        <f t="shared" ca="1" si="2"/>
        <v>46075.34</v>
      </c>
      <c r="Z27" s="420">
        <f t="shared" ca="1" si="3"/>
        <v>46075.34</v>
      </c>
      <c r="AA27" s="415">
        <f ca="1">$X27/$V27</f>
        <v>38832.24590163934</v>
      </c>
      <c r="AB27" s="416">
        <f ca="1">$Y27/$V27</f>
        <v>37766.672131147541</v>
      </c>
      <c r="AC27" s="417">
        <f ca="1">$Z27/$V27</f>
        <v>37766.672131147541</v>
      </c>
      <c r="AD27" s="438" t="s">
        <v>14225</v>
      </c>
    </row>
    <row r="28" spans="1:35" ht="21.75" thickBot="1">
      <c r="A28" s="126">
        <v>2934</v>
      </c>
      <c r="B28" s="138" t="s">
        <v>385</v>
      </c>
      <c r="C28" s="299">
        <f ca="1">SUMIF('Dane stany'!$J$5:$J$2321,A28,'Dane stany'!$K$5:$K$321)</f>
        <v>0</v>
      </c>
      <c r="D28" s="299">
        <f>SUMIF(Rozbiór!$I$3:$I$300,A28,Rozbiór!$J$3:$J$300)</f>
        <v>0</v>
      </c>
      <c r="E28" s="127"/>
      <c r="F28" s="127"/>
      <c r="G28" s="1102"/>
      <c r="H28" s="272"/>
      <c r="I28" s="273"/>
      <c r="J28" s="274"/>
      <c r="K28" s="299">
        <f ca="1">SUMIF('Dane stany'!$J$5:$J$2321,H28,'Dane stany'!$K$5:$K$321)</f>
        <v>0</v>
      </c>
      <c r="L28" s="275"/>
      <c r="M28" s="127"/>
      <c r="N28" s="127"/>
      <c r="O28" s="124"/>
      <c r="P28" s="125"/>
      <c r="Q28" s="124"/>
      <c r="R28" s="125"/>
      <c r="S28" s="124"/>
      <c r="T28" s="401"/>
      <c r="U28" s="598"/>
      <c r="V28" s="590"/>
      <c r="W28" s="410"/>
      <c r="X28" s="418">
        <f t="shared" si="1"/>
        <v>0</v>
      </c>
      <c r="Y28" s="419">
        <f t="shared" si="2"/>
        <v>0</v>
      </c>
      <c r="Z28" s="420">
        <f t="shared" si="3"/>
        <v>0</v>
      </c>
      <c r="AA28" s="415"/>
      <c r="AB28" s="416"/>
      <c r="AC28" s="417"/>
    </row>
    <row r="29" spans="1:35" ht="21.75" thickBot="1">
      <c r="A29" s="126">
        <v>2919</v>
      </c>
      <c r="B29" s="138" t="s">
        <v>340</v>
      </c>
      <c r="C29" s="299">
        <f ca="1">SUMIF('Dane stany'!$J$5:$J$2321,A29,'Dane stany'!$K$5:$K$321)</f>
        <v>646</v>
      </c>
      <c r="D29" s="299">
        <f>SUMIF(Rozbiór!$I$3:$I$300,A29,Rozbiór!$J$3:$J$300)</f>
        <v>0</v>
      </c>
      <c r="E29" s="127"/>
      <c r="F29" s="127"/>
      <c r="G29" s="1102"/>
      <c r="H29" s="272"/>
      <c r="I29" s="273"/>
      <c r="J29" s="274"/>
      <c r="K29" s="299">
        <f ca="1">SUMIF('Dane stany'!$J$5:$J$2321,H29,'Dane stany'!$K$5:$K$321)</f>
        <v>0</v>
      </c>
      <c r="L29" s="275"/>
      <c r="M29" s="127"/>
      <c r="N29" s="127"/>
      <c r="O29" s="124">
        <f>IFERROR(VLOOKUP('Kalkulator Wędzonki '!$I29,PLAN_P!$B:$G,3,0),0)</f>
        <v>0</v>
      </c>
      <c r="P29" s="125">
        <f ca="1">SUM(K29,M29,N29)-O29</f>
        <v>0</v>
      </c>
      <c r="Q29" s="124">
        <f>IFERROR(VLOOKUP('Kalkulator Wędzonki '!$I29,PLAN_P!$B:$G,4,0),0)</f>
        <v>0</v>
      </c>
      <c r="R29" s="125">
        <f ca="1">P29-Q29</f>
        <v>0</v>
      </c>
      <c r="S29" s="124">
        <f>IFERROR(VLOOKUP('Kalkulator Wędzonki '!$I29,PLAN_P!$B:$G,5,0),0)</f>
        <v>0</v>
      </c>
      <c r="T29" s="401">
        <f ca="1">R29-S29</f>
        <v>0</v>
      </c>
      <c r="U29" s="598">
        <f t="shared" ca="1" si="6"/>
        <v>0</v>
      </c>
      <c r="V29" s="590"/>
      <c r="W29" s="410"/>
      <c r="X29" s="418">
        <f t="shared" si="1"/>
        <v>0</v>
      </c>
      <c r="Y29" s="419">
        <f t="shared" si="2"/>
        <v>0</v>
      </c>
      <c r="Z29" s="420">
        <f t="shared" si="3"/>
        <v>0</v>
      </c>
      <c r="AA29" s="415"/>
      <c r="AB29" s="416"/>
      <c r="AC29" s="417"/>
    </row>
    <row r="30" spans="1:35" ht="21.75" thickBot="1">
      <c r="A30" s="143">
        <v>2914</v>
      </c>
      <c r="B30" s="149" t="s">
        <v>226</v>
      </c>
      <c r="C30" s="300">
        <f ca="1">SUMIF('Dane stany'!$J$5:$J$2321,A30,'Dane stany'!$K$5:$K$321)</f>
        <v>0</v>
      </c>
      <c r="D30" s="300">
        <f>SUMIF(Rozbiór!$I$3:$I$300,A30,Rozbiór!$J$3:$J$300)</f>
        <v>0</v>
      </c>
      <c r="E30" s="147"/>
      <c r="F30" s="147"/>
      <c r="G30" s="1099"/>
      <c r="H30" s="185">
        <v>5353</v>
      </c>
      <c r="I30" s="186">
        <v>6256</v>
      </c>
      <c r="J30" s="187" t="s">
        <v>144</v>
      </c>
      <c r="K30" s="300">
        <f ca="1">SUMIF('Dane stany'!$J$5:$J$2321,H30,'Dane stany'!$K$5:$K$321)</f>
        <v>5929.5</v>
      </c>
      <c r="L30" s="219"/>
      <c r="M30" s="147"/>
      <c r="N30" s="147"/>
      <c r="O30" s="128">
        <f>IFERROR(VLOOKUP('Kalkulator Wędzonki '!$I30,PLAN_P!$B:$G,3,0),0)</f>
        <v>15600</v>
      </c>
      <c r="P30" s="129">
        <f t="shared" ca="1" si="0"/>
        <v>-9670.5</v>
      </c>
      <c r="Q30" s="128">
        <f>IFERROR(VLOOKUP('Kalkulator Wędzonki '!$I30,PLAN_P!$B:$G,4,0),0)</f>
        <v>13000</v>
      </c>
      <c r="R30" s="129">
        <f ca="1">P30-Q30</f>
        <v>-22670.5</v>
      </c>
      <c r="S30" s="128">
        <f>IFERROR(VLOOKUP('Kalkulator Wędzonki '!$I30,PLAN_P!$B:$G,5,0),0)</f>
        <v>13000</v>
      </c>
      <c r="T30" s="402">
        <f ca="1">R30-S30</f>
        <v>-35670.5</v>
      </c>
      <c r="U30" s="599">
        <f t="shared" ca="1" si="6"/>
        <v>-27.438846153846153</v>
      </c>
      <c r="V30" s="591"/>
      <c r="W30" s="410"/>
      <c r="X30" s="418">
        <f t="shared" si="1"/>
        <v>-15600</v>
      </c>
      <c r="Y30" s="419">
        <f t="shared" si="2"/>
        <v>-28600</v>
      </c>
      <c r="Z30" s="420">
        <f t="shared" si="3"/>
        <v>-41600</v>
      </c>
      <c r="AA30" s="415"/>
      <c r="AB30" s="416"/>
      <c r="AC30" s="417"/>
    </row>
    <row r="31" spans="1:35" ht="22.5" thickTop="1" thickBot="1">
      <c r="A31" s="130"/>
      <c r="B31" s="131"/>
      <c r="C31" s="301">
        <f ca="1">SUMIF('Dane stany'!$J$5:$J$2321,A31,'Dane stany'!$K$5:$K$321)</f>
        <v>0</v>
      </c>
      <c r="D31" s="301">
        <f>SUMIF(Rozbiór!$I$3:$I$300,A31,Rozbiór!$J$3:$J$300)</f>
        <v>0</v>
      </c>
      <c r="E31" s="132"/>
      <c r="F31" s="146"/>
      <c r="G31" s="133">
        <f ca="1">SUM(C31:F31)</f>
        <v>0</v>
      </c>
      <c r="H31" s="188">
        <v>5360</v>
      </c>
      <c r="I31" s="189">
        <v>6827</v>
      </c>
      <c r="J31" s="153" t="s">
        <v>156</v>
      </c>
      <c r="K31" s="429">
        <f ca="1">SUMIF('Dane stany'!$J$5:$J$2321,H31,'Dane stany'!$K$5:$K$321)</f>
        <v>0</v>
      </c>
      <c r="L31" s="217"/>
      <c r="M31" s="145"/>
      <c r="N31" s="145"/>
      <c r="O31" s="122">
        <f>IFERROR(VLOOKUP('Kalkulator Wędzonki '!$I31,PLAN_P!$B:$G,3,0),0)</f>
        <v>0</v>
      </c>
      <c r="P31" s="123">
        <f t="shared" ca="1" si="0"/>
        <v>0</v>
      </c>
      <c r="Q31" s="122">
        <f>IFERROR(VLOOKUP('Kalkulator Wędzonki '!$I31,PLAN_P!$B:$G,4,0),0)</f>
        <v>0</v>
      </c>
      <c r="R31" s="123">
        <f t="shared" ca="1" si="4"/>
        <v>0</v>
      </c>
      <c r="S31" s="122">
        <f>IFERROR(VLOOKUP('Kalkulator Wędzonki '!$I31,PLAN_P!$B:$G,5,0),0)</f>
        <v>0</v>
      </c>
      <c r="T31" s="400">
        <f t="shared" ca="1" si="5"/>
        <v>0</v>
      </c>
      <c r="U31" s="600">
        <f t="shared" ca="1" si="6"/>
        <v>0</v>
      </c>
      <c r="V31" s="592"/>
      <c r="W31" s="410">
        <f t="shared" ca="1" si="7"/>
        <v>0</v>
      </c>
      <c r="X31" s="418">
        <f ca="1">W31-O31</f>
        <v>0</v>
      </c>
      <c r="Y31" s="419">
        <f ca="1">X31-Q31</f>
        <v>0</v>
      </c>
      <c r="Z31" s="420">
        <f t="shared" ca="1" si="3"/>
        <v>0</v>
      </c>
      <c r="AA31" s="415"/>
      <c r="AB31" s="416"/>
      <c r="AC31" s="417"/>
    </row>
    <row r="32" spans="1:35" ht="21.75" thickBot="1">
      <c r="A32" s="144"/>
      <c r="B32" s="150"/>
      <c r="C32" s="299">
        <f ca="1">SUMIF('Dane stany'!$J$5:$J$2321,A32,'Dane stany'!$K$5:$K$321)</f>
        <v>0</v>
      </c>
      <c r="D32" s="299">
        <f>SUMIF(Rozbiór!$I$3:$I$300,A32,Rozbiór!$J$3:$J$300)</f>
        <v>0</v>
      </c>
      <c r="E32" s="132"/>
      <c r="F32" s="146"/>
      <c r="G32" s="252">
        <f ca="1">SUM(C32:F32)</f>
        <v>0</v>
      </c>
      <c r="H32" s="154"/>
      <c r="I32" s="190">
        <v>6831</v>
      </c>
      <c r="J32" s="156" t="s">
        <v>157</v>
      </c>
      <c r="K32" s="299">
        <f ca="1">SUMIF('Dane stany'!$J$5:$J$2321,H32,'Dane stany'!$K$5:$K$321)</f>
        <v>0</v>
      </c>
      <c r="L32" s="218"/>
      <c r="M32" s="146"/>
      <c r="N32" s="146"/>
      <c r="O32" s="124">
        <f>IFERROR(VLOOKUP('Kalkulator Wędzonki '!$I32,PLAN_P!$B:$G,3,0),0)</f>
        <v>0</v>
      </c>
      <c r="P32" s="125">
        <f t="shared" ca="1" si="0"/>
        <v>0</v>
      </c>
      <c r="Q32" s="124">
        <f>IFERROR(VLOOKUP('Kalkulator Wędzonki '!$I32,PLAN_P!$B:$G,4,0),0)</f>
        <v>0</v>
      </c>
      <c r="R32" s="125">
        <f t="shared" ca="1" si="4"/>
        <v>0</v>
      </c>
      <c r="S32" s="124">
        <f>IFERROR(VLOOKUP('Kalkulator Wędzonki '!$I32,PLAN_P!$B:$G,5,0),0)</f>
        <v>0</v>
      </c>
      <c r="T32" s="401">
        <f t="shared" ca="1" si="5"/>
        <v>0</v>
      </c>
      <c r="U32" s="598">
        <f t="shared" ca="1" si="6"/>
        <v>0</v>
      </c>
      <c r="V32" s="590"/>
      <c r="W32" s="410">
        <f t="shared" ca="1" si="7"/>
        <v>0</v>
      </c>
      <c r="X32" s="418">
        <f t="shared" ca="1" si="1"/>
        <v>0</v>
      </c>
      <c r="Y32" s="419">
        <f t="shared" ca="1" si="2"/>
        <v>0</v>
      </c>
      <c r="Z32" s="420">
        <f t="shared" ca="1" si="3"/>
        <v>0</v>
      </c>
      <c r="AA32" s="415"/>
      <c r="AB32" s="416"/>
      <c r="AC32" s="417"/>
    </row>
    <row r="33" spans="1:30" ht="21.75" thickBot="1">
      <c r="A33" s="144">
        <v>2061</v>
      </c>
      <c r="B33" s="150" t="s">
        <v>2718</v>
      </c>
      <c r="C33" s="299">
        <f ca="1">SUMIF('Dane stany'!$J$5:$J$2321,A33,'Dane stany'!$K$5:$K$321)</f>
        <v>1234.5</v>
      </c>
      <c r="D33" s="299">
        <f>SUMIF(Rozbiór!$I$3:$I$300,A33,Rozbiór!$J$3:$J$300)</f>
        <v>0</v>
      </c>
      <c r="E33" s="146"/>
      <c r="F33" s="146"/>
      <c r="G33" s="252">
        <f t="shared" ref="G33:G45" ca="1" si="10">SUM(C33:F33)</f>
        <v>1234.5</v>
      </c>
      <c r="H33" s="154">
        <v>5351</v>
      </c>
      <c r="I33" s="155">
        <v>6834</v>
      </c>
      <c r="J33" s="156" t="s">
        <v>160</v>
      </c>
      <c r="K33" s="299">
        <f ca="1">SUMIF('Dane stany'!$J$5:$J$2321,H33,'Dane stany'!$K$5:$K$321)</f>
        <v>1401</v>
      </c>
      <c r="L33" s="218"/>
      <c r="M33" s="146"/>
      <c r="N33" s="146"/>
      <c r="O33" s="124">
        <f>IFERROR(VLOOKUP('Kalkulator Wędzonki '!$I33,PLAN_P!$B:$G,3,0),0)</f>
        <v>0</v>
      </c>
      <c r="P33" s="125">
        <f t="shared" ca="1" si="0"/>
        <v>1401</v>
      </c>
      <c r="Q33" s="124">
        <f>IFERROR(VLOOKUP('Kalkulator Wędzonki '!$I33,PLAN_P!$B:$G,4,0),0)</f>
        <v>0</v>
      </c>
      <c r="R33" s="125">
        <f ca="1">P33-Q33</f>
        <v>1401</v>
      </c>
      <c r="S33" s="124">
        <f>IFERROR(VLOOKUP('Kalkulator Wędzonki '!$I33,PLAN_P!$B:$G,5,0),0)</f>
        <v>0</v>
      </c>
      <c r="T33" s="401">
        <f ca="1">R33-S33</f>
        <v>1401</v>
      </c>
      <c r="U33" s="598">
        <f t="shared" ca="1" si="6"/>
        <v>1.0776923076923077</v>
      </c>
      <c r="V33" s="590"/>
      <c r="W33" s="410">
        <f t="shared" ca="1" si="7"/>
        <v>1401</v>
      </c>
      <c r="X33" s="418">
        <f t="shared" ca="1" si="1"/>
        <v>1401</v>
      </c>
      <c r="Y33" s="419">
        <f t="shared" ca="1" si="2"/>
        <v>1401</v>
      </c>
      <c r="Z33" s="420">
        <f t="shared" ca="1" si="3"/>
        <v>1401</v>
      </c>
      <c r="AA33" s="415"/>
      <c r="AB33" s="416"/>
      <c r="AC33" s="417"/>
    </row>
    <row r="34" spans="1:30" ht="21.75" thickBot="1">
      <c r="A34" s="144">
        <v>2818</v>
      </c>
      <c r="B34" s="150" t="s">
        <v>232</v>
      </c>
      <c r="C34" s="299">
        <f ca="1">SUMIF('Dane stany'!$J$5:$J$2321,A34,'Dane stany'!$K$5:$K$321)</f>
        <v>3185</v>
      </c>
      <c r="D34" s="299">
        <f>SUMIF(Rozbiór!$I$3:$I$300,A34,Rozbiór!$J$3:$J$300)</f>
        <v>4000</v>
      </c>
      <c r="E34" s="132">
        <v>13165</v>
      </c>
      <c r="F34" s="146"/>
      <c r="G34" s="252">
        <f t="shared" ca="1" si="10"/>
        <v>20350</v>
      </c>
      <c r="H34" s="191">
        <v>5389</v>
      </c>
      <c r="I34" s="190">
        <v>6832</v>
      </c>
      <c r="J34" s="156" t="s">
        <v>158</v>
      </c>
      <c r="K34" s="299">
        <f ca="1">SUMIF('Dane stany'!$J$5:$J$2321,H34,'Dane stany'!$K$5:$K$321)</f>
        <v>15959.5</v>
      </c>
      <c r="L34" s="218"/>
      <c r="M34" s="146"/>
      <c r="N34" s="146"/>
      <c r="O34" s="124">
        <f>IFERROR(VLOOKUP('Kalkulator Wędzonki '!$I34,PLAN_P!$B:$G,3,0),0)</f>
        <v>15600</v>
      </c>
      <c r="P34" s="125">
        <f ca="1">SUM(K34,M34,N34)-O34</f>
        <v>359.5</v>
      </c>
      <c r="Q34" s="124">
        <f>IFERROR(VLOOKUP('Kalkulator Wędzonki '!$I34,PLAN_P!$B:$G,4,0),0)</f>
        <v>15600</v>
      </c>
      <c r="R34" s="125">
        <f t="shared" ca="1" si="4"/>
        <v>-15240.5</v>
      </c>
      <c r="S34" s="124">
        <f>IFERROR(VLOOKUP('Kalkulator Wędzonki '!$I34,PLAN_P!$B:$G,5,0),0)</f>
        <v>0</v>
      </c>
      <c r="T34" s="401">
        <f t="shared" ca="1" si="5"/>
        <v>-15240.5</v>
      </c>
      <c r="U34" s="598">
        <f t="shared" ca="1" si="6"/>
        <v>-11.723461538461539</v>
      </c>
      <c r="V34" s="590">
        <v>1.3</v>
      </c>
      <c r="W34" s="410">
        <f ca="1">K34+M34+N34+(V34*G34)</f>
        <v>42414.5</v>
      </c>
      <c r="X34" s="418">
        <f t="shared" ca="1" si="1"/>
        <v>26814.5</v>
      </c>
      <c r="Y34" s="419">
        <f t="shared" ca="1" si="2"/>
        <v>11214.5</v>
      </c>
      <c r="Z34" s="420">
        <f t="shared" ca="1" si="3"/>
        <v>11214.5</v>
      </c>
      <c r="AA34" s="415">
        <f ca="1">$X34/$V34</f>
        <v>20626.538461538461</v>
      </c>
      <c r="AB34" s="416">
        <f ca="1">$Y34/$V34</f>
        <v>8626.538461538461</v>
      </c>
      <c r="AC34" s="417">
        <f ca="1">$Z34/$V34</f>
        <v>8626.538461538461</v>
      </c>
      <c r="AD34" s="438" t="s">
        <v>14226</v>
      </c>
    </row>
    <row r="35" spans="1:30" ht="21.75" thickBot="1">
      <c r="A35" s="144">
        <v>1636</v>
      </c>
      <c r="B35" s="150" t="s">
        <v>231</v>
      </c>
      <c r="C35" s="299">
        <f ca="1">SUMIF('Dane stany'!$J$5:$J$2321,A35,'Dane stany'!$K$5:$K$321)</f>
        <v>913</v>
      </c>
      <c r="D35" s="299">
        <f>SUMIF(Rozbiór!$I$3:$I$300,A35,Rozbiór!$J$3:$J$300)</f>
        <v>0</v>
      </c>
      <c r="E35" s="146"/>
      <c r="F35" s="146"/>
      <c r="G35" s="252">
        <f t="shared" ca="1" si="10"/>
        <v>913</v>
      </c>
      <c r="H35" s="191">
        <v>5383</v>
      </c>
      <c r="I35" s="190">
        <v>6833</v>
      </c>
      <c r="J35" s="156" t="s">
        <v>159</v>
      </c>
      <c r="K35" s="299">
        <f ca="1">SUMIF('Dane stany'!$J$5:$J$2321,H35,'Dane stany'!$K$5:$K$321)</f>
        <v>0</v>
      </c>
      <c r="L35" s="218"/>
      <c r="M35" s="146"/>
      <c r="N35" s="146"/>
      <c r="O35" s="124">
        <f>IFERROR(VLOOKUP('Kalkulator Wędzonki '!$I35,PLAN_P!$B:$G,3,0),0)</f>
        <v>0</v>
      </c>
      <c r="P35" s="125">
        <f t="shared" ca="1" si="0"/>
        <v>0</v>
      </c>
      <c r="Q35" s="124">
        <f>IFERROR(VLOOKUP('Kalkulator Wędzonki '!$I35,PLAN_P!$B:$G,4,0),0)</f>
        <v>0</v>
      </c>
      <c r="R35" s="125">
        <f t="shared" ca="1" si="4"/>
        <v>0</v>
      </c>
      <c r="S35" s="124">
        <f>IFERROR(VLOOKUP('Kalkulator Wędzonki '!$I35,PLAN_P!$B:$G,5,0),0)</f>
        <v>0</v>
      </c>
      <c r="T35" s="401">
        <f t="shared" ca="1" si="5"/>
        <v>0</v>
      </c>
      <c r="U35" s="598">
        <f t="shared" ca="1" si="6"/>
        <v>0</v>
      </c>
      <c r="V35" s="590">
        <v>1.6</v>
      </c>
      <c r="W35" s="410">
        <f t="shared" ca="1" si="7"/>
        <v>1460.8000000000002</v>
      </c>
      <c r="X35" s="418">
        <f t="shared" ca="1" si="1"/>
        <v>1460.8000000000002</v>
      </c>
      <c r="Y35" s="419">
        <f t="shared" ca="1" si="2"/>
        <v>1460.8000000000002</v>
      </c>
      <c r="Z35" s="420">
        <f t="shared" ca="1" si="3"/>
        <v>1460.8000000000002</v>
      </c>
      <c r="AA35" s="415">
        <f ca="1">$X35/$V35</f>
        <v>913.00000000000011</v>
      </c>
      <c r="AB35" s="416">
        <f ca="1">$Y35/$V35</f>
        <v>913.00000000000011</v>
      </c>
      <c r="AC35" s="417">
        <f ca="1">$Z35/$V35</f>
        <v>913.00000000000011</v>
      </c>
    </row>
    <row r="36" spans="1:30" ht="21.75" thickBot="1">
      <c r="A36" s="144">
        <v>2801</v>
      </c>
      <c r="B36" s="150" t="s">
        <v>17970</v>
      </c>
      <c r="C36" s="299">
        <f ca="1">SUMIF('Dane stany'!$J$5:$J$2321,A36,'Dane stany'!$K$5:$K$321)</f>
        <v>0</v>
      </c>
      <c r="D36" s="299">
        <f>SUMIF(Rozbiór!$I$3:$I$300,A36,Rozbiór!$J$3:$J$300)</f>
        <v>0</v>
      </c>
      <c r="E36" s="146"/>
      <c r="F36" s="146"/>
      <c r="G36" s="252">
        <f t="shared" ref="G36" ca="1" si="11">SUM(C36:F36)</f>
        <v>0</v>
      </c>
      <c r="H36" s="191">
        <v>5151</v>
      </c>
      <c r="I36" s="190">
        <v>6835</v>
      </c>
      <c r="J36" s="743" t="s">
        <v>17969</v>
      </c>
      <c r="K36" s="299">
        <f ca="1">SUMIF('Dane stany'!$J$5:$J$2321,H36,'Dane stany'!$K$5:$K$321)</f>
        <v>0</v>
      </c>
      <c r="L36" s="218"/>
      <c r="M36" s="146"/>
      <c r="N36" s="146"/>
      <c r="O36" s="124">
        <f>IFERROR(VLOOKUP('Kalkulator Wędzonki '!$I36,PLAN_P!$B:$G,3,0),0)</f>
        <v>0</v>
      </c>
      <c r="P36" s="125">
        <f t="shared" ref="P36" ca="1" si="12">SUM(K36,M36,N36)-O36</f>
        <v>0</v>
      </c>
      <c r="Q36" s="124">
        <f>IFERROR(VLOOKUP('Kalkulator Wędzonki '!$I36,PLAN_P!$B:$G,4,0),0)</f>
        <v>0</v>
      </c>
      <c r="R36" s="125">
        <f t="shared" ref="R36" ca="1" si="13">P36-Q36</f>
        <v>0</v>
      </c>
      <c r="S36" s="124">
        <f>IFERROR(VLOOKUP('Kalkulator Wędzonki '!$I36,PLAN_P!$B:$G,5,0),0)</f>
        <v>0</v>
      </c>
      <c r="T36" s="401">
        <f t="shared" ref="T36" ca="1" si="14">R36-S36</f>
        <v>0</v>
      </c>
      <c r="U36" s="598">
        <f t="shared" ref="U36" ca="1" si="15">T36/1300</f>
        <v>0</v>
      </c>
      <c r="V36" s="590"/>
      <c r="W36" s="410"/>
      <c r="X36" s="418"/>
      <c r="Y36" s="419"/>
      <c r="Z36" s="420"/>
      <c r="AA36" s="415"/>
      <c r="AB36" s="416"/>
      <c r="AC36" s="417"/>
    </row>
    <row r="37" spans="1:30" ht="21.75" thickBot="1">
      <c r="A37" s="144">
        <v>1209</v>
      </c>
      <c r="B37" s="150" t="s">
        <v>241</v>
      </c>
      <c r="C37" s="299">
        <f ca="1">SUMIF('Dane stany'!$J$5:$J$2321,A37,'Dane stany'!$K$5:$K$321)</f>
        <v>0</v>
      </c>
      <c r="D37" s="299">
        <f>SUMIF(Rozbiór!$I$3:$I$300,A37,Rozbiór!$J$3:$J$300)</f>
        <v>0</v>
      </c>
      <c r="E37" s="146"/>
      <c r="F37" s="146"/>
      <c r="G37" s="252">
        <f t="shared" ca="1" si="10"/>
        <v>0</v>
      </c>
      <c r="H37" s="191">
        <v>5088</v>
      </c>
      <c r="I37" s="190">
        <v>7019</v>
      </c>
      <c r="J37" s="156" t="s">
        <v>178</v>
      </c>
      <c r="K37" s="299">
        <f ca="1">SUMIF('Dane stany'!$J$5:$J$2321,H37,'Dane stany'!$K$5:$K$321)</f>
        <v>0</v>
      </c>
      <c r="L37" s="218"/>
      <c r="M37" s="146"/>
      <c r="N37" s="146"/>
      <c r="O37" s="124">
        <f>IFERROR(VLOOKUP('Kalkulator Wędzonki '!$I37,PLAN_P!$B:$G,3,0),0)</f>
        <v>0</v>
      </c>
      <c r="P37" s="125">
        <f t="shared" ca="1" si="0"/>
        <v>0</v>
      </c>
      <c r="Q37" s="124">
        <f>IFERROR(VLOOKUP('Kalkulator Wędzonki '!$I37,PLAN_P!$B:$G,4,0),0)</f>
        <v>0</v>
      </c>
      <c r="R37" s="125">
        <f t="shared" ca="1" si="4"/>
        <v>0</v>
      </c>
      <c r="S37" s="124">
        <f>IFERROR(VLOOKUP('Kalkulator Wędzonki '!$I37,PLAN_P!$B:$G,5,0),0)</f>
        <v>0</v>
      </c>
      <c r="T37" s="401">
        <f t="shared" ca="1" si="5"/>
        <v>0</v>
      </c>
      <c r="U37" s="598">
        <f t="shared" ca="1" si="6"/>
        <v>0</v>
      </c>
      <c r="V37" s="590">
        <v>1.1000000000000001</v>
      </c>
      <c r="W37" s="410">
        <f t="shared" ca="1" si="7"/>
        <v>0</v>
      </c>
      <c r="X37" s="418">
        <f ca="1">W37-O37</f>
        <v>0</v>
      </c>
      <c r="Y37" s="419">
        <f ca="1">X37-Q37</f>
        <v>0</v>
      </c>
      <c r="Z37" s="420">
        <f t="shared" ca="1" si="3"/>
        <v>0</v>
      </c>
      <c r="AA37" s="415">
        <f ca="1">$X37/$V37</f>
        <v>0</v>
      </c>
      <c r="AB37" s="416">
        <f ca="1">$Y37/$V37</f>
        <v>0</v>
      </c>
      <c r="AC37" s="417">
        <f ca="1">$Z37/$V37</f>
        <v>0</v>
      </c>
      <c r="AD37" s="438" t="s">
        <v>14227</v>
      </c>
    </row>
    <row r="38" spans="1:30" ht="36.75" thickBot="1">
      <c r="A38" s="144">
        <v>1730</v>
      </c>
      <c r="B38" s="150" t="s">
        <v>240</v>
      </c>
      <c r="C38" s="299">
        <f ca="1">SUMIF('Dane stany'!$J$5:$J$2321,A38,'Dane stany'!$K$5:$K$321)</f>
        <v>0</v>
      </c>
      <c r="D38" s="299">
        <f>SUMIF(Rozbiór!$I$3:$I$300,A38,Rozbiór!$J$3:$J$300)</f>
        <v>0</v>
      </c>
      <c r="E38" s="146"/>
      <c r="F38" s="146"/>
      <c r="G38" s="252">
        <f t="shared" ca="1" si="10"/>
        <v>0</v>
      </c>
      <c r="H38" s="154">
        <v>5115</v>
      </c>
      <c r="I38" s="155">
        <v>7002</v>
      </c>
      <c r="J38" s="156" t="s">
        <v>161</v>
      </c>
      <c r="K38" s="299">
        <f ca="1">SUMIF('Dane stany'!$J$5:$J$2321,H38,'Dane stany'!$K$5:$K$321)</f>
        <v>1009</v>
      </c>
      <c r="L38" s="218"/>
      <c r="M38" s="146"/>
      <c r="N38" s="146"/>
      <c r="O38" s="124">
        <f>IFERROR(VLOOKUP('Kalkulator Wędzonki '!$I38,PLAN_P!$B:$G,3,0),0)</f>
        <v>0</v>
      </c>
      <c r="P38" s="125">
        <f t="shared" ca="1" si="0"/>
        <v>1009</v>
      </c>
      <c r="Q38" s="124">
        <f>IFERROR(VLOOKUP('Kalkulator Wędzonki '!$I38,PLAN_P!$B:$G,4,0),0)</f>
        <v>1000</v>
      </c>
      <c r="R38" s="125">
        <f t="shared" ca="1" si="4"/>
        <v>9</v>
      </c>
      <c r="S38" s="124">
        <f>IFERROR(VLOOKUP('Kalkulator Wędzonki '!$I38,PLAN_P!$B:$G,5,0),0)</f>
        <v>0</v>
      </c>
      <c r="T38" s="401">
        <f t="shared" ca="1" si="5"/>
        <v>9</v>
      </c>
      <c r="U38" s="598">
        <f t="shared" ca="1" si="6"/>
        <v>6.9230769230769233E-3</v>
      </c>
      <c r="V38" s="590">
        <v>1.3</v>
      </c>
      <c r="W38" s="410">
        <f t="shared" ca="1" si="7"/>
        <v>1009</v>
      </c>
      <c r="X38" s="418">
        <f t="shared" ca="1" si="1"/>
        <v>1009</v>
      </c>
      <c r="Y38" s="419">
        <f t="shared" ca="1" si="2"/>
        <v>9</v>
      </c>
      <c r="Z38" s="420">
        <f t="shared" ca="1" si="3"/>
        <v>9</v>
      </c>
      <c r="AA38" s="415">
        <f ca="1">$X38/$V38</f>
        <v>776.15384615384608</v>
      </c>
      <c r="AB38" s="416">
        <f ca="1">$Y38/$V38</f>
        <v>6.9230769230769225</v>
      </c>
      <c r="AC38" s="417">
        <f ca="1">$Z38/$V38</f>
        <v>6.9230769230769225</v>
      </c>
    </row>
    <row r="39" spans="1:30" ht="21.75" thickBot="1">
      <c r="A39" s="144"/>
      <c r="B39" s="150"/>
      <c r="C39" s="299"/>
      <c r="D39" s="299"/>
      <c r="E39" s="146"/>
      <c r="F39" s="146"/>
      <c r="G39" s="252"/>
      <c r="H39" s="154">
        <v>5089</v>
      </c>
      <c r="I39" s="155">
        <v>7001</v>
      </c>
      <c r="J39" s="156" t="s">
        <v>17339</v>
      </c>
      <c r="K39" s="299">
        <f ca="1">SUMIF('Dane stany'!$J$5:$J$2321,H39,'Dane stany'!$K$5:$K$321)</f>
        <v>0</v>
      </c>
      <c r="L39" s="218"/>
      <c r="M39" s="146"/>
      <c r="N39" s="146"/>
      <c r="O39" s="124">
        <f>IFERROR(VLOOKUP('Kalkulator Wędzonki '!$I39,PLAN_P!$B:$G,3,0),0)</f>
        <v>0</v>
      </c>
      <c r="P39" s="125">
        <f t="shared" ref="P39" ca="1" si="16">SUM(K39,M39,N39)-O39</f>
        <v>0</v>
      </c>
      <c r="Q39" s="124">
        <f>IFERROR(VLOOKUP('Kalkulator Wędzonki '!$I39,PLAN_P!$B:$G,4,0),0)</f>
        <v>0</v>
      </c>
      <c r="R39" s="125">
        <f t="shared" ref="R39" ca="1" si="17">P39-Q39</f>
        <v>0</v>
      </c>
      <c r="S39" s="124">
        <f>IFERROR(VLOOKUP('Kalkulator Wędzonki '!$I39,PLAN_P!$B:$G,5,0),0)</f>
        <v>0</v>
      </c>
      <c r="T39" s="401">
        <f t="shared" ref="T39" ca="1" si="18">R39-S39</f>
        <v>0</v>
      </c>
      <c r="U39" s="598">
        <f t="shared" ref="U39" ca="1" si="19">T39/1300</f>
        <v>0</v>
      </c>
      <c r="V39" s="590"/>
      <c r="W39" s="410"/>
      <c r="X39" s="418"/>
      <c r="Y39" s="419"/>
      <c r="Z39" s="420"/>
      <c r="AA39" s="415"/>
      <c r="AB39" s="416"/>
      <c r="AC39" s="417"/>
    </row>
    <row r="40" spans="1:30" ht="21.75" thickBot="1">
      <c r="A40" s="144">
        <v>1176</v>
      </c>
      <c r="B40" s="150" t="s">
        <v>236</v>
      </c>
      <c r="C40" s="299">
        <f ca="1">SUMIF('Dane stany'!$J$5:$J$2321,A40,'Dane stany'!$K$5:$K$321)</f>
        <v>0</v>
      </c>
      <c r="D40" s="299">
        <f>SUMIF(Rozbiór!$I$3:$I$300,A40,Rozbiór!$J$3:$J$300)</f>
        <v>0</v>
      </c>
      <c r="E40" s="146"/>
      <c r="F40" s="146"/>
      <c r="G40" s="252">
        <f t="shared" ca="1" si="10"/>
        <v>0</v>
      </c>
      <c r="H40" s="154">
        <v>5034</v>
      </c>
      <c r="I40" s="155">
        <v>7003</v>
      </c>
      <c r="J40" s="156" t="s">
        <v>162</v>
      </c>
      <c r="K40" s="299">
        <f ca="1">SUMIF('Dane stany'!$J$5:$J$2321,H40,'Dane stany'!$K$5:$K$321)</f>
        <v>0</v>
      </c>
      <c r="L40" s="218"/>
      <c r="M40" s="146"/>
      <c r="N40" s="146"/>
      <c r="O40" s="124">
        <f>IFERROR(VLOOKUP('Kalkulator Wędzonki '!$I40,PLAN_P!$B:$G,3,0),0)</f>
        <v>0</v>
      </c>
      <c r="P40" s="125">
        <f t="shared" ca="1" si="0"/>
        <v>0</v>
      </c>
      <c r="Q40" s="124">
        <f>IFERROR(VLOOKUP('Kalkulator Wędzonki '!$I40,PLAN_P!$B:$G,4,0),0)</f>
        <v>0</v>
      </c>
      <c r="R40" s="125">
        <f t="shared" ca="1" si="4"/>
        <v>0</v>
      </c>
      <c r="S40" s="124">
        <f>IFERROR(VLOOKUP('Kalkulator Wędzonki '!$I40,PLAN_P!$B:$G,5,0),0)</f>
        <v>0</v>
      </c>
      <c r="T40" s="401">
        <f t="shared" ca="1" si="5"/>
        <v>0</v>
      </c>
      <c r="U40" s="598">
        <f t="shared" ca="1" si="6"/>
        <v>0</v>
      </c>
      <c r="V40" s="590"/>
      <c r="W40" s="410">
        <f t="shared" ca="1" si="7"/>
        <v>0</v>
      </c>
      <c r="X40" s="418">
        <f t="shared" ca="1" si="1"/>
        <v>0</v>
      </c>
      <c r="Y40" s="419">
        <f t="shared" ca="1" si="2"/>
        <v>0</v>
      </c>
      <c r="Z40" s="420">
        <f t="shared" ca="1" si="3"/>
        <v>0</v>
      </c>
      <c r="AA40" s="415"/>
      <c r="AB40" s="416"/>
      <c r="AC40" s="417"/>
    </row>
    <row r="41" spans="1:30" ht="21.75" thickBot="1">
      <c r="A41" s="144">
        <v>1646</v>
      </c>
      <c r="B41" s="150"/>
      <c r="C41" s="299">
        <f ca="1">SUMIF('Dane stany'!$J$5:$J$2321,A41,'Dane stany'!$K$5:$K$321)</f>
        <v>0</v>
      </c>
      <c r="D41" s="299">
        <f>SUMIF(Rozbiór!$I$3:$I$300,A41,Rozbiór!$J$3:$J$300)</f>
        <v>0</v>
      </c>
      <c r="E41" s="146"/>
      <c r="F41" s="146"/>
      <c r="G41" s="252">
        <f t="shared" ca="1" si="10"/>
        <v>0</v>
      </c>
      <c r="H41" s="154">
        <v>5047</v>
      </c>
      <c r="I41" s="155">
        <v>7011</v>
      </c>
      <c r="J41" s="156" t="s">
        <v>163</v>
      </c>
      <c r="K41" s="299">
        <f ca="1">SUMIF('Dane stany'!$J$5:$J$2321,H41,'Dane stany'!$K$5:$K$321)</f>
        <v>0</v>
      </c>
      <c r="L41" s="218"/>
      <c r="M41" s="146"/>
      <c r="N41" s="146"/>
      <c r="O41" s="124">
        <f>IFERROR(VLOOKUP('Kalkulator Wędzonki '!$I41,PLAN_P!$B:$G,3,0),0)</f>
        <v>0</v>
      </c>
      <c r="P41" s="125">
        <f t="shared" ca="1" si="0"/>
        <v>0</v>
      </c>
      <c r="Q41" s="124">
        <f>IFERROR(VLOOKUP('Kalkulator Wędzonki '!$I41,PLAN_P!$B:$G,4,0),0)</f>
        <v>0</v>
      </c>
      <c r="R41" s="125">
        <f t="shared" ca="1" si="4"/>
        <v>0</v>
      </c>
      <c r="S41" s="124">
        <f>IFERROR(VLOOKUP('Kalkulator Wędzonki '!$I41,PLAN_P!$B:$G,5,0),0)</f>
        <v>0</v>
      </c>
      <c r="T41" s="401">
        <f t="shared" ca="1" si="5"/>
        <v>0</v>
      </c>
      <c r="U41" s="598">
        <f t="shared" ca="1" si="6"/>
        <v>0</v>
      </c>
      <c r="V41" s="590"/>
      <c r="W41" s="410">
        <f t="shared" ca="1" si="7"/>
        <v>0</v>
      </c>
      <c r="X41" s="418">
        <f t="shared" ca="1" si="1"/>
        <v>0</v>
      </c>
      <c r="Y41" s="419">
        <f t="shared" ca="1" si="2"/>
        <v>0</v>
      </c>
      <c r="Z41" s="420">
        <f t="shared" ca="1" si="3"/>
        <v>0</v>
      </c>
      <c r="AA41" s="415"/>
      <c r="AB41" s="416"/>
      <c r="AC41" s="417"/>
    </row>
    <row r="42" spans="1:30" ht="21.75" thickBot="1">
      <c r="A42" s="144">
        <v>1972</v>
      </c>
      <c r="B42" s="150" t="s">
        <v>14221</v>
      </c>
      <c r="C42" s="299">
        <f ca="1">SUMIF('Dane stany'!$J$5:$J$2321,A42,'Dane stany'!$K$5:$K$321)</f>
        <v>0</v>
      </c>
      <c r="D42" s="299">
        <f>SUMIF(Rozbiór!$I$3:$I$300,A42,Rozbiór!$J$3:$J$300)</f>
        <v>0</v>
      </c>
      <c r="E42" s="146"/>
      <c r="F42" s="146"/>
      <c r="G42" s="252">
        <f t="shared" ca="1" si="10"/>
        <v>0</v>
      </c>
      <c r="H42" s="154">
        <v>5036</v>
      </c>
      <c r="I42" s="155">
        <v>7012</v>
      </c>
      <c r="J42" s="156" t="s">
        <v>164</v>
      </c>
      <c r="K42" s="299">
        <f ca="1">SUMIF('Dane stany'!$J$5:$J$2321,H42,'Dane stany'!$K$5:$K$321)</f>
        <v>0</v>
      </c>
      <c r="L42" s="218"/>
      <c r="M42" s="146"/>
      <c r="N42" s="146"/>
      <c r="O42" s="124">
        <f>IFERROR(VLOOKUP('Kalkulator Wędzonki '!$I42,PLAN_P!$B:$G,3,0),0)</f>
        <v>0</v>
      </c>
      <c r="P42" s="125">
        <f t="shared" ca="1" si="0"/>
        <v>0</v>
      </c>
      <c r="Q42" s="124">
        <f>IFERROR(VLOOKUP('Kalkulator Wędzonki '!$I42,PLAN_P!$B:$G,4,0),0)</f>
        <v>0</v>
      </c>
      <c r="R42" s="125">
        <f t="shared" ca="1" si="4"/>
        <v>0</v>
      </c>
      <c r="S42" s="124">
        <f>IFERROR(VLOOKUP('Kalkulator Wędzonki '!$I42,PLAN_P!$B:$G,5,0),0)</f>
        <v>0</v>
      </c>
      <c r="T42" s="401">
        <f t="shared" ca="1" si="5"/>
        <v>0</v>
      </c>
      <c r="U42" s="598">
        <f t="shared" ca="1" si="6"/>
        <v>0</v>
      </c>
      <c r="V42" s="590"/>
      <c r="W42" s="410">
        <f t="shared" ca="1" si="7"/>
        <v>0</v>
      </c>
      <c r="X42" s="418">
        <f t="shared" ca="1" si="1"/>
        <v>0</v>
      </c>
      <c r="Y42" s="419">
        <f t="shared" ca="1" si="2"/>
        <v>0</v>
      </c>
      <c r="Z42" s="420">
        <f t="shared" ca="1" si="3"/>
        <v>0</v>
      </c>
      <c r="AA42" s="415"/>
      <c r="AB42" s="416"/>
      <c r="AC42" s="417"/>
    </row>
    <row r="43" spans="1:30" ht="21.75" thickBot="1">
      <c r="A43" s="144">
        <v>1646</v>
      </c>
      <c r="B43" s="150"/>
      <c r="C43" s="299">
        <f ca="1">SUMIF('Dane stany'!$J$5:$J$2321,A43,'Dane stany'!$K$5:$K$321)</f>
        <v>0</v>
      </c>
      <c r="D43" s="299">
        <f>SUMIF(Rozbiór!$I$3:$I$300,A43,Rozbiór!$J$3:$J$300)</f>
        <v>0</v>
      </c>
      <c r="E43" s="146"/>
      <c r="F43" s="146"/>
      <c r="G43" s="252">
        <f t="shared" ca="1" si="10"/>
        <v>0</v>
      </c>
      <c r="H43" s="154">
        <v>5083</v>
      </c>
      <c r="I43" s="155">
        <v>7013</v>
      </c>
      <c r="J43" s="156" t="s">
        <v>165</v>
      </c>
      <c r="K43" s="299">
        <f ca="1">SUMIF('Dane stany'!$J$5:$J$2321,H43,'Dane stany'!$K$5:$K$321)</f>
        <v>0</v>
      </c>
      <c r="L43" s="218"/>
      <c r="M43" s="146"/>
      <c r="N43" s="146"/>
      <c r="O43" s="124">
        <f>IFERROR(VLOOKUP('Kalkulator Wędzonki '!$I43,PLAN_P!$B:$G,3,0),0)</f>
        <v>0</v>
      </c>
      <c r="P43" s="125">
        <f t="shared" ca="1" si="0"/>
        <v>0</v>
      </c>
      <c r="Q43" s="124">
        <f>IFERROR(VLOOKUP('Kalkulator Wędzonki '!$I43,PLAN_P!$B:$G,4,0),0)</f>
        <v>0</v>
      </c>
      <c r="R43" s="125">
        <f t="shared" ca="1" si="4"/>
        <v>0</v>
      </c>
      <c r="S43" s="124">
        <f>IFERROR(VLOOKUP('Kalkulator Wędzonki '!$I43,PLAN_P!$B:$G,5,0),0)</f>
        <v>0</v>
      </c>
      <c r="T43" s="401">
        <f t="shared" ca="1" si="5"/>
        <v>0</v>
      </c>
      <c r="U43" s="598">
        <f t="shared" ca="1" si="6"/>
        <v>0</v>
      </c>
      <c r="V43" s="590"/>
      <c r="W43" s="410">
        <f t="shared" ca="1" si="7"/>
        <v>0</v>
      </c>
      <c r="X43" s="418">
        <f ca="1">W43-O43</f>
        <v>0</v>
      </c>
      <c r="Y43" s="419">
        <f ca="1">X43-Q43</f>
        <v>0</v>
      </c>
      <c r="Z43" s="420">
        <f t="shared" ca="1" si="3"/>
        <v>0</v>
      </c>
      <c r="AA43" s="415"/>
      <c r="AB43" s="416"/>
      <c r="AC43" s="417"/>
    </row>
    <row r="44" spans="1:30" ht="21.75" thickBot="1">
      <c r="A44" s="126">
        <v>2831</v>
      </c>
      <c r="B44" s="138" t="s">
        <v>238</v>
      </c>
      <c r="C44" s="435">
        <f ca="1">SUMIF('Dane stany'!$J$5:$J$2321,A44,'Dane stany'!$K$5:$K$321)</f>
        <v>0</v>
      </c>
      <c r="D44" s="299">
        <f>SUMIF(Rozbiór!$I$3:$I$300,A44,Rozbiór!$J$3:$J$300)</f>
        <v>0</v>
      </c>
      <c r="E44" s="127"/>
      <c r="F44" s="127"/>
      <c r="G44" s="252">
        <f t="shared" ca="1" si="10"/>
        <v>0</v>
      </c>
      <c r="H44" s="432">
        <v>5106</v>
      </c>
      <c r="I44" s="433">
        <v>7046</v>
      </c>
      <c r="J44" s="434" t="s">
        <v>167</v>
      </c>
      <c r="K44" s="299">
        <f ca="1">SUMIF('Dane stany'!$J$5:$J$2321,H44,'Dane stany'!$K$5:$K$321)</f>
        <v>0</v>
      </c>
      <c r="L44" s="275"/>
      <c r="M44" s="127"/>
      <c r="N44" s="127"/>
      <c r="O44" s="436">
        <f>IFERROR(VLOOKUP('Kalkulator Wędzonki '!$I44,PLAN_P!$B:$G,3,0),0)</f>
        <v>0</v>
      </c>
      <c r="P44" s="437">
        <f t="shared" ca="1" si="0"/>
        <v>0</v>
      </c>
      <c r="Q44" s="436">
        <f>IFERROR(VLOOKUP('Kalkulator Wędzonki '!$I44,PLAN_P!$B:$G,4,0),0)</f>
        <v>0</v>
      </c>
      <c r="R44" s="437">
        <f ca="1">P44-Q44</f>
        <v>0</v>
      </c>
      <c r="S44" s="436">
        <f>IFERROR(VLOOKUP('Kalkulator Wędzonki '!$I44,PLAN_P!$B:$G,5,0),0)</f>
        <v>0</v>
      </c>
      <c r="T44" s="587">
        <f ca="1">R44-S44</f>
        <v>0</v>
      </c>
      <c r="U44" s="601">
        <f t="shared" ca="1" si="6"/>
        <v>0</v>
      </c>
      <c r="V44" s="593"/>
      <c r="W44" s="410">
        <f t="shared" ca="1" si="7"/>
        <v>0</v>
      </c>
      <c r="X44" s="418">
        <f t="shared" ca="1" si="1"/>
        <v>0</v>
      </c>
      <c r="Y44" s="419">
        <f t="shared" ca="1" si="2"/>
        <v>0</v>
      </c>
      <c r="Z44" s="420">
        <f t="shared" ca="1" si="3"/>
        <v>0</v>
      </c>
      <c r="AA44" s="415"/>
      <c r="AB44" s="416"/>
      <c r="AC44" s="417"/>
    </row>
    <row r="45" spans="1:30" ht="21.75" thickBot="1">
      <c r="A45" s="430">
        <v>2806</v>
      </c>
      <c r="B45" s="431" t="s">
        <v>3176</v>
      </c>
      <c r="C45" s="300">
        <f ca="1">SUMIF('Dane stany'!$J$5:$J$2321,A45,'Dane stany'!$K$5:$K$321)</f>
        <v>0</v>
      </c>
      <c r="D45" s="299">
        <f>SUMIF(Rozbiór!$I$3:$I$300,A45,Rozbiór!$J$3:$J$300)</f>
        <v>0</v>
      </c>
      <c r="E45" s="127"/>
      <c r="F45" s="127"/>
      <c r="G45" s="252">
        <f t="shared" ca="1" si="10"/>
        <v>0</v>
      </c>
      <c r="H45" s="192"/>
      <c r="I45" s="193"/>
      <c r="J45" s="160"/>
      <c r="K45" s="299">
        <f ca="1">SUMIF('Dane stany'!$J$5:$J$2321,H45,'Dane stany'!$K$5:$K$321)</f>
        <v>0</v>
      </c>
      <c r="L45" s="219"/>
      <c r="M45" s="147"/>
      <c r="N45" s="147"/>
      <c r="O45" s="128"/>
      <c r="P45" s="129"/>
      <c r="Q45" s="128"/>
      <c r="R45" s="129"/>
      <c r="S45" s="128"/>
      <c r="T45" s="402"/>
      <c r="U45" s="601">
        <f t="shared" si="6"/>
        <v>0</v>
      </c>
      <c r="V45" s="586"/>
      <c r="W45" s="410"/>
      <c r="X45" s="418"/>
      <c r="Y45" s="419"/>
      <c r="Z45" s="420"/>
      <c r="AA45" s="415"/>
      <c r="AB45" s="416"/>
      <c r="AC45" s="417"/>
    </row>
    <row r="46" spans="1:30" ht="22.5" thickTop="1" thickBot="1">
      <c r="A46" s="1103">
        <v>2808</v>
      </c>
      <c r="B46" s="1087" t="s">
        <v>239</v>
      </c>
      <c r="C46" s="301">
        <f ca="1">SUMIF('Dane stany'!$J$5:$J$2321,A46,'Dane stany'!$K$5:$K$321)</f>
        <v>0</v>
      </c>
      <c r="D46" s="1096">
        <f>SUMIF(Rozbiór!$I$3:$I$300,A46,Rozbiór!$J$3:$J$300)</f>
        <v>0</v>
      </c>
      <c r="E46" s="1105"/>
      <c r="F46" s="1091"/>
      <c r="G46" s="1093">
        <f ca="1">SUM(C46:F47)</f>
        <v>0</v>
      </c>
      <c r="H46" s="194">
        <v>5105</v>
      </c>
      <c r="I46" s="195">
        <v>7045</v>
      </c>
      <c r="J46" s="196" t="s">
        <v>166</v>
      </c>
      <c r="K46" s="429">
        <f ca="1">SUMIF('Dane stany'!$J$5:$J$2321,H46,'Dane stany'!$K$5:$K$321)</f>
        <v>0</v>
      </c>
      <c r="L46" s="217"/>
      <c r="M46" s="145"/>
      <c r="N46" s="145"/>
      <c r="O46" s="122">
        <f>IFERROR(VLOOKUP('Kalkulator Wędzonki '!$I46,PLAN_P!$B:$G,3,0),0)</f>
        <v>0</v>
      </c>
      <c r="P46" s="123">
        <f t="shared" ca="1" si="0"/>
        <v>0</v>
      </c>
      <c r="Q46" s="122">
        <f>IFERROR(VLOOKUP('Kalkulator Wędzonki '!$I46,PLAN_P!$B:$G,4,0),0)</f>
        <v>0</v>
      </c>
      <c r="R46" s="123">
        <f t="shared" ca="1" si="4"/>
        <v>0</v>
      </c>
      <c r="S46" s="122">
        <f>IFERROR(VLOOKUP('Kalkulator Wędzonki '!$I46,PLAN_P!$B:$G,5,0),0)</f>
        <v>0</v>
      </c>
      <c r="T46" s="400">
        <f t="shared" ca="1" si="5"/>
        <v>0</v>
      </c>
      <c r="U46" s="597">
        <f t="shared" ca="1" si="6"/>
        <v>0</v>
      </c>
      <c r="V46" s="589">
        <v>1.2</v>
      </c>
      <c r="W46" s="410">
        <f t="shared" ca="1" si="7"/>
        <v>0</v>
      </c>
      <c r="X46" s="418">
        <f t="shared" ca="1" si="1"/>
        <v>0</v>
      </c>
      <c r="Y46" s="419">
        <f t="shared" ca="1" si="2"/>
        <v>0</v>
      </c>
      <c r="Z46" s="420">
        <f t="shared" ca="1" si="3"/>
        <v>0</v>
      </c>
      <c r="AA46" s="415">
        <f ca="1">$X46/$V46</f>
        <v>0</v>
      </c>
      <c r="AB46" s="416">
        <f ca="1">$Y46/$V46</f>
        <v>0</v>
      </c>
      <c r="AC46" s="417">
        <f ca="1">$Z46/$V46</f>
        <v>0</v>
      </c>
    </row>
    <row r="47" spans="1:30" ht="21.75" thickBot="1">
      <c r="A47" s="1104"/>
      <c r="B47" s="1095"/>
      <c r="C47" s="300">
        <f ca="1">SUMIF('Dane stany'!$J$5:$J$2321,A47,'Dane stany'!$K$5:$K$321)</f>
        <v>0</v>
      </c>
      <c r="D47" s="1097"/>
      <c r="E47" s="1106"/>
      <c r="F47" s="1098"/>
      <c r="G47" s="1099"/>
      <c r="H47" s="197">
        <v>5156</v>
      </c>
      <c r="I47" s="198">
        <v>7072</v>
      </c>
      <c r="J47" s="199" t="s">
        <v>199</v>
      </c>
      <c r="K47" s="300">
        <f ca="1">SUMIF('Dane stany'!$J$5:$J$2321,H47,'Dane stany'!$K$5:$K$321)</f>
        <v>0</v>
      </c>
      <c r="L47" s="219"/>
      <c r="M47" s="147"/>
      <c r="N47" s="147"/>
      <c r="O47" s="128">
        <f>IFERROR(VLOOKUP('Kalkulator Wędzonki '!$I47,PLAN_P!$B:$G,3,0),0)</f>
        <v>0</v>
      </c>
      <c r="P47" s="129">
        <f t="shared" ca="1" si="0"/>
        <v>0</v>
      </c>
      <c r="Q47" s="128">
        <f>IFERROR(VLOOKUP('Kalkulator Wędzonki '!$I47,PLAN_P!$B:$G,4,0),0)</f>
        <v>0</v>
      </c>
      <c r="R47" s="129">
        <f t="shared" ca="1" si="4"/>
        <v>0</v>
      </c>
      <c r="S47" s="128">
        <f>IFERROR(VLOOKUP('Kalkulator Wędzonki '!$I47,PLAN_P!$B:$G,5,0),0)</f>
        <v>0</v>
      </c>
      <c r="T47" s="402">
        <f t="shared" ca="1" si="5"/>
        <v>0</v>
      </c>
      <c r="U47" s="599">
        <f t="shared" ca="1" si="6"/>
        <v>0</v>
      </c>
      <c r="V47" s="591"/>
      <c r="W47" s="410">
        <f t="shared" ca="1" si="7"/>
        <v>0</v>
      </c>
      <c r="X47" s="418">
        <f t="shared" ca="1" si="1"/>
        <v>0</v>
      </c>
      <c r="Y47" s="419">
        <f t="shared" ca="1" si="2"/>
        <v>0</v>
      </c>
      <c r="Z47" s="420">
        <f t="shared" ca="1" si="3"/>
        <v>0</v>
      </c>
      <c r="AA47" s="415"/>
      <c r="AB47" s="416"/>
      <c r="AC47" s="417"/>
    </row>
    <row r="48" spans="1:30" ht="22.5" thickTop="1" thickBot="1">
      <c r="A48" s="130">
        <v>2021</v>
      </c>
      <c r="B48" s="131" t="s">
        <v>237</v>
      </c>
      <c r="C48" s="301">
        <f ca="1">SUMIF('Dane stany'!$J$5:$J$2321,A48,'Dane stany'!$K$5:$K$321)</f>
        <v>0</v>
      </c>
      <c r="D48" s="301">
        <f>SUMIF(Rozbiór!$I$3:$I$300,A48,Rozbiór!$J$3:$J$300)</f>
        <v>0</v>
      </c>
      <c r="E48" s="132"/>
      <c r="F48" s="132"/>
      <c r="G48" s="133">
        <f ca="1">SUM(C48:F48)</f>
        <v>0</v>
      </c>
      <c r="H48" s="188">
        <v>5157</v>
      </c>
      <c r="I48" s="200">
        <v>7073</v>
      </c>
      <c r="J48" s="153" t="s">
        <v>200</v>
      </c>
      <c r="K48" s="429">
        <f ca="1">SUMIF('Dane stany'!$J$5:$J$2321,H48,'Dane stany'!$K$5:$K$321)</f>
        <v>0</v>
      </c>
      <c r="L48" s="217"/>
      <c r="M48" s="145"/>
      <c r="N48" s="145"/>
      <c r="O48" s="122">
        <f>IFERROR(VLOOKUP('Kalkulator Wędzonki '!$I48,PLAN_P!$B:$G,3,0),0)</f>
        <v>0</v>
      </c>
      <c r="P48" s="123">
        <f t="shared" ca="1" si="0"/>
        <v>0</v>
      </c>
      <c r="Q48" s="122">
        <f>IFERROR(VLOOKUP('Kalkulator Wędzonki '!$I48,PLAN_P!$B:$G,4,0),0)</f>
        <v>0</v>
      </c>
      <c r="R48" s="123">
        <f t="shared" ca="1" si="4"/>
        <v>0</v>
      </c>
      <c r="S48" s="122">
        <f>IFERROR(VLOOKUP('Kalkulator Wędzonki '!$I48,PLAN_P!$B:$G,5,0),0)</f>
        <v>0</v>
      </c>
      <c r="T48" s="400">
        <f t="shared" ca="1" si="5"/>
        <v>0</v>
      </c>
      <c r="U48" s="600">
        <f t="shared" ca="1" si="6"/>
        <v>0</v>
      </c>
      <c r="V48" s="592"/>
      <c r="W48" s="410">
        <f t="shared" ca="1" si="7"/>
        <v>0</v>
      </c>
      <c r="X48" s="418">
        <f t="shared" ca="1" si="1"/>
        <v>0</v>
      </c>
      <c r="Y48" s="419">
        <f t="shared" ca="1" si="2"/>
        <v>0</v>
      </c>
      <c r="Z48" s="420">
        <f t="shared" ca="1" si="3"/>
        <v>0</v>
      </c>
      <c r="AA48" s="415"/>
      <c r="AB48" s="416"/>
      <c r="AC48" s="417"/>
    </row>
    <row r="49" spans="1:29" ht="21.75" thickBot="1">
      <c r="A49" s="143">
        <v>1111</v>
      </c>
      <c r="B49" s="149" t="s">
        <v>235</v>
      </c>
      <c r="C49" s="300">
        <f ca="1">SUMIF('Dane stany'!$J$5:$J$2321,A49,'Dane stany'!$K$5:$K$321)</f>
        <v>0</v>
      </c>
      <c r="D49" s="300">
        <f>SUMIF(Rozbiór!$I$3:$I$300,A49,Rozbiór!$J$3:$J$300)</f>
        <v>0</v>
      </c>
      <c r="E49" s="147"/>
      <c r="F49" s="147"/>
      <c r="G49" s="148">
        <f ca="1">SUM(C49:F49)</f>
        <v>0</v>
      </c>
      <c r="H49" s="192">
        <v>5158</v>
      </c>
      <c r="I49" s="201">
        <v>7074</v>
      </c>
      <c r="J49" s="160" t="s">
        <v>201</v>
      </c>
      <c r="K49" s="300">
        <f ca="1">SUMIF('Dane stany'!$J$5:$J$2321,H49,'Dane stany'!$K$5:$K$321)</f>
        <v>0</v>
      </c>
      <c r="L49" s="219"/>
      <c r="M49" s="147"/>
      <c r="N49" s="147"/>
      <c r="O49" s="128">
        <f>IFERROR(VLOOKUP('Kalkulator Wędzonki '!$I49,PLAN_P!$B:$G,3,0),0)</f>
        <v>0</v>
      </c>
      <c r="P49" s="129">
        <f t="shared" ca="1" si="0"/>
        <v>0</v>
      </c>
      <c r="Q49" s="128">
        <f>IFERROR(VLOOKUP('Kalkulator Wędzonki '!$I49,PLAN_P!$B:$G,4,0),0)</f>
        <v>0</v>
      </c>
      <c r="R49" s="129">
        <f ca="1">P49-Q49</f>
        <v>0</v>
      </c>
      <c r="S49" s="128">
        <f>IFERROR(VLOOKUP('Kalkulator Wędzonki '!$I49,PLAN_P!$B:$G,5,0),0)</f>
        <v>0</v>
      </c>
      <c r="T49" s="402">
        <f ca="1">R49-S49</f>
        <v>0</v>
      </c>
      <c r="U49" s="601">
        <f t="shared" ca="1" si="6"/>
        <v>0</v>
      </c>
      <c r="V49" s="593"/>
      <c r="W49" s="410">
        <f t="shared" ca="1" si="7"/>
        <v>0</v>
      </c>
      <c r="X49" s="418">
        <f ca="1">W49-O49</f>
        <v>0</v>
      </c>
      <c r="Y49" s="419">
        <f ca="1">X49-Q49</f>
        <v>0</v>
      </c>
      <c r="Z49" s="420">
        <f t="shared" ca="1" si="3"/>
        <v>0</v>
      </c>
      <c r="AA49" s="415"/>
      <c r="AB49" s="416"/>
      <c r="AC49" s="417"/>
    </row>
    <row r="50" spans="1:29" ht="22.5" thickTop="1" thickBot="1">
      <c r="A50" s="288"/>
      <c r="B50" s="289"/>
      <c r="C50" s="302"/>
      <c r="D50" s="302"/>
      <c r="E50" s="290"/>
      <c r="F50" s="290"/>
      <c r="G50" s="291"/>
      <c r="H50" s="292"/>
      <c r="I50" s="293"/>
      <c r="J50" s="294"/>
      <c r="K50" s="302"/>
      <c r="L50" s="295"/>
      <c r="M50" s="290"/>
      <c r="N50" s="290"/>
      <c r="O50" s="296"/>
      <c r="P50" s="297"/>
      <c r="Q50" s="296"/>
      <c r="R50" s="297"/>
      <c r="S50" s="296"/>
      <c r="T50" s="297"/>
      <c r="U50" s="602"/>
      <c r="V50" s="594"/>
      <c r="W50" s="411"/>
      <c r="X50" s="421">
        <f t="shared" si="1"/>
        <v>0</v>
      </c>
      <c r="Y50" s="422">
        <f t="shared" si="2"/>
        <v>0</v>
      </c>
      <c r="Z50" s="423">
        <f t="shared" si="3"/>
        <v>0</v>
      </c>
      <c r="AA50" s="415"/>
      <c r="AB50" s="416"/>
      <c r="AC50" s="417"/>
    </row>
    <row r="51" spans="1:29" ht="22.5" thickTop="1" thickBot="1">
      <c r="A51" s="1084" t="s">
        <v>93</v>
      </c>
      <c r="B51" s="1086"/>
      <c r="C51" s="134">
        <f ca="1">SUM(C5:C49)</f>
        <v>34633.5</v>
      </c>
      <c r="D51" s="134">
        <f>SUM(D5:D49)</f>
        <v>18800</v>
      </c>
      <c r="E51" s="134">
        <f>SUM(E5:E49)</f>
        <v>13165</v>
      </c>
      <c r="F51" s="134">
        <f>SUM(F5:F49)</f>
        <v>0</v>
      </c>
      <c r="G51" s="135">
        <f ca="1">SUM(G5:G49)</f>
        <v>66598.5</v>
      </c>
      <c r="H51" s="1084" t="s">
        <v>105</v>
      </c>
      <c r="I51" s="1085"/>
      <c r="J51" s="1086"/>
      <c r="K51" s="134">
        <f ca="1">SUM(K5:K49)</f>
        <v>30698</v>
      </c>
      <c r="L51" s="134"/>
      <c r="M51" s="134">
        <f t="shared" ref="M51:U51" si="20">SUM(M5:M49)</f>
        <v>0</v>
      </c>
      <c r="N51" s="134">
        <f t="shared" si="20"/>
        <v>0</v>
      </c>
      <c r="O51" s="136">
        <f t="shared" si="20"/>
        <v>35100</v>
      </c>
      <c r="P51" s="137">
        <f t="shared" ca="1" si="20"/>
        <v>-4402</v>
      </c>
      <c r="Q51" s="136">
        <f t="shared" si="20"/>
        <v>43900</v>
      </c>
      <c r="R51" s="137">
        <f t="shared" ca="1" si="20"/>
        <v>-48302</v>
      </c>
      <c r="S51" s="136">
        <f t="shared" si="20"/>
        <v>14300</v>
      </c>
      <c r="T51" s="137">
        <f t="shared" ca="1" si="20"/>
        <v>-62602</v>
      </c>
      <c r="U51" s="603">
        <f t="shared" ca="1" si="20"/>
        <v>-48.155384615384612</v>
      </c>
      <c r="V51" s="595"/>
      <c r="W51" s="280"/>
      <c r="X51" s="424"/>
      <c r="Y51" s="425"/>
      <c r="Z51" s="426">
        <f t="shared" si="3"/>
        <v>-14300</v>
      </c>
      <c r="AA51" s="415"/>
      <c r="AB51" s="416"/>
      <c r="AC51" s="417"/>
    </row>
    <row r="52" spans="1:29" ht="17.25" thickTop="1" thickBot="1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1084">
        <f ca="1">SUM(K51,M51,N51)</f>
        <v>30698</v>
      </c>
      <c r="L52" s="1085"/>
      <c r="M52" s="1085"/>
      <c r="N52" s="1086"/>
      <c r="O52" s="75"/>
      <c r="P52" s="75"/>
      <c r="Q52" s="75"/>
      <c r="R52" s="75"/>
      <c r="S52" s="75"/>
      <c r="T52" s="75"/>
    </row>
    <row r="53" spans="1:29" ht="15.75" thickTop="1"/>
  </sheetData>
  <mergeCells count="31">
    <mergeCell ref="K10:K12"/>
    <mergeCell ref="A17:A19"/>
    <mergeCell ref="A15:A16"/>
    <mergeCell ref="A10:A12"/>
    <mergeCell ref="A25:A27"/>
    <mergeCell ref="G17:G22"/>
    <mergeCell ref="E10:E12"/>
    <mergeCell ref="E15:E16"/>
    <mergeCell ref="E17:E19"/>
    <mergeCell ref="D46:D47"/>
    <mergeCell ref="F46:F47"/>
    <mergeCell ref="G46:G47"/>
    <mergeCell ref="A51:B51"/>
    <mergeCell ref="A46:A47"/>
    <mergeCell ref="E46:E47"/>
    <mergeCell ref="H51:J51"/>
    <mergeCell ref="K52:N52"/>
    <mergeCell ref="C3:G3"/>
    <mergeCell ref="B10:B12"/>
    <mergeCell ref="D10:D12"/>
    <mergeCell ref="F10:F12"/>
    <mergeCell ref="G10:G12"/>
    <mergeCell ref="B15:B16"/>
    <mergeCell ref="D15:D16"/>
    <mergeCell ref="F15:F16"/>
    <mergeCell ref="G15:G16"/>
    <mergeCell ref="B17:B19"/>
    <mergeCell ref="D17:D19"/>
    <mergeCell ref="F17:F19"/>
    <mergeCell ref="G25:G30"/>
    <mergeCell ref="B46:B47"/>
  </mergeCells>
  <conditionalFormatting sqref="L46:L50 O5:T50">
    <cfRule type="cellIs" dxfId="9" priority="2" operator="equal">
      <formula>0</formula>
    </cfRule>
  </conditionalFormatting>
  <conditionalFormatting sqref="L5:L45">
    <cfRule type="cellIs" dxfId="8" priority="1" operator="equal">
      <formula>0</formula>
    </cfRule>
  </conditionalFormatting>
  <pageMargins left="0.28000000000000003" right="0.26" top="0.75" bottom="0.75" header="0.3" footer="0.3"/>
  <pageSetup scale="3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B685-7875-4424-8931-088B8A5EB935}">
  <sheetPr codeName="Arkusz11"/>
  <dimension ref="A1:P3052"/>
  <sheetViews>
    <sheetView topLeftCell="A5" zoomScale="80" zoomScaleNormal="80" workbookViewId="0">
      <selection activeCell="O174" sqref="O174"/>
    </sheetView>
  </sheetViews>
  <sheetFormatPr defaultRowHeight="15"/>
  <cols>
    <col min="1" max="1" width="10.42578125" style="261" customWidth="1"/>
    <col min="2" max="2" width="13.42578125" style="262" customWidth="1"/>
    <col min="3" max="3" width="40.5703125" style="262" bestFit="1" customWidth="1"/>
    <col min="4" max="4" width="38.42578125" style="261" bestFit="1" customWidth="1"/>
    <col min="5" max="5" width="20" style="263" customWidth="1"/>
    <col min="6" max="6" width="6" style="264" customWidth="1"/>
    <col min="7" max="7" width="16.42578125" style="261" customWidth="1"/>
    <col min="8" max="8" width="9.42578125" style="265" bestFit="1" customWidth="1"/>
    <col min="9" max="9" width="8" customWidth="1"/>
    <col min="10" max="10" width="12.42578125" customWidth="1"/>
    <col min="12" max="12" width="11.5703125" bestFit="1" customWidth="1"/>
    <col min="17" max="17" width="16.42578125" customWidth="1"/>
    <col min="18" max="18" width="14" customWidth="1"/>
    <col min="19" max="19" width="13.5703125" customWidth="1"/>
  </cols>
  <sheetData>
    <row r="1" spans="1:16" ht="21">
      <c r="A1" s="1116"/>
      <c r="B1" s="1116"/>
      <c r="C1" s="1116"/>
      <c r="D1" s="1116"/>
      <c r="E1" s="1116"/>
      <c r="F1" s="1116"/>
      <c r="G1" s="1116"/>
      <c r="H1" s="1116"/>
    </row>
    <row r="2" spans="1:16">
      <c r="B2"/>
      <c r="C2"/>
      <c r="D2"/>
      <c r="E2"/>
      <c r="F2"/>
      <c r="G2"/>
      <c r="H2"/>
      <c r="I2" s="266"/>
    </row>
    <row r="3" spans="1:16">
      <c r="B3"/>
      <c r="C3"/>
      <c r="D3"/>
      <c r="E3"/>
      <c r="F3"/>
      <c r="G3"/>
      <c r="H3"/>
      <c r="I3" s="266"/>
    </row>
    <row r="4" spans="1:16" ht="27" customHeight="1">
      <c r="A4" s="513"/>
      <c r="B4" s="513"/>
      <c r="C4" s="513"/>
      <c r="D4" s="513"/>
      <c r="E4" s="513"/>
      <c r="F4" s="513"/>
      <c r="G4" s="513"/>
      <c r="H4" s="489"/>
      <c r="I4" s="489"/>
      <c r="J4" s="76" t="s">
        <v>125</v>
      </c>
      <c r="K4" s="76" t="s">
        <v>348</v>
      </c>
      <c r="L4" t="s">
        <v>347</v>
      </c>
    </row>
    <row r="5" spans="1:16">
      <c r="A5" t="s">
        <v>253</v>
      </c>
      <c r="B5" t="s">
        <v>68</v>
      </c>
      <c r="C5" t="s">
        <v>126</v>
      </c>
      <c r="D5" t="s">
        <v>18807</v>
      </c>
      <c r="E5" t="s">
        <v>256</v>
      </c>
      <c r="F5" t="s">
        <v>257</v>
      </c>
      <c r="G5" t="s">
        <v>258</v>
      </c>
      <c r="H5" s="266" t="s">
        <v>262</v>
      </c>
      <c r="I5" s="266"/>
      <c r="J5" s="76" t="e">
        <f>IF(MID(B5,1,4)*1 = 5226,IF(MID(B5,5,1)*1=4,B5,MID(B5,1,4)*1),MID(B5,1,4)*1)</f>
        <v>#VALUE!</v>
      </c>
      <c r="K5" s="269" t="str">
        <f>H5</f>
        <v>Stan KG</v>
      </c>
      <c r="L5" s="237" t="str">
        <f t="shared" ref="L5:L34" si="0">IF(OR(IFERROR(VLOOKUP(J5,WEN_SUR,1,0),0),IFERROR(VLOOKUP(J5,WEN_NAS,1,0),0),IFERROR(VLOOKUP(J5,MDR_I1,1,0),0),IFERROR(VLOOKUP(J5,MDR_I2,1,0),0),IFERROR(VLOOKUP(J5,MDR_I3,1,0),0),IFERROR(VLOOKUP(J5,MDR_I4,1,0),0),IFERROR(VLOOKUP(J5,MDR_I5,1,0),0),IFERROR(VLOOKUP(J5,FARSZE,1,0),0)),"ok","brak w bazie")</f>
        <v>brak w bazie</v>
      </c>
    </row>
    <row r="6" spans="1:16">
      <c r="A6">
        <v>3111</v>
      </c>
      <c r="B6">
        <v>23164007</v>
      </c>
      <c r="C6" t="str">
        <f>"PP TŁUSZCZ DR.PBX ST1"</f>
        <v>PP TŁUSZCZ DR.PBX ST1</v>
      </c>
      <c r="D6">
        <v>144</v>
      </c>
      <c r="E6" t="str">
        <f>"144523164007"</f>
        <v>144523164007</v>
      </c>
      <c r="F6">
        <v>2024</v>
      </c>
      <c r="G6">
        <v>4121638</v>
      </c>
      <c r="H6" s="266">
        <v>267</v>
      </c>
      <c r="J6" s="76">
        <f t="shared" ref="J6:J69" si="1">IF(MID(B6,1,4)*1 = 5226,IF(MID(B6,5,1)*1=4,B6,MID(B6,1,4)*1),MID(B6,1,4)*1)</f>
        <v>2316</v>
      </c>
      <c r="K6" s="269">
        <f t="shared" ref="K6:K34" si="2">H6</f>
        <v>267</v>
      </c>
      <c r="L6" s="237" t="str">
        <f t="shared" ca="1" si="0"/>
        <v>ok</v>
      </c>
    </row>
    <row r="7" spans="1:16" ht="14.1" customHeight="1">
      <c r="A7">
        <v>3111</v>
      </c>
      <c r="B7">
        <v>29154007</v>
      </c>
      <c r="C7" t="s">
        <v>15125</v>
      </c>
      <c r="D7">
        <v>144</v>
      </c>
      <c r="E7" t="str">
        <f>"144529154007"</f>
        <v>144529154007</v>
      </c>
      <c r="F7">
        <v>2024</v>
      </c>
      <c r="G7">
        <v>4122153</v>
      </c>
      <c r="H7" s="266">
        <v>325</v>
      </c>
      <c r="J7" s="76">
        <f t="shared" si="1"/>
        <v>2915</v>
      </c>
      <c r="K7" s="269">
        <f t="shared" si="2"/>
        <v>325</v>
      </c>
      <c r="L7" s="237" t="str">
        <f t="shared" ca="1" si="0"/>
        <v>ok</v>
      </c>
    </row>
    <row r="8" spans="1:16" ht="15" customHeight="1">
      <c r="A8">
        <v>3111</v>
      </c>
      <c r="B8">
        <v>29194007</v>
      </c>
      <c r="C8" t="s">
        <v>15137</v>
      </c>
      <c r="D8">
        <v>144</v>
      </c>
      <c r="E8" t="str">
        <f>"144529194007"</f>
        <v>144529194007</v>
      </c>
      <c r="F8">
        <v>2024</v>
      </c>
      <c r="G8">
        <v>4122126</v>
      </c>
      <c r="H8" s="266">
        <v>646</v>
      </c>
      <c r="J8" s="76">
        <f t="shared" si="1"/>
        <v>2919</v>
      </c>
      <c r="K8" s="269">
        <f t="shared" si="2"/>
        <v>646</v>
      </c>
      <c r="L8" s="237" t="str">
        <f t="shared" ca="1" si="0"/>
        <v>ok</v>
      </c>
      <c r="O8" t="s">
        <v>17320</v>
      </c>
    </row>
    <row r="9" spans="1:16">
      <c r="A9">
        <v>3111</v>
      </c>
      <c r="B9">
        <v>29104007</v>
      </c>
      <c r="C9" t="s">
        <v>14683</v>
      </c>
      <c r="D9">
        <v>145</v>
      </c>
      <c r="E9" t="str">
        <f>"145429104007"</f>
        <v>145429104007</v>
      </c>
      <c r="F9">
        <v>2024</v>
      </c>
      <c r="G9">
        <v>4123449</v>
      </c>
      <c r="H9" s="266">
        <v>6242</v>
      </c>
      <c r="J9" s="76">
        <f t="shared" si="1"/>
        <v>2910</v>
      </c>
      <c r="K9" s="269">
        <f t="shared" si="2"/>
        <v>6242</v>
      </c>
      <c r="L9" s="237" t="str">
        <f t="shared" ca="1" si="0"/>
        <v>ok</v>
      </c>
      <c r="O9" t="s">
        <v>17323</v>
      </c>
    </row>
    <row r="10" spans="1:16">
      <c r="A10">
        <v>3111</v>
      </c>
      <c r="B10">
        <v>29410007</v>
      </c>
      <c r="C10" t="s">
        <v>18748</v>
      </c>
      <c r="D10">
        <v>145</v>
      </c>
      <c r="E10" t="str">
        <f>"145429410007"</f>
        <v>145429410007</v>
      </c>
      <c r="F10">
        <v>2024</v>
      </c>
      <c r="G10">
        <v>4124435</v>
      </c>
      <c r="H10" s="266">
        <v>519</v>
      </c>
      <c r="J10" s="76">
        <f t="shared" si="1"/>
        <v>2941</v>
      </c>
      <c r="K10" s="269">
        <f t="shared" si="2"/>
        <v>519</v>
      </c>
      <c r="L10" s="237" t="str">
        <f t="shared" ca="1" si="0"/>
        <v>ok</v>
      </c>
    </row>
    <row r="11" spans="1:16">
      <c r="A11">
        <v>3111</v>
      </c>
      <c r="B11">
        <v>16240007</v>
      </c>
      <c r="C11" t="s">
        <v>18697</v>
      </c>
      <c r="D11">
        <v>145</v>
      </c>
      <c r="E11" t="str">
        <f>"145516240007"</f>
        <v>145516240007</v>
      </c>
      <c r="F11">
        <v>2024</v>
      </c>
      <c r="G11">
        <v>4123421</v>
      </c>
      <c r="H11" s="266">
        <v>102.5</v>
      </c>
      <c r="J11" s="76">
        <f t="shared" si="1"/>
        <v>1624</v>
      </c>
      <c r="K11" s="269">
        <f t="shared" si="2"/>
        <v>102.5</v>
      </c>
      <c r="L11" s="237" t="str">
        <f t="shared" ca="1" si="0"/>
        <v>ok</v>
      </c>
      <c r="O11" t="s">
        <v>17320</v>
      </c>
      <c r="P11" t="s">
        <v>17320</v>
      </c>
    </row>
    <row r="12" spans="1:16">
      <c r="A12">
        <v>3111</v>
      </c>
      <c r="B12">
        <v>16360007</v>
      </c>
      <c r="C12" t="s">
        <v>18749</v>
      </c>
      <c r="D12">
        <v>145</v>
      </c>
      <c r="E12" t="str">
        <f>"145516360007"</f>
        <v>145516360007</v>
      </c>
      <c r="F12">
        <v>2024</v>
      </c>
      <c r="G12">
        <v>4123546</v>
      </c>
      <c r="H12" s="266">
        <v>913</v>
      </c>
      <c r="J12" s="76">
        <f t="shared" si="1"/>
        <v>1636</v>
      </c>
      <c r="K12" s="269">
        <f t="shared" si="2"/>
        <v>913</v>
      </c>
      <c r="L12" s="237" t="str">
        <f t="shared" ca="1" si="0"/>
        <v>ok</v>
      </c>
    </row>
    <row r="13" spans="1:16">
      <c r="A13">
        <v>3111</v>
      </c>
      <c r="B13">
        <v>29240007</v>
      </c>
      <c r="C13" t="s">
        <v>15153</v>
      </c>
      <c r="D13">
        <v>145</v>
      </c>
      <c r="E13" t="str">
        <f>"145529240007"</f>
        <v>145529240007</v>
      </c>
      <c r="F13">
        <v>2024</v>
      </c>
      <c r="G13">
        <v>4123471</v>
      </c>
      <c r="H13" s="266">
        <v>809.5</v>
      </c>
      <c r="J13" s="76">
        <f t="shared" si="1"/>
        <v>2924</v>
      </c>
      <c r="K13" s="269">
        <f t="shared" si="2"/>
        <v>809.5</v>
      </c>
      <c r="L13" s="237" t="str">
        <f t="shared" ca="1" si="0"/>
        <v>ok</v>
      </c>
    </row>
    <row r="14" spans="1:16">
      <c r="A14">
        <v>3111</v>
      </c>
      <c r="B14">
        <v>52144000</v>
      </c>
      <c r="C14" t="s">
        <v>15450</v>
      </c>
      <c r="D14">
        <v>146</v>
      </c>
      <c r="E14" t="str">
        <f>"146052144000"</f>
        <v>146052144000</v>
      </c>
      <c r="F14">
        <v>2024</v>
      </c>
      <c r="G14" t="str">
        <f>"3224146000"</f>
        <v>3224146000</v>
      </c>
      <c r="H14" s="266">
        <v>113</v>
      </c>
      <c r="J14" s="76">
        <f t="shared" si="1"/>
        <v>5214</v>
      </c>
      <c r="K14" s="269">
        <f t="shared" si="2"/>
        <v>113</v>
      </c>
      <c r="L14" s="237" t="str">
        <f t="shared" ca="1" si="0"/>
        <v>ok</v>
      </c>
    </row>
    <row r="15" spans="1:16">
      <c r="A15">
        <v>3111</v>
      </c>
      <c r="B15">
        <v>20034619</v>
      </c>
      <c r="C15" t="s">
        <v>2568</v>
      </c>
      <c r="D15">
        <v>151</v>
      </c>
      <c r="E15" t="str">
        <f>"151020034619"</f>
        <v>151020034619</v>
      </c>
      <c r="F15">
        <v>2024</v>
      </c>
      <c r="G15" t="str">
        <f>"3224151004"</f>
        <v>3224151004</v>
      </c>
      <c r="H15" s="266">
        <v>608.5</v>
      </c>
      <c r="J15" s="76">
        <f t="shared" si="1"/>
        <v>2003</v>
      </c>
      <c r="K15" s="269">
        <f t="shared" si="2"/>
        <v>608.5</v>
      </c>
      <c r="L15" s="237" t="str">
        <f t="shared" ca="1" si="0"/>
        <v>ok</v>
      </c>
    </row>
    <row r="16" spans="1:16">
      <c r="A16">
        <v>3111</v>
      </c>
      <c r="B16">
        <v>22024602</v>
      </c>
      <c r="C16" t="str">
        <f>"PP M-SO WP.DR.KL1 JAS.Z SZYN.RO1"</f>
        <v>PP M-SO WP.DR.KL1 JAS.Z SZYN.RO1</v>
      </c>
      <c r="D16">
        <v>151</v>
      </c>
      <c r="E16" t="str">
        <f>"151022024602"</f>
        <v>151022024602</v>
      </c>
      <c r="F16">
        <v>2024</v>
      </c>
      <c r="G16" t="str">
        <f>"3224151005"</f>
        <v>3224151005</v>
      </c>
      <c r="H16" s="266">
        <v>192.5</v>
      </c>
      <c r="J16" s="76">
        <f t="shared" si="1"/>
        <v>2202</v>
      </c>
      <c r="K16" s="269">
        <f t="shared" si="2"/>
        <v>192.5</v>
      </c>
      <c r="L16" s="237" t="str">
        <f t="shared" ca="1" si="0"/>
        <v>ok</v>
      </c>
    </row>
    <row r="17" spans="1:12">
      <c r="A17">
        <v>3111</v>
      </c>
      <c r="B17">
        <v>30120612</v>
      </c>
      <c r="C17" t="s">
        <v>3548</v>
      </c>
      <c r="D17">
        <v>151</v>
      </c>
      <c r="E17" t="str">
        <f>"151030120612"</f>
        <v>151030120612</v>
      </c>
      <c r="F17">
        <v>2024</v>
      </c>
      <c r="G17" t="str">
        <f>"3224151000"</f>
        <v>3224151000</v>
      </c>
      <c r="H17" s="266">
        <v>1895.5</v>
      </c>
      <c r="J17" s="76">
        <f t="shared" si="1"/>
        <v>3012</v>
      </c>
      <c r="K17" s="269">
        <f t="shared" si="2"/>
        <v>1895.5</v>
      </c>
      <c r="L17" s="237" t="str">
        <f t="shared" ca="1" si="0"/>
        <v>ok</v>
      </c>
    </row>
    <row r="18" spans="1:12">
      <c r="A18">
        <v>3111</v>
      </c>
      <c r="B18">
        <v>30200602</v>
      </c>
      <c r="C18" t="str">
        <f>"IKA PODUD.B/K.Z/S.ROZ.100% RO1"</f>
        <v>IKA PODUD.B/K.Z/S.ROZ.100% RO1</v>
      </c>
      <c r="D18">
        <v>151</v>
      </c>
      <c r="E18" t="str">
        <f>"151030200602"</f>
        <v>151030200602</v>
      </c>
      <c r="F18">
        <v>2024</v>
      </c>
      <c r="G18" t="str">
        <f>"3224151009"</f>
        <v>3224151009</v>
      </c>
      <c r="H18" s="266">
        <v>1182</v>
      </c>
      <c r="J18" s="76">
        <f t="shared" si="1"/>
        <v>3020</v>
      </c>
      <c r="K18" s="269">
        <f t="shared" si="2"/>
        <v>1182</v>
      </c>
      <c r="L18" s="237" t="str">
        <f t="shared" ca="1" si="0"/>
        <v>ok</v>
      </c>
    </row>
    <row r="19" spans="1:12">
      <c r="A19">
        <v>3111</v>
      </c>
      <c r="B19">
        <v>50410000</v>
      </c>
      <c r="C19" t="s">
        <v>382</v>
      </c>
      <c r="D19">
        <v>151</v>
      </c>
      <c r="E19" t="str">
        <f>"151050410000"</f>
        <v>151050410000</v>
      </c>
      <c r="F19">
        <v>2024</v>
      </c>
      <c r="G19" t="str">
        <f>"3224151001"</f>
        <v>3224151001</v>
      </c>
      <c r="H19" s="266">
        <v>1491</v>
      </c>
      <c r="J19" s="76">
        <f t="shared" si="1"/>
        <v>5041</v>
      </c>
      <c r="K19" s="269">
        <f t="shared" si="2"/>
        <v>1491</v>
      </c>
      <c r="L19" s="237" t="str">
        <f t="shared" ca="1" si="0"/>
        <v>ok</v>
      </c>
    </row>
    <row r="20" spans="1:12">
      <c r="A20">
        <v>3111</v>
      </c>
      <c r="B20">
        <v>50420000</v>
      </c>
      <c r="C20" t="s">
        <v>383</v>
      </c>
      <c r="D20">
        <v>151</v>
      </c>
      <c r="E20" t="str">
        <f>"151050420000"</f>
        <v>151050420000</v>
      </c>
      <c r="F20">
        <v>2024</v>
      </c>
      <c r="G20" t="str">
        <f>"3224151007"</f>
        <v>3224151007</v>
      </c>
      <c r="H20" s="266">
        <v>2680.5</v>
      </c>
      <c r="J20" s="76">
        <f t="shared" si="1"/>
        <v>5042</v>
      </c>
      <c r="K20" s="269">
        <f t="shared" si="2"/>
        <v>2680.5</v>
      </c>
      <c r="L20" s="237" t="str">
        <f t="shared" ca="1" si="0"/>
        <v>ok</v>
      </c>
    </row>
    <row r="21" spans="1:12">
      <c r="A21">
        <v>3111</v>
      </c>
      <c r="B21">
        <v>51150000</v>
      </c>
      <c r="C21" t="s">
        <v>372</v>
      </c>
      <c r="D21">
        <v>151</v>
      </c>
      <c r="E21" t="str">
        <f>"151051150000"</f>
        <v>151051150000</v>
      </c>
      <c r="F21">
        <v>2024</v>
      </c>
      <c r="G21" t="str">
        <f>"3224151009"</f>
        <v>3224151009</v>
      </c>
      <c r="H21" s="266">
        <v>1009</v>
      </c>
      <c r="J21" s="76">
        <f t="shared" si="1"/>
        <v>5115</v>
      </c>
      <c r="K21" s="269">
        <f t="shared" si="2"/>
        <v>1009</v>
      </c>
      <c r="L21" s="237" t="str">
        <f t="shared" ca="1" si="0"/>
        <v>ok</v>
      </c>
    </row>
    <row r="22" spans="1:12">
      <c r="A22">
        <v>3111</v>
      </c>
      <c r="B22">
        <v>53510000</v>
      </c>
      <c r="C22" t="s">
        <v>3729</v>
      </c>
      <c r="D22">
        <v>151</v>
      </c>
      <c r="E22" t="str">
        <f>"151053510000"</f>
        <v>151053510000</v>
      </c>
      <c r="F22">
        <v>2024</v>
      </c>
      <c r="G22" t="str">
        <f>"3224151005"</f>
        <v>3224151005</v>
      </c>
      <c r="H22" s="266">
        <v>1401</v>
      </c>
      <c r="J22" s="76">
        <f t="shared" si="1"/>
        <v>5351</v>
      </c>
      <c r="K22" s="269">
        <f t="shared" si="2"/>
        <v>1401</v>
      </c>
      <c r="L22" s="237" t="str">
        <f t="shared" ca="1" si="0"/>
        <v>ok</v>
      </c>
    </row>
    <row r="23" spans="1:12">
      <c r="A23">
        <v>3111</v>
      </c>
      <c r="B23">
        <v>53530000</v>
      </c>
      <c r="C23" t="s">
        <v>373</v>
      </c>
      <c r="D23">
        <v>151</v>
      </c>
      <c r="E23" t="str">
        <f>"151053530000"</f>
        <v>151053530000</v>
      </c>
      <c r="F23">
        <v>2024</v>
      </c>
      <c r="G23" t="str">
        <f>"3224151002"</f>
        <v>3224151002</v>
      </c>
      <c r="H23" s="266">
        <v>5929.5</v>
      </c>
      <c r="J23" s="76">
        <f t="shared" si="1"/>
        <v>5353</v>
      </c>
      <c r="K23" s="269">
        <f t="shared" si="2"/>
        <v>5929.5</v>
      </c>
      <c r="L23" s="237" t="str">
        <f t="shared" ca="1" si="0"/>
        <v>ok</v>
      </c>
    </row>
    <row r="24" spans="1:12">
      <c r="A24">
        <v>3111</v>
      </c>
      <c r="B24">
        <v>53620000</v>
      </c>
      <c r="C24" t="s">
        <v>387</v>
      </c>
      <c r="D24">
        <v>151</v>
      </c>
      <c r="E24" t="str">
        <f>"151053620000"</f>
        <v>151053620000</v>
      </c>
      <c r="F24">
        <v>2024</v>
      </c>
      <c r="G24" t="str">
        <f>"3224151003"</f>
        <v>3224151003</v>
      </c>
      <c r="H24" s="266">
        <v>1167.5</v>
      </c>
      <c r="J24" s="76">
        <f t="shared" si="1"/>
        <v>5362</v>
      </c>
      <c r="K24" s="269">
        <f t="shared" si="2"/>
        <v>1167.5</v>
      </c>
      <c r="L24" s="237" t="str">
        <f t="shared" ca="1" si="0"/>
        <v>ok</v>
      </c>
    </row>
    <row r="25" spans="1:12">
      <c r="A25">
        <v>3111</v>
      </c>
      <c r="B25">
        <v>53890000</v>
      </c>
      <c r="C25" t="s">
        <v>400</v>
      </c>
      <c r="D25">
        <v>151</v>
      </c>
      <c r="E25" t="str">
        <f>"151053890000"</f>
        <v>151053890000</v>
      </c>
      <c r="F25">
        <v>2024</v>
      </c>
      <c r="G25" t="str">
        <f>"3224151000"</f>
        <v>3224151000</v>
      </c>
      <c r="H25" s="266">
        <v>15959.5</v>
      </c>
      <c r="J25" s="76">
        <f t="shared" si="1"/>
        <v>5389</v>
      </c>
      <c r="K25" s="269">
        <f t="shared" si="2"/>
        <v>15959.5</v>
      </c>
      <c r="L25" s="237" t="str">
        <f t="shared" ca="1" si="0"/>
        <v>ok</v>
      </c>
    </row>
    <row r="26" spans="1:12">
      <c r="A26">
        <v>3111</v>
      </c>
      <c r="B26">
        <v>64999000</v>
      </c>
      <c r="C26" t="s">
        <v>15965</v>
      </c>
      <c r="D26">
        <v>151</v>
      </c>
      <c r="E26" t="str">
        <f>"151064630000"</f>
        <v>151064630000</v>
      </c>
      <c r="F26">
        <v>2024</v>
      </c>
      <c r="G26" t="str">
        <f>"3224151010"</f>
        <v>3224151010</v>
      </c>
      <c r="H26" s="266">
        <v>136</v>
      </c>
      <c r="J26" s="76">
        <f t="shared" si="1"/>
        <v>6499</v>
      </c>
      <c r="K26" s="269">
        <f t="shared" si="2"/>
        <v>136</v>
      </c>
      <c r="L26" s="237" t="str">
        <f t="shared" ca="1" si="0"/>
        <v>ok</v>
      </c>
    </row>
    <row r="27" spans="1:12">
      <c r="A27">
        <v>3111</v>
      </c>
      <c r="B27">
        <v>64999000</v>
      </c>
      <c r="C27" t="s">
        <v>15965</v>
      </c>
      <c r="D27">
        <v>151</v>
      </c>
      <c r="E27" t="str">
        <f>"151064850000"</f>
        <v>151064850000</v>
      </c>
      <c r="F27">
        <v>2024</v>
      </c>
      <c r="G27" t="str">
        <f>"3224151011"</f>
        <v>3224151011</v>
      </c>
      <c r="H27" s="266">
        <v>91.5</v>
      </c>
      <c r="J27" s="76">
        <f t="shared" si="1"/>
        <v>6499</v>
      </c>
      <c r="K27" s="269">
        <f t="shared" si="2"/>
        <v>91.5</v>
      </c>
      <c r="L27" s="237" t="str">
        <f t="shared" ca="1" si="0"/>
        <v>ok</v>
      </c>
    </row>
    <row r="28" spans="1:12">
      <c r="A28">
        <v>3111</v>
      </c>
      <c r="B28">
        <v>64489000</v>
      </c>
      <c r="C28" t="s">
        <v>18808</v>
      </c>
      <c r="D28">
        <v>151</v>
      </c>
      <c r="E28" t="str">
        <f>"151065130000"</f>
        <v>151065130000</v>
      </c>
      <c r="F28">
        <v>2024</v>
      </c>
      <c r="G28" t="str">
        <f>"3224151013"</f>
        <v>3224151013</v>
      </c>
      <c r="H28" s="266">
        <v>219.5</v>
      </c>
      <c r="J28" s="76">
        <f t="shared" si="1"/>
        <v>6448</v>
      </c>
      <c r="K28" s="269">
        <f t="shared" si="2"/>
        <v>219.5</v>
      </c>
      <c r="L28" s="237" t="str">
        <f t="shared" ca="1" si="0"/>
        <v>ok</v>
      </c>
    </row>
    <row r="29" spans="1:12">
      <c r="A29">
        <v>3111</v>
      </c>
      <c r="B29">
        <v>64489000</v>
      </c>
      <c r="C29" t="s">
        <v>18808</v>
      </c>
      <c r="D29">
        <v>151</v>
      </c>
      <c r="E29" t="str">
        <f>"151065790000"</f>
        <v>151065790000</v>
      </c>
      <c r="F29">
        <v>2024</v>
      </c>
      <c r="G29" t="str">
        <f>"3224151014"</f>
        <v>3224151014</v>
      </c>
      <c r="H29" s="266">
        <v>211.5</v>
      </c>
      <c r="J29" s="76">
        <f t="shared" si="1"/>
        <v>6448</v>
      </c>
      <c r="K29" s="269">
        <f t="shared" si="2"/>
        <v>211.5</v>
      </c>
      <c r="L29" s="237" t="str">
        <f t="shared" ca="1" si="0"/>
        <v>ok</v>
      </c>
    </row>
    <row r="30" spans="1:12">
      <c r="A30">
        <v>3111</v>
      </c>
      <c r="B30">
        <v>64999000</v>
      </c>
      <c r="C30" t="s">
        <v>15965</v>
      </c>
      <c r="D30">
        <v>151</v>
      </c>
      <c r="E30" t="str">
        <f>"151066290000"</f>
        <v>151066290000</v>
      </c>
      <c r="F30">
        <v>2024</v>
      </c>
      <c r="G30" t="str">
        <f>"3224151015"</f>
        <v>3224151015</v>
      </c>
      <c r="H30" s="266">
        <v>109.5</v>
      </c>
      <c r="J30" s="76">
        <f t="shared" si="1"/>
        <v>6499</v>
      </c>
      <c r="K30" s="269">
        <f t="shared" si="2"/>
        <v>109.5</v>
      </c>
      <c r="L30" s="237" t="str">
        <f t="shared" ca="1" si="0"/>
        <v>ok</v>
      </c>
    </row>
    <row r="31" spans="1:12">
      <c r="A31">
        <v>3111</v>
      </c>
      <c r="B31">
        <v>64999000</v>
      </c>
      <c r="C31" t="s">
        <v>15965</v>
      </c>
      <c r="D31">
        <v>151</v>
      </c>
      <c r="E31" t="str">
        <f>"151066990000"</f>
        <v>151066990000</v>
      </c>
      <c r="F31">
        <v>2024</v>
      </c>
      <c r="G31" t="str">
        <f>"3224151016"</f>
        <v>3224151016</v>
      </c>
      <c r="H31" s="266">
        <v>248.5</v>
      </c>
      <c r="J31" s="76">
        <f t="shared" si="1"/>
        <v>6499</v>
      </c>
      <c r="K31" s="269">
        <f t="shared" si="2"/>
        <v>248.5</v>
      </c>
      <c r="L31" s="237" t="str">
        <f t="shared" ca="1" si="0"/>
        <v>ok</v>
      </c>
    </row>
    <row r="32" spans="1:12">
      <c r="A32">
        <v>3111</v>
      </c>
      <c r="B32">
        <v>64489000</v>
      </c>
      <c r="C32" t="s">
        <v>18808</v>
      </c>
      <c r="D32">
        <v>151</v>
      </c>
      <c r="E32" t="str">
        <f>"151070500000"</f>
        <v>151070500000</v>
      </c>
      <c r="F32">
        <v>2024</v>
      </c>
      <c r="G32" t="str">
        <f>"3224151018"</f>
        <v>3224151018</v>
      </c>
      <c r="H32" s="266">
        <v>24</v>
      </c>
      <c r="J32" s="76">
        <f t="shared" si="1"/>
        <v>6448</v>
      </c>
      <c r="K32" s="269">
        <f t="shared" si="2"/>
        <v>24</v>
      </c>
      <c r="L32" s="237" t="str">
        <f t="shared" ca="1" si="0"/>
        <v>ok</v>
      </c>
    </row>
    <row r="33" spans="1:12">
      <c r="A33">
        <v>3111</v>
      </c>
      <c r="B33">
        <v>64999000</v>
      </c>
      <c r="C33" t="s">
        <v>15965</v>
      </c>
      <c r="D33">
        <v>151</v>
      </c>
      <c r="E33" t="str">
        <f>"151070510000"</f>
        <v>151070510000</v>
      </c>
      <c r="F33">
        <v>2024</v>
      </c>
      <c r="G33" t="str">
        <f>"3224151019"</f>
        <v>3224151019</v>
      </c>
      <c r="H33" s="266">
        <v>13.5</v>
      </c>
      <c r="J33" s="76">
        <f t="shared" si="1"/>
        <v>6499</v>
      </c>
      <c r="K33" s="269">
        <f t="shared" si="2"/>
        <v>13.5</v>
      </c>
      <c r="L33" s="237" t="str">
        <f t="shared" ca="1" si="0"/>
        <v>ok</v>
      </c>
    </row>
    <row r="34" spans="1:12">
      <c r="A34">
        <v>3111</v>
      </c>
      <c r="B34">
        <v>64999000</v>
      </c>
      <c r="C34" t="s">
        <v>15965</v>
      </c>
      <c r="D34">
        <v>151</v>
      </c>
      <c r="E34" t="str">
        <f>"151070880000"</f>
        <v>151070880000</v>
      </c>
      <c r="F34">
        <v>2024</v>
      </c>
      <c r="G34" t="str">
        <f>"3224151020"</f>
        <v>3224151020</v>
      </c>
      <c r="H34" s="266">
        <v>55</v>
      </c>
      <c r="J34" s="76">
        <f t="shared" si="1"/>
        <v>6499</v>
      </c>
      <c r="K34" s="269">
        <f t="shared" si="2"/>
        <v>55</v>
      </c>
      <c r="L34" s="237" t="str">
        <f t="shared" ca="1" si="0"/>
        <v>ok</v>
      </c>
    </row>
    <row r="35" spans="1:12">
      <c r="A35">
        <v>3111</v>
      </c>
      <c r="B35">
        <v>50410000</v>
      </c>
      <c r="C35" t="s">
        <v>382</v>
      </c>
      <c r="D35">
        <v>151</v>
      </c>
      <c r="E35" t="str">
        <f>"151150410000"</f>
        <v>151150410000</v>
      </c>
      <c r="F35">
        <v>2024</v>
      </c>
      <c r="G35" t="str">
        <f>"3224151006"</f>
        <v>3224151006</v>
      </c>
      <c r="H35" s="266">
        <v>1060</v>
      </c>
      <c r="J35" s="76">
        <f t="shared" si="1"/>
        <v>5041</v>
      </c>
      <c r="K35" s="269">
        <f t="shared" ref="K35:K66" si="3">H35</f>
        <v>1060</v>
      </c>
      <c r="L35" s="237" t="str">
        <f t="shared" ref="L35:L57" ca="1" si="4">IF(OR(IFERROR(VLOOKUP(J35,WEN_SUR,1,0),0),IFERROR(VLOOKUP(J35,WEN_NAS,1,0),0),IFERROR(VLOOKUP(J35,MDR_I1,1,0),0),IFERROR(VLOOKUP(J35,MDR_I2,1,0),0),IFERROR(VLOOKUP(J35,MDR_I3,1,0),0),IFERROR(VLOOKUP(J35,MDR_I4,1,0),0),IFERROR(VLOOKUP(J35,MDR_I5,1,0),0),IFERROR(VLOOKUP(J35,FARSZE,1,0),0)),"ok","brak w bazie")</f>
        <v>ok</v>
      </c>
    </row>
    <row r="36" spans="1:12">
      <c r="A36">
        <v>3111</v>
      </c>
      <c r="B36">
        <v>15590007</v>
      </c>
      <c r="C36" t="s">
        <v>14680</v>
      </c>
      <c r="D36">
        <v>151</v>
      </c>
      <c r="E36" t="str">
        <f>"151415590007"</f>
        <v>151415590007</v>
      </c>
      <c r="F36">
        <v>2024</v>
      </c>
      <c r="G36">
        <v>4126251</v>
      </c>
      <c r="H36" s="266">
        <v>632.5</v>
      </c>
      <c r="J36" s="76">
        <f t="shared" si="1"/>
        <v>1559</v>
      </c>
      <c r="K36" s="269">
        <f t="shared" si="3"/>
        <v>632.5</v>
      </c>
      <c r="L36" s="237" t="str">
        <f t="shared" ca="1" si="4"/>
        <v>ok</v>
      </c>
    </row>
    <row r="37" spans="1:12">
      <c r="A37">
        <v>3111</v>
      </c>
      <c r="B37">
        <v>20290007</v>
      </c>
      <c r="C37" t="s">
        <v>14681</v>
      </c>
      <c r="D37">
        <v>151</v>
      </c>
      <c r="E37" t="str">
        <f>"151420290007"</f>
        <v>151420290007</v>
      </c>
      <c r="F37">
        <v>2024</v>
      </c>
      <c r="G37">
        <v>4126804</v>
      </c>
      <c r="H37" s="266">
        <v>3241.5</v>
      </c>
      <c r="J37" s="76">
        <f t="shared" si="1"/>
        <v>2029</v>
      </c>
      <c r="K37" s="269">
        <f t="shared" si="3"/>
        <v>3241.5</v>
      </c>
      <c r="L37" s="237" t="str">
        <f t="shared" ca="1" si="4"/>
        <v>ok</v>
      </c>
    </row>
    <row r="38" spans="1:12">
      <c r="A38">
        <v>3111</v>
      </c>
      <c r="B38">
        <v>20614007</v>
      </c>
      <c r="C38" t="s">
        <v>2720</v>
      </c>
      <c r="D38">
        <v>151</v>
      </c>
      <c r="E38" t="str">
        <f>"151420614007"</f>
        <v>151420614007</v>
      </c>
      <c r="F38">
        <v>2024</v>
      </c>
      <c r="G38">
        <v>4126418</v>
      </c>
      <c r="H38" s="266">
        <v>1234.5</v>
      </c>
      <c r="J38" s="76">
        <f t="shared" si="1"/>
        <v>2061</v>
      </c>
      <c r="K38" s="269">
        <f t="shared" si="3"/>
        <v>1234.5</v>
      </c>
      <c r="L38" s="237" t="str">
        <f t="shared" ca="1" si="4"/>
        <v>ok</v>
      </c>
    </row>
    <row r="39" spans="1:12">
      <c r="A39">
        <v>3111</v>
      </c>
      <c r="B39">
        <v>22044007</v>
      </c>
      <c r="C39" t="str">
        <f>"PP M-SO WP.DR.KL2A USR PBX ST1"</f>
        <v>PP M-SO WP.DR.KL2A USR PBX ST1</v>
      </c>
      <c r="D39">
        <v>151</v>
      </c>
      <c r="E39" t="str">
        <f>"151422044007"</f>
        <v>151422044007</v>
      </c>
      <c r="F39">
        <v>2024</v>
      </c>
      <c r="G39">
        <v>4125853</v>
      </c>
      <c r="H39" s="266">
        <v>595</v>
      </c>
      <c r="J39" s="76">
        <f t="shared" si="1"/>
        <v>2204</v>
      </c>
      <c r="K39" s="269">
        <f t="shared" si="3"/>
        <v>595</v>
      </c>
      <c r="L39" s="237" t="str">
        <f t="shared" ca="1" si="4"/>
        <v>ok</v>
      </c>
    </row>
    <row r="40" spans="1:12">
      <c r="A40">
        <v>3111</v>
      </c>
      <c r="B40">
        <v>22044207</v>
      </c>
      <c r="C40" t="str">
        <f>"PP M-SO WP.DR.KL2A Z SZYN.PBX ST1"</f>
        <v>PP M-SO WP.DR.KL2A Z SZYN.PBX ST1</v>
      </c>
      <c r="D40">
        <v>151</v>
      </c>
      <c r="E40" t="str">
        <f>"151422044207"</f>
        <v>151422044207</v>
      </c>
      <c r="F40">
        <v>2024</v>
      </c>
      <c r="G40">
        <v>4125859</v>
      </c>
      <c r="H40" s="266">
        <v>606</v>
      </c>
      <c r="J40" s="76">
        <f t="shared" si="1"/>
        <v>2204</v>
      </c>
      <c r="K40" s="269">
        <f t="shared" si="3"/>
        <v>606</v>
      </c>
      <c r="L40" s="237" t="str">
        <f t="shared" ca="1" si="4"/>
        <v>ok</v>
      </c>
    </row>
    <row r="41" spans="1:12">
      <c r="A41">
        <v>3111</v>
      </c>
      <c r="B41">
        <v>22054207</v>
      </c>
      <c r="C41" t="str">
        <f>"PP M-SO WP.DR.KL2B Z SZYN.PBX ST1"</f>
        <v>PP M-SO WP.DR.KL2B Z SZYN.PBX ST1</v>
      </c>
      <c r="D41">
        <v>151</v>
      </c>
      <c r="E41" t="str">
        <f>"151422054207"</f>
        <v>151422054207</v>
      </c>
      <c r="F41">
        <v>2024</v>
      </c>
      <c r="G41">
        <v>4125717</v>
      </c>
      <c r="H41" s="266">
        <v>1692.5</v>
      </c>
      <c r="J41" s="76">
        <f t="shared" si="1"/>
        <v>2205</v>
      </c>
      <c r="K41" s="269">
        <f t="shared" si="3"/>
        <v>1692.5</v>
      </c>
      <c r="L41" s="237" t="str">
        <f t="shared" ca="1" si="4"/>
        <v>ok</v>
      </c>
    </row>
    <row r="42" spans="1:12">
      <c r="A42">
        <v>3111</v>
      </c>
      <c r="B42">
        <v>28180007</v>
      </c>
      <c r="C42" t="s">
        <v>18809</v>
      </c>
      <c r="D42">
        <v>151</v>
      </c>
      <c r="E42" t="str">
        <f>"151428180007"</f>
        <v>151428180007</v>
      </c>
      <c r="F42">
        <v>2024</v>
      </c>
      <c r="G42">
        <v>4126120</v>
      </c>
      <c r="H42" s="266">
        <v>2594.5</v>
      </c>
      <c r="I42" s="266"/>
      <c r="J42" s="76">
        <f t="shared" si="1"/>
        <v>2818</v>
      </c>
      <c r="K42" s="269">
        <f t="shared" si="3"/>
        <v>2594.5</v>
      </c>
      <c r="L42" s="237" t="str">
        <f t="shared" ca="1" si="4"/>
        <v>ok</v>
      </c>
    </row>
    <row r="43" spans="1:12">
      <c r="A43">
        <v>3111</v>
      </c>
      <c r="B43">
        <v>29104007</v>
      </c>
      <c r="C43" t="s">
        <v>14683</v>
      </c>
      <c r="D43">
        <v>151</v>
      </c>
      <c r="E43" t="str">
        <f>"151429104007"</f>
        <v>151429104007</v>
      </c>
      <c r="F43">
        <v>2024</v>
      </c>
      <c r="G43">
        <v>4126110</v>
      </c>
      <c r="H43" s="266">
        <v>10485.5</v>
      </c>
      <c r="I43" s="266"/>
      <c r="J43" s="76">
        <f t="shared" si="1"/>
        <v>2910</v>
      </c>
      <c r="K43" s="269">
        <f t="shared" si="3"/>
        <v>10485.5</v>
      </c>
      <c r="L43" s="237" t="str">
        <f t="shared" ca="1" si="4"/>
        <v>ok</v>
      </c>
    </row>
    <row r="44" spans="1:12">
      <c r="A44">
        <v>3111</v>
      </c>
      <c r="B44">
        <v>29410007</v>
      </c>
      <c r="C44" t="s">
        <v>18748</v>
      </c>
      <c r="D44">
        <v>151</v>
      </c>
      <c r="E44" t="str">
        <f>"151429410007"</f>
        <v>151429410007</v>
      </c>
      <c r="F44">
        <v>2024</v>
      </c>
      <c r="G44">
        <v>4126423</v>
      </c>
      <c r="H44" s="266">
        <v>1080</v>
      </c>
      <c r="I44" s="266"/>
      <c r="J44" s="76">
        <f t="shared" si="1"/>
        <v>2941</v>
      </c>
      <c r="K44" s="269">
        <f t="shared" si="3"/>
        <v>1080</v>
      </c>
      <c r="L44" s="237" t="str">
        <f t="shared" ca="1" si="4"/>
        <v>ok</v>
      </c>
    </row>
    <row r="45" spans="1:12">
      <c r="A45">
        <v>3111</v>
      </c>
      <c r="B45">
        <v>15590007</v>
      </c>
      <c r="C45" t="s">
        <v>14680</v>
      </c>
      <c r="D45">
        <v>151</v>
      </c>
      <c r="E45" t="str">
        <f>"151515590007"</f>
        <v>151515590007</v>
      </c>
      <c r="F45">
        <v>2024</v>
      </c>
      <c r="G45">
        <v>4125764</v>
      </c>
      <c r="H45" s="266">
        <v>721.5</v>
      </c>
      <c r="I45" s="93"/>
      <c r="J45" s="76">
        <f t="shared" si="1"/>
        <v>1559</v>
      </c>
      <c r="K45" s="269">
        <f t="shared" si="3"/>
        <v>721.5</v>
      </c>
      <c r="L45" s="237" t="str">
        <f t="shared" ca="1" si="4"/>
        <v>ok</v>
      </c>
    </row>
    <row r="46" spans="1:12">
      <c r="A46">
        <v>3111</v>
      </c>
      <c r="B46">
        <v>28180007</v>
      </c>
      <c r="C46" t="s">
        <v>18809</v>
      </c>
      <c r="D46">
        <v>151</v>
      </c>
      <c r="E46" t="str">
        <f>"151528180007"</f>
        <v>151528180007</v>
      </c>
      <c r="F46">
        <v>2024</v>
      </c>
      <c r="G46">
        <v>4125675</v>
      </c>
      <c r="H46" s="266">
        <v>590.5</v>
      </c>
      <c r="I46" s="93"/>
      <c r="J46" s="76">
        <f t="shared" si="1"/>
        <v>2818</v>
      </c>
      <c r="K46" s="269">
        <f t="shared" si="3"/>
        <v>590.5</v>
      </c>
      <c r="L46" s="237" t="str">
        <f t="shared" ca="1" si="4"/>
        <v>ok</v>
      </c>
    </row>
    <row r="47" spans="1:12">
      <c r="A47">
        <v>3111</v>
      </c>
      <c r="B47">
        <v>29104007</v>
      </c>
      <c r="C47" t="s">
        <v>14683</v>
      </c>
      <c r="D47">
        <v>151</v>
      </c>
      <c r="E47" t="str">
        <f>"151529104007"</f>
        <v>151529104007</v>
      </c>
      <c r="F47">
        <v>2024</v>
      </c>
      <c r="G47">
        <v>4125665</v>
      </c>
      <c r="H47" s="266">
        <v>4598.5</v>
      </c>
      <c r="I47" s="93"/>
      <c r="J47" s="76">
        <f t="shared" si="1"/>
        <v>2910</v>
      </c>
      <c r="K47" s="269">
        <f t="shared" si="3"/>
        <v>4598.5</v>
      </c>
      <c r="L47" s="237" t="str">
        <f t="shared" ca="1" si="4"/>
        <v>ok</v>
      </c>
    </row>
    <row r="48" spans="1:12">
      <c r="A48"/>
      <c r="B48"/>
      <c r="C48"/>
      <c r="D48"/>
      <c r="E48"/>
      <c r="F48"/>
      <c r="G48"/>
      <c r="H48"/>
      <c r="I48" s="93"/>
      <c r="J48" s="76" t="e">
        <f t="shared" si="1"/>
        <v>#VALUE!</v>
      </c>
      <c r="K48" s="269">
        <f t="shared" si="3"/>
        <v>0</v>
      </c>
      <c r="L48" s="237" t="str">
        <f t="shared" si="4"/>
        <v>brak w bazie</v>
      </c>
    </row>
    <row r="49" spans="1:12">
      <c r="A49"/>
      <c r="B49"/>
      <c r="C49"/>
      <c r="D49"/>
      <c r="E49"/>
      <c r="F49"/>
      <c r="G49"/>
      <c r="H49"/>
      <c r="I49" s="93"/>
      <c r="J49" s="76" t="e">
        <f t="shared" si="1"/>
        <v>#VALUE!</v>
      </c>
      <c r="K49" s="269">
        <f t="shared" si="3"/>
        <v>0</v>
      </c>
      <c r="L49" s="237" t="str">
        <f t="shared" si="4"/>
        <v>brak w bazie</v>
      </c>
    </row>
    <row r="50" spans="1:12">
      <c r="A50"/>
      <c r="B50"/>
      <c r="C50"/>
      <c r="D50"/>
      <c r="E50"/>
      <c r="F50"/>
      <c r="G50"/>
      <c r="H50" s="266"/>
      <c r="I50" s="93"/>
      <c r="J50" s="76" t="e">
        <f t="shared" si="1"/>
        <v>#VALUE!</v>
      </c>
      <c r="K50" s="269">
        <f t="shared" si="3"/>
        <v>0</v>
      </c>
      <c r="L50" s="237" t="str">
        <f t="shared" si="4"/>
        <v>brak w bazie</v>
      </c>
    </row>
    <row r="51" spans="1:12">
      <c r="A51"/>
      <c r="B51"/>
      <c r="C51"/>
      <c r="D51" s="438"/>
      <c r="E51"/>
      <c r="F51"/>
      <c r="G51"/>
      <c r="H51"/>
      <c r="I51" s="93"/>
      <c r="J51" s="76" t="e">
        <f t="shared" si="1"/>
        <v>#VALUE!</v>
      </c>
      <c r="K51" s="269">
        <f t="shared" si="3"/>
        <v>0</v>
      </c>
      <c r="L51" s="237" t="str">
        <f t="shared" si="4"/>
        <v>brak w bazie</v>
      </c>
    </row>
    <row r="52" spans="1:12">
      <c r="A52"/>
      <c r="B52"/>
      <c r="C52"/>
      <c r="D52" s="438"/>
      <c r="E52"/>
      <c r="F52"/>
      <c r="G52"/>
      <c r="H52"/>
      <c r="I52" s="93"/>
      <c r="J52" s="76" t="e">
        <f t="shared" si="1"/>
        <v>#VALUE!</v>
      </c>
      <c r="K52" s="269">
        <f t="shared" si="3"/>
        <v>0</v>
      </c>
      <c r="L52" s="237" t="str">
        <f t="shared" si="4"/>
        <v>brak w bazie</v>
      </c>
    </row>
    <row r="53" spans="1:12">
      <c r="A53"/>
      <c r="B53"/>
      <c r="C53"/>
      <c r="D53" s="438"/>
      <c r="E53"/>
      <c r="F53"/>
      <c r="G53"/>
      <c r="H53"/>
      <c r="I53" s="93"/>
      <c r="J53" s="76" t="e">
        <f t="shared" si="1"/>
        <v>#VALUE!</v>
      </c>
      <c r="K53" s="269">
        <f t="shared" si="3"/>
        <v>0</v>
      </c>
      <c r="L53" s="237" t="str">
        <f t="shared" si="4"/>
        <v>brak w bazie</v>
      </c>
    </row>
    <row r="54" spans="1:12">
      <c r="A54"/>
      <c r="B54"/>
      <c r="C54"/>
      <c r="D54"/>
      <c r="E54"/>
      <c r="F54"/>
      <c r="G54"/>
      <c r="H54" s="266"/>
      <c r="I54" s="93"/>
      <c r="J54" s="76" t="e">
        <f t="shared" si="1"/>
        <v>#VALUE!</v>
      </c>
      <c r="K54" s="269">
        <f t="shared" si="3"/>
        <v>0</v>
      </c>
      <c r="L54" s="237" t="str">
        <f t="shared" si="4"/>
        <v>brak w bazie</v>
      </c>
    </row>
    <row r="55" spans="1:12">
      <c r="A55"/>
      <c r="B55"/>
      <c r="C55"/>
      <c r="D55"/>
      <c r="E55"/>
      <c r="F55"/>
      <c r="G55"/>
      <c r="H55" s="266"/>
      <c r="I55" s="93"/>
      <c r="J55" s="76" t="e">
        <f t="shared" si="1"/>
        <v>#VALUE!</v>
      </c>
      <c r="K55" s="269">
        <f t="shared" si="3"/>
        <v>0</v>
      </c>
      <c r="L55" s="237" t="str">
        <f t="shared" si="4"/>
        <v>brak w bazie</v>
      </c>
    </row>
    <row r="56" spans="1:12">
      <c r="A56"/>
      <c r="B56"/>
      <c r="C56"/>
      <c r="D56"/>
      <c r="E56"/>
      <c r="F56"/>
      <c r="G56"/>
      <c r="H56" s="266"/>
      <c r="I56" s="93"/>
      <c r="J56" s="76" t="e">
        <f t="shared" si="1"/>
        <v>#VALUE!</v>
      </c>
      <c r="K56" s="269">
        <f t="shared" si="3"/>
        <v>0</v>
      </c>
      <c r="L56" s="237" t="str">
        <f t="shared" si="4"/>
        <v>brak w bazie</v>
      </c>
    </row>
    <row r="57" spans="1:12">
      <c r="A57"/>
      <c r="B57"/>
      <c r="C57"/>
      <c r="D57"/>
      <c r="E57"/>
      <c r="F57"/>
      <c r="G57"/>
      <c r="H57" s="266"/>
      <c r="I57" s="93"/>
      <c r="J57" s="76" t="e">
        <f t="shared" si="1"/>
        <v>#VALUE!</v>
      </c>
      <c r="K57" s="269">
        <f t="shared" si="3"/>
        <v>0</v>
      </c>
      <c r="L57" s="237" t="str">
        <f t="shared" si="4"/>
        <v>brak w bazie</v>
      </c>
    </row>
    <row r="58" spans="1:12">
      <c r="A58"/>
      <c r="B58"/>
      <c r="C58"/>
      <c r="D58"/>
      <c r="E58"/>
      <c r="F58"/>
      <c r="G58"/>
      <c r="H58" s="266"/>
      <c r="I58" s="93"/>
      <c r="J58" s="76" t="e">
        <f t="shared" si="1"/>
        <v>#VALUE!</v>
      </c>
      <c r="K58" s="269">
        <f t="shared" si="3"/>
        <v>0</v>
      </c>
      <c r="L58" s="237" t="str">
        <f t="shared" ref="L58:L74" si="5">IF(OR(IFERROR(VLOOKUP(J58,WEN_SUR,1,0),0),IFERROR(VLOOKUP(J58,WEN_NAS,1,0),0),IFERROR(VLOOKUP(J58,MDR_I1,1,0),0),IFERROR(VLOOKUP(J58,MDR_I2,1,0),0),IFERROR(VLOOKUP(J58,MDR_I3,1,0),0),IFERROR(VLOOKUP(J58,MDR_I4,1,0),0),IFERROR(VLOOKUP(J58,MDR_I5,1,0),0),IFERROR(VLOOKUP(J58,FARSZE,1,0),0)),"ok","brak w bazie")</f>
        <v>brak w bazie</v>
      </c>
    </row>
    <row r="59" spans="1:12">
      <c r="A59"/>
      <c r="B59"/>
      <c r="C59"/>
      <c r="D59"/>
      <c r="E59"/>
      <c r="F59"/>
      <c r="G59"/>
      <c r="H59" s="266"/>
      <c r="I59" s="93"/>
      <c r="J59" s="76" t="e">
        <f t="shared" si="1"/>
        <v>#VALUE!</v>
      </c>
      <c r="K59" s="269">
        <f t="shared" si="3"/>
        <v>0</v>
      </c>
      <c r="L59" s="237" t="str">
        <f t="shared" si="5"/>
        <v>brak w bazie</v>
      </c>
    </row>
    <row r="60" spans="1:12" ht="13.5" customHeight="1">
      <c r="A60"/>
      <c r="B60"/>
      <c r="C60"/>
      <c r="D60"/>
      <c r="E60"/>
      <c r="F60"/>
      <c r="G60"/>
      <c r="H60" s="266"/>
      <c r="I60" s="93"/>
      <c r="J60" s="76" t="e">
        <f t="shared" si="1"/>
        <v>#VALUE!</v>
      </c>
      <c r="K60" s="269">
        <f t="shared" si="3"/>
        <v>0</v>
      </c>
      <c r="L60" s="237" t="str">
        <f t="shared" si="5"/>
        <v>brak w bazie</v>
      </c>
    </row>
    <row r="61" spans="1:12">
      <c r="A61"/>
      <c r="B61"/>
      <c r="C61"/>
      <c r="D61"/>
      <c r="E61"/>
      <c r="F61"/>
      <c r="G61"/>
      <c r="H61" s="266"/>
      <c r="I61" s="93"/>
      <c r="J61" s="76" t="e">
        <f t="shared" si="1"/>
        <v>#VALUE!</v>
      </c>
      <c r="K61" s="269">
        <f t="shared" si="3"/>
        <v>0</v>
      </c>
      <c r="L61" s="237" t="str">
        <f t="shared" si="5"/>
        <v>brak w bazie</v>
      </c>
    </row>
    <row r="62" spans="1:12">
      <c r="A62"/>
      <c r="B62"/>
      <c r="C62"/>
      <c r="D62"/>
      <c r="E62"/>
      <c r="F62"/>
      <c r="G62"/>
      <c r="H62" s="266"/>
      <c r="I62" s="93"/>
      <c r="J62" s="76" t="e">
        <f t="shared" si="1"/>
        <v>#VALUE!</v>
      </c>
      <c r="K62" s="269">
        <f t="shared" si="3"/>
        <v>0</v>
      </c>
      <c r="L62" s="237" t="str">
        <f t="shared" si="5"/>
        <v>brak w bazie</v>
      </c>
    </row>
    <row r="63" spans="1:12">
      <c r="A63"/>
      <c r="B63"/>
      <c r="C63"/>
      <c r="D63"/>
      <c r="E63"/>
      <c r="F63"/>
      <c r="G63"/>
      <c r="H63" s="266"/>
      <c r="I63" s="93"/>
      <c r="J63" s="76" t="e">
        <f t="shared" si="1"/>
        <v>#VALUE!</v>
      </c>
      <c r="K63" s="269">
        <f t="shared" si="3"/>
        <v>0</v>
      </c>
      <c r="L63" s="237" t="str">
        <f t="shared" si="5"/>
        <v>brak w bazie</v>
      </c>
    </row>
    <row r="64" spans="1:12">
      <c r="A64"/>
      <c r="B64"/>
      <c r="C64"/>
      <c r="D64"/>
      <c r="E64"/>
      <c r="F64"/>
      <c r="G64"/>
      <c r="H64" s="266"/>
      <c r="I64" s="93"/>
      <c r="J64" s="76" t="e">
        <f t="shared" si="1"/>
        <v>#VALUE!</v>
      </c>
      <c r="K64" s="269">
        <f t="shared" si="3"/>
        <v>0</v>
      </c>
      <c r="L64" s="237" t="str">
        <f t="shared" si="5"/>
        <v>brak w bazie</v>
      </c>
    </row>
    <row r="65" spans="1:12">
      <c r="A65"/>
      <c r="B65"/>
      <c r="C65"/>
      <c r="D65"/>
      <c r="E65"/>
      <c r="F65"/>
      <c r="G65"/>
      <c r="H65" s="266"/>
      <c r="I65" s="93"/>
      <c r="J65" s="76" t="e">
        <f t="shared" si="1"/>
        <v>#VALUE!</v>
      </c>
      <c r="K65" s="269">
        <f t="shared" si="3"/>
        <v>0</v>
      </c>
      <c r="L65" s="237" t="str">
        <f t="shared" si="5"/>
        <v>brak w bazie</v>
      </c>
    </row>
    <row r="66" spans="1:12">
      <c r="A66"/>
      <c r="B66"/>
      <c r="C66"/>
      <c r="D66"/>
      <c r="E66"/>
      <c r="F66"/>
      <c r="G66"/>
      <c r="H66" s="266"/>
      <c r="I66" s="93"/>
      <c r="J66" s="76" t="e">
        <f t="shared" si="1"/>
        <v>#VALUE!</v>
      </c>
      <c r="K66" s="269">
        <f t="shared" si="3"/>
        <v>0</v>
      </c>
      <c r="L66" s="237" t="str">
        <f t="shared" si="5"/>
        <v>brak w bazie</v>
      </c>
    </row>
    <row r="67" spans="1:12">
      <c r="A67"/>
      <c r="B67"/>
      <c r="C67"/>
      <c r="D67"/>
      <c r="E67"/>
      <c r="F67"/>
      <c r="G67"/>
      <c r="H67" s="266"/>
      <c r="I67" s="93"/>
      <c r="J67" s="76" t="e">
        <f t="shared" si="1"/>
        <v>#VALUE!</v>
      </c>
      <c r="K67" s="269">
        <f t="shared" ref="K67:K98" si="6">H67</f>
        <v>0</v>
      </c>
      <c r="L67" s="237" t="str">
        <f t="shared" si="5"/>
        <v>brak w bazie</v>
      </c>
    </row>
    <row r="68" spans="1:12">
      <c r="A68"/>
      <c r="B68"/>
      <c r="C68"/>
      <c r="D68"/>
      <c r="E68"/>
      <c r="F68"/>
      <c r="G68"/>
      <c r="H68" s="266"/>
      <c r="I68" s="93"/>
      <c r="J68" s="76" t="e">
        <f t="shared" si="1"/>
        <v>#VALUE!</v>
      </c>
      <c r="K68" s="269">
        <f t="shared" si="6"/>
        <v>0</v>
      </c>
      <c r="L68" s="237" t="str">
        <f t="shared" si="5"/>
        <v>brak w bazie</v>
      </c>
    </row>
    <row r="69" spans="1:12">
      <c r="A69"/>
      <c r="B69"/>
      <c r="C69"/>
      <c r="D69"/>
      <c r="E69"/>
      <c r="F69"/>
      <c r="G69"/>
      <c r="H69" s="266"/>
      <c r="I69" s="93"/>
      <c r="J69" s="76" t="e">
        <f t="shared" si="1"/>
        <v>#VALUE!</v>
      </c>
      <c r="K69" s="269">
        <f t="shared" si="6"/>
        <v>0</v>
      </c>
      <c r="L69" s="237" t="str">
        <f t="shared" si="5"/>
        <v>brak w bazie</v>
      </c>
    </row>
    <row r="70" spans="1:12" ht="14.1" customHeight="1">
      <c r="A70"/>
      <c r="B70"/>
      <c r="C70"/>
      <c r="D70"/>
      <c r="E70"/>
      <c r="F70"/>
      <c r="G70"/>
      <c r="H70" s="266"/>
      <c r="I70" s="93"/>
      <c r="J70" s="76" t="e">
        <f t="shared" ref="J70:J133" si="7">IF(MID(B70,1,4)*1 = 5226,IF(MID(B70,5,1)*1=4,B70,MID(B70,1,4)*1),MID(B70,1,4)*1)</f>
        <v>#VALUE!</v>
      </c>
      <c r="K70" s="269">
        <f t="shared" si="6"/>
        <v>0</v>
      </c>
      <c r="L70" s="237" t="str">
        <f t="shared" si="5"/>
        <v>brak w bazie</v>
      </c>
    </row>
    <row r="71" spans="1:12" ht="15" customHeight="1">
      <c r="A71"/>
      <c r="B71"/>
      <c r="C71"/>
      <c r="D71"/>
      <c r="E71"/>
      <c r="F71"/>
      <c r="G71"/>
      <c r="H71" s="266"/>
      <c r="I71" s="93"/>
      <c r="J71" s="76" t="e">
        <f t="shared" si="7"/>
        <v>#VALUE!</v>
      </c>
      <c r="K71" s="269">
        <f t="shared" si="6"/>
        <v>0</v>
      </c>
      <c r="L71" s="237" t="str">
        <f t="shared" si="5"/>
        <v>brak w bazie</v>
      </c>
    </row>
    <row r="72" spans="1:12">
      <c r="A72"/>
      <c r="B72"/>
      <c r="C72"/>
      <c r="D72"/>
      <c r="E72"/>
      <c r="F72"/>
      <c r="G72"/>
      <c r="H72" s="266"/>
      <c r="I72" s="93"/>
      <c r="J72" s="76" t="e">
        <f t="shared" si="7"/>
        <v>#VALUE!</v>
      </c>
      <c r="K72" s="269">
        <f t="shared" si="6"/>
        <v>0</v>
      </c>
      <c r="L72" s="237" t="str">
        <f t="shared" si="5"/>
        <v>brak w bazie</v>
      </c>
    </row>
    <row r="73" spans="1:12">
      <c r="A73"/>
      <c r="B73"/>
      <c r="C73"/>
      <c r="D73"/>
      <c r="E73"/>
      <c r="F73"/>
      <c r="G73"/>
      <c r="H73" s="266"/>
      <c r="I73" s="93"/>
      <c r="J73" s="76" t="e">
        <f t="shared" si="7"/>
        <v>#VALUE!</v>
      </c>
      <c r="K73" s="269">
        <f t="shared" si="6"/>
        <v>0</v>
      </c>
      <c r="L73" s="237" t="str">
        <f t="shared" si="5"/>
        <v>brak w bazie</v>
      </c>
    </row>
    <row r="74" spans="1:12">
      <c r="A74"/>
      <c r="B74"/>
      <c r="C74"/>
      <c r="D74"/>
      <c r="E74" s="93"/>
      <c r="F74"/>
      <c r="G74"/>
      <c r="H74" s="93"/>
      <c r="I74" s="93"/>
      <c r="J74" s="76" t="e">
        <f t="shared" si="7"/>
        <v>#VALUE!</v>
      </c>
      <c r="K74" s="269">
        <f t="shared" si="6"/>
        <v>0</v>
      </c>
      <c r="L74" s="237" t="str">
        <f t="shared" si="5"/>
        <v>brak w bazie</v>
      </c>
    </row>
    <row r="75" spans="1:12">
      <c r="A75"/>
      <c r="B75"/>
      <c r="C75"/>
      <c r="D75"/>
      <c r="E75" s="93"/>
      <c r="F75"/>
      <c r="G75"/>
      <c r="H75" s="93"/>
      <c r="I75" s="93"/>
      <c r="J75" s="76" t="e">
        <f t="shared" si="7"/>
        <v>#VALUE!</v>
      </c>
      <c r="K75" s="269">
        <f t="shared" si="6"/>
        <v>0</v>
      </c>
      <c r="L75" s="237" t="str">
        <f t="shared" ref="L75:L77" si="8">IF(OR(IFERROR(VLOOKUP(J75,WEN_SUR,1,0),0),IFERROR(VLOOKUP(J75,WEN_NAS,1,0),0),IFERROR(VLOOKUP(J75,MDR_I1,1,0),0),IFERROR(VLOOKUP(J75,MDR_I2,1,0),0),IFERROR(VLOOKUP(J75,MDR_I3,1,0),0),IFERROR(VLOOKUP(J75,MDR_I4,1,0),0),IFERROR(VLOOKUP(J75,MDR_I5,1,0),0),IFERROR(VLOOKUP(J75,FARSZE,1,0),0)),"ok","brak w bazie")</f>
        <v>brak w bazie</v>
      </c>
    </row>
    <row r="76" spans="1:12">
      <c r="A76"/>
      <c r="B76"/>
      <c r="C76"/>
      <c r="D76"/>
      <c r="E76" s="93"/>
      <c r="F76"/>
      <c r="G76"/>
      <c r="H76" s="93"/>
      <c r="I76" s="93"/>
      <c r="J76" s="76" t="e">
        <f t="shared" si="7"/>
        <v>#VALUE!</v>
      </c>
      <c r="K76" s="269">
        <f t="shared" si="6"/>
        <v>0</v>
      </c>
      <c r="L76" s="237" t="str">
        <f t="shared" si="8"/>
        <v>brak w bazie</v>
      </c>
    </row>
    <row r="77" spans="1:12">
      <c r="A77" s="650"/>
      <c r="B77" s="650"/>
      <c r="C77" s="650"/>
      <c r="D77" s="650"/>
      <c r="E77" s="651"/>
      <c r="F77" s="650"/>
      <c r="G77" s="650"/>
      <c r="H77" s="650"/>
      <c r="I77" s="651"/>
      <c r="J77" s="76" t="e">
        <f t="shared" si="7"/>
        <v>#VALUE!</v>
      </c>
      <c r="K77" s="269">
        <f t="shared" si="6"/>
        <v>0</v>
      </c>
      <c r="L77" s="237" t="str">
        <f t="shared" si="8"/>
        <v>brak w bazie</v>
      </c>
    </row>
    <row r="78" spans="1:12">
      <c r="A78">
        <v>3112</v>
      </c>
      <c r="B78">
        <v>55900000</v>
      </c>
      <c r="C78" t="str">
        <f>"SNAKERSY PAPR.NADZ.KRA"</f>
        <v>SNAKERSY PAPR.NADZ.KRA</v>
      </c>
      <c r="D78">
        <v>145</v>
      </c>
      <c r="E78" t="str">
        <f>"145055900000"</f>
        <v>145055900000</v>
      </c>
      <c r="F78">
        <v>2024</v>
      </c>
      <c r="G78" t="str">
        <f>"3224145000"</f>
        <v>3224145000</v>
      </c>
      <c r="H78" s="266">
        <v>207</v>
      </c>
      <c r="I78" s="266"/>
      <c r="J78" s="76">
        <f t="shared" si="7"/>
        <v>5590</v>
      </c>
      <c r="K78" s="269">
        <f t="shared" si="6"/>
        <v>207</v>
      </c>
      <c r="L78" s="243" t="str">
        <f t="shared" ref="L78:L94" ca="1" si="9">IF(OR(IFERROR(VLOOKUP(J78,FARSZE,1,0),0)),"ok","brak w bazie")</f>
        <v>brak w bazie</v>
      </c>
    </row>
    <row r="79" spans="1:12">
      <c r="A79">
        <v>3112</v>
      </c>
      <c r="B79">
        <v>55520000</v>
      </c>
      <c r="C79" t="s">
        <v>3843</v>
      </c>
      <c r="D79">
        <v>147</v>
      </c>
      <c r="E79" t="str">
        <f>"147055520000"</f>
        <v>147055520000</v>
      </c>
      <c r="F79">
        <v>2024</v>
      </c>
      <c r="G79" t="str">
        <f>"3224147007"</f>
        <v>3224147007</v>
      </c>
      <c r="H79" s="266">
        <v>1100.0999999999999</v>
      </c>
      <c r="I79" s="266"/>
      <c r="J79" s="76">
        <f t="shared" si="7"/>
        <v>5552</v>
      </c>
      <c r="K79" s="269">
        <f t="shared" si="6"/>
        <v>1100.0999999999999</v>
      </c>
      <c r="L79" s="243" t="str">
        <f t="shared" ca="1" si="9"/>
        <v>ok</v>
      </c>
    </row>
    <row r="80" spans="1:12">
      <c r="A80">
        <v>3112</v>
      </c>
      <c r="B80">
        <v>51140000</v>
      </c>
      <c r="C80" t="str">
        <f>"FARSZ NA KIEŁ.SZYNKOWĄ"</f>
        <v>FARSZ NA KIEŁ.SZYNKOWĄ</v>
      </c>
      <c r="D80">
        <v>151</v>
      </c>
      <c r="E80" t="str">
        <f>"151051140000"</f>
        <v>151051140000</v>
      </c>
      <c r="F80">
        <v>2024</v>
      </c>
      <c r="G80" t="str">
        <f>"3224151008"</f>
        <v>3224151008</v>
      </c>
      <c r="H80" s="266">
        <v>1000</v>
      </c>
      <c r="I80" s="266"/>
      <c r="J80" s="76">
        <f t="shared" si="7"/>
        <v>5114</v>
      </c>
      <c r="K80" s="269">
        <f t="shared" si="6"/>
        <v>1000</v>
      </c>
      <c r="L80" s="243" t="str">
        <f t="shared" ca="1" si="9"/>
        <v>ok</v>
      </c>
    </row>
    <row r="81" spans="1:12" ht="16.350000000000001" customHeight="1">
      <c r="A81">
        <v>3112</v>
      </c>
      <c r="B81">
        <v>51350000</v>
      </c>
      <c r="C81" t="s">
        <v>18810</v>
      </c>
      <c r="D81">
        <v>151</v>
      </c>
      <c r="E81" t="str">
        <f>"151051350000"</f>
        <v>151051350000</v>
      </c>
      <c r="F81">
        <v>2024</v>
      </c>
      <c r="G81" t="str">
        <f>"3224151009"</f>
        <v>3224151009</v>
      </c>
      <c r="H81" s="266">
        <v>1300</v>
      </c>
      <c r="I81" s="266"/>
      <c r="J81" s="76">
        <f t="shared" si="7"/>
        <v>5135</v>
      </c>
      <c r="K81" s="269">
        <f t="shared" si="6"/>
        <v>1300</v>
      </c>
      <c r="L81" s="243" t="str">
        <f t="shared" ca="1" si="9"/>
        <v>ok</v>
      </c>
    </row>
    <row r="82" spans="1:12">
      <c r="A82">
        <v>3112</v>
      </c>
      <c r="B82">
        <v>52740000</v>
      </c>
      <c r="C82" t="s">
        <v>421</v>
      </c>
      <c r="D82">
        <v>151</v>
      </c>
      <c r="E82" t="str">
        <f>"151052740000"</f>
        <v>151052740000</v>
      </c>
      <c r="F82">
        <v>2024</v>
      </c>
      <c r="G82" t="str">
        <f>"3224151018"</f>
        <v>3224151018</v>
      </c>
      <c r="H82" s="266">
        <v>6000</v>
      </c>
      <c r="I82" s="266"/>
      <c r="J82" s="76">
        <f t="shared" si="7"/>
        <v>5274</v>
      </c>
      <c r="K82" s="269">
        <f t="shared" si="6"/>
        <v>6000</v>
      </c>
      <c r="L82" s="243" t="str">
        <f t="shared" ca="1" si="9"/>
        <v>ok</v>
      </c>
    </row>
    <row r="83" spans="1:12">
      <c r="A83">
        <v>3112</v>
      </c>
      <c r="B83">
        <v>54300000</v>
      </c>
      <c r="C83" t="s">
        <v>3779</v>
      </c>
      <c r="D83">
        <v>151</v>
      </c>
      <c r="E83" t="str">
        <f>"151054300000"</f>
        <v>151054300000</v>
      </c>
      <c r="F83">
        <v>2024</v>
      </c>
      <c r="G83" t="str">
        <f>"3224151017"</f>
        <v>3224151017</v>
      </c>
      <c r="H83" s="266">
        <v>6000</v>
      </c>
      <c r="I83" s="266"/>
      <c r="J83" s="76">
        <f t="shared" si="7"/>
        <v>5430</v>
      </c>
      <c r="K83" s="269">
        <f t="shared" si="6"/>
        <v>6000</v>
      </c>
      <c r="L83" s="243" t="str">
        <f t="shared" ca="1" si="9"/>
        <v>ok</v>
      </c>
    </row>
    <row r="84" spans="1:12">
      <c r="A84">
        <v>3112</v>
      </c>
      <c r="B84">
        <v>54654000</v>
      </c>
      <c r="C84" t="s">
        <v>3805</v>
      </c>
      <c r="D84">
        <v>151</v>
      </c>
      <c r="E84" t="str">
        <f>"151054654000"</f>
        <v>151054654000</v>
      </c>
      <c r="F84">
        <v>2024</v>
      </c>
      <c r="G84" t="str">
        <f>"3224151001"</f>
        <v>3224151001</v>
      </c>
      <c r="H84" s="266">
        <v>4060.1</v>
      </c>
      <c r="I84" s="266"/>
      <c r="J84" s="76">
        <f t="shared" si="7"/>
        <v>5465</v>
      </c>
      <c r="K84" s="269">
        <f t="shared" si="6"/>
        <v>4060.1</v>
      </c>
      <c r="L84" s="243" t="str">
        <f t="shared" ca="1" si="9"/>
        <v>ok</v>
      </c>
    </row>
    <row r="85" spans="1:12">
      <c r="A85">
        <v>3112</v>
      </c>
      <c r="B85">
        <v>54760000</v>
      </c>
      <c r="C85" t="s">
        <v>3808</v>
      </c>
      <c r="D85">
        <v>151</v>
      </c>
      <c r="E85" t="str">
        <f>"151054760000"</f>
        <v>151054760000</v>
      </c>
      <c r="F85">
        <v>2024</v>
      </c>
      <c r="G85" t="str">
        <f>"3224151021"</f>
        <v>3224151021</v>
      </c>
      <c r="H85" s="266">
        <v>1500</v>
      </c>
      <c r="I85" s="266"/>
      <c r="J85" s="76">
        <f t="shared" si="7"/>
        <v>5476</v>
      </c>
      <c r="K85" s="269">
        <f t="shared" si="6"/>
        <v>1500</v>
      </c>
      <c r="L85" s="243" t="str">
        <f t="shared" ca="1" si="9"/>
        <v>ok</v>
      </c>
    </row>
    <row r="86" spans="1:12">
      <c r="A86">
        <v>3112</v>
      </c>
      <c r="B86">
        <v>55260000</v>
      </c>
      <c r="C86" t="s">
        <v>426</v>
      </c>
      <c r="D86">
        <v>151</v>
      </c>
      <c r="E86" t="str">
        <f>"151055260000"</f>
        <v>151055260000</v>
      </c>
      <c r="F86">
        <v>2024</v>
      </c>
      <c r="G86" t="str">
        <f>"3224151020"</f>
        <v>3224151020</v>
      </c>
      <c r="H86" s="266">
        <v>6000</v>
      </c>
      <c r="I86" s="266"/>
      <c r="J86" s="76">
        <f t="shared" si="7"/>
        <v>5526</v>
      </c>
      <c r="K86" s="269">
        <f t="shared" si="6"/>
        <v>6000</v>
      </c>
      <c r="L86" s="243" t="str">
        <f t="shared" ca="1" si="9"/>
        <v>ok</v>
      </c>
    </row>
    <row r="87" spans="1:12">
      <c r="A87">
        <v>3112</v>
      </c>
      <c r="B87">
        <v>55770000</v>
      </c>
      <c r="C87" t="str">
        <f>"ŚLĄZERKI FARSZ"</f>
        <v>ŚLĄZERKI FARSZ</v>
      </c>
      <c r="D87">
        <v>151</v>
      </c>
      <c r="E87" t="str">
        <f>"151055770000"</f>
        <v>151055770000</v>
      </c>
      <c r="F87">
        <v>2024</v>
      </c>
      <c r="G87" t="str">
        <f>"3224151010"</f>
        <v>3224151010</v>
      </c>
      <c r="H87" s="266">
        <v>6004.3</v>
      </c>
      <c r="I87" s="266"/>
      <c r="J87" s="76">
        <f t="shared" si="7"/>
        <v>5577</v>
      </c>
      <c r="K87" s="269">
        <f t="shared" si="6"/>
        <v>6004.3</v>
      </c>
      <c r="L87" s="243" t="str">
        <f t="shared" ca="1" si="9"/>
        <v>ok</v>
      </c>
    </row>
    <row r="88" spans="1:12">
      <c r="A88">
        <v>3112</v>
      </c>
      <c r="B88">
        <v>55900000</v>
      </c>
      <c r="C88" t="str">
        <f>"SNAKERSY PAPR.NADZ.KRA"</f>
        <v>SNAKERSY PAPR.NADZ.KRA</v>
      </c>
      <c r="D88">
        <v>151</v>
      </c>
      <c r="E88" t="str">
        <f>"151055900000"</f>
        <v>151055900000</v>
      </c>
      <c r="F88">
        <v>2024</v>
      </c>
      <c r="G88" t="str">
        <f>"3224151001"</f>
        <v>3224151001</v>
      </c>
      <c r="H88" s="266">
        <v>250.5</v>
      </c>
      <c r="I88" s="266"/>
      <c r="J88" s="76">
        <f t="shared" si="7"/>
        <v>5590</v>
      </c>
      <c r="K88" s="269">
        <f t="shared" si="6"/>
        <v>250.5</v>
      </c>
      <c r="L88" s="243" t="str">
        <f t="shared" ca="1" si="9"/>
        <v>brak w bazie</v>
      </c>
    </row>
    <row r="89" spans="1:12">
      <c r="A89">
        <v>3112</v>
      </c>
      <c r="B89">
        <v>55920000</v>
      </c>
      <c r="C89" t="s">
        <v>15285</v>
      </c>
      <c r="D89">
        <v>151</v>
      </c>
      <c r="E89" t="str">
        <f>"151055920000"</f>
        <v>151055920000</v>
      </c>
      <c r="F89">
        <v>2024</v>
      </c>
      <c r="G89" t="str">
        <f>"3224151011"</f>
        <v>3224151011</v>
      </c>
      <c r="H89" s="266">
        <v>2540</v>
      </c>
      <c r="J89" s="76">
        <f t="shared" si="7"/>
        <v>5592</v>
      </c>
      <c r="K89" s="269">
        <f t="shared" si="6"/>
        <v>2540</v>
      </c>
      <c r="L89" s="243" t="str">
        <f t="shared" ca="1" si="9"/>
        <v>ok</v>
      </c>
    </row>
    <row r="90" spans="1:12">
      <c r="A90">
        <v>3112</v>
      </c>
      <c r="B90">
        <v>55950000</v>
      </c>
      <c r="C90" t="s">
        <v>15527</v>
      </c>
      <c r="D90">
        <v>151</v>
      </c>
      <c r="E90" t="str">
        <f>"151055950000"</f>
        <v>151055950000</v>
      </c>
      <c r="F90">
        <v>2024</v>
      </c>
      <c r="G90" t="str">
        <f>"3224151014"</f>
        <v>3224151014</v>
      </c>
      <c r="H90" s="266">
        <v>1500</v>
      </c>
      <c r="J90" s="76">
        <f t="shared" si="7"/>
        <v>5595</v>
      </c>
      <c r="K90" s="269">
        <f t="shared" si="6"/>
        <v>1500</v>
      </c>
      <c r="L90" s="243" t="str">
        <f t="shared" ca="1" si="9"/>
        <v>ok</v>
      </c>
    </row>
    <row r="91" spans="1:12">
      <c r="A91">
        <v>3112</v>
      </c>
      <c r="B91">
        <v>56010000</v>
      </c>
      <c r="C91" t="s">
        <v>18811</v>
      </c>
      <c r="D91">
        <v>151</v>
      </c>
      <c r="E91" t="str">
        <f>"151056010000"</f>
        <v>151056010000</v>
      </c>
      <c r="F91">
        <v>2024</v>
      </c>
      <c r="G91" t="str">
        <f>"3224151003"</f>
        <v>3224151003</v>
      </c>
      <c r="H91" s="266">
        <v>3980</v>
      </c>
      <c r="J91" s="76">
        <f t="shared" si="7"/>
        <v>5601</v>
      </c>
      <c r="K91" s="269">
        <f t="shared" si="6"/>
        <v>3980</v>
      </c>
      <c r="L91" s="243" t="str">
        <f t="shared" ca="1" si="9"/>
        <v>ok</v>
      </c>
    </row>
    <row r="92" spans="1:12">
      <c r="A92">
        <v>3112</v>
      </c>
      <c r="B92">
        <v>56920000</v>
      </c>
      <c r="C92" t="s">
        <v>17589</v>
      </c>
      <c r="D92">
        <v>151</v>
      </c>
      <c r="E92" t="str">
        <f>"151056920000"</f>
        <v>151056920000</v>
      </c>
      <c r="F92">
        <v>2024</v>
      </c>
      <c r="G92" t="str">
        <f>"3224151022"</f>
        <v>3224151022</v>
      </c>
      <c r="H92" s="266">
        <v>3408</v>
      </c>
      <c r="J92" s="76">
        <f t="shared" si="7"/>
        <v>5692</v>
      </c>
      <c r="K92" s="269">
        <f t="shared" si="6"/>
        <v>3408</v>
      </c>
      <c r="L92" s="243" t="str">
        <f t="shared" ca="1" si="9"/>
        <v>ok</v>
      </c>
    </row>
    <row r="93" spans="1:12">
      <c r="A93">
        <v>3112</v>
      </c>
      <c r="B93">
        <v>57810000</v>
      </c>
      <c r="C93" t="str">
        <f>"EMULSJA M"</f>
        <v>EMULSJA M</v>
      </c>
      <c r="D93">
        <v>151</v>
      </c>
      <c r="E93" t="str">
        <f>"151057810000"</f>
        <v>151057810000</v>
      </c>
      <c r="F93">
        <v>2024</v>
      </c>
      <c r="G93" t="str">
        <f>"3224151002"</f>
        <v>3224151002</v>
      </c>
      <c r="H93" s="266">
        <v>1000</v>
      </c>
      <c r="J93" s="76">
        <f t="shared" si="7"/>
        <v>5781</v>
      </c>
      <c r="K93" s="269">
        <f t="shared" si="6"/>
        <v>1000</v>
      </c>
      <c r="L93" s="243" t="str">
        <f t="shared" ca="1" si="9"/>
        <v>brak w bazie</v>
      </c>
    </row>
    <row r="94" spans="1:12">
      <c r="A94">
        <v>3112</v>
      </c>
      <c r="B94">
        <v>57814000</v>
      </c>
      <c r="C94" t="str">
        <f>"PP EMULSJA M"</f>
        <v>PP EMULSJA M</v>
      </c>
      <c r="D94">
        <v>151</v>
      </c>
      <c r="E94" t="str">
        <f>"151057814000"</f>
        <v>151057814000</v>
      </c>
      <c r="F94">
        <v>2024</v>
      </c>
      <c r="G94" t="str">
        <f>"3224151000"</f>
        <v>3224151000</v>
      </c>
      <c r="H94" s="266">
        <v>1226</v>
      </c>
      <c r="J94" s="76">
        <f t="shared" si="7"/>
        <v>5781</v>
      </c>
      <c r="K94" s="269">
        <f t="shared" si="6"/>
        <v>1226</v>
      </c>
      <c r="L94" s="243" t="str">
        <f t="shared" ca="1" si="9"/>
        <v>brak w bazie</v>
      </c>
    </row>
    <row r="95" spans="1:12">
      <c r="A95">
        <v>3112</v>
      </c>
      <c r="B95">
        <v>55230000</v>
      </c>
      <c r="C95" t="s">
        <v>18726</v>
      </c>
      <c r="D95">
        <v>151</v>
      </c>
      <c r="E95" t="str">
        <f>"151155230000"</f>
        <v>151155230000</v>
      </c>
      <c r="F95">
        <v>2024</v>
      </c>
      <c r="G95" t="str">
        <f>"3224151007"</f>
        <v>3224151007</v>
      </c>
      <c r="H95" s="266">
        <v>750</v>
      </c>
      <c r="J95" s="76">
        <f t="shared" si="7"/>
        <v>5523</v>
      </c>
      <c r="K95" s="269">
        <f t="shared" si="6"/>
        <v>750</v>
      </c>
      <c r="L95" s="243" t="str">
        <f t="shared" ref="L95:L103" ca="1" si="10">IF(OR(IFERROR(VLOOKUP(J95,FARSZE,1,0),0)),"ok","brak w bazie")</f>
        <v>ok</v>
      </c>
    </row>
    <row r="96" spans="1:12">
      <c r="A96"/>
      <c r="B96"/>
      <c r="C96"/>
      <c r="D96"/>
      <c r="E96"/>
      <c r="F96"/>
      <c r="G96"/>
      <c r="H96" s="266"/>
      <c r="J96" s="76" t="e">
        <f t="shared" si="7"/>
        <v>#VALUE!</v>
      </c>
      <c r="K96" s="269">
        <f t="shared" si="6"/>
        <v>0</v>
      </c>
      <c r="L96" s="243" t="str">
        <f t="shared" si="10"/>
        <v>brak w bazie</v>
      </c>
    </row>
    <row r="97" spans="1:12">
      <c r="A97"/>
      <c r="B97"/>
      <c r="C97"/>
      <c r="D97"/>
      <c r="E97"/>
      <c r="F97"/>
      <c r="G97"/>
      <c r="H97" s="266"/>
      <c r="J97" s="76" t="e">
        <f t="shared" si="7"/>
        <v>#VALUE!</v>
      </c>
      <c r="K97" s="269">
        <f t="shared" si="6"/>
        <v>0</v>
      </c>
      <c r="L97" s="243" t="str">
        <f t="shared" si="10"/>
        <v>brak w bazie</v>
      </c>
    </row>
    <row r="98" spans="1:12">
      <c r="A98"/>
      <c r="B98"/>
      <c r="C98"/>
      <c r="D98" s="438"/>
      <c r="E98"/>
      <c r="F98"/>
      <c r="G98"/>
      <c r="H98"/>
      <c r="J98" s="76" t="e">
        <f t="shared" si="7"/>
        <v>#VALUE!</v>
      </c>
      <c r="K98" s="269">
        <f t="shared" si="6"/>
        <v>0</v>
      </c>
      <c r="L98" s="243" t="str">
        <f t="shared" si="10"/>
        <v>brak w bazie</v>
      </c>
    </row>
    <row r="99" spans="1:12">
      <c r="A99"/>
      <c r="B99"/>
      <c r="C99"/>
      <c r="D99" s="438"/>
      <c r="E99"/>
      <c r="F99"/>
      <c r="G99"/>
      <c r="H99"/>
      <c r="J99" s="76" t="e">
        <f t="shared" si="7"/>
        <v>#VALUE!</v>
      </c>
      <c r="K99" s="269">
        <f t="shared" ref="K99:K116" si="11">H99</f>
        <v>0</v>
      </c>
      <c r="L99" s="243" t="str">
        <f t="shared" si="10"/>
        <v>brak w bazie</v>
      </c>
    </row>
    <row r="100" spans="1:12">
      <c r="A100"/>
      <c r="B100"/>
      <c r="C100"/>
      <c r="D100"/>
      <c r="E100"/>
      <c r="F100"/>
      <c r="G100"/>
      <c r="H100" s="93"/>
      <c r="J100" s="76" t="e">
        <f t="shared" si="7"/>
        <v>#VALUE!</v>
      </c>
      <c r="K100" s="269">
        <f t="shared" si="11"/>
        <v>0</v>
      </c>
      <c r="L100" s="243" t="str">
        <f t="shared" si="10"/>
        <v>brak w bazie</v>
      </c>
    </row>
    <row r="101" spans="1:12">
      <c r="A101"/>
      <c r="B101"/>
      <c r="C101"/>
      <c r="D101"/>
      <c r="E101"/>
      <c r="F101"/>
      <c r="G101"/>
      <c r="H101" s="93"/>
      <c r="J101" s="76" t="e">
        <f t="shared" si="7"/>
        <v>#VALUE!</v>
      </c>
      <c r="K101" s="269">
        <f t="shared" si="11"/>
        <v>0</v>
      </c>
      <c r="L101" s="243" t="str">
        <f t="shared" si="10"/>
        <v>brak w bazie</v>
      </c>
    </row>
    <row r="102" spans="1:12">
      <c r="A102"/>
      <c r="B102"/>
      <c r="C102"/>
      <c r="D102"/>
      <c r="E102"/>
      <c r="F102"/>
      <c r="G102"/>
      <c r="H102" s="93"/>
      <c r="J102" s="76" t="e">
        <f t="shared" si="7"/>
        <v>#VALUE!</v>
      </c>
      <c r="K102" s="269">
        <f t="shared" si="11"/>
        <v>0</v>
      </c>
      <c r="L102" s="243" t="str">
        <f t="shared" si="10"/>
        <v>brak w bazie</v>
      </c>
    </row>
    <row r="103" spans="1:12">
      <c r="A103"/>
      <c r="B103"/>
      <c r="C103"/>
      <c r="D103"/>
      <c r="E103"/>
      <c r="F103"/>
      <c r="G103"/>
      <c r="H103" s="93"/>
      <c r="J103" s="76" t="e">
        <f t="shared" si="7"/>
        <v>#VALUE!</v>
      </c>
      <c r="K103" s="269">
        <f t="shared" si="11"/>
        <v>0</v>
      </c>
      <c r="L103" s="243" t="str">
        <f t="shared" si="10"/>
        <v>brak w bazie</v>
      </c>
    </row>
    <row r="104" spans="1:12">
      <c r="A104"/>
      <c r="B104"/>
      <c r="C104"/>
      <c r="D104"/>
      <c r="E104"/>
      <c r="F104"/>
      <c r="G104"/>
      <c r="H104" s="93"/>
      <c r="J104" s="76" t="e">
        <f t="shared" si="7"/>
        <v>#VALUE!</v>
      </c>
      <c r="K104" s="269">
        <f t="shared" si="11"/>
        <v>0</v>
      </c>
      <c r="L104" s="243" t="str">
        <f t="shared" ref="L104:L119" si="12">IF(OR(IFERROR(VLOOKUP(J104,FARSZE,1,0),0)),"ok","brak w bazie")</f>
        <v>brak w bazie</v>
      </c>
    </row>
    <row r="105" spans="1:12">
      <c r="A105"/>
      <c r="B105"/>
      <c r="C105"/>
      <c r="D105"/>
      <c r="E105"/>
      <c r="F105"/>
      <c r="G105"/>
      <c r="H105" s="93"/>
      <c r="J105" s="76" t="e">
        <f t="shared" si="7"/>
        <v>#VALUE!</v>
      </c>
      <c r="K105" s="269">
        <f t="shared" si="11"/>
        <v>0</v>
      </c>
      <c r="L105" s="243" t="str">
        <f t="shared" si="12"/>
        <v>brak w bazie</v>
      </c>
    </row>
    <row r="106" spans="1:12">
      <c r="A106"/>
      <c r="B106"/>
      <c r="C106"/>
      <c r="D106"/>
      <c r="E106"/>
      <c r="F106"/>
      <c r="G106"/>
      <c r="H106" s="93"/>
      <c r="J106" s="76" t="e">
        <f t="shared" si="7"/>
        <v>#VALUE!</v>
      </c>
      <c r="K106" s="269">
        <f t="shared" si="11"/>
        <v>0</v>
      </c>
      <c r="L106" s="243" t="str">
        <f t="shared" si="12"/>
        <v>brak w bazie</v>
      </c>
    </row>
    <row r="107" spans="1:12">
      <c r="A107"/>
      <c r="B107"/>
      <c r="C107"/>
      <c r="D107"/>
      <c r="E107"/>
      <c r="F107"/>
      <c r="G107"/>
      <c r="H107" s="93"/>
      <c r="J107" s="76" t="e">
        <f t="shared" si="7"/>
        <v>#VALUE!</v>
      </c>
      <c r="K107" s="269">
        <f t="shared" si="11"/>
        <v>0</v>
      </c>
      <c r="L107" s="243" t="str">
        <f t="shared" si="12"/>
        <v>brak w bazie</v>
      </c>
    </row>
    <row r="108" spans="1:12">
      <c r="A108"/>
      <c r="B108"/>
      <c r="C108"/>
      <c r="D108"/>
      <c r="E108" s="93"/>
      <c r="F108"/>
      <c r="G108"/>
      <c r="H108" s="266"/>
      <c r="J108" s="76" t="e">
        <f t="shared" si="7"/>
        <v>#VALUE!</v>
      </c>
      <c r="K108" s="269">
        <f t="shared" si="11"/>
        <v>0</v>
      </c>
      <c r="L108" s="243" t="str">
        <f t="shared" si="12"/>
        <v>brak w bazie</v>
      </c>
    </row>
    <row r="109" spans="1:12">
      <c r="A109"/>
      <c r="B109"/>
      <c r="C109"/>
      <c r="D109"/>
      <c r="E109" s="93"/>
      <c r="F109"/>
      <c r="G109"/>
      <c r="H109" s="266"/>
      <c r="J109" s="76" t="e">
        <f t="shared" si="7"/>
        <v>#VALUE!</v>
      </c>
      <c r="K109" s="269">
        <f t="shared" si="11"/>
        <v>0</v>
      </c>
      <c r="L109" s="243" t="str">
        <f t="shared" si="12"/>
        <v>brak w bazie</v>
      </c>
    </row>
    <row r="110" spans="1:12">
      <c r="A110"/>
      <c r="B110"/>
      <c r="C110"/>
      <c r="D110"/>
      <c r="E110" s="93"/>
      <c r="F110"/>
      <c r="G110"/>
      <c r="H110" s="266"/>
      <c r="J110" s="76" t="e">
        <f t="shared" si="7"/>
        <v>#VALUE!</v>
      </c>
      <c r="K110" s="269">
        <f t="shared" si="11"/>
        <v>0</v>
      </c>
      <c r="L110" s="243" t="str">
        <f t="shared" si="12"/>
        <v>brak w bazie</v>
      </c>
    </row>
    <row r="111" spans="1:12">
      <c r="A111"/>
      <c r="B111"/>
      <c r="C111"/>
      <c r="D111"/>
      <c r="E111" s="93"/>
      <c r="F111"/>
      <c r="G111"/>
      <c r="H111" s="266"/>
      <c r="J111" s="76" t="e">
        <f t="shared" si="7"/>
        <v>#VALUE!</v>
      </c>
      <c r="K111" s="269">
        <f t="shared" si="11"/>
        <v>0</v>
      </c>
      <c r="L111" s="243" t="str">
        <f t="shared" si="12"/>
        <v>brak w bazie</v>
      </c>
    </row>
    <row r="112" spans="1:12">
      <c r="A112"/>
      <c r="B112"/>
      <c r="C112"/>
      <c r="D112"/>
      <c r="E112" s="93"/>
      <c r="F112"/>
      <c r="G112"/>
      <c r="H112" s="266"/>
      <c r="J112" s="76" t="e">
        <f t="shared" si="7"/>
        <v>#VALUE!</v>
      </c>
      <c r="K112" s="269">
        <f t="shared" si="11"/>
        <v>0</v>
      </c>
      <c r="L112" s="243" t="str">
        <f t="shared" si="12"/>
        <v>brak w bazie</v>
      </c>
    </row>
    <row r="113" spans="1:12">
      <c r="A113"/>
      <c r="B113"/>
      <c r="C113"/>
      <c r="D113"/>
      <c r="E113" s="93"/>
      <c r="F113"/>
      <c r="G113"/>
      <c r="H113" s="266"/>
      <c r="J113" s="76" t="e">
        <f t="shared" si="7"/>
        <v>#VALUE!</v>
      </c>
      <c r="K113" s="269">
        <f t="shared" si="11"/>
        <v>0</v>
      </c>
      <c r="L113" s="243" t="str">
        <f t="shared" si="12"/>
        <v>brak w bazie</v>
      </c>
    </row>
    <row r="114" spans="1:12">
      <c r="A114"/>
      <c r="B114"/>
      <c r="C114"/>
      <c r="D114"/>
      <c r="E114" s="93"/>
      <c r="F114"/>
      <c r="G114"/>
      <c r="H114" s="266"/>
      <c r="J114" s="76" t="e">
        <f t="shared" si="7"/>
        <v>#VALUE!</v>
      </c>
      <c r="K114" s="269">
        <f t="shared" si="11"/>
        <v>0</v>
      </c>
      <c r="L114" s="243" t="str">
        <f t="shared" si="12"/>
        <v>brak w bazie</v>
      </c>
    </row>
    <row r="115" spans="1:12">
      <c r="A115"/>
      <c r="B115"/>
      <c r="C115"/>
      <c r="D115"/>
      <c r="E115" s="93"/>
      <c r="F115"/>
      <c r="G115"/>
      <c r="H115" s="266"/>
      <c r="J115" s="76" t="e">
        <f t="shared" si="7"/>
        <v>#VALUE!</v>
      </c>
      <c r="K115" s="269">
        <f t="shared" si="11"/>
        <v>0</v>
      </c>
      <c r="L115" s="243" t="str">
        <f t="shared" si="12"/>
        <v>brak w bazie</v>
      </c>
    </row>
    <row r="116" spans="1:12">
      <c r="A116"/>
      <c r="B116"/>
      <c r="C116"/>
      <c r="D116"/>
      <c r="E116" s="93"/>
      <c r="F116"/>
      <c r="G116"/>
      <c r="H116" s="266"/>
      <c r="J116" s="76" t="e">
        <f t="shared" si="7"/>
        <v>#VALUE!</v>
      </c>
      <c r="K116" s="269">
        <f t="shared" si="11"/>
        <v>0</v>
      </c>
      <c r="L116" s="243" t="str">
        <f t="shared" si="12"/>
        <v>brak w bazie</v>
      </c>
    </row>
    <row r="117" spans="1:12">
      <c r="A117"/>
      <c r="B117"/>
      <c r="C117"/>
      <c r="D117"/>
      <c r="E117" s="93"/>
      <c r="F117"/>
      <c r="G117"/>
      <c r="H117" s="266"/>
      <c r="J117" s="76" t="e">
        <f t="shared" si="7"/>
        <v>#VALUE!</v>
      </c>
      <c r="K117" s="269">
        <f>H116</f>
        <v>0</v>
      </c>
      <c r="L117" s="243" t="str">
        <f t="shared" si="12"/>
        <v>brak w bazie</v>
      </c>
    </row>
    <row r="118" spans="1:12">
      <c r="A118"/>
      <c r="B118"/>
      <c r="C118"/>
      <c r="D118"/>
      <c r="E118" s="93"/>
      <c r="F118"/>
      <c r="G118"/>
      <c r="H118" s="266"/>
      <c r="J118" s="76" t="e">
        <f t="shared" si="7"/>
        <v>#VALUE!</v>
      </c>
      <c r="K118" s="269">
        <f>H117</f>
        <v>0</v>
      </c>
      <c r="L118" s="243" t="str">
        <f t="shared" si="12"/>
        <v>brak w bazie</v>
      </c>
    </row>
    <row r="119" spans="1:12">
      <c r="A119" s="513"/>
      <c r="B119" s="513"/>
      <c r="C119" s="513"/>
      <c r="D119" s="513"/>
      <c r="E119" s="513"/>
      <c r="F119" s="513"/>
      <c r="G119" s="513"/>
      <c r="H119" s="489"/>
      <c r="I119" s="513"/>
      <c r="J119" s="76" t="e">
        <f t="shared" si="7"/>
        <v>#VALUE!</v>
      </c>
      <c r="K119" s="269">
        <f t="shared" ref="K119:K150" si="13">H119</f>
        <v>0</v>
      </c>
      <c r="L119" s="243" t="str">
        <f t="shared" si="12"/>
        <v>brak w bazie</v>
      </c>
    </row>
    <row r="120" spans="1:12">
      <c r="A120">
        <v>3113</v>
      </c>
      <c r="B120">
        <v>23164007</v>
      </c>
      <c r="C120" t="str">
        <f>"PP TŁUSZCZ DR.PBX ST1"</f>
        <v>PP TŁUSZCZ DR.PBX ST1</v>
      </c>
      <c r="D120">
        <v>144</v>
      </c>
      <c r="E120" t="str">
        <f>"144523164007"</f>
        <v>144523164007</v>
      </c>
      <c r="F120">
        <v>2024</v>
      </c>
      <c r="G120">
        <v>4121638</v>
      </c>
      <c r="H120" s="266">
        <v>742.5</v>
      </c>
      <c r="I120" s="266"/>
      <c r="J120" s="76">
        <f t="shared" si="7"/>
        <v>2316</v>
      </c>
      <c r="K120" s="269">
        <f t="shared" si="13"/>
        <v>742.5</v>
      </c>
      <c r="L120" s="85" t="str">
        <f t="shared" ref="L120" ca="1" si="14">IF(OR(IFERROR(VLOOKUP(J120,MDR_I1,1,0),0),IFERROR(VLOOKUP(J120,MDR_I2,1,0),0),IFERROR(VLOOKUP(J120,MDR_I3,1,0),0),IFERROR(VLOOKUP(J120,MDR_I4,1,0),0),IFERROR(VLOOKUP(J120,MDR_I5,1,0),0),IFERROR(VLOOKUP(J120,FARSZE,1,0),0)),"ok","brak w bazie")</f>
        <v>ok</v>
      </c>
    </row>
    <row r="121" spans="1:12">
      <c r="A121">
        <v>3113</v>
      </c>
      <c r="B121">
        <v>27964007</v>
      </c>
      <c r="C121" t="s">
        <v>18727</v>
      </c>
      <c r="D121">
        <v>144</v>
      </c>
      <c r="E121" t="str">
        <f>"144527964007"</f>
        <v>144527964007</v>
      </c>
      <c r="F121">
        <v>2024</v>
      </c>
      <c r="G121">
        <v>4121709</v>
      </c>
      <c r="H121" s="266">
        <v>3048.5</v>
      </c>
      <c r="I121" s="266"/>
      <c r="J121" s="76">
        <f t="shared" si="7"/>
        <v>2796</v>
      </c>
      <c r="K121" s="269">
        <f t="shared" si="13"/>
        <v>3048.5</v>
      </c>
      <c r="L121" s="85" t="str">
        <f t="shared" ref="L121:L184" ca="1" si="15">IF(OR(IFERROR(VLOOKUP(J121,MDR_I1,1,0),0),IFERROR(VLOOKUP(J121,MDR_I2,1,0),0),IFERROR(VLOOKUP(J121,MDR_I3,1,0),0),IFERROR(VLOOKUP(J121,MDR_I4,1,0),0),IFERROR(VLOOKUP(J121,MDR_I5,1,0),0),IFERROR(VLOOKUP(J121,FARSZE,1,0),0)),"ok","brak w bazie")</f>
        <v>ok</v>
      </c>
    </row>
    <row r="122" spans="1:12" ht="14.1" customHeight="1">
      <c r="A122">
        <v>3113</v>
      </c>
      <c r="B122">
        <v>64999000</v>
      </c>
      <c r="C122" t="s">
        <v>15965</v>
      </c>
      <c r="D122">
        <v>145</v>
      </c>
      <c r="E122" t="str">
        <f>"145050782331"</f>
        <v>145050782331</v>
      </c>
      <c r="F122">
        <v>2024</v>
      </c>
      <c r="G122" t="str">
        <f>"3250782331"</f>
        <v>3250782331</v>
      </c>
      <c r="H122" s="266">
        <v>182</v>
      </c>
      <c r="I122" s="266"/>
      <c r="J122" s="76">
        <f t="shared" si="7"/>
        <v>6499</v>
      </c>
      <c r="K122" s="269">
        <f t="shared" si="13"/>
        <v>182</v>
      </c>
      <c r="L122" s="85" t="str">
        <f t="shared" ca="1" si="15"/>
        <v>ok</v>
      </c>
    </row>
    <row r="123" spans="1:12">
      <c r="A123">
        <v>3113</v>
      </c>
      <c r="B123">
        <v>65999000</v>
      </c>
      <c r="C123" t="s">
        <v>18812</v>
      </c>
      <c r="D123">
        <v>145</v>
      </c>
      <c r="E123" t="str">
        <f>"145070880000"</f>
        <v>145070880000</v>
      </c>
      <c r="F123">
        <v>2024</v>
      </c>
      <c r="G123" t="str">
        <f>"3224145002"</f>
        <v>3224145002</v>
      </c>
      <c r="H123" s="266">
        <v>850</v>
      </c>
      <c r="I123" s="266"/>
      <c r="J123" s="76">
        <f t="shared" si="7"/>
        <v>6599</v>
      </c>
      <c r="K123" s="269">
        <f t="shared" si="13"/>
        <v>850</v>
      </c>
      <c r="L123" s="85" t="str">
        <f t="shared" ca="1" si="15"/>
        <v>ok</v>
      </c>
    </row>
    <row r="124" spans="1:12">
      <c r="A124">
        <v>3113</v>
      </c>
      <c r="B124">
        <v>17874007</v>
      </c>
      <c r="C124" t="str">
        <f>"PP SKÓRY B/TŁ.PBX1"</f>
        <v>PP SKÓRY B/TŁ.PBX1</v>
      </c>
      <c r="D124">
        <v>145</v>
      </c>
      <c r="E124" t="str">
        <f>"145417874007"</f>
        <v>145417874007</v>
      </c>
      <c r="F124">
        <v>2024</v>
      </c>
      <c r="G124">
        <v>4123784</v>
      </c>
      <c r="H124" s="266">
        <v>1796</v>
      </c>
      <c r="I124" s="266"/>
      <c r="J124" s="76">
        <f t="shared" si="7"/>
        <v>1787</v>
      </c>
      <c r="K124" s="269">
        <f t="shared" si="13"/>
        <v>1796</v>
      </c>
      <c r="L124" s="85" t="str">
        <f t="shared" ca="1" si="15"/>
        <v>ok</v>
      </c>
    </row>
    <row r="125" spans="1:12" s="399" customFormat="1">
      <c r="A125">
        <v>3113</v>
      </c>
      <c r="B125">
        <v>22088007</v>
      </c>
      <c r="C125" t="s">
        <v>14232</v>
      </c>
      <c r="D125">
        <v>145</v>
      </c>
      <c r="E125" t="str">
        <f>"145422088007"</f>
        <v>145422088007</v>
      </c>
      <c r="F125">
        <v>2024</v>
      </c>
      <c r="G125">
        <v>4125082</v>
      </c>
      <c r="H125" s="266">
        <v>478</v>
      </c>
      <c r="I125" s="266"/>
      <c r="J125" s="76">
        <f t="shared" si="7"/>
        <v>2208</v>
      </c>
      <c r="K125" s="269">
        <f t="shared" si="13"/>
        <v>478</v>
      </c>
      <c r="L125" s="85" t="str">
        <f t="shared" ca="1" si="15"/>
        <v>ok</v>
      </c>
    </row>
    <row r="126" spans="1:12">
      <c r="A126">
        <v>3113</v>
      </c>
      <c r="B126">
        <v>30080602</v>
      </c>
      <c r="C126" t="str">
        <f>"KK SKÓRY RO1"</f>
        <v>KK SKÓRY RO1</v>
      </c>
      <c r="D126">
        <v>146</v>
      </c>
      <c r="E126" t="str">
        <f>"146030080602"</f>
        <v>146030080602</v>
      </c>
      <c r="F126">
        <v>2024</v>
      </c>
      <c r="G126" t="str">
        <f>"3224146005"</f>
        <v>3224146005</v>
      </c>
      <c r="H126" s="266">
        <v>771</v>
      </c>
      <c r="I126" s="266"/>
      <c r="J126" s="76">
        <f t="shared" si="7"/>
        <v>3008</v>
      </c>
      <c r="K126" s="269">
        <f>H126</f>
        <v>771</v>
      </c>
      <c r="L126" s="85" t="str">
        <f t="shared" ca="1" si="15"/>
        <v>ok</v>
      </c>
    </row>
    <row r="127" spans="1:12">
      <c r="A127">
        <v>3113</v>
      </c>
      <c r="B127">
        <v>30220602</v>
      </c>
      <c r="C127" t="str">
        <f>"IKA M-SO Z UDA D5 RO1"</f>
        <v>IKA M-SO Z UDA D5 RO1</v>
      </c>
      <c r="D127">
        <v>146</v>
      </c>
      <c r="E127" t="str">
        <f>"146030220602"</f>
        <v>146030220602</v>
      </c>
      <c r="F127">
        <v>2024</v>
      </c>
      <c r="G127" t="str">
        <f>"3224146003"</f>
        <v>3224146003</v>
      </c>
      <c r="H127" s="266">
        <v>2810</v>
      </c>
      <c r="I127" s="266"/>
      <c r="J127" s="76">
        <f t="shared" si="7"/>
        <v>3022</v>
      </c>
      <c r="K127" s="269">
        <f t="shared" si="13"/>
        <v>2810</v>
      </c>
      <c r="L127" s="85" t="str">
        <f t="shared" ca="1" si="15"/>
        <v>ok</v>
      </c>
    </row>
    <row r="128" spans="1:12">
      <c r="A128">
        <v>3113</v>
      </c>
      <c r="B128">
        <v>50220000</v>
      </c>
      <c r="C128" t="s">
        <v>404</v>
      </c>
      <c r="D128">
        <v>146</v>
      </c>
      <c r="E128" t="str">
        <f>"146050220000"</f>
        <v>146050220000</v>
      </c>
      <c r="F128">
        <v>2024</v>
      </c>
      <c r="G128" t="str">
        <f>"3224146012"</f>
        <v>3224146012</v>
      </c>
      <c r="H128" s="266">
        <v>458</v>
      </c>
      <c r="I128" s="266"/>
      <c r="J128" s="76">
        <f t="shared" si="7"/>
        <v>5022</v>
      </c>
      <c r="K128" s="269">
        <f t="shared" si="13"/>
        <v>458</v>
      </c>
      <c r="L128" s="85" t="str">
        <f t="shared" ca="1" si="15"/>
        <v>ok</v>
      </c>
    </row>
    <row r="129" spans="1:12">
      <c r="A129">
        <v>3113</v>
      </c>
      <c r="B129">
        <v>50270000</v>
      </c>
      <c r="C129" t="s">
        <v>360</v>
      </c>
      <c r="D129">
        <v>146</v>
      </c>
      <c r="E129" t="str">
        <f>"146050270000"</f>
        <v>146050270000</v>
      </c>
      <c r="F129">
        <v>2024</v>
      </c>
      <c r="G129" t="str">
        <f>"3224146011"</f>
        <v>3224146011</v>
      </c>
      <c r="H129" s="266">
        <v>1213</v>
      </c>
      <c r="I129" s="266"/>
      <c r="J129" s="76">
        <f t="shared" si="7"/>
        <v>5027</v>
      </c>
      <c r="K129" s="269">
        <f t="shared" si="13"/>
        <v>1213</v>
      </c>
      <c r="L129" s="85" t="str">
        <f t="shared" ca="1" si="15"/>
        <v>ok</v>
      </c>
    </row>
    <row r="130" spans="1:12">
      <c r="A130">
        <v>3113</v>
      </c>
      <c r="B130">
        <v>53060000</v>
      </c>
      <c r="C130" t="s">
        <v>18766</v>
      </c>
      <c r="D130">
        <v>146</v>
      </c>
      <c r="E130" t="str">
        <f>"146353060000"</f>
        <v>146353060000</v>
      </c>
      <c r="F130">
        <v>2024</v>
      </c>
      <c r="G130" t="str">
        <f>"3224146009"</f>
        <v>3224146009</v>
      </c>
      <c r="H130" s="266">
        <v>5353.5</v>
      </c>
      <c r="I130" s="266"/>
      <c r="J130" s="76">
        <f t="shared" si="7"/>
        <v>5306</v>
      </c>
      <c r="K130" s="269">
        <f t="shared" si="13"/>
        <v>5353.5</v>
      </c>
      <c r="L130" s="85" t="str">
        <f t="shared" ca="1" si="15"/>
        <v>ok</v>
      </c>
    </row>
    <row r="131" spans="1:12">
      <c r="A131">
        <v>3113</v>
      </c>
      <c r="B131">
        <v>19234000</v>
      </c>
      <c r="C131" t="s">
        <v>18750</v>
      </c>
      <c r="D131">
        <v>151</v>
      </c>
      <c r="E131" t="str">
        <f>"151000000000"</f>
        <v>151000000000</v>
      </c>
      <c r="F131">
        <v>2024</v>
      </c>
      <c r="G131" t="str">
        <f>"3224151005"</f>
        <v>3224151005</v>
      </c>
      <c r="H131" s="266">
        <v>1044</v>
      </c>
      <c r="I131" s="266"/>
      <c r="J131" s="76">
        <f t="shared" si="7"/>
        <v>1923</v>
      </c>
      <c r="K131" s="269">
        <f t="shared" si="13"/>
        <v>1044</v>
      </c>
      <c r="L131" s="85" t="str">
        <f t="shared" ca="1" si="15"/>
        <v>ok</v>
      </c>
    </row>
    <row r="132" spans="1:12">
      <c r="A132">
        <v>3113</v>
      </c>
      <c r="B132">
        <v>22224000</v>
      </c>
      <c r="C132" t="str">
        <f>"PP M-SO WP.KL4 POUB.CH1"</f>
        <v>PP M-SO WP.KL4 POUB.CH1</v>
      </c>
      <c r="D132">
        <v>151</v>
      </c>
      <c r="E132" t="str">
        <f>"151000000000"</f>
        <v>151000000000</v>
      </c>
      <c r="F132">
        <v>2024</v>
      </c>
      <c r="G132" t="str">
        <f>"3224151005"</f>
        <v>3224151005</v>
      </c>
      <c r="H132" s="266">
        <v>2105</v>
      </c>
      <c r="I132" s="266"/>
      <c r="J132" s="76">
        <f t="shared" si="7"/>
        <v>2222</v>
      </c>
      <c r="K132" s="269">
        <f t="shared" si="13"/>
        <v>2105</v>
      </c>
      <c r="L132" s="85" t="str">
        <f t="shared" ca="1" si="15"/>
        <v>ok</v>
      </c>
    </row>
    <row r="133" spans="1:12">
      <c r="A133">
        <v>3113</v>
      </c>
      <c r="B133">
        <v>22040618</v>
      </c>
      <c r="C133" t="s">
        <v>416</v>
      </c>
      <c r="D133">
        <v>151</v>
      </c>
      <c r="E133" t="str">
        <f>"151022040618"</f>
        <v>151022040618</v>
      </c>
      <c r="F133">
        <v>2024</v>
      </c>
      <c r="G133" t="str">
        <f>"3224151006"</f>
        <v>3224151006</v>
      </c>
      <c r="H133" s="266">
        <v>4956</v>
      </c>
      <c r="I133" s="266"/>
      <c r="J133" s="76">
        <f t="shared" si="7"/>
        <v>2204</v>
      </c>
      <c r="K133" s="269">
        <f t="shared" si="13"/>
        <v>4956</v>
      </c>
      <c r="L133" s="85" t="str">
        <f t="shared" ca="1" si="15"/>
        <v>ok</v>
      </c>
    </row>
    <row r="134" spans="1:12">
      <c r="A134">
        <v>3113</v>
      </c>
      <c r="B134">
        <v>50220000</v>
      </c>
      <c r="C134" t="s">
        <v>404</v>
      </c>
      <c r="D134">
        <v>151</v>
      </c>
      <c r="E134" t="str">
        <f>"151050220000"</f>
        <v>151050220000</v>
      </c>
      <c r="F134">
        <v>2024</v>
      </c>
      <c r="G134" t="str">
        <f>"3224151011"</f>
        <v>3224151011</v>
      </c>
      <c r="H134" s="266">
        <v>3525</v>
      </c>
      <c r="I134" s="266"/>
      <c r="J134" s="76">
        <f t="shared" ref="J134:J197" si="16">IF(MID(B134,1,4)*1 = 5226,IF(MID(B134,5,1)*1=4,B134,MID(B134,1,4)*1),MID(B134,1,4)*1)</f>
        <v>5022</v>
      </c>
      <c r="K134" s="269">
        <f t="shared" si="13"/>
        <v>3525</v>
      </c>
      <c r="L134" s="85" t="str">
        <f t="shared" ca="1" si="15"/>
        <v>ok</v>
      </c>
    </row>
    <row r="135" spans="1:12">
      <c r="A135">
        <v>3113</v>
      </c>
      <c r="B135">
        <v>50270000</v>
      </c>
      <c r="C135" t="s">
        <v>360</v>
      </c>
      <c r="D135">
        <v>151</v>
      </c>
      <c r="E135" t="str">
        <f>"151150270000"</f>
        <v>151150270000</v>
      </c>
      <c r="F135">
        <v>2024</v>
      </c>
      <c r="G135" t="str">
        <f>"3224151007"</f>
        <v>3224151007</v>
      </c>
      <c r="H135" s="266">
        <v>399</v>
      </c>
      <c r="I135" s="266"/>
      <c r="J135" s="76">
        <f t="shared" si="16"/>
        <v>5027</v>
      </c>
      <c r="K135" s="269">
        <f t="shared" si="13"/>
        <v>399</v>
      </c>
      <c r="L135" s="85" t="str">
        <f t="shared" ca="1" si="15"/>
        <v>ok</v>
      </c>
    </row>
    <row r="136" spans="1:12">
      <c r="A136">
        <v>3113</v>
      </c>
      <c r="B136">
        <v>52020000</v>
      </c>
      <c r="C136" t="s">
        <v>15454</v>
      </c>
      <c r="D136">
        <v>151</v>
      </c>
      <c r="E136" t="str">
        <f>"151152020000"</f>
        <v>151152020000</v>
      </c>
      <c r="F136">
        <v>2024</v>
      </c>
      <c r="G136" t="str">
        <f>"3224151000"</f>
        <v>3224151000</v>
      </c>
      <c r="H136" s="266">
        <v>1573</v>
      </c>
      <c r="I136" s="266"/>
      <c r="J136" s="76">
        <f t="shared" si="16"/>
        <v>5202</v>
      </c>
      <c r="K136" s="269">
        <f t="shared" si="13"/>
        <v>1573</v>
      </c>
      <c r="L136" s="85" t="str">
        <f t="shared" ca="1" si="15"/>
        <v>ok</v>
      </c>
    </row>
    <row r="137" spans="1:12" s="399" customFormat="1">
      <c r="A137">
        <v>3113</v>
      </c>
      <c r="B137">
        <v>52094000</v>
      </c>
      <c r="C137" t="s">
        <v>15519</v>
      </c>
      <c r="D137">
        <v>151</v>
      </c>
      <c r="E137" t="str">
        <f>"151152094000"</f>
        <v>151152094000</v>
      </c>
      <c r="F137">
        <v>2024</v>
      </c>
      <c r="G137" t="str">
        <f>"3224151002"</f>
        <v>3224151002</v>
      </c>
      <c r="H137" s="266">
        <v>7414</v>
      </c>
      <c r="I137" s="266"/>
      <c r="J137" s="76">
        <f t="shared" si="16"/>
        <v>5209</v>
      </c>
      <c r="K137" s="269">
        <f t="shared" si="13"/>
        <v>7414</v>
      </c>
      <c r="L137" s="85" t="str">
        <f t="shared" ca="1" si="15"/>
        <v>ok</v>
      </c>
    </row>
    <row r="138" spans="1:12">
      <c r="A138">
        <v>3113</v>
      </c>
      <c r="B138">
        <v>52144000</v>
      </c>
      <c r="C138" t="s">
        <v>15450</v>
      </c>
      <c r="D138">
        <v>151</v>
      </c>
      <c r="E138" t="str">
        <f>"151152144000"</f>
        <v>151152144000</v>
      </c>
      <c r="F138">
        <v>2024</v>
      </c>
      <c r="G138" t="str">
        <f>"3224151001"</f>
        <v>3224151001</v>
      </c>
      <c r="H138" s="266">
        <v>4193.5</v>
      </c>
      <c r="I138" s="266"/>
      <c r="J138" s="76">
        <f t="shared" si="16"/>
        <v>5214</v>
      </c>
      <c r="K138" s="269">
        <f t="shared" si="13"/>
        <v>4193.5</v>
      </c>
      <c r="L138" s="85" t="str">
        <f t="shared" ca="1" si="15"/>
        <v>ok</v>
      </c>
    </row>
    <row r="139" spans="1:12">
      <c r="A139">
        <v>3113</v>
      </c>
      <c r="B139">
        <v>52264000</v>
      </c>
      <c r="C139" t="s">
        <v>15452</v>
      </c>
      <c r="D139">
        <v>151</v>
      </c>
      <c r="E139" t="str">
        <f>"151152264000"</f>
        <v>151152264000</v>
      </c>
      <c r="F139">
        <v>2024</v>
      </c>
      <c r="G139" t="str">
        <f>"3224151005"</f>
        <v>3224151005</v>
      </c>
      <c r="H139" s="266">
        <v>4603</v>
      </c>
      <c r="I139" s="266"/>
      <c r="J139" s="76">
        <f t="shared" si="16"/>
        <v>52264000</v>
      </c>
      <c r="K139" s="269">
        <f t="shared" si="13"/>
        <v>4603</v>
      </c>
      <c r="L139" s="85" t="str">
        <f t="shared" ca="1" si="15"/>
        <v>ok</v>
      </c>
    </row>
    <row r="140" spans="1:12" s="399" customFormat="1">
      <c r="A140">
        <v>3113</v>
      </c>
      <c r="B140">
        <v>12394007</v>
      </c>
      <c r="C140" t="s">
        <v>18751</v>
      </c>
      <c r="D140">
        <v>151</v>
      </c>
      <c r="E140" t="str">
        <f>"151412394007"</f>
        <v>151412394007</v>
      </c>
      <c r="F140">
        <v>2024</v>
      </c>
      <c r="G140">
        <v>4125891</v>
      </c>
      <c r="H140" s="266">
        <v>2867.5</v>
      </c>
      <c r="I140" s="266"/>
      <c r="J140" s="76">
        <f t="shared" si="16"/>
        <v>1239</v>
      </c>
      <c r="K140" s="269">
        <f t="shared" si="13"/>
        <v>2867.5</v>
      </c>
      <c r="L140" s="85" t="str">
        <f t="shared" ca="1" si="15"/>
        <v>ok</v>
      </c>
    </row>
    <row r="141" spans="1:12">
      <c r="A141">
        <v>3113</v>
      </c>
      <c r="B141">
        <v>17874007</v>
      </c>
      <c r="C141" t="str">
        <f>"PP SKÓRY B/TŁ.PBX1"</f>
        <v>PP SKÓRY B/TŁ.PBX1</v>
      </c>
      <c r="D141">
        <v>151</v>
      </c>
      <c r="E141" t="str">
        <f>"151417874007"</f>
        <v>151417874007</v>
      </c>
      <c r="F141">
        <v>2024</v>
      </c>
      <c r="G141">
        <v>4125740</v>
      </c>
      <c r="H141" s="266">
        <v>8250.5</v>
      </c>
      <c r="I141" s="266"/>
      <c r="J141" s="76">
        <f t="shared" si="16"/>
        <v>1787</v>
      </c>
      <c r="K141" s="269">
        <f t="shared" si="13"/>
        <v>8250.5</v>
      </c>
      <c r="L141" s="85" t="str">
        <f t="shared" ca="1" si="15"/>
        <v>ok</v>
      </c>
    </row>
    <row r="142" spans="1:12">
      <c r="A142">
        <v>3113</v>
      </c>
      <c r="B142">
        <v>17884207</v>
      </c>
      <c r="C142" t="str">
        <f>"PP SKÓRY Z/TŁ.Z/SZYN.PBX1"</f>
        <v>PP SKÓRY Z/TŁ.Z/SZYN.PBX1</v>
      </c>
      <c r="D142">
        <v>151</v>
      </c>
      <c r="E142" t="str">
        <f>"151417884207"</f>
        <v>151417884207</v>
      </c>
      <c r="F142">
        <v>2024</v>
      </c>
      <c r="G142">
        <v>4126368</v>
      </c>
      <c r="H142" s="266">
        <v>1082</v>
      </c>
      <c r="I142" s="266"/>
      <c r="J142" s="76">
        <f t="shared" si="16"/>
        <v>1788</v>
      </c>
      <c r="K142" s="269">
        <f t="shared" si="13"/>
        <v>1082</v>
      </c>
      <c r="L142" s="85" t="str">
        <f t="shared" ca="1" si="15"/>
        <v>ok</v>
      </c>
    </row>
    <row r="143" spans="1:12">
      <c r="A143">
        <v>3113</v>
      </c>
      <c r="B143">
        <v>20034007</v>
      </c>
      <c r="C143" t="s">
        <v>318</v>
      </c>
      <c r="D143">
        <v>151</v>
      </c>
      <c r="E143" t="str">
        <f>"151420034007"</f>
        <v>151420034007</v>
      </c>
      <c r="F143">
        <v>2024</v>
      </c>
      <c r="G143">
        <v>4126116</v>
      </c>
      <c r="H143" s="266">
        <v>3251</v>
      </c>
      <c r="I143" s="266"/>
      <c r="J143" s="76">
        <f t="shared" si="16"/>
        <v>2003</v>
      </c>
      <c r="K143" s="269">
        <f t="shared" si="13"/>
        <v>3251</v>
      </c>
      <c r="L143" s="85" t="str">
        <f t="shared" ca="1" si="15"/>
        <v>ok</v>
      </c>
    </row>
    <row r="144" spans="1:12">
      <c r="A144">
        <v>3113</v>
      </c>
      <c r="B144">
        <v>22024007</v>
      </c>
      <c r="C144" t="str">
        <f>"PP M-SO WP.DR.KL1 JAS.Z SZYN.PBX ST1"</f>
        <v>PP M-SO WP.DR.KL1 JAS.Z SZYN.PBX ST1</v>
      </c>
      <c r="D144">
        <v>151</v>
      </c>
      <c r="E144" t="str">
        <f>"151422024007"</f>
        <v>151422024007</v>
      </c>
      <c r="F144">
        <v>2024</v>
      </c>
      <c r="G144">
        <v>4126434</v>
      </c>
      <c r="H144" s="266">
        <v>1665</v>
      </c>
      <c r="I144" s="266"/>
      <c r="J144" s="76">
        <f t="shared" si="16"/>
        <v>2202</v>
      </c>
      <c r="K144" s="269">
        <f t="shared" si="13"/>
        <v>1665</v>
      </c>
      <c r="L144" s="85" t="str">
        <f t="shared" ca="1" si="15"/>
        <v>ok</v>
      </c>
    </row>
    <row r="145" spans="1:12">
      <c r="A145">
        <v>3113</v>
      </c>
      <c r="B145">
        <v>22030007</v>
      </c>
      <c r="C145" t="str">
        <f>"EU M-SO WP.DR.KL1 CIE.Z SZYN.PBX1"</f>
        <v>EU M-SO WP.DR.KL1 CIE.Z SZYN.PBX1</v>
      </c>
      <c r="D145">
        <v>151</v>
      </c>
      <c r="E145" t="str">
        <f>"151422030007"</f>
        <v>151422030007</v>
      </c>
      <c r="F145">
        <v>2024</v>
      </c>
      <c r="G145">
        <v>4126563</v>
      </c>
      <c r="H145" s="266">
        <v>878</v>
      </c>
      <c r="I145" s="266"/>
      <c r="J145" s="76">
        <f t="shared" si="16"/>
        <v>2203</v>
      </c>
      <c r="K145" s="269">
        <f t="shared" si="13"/>
        <v>878</v>
      </c>
      <c r="L145" s="85" t="str">
        <f t="shared" ca="1" si="15"/>
        <v>ok</v>
      </c>
    </row>
    <row r="146" spans="1:12">
      <c r="A146">
        <v>3113</v>
      </c>
      <c r="B146">
        <v>22034007</v>
      </c>
      <c r="C146" t="str">
        <f>"PP M-SO WP.DR.KL1 CIE.Z SZYN.PBX ST1"</f>
        <v>PP M-SO WP.DR.KL1 CIE.Z SZYN.PBX ST1</v>
      </c>
      <c r="D146">
        <v>151</v>
      </c>
      <c r="E146" t="str">
        <f>"151422034007"</f>
        <v>151422034007</v>
      </c>
      <c r="F146">
        <v>2024</v>
      </c>
      <c r="G146">
        <v>4126257</v>
      </c>
      <c r="H146" s="266">
        <v>1655</v>
      </c>
      <c r="I146" s="266"/>
      <c r="J146" s="76">
        <f t="shared" si="16"/>
        <v>2203</v>
      </c>
      <c r="K146" s="269">
        <f t="shared" si="13"/>
        <v>1655</v>
      </c>
      <c r="L146" s="85" t="str">
        <f t="shared" ca="1" si="15"/>
        <v>ok</v>
      </c>
    </row>
    <row r="147" spans="1:12">
      <c r="A147">
        <v>3113</v>
      </c>
      <c r="B147">
        <v>22044007</v>
      </c>
      <c r="C147" t="str">
        <f>"PP M-SO WP.DR.KL2A USR PBX ST1"</f>
        <v>PP M-SO WP.DR.KL2A USR PBX ST1</v>
      </c>
      <c r="D147">
        <v>151</v>
      </c>
      <c r="E147" t="str">
        <f>"151422044007"</f>
        <v>151422044007</v>
      </c>
      <c r="F147">
        <v>2024</v>
      </c>
      <c r="G147">
        <v>4125853</v>
      </c>
      <c r="H147" s="266">
        <v>18159.5</v>
      </c>
      <c r="I147" s="266"/>
      <c r="J147" s="76">
        <f t="shared" si="16"/>
        <v>2204</v>
      </c>
      <c r="K147" s="269">
        <f t="shared" si="13"/>
        <v>18159.5</v>
      </c>
      <c r="L147" s="85" t="str">
        <f t="shared" ca="1" si="15"/>
        <v>ok</v>
      </c>
    </row>
    <row r="148" spans="1:12">
      <c r="A148">
        <v>3113</v>
      </c>
      <c r="B148">
        <v>22044207</v>
      </c>
      <c r="C148" t="str">
        <f>"PP M-SO WP.DR.KL2A Z SZYN.PBX ST1"</f>
        <v>PP M-SO WP.DR.KL2A Z SZYN.PBX ST1</v>
      </c>
      <c r="D148">
        <v>151</v>
      </c>
      <c r="E148" t="str">
        <f>"151422044207"</f>
        <v>151422044207</v>
      </c>
      <c r="F148">
        <v>2024</v>
      </c>
      <c r="G148">
        <v>4125859</v>
      </c>
      <c r="H148" s="266">
        <v>5112</v>
      </c>
      <c r="I148" s="266"/>
      <c r="J148" s="76">
        <f t="shared" si="16"/>
        <v>2204</v>
      </c>
      <c r="K148" s="269">
        <f t="shared" si="13"/>
        <v>5112</v>
      </c>
      <c r="L148" s="85" t="str">
        <f t="shared" ca="1" si="15"/>
        <v>ok</v>
      </c>
    </row>
    <row r="149" spans="1:12">
      <c r="A149">
        <v>3113</v>
      </c>
      <c r="B149">
        <v>22064007</v>
      </c>
      <c r="C149" t="str">
        <f>"PP M-SO WP.DR.KL3A USR PBX ST1"</f>
        <v>PP M-SO WP.DR.KL3A USR PBX ST1</v>
      </c>
      <c r="D149">
        <v>151</v>
      </c>
      <c r="E149" t="str">
        <f>"151422064007"</f>
        <v>151422064007</v>
      </c>
      <c r="F149">
        <v>2024</v>
      </c>
      <c r="G149">
        <v>4125934</v>
      </c>
      <c r="H149" s="266">
        <v>87.5</v>
      </c>
      <c r="I149" s="266"/>
      <c r="J149" s="76">
        <f t="shared" si="16"/>
        <v>2206</v>
      </c>
      <c r="K149" s="269">
        <f t="shared" si="13"/>
        <v>87.5</v>
      </c>
      <c r="L149" s="85" t="str">
        <f t="shared" ca="1" si="15"/>
        <v>ok</v>
      </c>
    </row>
    <row r="150" spans="1:12">
      <c r="A150">
        <v>3113</v>
      </c>
      <c r="B150">
        <v>22084207</v>
      </c>
      <c r="C150" t="str">
        <f>"PP M-SO WP.DR.KL3B Z SZYN.PBX ST1"</f>
        <v>PP M-SO WP.DR.KL3B Z SZYN.PBX ST1</v>
      </c>
      <c r="D150">
        <v>151</v>
      </c>
      <c r="E150" t="str">
        <f>"151422084207"</f>
        <v>151422084207</v>
      </c>
      <c r="F150">
        <v>2024</v>
      </c>
      <c r="G150">
        <v>4126052</v>
      </c>
      <c r="H150" s="266">
        <v>646.5</v>
      </c>
      <c r="I150" s="266"/>
      <c r="J150" s="76">
        <f t="shared" si="16"/>
        <v>2208</v>
      </c>
      <c r="K150" s="269">
        <f t="shared" si="13"/>
        <v>646.5</v>
      </c>
      <c r="L150" s="85" t="str">
        <f t="shared" ca="1" si="15"/>
        <v>ok</v>
      </c>
    </row>
    <row r="151" spans="1:12">
      <c r="A151">
        <v>3113</v>
      </c>
      <c r="B151">
        <v>22088007</v>
      </c>
      <c r="C151" t="s">
        <v>14232</v>
      </c>
      <c r="D151">
        <v>151</v>
      </c>
      <c r="E151" t="str">
        <f>"151422088007"</f>
        <v>151422088007</v>
      </c>
      <c r="F151">
        <v>2024</v>
      </c>
      <c r="G151">
        <v>4126353</v>
      </c>
      <c r="H151" s="266">
        <v>894</v>
      </c>
      <c r="I151" s="266"/>
      <c r="J151" s="76">
        <f t="shared" si="16"/>
        <v>2208</v>
      </c>
      <c r="K151" s="269">
        <f t="shared" ref="K151:K182" si="17">H151</f>
        <v>894</v>
      </c>
      <c r="L151" s="85" t="str">
        <f t="shared" ca="1" si="15"/>
        <v>ok</v>
      </c>
    </row>
    <row r="152" spans="1:12">
      <c r="A152">
        <v>3113</v>
      </c>
      <c r="B152">
        <v>22094007</v>
      </c>
      <c r="C152" t="str">
        <f>"PP M-SO WP.DR.KL4 CIE.PBX ST1"</f>
        <v>PP M-SO WP.DR.KL4 CIE.PBX ST1</v>
      </c>
      <c r="D152">
        <v>151</v>
      </c>
      <c r="E152" t="str">
        <f>"151422094007"</f>
        <v>151422094007</v>
      </c>
      <c r="F152">
        <v>2024</v>
      </c>
      <c r="G152">
        <v>4127102</v>
      </c>
      <c r="H152" s="266">
        <v>29</v>
      </c>
      <c r="I152" s="266"/>
      <c r="J152" s="76">
        <f t="shared" si="16"/>
        <v>2209</v>
      </c>
      <c r="K152" s="269">
        <f t="shared" si="17"/>
        <v>29</v>
      </c>
      <c r="L152" s="85" t="str">
        <f t="shared" ca="1" si="15"/>
        <v>ok</v>
      </c>
    </row>
    <row r="153" spans="1:12">
      <c r="A153">
        <v>3113</v>
      </c>
      <c r="B153">
        <v>22094207</v>
      </c>
      <c r="C153" t="str">
        <f>"PP M-SO WP.DR.KL4 CIE.Z SZYN.PBX ST1"</f>
        <v>PP M-SO WP.DR.KL4 CIE.Z SZYN.PBX ST1</v>
      </c>
      <c r="D153">
        <v>151</v>
      </c>
      <c r="E153" t="str">
        <f>"151422094207"</f>
        <v>151422094207</v>
      </c>
      <c r="F153">
        <v>2024</v>
      </c>
      <c r="G153">
        <v>4126627</v>
      </c>
      <c r="H153" s="266">
        <v>87.5</v>
      </c>
      <c r="I153" s="266"/>
      <c r="J153" s="76">
        <f t="shared" si="16"/>
        <v>2209</v>
      </c>
      <c r="K153" s="269">
        <f t="shared" si="17"/>
        <v>87.5</v>
      </c>
      <c r="L153" s="85" t="str">
        <f t="shared" ca="1" si="15"/>
        <v>ok</v>
      </c>
    </row>
    <row r="154" spans="1:12">
      <c r="A154">
        <v>3113</v>
      </c>
      <c r="B154">
        <v>22124007</v>
      </c>
      <c r="C154" t="str">
        <f>"PP M-SO WP.DR.KL1 JAS.PBX ST1"</f>
        <v>PP M-SO WP.DR.KL1 JAS.PBX ST1</v>
      </c>
      <c r="D154">
        <v>151</v>
      </c>
      <c r="E154" t="str">
        <f>"151422124007"</f>
        <v>151422124007</v>
      </c>
      <c r="F154">
        <v>2024</v>
      </c>
      <c r="G154">
        <v>4127431</v>
      </c>
      <c r="H154" s="266">
        <v>200</v>
      </c>
      <c r="I154" s="266"/>
      <c r="J154" s="76">
        <f t="shared" si="16"/>
        <v>2212</v>
      </c>
      <c r="K154" s="269">
        <f t="shared" si="17"/>
        <v>200</v>
      </c>
      <c r="L154" s="85" t="str">
        <f t="shared" ca="1" si="15"/>
        <v>ok</v>
      </c>
    </row>
    <row r="155" spans="1:12">
      <c r="A155">
        <v>3113</v>
      </c>
      <c r="B155">
        <v>22134007</v>
      </c>
      <c r="C155" t="str">
        <f>"PP M-SO WP.DR.KL1 CIE.USR PBX ST1"</f>
        <v>PP M-SO WP.DR.KL1 CIE.USR PBX ST1</v>
      </c>
      <c r="D155">
        <v>151</v>
      </c>
      <c r="E155" t="str">
        <f>"151422134007"</f>
        <v>151422134007</v>
      </c>
      <c r="F155">
        <v>2024</v>
      </c>
      <c r="G155">
        <v>4126807</v>
      </c>
      <c r="H155" s="266">
        <v>3573.5</v>
      </c>
      <c r="I155" s="266"/>
      <c r="J155" s="76">
        <f t="shared" si="16"/>
        <v>2213</v>
      </c>
      <c r="K155" s="269">
        <f t="shared" si="17"/>
        <v>3573.5</v>
      </c>
      <c r="L155" s="85" t="str">
        <f t="shared" ca="1" si="15"/>
        <v>ok</v>
      </c>
    </row>
    <row r="156" spans="1:12">
      <c r="A156">
        <v>3113</v>
      </c>
      <c r="B156">
        <v>23164007</v>
      </c>
      <c r="C156" t="str">
        <f>"PP TŁUSZCZ DR.PBX ST1"</f>
        <v>PP TŁUSZCZ DR.PBX ST1</v>
      </c>
      <c r="D156">
        <v>151</v>
      </c>
      <c r="E156" t="str">
        <f>"151423164007"</f>
        <v>151423164007</v>
      </c>
      <c r="F156">
        <v>2024</v>
      </c>
      <c r="G156">
        <v>4126106</v>
      </c>
      <c r="H156" s="266">
        <v>7739</v>
      </c>
      <c r="I156" s="266"/>
      <c r="J156" s="76">
        <f t="shared" si="16"/>
        <v>2316</v>
      </c>
      <c r="K156" s="269">
        <f t="shared" si="17"/>
        <v>7739</v>
      </c>
      <c r="L156" s="85" t="str">
        <f t="shared" ca="1" si="15"/>
        <v>ok</v>
      </c>
    </row>
    <row r="157" spans="1:12">
      <c r="A157">
        <v>3113</v>
      </c>
      <c r="B157">
        <v>17874007</v>
      </c>
      <c r="C157" t="str">
        <f>"PP SKÓRY B/TŁ.PBX1"</f>
        <v>PP SKÓRY B/TŁ.PBX1</v>
      </c>
      <c r="D157">
        <v>151</v>
      </c>
      <c r="E157" t="str">
        <f>"151517874007"</f>
        <v>151517874007</v>
      </c>
      <c r="F157">
        <v>2024</v>
      </c>
      <c r="G157">
        <v>4125715</v>
      </c>
      <c r="H157" s="266">
        <v>347</v>
      </c>
      <c r="I157" s="266"/>
      <c r="J157" s="76">
        <f t="shared" si="16"/>
        <v>1787</v>
      </c>
      <c r="K157" s="269">
        <f t="shared" si="17"/>
        <v>347</v>
      </c>
      <c r="L157" s="85" t="str">
        <f t="shared" ca="1" si="15"/>
        <v>ok</v>
      </c>
    </row>
    <row r="158" spans="1:12">
      <c r="A158">
        <v>3113</v>
      </c>
      <c r="B158">
        <v>20034007</v>
      </c>
      <c r="C158" t="s">
        <v>318</v>
      </c>
      <c r="D158">
        <v>151</v>
      </c>
      <c r="E158" t="str">
        <f>"151520034007"</f>
        <v>151520034007</v>
      </c>
      <c r="F158">
        <v>2024</v>
      </c>
      <c r="G158">
        <v>4125689</v>
      </c>
      <c r="H158" s="266">
        <v>570.5</v>
      </c>
      <c r="I158" s="266"/>
      <c r="J158" s="76">
        <f t="shared" si="16"/>
        <v>2003</v>
      </c>
      <c r="K158" s="269">
        <f t="shared" si="17"/>
        <v>570.5</v>
      </c>
      <c r="L158" s="85" t="str">
        <f t="shared" ca="1" si="15"/>
        <v>ok</v>
      </c>
    </row>
    <row r="159" spans="1:12">
      <c r="A159">
        <v>3113</v>
      </c>
      <c r="B159">
        <v>22144007</v>
      </c>
      <c r="C159" t="str">
        <f>"PP M-SO WP.DR.KL2A Z ŁOP.PBX ST1"</f>
        <v>PP M-SO WP.DR.KL2A Z ŁOP.PBX ST1</v>
      </c>
      <c r="D159">
        <v>151</v>
      </c>
      <c r="E159" t="str">
        <f>"151522144007"</f>
        <v>151522144007</v>
      </c>
      <c r="F159">
        <v>2024</v>
      </c>
      <c r="G159">
        <v>4125985</v>
      </c>
      <c r="H159" s="266">
        <v>560</v>
      </c>
      <c r="I159" s="266"/>
      <c r="J159" s="76">
        <f t="shared" si="16"/>
        <v>2214</v>
      </c>
      <c r="K159" s="269">
        <f t="shared" si="17"/>
        <v>560</v>
      </c>
      <c r="L159" s="85" t="str">
        <f t="shared" ca="1" si="15"/>
        <v>ok</v>
      </c>
    </row>
    <row r="160" spans="1:12">
      <c r="A160">
        <v>3113</v>
      </c>
      <c r="B160">
        <v>23164007</v>
      </c>
      <c r="C160" t="str">
        <f>"PP TŁUSZCZ DR.PBX ST1"</f>
        <v>PP TŁUSZCZ DR.PBX ST1</v>
      </c>
      <c r="D160">
        <v>151</v>
      </c>
      <c r="E160" t="str">
        <f>"151523164007"</f>
        <v>151523164007</v>
      </c>
      <c r="F160">
        <v>2024</v>
      </c>
      <c r="G160">
        <v>4125671</v>
      </c>
      <c r="H160" s="266">
        <v>3574</v>
      </c>
      <c r="I160" s="266"/>
      <c r="J160" s="76">
        <f t="shared" si="16"/>
        <v>2316</v>
      </c>
      <c r="K160" s="269">
        <f t="shared" si="17"/>
        <v>3574</v>
      </c>
      <c r="L160" s="85" t="str">
        <f t="shared" ca="1" si="15"/>
        <v>ok</v>
      </c>
    </row>
    <row r="161" spans="1:12">
      <c r="A161">
        <v>3113</v>
      </c>
      <c r="B161">
        <v>27964007</v>
      </c>
      <c r="C161" t="s">
        <v>18727</v>
      </c>
      <c r="D161">
        <v>151</v>
      </c>
      <c r="E161" t="str">
        <f>"151527964007"</f>
        <v>151527964007</v>
      </c>
      <c r="F161">
        <v>2024</v>
      </c>
      <c r="G161">
        <v>4125687</v>
      </c>
      <c r="H161" s="266">
        <v>2864.5</v>
      </c>
      <c r="I161" s="266"/>
      <c r="J161" s="76">
        <f t="shared" si="16"/>
        <v>2796</v>
      </c>
      <c r="K161" s="269">
        <f t="shared" si="17"/>
        <v>2864.5</v>
      </c>
      <c r="L161" s="85" t="str">
        <f t="shared" ca="1" si="15"/>
        <v>ok</v>
      </c>
    </row>
    <row r="162" spans="1:12">
      <c r="A162">
        <v>3113</v>
      </c>
      <c r="B162">
        <v>22044007</v>
      </c>
      <c r="C162" t="str">
        <f>"PP M-SO WP.DR.KL2A USR PBX ST1"</f>
        <v>PP M-SO WP.DR.KL2A USR PBX ST1</v>
      </c>
      <c r="D162">
        <v>151</v>
      </c>
      <c r="E162" t="str">
        <f>"151822044007"</f>
        <v>151822044007</v>
      </c>
      <c r="F162">
        <v>2024</v>
      </c>
      <c r="G162">
        <v>4125766</v>
      </c>
      <c r="H162" s="266">
        <v>2360</v>
      </c>
      <c r="I162" s="266"/>
      <c r="J162" s="76">
        <f t="shared" si="16"/>
        <v>2204</v>
      </c>
      <c r="K162" s="269">
        <f t="shared" si="17"/>
        <v>2360</v>
      </c>
      <c r="L162" s="85" t="str">
        <f t="shared" ca="1" si="15"/>
        <v>ok</v>
      </c>
    </row>
    <row r="163" spans="1:12">
      <c r="A163">
        <v>3113</v>
      </c>
      <c r="B163">
        <v>52154000</v>
      </c>
      <c r="C163" t="s">
        <v>15451</v>
      </c>
      <c r="D163">
        <v>152</v>
      </c>
      <c r="E163" t="str">
        <f>"152152154000"</f>
        <v>152152154000</v>
      </c>
      <c r="F163">
        <v>2024</v>
      </c>
      <c r="G163" t="str">
        <f>"3224152001"</f>
        <v>3224152001</v>
      </c>
      <c r="H163" s="266">
        <v>4200</v>
      </c>
      <c r="I163" s="266"/>
      <c r="J163" s="76">
        <f t="shared" si="16"/>
        <v>5215</v>
      </c>
      <c r="K163" s="269">
        <f t="shared" si="17"/>
        <v>4200</v>
      </c>
      <c r="L163" s="85" t="str">
        <f t="shared" ca="1" si="15"/>
        <v>ok</v>
      </c>
    </row>
    <row r="164" spans="1:12">
      <c r="A164">
        <v>3113</v>
      </c>
      <c r="B164">
        <v>53040110</v>
      </c>
      <c r="C164" t="str">
        <f>"FARSZ KUR.PEKL.PBX SU"</f>
        <v>FARSZ KUR.PEKL.PBX SU</v>
      </c>
      <c r="D164">
        <v>6</v>
      </c>
      <c r="E164" t="str">
        <f>"6450580804"</f>
        <v>6450580804</v>
      </c>
      <c r="F164">
        <v>2024</v>
      </c>
      <c r="G164" t="str">
        <f>"6450580804"</f>
        <v>6450580804</v>
      </c>
      <c r="H164" s="266">
        <v>6519</v>
      </c>
      <c r="I164" s="266"/>
      <c r="J164" s="76">
        <f t="shared" si="16"/>
        <v>5304</v>
      </c>
      <c r="K164" s="269">
        <f t="shared" si="17"/>
        <v>6519</v>
      </c>
      <c r="L164" s="85" t="str">
        <f t="shared" ca="1" si="15"/>
        <v>ok</v>
      </c>
    </row>
    <row r="165" spans="1:12">
      <c r="A165"/>
      <c r="B165"/>
      <c r="C165"/>
      <c r="D165"/>
      <c r="E165"/>
      <c r="F165"/>
      <c r="G165"/>
      <c r="H165" s="266"/>
      <c r="I165" s="266"/>
      <c r="J165" s="76" t="e">
        <f t="shared" si="16"/>
        <v>#VALUE!</v>
      </c>
      <c r="K165" s="269">
        <f t="shared" si="17"/>
        <v>0</v>
      </c>
      <c r="L165" s="85" t="str">
        <f t="shared" si="15"/>
        <v>brak w bazie</v>
      </c>
    </row>
    <row r="166" spans="1:12">
      <c r="A166"/>
      <c r="B166"/>
      <c r="C166"/>
      <c r="D166"/>
      <c r="E166"/>
      <c r="F166"/>
      <c r="G166"/>
      <c r="H166" s="266"/>
      <c r="I166" s="266"/>
      <c r="J166" s="76" t="e">
        <f t="shared" si="16"/>
        <v>#VALUE!</v>
      </c>
      <c r="K166" s="269">
        <f t="shared" si="17"/>
        <v>0</v>
      </c>
      <c r="L166" s="85" t="str">
        <f t="shared" si="15"/>
        <v>brak w bazie</v>
      </c>
    </row>
    <row r="167" spans="1:12">
      <c r="A167"/>
      <c r="B167"/>
      <c r="C167"/>
      <c r="D167"/>
      <c r="E167"/>
      <c r="F167"/>
      <c r="G167"/>
      <c r="H167" s="266"/>
      <c r="I167" s="266"/>
      <c r="J167" s="76" t="e">
        <f t="shared" si="16"/>
        <v>#VALUE!</v>
      </c>
      <c r="K167" s="269">
        <f t="shared" si="17"/>
        <v>0</v>
      </c>
      <c r="L167" s="85" t="str">
        <f t="shared" si="15"/>
        <v>brak w bazie</v>
      </c>
    </row>
    <row r="168" spans="1:12">
      <c r="A168"/>
      <c r="B168"/>
      <c r="C168"/>
      <c r="D168"/>
      <c r="E168"/>
      <c r="F168"/>
      <c r="G168"/>
      <c r="H168" s="266"/>
      <c r="I168" s="266"/>
      <c r="J168" s="76" t="e">
        <f t="shared" si="16"/>
        <v>#VALUE!</v>
      </c>
      <c r="K168" s="269">
        <f t="shared" si="17"/>
        <v>0</v>
      </c>
      <c r="L168" s="85" t="str">
        <f t="shared" si="15"/>
        <v>brak w bazie</v>
      </c>
    </row>
    <row r="169" spans="1:12">
      <c r="A169"/>
      <c r="B169"/>
      <c r="C169"/>
      <c r="D169"/>
      <c r="E169"/>
      <c r="F169"/>
      <c r="G169"/>
      <c r="H169" s="266"/>
      <c r="I169" s="266"/>
      <c r="J169" s="76" t="e">
        <f t="shared" si="16"/>
        <v>#VALUE!</v>
      </c>
      <c r="K169" s="269">
        <f t="shared" si="17"/>
        <v>0</v>
      </c>
      <c r="L169" s="85" t="str">
        <f t="shared" si="15"/>
        <v>brak w bazie</v>
      </c>
    </row>
    <row r="170" spans="1:12">
      <c r="A170"/>
      <c r="B170"/>
      <c r="C170"/>
      <c r="D170"/>
      <c r="E170"/>
      <c r="F170"/>
      <c r="G170"/>
      <c r="H170" s="266"/>
      <c r="I170" s="266"/>
      <c r="J170" s="76" t="e">
        <f t="shared" si="16"/>
        <v>#VALUE!</v>
      </c>
      <c r="K170" s="269">
        <f t="shared" si="17"/>
        <v>0</v>
      </c>
      <c r="L170" s="85" t="str">
        <f t="shared" si="15"/>
        <v>brak w bazie</v>
      </c>
    </row>
    <row r="171" spans="1:12">
      <c r="A171"/>
      <c r="B171"/>
      <c r="C171"/>
      <c r="D171"/>
      <c r="E171"/>
      <c r="F171"/>
      <c r="G171"/>
      <c r="H171" s="266"/>
      <c r="I171" s="266"/>
      <c r="J171" s="76" t="e">
        <f t="shared" si="16"/>
        <v>#VALUE!</v>
      </c>
      <c r="K171" s="269">
        <f t="shared" si="17"/>
        <v>0</v>
      </c>
      <c r="L171" s="85" t="str">
        <f t="shared" si="15"/>
        <v>brak w bazie</v>
      </c>
    </row>
    <row r="172" spans="1:12">
      <c r="A172"/>
      <c r="B172"/>
      <c r="C172"/>
      <c r="D172"/>
      <c r="E172"/>
      <c r="F172"/>
      <c r="G172"/>
      <c r="H172" s="266"/>
      <c r="I172" s="266"/>
      <c r="J172" s="76" t="e">
        <f t="shared" si="16"/>
        <v>#VALUE!</v>
      </c>
      <c r="K172" s="269">
        <f t="shared" si="17"/>
        <v>0</v>
      </c>
      <c r="L172" s="85" t="str">
        <f t="shared" si="15"/>
        <v>brak w bazie</v>
      </c>
    </row>
    <row r="173" spans="1:12">
      <c r="A173"/>
      <c r="B173"/>
      <c r="C173"/>
      <c r="D173"/>
      <c r="E173"/>
      <c r="F173"/>
      <c r="G173"/>
      <c r="H173" s="266"/>
      <c r="I173" s="266"/>
      <c r="J173" s="76" t="e">
        <f t="shared" si="16"/>
        <v>#VALUE!</v>
      </c>
      <c r="K173" s="269">
        <f t="shared" si="17"/>
        <v>0</v>
      </c>
      <c r="L173" s="85" t="str">
        <f t="shared" si="15"/>
        <v>brak w bazie</v>
      </c>
    </row>
    <row r="174" spans="1:12">
      <c r="A174"/>
      <c r="B174"/>
      <c r="C174"/>
      <c r="D174"/>
      <c r="E174"/>
      <c r="F174"/>
      <c r="G174"/>
      <c r="H174" s="266"/>
      <c r="I174" s="266"/>
      <c r="J174" s="76" t="e">
        <f t="shared" si="16"/>
        <v>#VALUE!</v>
      </c>
      <c r="K174" s="269">
        <f t="shared" si="17"/>
        <v>0</v>
      </c>
      <c r="L174" s="85" t="str">
        <f t="shared" si="15"/>
        <v>brak w bazie</v>
      </c>
    </row>
    <row r="175" spans="1:12">
      <c r="A175"/>
      <c r="B175"/>
      <c r="C175"/>
      <c r="D175"/>
      <c r="E175"/>
      <c r="F175"/>
      <c r="G175"/>
      <c r="H175" s="266"/>
      <c r="I175" s="266"/>
      <c r="J175" s="76" t="e">
        <f t="shared" si="16"/>
        <v>#VALUE!</v>
      </c>
      <c r="K175" s="269">
        <f t="shared" si="17"/>
        <v>0</v>
      </c>
      <c r="L175" s="85" t="str">
        <f t="shared" si="15"/>
        <v>brak w bazie</v>
      </c>
    </row>
    <row r="176" spans="1:12">
      <c r="A176"/>
      <c r="B176"/>
      <c r="C176"/>
      <c r="D176"/>
      <c r="E176"/>
      <c r="F176"/>
      <c r="G176"/>
      <c r="H176" s="93"/>
      <c r="I176" s="266"/>
      <c r="J176" s="76" t="e">
        <f t="shared" si="16"/>
        <v>#VALUE!</v>
      </c>
      <c r="K176" s="269">
        <f t="shared" si="17"/>
        <v>0</v>
      </c>
      <c r="L176" s="85" t="str">
        <f t="shared" si="15"/>
        <v>brak w bazie</v>
      </c>
    </row>
    <row r="177" spans="1:12">
      <c r="A177"/>
      <c r="B177"/>
      <c r="C177"/>
      <c r="D177"/>
      <c r="E177"/>
      <c r="F177"/>
      <c r="G177"/>
      <c r="H177" s="93"/>
      <c r="I177" s="266"/>
      <c r="J177" s="76" t="e">
        <f t="shared" si="16"/>
        <v>#VALUE!</v>
      </c>
      <c r="K177" s="269">
        <f t="shared" si="17"/>
        <v>0</v>
      </c>
      <c r="L177" s="85" t="str">
        <f t="shared" si="15"/>
        <v>brak w bazie</v>
      </c>
    </row>
    <row r="178" spans="1:12">
      <c r="A178"/>
      <c r="B178"/>
      <c r="C178"/>
      <c r="D178"/>
      <c r="E178"/>
      <c r="F178"/>
      <c r="G178"/>
      <c r="H178" s="93"/>
      <c r="I178" s="266"/>
      <c r="J178" s="76" t="e">
        <f t="shared" si="16"/>
        <v>#VALUE!</v>
      </c>
      <c r="K178" s="269">
        <f t="shared" si="17"/>
        <v>0</v>
      </c>
      <c r="L178" s="85" t="str">
        <f t="shared" si="15"/>
        <v>brak w bazie</v>
      </c>
    </row>
    <row r="179" spans="1:12">
      <c r="A179"/>
      <c r="B179"/>
      <c r="C179"/>
      <c r="D179" s="438"/>
      <c r="E179"/>
      <c r="F179"/>
      <c r="G179"/>
      <c r="H179"/>
      <c r="I179" s="266"/>
      <c r="J179" s="76" t="e">
        <f t="shared" si="16"/>
        <v>#VALUE!</v>
      </c>
      <c r="K179" s="269">
        <f t="shared" si="17"/>
        <v>0</v>
      </c>
      <c r="L179" s="85" t="str">
        <f t="shared" si="15"/>
        <v>brak w bazie</v>
      </c>
    </row>
    <row r="180" spans="1:12">
      <c r="A180"/>
      <c r="B180"/>
      <c r="C180"/>
      <c r="D180" s="438"/>
      <c r="E180"/>
      <c r="F180"/>
      <c r="G180"/>
      <c r="H180"/>
      <c r="I180" s="266"/>
      <c r="J180" s="76" t="e">
        <f t="shared" si="16"/>
        <v>#VALUE!</v>
      </c>
      <c r="K180" s="269">
        <f t="shared" si="17"/>
        <v>0</v>
      </c>
      <c r="L180" s="85" t="str">
        <f t="shared" si="15"/>
        <v>brak w bazie</v>
      </c>
    </row>
    <row r="181" spans="1:12">
      <c r="A181"/>
      <c r="B181"/>
      <c r="C181"/>
      <c r="D181" s="438"/>
      <c r="E181"/>
      <c r="F181"/>
      <c r="G181"/>
      <c r="H181"/>
      <c r="I181" s="266"/>
      <c r="J181" s="76" t="e">
        <f t="shared" si="16"/>
        <v>#VALUE!</v>
      </c>
      <c r="K181" s="269">
        <f t="shared" si="17"/>
        <v>0</v>
      </c>
      <c r="L181" s="85" t="str">
        <f t="shared" si="15"/>
        <v>brak w bazie</v>
      </c>
    </row>
    <row r="182" spans="1:12">
      <c r="A182"/>
      <c r="B182"/>
      <c r="C182"/>
      <c r="D182" s="438"/>
      <c r="E182"/>
      <c r="F182"/>
      <c r="G182"/>
      <c r="H182"/>
      <c r="I182" s="266"/>
      <c r="J182" s="76" t="e">
        <f t="shared" si="16"/>
        <v>#VALUE!</v>
      </c>
      <c r="K182" s="269">
        <f t="shared" si="17"/>
        <v>0</v>
      </c>
      <c r="L182" s="85" t="str">
        <f t="shared" si="15"/>
        <v>brak w bazie</v>
      </c>
    </row>
    <row r="183" spans="1:12">
      <c r="A183"/>
      <c r="B183"/>
      <c r="C183"/>
      <c r="D183" s="438"/>
      <c r="E183"/>
      <c r="F183"/>
      <c r="G183"/>
      <c r="H183"/>
      <c r="I183" s="266"/>
      <c r="J183" s="76" t="e">
        <f t="shared" si="16"/>
        <v>#VALUE!</v>
      </c>
      <c r="K183" s="269">
        <f t="shared" ref="K183:K214" si="18">H183</f>
        <v>0</v>
      </c>
      <c r="L183" s="85" t="str">
        <f t="shared" si="15"/>
        <v>brak w bazie</v>
      </c>
    </row>
    <row r="184" spans="1:12">
      <c r="A184"/>
      <c r="B184"/>
      <c r="C184"/>
      <c r="D184" s="438"/>
      <c r="E184"/>
      <c r="F184"/>
      <c r="G184"/>
      <c r="H184"/>
      <c r="I184" s="266"/>
      <c r="J184" s="76" t="e">
        <f t="shared" si="16"/>
        <v>#VALUE!</v>
      </c>
      <c r="K184" s="269">
        <f t="shared" si="18"/>
        <v>0</v>
      </c>
      <c r="L184" s="85" t="str">
        <f t="shared" si="15"/>
        <v>brak w bazie</v>
      </c>
    </row>
    <row r="185" spans="1:12">
      <c r="A185"/>
      <c r="B185"/>
      <c r="C185"/>
      <c r="D185" s="438"/>
      <c r="E185"/>
      <c r="F185"/>
      <c r="G185"/>
      <c r="H185"/>
      <c r="I185" s="266"/>
      <c r="J185" s="76" t="e">
        <f t="shared" si="16"/>
        <v>#VALUE!</v>
      </c>
      <c r="K185" s="269">
        <f t="shared" si="18"/>
        <v>0</v>
      </c>
      <c r="L185" s="85" t="str">
        <f t="shared" ref="L185:L220" si="19">IF(OR(IFERROR(VLOOKUP(J185,MDR_I1,1,0),0),IFERROR(VLOOKUP(J185,MDR_I2,1,0),0),IFERROR(VLOOKUP(J185,MDR_I3,1,0),0),IFERROR(VLOOKUP(J185,MDR_I4,1,0),0),IFERROR(VLOOKUP(J185,MDR_I5,1,0),0),IFERROR(VLOOKUP(J185,FARSZE,1,0),0)),"ok","brak w bazie")</f>
        <v>brak w bazie</v>
      </c>
    </row>
    <row r="186" spans="1:12">
      <c r="A186"/>
      <c r="B186"/>
      <c r="C186"/>
      <c r="D186" s="438"/>
      <c r="E186"/>
      <c r="F186"/>
      <c r="G186"/>
      <c r="H186"/>
      <c r="I186" s="266"/>
      <c r="J186" s="76" t="e">
        <f t="shared" si="16"/>
        <v>#VALUE!</v>
      </c>
      <c r="K186" s="269">
        <f t="shared" si="18"/>
        <v>0</v>
      </c>
      <c r="L186" s="85" t="str">
        <f t="shared" si="19"/>
        <v>brak w bazie</v>
      </c>
    </row>
    <row r="187" spans="1:12">
      <c r="A187"/>
      <c r="B187"/>
      <c r="C187"/>
      <c r="D187" s="438"/>
      <c r="E187"/>
      <c r="F187"/>
      <c r="G187"/>
      <c r="H187"/>
      <c r="I187" s="266"/>
      <c r="J187" s="76" t="e">
        <f t="shared" si="16"/>
        <v>#VALUE!</v>
      </c>
      <c r="K187" s="269">
        <f t="shared" si="18"/>
        <v>0</v>
      </c>
      <c r="L187" s="85" t="str">
        <f t="shared" si="19"/>
        <v>brak w bazie</v>
      </c>
    </row>
    <row r="188" spans="1:12">
      <c r="A188"/>
      <c r="B188"/>
      <c r="C188"/>
      <c r="D188" s="438"/>
      <c r="E188"/>
      <c r="F188"/>
      <c r="G188"/>
      <c r="H188"/>
      <c r="I188" s="266"/>
      <c r="J188" s="76" t="e">
        <f t="shared" si="16"/>
        <v>#VALUE!</v>
      </c>
      <c r="K188" s="269">
        <f t="shared" si="18"/>
        <v>0</v>
      </c>
      <c r="L188" s="85" t="str">
        <f t="shared" si="19"/>
        <v>brak w bazie</v>
      </c>
    </row>
    <row r="189" spans="1:12">
      <c r="A189"/>
      <c r="B189"/>
      <c r="C189"/>
      <c r="D189" s="438"/>
      <c r="E189"/>
      <c r="F189"/>
      <c r="G189"/>
      <c r="H189"/>
      <c r="I189" s="266"/>
      <c r="J189" s="76" t="e">
        <f t="shared" si="16"/>
        <v>#VALUE!</v>
      </c>
      <c r="K189" s="269">
        <f t="shared" si="18"/>
        <v>0</v>
      </c>
      <c r="L189" s="85" t="str">
        <f t="shared" si="19"/>
        <v>brak w bazie</v>
      </c>
    </row>
    <row r="190" spans="1:12">
      <c r="A190"/>
      <c r="B190"/>
      <c r="C190"/>
      <c r="D190" s="438"/>
      <c r="E190"/>
      <c r="F190"/>
      <c r="G190"/>
      <c r="H190"/>
      <c r="I190" s="266"/>
      <c r="J190" s="76" t="e">
        <f t="shared" si="16"/>
        <v>#VALUE!</v>
      </c>
      <c r="K190" s="269">
        <f t="shared" si="18"/>
        <v>0</v>
      </c>
      <c r="L190" s="85" t="str">
        <f t="shared" si="19"/>
        <v>brak w bazie</v>
      </c>
    </row>
    <row r="191" spans="1:12">
      <c r="A191"/>
      <c r="B191"/>
      <c r="C191"/>
      <c r="D191"/>
      <c r="E191" s="93"/>
      <c r="F191"/>
      <c r="G191" s="93"/>
      <c r="H191"/>
      <c r="I191" s="266"/>
      <c r="J191" s="76" t="e">
        <f t="shared" si="16"/>
        <v>#VALUE!</v>
      </c>
      <c r="K191" s="269">
        <f t="shared" si="18"/>
        <v>0</v>
      </c>
      <c r="L191" s="85" t="str">
        <f t="shared" si="19"/>
        <v>brak w bazie</v>
      </c>
    </row>
    <row r="192" spans="1:12">
      <c r="A192"/>
      <c r="B192"/>
      <c r="C192"/>
      <c r="D192"/>
      <c r="E192" s="93"/>
      <c r="F192"/>
      <c r="G192" s="93"/>
      <c r="H192"/>
      <c r="I192" s="266"/>
      <c r="J192" s="76" t="e">
        <f t="shared" si="16"/>
        <v>#VALUE!</v>
      </c>
      <c r="K192" s="269">
        <f t="shared" si="18"/>
        <v>0</v>
      </c>
      <c r="L192" s="85" t="str">
        <f t="shared" si="19"/>
        <v>brak w bazie</v>
      </c>
    </row>
    <row r="193" spans="1:12">
      <c r="A193"/>
      <c r="B193"/>
      <c r="C193"/>
      <c r="D193"/>
      <c r="E193" s="93"/>
      <c r="F193"/>
      <c r="G193" s="93"/>
      <c r="H193"/>
      <c r="I193" s="266"/>
      <c r="J193" s="76" t="e">
        <f t="shared" si="16"/>
        <v>#VALUE!</v>
      </c>
      <c r="K193" s="269">
        <f t="shared" si="18"/>
        <v>0</v>
      </c>
      <c r="L193" s="85" t="str">
        <f t="shared" si="19"/>
        <v>brak w bazie</v>
      </c>
    </row>
    <row r="194" spans="1:12">
      <c r="A194"/>
      <c r="B194"/>
      <c r="C194"/>
      <c r="D194"/>
      <c r="E194" s="93"/>
      <c r="F194"/>
      <c r="G194" s="93"/>
      <c r="H194"/>
      <c r="I194" s="266"/>
      <c r="J194" s="76" t="e">
        <f t="shared" si="16"/>
        <v>#VALUE!</v>
      </c>
      <c r="K194" s="269">
        <f t="shared" si="18"/>
        <v>0</v>
      </c>
      <c r="L194" s="85" t="str">
        <f t="shared" si="19"/>
        <v>brak w bazie</v>
      </c>
    </row>
    <row r="195" spans="1:12">
      <c r="A195"/>
      <c r="B195"/>
      <c r="C195"/>
      <c r="D195"/>
      <c r="E195" s="93"/>
      <c r="F195"/>
      <c r="G195" s="93"/>
      <c r="H195"/>
      <c r="I195" s="266"/>
      <c r="J195" s="76" t="e">
        <f t="shared" si="16"/>
        <v>#VALUE!</v>
      </c>
      <c r="K195" s="269">
        <f t="shared" si="18"/>
        <v>0</v>
      </c>
      <c r="L195" s="85" t="str">
        <f t="shared" si="19"/>
        <v>brak w bazie</v>
      </c>
    </row>
    <row r="196" spans="1:12">
      <c r="A196"/>
      <c r="B196"/>
      <c r="C196"/>
      <c r="D196"/>
      <c r="E196" s="93"/>
      <c r="F196"/>
      <c r="G196" s="93"/>
      <c r="H196"/>
      <c r="I196" s="266"/>
      <c r="J196" s="76" t="e">
        <f t="shared" si="16"/>
        <v>#VALUE!</v>
      </c>
      <c r="K196" s="269">
        <f t="shared" si="18"/>
        <v>0</v>
      </c>
      <c r="L196" s="85" t="str">
        <f t="shared" si="19"/>
        <v>brak w bazie</v>
      </c>
    </row>
    <row r="197" spans="1:12">
      <c r="A197"/>
      <c r="B197"/>
      <c r="C197"/>
      <c r="D197"/>
      <c r="E197" s="93"/>
      <c r="F197"/>
      <c r="G197" s="93"/>
      <c r="H197"/>
      <c r="I197" s="266"/>
      <c r="J197" s="76" t="e">
        <f t="shared" si="16"/>
        <v>#VALUE!</v>
      </c>
      <c r="K197" s="269">
        <f t="shared" si="18"/>
        <v>0</v>
      </c>
      <c r="L197" s="85" t="str">
        <f t="shared" si="19"/>
        <v>brak w bazie</v>
      </c>
    </row>
    <row r="198" spans="1:12">
      <c r="A198"/>
      <c r="B198"/>
      <c r="C198"/>
      <c r="D198"/>
      <c r="E198" s="93"/>
      <c r="F198"/>
      <c r="G198" s="93"/>
      <c r="H198"/>
      <c r="I198" s="266"/>
      <c r="J198" s="76" t="e">
        <f t="shared" ref="J198:J234" si="20">IF(MID(B198,1,4)*1 = 5226,IF(MID(B198,5,1)*1=4,B198,MID(B198,1,4)*1),MID(B198,1,4)*1)</f>
        <v>#VALUE!</v>
      </c>
      <c r="K198" s="269">
        <f t="shared" si="18"/>
        <v>0</v>
      </c>
      <c r="L198" s="85" t="str">
        <f t="shared" si="19"/>
        <v>brak w bazie</v>
      </c>
    </row>
    <row r="199" spans="1:12">
      <c r="A199"/>
      <c r="B199"/>
      <c r="C199"/>
      <c r="D199"/>
      <c r="E199" s="93"/>
      <c r="F199"/>
      <c r="G199" s="93"/>
      <c r="H199"/>
      <c r="I199" s="266"/>
      <c r="J199" s="76" t="e">
        <f t="shared" si="20"/>
        <v>#VALUE!</v>
      </c>
      <c r="K199" s="269">
        <f t="shared" si="18"/>
        <v>0</v>
      </c>
      <c r="L199" s="85" t="str">
        <f t="shared" si="19"/>
        <v>brak w bazie</v>
      </c>
    </row>
    <row r="200" spans="1:12">
      <c r="A200"/>
      <c r="B200"/>
      <c r="C200"/>
      <c r="D200"/>
      <c r="E200" s="93"/>
      <c r="F200"/>
      <c r="G200" s="93"/>
      <c r="H200"/>
      <c r="I200" s="266"/>
      <c r="J200" s="76" t="e">
        <f t="shared" si="20"/>
        <v>#VALUE!</v>
      </c>
      <c r="K200" s="269">
        <f t="shared" si="18"/>
        <v>0</v>
      </c>
      <c r="L200" s="85" t="str">
        <f t="shared" si="19"/>
        <v>brak w bazie</v>
      </c>
    </row>
    <row r="201" spans="1:12">
      <c r="A201"/>
      <c r="B201"/>
      <c r="C201"/>
      <c r="D201"/>
      <c r="E201" s="93"/>
      <c r="F201"/>
      <c r="G201" s="93"/>
      <c r="H201"/>
      <c r="I201" s="266"/>
      <c r="J201" s="76" t="e">
        <f t="shared" si="20"/>
        <v>#VALUE!</v>
      </c>
      <c r="K201" s="269">
        <f t="shared" si="18"/>
        <v>0</v>
      </c>
      <c r="L201" s="85" t="str">
        <f t="shared" si="19"/>
        <v>brak w bazie</v>
      </c>
    </row>
    <row r="202" spans="1:12">
      <c r="A202"/>
      <c r="B202"/>
      <c r="C202"/>
      <c r="D202"/>
      <c r="E202" s="93"/>
      <c r="F202"/>
      <c r="G202" s="93"/>
      <c r="H202"/>
      <c r="I202" s="266"/>
      <c r="J202" s="76" t="e">
        <f t="shared" si="20"/>
        <v>#VALUE!</v>
      </c>
      <c r="K202" s="269">
        <f t="shared" si="18"/>
        <v>0</v>
      </c>
      <c r="L202" s="85" t="str">
        <f t="shared" si="19"/>
        <v>brak w bazie</v>
      </c>
    </row>
    <row r="203" spans="1:12">
      <c r="A203"/>
      <c r="B203"/>
      <c r="C203"/>
      <c r="D203"/>
      <c r="E203" s="93"/>
      <c r="F203"/>
      <c r="G203" s="93"/>
      <c r="H203"/>
      <c r="I203" s="266"/>
      <c r="J203" s="76" t="e">
        <f t="shared" si="20"/>
        <v>#VALUE!</v>
      </c>
      <c r="K203" s="269">
        <f t="shared" si="18"/>
        <v>0</v>
      </c>
      <c r="L203" s="85" t="str">
        <f t="shared" si="19"/>
        <v>brak w bazie</v>
      </c>
    </row>
    <row r="204" spans="1:12">
      <c r="A204"/>
      <c r="B204"/>
      <c r="C204"/>
      <c r="D204"/>
      <c r="E204" s="93"/>
      <c r="F204"/>
      <c r="G204" s="93"/>
      <c r="H204"/>
      <c r="I204" s="266"/>
      <c r="J204" s="76" t="e">
        <f t="shared" si="20"/>
        <v>#VALUE!</v>
      </c>
      <c r="K204" s="269">
        <f t="shared" si="18"/>
        <v>0</v>
      </c>
      <c r="L204" s="85" t="str">
        <f t="shared" si="19"/>
        <v>brak w bazie</v>
      </c>
    </row>
    <row r="205" spans="1:12">
      <c r="A205"/>
      <c r="B205"/>
      <c r="C205"/>
      <c r="D205"/>
      <c r="E205" s="93"/>
      <c r="F205"/>
      <c r="G205" s="93"/>
      <c r="H205"/>
      <c r="I205" s="266"/>
      <c r="J205" s="76" t="e">
        <f t="shared" si="20"/>
        <v>#VALUE!</v>
      </c>
      <c r="K205" s="269">
        <f t="shared" si="18"/>
        <v>0</v>
      </c>
      <c r="L205" s="85" t="str">
        <f t="shared" si="19"/>
        <v>brak w bazie</v>
      </c>
    </row>
    <row r="206" spans="1:12">
      <c r="A206"/>
      <c r="B206"/>
      <c r="C206"/>
      <c r="D206"/>
      <c r="E206" s="93"/>
      <c r="F206"/>
      <c r="G206" s="93"/>
      <c r="H206"/>
      <c r="I206" s="266"/>
      <c r="J206" s="76" t="e">
        <f t="shared" si="20"/>
        <v>#VALUE!</v>
      </c>
      <c r="K206" s="269">
        <f t="shared" si="18"/>
        <v>0</v>
      </c>
      <c r="L206" s="85" t="str">
        <f t="shared" si="19"/>
        <v>brak w bazie</v>
      </c>
    </row>
    <row r="207" spans="1:12">
      <c r="A207"/>
      <c r="B207"/>
      <c r="C207"/>
      <c r="D207"/>
      <c r="E207" s="93"/>
      <c r="F207"/>
      <c r="G207" s="93"/>
      <c r="H207"/>
      <c r="I207" s="266"/>
      <c r="J207" s="76" t="e">
        <f t="shared" si="20"/>
        <v>#VALUE!</v>
      </c>
      <c r="K207" s="269">
        <f t="shared" si="18"/>
        <v>0</v>
      </c>
      <c r="L207" s="85" t="str">
        <f t="shared" si="19"/>
        <v>brak w bazie</v>
      </c>
    </row>
    <row r="208" spans="1:12">
      <c r="A208"/>
      <c r="B208"/>
      <c r="C208"/>
      <c r="D208"/>
      <c r="E208" s="93"/>
      <c r="F208"/>
      <c r="G208"/>
      <c r="H208" s="266"/>
      <c r="J208" s="76" t="e">
        <f t="shared" si="20"/>
        <v>#VALUE!</v>
      </c>
      <c r="K208" s="269">
        <f t="shared" si="18"/>
        <v>0</v>
      </c>
      <c r="L208" s="85" t="str">
        <f t="shared" si="19"/>
        <v>brak w bazie</v>
      </c>
    </row>
    <row r="209" spans="1:12">
      <c r="A209"/>
      <c r="B209"/>
      <c r="C209"/>
      <c r="D209"/>
      <c r="E209" s="93"/>
      <c r="F209"/>
      <c r="G209"/>
      <c r="H209" s="266"/>
      <c r="J209" s="76" t="e">
        <f t="shared" si="20"/>
        <v>#VALUE!</v>
      </c>
      <c r="K209" s="269">
        <f t="shared" si="18"/>
        <v>0</v>
      </c>
      <c r="L209" s="85" t="str">
        <f t="shared" si="19"/>
        <v>brak w bazie</v>
      </c>
    </row>
    <row r="210" spans="1:12">
      <c r="A210"/>
      <c r="B210"/>
      <c r="C210"/>
      <c r="D210"/>
      <c r="E210" s="93"/>
      <c r="F210"/>
      <c r="G210"/>
      <c r="H210" s="266"/>
      <c r="J210" s="76" t="e">
        <f t="shared" si="20"/>
        <v>#VALUE!</v>
      </c>
      <c r="K210" s="269">
        <f t="shared" si="18"/>
        <v>0</v>
      </c>
      <c r="L210" s="85" t="str">
        <f t="shared" si="19"/>
        <v>brak w bazie</v>
      </c>
    </row>
    <row r="211" spans="1:12">
      <c r="A211"/>
      <c r="B211"/>
      <c r="C211"/>
      <c r="D211"/>
      <c r="E211" s="93"/>
      <c r="F211"/>
      <c r="G211"/>
      <c r="H211" s="266"/>
      <c r="J211" s="76" t="e">
        <f t="shared" si="20"/>
        <v>#VALUE!</v>
      </c>
      <c r="K211" s="269">
        <f t="shared" si="18"/>
        <v>0</v>
      </c>
      <c r="L211" s="85" t="str">
        <f t="shared" si="19"/>
        <v>brak w bazie</v>
      </c>
    </row>
    <row r="212" spans="1:12">
      <c r="A212"/>
      <c r="B212"/>
      <c r="C212"/>
      <c r="D212"/>
      <c r="E212" s="93"/>
      <c r="F212"/>
      <c r="G212"/>
      <c r="H212" s="266"/>
      <c r="J212" s="76" t="e">
        <f t="shared" si="20"/>
        <v>#VALUE!</v>
      </c>
      <c r="K212" s="269">
        <f t="shared" si="18"/>
        <v>0</v>
      </c>
      <c r="L212" s="85" t="str">
        <f t="shared" si="19"/>
        <v>brak w bazie</v>
      </c>
    </row>
    <row r="213" spans="1:12">
      <c r="A213"/>
      <c r="B213"/>
      <c r="C213"/>
      <c r="D213"/>
      <c r="E213" s="93"/>
      <c r="F213"/>
      <c r="G213"/>
      <c r="H213" s="266"/>
      <c r="J213" s="76" t="e">
        <f t="shared" si="20"/>
        <v>#VALUE!</v>
      </c>
      <c r="K213" s="269">
        <f t="shared" si="18"/>
        <v>0</v>
      </c>
      <c r="L213" s="85" t="str">
        <f t="shared" si="19"/>
        <v>brak w bazie</v>
      </c>
    </row>
    <row r="214" spans="1:12">
      <c r="A214"/>
      <c r="B214"/>
      <c r="C214"/>
      <c r="D214"/>
      <c r="E214" s="93"/>
      <c r="F214"/>
      <c r="G214"/>
      <c r="H214" s="266"/>
      <c r="J214" s="76" t="e">
        <f t="shared" si="20"/>
        <v>#VALUE!</v>
      </c>
      <c r="K214" s="269">
        <f t="shared" si="18"/>
        <v>0</v>
      </c>
      <c r="L214" s="85" t="str">
        <f t="shared" si="19"/>
        <v>brak w bazie</v>
      </c>
    </row>
    <row r="215" spans="1:12">
      <c r="A215"/>
      <c r="B215"/>
      <c r="C215"/>
      <c r="D215"/>
      <c r="E215" s="93"/>
      <c r="F215"/>
      <c r="G215"/>
      <c r="H215" s="266"/>
      <c r="J215" s="76" t="e">
        <f t="shared" si="20"/>
        <v>#VALUE!</v>
      </c>
      <c r="K215" s="269">
        <f t="shared" ref="K215:K220" si="21">H215</f>
        <v>0</v>
      </c>
      <c r="L215" s="85" t="str">
        <f t="shared" si="19"/>
        <v>brak w bazie</v>
      </c>
    </row>
    <row r="216" spans="1:12">
      <c r="A216"/>
      <c r="B216"/>
      <c r="C216"/>
      <c r="D216"/>
      <c r="E216" s="93"/>
      <c r="F216"/>
      <c r="G216"/>
      <c r="H216" s="266"/>
      <c r="J216" s="76" t="e">
        <f t="shared" si="20"/>
        <v>#VALUE!</v>
      </c>
      <c r="K216" s="269">
        <f t="shared" si="21"/>
        <v>0</v>
      </c>
      <c r="L216" s="85" t="str">
        <f t="shared" si="19"/>
        <v>brak w bazie</v>
      </c>
    </row>
    <row r="217" spans="1:12">
      <c r="A217"/>
      <c r="B217"/>
      <c r="C217"/>
      <c r="D217"/>
      <c r="E217" s="93"/>
      <c r="F217"/>
      <c r="G217"/>
      <c r="H217" s="266"/>
      <c r="J217" s="76" t="e">
        <f t="shared" si="20"/>
        <v>#VALUE!</v>
      </c>
      <c r="K217" s="269">
        <f t="shared" si="21"/>
        <v>0</v>
      </c>
      <c r="L217" s="85" t="str">
        <f t="shared" si="19"/>
        <v>brak w bazie</v>
      </c>
    </row>
    <row r="218" spans="1:12">
      <c r="A218"/>
      <c r="B218"/>
      <c r="C218"/>
      <c r="D218"/>
      <c r="E218" s="93"/>
      <c r="F218"/>
      <c r="G218"/>
      <c r="H218" s="266"/>
      <c r="J218" s="76" t="e">
        <f t="shared" si="20"/>
        <v>#VALUE!</v>
      </c>
      <c r="K218" s="269">
        <f t="shared" si="21"/>
        <v>0</v>
      </c>
      <c r="L218" s="85" t="str">
        <f t="shared" si="19"/>
        <v>brak w bazie</v>
      </c>
    </row>
    <row r="219" spans="1:12">
      <c r="A219"/>
      <c r="B219"/>
      <c r="C219"/>
      <c r="D219"/>
      <c r="E219" s="93"/>
      <c r="F219"/>
      <c r="G219"/>
      <c r="H219" s="266"/>
      <c r="J219" s="76" t="e">
        <f t="shared" si="20"/>
        <v>#VALUE!</v>
      </c>
      <c r="K219" s="269">
        <f t="shared" si="21"/>
        <v>0</v>
      </c>
      <c r="L219" s="85" t="str">
        <f t="shared" si="19"/>
        <v>brak w bazie</v>
      </c>
    </row>
    <row r="220" spans="1:12">
      <c r="A220"/>
      <c r="B220"/>
      <c r="C220"/>
      <c r="D220"/>
      <c r="E220" s="93"/>
      <c r="F220"/>
      <c r="G220"/>
      <c r="H220" s="266"/>
      <c r="J220" s="76" t="e">
        <f t="shared" si="20"/>
        <v>#VALUE!</v>
      </c>
      <c r="K220" s="269">
        <f t="shared" si="21"/>
        <v>0</v>
      </c>
      <c r="L220" s="85" t="str">
        <f t="shared" si="19"/>
        <v>brak w bazie</v>
      </c>
    </row>
    <row r="221" spans="1:12">
      <c r="A221"/>
      <c r="B221"/>
      <c r="C221"/>
      <c r="D221"/>
      <c r="E221" s="93"/>
      <c r="F221"/>
      <c r="G221"/>
      <c r="H221" s="266"/>
      <c r="J221" s="76" t="e">
        <f t="shared" si="20"/>
        <v>#VALUE!</v>
      </c>
      <c r="K221" s="269">
        <f t="shared" ref="K221:K234" si="22">H217</f>
        <v>0</v>
      </c>
      <c r="L221" s="85" t="str">
        <f t="shared" ref="L221:L234" si="23">IF(OR(IFERROR(VLOOKUP(J221,MDR_I1,1,0),0),IFERROR(VLOOKUP(J221,MDR_I2,1,0),0),IFERROR(VLOOKUP(J221,MDR_I3,1,0),0),IFERROR(VLOOKUP(J221,MDR_I4,1,0),0),IFERROR(VLOOKUP(J221,MDR_I5,1,0),0),IFERROR(VLOOKUP(J221,FARSZE,1,0),0)),"ok","brak w bazie")</f>
        <v>brak w bazie</v>
      </c>
    </row>
    <row r="222" spans="1:12">
      <c r="A222"/>
      <c r="B222"/>
      <c r="C222"/>
      <c r="D222"/>
      <c r="E222" s="93"/>
      <c r="F222"/>
      <c r="G222"/>
      <c r="H222" s="266"/>
      <c r="J222" s="76" t="e">
        <f t="shared" si="20"/>
        <v>#VALUE!</v>
      </c>
      <c r="K222" s="269">
        <f t="shared" si="22"/>
        <v>0</v>
      </c>
      <c r="L222" s="85" t="str">
        <f t="shared" si="23"/>
        <v>brak w bazie</v>
      </c>
    </row>
    <row r="223" spans="1:12">
      <c r="A223"/>
      <c r="B223"/>
      <c r="C223"/>
      <c r="D223"/>
      <c r="E223" s="93"/>
      <c r="F223"/>
      <c r="G223"/>
      <c r="H223" s="266"/>
      <c r="J223" s="76" t="e">
        <f t="shared" si="20"/>
        <v>#VALUE!</v>
      </c>
      <c r="K223" s="269">
        <f t="shared" si="22"/>
        <v>0</v>
      </c>
      <c r="L223" s="85" t="str">
        <f t="shared" si="23"/>
        <v>brak w bazie</v>
      </c>
    </row>
    <row r="224" spans="1:12">
      <c r="A224"/>
      <c r="B224"/>
      <c r="C224"/>
      <c r="D224"/>
      <c r="E224" s="93"/>
      <c r="F224"/>
      <c r="G224"/>
      <c r="H224" s="266"/>
      <c r="J224" s="76" t="e">
        <f t="shared" si="20"/>
        <v>#VALUE!</v>
      </c>
      <c r="K224" s="269">
        <f t="shared" si="22"/>
        <v>0</v>
      </c>
      <c r="L224" s="85" t="str">
        <f t="shared" si="23"/>
        <v>brak w bazie</v>
      </c>
    </row>
    <row r="225" spans="1:12">
      <c r="A225"/>
      <c r="B225"/>
      <c r="C225"/>
      <c r="D225"/>
      <c r="E225" s="93"/>
      <c r="F225"/>
      <c r="G225"/>
      <c r="H225" s="266"/>
      <c r="J225" s="76" t="e">
        <f t="shared" si="20"/>
        <v>#VALUE!</v>
      </c>
      <c r="K225" s="269">
        <f t="shared" si="22"/>
        <v>0</v>
      </c>
      <c r="L225" s="85" t="str">
        <f t="shared" si="23"/>
        <v>brak w bazie</v>
      </c>
    </row>
    <row r="226" spans="1:12">
      <c r="A226"/>
      <c r="B226"/>
      <c r="C226"/>
      <c r="D226"/>
      <c r="E226" s="93"/>
      <c r="F226"/>
      <c r="G226"/>
      <c r="H226" s="266"/>
      <c r="J226" s="76" t="e">
        <f t="shared" si="20"/>
        <v>#VALUE!</v>
      </c>
      <c r="K226" s="269">
        <f t="shared" si="22"/>
        <v>0</v>
      </c>
      <c r="L226" s="85" t="str">
        <f t="shared" si="23"/>
        <v>brak w bazie</v>
      </c>
    </row>
    <row r="227" spans="1:12">
      <c r="A227"/>
      <c r="B227"/>
      <c r="C227"/>
      <c r="D227"/>
      <c r="E227" s="93"/>
      <c r="F227"/>
      <c r="G227"/>
      <c r="H227" s="266"/>
      <c r="J227" s="76" t="e">
        <f t="shared" si="20"/>
        <v>#VALUE!</v>
      </c>
      <c r="K227" s="269">
        <f t="shared" si="22"/>
        <v>0</v>
      </c>
      <c r="L227" s="85" t="str">
        <f t="shared" si="23"/>
        <v>brak w bazie</v>
      </c>
    </row>
    <row r="228" spans="1:12">
      <c r="A228"/>
      <c r="B228"/>
      <c r="C228"/>
      <c r="D228"/>
      <c r="E228" s="93"/>
      <c r="F228"/>
      <c r="G228"/>
      <c r="H228" s="266"/>
      <c r="J228" s="76" t="e">
        <f t="shared" si="20"/>
        <v>#VALUE!</v>
      </c>
      <c r="K228" s="269">
        <f t="shared" si="22"/>
        <v>0</v>
      </c>
      <c r="L228" s="85" t="str">
        <f t="shared" si="23"/>
        <v>brak w bazie</v>
      </c>
    </row>
    <row r="229" spans="1:12">
      <c r="A229"/>
      <c r="B229"/>
      <c r="C229"/>
      <c r="D229"/>
      <c r="E229" s="93"/>
      <c r="F229"/>
      <c r="G229"/>
      <c r="H229" s="266"/>
      <c r="J229" s="76" t="e">
        <f t="shared" si="20"/>
        <v>#VALUE!</v>
      </c>
      <c r="K229" s="269">
        <f t="shared" si="22"/>
        <v>0</v>
      </c>
      <c r="L229" s="85" t="str">
        <f t="shared" si="23"/>
        <v>brak w bazie</v>
      </c>
    </row>
    <row r="230" spans="1:12">
      <c r="A230"/>
      <c r="B230"/>
      <c r="C230"/>
      <c r="D230"/>
      <c r="E230" s="93"/>
      <c r="F230"/>
      <c r="G230"/>
      <c r="H230" s="266"/>
      <c r="J230" s="76" t="e">
        <f t="shared" si="20"/>
        <v>#VALUE!</v>
      </c>
      <c r="K230" s="269">
        <f t="shared" si="22"/>
        <v>0</v>
      </c>
      <c r="L230" s="85" t="str">
        <f t="shared" si="23"/>
        <v>brak w bazie</v>
      </c>
    </row>
    <row r="231" spans="1:12">
      <c r="A231"/>
      <c r="B231"/>
      <c r="C231"/>
      <c r="D231"/>
      <c r="E231" s="93"/>
      <c r="F231"/>
      <c r="G231"/>
      <c r="H231" s="266"/>
      <c r="J231" s="76" t="e">
        <f t="shared" si="20"/>
        <v>#VALUE!</v>
      </c>
      <c r="K231" s="269">
        <f t="shared" si="22"/>
        <v>0</v>
      </c>
      <c r="L231" s="85" t="str">
        <f t="shared" si="23"/>
        <v>brak w bazie</v>
      </c>
    </row>
    <row r="232" spans="1:12">
      <c r="A232"/>
      <c r="B232"/>
      <c r="C232"/>
      <c r="D232"/>
      <c r="E232" s="93"/>
      <c r="F232"/>
      <c r="G232"/>
      <c r="H232" s="266"/>
      <c r="J232" s="76" t="e">
        <f t="shared" si="20"/>
        <v>#VALUE!</v>
      </c>
      <c r="K232" s="269">
        <f t="shared" si="22"/>
        <v>0</v>
      </c>
      <c r="L232" s="85" t="str">
        <f t="shared" si="23"/>
        <v>brak w bazie</v>
      </c>
    </row>
    <row r="233" spans="1:12">
      <c r="A233"/>
      <c r="B233"/>
      <c r="C233"/>
      <c r="D233"/>
      <c r="E233" s="93"/>
      <c r="F233"/>
      <c r="G233"/>
      <c r="H233" s="266"/>
      <c r="J233" s="76" t="e">
        <f t="shared" si="20"/>
        <v>#VALUE!</v>
      </c>
      <c r="K233" s="269">
        <f t="shared" si="22"/>
        <v>0</v>
      </c>
      <c r="L233" s="85" t="str">
        <f t="shared" si="23"/>
        <v>brak w bazie</v>
      </c>
    </row>
    <row r="234" spans="1:12">
      <c r="A234"/>
      <c r="B234"/>
      <c r="C234"/>
      <c r="D234"/>
      <c r="E234" s="93"/>
      <c r="F234"/>
      <c r="G234"/>
      <c r="H234" s="266"/>
      <c r="J234" s="76" t="e">
        <f t="shared" si="20"/>
        <v>#VALUE!</v>
      </c>
      <c r="K234" s="269">
        <f t="shared" si="22"/>
        <v>0</v>
      </c>
      <c r="L234" s="85" t="str">
        <f t="shared" si="23"/>
        <v>brak w bazie</v>
      </c>
    </row>
    <row r="235" spans="1:12">
      <c r="A235"/>
      <c r="B235"/>
      <c r="C235"/>
      <c r="D235"/>
      <c r="E235" s="93"/>
      <c r="F235"/>
      <c r="G235"/>
      <c r="H235" s="266"/>
    </row>
    <row r="236" spans="1:12">
      <c r="A236"/>
      <c r="B236"/>
      <c r="C236"/>
      <c r="D236"/>
      <c r="E236" s="93"/>
      <c r="F236"/>
      <c r="G236"/>
      <c r="H236" s="266"/>
    </row>
    <row r="237" spans="1:12">
      <c r="A237"/>
      <c r="B237"/>
      <c r="C237"/>
      <c r="D237"/>
      <c r="E237" s="93"/>
      <c r="F237"/>
      <c r="G237"/>
      <c r="H237" s="266"/>
    </row>
    <row r="238" spans="1:12">
      <c r="A238"/>
      <c r="B238"/>
      <c r="C238"/>
      <c r="D238"/>
      <c r="E238" s="93"/>
      <c r="F238"/>
      <c r="G238"/>
      <c r="H238" s="266"/>
    </row>
    <row r="239" spans="1:12">
      <c r="A239"/>
      <c r="B239"/>
      <c r="C239"/>
      <c r="D239"/>
      <c r="E239" s="93"/>
      <c r="F239"/>
      <c r="G239"/>
      <c r="H239" s="266"/>
    </row>
    <row r="240" spans="1:12">
      <c r="A240"/>
      <c r="B240"/>
      <c r="C240"/>
      <c r="D240"/>
      <c r="E240" s="93"/>
      <c r="F240"/>
      <c r="G240"/>
      <c r="H240" s="266"/>
    </row>
    <row r="241" spans="1:8">
      <c r="A241"/>
      <c r="B241"/>
      <c r="C241"/>
      <c r="D241"/>
      <c r="E241" s="93"/>
      <c r="F241"/>
      <c r="G241"/>
      <c r="H241" s="266"/>
    </row>
    <row r="242" spans="1:8">
      <c r="A242"/>
      <c r="B242"/>
      <c r="C242"/>
      <c r="D242"/>
      <c r="E242" s="93"/>
      <c r="F242"/>
      <c r="G242"/>
      <c r="H242" s="266"/>
    </row>
    <row r="243" spans="1:8">
      <c r="A243"/>
      <c r="B243"/>
      <c r="C243"/>
      <c r="D243"/>
      <c r="E243" s="93"/>
      <c r="F243"/>
      <c r="G243"/>
      <c r="H243" s="266"/>
    </row>
    <row r="244" spans="1:8">
      <c r="A244"/>
      <c r="B244"/>
      <c r="C244"/>
      <c r="D244"/>
      <c r="E244" s="93"/>
      <c r="F244"/>
      <c r="G244"/>
      <c r="H244" s="266"/>
    </row>
    <row r="245" spans="1:8">
      <c r="A245"/>
      <c r="B245"/>
      <c r="C245"/>
      <c r="D245"/>
      <c r="E245" s="93"/>
      <c r="F245"/>
      <c r="G245"/>
      <c r="H245" s="266"/>
    </row>
    <row r="246" spans="1:8">
      <c r="A246"/>
      <c r="B246"/>
      <c r="C246"/>
      <c r="D246"/>
      <c r="E246" s="93"/>
      <c r="F246"/>
      <c r="G246"/>
      <c r="H246" s="266"/>
    </row>
    <row r="247" spans="1:8">
      <c r="A247"/>
      <c r="B247"/>
      <c r="C247"/>
      <c r="D247"/>
      <c r="E247" s="93"/>
      <c r="F247"/>
      <c r="G247"/>
      <c r="H247" s="266"/>
    </row>
    <row r="248" spans="1:8">
      <c r="A248"/>
      <c r="B248"/>
      <c r="C248"/>
      <c r="D248"/>
      <c r="E248" s="93"/>
      <c r="F248"/>
      <c r="G248"/>
      <c r="H248" s="266"/>
    </row>
    <row r="249" spans="1:8">
      <c r="A249"/>
      <c r="B249"/>
      <c r="C249"/>
      <c r="D249"/>
      <c r="E249" s="93"/>
      <c r="F249"/>
      <c r="G249"/>
      <c r="H249" s="266"/>
    </row>
    <row r="250" spans="1:8">
      <c r="A250"/>
      <c r="B250"/>
      <c r="C250"/>
      <c r="D250"/>
      <c r="E250" s="93"/>
      <c r="F250"/>
      <c r="G250"/>
      <c r="H250" s="266"/>
    </row>
    <row r="251" spans="1:8">
      <c r="A251"/>
      <c r="B251"/>
      <c r="C251"/>
      <c r="D251"/>
      <c r="E251" s="93"/>
      <c r="F251"/>
      <c r="G251"/>
      <c r="H251" s="266"/>
    </row>
    <row r="252" spans="1:8">
      <c r="A252"/>
      <c r="B252"/>
      <c r="C252"/>
      <c r="D252"/>
      <c r="E252" s="93"/>
      <c r="F252"/>
      <c r="G252"/>
      <c r="H252" s="266"/>
    </row>
    <row r="253" spans="1:8">
      <c r="A253"/>
      <c r="B253"/>
      <c r="C253"/>
      <c r="D253"/>
      <c r="E253" s="93"/>
      <c r="F253"/>
      <c r="G253"/>
      <c r="H253" s="266"/>
    </row>
    <row r="254" spans="1:8">
      <c r="A254"/>
      <c r="B254"/>
      <c r="C254"/>
      <c r="D254"/>
      <c r="E254" s="93"/>
      <c r="F254"/>
      <c r="G254"/>
      <c r="H254" s="266"/>
    </row>
    <row r="255" spans="1:8">
      <c r="A255"/>
      <c r="B255"/>
      <c r="C255"/>
      <c r="D255"/>
      <c r="E255" s="93"/>
      <c r="F255"/>
      <c r="G255"/>
      <c r="H255" s="266"/>
    </row>
    <row r="256" spans="1:8">
      <c r="C256" s="261"/>
      <c r="F256" s="261"/>
      <c r="H256" s="267"/>
    </row>
    <row r="257" spans="3:8">
      <c r="C257" s="261"/>
      <c r="F257" s="261"/>
      <c r="H257" s="267"/>
    </row>
    <row r="258" spans="3:8">
      <c r="C258" s="261"/>
      <c r="F258" s="261"/>
      <c r="H258" s="267"/>
    </row>
    <row r="259" spans="3:8">
      <c r="C259" s="261"/>
      <c r="F259" s="261"/>
      <c r="H259" s="267"/>
    </row>
    <row r="260" spans="3:8">
      <c r="C260" s="261"/>
      <c r="F260" s="261"/>
      <c r="H260" s="267"/>
    </row>
    <row r="261" spans="3:8">
      <c r="C261" s="261"/>
      <c r="F261" s="261"/>
      <c r="H261" s="267"/>
    </row>
    <row r="262" spans="3:8">
      <c r="C262" s="261"/>
      <c r="F262" s="261"/>
      <c r="H262" s="267"/>
    </row>
    <row r="263" spans="3:8">
      <c r="C263" s="261"/>
      <c r="F263" s="261"/>
      <c r="H263" s="267"/>
    </row>
    <row r="264" spans="3:8">
      <c r="C264" s="261"/>
      <c r="F264" s="261"/>
      <c r="H264" s="267"/>
    </row>
    <row r="265" spans="3:8">
      <c r="C265" s="261"/>
      <c r="F265" s="261"/>
      <c r="H265" s="267"/>
    </row>
    <row r="266" spans="3:8">
      <c r="C266" s="261"/>
      <c r="F266" s="261"/>
      <c r="H266" s="267"/>
    </row>
    <row r="267" spans="3:8">
      <c r="C267" s="261"/>
      <c r="F267" s="261"/>
      <c r="H267" s="267"/>
    </row>
    <row r="268" spans="3:8">
      <c r="C268" s="261"/>
      <c r="F268" s="261"/>
      <c r="H268" s="267"/>
    </row>
    <row r="269" spans="3:8">
      <c r="C269" s="261"/>
      <c r="F269" s="261"/>
      <c r="H269" s="267"/>
    </row>
    <row r="270" spans="3:8">
      <c r="C270" s="261"/>
      <c r="F270" s="261"/>
      <c r="H270" s="267"/>
    </row>
    <row r="271" spans="3:8">
      <c r="C271" s="261"/>
      <c r="F271" s="261"/>
      <c r="H271" s="267"/>
    </row>
    <row r="272" spans="3:8">
      <c r="C272" s="261"/>
      <c r="F272" s="261"/>
      <c r="H272" s="267"/>
    </row>
    <row r="273" spans="3:8">
      <c r="C273" s="261"/>
      <c r="F273" s="261"/>
      <c r="H273" s="267"/>
    </row>
    <row r="274" spans="3:8">
      <c r="C274" s="261"/>
      <c r="F274" s="261"/>
      <c r="H274" s="267"/>
    </row>
    <row r="275" spans="3:8">
      <c r="C275" s="261"/>
      <c r="F275" s="261"/>
      <c r="H275" s="267"/>
    </row>
    <row r="276" spans="3:8">
      <c r="C276" s="261"/>
      <c r="F276" s="261"/>
      <c r="H276" s="267"/>
    </row>
    <row r="277" spans="3:8">
      <c r="C277" s="261"/>
      <c r="F277" s="261"/>
      <c r="H277" s="267"/>
    </row>
    <row r="278" spans="3:8">
      <c r="C278" s="261"/>
      <c r="F278" s="261"/>
      <c r="H278" s="267"/>
    </row>
    <row r="279" spans="3:8">
      <c r="C279" s="261"/>
      <c r="F279" s="261"/>
      <c r="H279" s="267"/>
    </row>
    <row r="280" spans="3:8">
      <c r="C280" s="261"/>
      <c r="F280" s="261"/>
      <c r="H280" s="267"/>
    </row>
    <row r="281" spans="3:8">
      <c r="C281" s="261"/>
      <c r="F281" s="261"/>
      <c r="H281" s="267"/>
    </row>
    <row r="282" spans="3:8">
      <c r="C282" s="261"/>
      <c r="F282" s="261"/>
      <c r="H282" s="267"/>
    </row>
    <row r="283" spans="3:8">
      <c r="C283" s="261"/>
      <c r="F283" s="261"/>
      <c r="H283" s="267"/>
    </row>
    <row r="284" spans="3:8">
      <c r="C284" s="261"/>
      <c r="F284" s="261"/>
      <c r="H284" s="267"/>
    </row>
    <row r="285" spans="3:8">
      <c r="C285" s="261"/>
      <c r="F285" s="261"/>
      <c r="H285" s="267"/>
    </row>
    <row r="286" spans="3:8">
      <c r="C286" s="261"/>
      <c r="F286" s="261"/>
      <c r="H286" s="267"/>
    </row>
    <row r="287" spans="3:8">
      <c r="C287" s="261"/>
      <c r="F287" s="261"/>
      <c r="H287" s="267"/>
    </row>
    <row r="288" spans="3:8">
      <c r="C288" s="261"/>
      <c r="F288" s="261"/>
      <c r="H288" s="267"/>
    </row>
    <row r="289" spans="3:8">
      <c r="C289" s="261"/>
      <c r="F289" s="261"/>
      <c r="H289" s="267"/>
    </row>
    <row r="290" spans="3:8">
      <c r="C290" s="261"/>
      <c r="F290" s="261"/>
      <c r="H290" s="267"/>
    </row>
    <row r="291" spans="3:8">
      <c r="C291" s="261"/>
      <c r="F291" s="261"/>
      <c r="H291" s="267"/>
    </row>
    <row r="292" spans="3:8">
      <c r="C292" s="261"/>
      <c r="F292" s="261"/>
      <c r="H292" s="267"/>
    </row>
    <row r="293" spans="3:8">
      <c r="C293" s="261"/>
      <c r="F293" s="261"/>
      <c r="H293" s="267"/>
    </row>
    <row r="294" spans="3:8">
      <c r="C294" s="261"/>
      <c r="F294" s="261"/>
      <c r="H294" s="267"/>
    </row>
    <row r="295" spans="3:8">
      <c r="C295" s="261"/>
      <c r="F295" s="261"/>
      <c r="H295" s="267"/>
    </row>
    <row r="296" spans="3:8">
      <c r="C296" s="261"/>
      <c r="F296" s="261"/>
      <c r="H296" s="267"/>
    </row>
    <row r="297" spans="3:8">
      <c r="C297" s="261"/>
      <c r="F297" s="261"/>
      <c r="H297" s="267"/>
    </row>
    <row r="298" spans="3:8">
      <c r="C298" s="261"/>
      <c r="F298" s="261"/>
      <c r="H298" s="267"/>
    </row>
    <row r="299" spans="3:8">
      <c r="C299" s="261"/>
      <c r="F299" s="261"/>
      <c r="H299" s="267"/>
    </row>
    <row r="300" spans="3:8">
      <c r="C300" s="261"/>
      <c r="F300" s="261"/>
      <c r="H300" s="267"/>
    </row>
    <row r="301" spans="3:8">
      <c r="C301" s="261"/>
      <c r="F301" s="261"/>
      <c r="H301" s="267"/>
    </row>
    <row r="302" spans="3:8">
      <c r="C302" s="261"/>
      <c r="F302" s="261"/>
      <c r="H302" s="267"/>
    </row>
    <row r="303" spans="3:8">
      <c r="C303" s="261"/>
      <c r="F303" s="261"/>
      <c r="H303" s="267"/>
    </row>
    <row r="304" spans="3:8">
      <c r="C304" s="261"/>
      <c r="F304" s="261"/>
      <c r="H304" s="267"/>
    </row>
    <row r="305" spans="3:8">
      <c r="C305" s="261"/>
      <c r="F305" s="261"/>
      <c r="H305" s="267"/>
    </row>
    <row r="306" spans="3:8">
      <c r="C306" s="261"/>
      <c r="F306" s="261"/>
      <c r="H306" s="267"/>
    </row>
    <row r="307" spans="3:8">
      <c r="C307" s="261"/>
      <c r="F307" s="261"/>
      <c r="H307" s="267"/>
    </row>
    <row r="308" spans="3:8">
      <c r="C308" s="261"/>
      <c r="F308" s="261"/>
      <c r="H308" s="267"/>
    </row>
    <row r="309" spans="3:8">
      <c r="C309" s="261"/>
      <c r="F309" s="261"/>
      <c r="H309" s="267"/>
    </row>
    <row r="310" spans="3:8">
      <c r="C310" s="261"/>
      <c r="F310" s="261"/>
      <c r="H310" s="267"/>
    </row>
    <row r="311" spans="3:8">
      <c r="C311" s="261"/>
      <c r="F311" s="261"/>
      <c r="H311" s="267"/>
    </row>
    <row r="312" spans="3:8">
      <c r="C312" s="261"/>
      <c r="F312" s="261"/>
      <c r="H312" s="267"/>
    </row>
    <row r="313" spans="3:8">
      <c r="C313" s="261"/>
      <c r="F313" s="261"/>
      <c r="H313" s="267"/>
    </row>
    <row r="314" spans="3:8">
      <c r="C314" s="261"/>
      <c r="F314" s="261"/>
      <c r="H314" s="267"/>
    </row>
    <row r="315" spans="3:8">
      <c r="C315" s="261"/>
      <c r="F315" s="261"/>
      <c r="H315" s="267"/>
    </row>
    <row r="316" spans="3:8">
      <c r="C316" s="261"/>
      <c r="F316" s="261"/>
      <c r="H316" s="267"/>
    </row>
    <row r="317" spans="3:8">
      <c r="C317" s="261"/>
      <c r="F317" s="261"/>
      <c r="H317" s="267"/>
    </row>
    <row r="318" spans="3:8">
      <c r="C318" s="261"/>
      <c r="F318" s="261"/>
      <c r="H318" s="267"/>
    </row>
    <row r="319" spans="3:8">
      <c r="C319" s="261"/>
      <c r="F319" s="261"/>
      <c r="H319" s="267"/>
    </row>
    <row r="320" spans="3:8">
      <c r="C320" s="261"/>
      <c r="F320" s="261"/>
      <c r="H320" s="267"/>
    </row>
    <row r="321" spans="3:8">
      <c r="C321" s="261"/>
      <c r="F321" s="261"/>
      <c r="H321" s="267"/>
    </row>
    <row r="322" spans="3:8">
      <c r="C322" s="261"/>
      <c r="F322" s="261"/>
      <c r="H322" s="267"/>
    </row>
    <row r="323" spans="3:8">
      <c r="C323" s="261"/>
      <c r="F323" s="261"/>
      <c r="H323" s="267"/>
    </row>
    <row r="324" spans="3:8">
      <c r="C324" s="261"/>
      <c r="F324" s="261"/>
      <c r="H324" s="267"/>
    </row>
    <row r="325" spans="3:8">
      <c r="C325" s="261"/>
      <c r="F325" s="261"/>
      <c r="H325" s="267"/>
    </row>
    <row r="326" spans="3:8">
      <c r="C326" s="261"/>
      <c r="F326" s="261"/>
      <c r="H326" s="267"/>
    </row>
    <row r="327" spans="3:8">
      <c r="C327" s="261"/>
      <c r="F327" s="261"/>
      <c r="H327" s="267"/>
    </row>
    <row r="328" spans="3:8">
      <c r="C328" s="261"/>
      <c r="F328" s="261"/>
      <c r="H328" s="267"/>
    </row>
    <row r="329" spans="3:8">
      <c r="C329" s="261"/>
      <c r="F329" s="261"/>
      <c r="H329" s="267"/>
    </row>
    <row r="330" spans="3:8">
      <c r="C330" s="261"/>
      <c r="F330" s="261"/>
      <c r="H330" s="267"/>
    </row>
    <row r="331" spans="3:8">
      <c r="C331" s="261"/>
      <c r="F331" s="261"/>
      <c r="H331" s="267"/>
    </row>
    <row r="332" spans="3:8">
      <c r="C332" s="261"/>
      <c r="F332" s="261"/>
      <c r="H332" s="267"/>
    </row>
    <row r="333" spans="3:8">
      <c r="C333" s="261"/>
      <c r="F333" s="261"/>
      <c r="H333" s="267"/>
    </row>
    <row r="334" spans="3:8">
      <c r="C334" s="261"/>
      <c r="F334" s="261"/>
      <c r="H334" s="267"/>
    </row>
    <row r="335" spans="3:8">
      <c r="C335" s="261"/>
      <c r="F335" s="261"/>
      <c r="H335" s="267"/>
    </row>
    <row r="336" spans="3:8">
      <c r="C336" s="261"/>
      <c r="F336" s="261"/>
      <c r="H336" s="267"/>
    </row>
    <row r="337" spans="3:8">
      <c r="C337" s="261"/>
      <c r="F337" s="261"/>
      <c r="H337" s="267"/>
    </row>
    <row r="338" spans="3:8">
      <c r="C338" s="261"/>
      <c r="F338" s="261"/>
      <c r="H338" s="267"/>
    </row>
    <row r="339" spans="3:8">
      <c r="C339" s="261"/>
      <c r="F339" s="261"/>
      <c r="H339" s="267"/>
    </row>
    <row r="340" spans="3:8">
      <c r="C340" s="261"/>
      <c r="F340" s="261"/>
      <c r="H340" s="267"/>
    </row>
    <row r="341" spans="3:8">
      <c r="C341" s="261"/>
      <c r="F341" s="261"/>
      <c r="H341" s="267"/>
    </row>
    <row r="342" spans="3:8">
      <c r="C342" s="261"/>
      <c r="F342" s="261"/>
      <c r="H342" s="267"/>
    </row>
    <row r="343" spans="3:8">
      <c r="C343" s="261"/>
      <c r="F343" s="261"/>
      <c r="H343" s="267"/>
    </row>
    <row r="344" spans="3:8">
      <c r="C344" s="261"/>
      <c r="F344" s="261"/>
      <c r="H344" s="267"/>
    </row>
    <row r="345" spans="3:8">
      <c r="C345" s="261"/>
      <c r="F345" s="261"/>
      <c r="H345" s="267"/>
    </row>
    <row r="346" spans="3:8">
      <c r="C346" s="261"/>
      <c r="F346" s="261"/>
      <c r="H346" s="267"/>
    </row>
    <row r="347" spans="3:8">
      <c r="C347" s="261"/>
      <c r="F347" s="261"/>
      <c r="H347" s="267"/>
    </row>
    <row r="348" spans="3:8">
      <c r="C348" s="261"/>
      <c r="F348" s="261"/>
      <c r="H348" s="267"/>
    </row>
    <row r="349" spans="3:8">
      <c r="C349" s="261"/>
      <c r="F349" s="261"/>
      <c r="H349" s="267"/>
    </row>
    <row r="350" spans="3:8">
      <c r="C350" s="261"/>
      <c r="F350" s="261"/>
      <c r="H350" s="267"/>
    </row>
    <row r="351" spans="3:8">
      <c r="C351" s="261"/>
      <c r="F351" s="261"/>
      <c r="H351" s="267"/>
    </row>
    <row r="352" spans="3:8">
      <c r="C352" s="261"/>
      <c r="F352" s="261"/>
      <c r="H352" s="267"/>
    </row>
    <row r="353" spans="3:8">
      <c r="C353" s="261"/>
      <c r="F353" s="261"/>
      <c r="H353" s="267"/>
    </row>
    <row r="354" spans="3:8">
      <c r="C354" s="261"/>
      <c r="F354" s="261"/>
      <c r="H354" s="267"/>
    </row>
    <row r="355" spans="3:8">
      <c r="C355" s="261"/>
      <c r="F355" s="261"/>
      <c r="H355" s="267"/>
    </row>
    <row r="356" spans="3:8">
      <c r="C356" s="261"/>
      <c r="F356" s="261"/>
      <c r="H356" s="267"/>
    </row>
    <row r="357" spans="3:8">
      <c r="C357" s="261"/>
      <c r="F357" s="261"/>
      <c r="H357" s="267"/>
    </row>
    <row r="358" spans="3:8">
      <c r="C358" s="261"/>
      <c r="F358" s="261"/>
      <c r="H358" s="267"/>
    </row>
    <row r="359" spans="3:8">
      <c r="C359" s="261"/>
      <c r="F359" s="261"/>
      <c r="H359" s="267"/>
    </row>
    <row r="360" spans="3:8">
      <c r="C360" s="261"/>
      <c r="F360" s="261"/>
      <c r="H360" s="267"/>
    </row>
    <row r="361" spans="3:8">
      <c r="C361" s="261"/>
      <c r="F361" s="261"/>
      <c r="H361" s="267"/>
    </row>
    <row r="362" spans="3:8">
      <c r="C362" s="261"/>
      <c r="F362" s="261"/>
      <c r="H362" s="267"/>
    </row>
    <row r="363" spans="3:8">
      <c r="C363" s="261"/>
      <c r="F363" s="261"/>
      <c r="H363" s="267"/>
    </row>
    <row r="364" spans="3:8">
      <c r="C364" s="261"/>
      <c r="F364" s="261"/>
      <c r="H364" s="267"/>
    </row>
    <row r="365" spans="3:8">
      <c r="C365" s="261"/>
      <c r="F365" s="261"/>
      <c r="H365" s="267"/>
    </row>
    <row r="366" spans="3:8">
      <c r="C366" s="261"/>
      <c r="F366" s="261"/>
      <c r="H366" s="267"/>
    </row>
    <row r="367" spans="3:8">
      <c r="C367" s="261"/>
      <c r="F367" s="261"/>
      <c r="H367" s="267"/>
    </row>
    <row r="368" spans="3:8">
      <c r="C368" s="261"/>
      <c r="F368" s="261"/>
      <c r="H368" s="267"/>
    </row>
    <row r="369" spans="3:8">
      <c r="C369" s="261"/>
      <c r="F369" s="261"/>
      <c r="H369" s="267"/>
    </row>
    <row r="370" spans="3:8">
      <c r="C370" s="261"/>
      <c r="F370" s="261"/>
      <c r="H370" s="267"/>
    </row>
    <row r="371" spans="3:8">
      <c r="C371" s="261"/>
      <c r="F371" s="261"/>
      <c r="H371" s="267"/>
    </row>
    <row r="372" spans="3:8">
      <c r="C372" s="261"/>
      <c r="F372" s="261"/>
      <c r="H372" s="267"/>
    </row>
    <row r="373" spans="3:8">
      <c r="C373" s="261"/>
      <c r="F373" s="261"/>
      <c r="H373" s="267"/>
    </row>
    <row r="374" spans="3:8">
      <c r="C374" s="261"/>
      <c r="F374" s="261"/>
      <c r="H374" s="267"/>
    </row>
    <row r="375" spans="3:8">
      <c r="C375" s="261"/>
      <c r="F375" s="261"/>
      <c r="H375" s="267"/>
    </row>
    <row r="376" spans="3:8">
      <c r="C376" s="261"/>
      <c r="F376" s="261"/>
      <c r="H376" s="267"/>
    </row>
    <row r="377" spans="3:8">
      <c r="C377" s="261"/>
      <c r="F377" s="261"/>
      <c r="H377" s="267"/>
    </row>
    <row r="378" spans="3:8">
      <c r="C378" s="261"/>
      <c r="F378" s="261"/>
      <c r="H378" s="267"/>
    </row>
    <row r="379" spans="3:8">
      <c r="C379" s="261"/>
      <c r="F379" s="261"/>
      <c r="H379" s="267"/>
    </row>
    <row r="380" spans="3:8">
      <c r="C380" s="261"/>
      <c r="F380" s="261"/>
      <c r="H380" s="267"/>
    </row>
    <row r="381" spans="3:8">
      <c r="C381" s="261"/>
      <c r="F381" s="261"/>
      <c r="H381" s="267"/>
    </row>
    <row r="382" spans="3:8">
      <c r="C382" s="261"/>
      <c r="F382" s="261"/>
      <c r="H382" s="267"/>
    </row>
    <row r="383" spans="3:8">
      <c r="C383" s="261"/>
      <c r="F383" s="261"/>
      <c r="H383" s="267"/>
    </row>
    <row r="384" spans="3:8">
      <c r="C384" s="261"/>
      <c r="F384" s="261"/>
      <c r="H384" s="267"/>
    </row>
    <row r="385" spans="3:8">
      <c r="C385" s="261"/>
      <c r="F385" s="261"/>
      <c r="H385" s="267"/>
    </row>
    <row r="386" spans="3:8">
      <c r="C386" s="261"/>
      <c r="F386" s="261"/>
      <c r="H386" s="267"/>
    </row>
    <row r="387" spans="3:8">
      <c r="C387" s="261"/>
      <c r="F387" s="261"/>
      <c r="H387" s="267"/>
    </row>
    <row r="388" spans="3:8">
      <c r="C388" s="261"/>
      <c r="F388" s="261"/>
      <c r="H388" s="267"/>
    </row>
    <row r="389" spans="3:8">
      <c r="C389" s="261"/>
      <c r="F389" s="261"/>
      <c r="H389" s="267"/>
    </row>
    <row r="390" spans="3:8">
      <c r="C390" s="261"/>
      <c r="F390" s="261"/>
      <c r="H390" s="267"/>
    </row>
    <row r="391" spans="3:8">
      <c r="C391" s="261"/>
      <c r="F391" s="261"/>
      <c r="H391" s="267"/>
    </row>
    <row r="392" spans="3:8">
      <c r="C392" s="261"/>
      <c r="F392" s="261"/>
      <c r="H392" s="267"/>
    </row>
    <row r="393" spans="3:8">
      <c r="C393" s="261"/>
      <c r="F393" s="261"/>
      <c r="H393" s="267"/>
    </row>
    <row r="394" spans="3:8">
      <c r="C394" s="261"/>
      <c r="F394" s="261"/>
      <c r="H394" s="267"/>
    </row>
    <row r="395" spans="3:8">
      <c r="C395" s="261"/>
      <c r="F395" s="261"/>
      <c r="H395" s="267"/>
    </row>
    <row r="396" spans="3:8">
      <c r="C396" s="261"/>
      <c r="F396" s="261"/>
      <c r="H396" s="267"/>
    </row>
    <row r="397" spans="3:8">
      <c r="C397" s="261"/>
      <c r="F397" s="261"/>
      <c r="H397" s="267"/>
    </row>
    <row r="398" spans="3:8">
      <c r="C398" s="261"/>
      <c r="F398" s="261"/>
      <c r="H398" s="267"/>
    </row>
    <row r="399" spans="3:8">
      <c r="C399" s="261"/>
      <c r="F399" s="261"/>
      <c r="H399" s="267"/>
    </row>
    <row r="400" spans="3:8">
      <c r="C400" s="261"/>
      <c r="F400" s="261"/>
      <c r="H400" s="267"/>
    </row>
    <row r="401" spans="3:8">
      <c r="C401" s="261"/>
      <c r="F401" s="261"/>
      <c r="H401" s="267"/>
    </row>
    <row r="402" spans="3:8">
      <c r="C402" s="261"/>
      <c r="F402" s="261"/>
      <c r="H402" s="267"/>
    </row>
    <row r="403" spans="3:8">
      <c r="C403" s="261"/>
      <c r="F403" s="261"/>
      <c r="H403" s="267"/>
    </row>
    <row r="404" spans="3:8">
      <c r="C404" s="261"/>
      <c r="F404" s="261"/>
      <c r="H404" s="267"/>
    </row>
    <row r="405" spans="3:8">
      <c r="C405" s="261"/>
      <c r="F405" s="261"/>
      <c r="H405" s="267"/>
    </row>
    <row r="406" spans="3:8">
      <c r="C406" s="261"/>
      <c r="F406" s="261"/>
      <c r="H406" s="267"/>
    </row>
    <row r="407" spans="3:8">
      <c r="C407" s="261"/>
      <c r="F407" s="261"/>
      <c r="H407" s="267"/>
    </row>
    <row r="408" spans="3:8">
      <c r="C408" s="261"/>
      <c r="F408" s="261"/>
      <c r="H408" s="267"/>
    </row>
    <row r="409" spans="3:8">
      <c r="C409" s="261"/>
      <c r="F409" s="261"/>
      <c r="H409" s="267"/>
    </row>
    <row r="410" spans="3:8">
      <c r="C410" s="261"/>
      <c r="F410" s="261"/>
      <c r="H410" s="267"/>
    </row>
    <row r="411" spans="3:8">
      <c r="C411" s="261"/>
      <c r="F411" s="261"/>
      <c r="H411" s="267"/>
    </row>
    <row r="412" spans="3:8">
      <c r="C412" s="261"/>
      <c r="F412" s="261"/>
      <c r="H412" s="267"/>
    </row>
    <row r="413" spans="3:8">
      <c r="C413" s="261"/>
      <c r="F413" s="261"/>
      <c r="H413" s="267"/>
    </row>
    <row r="414" spans="3:8">
      <c r="C414" s="261"/>
      <c r="F414" s="261"/>
      <c r="H414" s="267"/>
    </row>
    <row r="415" spans="3:8">
      <c r="C415" s="261"/>
      <c r="F415" s="261"/>
      <c r="H415" s="267"/>
    </row>
    <row r="416" spans="3:8">
      <c r="C416" s="261"/>
      <c r="F416" s="261"/>
      <c r="H416" s="267"/>
    </row>
    <row r="417" spans="3:8">
      <c r="C417" s="261"/>
      <c r="F417" s="261"/>
      <c r="H417" s="267"/>
    </row>
    <row r="418" spans="3:8">
      <c r="C418" s="261"/>
      <c r="F418" s="261"/>
      <c r="H418" s="267"/>
    </row>
    <row r="419" spans="3:8">
      <c r="C419" s="261"/>
      <c r="F419" s="261"/>
      <c r="H419" s="267"/>
    </row>
    <row r="420" spans="3:8">
      <c r="C420" s="261"/>
      <c r="F420" s="261"/>
      <c r="H420" s="267"/>
    </row>
    <row r="421" spans="3:8">
      <c r="C421" s="261"/>
      <c r="F421" s="261"/>
      <c r="H421" s="267"/>
    </row>
    <row r="422" spans="3:8">
      <c r="C422" s="261"/>
      <c r="F422" s="261"/>
      <c r="H422" s="267"/>
    </row>
    <row r="423" spans="3:8">
      <c r="C423" s="261"/>
      <c r="F423" s="261"/>
      <c r="H423" s="267"/>
    </row>
    <row r="424" spans="3:8">
      <c r="C424" s="261"/>
      <c r="F424" s="261"/>
      <c r="H424" s="267"/>
    </row>
    <row r="425" spans="3:8">
      <c r="C425" s="261"/>
      <c r="F425" s="261"/>
      <c r="H425" s="267"/>
    </row>
    <row r="426" spans="3:8">
      <c r="C426" s="261"/>
      <c r="F426" s="261"/>
      <c r="H426" s="267"/>
    </row>
    <row r="427" spans="3:8">
      <c r="C427" s="261"/>
      <c r="F427" s="261"/>
      <c r="H427" s="267"/>
    </row>
    <row r="428" spans="3:8">
      <c r="C428" s="261"/>
      <c r="F428" s="261"/>
      <c r="H428" s="267"/>
    </row>
    <row r="429" spans="3:8">
      <c r="C429" s="261"/>
      <c r="F429" s="261"/>
      <c r="H429" s="267"/>
    </row>
    <row r="430" spans="3:8">
      <c r="C430" s="261"/>
      <c r="F430" s="261"/>
      <c r="H430" s="267"/>
    </row>
    <row r="431" spans="3:8">
      <c r="C431" s="261"/>
      <c r="F431" s="261"/>
      <c r="H431" s="267"/>
    </row>
    <row r="432" spans="3:8">
      <c r="C432" s="261"/>
      <c r="F432" s="261"/>
      <c r="H432" s="267"/>
    </row>
    <row r="433" spans="3:8">
      <c r="C433" s="261"/>
      <c r="F433" s="261"/>
      <c r="H433" s="267"/>
    </row>
    <row r="434" spans="3:8">
      <c r="C434" s="261"/>
      <c r="F434" s="261"/>
      <c r="H434" s="267"/>
    </row>
    <row r="435" spans="3:8">
      <c r="C435" s="261"/>
      <c r="F435" s="261"/>
      <c r="H435" s="267"/>
    </row>
    <row r="436" spans="3:8">
      <c r="C436" s="261"/>
      <c r="F436" s="261"/>
      <c r="H436" s="267"/>
    </row>
    <row r="437" spans="3:8">
      <c r="C437" s="261"/>
      <c r="F437" s="261"/>
      <c r="H437" s="267"/>
    </row>
    <row r="438" spans="3:8">
      <c r="C438" s="261"/>
      <c r="F438" s="261"/>
      <c r="H438" s="267"/>
    </row>
    <row r="439" spans="3:8">
      <c r="C439" s="261"/>
      <c r="F439" s="261"/>
      <c r="H439" s="267"/>
    </row>
    <row r="440" spans="3:8">
      <c r="C440" s="261"/>
      <c r="F440" s="261"/>
      <c r="H440" s="267"/>
    </row>
    <row r="441" spans="3:8">
      <c r="C441" s="261"/>
      <c r="F441" s="261"/>
      <c r="H441" s="267"/>
    </row>
    <row r="442" spans="3:8">
      <c r="C442" s="261"/>
      <c r="F442" s="261"/>
      <c r="H442" s="267"/>
    </row>
    <row r="443" spans="3:8">
      <c r="C443" s="261"/>
      <c r="F443" s="261"/>
      <c r="H443" s="267"/>
    </row>
    <row r="444" spans="3:8">
      <c r="C444" s="261"/>
      <c r="F444" s="261"/>
      <c r="H444" s="267"/>
    </row>
    <row r="445" spans="3:8">
      <c r="C445" s="261"/>
      <c r="F445" s="261"/>
      <c r="H445" s="267"/>
    </row>
    <row r="446" spans="3:8">
      <c r="C446" s="261"/>
      <c r="F446" s="261"/>
      <c r="H446" s="267"/>
    </row>
    <row r="447" spans="3:8">
      <c r="C447" s="261"/>
      <c r="F447" s="261"/>
      <c r="H447" s="267"/>
    </row>
    <row r="448" spans="3:8">
      <c r="C448" s="261"/>
      <c r="F448" s="261"/>
      <c r="H448" s="267"/>
    </row>
    <row r="449" spans="3:8">
      <c r="C449" s="261"/>
      <c r="F449" s="261"/>
      <c r="H449" s="267"/>
    </row>
    <row r="450" spans="3:8">
      <c r="C450" s="261"/>
      <c r="F450" s="261"/>
      <c r="H450" s="267"/>
    </row>
    <row r="451" spans="3:8">
      <c r="C451" s="261"/>
      <c r="F451" s="261"/>
      <c r="H451" s="267"/>
    </row>
    <row r="452" spans="3:8">
      <c r="C452" s="261"/>
      <c r="F452" s="261"/>
      <c r="H452" s="267"/>
    </row>
    <row r="453" spans="3:8">
      <c r="C453" s="261"/>
      <c r="F453" s="261"/>
      <c r="H453" s="267"/>
    </row>
    <row r="454" spans="3:8">
      <c r="C454" s="261"/>
      <c r="F454" s="261"/>
      <c r="H454" s="267"/>
    </row>
    <row r="455" spans="3:8">
      <c r="C455" s="261"/>
      <c r="F455" s="261"/>
      <c r="H455" s="267"/>
    </row>
    <row r="456" spans="3:8">
      <c r="C456" s="261"/>
      <c r="F456" s="261"/>
      <c r="H456" s="267"/>
    </row>
    <row r="457" spans="3:8">
      <c r="C457" s="261"/>
      <c r="F457" s="261"/>
      <c r="H457" s="267"/>
    </row>
    <row r="458" spans="3:8">
      <c r="C458" s="261"/>
      <c r="F458" s="261"/>
      <c r="H458" s="267"/>
    </row>
    <row r="459" spans="3:8">
      <c r="C459" s="261"/>
      <c r="F459" s="261"/>
      <c r="H459" s="267"/>
    </row>
    <row r="460" spans="3:8">
      <c r="C460" s="261"/>
      <c r="F460" s="261"/>
      <c r="H460" s="267"/>
    </row>
    <row r="461" spans="3:8">
      <c r="C461" s="261"/>
      <c r="F461" s="261"/>
      <c r="H461" s="267"/>
    </row>
    <row r="462" spans="3:8">
      <c r="C462" s="261"/>
      <c r="F462" s="261"/>
      <c r="H462" s="267"/>
    </row>
    <row r="463" spans="3:8">
      <c r="C463" s="261"/>
      <c r="F463" s="261"/>
      <c r="H463" s="267"/>
    </row>
    <row r="464" spans="3:8">
      <c r="C464" s="261"/>
      <c r="F464" s="261"/>
      <c r="H464" s="267"/>
    </row>
    <row r="465" spans="3:8">
      <c r="C465" s="261"/>
      <c r="F465" s="261"/>
      <c r="H465" s="267"/>
    </row>
    <row r="466" spans="3:8">
      <c r="C466" s="261"/>
      <c r="F466" s="261"/>
      <c r="H466" s="267"/>
    </row>
    <row r="467" spans="3:8">
      <c r="C467" s="261"/>
      <c r="F467" s="261"/>
      <c r="H467" s="267"/>
    </row>
    <row r="468" spans="3:8">
      <c r="C468" s="261"/>
      <c r="F468" s="261"/>
      <c r="H468" s="267"/>
    </row>
    <row r="469" spans="3:8">
      <c r="C469" s="261"/>
      <c r="F469" s="261"/>
      <c r="H469" s="267"/>
    </row>
    <row r="470" spans="3:8">
      <c r="C470" s="261"/>
      <c r="F470" s="261"/>
      <c r="H470" s="267"/>
    </row>
    <row r="471" spans="3:8">
      <c r="C471" s="261"/>
      <c r="F471" s="261"/>
      <c r="H471" s="267"/>
    </row>
    <row r="472" spans="3:8">
      <c r="C472" s="261"/>
      <c r="F472" s="261"/>
      <c r="H472" s="267"/>
    </row>
    <row r="473" spans="3:8">
      <c r="C473" s="261"/>
      <c r="F473" s="261"/>
      <c r="H473" s="267"/>
    </row>
    <row r="474" spans="3:8">
      <c r="C474" s="261"/>
      <c r="F474" s="261"/>
      <c r="H474" s="267"/>
    </row>
    <row r="475" spans="3:8">
      <c r="C475" s="261"/>
      <c r="F475" s="261"/>
      <c r="H475" s="267"/>
    </row>
    <row r="476" spans="3:8">
      <c r="C476" s="261"/>
      <c r="F476" s="261"/>
      <c r="H476" s="267"/>
    </row>
    <row r="477" spans="3:8">
      <c r="C477" s="261"/>
      <c r="F477" s="261"/>
      <c r="H477" s="267"/>
    </row>
    <row r="478" spans="3:8">
      <c r="C478" s="261"/>
      <c r="F478" s="261"/>
      <c r="H478" s="267"/>
    </row>
    <row r="479" spans="3:8">
      <c r="C479" s="261"/>
      <c r="F479" s="261"/>
      <c r="H479" s="267"/>
    </row>
    <row r="480" spans="3:8">
      <c r="C480" s="261"/>
      <c r="F480" s="261"/>
      <c r="H480" s="267"/>
    </row>
    <row r="481" spans="3:8">
      <c r="C481" s="261"/>
      <c r="F481" s="261"/>
      <c r="H481" s="267"/>
    </row>
    <row r="482" spans="3:8">
      <c r="C482" s="261"/>
      <c r="F482" s="261"/>
      <c r="H482" s="267"/>
    </row>
    <row r="483" spans="3:8">
      <c r="C483" s="261"/>
      <c r="F483" s="261"/>
      <c r="H483" s="267"/>
    </row>
    <row r="484" spans="3:8">
      <c r="C484" s="261"/>
      <c r="F484" s="261"/>
      <c r="H484" s="267"/>
    </row>
    <row r="485" spans="3:8">
      <c r="C485" s="261"/>
      <c r="F485" s="261"/>
      <c r="H485" s="267"/>
    </row>
    <row r="486" spans="3:8">
      <c r="C486" s="261"/>
      <c r="F486" s="261"/>
      <c r="H486" s="267"/>
    </row>
    <row r="487" spans="3:8">
      <c r="C487" s="261"/>
      <c r="F487" s="261"/>
      <c r="H487" s="267"/>
    </row>
    <row r="488" spans="3:8">
      <c r="C488" s="261"/>
      <c r="F488" s="261"/>
      <c r="H488" s="267"/>
    </row>
    <row r="489" spans="3:8">
      <c r="C489" s="261"/>
      <c r="F489" s="261"/>
      <c r="H489" s="267"/>
    </row>
    <row r="490" spans="3:8">
      <c r="C490" s="261"/>
      <c r="F490" s="261"/>
      <c r="H490" s="267"/>
    </row>
    <row r="491" spans="3:8">
      <c r="C491" s="261"/>
      <c r="F491" s="261"/>
      <c r="H491" s="267"/>
    </row>
    <row r="492" spans="3:8">
      <c r="C492" s="261"/>
      <c r="F492" s="261"/>
      <c r="H492" s="267"/>
    </row>
    <row r="493" spans="3:8">
      <c r="C493" s="261"/>
      <c r="F493" s="261"/>
      <c r="H493" s="267"/>
    </row>
    <row r="494" spans="3:8">
      <c r="C494" s="261"/>
      <c r="F494" s="261"/>
      <c r="H494" s="267"/>
    </row>
    <row r="495" spans="3:8">
      <c r="C495" s="261"/>
      <c r="F495" s="261"/>
      <c r="H495" s="267"/>
    </row>
    <row r="496" spans="3:8">
      <c r="C496" s="261"/>
      <c r="F496" s="261"/>
      <c r="H496" s="267"/>
    </row>
    <row r="497" spans="3:8">
      <c r="C497" s="261"/>
      <c r="F497" s="261"/>
      <c r="H497" s="267"/>
    </row>
    <row r="498" spans="3:8">
      <c r="C498" s="261"/>
      <c r="F498" s="261"/>
      <c r="H498" s="267"/>
    </row>
    <row r="499" spans="3:8">
      <c r="C499" s="261"/>
      <c r="F499" s="261"/>
      <c r="H499" s="267"/>
    </row>
    <row r="500" spans="3:8">
      <c r="C500" s="261"/>
      <c r="F500" s="261"/>
      <c r="H500" s="267"/>
    </row>
    <row r="501" spans="3:8">
      <c r="C501" s="261"/>
      <c r="F501" s="261"/>
      <c r="H501" s="267"/>
    </row>
    <row r="502" spans="3:8">
      <c r="C502" s="261"/>
      <c r="F502" s="261"/>
      <c r="H502" s="267"/>
    </row>
    <row r="503" spans="3:8">
      <c r="C503" s="261"/>
      <c r="F503" s="261"/>
      <c r="H503" s="267"/>
    </row>
    <row r="504" spans="3:8">
      <c r="C504" s="261"/>
      <c r="F504" s="261"/>
      <c r="H504" s="267"/>
    </row>
    <row r="505" spans="3:8">
      <c r="C505" s="261"/>
      <c r="F505" s="261"/>
      <c r="H505" s="267"/>
    </row>
    <row r="506" spans="3:8">
      <c r="C506" s="261"/>
      <c r="F506" s="261"/>
      <c r="H506" s="267"/>
    </row>
    <row r="507" spans="3:8">
      <c r="C507" s="261"/>
      <c r="F507" s="261"/>
      <c r="H507" s="267"/>
    </row>
    <row r="508" spans="3:8">
      <c r="C508" s="261"/>
      <c r="F508" s="261"/>
      <c r="H508" s="267"/>
    </row>
    <row r="509" spans="3:8">
      <c r="C509" s="261"/>
      <c r="F509" s="261"/>
      <c r="H509" s="267"/>
    </row>
    <row r="510" spans="3:8">
      <c r="C510" s="261"/>
      <c r="F510" s="261"/>
      <c r="H510" s="267"/>
    </row>
    <row r="511" spans="3:8">
      <c r="C511" s="261"/>
      <c r="F511" s="261"/>
      <c r="H511" s="267"/>
    </row>
    <row r="512" spans="3:8">
      <c r="C512" s="261"/>
      <c r="F512" s="261"/>
      <c r="H512" s="267"/>
    </row>
    <row r="513" spans="3:8">
      <c r="C513" s="261"/>
      <c r="F513" s="261"/>
      <c r="H513" s="267"/>
    </row>
    <row r="514" spans="3:8">
      <c r="C514" s="261"/>
      <c r="F514" s="261"/>
      <c r="H514" s="267"/>
    </row>
    <row r="515" spans="3:8">
      <c r="C515" s="261"/>
      <c r="F515" s="261"/>
      <c r="H515" s="267"/>
    </row>
    <row r="516" spans="3:8">
      <c r="C516" s="261"/>
      <c r="F516" s="261"/>
      <c r="H516" s="267"/>
    </row>
    <row r="517" spans="3:8">
      <c r="C517" s="261"/>
      <c r="F517" s="261"/>
      <c r="H517" s="267"/>
    </row>
    <row r="518" spans="3:8">
      <c r="C518" s="261"/>
      <c r="F518" s="261"/>
      <c r="H518" s="267"/>
    </row>
    <row r="519" spans="3:8">
      <c r="C519" s="261"/>
      <c r="F519" s="261"/>
      <c r="H519" s="267"/>
    </row>
    <row r="520" spans="3:8">
      <c r="C520" s="261"/>
      <c r="F520" s="261"/>
      <c r="H520" s="267"/>
    </row>
    <row r="521" spans="3:8">
      <c r="C521" s="261"/>
      <c r="F521" s="261"/>
      <c r="H521" s="267"/>
    </row>
    <row r="522" spans="3:8">
      <c r="C522" s="261"/>
      <c r="F522" s="261"/>
      <c r="H522" s="267"/>
    </row>
    <row r="523" spans="3:8">
      <c r="C523" s="261"/>
      <c r="F523" s="261"/>
      <c r="H523" s="267"/>
    </row>
    <row r="524" spans="3:8">
      <c r="C524" s="261"/>
      <c r="F524" s="261"/>
      <c r="H524" s="267"/>
    </row>
    <row r="525" spans="3:8">
      <c r="C525" s="261"/>
      <c r="F525" s="261"/>
      <c r="H525" s="267"/>
    </row>
    <row r="526" spans="3:8">
      <c r="C526" s="261"/>
      <c r="F526" s="261"/>
      <c r="H526" s="267"/>
    </row>
    <row r="527" spans="3:8">
      <c r="C527" s="261"/>
      <c r="F527" s="261"/>
      <c r="H527" s="267"/>
    </row>
    <row r="528" spans="3:8">
      <c r="C528" s="261"/>
      <c r="F528" s="261"/>
      <c r="H528" s="267"/>
    </row>
    <row r="529" spans="3:8">
      <c r="C529" s="261"/>
      <c r="F529" s="261"/>
      <c r="H529" s="267"/>
    </row>
    <row r="530" spans="3:8">
      <c r="C530" s="261"/>
      <c r="F530" s="261"/>
      <c r="H530" s="267"/>
    </row>
    <row r="531" spans="3:8">
      <c r="C531" s="261"/>
      <c r="F531" s="261"/>
      <c r="H531" s="267"/>
    </row>
    <row r="532" spans="3:8">
      <c r="C532" s="261"/>
      <c r="F532" s="261"/>
      <c r="H532" s="267"/>
    </row>
    <row r="533" spans="3:8">
      <c r="C533" s="261"/>
      <c r="F533" s="261"/>
      <c r="H533" s="267"/>
    </row>
    <row r="534" spans="3:8">
      <c r="C534" s="261"/>
      <c r="F534" s="261"/>
      <c r="H534" s="267"/>
    </row>
    <row r="535" spans="3:8">
      <c r="C535" s="261"/>
      <c r="F535" s="261"/>
      <c r="H535" s="267"/>
    </row>
    <row r="536" spans="3:8">
      <c r="C536" s="261"/>
      <c r="F536" s="261"/>
      <c r="H536" s="267"/>
    </row>
    <row r="537" spans="3:8">
      <c r="C537" s="261"/>
      <c r="F537" s="261"/>
      <c r="H537" s="267"/>
    </row>
    <row r="538" spans="3:8">
      <c r="C538" s="261"/>
      <c r="F538" s="261"/>
      <c r="H538" s="267"/>
    </row>
    <row r="539" spans="3:8">
      <c r="C539" s="261"/>
      <c r="F539" s="261"/>
      <c r="H539" s="267"/>
    </row>
    <row r="540" spans="3:8">
      <c r="C540" s="261"/>
      <c r="F540" s="261"/>
      <c r="H540" s="267"/>
    </row>
    <row r="541" spans="3:8">
      <c r="C541" s="261"/>
      <c r="F541" s="261"/>
      <c r="H541" s="267"/>
    </row>
    <row r="542" spans="3:8">
      <c r="C542" s="261"/>
      <c r="F542" s="261"/>
      <c r="H542" s="267"/>
    </row>
    <row r="543" spans="3:8">
      <c r="C543" s="261"/>
      <c r="F543" s="261"/>
      <c r="H543" s="267"/>
    </row>
    <row r="544" spans="3:8">
      <c r="C544" s="261"/>
      <c r="F544" s="261"/>
      <c r="H544" s="267"/>
    </row>
    <row r="545" spans="3:8">
      <c r="C545" s="261"/>
      <c r="F545" s="261"/>
      <c r="H545" s="267"/>
    </row>
    <row r="546" spans="3:8">
      <c r="C546" s="261"/>
      <c r="F546" s="261"/>
      <c r="H546" s="267"/>
    </row>
    <row r="547" spans="3:8">
      <c r="C547" s="261"/>
      <c r="F547" s="261"/>
      <c r="H547" s="267"/>
    </row>
    <row r="548" spans="3:8">
      <c r="C548" s="261"/>
      <c r="F548" s="261"/>
      <c r="H548" s="267"/>
    </row>
    <row r="549" spans="3:8">
      <c r="C549" s="261"/>
      <c r="F549" s="261"/>
      <c r="H549" s="267"/>
    </row>
    <row r="550" spans="3:8">
      <c r="C550" s="261"/>
      <c r="F550" s="261"/>
      <c r="H550" s="267"/>
    </row>
    <row r="551" spans="3:8">
      <c r="C551" s="261"/>
      <c r="F551" s="261"/>
      <c r="H551" s="267"/>
    </row>
    <row r="552" spans="3:8">
      <c r="C552" s="261"/>
      <c r="F552" s="261"/>
      <c r="H552" s="267"/>
    </row>
    <row r="553" spans="3:8">
      <c r="C553" s="261"/>
      <c r="F553" s="261"/>
      <c r="H553" s="267"/>
    </row>
    <row r="554" spans="3:8">
      <c r="C554" s="261"/>
      <c r="F554" s="261"/>
      <c r="H554" s="267"/>
    </row>
    <row r="555" spans="3:8">
      <c r="C555" s="261"/>
      <c r="F555" s="261"/>
      <c r="H555" s="267"/>
    </row>
    <row r="556" spans="3:8">
      <c r="C556" s="261"/>
      <c r="F556" s="261"/>
      <c r="H556" s="267"/>
    </row>
    <row r="557" spans="3:8">
      <c r="C557" s="261"/>
      <c r="F557" s="261"/>
      <c r="H557" s="267"/>
    </row>
    <row r="558" spans="3:8">
      <c r="C558" s="261"/>
      <c r="F558" s="261"/>
      <c r="H558" s="267"/>
    </row>
    <row r="559" spans="3:8">
      <c r="C559" s="261"/>
      <c r="F559" s="261"/>
      <c r="H559" s="267"/>
    </row>
    <row r="560" spans="3:8">
      <c r="C560" s="261"/>
      <c r="F560" s="261"/>
      <c r="H560" s="267"/>
    </row>
    <row r="561" spans="3:8">
      <c r="C561" s="261"/>
      <c r="F561" s="261"/>
      <c r="H561" s="267"/>
    </row>
    <row r="562" spans="3:8">
      <c r="C562" s="261"/>
      <c r="F562" s="261"/>
      <c r="H562" s="267"/>
    </row>
    <row r="563" spans="3:8">
      <c r="C563" s="261"/>
      <c r="F563" s="261"/>
      <c r="H563" s="267"/>
    </row>
    <row r="564" spans="3:8">
      <c r="C564" s="261"/>
      <c r="F564" s="261"/>
      <c r="H564" s="267"/>
    </row>
    <row r="565" spans="3:8">
      <c r="C565" s="261"/>
      <c r="F565" s="261"/>
      <c r="H565" s="267"/>
    </row>
    <row r="566" spans="3:8">
      <c r="C566" s="261"/>
      <c r="F566" s="261"/>
      <c r="H566" s="267"/>
    </row>
    <row r="567" spans="3:8">
      <c r="C567" s="261"/>
      <c r="F567" s="261"/>
      <c r="H567" s="267"/>
    </row>
    <row r="568" spans="3:8">
      <c r="C568" s="261"/>
      <c r="F568" s="261"/>
      <c r="H568" s="267"/>
    </row>
    <row r="569" spans="3:8">
      <c r="C569" s="261"/>
      <c r="F569" s="261"/>
      <c r="H569" s="267"/>
    </row>
    <row r="570" spans="3:8">
      <c r="C570" s="261"/>
      <c r="F570" s="261"/>
      <c r="H570" s="267"/>
    </row>
    <row r="571" spans="3:8">
      <c r="C571" s="261"/>
      <c r="F571" s="261"/>
      <c r="H571" s="267"/>
    </row>
    <row r="572" spans="3:8">
      <c r="C572" s="261"/>
      <c r="F572" s="261"/>
      <c r="H572" s="267"/>
    </row>
    <row r="573" spans="3:8">
      <c r="C573" s="261"/>
      <c r="F573" s="261"/>
      <c r="H573" s="267"/>
    </row>
    <row r="574" spans="3:8">
      <c r="C574" s="261"/>
      <c r="F574" s="261"/>
      <c r="H574" s="267"/>
    </row>
    <row r="575" spans="3:8">
      <c r="C575" s="261"/>
      <c r="F575" s="261"/>
      <c r="H575" s="267"/>
    </row>
    <row r="576" spans="3:8">
      <c r="C576" s="261"/>
      <c r="F576" s="261"/>
      <c r="H576" s="267"/>
    </row>
    <row r="577" spans="3:8">
      <c r="C577" s="261"/>
      <c r="F577" s="261"/>
      <c r="H577" s="267"/>
    </row>
    <row r="578" spans="3:8">
      <c r="C578" s="261"/>
      <c r="F578" s="261"/>
      <c r="H578" s="267"/>
    </row>
    <row r="579" spans="3:8">
      <c r="C579" s="261"/>
      <c r="F579" s="261"/>
      <c r="H579" s="267"/>
    </row>
    <row r="580" spans="3:8">
      <c r="C580" s="261"/>
      <c r="F580" s="261"/>
      <c r="H580" s="267"/>
    </row>
    <row r="581" spans="3:8">
      <c r="C581" s="261"/>
      <c r="F581" s="261"/>
      <c r="H581" s="267"/>
    </row>
    <row r="582" spans="3:8">
      <c r="C582" s="261"/>
      <c r="F582" s="261"/>
      <c r="H582" s="267"/>
    </row>
    <row r="583" spans="3:8">
      <c r="C583" s="261"/>
      <c r="F583" s="261"/>
      <c r="H583" s="267"/>
    </row>
    <row r="584" spans="3:8">
      <c r="C584" s="261"/>
      <c r="F584" s="261"/>
      <c r="H584" s="267"/>
    </row>
    <row r="585" spans="3:8">
      <c r="C585" s="261"/>
      <c r="F585" s="261"/>
      <c r="H585" s="267"/>
    </row>
    <row r="586" spans="3:8">
      <c r="C586" s="261"/>
      <c r="F586" s="261"/>
      <c r="H586" s="267"/>
    </row>
    <row r="587" spans="3:8">
      <c r="C587" s="261"/>
      <c r="F587" s="261"/>
      <c r="H587" s="267"/>
    </row>
    <row r="588" spans="3:8">
      <c r="C588" s="261"/>
      <c r="F588" s="261"/>
      <c r="H588" s="267"/>
    </row>
    <row r="589" spans="3:8">
      <c r="C589" s="261"/>
      <c r="F589" s="261"/>
      <c r="H589" s="267"/>
    </row>
    <row r="590" spans="3:8">
      <c r="C590" s="261"/>
      <c r="F590" s="261"/>
      <c r="H590" s="267"/>
    </row>
    <row r="591" spans="3:8">
      <c r="C591" s="261"/>
      <c r="F591" s="261"/>
      <c r="H591" s="267"/>
    </row>
    <row r="592" spans="3:8">
      <c r="C592" s="261"/>
      <c r="F592" s="261"/>
      <c r="H592" s="267"/>
    </row>
    <row r="593" spans="3:8">
      <c r="C593" s="261"/>
      <c r="F593" s="261"/>
      <c r="H593" s="267"/>
    </row>
    <row r="594" spans="3:8">
      <c r="C594" s="261"/>
      <c r="F594" s="261"/>
      <c r="H594" s="267"/>
    </row>
    <row r="595" spans="3:8">
      <c r="C595" s="261"/>
      <c r="F595" s="261"/>
      <c r="H595" s="267"/>
    </row>
    <row r="596" spans="3:8">
      <c r="C596" s="261"/>
      <c r="F596" s="261"/>
      <c r="H596" s="267"/>
    </row>
    <row r="597" spans="3:8">
      <c r="C597" s="261"/>
      <c r="F597" s="261"/>
      <c r="H597" s="267"/>
    </row>
    <row r="598" spans="3:8">
      <c r="C598" s="261"/>
      <c r="F598" s="261"/>
      <c r="H598" s="267"/>
    </row>
    <row r="599" spans="3:8">
      <c r="C599" s="261"/>
      <c r="F599" s="261"/>
      <c r="H599" s="267"/>
    </row>
    <row r="600" spans="3:8">
      <c r="C600" s="261"/>
      <c r="F600" s="261"/>
      <c r="H600" s="267"/>
    </row>
    <row r="601" spans="3:8">
      <c r="C601" s="261"/>
      <c r="F601" s="261"/>
      <c r="H601" s="267"/>
    </row>
    <row r="602" spans="3:8">
      <c r="C602" s="261"/>
      <c r="F602" s="261"/>
      <c r="H602" s="267"/>
    </row>
    <row r="603" spans="3:8">
      <c r="C603" s="261"/>
      <c r="F603" s="261"/>
      <c r="H603" s="267"/>
    </row>
    <row r="604" spans="3:8">
      <c r="C604" s="261"/>
      <c r="F604" s="261"/>
      <c r="H604" s="267"/>
    </row>
    <row r="605" spans="3:8">
      <c r="C605" s="261"/>
      <c r="F605" s="261"/>
      <c r="H605" s="267"/>
    </row>
    <row r="606" spans="3:8">
      <c r="C606" s="261"/>
      <c r="F606" s="261"/>
      <c r="H606" s="267"/>
    </row>
    <row r="607" spans="3:8">
      <c r="C607" s="261"/>
      <c r="F607" s="261"/>
      <c r="H607" s="267"/>
    </row>
    <row r="608" spans="3:8">
      <c r="C608" s="261"/>
      <c r="F608" s="261"/>
      <c r="H608" s="267"/>
    </row>
    <row r="609" spans="3:8">
      <c r="C609" s="261"/>
      <c r="F609" s="261"/>
      <c r="H609" s="267"/>
    </row>
    <row r="610" spans="3:8">
      <c r="C610" s="261"/>
      <c r="F610" s="261"/>
      <c r="H610" s="267"/>
    </row>
    <row r="611" spans="3:8">
      <c r="C611" s="261"/>
      <c r="F611" s="261"/>
      <c r="H611" s="267"/>
    </row>
    <row r="612" spans="3:8">
      <c r="C612" s="261"/>
      <c r="F612" s="261"/>
      <c r="H612" s="267"/>
    </row>
    <row r="613" spans="3:8">
      <c r="C613" s="261"/>
      <c r="F613" s="261"/>
      <c r="H613" s="267"/>
    </row>
    <row r="614" spans="3:8">
      <c r="C614" s="261"/>
      <c r="F614" s="261"/>
      <c r="H614" s="267"/>
    </row>
    <row r="615" spans="3:8">
      <c r="C615" s="261"/>
      <c r="F615" s="261"/>
      <c r="H615" s="267"/>
    </row>
    <row r="616" spans="3:8">
      <c r="C616" s="261"/>
      <c r="F616" s="261"/>
      <c r="H616" s="267"/>
    </row>
    <row r="617" spans="3:8">
      <c r="C617" s="261"/>
      <c r="F617" s="261"/>
      <c r="H617" s="267"/>
    </row>
    <row r="618" spans="3:8">
      <c r="C618" s="261"/>
      <c r="F618" s="261"/>
      <c r="H618" s="267"/>
    </row>
    <row r="619" spans="3:8">
      <c r="C619" s="261"/>
      <c r="F619" s="261"/>
      <c r="H619" s="267"/>
    </row>
    <row r="620" spans="3:8">
      <c r="C620" s="261"/>
      <c r="F620" s="261"/>
      <c r="H620" s="267"/>
    </row>
    <row r="621" spans="3:8">
      <c r="C621" s="261"/>
      <c r="F621" s="261"/>
      <c r="H621" s="267"/>
    </row>
    <row r="622" spans="3:8">
      <c r="C622" s="261"/>
      <c r="F622" s="261"/>
      <c r="H622" s="267"/>
    </row>
    <row r="623" spans="3:8">
      <c r="C623" s="261"/>
      <c r="F623" s="261"/>
      <c r="H623" s="267"/>
    </row>
    <row r="624" spans="3:8">
      <c r="C624" s="261"/>
      <c r="F624" s="261"/>
      <c r="H624" s="267"/>
    </row>
    <row r="625" spans="3:8">
      <c r="C625" s="261"/>
      <c r="F625" s="261"/>
      <c r="H625" s="267"/>
    </row>
    <row r="626" spans="3:8">
      <c r="C626" s="261"/>
      <c r="F626" s="261"/>
      <c r="H626" s="267"/>
    </row>
    <row r="627" spans="3:8">
      <c r="C627" s="261"/>
      <c r="F627" s="261"/>
      <c r="H627" s="267"/>
    </row>
    <row r="628" spans="3:8">
      <c r="C628" s="261"/>
      <c r="F628" s="261"/>
      <c r="H628" s="267"/>
    </row>
    <row r="629" spans="3:8">
      <c r="C629" s="261"/>
      <c r="F629" s="261"/>
      <c r="H629" s="267"/>
    </row>
    <row r="630" spans="3:8">
      <c r="C630" s="261"/>
      <c r="F630" s="261"/>
      <c r="H630" s="267"/>
    </row>
    <row r="631" spans="3:8">
      <c r="C631" s="261"/>
      <c r="F631" s="261"/>
      <c r="H631" s="267"/>
    </row>
    <row r="632" spans="3:8">
      <c r="C632" s="261"/>
      <c r="F632" s="261"/>
      <c r="H632" s="267"/>
    </row>
    <row r="633" spans="3:8">
      <c r="C633" s="261"/>
      <c r="F633" s="261"/>
      <c r="H633" s="267"/>
    </row>
    <row r="634" spans="3:8">
      <c r="C634" s="261"/>
      <c r="F634" s="261"/>
      <c r="H634" s="267"/>
    </row>
    <row r="635" spans="3:8">
      <c r="C635" s="261"/>
      <c r="F635" s="261"/>
      <c r="H635" s="267"/>
    </row>
    <row r="636" spans="3:8">
      <c r="C636" s="261"/>
      <c r="F636" s="261"/>
      <c r="H636" s="267"/>
    </row>
    <row r="637" spans="3:8">
      <c r="C637" s="261"/>
      <c r="F637" s="261"/>
      <c r="H637" s="267"/>
    </row>
    <row r="638" spans="3:8">
      <c r="C638" s="261"/>
      <c r="F638" s="261"/>
      <c r="H638" s="267"/>
    </row>
    <row r="639" spans="3:8">
      <c r="C639" s="261"/>
      <c r="F639" s="261"/>
      <c r="H639" s="267"/>
    </row>
    <row r="640" spans="3:8">
      <c r="C640" s="261"/>
      <c r="F640" s="261"/>
      <c r="H640" s="267"/>
    </row>
    <row r="641" spans="3:8">
      <c r="C641" s="261"/>
      <c r="F641" s="261"/>
      <c r="H641" s="267"/>
    </row>
    <row r="642" spans="3:8">
      <c r="C642" s="261"/>
      <c r="F642" s="261"/>
      <c r="H642" s="267"/>
    </row>
    <row r="643" spans="3:8">
      <c r="C643" s="261"/>
      <c r="F643" s="261"/>
      <c r="H643" s="267"/>
    </row>
    <row r="644" spans="3:8">
      <c r="C644" s="261"/>
      <c r="F644" s="261"/>
      <c r="H644" s="267"/>
    </row>
    <row r="645" spans="3:8">
      <c r="C645" s="261"/>
      <c r="F645" s="261"/>
      <c r="H645" s="267"/>
    </row>
    <row r="646" spans="3:8">
      <c r="C646" s="261"/>
      <c r="F646" s="261"/>
      <c r="H646" s="267"/>
    </row>
    <row r="647" spans="3:8">
      <c r="C647" s="261"/>
      <c r="F647" s="261"/>
      <c r="H647" s="267"/>
    </row>
    <row r="648" spans="3:8">
      <c r="C648" s="261"/>
      <c r="F648" s="261"/>
      <c r="H648" s="267"/>
    </row>
    <row r="649" spans="3:8">
      <c r="C649" s="261"/>
      <c r="F649" s="261"/>
      <c r="H649" s="267"/>
    </row>
    <row r="650" spans="3:8">
      <c r="C650" s="261"/>
      <c r="F650" s="261"/>
      <c r="H650" s="267"/>
    </row>
    <row r="651" spans="3:8">
      <c r="C651" s="261"/>
      <c r="F651" s="261"/>
      <c r="H651" s="267"/>
    </row>
    <row r="652" spans="3:8">
      <c r="C652" s="261"/>
      <c r="F652" s="261"/>
      <c r="H652" s="267"/>
    </row>
    <row r="653" spans="3:8">
      <c r="C653" s="261"/>
      <c r="F653" s="261"/>
      <c r="H653" s="267"/>
    </row>
    <row r="654" spans="3:8">
      <c r="C654" s="261"/>
      <c r="F654" s="261"/>
      <c r="H654" s="267"/>
    </row>
    <row r="655" spans="3:8">
      <c r="C655" s="261"/>
      <c r="F655" s="261"/>
      <c r="H655" s="267"/>
    </row>
    <row r="656" spans="3:8">
      <c r="C656" s="261"/>
      <c r="F656" s="261"/>
      <c r="H656" s="267"/>
    </row>
    <row r="657" spans="3:8">
      <c r="C657" s="261"/>
      <c r="F657" s="261"/>
      <c r="H657" s="267"/>
    </row>
    <row r="658" spans="3:8">
      <c r="C658" s="261"/>
      <c r="F658" s="261"/>
      <c r="H658" s="267"/>
    </row>
    <row r="659" spans="3:8">
      <c r="C659" s="261"/>
      <c r="F659" s="261"/>
      <c r="H659" s="267"/>
    </row>
    <row r="660" spans="3:8">
      <c r="C660" s="261"/>
      <c r="F660" s="261"/>
      <c r="H660" s="267"/>
    </row>
    <row r="661" spans="3:8">
      <c r="C661" s="261"/>
      <c r="F661" s="261"/>
      <c r="H661" s="267"/>
    </row>
    <row r="662" spans="3:8">
      <c r="C662" s="261"/>
      <c r="F662" s="261"/>
      <c r="H662" s="267"/>
    </row>
    <row r="663" spans="3:8">
      <c r="C663" s="261"/>
      <c r="F663" s="261"/>
      <c r="H663" s="267"/>
    </row>
    <row r="664" spans="3:8">
      <c r="C664" s="261"/>
      <c r="F664" s="261"/>
      <c r="H664" s="267"/>
    </row>
    <row r="665" spans="3:8">
      <c r="C665" s="261"/>
      <c r="F665" s="261"/>
      <c r="H665" s="267"/>
    </row>
    <row r="666" spans="3:8">
      <c r="C666" s="261"/>
      <c r="F666" s="261"/>
      <c r="H666" s="267"/>
    </row>
    <row r="667" spans="3:8">
      <c r="C667" s="261"/>
      <c r="F667" s="261"/>
      <c r="H667" s="267"/>
    </row>
    <row r="668" spans="3:8">
      <c r="C668" s="261"/>
      <c r="F668" s="261"/>
      <c r="H668" s="267"/>
    </row>
    <row r="669" spans="3:8">
      <c r="C669" s="261"/>
      <c r="F669" s="261"/>
      <c r="H669" s="267"/>
    </row>
    <row r="670" spans="3:8">
      <c r="C670" s="261"/>
      <c r="F670" s="261"/>
      <c r="H670" s="267"/>
    </row>
    <row r="671" spans="3:8">
      <c r="C671" s="261"/>
      <c r="F671" s="261"/>
      <c r="H671" s="267"/>
    </row>
    <row r="672" spans="3:8">
      <c r="C672" s="261"/>
      <c r="F672" s="261"/>
      <c r="H672" s="267"/>
    </row>
    <row r="673" spans="3:8">
      <c r="C673" s="261"/>
      <c r="F673" s="261"/>
      <c r="H673" s="267"/>
    </row>
    <row r="674" spans="3:8">
      <c r="C674" s="261"/>
      <c r="F674" s="261"/>
      <c r="H674" s="267"/>
    </row>
    <row r="675" spans="3:8">
      <c r="C675" s="261"/>
      <c r="F675" s="261"/>
      <c r="H675" s="267"/>
    </row>
    <row r="676" spans="3:8">
      <c r="C676" s="261"/>
      <c r="F676" s="261"/>
      <c r="H676" s="267"/>
    </row>
    <row r="677" spans="3:8">
      <c r="C677" s="261"/>
      <c r="F677" s="261"/>
      <c r="H677" s="267"/>
    </row>
    <row r="678" spans="3:8">
      <c r="C678" s="261"/>
      <c r="F678" s="261"/>
      <c r="H678" s="267"/>
    </row>
    <row r="679" spans="3:8">
      <c r="C679" s="261"/>
      <c r="F679" s="261"/>
      <c r="H679" s="267"/>
    </row>
    <row r="680" spans="3:8">
      <c r="C680" s="261"/>
      <c r="F680" s="261"/>
      <c r="H680" s="267"/>
    </row>
    <row r="681" spans="3:8">
      <c r="C681" s="261"/>
      <c r="F681" s="261"/>
      <c r="H681" s="267"/>
    </row>
    <row r="682" spans="3:8">
      <c r="C682" s="261"/>
      <c r="F682" s="261"/>
      <c r="H682" s="267"/>
    </row>
    <row r="683" spans="3:8">
      <c r="C683" s="261"/>
      <c r="F683" s="261"/>
      <c r="H683" s="267"/>
    </row>
    <row r="684" spans="3:8">
      <c r="C684" s="261"/>
      <c r="F684" s="261"/>
      <c r="H684" s="267"/>
    </row>
    <row r="685" spans="3:8">
      <c r="C685" s="261"/>
      <c r="F685" s="261"/>
      <c r="H685" s="267"/>
    </row>
    <row r="686" spans="3:8">
      <c r="C686" s="261"/>
      <c r="F686" s="261"/>
      <c r="H686" s="267"/>
    </row>
    <row r="687" spans="3:8">
      <c r="C687" s="261"/>
      <c r="F687" s="261"/>
      <c r="H687" s="267"/>
    </row>
    <row r="688" spans="3:8">
      <c r="C688" s="261"/>
      <c r="F688" s="261"/>
      <c r="H688" s="267"/>
    </row>
    <row r="689" spans="3:8">
      <c r="C689" s="261"/>
      <c r="F689" s="261"/>
      <c r="H689" s="267"/>
    </row>
    <row r="690" spans="3:8">
      <c r="C690" s="261"/>
      <c r="F690" s="261"/>
      <c r="H690" s="267"/>
    </row>
    <row r="691" spans="3:8">
      <c r="C691" s="261"/>
      <c r="F691" s="261"/>
      <c r="H691" s="267"/>
    </row>
    <row r="692" spans="3:8">
      <c r="C692" s="261"/>
      <c r="F692" s="261"/>
      <c r="H692" s="267"/>
    </row>
    <row r="693" spans="3:8">
      <c r="C693" s="261"/>
      <c r="F693" s="261"/>
      <c r="H693" s="267"/>
    </row>
    <row r="694" spans="3:8">
      <c r="C694" s="261"/>
      <c r="F694" s="261"/>
      <c r="H694" s="267"/>
    </row>
    <row r="695" spans="3:8">
      <c r="C695" s="261"/>
      <c r="F695" s="261"/>
      <c r="H695" s="267"/>
    </row>
    <row r="696" spans="3:8">
      <c r="C696" s="261"/>
      <c r="F696" s="261"/>
      <c r="H696" s="267"/>
    </row>
    <row r="697" spans="3:8">
      <c r="C697" s="261"/>
      <c r="F697" s="261"/>
      <c r="H697" s="267"/>
    </row>
    <row r="698" spans="3:8">
      <c r="C698" s="261"/>
      <c r="F698" s="261"/>
      <c r="H698" s="267"/>
    </row>
    <row r="699" spans="3:8">
      <c r="C699" s="261"/>
      <c r="F699" s="261"/>
      <c r="H699" s="267"/>
    </row>
    <row r="700" spans="3:8">
      <c r="C700" s="261"/>
      <c r="F700" s="261"/>
      <c r="H700" s="267"/>
    </row>
    <row r="701" spans="3:8">
      <c r="C701" s="261"/>
      <c r="F701" s="261"/>
      <c r="H701" s="267"/>
    </row>
    <row r="702" spans="3:8">
      <c r="C702" s="261"/>
      <c r="F702" s="261"/>
      <c r="H702" s="267"/>
    </row>
    <row r="703" spans="3:8">
      <c r="C703" s="261"/>
      <c r="F703" s="261"/>
      <c r="H703" s="267"/>
    </row>
    <row r="704" spans="3:8">
      <c r="C704" s="261"/>
      <c r="F704" s="261"/>
      <c r="H704" s="267"/>
    </row>
    <row r="705" spans="3:8">
      <c r="C705" s="261"/>
      <c r="F705" s="261"/>
      <c r="H705" s="267"/>
    </row>
    <row r="706" spans="3:8">
      <c r="C706" s="261"/>
      <c r="F706" s="261"/>
      <c r="H706" s="267"/>
    </row>
    <row r="707" spans="3:8">
      <c r="C707" s="261"/>
      <c r="F707" s="261"/>
      <c r="H707" s="267"/>
    </row>
    <row r="708" spans="3:8">
      <c r="C708" s="261"/>
      <c r="F708" s="261"/>
      <c r="H708" s="267"/>
    </row>
    <row r="709" spans="3:8">
      <c r="C709" s="261"/>
      <c r="F709" s="261"/>
      <c r="H709" s="267"/>
    </row>
    <row r="710" spans="3:8">
      <c r="C710" s="261"/>
      <c r="F710" s="261"/>
      <c r="H710" s="267"/>
    </row>
    <row r="711" spans="3:8">
      <c r="C711" s="261"/>
      <c r="F711" s="261"/>
      <c r="H711" s="267"/>
    </row>
    <row r="712" spans="3:8">
      <c r="C712" s="261"/>
      <c r="F712" s="261"/>
      <c r="H712" s="267"/>
    </row>
    <row r="713" spans="3:8">
      <c r="C713" s="261"/>
      <c r="F713" s="261"/>
      <c r="H713" s="267"/>
    </row>
    <row r="714" spans="3:8">
      <c r="C714" s="261"/>
      <c r="F714" s="261"/>
      <c r="H714" s="267"/>
    </row>
    <row r="715" spans="3:8">
      <c r="C715" s="261"/>
      <c r="F715" s="261"/>
      <c r="H715" s="267"/>
    </row>
    <row r="716" spans="3:8">
      <c r="C716" s="261"/>
      <c r="F716" s="261"/>
      <c r="H716" s="267"/>
    </row>
    <row r="717" spans="3:8">
      <c r="C717" s="261"/>
      <c r="F717" s="261"/>
      <c r="H717" s="267"/>
    </row>
    <row r="718" spans="3:8">
      <c r="C718" s="261"/>
      <c r="F718" s="261"/>
      <c r="H718" s="267"/>
    </row>
    <row r="719" spans="3:8">
      <c r="C719" s="261"/>
      <c r="F719" s="261"/>
      <c r="H719" s="267"/>
    </row>
    <row r="720" spans="3:8">
      <c r="C720" s="261"/>
      <c r="F720" s="261"/>
      <c r="H720" s="267"/>
    </row>
    <row r="721" spans="3:8">
      <c r="C721" s="261"/>
      <c r="F721" s="261"/>
      <c r="H721" s="267"/>
    </row>
    <row r="722" spans="3:8">
      <c r="C722" s="261"/>
      <c r="F722" s="261"/>
      <c r="H722" s="267"/>
    </row>
    <row r="723" spans="3:8">
      <c r="C723" s="261"/>
      <c r="F723" s="261"/>
      <c r="H723" s="267"/>
    </row>
    <row r="724" spans="3:8">
      <c r="C724" s="261"/>
      <c r="F724" s="261"/>
      <c r="H724" s="267"/>
    </row>
    <row r="725" spans="3:8">
      <c r="C725" s="261"/>
      <c r="F725" s="261"/>
      <c r="H725" s="267"/>
    </row>
    <row r="726" spans="3:8">
      <c r="C726" s="261"/>
      <c r="F726" s="261"/>
      <c r="H726" s="267"/>
    </row>
    <row r="727" spans="3:8">
      <c r="C727" s="261"/>
      <c r="F727" s="261"/>
      <c r="H727" s="267"/>
    </row>
    <row r="728" spans="3:8">
      <c r="C728" s="261"/>
      <c r="F728" s="261"/>
      <c r="H728" s="267"/>
    </row>
    <row r="729" spans="3:8">
      <c r="C729" s="261"/>
      <c r="F729" s="261"/>
      <c r="H729" s="267"/>
    </row>
    <row r="730" spans="3:8">
      <c r="C730" s="261"/>
      <c r="F730" s="261"/>
      <c r="H730" s="267"/>
    </row>
    <row r="731" spans="3:8">
      <c r="C731" s="261"/>
      <c r="F731" s="261"/>
      <c r="H731" s="267"/>
    </row>
    <row r="732" spans="3:8">
      <c r="C732" s="261"/>
      <c r="F732" s="261"/>
      <c r="H732" s="267"/>
    </row>
    <row r="733" spans="3:8">
      <c r="C733" s="261"/>
      <c r="F733" s="261"/>
      <c r="H733" s="267"/>
    </row>
    <row r="734" spans="3:8">
      <c r="C734" s="261"/>
      <c r="F734" s="261"/>
      <c r="H734" s="267"/>
    </row>
    <row r="735" spans="3:8">
      <c r="C735" s="261"/>
      <c r="F735" s="261"/>
      <c r="H735" s="267"/>
    </row>
    <row r="736" spans="3:8">
      <c r="C736" s="261"/>
      <c r="F736" s="261"/>
      <c r="H736" s="267"/>
    </row>
    <row r="737" spans="3:8">
      <c r="C737" s="261"/>
      <c r="F737" s="261"/>
      <c r="H737" s="267"/>
    </row>
    <row r="738" spans="3:8">
      <c r="C738" s="261"/>
      <c r="F738" s="261"/>
      <c r="H738" s="267"/>
    </row>
    <row r="739" spans="3:8">
      <c r="C739" s="261"/>
      <c r="F739" s="261"/>
      <c r="H739" s="267"/>
    </row>
    <row r="740" spans="3:8">
      <c r="C740" s="261"/>
      <c r="F740" s="261"/>
      <c r="H740" s="267"/>
    </row>
    <row r="741" spans="3:8">
      <c r="C741" s="261"/>
      <c r="F741" s="261"/>
      <c r="H741" s="267"/>
    </row>
    <row r="742" spans="3:8">
      <c r="C742" s="261"/>
      <c r="F742" s="261"/>
      <c r="H742" s="267"/>
    </row>
    <row r="743" spans="3:8">
      <c r="C743" s="261"/>
      <c r="F743" s="261"/>
      <c r="H743" s="267"/>
    </row>
    <row r="744" spans="3:8">
      <c r="C744" s="261"/>
      <c r="F744" s="261"/>
      <c r="H744" s="267"/>
    </row>
    <row r="745" spans="3:8">
      <c r="C745" s="261"/>
      <c r="F745" s="261"/>
      <c r="H745" s="267"/>
    </row>
    <row r="746" spans="3:8">
      <c r="C746" s="261"/>
      <c r="F746" s="261"/>
      <c r="H746" s="267"/>
    </row>
    <row r="747" spans="3:8">
      <c r="C747" s="261"/>
      <c r="F747" s="261"/>
      <c r="H747" s="267"/>
    </row>
    <row r="748" spans="3:8">
      <c r="C748" s="261"/>
      <c r="F748" s="261"/>
      <c r="H748" s="267"/>
    </row>
    <row r="749" spans="3:8">
      <c r="C749" s="261"/>
      <c r="F749" s="261"/>
      <c r="H749" s="267"/>
    </row>
    <row r="750" spans="3:8">
      <c r="C750" s="261"/>
      <c r="F750" s="261"/>
      <c r="H750" s="267"/>
    </row>
    <row r="751" spans="3:8">
      <c r="C751" s="261"/>
      <c r="F751" s="261"/>
      <c r="H751" s="267"/>
    </row>
    <row r="752" spans="3:8">
      <c r="C752" s="261"/>
      <c r="F752" s="261"/>
      <c r="H752" s="267"/>
    </row>
    <row r="753" spans="3:8">
      <c r="C753" s="261"/>
      <c r="F753" s="261"/>
      <c r="H753" s="267"/>
    </row>
    <row r="754" spans="3:8">
      <c r="C754" s="261"/>
      <c r="F754" s="261"/>
      <c r="H754" s="267"/>
    </row>
    <row r="755" spans="3:8">
      <c r="C755" s="261"/>
      <c r="F755" s="261"/>
      <c r="H755" s="267"/>
    </row>
    <row r="756" spans="3:8">
      <c r="C756" s="261"/>
      <c r="F756" s="261"/>
      <c r="H756" s="267"/>
    </row>
    <row r="757" spans="3:8">
      <c r="C757" s="261"/>
      <c r="F757" s="261"/>
      <c r="H757" s="267"/>
    </row>
    <row r="758" spans="3:8">
      <c r="C758" s="261"/>
      <c r="F758" s="261"/>
      <c r="H758" s="267"/>
    </row>
    <row r="759" spans="3:8">
      <c r="C759" s="261"/>
      <c r="F759" s="261"/>
      <c r="H759" s="267"/>
    </row>
    <row r="760" spans="3:8">
      <c r="C760" s="261"/>
      <c r="F760" s="261"/>
      <c r="H760" s="267"/>
    </row>
    <row r="761" spans="3:8">
      <c r="C761" s="261"/>
      <c r="F761" s="261"/>
      <c r="H761" s="267"/>
    </row>
    <row r="762" spans="3:8">
      <c r="C762" s="261"/>
      <c r="F762" s="261"/>
      <c r="H762" s="267"/>
    </row>
    <row r="763" spans="3:8">
      <c r="C763" s="261"/>
      <c r="F763" s="261"/>
      <c r="H763" s="267"/>
    </row>
    <row r="764" spans="3:8">
      <c r="C764" s="261"/>
      <c r="F764" s="261"/>
      <c r="H764" s="267"/>
    </row>
    <row r="765" spans="3:8">
      <c r="C765" s="261"/>
      <c r="F765" s="261"/>
      <c r="H765" s="267"/>
    </row>
    <row r="766" spans="3:8">
      <c r="C766" s="261"/>
      <c r="F766" s="261"/>
      <c r="H766" s="267"/>
    </row>
    <row r="767" spans="3:8">
      <c r="C767" s="261"/>
      <c r="F767" s="261"/>
      <c r="H767" s="267"/>
    </row>
    <row r="768" spans="3:8">
      <c r="C768" s="261"/>
      <c r="F768" s="261"/>
      <c r="H768" s="267"/>
    </row>
    <row r="769" spans="3:8">
      <c r="C769" s="261"/>
      <c r="F769" s="261"/>
      <c r="H769" s="267"/>
    </row>
    <row r="770" spans="3:8">
      <c r="C770" s="261"/>
      <c r="F770" s="261"/>
      <c r="H770" s="267"/>
    </row>
    <row r="771" spans="3:8">
      <c r="C771" s="261"/>
      <c r="F771" s="261"/>
      <c r="H771" s="267"/>
    </row>
    <row r="772" spans="3:8">
      <c r="C772" s="261"/>
      <c r="F772" s="261"/>
      <c r="H772" s="267"/>
    </row>
    <row r="773" spans="3:8">
      <c r="C773" s="261"/>
      <c r="F773" s="261"/>
      <c r="H773" s="267"/>
    </row>
    <row r="774" spans="3:8">
      <c r="C774" s="261"/>
      <c r="F774" s="261"/>
      <c r="H774" s="267"/>
    </row>
    <row r="775" spans="3:8">
      <c r="C775" s="261"/>
      <c r="F775" s="261"/>
      <c r="H775" s="267"/>
    </row>
    <row r="776" spans="3:8">
      <c r="C776" s="261"/>
      <c r="F776" s="261"/>
      <c r="H776" s="267"/>
    </row>
    <row r="777" spans="3:8">
      <c r="C777" s="261"/>
      <c r="F777" s="261"/>
      <c r="H777" s="267"/>
    </row>
    <row r="778" spans="3:8">
      <c r="C778" s="261"/>
      <c r="F778" s="261"/>
      <c r="H778" s="267"/>
    </row>
    <row r="779" spans="3:8">
      <c r="C779" s="261"/>
      <c r="F779" s="261"/>
      <c r="H779" s="267"/>
    </row>
    <row r="780" spans="3:8">
      <c r="C780" s="261"/>
      <c r="F780" s="261"/>
      <c r="H780" s="267"/>
    </row>
    <row r="781" spans="3:8">
      <c r="C781" s="261"/>
      <c r="F781" s="261"/>
      <c r="H781" s="267"/>
    </row>
    <row r="782" spans="3:8">
      <c r="C782" s="261"/>
      <c r="F782" s="261"/>
      <c r="H782" s="267"/>
    </row>
    <row r="783" spans="3:8">
      <c r="C783" s="261"/>
      <c r="F783" s="261"/>
      <c r="H783" s="267"/>
    </row>
    <row r="784" spans="3:8">
      <c r="C784" s="261"/>
      <c r="F784" s="261"/>
      <c r="H784" s="267"/>
    </row>
    <row r="785" spans="3:8">
      <c r="C785" s="261"/>
      <c r="F785" s="261"/>
      <c r="H785" s="267"/>
    </row>
    <row r="786" spans="3:8">
      <c r="C786" s="261"/>
      <c r="F786" s="261"/>
      <c r="H786" s="267"/>
    </row>
    <row r="787" spans="3:8">
      <c r="C787" s="261"/>
      <c r="F787" s="261"/>
      <c r="H787" s="267"/>
    </row>
    <row r="788" spans="3:8">
      <c r="C788" s="261"/>
      <c r="F788" s="261"/>
      <c r="H788" s="267"/>
    </row>
    <row r="789" spans="3:8">
      <c r="C789" s="261"/>
      <c r="F789" s="261"/>
      <c r="H789" s="267"/>
    </row>
    <row r="790" spans="3:8">
      <c r="C790" s="261"/>
      <c r="F790" s="261"/>
      <c r="H790" s="267"/>
    </row>
    <row r="791" spans="3:8">
      <c r="C791" s="261"/>
      <c r="F791" s="261"/>
      <c r="H791" s="267"/>
    </row>
    <row r="792" spans="3:8">
      <c r="C792" s="261"/>
      <c r="F792" s="261"/>
      <c r="H792" s="267"/>
    </row>
    <row r="793" spans="3:8">
      <c r="C793" s="261"/>
      <c r="F793" s="261"/>
      <c r="H793" s="267"/>
    </row>
    <row r="794" spans="3:8">
      <c r="C794" s="261"/>
      <c r="F794" s="261"/>
      <c r="H794" s="267"/>
    </row>
    <row r="795" spans="3:8">
      <c r="C795" s="261"/>
      <c r="F795" s="261"/>
      <c r="H795" s="267"/>
    </row>
    <row r="796" spans="3:8">
      <c r="C796" s="261"/>
      <c r="F796" s="261"/>
      <c r="H796" s="267"/>
    </row>
    <row r="797" spans="3:8">
      <c r="C797" s="261"/>
      <c r="F797" s="261"/>
      <c r="H797" s="267"/>
    </row>
    <row r="798" spans="3:8">
      <c r="C798" s="261"/>
      <c r="F798" s="261"/>
      <c r="H798" s="267"/>
    </row>
    <row r="799" spans="3:8">
      <c r="C799" s="261"/>
      <c r="F799" s="261"/>
      <c r="H799" s="267"/>
    </row>
    <row r="800" spans="3:8">
      <c r="C800" s="261"/>
      <c r="F800" s="261"/>
      <c r="H800" s="267"/>
    </row>
    <row r="801" spans="3:8">
      <c r="C801" s="261"/>
      <c r="F801" s="261"/>
      <c r="H801" s="267"/>
    </row>
    <row r="802" spans="3:8">
      <c r="C802" s="261"/>
      <c r="F802" s="261"/>
      <c r="H802" s="267"/>
    </row>
    <row r="803" spans="3:8">
      <c r="C803" s="261"/>
      <c r="F803" s="261"/>
      <c r="H803" s="267"/>
    </row>
    <row r="804" spans="3:8">
      <c r="C804" s="261"/>
      <c r="F804" s="261"/>
      <c r="H804" s="267"/>
    </row>
    <row r="805" spans="3:8">
      <c r="C805" s="261"/>
      <c r="F805" s="261"/>
      <c r="H805" s="267"/>
    </row>
    <row r="806" spans="3:8">
      <c r="C806" s="261"/>
      <c r="F806" s="261"/>
      <c r="H806" s="267"/>
    </row>
    <row r="807" spans="3:8">
      <c r="C807" s="261"/>
      <c r="F807" s="261"/>
      <c r="H807" s="267"/>
    </row>
    <row r="808" spans="3:8">
      <c r="C808" s="261"/>
      <c r="F808" s="261"/>
      <c r="H808" s="267"/>
    </row>
    <row r="809" spans="3:8">
      <c r="C809" s="261"/>
      <c r="F809" s="261"/>
      <c r="H809" s="267"/>
    </row>
    <row r="810" spans="3:8">
      <c r="C810" s="261"/>
      <c r="F810" s="261"/>
      <c r="H810" s="267"/>
    </row>
    <row r="811" spans="3:8">
      <c r="C811" s="261"/>
      <c r="F811" s="261"/>
      <c r="H811" s="267"/>
    </row>
    <row r="812" spans="3:8">
      <c r="C812" s="261"/>
      <c r="F812" s="261"/>
      <c r="H812" s="267"/>
    </row>
    <row r="813" spans="3:8">
      <c r="C813" s="261"/>
      <c r="F813" s="261"/>
      <c r="H813" s="267"/>
    </row>
    <row r="814" spans="3:8">
      <c r="C814" s="261"/>
      <c r="F814" s="261"/>
      <c r="H814" s="267"/>
    </row>
    <row r="815" spans="3:8">
      <c r="C815" s="261"/>
      <c r="F815" s="261"/>
      <c r="H815" s="267"/>
    </row>
    <row r="816" spans="3:8">
      <c r="C816" s="261"/>
      <c r="F816" s="261"/>
      <c r="H816" s="267"/>
    </row>
    <row r="817" spans="3:8">
      <c r="C817" s="261"/>
      <c r="F817" s="261"/>
      <c r="H817" s="267"/>
    </row>
    <row r="818" spans="3:8">
      <c r="C818" s="261"/>
      <c r="F818" s="261"/>
      <c r="H818" s="267"/>
    </row>
    <row r="819" spans="3:8">
      <c r="C819" s="261"/>
      <c r="F819" s="261"/>
      <c r="H819" s="267"/>
    </row>
    <row r="820" spans="3:8">
      <c r="C820" s="261"/>
      <c r="F820" s="261"/>
      <c r="H820" s="267"/>
    </row>
    <row r="821" spans="3:8">
      <c r="C821" s="261"/>
      <c r="F821" s="261"/>
      <c r="H821" s="267"/>
    </row>
    <row r="822" spans="3:8">
      <c r="C822" s="261"/>
      <c r="F822" s="261"/>
      <c r="H822" s="267"/>
    </row>
    <row r="823" spans="3:8">
      <c r="C823" s="261"/>
      <c r="F823" s="261"/>
      <c r="H823" s="267"/>
    </row>
    <row r="824" spans="3:8">
      <c r="C824" s="261"/>
      <c r="F824" s="261"/>
      <c r="H824" s="267"/>
    </row>
    <row r="825" spans="3:8">
      <c r="C825" s="261"/>
      <c r="F825" s="261"/>
      <c r="H825" s="267"/>
    </row>
    <row r="826" spans="3:8">
      <c r="C826" s="261"/>
      <c r="F826" s="261"/>
      <c r="H826" s="267"/>
    </row>
    <row r="827" spans="3:8">
      <c r="C827" s="261"/>
      <c r="F827" s="261"/>
      <c r="H827" s="267"/>
    </row>
    <row r="828" spans="3:8">
      <c r="C828" s="261"/>
      <c r="F828" s="261"/>
      <c r="H828" s="267"/>
    </row>
    <row r="829" spans="3:8">
      <c r="C829" s="261"/>
      <c r="F829" s="261"/>
      <c r="H829" s="267"/>
    </row>
    <row r="830" spans="3:8">
      <c r="C830" s="261"/>
      <c r="F830" s="261"/>
      <c r="H830" s="267"/>
    </row>
    <row r="831" spans="3:8">
      <c r="C831" s="261"/>
      <c r="F831" s="261"/>
      <c r="H831" s="267"/>
    </row>
    <row r="832" spans="3:8">
      <c r="C832" s="261"/>
      <c r="F832" s="261"/>
      <c r="H832" s="267"/>
    </row>
    <row r="833" spans="3:8">
      <c r="C833" s="261"/>
      <c r="F833" s="261"/>
      <c r="H833" s="267"/>
    </row>
    <row r="834" spans="3:8">
      <c r="C834" s="261"/>
      <c r="F834" s="261"/>
      <c r="H834" s="267"/>
    </row>
    <row r="835" spans="3:8">
      <c r="C835" s="261"/>
      <c r="F835" s="261"/>
      <c r="H835" s="267"/>
    </row>
    <row r="836" spans="3:8">
      <c r="C836" s="261"/>
      <c r="F836" s="261"/>
      <c r="H836" s="267"/>
    </row>
    <row r="837" spans="3:8">
      <c r="C837" s="261"/>
      <c r="F837" s="261"/>
      <c r="H837" s="267"/>
    </row>
    <row r="838" spans="3:8">
      <c r="C838" s="261"/>
      <c r="F838" s="261"/>
      <c r="H838" s="267"/>
    </row>
    <row r="839" spans="3:8">
      <c r="C839" s="261"/>
      <c r="F839" s="261"/>
      <c r="H839" s="267"/>
    </row>
    <row r="840" spans="3:8">
      <c r="C840" s="261"/>
      <c r="F840" s="261"/>
      <c r="H840" s="267"/>
    </row>
    <row r="841" spans="3:8">
      <c r="C841" s="261"/>
      <c r="F841" s="261"/>
      <c r="H841" s="267"/>
    </row>
    <row r="842" spans="3:8">
      <c r="C842" s="261"/>
      <c r="F842" s="261"/>
      <c r="H842" s="267"/>
    </row>
    <row r="843" spans="3:8">
      <c r="C843" s="261"/>
      <c r="F843" s="261"/>
      <c r="H843" s="267"/>
    </row>
    <row r="844" spans="3:8">
      <c r="C844" s="261"/>
      <c r="F844" s="261"/>
      <c r="H844" s="267"/>
    </row>
    <row r="845" spans="3:8">
      <c r="C845" s="261"/>
      <c r="F845" s="261"/>
      <c r="H845" s="267"/>
    </row>
    <row r="846" spans="3:8">
      <c r="C846" s="261"/>
      <c r="F846" s="261"/>
      <c r="H846" s="267"/>
    </row>
    <row r="847" spans="3:8">
      <c r="C847" s="261"/>
      <c r="F847" s="261"/>
      <c r="H847" s="267"/>
    </row>
    <row r="848" spans="3:8">
      <c r="C848" s="261"/>
      <c r="F848" s="261"/>
      <c r="H848" s="267"/>
    </row>
    <row r="849" spans="3:8">
      <c r="C849" s="261"/>
      <c r="F849" s="261"/>
      <c r="H849" s="267"/>
    </row>
    <row r="850" spans="3:8">
      <c r="C850" s="261"/>
      <c r="F850" s="261"/>
      <c r="H850" s="267"/>
    </row>
    <row r="851" spans="3:8">
      <c r="C851" s="261"/>
      <c r="F851" s="261"/>
      <c r="H851" s="267"/>
    </row>
    <row r="852" spans="3:8">
      <c r="C852" s="261"/>
      <c r="F852" s="261"/>
      <c r="H852" s="267"/>
    </row>
    <row r="853" spans="3:8">
      <c r="C853" s="261"/>
      <c r="F853" s="261"/>
      <c r="H853" s="267"/>
    </row>
    <row r="854" spans="3:8">
      <c r="C854" s="261"/>
      <c r="F854" s="261"/>
      <c r="H854" s="267"/>
    </row>
    <row r="855" spans="3:8">
      <c r="C855" s="261"/>
      <c r="F855" s="261"/>
      <c r="H855" s="267"/>
    </row>
    <row r="856" spans="3:8">
      <c r="C856" s="261"/>
      <c r="F856" s="261"/>
      <c r="H856" s="267"/>
    </row>
    <row r="857" spans="3:8">
      <c r="C857" s="261"/>
      <c r="F857" s="261"/>
      <c r="H857" s="267"/>
    </row>
    <row r="858" spans="3:8">
      <c r="C858" s="261"/>
      <c r="F858" s="261"/>
      <c r="H858" s="267"/>
    </row>
    <row r="859" spans="3:8">
      <c r="C859" s="261"/>
      <c r="F859" s="261"/>
      <c r="H859" s="267"/>
    </row>
    <row r="860" spans="3:8">
      <c r="C860" s="261"/>
      <c r="F860" s="261"/>
      <c r="H860" s="267"/>
    </row>
    <row r="861" spans="3:8">
      <c r="C861" s="261"/>
      <c r="F861" s="261"/>
      <c r="H861" s="267"/>
    </row>
    <row r="862" spans="3:8">
      <c r="C862" s="261"/>
      <c r="F862" s="261"/>
      <c r="H862" s="267"/>
    </row>
    <row r="863" spans="3:8">
      <c r="C863" s="261"/>
      <c r="F863" s="261"/>
      <c r="H863" s="267"/>
    </row>
    <row r="864" spans="3:8">
      <c r="C864" s="261"/>
      <c r="F864" s="261"/>
      <c r="H864" s="267"/>
    </row>
    <row r="865" spans="3:8">
      <c r="C865" s="261"/>
      <c r="F865" s="261"/>
      <c r="H865" s="267"/>
    </row>
    <row r="866" spans="3:8">
      <c r="C866" s="261"/>
      <c r="F866" s="261"/>
      <c r="H866" s="267"/>
    </row>
    <row r="867" spans="3:8">
      <c r="C867" s="261"/>
      <c r="F867" s="261"/>
      <c r="H867" s="267"/>
    </row>
    <row r="868" spans="3:8">
      <c r="C868" s="261"/>
      <c r="F868" s="261"/>
      <c r="H868" s="267"/>
    </row>
    <row r="869" spans="3:8">
      <c r="C869" s="261"/>
      <c r="F869" s="261"/>
      <c r="H869" s="267"/>
    </row>
    <row r="870" spans="3:8">
      <c r="C870" s="261"/>
      <c r="F870" s="261"/>
      <c r="H870" s="267"/>
    </row>
    <row r="871" spans="3:8">
      <c r="C871" s="261"/>
      <c r="F871" s="261"/>
      <c r="H871" s="267"/>
    </row>
    <row r="872" spans="3:8">
      <c r="C872" s="261"/>
      <c r="F872" s="261"/>
      <c r="H872" s="267"/>
    </row>
    <row r="873" spans="3:8">
      <c r="C873" s="261"/>
      <c r="F873" s="261"/>
      <c r="H873" s="267"/>
    </row>
    <row r="874" spans="3:8">
      <c r="C874" s="261"/>
      <c r="F874" s="261"/>
      <c r="H874" s="267"/>
    </row>
    <row r="875" spans="3:8">
      <c r="C875" s="261"/>
      <c r="F875" s="261"/>
      <c r="H875" s="267"/>
    </row>
    <row r="876" spans="3:8">
      <c r="C876" s="261"/>
      <c r="F876" s="261"/>
      <c r="H876" s="267"/>
    </row>
    <row r="877" spans="3:8">
      <c r="C877" s="261"/>
      <c r="F877" s="261"/>
      <c r="H877" s="267"/>
    </row>
    <row r="878" spans="3:8">
      <c r="C878" s="261"/>
      <c r="F878" s="261"/>
      <c r="H878" s="267"/>
    </row>
    <row r="879" spans="3:8">
      <c r="C879" s="261"/>
      <c r="F879" s="261"/>
      <c r="H879" s="267"/>
    </row>
    <row r="880" spans="3:8">
      <c r="C880" s="261"/>
      <c r="F880" s="261"/>
      <c r="H880" s="267"/>
    </row>
    <row r="881" spans="3:8">
      <c r="C881" s="261"/>
      <c r="F881" s="261"/>
      <c r="H881" s="267"/>
    </row>
    <row r="882" spans="3:8">
      <c r="C882" s="261"/>
      <c r="F882" s="261"/>
      <c r="H882" s="267"/>
    </row>
    <row r="883" spans="3:8">
      <c r="C883" s="261"/>
      <c r="F883" s="261"/>
      <c r="H883" s="267"/>
    </row>
    <row r="884" spans="3:8">
      <c r="C884" s="261"/>
      <c r="F884" s="261"/>
      <c r="H884" s="267"/>
    </row>
    <row r="885" spans="3:8">
      <c r="C885" s="261"/>
      <c r="F885" s="261"/>
      <c r="H885" s="267"/>
    </row>
    <row r="886" spans="3:8">
      <c r="C886" s="261"/>
      <c r="F886" s="261"/>
      <c r="H886" s="267"/>
    </row>
    <row r="887" spans="3:8">
      <c r="C887" s="261"/>
      <c r="F887" s="261"/>
      <c r="H887" s="267"/>
    </row>
    <row r="888" spans="3:8">
      <c r="C888" s="261"/>
      <c r="F888" s="261"/>
      <c r="H888" s="267"/>
    </row>
    <row r="889" spans="3:8">
      <c r="C889" s="261"/>
      <c r="F889" s="261"/>
      <c r="H889" s="267"/>
    </row>
    <row r="890" spans="3:8">
      <c r="C890" s="261"/>
      <c r="F890" s="261"/>
      <c r="H890" s="267"/>
    </row>
    <row r="891" spans="3:8">
      <c r="C891" s="261"/>
      <c r="F891" s="261"/>
      <c r="H891" s="267"/>
    </row>
    <row r="892" spans="3:8">
      <c r="C892" s="261"/>
      <c r="F892" s="261"/>
      <c r="H892" s="267"/>
    </row>
    <row r="893" spans="3:8">
      <c r="C893" s="261"/>
      <c r="F893" s="261"/>
      <c r="H893" s="267"/>
    </row>
    <row r="894" spans="3:8">
      <c r="C894" s="261"/>
      <c r="F894" s="261"/>
      <c r="H894" s="267"/>
    </row>
    <row r="895" spans="3:8">
      <c r="C895" s="261"/>
      <c r="F895" s="261"/>
      <c r="H895" s="267"/>
    </row>
    <row r="896" spans="3:8">
      <c r="C896" s="261"/>
      <c r="F896" s="261"/>
      <c r="H896" s="267"/>
    </row>
    <row r="897" spans="3:8">
      <c r="C897" s="261"/>
      <c r="F897" s="261"/>
      <c r="H897" s="267"/>
    </row>
    <row r="898" spans="3:8">
      <c r="C898" s="261"/>
      <c r="F898" s="261"/>
      <c r="H898" s="267"/>
    </row>
    <row r="899" spans="3:8">
      <c r="C899" s="261"/>
      <c r="F899" s="261"/>
      <c r="H899" s="267"/>
    </row>
    <row r="900" spans="3:8">
      <c r="C900" s="261"/>
      <c r="F900" s="261"/>
      <c r="H900" s="267"/>
    </row>
    <row r="901" spans="3:8">
      <c r="C901" s="261"/>
      <c r="F901" s="261"/>
      <c r="H901" s="267"/>
    </row>
    <row r="902" spans="3:8">
      <c r="C902" s="261"/>
      <c r="F902" s="261"/>
      <c r="H902" s="267"/>
    </row>
    <row r="903" spans="3:8">
      <c r="C903" s="261"/>
      <c r="F903" s="261"/>
      <c r="H903" s="267"/>
    </row>
    <row r="904" spans="3:8">
      <c r="C904" s="261"/>
      <c r="F904" s="261"/>
      <c r="H904" s="267"/>
    </row>
    <row r="905" spans="3:8">
      <c r="C905" s="261"/>
      <c r="F905" s="261"/>
      <c r="H905" s="267"/>
    </row>
    <row r="906" spans="3:8">
      <c r="C906" s="261"/>
      <c r="F906" s="261"/>
      <c r="H906" s="267"/>
    </row>
    <row r="907" spans="3:8">
      <c r="C907" s="261"/>
      <c r="F907" s="261"/>
      <c r="H907" s="267"/>
    </row>
    <row r="908" spans="3:8">
      <c r="C908" s="261"/>
      <c r="F908" s="261"/>
      <c r="H908" s="267"/>
    </row>
    <row r="909" spans="3:8">
      <c r="C909" s="261"/>
      <c r="F909" s="261"/>
      <c r="H909" s="267"/>
    </row>
    <row r="910" spans="3:8">
      <c r="C910" s="261"/>
      <c r="F910" s="261"/>
      <c r="H910" s="267"/>
    </row>
    <row r="911" spans="3:8">
      <c r="C911" s="261"/>
      <c r="F911" s="261"/>
      <c r="H911" s="267"/>
    </row>
    <row r="912" spans="3:8">
      <c r="C912" s="261"/>
      <c r="F912" s="261"/>
      <c r="H912" s="267"/>
    </row>
    <row r="913" spans="3:8">
      <c r="C913" s="261"/>
      <c r="F913" s="261"/>
      <c r="H913" s="267"/>
    </row>
    <row r="914" spans="3:8">
      <c r="C914" s="261"/>
      <c r="F914" s="261"/>
      <c r="H914" s="267"/>
    </row>
    <row r="915" spans="3:8">
      <c r="C915" s="261"/>
      <c r="F915" s="261"/>
      <c r="H915" s="267"/>
    </row>
    <row r="916" spans="3:8">
      <c r="C916" s="261"/>
      <c r="F916" s="261"/>
      <c r="H916" s="267"/>
    </row>
    <row r="917" spans="3:8">
      <c r="C917" s="261"/>
      <c r="F917" s="261"/>
      <c r="H917" s="267"/>
    </row>
    <row r="918" spans="3:8">
      <c r="C918" s="261"/>
      <c r="F918" s="261"/>
      <c r="H918" s="267"/>
    </row>
    <row r="919" spans="3:8">
      <c r="C919" s="261"/>
      <c r="F919" s="261"/>
      <c r="H919" s="267"/>
    </row>
    <row r="920" spans="3:8">
      <c r="C920" s="261"/>
      <c r="F920" s="261"/>
      <c r="H920" s="267"/>
    </row>
    <row r="921" spans="3:8">
      <c r="C921" s="261"/>
      <c r="F921" s="261"/>
      <c r="H921" s="267"/>
    </row>
    <row r="922" spans="3:8">
      <c r="C922" s="261"/>
      <c r="F922" s="261"/>
      <c r="H922" s="267"/>
    </row>
    <row r="923" spans="3:8">
      <c r="C923" s="261"/>
      <c r="F923" s="261"/>
      <c r="H923" s="267"/>
    </row>
    <row r="924" spans="3:8">
      <c r="C924" s="261"/>
      <c r="F924" s="261"/>
      <c r="H924" s="267"/>
    </row>
    <row r="925" spans="3:8">
      <c r="C925" s="261"/>
      <c r="F925" s="261"/>
      <c r="H925" s="267"/>
    </row>
    <row r="926" spans="3:8">
      <c r="C926" s="261"/>
      <c r="F926" s="261"/>
      <c r="H926" s="267"/>
    </row>
    <row r="927" spans="3:8">
      <c r="C927" s="261"/>
      <c r="F927" s="261"/>
      <c r="H927" s="267"/>
    </row>
    <row r="928" spans="3:8">
      <c r="C928" s="261"/>
      <c r="F928" s="261"/>
      <c r="H928" s="267"/>
    </row>
    <row r="929" spans="3:8">
      <c r="C929" s="261"/>
      <c r="F929" s="261"/>
      <c r="H929" s="267"/>
    </row>
    <row r="930" spans="3:8">
      <c r="C930" s="261"/>
      <c r="F930" s="261"/>
      <c r="H930" s="267"/>
    </row>
    <row r="931" spans="3:8">
      <c r="C931" s="261"/>
      <c r="F931" s="261"/>
      <c r="H931" s="267"/>
    </row>
    <row r="932" spans="3:8">
      <c r="C932" s="261"/>
      <c r="F932" s="261"/>
      <c r="H932" s="267"/>
    </row>
    <row r="933" spans="3:8">
      <c r="C933" s="261"/>
      <c r="F933" s="261"/>
      <c r="H933" s="267"/>
    </row>
    <row r="934" spans="3:8">
      <c r="C934" s="261"/>
      <c r="F934" s="261"/>
      <c r="H934" s="267"/>
    </row>
    <row r="935" spans="3:8">
      <c r="C935" s="261"/>
      <c r="F935" s="261"/>
      <c r="H935" s="267"/>
    </row>
    <row r="936" spans="3:8">
      <c r="C936" s="261"/>
      <c r="F936" s="261"/>
      <c r="H936" s="267"/>
    </row>
    <row r="937" spans="3:8">
      <c r="C937" s="261"/>
      <c r="F937" s="261"/>
      <c r="H937" s="267"/>
    </row>
    <row r="938" spans="3:8">
      <c r="C938" s="261"/>
      <c r="F938" s="261"/>
      <c r="H938" s="267"/>
    </row>
    <row r="939" spans="3:8">
      <c r="C939" s="261"/>
      <c r="F939" s="261"/>
      <c r="H939" s="267"/>
    </row>
    <row r="940" spans="3:8">
      <c r="C940" s="261"/>
      <c r="F940" s="261"/>
      <c r="H940" s="267"/>
    </row>
    <row r="941" spans="3:8">
      <c r="C941" s="261"/>
      <c r="F941" s="261"/>
      <c r="H941" s="267"/>
    </row>
    <row r="942" spans="3:8">
      <c r="C942" s="261"/>
      <c r="F942" s="261"/>
      <c r="H942" s="267"/>
    </row>
    <row r="943" spans="3:8">
      <c r="C943" s="261"/>
      <c r="F943" s="261"/>
      <c r="H943" s="267"/>
    </row>
    <row r="944" spans="3:8">
      <c r="C944" s="261"/>
      <c r="F944" s="261"/>
      <c r="H944" s="267"/>
    </row>
    <row r="945" spans="3:8">
      <c r="C945" s="261"/>
      <c r="F945" s="261"/>
      <c r="H945" s="267"/>
    </row>
    <row r="946" spans="3:8">
      <c r="C946" s="261"/>
      <c r="F946" s="261"/>
      <c r="H946" s="267"/>
    </row>
    <row r="947" spans="3:8">
      <c r="C947" s="261"/>
      <c r="F947" s="261"/>
      <c r="H947" s="267"/>
    </row>
    <row r="948" spans="3:8">
      <c r="C948" s="261"/>
      <c r="F948" s="261"/>
      <c r="H948" s="267"/>
    </row>
    <row r="949" spans="3:8">
      <c r="C949" s="261"/>
      <c r="F949" s="261"/>
      <c r="H949" s="267"/>
    </row>
    <row r="950" spans="3:8">
      <c r="C950" s="261"/>
      <c r="F950" s="261"/>
      <c r="H950" s="267"/>
    </row>
    <row r="951" spans="3:8">
      <c r="C951" s="261"/>
      <c r="F951" s="261"/>
      <c r="H951" s="267"/>
    </row>
    <row r="952" spans="3:8">
      <c r="C952" s="261"/>
      <c r="F952" s="261"/>
      <c r="H952" s="267"/>
    </row>
    <row r="953" spans="3:8">
      <c r="C953" s="261"/>
      <c r="F953" s="261"/>
      <c r="H953" s="267"/>
    </row>
    <row r="954" spans="3:8">
      <c r="C954" s="261"/>
      <c r="F954" s="261"/>
      <c r="H954" s="267"/>
    </row>
    <row r="955" spans="3:8">
      <c r="C955" s="261"/>
      <c r="F955" s="261"/>
      <c r="H955" s="267"/>
    </row>
    <row r="956" spans="3:8">
      <c r="C956" s="261"/>
      <c r="F956" s="261"/>
      <c r="H956" s="267"/>
    </row>
    <row r="957" spans="3:8">
      <c r="C957" s="261"/>
      <c r="F957" s="261"/>
      <c r="H957" s="267"/>
    </row>
    <row r="958" spans="3:8">
      <c r="C958" s="261"/>
      <c r="F958" s="261"/>
      <c r="H958" s="267"/>
    </row>
    <row r="959" spans="3:8">
      <c r="C959" s="261"/>
      <c r="F959" s="261"/>
      <c r="H959" s="267"/>
    </row>
    <row r="960" spans="3:8">
      <c r="C960" s="261"/>
      <c r="F960" s="261"/>
      <c r="H960" s="267"/>
    </row>
    <row r="961" spans="3:8">
      <c r="C961" s="261"/>
      <c r="F961" s="261"/>
      <c r="H961" s="267"/>
    </row>
    <row r="962" spans="3:8">
      <c r="C962" s="261"/>
      <c r="F962" s="261"/>
      <c r="H962" s="267"/>
    </row>
    <row r="963" spans="3:8">
      <c r="C963" s="261"/>
      <c r="F963" s="261"/>
      <c r="H963" s="267"/>
    </row>
    <row r="964" spans="3:8">
      <c r="C964" s="261"/>
      <c r="F964" s="261"/>
      <c r="H964" s="267"/>
    </row>
    <row r="965" spans="3:8">
      <c r="C965" s="261"/>
      <c r="F965" s="261"/>
      <c r="H965" s="267"/>
    </row>
    <row r="966" spans="3:8">
      <c r="C966" s="261"/>
      <c r="F966" s="261"/>
      <c r="H966" s="267"/>
    </row>
    <row r="967" spans="3:8">
      <c r="C967" s="261"/>
      <c r="F967" s="261"/>
      <c r="H967" s="267"/>
    </row>
    <row r="968" spans="3:8">
      <c r="C968" s="261"/>
      <c r="F968" s="261"/>
      <c r="H968" s="267"/>
    </row>
    <row r="969" spans="3:8">
      <c r="C969" s="261"/>
      <c r="F969" s="261"/>
      <c r="H969" s="267"/>
    </row>
    <row r="970" spans="3:8">
      <c r="C970" s="261"/>
      <c r="F970" s="261"/>
      <c r="H970" s="267"/>
    </row>
    <row r="971" spans="3:8">
      <c r="C971" s="261"/>
      <c r="F971" s="261"/>
      <c r="H971" s="267"/>
    </row>
    <row r="972" spans="3:8">
      <c r="C972" s="261"/>
      <c r="F972" s="261"/>
      <c r="H972" s="267"/>
    </row>
    <row r="973" spans="3:8">
      <c r="C973" s="261"/>
      <c r="F973" s="261"/>
      <c r="H973" s="267"/>
    </row>
    <row r="974" spans="3:8">
      <c r="C974" s="261"/>
      <c r="F974" s="261"/>
      <c r="H974" s="267"/>
    </row>
    <row r="975" spans="3:8">
      <c r="C975" s="261"/>
      <c r="F975" s="261"/>
      <c r="H975" s="267"/>
    </row>
    <row r="976" spans="3:8">
      <c r="C976" s="261"/>
      <c r="F976" s="261"/>
      <c r="H976" s="267"/>
    </row>
    <row r="977" spans="3:8">
      <c r="C977" s="261"/>
      <c r="F977" s="261"/>
      <c r="H977" s="267"/>
    </row>
    <row r="978" spans="3:8">
      <c r="C978" s="261"/>
      <c r="F978" s="261"/>
      <c r="H978" s="267"/>
    </row>
    <row r="979" spans="3:8">
      <c r="C979" s="261"/>
      <c r="F979" s="261"/>
      <c r="H979" s="267"/>
    </row>
    <row r="980" spans="3:8">
      <c r="C980" s="261"/>
      <c r="F980" s="261"/>
      <c r="H980" s="267"/>
    </row>
    <row r="981" spans="3:8">
      <c r="C981" s="261"/>
      <c r="F981" s="261"/>
      <c r="H981" s="267"/>
    </row>
    <row r="982" spans="3:8">
      <c r="C982" s="261"/>
      <c r="F982" s="261"/>
      <c r="H982" s="267"/>
    </row>
    <row r="983" spans="3:8">
      <c r="C983" s="261"/>
      <c r="F983" s="261"/>
      <c r="H983" s="267"/>
    </row>
    <row r="984" spans="3:8">
      <c r="C984" s="261"/>
      <c r="F984" s="261"/>
      <c r="H984" s="267"/>
    </row>
    <row r="985" spans="3:8">
      <c r="C985" s="261"/>
      <c r="F985" s="261"/>
      <c r="H985" s="267"/>
    </row>
    <row r="986" spans="3:8">
      <c r="C986" s="261"/>
      <c r="F986" s="261"/>
      <c r="H986" s="267"/>
    </row>
    <row r="987" spans="3:8">
      <c r="C987" s="261"/>
      <c r="F987" s="261"/>
      <c r="H987" s="267"/>
    </row>
    <row r="988" spans="3:8">
      <c r="C988" s="261"/>
      <c r="F988" s="261"/>
      <c r="H988" s="267"/>
    </row>
    <row r="989" spans="3:8">
      <c r="C989" s="261"/>
      <c r="F989" s="261"/>
      <c r="H989" s="267"/>
    </row>
    <row r="990" spans="3:8">
      <c r="C990" s="261"/>
      <c r="F990" s="261"/>
      <c r="H990" s="267"/>
    </row>
    <row r="991" spans="3:8">
      <c r="C991" s="261"/>
      <c r="F991" s="261"/>
      <c r="H991" s="267"/>
    </row>
    <row r="992" spans="3:8">
      <c r="C992" s="261"/>
      <c r="F992" s="261"/>
      <c r="H992" s="267"/>
    </row>
    <row r="993" spans="3:8">
      <c r="C993" s="261"/>
      <c r="F993" s="261"/>
      <c r="H993" s="267"/>
    </row>
    <row r="994" spans="3:8">
      <c r="C994" s="261"/>
      <c r="F994" s="261"/>
      <c r="H994" s="267"/>
    </row>
    <row r="995" spans="3:8">
      <c r="C995" s="261"/>
      <c r="F995" s="261"/>
      <c r="H995" s="267"/>
    </row>
    <row r="996" spans="3:8">
      <c r="C996" s="261"/>
      <c r="F996" s="261"/>
      <c r="H996" s="267"/>
    </row>
    <row r="997" spans="3:8">
      <c r="C997" s="261"/>
      <c r="F997" s="261"/>
      <c r="H997" s="267"/>
    </row>
    <row r="998" spans="3:8">
      <c r="C998" s="261"/>
      <c r="F998" s="261"/>
      <c r="H998" s="267"/>
    </row>
    <row r="999" spans="3:8">
      <c r="C999" s="261"/>
      <c r="F999" s="261"/>
      <c r="H999" s="267"/>
    </row>
    <row r="1000" spans="3:8">
      <c r="C1000" s="261"/>
      <c r="F1000" s="261"/>
      <c r="H1000" s="267"/>
    </row>
    <row r="1001" spans="3:8">
      <c r="C1001" s="261"/>
      <c r="F1001" s="261"/>
      <c r="H1001" s="267"/>
    </row>
    <row r="1002" spans="3:8">
      <c r="C1002" s="261"/>
      <c r="F1002" s="261"/>
      <c r="H1002" s="267"/>
    </row>
    <row r="1003" spans="3:8">
      <c r="C1003" s="261"/>
      <c r="F1003" s="261"/>
      <c r="H1003" s="267"/>
    </row>
    <row r="1004" spans="3:8">
      <c r="C1004" s="261"/>
      <c r="F1004" s="261"/>
      <c r="H1004" s="267"/>
    </row>
    <row r="1005" spans="3:8">
      <c r="C1005" s="261"/>
      <c r="F1005" s="261"/>
      <c r="H1005" s="267"/>
    </row>
    <row r="1006" spans="3:8">
      <c r="C1006" s="261"/>
      <c r="F1006" s="261"/>
      <c r="H1006" s="267"/>
    </row>
    <row r="1007" spans="3:8">
      <c r="C1007" s="261"/>
      <c r="F1007" s="261"/>
      <c r="H1007" s="267"/>
    </row>
    <row r="1008" spans="3:8">
      <c r="C1008" s="261"/>
      <c r="F1008" s="261"/>
      <c r="H1008" s="267"/>
    </row>
    <row r="1009" spans="3:8">
      <c r="C1009" s="261"/>
      <c r="F1009" s="261"/>
      <c r="H1009" s="267"/>
    </row>
    <row r="1010" spans="3:8">
      <c r="C1010" s="261"/>
      <c r="F1010" s="261"/>
      <c r="H1010" s="267"/>
    </row>
    <row r="1011" spans="3:8">
      <c r="C1011" s="261"/>
      <c r="F1011" s="261"/>
      <c r="H1011" s="267"/>
    </row>
    <row r="1012" spans="3:8">
      <c r="C1012" s="261"/>
      <c r="F1012" s="261"/>
      <c r="H1012" s="267"/>
    </row>
    <row r="1013" spans="3:8">
      <c r="C1013" s="261"/>
      <c r="F1013" s="261"/>
      <c r="H1013" s="267"/>
    </row>
    <row r="1014" spans="3:8">
      <c r="C1014" s="261"/>
      <c r="F1014" s="261"/>
      <c r="H1014" s="267"/>
    </row>
    <row r="1015" spans="3:8">
      <c r="C1015" s="261"/>
      <c r="F1015" s="261"/>
      <c r="H1015" s="267"/>
    </row>
    <row r="1016" spans="3:8">
      <c r="C1016" s="261"/>
      <c r="F1016" s="261"/>
      <c r="H1016" s="267"/>
    </row>
    <row r="1017" spans="3:8">
      <c r="C1017" s="261"/>
      <c r="F1017" s="261"/>
      <c r="H1017" s="267"/>
    </row>
    <row r="1018" spans="3:8">
      <c r="C1018" s="261"/>
      <c r="F1018" s="261"/>
      <c r="H1018" s="267"/>
    </row>
    <row r="1019" spans="3:8">
      <c r="C1019" s="261"/>
      <c r="F1019" s="261"/>
      <c r="H1019" s="267"/>
    </row>
    <row r="1020" spans="3:8">
      <c r="C1020" s="261"/>
      <c r="F1020" s="261"/>
      <c r="H1020" s="267"/>
    </row>
    <row r="1021" spans="3:8">
      <c r="C1021" s="261"/>
      <c r="F1021" s="261"/>
      <c r="H1021" s="267"/>
    </row>
    <row r="1022" spans="3:8">
      <c r="C1022" s="261"/>
      <c r="F1022" s="261"/>
      <c r="H1022" s="267"/>
    </row>
    <row r="1023" spans="3:8">
      <c r="C1023" s="261"/>
      <c r="F1023" s="261"/>
      <c r="H1023" s="267"/>
    </row>
    <row r="1024" spans="3:8">
      <c r="C1024" s="261"/>
      <c r="F1024" s="261"/>
      <c r="H1024" s="267"/>
    </row>
    <row r="1025" spans="3:8">
      <c r="C1025" s="261"/>
      <c r="F1025" s="261"/>
      <c r="H1025" s="267"/>
    </row>
    <row r="1026" spans="3:8">
      <c r="C1026" s="261"/>
      <c r="F1026" s="261"/>
      <c r="H1026" s="267"/>
    </row>
    <row r="1027" spans="3:8">
      <c r="C1027" s="261"/>
      <c r="F1027" s="261"/>
      <c r="H1027" s="267"/>
    </row>
    <row r="1028" spans="3:8">
      <c r="C1028" s="261"/>
      <c r="F1028" s="261"/>
      <c r="H1028" s="267"/>
    </row>
    <row r="1029" spans="3:8">
      <c r="C1029" s="261"/>
      <c r="F1029" s="261"/>
      <c r="H1029" s="267"/>
    </row>
    <row r="1030" spans="3:8">
      <c r="C1030" s="261"/>
      <c r="F1030" s="261"/>
      <c r="H1030" s="267"/>
    </row>
    <row r="1031" spans="3:8">
      <c r="C1031" s="261"/>
      <c r="F1031" s="261"/>
      <c r="H1031" s="267"/>
    </row>
    <row r="1032" spans="3:8">
      <c r="C1032" s="261"/>
      <c r="F1032" s="261"/>
      <c r="H1032" s="267"/>
    </row>
    <row r="1033" spans="3:8">
      <c r="C1033" s="261"/>
      <c r="F1033" s="261"/>
      <c r="H1033" s="267"/>
    </row>
    <row r="1034" spans="3:8">
      <c r="C1034" s="261"/>
      <c r="F1034" s="261"/>
      <c r="H1034" s="267"/>
    </row>
    <row r="1035" spans="3:8">
      <c r="C1035" s="261"/>
      <c r="F1035" s="261"/>
      <c r="H1035" s="267"/>
    </row>
    <row r="1036" spans="3:8">
      <c r="C1036" s="261"/>
      <c r="F1036" s="261"/>
      <c r="H1036" s="267"/>
    </row>
    <row r="1037" spans="3:8">
      <c r="C1037" s="261"/>
      <c r="F1037" s="261"/>
      <c r="H1037" s="267"/>
    </row>
    <row r="1038" spans="3:8">
      <c r="C1038" s="261"/>
      <c r="F1038" s="261"/>
      <c r="H1038" s="267"/>
    </row>
    <row r="1039" spans="3:8">
      <c r="C1039" s="261"/>
      <c r="F1039" s="261"/>
      <c r="H1039" s="267"/>
    </row>
    <row r="1040" spans="3:8">
      <c r="C1040" s="261"/>
      <c r="F1040" s="261"/>
      <c r="H1040" s="267"/>
    </row>
    <row r="1041" spans="3:8">
      <c r="C1041" s="261"/>
      <c r="F1041" s="261"/>
      <c r="H1041" s="267"/>
    </row>
    <row r="1042" spans="3:8">
      <c r="C1042" s="261"/>
      <c r="F1042" s="261"/>
      <c r="H1042" s="267"/>
    </row>
    <row r="1043" spans="3:8">
      <c r="C1043" s="261"/>
      <c r="F1043" s="261"/>
      <c r="H1043" s="267"/>
    </row>
    <row r="1044" spans="3:8">
      <c r="C1044" s="261"/>
      <c r="F1044" s="261"/>
      <c r="H1044" s="267"/>
    </row>
    <row r="1045" spans="3:8">
      <c r="C1045" s="261"/>
      <c r="F1045" s="261"/>
      <c r="H1045" s="267"/>
    </row>
    <row r="1046" spans="3:8">
      <c r="C1046" s="261"/>
      <c r="F1046" s="261"/>
      <c r="H1046" s="267"/>
    </row>
    <row r="1047" spans="3:8">
      <c r="C1047" s="261"/>
      <c r="F1047" s="261"/>
      <c r="H1047" s="267"/>
    </row>
    <row r="1048" spans="3:8">
      <c r="C1048" s="261"/>
      <c r="F1048" s="261"/>
      <c r="H1048" s="267"/>
    </row>
    <row r="1049" spans="3:8">
      <c r="C1049" s="261"/>
      <c r="F1049" s="261"/>
      <c r="H1049" s="267"/>
    </row>
    <row r="1050" spans="3:8">
      <c r="C1050" s="261"/>
      <c r="F1050" s="261"/>
      <c r="H1050" s="267"/>
    </row>
    <row r="1051" spans="3:8">
      <c r="C1051" s="261"/>
      <c r="F1051" s="261"/>
      <c r="H1051" s="267"/>
    </row>
    <row r="1052" spans="3:8">
      <c r="C1052" s="261"/>
      <c r="F1052" s="261"/>
      <c r="H1052" s="267"/>
    </row>
    <row r="1053" spans="3:8">
      <c r="C1053" s="261"/>
      <c r="F1053" s="261"/>
      <c r="H1053" s="267"/>
    </row>
    <row r="1054" spans="3:8">
      <c r="C1054" s="261"/>
      <c r="F1054" s="261"/>
      <c r="H1054" s="267"/>
    </row>
    <row r="1055" spans="3:8">
      <c r="C1055" s="261"/>
      <c r="F1055" s="261"/>
      <c r="H1055" s="267"/>
    </row>
    <row r="1056" spans="3:8">
      <c r="C1056" s="261"/>
      <c r="F1056" s="261"/>
      <c r="H1056" s="267"/>
    </row>
    <row r="1057" spans="3:8">
      <c r="C1057" s="261"/>
      <c r="F1057" s="261"/>
      <c r="H1057" s="267"/>
    </row>
    <row r="1058" spans="3:8">
      <c r="C1058" s="261"/>
      <c r="F1058" s="261"/>
      <c r="H1058" s="267"/>
    </row>
    <row r="1059" spans="3:8">
      <c r="C1059" s="261"/>
      <c r="F1059" s="261"/>
      <c r="H1059" s="267"/>
    </row>
    <row r="1060" spans="3:8">
      <c r="C1060" s="261"/>
      <c r="F1060" s="261"/>
      <c r="H1060" s="267"/>
    </row>
    <row r="1061" spans="3:8">
      <c r="C1061" s="261"/>
      <c r="F1061" s="261"/>
      <c r="H1061" s="267"/>
    </row>
    <row r="1062" spans="3:8">
      <c r="C1062" s="261"/>
      <c r="F1062" s="261"/>
      <c r="H1062" s="267"/>
    </row>
    <row r="1063" spans="3:8">
      <c r="C1063" s="261"/>
      <c r="F1063" s="261"/>
      <c r="H1063" s="267"/>
    </row>
    <row r="1064" spans="3:8">
      <c r="C1064" s="261"/>
      <c r="F1064" s="261"/>
      <c r="H1064" s="267"/>
    </row>
    <row r="1065" spans="3:8">
      <c r="C1065" s="261"/>
      <c r="F1065" s="261"/>
      <c r="H1065" s="267"/>
    </row>
    <row r="1066" spans="3:8">
      <c r="C1066" s="261"/>
      <c r="F1066" s="261"/>
      <c r="H1066" s="267"/>
    </row>
    <row r="1067" spans="3:8">
      <c r="C1067" s="261"/>
      <c r="F1067" s="261"/>
      <c r="H1067" s="267"/>
    </row>
    <row r="1068" spans="3:8">
      <c r="C1068" s="261"/>
      <c r="F1068" s="261"/>
      <c r="H1068" s="267"/>
    </row>
    <row r="1069" spans="3:8">
      <c r="C1069" s="261"/>
      <c r="F1069" s="261"/>
      <c r="H1069" s="267"/>
    </row>
    <row r="1070" spans="3:8">
      <c r="C1070" s="261"/>
      <c r="F1070" s="261"/>
      <c r="H1070" s="267"/>
    </row>
    <row r="1071" spans="3:8">
      <c r="C1071" s="261"/>
      <c r="F1071" s="261"/>
      <c r="H1071" s="267"/>
    </row>
    <row r="1072" spans="3:8">
      <c r="C1072" s="261"/>
      <c r="F1072" s="261"/>
      <c r="H1072" s="267"/>
    </row>
    <row r="1073" spans="3:8">
      <c r="C1073" s="261"/>
      <c r="F1073" s="261"/>
      <c r="H1073" s="267"/>
    </row>
    <row r="1074" spans="3:8">
      <c r="C1074" s="261"/>
      <c r="F1074" s="261"/>
      <c r="H1074" s="267"/>
    </row>
    <row r="1075" spans="3:8">
      <c r="C1075" s="261"/>
      <c r="F1075" s="261"/>
      <c r="H1075" s="267"/>
    </row>
    <row r="1076" spans="3:8">
      <c r="C1076" s="261"/>
      <c r="F1076" s="261"/>
      <c r="H1076" s="267"/>
    </row>
    <row r="1077" spans="3:8">
      <c r="C1077" s="261"/>
      <c r="F1077" s="261"/>
      <c r="H1077" s="267"/>
    </row>
    <row r="1078" spans="3:8">
      <c r="C1078" s="261"/>
      <c r="F1078" s="261"/>
      <c r="H1078" s="267"/>
    </row>
    <row r="1079" spans="3:8">
      <c r="C1079" s="261"/>
      <c r="F1079" s="261"/>
      <c r="H1079" s="267"/>
    </row>
    <row r="1080" spans="3:8">
      <c r="C1080" s="261"/>
      <c r="F1080" s="261"/>
      <c r="H1080" s="267"/>
    </row>
    <row r="1081" spans="3:8">
      <c r="C1081" s="261"/>
      <c r="F1081" s="261"/>
      <c r="H1081" s="267"/>
    </row>
    <row r="1082" spans="3:8">
      <c r="C1082" s="261"/>
      <c r="F1082" s="261"/>
      <c r="H1082" s="267"/>
    </row>
    <row r="1083" spans="3:8">
      <c r="C1083" s="261"/>
      <c r="F1083" s="261"/>
      <c r="H1083" s="267"/>
    </row>
    <row r="1084" spans="3:8">
      <c r="C1084" s="261"/>
      <c r="F1084" s="261"/>
      <c r="H1084" s="267"/>
    </row>
    <row r="1085" spans="3:8">
      <c r="C1085" s="261"/>
      <c r="F1085" s="261"/>
      <c r="H1085" s="267"/>
    </row>
    <row r="1086" spans="3:8">
      <c r="C1086" s="261"/>
      <c r="F1086" s="261"/>
      <c r="H1086" s="267"/>
    </row>
    <row r="1087" spans="3:8">
      <c r="C1087" s="261"/>
      <c r="F1087" s="261"/>
      <c r="H1087" s="267"/>
    </row>
    <row r="1088" spans="3:8">
      <c r="C1088" s="261"/>
      <c r="F1088" s="261"/>
      <c r="H1088" s="267"/>
    </row>
    <row r="1089" spans="3:8">
      <c r="C1089" s="261"/>
      <c r="F1089" s="261"/>
      <c r="H1089" s="267"/>
    </row>
    <row r="1090" spans="3:8">
      <c r="C1090" s="261"/>
      <c r="F1090" s="261"/>
      <c r="H1090" s="267"/>
    </row>
    <row r="1091" spans="3:8">
      <c r="C1091" s="261"/>
      <c r="F1091" s="261"/>
      <c r="H1091" s="267"/>
    </row>
    <row r="1092" spans="3:8">
      <c r="C1092" s="261"/>
      <c r="F1092" s="261"/>
      <c r="H1092" s="267"/>
    </row>
    <row r="1093" spans="3:8">
      <c r="C1093" s="261"/>
      <c r="F1093" s="261"/>
      <c r="H1093" s="267"/>
    </row>
    <row r="1094" spans="3:8">
      <c r="C1094" s="261"/>
      <c r="F1094" s="261"/>
      <c r="H1094" s="267"/>
    </row>
    <row r="1095" spans="3:8">
      <c r="C1095" s="261"/>
      <c r="F1095" s="261"/>
      <c r="H1095" s="267"/>
    </row>
    <row r="1096" spans="3:8">
      <c r="C1096" s="261"/>
      <c r="F1096" s="261"/>
      <c r="H1096" s="267"/>
    </row>
    <row r="1097" spans="3:8">
      <c r="C1097" s="261"/>
      <c r="F1097" s="261"/>
      <c r="H1097" s="267"/>
    </row>
    <row r="1098" spans="3:8">
      <c r="C1098" s="261"/>
      <c r="F1098" s="261"/>
      <c r="H1098" s="267"/>
    </row>
    <row r="1099" spans="3:8">
      <c r="C1099" s="261"/>
      <c r="F1099" s="261"/>
      <c r="H1099" s="267"/>
    </row>
    <row r="1100" spans="3:8">
      <c r="C1100" s="261"/>
      <c r="F1100" s="261"/>
      <c r="H1100" s="267"/>
    </row>
    <row r="1101" spans="3:8">
      <c r="C1101" s="261"/>
      <c r="F1101" s="261"/>
      <c r="H1101" s="267"/>
    </row>
    <row r="1102" spans="3:8">
      <c r="C1102" s="261"/>
      <c r="F1102" s="261"/>
      <c r="H1102" s="267"/>
    </row>
    <row r="1103" spans="3:8">
      <c r="C1103" s="261"/>
      <c r="F1103" s="261"/>
      <c r="H1103" s="267"/>
    </row>
    <row r="1104" spans="3:8">
      <c r="C1104" s="261"/>
      <c r="F1104" s="261"/>
      <c r="H1104" s="267"/>
    </row>
    <row r="1105" spans="3:8">
      <c r="C1105" s="261"/>
      <c r="F1105" s="261"/>
      <c r="H1105" s="267"/>
    </row>
    <row r="1106" spans="3:8">
      <c r="C1106" s="261"/>
      <c r="F1106" s="261"/>
      <c r="H1106" s="267"/>
    </row>
    <row r="1107" spans="3:8">
      <c r="C1107" s="261"/>
      <c r="F1107" s="261"/>
      <c r="H1107" s="267"/>
    </row>
    <row r="1108" spans="3:8">
      <c r="C1108" s="261"/>
      <c r="F1108" s="261"/>
      <c r="H1108" s="267"/>
    </row>
    <row r="1109" spans="3:8">
      <c r="C1109" s="261"/>
      <c r="F1109" s="261"/>
      <c r="H1109" s="267"/>
    </row>
    <row r="1110" spans="3:8">
      <c r="C1110" s="261"/>
      <c r="F1110" s="261"/>
      <c r="H1110" s="267"/>
    </row>
    <row r="1111" spans="3:8">
      <c r="C1111" s="261"/>
      <c r="F1111" s="261"/>
      <c r="H1111" s="267"/>
    </row>
    <row r="1112" spans="3:8">
      <c r="C1112" s="261"/>
      <c r="F1112" s="261"/>
      <c r="H1112" s="267"/>
    </row>
    <row r="1113" spans="3:8">
      <c r="C1113" s="261"/>
      <c r="F1113" s="261"/>
      <c r="H1113" s="267"/>
    </row>
    <row r="1114" spans="3:8">
      <c r="C1114" s="261"/>
      <c r="F1114" s="261"/>
      <c r="H1114" s="267"/>
    </row>
    <row r="1115" spans="3:8">
      <c r="C1115" s="261"/>
      <c r="F1115" s="261"/>
      <c r="H1115" s="267"/>
    </row>
    <row r="1116" spans="3:8">
      <c r="C1116" s="261"/>
      <c r="F1116" s="261"/>
      <c r="H1116" s="267"/>
    </row>
    <row r="1117" spans="3:8">
      <c r="C1117" s="261"/>
      <c r="F1117" s="261"/>
      <c r="H1117" s="267"/>
    </row>
    <row r="1118" spans="3:8">
      <c r="C1118" s="261"/>
      <c r="F1118" s="261"/>
      <c r="H1118" s="267"/>
    </row>
    <row r="1119" spans="3:8">
      <c r="C1119" s="261"/>
      <c r="F1119" s="261"/>
      <c r="H1119" s="267"/>
    </row>
    <row r="1120" spans="3:8">
      <c r="C1120" s="261"/>
      <c r="F1120" s="261"/>
      <c r="H1120" s="267"/>
    </row>
    <row r="1121" spans="3:8">
      <c r="C1121" s="261"/>
      <c r="F1121" s="261"/>
      <c r="H1121" s="267"/>
    </row>
    <row r="1122" spans="3:8">
      <c r="C1122" s="261"/>
      <c r="F1122" s="261"/>
      <c r="H1122" s="267"/>
    </row>
    <row r="1123" spans="3:8">
      <c r="C1123" s="261"/>
      <c r="F1123" s="261"/>
      <c r="H1123" s="267"/>
    </row>
    <row r="1124" spans="3:8">
      <c r="C1124" s="261"/>
      <c r="F1124" s="261"/>
      <c r="H1124" s="267"/>
    </row>
    <row r="1125" spans="3:8">
      <c r="C1125" s="261"/>
      <c r="F1125" s="261"/>
      <c r="H1125" s="267"/>
    </row>
    <row r="1126" spans="3:8">
      <c r="C1126" s="261"/>
      <c r="F1126" s="261"/>
      <c r="H1126" s="267"/>
    </row>
    <row r="1127" spans="3:8">
      <c r="C1127" s="261"/>
      <c r="F1127" s="261"/>
      <c r="H1127" s="267"/>
    </row>
    <row r="1128" spans="3:8">
      <c r="C1128" s="261"/>
      <c r="F1128" s="261"/>
      <c r="H1128" s="267"/>
    </row>
    <row r="1129" spans="3:8">
      <c r="C1129" s="261"/>
      <c r="F1129" s="261"/>
      <c r="H1129" s="267"/>
    </row>
    <row r="1130" spans="3:8">
      <c r="C1130" s="261"/>
      <c r="F1130" s="261"/>
      <c r="H1130" s="267"/>
    </row>
    <row r="1131" spans="3:8">
      <c r="C1131" s="261"/>
      <c r="F1131" s="261"/>
      <c r="H1131" s="267"/>
    </row>
    <row r="1132" spans="3:8">
      <c r="C1132" s="261"/>
      <c r="F1132" s="261"/>
      <c r="H1132" s="267"/>
    </row>
    <row r="1133" spans="3:8">
      <c r="C1133" s="261"/>
      <c r="F1133" s="261"/>
      <c r="H1133" s="267"/>
    </row>
    <row r="1134" spans="3:8">
      <c r="C1134" s="261"/>
      <c r="F1134" s="261"/>
      <c r="H1134" s="267"/>
    </row>
    <row r="1135" spans="3:8">
      <c r="C1135" s="261"/>
      <c r="F1135" s="261"/>
      <c r="H1135" s="267"/>
    </row>
    <row r="1136" spans="3:8">
      <c r="C1136" s="261"/>
      <c r="F1136" s="261"/>
      <c r="H1136" s="267"/>
    </row>
    <row r="1137" spans="3:8">
      <c r="C1137" s="261"/>
      <c r="F1137" s="261"/>
      <c r="H1137" s="267"/>
    </row>
    <row r="1138" spans="3:8">
      <c r="C1138" s="261"/>
      <c r="F1138" s="261"/>
      <c r="H1138" s="267"/>
    </row>
    <row r="1139" spans="3:8">
      <c r="C1139" s="261"/>
      <c r="F1139" s="261"/>
      <c r="H1139" s="267"/>
    </row>
    <row r="1140" spans="3:8">
      <c r="C1140" s="261"/>
      <c r="F1140" s="261"/>
      <c r="H1140" s="267"/>
    </row>
    <row r="1141" spans="3:8">
      <c r="C1141" s="261"/>
      <c r="F1141" s="261"/>
      <c r="H1141" s="267"/>
    </row>
    <row r="1142" spans="3:8">
      <c r="C1142" s="261"/>
      <c r="F1142" s="261"/>
      <c r="H1142" s="267"/>
    </row>
    <row r="1143" spans="3:8">
      <c r="C1143" s="261"/>
      <c r="F1143" s="261"/>
      <c r="H1143" s="267"/>
    </row>
    <row r="1144" spans="3:8">
      <c r="C1144" s="261"/>
      <c r="F1144" s="261"/>
      <c r="H1144" s="267"/>
    </row>
    <row r="1145" spans="3:8">
      <c r="C1145" s="261"/>
      <c r="F1145" s="261"/>
      <c r="H1145" s="267"/>
    </row>
    <row r="1146" spans="3:8">
      <c r="C1146" s="261"/>
      <c r="F1146" s="261"/>
      <c r="H1146" s="267"/>
    </row>
    <row r="1147" spans="3:8">
      <c r="C1147" s="261"/>
      <c r="F1147" s="261"/>
      <c r="H1147" s="267"/>
    </row>
    <row r="1148" spans="3:8">
      <c r="C1148" s="261"/>
      <c r="F1148" s="261"/>
      <c r="H1148" s="267"/>
    </row>
    <row r="1149" spans="3:8">
      <c r="C1149" s="261"/>
      <c r="F1149" s="261"/>
      <c r="H1149" s="267"/>
    </row>
    <row r="1150" spans="3:8">
      <c r="C1150" s="261"/>
      <c r="F1150" s="261"/>
      <c r="H1150" s="267"/>
    </row>
    <row r="1151" spans="3:8">
      <c r="C1151" s="261"/>
      <c r="F1151" s="261"/>
      <c r="H1151" s="267"/>
    </row>
    <row r="1152" spans="3:8">
      <c r="C1152" s="261"/>
      <c r="F1152" s="261"/>
      <c r="H1152" s="267"/>
    </row>
    <row r="1153" spans="3:8">
      <c r="C1153" s="261"/>
      <c r="F1153" s="261"/>
      <c r="H1153" s="267"/>
    </row>
    <row r="1154" spans="3:8">
      <c r="C1154" s="261"/>
      <c r="F1154" s="261"/>
      <c r="H1154" s="267"/>
    </row>
    <row r="1155" spans="3:8">
      <c r="C1155" s="261"/>
      <c r="F1155" s="261"/>
      <c r="H1155" s="267"/>
    </row>
    <row r="1156" spans="3:8">
      <c r="C1156" s="261"/>
      <c r="F1156" s="261"/>
      <c r="H1156" s="267"/>
    </row>
    <row r="1157" spans="3:8">
      <c r="C1157" s="261"/>
      <c r="F1157" s="261"/>
      <c r="H1157" s="267"/>
    </row>
    <row r="1158" spans="3:8">
      <c r="C1158" s="261"/>
      <c r="F1158" s="261"/>
      <c r="H1158" s="267"/>
    </row>
    <row r="1159" spans="3:8">
      <c r="C1159" s="261"/>
      <c r="F1159" s="261"/>
      <c r="H1159" s="267"/>
    </row>
    <row r="1160" spans="3:8">
      <c r="C1160" s="261"/>
      <c r="F1160" s="261"/>
      <c r="H1160" s="267"/>
    </row>
    <row r="1161" spans="3:8">
      <c r="C1161" s="261"/>
      <c r="F1161" s="261"/>
      <c r="H1161" s="267"/>
    </row>
    <row r="1162" spans="3:8">
      <c r="C1162" s="261"/>
      <c r="F1162" s="261"/>
      <c r="H1162" s="267"/>
    </row>
    <row r="1163" spans="3:8">
      <c r="C1163" s="261"/>
      <c r="F1163" s="261"/>
      <c r="H1163" s="267"/>
    </row>
    <row r="1164" spans="3:8">
      <c r="C1164" s="261"/>
      <c r="F1164" s="261"/>
      <c r="H1164" s="267"/>
    </row>
    <row r="1165" spans="3:8">
      <c r="C1165" s="261"/>
      <c r="F1165" s="261"/>
      <c r="H1165" s="267"/>
    </row>
    <row r="1166" spans="3:8">
      <c r="C1166" s="261"/>
      <c r="F1166" s="261"/>
      <c r="H1166" s="267"/>
    </row>
    <row r="1167" spans="3:8">
      <c r="C1167" s="261"/>
      <c r="F1167" s="261"/>
      <c r="H1167" s="267"/>
    </row>
    <row r="1168" spans="3:8">
      <c r="C1168" s="261"/>
      <c r="F1168" s="261"/>
      <c r="H1168" s="267"/>
    </row>
    <row r="1169" spans="3:8">
      <c r="C1169" s="261"/>
      <c r="F1169" s="261"/>
      <c r="H1169" s="267"/>
    </row>
    <row r="1170" spans="3:8">
      <c r="C1170" s="261"/>
      <c r="F1170" s="261"/>
      <c r="H1170" s="267"/>
    </row>
    <row r="1171" spans="3:8">
      <c r="C1171" s="261"/>
      <c r="F1171" s="261"/>
      <c r="H1171" s="267"/>
    </row>
    <row r="1172" spans="3:8">
      <c r="C1172" s="261"/>
      <c r="F1172" s="261"/>
      <c r="H1172" s="267"/>
    </row>
    <row r="1173" spans="3:8">
      <c r="C1173" s="261"/>
      <c r="F1173" s="261"/>
      <c r="H1173" s="267"/>
    </row>
    <row r="1174" spans="3:8">
      <c r="C1174" s="261"/>
      <c r="F1174" s="261"/>
      <c r="H1174" s="267"/>
    </row>
    <row r="1175" spans="3:8">
      <c r="C1175" s="261"/>
      <c r="F1175" s="261"/>
      <c r="H1175" s="267"/>
    </row>
    <row r="1176" spans="3:8">
      <c r="C1176" s="261"/>
      <c r="F1176" s="261"/>
      <c r="H1176" s="267"/>
    </row>
    <row r="1177" spans="3:8">
      <c r="C1177" s="261"/>
      <c r="F1177" s="261"/>
      <c r="H1177" s="267"/>
    </row>
    <row r="1178" spans="3:8">
      <c r="C1178" s="261"/>
      <c r="F1178" s="261"/>
      <c r="H1178" s="267"/>
    </row>
    <row r="1179" spans="3:8">
      <c r="C1179" s="261"/>
      <c r="F1179" s="261"/>
      <c r="H1179" s="267"/>
    </row>
    <row r="1180" spans="3:8">
      <c r="C1180" s="261"/>
      <c r="F1180" s="261"/>
      <c r="H1180" s="267"/>
    </row>
    <row r="1181" spans="3:8">
      <c r="C1181" s="261"/>
      <c r="F1181" s="261"/>
      <c r="H1181" s="267"/>
    </row>
    <row r="1182" spans="3:8">
      <c r="C1182" s="261"/>
      <c r="F1182" s="261"/>
      <c r="H1182" s="267"/>
    </row>
    <row r="1183" spans="3:8">
      <c r="C1183" s="261"/>
      <c r="F1183" s="261"/>
      <c r="H1183" s="267"/>
    </row>
    <row r="1184" spans="3:8">
      <c r="C1184" s="261"/>
      <c r="F1184" s="261"/>
      <c r="H1184" s="267"/>
    </row>
    <row r="1185" spans="3:8">
      <c r="C1185" s="261"/>
      <c r="F1185" s="261"/>
      <c r="H1185" s="267"/>
    </row>
    <row r="1186" spans="3:8">
      <c r="C1186" s="261"/>
      <c r="F1186" s="261"/>
      <c r="H1186" s="267"/>
    </row>
    <row r="1187" spans="3:8">
      <c r="C1187" s="261"/>
      <c r="F1187" s="261"/>
      <c r="H1187" s="267"/>
    </row>
    <row r="1188" spans="3:8">
      <c r="C1188" s="261"/>
      <c r="F1188" s="261"/>
      <c r="H1188" s="267"/>
    </row>
    <row r="1189" spans="3:8">
      <c r="C1189" s="261"/>
      <c r="F1189" s="261"/>
      <c r="H1189" s="267"/>
    </row>
    <row r="1190" spans="3:8">
      <c r="C1190" s="261"/>
      <c r="F1190" s="261"/>
      <c r="H1190" s="267"/>
    </row>
    <row r="1191" spans="3:8">
      <c r="C1191" s="261"/>
      <c r="F1191" s="261"/>
      <c r="H1191" s="267"/>
    </row>
    <row r="1192" spans="3:8">
      <c r="C1192" s="261"/>
      <c r="F1192" s="261"/>
      <c r="H1192" s="267"/>
    </row>
    <row r="1193" spans="3:8">
      <c r="C1193" s="261"/>
      <c r="F1193" s="261"/>
      <c r="H1193" s="267"/>
    </row>
    <row r="1194" spans="3:8">
      <c r="C1194" s="261"/>
      <c r="F1194" s="261"/>
      <c r="H1194" s="267"/>
    </row>
    <row r="1195" spans="3:8">
      <c r="C1195" s="261"/>
      <c r="F1195" s="261"/>
      <c r="H1195" s="267"/>
    </row>
    <row r="1196" spans="3:8">
      <c r="C1196" s="261"/>
      <c r="F1196" s="261"/>
      <c r="H1196" s="267"/>
    </row>
    <row r="1197" spans="3:8">
      <c r="C1197" s="261"/>
      <c r="F1197" s="261"/>
      <c r="H1197" s="267"/>
    </row>
    <row r="1198" spans="3:8">
      <c r="C1198" s="261"/>
      <c r="F1198" s="261"/>
      <c r="H1198" s="267"/>
    </row>
    <row r="1199" spans="3:8">
      <c r="C1199" s="261"/>
      <c r="F1199" s="261"/>
      <c r="H1199" s="267"/>
    </row>
    <row r="1200" spans="3:8">
      <c r="C1200" s="261"/>
      <c r="F1200" s="261"/>
      <c r="H1200" s="267"/>
    </row>
    <row r="1201" spans="3:8">
      <c r="C1201" s="261"/>
      <c r="F1201" s="261"/>
      <c r="H1201" s="267"/>
    </row>
    <row r="1202" spans="3:8">
      <c r="C1202" s="261"/>
      <c r="F1202" s="261"/>
      <c r="H1202" s="267"/>
    </row>
    <row r="1203" spans="3:8">
      <c r="C1203" s="261"/>
      <c r="F1203" s="261"/>
      <c r="H1203" s="267"/>
    </row>
    <row r="1204" spans="3:8">
      <c r="C1204" s="261"/>
      <c r="F1204" s="261"/>
      <c r="H1204" s="267"/>
    </row>
    <row r="1205" spans="3:8">
      <c r="C1205" s="261"/>
      <c r="F1205" s="261"/>
      <c r="H1205" s="267"/>
    </row>
    <row r="1206" spans="3:8">
      <c r="C1206" s="261"/>
      <c r="F1206" s="261"/>
    </row>
    <row r="1207" spans="3:8">
      <c r="C1207" s="261"/>
      <c r="F1207" s="261"/>
    </row>
    <row r="1208" spans="3:8">
      <c r="C1208" s="261"/>
      <c r="F1208" s="261"/>
    </row>
    <row r="1209" spans="3:8">
      <c r="C1209" s="261"/>
      <c r="F1209" s="261"/>
    </row>
    <row r="1210" spans="3:8">
      <c r="C1210" s="261"/>
      <c r="F1210" s="261"/>
    </row>
    <row r="1211" spans="3:8">
      <c r="C1211" s="261"/>
      <c r="F1211" s="261"/>
    </row>
    <row r="1212" spans="3:8">
      <c r="C1212" s="261"/>
      <c r="F1212" s="261"/>
    </row>
    <row r="1213" spans="3:8">
      <c r="C1213" s="261"/>
      <c r="F1213" s="261"/>
    </row>
    <row r="1214" spans="3:8">
      <c r="C1214" s="261"/>
      <c r="F1214" s="261"/>
    </row>
    <row r="1215" spans="3:8">
      <c r="C1215" s="261"/>
      <c r="F1215" s="261"/>
    </row>
    <row r="1216" spans="3:8">
      <c r="F1216" s="261"/>
    </row>
    <row r="1217" spans="6:6">
      <c r="F1217" s="261"/>
    </row>
    <row r="1218" spans="6:6">
      <c r="F1218" s="261"/>
    </row>
    <row r="1219" spans="6:6">
      <c r="F1219" s="261"/>
    </row>
    <row r="1220" spans="6:6">
      <c r="F1220" s="261"/>
    </row>
    <row r="1221" spans="6:6">
      <c r="F1221" s="261"/>
    </row>
    <row r="1222" spans="6:6">
      <c r="F1222" s="261"/>
    </row>
    <row r="1223" spans="6:6">
      <c r="F1223" s="261"/>
    </row>
    <row r="1224" spans="6:6">
      <c r="F1224" s="261"/>
    </row>
    <row r="1225" spans="6:6">
      <c r="F1225" s="261"/>
    </row>
    <row r="1226" spans="6:6">
      <c r="F1226" s="261"/>
    </row>
    <row r="1227" spans="6:6">
      <c r="F1227" s="261"/>
    </row>
    <row r="1228" spans="6:6">
      <c r="F1228" s="261"/>
    </row>
    <row r="1229" spans="6:6">
      <c r="F1229" s="261"/>
    </row>
    <row r="1230" spans="6:6">
      <c r="F1230" s="261"/>
    </row>
    <row r="1231" spans="6:6">
      <c r="F1231" s="261"/>
    </row>
    <row r="1232" spans="6:6">
      <c r="F1232" s="261"/>
    </row>
    <row r="1233" spans="6:6">
      <c r="F1233" s="261"/>
    </row>
    <row r="1234" spans="6:6">
      <c r="F1234" s="261"/>
    </row>
    <row r="1235" spans="6:6">
      <c r="F1235" s="261"/>
    </row>
    <row r="1236" spans="6:6">
      <c r="F1236" s="261"/>
    </row>
    <row r="1237" spans="6:6">
      <c r="F1237" s="261"/>
    </row>
    <row r="1238" spans="6:6">
      <c r="F1238" s="261"/>
    </row>
    <row r="1239" spans="6:6">
      <c r="F1239" s="261"/>
    </row>
    <row r="1240" spans="6:6">
      <c r="F1240" s="261"/>
    </row>
    <row r="1241" spans="6:6">
      <c r="F1241" s="261"/>
    </row>
    <row r="1242" spans="6:6">
      <c r="F1242" s="261"/>
    </row>
    <row r="1243" spans="6:6">
      <c r="F1243" s="261"/>
    </row>
    <row r="1244" spans="6:6">
      <c r="F1244" s="261"/>
    </row>
    <row r="1245" spans="6:6">
      <c r="F1245" s="261"/>
    </row>
    <row r="1246" spans="6:6">
      <c r="F1246" s="261"/>
    </row>
    <row r="1247" spans="6:6">
      <c r="F1247" s="261"/>
    </row>
    <row r="1248" spans="6:6">
      <c r="F1248" s="261"/>
    </row>
    <row r="1249" spans="6:6">
      <c r="F1249" s="261"/>
    </row>
    <row r="1250" spans="6:6">
      <c r="F1250" s="261"/>
    </row>
    <row r="1251" spans="6:6">
      <c r="F1251" s="261"/>
    </row>
    <row r="1252" spans="6:6">
      <c r="F1252" s="261"/>
    </row>
    <row r="1253" spans="6:6">
      <c r="F1253" s="261"/>
    </row>
    <row r="1254" spans="6:6">
      <c r="F1254" s="261"/>
    </row>
    <row r="1255" spans="6:6">
      <c r="F1255" s="261"/>
    </row>
    <row r="1256" spans="6:6">
      <c r="F1256" s="261"/>
    </row>
    <row r="1257" spans="6:6">
      <c r="F1257" s="261"/>
    </row>
    <row r="1258" spans="6:6">
      <c r="F1258" s="261"/>
    </row>
    <row r="1259" spans="6:6">
      <c r="F1259" s="261"/>
    </row>
    <row r="1260" spans="6:6">
      <c r="F1260" s="261"/>
    </row>
    <row r="1261" spans="6:6">
      <c r="F1261" s="261"/>
    </row>
    <row r="1262" spans="6:6">
      <c r="F1262" s="261"/>
    </row>
    <row r="1263" spans="6:6">
      <c r="F1263" s="261"/>
    </row>
    <row r="1264" spans="6:6">
      <c r="F1264" s="261"/>
    </row>
    <row r="1265" spans="6:6">
      <c r="F1265" s="261"/>
    </row>
    <row r="1266" spans="6:6">
      <c r="F1266" s="261"/>
    </row>
    <row r="1267" spans="6:6">
      <c r="F1267" s="261"/>
    </row>
    <row r="1268" spans="6:6">
      <c r="F1268" s="261"/>
    </row>
    <row r="1269" spans="6:6">
      <c r="F1269" s="261"/>
    </row>
    <row r="1270" spans="6:6">
      <c r="F1270" s="261"/>
    </row>
    <row r="1271" spans="6:6">
      <c r="F1271" s="261"/>
    </row>
    <row r="1272" spans="6:6">
      <c r="F1272" s="261"/>
    </row>
    <row r="1273" spans="6:6">
      <c r="F1273" s="261"/>
    </row>
    <row r="1274" spans="6:6">
      <c r="F1274" s="261"/>
    </row>
    <row r="1275" spans="6:6">
      <c r="F1275" s="261"/>
    </row>
    <row r="1276" spans="6:6">
      <c r="F1276" s="261"/>
    </row>
    <row r="1277" spans="6:6">
      <c r="F1277" s="261"/>
    </row>
    <row r="1278" spans="6:6">
      <c r="F1278" s="261"/>
    </row>
    <row r="1279" spans="6:6">
      <c r="F1279" s="261"/>
    </row>
    <row r="1280" spans="6:6">
      <c r="F1280" s="261"/>
    </row>
    <row r="1281" spans="6:6">
      <c r="F1281" s="261"/>
    </row>
    <row r="1282" spans="6:6">
      <c r="F1282" s="261"/>
    </row>
    <row r="1283" spans="6:6">
      <c r="F1283" s="261"/>
    </row>
    <row r="1284" spans="6:6">
      <c r="F1284" s="261"/>
    </row>
    <row r="1285" spans="6:6">
      <c r="F1285" s="261"/>
    </row>
    <row r="1286" spans="6:6">
      <c r="F1286" s="261"/>
    </row>
    <row r="1287" spans="6:6">
      <c r="F1287" s="261"/>
    </row>
    <row r="1288" spans="6:6">
      <c r="F1288" s="261"/>
    </row>
    <row r="1289" spans="6:6">
      <c r="F1289" s="261"/>
    </row>
    <row r="1290" spans="6:6">
      <c r="F1290" s="261"/>
    </row>
    <row r="1291" spans="6:6">
      <c r="F1291" s="261"/>
    </row>
    <row r="1292" spans="6:6">
      <c r="F1292" s="261"/>
    </row>
    <row r="1293" spans="6:6">
      <c r="F1293" s="261"/>
    </row>
    <row r="1294" spans="6:6">
      <c r="F1294" s="261"/>
    </row>
    <row r="1295" spans="6:6">
      <c r="F1295" s="261"/>
    </row>
    <row r="1296" spans="6:6">
      <c r="F1296" s="261"/>
    </row>
    <row r="1297" spans="6:6">
      <c r="F1297" s="261"/>
    </row>
    <row r="1298" spans="6:6">
      <c r="F1298" s="261"/>
    </row>
    <row r="1299" spans="6:6">
      <c r="F1299" s="261"/>
    </row>
    <row r="1300" spans="6:6">
      <c r="F1300" s="261"/>
    </row>
    <row r="1301" spans="6:6">
      <c r="F1301" s="261"/>
    </row>
    <row r="1302" spans="6:6">
      <c r="F1302" s="261"/>
    </row>
    <row r="1303" spans="6:6">
      <c r="F1303" s="261"/>
    </row>
    <row r="1304" spans="6:6">
      <c r="F1304" s="261"/>
    </row>
    <row r="1305" spans="6:6">
      <c r="F1305" s="261"/>
    </row>
    <row r="1306" spans="6:6">
      <c r="F1306" s="261"/>
    </row>
    <row r="1307" spans="6:6">
      <c r="F1307" s="261"/>
    </row>
    <row r="1308" spans="6:6">
      <c r="F1308" s="261"/>
    </row>
    <row r="1309" spans="6:6">
      <c r="F1309" s="261"/>
    </row>
    <row r="1310" spans="6:6">
      <c r="F1310" s="261"/>
    </row>
    <row r="1311" spans="6:6">
      <c r="F1311" s="261"/>
    </row>
    <row r="1312" spans="6:6">
      <c r="F1312" s="261"/>
    </row>
    <row r="1313" spans="6:6">
      <c r="F1313" s="261"/>
    </row>
    <row r="1314" spans="6:6">
      <c r="F1314" s="261"/>
    </row>
    <row r="1315" spans="6:6">
      <c r="F1315" s="261"/>
    </row>
    <row r="1316" spans="6:6">
      <c r="F1316" s="261"/>
    </row>
    <row r="1317" spans="6:6">
      <c r="F1317" s="261"/>
    </row>
    <row r="1318" spans="6:6">
      <c r="F1318" s="261"/>
    </row>
    <row r="1319" spans="6:6">
      <c r="F1319" s="261"/>
    </row>
    <row r="1320" spans="6:6">
      <c r="F1320" s="261"/>
    </row>
    <row r="1321" spans="6:6">
      <c r="F1321" s="261"/>
    </row>
    <row r="1322" spans="6:6">
      <c r="F1322" s="261"/>
    </row>
    <row r="1323" spans="6:6">
      <c r="F1323" s="261"/>
    </row>
    <row r="1324" spans="6:6">
      <c r="F1324" s="261"/>
    </row>
    <row r="1325" spans="6:6">
      <c r="F1325" s="261"/>
    </row>
    <row r="1326" spans="6:6">
      <c r="F1326" s="261"/>
    </row>
    <row r="1327" spans="6:6">
      <c r="F1327" s="261"/>
    </row>
    <row r="1328" spans="6:6">
      <c r="F1328" s="261"/>
    </row>
    <row r="1329" spans="6:6">
      <c r="F1329" s="261"/>
    </row>
    <row r="1330" spans="6:6">
      <c r="F1330" s="261"/>
    </row>
    <row r="1331" spans="6:6">
      <c r="F1331" s="261"/>
    </row>
    <row r="1332" spans="6:6">
      <c r="F1332" s="261"/>
    </row>
    <row r="1333" spans="6:6">
      <c r="F1333" s="261"/>
    </row>
    <row r="1334" spans="6:6">
      <c r="F1334" s="261"/>
    </row>
    <row r="1335" spans="6:6">
      <c r="F1335" s="261"/>
    </row>
    <row r="1336" spans="6:6">
      <c r="F1336" s="261"/>
    </row>
    <row r="1337" spans="6:6">
      <c r="F1337" s="261"/>
    </row>
    <row r="1338" spans="6:6">
      <c r="F1338" s="261"/>
    </row>
    <row r="1339" spans="6:6">
      <c r="F1339" s="261"/>
    </row>
    <row r="1340" spans="6:6">
      <c r="F1340" s="261"/>
    </row>
    <row r="1341" spans="6:6">
      <c r="F1341" s="261"/>
    </row>
    <row r="1342" spans="6:6">
      <c r="F1342" s="261"/>
    </row>
    <row r="1343" spans="6:6">
      <c r="F1343" s="261"/>
    </row>
    <row r="1344" spans="6:6">
      <c r="F1344" s="261"/>
    </row>
    <row r="1345" spans="6:6">
      <c r="F1345" s="261"/>
    </row>
    <row r="1346" spans="6:6">
      <c r="F1346" s="261"/>
    </row>
    <row r="1347" spans="6:6">
      <c r="F1347" s="261"/>
    </row>
    <row r="1348" spans="6:6">
      <c r="F1348" s="261"/>
    </row>
    <row r="1349" spans="6:6">
      <c r="F1349" s="261"/>
    </row>
    <row r="1350" spans="6:6">
      <c r="F1350" s="261"/>
    </row>
    <row r="1351" spans="6:6">
      <c r="F1351" s="261"/>
    </row>
    <row r="1352" spans="6:6">
      <c r="F1352" s="261"/>
    </row>
    <row r="1353" spans="6:6">
      <c r="F1353" s="261"/>
    </row>
    <row r="1354" spans="6:6">
      <c r="F1354" s="261"/>
    </row>
    <row r="1355" spans="6:6">
      <c r="F1355" s="261"/>
    </row>
    <row r="1356" spans="6:6">
      <c r="F1356" s="261"/>
    </row>
    <row r="1357" spans="6:6">
      <c r="F1357" s="261"/>
    </row>
    <row r="1358" spans="6:6">
      <c r="F1358" s="261"/>
    </row>
    <row r="1359" spans="6:6">
      <c r="F1359" s="261"/>
    </row>
    <row r="1360" spans="6:6">
      <c r="F1360" s="261"/>
    </row>
    <row r="1361" spans="6:6">
      <c r="F1361" s="261"/>
    </row>
    <row r="1362" spans="6:6">
      <c r="F1362" s="261"/>
    </row>
    <row r="1363" spans="6:6">
      <c r="F1363" s="261"/>
    </row>
    <row r="1364" spans="6:6">
      <c r="F1364" s="261"/>
    </row>
    <row r="1365" spans="6:6">
      <c r="F1365" s="261"/>
    </row>
    <row r="1366" spans="6:6">
      <c r="F1366" s="261"/>
    </row>
    <row r="1367" spans="6:6">
      <c r="F1367" s="261"/>
    </row>
    <row r="1368" spans="6:6">
      <c r="F1368" s="261"/>
    </row>
    <row r="1369" spans="6:6">
      <c r="F1369" s="261"/>
    </row>
    <row r="1370" spans="6:6">
      <c r="F1370" s="261"/>
    </row>
    <row r="1371" spans="6:6">
      <c r="F1371" s="261"/>
    </row>
    <row r="1372" spans="6:6">
      <c r="F1372" s="261"/>
    </row>
    <row r="1373" spans="6:6">
      <c r="F1373" s="261"/>
    </row>
    <row r="1374" spans="6:6">
      <c r="F1374" s="261"/>
    </row>
    <row r="1375" spans="6:6">
      <c r="F1375" s="261"/>
    </row>
    <row r="1376" spans="6:6">
      <c r="F1376" s="261"/>
    </row>
    <row r="1377" spans="6:6">
      <c r="F1377" s="261"/>
    </row>
    <row r="1378" spans="6:6">
      <c r="F1378" s="261"/>
    </row>
    <row r="1379" spans="6:6">
      <c r="F1379" s="261"/>
    </row>
    <row r="1380" spans="6:6">
      <c r="F1380" s="261"/>
    </row>
    <row r="1381" spans="6:6">
      <c r="F1381" s="261"/>
    </row>
    <row r="1382" spans="6:6">
      <c r="F1382" s="261"/>
    </row>
    <row r="1383" spans="6:6">
      <c r="F1383" s="261"/>
    </row>
    <row r="1384" spans="6:6">
      <c r="F1384" s="261"/>
    </row>
    <row r="1385" spans="6:6">
      <c r="F1385" s="261"/>
    </row>
    <row r="1386" spans="6:6">
      <c r="F1386" s="261"/>
    </row>
    <row r="1387" spans="6:6">
      <c r="F1387" s="261"/>
    </row>
    <row r="1388" spans="6:6">
      <c r="F1388" s="261"/>
    </row>
    <row r="1389" spans="6:6">
      <c r="F1389" s="261"/>
    </row>
    <row r="1390" spans="6:6">
      <c r="F1390" s="261"/>
    </row>
    <row r="1391" spans="6:6">
      <c r="F1391" s="261"/>
    </row>
    <row r="1392" spans="6:6">
      <c r="F1392" s="261"/>
    </row>
    <row r="1393" spans="6:6">
      <c r="F1393" s="261"/>
    </row>
    <row r="1394" spans="6:6">
      <c r="F1394" s="261"/>
    </row>
    <row r="1395" spans="6:6">
      <c r="F1395" s="261"/>
    </row>
    <row r="1396" spans="6:6">
      <c r="F1396" s="261"/>
    </row>
    <row r="1397" spans="6:6">
      <c r="F1397" s="261"/>
    </row>
    <row r="1398" spans="6:6">
      <c r="F1398" s="261"/>
    </row>
    <row r="1399" spans="6:6">
      <c r="F1399" s="261"/>
    </row>
    <row r="1400" spans="6:6">
      <c r="F1400" s="261"/>
    </row>
    <row r="1401" spans="6:6">
      <c r="F1401" s="261"/>
    </row>
    <row r="1402" spans="6:6">
      <c r="F1402" s="261"/>
    </row>
    <row r="1403" spans="6:6">
      <c r="F1403" s="261"/>
    </row>
    <row r="1404" spans="6:6">
      <c r="F1404" s="261"/>
    </row>
    <row r="1405" spans="6:6">
      <c r="F1405" s="261"/>
    </row>
    <row r="1406" spans="6:6">
      <c r="F1406" s="261"/>
    </row>
    <row r="1407" spans="6:6">
      <c r="F1407" s="261"/>
    </row>
    <row r="1408" spans="6:6">
      <c r="F1408" s="261"/>
    </row>
    <row r="1409" spans="6:6">
      <c r="F1409" s="261"/>
    </row>
    <row r="1410" spans="6:6">
      <c r="F1410" s="261"/>
    </row>
    <row r="1411" spans="6:6">
      <c r="F1411" s="261"/>
    </row>
    <row r="1412" spans="6:6">
      <c r="F1412" s="261"/>
    </row>
    <row r="1413" spans="6:6">
      <c r="F1413" s="261"/>
    </row>
    <row r="1414" spans="6:6">
      <c r="F1414" s="261"/>
    </row>
    <row r="1415" spans="6:6">
      <c r="F1415" s="261"/>
    </row>
    <row r="1416" spans="6:6">
      <c r="F1416" s="261"/>
    </row>
    <row r="1417" spans="6:6">
      <c r="F1417" s="261"/>
    </row>
    <row r="1418" spans="6:6">
      <c r="F1418" s="261"/>
    </row>
    <row r="1419" spans="6:6">
      <c r="F1419" s="261"/>
    </row>
    <row r="1420" spans="6:6">
      <c r="F1420" s="261"/>
    </row>
    <row r="1421" spans="6:6">
      <c r="F1421" s="261"/>
    </row>
    <row r="1422" spans="6:6">
      <c r="F1422" s="261"/>
    </row>
    <row r="1423" spans="6:6">
      <c r="F1423" s="261"/>
    </row>
    <row r="1424" spans="6:6">
      <c r="F1424" s="261"/>
    </row>
    <row r="1425" spans="6:6">
      <c r="F1425" s="261"/>
    </row>
    <row r="1426" spans="6:6">
      <c r="F1426" s="261"/>
    </row>
    <row r="1427" spans="6:6">
      <c r="F1427" s="261"/>
    </row>
    <row r="1428" spans="6:6">
      <c r="F1428" s="261"/>
    </row>
    <row r="1429" spans="6:6">
      <c r="F1429" s="261"/>
    </row>
    <row r="1430" spans="6:6">
      <c r="F1430" s="261"/>
    </row>
    <row r="1431" spans="6:6">
      <c r="F1431" s="261"/>
    </row>
    <row r="1432" spans="6:6">
      <c r="F1432" s="261"/>
    </row>
    <row r="1433" spans="6:6">
      <c r="F1433" s="261"/>
    </row>
    <row r="1434" spans="6:6">
      <c r="F1434" s="261"/>
    </row>
    <row r="1435" spans="6:6">
      <c r="F1435" s="261"/>
    </row>
    <row r="1436" spans="6:6">
      <c r="F1436" s="261"/>
    </row>
    <row r="1437" spans="6:6">
      <c r="F1437" s="261"/>
    </row>
    <row r="1438" spans="6:6">
      <c r="F1438" s="261"/>
    </row>
    <row r="1439" spans="6:6">
      <c r="F1439" s="261"/>
    </row>
    <row r="1440" spans="6:6">
      <c r="F1440" s="261"/>
    </row>
    <row r="1441" spans="6:6">
      <c r="F1441" s="261"/>
    </row>
    <row r="1442" spans="6:6">
      <c r="F1442" s="261"/>
    </row>
    <row r="1443" spans="6:6">
      <c r="F1443" s="261"/>
    </row>
    <row r="1444" spans="6:6">
      <c r="F1444" s="261"/>
    </row>
    <row r="1445" spans="6:6">
      <c r="F1445" s="261"/>
    </row>
    <row r="1446" spans="6:6">
      <c r="F1446" s="261"/>
    </row>
    <row r="1447" spans="6:6">
      <c r="F1447" s="261"/>
    </row>
    <row r="1448" spans="6:6">
      <c r="F1448" s="261"/>
    </row>
    <row r="1449" spans="6:6">
      <c r="F1449" s="261"/>
    </row>
    <row r="1450" spans="6:6">
      <c r="F1450" s="261"/>
    </row>
    <row r="1451" spans="6:6">
      <c r="F1451" s="261"/>
    </row>
    <row r="1452" spans="6:6">
      <c r="F1452" s="261"/>
    </row>
    <row r="1453" spans="6:6">
      <c r="F1453" s="261"/>
    </row>
    <row r="1454" spans="6:6">
      <c r="F1454" s="261"/>
    </row>
    <row r="1455" spans="6:6">
      <c r="F1455" s="261"/>
    </row>
    <row r="1456" spans="6:6">
      <c r="F1456" s="261"/>
    </row>
    <row r="1457" spans="6:6">
      <c r="F1457" s="261"/>
    </row>
    <row r="1458" spans="6:6">
      <c r="F1458" s="261"/>
    </row>
    <row r="1459" spans="6:6">
      <c r="F1459" s="261"/>
    </row>
    <row r="1460" spans="6:6">
      <c r="F1460" s="261"/>
    </row>
    <row r="1461" spans="6:6">
      <c r="F1461" s="261"/>
    </row>
    <row r="1462" spans="6:6">
      <c r="F1462" s="261"/>
    </row>
    <row r="1463" spans="6:6">
      <c r="F1463" s="261"/>
    </row>
    <row r="1464" spans="6:6">
      <c r="F1464" s="261"/>
    </row>
    <row r="1465" spans="6:6">
      <c r="F1465" s="261"/>
    </row>
    <row r="1466" spans="6:6">
      <c r="F1466" s="261"/>
    </row>
    <row r="1467" spans="6:6">
      <c r="F1467" s="261"/>
    </row>
    <row r="1468" spans="6:6">
      <c r="F1468" s="261"/>
    </row>
    <row r="1469" spans="6:6">
      <c r="F1469" s="261"/>
    </row>
    <row r="1470" spans="6:6">
      <c r="F1470" s="261"/>
    </row>
    <row r="1471" spans="6:6">
      <c r="F1471" s="261"/>
    </row>
    <row r="1472" spans="6:6">
      <c r="F1472" s="261"/>
    </row>
    <row r="1473" spans="6:6">
      <c r="F1473" s="261"/>
    </row>
    <row r="1474" spans="6:6">
      <c r="F1474" s="261"/>
    </row>
    <row r="1475" spans="6:6">
      <c r="F1475" s="261"/>
    </row>
    <row r="1476" spans="6:6">
      <c r="F1476" s="261"/>
    </row>
    <row r="1477" spans="6:6">
      <c r="F1477" s="261"/>
    </row>
    <row r="1478" spans="6:6">
      <c r="F1478" s="261"/>
    </row>
    <row r="1479" spans="6:6">
      <c r="F1479" s="261"/>
    </row>
    <row r="1480" spans="6:6">
      <c r="F1480" s="261"/>
    </row>
    <row r="1481" spans="6:6">
      <c r="F1481" s="261"/>
    </row>
    <row r="1482" spans="6:6">
      <c r="F1482" s="261"/>
    </row>
    <row r="1483" spans="6:6">
      <c r="F1483" s="261"/>
    </row>
    <row r="1484" spans="6:6">
      <c r="F1484" s="261"/>
    </row>
    <row r="1485" spans="6:6">
      <c r="F1485" s="261"/>
    </row>
    <row r="1486" spans="6:6">
      <c r="F1486" s="261"/>
    </row>
    <row r="1487" spans="6:6">
      <c r="F1487" s="261"/>
    </row>
    <row r="1488" spans="6:6">
      <c r="F1488" s="261"/>
    </row>
    <row r="1489" spans="6:6">
      <c r="F1489" s="261"/>
    </row>
    <row r="1490" spans="6:6">
      <c r="F1490" s="261"/>
    </row>
    <row r="1491" spans="6:6">
      <c r="F1491" s="261"/>
    </row>
    <row r="1492" spans="6:6">
      <c r="F1492" s="261"/>
    </row>
    <row r="1493" spans="6:6">
      <c r="F1493" s="261"/>
    </row>
    <row r="1494" spans="6:6">
      <c r="F1494" s="261"/>
    </row>
    <row r="1495" spans="6:6">
      <c r="F1495" s="261"/>
    </row>
    <row r="1496" spans="6:6">
      <c r="F1496" s="261"/>
    </row>
    <row r="1497" spans="6:6">
      <c r="F1497" s="261"/>
    </row>
    <row r="1498" spans="6:6">
      <c r="F1498" s="261"/>
    </row>
    <row r="1499" spans="6:6">
      <c r="F1499" s="261"/>
    </row>
    <row r="1500" spans="6:6">
      <c r="F1500" s="261"/>
    </row>
    <row r="1501" spans="6:6">
      <c r="F1501" s="261"/>
    </row>
    <row r="1502" spans="6:6">
      <c r="F1502" s="261"/>
    </row>
    <row r="1503" spans="6:6">
      <c r="F1503" s="261"/>
    </row>
    <row r="1504" spans="6:6">
      <c r="F1504" s="261"/>
    </row>
    <row r="1505" spans="6:6">
      <c r="F1505" s="261"/>
    </row>
    <row r="1506" spans="6:6">
      <c r="F1506" s="261"/>
    </row>
    <row r="1507" spans="6:6">
      <c r="F1507" s="261"/>
    </row>
    <row r="1508" spans="6:6">
      <c r="F1508" s="261"/>
    </row>
    <row r="1509" spans="6:6">
      <c r="F1509" s="261"/>
    </row>
    <row r="1510" spans="6:6">
      <c r="F1510" s="261"/>
    </row>
    <row r="1511" spans="6:6">
      <c r="F1511" s="261"/>
    </row>
    <row r="1512" spans="6:6">
      <c r="F1512" s="261"/>
    </row>
    <row r="1513" spans="6:6">
      <c r="F1513" s="261"/>
    </row>
    <row r="1514" spans="6:6">
      <c r="F1514" s="261"/>
    </row>
    <row r="1515" spans="6:6">
      <c r="F1515" s="261"/>
    </row>
    <row r="1516" spans="6:6">
      <c r="F1516" s="261"/>
    </row>
    <row r="1517" spans="6:6">
      <c r="F1517" s="261"/>
    </row>
    <row r="1518" spans="6:6">
      <c r="F1518" s="261"/>
    </row>
    <row r="1519" spans="6:6">
      <c r="F1519" s="261"/>
    </row>
    <row r="1520" spans="6:6">
      <c r="F1520" s="261"/>
    </row>
    <row r="1521" spans="6:6">
      <c r="F1521" s="261"/>
    </row>
    <row r="1522" spans="6:6">
      <c r="F1522" s="261"/>
    </row>
    <row r="1523" spans="6:6">
      <c r="F1523" s="261"/>
    </row>
    <row r="1524" spans="6:6">
      <c r="F1524" s="261"/>
    </row>
    <row r="1525" spans="6:6">
      <c r="F1525" s="261"/>
    </row>
    <row r="1526" spans="6:6">
      <c r="F1526" s="261"/>
    </row>
    <row r="1527" spans="6:6">
      <c r="F1527" s="261"/>
    </row>
    <row r="1528" spans="6:6">
      <c r="F1528" s="261"/>
    </row>
    <row r="1529" spans="6:6">
      <c r="F1529" s="261"/>
    </row>
    <row r="1530" spans="6:6">
      <c r="F1530" s="261"/>
    </row>
    <row r="1531" spans="6:6">
      <c r="F1531" s="261"/>
    </row>
    <row r="1532" spans="6:6">
      <c r="F1532" s="261"/>
    </row>
    <row r="1533" spans="6:6">
      <c r="F1533" s="261"/>
    </row>
    <row r="1534" spans="6:6">
      <c r="F1534" s="261"/>
    </row>
    <row r="1535" spans="6:6">
      <c r="F1535" s="261"/>
    </row>
    <row r="1536" spans="6:6">
      <c r="F1536" s="261"/>
    </row>
    <row r="1537" spans="6:6">
      <c r="F1537" s="261"/>
    </row>
    <row r="1538" spans="6:6">
      <c r="F1538" s="261"/>
    </row>
    <row r="1539" spans="6:6">
      <c r="F1539" s="261"/>
    </row>
    <row r="1540" spans="6:6">
      <c r="F1540" s="261"/>
    </row>
    <row r="1541" spans="6:6">
      <c r="F1541" s="261"/>
    </row>
    <row r="1542" spans="6:6">
      <c r="F1542" s="261"/>
    </row>
    <row r="1543" spans="6:6">
      <c r="F1543" s="261"/>
    </row>
    <row r="1544" spans="6:6">
      <c r="F1544" s="261"/>
    </row>
    <row r="1545" spans="6:6">
      <c r="F1545" s="261"/>
    </row>
    <row r="1546" spans="6:6">
      <c r="F1546" s="261"/>
    </row>
    <row r="1547" spans="6:6">
      <c r="F1547" s="261"/>
    </row>
    <row r="1548" spans="6:6">
      <c r="F1548" s="261"/>
    </row>
    <row r="1549" spans="6:6">
      <c r="F1549" s="261"/>
    </row>
    <row r="1550" spans="6:6">
      <c r="F1550" s="261"/>
    </row>
    <row r="1551" spans="6:6">
      <c r="F1551" s="261"/>
    </row>
    <row r="1552" spans="6:6">
      <c r="F1552" s="261"/>
    </row>
    <row r="1553" spans="6:6">
      <c r="F1553" s="261"/>
    </row>
    <row r="1554" spans="6:6">
      <c r="F1554" s="261"/>
    </row>
    <row r="1555" spans="6:6">
      <c r="F1555" s="261"/>
    </row>
    <row r="1556" spans="6:6">
      <c r="F1556" s="261"/>
    </row>
    <row r="1557" spans="6:6">
      <c r="F1557" s="261"/>
    </row>
    <row r="1558" spans="6:6">
      <c r="F1558" s="261"/>
    </row>
    <row r="1559" spans="6:6">
      <c r="F1559" s="261"/>
    </row>
    <row r="1560" spans="6:6">
      <c r="F1560" s="261"/>
    </row>
    <row r="1561" spans="6:6">
      <c r="F1561" s="261"/>
    </row>
    <row r="1562" spans="6:6">
      <c r="F1562" s="261"/>
    </row>
    <row r="1563" spans="6:6">
      <c r="F1563" s="261"/>
    </row>
    <row r="1564" spans="6:6">
      <c r="F1564" s="261"/>
    </row>
    <row r="1565" spans="6:6">
      <c r="F1565" s="261"/>
    </row>
    <row r="1566" spans="6:6">
      <c r="F1566" s="261"/>
    </row>
    <row r="1567" spans="6:6">
      <c r="F1567" s="261"/>
    </row>
    <row r="1568" spans="6:6">
      <c r="F1568" s="261"/>
    </row>
    <row r="1569" spans="6:6">
      <c r="F1569" s="261"/>
    </row>
    <row r="1570" spans="6:6">
      <c r="F1570" s="261"/>
    </row>
    <row r="1571" spans="6:6">
      <c r="F1571" s="261"/>
    </row>
    <row r="1572" spans="6:6">
      <c r="F1572" s="261"/>
    </row>
    <row r="1573" spans="6:6">
      <c r="F1573" s="261"/>
    </row>
    <row r="1574" spans="6:6">
      <c r="F1574" s="261"/>
    </row>
    <row r="1575" spans="6:6">
      <c r="F1575" s="261"/>
    </row>
    <row r="1576" spans="6:6">
      <c r="F1576" s="261"/>
    </row>
    <row r="1577" spans="6:6">
      <c r="F1577" s="261"/>
    </row>
    <row r="1578" spans="6:6">
      <c r="F1578" s="261"/>
    </row>
    <row r="1579" spans="6:6">
      <c r="F1579" s="261"/>
    </row>
    <row r="1580" spans="6:6">
      <c r="F1580" s="261"/>
    </row>
    <row r="1581" spans="6:6">
      <c r="F1581" s="261"/>
    </row>
    <row r="1582" spans="6:6">
      <c r="F1582" s="261"/>
    </row>
    <row r="1583" spans="6:6">
      <c r="F1583" s="261"/>
    </row>
    <row r="1584" spans="6:6">
      <c r="F1584" s="261"/>
    </row>
    <row r="1585" spans="6:6">
      <c r="F1585" s="261"/>
    </row>
    <row r="1586" spans="6:6">
      <c r="F1586" s="261"/>
    </row>
    <row r="1587" spans="6:6">
      <c r="F1587" s="261"/>
    </row>
    <row r="1588" spans="6:6">
      <c r="F1588" s="261"/>
    </row>
    <row r="1589" spans="6:6">
      <c r="F1589" s="261"/>
    </row>
    <row r="1590" spans="6:6">
      <c r="F1590" s="261"/>
    </row>
    <row r="1591" spans="6:6">
      <c r="F1591" s="261"/>
    </row>
    <row r="1592" spans="6:6">
      <c r="F1592" s="261"/>
    </row>
    <row r="1593" spans="6:6">
      <c r="F1593" s="261"/>
    </row>
    <row r="1594" spans="6:6">
      <c r="F1594" s="261"/>
    </row>
    <row r="1595" spans="6:6">
      <c r="F1595" s="261"/>
    </row>
    <row r="1596" spans="6:6">
      <c r="F1596" s="261"/>
    </row>
    <row r="1597" spans="6:6">
      <c r="F1597" s="261"/>
    </row>
    <row r="1598" spans="6:6">
      <c r="F1598" s="261"/>
    </row>
    <row r="1599" spans="6:6">
      <c r="F1599" s="261"/>
    </row>
    <row r="1600" spans="6:6">
      <c r="F1600" s="261"/>
    </row>
    <row r="1601" spans="6:6">
      <c r="F1601" s="261"/>
    </row>
    <row r="1602" spans="6:6">
      <c r="F1602" s="261"/>
    </row>
    <row r="1603" spans="6:6">
      <c r="F1603" s="261"/>
    </row>
    <row r="1604" spans="6:6">
      <c r="F1604" s="261"/>
    </row>
    <row r="1605" spans="6:6">
      <c r="F1605" s="261"/>
    </row>
    <row r="1606" spans="6:6">
      <c r="F1606" s="261"/>
    </row>
    <row r="1607" spans="6:6">
      <c r="F1607" s="261"/>
    </row>
    <row r="1608" spans="6:6">
      <c r="F1608" s="261"/>
    </row>
    <row r="1609" spans="6:6">
      <c r="F1609" s="261"/>
    </row>
    <row r="1610" spans="6:6">
      <c r="F1610" s="261"/>
    </row>
    <row r="1611" spans="6:6">
      <c r="F1611" s="261"/>
    </row>
    <row r="1612" spans="6:6">
      <c r="F1612" s="261"/>
    </row>
    <row r="1613" spans="6:6">
      <c r="F1613" s="261"/>
    </row>
    <row r="1614" spans="6:6">
      <c r="F1614" s="261"/>
    </row>
    <row r="1615" spans="6:6">
      <c r="F1615" s="261"/>
    </row>
    <row r="1616" spans="6:6">
      <c r="F1616" s="261"/>
    </row>
    <row r="1617" spans="6:6">
      <c r="F1617" s="261"/>
    </row>
    <row r="1618" spans="6:6">
      <c r="F1618" s="261"/>
    </row>
    <row r="1619" spans="6:6">
      <c r="F1619" s="261"/>
    </row>
    <row r="1620" spans="6:6">
      <c r="F1620" s="261"/>
    </row>
    <row r="1621" spans="6:6">
      <c r="F1621" s="261"/>
    </row>
    <row r="1622" spans="6:6">
      <c r="F1622" s="261"/>
    </row>
    <row r="1623" spans="6:6">
      <c r="F1623" s="261"/>
    </row>
    <row r="1624" spans="6:6">
      <c r="F1624" s="261"/>
    </row>
    <row r="1625" spans="6:6">
      <c r="F1625" s="261"/>
    </row>
    <row r="1626" spans="6:6">
      <c r="F1626" s="261"/>
    </row>
    <row r="1627" spans="6:6">
      <c r="F1627" s="261"/>
    </row>
    <row r="1628" spans="6:6">
      <c r="F1628" s="261"/>
    </row>
    <row r="1629" spans="6:6">
      <c r="F1629" s="261"/>
    </row>
    <row r="1630" spans="6:6">
      <c r="F1630" s="261"/>
    </row>
    <row r="1631" spans="6:6">
      <c r="F1631" s="261"/>
    </row>
    <row r="1632" spans="6:6">
      <c r="F1632" s="261"/>
    </row>
    <row r="1633" spans="6:6">
      <c r="F1633" s="261"/>
    </row>
    <row r="1634" spans="6:6">
      <c r="F1634" s="261"/>
    </row>
    <row r="1635" spans="6:6">
      <c r="F1635" s="261"/>
    </row>
    <row r="1636" spans="6:6">
      <c r="F1636" s="261"/>
    </row>
    <row r="1637" spans="6:6">
      <c r="F1637" s="261"/>
    </row>
    <row r="1638" spans="6:6">
      <c r="F1638" s="261"/>
    </row>
    <row r="1639" spans="6:6">
      <c r="F1639" s="261"/>
    </row>
    <row r="1640" spans="6:6">
      <c r="F1640" s="261"/>
    </row>
    <row r="1641" spans="6:6">
      <c r="F1641" s="261"/>
    </row>
    <row r="1642" spans="6:6">
      <c r="F1642" s="261"/>
    </row>
    <row r="1643" spans="6:6">
      <c r="F1643" s="261"/>
    </row>
    <row r="1644" spans="6:6">
      <c r="F1644" s="261"/>
    </row>
    <row r="1645" spans="6:6">
      <c r="F1645" s="261"/>
    </row>
    <row r="1646" spans="6:6">
      <c r="F1646" s="261"/>
    </row>
    <row r="1647" spans="6:6">
      <c r="F1647" s="261"/>
    </row>
    <row r="1648" spans="6:6">
      <c r="F1648" s="261"/>
    </row>
    <row r="1649" spans="6:6">
      <c r="F1649" s="261"/>
    </row>
    <row r="1650" spans="6:6">
      <c r="F1650" s="261"/>
    </row>
    <row r="1651" spans="6:6">
      <c r="F1651" s="261"/>
    </row>
    <row r="1652" spans="6:6">
      <c r="F1652" s="261"/>
    </row>
    <row r="1653" spans="6:6">
      <c r="F1653" s="261"/>
    </row>
    <row r="1654" spans="6:6">
      <c r="F1654" s="261"/>
    </row>
    <row r="1655" spans="6:6">
      <c r="F1655" s="261"/>
    </row>
    <row r="1656" spans="6:6">
      <c r="F1656" s="261"/>
    </row>
    <row r="1657" spans="6:6">
      <c r="F1657" s="261"/>
    </row>
    <row r="1658" spans="6:6">
      <c r="F1658" s="261"/>
    </row>
    <row r="1659" spans="6:6">
      <c r="F1659" s="261"/>
    </row>
    <row r="1660" spans="6:6">
      <c r="F1660" s="261"/>
    </row>
    <row r="1661" spans="6:6">
      <c r="F1661" s="261"/>
    </row>
    <row r="1662" spans="6:6">
      <c r="F1662" s="261"/>
    </row>
    <row r="1663" spans="6:6">
      <c r="F1663" s="261"/>
    </row>
    <row r="1664" spans="6:6">
      <c r="F1664" s="261"/>
    </row>
    <row r="1665" spans="6:6">
      <c r="F1665" s="261"/>
    </row>
    <row r="1666" spans="6:6">
      <c r="F1666" s="261"/>
    </row>
    <row r="1667" spans="6:6">
      <c r="F1667" s="261"/>
    </row>
    <row r="1668" spans="6:6">
      <c r="F1668" s="261"/>
    </row>
    <row r="1669" spans="6:6">
      <c r="F1669" s="261"/>
    </row>
    <row r="1670" spans="6:6">
      <c r="F1670" s="261"/>
    </row>
    <row r="1671" spans="6:6">
      <c r="F1671" s="261"/>
    </row>
    <row r="1672" spans="6:6">
      <c r="F1672" s="261"/>
    </row>
    <row r="1673" spans="6:6">
      <c r="F1673" s="261"/>
    </row>
    <row r="1674" spans="6:6">
      <c r="F1674" s="261"/>
    </row>
    <row r="1675" spans="6:6">
      <c r="F1675" s="261"/>
    </row>
    <row r="1676" spans="6:6">
      <c r="F1676" s="261"/>
    </row>
    <row r="1677" spans="6:6">
      <c r="F1677" s="261"/>
    </row>
    <row r="1678" spans="6:6">
      <c r="F1678" s="261"/>
    </row>
    <row r="1679" spans="6:6">
      <c r="F1679" s="261"/>
    </row>
    <row r="1680" spans="6:6">
      <c r="F1680" s="261"/>
    </row>
    <row r="1681" spans="6:6">
      <c r="F1681" s="261"/>
    </row>
    <row r="1682" spans="6:6">
      <c r="F1682" s="261"/>
    </row>
    <row r="1683" spans="6:6">
      <c r="F1683" s="261"/>
    </row>
    <row r="1684" spans="6:6">
      <c r="F1684" s="261"/>
    </row>
    <row r="1685" spans="6:6">
      <c r="F1685" s="261"/>
    </row>
    <row r="1686" spans="6:6">
      <c r="F1686" s="261"/>
    </row>
    <row r="1687" spans="6:6">
      <c r="F1687" s="261"/>
    </row>
    <row r="1688" spans="6:6">
      <c r="F1688" s="261"/>
    </row>
    <row r="1689" spans="6:6">
      <c r="F1689" s="261"/>
    </row>
    <row r="1690" spans="6:6">
      <c r="F1690" s="261"/>
    </row>
    <row r="1691" spans="6:6">
      <c r="F1691" s="261"/>
    </row>
    <row r="1692" spans="6:6">
      <c r="F1692" s="261"/>
    </row>
    <row r="1693" spans="6:6">
      <c r="F1693" s="261"/>
    </row>
    <row r="1694" spans="6:6">
      <c r="F1694" s="261"/>
    </row>
    <row r="1695" spans="6:6">
      <c r="F1695" s="261"/>
    </row>
    <row r="1696" spans="6:6">
      <c r="F1696" s="261"/>
    </row>
    <row r="1697" spans="6:6">
      <c r="F1697" s="261"/>
    </row>
    <row r="1698" spans="6:6">
      <c r="F1698" s="261"/>
    </row>
    <row r="1699" spans="6:6">
      <c r="F1699" s="261"/>
    </row>
    <row r="1700" spans="6:6">
      <c r="F1700" s="261"/>
    </row>
    <row r="1701" spans="6:6">
      <c r="F1701" s="261"/>
    </row>
    <row r="1702" spans="6:6">
      <c r="F1702" s="261"/>
    </row>
    <row r="1703" spans="6:6">
      <c r="F1703" s="261"/>
    </row>
    <row r="1704" spans="6:6">
      <c r="F1704" s="261"/>
    </row>
    <row r="1705" spans="6:6">
      <c r="F1705" s="261"/>
    </row>
    <row r="1706" spans="6:6">
      <c r="F1706" s="261"/>
    </row>
    <row r="1707" spans="6:6">
      <c r="F1707" s="261"/>
    </row>
    <row r="1708" spans="6:6">
      <c r="F1708" s="261"/>
    </row>
    <row r="1709" spans="6:6">
      <c r="F1709" s="261"/>
    </row>
    <row r="1710" spans="6:6">
      <c r="F1710" s="261"/>
    </row>
    <row r="1711" spans="6:6">
      <c r="F1711" s="261"/>
    </row>
    <row r="1712" spans="6:6">
      <c r="F1712" s="261"/>
    </row>
    <row r="1713" spans="6:6">
      <c r="F1713" s="261"/>
    </row>
    <row r="1714" spans="6:6">
      <c r="F1714" s="261"/>
    </row>
    <row r="1715" spans="6:6">
      <c r="F1715" s="261"/>
    </row>
    <row r="1716" spans="6:6">
      <c r="F1716" s="261"/>
    </row>
    <row r="1717" spans="6:6">
      <c r="F1717" s="261"/>
    </row>
    <row r="1718" spans="6:6">
      <c r="F1718" s="261"/>
    </row>
    <row r="1719" spans="6:6">
      <c r="F1719" s="261"/>
    </row>
    <row r="1720" spans="6:6">
      <c r="F1720" s="261"/>
    </row>
    <row r="1721" spans="6:6">
      <c r="F1721" s="261"/>
    </row>
    <row r="1722" spans="6:6">
      <c r="F1722" s="261"/>
    </row>
    <row r="1723" spans="6:6">
      <c r="F1723" s="261"/>
    </row>
    <row r="1724" spans="6:6">
      <c r="F1724" s="261"/>
    </row>
    <row r="1725" spans="6:6">
      <c r="F1725" s="261"/>
    </row>
    <row r="1726" spans="6:6">
      <c r="F1726" s="261"/>
    </row>
    <row r="1727" spans="6:6">
      <c r="F1727" s="261"/>
    </row>
    <row r="1728" spans="6:6">
      <c r="F1728" s="261"/>
    </row>
    <row r="1729" spans="6:6">
      <c r="F1729" s="261"/>
    </row>
    <row r="1730" spans="6:6">
      <c r="F1730" s="261"/>
    </row>
    <row r="1731" spans="6:6">
      <c r="F1731" s="261"/>
    </row>
    <row r="1732" spans="6:6">
      <c r="F1732" s="261"/>
    </row>
    <row r="1733" spans="6:6">
      <c r="F1733" s="261"/>
    </row>
    <row r="1734" spans="6:6">
      <c r="F1734" s="261"/>
    </row>
    <row r="1735" spans="6:6">
      <c r="F1735" s="261"/>
    </row>
    <row r="1736" spans="6:6">
      <c r="F1736" s="261"/>
    </row>
    <row r="1737" spans="6:6">
      <c r="F1737" s="261"/>
    </row>
    <row r="1738" spans="6:6">
      <c r="F1738" s="261"/>
    </row>
    <row r="1739" spans="6:6">
      <c r="F1739" s="261"/>
    </row>
    <row r="1740" spans="6:6">
      <c r="F1740" s="261"/>
    </row>
    <row r="1741" spans="6:6">
      <c r="F1741" s="261"/>
    </row>
    <row r="1742" spans="6:6">
      <c r="F1742" s="261"/>
    </row>
    <row r="1743" spans="6:6">
      <c r="F1743" s="261"/>
    </row>
    <row r="1744" spans="6:6">
      <c r="F1744" s="261"/>
    </row>
    <row r="1745" spans="6:6">
      <c r="F1745" s="261"/>
    </row>
    <row r="1746" spans="6:6">
      <c r="F1746" s="261"/>
    </row>
    <row r="1747" spans="6:6">
      <c r="F1747" s="261"/>
    </row>
    <row r="1748" spans="6:6">
      <c r="F1748" s="261"/>
    </row>
    <row r="1749" spans="6:6">
      <c r="F1749" s="261"/>
    </row>
    <row r="1750" spans="6:6">
      <c r="F1750" s="261"/>
    </row>
    <row r="1751" spans="6:6">
      <c r="F1751" s="261"/>
    </row>
    <row r="1752" spans="6:6">
      <c r="F1752" s="261"/>
    </row>
    <row r="1753" spans="6:6">
      <c r="F1753" s="261"/>
    </row>
    <row r="1754" spans="6:6">
      <c r="F1754" s="261"/>
    </row>
    <row r="1755" spans="6:6">
      <c r="F1755" s="261"/>
    </row>
    <row r="1756" spans="6:6">
      <c r="F1756" s="261"/>
    </row>
    <row r="1757" spans="6:6">
      <c r="F1757" s="261"/>
    </row>
    <row r="1758" spans="6:6">
      <c r="F1758" s="261"/>
    </row>
    <row r="1759" spans="6:6">
      <c r="F1759" s="261"/>
    </row>
    <row r="1760" spans="6:6">
      <c r="F1760" s="261"/>
    </row>
    <row r="1761" spans="6:6">
      <c r="F1761" s="261"/>
    </row>
    <row r="1762" spans="6:6">
      <c r="F1762" s="261"/>
    </row>
    <row r="1763" spans="6:6">
      <c r="F1763" s="261"/>
    </row>
    <row r="1764" spans="6:6">
      <c r="F1764" s="261"/>
    </row>
    <row r="1765" spans="6:6">
      <c r="F1765" s="261"/>
    </row>
    <row r="1766" spans="6:6">
      <c r="F1766" s="261"/>
    </row>
    <row r="1767" spans="6:6">
      <c r="F1767" s="261"/>
    </row>
    <row r="1768" spans="6:6">
      <c r="F1768" s="261"/>
    </row>
    <row r="1769" spans="6:6">
      <c r="F1769" s="261"/>
    </row>
    <row r="1770" spans="6:6">
      <c r="F1770" s="261"/>
    </row>
    <row r="1771" spans="6:6">
      <c r="F1771" s="261"/>
    </row>
    <row r="1772" spans="6:6">
      <c r="F1772" s="261"/>
    </row>
    <row r="1773" spans="6:6">
      <c r="F1773" s="261"/>
    </row>
    <row r="1774" spans="6:6">
      <c r="F1774" s="261"/>
    </row>
    <row r="1775" spans="6:6">
      <c r="F1775" s="261"/>
    </row>
    <row r="1776" spans="6:6">
      <c r="F1776" s="261"/>
    </row>
    <row r="1777" spans="6:6">
      <c r="F1777" s="261"/>
    </row>
    <row r="1778" spans="6:6">
      <c r="F1778" s="261"/>
    </row>
    <row r="1779" spans="6:6">
      <c r="F1779" s="261"/>
    </row>
    <row r="1780" spans="6:6">
      <c r="F1780" s="261"/>
    </row>
    <row r="1781" spans="6:6">
      <c r="F1781" s="261"/>
    </row>
    <row r="1782" spans="6:6">
      <c r="F1782" s="261"/>
    </row>
    <row r="1783" spans="6:6">
      <c r="F1783" s="261"/>
    </row>
    <row r="1784" spans="6:6">
      <c r="F1784" s="261"/>
    </row>
    <row r="1785" spans="6:6">
      <c r="F1785" s="261"/>
    </row>
    <row r="1786" spans="6:6">
      <c r="F1786" s="261"/>
    </row>
    <row r="1787" spans="6:6">
      <c r="F1787" s="261"/>
    </row>
    <row r="1788" spans="6:6">
      <c r="F1788" s="261"/>
    </row>
    <row r="1789" spans="6:6">
      <c r="F1789" s="261"/>
    </row>
    <row r="1790" spans="6:6">
      <c r="F1790" s="261"/>
    </row>
    <row r="1791" spans="6:6">
      <c r="F1791" s="261"/>
    </row>
    <row r="1792" spans="6:6">
      <c r="F1792" s="261"/>
    </row>
    <row r="1793" spans="6:6">
      <c r="F1793" s="261"/>
    </row>
    <row r="1794" spans="6:6">
      <c r="F1794" s="261"/>
    </row>
    <row r="1795" spans="6:6">
      <c r="F1795" s="261"/>
    </row>
    <row r="1796" spans="6:6">
      <c r="F1796" s="261"/>
    </row>
    <row r="1797" spans="6:6">
      <c r="F1797" s="261"/>
    </row>
    <row r="1798" spans="6:6">
      <c r="F1798" s="261"/>
    </row>
    <row r="1799" spans="6:6">
      <c r="F1799" s="261"/>
    </row>
    <row r="1800" spans="6:6">
      <c r="F1800" s="261"/>
    </row>
    <row r="1801" spans="6:6">
      <c r="F1801" s="261"/>
    </row>
    <row r="1802" spans="6:6">
      <c r="F1802" s="261"/>
    </row>
    <row r="1803" spans="6:6">
      <c r="F1803" s="261"/>
    </row>
    <row r="1804" spans="6:6">
      <c r="F1804" s="261"/>
    </row>
    <row r="1805" spans="6:6">
      <c r="F1805" s="261"/>
    </row>
    <row r="1806" spans="6:6">
      <c r="F1806" s="261"/>
    </row>
    <row r="1807" spans="6:6">
      <c r="F1807" s="261"/>
    </row>
    <row r="1808" spans="6:6">
      <c r="F1808" s="261"/>
    </row>
    <row r="1809" spans="6:6">
      <c r="F1809" s="261"/>
    </row>
    <row r="1810" spans="6:6">
      <c r="F1810" s="261"/>
    </row>
    <row r="1811" spans="6:6">
      <c r="F1811" s="261"/>
    </row>
    <row r="1812" spans="6:6">
      <c r="F1812" s="261"/>
    </row>
    <row r="1813" spans="6:6">
      <c r="F1813" s="261"/>
    </row>
    <row r="1814" spans="6:6">
      <c r="F1814" s="261"/>
    </row>
    <row r="1815" spans="6:6">
      <c r="F1815" s="261"/>
    </row>
    <row r="1816" spans="6:6">
      <c r="F1816" s="261"/>
    </row>
    <row r="1817" spans="6:6">
      <c r="F1817" s="261"/>
    </row>
    <row r="1818" spans="6:6">
      <c r="F1818" s="261"/>
    </row>
    <row r="1819" spans="6:6">
      <c r="F1819" s="261"/>
    </row>
    <row r="1820" spans="6:6">
      <c r="F1820" s="261"/>
    </row>
    <row r="1821" spans="6:6">
      <c r="F1821" s="261"/>
    </row>
    <row r="1822" spans="6:6">
      <c r="F1822" s="261"/>
    </row>
    <row r="1823" spans="6:6">
      <c r="F1823" s="261"/>
    </row>
    <row r="1824" spans="6:6">
      <c r="F1824" s="261"/>
    </row>
    <row r="1825" spans="6:6">
      <c r="F1825" s="261"/>
    </row>
    <row r="1826" spans="6:6">
      <c r="F1826" s="261"/>
    </row>
    <row r="1827" spans="6:6">
      <c r="F1827" s="261"/>
    </row>
    <row r="1828" spans="6:6">
      <c r="F1828" s="261"/>
    </row>
    <row r="1829" spans="6:6">
      <c r="F1829" s="261"/>
    </row>
    <row r="1830" spans="6:6">
      <c r="F1830" s="261"/>
    </row>
    <row r="1831" spans="6:6">
      <c r="F1831" s="261"/>
    </row>
    <row r="1832" spans="6:6">
      <c r="F1832" s="261"/>
    </row>
    <row r="1833" spans="6:6">
      <c r="F1833" s="261"/>
    </row>
    <row r="1834" spans="6:6">
      <c r="F1834" s="261"/>
    </row>
    <row r="1835" spans="6:6">
      <c r="F1835" s="261"/>
    </row>
    <row r="1836" spans="6:6">
      <c r="F1836" s="261"/>
    </row>
    <row r="1837" spans="6:6">
      <c r="F1837" s="261"/>
    </row>
    <row r="1838" spans="6:6">
      <c r="F1838" s="261"/>
    </row>
    <row r="1839" spans="6:6">
      <c r="F1839" s="261"/>
    </row>
    <row r="1840" spans="6:6">
      <c r="F1840" s="261"/>
    </row>
    <row r="1841" spans="6:6">
      <c r="F1841" s="261"/>
    </row>
    <row r="1842" spans="6:6">
      <c r="F1842" s="261"/>
    </row>
    <row r="1843" spans="6:6">
      <c r="F1843" s="261"/>
    </row>
    <row r="1844" spans="6:6">
      <c r="F1844" s="261"/>
    </row>
    <row r="1845" spans="6:6">
      <c r="F1845" s="261"/>
    </row>
    <row r="1846" spans="6:6">
      <c r="F1846" s="261"/>
    </row>
    <row r="1847" spans="6:6">
      <c r="F1847" s="261"/>
    </row>
    <row r="1848" spans="6:6">
      <c r="F1848" s="261"/>
    </row>
    <row r="1849" spans="6:6">
      <c r="F1849" s="261"/>
    </row>
    <row r="1850" spans="6:6">
      <c r="F1850" s="261"/>
    </row>
    <row r="1851" spans="6:6">
      <c r="F1851" s="261"/>
    </row>
    <row r="1852" spans="6:6">
      <c r="F1852" s="261"/>
    </row>
    <row r="1853" spans="6:6">
      <c r="F1853" s="261"/>
    </row>
    <row r="1854" spans="6:6">
      <c r="F1854" s="261"/>
    </row>
    <row r="1855" spans="6:6">
      <c r="F1855" s="261"/>
    </row>
    <row r="1856" spans="6:6">
      <c r="F1856" s="261"/>
    </row>
    <row r="1857" spans="6:6">
      <c r="F1857" s="261"/>
    </row>
    <row r="1858" spans="6:6">
      <c r="F1858" s="261"/>
    </row>
    <row r="1859" spans="6:6">
      <c r="F1859" s="261"/>
    </row>
    <row r="1860" spans="6:6">
      <c r="F1860" s="261"/>
    </row>
    <row r="1861" spans="6:6">
      <c r="F1861" s="261"/>
    </row>
    <row r="1862" spans="6:6">
      <c r="F1862" s="261"/>
    </row>
    <row r="1863" spans="6:6">
      <c r="F1863" s="261"/>
    </row>
    <row r="1864" spans="6:6">
      <c r="F1864" s="261"/>
    </row>
    <row r="1865" spans="6:6">
      <c r="F1865" s="261"/>
    </row>
    <row r="1866" spans="6:6">
      <c r="F1866" s="261"/>
    </row>
    <row r="1867" spans="6:6">
      <c r="F1867" s="261"/>
    </row>
    <row r="1868" spans="6:6">
      <c r="F1868" s="261"/>
    </row>
    <row r="1869" spans="6:6">
      <c r="F1869" s="261"/>
    </row>
    <row r="1870" spans="6:6">
      <c r="F1870" s="261"/>
    </row>
    <row r="1871" spans="6:6">
      <c r="F1871" s="261"/>
    </row>
    <row r="1872" spans="6:6">
      <c r="F1872" s="261"/>
    </row>
    <row r="1873" spans="6:6">
      <c r="F1873" s="261"/>
    </row>
    <row r="1874" spans="6:6">
      <c r="F1874" s="261"/>
    </row>
    <row r="1875" spans="6:6">
      <c r="F1875" s="261"/>
    </row>
    <row r="1876" spans="6:6">
      <c r="F1876" s="261"/>
    </row>
    <row r="1877" spans="6:6">
      <c r="F1877" s="261"/>
    </row>
    <row r="1878" spans="6:6">
      <c r="F1878" s="261"/>
    </row>
    <row r="1879" spans="6:6">
      <c r="F1879" s="261"/>
    </row>
    <row r="1880" spans="6:6">
      <c r="F1880" s="261"/>
    </row>
    <row r="1881" spans="6:6">
      <c r="F1881" s="261"/>
    </row>
    <row r="1882" spans="6:6">
      <c r="F1882" s="261"/>
    </row>
    <row r="1883" spans="6:6">
      <c r="F1883" s="261"/>
    </row>
    <row r="1884" spans="6:6">
      <c r="F1884" s="261"/>
    </row>
    <row r="1885" spans="6:6">
      <c r="F1885" s="261"/>
    </row>
    <row r="1886" spans="6:6">
      <c r="F1886" s="261"/>
    </row>
    <row r="1887" spans="6:6">
      <c r="F1887" s="261"/>
    </row>
    <row r="1888" spans="6:6">
      <c r="F1888" s="261"/>
    </row>
    <row r="1889" spans="6:6">
      <c r="F1889" s="261"/>
    </row>
    <row r="1890" spans="6:6">
      <c r="F1890" s="261"/>
    </row>
    <row r="1891" spans="6:6">
      <c r="F1891" s="261"/>
    </row>
    <row r="1892" spans="6:6">
      <c r="F1892" s="261"/>
    </row>
    <row r="1893" spans="6:6">
      <c r="F1893" s="261"/>
    </row>
    <row r="1894" spans="6:6">
      <c r="F1894" s="261"/>
    </row>
    <row r="1895" spans="6:6">
      <c r="F1895" s="261"/>
    </row>
    <row r="1896" spans="6:6">
      <c r="F1896" s="261"/>
    </row>
    <row r="1897" spans="6:6">
      <c r="F1897" s="261"/>
    </row>
    <row r="1898" spans="6:6">
      <c r="F1898" s="261"/>
    </row>
    <row r="1899" spans="6:6">
      <c r="F1899" s="261"/>
    </row>
    <row r="1900" spans="6:6">
      <c r="F1900" s="261"/>
    </row>
    <row r="1901" spans="6:6">
      <c r="F1901" s="261"/>
    </row>
    <row r="1902" spans="6:6">
      <c r="F1902" s="261"/>
    </row>
    <row r="1903" spans="6:6">
      <c r="F1903" s="261"/>
    </row>
    <row r="1904" spans="6:6">
      <c r="F1904" s="261"/>
    </row>
    <row r="1905" spans="6:6">
      <c r="F1905" s="261"/>
    </row>
    <row r="1906" spans="6:6">
      <c r="F1906" s="261"/>
    </row>
    <row r="1907" spans="6:6">
      <c r="F1907" s="261"/>
    </row>
    <row r="1908" spans="6:6">
      <c r="F1908" s="261"/>
    </row>
    <row r="1909" spans="6:6">
      <c r="F1909" s="261"/>
    </row>
    <row r="1910" spans="6:6">
      <c r="F1910" s="261"/>
    </row>
    <row r="1911" spans="6:6">
      <c r="F1911" s="261"/>
    </row>
    <row r="1912" spans="6:6">
      <c r="F1912" s="261"/>
    </row>
    <row r="1913" spans="6:6">
      <c r="F1913" s="261"/>
    </row>
    <row r="1914" spans="6:6">
      <c r="F1914" s="261"/>
    </row>
    <row r="1915" spans="6:6">
      <c r="F1915" s="261"/>
    </row>
    <row r="1916" spans="6:6">
      <c r="F1916" s="261"/>
    </row>
    <row r="1917" spans="6:6">
      <c r="F1917" s="261"/>
    </row>
    <row r="1918" spans="6:6">
      <c r="F1918" s="261"/>
    </row>
    <row r="1919" spans="6:6">
      <c r="F1919" s="261"/>
    </row>
    <row r="1920" spans="6:6">
      <c r="F1920" s="261"/>
    </row>
    <row r="1921" spans="6:6">
      <c r="F1921" s="261"/>
    </row>
    <row r="1922" spans="6:6">
      <c r="F1922" s="261"/>
    </row>
    <row r="1923" spans="6:6">
      <c r="F1923" s="261"/>
    </row>
    <row r="1924" spans="6:6">
      <c r="F1924" s="261"/>
    </row>
    <row r="1925" spans="6:6">
      <c r="F1925" s="261"/>
    </row>
    <row r="1926" spans="6:6">
      <c r="F1926" s="261"/>
    </row>
    <row r="1927" spans="6:6">
      <c r="F1927" s="261"/>
    </row>
    <row r="1928" spans="6:6">
      <c r="F1928" s="261"/>
    </row>
    <row r="1929" spans="6:6">
      <c r="F1929" s="261"/>
    </row>
    <row r="1930" spans="6:6">
      <c r="F1930" s="261"/>
    </row>
    <row r="1931" spans="6:6">
      <c r="F1931" s="261"/>
    </row>
    <row r="1932" spans="6:6">
      <c r="F1932" s="261"/>
    </row>
    <row r="1933" spans="6:6">
      <c r="F1933" s="261"/>
    </row>
    <row r="1934" spans="6:6">
      <c r="F1934" s="261"/>
    </row>
    <row r="1935" spans="6:6">
      <c r="F1935" s="261"/>
    </row>
    <row r="1936" spans="6:6">
      <c r="F1936" s="261"/>
    </row>
    <row r="1937" spans="6:6">
      <c r="F1937" s="261"/>
    </row>
    <row r="1938" spans="6:6">
      <c r="F1938" s="261"/>
    </row>
    <row r="1939" spans="6:6">
      <c r="F1939" s="261"/>
    </row>
    <row r="1940" spans="6:6">
      <c r="F1940" s="261"/>
    </row>
    <row r="1941" spans="6:6">
      <c r="F1941" s="261"/>
    </row>
    <row r="1942" spans="6:6">
      <c r="F1942" s="261"/>
    </row>
    <row r="1943" spans="6:6">
      <c r="F1943" s="261"/>
    </row>
    <row r="1944" spans="6:6">
      <c r="F1944" s="261"/>
    </row>
    <row r="1945" spans="6:6">
      <c r="F1945" s="261"/>
    </row>
    <row r="1946" spans="6:6">
      <c r="F1946" s="261"/>
    </row>
    <row r="1947" spans="6:6">
      <c r="F1947" s="261"/>
    </row>
    <row r="1948" spans="6:6">
      <c r="F1948" s="261"/>
    </row>
    <row r="1949" spans="6:6">
      <c r="F1949" s="261"/>
    </row>
    <row r="1950" spans="6:6">
      <c r="F1950" s="261"/>
    </row>
    <row r="1951" spans="6:6">
      <c r="F1951" s="261"/>
    </row>
    <row r="1952" spans="6:6">
      <c r="F1952" s="261"/>
    </row>
    <row r="1953" spans="6:6">
      <c r="F1953" s="261"/>
    </row>
    <row r="1954" spans="6:6">
      <c r="F1954" s="261"/>
    </row>
    <row r="1955" spans="6:6">
      <c r="F1955" s="261"/>
    </row>
    <row r="1956" spans="6:6">
      <c r="F1956" s="261"/>
    </row>
    <row r="1957" spans="6:6">
      <c r="F1957" s="261"/>
    </row>
    <row r="1958" spans="6:6">
      <c r="F1958" s="261"/>
    </row>
    <row r="1959" spans="6:6">
      <c r="F1959" s="261"/>
    </row>
    <row r="1960" spans="6:6">
      <c r="F1960" s="261"/>
    </row>
    <row r="1961" spans="6:6">
      <c r="F1961" s="261"/>
    </row>
    <row r="1962" spans="6:6">
      <c r="F1962" s="261"/>
    </row>
    <row r="1963" spans="6:6">
      <c r="F1963" s="261"/>
    </row>
    <row r="1964" spans="6:6">
      <c r="F1964" s="261"/>
    </row>
    <row r="1965" spans="6:6">
      <c r="F1965" s="261"/>
    </row>
    <row r="1966" spans="6:6">
      <c r="F1966" s="261"/>
    </row>
    <row r="1967" spans="6:6">
      <c r="F1967" s="261"/>
    </row>
    <row r="1968" spans="6:6">
      <c r="F1968" s="261"/>
    </row>
    <row r="1969" spans="6:6">
      <c r="F1969" s="261"/>
    </row>
    <row r="1970" spans="6:6">
      <c r="F1970" s="261"/>
    </row>
    <row r="1971" spans="6:6">
      <c r="F1971" s="261"/>
    </row>
    <row r="1972" spans="6:6">
      <c r="F1972" s="261"/>
    </row>
    <row r="1973" spans="6:6">
      <c r="F1973" s="261"/>
    </row>
    <row r="1974" spans="6:6">
      <c r="F1974" s="261"/>
    </row>
    <row r="1975" spans="6:6">
      <c r="F1975" s="261"/>
    </row>
    <row r="1976" spans="6:6">
      <c r="F1976" s="261"/>
    </row>
    <row r="1977" spans="6:6">
      <c r="F1977" s="261"/>
    </row>
    <row r="1978" spans="6:6">
      <c r="F1978" s="261"/>
    </row>
    <row r="1979" spans="6:6">
      <c r="F1979" s="261"/>
    </row>
    <row r="1980" spans="6:6">
      <c r="F1980" s="261"/>
    </row>
    <row r="1981" spans="6:6">
      <c r="F1981" s="261"/>
    </row>
    <row r="1982" spans="6:6">
      <c r="F1982" s="261"/>
    </row>
    <row r="1983" spans="6:6">
      <c r="F1983" s="261"/>
    </row>
    <row r="1984" spans="6:6">
      <c r="F1984" s="261"/>
    </row>
    <row r="1985" spans="6:6">
      <c r="F1985" s="261"/>
    </row>
    <row r="1986" spans="6:6">
      <c r="F1986" s="261"/>
    </row>
    <row r="1987" spans="6:6">
      <c r="F1987" s="261"/>
    </row>
    <row r="1988" spans="6:6">
      <c r="F1988" s="261"/>
    </row>
    <row r="1989" spans="6:6">
      <c r="F1989" s="261"/>
    </row>
    <row r="1990" spans="6:6">
      <c r="F1990" s="261"/>
    </row>
    <row r="1991" spans="6:6">
      <c r="F1991" s="261"/>
    </row>
    <row r="1992" spans="6:6">
      <c r="F1992" s="261"/>
    </row>
    <row r="1993" spans="6:6">
      <c r="F1993" s="261"/>
    </row>
    <row r="1994" spans="6:6">
      <c r="F1994" s="261"/>
    </row>
    <row r="1995" spans="6:6">
      <c r="F1995" s="261"/>
    </row>
    <row r="1996" spans="6:6">
      <c r="F1996" s="261"/>
    </row>
    <row r="1997" spans="6:6">
      <c r="F1997" s="261"/>
    </row>
    <row r="1998" spans="6:6">
      <c r="F1998" s="261"/>
    </row>
    <row r="1999" spans="6:6">
      <c r="F1999" s="261"/>
    </row>
    <row r="2000" spans="6:6">
      <c r="F2000" s="261"/>
    </row>
    <row r="2001" spans="6:6">
      <c r="F2001" s="261"/>
    </row>
    <row r="2002" spans="6:6">
      <c r="F2002" s="261"/>
    </row>
    <row r="2003" spans="6:6">
      <c r="F2003" s="261"/>
    </row>
    <row r="2004" spans="6:6">
      <c r="F2004" s="261"/>
    </row>
    <row r="2005" spans="6:6">
      <c r="F2005" s="261"/>
    </row>
    <row r="2006" spans="6:6">
      <c r="F2006" s="261"/>
    </row>
    <row r="2007" spans="6:6">
      <c r="F2007" s="261"/>
    </row>
    <row r="2008" spans="6:6">
      <c r="F2008" s="261"/>
    </row>
    <row r="2009" spans="6:6">
      <c r="F2009" s="261"/>
    </row>
    <row r="2010" spans="6:6">
      <c r="F2010" s="261"/>
    </row>
    <row r="2011" spans="6:6">
      <c r="F2011" s="261"/>
    </row>
    <row r="2012" spans="6:6">
      <c r="F2012" s="261"/>
    </row>
    <row r="2013" spans="6:6">
      <c r="F2013" s="261"/>
    </row>
    <row r="2014" spans="6:6">
      <c r="F2014" s="261"/>
    </row>
    <row r="2015" spans="6:6">
      <c r="F2015" s="261"/>
    </row>
    <row r="2016" spans="6:6">
      <c r="F2016" s="261"/>
    </row>
    <row r="2017" spans="6:6">
      <c r="F2017" s="261"/>
    </row>
    <row r="2018" spans="6:6">
      <c r="F2018" s="261"/>
    </row>
    <row r="2019" spans="6:6">
      <c r="F2019" s="261"/>
    </row>
    <row r="2020" spans="6:6">
      <c r="F2020" s="261"/>
    </row>
    <row r="2021" spans="6:6">
      <c r="F2021" s="261"/>
    </row>
    <row r="2022" spans="6:6">
      <c r="F2022" s="261"/>
    </row>
    <row r="2023" spans="6:6">
      <c r="F2023" s="261"/>
    </row>
    <row r="2024" spans="6:6">
      <c r="F2024" s="261"/>
    </row>
    <row r="2025" spans="6:6">
      <c r="F2025" s="261"/>
    </row>
    <row r="2026" spans="6:6">
      <c r="F2026" s="261"/>
    </row>
    <row r="2027" spans="6:6">
      <c r="F2027" s="261"/>
    </row>
    <row r="2028" spans="6:6">
      <c r="F2028" s="261"/>
    </row>
    <row r="2029" spans="6:6">
      <c r="F2029" s="261"/>
    </row>
    <row r="2030" spans="6:6">
      <c r="F2030" s="261"/>
    </row>
    <row r="2031" spans="6:6">
      <c r="F2031" s="261"/>
    </row>
    <row r="2032" spans="6:6">
      <c r="F2032" s="261"/>
    </row>
    <row r="2033" spans="6:6">
      <c r="F2033" s="261"/>
    </row>
    <row r="2034" spans="6:6">
      <c r="F2034" s="261"/>
    </row>
    <row r="2035" spans="6:6">
      <c r="F2035" s="261"/>
    </row>
    <row r="2036" spans="6:6">
      <c r="F2036" s="261"/>
    </row>
    <row r="2037" spans="6:6">
      <c r="F2037" s="261"/>
    </row>
    <row r="2038" spans="6:6">
      <c r="F2038" s="261"/>
    </row>
    <row r="2039" spans="6:6">
      <c r="F2039" s="261"/>
    </row>
    <row r="2040" spans="6:6">
      <c r="F2040" s="261"/>
    </row>
    <row r="2041" spans="6:6">
      <c r="F2041" s="261"/>
    </row>
    <row r="2042" spans="6:6">
      <c r="F2042" s="261"/>
    </row>
    <row r="2043" spans="6:6">
      <c r="F2043" s="261"/>
    </row>
    <row r="2044" spans="6:6">
      <c r="F2044" s="261"/>
    </row>
    <row r="2045" spans="6:6">
      <c r="F2045" s="261"/>
    </row>
    <row r="2046" spans="6:6">
      <c r="F2046" s="261"/>
    </row>
    <row r="2047" spans="6:6">
      <c r="F2047" s="261"/>
    </row>
    <row r="2048" spans="6:6">
      <c r="F2048" s="261"/>
    </row>
    <row r="2049" spans="6:6">
      <c r="F2049" s="261"/>
    </row>
    <row r="2050" spans="6:6">
      <c r="F2050" s="261"/>
    </row>
    <row r="2051" spans="6:6">
      <c r="F2051" s="261"/>
    </row>
    <row r="2052" spans="6:6">
      <c r="F2052" s="261"/>
    </row>
    <row r="2053" spans="6:6">
      <c r="F2053" s="261"/>
    </row>
    <row r="2054" spans="6:6">
      <c r="F2054" s="261"/>
    </row>
    <row r="2055" spans="6:6">
      <c r="F2055" s="261"/>
    </row>
    <row r="2056" spans="6:6">
      <c r="F2056" s="261"/>
    </row>
    <row r="2057" spans="6:6">
      <c r="F2057" s="261"/>
    </row>
    <row r="2058" spans="6:6">
      <c r="F2058" s="261"/>
    </row>
    <row r="2059" spans="6:6">
      <c r="F2059" s="261"/>
    </row>
    <row r="2060" spans="6:6">
      <c r="F2060" s="261"/>
    </row>
    <row r="2061" spans="6:6">
      <c r="F2061" s="261"/>
    </row>
    <row r="2062" spans="6:6">
      <c r="F2062" s="261"/>
    </row>
    <row r="2063" spans="6:6">
      <c r="F2063" s="261"/>
    </row>
    <row r="2064" spans="6:6">
      <c r="F2064" s="261"/>
    </row>
    <row r="2065" spans="6:6">
      <c r="F2065" s="261"/>
    </row>
    <row r="2066" spans="6:6">
      <c r="F2066" s="261"/>
    </row>
    <row r="2067" spans="6:6">
      <c r="F2067" s="261"/>
    </row>
    <row r="2068" spans="6:6">
      <c r="F2068" s="261"/>
    </row>
    <row r="2069" spans="6:6">
      <c r="F2069" s="261"/>
    </row>
    <row r="2070" spans="6:6">
      <c r="F2070" s="261"/>
    </row>
    <row r="2071" spans="6:6">
      <c r="F2071" s="261"/>
    </row>
    <row r="2072" spans="6:6">
      <c r="F2072" s="261"/>
    </row>
    <row r="2073" spans="6:6">
      <c r="F2073" s="261"/>
    </row>
    <row r="2074" spans="6:6">
      <c r="F2074" s="261"/>
    </row>
    <row r="2075" spans="6:6">
      <c r="F2075" s="261"/>
    </row>
    <row r="2076" spans="6:6">
      <c r="F2076" s="261"/>
    </row>
    <row r="2077" spans="6:6">
      <c r="F2077" s="261"/>
    </row>
    <row r="2078" spans="6:6">
      <c r="F2078" s="261"/>
    </row>
    <row r="2079" spans="6:6">
      <c r="F2079" s="261"/>
    </row>
    <row r="2080" spans="6:6">
      <c r="F2080" s="261"/>
    </row>
    <row r="2081" spans="6:6">
      <c r="F2081" s="261"/>
    </row>
    <row r="2082" spans="6:6">
      <c r="F2082" s="261"/>
    </row>
    <row r="2083" spans="6:6">
      <c r="F2083" s="261"/>
    </row>
    <row r="2084" spans="6:6">
      <c r="F2084" s="261"/>
    </row>
    <row r="2085" spans="6:6">
      <c r="F2085" s="261"/>
    </row>
    <row r="2086" spans="6:6">
      <c r="F2086" s="261"/>
    </row>
    <row r="2087" spans="6:6">
      <c r="F2087" s="261"/>
    </row>
    <row r="2088" spans="6:6">
      <c r="F2088" s="261"/>
    </row>
    <row r="2089" spans="6:6">
      <c r="F2089" s="261"/>
    </row>
    <row r="2090" spans="6:6">
      <c r="F2090" s="261"/>
    </row>
    <row r="2091" spans="6:6">
      <c r="F2091" s="261"/>
    </row>
    <row r="2092" spans="6:6">
      <c r="F2092" s="261"/>
    </row>
    <row r="2093" spans="6:6">
      <c r="F2093" s="261"/>
    </row>
    <row r="2094" spans="6:6">
      <c r="F2094" s="261"/>
    </row>
    <row r="2095" spans="6:6">
      <c r="F2095" s="261"/>
    </row>
    <row r="2096" spans="6:6">
      <c r="F2096" s="261"/>
    </row>
    <row r="2097" spans="6:6">
      <c r="F2097" s="261"/>
    </row>
    <row r="2098" spans="6:6">
      <c r="F2098" s="261"/>
    </row>
    <row r="2099" spans="6:6">
      <c r="F2099" s="261"/>
    </row>
    <row r="2100" spans="6:6">
      <c r="F2100" s="261"/>
    </row>
    <row r="2101" spans="6:6">
      <c r="F2101" s="261"/>
    </row>
    <row r="2102" spans="6:6">
      <c r="F2102" s="261"/>
    </row>
    <row r="2103" spans="6:6">
      <c r="F2103" s="261"/>
    </row>
    <row r="2104" spans="6:6">
      <c r="F2104" s="261"/>
    </row>
    <row r="2105" spans="6:6">
      <c r="F2105" s="261"/>
    </row>
    <row r="2106" spans="6:6">
      <c r="F2106" s="261"/>
    </row>
    <row r="2107" spans="6:6">
      <c r="F2107" s="261"/>
    </row>
    <row r="2108" spans="6:6">
      <c r="F2108" s="261"/>
    </row>
    <row r="2109" spans="6:6">
      <c r="F2109" s="261"/>
    </row>
    <row r="2110" spans="6:6">
      <c r="F2110" s="261"/>
    </row>
    <row r="2111" spans="6:6">
      <c r="F2111" s="261"/>
    </row>
    <row r="2112" spans="6:6">
      <c r="F2112" s="261"/>
    </row>
    <row r="2113" spans="6:6">
      <c r="F2113" s="261"/>
    </row>
    <row r="2114" spans="6:6">
      <c r="F2114" s="261"/>
    </row>
    <row r="2115" spans="6:6">
      <c r="F2115" s="261"/>
    </row>
    <row r="2116" spans="6:6">
      <c r="F2116" s="261"/>
    </row>
    <row r="2117" spans="6:6">
      <c r="F2117" s="261"/>
    </row>
    <row r="2118" spans="6:6">
      <c r="F2118" s="261"/>
    </row>
    <row r="2119" spans="6:6">
      <c r="F2119" s="261"/>
    </row>
    <row r="2120" spans="6:6">
      <c r="F2120" s="261"/>
    </row>
    <row r="2121" spans="6:6">
      <c r="F2121" s="261"/>
    </row>
    <row r="2122" spans="6:6">
      <c r="F2122" s="261"/>
    </row>
    <row r="2123" spans="6:6">
      <c r="F2123" s="261"/>
    </row>
    <row r="2124" spans="6:6">
      <c r="F2124" s="261"/>
    </row>
    <row r="2125" spans="6:6">
      <c r="F2125" s="261"/>
    </row>
    <row r="2126" spans="6:6">
      <c r="F2126" s="261"/>
    </row>
    <row r="2127" spans="6:6">
      <c r="F2127" s="261"/>
    </row>
    <row r="2128" spans="6:6">
      <c r="F2128" s="261"/>
    </row>
    <row r="2129" spans="6:6">
      <c r="F2129" s="261"/>
    </row>
    <row r="2130" spans="6:6">
      <c r="F2130" s="261"/>
    </row>
    <row r="2131" spans="6:6">
      <c r="F2131" s="261"/>
    </row>
    <row r="2132" spans="6:6">
      <c r="F2132" s="261"/>
    </row>
    <row r="2133" spans="6:6">
      <c r="F2133" s="261"/>
    </row>
    <row r="2134" spans="6:6">
      <c r="F2134" s="261"/>
    </row>
    <row r="2135" spans="6:6">
      <c r="F2135" s="261"/>
    </row>
    <row r="2136" spans="6:6">
      <c r="F2136" s="261"/>
    </row>
    <row r="2137" spans="6:6">
      <c r="F2137" s="261"/>
    </row>
    <row r="2138" spans="6:6">
      <c r="F2138" s="261"/>
    </row>
    <row r="2139" spans="6:6">
      <c r="F2139" s="261"/>
    </row>
    <row r="2140" spans="6:6">
      <c r="F2140" s="261"/>
    </row>
    <row r="2141" spans="6:6">
      <c r="F2141" s="261"/>
    </row>
    <row r="2142" spans="6:6">
      <c r="F2142" s="261"/>
    </row>
    <row r="2143" spans="6:6">
      <c r="F2143" s="261"/>
    </row>
    <row r="2144" spans="6:6">
      <c r="F2144" s="261"/>
    </row>
    <row r="2145" spans="6:6">
      <c r="F2145" s="261"/>
    </row>
    <row r="2146" spans="6:6">
      <c r="F2146" s="261"/>
    </row>
    <row r="2147" spans="6:6">
      <c r="F2147" s="261"/>
    </row>
    <row r="2148" spans="6:6">
      <c r="F2148" s="261"/>
    </row>
    <row r="2149" spans="6:6">
      <c r="F2149" s="261"/>
    </row>
    <row r="2150" spans="6:6">
      <c r="F2150" s="261"/>
    </row>
    <row r="2151" spans="6:6">
      <c r="F2151" s="261"/>
    </row>
    <row r="2152" spans="6:6">
      <c r="F2152" s="261"/>
    </row>
    <row r="2153" spans="6:6">
      <c r="F2153" s="261"/>
    </row>
    <row r="2154" spans="6:6">
      <c r="F2154" s="261"/>
    </row>
    <row r="2155" spans="6:6">
      <c r="F2155" s="261"/>
    </row>
    <row r="2156" spans="6:6">
      <c r="F2156" s="261"/>
    </row>
    <row r="2157" spans="6:6">
      <c r="F2157" s="261"/>
    </row>
    <row r="2158" spans="6:6">
      <c r="F2158" s="261"/>
    </row>
    <row r="2159" spans="6:6">
      <c r="F2159" s="261"/>
    </row>
    <row r="2160" spans="6:6">
      <c r="F2160" s="261"/>
    </row>
    <row r="2161" spans="6:6">
      <c r="F2161" s="261"/>
    </row>
    <row r="2162" spans="6:6">
      <c r="F2162" s="261"/>
    </row>
    <row r="2163" spans="6:6">
      <c r="F2163" s="261"/>
    </row>
    <row r="2164" spans="6:6">
      <c r="F2164" s="261"/>
    </row>
    <row r="2165" spans="6:6">
      <c r="F2165" s="261"/>
    </row>
    <row r="2166" spans="6:6">
      <c r="F2166" s="261"/>
    </row>
    <row r="2167" spans="6:6">
      <c r="F2167" s="261"/>
    </row>
    <row r="2168" spans="6:6">
      <c r="F2168" s="261"/>
    </row>
    <row r="2169" spans="6:6">
      <c r="F2169" s="261"/>
    </row>
    <row r="2170" spans="6:6">
      <c r="F2170" s="261"/>
    </row>
    <row r="2171" spans="6:6">
      <c r="F2171" s="261"/>
    </row>
    <row r="2172" spans="6:6">
      <c r="F2172" s="261"/>
    </row>
    <row r="2173" spans="6:6">
      <c r="F2173" s="261"/>
    </row>
    <row r="2174" spans="6:6">
      <c r="F2174" s="261"/>
    </row>
    <row r="2175" spans="6:6">
      <c r="F2175" s="261"/>
    </row>
    <row r="2176" spans="6:6">
      <c r="F2176" s="261"/>
    </row>
    <row r="2177" spans="6:6">
      <c r="F2177" s="261"/>
    </row>
    <row r="2178" spans="6:6">
      <c r="F2178" s="261"/>
    </row>
    <row r="2179" spans="6:6">
      <c r="F2179" s="261"/>
    </row>
    <row r="2180" spans="6:6">
      <c r="F2180" s="261"/>
    </row>
    <row r="2181" spans="6:6">
      <c r="F2181" s="261"/>
    </row>
    <row r="2182" spans="6:6">
      <c r="F2182" s="261"/>
    </row>
    <row r="2183" spans="6:6">
      <c r="F2183" s="261"/>
    </row>
    <row r="2184" spans="6:6">
      <c r="F2184" s="261"/>
    </row>
    <row r="2185" spans="6:6">
      <c r="F2185" s="261"/>
    </row>
    <row r="2186" spans="6:6">
      <c r="F2186" s="261"/>
    </row>
    <row r="2187" spans="6:6">
      <c r="F2187" s="261"/>
    </row>
    <row r="2188" spans="6:6">
      <c r="F2188" s="261"/>
    </row>
    <row r="2189" spans="6:6">
      <c r="F2189" s="261"/>
    </row>
    <row r="2190" spans="6:6">
      <c r="F2190" s="261"/>
    </row>
    <row r="2191" spans="6:6">
      <c r="F2191" s="261"/>
    </row>
    <row r="2192" spans="6:6">
      <c r="F2192" s="261"/>
    </row>
    <row r="2193" spans="6:6">
      <c r="F2193" s="261"/>
    </row>
    <row r="2194" spans="6:6">
      <c r="F2194" s="261"/>
    </row>
    <row r="2195" spans="6:6">
      <c r="F2195" s="261"/>
    </row>
    <row r="2196" spans="6:6">
      <c r="F2196" s="261"/>
    </row>
    <row r="2197" spans="6:6">
      <c r="F2197" s="261"/>
    </row>
    <row r="2198" spans="6:6">
      <c r="F2198" s="261"/>
    </row>
    <row r="2199" spans="6:6">
      <c r="F2199" s="261"/>
    </row>
    <row r="2200" spans="6:6">
      <c r="F2200" s="261"/>
    </row>
    <row r="2201" spans="6:6">
      <c r="F2201" s="261"/>
    </row>
    <row r="2202" spans="6:6">
      <c r="F2202" s="261"/>
    </row>
    <row r="2203" spans="6:6">
      <c r="F2203" s="261"/>
    </row>
    <row r="2204" spans="6:6">
      <c r="F2204" s="261"/>
    </row>
    <row r="2205" spans="6:6">
      <c r="F2205" s="261"/>
    </row>
    <row r="2206" spans="6:6">
      <c r="F2206" s="261"/>
    </row>
    <row r="2207" spans="6:6">
      <c r="F2207" s="261"/>
    </row>
    <row r="2208" spans="6:6">
      <c r="F2208" s="261"/>
    </row>
    <row r="2209" spans="6:6">
      <c r="F2209" s="261"/>
    </row>
    <row r="2210" spans="6:6">
      <c r="F2210" s="261"/>
    </row>
    <row r="2211" spans="6:6">
      <c r="F2211" s="261"/>
    </row>
    <row r="2212" spans="6:6">
      <c r="F2212" s="261"/>
    </row>
    <row r="2213" spans="6:6">
      <c r="F2213" s="261"/>
    </row>
    <row r="2214" spans="6:6">
      <c r="F2214" s="261"/>
    </row>
    <row r="2215" spans="6:6">
      <c r="F2215" s="261"/>
    </row>
    <row r="2216" spans="6:6">
      <c r="F2216" s="261"/>
    </row>
    <row r="2217" spans="6:6">
      <c r="F2217" s="261"/>
    </row>
    <row r="2218" spans="6:6">
      <c r="F2218" s="261"/>
    </row>
    <row r="2219" spans="6:6">
      <c r="F2219" s="261"/>
    </row>
    <row r="2220" spans="6:6">
      <c r="F2220" s="261"/>
    </row>
    <row r="2221" spans="6:6">
      <c r="F2221" s="261"/>
    </row>
    <row r="2222" spans="6:6">
      <c r="F2222" s="261"/>
    </row>
    <row r="2223" spans="6:6">
      <c r="F2223" s="261"/>
    </row>
    <row r="2224" spans="6:6">
      <c r="F2224" s="261"/>
    </row>
    <row r="2225" spans="6:6">
      <c r="F2225" s="261"/>
    </row>
    <row r="2226" spans="6:6">
      <c r="F2226" s="261"/>
    </row>
    <row r="2227" spans="6:6">
      <c r="F2227" s="261"/>
    </row>
    <row r="2228" spans="6:6">
      <c r="F2228" s="261"/>
    </row>
    <row r="2229" spans="6:6">
      <c r="F2229" s="261"/>
    </row>
    <row r="2230" spans="6:6">
      <c r="F2230" s="261"/>
    </row>
    <row r="2231" spans="6:6">
      <c r="F2231" s="261"/>
    </row>
    <row r="2232" spans="6:6">
      <c r="F2232" s="261"/>
    </row>
    <row r="2233" spans="6:6">
      <c r="F2233" s="261"/>
    </row>
    <row r="2234" spans="6:6">
      <c r="F2234" s="261"/>
    </row>
    <row r="2235" spans="6:6">
      <c r="F2235" s="261"/>
    </row>
    <row r="2236" spans="6:6">
      <c r="F2236" s="261"/>
    </row>
    <row r="2237" spans="6:6">
      <c r="F2237" s="261"/>
    </row>
    <row r="2238" spans="6:6">
      <c r="F2238" s="261"/>
    </row>
    <row r="2239" spans="6:6">
      <c r="F2239" s="261"/>
    </row>
    <row r="2240" spans="6:6">
      <c r="F2240" s="261"/>
    </row>
    <row r="2241" spans="6:6">
      <c r="F2241" s="261"/>
    </row>
    <row r="2242" spans="6:6">
      <c r="F2242" s="261"/>
    </row>
    <row r="2243" spans="6:6">
      <c r="F2243" s="261"/>
    </row>
    <row r="2244" spans="6:6">
      <c r="F2244" s="261"/>
    </row>
    <row r="2245" spans="6:6">
      <c r="F2245" s="261"/>
    </row>
    <row r="2246" spans="6:6">
      <c r="F2246" s="261"/>
    </row>
    <row r="2247" spans="6:6">
      <c r="F2247" s="261"/>
    </row>
    <row r="2248" spans="6:6">
      <c r="F2248" s="261"/>
    </row>
    <row r="2249" spans="6:6">
      <c r="F2249" s="261"/>
    </row>
    <row r="2250" spans="6:6">
      <c r="F2250" s="261"/>
    </row>
    <row r="2251" spans="6:6">
      <c r="F2251" s="261"/>
    </row>
    <row r="2252" spans="6:6">
      <c r="F2252" s="261"/>
    </row>
    <row r="2253" spans="6:6">
      <c r="F2253" s="261"/>
    </row>
    <row r="2254" spans="6:6">
      <c r="F2254" s="261"/>
    </row>
    <row r="2255" spans="6:6">
      <c r="F2255" s="261"/>
    </row>
    <row r="2256" spans="6:6">
      <c r="F2256" s="261"/>
    </row>
    <row r="2257" spans="6:6">
      <c r="F2257" s="261"/>
    </row>
    <row r="2258" spans="6:6">
      <c r="F2258" s="261"/>
    </row>
    <row r="2259" spans="6:6">
      <c r="F2259" s="261"/>
    </row>
    <row r="2260" spans="6:6">
      <c r="F2260" s="261"/>
    </row>
    <row r="2261" spans="6:6">
      <c r="F2261" s="261"/>
    </row>
    <row r="2262" spans="6:6">
      <c r="F2262" s="261"/>
    </row>
    <row r="2263" spans="6:6">
      <c r="F2263" s="261"/>
    </row>
    <row r="2264" spans="6:6">
      <c r="F2264" s="261"/>
    </row>
    <row r="2265" spans="6:6">
      <c r="F2265" s="261"/>
    </row>
    <row r="2266" spans="6:6">
      <c r="F2266" s="261"/>
    </row>
    <row r="2267" spans="6:6">
      <c r="F2267" s="261"/>
    </row>
    <row r="2268" spans="6:6">
      <c r="F2268" s="261"/>
    </row>
    <row r="2269" spans="6:6">
      <c r="F2269" s="261"/>
    </row>
    <row r="2270" spans="6:6">
      <c r="F2270" s="261"/>
    </row>
    <row r="2271" spans="6:6">
      <c r="F2271" s="261"/>
    </row>
    <row r="2272" spans="6:6">
      <c r="F2272" s="261"/>
    </row>
    <row r="2273" spans="6:6">
      <c r="F2273" s="261"/>
    </row>
    <row r="2274" spans="6:6">
      <c r="F2274" s="261"/>
    </row>
    <row r="2275" spans="6:6">
      <c r="F2275" s="261"/>
    </row>
    <row r="2276" spans="6:6">
      <c r="F2276" s="261"/>
    </row>
    <row r="2277" spans="6:6">
      <c r="F2277" s="261"/>
    </row>
    <row r="2278" spans="6:6">
      <c r="F2278" s="261"/>
    </row>
    <row r="2279" spans="6:6">
      <c r="F2279" s="261"/>
    </row>
    <row r="2280" spans="6:6">
      <c r="F2280" s="261"/>
    </row>
    <row r="2281" spans="6:6">
      <c r="F2281" s="261"/>
    </row>
    <row r="2282" spans="6:6">
      <c r="F2282" s="261"/>
    </row>
    <row r="2283" spans="6:6">
      <c r="F2283" s="261"/>
    </row>
    <row r="2284" spans="6:6">
      <c r="F2284" s="261"/>
    </row>
    <row r="2285" spans="6:6">
      <c r="F2285" s="261"/>
    </row>
    <row r="2286" spans="6:6">
      <c r="F2286" s="261"/>
    </row>
    <row r="2287" spans="6:6">
      <c r="F2287" s="261"/>
    </row>
    <row r="2288" spans="6:6">
      <c r="F2288" s="261"/>
    </row>
    <row r="2289" spans="6:6">
      <c r="F2289" s="261"/>
    </row>
    <row r="2290" spans="6:6">
      <c r="F2290" s="261"/>
    </row>
    <row r="2291" spans="6:6">
      <c r="F2291" s="261"/>
    </row>
    <row r="2292" spans="6:6">
      <c r="F2292" s="261"/>
    </row>
    <row r="2293" spans="6:6">
      <c r="F2293" s="261"/>
    </row>
    <row r="2294" spans="6:6">
      <c r="F2294" s="261"/>
    </row>
    <row r="2295" spans="6:6">
      <c r="F2295" s="261"/>
    </row>
    <row r="2296" spans="6:6">
      <c r="F2296" s="261"/>
    </row>
    <row r="2297" spans="6:6">
      <c r="F2297" s="261"/>
    </row>
    <row r="2298" spans="6:6">
      <c r="F2298" s="261"/>
    </row>
    <row r="2299" spans="6:6">
      <c r="F2299" s="261"/>
    </row>
    <row r="2300" spans="6:6">
      <c r="F2300" s="261"/>
    </row>
    <row r="2301" spans="6:6">
      <c r="F2301" s="261"/>
    </row>
    <row r="2302" spans="6:6">
      <c r="F2302" s="261"/>
    </row>
    <row r="2303" spans="6:6">
      <c r="F2303" s="261"/>
    </row>
    <row r="2304" spans="6:6">
      <c r="F2304" s="261"/>
    </row>
    <row r="2305" spans="6:6">
      <c r="F2305" s="261"/>
    </row>
    <row r="2306" spans="6:6">
      <c r="F2306" s="261"/>
    </row>
    <row r="2307" spans="6:6">
      <c r="F2307" s="261"/>
    </row>
    <row r="2308" spans="6:6">
      <c r="F2308" s="261"/>
    </row>
    <row r="2309" spans="6:6">
      <c r="F2309" s="261"/>
    </row>
    <row r="2310" spans="6:6">
      <c r="F2310" s="261"/>
    </row>
    <row r="2311" spans="6:6">
      <c r="F2311" s="261"/>
    </row>
    <row r="2312" spans="6:6">
      <c r="F2312" s="261"/>
    </row>
    <row r="2313" spans="6:6">
      <c r="F2313" s="261"/>
    </row>
    <row r="2314" spans="6:6">
      <c r="F2314" s="261"/>
    </row>
    <row r="2315" spans="6:6">
      <c r="F2315" s="261"/>
    </row>
    <row r="2316" spans="6:6">
      <c r="F2316" s="261"/>
    </row>
    <row r="2317" spans="6:6">
      <c r="F2317" s="261"/>
    </row>
    <row r="2318" spans="6:6">
      <c r="F2318" s="261"/>
    </row>
    <row r="2319" spans="6:6">
      <c r="F2319" s="261"/>
    </row>
    <row r="2320" spans="6:6">
      <c r="F2320" s="261"/>
    </row>
    <row r="2321" spans="6:6">
      <c r="F2321" s="261"/>
    </row>
    <row r="2322" spans="6:6">
      <c r="F2322" s="261"/>
    </row>
    <row r="2323" spans="6:6">
      <c r="F2323" s="261"/>
    </row>
    <row r="2324" spans="6:6">
      <c r="F2324" s="261"/>
    </row>
    <row r="2325" spans="6:6">
      <c r="F2325" s="261"/>
    </row>
    <row r="2326" spans="6:6">
      <c r="F2326" s="261"/>
    </row>
    <row r="2327" spans="6:6">
      <c r="F2327" s="261"/>
    </row>
    <row r="2328" spans="6:6">
      <c r="F2328" s="261"/>
    </row>
    <row r="2329" spans="6:6">
      <c r="F2329" s="261"/>
    </row>
    <row r="2330" spans="6:6">
      <c r="F2330" s="261"/>
    </row>
    <row r="2331" spans="6:6">
      <c r="F2331" s="261"/>
    </row>
    <row r="2332" spans="6:6">
      <c r="F2332" s="261"/>
    </row>
    <row r="2333" spans="6:6">
      <c r="F2333" s="261"/>
    </row>
    <row r="2334" spans="6:6">
      <c r="F2334" s="261"/>
    </row>
    <row r="2335" spans="6:6">
      <c r="F2335" s="261"/>
    </row>
    <row r="2336" spans="6:6">
      <c r="F2336" s="261"/>
    </row>
    <row r="2337" spans="6:6">
      <c r="F2337" s="261"/>
    </row>
    <row r="2338" spans="6:6">
      <c r="F2338" s="261"/>
    </row>
    <row r="2339" spans="6:6">
      <c r="F2339" s="261"/>
    </row>
    <row r="2340" spans="6:6">
      <c r="F2340" s="261"/>
    </row>
    <row r="2341" spans="6:6">
      <c r="F2341" s="261"/>
    </row>
    <row r="2342" spans="6:6">
      <c r="F2342" s="261"/>
    </row>
    <row r="2343" spans="6:6">
      <c r="F2343" s="261"/>
    </row>
    <row r="2344" spans="6:6">
      <c r="F2344" s="261"/>
    </row>
    <row r="2345" spans="6:6">
      <c r="F2345" s="261"/>
    </row>
    <row r="2346" spans="6:6">
      <c r="F2346" s="261"/>
    </row>
    <row r="2347" spans="6:6">
      <c r="F2347" s="261"/>
    </row>
    <row r="2348" spans="6:6">
      <c r="F2348" s="261"/>
    </row>
    <row r="2349" spans="6:6">
      <c r="F2349" s="261"/>
    </row>
    <row r="2350" spans="6:6">
      <c r="F2350" s="261"/>
    </row>
    <row r="2351" spans="6:6">
      <c r="F2351" s="261"/>
    </row>
    <row r="2352" spans="6:6">
      <c r="F2352" s="261"/>
    </row>
    <row r="2353" spans="6:6">
      <c r="F2353" s="261"/>
    </row>
    <row r="2354" spans="6:6">
      <c r="F2354" s="261"/>
    </row>
    <row r="2355" spans="6:6">
      <c r="F2355" s="261"/>
    </row>
    <row r="2356" spans="6:6">
      <c r="F2356" s="261"/>
    </row>
    <row r="2357" spans="6:6">
      <c r="F2357" s="261"/>
    </row>
    <row r="2358" spans="6:6">
      <c r="F2358" s="261"/>
    </row>
    <row r="2359" spans="6:6">
      <c r="F2359" s="261"/>
    </row>
    <row r="2360" spans="6:6">
      <c r="F2360" s="261"/>
    </row>
    <row r="2361" spans="6:6">
      <c r="F2361" s="261"/>
    </row>
    <row r="2362" spans="6:6">
      <c r="F2362" s="261"/>
    </row>
    <row r="2363" spans="6:6">
      <c r="F2363" s="261"/>
    </row>
    <row r="2364" spans="6:6">
      <c r="F2364" s="261"/>
    </row>
    <row r="2365" spans="6:6">
      <c r="F2365" s="261"/>
    </row>
    <row r="2366" spans="6:6">
      <c r="F2366" s="261"/>
    </row>
    <row r="2367" spans="6:6">
      <c r="F2367" s="261"/>
    </row>
    <row r="2368" spans="6:6">
      <c r="F2368" s="261"/>
    </row>
    <row r="2369" spans="6:6">
      <c r="F2369" s="261"/>
    </row>
    <row r="2370" spans="6:6">
      <c r="F2370" s="261"/>
    </row>
    <row r="2371" spans="6:6">
      <c r="F2371" s="261"/>
    </row>
    <row r="2372" spans="6:6">
      <c r="F2372" s="261"/>
    </row>
    <row r="2373" spans="6:6">
      <c r="F2373" s="261"/>
    </row>
    <row r="2374" spans="6:6">
      <c r="F2374" s="261"/>
    </row>
    <row r="2375" spans="6:6">
      <c r="F2375" s="261"/>
    </row>
    <row r="2376" spans="6:6">
      <c r="F2376" s="261"/>
    </row>
    <row r="2377" spans="6:6">
      <c r="F2377" s="261"/>
    </row>
    <row r="2378" spans="6:6">
      <c r="F2378" s="261"/>
    </row>
    <row r="2379" spans="6:6">
      <c r="F2379" s="261"/>
    </row>
    <row r="2380" spans="6:6">
      <c r="F2380" s="261"/>
    </row>
    <row r="2381" spans="6:6">
      <c r="F2381" s="261"/>
    </row>
    <row r="2382" spans="6:6">
      <c r="F2382" s="261"/>
    </row>
    <row r="2383" spans="6:6">
      <c r="F2383" s="261"/>
    </row>
    <row r="2384" spans="6:6">
      <c r="F2384" s="261"/>
    </row>
    <row r="2385" spans="6:6">
      <c r="F2385" s="261"/>
    </row>
    <row r="2386" spans="6:6">
      <c r="F2386" s="261"/>
    </row>
    <row r="2387" spans="6:6">
      <c r="F2387" s="261"/>
    </row>
    <row r="2388" spans="6:6">
      <c r="F2388" s="261"/>
    </row>
    <row r="2389" spans="6:6">
      <c r="F2389" s="261"/>
    </row>
    <row r="2390" spans="6:6">
      <c r="F2390" s="261"/>
    </row>
    <row r="2391" spans="6:6">
      <c r="F2391" s="261"/>
    </row>
    <row r="2392" spans="6:6">
      <c r="F2392" s="261"/>
    </row>
    <row r="2393" spans="6:6">
      <c r="F2393" s="261"/>
    </row>
    <row r="2394" spans="6:6">
      <c r="F2394" s="261"/>
    </row>
    <row r="2395" spans="6:6">
      <c r="F2395" s="261"/>
    </row>
    <row r="2396" spans="6:6">
      <c r="F2396" s="261"/>
    </row>
    <row r="2397" spans="6:6">
      <c r="F2397" s="261"/>
    </row>
    <row r="2398" spans="6:6">
      <c r="F2398" s="261"/>
    </row>
    <row r="2399" spans="6:6">
      <c r="F2399" s="261"/>
    </row>
    <row r="2400" spans="6:6">
      <c r="F2400" s="261"/>
    </row>
    <row r="2401" spans="6:6">
      <c r="F2401" s="261"/>
    </row>
    <row r="2402" spans="6:6">
      <c r="F2402" s="261"/>
    </row>
    <row r="2403" spans="6:6">
      <c r="F2403" s="261"/>
    </row>
    <row r="2404" spans="6:6">
      <c r="F2404" s="261"/>
    </row>
    <row r="2405" spans="6:6">
      <c r="F2405" s="261"/>
    </row>
    <row r="2406" spans="6:6">
      <c r="F2406" s="261"/>
    </row>
    <row r="2407" spans="6:6">
      <c r="F2407" s="261"/>
    </row>
    <row r="2408" spans="6:6">
      <c r="F2408" s="261"/>
    </row>
    <row r="2409" spans="6:6">
      <c r="F2409" s="261"/>
    </row>
    <row r="2410" spans="6:6">
      <c r="F2410" s="261"/>
    </row>
    <row r="2411" spans="6:6">
      <c r="F2411" s="261"/>
    </row>
    <row r="2412" spans="6:6">
      <c r="F2412" s="261"/>
    </row>
    <row r="2413" spans="6:6">
      <c r="F2413" s="261"/>
    </row>
    <row r="2414" spans="6:6">
      <c r="F2414" s="261"/>
    </row>
    <row r="2415" spans="6:6">
      <c r="F2415" s="261"/>
    </row>
    <row r="2416" spans="6:6">
      <c r="F2416" s="261"/>
    </row>
    <row r="2417" spans="6:6">
      <c r="F2417" s="261"/>
    </row>
    <row r="2418" spans="6:6">
      <c r="F2418" s="261"/>
    </row>
    <row r="2419" spans="6:6">
      <c r="F2419" s="261"/>
    </row>
    <row r="2420" spans="6:6">
      <c r="F2420" s="261"/>
    </row>
    <row r="2421" spans="6:6">
      <c r="F2421" s="261"/>
    </row>
    <row r="2422" spans="6:6">
      <c r="F2422" s="261"/>
    </row>
    <row r="2423" spans="6:6">
      <c r="F2423" s="261"/>
    </row>
    <row r="2424" spans="6:6">
      <c r="F2424" s="261"/>
    </row>
    <row r="2425" spans="6:6">
      <c r="F2425" s="261"/>
    </row>
    <row r="2426" spans="6:6">
      <c r="F2426" s="261"/>
    </row>
    <row r="2427" spans="6:6">
      <c r="F2427" s="261"/>
    </row>
    <row r="2428" spans="6:6">
      <c r="F2428" s="261"/>
    </row>
    <row r="2429" spans="6:6">
      <c r="F2429" s="261"/>
    </row>
    <row r="2430" spans="6:6">
      <c r="F2430" s="261"/>
    </row>
    <row r="2431" spans="6:6">
      <c r="F2431" s="261"/>
    </row>
    <row r="2432" spans="6:6">
      <c r="F2432" s="261"/>
    </row>
    <row r="2433" spans="6:6">
      <c r="F2433" s="261"/>
    </row>
    <row r="2434" spans="6:6">
      <c r="F2434" s="261"/>
    </row>
    <row r="2435" spans="6:6">
      <c r="F2435" s="261"/>
    </row>
    <row r="2436" spans="6:6">
      <c r="F2436" s="261"/>
    </row>
    <row r="2437" spans="6:6">
      <c r="F2437" s="261"/>
    </row>
    <row r="2438" spans="6:6">
      <c r="F2438" s="261"/>
    </row>
    <row r="2439" spans="6:6">
      <c r="F2439" s="261"/>
    </row>
    <row r="2440" spans="6:6">
      <c r="F2440" s="261"/>
    </row>
    <row r="2441" spans="6:6">
      <c r="F2441" s="261"/>
    </row>
    <row r="2442" spans="6:6">
      <c r="F2442" s="261"/>
    </row>
    <row r="2443" spans="6:6">
      <c r="F2443" s="261"/>
    </row>
    <row r="2444" spans="6:6">
      <c r="F2444" s="261"/>
    </row>
    <row r="2445" spans="6:6">
      <c r="F2445" s="261"/>
    </row>
    <row r="2446" spans="6:6">
      <c r="F2446" s="261"/>
    </row>
    <row r="2447" spans="6:6">
      <c r="F2447" s="261"/>
    </row>
    <row r="2448" spans="6:6">
      <c r="F2448" s="261"/>
    </row>
    <row r="2449" spans="6:6">
      <c r="F2449" s="261"/>
    </row>
    <row r="2450" spans="6:6">
      <c r="F2450" s="261"/>
    </row>
    <row r="2451" spans="6:6">
      <c r="F2451" s="261"/>
    </row>
    <row r="2452" spans="6:6">
      <c r="F2452" s="261"/>
    </row>
    <row r="2453" spans="6:6">
      <c r="F2453" s="261"/>
    </row>
    <row r="2454" spans="6:6">
      <c r="F2454" s="261"/>
    </row>
    <row r="2455" spans="6:6">
      <c r="F2455" s="261"/>
    </row>
    <row r="2456" spans="6:6">
      <c r="F2456" s="261"/>
    </row>
    <row r="2457" spans="6:6">
      <c r="F2457" s="261"/>
    </row>
    <row r="2458" spans="6:6">
      <c r="F2458" s="261"/>
    </row>
    <row r="2459" spans="6:6">
      <c r="F2459" s="261"/>
    </row>
    <row r="2460" spans="6:6">
      <c r="F2460" s="261"/>
    </row>
    <row r="2461" spans="6:6">
      <c r="F2461" s="261"/>
    </row>
    <row r="2462" spans="6:6">
      <c r="F2462" s="261"/>
    </row>
    <row r="2463" spans="6:6">
      <c r="F2463" s="261"/>
    </row>
    <row r="2464" spans="6:6">
      <c r="F2464" s="261"/>
    </row>
    <row r="2465" spans="6:6">
      <c r="F2465" s="261"/>
    </row>
    <row r="2466" spans="6:6">
      <c r="F2466" s="261"/>
    </row>
    <row r="2467" spans="6:6">
      <c r="F2467" s="261"/>
    </row>
    <row r="2468" spans="6:6">
      <c r="F2468" s="261"/>
    </row>
    <row r="2469" spans="6:6">
      <c r="F2469" s="261"/>
    </row>
    <row r="2470" spans="6:6">
      <c r="F2470" s="261"/>
    </row>
    <row r="2471" spans="6:6">
      <c r="F2471" s="261"/>
    </row>
    <row r="2472" spans="6:6">
      <c r="F2472" s="261"/>
    </row>
    <row r="2473" spans="6:6">
      <c r="F2473" s="261"/>
    </row>
    <row r="2474" spans="6:6">
      <c r="F2474" s="261"/>
    </row>
    <row r="2475" spans="6:6">
      <c r="F2475" s="261"/>
    </row>
    <row r="2476" spans="6:6">
      <c r="F2476" s="261"/>
    </row>
    <row r="2477" spans="6:6">
      <c r="F2477" s="261"/>
    </row>
    <row r="2478" spans="6:6">
      <c r="F2478" s="261"/>
    </row>
    <row r="2479" spans="6:6">
      <c r="F2479" s="261"/>
    </row>
    <row r="2480" spans="6:6">
      <c r="F2480" s="261"/>
    </row>
    <row r="2481" spans="6:6">
      <c r="F2481" s="261"/>
    </row>
    <row r="2482" spans="6:6">
      <c r="F2482" s="261"/>
    </row>
    <row r="2483" spans="6:6">
      <c r="F2483" s="261"/>
    </row>
    <row r="2484" spans="6:6">
      <c r="F2484" s="261"/>
    </row>
    <row r="2485" spans="6:6">
      <c r="F2485" s="261"/>
    </row>
    <row r="2486" spans="6:6">
      <c r="F2486" s="261"/>
    </row>
    <row r="2487" spans="6:6">
      <c r="F2487" s="261"/>
    </row>
    <row r="2488" spans="6:6">
      <c r="F2488" s="261"/>
    </row>
    <row r="2489" spans="6:6">
      <c r="F2489" s="261"/>
    </row>
    <row r="2490" spans="6:6">
      <c r="F2490" s="261"/>
    </row>
    <row r="2491" spans="6:6">
      <c r="F2491" s="261"/>
    </row>
    <row r="2492" spans="6:6">
      <c r="F2492" s="261"/>
    </row>
    <row r="2493" spans="6:6">
      <c r="F2493" s="261"/>
    </row>
    <row r="2494" spans="6:6">
      <c r="F2494" s="261"/>
    </row>
    <row r="2495" spans="6:6">
      <c r="F2495" s="261"/>
    </row>
    <row r="2496" spans="6:6">
      <c r="F2496" s="261"/>
    </row>
    <row r="2497" spans="6:6">
      <c r="F2497" s="261"/>
    </row>
    <row r="2498" spans="6:6">
      <c r="F2498" s="261"/>
    </row>
    <row r="2499" spans="6:6">
      <c r="F2499" s="261"/>
    </row>
    <row r="2500" spans="6:6">
      <c r="F2500" s="261"/>
    </row>
    <row r="2501" spans="6:6">
      <c r="F2501" s="261"/>
    </row>
    <row r="2502" spans="6:6">
      <c r="F2502" s="261"/>
    </row>
    <row r="2503" spans="6:6">
      <c r="F2503" s="261"/>
    </row>
    <row r="2504" spans="6:6">
      <c r="F2504" s="261"/>
    </row>
    <row r="2505" spans="6:6">
      <c r="F2505" s="261"/>
    </row>
    <row r="2506" spans="6:6">
      <c r="F2506" s="261"/>
    </row>
    <row r="2507" spans="6:6">
      <c r="F2507" s="261"/>
    </row>
    <row r="2508" spans="6:6">
      <c r="F2508" s="261"/>
    </row>
    <row r="2509" spans="6:6">
      <c r="F2509" s="261"/>
    </row>
    <row r="2510" spans="6:6">
      <c r="F2510" s="261"/>
    </row>
    <row r="2511" spans="6:6">
      <c r="F2511" s="261"/>
    </row>
    <row r="2512" spans="6:6">
      <c r="F2512" s="261"/>
    </row>
    <row r="2513" spans="6:6">
      <c r="F2513" s="261"/>
    </row>
    <row r="2514" spans="6:6">
      <c r="F2514" s="261"/>
    </row>
    <row r="2515" spans="6:6">
      <c r="F2515" s="261"/>
    </row>
    <row r="2516" spans="6:6">
      <c r="F2516" s="261"/>
    </row>
    <row r="2517" spans="6:6">
      <c r="F2517" s="261"/>
    </row>
    <row r="2518" spans="6:6">
      <c r="F2518" s="261"/>
    </row>
    <row r="2519" spans="6:6">
      <c r="F2519" s="261"/>
    </row>
    <row r="2520" spans="6:6">
      <c r="F2520" s="261"/>
    </row>
    <row r="2521" spans="6:6">
      <c r="F2521" s="261"/>
    </row>
    <row r="2522" spans="6:6">
      <c r="F2522" s="261"/>
    </row>
    <row r="2523" spans="6:6">
      <c r="F2523" s="261"/>
    </row>
    <row r="2524" spans="6:6">
      <c r="F2524" s="261"/>
    </row>
    <row r="2525" spans="6:6">
      <c r="F2525" s="261"/>
    </row>
    <row r="2526" spans="6:6">
      <c r="F2526" s="261"/>
    </row>
    <row r="2527" spans="6:6">
      <c r="F2527" s="261"/>
    </row>
    <row r="2528" spans="6:6">
      <c r="F2528" s="261"/>
    </row>
    <row r="2529" spans="6:6">
      <c r="F2529" s="261"/>
    </row>
    <row r="2530" spans="6:6">
      <c r="F2530" s="261"/>
    </row>
    <row r="2531" spans="6:6">
      <c r="F2531" s="261"/>
    </row>
    <row r="2532" spans="6:6">
      <c r="F2532" s="261"/>
    </row>
    <row r="2533" spans="6:6">
      <c r="F2533" s="261"/>
    </row>
    <row r="2534" spans="6:6">
      <c r="F2534" s="261"/>
    </row>
    <row r="2535" spans="6:6">
      <c r="F2535" s="261"/>
    </row>
    <row r="2536" spans="6:6">
      <c r="F2536" s="261"/>
    </row>
    <row r="2537" spans="6:6">
      <c r="F2537" s="261"/>
    </row>
    <row r="2538" spans="6:6">
      <c r="F2538" s="261"/>
    </row>
    <row r="2539" spans="6:6">
      <c r="F2539" s="261"/>
    </row>
    <row r="2540" spans="6:6">
      <c r="F2540" s="261"/>
    </row>
    <row r="2541" spans="6:6">
      <c r="F2541" s="261"/>
    </row>
    <row r="2542" spans="6:6">
      <c r="F2542" s="261"/>
    </row>
    <row r="2543" spans="6:6">
      <c r="F2543" s="261"/>
    </row>
    <row r="2544" spans="6:6">
      <c r="F2544" s="261"/>
    </row>
    <row r="2545" spans="6:6">
      <c r="F2545" s="261"/>
    </row>
    <row r="2546" spans="6:6">
      <c r="F2546" s="261"/>
    </row>
    <row r="2547" spans="6:6">
      <c r="F2547" s="261"/>
    </row>
    <row r="2548" spans="6:6">
      <c r="F2548" s="261"/>
    </row>
    <row r="2549" spans="6:6">
      <c r="F2549" s="261"/>
    </row>
    <row r="2550" spans="6:6">
      <c r="F2550" s="261"/>
    </row>
    <row r="2551" spans="6:6">
      <c r="F2551" s="261"/>
    </row>
    <row r="2552" spans="6:6">
      <c r="F2552" s="261"/>
    </row>
    <row r="2553" spans="6:6">
      <c r="F2553" s="261"/>
    </row>
    <row r="2554" spans="6:6">
      <c r="F2554" s="261"/>
    </row>
    <row r="2555" spans="6:6">
      <c r="F2555" s="261"/>
    </row>
    <row r="2556" spans="6:6">
      <c r="F2556" s="261"/>
    </row>
    <row r="2557" spans="6:6">
      <c r="F2557" s="261"/>
    </row>
    <row r="2558" spans="6:6">
      <c r="F2558" s="261"/>
    </row>
    <row r="2559" spans="6:6">
      <c r="F2559" s="261"/>
    </row>
    <row r="2560" spans="6:6">
      <c r="F2560" s="261"/>
    </row>
    <row r="2561" spans="6:6">
      <c r="F2561" s="261"/>
    </row>
    <row r="2562" spans="6:6">
      <c r="F2562" s="261"/>
    </row>
    <row r="2563" spans="6:6">
      <c r="F2563" s="261"/>
    </row>
    <row r="2564" spans="6:6">
      <c r="F2564" s="261"/>
    </row>
    <row r="2565" spans="6:6">
      <c r="F2565" s="261"/>
    </row>
    <row r="2566" spans="6:6">
      <c r="F2566" s="261"/>
    </row>
    <row r="2567" spans="6:6">
      <c r="F2567" s="261"/>
    </row>
    <row r="2568" spans="6:6">
      <c r="F2568" s="261"/>
    </row>
    <row r="2569" spans="6:6">
      <c r="F2569" s="261"/>
    </row>
    <row r="2570" spans="6:6">
      <c r="F2570" s="261"/>
    </row>
    <row r="2571" spans="6:6">
      <c r="F2571" s="261"/>
    </row>
    <row r="2572" spans="6:6">
      <c r="F2572" s="261"/>
    </row>
    <row r="2573" spans="6:6">
      <c r="F2573" s="261"/>
    </row>
    <row r="2574" spans="6:6">
      <c r="F2574" s="261"/>
    </row>
    <row r="2575" spans="6:6">
      <c r="F2575" s="261"/>
    </row>
    <row r="2576" spans="6:6">
      <c r="F2576" s="261"/>
    </row>
    <row r="2577" spans="6:6">
      <c r="F2577" s="261"/>
    </row>
    <row r="2578" spans="6:6">
      <c r="F2578" s="261"/>
    </row>
    <row r="2579" spans="6:6">
      <c r="F2579" s="261"/>
    </row>
    <row r="2580" spans="6:6">
      <c r="F2580" s="261"/>
    </row>
    <row r="2581" spans="6:6">
      <c r="F2581" s="261"/>
    </row>
    <row r="2582" spans="6:6">
      <c r="F2582" s="261"/>
    </row>
    <row r="2583" spans="6:6">
      <c r="F2583" s="261"/>
    </row>
    <row r="2584" spans="6:6">
      <c r="F2584" s="261"/>
    </row>
    <row r="2585" spans="6:6">
      <c r="F2585" s="261"/>
    </row>
    <row r="2586" spans="6:6">
      <c r="F2586" s="261"/>
    </row>
    <row r="2587" spans="6:6">
      <c r="F2587" s="261"/>
    </row>
    <row r="2588" spans="6:6">
      <c r="F2588" s="261"/>
    </row>
    <row r="2589" spans="6:6">
      <c r="F2589" s="261"/>
    </row>
    <row r="2590" spans="6:6">
      <c r="F2590" s="261"/>
    </row>
    <row r="2591" spans="6:6">
      <c r="F2591" s="261"/>
    </row>
    <row r="2592" spans="6:6">
      <c r="F2592" s="261"/>
    </row>
    <row r="2593" spans="6:6">
      <c r="F2593" s="261"/>
    </row>
    <row r="2594" spans="6:6">
      <c r="F2594" s="261"/>
    </row>
    <row r="2595" spans="6:6">
      <c r="F2595" s="261"/>
    </row>
    <row r="2596" spans="6:6">
      <c r="F2596" s="261"/>
    </row>
    <row r="2597" spans="6:6">
      <c r="F2597" s="261"/>
    </row>
    <row r="2598" spans="6:6">
      <c r="F2598" s="261"/>
    </row>
    <row r="2599" spans="6:6">
      <c r="F2599" s="261"/>
    </row>
    <row r="2600" spans="6:6">
      <c r="F2600" s="261"/>
    </row>
    <row r="2601" spans="6:6">
      <c r="F2601" s="261"/>
    </row>
    <row r="2602" spans="6:6">
      <c r="F2602" s="261"/>
    </row>
    <row r="2603" spans="6:6">
      <c r="F2603" s="261"/>
    </row>
    <row r="2604" spans="6:6">
      <c r="F2604" s="261"/>
    </row>
    <row r="2605" spans="6:6">
      <c r="F2605" s="261"/>
    </row>
    <row r="2606" spans="6:6">
      <c r="F2606" s="261"/>
    </row>
    <row r="2607" spans="6:6">
      <c r="F2607" s="261"/>
    </row>
    <row r="2608" spans="6:6">
      <c r="F2608" s="261"/>
    </row>
    <row r="2609" spans="6:6">
      <c r="F2609" s="261"/>
    </row>
    <row r="2610" spans="6:6">
      <c r="F2610" s="261"/>
    </row>
    <row r="2611" spans="6:6">
      <c r="F2611" s="261"/>
    </row>
    <row r="2612" spans="6:6">
      <c r="F2612" s="261"/>
    </row>
    <row r="2613" spans="6:6">
      <c r="F2613" s="261"/>
    </row>
    <row r="2614" spans="6:6">
      <c r="F2614" s="261"/>
    </row>
    <row r="2615" spans="6:6">
      <c r="F2615" s="261"/>
    </row>
    <row r="2616" spans="6:6">
      <c r="F2616" s="261"/>
    </row>
    <row r="2617" spans="6:6">
      <c r="F2617" s="261"/>
    </row>
    <row r="2618" spans="6:6">
      <c r="F2618" s="261"/>
    </row>
    <row r="2619" spans="6:6">
      <c r="F2619" s="261"/>
    </row>
    <row r="2620" spans="6:6">
      <c r="F2620" s="261"/>
    </row>
    <row r="2621" spans="6:6">
      <c r="F2621" s="261"/>
    </row>
    <row r="2622" spans="6:6">
      <c r="F2622" s="261"/>
    </row>
    <row r="2623" spans="6:6">
      <c r="F2623" s="261"/>
    </row>
    <row r="2624" spans="6:6">
      <c r="F2624" s="261"/>
    </row>
    <row r="2625" spans="6:6">
      <c r="F2625" s="261"/>
    </row>
    <row r="2626" spans="6:6">
      <c r="F2626" s="261"/>
    </row>
    <row r="2627" spans="6:6">
      <c r="F2627" s="261"/>
    </row>
    <row r="2628" spans="6:6">
      <c r="F2628" s="261"/>
    </row>
    <row r="2629" spans="6:6">
      <c r="F2629" s="261"/>
    </row>
    <row r="2630" spans="6:6">
      <c r="F2630" s="261"/>
    </row>
    <row r="2631" spans="6:6">
      <c r="F2631" s="261"/>
    </row>
    <row r="2632" spans="6:6">
      <c r="F2632" s="261"/>
    </row>
    <row r="2633" spans="6:6">
      <c r="F2633" s="261"/>
    </row>
    <row r="2634" spans="6:6">
      <c r="F2634" s="261"/>
    </row>
    <row r="2635" spans="6:6">
      <c r="F2635" s="261"/>
    </row>
    <row r="2636" spans="6:6">
      <c r="F2636" s="261"/>
    </row>
    <row r="2637" spans="6:6">
      <c r="F2637" s="261"/>
    </row>
    <row r="2638" spans="6:6">
      <c r="F2638" s="261"/>
    </row>
    <row r="2639" spans="6:6">
      <c r="F2639" s="261"/>
    </row>
    <row r="2640" spans="6:6">
      <c r="F2640" s="261"/>
    </row>
    <row r="2641" spans="6:6">
      <c r="F2641" s="261"/>
    </row>
    <row r="2642" spans="6:6">
      <c r="F2642" s="261"/>
    </row>
    <row r="2643" spans="6:6">
      <c r="F2643" s="261"/>
    </row>
    <row r="2644" spans="6:6">
      <c r="F2644" s="261"/>
    </row>
    <row r="2645" spans="6:6">
      <c r="F2645" s="261"/>
    </row>
    <row r="2646" spans="6:6">
      <c r="F2646" s="261"/>
    </row>
    <row r="2647" spans="6:6">
      <c r="F2647" s="261"/>
    </row>
    <row r="2648" spans="6:6">
      <c r="F2648" s="261"/>
    </row>
    <row r="2649" spans="6:6">
      <c r="F2649" s="261"/>
    </row>
    <row r="2650" spans="6:6">
      <c r="F2650" s="261"/>
    </row>
    <row r="2651" spans="6:6">
      <c r="F2651" s="261"/>
    </row>
    <row r="2652" spans="6:6">
      <c r="F2652" s="261"/>
    </row>
    <row r="2653" spans="6:6">
      <c r="F2653" s="261"/>
    </row>
    <row r="2654" spans="6:6">
      <c r="F2654" s="261"/>
    </row>
    <row r="2655" spans="6:6">
      <c r="F2655" s="261"/>
    </row>
    <row r="2656" spans="6:6">
      <c r="F2656" s="261"/>
    </row>
    <row r="2657" spans="6:6">
      <c r="F2657" s="261"/>
    </row>
    <row r="2658" spans="6:6">
      <c r="F2658" s="261"/>
    </row>
    <row r="2659" spans="6:6">
      <c r="F2659" s="261"/>
    </row>
    <row r="2660" spans="6:6">
      <c r="F2660" s="261"/>
    </row>
    <row r="2661" spans="6:6">
      <c r="F2661" s="261"/>
    </row>
    <row r="2662" spans="6:6">
      <c r="F2662" s="261"/>
    </row>
    <row r="2663" spans="6:6">
      <c r="F2663" s="261"/>
    </row>
    <row r="2664" spans="6:6">
      <c r="F2664" s="261"/>
    </row>
    <row r="2665" spans="6:6">
      <c r="F2665" s="261"/>
    </row>
    <row r="2666" spans="6:6">
      <c r="F2666" s="261"/>
    </row>
    <row r="2667" spans="6:6">
      <c r="F2667" s="261"/>
    </row>
    <row r="2668" spans="6:6">
      <c r="F2668" s="261"/>
    </row>
    <row r="2669" spans="6:6">
      <c r="F2669" s="261"/>
    </row>
    <row r="2670" spans="6:6">
      <c r="F2670" s="261"/>
    </row>
    <row r="2671" spans="6:6">
      <c r="F2671" s="261"/>
    </row>
    <row r="2672" spans="6:6">
      <c r="F2672" s="261"/>
    </row>
    <row r="2673" spans="6:6">
      <c r="F2673" s="261"/>
    </row>
    <row r="2674" spans="6:6">
      <c r="F2674" s="261"/>
    </row>
    <row r="2675" spans="6:6">
      <c r="F2675" s="261"/>
    </row>
    <row r="2676" spans="6:6">
      <c r="F2676" s="261"/>
    </row>
    <row r="2677" spans="6:6">
      <c r="F2677" s="261"/>
    </row>
    <row r="2678" spans="6:6">
      <c r="F2678" s="261"/>
    </row>
    <row r="2679" spans="6:6">
      <c r="F2679" s="261"/>
    </row>
    <row r="2680" spans="6:6">
      <c r="F2680" s="261"/>
    </row>
    <row r="2681" spans="6:6">
      <c r="F2681" s="261"/>
    </row>
    <row r="2682" spans="6:6">
      <c r="F2682" s="261"/>
    </row>
    <row r="2683" spans="6:6">
      <c r="F2683" s="261"/>
    </row>
    <row r="2684" spans="6:6">
      <c r="F2684" s="261"/>
    </row>
    <row r="2685" spans="6:6">
      <c r="F2685" s="261"/>
    </row>
    <row r="2686" spans="6:6">
      <c r="F2686" s="261"/>
    </row>
    <row r="2687" spans="6:6">
      <c r="F2687" s="261"/>
    </row>
    <row r="2688" spans="6:6">
      <c r="F2688" s="261"/>
    </row>
    <row r="2689" spans="6:6">
      <c r="F2689" s="261"/>
    </row>
    <row r="2690" spans="6:6">
      <c r="F2690" s="261"/>
    </row>
    <row r="2691" spans="6:6">
      <c r="F2691" s="261"/>
    </row>
    <row r="2692" spans="6:6">
      <c r="F2692" s="261"/>
    </row>
    <row r="2693" spans="6:6">
      <c r="F2693" s="261"/>
    </row>
    <row r="2694" spans="6:6">
      <c r="F2694" s="261"/>
    </row>
    <row r="2695" spans="6:6">
      <c r="F2695" s="261"/>
    </row>
    <row r="2696" spans="6:6">
      <c r="F2696" s="261"/>
    </row>
    <row r="2697" spans="6:6">
      <c r="F2697" s="261"/>
    </row>
    <row r="2698" spans="6:6">
      <c r="F2698" s="261"/>
    </row>
    <row r="2699" spans="6:6">
      <c r="F2699" s="261"/>
    </row>
    <row r="2700" spans="6:6">
      <c r="F2700" s="261"/>
    </row>
    <row r="2701" spans="6:6">
      <c r="F2701" s="261"/>
    </row>
    <row r="2702" spans="6:6">
      <c r="F2702" s="261"/>
    </row>
    <row r="2703" spans="6:6">
      <c r="F2703" s="261"/>
    </row>
    <row r="2704" spans="6:6">
      <c r="F2704" s="261"/>
    </row>
    <row r="2705" spans="6:6">
      <c r="F2705" s="261"/>
    </row>
    <row r="2706" spans="6:6">
      <c r="F2706" s="261"/>
    </row>
    <row r="2707" spans="6:6">
      <c r="F2707" s="261"/>
    </row>
    <row r="2708" spans="6:6">
      <c r="F2708" s="261"/>
    </row>
    <row r="2709" spans="6:6">
      <c r="F2709" s="261"/>
    </row>
    <row r="2710" spans="6:6">
      <c r="F2710" s="261"/>
    </row>
    <row r="2711" spans="6:6">
      <c r="F2711" s="261"/>
    </row>
    <row r="2712" spans="6:6">
      <c r="F2712" s="261"/>
    </row>
    <row r="2713" spans="6:6">
      <c r="F2713" s="261"/>
    </row>
    <row r="2714" spans="6:6">
      <c r="F2714" s="261"/>
    </row>
    <row r="2715" spans="6:6">
      <c r="F2715" s="261"/>
    </row>
    <row r="2716" spans="6:6">
      <c r="F2716" s="261"/>
    </row>
    <row r="2717" spans="6:6">
      <c r="F2717" s="261"/>
    </row>
    <row r="2718" spans="6:6">
      <c r="F2718" s="261"/>
    </row>
    <row r="2719" spans="6:6">
      <c r="F2719" s="261"/>
    </row>
    <row r="2720" spans="6:6">
      <c r="F2720" s="261"/>
    </row>
    <row r="2721" spans="6:6">
      <c r="F2721" s="261"/>
    </row>
    <row r="2722" spans="6:6">
      <c r="F2722" s="261"/>
    </row>
    <row r="2723" spans="6:6">
      <c r="F2723" s="261"/>
    </row>
    <row r="2724" spans="6:6">
      <c r="F2724" s="261"/>
    </row>
    <row r="2725" spans="6:6">
      <c r="F2725" s="261"/>
    </row>
    <row r="2726" spans="6:6">
      <c r="F2726" s="261"/>
    </row>
    <row r="2727" spans="6:6">
      <c r="F2727" s="261"/>
    </row>
    <row r="2728" spans="6:6">
      <c r="F2728" s="261"/>
    </row>
    <row r="2729" spans="6:6">
      <c r="F2729" s="261"/>
    </row>
    <row r="2730" spans="6:6">
      <c r="F2730" s="261"/>
    </row>
    <row r="2731" spans="6:6">
      <c r="F2731" s="261"/>
    </row>
    <row r="2732" spans="6:6">
      <c r="F2732" s="261"/>
    </row>
    <row r="2733" spans="6:6">
      <c r="F2733" s="261"/>
    </row>
    <row r="2734" spans="6:6">
      <c r="F2734" s="261"/>
    </row>
    <row r="2735" spans="6:6">
      <c r="F2735" s="261"/>
    </row>
    <row r="2736" spans="6:6">
      <c r="F2736" s="261"/>
    </row>
    <row r="2737" spans="6:6">
      <c r="F2737" s="261"/>
    </row>
    <row r="2738" spans="6:6">
      <c r="F2738" s="261"/>
    </row>
    <row r="2739" spans="6:6">
      <c r="F2739" s="261"/>
    </row>
    <row r="2740" spans="6:6">
      <c r="F2740" s="261"/>
    </row>
    <row r="2741" spans="6:6">
      <c r="F2741" s="261"/>
    </row>
    <row r="2742" spans="6:6">
      <c r="F2742" s="261"/>
    </row>
    <row r="2743" spans="6:6">
      <c r="F2743" s="261"/>
    </row>
    <row r="2744" spans="6:6">
      <c r="F2744" s="261"/>
    </row>
    <row r="2745" spans="6:6">
      <c r="F2745" s="261"/>
    </row>
    <row r="2746" spans="6:6">
      <c r="F2746" s="261"/>
    </row>
    <row r="2747" spans="6:6">
      <c r="F2747" s="261"/>
    </row>
    <row r="2748" spans="6:6">
      <c r="F2748" s="261"/>
    </row>
    <row r="2749" spans="6:6">
      <c r="F2749" s="261"/>
    </row>
    <row r="2750" spans="6:6">
      <c r="F2750" s="261"/>
    </row>
    <row r="2751" spans="6:6">
      <c r="F2751" s="261"/>
    </row>
    <row r="2752" spans="6:6">
      <c r="F2752" s="261"/>
    </row>
    <row r="2753" spans="6:6">
      <c r="F2753" s="261"/>
    </row>
    <row r="2754" spans="6:6">
      <c r="F2754" s="261"/>
    </row>
    <row r="2755" spans="6:6">
      <c r="F2755" s="261"/>
    </row>
    <row r="2756" spans="6:6">
      <c r="F2756" s="261"/>
    </row>
    <row r="2757" spans="6:6">
      <c r="F2757" s="261"/>
    </row>
    <row r="2758" spans="6:6">
      <c r="F2758" s="261"/>
    </row>
    <row r="2759" spans="6:6">
      <c r="F2759" s="261"/>
    </row>
    <row r="2760" spans="6:6">
      <c r="F2760" s="261"/>
    </row>
    <row r="2761" spans="6:6">
      <c r="F2761" s="261"/>
    </row>
    <row r="2762" spans="6:6">
      <c r="F2762" s="261"/>
    </row>
    <row r="2763" spans="6:6">
      <c r="F2763" s="261"/>
    </row>
    <row r="2764" spans="6:6">
      <c r="F2764" s="261"/>
    </row>
    <row r="2765" spans="6:6">
      <c r="F2765" s="261"/>
    </row>
    <row r="2766" spans="6:6">
      <c r="F2766" s="261"/>
    </row>
    <row r="2767" spans="6:6">
      <c r="F2767" s="261"/>
    </row>
    <row r="2768" spans="6:6">
      <c r="F2768" s="261"/>
    </row>
    <row r="2769" spans="6:6">
      <c r="F2769" s="261"/>
    </row>
    <row r="2770" spans="6:6">
      <c r="F2770" s="261"/>
    </row>
    <row r="2771" spans="6:6">
      <c r="F2771" s="261"/>
    </row>
    <row r="2772" spans="6:6">
      <c r="F2772" s="261"/>
    </row>
    <row r="2773" spans="6:6">
      <c r="F2773" s="261"/>
    </row>
    <row r="2774" spans="6:6">
      <c r="F2774" s="261"/>
    </row>
    <row r="2775" spans="6:6">
      <c r="F2775" s="261"/>
    </row>
    <row r="2776" spans="6:6">
      <c r="F2776" s="261"/>
    </row>
    <row r="2777" spans="6:6">
      <c r="F2777" s="261"/>
    </row>
    <row r="2778" spans="6:6">
      <c r="F2778" s="261"/>
    </row>
    <row r="2779" spans="6:6">
      <c r="F2779" s="261"/>
    </row>
    <row r="2780" spans="6:6">
      <c r="F2780" s="261"/>
    </row>
    <row r="2781" spans="6:6">
      <c r="F2781" s="261"/>
    </row>
    <row r="2782" spans="6:6">
      <c r="F2782" s="261"/>
    </row>
    <row r="2783" spans="6:6">
      <c r="F2783" s="261"/>
    </row>
    <row r="2784" spans="6:6">
      <c r="F2784" s="261"/>
    </row>
    <row r="2785" spans="6:6">
      <c r="F2785" s="261"/>
    </row>
    <row r="2786" spans="6:6">
      <c r="F2786" s="261"/>
    </row>
    <row r="2787" spans="6:6">
      <c r="F2787" s="261"/>
    </row>
    <row r="2788" spans="6:6">
      <c r="F2788" s="261"/>
    </row>
    <row r="2789" spans="6:6">
      <c r="F2789" s="261"/>
    </row>
    <row r="2790" spans="6:6">
      <c r="F2790" s="261"/>
    </row>
    <row r="2791" spans="6:6">
      <c r="F2791" s="261"/>
    </row>
    <row r="2792" spans="6:6">
      <c r="F2792" s="261"/>
    </row>
    <row r="2793" spans="6:6">
      <c r="F2793" s="261"/>
    </row>
    <row r="2794" spans="6:6">
      <c r="F2794" s="261"/>
    </row>
    <row r="2795" spans="6:6">
      <c r="F2795" s="261"/>
    </row>
    <row r="2796" spans="6:6">
      <c r="F2796" s="261"/>
    </row>
    <row r="2797" spans="6:6">
      <c r="F2797" s="261"/>
    </row>
    <row r="2798" spans="6:6">
      <c r="F2798" s="261"/>
    </row>
    <row r="2799" spans="6:6">
      <c r="F2799" s="261"/>
    </row>
    <row r="2800" spans="6:6">
      <c r="F2800" s="261"/>
    </row>
    <row r="2801" spans="6:6">
      <c r="F2801" s="261"/>
    </row>
    <row r="2802" spans="6:6">
      <c r="F2802" s="261"/>
    </row>
    <row r="2803" spans="6:6">
      <c r="F2803" s="261"/>
    </row>
    <row r="2804" spans="6:6">
      <c r="F2804" s="261"/>
    </row>
    <row r="2805" spans="6:6">
      <c r="F2805" s="261"/>
    </row>
    <row r="2806" spans="6:6">
      <c r="F2806" s="261"/>
    </row>
    <row r="2807" spans="6:6">
      <c r="F2807" s="261"/>
    </row>
    <row r="2808" spans="6:6">
      <c r="F2808" s="261"/>
    </row>
    <row r="2809" spans="6:6">
      <c r="F2809" s="261"/>
    </row>
    <row r="2810" spans="6:6">
      <c r="F2810" s="261"/>
    </row>
    <row r="2811" spans="6:6">
      <c r="F2811" s="261"/>
    </row>
    <row r="2812" spans="6:6">
      <c r="F2812" s="261"/>
    </row>
    <row r="2813" spans="6:6">
      <c r="F2813" s="261"/>
    </row>
    <row r="2814" spans="6:6">
      <c r="F2814" s="261"/>
    </row>
    <row r="2815" spans="6:6">
      <c r="F2815" s="261"/>
    </row>
    <row r="2816" spans="6:6">
      <c r="F2816" s="261"/>
    </row>
    <row r="2817" spans="6:6">
      <c r="F2817" s="261"/>
    </row>
    <row r="2818" spans="6:6">
      <c r="F2818" s="261"/>
    </row>
    <row r="2819" spans="6:6">
      <c r="F2819" s="261"/>
    </row>
    <row r="2820" spans="6:6">
      <c r="F2820" s="261"/>
    </row>
    <row r="2821" spans="6:6">
      <c r="F2821" s="261"/>
    </row>
    <row r="2822" spans="6:6">
      <c r="F2822" s="261"/>
    </row>
    <row r="2823" spans="6:6">
      <c r="F2823" s="261"/>
    </row>
    <row r="2824" spans="6:6">
      <c r="F2824" s="261"/>
    </row>
    <row r="2825" spans="6:6">
      <c r="F2825" s="261"/>
    </row>
    <row r="2826" spans="6:6">
      <c r="F2826" s="261"/>
    </row>
    <row r="2827" spans="6:6">
      <c r="F2827" s="261"/>
    </row>
    <row r="2828" spans="6:6">
      <c r="F2828" s="261"/>
    </row>
    <row r="2829" spans="6:6">
      <c r="F2829" s="261"/>
    </row>
    <row r="2830" spans="6:6">
      <c r="F2830" s="261"/>
    </row>
    <row r="2831" spans="6:6">
      <c r="F2831" s="261"/>
    </row>
    <row r="2832" spans="6:6">
      <c r="F2832" s="261"/>
    </row>
    <row r="2833" spans="6:6">
      <c r="F2833" s="261"/>
    </row>
    <row r="2834" spans="6:6">
      <c r="F2834" s="261"/>
    </row>
    <row r="2835" spans="6:6">
      <c r="F2835" s="261"/>
    </row>
    <row r="2836" spans="6:6">
      <c r="F2836" s="261"/>
    </row>
    <row r="2837" spans="6:6">
      <c r="F2837" s="261"/>
    </row>
    <row r="2838" spans="6:6">
      <c r="F2838" s="261"/>
    </row>
    <row r="2839" spans="6:6">
      <c r="F2839" s="261"/>
    </row>
    <row r="2840" spans="6:6">
      <c r="F2840" s="261"/>
    </row>
    <row r="2841" spans="6:6">
      <c r="F2841" s="261"/>
    </row>
    <row r="2842" spans="6:6">
      <c r="F2842" s="261"/>
    </row>
    <row r="2843" spans="6:6">
      <c r="F2843" s="261"/>
    </row>
    <row r="2844" spans="6:6">
      <c r="F2844" s="261"/>
    </row>
    <row r="2845" spans="6:6">
      <c r="F2845" s="261"/>
    </row>
    <row r="2846" spans="6:6">
      <c r="F2846" s="261"/>
    </row>
    <row r="2847" spans="6:6">
      <c r="F2847" s="261"/>
    </row>
    <row r="2848" spans="6:6">
      <c r="F2848" s="261"/>
    </row>
    <row r="2849" spans="6:6">
      <c r="F2849" s="261"/>
    </row>
    <row r="2850" spans="6:6">
      <c r="F2850" s="261"/>
    </row>
    <row r="2851" spans="6:6">
      <c r="F2851" s="261"/>
    </row>
    <row r="2852" spans="6:6">
      <c r="F2852" s="261"/>
    </row>
    <row r="2853" spans="6:6">
      <c r="F2853" s="261"/>
    </row>
    <row r="2854" spans="6:6">
      <c r="F2854" s="261"/>
    </row>
    <row r="2855" spans="6:6">
      <c r="F2855" s="261"/>
    </row>
    <row r="2856" spans="6:6">
      <c r="F2856" s="261"/>
    </row>
    <row r="2857" spans="6:6">
      <c r="F2857" s="261"/>
    </row>
    <row r="2858" spans="6:6">
      <c r="F2858" s="261"/>
    </row>
    <row r="2859" spans="6:6">
      <c r="F2859" s="261"/>
    </row>
    <row r="2860" spans="6:6">
      <c r="F2860" s="261"/>
    </row>
    <row r="2861" spans="6:6">
      <c r="F2861" s="261"/>
    </row>
    <row r="2862" spans="6:6">
      <c r="F2862" s="261"/>
    </row>
    <row r="2863" spans="6:6">
      <c r="F2863" s="261"/>
    </row>
    <row r="2864" spans="6:6">
      <c r="F2864" s="261"/>
    </row>
    <row r="2865" spans="6:6">
      <c r="F2865" s="261"/>
    </row>
    <row r="2866" spans="6:6">
      <c r="F2866" s="261"/>
    </row>
    <row r="2867" spans="6:6">
      <c r="F2867" s="261"/>
    </row>
    <row r="2868" spans="6:6">
      <c r="F2868" s="261"/>
    </row>
    <row r="2869" spans="6:6">
      <c r="F2869" s="261"/>
    </row>
    <row r="2870" spans="6:6">
      <c r="F2870" s="261"/>
    </row>
    <row r="2871" spans="6:6">
      <c r="F2871" s="261"/>
    </row>
    <row r="2872" spans="6:6">
      <c r="F2872" s="261"/>
    </row>
    <row r="2873" spans="6:6">
      <c r="F2873" s="261"/>
    </row>
    <row r="2874" spans="6:6">
      <c r="F2874" s="261"/>
    </row>
    <row r="2875" spans="6:6">
      <c r="F2875" s="261"/>
    </row>
    <row r="2876" spans="6:6">
      <c r="F2876" s="261"/>
    </row>
    <row r="2877" spans="6:6">
      <c r="F2877" s="261"/>
    </row>
    <row r="2878" spans="6:6">
      <c r="F2878" s="261"/>
    </row>
    <row r="2879" spans="6:6">
      <c r="F2879" s="261"/>
    </row>
    <row r="2880" spans="6:6">
      <c r="F2880" s="261"/>
    </row>
    <row r="2881" spans="6:6">
      <c r="F2881" s="261"/>
    </row>
    <row r="2882" spans="6:6">
      <c r="F2882" s="261"/>
    </row>
    <row r="2883" spans="6:6">
      <c r="F2883" s="261"/>
    </row>
    <row r="2884" spans="6:6">
      <c r="F2884" s="261"/>
    </row>
    <row r="2885" spans="6:6">
      <c r="F2885" s="261"/>
    </row>
    <row r="2886" spans="6:6">
      <c r="F2886" s="261"/>
    </row>
    <row r="2887" spans="6:6">
      <c r="F2887" s="261"/>
    </row>
    <row r="2888" spans="6:6">
      <c r="F2888" s="261"/>
    </row>
    <row r="2889" spans="6:6">
      <c r="F2889" s="261"/>
    </row>
    <row r="2890" spans="6:6">
      <c r="F2890" s="261"/>
    </row>
    <row r="2891" spans="6:6">
      <c r="F2891" s="261"/>
    </row>
    <row r="2892" spans="6:6">
      <c r="F2892" s="261"/>
    </row>
    <row r="2893" spans="6:6">
      <c r="F2893" s="261"/>
    </row>
    <row r="2894" spans="6:6">
      <c r="F2894" s="261"/>
    </row>
    <row r="2895" spans="6:6">
      <c r="F2895" s="261"/>
    </row>
    <row r="2896" spans="6:6">
      <c r="F2896" s="261"/>
    </row>
    <row r="2897" spans="6:6">
      <c r="F2897" s="261"/>
    </row>
    <row r="2898" spans="6:6">
      <c r="F2898" s="261"/>
    </row>
    <row r="2899" spans="6:6">
      <c r="F2899" s="261"/>
    </row>
    <row r="2900" spans="6:6">
      <c r="F2900" s="261"/>
    </row>
    <row r="2901" spans="6:6">
      <c r="F2901" s="261"/>
    </row>
    <row r="2902" spans="6:6">
      <c r="F2902" s="261"/>
    </row>
    <row r="2903" spans="6:6">
      <c r="F2903" s="261"/>
    </row>
    <row r="2904" spans="6:6">
      <c r="F2904" s="261"/>
    </row>
    <row r="2905" spans="6:6">
      <c r="F2905" s="261"/>
    </row>
    <row r="2906" spans="6:6">
      <c r="F2906" s="261"/>
    </row>
    <row r="2907" spans="6:6">
      <c r="F2907" s="261"/>
    </row>
    <row r="2908" spans="6:6">
      <c r="F2908" s="261"/>
    </row>
    <row r="2909" spans="6:6">
      <c r="F2909" s="261"/>
    </row>
    <row r="2910" spans="6:6">
      <c r="F2910" s="261"/>
    </row>
    <row r="2911" spans="6:6">
      <c r="F2911" s="261"/>
    </row>
    <row r="2912" spans="6:6">
      <c r="F2912" s="261"/>
    </row>
    <row r="2913" spans="6:6">
      <c r="F2913" s="261"/>
    </row>
    <row r="2914" spans="6:6">
      <c r="F2914" s="261"/>
    </row>
    <row r="2915" spans="6:6">
      <c r="F2915" s="261"/>
    </row>
    <row r="2916" spans="6:6">
      <c r="F2916" s="261"/>
    </row>
    <row r="2917" spans="6:6">
      <c r="F2917" s="261"/>
    </row>
    <row r="2918" spans="6:6">
      <c r="F2918" s="261"/>
    </row>
    <row r="2919" spans="6:6">
      <c r="F2919" s="261"/>
    </row>
    <row r="2920" spans="6:6">
      <c r="F2920" s="261"/>
    </row>
    <row r="2921" spans="6:6">
      <c r="F2921" s="261"/>
    </row>
    <row r="2922" spans="6:6">
      <c r="F2922" s="261"/>
    </row>
    <row r="2923" spans="6:6">
      <c r="F2923" s="261"/>
    </row>
    <row r="2924" spans="6:6">
      <c r="F2924" s="261"/>
    </row>
    <row r="2925" spans="6:6">
      <c r="F2925" s="261"/>
    </row>
    <row r="2926" spans="6:6">
      <c r="F2926" s="261"/>
    </row>
    <row r="2927" spans="6:6">
      <c r="F2927" s="261"/>
    </row>
    <row r="2928" spans="6:6">
      <c r="F2928" s="261"/>
    </row>
    <row r="2929" spans="6:6">
      <c r="F2929" s="261"/>
    </row>
    <row r="2930" spans="6:6">
      <c r="F2930" s="261"/>
    </row>
    <row r="2931" spans="6:6">
      <c r="F2931" s="261"/>
    </row>
    <row r="2932" spans="6:6">
      <c r="F2932" s="261"/>
    </row>
    <row r="2933" spans="6:6">
      <c r="F2933" s="261"/>
    </row>
    <row r="2934" spans="6:6">
      <c r="F2934" s="261"/>
    </row>
    <row r="2935" spans="6:6">
      <c r="F2935" s="261"/>
    </row>
    <row r="2936" spans="6:6">
      <c r="F2936" s="261"/>
    </row>
    <row r="2937" spans="6:6">
      <c r="F2937" s="261"/>
    </row>
    <row r="2938" spans="6:6">
      <c r="F2938" s="261"/>
    </row>
    <row r="2939" spans="6:6">
      <c r="F2939" s="261"/>
    </row>
    <row r="2940" spans="6:6">
      <c r="F2940" s="261"/>
    </row>
    <row r="2941" spans="6:6">
      <c r="F2941" s="261"/>
    </row>
    <row r="2942" spans="6:6">
      <c r="F2942" s="261"/>
    </row>
    <row r="2943" spans="6:6">
      <c r="F2943" s="261"/>
    </row>
    <row r="2944" spans="6:6">
      <c r="F2944" s="261"/>
    </row>
    <row r="2945" spans="6:6">
      <c r="F2945" s="261"/>
    </row>
    <row r="2946" spans="6:6">
      <c r="F2946" s="261"/>
    </row>
    <row r="2947" spans="6:6">
      <c r="F2947" s="261"/>
    </row>
    <row r="2948" spans="6:6">
      <c r="F2948" s="261"/>
    </row>
    <row r="2949" spans="6:6">
      <c r="F2949" s="261"/>
    </row>
    <row r="2950" spans="6:6">
      <c r="F2950" s="261"/>
    </row>
    <row r="2951" spans="6:6">
      <c r="F2951" s="261"/>
    </row>
    <row r="2952" spans="6:6">
      <c r="F2952" s="261"/>
    </row>
    <row r="2953" spans="6:6">
      <c r="F2953" s="261"/>
    </row>
    <row r="2954" spans="6:6">
      <c r="F2954" s="261"/>
    </row>
    <row r="2955" spans="6:6">
      <c r="F2955" s="261"/>
    </row>
    <row r="2956" spans="6:6">
      <c r="F2956" s="261"/>
    </row>
    <row r="2957" spans="6:6">
      <c r="F2957" s="261"/>
    </row>
    <row r="2958" spans="6:6">
      <c r="F2958" s="261"/>
    </row>
    <row r="2959" spans="6:6">
      <c r="F2959" s="261"/>
    </row>
    <row r="2960" spans="6:6">
      <c r="F2960" s="261"/>
    </row>
    <row r="2961" spans="6:6">
      <c r="F2961" s="261"/>
    </row>
    <row r="2962" spans="6:6">
      <c r="F2962" s="261"/>
    </row>
    <row r="2963" spans="6:6">
      <c r="F2963" s="261"/>
    </row>
    <row r="2964" spans="6:6">
      <c r="F2964" s="261"/>
    </row>
    <row r="2965" spans="6:6">
      <c r="F2965" s="261"/>
    </row>
    <row r="2966" spans="6:6">
      <c r="F2966" s="261"/>
    </row>
    <row r="2967" spans="6:6">
      <c r="F2967" s="261"/>
    </row>
    <row r="2968" spans="6:6">
      <c r="F2968" s="261"/>
    </row>
    <row r="2969" spans="6:6">
      <c r="F2969" s="261"/>
    </row>
    <row r="2970" spans="6:6">
      <c r="F2970" s="261"/>
    </row>
    <row r="2971" spans="6:6">
      <c r="F2971" s="261"/>
    </row>
    <row r="2972" spans="6:6">
      <c r="F2972" s="261"/>
    </row>
    <row r="2973" spans="6:6">
      <c r="F2973" s="261"/>
    </row>
    <row r="2974" spans="6:6">
      <c r="F2974" s="261"/>
    </row>
    <row r="2975" spans="6:6">
      <c r="F2975" s="261"/>
    </row>
    <row r="2976" spans="6:6">
      <c r="F2976" s="261"/>
    </row>
    <row r="2977" spans="6:6">
      <c r="F2977" s="261"/>
    </row>
    <row r="2978" spans="6:6">
      <c r="F2978" s="261"/>
    </row>
    <row r="2979" spans="6:6">
      <c r="F2979" s="261"/>
    </row>
    <row r="2980" spans="6:6">
      <c r="F2980" s="261"/>
    </row>
    <row r="2981" spans="6:6">
      <c r="F2981" s="261"/>
    </row>
    <row r="2982" spans="6:6">
      <c r="F2982" s="261"/>
    </row>
    <row r="2983" spans="6:6">
      <c r="F2983" s="261"/>
    </row>
    <row r="2984" spans="6:6">
      <c r="F2984" s="261"/>
    </row>
    <row r="2985" spans="6:6">
      <c r="F2985" s="261"/>
    </row>
    <row r="2986" spans="6:6">
      <c r="F2986" s="261"/>
    </row>
    <row r="2987" spans="6:6">
      <c r="F2987" s="261"/>
    </row>
    <row r="2988" spans="6:6">
      <c r="F2988" s="261"/>
    </row>
    <row r="2989" spans="6:6">
      <c r="F2989" s="261"/>
    </row>
    <row r="2990" spans="6:6">
      <c r="F2990" s="261"/>
    </row>
    <row r="2991" spans="6:6">
      <c r="F2991" s="261"/>
    </row>
    <row r="2992" spans="6:6">
      <c r="F2992" s="261"/>
    </row>
    <row r="2993" spans="6:6">
      <c r="F2993" s="261"/>
    </row>
    <row r="2994" spans="6:6">
      <c r="F2994" s="261"/>
    </row>
    <row r="2995" spans="6:6">
      <c r="F2995" s="261"/>
    </row>
    <row r="2996" spans="6:6">
      <c r="F2996" s="261"/>
    </row>
    <row r="2997" spans="6:6">
      <c r="F2997" s="261"/>
    </row>
    <row r="2998" spans="6:6">
      <c r="F2998" s="261"/>
    </row>
    <row r="2999" spans="6:6">
      <c r="F2999" s="261"/>
    </row>
    <row r="3000" spans="6:6">
      <c r="F3000" s="261"/>
    </row>
    <row r="3001" spans="6:6">
      <c r="F3001" s="261"/>
    </row>
    <row r="3002" spans="6:6">
      <c r="F3002" s="261"/>
    </row>
    <row r="3003" spans="6:6">
      <c r="F3003" s="261"/>
    </row>
    <row r="3004" spans="6:6">
      <c r="F3004" s="261"/>
    </row>
    <row r="3005" spans="6:6">
      <c r="F3005" s="261"/>
    </row>
    <row r="3006" spans="6:6">
      <c r="F3006" s="261"/>
    </row>
    <row r="3007" spans="6:6">
      <c r="F3007" s="261"/>
    </row>
    <row r="3008" spans="6:6">
      <c r="F3008" s="261"/>
    </row>
    <row r="3009" spans="6:6">
      <c r="F3009" s="261"/>
    </row>
    <row r="3010" spans="6:6">
      <c r="F3010" s="261"/>
    </row>
    <row r="3011" spans="6:6">
      <c r="F3011" s="261"/>
    </row>
    <row r="3012" spans="6:6">
      <c r="F3012" s="261"/>
    </row>
    <row r="3013" spans="6:6">
      <c r="F3013" s="261"/>
    </row>
    <row r="3014" spans="6:6">
      <c r="F3014" s="261"/>
    </row>
    <row r="3015" spans="6:6">
      <c r="F3015" s="261"/>
    </row>
    <row r="3016" spans="6:6">
      <c r="F3016" s="261"/>
    </row>
    <row r="3017" spans="6:6">
      <c r="F3017" s="261"/>
    </row>
    <row r="3018" spans="6:6">
      <c r="F3018" s="261"/>
    </row>
    <row r="3019" spans="6:6">
      <c r="F3019" s="261"/>
    </row>
    <row r="3020" spans="6:6">
      <c r="F3020" s="261"/>
    </row>
    <row r="3021" spans="6:6">
      <c r="F3021" s="261"/>
    </row>
    <row r="3022" spans="6:6">
      <c r="F3022" s="261"/>
    </row>
    <row r="3023" spans="6:6">
      <c r="F3023" s="261"/>
    </row>
    <row r="3024" spans="6:6">
      <c r="F3024" s="261"/>
    </row>
    <row r="3025" spans="6:6">
      <c r="F3025" s="261"/>
    </row>
    <row r="3026" spans="6:6">
      <c r="F3026" s="261"/>
    </row>
    <row r="3027" spans="6:6">
      <c r="F3027" s="261"/>
    </row>
    <row r="3028" spans="6:6">
      <c r="F3028" s="261"/>
    </row>
    <row r="3029" spans="6:6">
      <c r="F3029" s="261"/>
    </row>
    <row r="3030" spans="6:6">
      <c r="F3030" s="261"/>
    </row>
    <row r="3031" spans="6:6">
      <c r="F3031" s="261"/>
    </row>
    <row r="3032" spans="6:6">
      <c r="F3032" s="261"/>
    </row>
    <row r="3033" spans="6:6">
      <c r="F3033" s="261"/>
    </row>
    <row r="3034" spans="6:6">
      <c r="F3034" s="261"/>
    </row>
    <row r="3035" spans="6:6">
      <c r="F3035" s="261"/>
    </row>
    <row r="3036" spans="6:6">
      <c r="F3036" s="261"/>
    </row>
    <row r="3037" spans="6:6">
      <c r="F3037" s="261"/>
    </row>
    <row r="3038" spans="6:6">
      <c r="F3038" s="261"/>
    </row>
    <row r="3039" spans="6:6">
      <c r="F3039" s="261"/>
    </row>
    <row r="3040" spans="6:6">
      <c r="F3040" s="261"/>
    </row>
    <row r="3041" spans="6:6">
      <c r="F3041" s="261"/>
    </row>
    <row r="3042" spans="6:6">
      <c r="F3042" s="261"/>
    </row>
    <row r="3043" spans="6:6">
      <c r="F3043" s="261"/>
    </row>
    <row r="3044" spans="6:6">
      <c r="F3044" s="261"/>
    </row>
    <row r="3045" spans="6:6">
      <c r="F3045" s="261"/>
    </row>
    <row r="3046" spans="6:6">
      <c r="F3046" s="261"/>
    </row>
    <row r="3047" spans="6:6">
      <c r="F3047" s="261"/>
    </row>
    <row r="3048" spans="6:6">
      <c r="F3048" s="261"/>
    </row>
    <row r="3049" spans="6:6">
      <c r="F3049" s="261"/>
    </row>
    <row r="3050" spans="6:6">
      <c r="F3050" s="261"/>
    </row>
    <row r="3051" spans="6:6">
      <c r="F3051" s="261"/>
    </row>
    <row r="3052" spans="6:6">
      <c r="F3052" s="261"/>
    </row>
  </sheetData>
  <autoFilter ref="J1:J3060" xr:uid="{C778B685-7875-4424-8931-088B8A5EB935}"/>
  <sortState xmlns:xlrd2="http://schemas.microsoft.com/office/spreadsheetml/2017/richdata2" ref="A120:H207">
    <sortCondition ref="B120:B207"/>
  </sortState>
  <mergeCells count="1">
    <mergeCell ref="A1:H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2A9DC-8988-47F6-8317-784741AD5AA9}">
  <sheetPr codeName="Arkusz12">
    <pageSetUpPr fitToPage="1"/>
  </sheetPr>
  <dimension ref="B1:O57"/>
  <sheetViews>
    <sheetView topLeftCell="B1" zoomScale="70" zoomScaleNormal="70" workbookViewId="0">
      <selection activeCell="G9" sqref="G9"/>
    </sheetView>
  </sheetViews>
  <sheetFormatPr defaultRowHeight="15"/>
  <cols>
    <col min="2" max="2" width="12" customWidth="1"/>
    <col min="3" max="3" width="28.5703125" customWidth="1"/>
    <col min="4" max="4" width="25.5703125" customWidth="1"/>
    <col min="5" max="6" width="12.5703125" bestFit="1" customWidth="1"/>
    <col min="7" max="7" width="19.42578125" bestFit="1" customWidth="1"/>
    <col min="8" max="8" width="13.5703125" bestFit="1" customWidth="1"/>
    <col min="9" max="9" width="11.5703125" bestFit="1" customWidth="1"/>
    <col min="10" max="10" width="12.5703125" bestFit="1" customWidth="1"/>
    <col min="11" max="11" width="20.42578125" bestFit="1" customWidth="1"/>
    <col min="12" max="12" width="12.5703125" bestFit="1" customWidth="1"/>
    <col min="13" max="13" width="11.42578125" bestFit="1" customWidth="1"/>
    <col min="14" max="14" width="12.5703125" bestFit="1" customWidth="1"/>
    <col min="15" max="15" width="9.42578125" bestFit="1" customWidth="1"/>
  </cols>
  <sheetData>
    <row r="1" spans="2:15" s="228" customFormat="1" ht="42" customHeight="1"/>
    <row r="2" spans="2:15" ht="27" thickBot="1">
      <c r="C2" s="1120" t="s">
        <v>276</v>
      </c>
      <c r="D2" s="1120"/>
      <c r="E2" s="1120"/>
      <c r="F2" s="1120"/>
      <c r="G2" s="1120"/>
      <c r="H2" s="1120"/>
      <c r="I2" s="1120"/>
      <c r="J2" s="1120"/>
      <c r="K2" s="1120"/>
      <c r="L2" s="1120"/>
      <c r="M2" s="1120"/>
      <c r="N2" s="1120"/>
    </row>
    <row r="3" spans="2:15" ht="24.75" thickTop="1" thickBot="1">
      <c r="C3" s="1121" t="s">
        <v>277</v>
      </c>
      <c r="D3" s="1122"/>
      <c r="E3" s="1122"/>
      <c r="F3" s="1123"/>
      <c r="G3" s="1121" t="s">
        <v>278</v>
      </c>
      <c r="H3" s="1122"/>
      <c r="I3" s="1122"/>
      <c r="J3" s="1123"/>
      <c r="K3" s="1121" t="s">
        <v>279</v>
      </c>
      <c r="L3" s="1122"/>
      <c r="M3" s="1122"/>
      <c r="N3" s="1123"/>
    </row>
    <row r="4" spans="2:15" ht="24" thickTop="1">
      <c r="B4" s="311" t="s">
        <v>280</v>
      </c>
      <c r="C4" s="314" t="s">
        <v>281</v>
      </c>
      <c r="D4" s="312" t="s">
        <v>225</v>
      </c>
      <c r="E4" s="312" t="s">
        <v>282</v>
      </c>
      <c r="F4" s="313" t="s">
        <v>283</v>
      </c>
      <c r="G4" s="314" t="s">
        <v>281</v>
      </c>
      <c r="H4" s="312" t="s">
        <v>225</v>
      </c>
      <c r="I4" s="312" t="s">
        <v>282</v>
      </c>
      <c r="J4" s="313" t="s">
        <v>283</v>
      </c>
      <c r="K4" s="314" t="s">
        <v>281</v>
      </c>
      <c r="L4" s="312" t="s">
        <v>225</v>
      </c>
      <c r="M4" s="312" t="s">
        <v>282</v>
      </c>
      <c r="N4" s="313" t="s">
        <v>283</v>
      </c>
    </row>
    <row r="5" spans="2:15" ht="21">
      <c r="B5" s="315">
        <v>1</v>
      </c>
      <c r="C5" s="386" t="s">
        <v>18794</v>
      </c>
      <c r="D5" s="230">
        <v>5353</v>
      </c>
      <c r="E5" s="231">
        <v>19500</v>
      </c>
      <c r="F5" s="316">
        <f>E5/1300</f>
        <v>15</v>
      </c>
      <c r="G5" s="386" t="s">
        <v>18795</v>
      </c>
      <c r="H5" s="230">
        <v>5383</v>
      </c>
      <c r="I5" s="232">
        <v>1300</v>
      </c>
      <c r="J5" s="317">
        <f t="shared" ref="J5:J10" si="0">I5/1300</f>
        <v>1</v>
      </c>
      <c r="K5" s="386" t="s">
        <v>18794</v>
      </c>
      <c r="L5" s="230">
        <v>5353</v>
      </c>
      <c r="M5" s="232">
        <v>5200</v>
      </c>
      <c r="N5" s="317">
        <f t="shared" ref="N5:N10" si="1">M5/1300</f>
        <v>4</v>
      </c>
    </row>
    <row r="6" spans="2:15" ht="21">
      <c r="B6" s="315">
        <v>2</v>
      </c>
      <c r="C6" s="386" t="s">
        <v>18797</v>
      </c>
      <c r="D6" s="230">
        <v>5389</v>
      </c>
      <c r="E6" s="231">
        <v>7800</v>
      </c>
      <c r="F6" s="316">
        <f>E6/1300</f>
        <v>6</v>
      </c>
      <c r="G6" s="386" t="s">
        <v>18796</v>
      </c>
      <c r="H6" s="230">
        <v>5053</v>
      </c>
      <c r="I6" s="232">
        <v>1300</v>
      </c>
      <c r="J6" s="317">
        <f>I6/1300</f>
        <v>1</v>
      </c>
      <c r="K6" s="386" t="s">
        <v>18799</v>
      </c>
      <c r="L6" s="230">
        <v>5041</v>
      </c>
      <c r="M6" s="232">
        <v>3900</v>
      </c>
      <c r="N6" s="317">
        <f t="shared" si="1"/>
        <v>3</v>
      </c>
    </row>
    <row r="7" spans="2:15" ht="21">
      <c r="B7" s="315">
        <v>3</v>
      </c>
      <c r="C7" s="386"/>
      <c r="D7" s="230"/>
      <c r="E7" s="231"/>
      <c r="F7" s="316">
        <f>E7/1300</f>
        <v>0</v>
      </c>
      <c r="G7" s="386" t="s">
        <v>18797</v>
      </c>
      <c r="H7" s="230">
        <v>5389</v>
      </c>
      <c r="I7" s="232">
        <v>16900</v>
      </c>
      <c r="J7" s="316">
        <f>I7/1300</f>
        <v>13</v>
      </c>
      <c r="K7" s="386" t="s">
        <v>18798</v>
      </c>
      <c r="L7" s="230">
        <v>5362</v>
      </c>
      <c r="M7" s="232">
        <v>1300</v>
      </c>
      <c r="N7" s="317">
        <f t="shared" si="1"/>
        <v>1</v>
      </c>
    </row>
    <row r="8" spans="2:15" ht="21">
      <c r="B8" s="315">
        <v>4</v>
      </c>
      <c r="C8" s="386"/>
      <c r="D8" s="230"/>
      <c r="E8" s="231"/>
      <c r="F8" s="316">
        <f>E8/1300</f>
        <v>0</v>
      </c>
      <c r="G8" s="386"/>
      <c r="H8" s="230"/>
      <c r="I8" s="232"/>
      <c r="J8" s="317">
        <f>I8/1300</f>
        <v>0</v>
      </c>
      <c r="K8" s="386"/>
      <c r="L8" s="230"/>
      <c r="M8" s="232"/>
      <c r="N8" s="317">
        <f t="shared" si="1"/>
        <v>0</v>
      </c>
    </row>
    <row r="9" spans="2:15" ht="21">
      <c r="B9" s="315">
        <v>5</v>
      </c>
      <c r="C9" s="386"/>
      <c r="D9" s="230"/>
      <c r="E9" s="232"/>
      <c r="F9" s="316">
        <f t="shared" ref="F9:F10" si="2">E9/1300</f>
        <v>0</v>
      </c>
      <c r="G9" s="386"/>
      <c r="H9" s="230"/>
      <c r="I9" s="232"/>
      <c r="J9" s="317">
        <f t="shared" si="0"/>
        <v>0</v>
      </c>
      <c r="K9" s="386"/>
      <c r="L9" s="230"/>
      <c r="M9" s="232"/>
      <c r="N9" s="317">
        <f t="shared" si="1"/>
        <v>0</v>
      </c>
    </row>
    <row r="10" spans="2:15" ht="21">
      <c r="B10" s="315">
        <v>6</v>
      </c>
      <c r="C10" s="386"/>
      <c r="D10" s="230"/>
      <c r="E10" s="232"/>
      <c r="F10" s="316">
        <f t="shared" si="2"/>
        <v>0</v>
      </c>
      <c r="G10" s="393"/>
      <c r="H10" s="229"/>
      <c r="I10" s="231"/>
      <c r="J10" s="316">
        <f t="shared" si="0"/>
        <v>0</v>
      </c>
      <c r="K10" s="386"/>
      <c r="L10" s="230"/>
      <c r="M10" s="232"/>
      <c r="N10" s="317">
        <f t="shared" si="1"/>
        <v>0</v>
      </c>
      <c r="O10" s="318" t="s">
        <v>93</v>
      </c>
    </row>
    <row r="11" spans="2:15" ht="21.75" thickBot="1">
      <c r="B11" s="319"/>
      <c r="C11" s="323"/>
      <c r="D11" s="320" t="s">
        <v>284</v>
      </c>
      <c r="E11" s="321">
        <f>SUM(E5:E10)</f>
        <v>27300</v>
      </c>
      <c r="F11" s="322">
        <f>SUM(F5:F10)</f>
        <v>21</v>
      </c>
      <c r="G11" s="323"/>
      <c r="H11" s="320" t="s">
        <v>284</v>
      </c>
      <c r="I11" s="321">
        <f>SUM(I5:I10)</f>
        <v>19500</v>
      </c>
      <c r="J11" s="322">
        <f>SUM(J5:J10)</f>
        <v>15</v>
      </c>
      <c r="K11" s="324"/>
      <c r="L11" s="320" t="s">
        <v>284</v>
      </c>
      <c r="M11" s="321">
        <f>SUM(M5:M10)</f>
        <v>10400</v>
      </c>
      <c r="N11" s="322">
        <f>SUM(N5:N10)</f>
        <v>8</v>
      </c>
      <c r="O11" s="325">
        <f>E11+I11+M11+M20+I20+E20</f>
        <v>57200</v>
      </c>
    </row>
    <row r="12" spans="2:15" ht="16.5" thickTop="1" thickBot="1">
      <c r="B12" s="1124" t="s">
        <v>328</v>
      </c>
      <c r="C12" s="1125"/>
      <c r="D12" s="1125"/>
      <c r="E12" s="1125"/>
      <c r="F12" s="1125"/>
      <c r="G12" s="1125"/>
      <c r="H12" s="1125"/>
      <c r="I12" s="1125"/>
      <c r="J12" s="1125"/>
      <c r="K12" s="1125"/>
      <c r="L12" s="1125"/>
      <c r="M12" s="1125"/>
      <c r="N12" s="1125"/>
    </row>
    <row r="13" spans="2:15" ht="24" thickTop="1">
      <c r="B13" s="311" t="s">
        <v>280</v>
      </c>
      <c r="C13" s="439" t="s">
        <v>281</v>
      </c>
      <c r="D13" s="440" t="s">
        <v>225</v>
      </c>
      <c r="E13" s="440" t="s">
        <v>282</v>
      </c>
      <c r="F13" s="441" t="s">
        <v>283</v>
      </c>
      <c r="G13" s="439" t="s">
        <v>281</v>
      </c>
      <c r="H13" s="440" t="s">
        <v>225</v>
      </c>
      <c r="I13" s="440" t="s">
        <v>282</v>
      </c>
      <c r="J13" s="441" t="s">
        <v>283</v>
      </c>
      <c r="K13" s="439" t="s">
        <v>281</v>
      </c>
      <c r="L13" s="440" t="s">
        <v>225</v>
      </c>
      <c r="M13" s="440" t="s">
        <v>282</v>
      </c>
      <c r="N13" s="441" t="s">
        <v>283</v>
      </c>
    </row>
    <row r="14" spans="2:15" ht="21">
      <c r="B14" s="315">
        <v>1</v>
      </c>
      <c r="C14" s="386"/>
      <c r="D14" s="232"/>
      <c r="E14" s="231"/>
      <c r="F14" s="316">
        <f t="shared" ref="F14:F19" si="3">E14/1300</f>
        <v>0</v>
      </c>
      <c r="G14" s="393"/>
      <c r="H14" s="229"/>
      <c r="I14" s="231"/>
      <c r="J14" s="317">
        <f t="shared" ref="J14:J19" si="4">I14/1300</f>
        <v>0</v>
      </c>
      <c r="K14" s="386"/>
      <c r="L14" s="230"/>
      <c r="M14" s="231"/>
      <c r="N14" s="317">
        <f t="shared" ref="N14:N19" si="5">M14/1300</f>
        <v>0</v>
      </c>
    </row>
    <row r="15" spans="2:15" ht="21">
      <c r="B15" s="315">
        <v>2</v>
      </c>
      <c r="C15" s="386"/>
      <c r="D15" s="232"/>
      <c r="E15" s="231"/>
      <c r="F15" s="316">
        <f t="shared" si="3"/>
        <v>0</v>
      </c>
      <c r="G15" s="386"/>
      <c r="H15" s="230"/>
      <c r="I15" s="231"/>
      <c r="J15" s="316">
        <f t="shared" si="4"/>
        <v>0</v>
      </c>
      <c r="K15" s="386"/>
      <c r="L15" s="230"/>
      <c r="M15" s="231"/>
      <c r="N15" s="317">
        <f t="shared" si="5"/>
        <v>0</v>
      </c>
    </row>
    <row r="16" spans="2:15" ht="21">
      <c r="B16" s="315">
        <v>3</v>
      </c>
      <c r="C16" s="386"/>
      <c r="D16" s="230"/>
      <c r="E16" s="229"/>
      <c r="F16" s="316">
        <f t="shared" si="3"/>
        <v>0</v>
      </c>
      <c r="G16" s="386"/>
      <c r="H16" s="230"/>
      <c r="I16" s="231"/>
      <c r="J16" s="316">
        <f t="shared" si="4"/>
        <v>0</v>
      </c>
      <c r="K16" s="386"/>
      <c r="L16" s="230"/>
      <c r="M16" s="231"/>
      <c r="N16" s="317">
        <f t="shared" si="5"/>
        <v>0</v>
      </c>
    </row>
    <row r="17" spans="2:15" ht="21">
      <c r="B17" s="315">
        <v>4</v>
      </c>
      <c r="C17" s="386"/>
      <c r="D17" s="230"/>
      <c r="E17" s="232"/>
      <c r="F17" s="316">
        <f t="shared" si="3"/>
        <v>0</v>
      </c>
      <c r="G17" s="387"/>
      <c r="H17" s="229"/>
      <c r="I17" s="231"/>
      <c r="J17" s="317">
        <f t="shared" si="4"/>
        <v>0</v>
      </c>
      <c r="K17" s="388"/>
      <c r="L17" s="250"/>
      <c r="M17" s="250"/>
      <c r="N17" s="317">
        <f t="shared" si="5"/>
        <v>0</v>
      </c>
    </row>
    <row r="18" spans="2:15" ht="21">
      <c r="B18" s="315">
        <v>5</v>
      </c>
      <c r="C18" s="386"/>
      <c r="D18" s="230"/>
      <c r="E18" s="232"/>
      <c r="F18" s="316">
        <f t="shared" si="3"/>
        <v>0</v>
      </c>
      <c r="G18" s="386"/>
      <c r="H18" s="230"/>
      <c r="I18" s="231"/>
      <c r="J18" s="317">
        <f t="shared" si="4"/>
        <v>0</v>
      </c>
      <c r="K18" s="386"/>
      <c r="L18" s="232"/>
      <c r="M18" s="231"/>
      <c r="N18" s="317">
        <f t="shared" si="5"/>
        <v>0</v>
      </c>
    </row>
    <row r="19" spans="2:15" ht="21.75" thickBot="1">
      <c r="B19" s="315">
        <v>6</v>
      </c>
      <c r="C19" s="387"/>
      <c r="D19" s="229"/>
      <c r="E19" s="229"/>
      <c r="F19" s="316">
        <f t="shared" si="3"/>
        <v>0</v>
      </c>
      <c r="G19" s="387"/>
      <c r="H19" s="229"/>
      <c r="I19" s="229"/>
      <c r="J19" s="316">
        <f t="shared" si="4"/>
        <v>0</v>
      </c>
      <c r="K19" s="394"/>
      <c r="L19" s="395"/>
      <c r="M19" s="396"/>
      <c r="N19" s="397">
        <f t="shared" si="5"/>
        <v>0</v>
      </c>
    </row>
    <row r="20" spans="2:15" ht="22.5" thickTop="1" thickBot="1">
      <c r="B20" s="319"/>
      <c r="C20" s="323"/>
      <c r="D20" s="320" t="s">
        <v>284</v>
      </c>
      <c r="E20" s="321">
        <f>SUM(E14:E19)</f>
        <v>0</v>
      </c>
      <c r="F20" s="322">
        <f>SUM(F14:F19)</f>
        <v>0</v>
      </c>
      <c r="G20" s="323"/>
      <c r="H20" s="320" t="s">
        <v>284</v>
      </c>
      <c r="I20" s="321">
        <f>SUM(I14:I19)</f>
        <v>0</v>
      </c>
      <c r="J20" s="322">
        <f>SUM(J14:J19)</f>
        <v>0</v>
      </c>
      <c r="K20" s="389"/>
      <c r="L20" s="390" t="s">
        <v>284</v>
      </c>
      <c r="M20" s="391">
        <f>SUM(M14:M19)</f>
        <v>0</v>
      </c>
      <c r="N20" s="392">
        <f>SUM(N14:N19)</f>
        <v>0</v>
      </c>
      <c r="O20" s="325"/>
    </row>
    <row r="21" spans="2:15" ht="15.75" thickTop="1">
      <c r="O21" s="325"/>
    </row>
    <row r="24" spans="2:15" ht="15.75" thickBot="1"/>
    <row r="25" spans="2:15" ht="21.75" thickTop="1">
      <c r="C25" s="326" t="s">
        <v>68</v>
      </c>
      <c r="D25" s="327" t="s">
        <v>281</v>
      </c>
      <c r="E25" s="327" t="s">
        <v>285</v>
      </c>
      <c r="F25" s="328" t="s">
        <v>283</v>
      </c>
      <c r="H25" s="1001" t="s">
        <v>286</v>
      </c>
      <c r="I25" s="1001"/>
      <c r="J25" s="1001"/>
      <c r="K25" s="1001"/>
      <c r="L25" s="1001"/>
    </row>
    <row r="26" spans="2:15" ht="18.75">
      <c r="C26" s="329">
        <v>5135</v>
      </c>
      <c r="D26" s="330" t="s">
        <v>287</v>
      </c>
      <c r="E26" s="286"/>
      <c r="F26" s="331">
        <f>E26/1300</f>
        <v>0</v>
      </c>
    </row>
    <row r="27" spans="2:15" ht="18.75">
      <c r="C27" s="332">
        <v>5103</v>
      </c>
      <c r="D27" s="333" t="s">
        <v>288</v>
      </c>
      <c r="E27" s="286"/>
      <c r="F27" s="331">
        <f>E27/1300</f>
        <v>0</v>
      </c>
    </row>
    <row r="28" spans="2:15" ht="19.5" thickBot="1">
      <c r="C28" s="334">
        <v>5114</v>
      </c>
      <c r="D28" s="335" t="s">
        <v>289</v>
      </c>
      <c r="E28" s="287"/>
      <c r="F28" s="336">
        <f>E28/1300</f>
        <v>0</v>
      </c>
    </row>
    <row r="29" spans="2:15" ht="15.75" thickTop="1"/>
    <row r="30" spans="2:15" ht="15.75" thickBot="1">
      <c r="D30" s="1080" t="s">
        <v>290</v>
      </c>
      <c r="E30" s="1080"/>
      <c r="F30" s="1080"/>
    </row>
    <row r="31" spans="2:15" ht="15.75" thickTop="1">
      <c r="B31" s="347" t="s">
        <v>225</v>
      </c>
      <c r="C31" s="337" t="s">
        <v>291</v>
      </c>
      <c r="D31" s="337" t="s">
        <v>292</v>
      </c>
      <c r="E31" s="337" t="s">
        <v>293</v>
      </c>
      <c r="F31" s="338" t="s">
        <v>294</v>
      </c>
    </row>
    <row r="32" spans="2:15">
      <c r="B32" s="339">
        <v>50410000</v>
      </c>
      <c r="C32" s="340" t="s">
        <v>295</v>
      </c>
      <c r="D32" s="341" t="s">
        <v>279</v>
      </c>
      <c r="E32" s="376">
        <v>1555.6595744680853</v>
      </c>
      <c r="F32" s="377">
        <f>E32*7.75</f>
        <v>12056.361702127662</v>
      </c>
    </row>
    <row r="33" spans="2:6">
      <c r="B33" s="339">
        <v>53620000</v>
      </c>
      <c r="C33" s="340" t="s">
        <v>296</v>
      </c>
      <c r="D33" s="341" t="s">
        <v>279</v>
      </c>
      <c r="E33" s="376">
        <v>1770.4285714285713</v>
      </c>
      <c r="F33" s="377">
        <f t="shared" ref="F33:F56" si="6">E33*7.75</f>
        <v>13720.821428571428</v>
      </c>
    </row>
    <row r="34" spans="2:6">
      <c r="B34" s="339">
        <v>50420000</v>
      </c>
      <c r="C34" s="340" t="s">
        <v>297</v>
      </c>
      <c r="D34" s="341" t="s">
        <v>279</v>
      </c>
      <c r="E34" s="378">
        <v>1625.294117647059</v>
      </c>
      <c r="F34" s="377">
        <f t="shared" si="6"/>
        <v>12596.029411764708</v>
      </c>
    </row>
    <row r="35" spans="2:6">
      <c r="B35" s="339">
        <v>50410000</v>
      </c>
      <c r="C35" s="340" t="s">
        <v>298</v>
      </c>
      <c r="D35" s="341" t="s">
        <v>279</v>
      </c>
      <c r="E35" s="378">
        <v>1562.25</v>
      </c>
      <c r="F35" s="377">
        <f t="shared" si="6"/>
        <v>12107.4375</v>
      </c>
    </row>
    <row r="36" spans="2:6">
      <c r="B36" s="339">
        <v>53680000</v>
      </c>
      <c r="C36" s="340" t="s">
        <v>299</v>
      </c>
      <c r="D36" s="341" t="s">
        <v>279</v>
      </c>
      <c r="E36" s="376">
        <v>2040</v>
      </c>
      <c r="F36" s="377">
        <f t="shared" si="6"/>
        <v>15810</v>
      </c>
    </row>
    <row r="37" spans="2:6">
      <c r="B37" s="339">
        <v>51150000</v>
      </c>
      <c r="C37" s="340" t="s">
        <v>300</v>
      </c>
      <c r="D37" s="341" t="s">
        <v>279</v>
      </c>
      <c r="E37" s="376">
        <v>1923.75</v>
      </c>
      <c r="F37" s="377">
        <f t="shared" si="6"/>
        <v>14909.0625</v>
      </c>
    </row>
    <row r="38" spans="2:6">
      <c r="B38" s="339">
        <v>51050000</v>
      </c>
      <c r="C38" s="340" t="s">
        <v>301</v>
      </c>
      <c r="D38" s="341" t="s">
        <v>279</v>
      </c>
      <c r="E38" s="376">
        <v>2045.4545454545453</v>
      </c>
      <c r="F38" s="377">
        <f t="shared" si="6"/>
        <v>15852.272727272726</v>
      </c>
    </row>
    <row r="39" spans="2:6">
      <c r="B39" s="339">
        <v>51580000</v>
      </c>
      <c r="C39" s="340" t="s">
        <v>302</v>
      </c>
      <c r="D39" s="341" t="s">
        <v>279</v>
      </c>
      <c r="E39" s="378">
        <v>2004.4799999999998</v>
      </c>
      <c r="F39" s="377">
        <f t="shared" si="6"/>
        <v>15534.719999999998</v>
      </c>
    </row>
    <row r="40" spans="2:6">
      <c r="B40" s="339">
        <v>51570000</v>
      </c>
      <c r="C40" s="340" t="s">
        <v>303</v>
      </c>
      <c r="D40" s="341" t="s">
        <v>279</v>
      </c>
      <c r="E40" s="378">
        <v>2059.4482758620693</v>
      </c>
      <c r="F40" s="377">
        <f t="shared" si="6"/>
        <v>15960.724137931036</v>
      </c>
    </row>
    <row r="41" spans="2:6">
      <c r="B41" s="342">
        <v>51060000</v>
      </c>
      <c r="C41" s="343" t="s">
        <v>304</v>
      </c>
      <c r="D41" s="341" t="s">
        <v>279</v>
      </c>
      <c r="E41" s="379">
        <v>1400</v>
      </c>
      <c r="F41" s="377">
        <f t="shared" si="6"/>
        <v>10850</v>
      </c>
    </row>
    <row r="42" spans="2:6" ht="15.75" thickBot="1">
      <c r="B42" s="344">
        <v>51560000</v>
      </c>
      <c r="C42" s="345" t="s">
        <v>305</v>
      </c>
      <c r="D42" s="346" t="s">
        <v>279</v>
      </c>
      <c r="E42" s="382">
        <v>2021.625</v>
      </c>
      <c r="F42" s="381">
        <f t="shared" si="6"/>
        <v>15667.59375</v>
      </c>
    </row>
    <row r="43" spans="2:6" ht="16.5" thickTop="1" thickBot="1">
      <c r="B43" s="1117"/>
      <c r="C43" s="1118"/>
      <c r="D43" s="1118"/>
      <c r="E43" s="1118"/>
      <c r="F43" s="1119"/>
    </row>
    <row r="44" spans="2:6" ht="15.75" thickTop="1">
      <c r="B44" s="347">
        <v>53890000</v>
      </c>
      <c r="C44" s="348" t="s">
        <v>306</v>
      </c>
      <c r="D44" s="349" t="s">
        <v>307</v>
      </c>
      <c r="E44" s="374">
        <v>1715.8500000000001</v>
      </c>
      <c r="F44" s="375">
        <f t="shared" si="6"/>
        <v>13297.837500000001</v>
      </c>
    </row>
    <row r="45" spans="2:6">
      <c r="B45" s="339">
        <v>53830000</v>
      </c>
      <c r="C45" s="340" t="s">
        <v>308</v>
      </c>
      <c r="D45" s="341" t="s">
        <v>307</v>
      </c>
      <c r="E45" s="376">
        <v>3456</v>
      </c>
      <c r="F45" s="377">
        <f>E45*7.75</f>
        <v>26784</v>
      </c>
    </row>
    <row r="46" spans="2:6">
      <c r="B46" s="339">
        <v>53780000</v>
      </c>
      <c r="C46" s="350" t="s">
        <v>309</v>
      </c>
      <c r="D46" s="341" t="s">
        <v>307</v>
      </c>
      <c r="E46" s="378">
        <v>2514.8571428571427</v>
      </c>
      <c r="F46" s="377">
        <f t="shared" si="6"/>
        <v>19490.142857142855</v>
      </c>
    </row>
    <row r="47" spans="2:6">
      <c r="B47" s="339">
        <v>53890000</v>
      </c>
      <c r="C47" s="340" t="s">
        <v>306</v>
      </c>
      <c r="D47" s="341" t="s">
        <v>307</v>
      </c>
      <c r="E47" s="376">
        <v>1715.8500000000001</v>
      </c>
      <c r="F47" s="377">
        <f t="shared" si="6"/>
        <v>13297.837500000001</v>
      </c>
    </row>
    <row r="48" spans="2:6">
      <c r="B48" s="339">
        <v>51260000</v>
      </c>
      <c r="C48" s="343" t="s">
        <v>313</v>
      </c>
      <c r="D48" s="341" t="s">
        <v>307</v>
      </c>
      <c r="E48" s="379">
        <v>1550</v>
      </c>
      <c r="F48" s="377">
        <f t="shared" si="6"/>
        <v>12012.5</v>
      </c>
    </row>
    <row r="49" spans="2:6">
      <c r="B49" s="339">
        <v>53520000</v>
      </c>
      <c r="C49" s="343" t="s">
        <v>316</v>
      </c>
      <c r="D49" s="341" t="s">
        <v>307</v>
      </c>
      <c r="E49" s="379">
        <v>2047</v>
      </c>
      <c r="F49" s="377">
        <f t="shared" si="6"/>
        <v>15864.25</v>
      </c>
    </row>
    <row r="50" spans="2:6">
      <c r="B50" s="339">
        <v>50340000</v>
      </c>
      <c r="C50" s="343" t="s">
        <v>314</v>
      </c>
      <c r="D50" s="341" t="s">
        <v>307</v>
      </c>
      <c r="E50" s="379">
        <v>800</v>
      </c>
      <c r="F50" s="377">
        <f t="shared" si="6"/>
        <v>6200</v>
      </c>
    </row>
    <row r="51" spans="2:6">
      <c r="B51" s="339">
        <v>50530000</v>
      </c>
      <c r="C51" s="340" t="s">
        <v>310</v>
      </c>
      <c r="D51" s="341" t="s">
        <v>307</v>
      </c>
      <c r="E51" s="376">
        <v>2738</v>
      </c>
      <c r="F51" s="377">
        <f t="shared" si="6"/>
        <v>21219.5</v>
      </c>
    </row>
    <row r="52" spans="2:6" ht="15.75" thickBot="1">
      <c r="B52" s="344">
        <v>50360000</v>
      </c>
      <c r="C52" s="352" t="s">
        <v>317</v>
      </c>
      <c r="D52" s="346" t="s">
        <v>307</v>
      </c>
      <c r="E52" s="380">
        <v>800</v>
      </c>
      <c r="F52" s="381">
        <f t="shared" si="6"/>
        <v>6200</v>
      </c>
    </row>
    <row r="53" spans="2:6" ht="16.5" thickTop="1" thickBot="1">
      <c r="B53" s="1117"/>
      <c r="C53" s="1118"/>
      <c r="D53" s="1118"/>
      <c r="E53" s="1118"/>
      <c r="F53" s="1119"/>
    </row>
    <row r="54" spans="2:6" ht="15.75" thickTop="1">
      <c r="B54" s="347">
        <v>53650000</v>
      </c>
      <c r="C54" s="383" t="s">
        <v>311</v>
      </c>
      <c r="D54" s="384" t="s">
        <v>277</v>
      </c>
      <c r="E54" s="374">
        <v>3400</v>
      </c>
      <c r="F54" s="375">
        <f t="shared" si="6"/>
        <v>26350</v>
      </c>
    </row>
    <row r="55" spans="2:6">
      <c r="B55" s="339">
        <v>50310000</v>
      </c>
      <c r="C55" s="340" t="s">
        <v>312</v>
      </c>
      <c r="D55" s="351" t="s">
        <v>277</v>
      </c>
      <c r="E55" s="376">
        <v>2600</v>
      </c>
      <c r="F55" s="377">
        <f t="shared" si="6"/>
        <v>20150</v>
      </c>
    </row>
    <row r="56" spans="2:6" ht="15.75" thickBot="1">
      <c r="B56" s="344">
        <v>53920000</v>
      </c>
      <c r="C56" s="352" t="s">
        <v>315</v>
      </c>
      <c r="D56" s="385" t="s">
        <v>277</v>
      </c>
      <c r="E56" s="380">
        <v>800</v>
      </c>
      <c r="F56" s="381">
        <f t="shared" si="6"/>
        <v>6200</v>
      </c>
    </row>
    <row r="57" spans="2:6" ht="15.75" thickTop="1"/>
  </sheetData>
  <sheetProtection algorithmName="SHA-512" hashValue="j0aMdEQckFRMroFRKOs+h2vpEFWoaDNjlIegLxJXgfr7J8vtzOqZMY94h/o6TLMVi73p43vbXF7bAP9HWg3FbA==" saltValue="k2TGl57UUuF8e/2e4mdv6g==" spinCount="100000" sheet="1" selectLockedCells="1"/>
  <mergeCells count="9">
    <mergeCell ref="D30:F30"/>
    <mergeCell ref="B43:F43"/>
    <mergeCell ref="B53:F53"/>
    <mergeCell ref="C2:N2"/>
    <mergeCell ref="C3:F3"/>
    <mergeCell ref="G3:J3"/>
    <mergeCell ref="K3:N3"/>
    <mergeCell ref="B12:N12"/>
    <mergeCell ref="H25:L25"/>
  </mergeCells>
  <pageMargins left="0.7" right="0.7" top="0.75" bottom="0.75" header="0.3" footer="0.3"/>
  <pageSetup scale="54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BD47D-B300-48BF-B908-35BAA6E9429A}">
  <sheetPr codeName="Arkusz6">
    <pageSetUpPr fitToPage="1"/>
  </sheetPr>
  <dimension ref="A1:R246"/>
  <sheetViews>
    <sheetView topLeftCell="A37" zoomScale="85" zoomScaleNormal="85" workbookViewId="0">
      <selection activeCell="B52" sqref="B52"/>
    </sheetView>
  </sheetViews>
  <sheetFormatPr defaultRowHeight="15"/>
  <cols>
    <col min="3" max="3" width="42.42578125" bestFit="1" customWidth="1"/>
    <col min="6" max="6" width="13" customWidth="1"/>
    <col min="8" max="10" width="9.42578125" style="76"/>
    <col min="17" max="17" width="16.42578125" customWidth="1"/>
    <col min="18" max="18" width="12.5703125" customWidth="1"/>
  </cols>
  <sheetData>
    <row r="1" spans="1:18">
      <c r="H1" s="96">
        <f>SUM(D5:D500)</f>
        <v>234100</v>
      </c>
      <c r="I1" s="96">
        <f>SUM(E5:E500)</f>
        <v>205000</v>
      </c>
      <c r="J1" s="96">
        <f>SUM(F5:F500)</f>
        <v>155500</v>
      </c>
      <c r="K1">
        <v>6707</v>
      </c>
      <c r="L1">
        <v>8.2000000000000011</v>
      </c>
      <c r="M1">
        <v>25.830000000000002</v>
      </c>
      <c r="N1">
        <v>24.6</v>
      </c>
      <c r="O1">
        <v>6707</v>
      </c>
    </row>
    <row r="2" spans="1:18">
      <c r="D2" t="s">
        <v>18003</v>
      </c>
      <c r="E2" t="s">
        <v>18004</v>
      </c>
      <c r="F2" t="s">
        <v>18005</v>
      </c>
      <c r="H2" s="76" t="s">
        <v>168</v>
      </c>
      <c r="I2" s="76" t="s">
        <v>169</v>
      </c>
      <c r="J2" s="76" t="s">
        <v>170</v>
      </c>
      <c r="K2">
        <v>6767</v>
      </c>
      <c r="M2">
        <v>14.809999999999999</v>
      </c>
      <c r="O2">
        <v>6767</v>
      </c>
    </row>
    <row r="3" spans="1:18">
      <c r="D3">
        <v>4</v>
      </c>
      <c r="E3">
        <v>45</v>
      </c>
      <c r="F3">
        <v>48</v>
      </c>
      <c r="L3" s="76" t="s">
        <v>181</v>
      </c>
      <c r="M3" t="s">
        <v>180</v>
      </c>
      <c r="N3" t="s">
        <v>179</v>
      </c>
    </row>
    <row r="4" spans="1:18">
      <c r="A4" t="s">
        <v>18006</v>
      </c>
      <c r="B4" t="s">
        <v>125</v>
      </c>
      <c r="C4" t="s">
        <v>126</v>
      </c>
      <c r="D4" t="s">
        <v>127</v>
      </c>
      <c r="K4" s="111" t="s">
        <v>17321</v>
      </c>
      <c r="L4" t="s">
        <v>394</v>
      </c>
      <c r="Q4" s="111">
        <v>45103</v>
      </c>
    </row>
    <row r="5" spans="1:18">
      <c r="A5">
        <v>0</v>
      </c>
      <c r="B5">
        <v>6001</v>
      </c>
      <c r="C5" t="s">
        <v>18007</v>
      </c>
      <c r="D5">
        <v>0</v>
      </c>
      <c r="E5">
        <v>0</v>
      </c>
      <c r="F5">
        <v>0</v>
      </c>
      <c r="H5" s="76">
        <f>IF(D5&gt;0,D5/1000,0)</f>
        <v>0</v>
      </c>
      <c r="I5" s="76">
        <f>IF(E5&gt;0,E5/1000,0)</f>
        <v>0</v>
      </c>
      <c r="J5" s="76">
        <f>IF(F5&gt;0,F5/1000,0)</f>
        <v>0</v>
      </c>
      <c r="K5">
        <f>_xlfn.IFNA(VLOOKUP($B5,$P$5:$Q$250,2,0),0)</f>
        <v>0</v>
      </c>
      <c r="L5">
        <f>F5+K5</f>
        <v>0</v>
      </c>
      <c r="P5" s="358">
        <v>6001</v>
      </c>
      <c r="Q5" s="362">
        <v>0</v>
      </c>
      <c r="R5" s="282">
        <f>Q5+F5</f>
        <v>0</v>
      </c>
    </row>
    <row r="6" spans="1:18">
      <c r="A6">
        <v>1</v>
      </c>
      <c r="B6">
        <v>6003</v>
      </c>
      <c r="C6" t="s">
        <v>128</v>
      </c>
      <c r="D6">
        <v>0</v>
      </c>
      <c r="E6">
        <v>2600</v>
      </c>
      <c r="F6">
        <v>0</v>
      </c>
      <c r="H6" s="76">
        <f t="shared" ref="H6:H69" si="0">IF(D6&gt;0,D6/1000,0)</f>
        <v>0</v>
      </c>
      <c r="I6" s="76">
        <f t="shared" ref="I6:I69" si="1">IF(E6&gt;0,E6/1000,0)</f>
        <v>2.6</v>
      </c>
      <c r="J6" s="76">
        <f t="shared" ref="J6:J69" si="2">IF(F6&gt;0,F6/1000,0)</f>
        <v>0</v>
      </c>
      <c r="K6">
        <f t="shared" ref="K6:K69" si="3">_xlfn.IFNA(VLOOKUP($B6,$P$5:$Q$250,2,0),0)</f>
        <v>0</v>
      </c>
      <c r="L6">
        <f t="shared" ref="L6:L69" si="4">F6+K6</f>
        <v>0</v>
      </c>
      <c r="P6" s="359">
        <v>6003</v>
      </c>
      <c r="Q6" s="362">
        <v>0</v>
      </c>
      <c r="R6" s="282">
        <f t="shared" ref="R6:R69" si="5">Q6+F6</f>
        <v>0</v>
      </c>
    </row>
    <row r="7" spans="1:18">
      <c r="A7">
        <v>2</v>
      </c>
      <c r="B7">
        <v>6068</v>
      </c>
      <c r="C7" t="s">
        <v>17</v>
      </c>
      <c r="D7">
        <v>0</v>
      </c>
      <c r="E7">
        <v>0</v>
      </c>
      <c r="F7">
        <v>0</v>
      </c>
      <c r="H7" s="76">
        <f t="shared" si="0"/>
        <v>0</v>
      </c>
      <c r="I7" s="76">
        <f t="shared" si="1"/>
        <v>0</v>
      </c>
      <c r="J7" s="76">
        <f t="shared" si="2"/>
        <v>0</v>
      </c>
      <c r="K7">
        <f t="shared" si="3"/>
        <v>0</v>
      </c>
      <c r="L7">
        <f t="shared" si="4"/>
        <v>0</v>
      </c>
      <c r="P7" s="359">
        <v>6005</v>
      </c>
      <c r="Q7" s="362">
        <v>0</v>
      </c>
      <c r="R7" s="282">
        <f t="shared" si="5"/>
        <v>0</v>
      </c>
    </row>
    <row r="8" spans="1:18">
      <c r="A8">
        <v>3</v>
      </c>
      <c r="B8">
        <v>6090</v>
      </c>
      <c r="C8" t="s">
        <v>130</v>
      </c>
      <c r="D8">
        <v>0</v>
      </c>
      <c r="E8">
        <v>0</v>
      </c>
      <c r="F8">
        <v>0</v>
      </c>
      <c r="H8" s="76">
        <f t="shared" si="0"/>
        <v>0</v>
      </c>
      <c r="I8" s="76">
        <f t="shared" si="1"/>
        <v>0</v>
      </c>
      <c r="J8" s="76">
        <f t="shared" si="2"/>
        <v>0</v>
      </c>
      <c r="K8">
        <f t="shared" si="3"/>
        <v>0</v>
      </c>
      <c r="L8">
        <f t="shared" si="4"/>
        <v>0</v>
      </c>
      <c r="P8" s="359">
        <v>6006</v>
      </c>
      <c r="Q8" s="362">
        <v>0</v>
      </c>
      <c r="R8" s="282">
        <f t="shared" si="5"/>
        <v>0</v>
      </c>
    </row>
    <row r="9" spans="1:18">
      <c r="A9">
        <v>4</v>
      </c>
      <c r="B9">
        <v>6231</v>
      </c>
      <c r="C9" t="s">
        <v>132</v>
      </c>
      <c r="D9">
        <v>0</v>
      </c>
      <c r="E9">
        <v>1300</v>
      </c>
      <c r="F9">
        <v>0</v>
      </c>
      <c r="H9" s="76">
        <f t="shared" si="0"/>
        <v>0</v>
      </c>
      <c r="I9" s="76">
        <f t="shared" si="1"/>
        <v>1.3</v>
      </c>
      <c r="J9" s="76">
        <f t="shared" si="2"/>
        <v>0</v>
      </c>
      <c r="K9">
        <f t="shared" si="3"/>
        <v>0</v>
      </c>
      <c r="L9">
        <f t="shared" si="4"/>
        <v>0</v>
      </c>
      <c r="P9" s="359">
        <v>6007</v>
      </c>
      <c r="Q9" s="362">
        <v>0</v>
      </c>
      <c r="R9" s="282">
        <f t="shared" si="5"/>
        <v>0</v>
      </c>
    </row>
    <row r="10" spans="1:18">
      <c r="A10">
        <v>5</v>
      </c>
      <c r="B10">
        <v>6236</v>
      </c>
      <c r="C10" t="s">
        <v>133</v>
      </c>
      <c r="D10">
        <v>0</v>
      </c>
      <c r="E10">
        <v>2600</v>
      </c>
      <c r="F10">
        <v>0</v>
      </c>
      <c r="H10" s="76">
        <f t="shared" si="0"/>
        <v>0</v>
      </c>
      <c r="I10" s="76">
        <f t="shared" si="1"/>
        <v>2.6</v>
      </c>
      <c r="J10" s="76">
        <f t="shared" si="2"/>
        <v>0</v>
      </c>
      <c r="K10">
        <f t="shared" si="3"/>
        <v>0</v>
      </c>
      <c r="L10">
        <f t="shared" si="4"/>
        <v>0</v>
      </c>
      <c r="P10" s="359">
        <v>6008</v>
      </c>
      <c r="Q10" s="362">
        <v>0</v>
      </c>
      <c r="R10" s="282">
        <f t="shared" si="5"/>
        <v>0</v>
      </c>
    </row>
    <row r="11" spans="1:18">
      <c r="A11">
        <v>6</v>
      </c>
      <c r="B11">
        <v>6237</v>
      </c>
      <c r="C11" t="s">
        <v>135</v>
      </c>
      <c r="D11">
        <v>1300</v>
      </c>
      <c r="E11">
        <v>1300</v>
      </c>
      <c r="F11">
        <v>0</v>
      </c>
      <c r="H11" s="76">
        <f t="shared" si="0"/>
        <v>1.3</v>
      </c>
      <c r="I11" s="76">
        <f t="shared" si="1"/>
        <v>1.3</v>
      </c>
      <c r="J11" s="76">
        <f t="shared" si="2"/>
        <v>0</v>
      </c>
      <c r="K11">
        <f t="shared" si="3"/>
        <v>0</v>
      </c>
      <c r="L11">
        <f t="shared" si="4"/>
        <v>0</v>
      </c>
      <c r="P11" s="359">
        <v>6066</v>
      </c>
      <c r="Q11" s="362">
        <v>0</v>
      </c>
      <c r="R11" s="282">
        <f t="shared" si="5"/>
        <v>0</v>
      </c>
    </row>
    <row r="12" spans="1:18">
      <c r="A12">
        <v>7</v>
      </c>
      <c r="B12">
        <v>6239</v>
      </c>
      <c r="C12" t="s">
        <v>136</v>
      </c>
      <c r="D12">
        <v>0</v>
      </c>
      <c r="E12">
        <v>2600</v>
      </c>
      <c r="F12">
        <v>0</v>
      </c>
      <c r="H12" s="76">
        <f t="shared" si="0"/>
        <v>0</v>
      </c>
      <c r="I12" s="76">
        <f t="shared" si="1"/>
        <v>2.6</v>
      </c>
      <c r="J12" s="76">
        <f t="shared" si="2"/>
        <v>0</v>
      </c>
      <c r="K12">
        <f t="shared" si="3"/>
        <v>0</v>
      </c>
      <c r="L12">
        <f t="shared" si="4"/>
        <v>0</v>
      </c>
      <c r="P12" s="359">
        <v>6067</v>
      </c>
      <c r="Q12" s="362">
        <v>0</v>
      </c>
      <c r="R12" s="282">
        <f t="shared" si="5"/>
        <v>0</v>
      </c>
    </row>
    <row r="13" spans="1:18">
      <c r="A13">
        <v>8</v>
      </c>
      <c r="B13">
        <v>6241</v>
      </c>
      <c r="C13" t="s">
        <v>138</v>
      </c>
      <c r="D13">
        <v>0</v>
      </c>
      <c r="E13">
        <v>0</v>
      </c>
      <c r="F13">
        <v>0</v>
      </c>
      <c r="H13" s="76">
        <f t="shared" si="0"/>
        <v>0</v>
      </c>
      <c r="I13" s="76">
        <f t="shared" si="1"/>
        <v>0</v>
      </c>
      <c r="J13" s="76">
        <f t="shared" si="2"/>
        <v>0</v>
      </c>
      <c r="K13">
        <f t="shared" si="3"/>
        <v>0</v>
      </c>
      <c r="L13">
        <f t="shared" si="4"/>
        <v>0</v>
      </c>
      <c r="P13" s="359">
        <v>6068</v>
      </c>
      <c r="Q13" s="362">
        <v>0</v>
      </c>
      <c r="R13" s="282">
        <f t="shared" si="5"/>
        <v>0</v>
      </c>
    </row>
    <row r="14" spans="1:18">
      <c r="A14">
        <v>9</v>
      </c>
      <c r="B14">
        <v>6243</v>
      </c>
      <c r="C14" t="s">
        <v>139</v>
      </c>
      <c r="D14">
        <v>0</v>
      </c>
      <c r="E14">
        <v>0</v>
      </c>
      <c r="F14">
        <v>0</v>
      </c>
      <c r="H14" s="76">
        <f t="shared" si="0"/>
        <v>0</v>
      </c>
      <c r="I14" s="76">
        <f t="shared" si="1"/>
        <v>0</v>
      </c>
      <c r="J14" s="76">
        <f t="shared" si="2"/>
        <v>0</v>
      </c>
      <c r="K14">
        <f t="shared" si="3"/>
        <v>0</v>
      </c>
      <c r="L14">
        <f t="shared" si="4"/>
        <v>0</v>
      </c>
      <c r="P14" s="359">
        <v>6069</v>
      </c>
      <c r="Q14" s="362">
        <v>0</v>
      </c>
      <c r="R14" s="282">
        <f t="shared" si="5"/>
        <v>0</v>
      </c>
    </row>
    <row r="15" spans="1:18">
      <c r="A15">
        <v>10</v>
      </c>
      <c r="B15">
        <v>6246</v>
      </c>
      <c r="C15" t="s">
        <v>140</v>
      </c>
      <c r="D15">
        <v>2600</v>
      </c>
      <c r="E15">
        <v>0</v>
      </c>
      <c r="F15">
        <v>1300</v>
      </c>
      <c r="H15" s="76">
        <f t="shared" si="0"/>
        <v>2.6</v>
      </c>
      <c r="I15" s="76">
        <f t="shared" si="1"/>
        <v>0</v>
      </c>
      <c r="J15" s="76">
        <f t="shared" si="2"/>
        <v>1.3</v>
      </c>
      <c r="K15">
        <f t="shared" si="3"/>
        <v>0</v>
      </c>
      <c r="L15">
        <f t="shared" si="4"/>
        <v>1300</v>
      </c>
      <c r="P15" s="359">
        <v>6074</v>
      </c>
      <c r="Q15" s="362">
        <v>0</v>
      </c>
      <c r="R15" s="282">
        <f t="shared" si="5"/>
        <v>1300</v>
      </c>
    </row>
    <row r="16" spans="1:18">
      <c r="A16">
        <v>11</v>
      </c>
      <c r="B16">
        <v>6247</v>
      </c>
      <c r="C16" t="s">
        <v>141</v>
      </c>
      <c r="D16">
        <v>0</v>
      </c>
      <c r="E16">
        <v>1300</v>
      </c>
      <c r="F16">
        <v>0</v>
      </c>
      <c r="H16" s="76">
        <f t="shared" si="0"/>
        <v>0</v>
      </c>
      <c r="I16" s="76">
        <f t="shared" si="1"/>
        <v>1.3</v>
      </c>
      <c r="J16" s="76">
        <f t="shared" si="2"/>
        <v>0</v>
      </c>
      <c r="K16">
        <f t="shared" si="3"/>
        <v>0</v>
      </c>
      <c r="L16">
        <f t="shared" si="4"/>
        <v>0</v>
      </c>
      <c r="P16" s="359">
        <v>6075</v>
      </c>
      <c r="Q16" s="362">
        <v>0</v>
      </c>
      <c r="R16" s="282">
        <f t="shared" si="5"/>
        <v>0</v>
      </c>
    </row>
    <row r="17" spans="1:18">
      <c r="A17">
        <v>12</v>
      </c>
      <c r="B17">
        <v>6256</v>
      </c>
      <c r="C17" t="s">
        <v>144</v>
      </c>
      <c r="D17">
        <v>15600</v>
      </c>
      <c r="E17">
        <v>13000</v>
      </c>
      <c r="F17">
        <v>13000</v>
      </c>
      <c r="H17" s="76">
        <f t="shared" si="0"/>
        <v>15.6</v>
      </c>
      <c r="I17" s="76">
        <f t="shared" si="1"/>
        <v>13</v>
      </c>
      <c r="J17" s="76">
        <f t="shared" si="2"/>
        <v>13</v>
      </c>
      <c r="K17">
        <f t="shared" si="3"/>
        <v>0</v>
      </c>
      <c r="L17">
        <f t="shared" si="4"/>
        <v>13000</v>
      </c>
      <c r="P17" s="359">
        <v>6076</v>
      </c>
      <c r="Q17" s="362">
        <v>0</v>
      </c>
      <c r="R17" s="282">
        <f t="shared" si="5"/>
        <v>13000</v>
      </c>
    </row>
    <row r="18" spans="1:18">
      <c r="A18">
        <v>13</v>
      </c>
      <c r="B18">
        <v>6350</v>
      </c>
      <c r="C18" t="s">
        <v>145</v>
      </c>
      <c r="D18">
        <v>0</v>
      </c>
      <c r="E18">
        <v>0</v>
      </c>
      <c r="F18">
        <v>0</v>
      </c>
      <c r="H18" s="76">
        <f t="shared" si="0"/>
        <v>0</v>
      </c>
      <c r="I18" s="76">
        <f t="shared" si="1"/>
        <v>0</v>
      </c>
      <c r="J18" s="76">
        <f t="shared" si="2"/>
        <v>0</v>
      </c>
      <c r="K18">
        <f t="shared" si="3"/>
        <v>0</v>
      </c>
      <c r="L18">
        <f t="shared" si="4"/>
        <v>0</v>
      </c>
      <c r="P18" s="359">
        <v>6080</v>
      </c>
      <c r="Q18" s="362">
        <v>0</v>
      </c>
      <c r="R18" s="282">
        <f t="shared" si="5"/>
        <v>0</v>
      </c>
    </row>
    <row r="19" spans="1:18">
      <c r="A19">
        <v>14</v>
      </c>
      <c r="B19">
        <v>6354</v>
      </c>
      <c r="C19" t="s">
        <v>19</v>
      </c>
      <c r="D19">
        <v>0</v>
      </c>
      <c r="E19">
        <v>2000</v>
      </c>
      <c r="F19">
        <v>0</v>
      </c>
      <c r="H19" s="76">
        <f t="shared" si="0"/>
        <v>0</v>
      </c>
      <c r="I19" s="76">
        <f t="shared" si="1"/>
        <v>2</v>
      </c>
      <c r="J19" s="76">
        <f t="shared" si="2"/>
        <v>0</v>
      </c>
      <c r="K19">
        <f t="shared" si="3"/>
        <v>0</v>
      </c>
      <c r="L19">
        <f t="shared" si="4"/>
        <v>0</v>
      </c>
      <c r="P19" s="359">
        <v>6090</v>
      </c>
      <c r="Q19" s="362">
        <v>0</v>
      </c>
      <c r="R19" s="282">
        <f t="shared" si="5"/>
        <v>0</v>
      </c>
    </row>
    <row r="20" spans="1:18">
      <c r="A20">
        <v>15</v>
      </c>
      <c r="B20">
        <v>6358</v>
      </c>
      <c r="C20" t="s">
        <v>20</v>
      </c>
      <c r="D20">
        <v>0</v>
      </c>
      <c r="E20">
        <v>0</v>
      </c>
      <c r="F20">
        <v>0</v>
      </c>
      <c r="H20" s="76">
        <f t="shared" si="0"/>
        <v>0</v>
      </c>
      <c r="I20" s="76">
        <f t="shared" si="1"/>
        <v>0</v>
      </c>
      <c r="J20" s="76">
        <f t="shared" si="2"/>
        <v>0</v>
      </c>
      <c r="K20">
        <f t="shared" si="3"/>
        <v>0</v>
      </c>
      <c r="L20">
        <f t="shared" si="4"/>
        <v>0</v>
      </c>
      <c r="P20" s="359">
        <v>6091</v>
      </c>
      <c r="Q20" s="362">
        <v>0</v>
      </c>
      <c r="R20" s="282">
        <f t="shared" si="5"/>
        <v>0</v>
      </c>
    </row>
    <row r="21" spans="1:18">
      <c r="A21">
        <v>16</v>
      </c>
      <c r="B21">
        <v>6404</v>
      </c>
      <c r="C21" t="s">
        <v>21</v>
      </c>
      <c r="D21">
        <v>0</v>
      </c>
      <c r="E21">
        <v>0</v>
      </c>
      <c r="F21">
        <v>0</v>
      </c>
      <c r="H21" s="76">
        <f t="shared" si="0"/>
        <v>0</v>
      </c>
      <c r="I21" s="76">
        <f t="shared" si="1"/>
        <v>0</v>
      </c>
      <c r="J21" s="76">
        <f t="shared" si="2"/>
        <v>0</v>
      </c>
      <c r="K21">
        <f t="shared" si="3"/>
        <v>0</v>
      </c>
      <c r="L21">
        <f t="shared" si="4"/>
        <v>0</v>
      </c>
      <c r="P21" s="359">
        <v>6200</v>
      </c>
      <c r="Q21" s="362">
        <v>0</v>
      </c>
      <c r="R21" s="282">
        <f t="shared" si="5"/>
        <v>0</v>
      </c>
    </row>
    <row r="22" spans="1:18">
      <c r="A22">
        <v>17</v>
      </c>
      <c r="B22">
        <v>6405</v>
      </c>
      <c r="C22" t="s">
        <v>22</v>
      </c>
      <c r="D22">
        <v>0</v>
      </c>
      <c r="E22">
        <v>6000</v>
      </c>
      <c r="F22">
        <v>0</v>
      </c>
      <c r="H22" s="76">
        <f t="shared" si="0"/>
        <v>0</v>
      </c>
      <c r="I22" s="76">
        <f t="shared" si="1"/>
        <v>6</v>
      </c>
      <c r="J22" s="76">
        <f t="shared" si="2"/>
        <v>0</v>
      </c>
      <c r="K22">
        <f t="shared" si="3"/>
        <v>0</v>
      </c>
      <c r="L22">
        <f t="shared" si="4"/>
        <v>0</v>
      </c>
      <c r="P22" s="359">
        <v>6203</v>
      </c>
      <c r="Q22" s="362">
        <v>0</v>
      </c>
      <c r="R22" s="282">
        <f t="shared" si="5"/>
        <v>0</v>
      </c>
    </row>
    <row r="23" spans="1:18">
      <c r="A23">
        <v>18</v>
      </c>
      <c r="B23">
        <v>6406</v>
      </c>
      <c r="C23" t="s">
        <v>24</v>
      </c>
      <c r="D23">
        <v>3000</v>
      </c>
      <c r="E23">
        <v>0</v>
      </c>
      <c r="F23">
        <v>6000</v>
      </c>
      <c r="H23" s="76">
        <f t="shared" si="0"/>
        <v>3</v>
      </c>
      <c r="I23" s="76">
        <f t="shared" si="1"/>
        <v>0</v>
      </c>
      <c r="J23" s="76">
        <f t="shared" si="2"/>
        <v>6</v>
      </c>
      <c r="K23">
        <f t="shared" si="3"/>
        <v>0</v>
      </c>
      <c r="L23">
        <f t="shared" si="4"/>
        <v>6000</v>
      </c>
      <c r="P23" s="359">
        <v>6231</v>
      </c>
      <c r="Q23" s="362">
        <v>0</v>
      </c>
      <c r="R23" s="282">
        <f t="shared" si="5"/>
        <v>6000</v>
      </c>
    </row>
    <row r="24" spans="1:18">
      <c r="A24">
        <v>19</v>
      </c>
      <c r="B24">
        <v>7058</v>
      </c>
      <c r="C24" t="s">
        <v>18008</v>
      </c>
      <c r="D24">
        <v>0</v>
      </c>
      <c r="E24">
        <v>0</v>
      </c>
      <c r="F24">
        <v>0</v>
      </c>
      <c r="H24" s="76">
        <f t="shared" si="0"/>
        <v>0</v>
      </c>
      <c r="I24" s="76">
        <f t="shared" si="1"/>
        <v>0</v>
      </c>
      <c r="J24" s="76">
        <f t="shared" si="2"/>
        <v>0</v>
      </c>
      <c r="K24">
        <f t="shared" si="3"/>
        <v>0</v>
      </c>
      <c r="L24">
        <f t="shared" si="4"/>
        <v>0</v>
      </c>
      <c r="P24" s="359">
        <v>6233</v>
      </c>
      <c r="Q24" s="362">
        <v>0</v>
      </c>
      <c r="R24" s="282">
        <f t="shared" si="5"/>
        <v>0</v>
      </c>
    </row>
    <row r="25" spans="1:18">
      <c r="A25">
        <v>20</v>
      </c>
      <c r="B25">
        <v>7088</v>
      </c>
      <c r="C25" t="s">
        <v>18009</v>
      </c>
      <c r="D25">
        <v>0</v>
      </c>
      <c r="E25">
        <v>0</v>
      </c>
      <c r="F25">
        <v>0</v>
      </c>
      <c r="H25" s="76">
        <f t="shared" si="0"/>
        <v>0</v>
      </c>
      <c r="I25" s="76">
        <f t="shared" si="1"/>
        <v>0</v>
      </c>
      <c r="J25" s="76">
        <f t="shared" si="2"/>
        <v>0</v>
      </c>
      <c r="K25">
        <f t="shared" si="3"/>
        <v>0</v>
      </c>
      <c r="L25">
        <f t="shared" si="4"/>
        <v>0</v>
      </c>
      <c r="P25" s="359">
        <v>6236</v>
      </c>
      <c r="Q25" s="362">
        <v>0</v>
      </c>
      <c r="R25" s="282">
        <f t="shared" si="5"/>
        <v>0</v>
      </c>
    </row>
    <row r="26" spans="1:18" ht="18" customHeight="1">
      <c r="A26">
        <v>21</v>
      </c>
      <c r="B26">
        <v>6413</v>
      </c>
      <c r="C26" t="s">
        <v>27</v>
      </c>
      <c r="D26">
        <v>0</v>
      </c>
      <c r="E26">
        <v>0</v>
      </c>
      <c r="F26">
        <v>3000</v>
      </c>
      <c r="H26" s="76">
        <f t="shared" si="0"/>
        <v>0</v>
      </c>
      <c r="I26" s="76">
        <f t="shared" si="1"/>
        <v>0</v>
      </c>
      <c r="J26" s="76">
        <f t="shared" si="2"/>
        <v>3</v>
      </c>
      <c r="K26">
        <f t="shared" si="3"/>
        <v>0</v>
      </c>
      <c r="L26">
        <f t="shared" si="4"/>
        <v>3000</v>
      </c>
      <c r="P26" s="359">
        <v>6237</v>
      </c>
      <c r="Q26" s="362">
        <v>0</v>
      </c>
      <c r="R26" s="282">
        <f t="shared" si="5"/>
        <v>3000</v>
      </c>
    </row>
    <row r="27" spans="1:18">
      <c r="A27">
        <v>22</v>
      </c>
      <c r="B27">
        <v>6418</v>
      </c>
      <c r="C27" t="s">
        <v>28</v>
      </c>
      <c r="D27">
        <v>0</v>
      </c>
      <c r="E27">
        <v>1500</v>
      </c>
      <c r="F27">
        <v>0</v>
      </c>
      <c r="H27" s="76">
        <f t="shared" si="0"/>
        <v>0</v>
      </c>
      <c r="I27" s="76">
        <f t="shared" si="1"/>
        <v>1.5</v>
      </c>
      <c r="J27" s="76">
        <f t="shared" si="2"/>
        <v>0</v>
      </c>
      <c r="K27">
        <f t="shared" si="3"/>
        <v>0</v>
      </c>
      <c r="L27">
        <f t="shared" si="4"/>
        <v>0</v>
      </c>
      <c r="P27" s="359">
        <v>6239</v>
      </c>
      <c r="Q27" s="362">
        <v>0</v>
      </c>
      <c r="R27" s="282">
        <f t="shared" si="5"/>
        <v>0</v>
      </c>
    </row>
    <row r="28" spans="1:18">
      <c r="A28">
        <v>23</v>
      </c>
      <c r="B28">
        <v>6419</v>
      </c>
      <c r="C28" t="s">
        <v>18010</v>
      </c>
      <c r="D28">
        <v>0</v>
      </c>
      <c r="E28">
        <v>0</v>
      </c>
      <c r="F28">
        <v>0</v>
      </c>
      <c r="H28" s="76">
        <f t="shared" si="0"/>
        <v>0</v>
      </c>
      <c r="I28" s="76">
        <f t="shared" si="1"/>
        <v>0</v>
      </c>
      <c r="J28" s="76">
        <f t="shared" si="2"/>
        <v>0</v>
      </c>
      <c r="K28">
        <f t="shared" si="3"/>
        <v>0</v>
      </c>
      <c r="L28">
        <f t="shared" si="4"/>
        <v>0</v>
      </c>
      <c r="P28" s="359">
        <v>6240</v>
      </c>
      <c r="Q28" s="362">
        <v>0</v>
      </c>
      <c r="R28" s="282">
        <f t="shared" si="5"/>
        <v>0</v>
      </c>
    </row>
    <row r="29" spans="1:18">
      <c r="A29">
        <v>24</v>
      </c>
      <c r="B29">
        <v>6499</v>
      </c>
      <c r="C29" t="s">
        <v>29</v>
      </c>
      <c r="D29">
        <v>0</v>
      </c>
      <c r="E29">
        <v>0</v>
      </c>
      <c r="F29">
        <v>0</v>
      </c>
      <c r="H29" s="76">
        <f t="shared" si="0"/>
        <v>0</v>
      </c>
      <c r="I29" s="76">
        <f t="shared" si="1"/>
        <v>0</v>
      </c>
      <c r="J29" s="76">
        <f t="shared" si="2"/>
        <v>0</v>
      </c>
      <c r="K29">
        <f t="shared" si="3"/>
        <v>0</v>
      </c>
      <c r="L29">
        <f t="shared" si="4"/>
        <v>0</v>
      </c>
      <c r="P29" s="359">
        <v>6241</v>
      </c>
      <c r="Q29" s="362">
        <v>0</v>
      </c>
      <c r="R29" s="282">
        <f t="shared" si="5"/>
        <v>0</v>
      </c>
    </row>
    <row r="30" spans="1:18">
      <c r="A30">
        <v>25</v>
      </c>
      <c r="B30">
        <v>6599</v>
      </c>
      <c r="C30" t="s">
        <v>15606</v>
      </c>
      <c r="D30">
        <v>40000</v>
      </c>
      <c r="E30">
        <v>0</v>
      </c>
      <c r="F30">
        <v>40000</v>
      </c>
      <c r="H30" s="76">
        <f t="shared" si="0"/>
        <v>40</v>
      </c>
      <c r="I30" s="76">
        <f t="shared" si="1"/>
        <v>0</v>
      </c>
      <c r="J30" s="76">
        <f t="shared" si="2"/>
        <v>40</v>
      </c>
      <c r="K30">
        <f t="shared" si="3"/>
        <v>37600</v>
      </c>
      <c r="L30">
        <f t="shared" si="4"/>
        <v>77600</v>
      </c>
      <c r="P30" s="359">
        <v>6242</v>
      </c>
      <c r="Q30" s="362">
        <v>0</v>
      </c>
      <c r="R30" s="282">
        <f t="shared" si="5"/>
        <v>40000</v>
      </c>
    </row>
    <row r="31" spans="1:18">
      <c r="A31">
        <v>26</v>
      </c>
      <c r="B31">
        <v>6699</v>
      </c>
      <c r="C31" t="s">
        <v>18011</v>
      </c>
      <c r="D31">
        <v>21000</v>
      </c>
      <c r="E31">
        <v>0</v>
      </c>
      <c r="F31">
        <v>0</v>
      </c>
      <c r="H31" s="76">
        <f t="shared" si="0"/>
        <v>21</v>
      </c>
      <c r="I31" s="76">
        <f t="shared" si="1"/>
        <v>0</v>
      </c>
      <c r="J31" s="76">
        <f t="shared" si="2"/>
        <v>0</v>
      </c>
      <c r="K31">
        <f t="shared" si="3"/>
        <v>0</v>
      </c>
      <c r="L31">
        <f t="shared" si="4"/>
        <v>0</v>
      </c>
      <c r="P31" s="359">
        <v>6243</v>
      </c>
      <c r="Q31" s="362">
        <v>0</v>
      </c>
      <c r="R31" s="282">
        <f t="shared" si="5"/>
        <v>0</v>
      </c>
    </row>
    <row r="32" spans="1:18">
      <c r="A32">
        <v>27</v>
      </c>
      <c r="B32">
        <v>6424</v>
      </c>
      <c r="C32" t="s">
        <v>18012</v>
      </c>
      <c r="D32">
        <v>0</v>
      </c>
      <c r="E32">
        <v>0</v>
      </c>
      <c r="F32">
        <v>0</v>
      </c>
      <c r="H32" s="76">
        <f t="shared" si="0"/>
        <v>0</v>
      </c>
      <c r="I32" s="76">
        <f t="shared" si="1"/>
        <v>0</v>
      </c>
      <c r="J32" s="76">
        <f t="shared" si="2"/>
        <v>0</v>
      </c>
      <c r="K32">
        <f t="shared" si="3"/>
        <v>0</v>
      </c>
      <c r="L32">
        <f t="shared" si="4"/>
        <v>0</v>
      </c>
      <c r="P32" s="359">
        <v>6246</v>
      </c>
      <c r="Q32" s="362">
        <v>0</v>
      </c>
      <c r="R32" s="282">
        <f t="shared" si="5"/>
        <v>0</v>
      </c>
    </row>
    <row r="33" spans="1:18">
      <c r="A33">
        <v>28</v>
      </c>
      <c r="B33">
        <v>6434</v>
      </c>
      <c r="C33" t="s">
        <v>31</v>
      </c>
      <c r="D33">
        <v>0</v>
      </c>
      <c r="E33">
        <v>6000</v>
      </c>
      <c r="F33">
        <v>0</v>
      </c>
      <c r="H33" s="76">
        <f t="shared" si="0"/>
        <v>0</v>
      </c>
      <c r="I33" s="76">
        <f t="shared" si="1"/>
        <v>6</v>
      </c>
      <c r="J33" s="76">
        <f t="shared" si="2"/>
        <v>0</v>
      </c>
      <c r="K33">
        <f t="shared" si="3"/>
        <v>0</v>
      </c>
      <c r="L33">
        <f t="shared" si="4"/>
        <v>0</v>
      </c>
      <c r="P33" s="359">
        <v>6247</v>
      </c>
      <c r="Q33" s="362">
        <v>0</v>
      </c>
      <c r="R33" s="282">
        <f t="shared" si="5"/>
        <v>0</v>
      </c>
    </row>
    <row r="34" spans="1:18">
      <c r="A34">
        <v>29</v>
      </c>
      <c r="B34">
        <v>6448</v>
      </c>
      <c r="C34" t="s">
        <v>32</v>
      </c>
      <c r="D34">
        <v>0</v>
      </c>
      <c r="E34">
        <v>0</v>
      </c>
      <c r="F34">
        <v>0</v>
      </c>
      <c r="H34" s="76">
        <f t="shared" si="0"/>
        <v>0</v>
      </c>
      <c r="I34" s="76">
        <f t="shared" si="1"/>
        <v>0</v>
      </c>
      <c r="J34" s="76">
        <f t="shared" si="2"/>
        <v>0</v>
      </c>
      <c r="K34">
        <f t="shared" si="3"/>
        <v>39200</v>
      </c>
      <c r="L34">
        <f t="shared" si="4"/>
        <v>39200</v>
      </c>
      <c r="P34" s="359">
        <v>6248</v>
      </c>
      <c r="Q34" s="362">
        <v>0</v>
      </c>
      <c r="R34" s="282">
        <f t="shared" si="5"/>
        <v>0</v>
      </c>
    </row>
    <row r="35" spans="1:18">
      <c r="A35">
        <v>30</v>
      </c>
      <c r="B35">
        <v>6471</v>
      </c>
      <c r="C35" t="s">
        <v>18013</v>
      </c>
      <c r="D35">
        <v>0</v>
      </c>
      <c r="E35">
        <v>0</v>
      </c>
      <c r="F35">
        <v>0</v>
      </c>
      <c r="H35" s="76">
        <f t="shared" si="0"/>
        <v>0</v>
      </c>
      <c r="I35" s="76">
        <f t="shared" si="1"/>
        <v>0</v>
      </c>
      <c r="J35" s="76">
        <f t="shared" si="2"/>
        <v>0</v>
      </c>
      <c r="K35">
        <f t="shared" si="3"/>
        <v>0</v>
      </c>
      <c r="L35">
        <f t="shared" si="4"/>
        <v>0</v>
      </c>
      <c r="P35" s="359">
        <v>6254</v>
      </c>
      <c r="Q35" s="362">
        <v>0</v>
      </c>
      <c r="R35" s="282">
        <f t="shared" si="5"/>
        <v>0</v>
      </c>
    </row>
    <row r="36" spans="1:18">
      <c r="A36">
        <v>31</v>
      </c>
      <c r="B36">
        <v>6551</v>
      </c>
      <c r="C36" t="s">
        <v>35</v>
      </c>
      <c r="D36">
        <v>0</v>
      </c>
      <c r="E36">
        <v>0</v>
      </c>
      <c r="F36">
        <v>0</v>
      </c>
      <c r="H36" s="76">
        <f t="shared" si="0"/>
        <v>0</v>
      </c>
      <c r="I36" s="76">
        <f t="shared" si="1"/>
        <v>0</v>
      </c>
      <c r="J36" s="76">
        <f t="shared" si="2"/>
        <v>0</v>
      </c>
      <c r="K36">
        <f t="shared" si="3"/>
        <v>0</v>
      </c>
      <c r="L36">
        <f t="shared" si="4"/>
        <v>0</v>
      </c>
      <c r="P36" s="359">
        <v>6255</v>
      </c>
      <c r="Q36" s="362">
        <v>0</v>
      </c>
      <c r="R36" s="282">
        <f t="shared" si="5"/>
        <v>0</v>
      </c>
    </row>
    <row r="37" spans="1:18">
      <c r="A37">
        <v>32</v>
      </c>
      <c r="B37">
        <v>6451</v>
      </c>
      <c r="C37" t="s">
        <v>36</v>
      </c>
      <c r="D37">
        <v>40000</v>
      </c>
      <c r="E37">
        <v>80000</v>
      </c>
      <c r="F37">
        <v>40000</v>
      </c>
      <c r="H37" s="76">
        <f t="shared" si="0"/>
        <v>40</v>
      </c>
      <c r="I37" s="76">
        <f t="shared" si="1"/>
        <v>80</v>
      </c>
      <c r="J37" s="76">
        <f t="shared" si="2"/>
        <v>40</v>
      </c>
      <c r="K37">
        <f t="shared" si="3"/>
        <v>0</v>
      </c>
      <c r="L37">
        <f t="shared" si="4"/>
        <v>40000</v>
      </c>
      <c r="P37" s="359">
        <v>6256</v>
      </c>
      <c r="Q37" s="362">
        <v>0</v>
      </c>
      <c r="R37" s="282">
        <f t="shared" si="5"/>
        <v>40000</v>
      </c>
    </row>
    <row r="38" spans="1:18">
      <c r="A38">
        <v>33</v>
      </c>
      <c r="B38">
        <v>6454</v>
      </c>
      <c r="C38" t="s">
        <v>37</v>
      </c>
      <c r="D38">
        <v>0</v>
      </c>
      <c r="E38">
        <v>0</v>
      </c>
      <c r="F38">
        <v>0</v>
      </c>
      <c r="H38" s="76">
        <f t="shared" si="0"/>
        <v>0</v>
      </c>
      <c r="I38" s="76">
        <f t="shared" si="1"/>
        <v>0</v>
      </c>
      <c r="J38" s="76">
        <f t="shared" si="2"/>
        <v>0</v>
      </c>
      <c r="K38">
        <f t="shared" si="3"/>
        <v>0</v>
      </c>
      <c r="L38">
        <f t="shared" si="4"/>
        <v>0</v>
      </c>
      <c r="P38" s="359">
        <v>6273</v>
      </c>
      <c r="Q38" s="362">
        <v>0</v>
      </c>
      <c r="R38" s="282">
        <f t="shared" si="5"/>
        <v>0</v>
      </c>
    </row>
    <row r="39" spans="1:18">
      <c r="A39">
        <v>34</v>
      </c>
      <c r="B39">
        <v>6458</v>
      </c>
      <c r="C39" t="s">
        <v>18014</v>
      </c>
      <c r="D39">
        <v>0</v>
      </c>
      <c r="E39">
        <v>6000</v>
      </c>
      <c r="F39">
        <v>0</v>
      </c>
      <c r="H39" s="76">
        <f t="shared" si="0"/>
        <v>0</v>
      </c>
      <c r="I39" s="76">
        <f t="shared" si="1"/>
        <v>6</v>
      </c>
      <c r="J39" s="76">
        <f t="shared" si="2"/>
        <v>0</v>
      </c>
      <c r="K39">
        <f t="shared" si="3"/>
        <v>0</v>
      </c>
      <c r="L39">
        <f t="shared" si="4"/>
        <v>0</v>
      </c>
      <c r="P39" s="359">
        <v>6310</v>
      </c>
      <c r="Q39" s="362">
        <v>0</v>
      </c>
      <c r="R39" s="282">
        <f t="shared" si="5"/>
        <v>0</v>
      </c>
    </row>
    <row r="40" spans="1:18">
      <c r="A40">
        <v>35</v>
      </c>
      <c r="B40">
        <v>6457</v>
      </c>
      <c r="C40" t="s">
        <v>38</v>
      </c>
      <c r="D40">
        <v>0</v>
      </c>
      <c r="E40">
        <v>1300</v>
      </c>
      <c r="F40">
        <v>0</v>
      </c>
      <c r="H40" s="76">
        <f t="shared" si="0"/>
        <v>0</v>
      </c>
      <c r="I40" s="76">
        <f t="shared" si="1"/>
        <v>1.3</v>
      </c>
      <c r="J40" s="76">
        <f t="shared" si="2"/>
        <v>0</v>
      </c>
      <c r="K40">
        <f t="shared" si="3"/>
        <v>0</v>
      </c>
      <c r="L40">
        <f t="shared" si="4"/>
        <v>0</v>
      </c>
      <c r="P40" s="359">
        <v>6350</v>
      </c>
      <c r="Q40" s="362">
        <v>0</v>
      </c>
      <c r="R40" s="282">
        <f t="shared" si="5"/>
        <v>0</v>
      </c>
    </row>
    <row r="41" spans="1:18">
      <c r="A41">
        <v>36</v>
      </c>
      <c r="B41">
        <v>6460</v>
      </c>
      <c r="C41" t="s">
        <v>148</v>
      </c>
      <c r="D41">
        <v>0</v>
      </c>
      <c r="E41">
        <v>0</v>
      </c>
      <c r="F41">
        <v>0</v>
      </c>
      <c r="H41" s="76">
        <f t="shared" si="0"/>
        <v>0</v>
      </c>
      <c r="I41" s="76">
        <f t="shared" si="1"/>
        <v>0</v>
      </c>
      <c r="J41" s="76">
        <f t="shared" si="2"/>
        <v>0</v>
      </c>
      <c r="K41">
        <f t="shared" si="3"/>
        <v>0</v>
      </c>
      <c r="L41">
        <f t="shared" si="4"/>
        <v>0</v>
      </c>
      <c r="P41" s="359">
        <v>6351</v>
      </c>
      <c r="Q41" s="362">
        <v>0</v>
      </c>
      <c r="R41" s="282">
        <f t="shared" si="5"/>
        <v>0</v>
      </c>
    </row>
    <row r="42" spans="1:18">
      <c r="A42">
        <v>37</v>
      </c>
      <c r="B42">
        <v>6461</v>
      </c>
      <c r="C42" t="s">
        <v>39</v>
      </c>
      <c r="D42">
        <v>0</v>
      </c>
      <c r="E42">
        <v>0</v>
      </c>
      <c r="F42">
        <v>0</v>
      </c>
      <c r="H42" s="76">
        <f t="shared" si="0"/>
        <v>0</v>
      </c>
      <c r="I42" s="76">
        <f t="shared" si="1"/>
        <v>0</v>
      </c>
      <c r="J42" s="76">
        <f t="shared" si="2"/>
        <v>0</v>
      </c>
      <c r="K42">
        <f t="shared" si="3"/>
        <v>0</v>
      </c>
      <c r="L42">
        <f t="shared" si="4"/>
        <v>0</v>
      </c>
      <c r="P42" s="359">
        <v>6353</v>
      </c>
      <c r="Q42" s="362">
        <v>0</v>
      </c>
      <c r="R42" s="282">
        <f t="shared" si="5"/>
        <v>0</v>
      </c>
    </row>
    <row r="43" spans="1:18">
      <c r="A43">
        <v>38</v>
      </c>
      <c r="B43">
        <v>6462</v>
      </c>
      <c r="C43" t="s">
        <v>186</v>
      </c>
      <c r="D43">
        <v>0</v>
      </c>
      <c r="E43">
        <v>0</v>
      </c>
      <c r="F43">
        <v>0</v>
      </c>
      <c r="H43" s="76">
        <f t="shared" si="0"/>
        <v>0</v>
      </c>
      <c r="I43" s="76">
        <f t="shared" si="1"/>
        <v>0</v>
      </c>
      <c r="J43" s="76">
        <f t="shared" si="2"/>
        <v>0</v>
      </c>
      <c r="K43">
        <f t="shared" si="3"/>
        <v>0</v>
      </c>
      <c r="L43">
        <f t="shared" si="4"/>
        <v>0</v>
      </c>
      <c r="P43" s="359">
        <v>6354</v>
      </c>
      <c r="Q43" s="362">
        <v>0</v>
      </c>
      <c r="R43" s="282">
        <f t="shared" si="5"/>
        <v>0</v>
      </c>
    </row>
    <row r="44" spans="1:18">
      <c r="A44">
        <v>39</v>
      </c>
      <c r="B44">
        <v>6463</v>
      </c>
      <c r="C44" t="s">
        <v>187</v>
      </c>
      <c r="D44">
        <v>0</v>
      </c>
      <c r="E44">
        <v>3000</v>
      </c>
      <c r="F44">
        <v>0</v>
      </c>
      <c r="H44" s="76">
        <f t="shared" si="0"/>
        <v>0</v>
      </c>
      <c r="I44" s="76">
        <f t="shared" si="1"/>
        <v>3</v>
      </c>
      <c r="J44" s="76">
        <f t="shared" si="2"/>
        <v>0</v>
      </c>
      <c r="K44">
        <f t="shared" si="3"/>
        <v>0</v>
      </c>
      <c r="L44">
        <f t="shared" si="4"/>
        <v>0</v>
      </c>
      <c r="P44" s="359">
        <v>6355</v>
      </c>
      <c r="Q44" s="362">
        <v>0</v>
      </c>
      <c r="R44" s="282">
        <f t="shared" si="5"/>
        <v>0</v>
      </c>
    </row>
    <row r="45" spans="1:18">
      <c r="A45">
        <v>40</v>
      </c>
      <c r="B45">
        <v>6470</v>
      </c>
      <c r="C45" t="s">
        <v>18015</v>
      </c>
      <c r="D45">
        <v>0</v>
      </c>
      <c r="E45">
        <v>0</v>
      </c>
      <c r="F45">
        <v>0</v>
      </c>
      <c r="H45" s="76">
        <f t="shared" si="0"/>
        <v>0</v>
      </c>
      <c r="I45" s="76">
        <f t="shared" si="1"/>
        <v>0</v>
      </c>
      <c r="J45" s="76">
        <f t="shared" si="2"/>
        <v>0</v>
      </c>
      <c r="K45">
        <f t="shared" si="3"/>
        <v>0</v>
      </c>
      <c r="L45">
        <f t="shared" si="4"/>
        <v>0</v>
      </c>
      <c r="P45" s="359">
        <v>6356</v>
      </c>
      <c r="Q45" s="362">
        <v>0</v>
      </c>
      <c r="R45" s="282">
        <f t="shared" si="5"/>
        <v>0</v>
      </c>
    </row>
    <row r="46" spans="1:18">
      <c r="A46">
        <v>41</v>
      </c>
      <c r="B46">
        <v>6466</v>
      </c>
      <c r="C46" t="s">
        <v>18016</v>
      </c>
      <c r="D46">
        <v>9000</v>
      </c>
      <c r="E46">
        <v>6000</v>
      </c>
      <c r="F46">
        <v>0</v>
      </c>
      <c r="H46" s="76">
        <f t="shared" si="0"/>
        <v>9</v>
      </c>
      <c r="I46" s="76">
        <f t="shared" si="1"/>
        <v>6</v>
      </c>
      <c r="J46" s="76">
        <f t="shared" si="2"/>
        <v>0</v>
      </c>
      <c r="K46">
        <f t="shared" si="3"/>
        <v>0</v>
      </c>
      <c r="L46">
        <f t="shared" si="4"/>
        <v>0</v>
      </c>
      <c r="P46" s="359">
        <v>6357</v>
      </c>
      <c r="Q46" s="362">
        <v>0</v>
      </c>
      <c r="R46" s="282">
        <f t="shared" si="5"/>
        <v>0</v>
      </c>
    </row>
    <row r="47" spans="1:18">
      <c r="A47">
        <v>42</v>
      </c>
      <c r="B47">
        <v>6473</v>
      </c>
      <c r="C47" t="s">
        <v>18017</v>
      </c>
      <c r="D47">
        <v>0</v>
      </c>
      <c r="E47">
        <v>0</v>
      </c>
      <c r="F47">
        <v>0</v>
      </c>
      <c r="H47" s="76">
        <f t="shared" si="0"/>
        <v>0</v>
      </c>
      <c r="I47" s="76">
        <f t="shared" si="1"/>
        <v>0</v>
      </c>
      <c r="J47" s="76">
        <f t="shared" si="2"/>
        <v>0</v>
      </c>
      <c r="K47">
        <f t="shared" si="3"/>
        <v>0</v>
      </c>
      <c r="L47">
        <f t="shared" si="4"/>
        <v>0</v>
      </c>
      <c r="P47" s="359">
        <v>6358</v>
      </c>
      <c r="Q47" s="362">
        <v>0</v>
      </c>
      <c r="R47" s="282">
        <f t="shared" si="5"/>
        <v>0</v>
      </c>
    </row>
    <row r="48" spans="1:18">
      <c r="A48">
        <v>43</v>
      </c>
      <c r="B48">
        <v>6480</v>
      </c>
      <c r="C48" t="s">
        <v>40</v>
      </c>
      <c r="D48">
        <v>0</v>
      </c>
      <c r="E48">
        <v>6000</v>
      </c>
      <c r="F48">
        <v>0</v>
      </c>
      <c r="H48" s="76">
        <f t="shared" si="0"/>
        <v>0</v>
      </c>
      <c r="I48" s="76">
        <f t="shared" si="1"/>
        <v>6</v>
      </c>
      <c r="J48" s="76">
        <f t="shared" si="2"/>
        <v>0</v>
      </c>
      <c r="K48">
        <f t="shared" si="3"/>
        <v>0</v>
      </c>
      <c r="L48">
        <f t="shared" si="4"/>
        <v>0</v>
      </c>
      <c r="P48" s="359">
        <v>6402</v>
      </c>
      <c r="Q48" s="362">
        <v>0</v>
      </c>
      <c r="R48" s="282">
        <f t="shared" si="5"/>
        <v>0</v>
      </c>
    </row>
    <row r="49" spans="1:18">
      <c r="A49">
        <v>44</v>
      </c>
      <c r="B49">
        <v>6449</v>
      </c>
      <c r="C49" t="s">
        <v>41</v>
      </c>
      <c r="D49">
        <v>0</v>
      </c>
      <c r="E49">
        <v>0</v>
      </c>
      <c r="F49">
        <v>0</v>
      </c>
      <c r="H49" s="76">
        <f t="shared" si="0"/>
        <v>0</v>
      </c>
      <c r="I49" s="76">
        <f t="shared" si="1"/>
        <v>0</v>
      </c>
      <c r="J49" s="76">
        <f t="shared" si="2"/>
        <v>0</v>
      </c>
      <c r="K49">
        <f t="shared" si="3"/>
        <v>0</v>
      </c>
      <c r="L49">
        <f t="shared" si="4"/>
        <v>0</v>
      </c>
      <c r="P49" s="359">
        <v>6403</v>
      </c>
      <c r="Q49" s="362">
        <v>0</v>
      </c>
      <c r="R49" s="282">
        <f t="shared" si="5"/>
        <v>0</v>
      </c>
    </row>
    <row r="50" spans="1:18">
      <c r="A50">
        <v>45</v>
      </c>
      <c r="B50">
        <v>6579</v>
      </c>
      <c r="C50" t="s">
        <v>18018</v>
      </c>
      <c r="D50">
        <v>0</v>
      </c>
      <c r="E50">
        <v>12000</v>
      </c>
      <c r="F50">
        <v>0</v>
      </c>
      <c r="H50" s="76">
        <f t="shared" si="0"/>
        <v>0</v>
      </c>
      <c r="I50" s="76">
        <f t="shared" si="1"/>
        <v>12</v>
      </c>
      <c r="J50" s="76">
        <f t="shared" si="2"/>
        <v>0</v>
      </c>
      <c r="K50">
        <f t="shared" si="3"/>
        <v>0</v>
      </c>
      <c r="L50">
        <f t="shared" si="4"/>
        <v>0</v>
      </c>
      <c r="P50" s="359">
        <v>6404</v>
      </c>
      <c r="Q50" s="362">
        <v>0</v>
      </c>
      <c r="R50" s="282">
        <f t="shared" si="5"/>
        <v>0</v>
      </c>
    </row>
    <row r="51" spans="1:18">
      <c r="A51">
        <v>46</v>
      </c>
      <c r="B51">
        <v>6479</v>
      </c>
      <c r="C51" t="s">
        <v>18019</v>
      </c>
      <c r="D51">
        <v>40000</v>
      </c>
      <c r="E51">
        <v>0</v>
      </c>
      <c r="F51">
        <v>0</v>
      </c>
      <c r="H51" s="76">
        <f t="shared" si="0"/>
        <v>40</v>
      </c>
      <c r="I51" s="76">
        <f t="shared" si="1"/>
        <v>0</v>
      </c>
      <c r="J51" s="76">
        <f t="shared" si="2"/>
        <v>0</v>
      </c>
      <c r="K51">
        <f t="shared" si="3"/>
        <v>0</v>
      </c>
      <c r="L51">
        <f t="shared" si="4"/>
        <v>0</v>
      </c>
      <c r="P51" s="359">
        <v>6405</v>
      </c>
      <c r="Q51" s="362">
        <v>0</v>
      </c>
      <c r="R51" s="282">
        <f t="shared" si="5"/>
        <v>0</v>
      </c>
    </row>
    <row r="52" spans="1:18">
      <c r="A52">
        <v>47</v>
      </c>
      <c r="B52">
        <v>6485</v>
      </c>
      <c r="C52" t="s">
        <v>43</v>
      </c>
      <c r="D52">
        <v>0</v>
      </c>
      <c r="E52">
        <v>0</v>
      </c>
      <c r="F52">
        <v>0</v>
      </c>
      <c r="H52" s="76">
        <f t="shared" si="0"/>
        <v>0</v>
      </c>
      <c r="I52" s="76">
        <f t="shared" si="1"/>
        <v>0</v>
      </c>
      <c r="J52" s="76">
        <f t="shared" si="2"/>
        <v>0</v>
      </c>
      <c r="K52">
        <f t="shared" si="3"/>
        <v>0</v>
      </c>
      <c r="L52">
        <f t="shared" si="4"/>
        <v>0</v>
      </c>
      <c r="P52" s="359">
        <v>7058</v>
      </c>
      <c r="Q52" s="362">
        <v>0</v>
      </c>
      <c r="R52" s="282">
        <f t="shared" si="5"/>
        <v>0</v>
      </c>
    </row>
    <row r="53" spans="1:18">
      <c r="A53">
        <v>48</v>
      </c>
      <c r="B53">
        <v>6486</v>
      </c>
      <c r="C53" t="s">
        <v>18020</v>
      </c>
      <c r="D53">
        <v>0</v>
      </c>
      <c r="E53">
        <v>0</v>
      </c>
      <c r="F53">
        <v>0</v>
      </c>
      <c r="H53" s="76">
        <f t="shared" si="0"/>
        <v>0</v>
      </c>
      <c r="I53" s="76">
        <f t="shared" si="1"/>
        <v>0</v>
      </c>
      <c r="J53" s="76">
        <f t="shared" si="2"/>
        <v>0</v>
      </c>
      <c r="K53">
        <f t="shared" si="3"/>
        <v>0</v>
      </c>
      <c r="L53">
        <f t="shared" si="4"/>
        <v>0</v>
      </c>
      <c r="P53" s="359">
        <v>7088</v>
      </c>
      <c r="Q53" s="362">
        <v>0</v>
      </c>
      <c r="R53" s="282">
        <f t="shared" si="5"/>
        <v>0</v>
      </c>
    </row>
    <row r="54" spans="1:18">
      <c r="A54">
        <v>49</v>
      </c>
      <c r="B54">
        <v>6490</v>
      </c>
      <c r="C54" t="s">
        <v>45</v>
      </c>
      <c r="D54">
        <v>0</v>
      </c>
      <c r="E54">
        <v>0</v>
      </c>
      <c r="F54">
        <v>0</v>
      </c>
      <c r="H54" s="76">
        <f t="shared" si="0"/>
        <v>0</v>
      </c>
      <c r="I54" s="76">
        <f t="shared" si="1"/>
        <v>0</v>
      </c>
      <c r="J54" s="76">
        <f t="shared" si="2"/>
        <v>0</v>
      </c>
      <c r="K54">
        <f t="shared" si="3"/>
        <v>0</v>
      </c>
      <c r="L54">
        <f t="shared" si="4"/>
        <v>0</v>
      </c>
      <c r="P54" s="359">
        <v>6406</v>
      </c>
      <c r="Q54" s="362">
        <v>0</v>
      </c>
      <c r="R54" s="282">
        <f t="shared" si="5"/>
        <v>0</v>
      </c>
    </row>
    <row r="55" spans="1:18">
      <c r="A55">
        <v>50</v>
      </c>
      <c r="B55">
        <v>6495</v>
      </c>
      <c r="C55" t="s">
        <v>18021</v>
      </c>
      <c r="D55">
        <v>0</v>
      </c>
      <c r="E55">
        <v>0</v>
      </c>
      <c r="F55">
        <v>0</v>
      </c>
      <c r="H55" s="76">
        <f t="shared" si="0"/>
        <v>0</v>
      </c>
      <c r="I55" s="76">
        <f t="shared" si="1"/>
        <v>0</v>
      </c>
      <c r="J55" s="76">
        <f t="shared" si="2"/>
        <v>0</v>
      </c>
      <c r="K55">
        <f t="shared" si="3"/>
        <v>0</v>
      </c>
      <c r="L55">
        <f t="shared" si="4"/>
        <v>0</v>
      </c>
      <c r="P55" s="359">
        <v>6413</v>
      </c>
      <c r="Q55" s="362">
        <v>0</v>
      </c>
      <c r="R55" s="282">
        <f t="shared" si="5"/>
        <v>0</v>
      </c>
    </row>
    <row r="56" spans="1:18">
      <c r="A56">
        <v>51</v>
      </c>
      <c r="B56">
        <v>6496</v>
      </c>
      <c r="C56" t="s">
        <v>46</v>
      </c>
      <c r="D56">
        <v>3000</v>
      </c>
      <c r="E56">
        <v>3000</v>
      </c>
      <c r="F56">
        <v>0</v>
      </c>
      <c r="H56" s="76">
        <f t="shared" si="0"/>
        <v>3</v>
      </c>
      <c r="I56" s="76">
        <f t="shared" si="1"/>
        <v>3</v>
      </c>
      <c r="J56" s="76">
        <f t="shared" si="2"/>
        <v>0</v>
      </c>
      <c r="K56">
        <f t="shared" si="3"/>
        <v>0</v>
      </c>
      <c r="L56">
        <f t="shared" si="4"/>
        <v>0</v>
      </c>
      <c r="P56" s="359">
        <v>6418</v>
      </c>
      <c r="Q56" s="362">
        <v>0</v>
      </c>
      <c r="R56" s="282">
        <f t="shared" si="5"/>
        <v>0</v>
      </c>
    </row>
    <row r="57" spans="1:18">
      <c r="A57">
        <v>52</v>
      </c>
      <c r="B57">
        <v>6500</v>
      </c>
      <c r="C57" t="s">
        <v>17952</v>
      </c>
      <c r="D57">
        <v>0</v>
      </c>
      <c r="E57">
        <v>0</v>
      </c>
      <c r="F57">
        <v>0</v>
      </c>
      <c r="H57" s="76">
        <f t="shared" si="0"/>
        <v>0</v>
      </c>
      <c r="I57" s="76">
        <f t="shared" si="1"/>
        <v>0</v>
      </c>
      <c r="J57" s="76">
        <f t="shared" si="2"/>
        <v>0</v>
      </c>
      <c r="K57">
        <f t="shared" si="3"/>
        <v>0</v>
      </c>
      <c r="L57">
        <f t="shared" si="4"/>
        <v>0</v>
      </c>
      <c r="P57" s="359">
        <v>6419</v>
      </c>
      <c r="Q57" s="362">
        <v>0</v>
      </c>
      <c r="R57" s="282">
        <f t="shared" si="5"/>
        <v>0</v>
      </c>
    </row>
    <row r="58" spans="1:18">
      <c r="A58">
        <v>53</v>
      </c>
      <c r="B58">
        <v>6501</v>
      </c>
      <c r="C58" t="s">
        <v>17975</v>
      </c>
      <c r="D58">
        <v>6000</v>
      </c>
      <c r="E58">
        <v>9000</v>
      </c>
      <c r="F58">
        <v>9000</v>
      </c>
      <c r="H58" s="76">
        <f t="shared" si="0"/>
        <v>6</v>
      </c>
      <c r="I58" s="76">
        <f t="shared" si="1"/>
        <v>9</v>
      </c>
      <c r="J58" s="76">
        <f t="shared" si="2"/>
        <v>9</v>
      </c>
      <c r="K58">
        <f t="shared" si="3"/>
        <v>0</v>
      </c>
      <c r="L58">
        <f t="shared" si="4"/>
        <v>9000</v>
      </c>
      <c r="P58" s="359">
        <v>6699</v>
      </c>
      <c r="Q58" s="362">
        <v>0</v>
      </c>
      <c r="R58" s="282">
        <f t="shared" si="5"/>
        <v>9000</v>
      </c>
    </row>
    <row r="59" spans="1:18">
      <c r="A59">
        <v>54</v>
      </c>
      <c r="B59">
        <v>6512</v>
      </c>
      <c r="C59" t="s">
        <v>152</v>
      </c>
      <c r="D59">
        <v>0</v>
      </c>
      <c r="E59">
        <v>0</v>
      </c>
      <c r="F59">
        <v>0</v>
      </c>
      <c r="H59" s="76">
        <f t="shared" si="0"/>
        <v>0</v>
      </c>
      <c r="I59" s="76">
        <f t="shared" si="1"/>
        <v>0</v>
      </c>
      <c r="J59" s="76">
        <f t="shared" si="2"/>
        <v>0</v>
      </c>
      <c r="K59">
        <f t="shared" si="3"/>
        <v>0</v>
      </c>
      <c r="L59">
        <f t="shared" si="4"/>
        <v>0</v>
      </c>
      <c r="P59" s="359">
        <v>6421</v>
      </c>
      <c r="Q59" s="362">
        <v>0</v>
      </c>
      <c r="R59" s="282">
        <f t="shared" si="5"/>
        <v>0</v>
      </c>
    </row>
    <row r="60" spans="1:18">
      <c r="A60">
        <v>55</v>
      </c>
      <c r="B60">
        <v>6513</v>
      </c>
      <c r="C60" t="s">
        <v>190</v>
      </c>
      <c r="D60">
        <v>0</v>
      </c>
      <c r="E60">
        <v>0</v>
      </c>
      <c r="F60">
        <v>9000</v>
      </c>
      <c r="H60" s="76">
        <f t="shared" si="0"/>
        <v>0</v>
      </c>
      <c r="I60" s="76">
        <f t="shared" si="1"/>
        <v>0</v>
      </c>
      <c r="J60" s="76">
        <f t="shared" si="2"/>
        <v>9</v>
      </c>
      <c r="K60">
        <f t="shared" si="3"/>
        <v>0</v>
      </c>
      <c r="L60">
        <f t="shared" si="4"/>
        <v>9000</v>
      </c>
      <c r="P60" s="359">
        <v>6424</v>
      </c>
      <c r="Q60" s="362">
        <v>0</v>
      </c>
      <c r="R60" s="282">
        <f t="shared" si="5"/>
        <v>9000</v>
      </c>
    </row>
    <row r="61" spans="1:18">
      <c r="A61">
        <v>56</v>
      </c>
      <c r="B61">
        <v>6520</v>
      </c>
      <c r="C61" t="s">
        <v>18022</v>
      </c>
      <c r="D61">
        <v>0</v>
      </c>
      <c r="E61">
        <v>0</v>
      </c>
      <c r="F61">
        <v>0</v>
      </c>
      <c r="H61" s="76">
        <f t="shared" si="0"/>
        <v>0</v>
      </c>
      <c r="I61" s="76">
        <f t="shared" si="1"/>
        <v>0</v>
      </c>
      <c r="J61" s="76">
        <f t="shared" si="2"/>
        <v>0</v>
      </c>
      <c r="K61">
        <f t="shared" si="3"/>
        <v>0</v>
      </c>
      <c r="L61">
        <f t="shared" si="4"/>
        <v>0</v>
      </c>
      <c r="P61" s="359">
        <v>6426</v>
      </c>
      <c r="Q61" s="362">
        <v>0</v>
      </c>
      <c r="R61" s="282">
        <f t="shared" si="5"/>
        <v>0</v>
      </c>
    </row>
    <row r="62" spans="1:18">
      <c r="A62">
        <v>57</v>
      </c>
      <c r="B62">
        <v>6548</v>
      </c>
      <c r="C62" t="s">
        <v>47</v>
      </c>
      <c r="D62">
        <v>0</v>
      </c>
      <c r="E62">
        <v>0</v>
      </c>
      <c r="F62">
        <v>0</v>
      </c>
      <c r="H62" s="76">
        <f t="shared" si="0"/>
        <v>0</v>
      </c>
      <c r="I62" s="76">
        <f t="shared" si="1"/>
        <v>0</v>
      </c>
      <c r="J62" s="76">
        <f t="shared" si="2"/>
        <v>0</v>
      </c>
      <c r="K62">
        <f t="shared" si="3"/>
        <v>0</v>
      </c>
      <c r="L62">
        <f t="shared" si="4"/>
        <v>0</v>
      </c>
      <c r="P62" s="359">
        <v>6433</v>
      </c>
      <c r="Q62" s="362">
        <v>0</v>
      </c>
      <c r="R62" s="282">
        <f t="shared" si="5"/>
        <v>0</v>
      </c>
    </row>
    <row r="63" spans="1:18">
      <c r="A63">
        <v>58</v>
      </c>
      <c r="B63">
        <v>6626</v>
      </c>
      <c r="C63" t="s">
        <v>18023</v>
      </c>
      <c r="D63">
        <v>0</v>
      </c>
      <c r="E63">
        <v>0</v>
      </c>
      <c r="F63">
        <v>0</v>
      </c>
      <c r="H63" s="76">
        <f t="shared" si="0"/>
        <v>0</v>
      </c>
      <c r="I63" s="76">
        <f t="shared" si="1"/>
        <v>0</v>
      </c>
      <c r="J63" s="76">
        <f t="shared" si="2"/>
        <v>0</v>
      </c>
      <c r="K63">
        <f t="shared" si="3"/>
        <v>0</v>
      </c>
      <c r="L63">
        <f t="shared" si="4"/>
        <v>0</v>
      </c>
      <c r="P63" s="359">
        <v>6434</v>
      </c>
      <c r="Q63" s="362">
        <v>0</v>
      </c>
      <c r="R63" s="282">
        <f t="shared" si="5"/>
        <v>0</v>
      </c>
    </row>
    <row r="64" spans="1:18">
      <c r="A64">
        <v>59</v>
      </c>
      <c r="B64">
        <v>6627</v>
      </c>
      <c r="C64" t="s">
        <v>48</v>
      </c>
      <c r="D64">
        <v>0</v>
      </c>
      <c r="E64">
        <v>0</v>
      </c>
      <c r="F64">
        <v>0</v>
      </c>
      <c r="H64" s="76">
        <f t="shared" si="0"/>
        <v>0</v>
      </c>
      <c r="I64" s="76">
        <f t="shared" si="1"/>
        <v>0</v>
      </c>
      <c r="J64" s="76">
        <f t="shared" si="2"/>
        <v>0</v>
      </c>
      <c r="K64">
        <f t="shared" si="3"/>
        <v>0</v>
      </c>
      <c r="L64">
        <f t="shared" si="4"/>
        <v>0</v>
      </c>
      <c r="P64" s="359">
        <v>6436</v>
      </c>
      <c r="Q64" s="362">
        <v>0</v>
      </c>
      <c r="R64" s="282">
        <f t="shared" si="5"/>
        <v>0</v>
      </c>
    </row>
    <row r="65" spans="1:18">
      <c r="A65">
        <v>60</v>
      </c>
      <c r="B65">
        <v>6628</v>
      </c>
      <c r="C65" t="s">
        <v>49</v>
      </c>
      <c r="D65">
        <v>0</v>
      </c>
      <c r="E65">
        <v>0</v>
      </c>
      <c r="F65">
        <v>0</v>
      </c>
      <c r="H65" s="76">
        <f t="shared" si="0"/>
        <v>0</v>
      </c>
      <c r="I65" s="76">
        <f t="shared" si="1"/>
        <v>0</v>
      </c>
      <c r="J65" s="76">
        <f t="shared" si="2"/>
        <v>0</v>
      </c>
      <c r="K65">
        <f t="shared" si="3"/>
        <v>0</v>
      </c>
      <c r="L65">
        <f t="shared" si="4"/>
        <v>0</v>
      </c>
      <c r="P65" s="359">
        <v>6437</v>
      </c>
      <c r="Q65" s="362">
        <v>0</v>
      </c>
      <c r="R65" s="282">
        <f t="shared" si="5"/>
        <v>0</v>
      </c>
    </row>
    <row r="66" spans="1:18">
      <c r="A66">
        <v>61</v>
      </c>
      <c r="B66">
        <v>6629</v>
      </c>
      <c r="C66" t="s">
        <v>18024</v>
      </c>
      <c r="D66">
        <v>0</v>
      </c>
      <c r="E66">
        <v>0</v>
      </c>
      <c r="F66">
        <v>0</v>
      </c>
      <c r="H66" s="76">
        <f t="shared" si="0"/>
        <v>0</v>
      </c>
      <c r="I66" s="76">
        <f t="shared" si="1"/>
        <v>0</v>
      </c>
      <c r="J66" s="76">
        <f t="shared" si="2"/>
        <v>0</v>
      </c>
      <c r="K66">
        <f t="shared" si="3"/>
        <v>0</v>
      </c>
      <c r="L66">
        <f t="shared" si="4"/>
        <v>0</v>
      </c>
      <c r="P66" s="359">
        <v>6463</v>
      </c>
      <c r="Q66" s="362">
        <v>0</v>
      </c>
      <c r="R66" s="282">
        <f t="shared" si="5"/>
        <v>0</v>
      </c>
    </row>
    <row r="67" spans="1:18">
      <c r="A67">
        <v>62</v>
      </c>
      <c r="B67">
        <v>6630</v>
      </c>
      <c r="C67" t="s">
        <v>18025</v>
      </c>
      <c r="D67">
        <v>0</v>
      </c>
      <c r="E67">
        <v>0</v>
      </c>
      <c r="F67">
        <v>0</v>
      </c>
      <c r="H67" s="76">
        <f t="shared" si="0"/>
        <v>0</v>
      </c>
      <c r="I67" s="76">
        <f t="shared" si="1"/>
        <v>0</v>
      </c>
      <c r="J67" s="76">
        <f t="shared" si="2"/>
        <v>0</v>
      </c>
      <c r="K67">
        <f t="shared" si="3"/>
        <v>0</v>
      </c>
      <c r="L67">
        <f t="shared" si="4"/>
        <v>0</v>
      </c>
      <c r="P67" s="359">
        <v>6438</v>
      </c>
      <c r="Q67" s="362">
        <v>0</v>
      </c>
      <c r="R67" s="282">
        <f t="shared" si="5"/>
        <v>0</v>
      </c>
    </row>
    <row r="68" spans="1:18">
      <c r="A68">
        <v>63</v>
      </c>
      <c r="B68">
        <v>6832</v>
      </c>
      <c r="C68" t="s">
        <v>158</v>
      </c>
      <c r="D68">
        <v>15600</v>
      </c>
      <c r="E68">
        <v>15600</v>
      </c>
      <c r="F68">
        <v>0</v>
      </c>
      <c r="H68" s="76">
        <f t="shared" si="0"/>
        <v>15.6</v>
      </c>
      <c r="I68" s="76">
        <f t="shared" si="1"/>
        <v>15.6</v>
      </c>
      <c r="J68" s="76">
        <f t="shared" si="2"/>
        <v>0</v>
      </c>
      <c r="K68">
        <f t="shared" si="3"/>
        <v>0</v>
      </c>
      <c r="L68">
        <f t="shared" si="4"/>
        <v>0</v>
      </c>
      <c r="P68" s="360">
        <v>6440</v>
      </c>
      <c r="Q68" s="362">
        <v>0</v>
      </c>
      <c r="R68" s="282">
        <f t="shared" si="5"/>
        <v>0</v>
      </c>
    </row>
    <row r="69" spans="1:18">
      <c r="A69">
        <v>64</v>
      </c>
      <c r="B69">
        <v>6833</v>
      </c>
      <c r="C69" t="s">
        <v>159</v>
      </c>
      <c r="D69">
        <v>0</v>
      </c>
      <c r="E69">
        <v>0</v>
      </c>
      <c r="F69">
        <v>0</v>
      </c>
      <c r="H69" s="76">
        <f t="shared" si="0"/>
        <v>0</v>
      </c>
      <c r="I69" s="76">
        <f t="shared" si="1"/>
        <v>0</v>
      </c>
      <c r="J69" s="76">
        <f t="shared" si="2"/>
        <v>0</v>
      </c>
      <c r="K69">
        <f t="shared" si="3"/>
        <v>0</v>
      </c>
      <c r="L69">
        <f t="shared" si="4"/>
        <v>0</v>
      </c>
      <c r="P69" s="360">
        <v>6441</v>
      </c>
      <c r="Q69" s="362">
        <v>0</v>
      </c>
      <c r="R69" s="282">
        <f t="shared" si="5"/>
        <v>0</v>
      </c>
    </row>
    <row r="70" spans="1:18">
      <c r="A70">
        <v>65</v>
      </c>
      <c r="B70">
        <v>6835</v>
      </c>
      <c r="C70" t="s">
        <v>17969</v>
      </c>
      <c r="D70">
        <v>0</v>
      </c>
      <c r="E70">
        <v>0</v>
      </c>
      <c r="F70">
        <v>0</v>
      </c>
      <c r="H70" s="76">
        <f t="shared" ref="H70:H133" si="6">IF(D70&gt;0,D70/1000,0)</f>
        <v>0</v>
      </c>
      <c r="I70" s="76">
        <f t="shared" ref="I70:I133" si="7">IF(E70&gt;0,E70/1000,0)</f>
        <v>0</v>
      </c>
      <c r="J70" s="76">
        <f t="shared" ref="J70:J133" si="8">IF(F70&gt;0,F70/1000,0)</f>
        <v>0</v>
      </c>
      <c r="K70">
        <f t="shared" ref="K70:K133" si="9">_xlfn.IFNA(VLOOKUP($B70,$P$5:$Q$250,2,0),0)</f>
        <v>0</v>
      </c>
      <c r="L70">
        <f t="shared" ref="L70:L133" si="10">F70+K70</f>
        <v>0</v>
      </c>
      <c r="P70" s="360">
        <v>6442</v>
      </c>
      <c r="Q70" s="362">
        <v>0</v>
      </c>
      <c r="R70" s="282">
        <f t="shared" ref="R70:R133" si="11">Q70+F70</f>
        <v>0</v>
      </c>
    </row>
    <row r="71" spans="1:18">
      <c r="A71">
        <v>66</v>
      </c>
      <c r="B71">
        <v>7019</v>
      </c>
      <c r="C71" t="s">
        <v>178</v>
      </c>
      <c r="D71">
        <v>0</v>
      </c>
      <c r="E71">
        <v>0</v>
      </c>
      <c r="F71">
        <v>0</v>
      </c>
      <c r="H71" s="76">
        <f t="shared" si="6"/>
        <v>0</v>
      </c>
      <c r="I71" s="76">
        <f t="shared" si="7"/>
        <v>0</v>
      </c>
      <c r="J71" s="76">
        <f t="shared" si="8"/>
        <v>0</v>
      </c>
      <c r="K71">
        <f t="shared" si="9"/>
        <v>0</v>
      </c>
      <c r="L71">
        <f t="shared" si="10"/>
        <v>0</v>
      </c>
      <c r="P71" s="359">
        <v>6462</v>
      </c>
      <c r="Q71" s="362">
        <v>0</v>
      </c>
      <c r="R71" s="282">
        <f t="shared" si="11"/>
        <v>0</v>
      </c>
    </row>
    <row r="72" spans="1:18">
      <c r="A72">
        <v>67</v>
      </c>
      <c r="B72">
        <v>7089</v>
      </c>
      <c r="C72" t="s">
        <v>15960</v>
      </c>
      <c r="D72">
        <v>0</v>
      </c>
      <c r="E72">
        <v>2600</v>
      </c>
      <c r="F72">
        <v>0</v>
      </c>
      <c r="H72" s="76">
        <f t="shared" si="6"/>
        <v>0</v>
      </c>
      <c r="I72" s="76">
        <f t="shared" si="7"/>
        <v>2.6</v>
      </c>
      <c r="J72" s="76">
        <f t="shared" si="8"/>
        <v>0</v>
      </c>
      <c r="K72">
        <f t="shared" si="9"/>
        <v>0</v>
      </c>
      <c r="L72">
        <f t="shared" si="10"/>
        <v>0</v>
      </c>
      <c r="P72" s="359">
        <v>6439</v>
      </c>
      <c r="Q72" s="362">
        <v>0</v>
      </c>
      <c r="R72" s="282">
        <f t="shared" si="11"/>
        <v>0</v>
      </c>
    </row>
    <row r="73" spans="1:18">
      <c r="A73">
        <v>68</v>
      </c>
      <c r="B73">
        <v>6834</v>
      </c>
      <c r="C73" t="s">
        <v>160</v>
      </c>
      <c r="D73">
        <v>0</v>
      </c>
      <c r="E73">
        <v>0</v>
      </c>
      <c r="F73">
        <v>0</v>
      </c>
      <c r="H73" s="76">
        <f t="shared" si="6"/>
        <v>0</v>
      </c>
      <c r="I73" s="76">
        <f t="shared" si="7"/>
        <v>0</v>
      </c>
      <c r="J73" s="76">
        <f t="shared" si="8"/>
        <v>0</v>
      </c>
      <c r="K73">
        <f t="shared" si="9"/>
        <v>0</v>
      </c>
      <c r="L73">
        <f t="shared" si="10"/>
        <v>0</v>
      </c>
      <c r="P73" s="359">
        <v>6443</v>
      </c>
      <c r="Q73" s="362">
        <v>0</v>
      </c>
      <c r="R73" s="282">
        <f t="shared" si="11"/>
        <v>0</v>
      </c>
    </row>
    <row r="74" spans="1:18">
      <c r="A74">
        <v>69</v>
      </c>
      <c r="B74">
        <v>7001</v>
      </c>
      <c r="C74" t="s">
        <v>17340</v>
      </c>
      <c r="D74">
        <v>0</v>
      </c>
      <c r="E74">
        <v>0</v>
      </c>
      <c r="F74">
        <v>0</v>
      </c>
      <c r="H74" s="76">
        <f t="shared" si="6"/>
        <v>0</v>
      </c>
      <c r="I74" s="76">
        <f t="shared" si="7"/>
        <v>0</v>
      </c>
      <c r="J74" s="76">
        <f t="shared" si="8"/>
        <v>0</v>
      </c>
      <c r="K74">
        <f t="shared" si="9"/>
        <v>0</v>
      </c>
      <c r="L74">
        <f t="shared" si="10"/>
        <v>0</v>
      </c>
      <c r="P74" s="359">
        <v>6444</v>
      </c>
      <c r="Q74" s="362">
        <v>0</v>
      </c>
      <c r="R74" s="282">
        <f t="shared" si="11"/>
        <v>0</v>
      </c>
    </row>
    <row r="75" spans="1:18">
      <c r="A75">
        <v>70</v>
      </c>
      <c r="B75">
        <v>7002</v>
      </c>
      <c r="C75" t="s">
        <v>161</v>
      </c>
      <c r="D75">
        <v>0</v>
      </c>
      <c r="E75">
        <v>1000</v>
      </c>
      <c r="F75">
        <v>0</v>
      </c>
      <c r="H75" s="76">
        <f t="shared" si="6"/>
        <v>0</v>
      </c>
      <c r="I75" s="76">
        <f t="shared" si="7"/>
        <v>1</v>
      </c>
      <c r="J75" s="76">
        <f t="shared" si="8"/>
        <v>0</v>
      </c>
      <c r="K75">
        <f t="shared" si="9"/>
        <v>0</v>
      </c>
      <c r="L75">
        <f t="shared" si="10"/>
        <v>0</v>
      </c>
      <c r="P75" s="359">
        <v>6445</v>
      </c>
      <c r="Q75" s="362">
        <v>0</v>
      </c>
      <c r="R75" s="282">
        <f t="shared" si="11"/>
        <v>0</v>
      </c>
    </row>
    <row r="76" spans="1:18">
      <c r="A76">
        <v>71</v>
      </c>
      <c r="B76">
        <v>7003</v>
      </c>
      <c r="C76" t="s">
        <v>162</v>
      </c>
      <c r="D76">
        <v>0</v>
      </c>
      <c r="E76">
        <v>0</v>
      </c>
      <c r="F76">
        <v>0</v>
      </c>
      <c r="H76" s="76">
        <f t="shared" si="6"/>
        <v>0</v>
      </c>
      <c r="I76" s="76">
        <f t="shared" si="7"/>
        <v>0</v>
      </c>
      <c r="J76" s="76">
        <f t="shared" si="8"/>
        <v>0</v>
      </c>
      <c r="K76">
        <f t="shared" si="9"/>
        <v>0</v>
      </c>
      <c r="L76">
        <f t="shared" si="10"/>
        <v>0</v>
      </c>
      <c r="P76" s="359">
        <v>6446</v>
      </c>
      <c r="Q76" s="362">
        <v>0</v>
      </c>
      <c r="R76" s="282">
        <f t="shared" si="11"/>
        <v>0</v>
      </c>
    </row>
    <row r="77" spans="1:18">
      <c r="A77">
        <v>72</v>
      </c>
      <c r="B77">
        <v>7004</v>
      </c>
      <c r="C77" t="s">
        <v>50</v>
      </c>
      <c r="D77">
        <v>6000</v>
      </c>
      <c r="E77">
        <v>0</v>
      </c>
      <c r="F77">
        <v>6000</v>
      </c>
      <c r="H77" s="76">
        <f t="shared" si="6"/>
        <v>6</v>
      </c>
      <c r="I77" s="76">
        <f t="shared" si="7"/>
        <v>0</v>
      </c>
      <c r="J77" s="76">
        <f t="shared" si="8"/>
        <v>6</v>
      </c>
      <c r="K77">
        <f t="shared" si="9"/>
        <v>9300</v>
      </c>
      <c r="L77">
        <f t="shared" si="10"/>
        <v>15300</v>
      </c>
      <c r="P77" s="359">
        <v>6447</v>
      </c>
      <c r="Q77" s="362">
        <v>0</v>
      </c>
      <c r="R77" s="282">
        <f t="shared" si="11"/>
        <v>6000</v>
      </c>
    </row>
    <row r="78" spans="1:18">
      <c r="A78">
        <v>73</v>
      </c>
      <c r="B78">
        <v>7006</v>
      </c>
      <c r="C78" t="s">
        <v>18026</v>
      </c>
      <c r="D78">
        <v>0</v>
      </c>
      <c r="E78">
        <v>0</v>
      </c>
      <c r="F78">
        <v>0</v>
      </c>
      <c r="H78" s="76">
        <f t="shared" si="6"/>
        <v>0</v>
      </c>
      <c r="I78" s="76">
        <f t="shared" si="7"/>
        <v>0</v>
      </c>
      <c r="J78" s="76">
        <f t="shared" si="8"/>
        <v>0</v>
      </c>
      <c r="K78">
        <f t="shared" si="9"/>
        <v>0</v>
      </c>
      <c r="L78">
        <f t="shared" si="10"/>
        <v>0</v>
      </c>
      <c r="P78" s="359">
        <v>6448</v>
      </c>
      <c r="Q78" s="362">
        <v>39200</v>
      </c>
      <c r="R78" s="282">
        <f t="shared" si="11"/>
        <v>39200</v>
      </c>
    </row>
    <row r="79" spans="1:18">
      <c r="A79">
        <v>74</v>
      </c>
      <c r="B79">
        <v>7026</v>
      </c>
      <c r="C79" t="s">
        <v>18027</v>
      </c>
      <c r="D79">
        <v>0</v>
      </c>
      <c r="E79">
        <v>0</v>
      </c>
      <c r="F79">
        <v>0</v>
      </c>
      <c r="H79" s="76">
        <f t="shared" si="6"/>
        <v>0</v>
      </c>
      <c r="I79" s="76">
        <f t="shared" si="7"/>
        <v>0</v>
      </c>
      <c r="J79" s="76">
        <f t="shared" si="8"/>
        <v>0</v>
      </c>
      <c r="K79">
        <f t="shared" si="9"/>
        <v>0</v>
      </c>
      <c r="L79">
        <f t="shared" si="10"/>
        <v>0</v>
      </c>
      <c r="P79" s="359">
        <v>6449</v>
      </c>
      <c r="Q79" s="362">
        <v>0</v>
      </c>
      <c r="R79" s="282">
        <f t="shared" si="11"/>
        <v>0</v>
      </c>
    </row>
    <row r="80" spans="1:18">
      <c r="A80">
        <v>75</v>
      </c>
      <c r="B80">
        <v>7008</v>
      </c>
      <c r="C80" t="s">
        <v>51</v>
      </c>
      <c r="D80">
        <v>0</v>
      </c>
      <c r="E80">
        <v>0</v>
      </c>
      <c r="F80">
        <v>0</v>
      </c>
      <c r="H80" s="76">
        <f t="shared" si="6"/>
        <v>0</v>
      </c>
      <c r="I80" s="76">
        <f t="shared" si="7"/>
        <v>0</v>
      </c>
      <c r="J80" s="76">
        <f t="shared" si="8"/>
        <v>0</v>
      </c>
      <c r="K80">
        <f t="shared" si="9"/>
        <v>0</v>
      </c>
      <c r="L80">
        <f t="shared" si="10"/>
        <v>0</v>
      </c>
      <c r="P80" s="359">
        <v>6450</v>
      </c>
      <c r="Q80" s="362">
        <v>0</v>
      </c>
      <c r="R80" s="282">
        <f t="shared" si="11"/>
        <v>0</v>
      </c>
    </row>
    <row r="81" spans="1:18">
      <c r="A81">
        <v>76</v>
      </c>
      <c r="B81">
        <v>7011</v>
      </c>
      <c r="C81" t="s">
        <v>163</v>
      </c>
      <c r="D81">
        <v>0</v>
      </c>
      <c r="E81">
        <v>0</v>
      </c>
      <c r="F81">
        <v>0</v>
      </c>
      <c r="H81" s="76">
        <f t="shared" si="6"/>
        <v>0</v>
      </c>
      <c r="I81" s="76">
        <f t="shared" si="7"/>
        <v>0</v>
      </c>
      <c r="J81" s="76">
        <f t="shared" si="8"/>
        <v>0</v>
      </c>
      <c r="K81">
        <f t="shared" si="9"/>
        <v>0</v>
      </c>
      <c r="L81">
        <f t="shared" si="10"/>
        <v>0</v>
      </c>
      <c r="P81" s="359">
        <v>6479</v>
      </c>
      <c r="Q81" s="362">
        <v>0</v>
      </c>
      <c r="R81" s="282">
        <f t="shared" si="11"/>
        <v>0</v>
      </c>
    </row>
    <row r="82" spans="1:18">
      <c r="A82">
        <v>77</v>
      </c>
      <c r="B82">
        <v>7012</v>
      </c>
      <c r="C82" t="s">
        <v>164</v>
      </c>
      <c r="D82">
        <v>0</v>
      </c>
      <c r="E82">
        <v>0</v>
      </c>
      <c r="F82">
        <v>0</v>
      </c>
      <c r="H82" s="76">
        <f t="shared" si="6"/>
        <v>0</v>
      </c>
      <c r="I82" s="76">
        <f t="shared" si="7"/>
        <v>0</v>
      </c>
      <c r="J82" s="76">
        <f t="shared" si="8"/>
        <v>0</v>
      </c>
      <c r="K82">
        <f t="shared" si="9"/>
        <v>0</v>
      </c>
      <c r="L82">
        <f t="shared" si="10"/>
        <v>0</v>
      </c>
      <c r="P82" s="359">
        <v>6486</v>
      </c>
      <c r="Q82" s="362">
        <v>0</v>
      </c>
      <c r="R82" s="282">
        <f t="shared" si="11"/>
        <v>0</v>
      </c>
    </row>
    <row r="83" spans="1:18">
      <c r="A83">
        <v>78</v>
      </c>
      <c r="B83">
        <v>7031</v>
      </c>
      <c r="C83" t="s">
        <v>52</v>
      </c>
      <c r="D83">
        <v>0</v>
      </c>
      <c r="E83">
        <v>0</v>
      </c>
      <c r="F83">
        <v>0</v>
      </c>
      <c r="H83" s="76">
        <f t="shared" si="6"/>
        <v>0</v>
      </c>
      <c r="I83" s="76">
        <f t="shared" si="7"/>
        <v>0</v>
      </c>
      <c r="J83" s="76">
        <f t="shared" si="8"/>
        <v>0</v>
      </c>
      <c r="K83">
        <f t="shared" si="9"/>
        <v>0</v>
      </c>
      <c r="L83">
        <f t="shared" si="10"/>
        <v>0</v>
      </c>
      <c r="P83" s="359">
        <v>6451</v>
      </c>
      <c r="Q83" s="362">
        <v>0</v>
      </c>
      <c r="R83" s="282">
        <f t="shared" si="11"/>
        <v>0</v>
      </c>
    </row>
    <row r="84" spans="1:18">
      <c r="A84">
        <v>79</v>
      </c>
      <c r="B84">
        <v>7032</v>
      </c>
      <c r="C84" t="s">
        <v>53</v>
      </c>
      <c r="D84">
        <v>8800</v>
      </c>
      <c r="E84">
        <v>0</v>
      </c>
      <c r="F84">
        <v>0</v>
      </c>
      <c r="H84" s="76">
        <f t="shared" si="6"/>
        <v>8.8000000000000007</v>
      </c>
      <c r="I84" s="76">
        <f t="shared" si="7"/>
        <v>0</v>
      </c>
      <c r="J84" s="76">
        <f t="shared" si="8"/>
        <v>0</v>
      </c>
      <c r="K84">
        <f t="shared" si="9"/>
        <v>0</v>
      </c>
      <c r="L84">
        <f t="shared" si="10"/>
        <v>0</v>
      </c>
      <c r="P84" s="359">
        <v>6454</v>
      </c>
      <c r="Q84" s="362">
        <v>0</v>
      </c>
      <c r="R84" s="282">
        <f t="shared" si="11"/>
        <v>0</v>
      </c>
    </row>
    <row r="85" spans="1:18">
      <c r="A85">
        <v>80</v>
      </c>
      <c r="B85">
        <v>7034</v>
      </c>
      <c r="C85" t="s">
        <v>54</v>
      </c>
      <c r="D85">
        <v>0</v>
      </c>
      <c r="E85">
        <v>0</v>
      </c>
      <c r="F85">
        <v>0</v>
      </c>
      <c r="H85" s="76">
        <f t="shared" si="6"/>
        <v>0</v>
      </c>
      <c r="I85" s="76">
        <f t="shared" si="7"/>
        <v>0</v>
      </c>
      <c r="J85" s="76">
        <f t="shared" si="8"/>
        <v>0</v>
      </c>
      <c r="K85">
        <f t="shared" si="9"/>
        <v>0</v>
      </c>
      <c r="L85">
        <f t="shared" si="10"/>
        <v>0</v>
      </c>
      <c r="P85" s="359">
        <v>6458</v>
      </c>
      <c r="Q85" s="362">
        <v>0</v>
      </c>
      <c r="R85" s="282">
        <f t="shared" si="11"/>
        <v>0</v>
      </c>
    </row>
    <row r="86" spans="1:18">
      <c r="A86">
        <v>81</v>
      </c>
      <c r="B86">
        <v>7035</v>
      </c>
      <c r="C86" t="s">
        <v>55</v>
      </c>
      <c r="D86">
        <v>3500</v>
      </c>
      <c r="E86">
        <v>0</v>
      </c>
      <c r="F86">
        <v>3500</v>
      </c>
      <c r="H86" s="76">
        <f t="shared" si="6"/>
        <v>3.5</v>
      </c>
      <c r="I86" s="76">
        <f t="shared" si="7"/>
        <v>0</v>
      </c>
      <c r="J86" s="76">
        <f t="shared" si="8"/>
        <v>3.5</v>
      </c>
      <c r="K86">
        <f t="shared" si="9"/>
        <v>0</v>
      </c>
      <c r="L86">
        <f t="shared" si="10"/>
        <v>3500</v>
      </c>
      <c r="P86" s="359">
        <v>6457</v>
      </c>
      <c r="Q86" s="362">
        <v>0</v>
      </c>
      <c r="R86" s="282">
        <f t="shared" si="11"/>
        <v>3500</v>
      </c>
    </row>
    <row r="87" spans="1:18">
      <c r="A87">
        <v>82</v>
      </c>
      <c r="B87">
        <v>6453</v>
      </c>
      <c r="C87" t="s">
        <v>56</v>
      </c>
      <c r="D87">
        <v>0</v>
      </c>
      <c r="E87">
        <v>0</v>
      </c>
      <c r="F87">
        <v>0</v>
      </c>
      <c r="H87" s="76">
        <f t="shared" si="6"/>
        <v>0</v>
      </c>
      <c r="I87" s="76">
        <f t="shared" si="7"/>
        <v>0</v>
      </c>
      <c r="J87" s="76">
        <f t="shared" si="8"/>
        <v>0</v>
      </c>
      <c r="K87">
        <f t="shared" si="9"/>
        <v>0</v>
      </c>
      <c r="L87">
        <f t="shared" si="10"/>
        <v>0</v>
      </c>
      <c r="P87" s="360">
        <v>6460</v>
      </c>
      <c r="Q87" s="362">
        <v>0</v>
      </c>
      <c r="R87" s="282">
        <f t="shared" si="11"/>
        <v>0</v>
      </c>
    </row>
    <row r="88" spans="1:18">
      <c r="A88">
        <v>83</v>
      </c>
      <c r="B88">
        <v>7037</v>
      </c>
      <c r="C88" t="s">
        <v>18028</v>
      </c>
      <c r="D88">
        <v>0</v>
      </c>
      <c r="E88">
        <v>0</v>
      </c>
      <c r="F88">
        <v>0</v>
      </c>
      <c r="H88" s="76">
        <f t="shared" si="6"/>
        <v>0</v>
      </c>
      <c r="I88" s="76">
        <f t="shared" si="7"/>
        <v>0</v>
      </c>
      <c r="J88" s="76">
        <f t="shared" si="8"/>
        <v>0</v>
      </c>
      <c r="K88">
        <f t="shared" si="9"/>
        <v>0</v>
      </c>
      <c r="L88">
        <f t="shared" si="10"/>
        <v>0</v>
      </c>
      <c r="P88" s="360">
        <v>6461</v>
      </c>
      <c r="Q88" s="362">
        <v>0</v>
      </c>
      <c r="R88" s="282">
        <f t="shared" si="11"/>
        <v>0</v>
      </c>
    </row>
    <row r="89" spans="1:18">
      <c r="A89">
        <v>84</v>
      </c>
      <c r="B89">
        <v>7040</v>
      </c>
      <c r="C89" t="s">
        <v>59</v>
      </c>
      <c r="D89">
        <v>0</v>
      </c>
      <c r="E89">
        <v>0</v>
      </c>
      <c r="F89">
        <v>0</v>
      </c>
      <c r="H89" s="76">
        <f t="shared" si="6"/>
        <v>0</v>
      </c>
      <c r="I89" s="76">
        <f t="shared" si="7"/>
        <v>0</v>
      </c>
      <c r="J89" s="76">
        <f t="shared" si="8"/>
        <v>0</v>
      </c>
      <c r="K89">
        <f t="shared" si="9"/>
        <v>0</v>
      </c>
      <c r="L89">
        <f t="shared" si="10"/>
        <v>0</v>
      </c>
      <c r="P89" s="360">
        <v>6473</v>
      </c>
      <c r="Q89" s="362">
        <v>0</v>
      </c>
      <c r="R89" s="282">
        <f t="shared" si="11"/>
        <v>0</v>
      </c>
    </row>
    <row r="90" spans="1:18">
      <c r="A90">
        <v>85</v>
      </c>
      <c r="B90">
        <v>7041</v>
      </c>
      <c r="C90" t="s">
        <v>18029</v>
      </c>
      <c r="D90">
        <v>0</v>
      </c>
      <c r="E90">
        <v>0</v>
      </c>
      <c r="F90">
        <v>0</v>
      </c>
      <c r="H90" s="76">
        <f t="shared" si="6"/>
        <v>0</v>
      </c>
      <c r="I90" s="76">
        <f t="shared" si="7"/>
        <v>0</v>
      </c>
      <c r="J90" s="76">
        <f t="shared" si="8"/>
        <v>0</v>
      </c>
      <c r="K90">
        <f t="shared" si="9"/>
        <v>0</v>
      </c>
      <c r="L90">
        <f t="shared" si="10"/>
        <v>0</v>
      </c>
      <c r="P90" s="360">
        <v>6464</v>
      </c>
      <c r="Q90" s="362">
        <v>0</v>
      </c>
      <c r="R90" s="282">
        <f t="shared" si="11"/>
        <v>0</v>
      </c>
    </row>
    <row r="91" spans="1:18">
      <c r="A91">
        <v>86</v>
      </c>
      <c r="B91">
        <v>7043</v>
      </c>
      <c r="C91" t="s">
        <v>60</v>
      </c>
      <c r="D91">
        <v>0</v>
      </c>
      <c r="E91">
        <v>8800</v>
      </c>
      <c r="F91">
        <v>0</v>
      </c>
      <c r="H91" s="76">
        <f t="shared" si="6"/>
        <v>0</v>
      </c>
      <c r="I91" s="76">
        <f t="shared" si="7"/>
        <v>8.8000000000000007</v>
      </c>
      <c r="J91" s="76">
        <f t="shared" si="8"/>
        <v>0</v>
      </c>
      <c r="K91">
        <f t="shared" si="9"/>
        <v>0</v>
      </c>
      <c r="L91">
        <f t="shared" si="10"/>
        <v>0</v>
      </c>
      <c r="P91" s="360">
        <v>6465</v>
      </c>
      <c r="Q91" s="362">
        <v>0</v>
      </c>
      <c r="R91" s="282">
        <f t="shared" si="11"/>
        <v>0</v>
      </c>
    </row>
    <row r="92" spans="1:18">
      <c r="A92">
        <v>87</v>
      </c>
      <c r="B92">
        <v>7053</v>
      </c>
      <c r="C92" t="s">
        <v>61</v>
      </c>
      <c r="D92">
        <v>0</v>
      </c>
      <c r="E92">
        <v>0</v>
      </c>
      <c r="F92">
        <v>0</v>
      </c>
      <c r="H92" s="76">
        <f t="shared" si="6"/>
        <v>0</v>
      </c>
      <c r="I92" s="76">
        <f t="shared" si="7"/>
        <v>0</v>
      </c>
      <c r="J92" s="76">
        <f t="shared" si="8"/>
        <v>0</v>
      </c>
      <c r="K92">
        <f t="shared" si="9"/>
        <v>0</v>
      </c>
      <c r="L92">
        <f t="shared" si="10"/>
        <v>0</v>
      </c>
      <c r="P92" s="360">
        <v>6466</v>
      </c>
      <c r="Q92" s="362">
        <v>0</v>
      </c>
      <c r="R92" s="282">
        <f t="shared" si="11"/>
        <v>0</v>
      </c>
    </row>
    <row r="93" spans="1:18">
      <c r="A93">
        <v>88</v>
      </c>
      <c r="B93">
        <v>7050</v>
      </c>
      <c r="C93" t="s">
        <v>62</v>
      </c>
      <c r="D93">
        <v>0</v>
      </c>
      <c r="E93">
        <v>1500</v>
      </c>
      <c r="F93">
        <v>0</v>
      </c>
      <c r="H93" s="76">
        <f t="shared" si="6"/>
        <v>0</v>
      </c>
      <c r="I93" s="76">
        <f t="shared" si="7"/>
        <v>1.5</v>
      </c>
      <c r="J93" s="76">
        <f t="shared" si="8"/>
        <v>0</v>
      </c>
      <c r="K93">
        <f t="shared" si="9"/>
        <v>0</v>
      </c>
      <c r="L93">
        <f t="shared" si="10"/>
        <v>0</v>
      </c>
      <c r="P93" s="359">
        <v>6480</v>
      </c>
      <c r="Q93" s="362">
        <v>0</v>
      </c>
      <c r="R93" s="282">
        <f t="shared" si="11"/>
        <v>0</v>
      </c>
    </row>
    <row r="94" spans="1:18">
      <c r="A94">
        <v>89</v>
      </c>
      <c r="B94">
        <v>7051</v>
      </c>
      <c r="C94" t="s">
        <v>63</v>
      </c>
      <c r="D94">
        <v>0</v>
      </c>
      <c r="E94">
        <v>0</v>
      </c>
      <c r="F94">
        <v>7000</v>
      </c>
      <c r="H94" s="76">
        <f t="shared" si="6"/>
        <v>0</v>
      </c>
      <c r="I94" s="76">
        <f t="shared" si="7"/>
        <v>0</v>
      </c>
      <c r="J94" s="76">
        <f t="shared" si="8"/>
        <v>7</v>
      </c>
      <c r="K94">
        <f t="shared" si="9"/>
        <v>0</v>
      </c>
      <c r="L94">
        <f t="shared" si="10"/>
        <v>7000</v>
      </c>
      <c r="P94" s="359">
        <v>6481</v>
      </c>
      <c r="Q94" s="362">
        <v>0</v>
      </c>
      <c r="R94" s="282">
        <f t="shared" si="11"/>
        <v>7000</v>
      </c>
    </row>
    <row r="95" spans="1:18">
      <c r="A95">
        <v>90</v>
      </c>
      <c r="B95">
        <v>7052</v>
      </c>
      <c r="C95" t="s">
        <v>18030</v>
      </c>
      <c r="D95">
        <v>4400</v>
      </c>
      <c r="E95">
        <v>0</v>
      </c>
      <c r="F95">
        <v>0</v>
      </c>
      <c r="H95" s="76">
        <f t="shared" si="6"/>
        <v>4.4000000000000004</v>
      </c>
      <c r="I95" s="76">
        <f t="shared" si="7"/>
        <v>0</v>
      </c>
      <c r="J95" s="76">
        <f t="shared" si="8"/>
        <v>0</v>
      </c>
      <c r="K95">
        <f t="shared" si="9"/>
        <v>0</v>
      </c>
      <c r="L95">
        <f t="shared" si="10"/>
        <v>0</v>
      </c>
      <c r="P95" s="360">
        <v>6482</v>
      </c>
      <c r="Q95" s="362">
        <v>0</v>
      </c>
      <c r="R95" s="282">
        <f t="shared" si="11"/>
        <v>0</v>
      </c>
    </row>
    <row r="96" spans="1:18">
      <c r="A96">
        <v>91</v>
      </c>
      <c r="B96">
        <v>7055</v>
      </c>
      <c r="C96" t="s">
        <v>65</v>
      </c>
      <c r="D96">
        <v>0</v>
      </c>
      <c r="E96">
        <v>0</v>
      </c>
      <c r="F96">
        <v>0</v>
      </c>
      <c r="H96" s="76">
        <f t="shared" si="6"/>
        <v>0</v>
      </c>
      <c r="I96" s="76">
        <f t="shared" si="7"/>
        <v>0</v>
      </c>
      <c r="J96" s="76">
        <f t="shared" si="8"/>
        <v>0</v>
      </c>
      <c r="K96">
        <f t="shared" si="9"/>
        <v>0</v>
      </c>
      <c r="L96">
        <f t="shared" si="10"/>
        <v>0</v>
      </c>
      <c r="P96" s="359">
        <v>6483</v>
      </c>
      <c r="Q96" s="362">
        <v>0</v>
      </c>
      <c r="R96" s="282">
        <f t="shared" si="11"/>
        <v>0</v>
      </c>
    </row>
    <row r="97" spans="1:18">
      <c r="A97">
        <v>92</v>
      </c>
      <c r="B97">
        <v>7059</v>
      </c>
      <c r="C97" t="s">
        <v>18031</v>
      </c>
      <c r="D97">
        <v>0</v>
      </c>
      <c r="E97">
        <v>0</v>
      </c>
      <c r="F97">
        <v>0</v>
      </c>
      <c r="H97" s="76">
        <f t="shared" si="6"/>
        <v>0</v>
      </c>
      <c r="I97" s="76">
        <f t="shared" si="7"/>
        <v>0</v>
      </c>
      <c r="J97" s="76">
        <f t="shared" si="8"/>
        <v>0</v>
      </c>
      <c r="K97">
        <f t="shared" si="9"/>
        <v>0</v>
      </c>
      <c r="L97">
        <f t="shared" si="10"/>
        <v>0</v>
      </c>
      <c r="P97" s="359">
        <v>6485</v>
      </c>
      <c r="Q97" s="362">
        <v>0</v>
      </c>
      <c r="R97" s="282">
        <f t="shared" si="11"/>
        <v>0</v>
      </c>
    </row>
    <row r="98" spans="1:18">
      <c r="A98">
        <v>93</v>
      </c>
      <c r="B98">
        <v>7060</v>
      </c>
      <c r="C98" t="s">
        <v>18032</v>
      </c>
      <c r="D98">
        <v>0</v>
      </c>
      <c r="E98">
        <v>0</v>
      </c>
      <c r="F98">
        <v>0</v>
      </c>
      <c r="H98" s="76">
        <f t="shared" si="6"/>
        <v>0</v>
      </c>
      <c r="I98" s="76">
        <f t="shared" si="7"/>
        <v>0</v>
      </c>
      <c r="J98" s="76">
        <f t="shared" si="8"/>
        <v>0</v>
      </c>
      <c r="K98">
        <f t="shared" si="9"/>
        <v>0</v>
      </c>
      <c r="L98">
        <f t="shared" si="10"/>
        <v>0</v>
      </c>
      <c r="P98" s="359">
        <v>6487</v>
      </c>
      <c r="Q98" s="362">
        <v>0</v>
      </c>
      <c r="R98" s="282">
        <f t="shared" si="11"/>
        <v>0</v>
      </c>
    </row>
    <row r="99" spans="1:18">
      <c r="A99">
        <v>94</v>
      </c>
      <c r="B99">
        <v>7061</v>
      </c>
      <c r="C99" t="s">
        <v>5436</v>
      </c>
      <c r="D99">
        <v>0</v>
      </c>
      <c r="E99">
        <v>0</v>
      </c>
      <c r="F99">
        <v>0</v>
      </c>
      <c r="H99" s="76">
        <f t="shared" si="6"/>
        <v>0</v>
      </c>
      <c r="I99" s="76">
        <f t="shared" si="7"/>
        <v>0</v>
      </c>
      <c r="J99" s="76">
        <f t="shared" si="8"/>
        <v>0</v>
      </c>
      <c r="K99">
        <f t="shared" si="9"/>
        <v>0</v>
      </c>
      <c r="L99">
        <f t="shared" si="10"/>
        <v>0</v>
      </c>
      <c r="P99" s="359">
        <v>6488</v>
      </c>
      <c r="Q99" s="362">
        <v>0</v>
      </c>
      <c r="R99" s="282">
        <f t="shared" si="11"/>
        <v>0</v>
      </c>
    </row>
    <row r="100" spans="1:18">
      <c r="A100">
        <v>95</v>
      </c>
      <c r="B100">
        <v>7063</v>
      </c>
      <c r="C100" t="s">
        <v>18033</v>
      </c>
      <c r="D100">
        <v>0</v>
      </c>
      <c r="E100">
        <v>0</v>
      </c>
      <c r="F100">
        <v>0</v>
      </c>
      <c r="H100" s="76">
        <f t="shared" si="6"/>
        <v>0</v>
      </c>
      <c r="I100" s="76">
        <f t="shared" si="7"/>
        <v>0</v>
      </c>
      <c r="J100" s="76">
        <f t="shared" si="8"/>
        <v>0</v>
      </c>
      <c r="K100">
        <f t="shared" si="9"/>
        <v>0</v>
      </c>
      <c r="L100">
        <f t="shared" si="10"/>
        <v>0</v>
      </c>
      <c r="P100" s="359">
        <v>6489</v>
      </c>
      <c r="Q100" s="362">
        <v>0</v>
      </c>
      <c r="R100" s="282">
        <f t="shared" si="11"/>
        <v>0</v>
      </c>
    </row>
    <row r="101" spans="1:18">
      <c r="A101">
        <v>96</v>
      </c>
      <c r="B101">
        <v>7064</v>
      </c>
      <c r="C101" t="s">
        <v>8519</v>
      </c>
      <c r="D101">
        <v>0</v>
      </c>
      <c r="E101">
        <v>0</v>
      </c>
      <c r="F101">
        <v>0</v>
      </c>
      <c r="H101" s="76">
        <f t="shared" si="6"/>
        <v>0</v>
      </c>
      <c r="I101" s="76">
        <f t="shared" si="7"/>
        <v>0</v>
      </c>
      <c r="J101" s="76">
        <f t="shared" si="8"/>
        <v>0</v>
      </c>
      <c r="K101">
        <f t="shared" si="9"/>
        <v>0</v>
      </c>
      <c r="L101">
        <f t="shared" si="10"/>
        <v>0</v>
      </c>
      <c r="P101" s="359">
        <v>6490</v>
      </c>
      <c r="Q101" s="362">
        <v>0</v>
      </c>
      <c r="R101" s="282">
        <f t="shared" si="11"/>
        <v>0</v>
      </c>
    </row>
    <row r="102" spans="1:18">
      <c r="A102">
        <v>97</v>
      </c>
      <c r="B102">
        <v>7065</v>
      </c>
      <c r="C102" t="s">
        <v>8520</v>
      </c>
      <c r="D102">
        <v>0</v>
      </c>
      <c r="E102">
        <v>0</v>
      </c>
      <c r="F102">
        <v>0</v>
      </c>
      <c r="H102" s="76">
        <f t="shared" si="6"/>
        <v>0</v>
      </c>
      <c r="I102" s="76">
        <f t="shared" si="7"/>
        <v>0</v>
      </c>
      <c r="J102" s="76">
        <f t="shared" si="8"/>
        <v>0</v>
      </c>
      <c r="K102">
        <f t="shared" si="9"/>
        <v>0</v>
      </c>
      <c r="L102">
        <f t="shared" si="10"/>
        <v>0</v>
      </c>
      <c r="P102" s="359">
        <v>6492</v>
      </c>
      <c r="Q102" s="362">
        <v>0</v>
      </c>
      <c r="R102" s="282">
        <f t="shared" si="11"/>
        <v>0</v>
      </c>
    </row>
    <row r="103" spans="1:18">
      <c r="A103">
        <v>98</v>
      </c>
      <c r="B103">
        <v>7070</v>
      </c>
      <c r="C103" t="s">
        <v>198</v>
      </c>
      <c r="D103">
        <v>0</v>
      </c>
      <c r="E103">
        <v>0</v>
      </c>
      <c r="F103">
        <v>0</v>
      </c>
      <c r="H103" s="76">
        <f t="shared" si="6"/>
        <v>0</v>
      </c>
      <c r="I103" s="76">
        <f t="shared" si="7"/>
        <v>0</v>
      </c>
      <c r="J103" s="76">
        <f t="shared" si="8"/>
        <v>0</v>
      </c>
      <c r="K103">
        <f t="shared" si="9"/>
        <v>0</v>
      </c>
      <c r="L103">
        <f t="shared" si="10"/>
        <v>0</v>
      </c>
      <c r="P103" s="359">
        <v>6494</v>
      </c>
      <c r="Q103" s="362">
        <v>0</v>
      </c>
      <c r="R103" s="282">
        <f t="shared" si="11"/>
        <v>0</v>
      </c>
    </row>
    <row r="104" spans="1:18">
      <c r="A104">
        <v>99</v>
      </c>
      <c r="B104">
        <v>7071</v>
      </c>
      <c r="C104" t="s">
        <v>5468</v>
      </c>
      <c r="D104">
        <v>0</v>
      </c>
      <c r="E104">
        <v>0</v>
      </c>
      <c r="F104">
        <v>0</v>
      </c>
      <c r="H104" s="76">
        <f t="shared" si="6"/>
        <v>0</v>
      </c>
      <c r="I104" s="76">
        <f t="shared" si="7"/>
        <v>0</v>
      </c>
      <c r="J104" s="76">
        <f t="shared" si="8"/>
        <v>0</v>
      </c>
      <c r="K104">
        <f t="shared" si="9"/>
        <v>0</v>
      </c>
      <c r="L104">
        <f t="shared" si="10"/>
        <v>0</v>
      </c>
      <c r="P104" s="360">
        <v>6496</v>
      </c>
      <c r="Q104" s="362">
        <v>0</v>
      </c>
      <c r="R104" s="282">
        <f t="shared" si="11"/>
        <v>0</v>
      </c>
    </row>
    <row r="105" spans="1:18">
      <c r="A105">
        <v>100</v>
      </c>
      <c r="B105">
        <v>7072</v>
      </c>
      <c r="C105" t="s">
        <v>199</v>
      </c>
      <c r="D105">
        <v>0</v>
      </c>
      <c r="E105">
        <v>0</v>
      </c>
      <c r="F105">
        <v>0</v>
      </c>
      <c r="H105" s="76">
        <f t="shared" si="6"/>
        <v>0</v>
      </c>
      <c r="I105" s="76">
        <f t="shared" si="7"/>
        <v>0</v>
      </c>
      <c r="J105" s="76">
        <f t="shared" si="8"/>
        <v>0</v>
      </c>
      <c r="K105">
        <f t="shared" si="9"/>
        <v>0</v>
      </c>
      <c r="L105">
        <f t="shared" si="10"/>
        <v>0</v>
      </c>
      <c r="P105" s="359">
        <v>6497</v>
      </c>
      <c r="Q105" s="362">
        <v>0</v>
      </c>
      <c r="R105" s="282">
        <f t="shared" si="11"/>
        <v>0</v>
      </c>
    </row>
    <row r="106" spans="1:18">
      <c r="A106">
        <v>101</v>
      </c>
      <c r="B106">
        <v>7073</v>
      </c>
      <c r="C106" t="s">
        <v>200</v>
      </c>
      <c r="D106">
        <v>0</v>
      </c>
      <c r="E106">
        <v>0</v>
      </c>
      <c r="F106">
        <v>0</v>
      </c>
      <c r="H106" s="76">
        <f t="shared" si="6"/>
        <v>0</v>
      </c>
      <c r="I106" s="76">
        <f t="shared" si="7"/>
        <v>0</v>
      </c>
      <c r="J106" s="76">
        <f t="shared" si="8"/>
        <v>0</v>
      </c>
      <c r="K106">
        <f t="shared" si="9"/>
        <v>0</v>
      </c>
      <c r="L106">
        <f t="shared" si="10"/>
        <v>0</v>
      </c>
      <c r="P106" s="359">
        <v>6498</v>
      </c>
      <c r="Q106" s="362">
        <v>0</v>
      </c>
      <c r="R106" s="282">
        <f t="shared" si="11"/>
        <v>0</v>
      </c>
    </row>
    <row r="107" spans="1:18">
      <c r="A107">
        <v>102</v>
      </c>
      <c r="B107">
        <v>7074</v>
      </c>
      <c r="C107" t="s">
        <v>201</v>
      </c>
      <c r="D107">
        <v>0</v>
      </c>
      <c r="E107">
        <v>0</v>
      </c>
      <c r="F107">
        <v>0</v>
      </c>
      <c r="H107" s="76">
        <f t="shared" si="6"/>
        <v>0</v>
      </c>
      <c r="I107" s="76">
        <f t="shared" si="7"/>
        <v>0</v>
      </c>
      <c r="J107" s="76">
        <f t="shared" si="8"/>
        <v>0</v>
      </c>
      <c r="K107">
        <f t="shared" si="9"/>
        <v>0</v>
      </c>
      <c r="L107">
        <f t="shared" si="10"/>
        <v>0</v>
      </c>
      <c r="P107" s="359">
        <v>6499</v>
      </c>
      <c r="Q107" s="362">
        <v>0</v>
      </c>
      <c r="R107" s="282">
        <f t="shared" si="11"/>
        <v>0</v>
      </c>
    </row>
    <row r="108" spans="1:18">
      <c r="A108">
        <v>103</v>
      </c>
      <c r="B108">
        <v>7075</v>
      </c>
      <c r="C108" t="s">
        <v>5480</v>
      </c>
      <c r="D108">
        <v>0</v>
      </c>
      <c r="E108">
        <v>0</v>
      </c>
      <c r="F108">
        <v>0</v>
      </c>
      <c r="H108" s="76">
        <f t="shared" si="6"/>
        <v>0</v>
      </c>
      <c r="I108" s="76">
        <f t="shared" si="7"/>
        <v>0</v>
      </c>
      <c r="J108" s="76">
        <f t="shared" si="8"/>
        <v>0</v>
      </c>
      <c r="K108">
        <f t="shared" si="9"/>
        <v>0</v>
      </c>
      <c r="L108">
        <f t="shared" si="10"/>
        <v>0</v>
      </c>
      <c r="P108" s="359">
        <v>6599</v>
      </c>
      <c r="Q108" s="362">
        <v>37600</v>
      </c>
      <c r="R108" s="282">
        <f t="shared" si="11"/>
        <v>37600</v>
      </c>
    </row>
    <row r="109" spans="1:18">
      <c r="A109">
        <v>104</v>
      </c>
      <c r="B109">
        <v>7076</v>
      </c>
      <c r="C109" t="s">
        <v>5482</v>
      </c>
      <c r="D109">
        <v>0</v>
      </c>
      <c r="E109">
        <v>0</v>
      </c>
      <c r="F109">
        <v>0</v>
      </c>
      <c r="H109" s="76">
        <f t="shared" si="6"/>
        <v>0</v>
      </c>
      <c r="I109" s="76">
        <f t="shared" si="7"/>
        <v>0</v>
      </c>
      <c r="J109" s="76">
        <f t="shared" si="8"/>
        <v>0</v>
      </c>
      <c r="K109">
        <f t="shared" si="9"/>
        <v>0</v>
      </c>
      <c r="L109">
        <f t="shared" si="10"/>
        <v>0</v>
      </c>
      <c r="P109" s="359">
        <v>6511</v>
      </c>
      <c r="Q109" s="362">
        <v>0</v>
      </c>
      <c r="R109" s="282">
        <f t="shared" si="11"/>
        <v>0</v>
      </c>
    </row>
    <row r="110" spans="1:18">
      <c r="A110">
        <v>105</v>
      </c>
      <c r="B110">
        <v>7077</v>
      </c>
      <c r="C110" t="s">
        <v>15213</v>
      </c>
      <c r="D110">
        <v>0</v>
      </c>
      <c r="E110">
        <v>0</v>
      </c>
      <c r="F110">
        <v>0</v>
      </c>
      <c r="H110" s="76">
        <f t="shared" si="6"/>
        <v>0</v>
      </c>
      <c r="I110" s="76">
        <f t="shared" si="7"/>
        <v>0</v>
      </c>
      <c r="J110" s="76">
        <f t="shared" si="8"/>
        <v>0</v>
      </c>
      <c r="K110">
        <f t="shared" si="9"/>
        <v>0</v>
      </c>
      <c r="L110">
        <f t="shared" si="10"/>
        <v>0</v>
      </c>
      <c r="P110" s="359">
        <v>6512</v>
      </c>
      <c r="Q110" s="362">
        <v>0</v>
      </c>
      <c r="R110" s="282">
        <f t="shared" si="11"/>
        <v>0</v>
      </c>
    </row>
    <row r="111" spans="1:18">
      <c r="A111">
        <v>106</v>
      </c>
      <c r="B111">
        <v>7078</v>
      </c>
      <c r="C111" t="s">
        <v>18034</v>
      </c>
      <c r="D111">
        <v>2700</v>
      </c>
      <c r="E111">
        <v>1800</v>
      </c>
      <c r="F111">
        <v>1800</v>
      </c>
      <c r="H111" s="76">
        <f t="shared" si="6"/>
        <v>2.7</v>
      </c>
      <c r="I111" s="76">
        <f t="shared" si="7"/>
        <v>1.8</v>
      </c>
      <c r="J111" s="76">
        <f t="shared" si="8"/>
        <v>1.8</v>
      </c>
      <c r="K111">
        <f t="shared" si="9"/>
        <v>0</v>
      </c>
      <c r="L111">
        <f t="shared" si="10"/>
        <v>1800</v>
      </c>
      <c r="P111" s="359">
        <v>6513</v>
      </c>
      <c r="Q111" s="362">
        <v>0</v>
      </c>
      <c r="R111" s="282">
        <f t="shared" si="11"/>
        <v>1800</v>
      </c>
    </row>
    <row r="112" spans="1:18">
      <c r="A112">
        <v>107</v>
      </c>
      <c r="B112">
        <v>7080</v>
      </c>
      <c r="C112" t="s">
        <v>18035</v>
      </c>
      <c r="D112">
        <v>0</v>
      </c>
      <c r="E112">
        <v>0</v>
      </c>
      <c r="F112">
        <v>1500</v>
      </c>
      <c r="H112" s="76">
        <f t="shared" si="6"/>
        <v>0</v>
      </c>
      <c r="I112" s="76">
        <f t="shared" si="7"/>
        <v>0</v>
      </c>
      <c r="J112" s="76">
        <f t="shared" si="8"/>
        <v>1.5</v>
      </c>
      <c r="K112">
        <f t="shared" si="9"/>
        <v>0</v>
      </c>
      <c r="L112">
        <f t="shared" si="10"/>
        <v>1500</v>
      </c>
      <c r="P112" s="359">
        <v>6514</v>
      </c>
      <c r="Q112" s="362">
        <v>0</v>
      </c>
      <c r="R112" s="282">
        <f>Q112+F112</f>
        <v>1500</v>
      </c>
    </row>
    <row r="113" spans="1:18">
      <c r="A113">
        <v>108</v>
      </c>
      <c r="B113">
        <v>7436</v>
      </c>
      <c r="C113" t="s">
        <v>18036</v>
      </c>
      <c r="D113">
        <v>0</v>
      </c>
      <c r="E113">
        <v>0</v>
      </c>
      <c r="F113">
        <v>0</v>
      </c>
      <c r="H113" s="76">
        <f t="shared" si="6"/>
        <v>0</v>
      </c>
      <c r="I113" s="76">
        <f t="shared" si="7"/>
        <v>0</v>
      </c>
      <c r="J113" s="76">
        <f t="shared" si="8"/>
        <v>0</v>
      </c>
      <c r="K113">
        <f t="shared" si="9"/>
        <v>0</v>
      </c>
      <c r="L113">
        <f t="shared" si="10"/>
        <v>0</v>
      </c>
      <c r="P113" s="360">
        <v>6515</v>
      </c>
      <c r="Q113" s="362">
        <v>0</v>
      </c>
      <c r="R113" s="282">
        <f>Q113+F113</f>
        <v>0</v>
      </c>
    </row>
    <row r="114" spans="1:18">
      <c r="A114">
        <v>109</v>
      </c>
      <c r="B114">
        <v>7910</v>
      </c>
      <c r="C114" t="s">
        <v>18037</v>
      </c>
      <c r="D114">
        <v>3600</v>
      </c>
      <c r="E114">
        <v>3600</v>
      </c>
      <c r="F114">
        <v>5400</v>
      </c>
      <c r="H114" s="76">
        <f t="shared" si="6"/>
        <v>3.6</v>
      </c>
      <c r="I114" s="76">
        <f t="shared" si="7"/>
        <v>3.6</v>
      </c>
      <c r="J114" s="76">
        <f t="shared" si="8"/>
        <v>5.4</v>
      </c>
      <c r="K114">
        <f t="shared" si="9"/>
        <v>0</v>
      </c>
      <c r="L114">
        <f t="shared" si="10"/>
        <v>5400</v>
      </c>
      <c r="P114" s="360">
        <v>6517</v>
      </c>
      <c r="Q114" s="362">
        <v>0</v>
      </c>
      <c r="R114" s="282">
        <f t="shared" si="11"/>
        <v>5400</v>
      </c>
    </row>
    <row r="115" spans="1:18">
      <c r="A115">
        <v>110</v>
      </c>
      <c r="B115">
        <v>7911</v>
      </c>
      <c r="C115" t="s">
        <v>18038</v>
      </c>
      <c r="D115">
        <v>0</v>
      </c>
      <c r="E115">
        <v>0</v>
      </c>
      <c r="F115">
        <v>0</v>
      </c>
      <c r="H115" s="76">
        <f t="shared" si="6"/>
        <v>0</v>
      </c>
      <c r="I115" s="76">
        <f t="shared" si="7"/>
        <v>0</v>
      </c>
      <c r="J115" s="76">
        <f t="shared" si="8"/>
        <v>0</v>
      </c>
      <c r="K115">
        <f t="shared" si="9"/>
        <v>0</v>
      </c>
      <c r="L115">
        <f t="shared" si="10"/>
        <v>0</v>
      </c>
      <c r="P115" s="359">
        <v>6520</v>
      </c>
      <c r="Q115" s="362">
        <v>0</v>
      </c>
      <c r="R115" s="282">
        <f t="shared" si="11"/>
        <v>0</v>
      </c>
    </row>
    <row r="116" spans="1:18">
      <c r="A116">
        <v>111</v>
      </c>
      <c r="B116">
        <v>7920</v>
      </c>
      <c r="C116" t="s">
        <v>18039</v>
      </c>
      <c r="D116">
        <v>1800</v>
      </c>
      <c r="E116">
        <v>1800</v>
      </c>
      <c r="F116">
        <v>3600</v>
      </c>
      <c r="H116" s="76">
        <f t="shared" si="6"/>
        <v>1.8</v>
      </c>
      <c r="I116" s="76">
        <f t="shared" si="7"/>
        <v>1.8</v>
      </c>
      <c r="J116" s="76">
        <f t="shared" si="8"/>
        <v>3.6</v>
      </c>
      <c r="K116">
        <f t="shared" si="9"/>
        <v>0</v>
      </c>
      <c r="L116">
        <f t="shared" si="10"/>
        <v>3600</v>
      </c>
      <c r="P116" s="359">
        <v>6523</v>
      </c>
      <c r="Q116" s="362">
        <v>0</v>
      </c>
      <c r="R116" s="282">
        <f t="shared" si="11"/>
        <v>3600</v>
      </c>
    </row>
    <row r="117" spans="1:18">
      <c r="A117">
        <v>112</v>
      </c>
      <c r="B117">
        <v>7930</v>
      </c>
      <c r="C117" t="s">
        <v>18040</v>
      </c>
      <c r="D117">
        <v>1800</v>
      </c>
      <c r="E117">
        <v>1800</v>
      </c>
      <c r="F117">
        <v>3600</v>
      </c>
      <c r="H117" s="76">
        <f t="shared" si="6"/>
        <v>1.8</v>
      </c>
      <c r="I117" s="76">
        <f t="shared" si="7"/>
        <v>1.8</v>
      </c>
      <c r="J117" s="76">
        <f t="shared" si="8"/>
        <v>3.6</v>
      </c>
      <c r="K117">
        <f t="shared" si="9"/>
        <v>0</v>
      </c>
      <c r="L117">
        <f t="shared" si="10"/>
        <v>3600</v>
      </c>
      <c r="P117" s="359">
        <v>6524</v>
      </c>
      <c r="Q117" s="362">
        <v>0</v>
      </c>
      <c r="R117" s="282">
        <f t="shared" si="11"/>
        <v>3600</v>
      </c>
    </row>
    <row r="118" spans="1:18">
      <c r="A118">
        <v>113</v>
      </c>
      <c r="B118">
        <v>7931</v>
      </c>
      <c r="C118" t="s">
        <v>18041</v>
      </c>
      <c r="D118">
        <v>0</v>
      </c>
      <c r="E118">
        <v>0</v>
      </c>
      <c r="F118">
        <v>0</v>
      </c>
      <c r="H118" s="76">
        <f t="shared" si="6"/>
        <v>0</v>
      </c>
      <c r="I118" s="76">
        <f t="shared" si="7"/>
        <v>0</v>
      </c>
      <c r="J118" s="76">
        <f t="shared" si="8"/>
        <v>0</v>
      </c>
      <c r="K118">
        <f t="shared" si="9"/>
        <v>0</v>
      </c>
      <c r="L118">
        <f t="shared" si="10"/>
        <v>0</v>
      </c>
      <c r="P118" s="359">
        <v>6525</v>
      </c>
      <c r="Q118" s="362">
        <v>0</v>
      </c>
      <c r="R118" s="282">
        <f t="shared" si="11"/>
        <v>0</v>
      </c>
    </row>
    <row r="119" spans="1:18">
      <c r="A119">
        <v>114</v>
      </c>
      <c r="B119">
        <v>7932</v>
      </c>
      <c r="C119" t="s">
        <v>18042</v>
      </c>
      <c r="D119">
        <v>4400</v>
      </c>
      <c r="E119">
        <v>0</v>
      </c>
      <c r="F119">
        <v>0</v>
      </c>
      <c r="H119" s="76">
        <f t="shared" si="6"/>
        <v>4.4000000000000004</v>
      </c>
      <c r="I119" s="76">
        <f t="shared" si="7"/>
        <v>0</v>
      </c>
      <c r="J119" s="76">
        <f t="shared" si="8"/>
        <v>0</v>
      </c>
      <c r="K119">
        <f t="shared" si="9"/>
        <v>0</v>
      </c>
      <c r="L119">
        <f t="shared" si="10"/>
        <v>0</v>
      </c>
      <c r="P119" s="359">
        <v>6534</v>
      </c>
      <c r="Q119" s="362">
        <v>0</v>
      </c>
      <c r="R119" s="282">
        <f t="shared" si="11"/>
        <v>0</v>
      </c>
    </row>
    <row r="120" spans="1:18">
      <c r="A120">
        <v>115</v>
      </c>
      <c r="B120">
        <v>7933</v>
      </c>
      <c r="C120" t="s">
        <v>18043</v>
      </c>
      <c r="D120">
        <v>0</v>
      </c>
      <c r="E120">
        <v>0</v>
      </c>
      <c r="F120">
        <v>1800</v>
      </c>
      <c r="H120" s="76">
        <f t="shared" si="6"/>
        <v>0</v>
      </c>
      <c r="I120" s="76">
        <f t="shared" si="7"/>
        <v>0</v>
      </c>
      <c r="J120" s="76">
        <f t="shared" si="8"/>
        <v>1.8</v>
      </c>
      <c r="K120">
        <f t="shared" si="9"/>
        <v>0</v>
      </c>
      <c r="L120">
        <f t="shared" si="10"/>
        <v>1800</v>
      </c>
      <c r="P120" s="359">
        <v>6534</v>
      </c>
      <c r="Q120" s="362">
        <v>0</v>
      </c>
      <c r="R120" s="282">
        <f t="shared" si="11"/>
        <v>1800</v>
      </c>
    </row>
    <row r="121" spans="1:18">
      <c r="A121">
        <v>116</v>
      </c>
      <c r="B121">
        <v>7081</v>
      </c>
      <c r="C121" t="s">
        <v>18044</v>
      </c>
      <c r="D121">
        <v>0</v>
      </c>
      <c r="E121">
        <v>0</v>
      </c>
      <c r="F121">
        <v>0</v>
      </c>
      <c r="H121" s="76">
        <f t="shared" si="6"/>
        <v>0</v>
      </c>
      <c r="I121" s="76">
        <f t="shared" si="7"/>
        <v>0</v>
      </c>
      <c r="J121" s="76">
        <f t="shared" si="8"/>
        <v>0</v>
      </c>
      <c r="K121">
        <f t="shared" si="9"/>
        <v>0</v>
      </c>
      <c r="L121">
        <f t="shared" si="10"/>
        <v>0</v>
      </c>
      <c r="P121" s="359">
        <v>6536</v>
      </c>
      <c r="Q121" s="362">
        <v>0</v>
      </c>
      <c r="R121" s="282">
        <f t="shared" si="11"/>
        <v>0</v>
      </c>
    </row>
    <row r="122" spans="1:18">
      <c r="A122">
        <v>117</v>
      </c>
      <c r="B122">
        <v>7996</v>
      </c>
      <c r="C122" t="s">
        <v>18045</v>
      </c>
      <c r="D122">
        <v>0</v>
      </c>
      <c r="E122">
        <v>0</v>
      </c>
      <c r="F122">
        <v>0</v>
      </c>
      <c r="H122" s="76">
        <f t="shared" si="6"/>
        <v>0</v>
      </c>
      <c r="I122" s="76">
        <f t="shared" si="7"/>
        <v>0</v>
      </c>
      <c r="J122" s="76">
        <f t="shared" si="8"/>
        <v>0</v>
      </c>
      <c r="K122">
        <f t="shared" si="9"/>
        <v>0</v>
      </c>
      <c r="L122">
        <f t="shared" si="10"/>
        <v>0</v>
      </c>
      <c r="P122" s="359">
        <v>6537</v>
      </c>
      <c r="Q122" s="362">
        <v>0</v>
      </c>
      <c r="R122" s="282">
        <f t="shared" si="11"/>
        <v>0</v>
      </c>
    </row>
    <row r="123" spans="1:18">
      <c r="A123">
        <v>118</v>
      </c>
      <c r="B123">
        <v>7446</v>
      </c>
      <c r="C123" t="s">
        <v>18046</v>
      </c>
      <c r="D123">
        <v>0</v>
      </c>
      <c r="E123">
        <v>0</v>
      </c>
      <c r="F123">
        <v>0</v>
      </c>
      <c r="H123" s="76">
        <f t="shared" si="6"/>
        <v>0</v>
      </c>
      <c r="I123" s="76">
        <f t="shared" si="7"/>
        <v>0</v>
      </c>
      <c r="J123" s="76">
        <f t="shared" si="8"/>
        <v>0</v>
      </c>
      <c r="K123">
        <f t="shared" si="9"/>
        <v>0</v>
      </c>
      <c r="L123">
        <f t="shared" si="10"/>
        <v>0</v>
      </c>
      <c r="P123" s="359">
        <v>6538</v>
      </c>
      <c r="Q123" s="362">
        <v>0</v>
      </c>
      <c r="R123" s="282">
        <f t="shared" si="11"/>
        <v>0</v>
      </c>
    </row>
    <row r="124" spans="1:18">
      <c r="D124">
        <v>0</v>
      </c>
      <c r="E124">
        <v>0</v>
      </c>
      <c r="F124">
        <v>0</v>
      </c>
      <c r="H124" s="76">
        <f t="shared" si="6"/>
        <v>0</v>
      </c>
      <c r="I124" s="76">
        <f t="shared" si="7"/>
        <v>0</v>
      </c>
      <c r="J124" s="76">
        <f t="shared" si="8"/>
        <v>0</v>
      </c>
      <c r="K124">
        <f t="shared" si="9"/>
        <v>0</v>
      </c>
      <c r="L124">
        <f t="shared" si="10"/>
        <v>0</v>
      </c>
      <c r="P124" s="359">
        <v>6544</v>
      </c>
      <c r="Q124" s="362">
        <v>0</v>
      </c>
      <c r="R124" s="282">
        <f t="shared" si="11"/>
        <v>0</v>
      </c>
    </row>
    <row r="125" spans="1:18">
      <c r="D125">
        <v>0</v>
      </c>
      <c r="E125">
        <v>0</v>
      </c>
      <c r="F125">
        <v>0</v>
      </c>
      <c r="H125" s="76">
        <f t="shared" si="6"/>
        <v>0</v>
      </c>
      <c r="I125" s="76">
        <f t="shared" si="7"/>
        <v>0</v>
      </c>
      <c r="J125" s="76">
        <f t="shared" si="8"/>
        <v>0</v>
      </c>
      <c r="K125">
        <f t="shared" si="9"/>
        <v>0</v>
      </c>
      <c r="L125">
        <f t="shared" si="10"/>
        <v>0</v>
      </c>
      <c r="P125" s="359">
        <v>6545</v>
      </c>
      <c r="Q125" s="362">
        <v>0</v>
      </c>
      <c r="R125" s="282">
        <f t="shared" si="11"/>
        <v>0</v>
      </c>
    </row>
    <row r="126" spans="1:18">
      <c r="D126">
        <v>0</v>
      </c>
      <c r="E126">
        <v>0</v>
      </c>
      <c r="F126">
        <v>0</v>
      </c>
      <c r="H126" s="76">
        <f t="shared" si="6"/>
        <v>0</v>
      </c>
      <c r="I126" s="76">
        <f t="shared" si="7"/>
        <v>0</v>
      </c>
      <c r="J126" s="76">
        <f t="shared" si="8"/>
        <v>0</v>
      </c>
      <c r="K126">
        <f t="shared" si="9"/>
        <v>0</v>
      </c>
      <c r="L126">
        <f t="shared" si="10"/>
        <v>0</v>
      </c>
      <c r="P126" s="360">
        <v>6546</v>
      </c>
      <c r="Q126" s="362">
        <v>0</v>
      </c>
      <c r="R126" s="282">
        <f t="shared" si="11"/>
        <v>0</v>
      </c>
    </row>
    <row r="127" spans="1:18">
      <c r="D127">
        <v>0</v>
      </c>
      <c r="E127">
        <v>0</v>
      </c>
      <c r="F127">
        <v>0</v>
      </c>
      <c r="H127" s="76">
        <f t="shared" si="6"/>
        <v>0</v>
      </c>
      <c r="I127" s="76">
        <f t="shared" si="7"/>
        <v>0</v>
      </c>
      <c r="J127" s="76">
        <f t="shared" si="8"/>
        <v>0</v>
      </c>
      <c r="K127">
        <f t="shared" si="9"/>
        <v>0</v>
      </c>
      <c r="L127">
        <f t="shared" si="10"/>
        <v>0</v>
      </c>
      <c r="P127" s="360">
        <v>6548</v>
      </c>
      <c r="Q127" s="362">
        <v>0</v>
      </c>
      <c r="R127" s="282">
        <f t="shared" si="11"/>
        <v>0</v>
      </c>
    </row>
    <row r="128" spans="1:18">
      <c r="D128">
        <v>0</v>
      </c>
      <c r="E128">
        <v>0</v>
      </c>
      <c r="F128">
        <v>0</v>
      </c>
      <c r="H128" s="76">
        <f t="shared" si="6"/>
        <v>0</v>
      </c>
      <c r="I128" s="76">
        <f t="shared" si="7"/>
        <v>0</v>
      </c>
      <c r="J128" s="76">
        <f t="shared" si="8"/>
        <v>0</v>
      </c>
      <c r="K128">
        <f t="shared" si="9"/>
        <v>0</v>
      </c>
      <c r="L128">
        <f t="shared" si="10"/>
        <v>0</v>
      </c>
      <c r="P128" s="359">
        <v>6579</v>
      </c>
      <c r="Q128" s="362">
        <v>0</v>
      </c>
      <c r="R128" s="282">
        <f t="shared" si="11"/>
        <v>0</v>
      </c>
    </row>
    <row r="129" spans="4:18">
      <c r="D129">
        <v>0</v>
      </c>
      <c r="E129">
        <v>0</v>
      </c>
      <c r="F129">
        <v>0</v>
      </c>
      <c r="H129" s="76">
        <f t="shared" si="6"/>
        <v>0</v>
      </c>
      <c r="I129" s="76">
        <f t="shared" si="7"/>
        <v>0</v>
      </c>
      <c r="J129" s="76">
        <f t="shared" si="8"/>
        <v>0</v>
      </c>
      <c r="K129">
        <f t="shared" si="9"/>
        <v>0</v>
      </c>
      <c r="L129">
        <f t="shared" si="10"/>
        <v>0</v>
      </c>
      <c r="P129" s="359">
        <v>6551</v>
      </c>
      <c r="Q129" s="362">
        <v>0</v>
      </c>
      <c r="R129" s="282">
        <f t="shared" si="11"/>
        <v>0</v>
      </c>
    </row>
    <row r="130" spans="4:18">
      <c r="D130">
        <v>0</v>
      </c>
      <c r="E130">
        <v>0</v>
      </c>
      <c r="F130">
        <v>0</v>
      </c>
      <c r="H130" s="76">
        <f t="shared" si="6"/>
        <v>0</v>
      </c>
      <c r="I130" s="76">
        <f t="shared" si="7"/>
        <v>0</v>
      </c>
      <c r="J130" s="76">
        <f t="shared" si="8"/>
        <v>0</v>
      </c>
      <c r="K130">
        <f t="shared" si="9"/>
        <v>0</v>
      </c>
      <c r="L130">
        <f t="shared" si="10"/>
        <v>0</v>
      </c>
      <c r="P130" s="359">
        <v>6626</v>
      </c>
      <c r="Q130" s="362">
        <v>0</v>
      </c>
      <c r="R130" s="282">
        <f t="shared" si="11"/>
        <v>0</v>
      </c>
    </row>
    <row r="131" spans="4:18">
      <c r="D131">
        <v>0</v>
      </c>
      <c r="E131">
        <v>0</v>
      </c>
      <c r="F131">
        <v>0</v>
      </c>
      <c r="H131" s="76">
        <f t="shared" si="6"/>
        <v>0</v>
      </c>
      <c r="I131" s="76">
        <f t="shared" si="7"/>
        <v>0</v>
      </c>
      <c r="J131" s="76">
        <f t="shared" si="8"/>
        <v>0</v>
      </c>
      <c r="K131">
        <f t="shared" si="9"/>
        <v>0</v>
      </c>
      <c r="L131">
        <f t="shared" si="10"/>
        <v>0</v>
      </c>
      <c r="P131" s="359">
        <v>6628</v>
      </c>
      <c r="Q131" s="362">
        <v>0</v>
      </c>
      <c r="R131" s="282">
        <f t="shared" si="11"/>
        <v>0</v>
      </c>
    </row>
    <row r="132" spans="4:18">
      <c r="D132">
        <v>0</v>
      </c>
      <c r="E132">
        <v>0</v>
      </c>
      <c r="F132">
        <v>0</v>
      </c>
      <c r="H132" s="76">
        <f t="shared" si="6"/>
        <v>0</v>
      </c>
      <c r="I132" s="76">
        <f t="shared" si="7"/>
        <v>0</v>
      </c>
      <c r="J132" s="76">
        <f t="shared" si="8"/>
        <v>0</v>
      </c>
      <c r="K132">
        <f t="shared" si="9"/>
        <v>0</v>
      </c>
      <c r="L132">
        <f t="shared" si="10"/>
        <v>0</v>
      </c>
      <c r="P132" s="359">
        <v>6629</v>
      </c>
      <c r="Q132" s="362">
        <v>0</v>
      </c>
      <c r="R132" s="282">
        <f t="shared" si="11"/>
        <v>0</v>
      </c>
    </row>
    <row r="133" spans="4:18">
      <c r="D133">
        <v>0</v>
      </c>
      <c r="E133">
        <v>0</v>
      </c>
      <c r="F133">
        <v>0</v>
      </c>
      <c r="H133" s="76">
        <f t="shared" si="6"/>
        <v>0</v>
      </c>
      <c r="I133" s="76">
        <f t="shared" si="7"/>
        <v>0</v>
      </c>
      <c r="J133" s="76">
        <f t="shared" si="8"/>
        <v>0</v>
      </c>
      <c r="K133">
        <f t="shared" si="9"/>
        <v>0</v>
      </c>
      <c r="L133">
        <f t="shared" si="10"/>
        <v>0</v>
      </c>
      <c r="P133" s="359">
        <v>6701</v>
      </c>
      <c r="Q133" s="362">
        <v>0</v>
      </c>
      <c r="R133" s="282">
        <f t="shared" si="11"/>
        <v>0</v>
      </c>
    </row>
    <row r="134" spans="4:18">
      <c r="D134">
        <v>0</v>
      </c>
      <c r="E134">
        <v>0</v>
      </c>
      <c r="F134">
        <v>0</v>
      </c>
      <c r="H134" s="76">
        <f t="shared" ref="H134:H197" si="12">IF(D134&gt;0,D134/1000,0)</f>
        <v>0</v>
      </c>
      <c r="I134" s="76">
        <f t="shared" ref="I134:I197" si="13">IF(E134&gt;0,E134/1000,0)</f>
        <v>0</v>
      </c>
      <c r="J134" s="76">
        <f t="shared" ref="J134:J197" si="14">IF(F134&gt;0,F134/1000,0)</f>
        <v>0</v>
      </c>
      <c r="K134">
        <f t="shared" ref="K134:K197" si="15">_xlfn.IFNA(VLOOKUP($B134,$P$5:$Q$250,2,0),0)</f>
        <v>0</v>
      </c>
      <c r="L134">
        <f t="shared" ref="L134:L191" si="16">F134+K134</f>
        <v>0</v>
      </c>
      <c r="P134" s="359">
        <v>6707</v>
      </c>
      <c r="Q134" s="362">
        <v>0</v>
      </c>
      <c r="R134" s="282">
        <f t="shared" ref="R134:R197" si="17">Q134+F134</f>
        <v>0</v>
      </c>
    </row>
    <row r="135" spans="4:18">
      <c r="D135">
        <v>0</v>
      </c>
      <c r="E135">
        <v>0</v>
      </c>
      <c r="F135">
        <v>0</v>
      </c>
      <c r="H135" s="76">
        <f t="shared" si="12"/>
        <v>0</v>
      </c>
      <c r="I135" s="76">
        <f t="shared" si="13"/>
        <v>0</v>
      </c>
      <c r="J135" s="76">
        <f t="shared" si="14"/>
        <v>0</v>
      </c>
      <c r="K135">
        <f t="shared" si="15"/>
        <v>0</v>
      </c>
      <c r="L135">
        <f t="shared" si="16"/>
        <v>0</v>
      </c>
      <c r="P135" s="360">
        <v>6715</v>
      </c>
      <c r="Q135" s="362">
        <v>0</v>
      </c>
      <c r="R135" s="282">
        <f t="shared" si="17"/>
        <v>0</v>
      </c>
    </row>
    <row r="136" spans="4:18">
      <c r="D136">
        <v>0</v>
      </c>
      <c r="E136">
        <v>0</v>
      </c>
      <c r="F136">
        <v>0</v>
      </c>
      <c r="H136" s="76">
        <f t="shared" si="12"/>
        <v>0</v>
      </c>
      <c r="I136" s="76">
        <f t="shared" si="13"/>
        <v>0</v>
      </c>
      <c r="J136" s="76">
        <f t="shared" si="14"/>
        <v>0</v>
      </c>
      <c r="K136">
        <f t="shared" si="15"/>
        <v>0</v>
      </c>
      <c r="L136">
        <f t="shared" si="16"/>
        <v>0</v>
      </c>
      <c r="P136" s="359">
        <v>6716</v>
      </c>
      <c r="Q136" s="362">
        <v>0</v>
      </c>
      <c r="R136" s="282">
        <f t="shared" si="17"/>
        <v>0</v>
      </c>
    </row>
    <row r="137" spans="4:18">
      <c r="D137">
        <v>0</v>
      </c>
      <c r="E137">
        <v>0</v>
      </c>
      <c r="F137">
        <v>0</v>
      </c>
      <c r="H137" s="76">
        <f t="shared" si="12"/>
        <v>0</v>
      </c>
      <c r="I137" s="76">
        <f t="shared" si="13"/>
        <v>0</v>
      </c>
      <c r="J137" s="76">
        <f t="shared" si="14"/>
        <v>0</v>
      </c>
      <c r="K137">
        <f t="shared" si="15"/>
        <v>0</v>
      </c>
      <c r="L137">
        <f t="shared" si="16"/>
        <v>0</v>
      </c>
      <c r="P137" s="359">
        <v>6730</v>
      </c>
      <c r="Q137" s="362">
        <v>0</v>
      </c>
      <c r="R137" s="282">
        <f t="shared" si="17"/>
        <v>0</v>
      </c>
    </row>
    <row r="138" spans="4:18">
      <c r="D138">
        <v>0</v>
      </c>
      <c r="E138">
        <v>0</v>
      </c>
      <c r="F138">
        <v>0</v>
      </c>
      <c r="H138" s="76">
        <f t="shared" si="12"/>
        <v>0</v>
      </c>
      <c r="I138" s="76">
        <f t="shared" si="13"/>
        <v>0</v>
      </c>
      <c r="J138" s="76">
        <f t="shared" si="14"/>
        <v>0</v>
      </c>
      <c r="K138">
        <f t="shared" si="15"/>
        <v>0</v>
      </c>
      <c r="L138">
        <f t="shared" si="16"/>
        <v>0</v>
      </c>
      <c r="P138" s="359">
        <v>6767</v>
      </c>
      <c r="Q138" s="362">
        <v>0</v>
      </c>
      <c r="R138" s="282">
        <f t="shared" si="17"/>
        <v>0</v>
      </c>
    </row>
    <row r="139" spans="4:18">
      <c r="D139">
        <v>0</v>
      </c>
      <c r="E139">
        <v>0</v>
      </c>
      <c r="F139">
        <v>0</v>
      </c>
      <c r="H139" s="76">
        <f t="shared" si="12"/>
        <v>0</v>
      </c>
      <c r="I139" s="76">
        <f t="shared" si="13"/>
        <v>0</v>
      </c>
      <c r="J139" s="76">
        <f t="shared" si="14"/>
        <v>0</v>
      </c>
      <c r="K139">
        <f t="shared" si="15"/>
        <v>0</v>
      </c>
      <c r="L139">
        <f t="shared" si="16"/>
        <v>0</v>
      </c>
      <c r="P139" s="359">
        <v>6768</v>
      </c>
      <c r="Q139" s="362">
        <v>0</v>
      </c>
      <c r="R139" s="282">
        <f t="shared" si="17"/>
        <v>0</v>
      </c>
    </row>
    <row r="140" spans="4:18">
      <c r="D140">
        <v>0</v>
      </c>
      <c r="E140">
        <v>0</v>
      </c>
      <c r="F140">
        <v>0</v>
      </c>
      <c r="H140" s="76">
        <f t="shared" si="12"/>
        <v>0</v>
      </c>
      <c r="I140" s="76">
        <f t="shared" si="13"/>
        <v>0</v>
      </c>
      <c r="J140" s="76">
        <f t="shared" si="14"/>
        <v>0</v>
      </c>
      <c r="K140">
        <f t="shared" si="15"/>
        <v>0</v>
      </c>
      <c r="L140">
        <f t="shared" si="16"/>
        <v>0</v>
      </c>
      <c r="P140" s="359">
        <v>6827</v>
      </c>
      <c r="Q140" s="362">
        <v>0</v>
      </c>
      <c r="R140" s="282">
        <f t="shared" si="17"/>
        <v>0</v>
      </c>
    </row>
    <row r="141" spans="4:18">
      <c r="D141">
        <v>0</v>
      </c>
      <c r="E141">
        <v>0</v>
      </c>
      <c r="F141">
        <v>0</v>
      </c>
      <c r="H141" s="76">
        <f t="shared" si="12"/>
        <v>0</v>
      </c>
      <c r="I141" s="76">
        <f t="shared" si="13"/>
        <v>0</v>
      </c>
      <c r="J141" s="76">
        <f t="shared" si="14"/>
        <v>0</v>
      </c>
      <c r="K141">
        <f t="shared" si="15"/>
        <v>0</v>
      </c>
      <c r="L141">
        <f t="shared" si="16"/>
        <v>0</v>
      </c>
      <c r="P141" s="359">
        <v>6830</v>
      </c>
      <c r="Q141" s="362">
        <v>0</v>
      </c>
      <c r="R141" s="282">
        <f t="shared" si="17"/>
        <v>0</v>
      </c>
    </row>
    <row r="142" spans="4:18">
      <c r="D142">
        <v>0</v>
      </c>
      <c r="E142">
        <v>0</v>
      </c>
      <c r="F142">
        <v>0</v>
      </c>
      <c r="H142" s="76">
        <f t="shared" si="12"/>
        <v>0</v>
      </c>
      <c r="I142" s="76">
        <f t="shared" si="13"/>
        <v>0</v>
      </c>
      <c r="J142" s="76">
        <f t="shared" si="14"/>
        <v>0</v>
      </c>
      <c r="K142">
        <f t="shared" si="15"/>
        <v>0</v>
      </c>
      <c r="L142">
        <f t="shared" si="16"/>
        <v>0</v>
      </c>
      <c r="P142" s="359">
        <v>6831</v>
      </c>
      <c r="Q142" s="362">
        <v>0</v>
      </c>
      <c r="R142" s="282">
        <f t="shared" si="17"/>
        <v>0</v>
      </c>
    </row>
    <row r="143" spans="4:18">
      <c r="D143">
        <v>0</v>
      </c>
      <c r="E143">
        <v>0</v>
      </c>
      <c r="F143">
        <v>0</v>
      </c>
      <c r="H143" s="76">
        <f t="shared" si="12"/>
        <v>0</v>
      </c>
      <c r="I143" s="76">
        <f t="shared" si="13"/>
        <v>0</v>
      </c>
      <c r="J143" s="76">
        <f t="shared" si="14"/>
        <v>0</v>
      </c>
      <c r="K143">
        <f t="shared" si="15"/>
        <v>0</v>
      </c>
      <c r="L143">
        <f t="shared" si="16"/>
        <v>0</v>
      </c>
      <c r="P143" s="359">
        <v>6832</v>
      </c>
      <c r="Q143" s="362">
        <v>0</v>
      </c>
      <c r="R143" s="282">
        <f t="shared" si="17"/>
        <v>0</v>
      </c>
    </row>
    <row r="144" spans="4:18">
      <c r="D144">
        <v>0</v>
      </c>
      <c r="E144">
        <v>0</v>
      </c>
      <c r="F144">
        <v>0</v>
      </c>
      <c r="H144" s="76">
        <f t="shared" si="12"/>
        <v>0</v>
      </c>
      <c r="I144" s="76">
        <f t="shared" si="13"/>
        <v>0</v>
      </c>
      <c r="J144" s="76">
        <f t="shared" si="14"/>
        <v>0</v>
      </c>
      <c r="K144">
        <f t="shared" si="15"/>
        <v>0</v>
      </c>
      <c r="L144">
        <f t="shared" si="16"/>
        <v>0</v>
      </c>
      <c r="P144" s="359">
        <v>6833</v>
      </c>
      <c r="Q144" s="362">
        <v>0</v>
      </c>
      <c r="R144" s="282">
        <f t="shared" si="17"/>
        <v>0</v>
      </c>
    </row>
    <row r="145" spans="4:18">
      <c r="D145">
        <v>0</v>
      </c>
      <c r="E145">
        <v>0</v>
      </c>
      <c r="F145">
        <v>0</v>
      </c>
      <c r="H145" s="76">
        <f t="shared" si="12"/>
        <v>0</v>
      </c>
      <c r="I145" s="76">
        <f t="shared" si="13"/>
        <v>0</v>
      </c>
      <c r="J145" s="76">
        <f t="shared" si="14"/>
        <v>0</v>
      </c>
      <c r="K145">
        <f t="shared" si="15"/>
        <v>0</v>
      </c>
      <c r="L145">
        <f t="shared" si="16"/>
        <v>0</v>
      </c>
      <c r="P145" s="359">
        <v>7019</v>
      </c>
      <c r="Q145" s="362">
        <v>0</v>
      </c>
      <c r="R145" s="282">
        <f t="shared" si="17"/>
        <v>0</v>
      </c>
    </row>
    <row r="146" spans="4:18">
      <c r="D146">
        <v>0</v>
      </c>
      <c r="E146">
        <v>0</v>
      </c>
      <c r="F146">
        <v>0</v>
      </c>
      <c r="H146" s="76">
        <f t="shared" si="12"/>
        <v>0</v>
      </c>
      <c r="I146" s="76">
        <f t="shared" si="13"/>
        <v>0</v>
      </c>
      <c r="J146" s="76">
        <f t="shared" si="14"/>
        <v>0</v>
      </c>
      <c r="K146">
        <f t="shared" si="15"/>
        <v>0</v>
      </c>
      <c r="L146">
        <f t="shared" si="16"/>
        <v>0</v>
      </c>
      <c r="P146" s="359">
        <v>7089</v>
      </c>
      <c r="Q146" s="362">
        <v>0</v>
      </c>
      <c r="R146" s="282">
        <f t="shared" si="17"/>
        <v>0</v>
      </c>
    </row>
    <row r="147" spans="4:18">
      <c r="D147">
        <v>0</v>
      </c>
      <c r="E147">
        <v>0</v>
      </c>
      <c r="F147">
        <v>0</v>
      </c>
      <c r="H147" s="76">
        <f t="shared" si="12"/>
        <v>0</v>
      </c>
      <c r="I147" s="76">
        <f t="shared" si="13"/>
        <v>0</v>
      </c>
      <c r="J147" s="76">
        <f t="shared" si="14"/>
        <v>0</v>
      </c>
      <c r="K147">
        <f t="shared" si="15"/>
        <v>0</v>
      </c>
      <c r="L147">
        <f t="shared" si="16"/>
        <v>0</v>
      </c>
      <c r="P147" s="359">
        <v>6834</v>
      </c>
      <c r="Q147" s="362">
        <v>0</v>
      </c>
      <c r="R147" s="282">
        <f t="shared" si="17"/>
        <v>0</v>
      </c>
    </row>
    <row r="148" spans="4:18">
      <c r="D148">
        <v>0</v>
      </c>
      <c r="E148">
        <v>0</v>
      </c>
      <c r="F148">
        <v>0</v>
      </c>
      <c r="H148" s="76">
        <f t="shared" si="12"/>
        <v>0</v>
      </c>
      <c r="I148" s="76">
        <f t="shared" si="13"/>
        <v>0</v>
      </c>
      <c r="J148" s="76">
        <f t="shared" si="14"/>
        <v>0</v>
      </c>
      <c r="K148">
        <f t="shared" si="15"/>
        <v>0</v>
      </c>
      <c r="L148">
        <f t="shared" si="16"/>
        <v>0</v>
      </c>
      <c r="P148" s="359">
        <v>6835</v>
      </c>
      <c r="Q148" s="362">
        <v>0</v>
      </c>
      <c r="R148" s="282">
        <f t="shared" si="17"/>
        <v>0</v>
      </c>
    </row>
    <row r="149" spans="4:18">
      <c r="D149">
        <v>0</v>
      </c>
      <c r="E149">
        <v>0</v>
      </c>
      <c r="F149">
        <v>0</v>
      </c>
      <c r="H149" s="76">
        <f t="shared" si="12"/>
        <v>0</v>
      </c>
      <c r="I149" s="76">
        <f t="shared" si="13"/>
        <v>0</v>
      </c>
      <c r="J149" s="76">
        <f t="shared" si="14"/>
        <v>0</v>
      </c>
      <c r="K149">
        <f t="shared" si="15"/>
        <v>0</v>
      </c>
      <c r="L149">
        <f t="shared" si="16"/>
        <v>0</v>
      </c>
      <c r="P149" s="359">
        <v>6984</v>
      </c>
      <c r="Q149" s="362">
        <v>0</v>
      </c>
      <c r="R149" s="282">
        <f t="shared" si="17"/>
        <v>0</v>
      </c>
    </row>
    <row r="150" spans="4:18">
      <c r="D150">
        <v>0</v>
      </c>
      <c r="E150">
        <v>0</v>
      </c>
      <c r="F150">
        <v>0</v>
      </c>
      <c r="H150" s="76">
        <f t="shared" si="12"/>
        <v>0</v>
      </c>
      <c r="I150" s="76">
        <f t="shared" si="13"/>
        <v>0</v>
      </c>
      <c r="J150" s="76">
        <f t="shared" si="14"/>
        <v>0</v>
      </c>
      <c r="K150">
        <f t="shared" si="15"/>
        <v>0</v>
      </c>
      <c r="L150">
        <f t="shared" si="16"/>
        <v>0</v>
      </c>
      <c r="P150" s="359">
        <v>7001</v>
      </c>
      <c r="Q150" s="362">
        <v>0</v>
      </c>
      <c r="R150" s="282">
        <f t="shared" si="17"/>
        <v>0</v>
      </c>
    </row>
    <row r="151" spans="4:18">
      <c r="D151">
        <v>0</v>
      </c>
      <c r="E151">
        <v>0</v>
      </c>
      <c r="F151">
        <v>0</v>
      </c>
      <c r="H151" s="76">
        <f t="shared" si="12"/>
        <v>0</v>
      </c>
      <c r="I151" s="76">
        <f t="shared" si="13"/>
        <v>0</v>
      </c>
      <c r="J151" s="76">
        <f t="shared" si="14"/>
        <v>0</v>
      </c>
      <c r="K151">
        <f t="shared" si="15"/>
        <v>0</v>
      </c>
      <c r="L151">
        <f t="shared" si="16"/>
        <v>0</v>
      </c>
      <c r="P151" s="359">
        <v>7002</v>
      </c>
      <c r="Q151" s="362">
        <v>0</v>
      </c>
      <c r="R151" s="282">
        <f t="shared" si="17"/>
        <v>0</v>
      </c>
    </row>
    <row r="152" spans="4:18">
      <c r="D152">
        <v>0</v>
      </c>
      <c r="E152">
        <v>0</v>
      </c>
      <c r="F152">
        <v>0</v>
      </c>
      <c r="H152" s="76">
        <f t="shared" si="12"/>
        <v>0</v>
      </c>
      <c r="I152" s="76">
        <f t="shared" si="13"/>
        <v>0</v>
      </c>
      <c r="J152" s="76">
        <f t="shared" si="14"/>
        <v>0</v>
      </c>
      <c r="K152">
        <f t="shared" si="15"/>
        <v>0</v>
      </c>
      <c r="L152">
        <f t="shared" si="16"/>
        <v>0</v>
      </c>
      <c r="P152" s="359">
        <v>7003</v>
      </c>
      <c r="Q152" s="362">
        <v>0</v>
      </c>
      <c r="R152" s="282">
        <f t="shared" si="17"/>
        <v>0</v>
      </c>
    </row>
    <row r="153" spans="4:18">
      <c r="D153">
        <v>0</v>
      </c>
      <c r="E153">
        <v>0</v>
      </c>
      <c r="F153">
        <v>0</v>
      </c>
      <c r="H153" s="76">
        <f t="shared" si="12"/>
        <v>0</v>
      </c>
      <c r="I153" s="76">
        <f t="shared" si="13"/>
        <v>0</v>
      </c>
      <c r="J153" s="76">
        <f t="shared" si="14"/>
        <v>0</v>
      </c>
      <c r="K153">
        <f t="shared" si="15"/>
        <v>0</v>
      </c>
      <c r="L153">
        <f t="shared" si="16"/>
        <v>0</v>
      </c>
      <c r="P153" s="359">
        <v>7004</v>
      </c>
      <c r="Q153" s="362">
        <v>9300</v>
      </c>
      <c r="R153" s="282">
        <f t="shared" si="17"/>
        <v>9300</v>
      </c>
    </row>
    <row r="154" spans="4:18">
      <c r="D154">
        <v>0</v>
      </c>
      <c r="E154">
        <v>0</v>
      </c>
      <c r="F154">
        <v>0</v>
      </c>
      <c r="H154" s="76">
        <f t="shared" si="12"/>
        <v>0</v>
      </c>
      <c r="I154" s="76">
        <f t="shared" si="13"/>
        <v>0</v>
      </c>
      <c r="J154" s="76">
        <f t="shared" si="14"/>
        <v>0</v>
      </c>
      <c r="K154">
        <f t="shared" si="15"/>
        <v>0</v>
      </c>
      <c r="L154">
        <f t="shared" si="16"/>
        <v>0</v>
      </c>
      <c r="P154" s="359">
        <v>7006</v>
      </c>
      <c r="Q154" s="362">
        <v>0</v>
      </c>
      <c r="R154" s="282">
        <f t="shared" si="17"/>
        <v>0</v>
      </c>
    </row>
    <row r="155" spans="4:18">
      <c r="D155">
        <v>0</v>
      </c>
      <c r="E155">
        <v>0</v>
      </c>
      <c r="F155">
        <v>0</v>
      </c>
      <c r="H155" s="76">
        <f t="shared" si="12"/>
        <v>0</v>
      </c>
      <c r="I155" s="76">
        <f t="shared" si="13"/>
        <v>0</v>
      </c>
      <c r="J155" s="76">
        <f t="shared" si="14"/>
        <v>0</v>
      </c>
      <c r="K155">
        <f t="shared" si="15"/>
        <v>0</v>
      </c>
      <c r="L155">
        <f t="shared" si="16"/>
        <v>0</v>
      </c>
      <c r="P155" s="359">
        <v>7008</v>
      </c>
      <c r="Q155" s="362">
        <v>0</v>
      </c>
      <c r="R155" s="282">
        <f t="shared" si="17"/>
        <v>0</v>
      </c>
    </row>
    <row r="156" spans="4:18">
      <c r="D156">
        <v>0</v>
      </c>
      <c r="E156">
        <v>0</v>
      </c>
      <c r="F156">
        <v>0</v>
      </c>
      <c r="H156" s="76">
        <f t="shared" si="12"/>
        <v>0</v>
      </c>
      <c r="I156" s="76">
        <f t="shared" si="13"/>
        <v>0</v>
      </c>
      <c r="J156" s="76">
        <f t="shared" si="14"/>
        <v>0</v>
      </c>
      <c r="K156">
        <f t="shared" si="15"/>
        <v>0</v>
      </c>
      <c r="L156">
        <f t="shared" si="16"/>
        <v>0</v>
      </c>
      <c r="P156" s="359">
        <v>7009</v>
      </c>
      <c r="Q156" s="362">
        <v>0</v>
      </c>
      <c r="R156" s="282">
        <f t="shared" si="17"/>
        <v>0</v>
      </c>
    </row>
    <row r="157" spans="4:18">
      <c r="D157">
        <v>0</v>
      </c>
      <c r="E157">
        <v>0</v>
      </c>
      <c r="F157">
        <v>0</v>
      </c>
      <c r="H157" s="76">
        <f t="shared" si="12"/>
        <v>0</v>
      </c>
      <c r="I157" s="76">
        <f t="shared" si="13"/>
        <v>0</v>
      </c>
      <c r="J157" s="76">
        <f t="shared" si="14"/>
        <v>0</v>
      </c>
      <c r="K157">
        <f t="shared" si="15"/>
        <v>0</v>
      </c>
      <c r="L157">
        <f t="shared" si="16"/>
        <v>0</v>
      </c>
      <c r="P157" s="359">
        <v>7011</v>
      </c>
      <c r="Q157" s="362">
        <v>0</v>
      </c>
      <c r="R157" s="282">
        <f t="shared" si="17"/>
        <v>0</v>
      </c>
    </row>
    <row r="158" spans="4:18">
      <c r="D158">
        <v>0</v>
      </c>
      <c r="E158">
        <v>0</v>
      </c>
      <c r="F158">
        <v>0</v>
      </c>
      <c r="H158" s="76">
        <f t="shared" si="12"/>
        <v>0</v>
      </c>
      <c r="I158" s="76">
        <f t="shared" si="13"/>
        <v>0</v>
      </c>
      <c r="J158" s="76">
        <f t="shared" si="14"/>
        <v>0</v>
      </c>
      <c r="K158">
        <f t="shared" si="15"/>
        <v>0</v>
      </c>
      <c r="L158">
        <f t="shared" si="16"/>
        <v>0</v>
      </c>
      <c r="P158" s="361">
        <v>7012</v>
      </c>
      <c r="Q158" s="362">
        <v>0</v>
      </c>
      <c r="R158" s="282">
        <f t="shared" si="17"/>
        <v>0</v>
      </c>
    </row>
    <row r="159" spans="4:18">
      <c r="D159">
        <v>0</v>
      </c>
      <c r="E159">
        <v>0</v>
      </c>
      <c r="F159">
        <v>0</v>
      </c>
      <c r="H159" s="76">
        <f t="shared" si="12"/>
        <v>0</v>
      </c>
      <c r="I159" s="76">
        <f t="shared" si="13"/>
        <v>0</v>
      </c>
      <c r="J159" s="76">
        <f t="shared" si="14"/>
        <v>0</v>
      </c>
      <c r="K159">
        <f t="shared" si="15"/>
        <v>0</v>
      </c>
      <c r="L159">
        <f t="shared" si="16"/>
        <v>0</v>
      </c>
      <c r="P159" s="359">
        <v>7013</v>
      </c>
      <c r="Q159" s="362">
        <v>0</v>
      </c>
      <c r="R159" s="282">
        <f t="shared" si="17"/>
        <v>0</v>
      </c>
    </row>
    <row r="160" spans="4:18">
      <c r="D160">
        <v>0</v>
      </c>
      <c r="E160">
        <v>0</v>
      </c>
      <c r="F160">
        <v>0</v>
      </c>
      <c r="H160" s="76">
        <f t="shared" si="12"/>
        <v>0</v>
      </c>
      <c r="I160" s="76">
        <f t="shared" si="13"/>
        <v>0</v>
      </c>
      <c r="J160" s="76">
        <f t="shared" si="14"/>
        <v>0</v>
      </c>
      <c r="K160">
        <f t="shared" si="15"/>
        <v>0</v>
      </c>
      <c r="L160">
        <f t="shared" si="16"/>
        <v>0</v>
      </c>
      <c r="P160" s="359">
        <v>7014</v>
      </c>
      <c r="Q160" s="362">
        <v>0</v>
      </c>
      <c r="R160" s="282">
        <f>Q160+F160</f>
        <v>0</v>
      </c>
    </row>
    <row r="161" spans="4:18">
      <c r="D161">
        <v>0</v>
      </c>
      <c r="E161">
        <v>0</v>
      </c>
      <c r="F161">
        <v>0</v>
      </c>
      <c r="H161" s="76">
        <f t="shared" si="12"/>
        <v>0</v>
      </c>
      <c r="I161" s="76">
        <f t="shared" si="13"/>
        <v>0</v>
      </c>
      <c r="J161" s="76">
        <f t="shared" si="14"/>
        <v>0</v>
      </c>
      <c r="K161">
        <f t="shared" si="15"/>
        <v>0</v>
      </c>
      <c r="L161">
        <f t="shared" si="16"/>
        <v>0</v>
      </c>
      <c r="P161" s="359">
        <v>7015</v>
      </c>
      <c r="Q161" s="362">
        <v>0</v>
      </c>
      <c r="R161" s="282">
        <f t="shared" si="17"/>
        <v>0</v>
      </c>
    </row>
    <row r="162" spans="4:18">
      <c r="D162">
        <v>0</v>
      </c>
      <c r="E162">
        <v>0</v>
      </c>
      <c r="F162">
        <v>0</v>
      </c>
      <c r="H162" s="76">
        <f t="shared" si="12"/>
        <v>0</v>
      </c>
      <c r="I162" s="76">
        <f t="shared" si="13"/>
        <v>0</v>
      </c>
      <c r="J162" s="76">
        <f t="shared" si="14"/>
        <v>0</v>
      </c>
      <c r="K162">
        <f t="shared" si="15"/>
        <v>0</v>
      </c>
      <c r="L162">
        <f t="shared" si="16"/>
        <v>0</v>
      </c>
      <c r="P162" s="359">
        <v>7017</v>
      </c>
      <c r="Q162" s="362">
        <v>0</v>
      </c>
      <c r="R162" s="282">
        <f t="shared" si="17"/>
        <v>0</v>
      </c>
    </row>
    <row r="163" spans="4:18">
      <c r="D163">
        <v>0</v>
      </c>
      <c r="E163">
        <v>0</v>
      </c>
      <c r="F163">
        <v>0</v>
      </c>
      <c r="H163" s="76">
        <f t="shared" si="12"/>
        <v>0</v>
      </c>
      <c r="I163" s="76">
        <f t="shared" si="13"/>
        <v>0</v>
      </c>
      <c r="J163" s="76">
        <f t="shared" si="14"/>
        <v>0</v>
      </c>
      <c r="K163">
        <f t="shared" si="15"/>
        <v>0</v>
      </c>
      <c r="L163">
        <f t="shared" si="16"/>
        <v>0</v>
      </c>
      <c r="P163" s="359">
        <v>7018</v>
      </c>
      <c r="Q163" s="362">
        <v>0</v>
      </c>
      <c r="R163" s="282">
        <f t="shared" si="17"/>
        <v>0</v>
      </c>
    </row>
    <row r="164" spans="4:18">
      <c r="D164">
        <v>0</v>
      </c>
      <c r="E164">
        <v>0</v>
      </c>
      <c r="F164">
        <v>0</v>
      </c>
      <c r="H164" s="76">
        <f t="shared" si="12"/>
        <v>0</v>
      </c>
      <c r="I164" s="76">
        <f t="shared" si="13"/>
        <v>0</v>
      </c>
      <c r="J164" s="76">
        <f t="shared" si="14"/>
        <v>0</v>
      </c>
      <c r="K164">
        <f t="shared" si="15"/>
        <v>0</v>
      </c>
      <c r="L164">
        <f t="shared" si="16"/>
        <v>0</v>
      </c>
      <c r="P164" s="359">
        <v>7020</v>
      </c>
      <c r="Q164" s="362">
        <v>0</v>
      </c>
      <c r="R164" s="282">
        <f t="shared" si="17"/>
        <v>0</v>
      </c>
    </row>
    <row r="165" spans="4:18">
      <c r="D165">
        <v>0</v>
      </c>
      <c r="E165">
        <v>0</v>
      </c>
      <c r="F165">
        <v>0</v>
      </c>
      <c r="H165" s="76">
        <f t="shared" si="12"/>
        <v>0</v>
      </c>
      <c r="I165" s="76">
        <f t="shared" si="13"/>
        <v>0</v>
      </c>
      <c r="J165" s="76">
        <f t="shared" si="14"/>
        <v>0</v>
      </c>
      <c r="K165">
        <f t="shared" si="15"/>
        <v>0</v>
      </c>
      <c r="L165">
        <f t="shared" si="16"/>
        <v>0</v>
      </c>
      <c r="P165" s="359">
        <v>7021</v>
      </c>
      <c r="Q165" s="362">
        <v>0</v>
      </c>
      <c r="R165" s="282">
        <f t="shared" si="17"/>
        <v>0</v>
      </c>
    </row>
    <row r="166" spans="4:18">
      <c r="D166">
        <v>0</v>
      </c>
      <c r="E166">
        <v>0</v>
      </c>
      <c r="F166">
        <v>0</v>
      </c>
      <c r="H166" s="76">
        <f t="shared" si="12"/>
        <v>0</v>
      </c>
      <c r="I166" s="76">
        <f t="shared" si="13"/>
        <v>0</v>
      </c>
      <c r="J166" s="76">
        <f t="shared" si="14"/>
        <v>0</v>
      </c>
      <c r="K166">
        <f t="shared" si="15"/>
        <v>0</v>
      </c>
      <c r="L166">
        <f t="shared" si="16"/>
        <v>0</v>
      </c>
      <c r="P166" s="359">
        <v>7023</v>
      </c>
      <c r="Q166" s="362">
        <v>0</v>
      </c>
      <c r="R166" s="282">
        <f t="shared" si="17"/>
        <v>0</v>
      </c>
    </row>
    <row r="167" spans="4:18">
      <c r="D167">
        <v>0</v>
      </c>
      <c r="E167">
        <v>0</v>
      </c>
      <c r="F167">
        <v>0</v>
      </c>
      <c r="H167" s="76">
        <f t="shared" si="12"/>
        <v>0</v>
      </c>
      <c r="I167" s="76">
        <f t="shared" si="13"/>
        <v>0</v>
      </c>
      <c r="J167" s="76">
        <f t="shared" si="14"/>
        <v>0</v>
      </c>
      <c r="K167">
        <f t="shared" si="15"/>
        <v>0</v>
      </c>
      <c r="L167">
        <f t="shared" si="16"/>
        <v>0</v>
      </c>
      <c r="P167" s="359">
        <v>7024</v>
      </c>
      <c r="Q167" s="362">
        <v>0</v>
      </c>
      <c r="R167" s="282">
        <f t="shared" si="17"/>
        <v>0</v>
      </c>
    </row>
    <row r="168" spans="4:18">
      <c r="D168">
        <v>0</v>
      </c>
      <c r="E168">
        <v>0</v>
      </c>
      <c r="F168">
        <v>0</v>
      </c>
      <c r="H168" s="76">
        <f t="shared" si="12"/>
        <v>0</v>
      </c>
      <c r="I168" s="76">
        <f t="shared" si="13"/>
        <v>0</v>
      </c>
      <c r="J168" s="76">
        <f t="shared" si="14"/>
        <v>0</v>
      </c>
      <c r="K168">
        <f t="shared" si="15"/>
        <v>0</v>
      </c>
      <c r="L168">
        <f t="shared" si="16"/>
        <v>0</v>
      </c>
      <c r="P168" s="359">
        <v>7026</v>
      </c>
      <c r="Q168" s="362">
        <v>0</v>
      </c>
      <c r="R168" s="282">
        <f t="shared" si="17"/>
        <v>0</v>
      </c>
    </row>
    <row r="169" spans="4:18">
      <c r="D169">
        <v>0</v>
      </c>
      <c r="E169">
        <v>0</v>
      </c>
      <c r="F169">
        <v>0</v>
      </c>
      <c r="H169" s="76">
        <f t="shared" si="12"/>
        <v>0</v>
      </c>
      <c r="I169" s="76">
        <f t="shared" si="13"/>
        <v>0</v>
      </c>
      <c r="J169" s="76">
        <f t="shared" si="14"/>
        <v>0</v>
      </c>
      <c r="K169">
        <f t="shared" si="15"/>
        <v>0</v>
      </c>
      <c r="L169">
        <f t="shared" si="16"/>
        <v>0</v>
      </c>
      <c r="P169" s="359">
        <v>7027</v>
      </c>
      <c r="Q169" s="362">
        <v>0</v>
      </c>
      <c r="R169" s="282">
        <f t="shared" si="17"/>
        <v>0</v>
      </c>
    </row>
    <row r="170" spans="4:18">
      <c r="D170">
        <v>0</v>
      </c>
      <c r="E170">
        <v>0</v>
      </c>
      <c r="F170">
        <v>0</v>
      </c>
      <c r="H170" s="76">
        <f t="shared" si="12"/>
        <v>0</v>
      </c>
      <c r="I170" s="76">
        <f t="shared" si="13"/>
        <v>0</v>
      </c>
      <c r="J170" s="76">
        <f t="shared" si="14"/>
        <v>0</v>
      </c>
      <c r="K170">
        <f t="shared" si="15"/>
        <v>0</v>
      </c>
      <c r="L170">
        <f t="shared" si="16"/>
        <v>0</v>
      </c>
      <c r="P170" s="359">
        <v>6453</v>
      </c>
      <c r="Q170" s="362">
        <v>0</v>
      </c>
      <c r="R170" s="282">
        <f t="shared" si="17"/>
        <v>0</v>
      </c>
    </row>
    <row r="171" spans="4:18">
      <c r="D171">
        <v>0</v>
      </c>
      <c r="E171">
        <v>0</v>
      </c>
      <c r="F171">
        <v>0</v>
      </c>
      <c r="H171" s="76">
        <f t="shared" si="12"/>
        <v>0</v>
      </c>
      <c r="I171" s="76">
        <f t="shared" si="13"/>
        <v>0</v>
      </c>
      <c r="J171" s="76">
        <f t="shared" si="14"/>
        <v>0</v>
      </c>
      <c r="K171">
        <f t="shared" si="15"/>
        <v>0</v>
      </c>
      <c r="L171">
        <f t="shared" si="16"/>
        <v>0</v>
      </c>
      <c r="P171" s="359">
        <v>7028</v>
      </c>
      <c r="Q171" s="362">
        <v>0</v>
      </c>
      <c r="R171" s="282">
        <f t="shared" si="17"/>
        <v>0</v>
      </c>
    </row>
    <row r="172" spans="4:18">
      <c r="D172">
        <v>0</v>
      </c>
      <c r="E172">
        <v>0</v>
      </c>
      <c r="F172">
        <v>0</v>
      </c>
      <c r="H172" s="76">
        <f t="shared" si="12"/>
        <v>0</v>
      </c>
      <c r="I172" s="76">
        <f t="shared" si="13"/>
        <v>0</v>
      </c>
      <c r="J172" s="76">
        <f t="shared" si="14"/>
        <v>0</v>
      </c>
      <c r="K172">
        <f t="shared" si="15"/>
        <v>0</v>
      </c>
      <c r="L172">
        <f t="shared" si="16"/>
        <v>0</v>
      </c>
      <c r="P172" s="359">
        <v>7029</v>
      </c>
      <c r="Q172" s="362">
        <v>0</v>
      </c>
      <c r="R172" s="282">
        <f t="shared" si="17"/>
        <v>0</v>
      </c>
    </row>
    <row r="173" spans="4:18">
      <c r="D173">
        <v>0</v>
      </c>
      <c r="E173">
        <v>0</v>
      </c>
      <c r="F173">
        <v>0</v>
      </c>
      <c r="H173" s="76">
        <f t="shared" si="12"/>
        <v>0</v>
      </c>
      <c r="I173" s="76">
        <f t="shared" si="13"/>
        <v>0</v>
      </c>
      <c r="J173" s="76">
        <f t="shared" si="14"/>
        <v>0</v>
      </c>
      <c r="K173">
        <f t="shared" si="15"/>
        <v>0</v>
      </c>
      <c r="L173">
        <f t="shared" si="16"/>
        <v>0</v>
      </c>
      <c r="P173" s="359">
        <v>7030</v>
      </c>
      <c r="Q173" s="362">
        <v>0</v>
      </c>
      <c r="R173" s="282">
        <f t="shared" si="17"/>
        <v>0</v>
      </c>
    </row>
    <row r="174" spans="4:18">
      <c r="D174">
        <v>0</v>
      </c>
      <c r="E174">
        <v>0</v>
      </c>
      <c r="F174">
        <v>0</v>
      </c>
      <c r="H174" s="76">
        <f t="shared" si="12"/>
        <v>0</v>
      </c>
      <c r="I174" s="76">
        <f t="shared" si="13"/>
        <v>0</v>
      </c>
      <c r="J174" s="76">
        <f t="shared" si="14"/>
        <v>0</v>
      </c>
      <c r="K174">
        <f t="shared" si="15"/>
        <v>0</v>
      </c>
      <c r="L174">
        <f t="shared" si="16"/>
        <v>0</v>
      </c>
      <c r="P174" s="359">
        <v>7031</v>
      </c>
      <c r="Q174" s="362">
        <v>0</v>
      </c>
      <c r="R174" s="282">
        <f t="shared" si="17"/>
        <v>0</v>
      </c>
    </row>
    <row r="175" spans="4:18">
      <c r="D175">
        <v>0</v>
      </c>
      <c r="E175">
        <v>0</v>
      </c>
      <c r="F175">
        <v>0</v>
      </c>
      <c r="H175" s="76">
        <f t="shared" si="12"/>
        <v>0</v>
      </c>
      <c r="I175" s="76">
        <f t="shared" si="13"/>
        <v>0</v>
      </c>
      <c r="J175" s="76">
        <f t="shared" si="14"/>
        <v>0</v>
      </c>
      <c r="K175">
        <f t="shared" si="15"/>
        <v>0</v>
      </c>
      <c r="L175">
        <f t="shared" si="16"/>
        <v>0</v>
      </c>
      <c r="P175" s="360">
        <v>7032</v>
      </c>
      <c r="Q175" s="362">
        <v>0</v>
      </c>
      <c r="R175" s="282">
        <f>Q175+F175</f>
        <v>0</v>
      </c>
    </row>
    <row r="176" spans="4:18">
      <c r="D176">
        <v>0</v>
      </c>
      <c r="E176">
        <v>0</v>
      </c>
      <c r="F176">
        <v>0</v>
      </c>
      <c r="H176" s="76">
        <f t="shared" si="12"/>
        <v>0</v>
      </c>
      <c r="I176" s="76">
        <f t="shared" si="13"/>
        <v>0</v>
      </c>
      <c r="J176" s="76">
        <f t="shared" si="14"/>
        <v>0</v>
      </c>
      <c r="K176">
        <f t="shared" si="15"/>
        <v>0</v>
      </c>
      <c r="L176">
        <f t="shared" si="16"/>
        <v>0</v>
      </c>
      <c r="P176" s="361">
        <v>7034</v>
      </c>
      <c r="Q176" s="362">
        <v>0</v>
      </c>
      <c r="R176" s="282">
        <f t="shared" si="17"/>
        <v>0</v>
      </c>
    </row>
    <row r="177" spans="4:18">
      <c r="D177">
        <v>0</v>
      </c>
      <c r="E177">
        <v>0</v>
      </c>
      <c r="F177">
        <v>0</v>
      </c>
      <c r="H177" s="76">
        <f t="shared" si="12"/>
        <v>0</v>
      </c>
      <c r="I177" s="76">
        <f t="shared" si="13"/>
        <v>0</v>
      </c>
      <c r="J177" s="76">
        <f t="shared" si="14"/>
        <v>0</v>
      </c>
      <c r="K177">
        <f t="shared" si="15"/>
        <v>0</v>
      </c>
      <c r="L177">
        <f t="shared" si="16"/>
        <v>0</v>
      </c>
      <c r="P177" s="359">
        <v>7035</v>
      </c>
      <c r="Q177" s="362">
        <v>0</v>
      </c>
      <c r="R177" s="282">
        <f t="shared" si="17"/>
        <v>0</v>
      </c>
    </row>
    <row r="178" spans="4:18">
      <c r="D178">
        <v>0</v>
      </c>
      <c r="E178">
        <v>0</v>
      </c>
      <c r="F178">
        <v>0</v>
      </c>
      <c r="H178" s="76">
        <f t="shared" si="12"/>
        <v>0</v>
      </c>
      <c r="I178" s="76">
        <f t="shared" si="13"/>
        <v>0</v>
      </c>
      <c r="J178" s="76">
        <f t="shared" si="14"/>
        <v>0</v>
      </c>
      <c r="K178">
        <f t="shared" si="15"/>
        <v>0</v>
      </c>
      <c r="L178">
        <f t="shared" si="16"/>
        <v>0</v>
      </c>
      <c r="P178" s="359">
        <v>7038</v>
      </c>
      <c r="Q178" s="362">
        <v>0</v>
      </c>
      <c r="R178" s="282">
        <f t="shared" si="17"/>
        <v>0</v>
      </c>
    </row>
    <row r="179" spans="4:18">
      <c r="D179">
        <v>0</v>
      </c>
      <c r="E179">
        <v>0</v>
      </c>
      <c r="F179">
        <v>0</v>
      </c>
      <c r="H179" s="76">
        <f t="shared" si="12"/>
        <v>0</v>
      </c>
      <c r="I179" s="76">
        <f t="shared" si="13"/>
        <v>0</v>
      </c>
      <c r="J179" s="76">
        <f t="shared" si="14"/>
        <v>0</v>
      </c>
      <c r="K179">
        <f t="shared" si="15"/>
        <v>0</v>
      </c>
      <c r="L179">
        <f t="shared" si="16"/>
        <v>0</v>
      </c>
      <c r="P179" s="359">
        <v>7040</v>
      </c>
      <c r="Q179" s="362">
        <v>0</v>
      </c>
      <c r="R179" s="282">
        <f t="shared" si="17"/>
        <v>0</v>
      </c>
    </row>
    <row r="180" spans="4:18">
      <c r="D180">
        <v>0</v>
      </c>
      <c r="E180">
        <v>0</v>
      </c>
      <c r="F180">
        <v>0</v>
      </c>
      <c r="H180" s="76">
        <f t="shared" si="12"/>
        <v>0</v>
      </c>
      <c r="I180" s="76">
        <f t="shared" si="13"/>
        <v>0</v>
      </c>
      <c r="J180" s="76">
        <f t="shared" si="14"/>
        <v>0</v>
      </c>
      <c r="K180">
        <f t="shared" si="15"/>
        <v>0</v>
      </c>
      <c r="L180">
        <f t="shared" si="16"/>
        <v>0</v>
      </c>
      <c r="P180" s="359">
        <v>7041</v>
      </c>
      <c r="Q180" s="362">
        <v>0</v>
      </c>
      <c r="R180" s="282">
        <f>Q180+F180</f>
        <v>0</v>
      </c>
    </row>
    <row r="181" spans="4:18">
      <c r="D181">
        <v>0</v>
      </c>
      <c r="E181">
        <v>0</v>
      </c>
      <c r="F181">
        <v>0</v>
      </c>
      <c r="H181" s="76">
        <f t="shared" si="12"/>
        <v>0</v>
      </c>
      <c r="I181" s="76">
        <f t="shared" si="13"/>
        <v>0</v>
      </c>
      <c r="J181" s="76">
        <f t="shared" si="14"/>
        <v>0</v>
      </c>
      <c r="K181">
        <f t="shared" si="15"/>
        <v>0</v>
      </c>
      <c r="L181">
        <f t="shared" si="16"/>
        <v>0</v>
      </c>
      <c r="P181" s="359">
        <v>7043</v>
      </c>
      <c r="Q181" s="362">
        <v>0</v>
      </c>
      <c r="R181" s="282">
        <f t="shared" si="17"/>
        <v>0</v>
      </c>
    </row>
    <row r="182" spans="4:18">
      <c r="D182">
        <v>0</v>
      </c>
      <c r="E182">
        <v>0</v>
      </c>
      <c r="F182">
        <v>0</v>
      </c>
      <c r="H182" s="76">
        <f t="shared" si="12"/>
        <v>0</v>
      </c>
      <c r="I182" s="76">
        <f t="shared" si="13"/>
        <v>0</v>
      </c>
      <c r="J182" s="76">
        <f t="shared" si="14"/>
        <v>0</v>
      </c>
      <c r="K182">
        <f t="shared" si="15"/>
        <v>0</v>
      </c>
      <c r="L182">
        <f t="shared" si="16"/>
        <v>0</v>
      </c>
      <c r="P182" s="361">
        <v>7045</v>
      </c>
      <c r="Q182" s="362">
        <v>0</v>
      </c>
      <c r="R182" s="282">
        <f t="shared" si="17"/>
        <v>0</v>
      </c>
    </row>
    <row r="183" spans="4:18">
      <c r="D183">
        <v>0</v>
      </c>
      <c r="E183">
        <v>0</v>
      </c>
      <c r="F183">
        <v>0</v>
      </c>
      <c r="H183" s="76">
        <f t="shared" si="12"/>
        <v>0</v>
      </c>
      <c r="I183" s="76">
        <f t="shared" si="13"/>
        <v>0</v>
      </c>
      <c r="J183" s="76">
        <f t="shared" si="14"/>
        <v>0</v>
      </c>
      <c r="K183">
        <f t="shared" si="15"/>
        <v>0</v>
      </c>
      <c r="L183">
        <f t="shared" si="16"/>
        <v>0</v>
      </c>
      <c r="P183" s="361">
        <v>7046</v>
      </c>
      <c r="Q183" s="362">
        <v>0</v>
      </c>
      <c r="R183" s="282">
        <f t="shared" si="17"/>
        <v>0</v>
      </c>
    </row>
    <row r="184" spans="4:18">
      <c r="D184">
        <v>0</v>
      </c>
      <c r="E184">
        <v>0</v>
      </c>
      <c r="F184">
        <v>0</v>
      </c>
      <c r="H184" s="76">
        <f t="shared" si="12"/>
        <v>0</v>
      </c>
      <c r="I184" s="76">
        <f t="shared" si="13"/>
        <v>0</v>
      </c>
      <c r="J184" s="76">
        <f t="shared" si="14"/>
        <v>0</v>
      </c>
      <c r="K184">
        <f t="shared" si="15"/>
        <v>0</v>
      </c>
      <c r="L184">
        <f t="shared" si="16"/>
        <v>0</v>
      </c>
      <c r="P184" s="359">
        <v>7047</v>
      </c>
      <c r="Q184" s="362">
        <v>0</v>
      </c>
      <c r="R184" s="282">
        <f t="shared" si="17"/>
        <v>0</v>
      </c>
    </row>
    <row r="185" spans="4:18">
      <c r="D185">
        <v>0</v>
      </c>
      <c r="E185">
        <v>0</v>
      </c>
      <c r="F185">
        <v>0</v>
      </c>
      <c r="H185" s="76">
        <f t="shared" si="12"/>
        <v>0</v>
      </c>
      <c r="I185" s="76">
        <f t="shared" si="13"/>
        <v>0</v>
      </c>
      <c r="J185" s="76">
        <f t="shared" si="14"/>
        <v>0</v>
      </c>
      <c r="K185">
        <f t="shared" si="15"/>
        <v>0</v>
      </c>
      <c r="L185">
        <f t="shared" si="16"/>
        <v>0</v>
      </c>
      <c r="P185" s="359">
        <v>7050</v>
      </c>
      <c r="Q185" s="362">
        <v>0</v>
      </c>
      <c r="R185" s="282">
        <f t="shared" si="17"/>
        <v>0</v>
      </c>
    </row>
    <row r="186" spans="4:18">
      <c r="D186">
        <v>0</v>
      </c>
      <c r="E186">
        <v>0</v>
      </c>
      <c r="F186">
        <v>0</v>
      </c>
      <c r="H186" s="76">
        <f t="shared" si="12"/>
        <v>0</v>
      </c>
      <c r="I186" s="76">
        <f t="shared" si="13"/>
        <v>0</v>
      </c>
      <c r="J186" s="76">
        <f t="shared" si="14"/>
        <v>0</v>
      </c>
      <c r="K186">
        <f t="shared" si="15"/>
        <v>0</v>
      </c>
      <c r="L186">
        <f t="shared" si="16"/>
        <v>0</v>
      </c>
      <c r="P186" s="359">
        <v>7080</v>
      </c>
      <c r="Q186" s="362">
        <v>0</v>
      </c>
      <c r="R186" s="282">
        <f t="shared" si="17"/>
        <v>0</v>
      </c>
    </row>
    <row r="187" spans="4:18">
      <c r="D187">
        <v>0</v>
      </c>
      <c r="E187">
        <v>0</v>
      </c>
      <c r="F187">
        <v>0</v>
      </c>
      <c r="H187" s="76">
        <f t="shared" si="12"/>
        <v>0</v>
      </c>
      <c r="I187" s="76">
        <f t="shared" si="13"/>
        <v>0</v>
      </c>
      <c r="J187" s="76">
        <f t="shared" si="14"/>
        <v>0</v>
      </c>
      <c r="K187">
        <f t="shared" si="15"/>
        <v>0</v>
      </c>
      <c r="L187">
        <f t="shared" si="16"/>
        <v>0</v>
      </c>
      <c r="P187" s="359">
        <v>7054</v>
      </c>
      <c r="Q187" s="362">
        <v>0</v>
      </c>
      <c r="R187" s="282">
        <f t="shared" si="17"/>
        <v>0</v>
      </c>
    </row>
    <row r="188" spans="4:18">
      <c r="D188">
        <v>0</v>
      </c>
      <c r="E188">
        <v>0</v>
      </c>
      <c r="F188">
        <v>0</v>
      </c>
      <c r="H188" s="76">
        <f t="shared" si="12"/>
        <v>0</v>
      </c>
      <c r="I188" s="76">
        <f t="shared" si="13"/>
        <v>0</v>
      </c>
      <c r="J188" s="76">
        <f t="shared" si="14"/>
        <v>0</v>
      </c>
      <c r="K188">
        <f t="shared" si="15"/>
        <v>0</v>
      </c>
      <c r="L188">
        <f t="shared" si="16"/>
        <v>0</v>
      </c>
      <c r="P188" s="359">
        <v>7051</v>
      </c>
      <c r="Q188" s="362">
        <v>0</v>
      </c>
      <c r="R188" s="282">
        <f t="shared" si="17"/>
        <v>0</v>
      </c>
    </row>
    <row r="189" spans="4:18">
      <c r="D189">
        <v>0</v>
      </c>
      <c r="E189">
        <v>0</v>
      </c>
      <c r="F189">
        <v>0</v>
      </c>
      <c r="H189" s="76">
        <f t="shared" si="12"/>
        <v>0</v>
      </c>
      <c r="I189" s="76">
        <f t="shared" si="13"/>
        <v>0</v>
      </c>
      <c r="J189" s="76">
        <f t="shared" si="14"/>
        <v>0</v>
      </c>
      <c r="K189">
        <f t="shared" si="15"/>
        <v>0</v>
      </c>
      <c r="L189">
        <f t="shared" si="16"/>
        <v>0</v>
      </c>
      <c r="P189" s="359">
        <v>7052</v>
      </c>
      <c r="Q189" s="362">
        <v>0</v>
      </c>
      <c r="R189" s="282">
        <f t="shared" si="17"/>
        <v>0</v>
      </c>
    </row>
    <row r="190" spans="4:18">
      <c r="D190">
        <v>0</v>
      </c>
      <c r="E190">
        <v>0</v>
      </c>
      <c r="F190">
        <v>0</v>
      </c>
      <c r="H190" s="76">
        <f t="shared" si="12"/>
        <v>0</v>
      </c>
      <c r="I190" s="76">
        <f t="shared" si="13"/>
        <v>0</v>
      </c>
      <c r="J190" s="76">
        <f t="shared" si="14"/>
        <v>0</v>
      </c>
      <c r="K190">
        <f t="shared" si="15"/>
        <v>0</v>
      </c>
      <c r="L190">
        <f t="shared" si="16"/>
        <v>0</v>
      </c>
      <c r="P190" s="359">
        <v>7053</v>
      </c>
      <c r="Q190" s="362">
        <v>0</v>
      </c>
      <c r="R190" s="282">
        <f t="shared" si="17"/>
        <v>0</v>
      </c>
    </row>
    <row r="191" spans="4:18">
      <c r="D191">
        <v>0</v>
      </c>
      <c r="E191">
        <v>0</v>
      </c>
      <c r="F191">
        <v>0</v>
      </c>
      <c r="H191" s="76">
        <f t="shared" si="12"/>
        <v>0</v>
      </c>
      <c r="I191" s="76">
        <f t="shared" si="13"/>
        <v>0</v>
      </c>
      <c r="J191" s="76">
        <f t="shared" si="14"/>
        <v>0</v>
      </c>
      <c r="K191">
        <f t="shared" si="15"/>
        <v>0</v>
      </c>
      <c r="L191">
        <f t="shared" si="16"/>
        <v>0</v>
      </c>
      <c r="P191" s="359">
        <v>7055</v>
      </c>
      <c r="Q191" s="362">
        <v>0</v>
      </c>
      <c r="R191" s="282">
        <f t="shared" si="17"/>
        <v>0</v>
      </c>
    </row>
    <row r="192" spans="4:18">
      <c r="D192">
        <v>0</v>
      </c>
      <c r="E192">
        <v>0</v>
      </c>
      <c r="F192">
        <v>0</v>
      </c>
      <c r="H192" s="76">
        <f t="shared" si="12"/>
        <v>0</v>
      </c>
      <c r="I192" s="76">
        <f t="shared" si="13"/>
        <v>0</v>
      </c>
      <c r="J192" s="76">
        <f t="shared" si="14"/>
        <v>0</v>
      </c>
      <c r="K192">
        <f t="shared" si="15"/>
        <v>0</v>
      </c>
      <c r="L192">
        <f t="shared" ref="L192:L205" si="18">F192+K192</f>
        <v>0</v>
      </c>
      <c r="P192" s="359">
        <v>7056</v>
      </c>
      <c r="Q192" s="362">
        <v>0</v>
      </c>
      <c r="R192" s="282">
        <f t="shared" si="17"/>
        <v>0</v>
      </c>
    </row>
    <row r="193" spans="2:18">
      <c r="D193">
        <v>0</v>
      </c>
      <c r="E193">
        <v>0</v>
      </c>
      <c r="F193">
        <v>0</v>
      </c>
      <c r="H193" s="76">
        <f t="shared" si="12"/>
        <v>0</v>
      </c>
      <c r="I193" s="76">
        <f t="shared" si="13"/>
        <v>0</v>
      </c>
      <c r="J193" s="76">
        <f t="shared" si="14"/>
        <v>0</v>
      </c>
      <c r="K193">
        <f t="shared" si="15"/>
        <v>0</v>
      </c>
      <c r="L193">
        <f t="shared" si="18"/>
        <v>0</v>
      </c>
      <c r="P193" s="359">
        <v>7059</v>
      </c>
      <c r="Q193" s="362">
        <v>0</v>
      </c>
      <c r="R193" s="282">
        <f>Q193+F193</f>
        <v>0</v>
      </c>
    </row>
    <row r="194" spans="2:18">
      <c r="D194">
        <v>0</v>
      </c>
      <c r="E194">
        <v>0</v>
      </c>
      <c r="F194">
        <v>0</v>
      </c>
      <c r="H194" s="76">
        <f t="shared" si="12"/>
        <v>0</v>
      </c>
      <c r="I194" s="76">
        <f t="shared" si="13"/>
        <v>0</v>
      </c>
      <c r="J194" s="76">
        <f t="shared" si="14"/>
        <v>0</v>
      </c>
      <c r="K194">
        <f t="shared" si="15"/>
        <v>0</v>
      </c>
      <c r="L194">
        <f t="shared" si="18"/>
        <v>0</v>
      </c>
      <c r="P194" s="359">
        <v>7060</v>
      </c>
      <c r="Q194" s="362">
        <v>0</v>
      </c>
      <c r="R194" s="282">
        <f t="shared" si="17"/>
        <v>0</v>
      </c>
    </row>
    <row r="195" spans="2:18">
      <c r="D195">
        <v>0</v>
      </c>
      <c r="E195">
        <v>0</v>
      </c>
      <c r="F195">
        <v>0</v>
      </c>
      <c r="H195" s="76">
        <f t="shared" si="12"/>
        <v>0</v>
      </c>
      <c r="I195" s="76">
        <f t="shared" si="13"/>
        <v>0</v>
      </c>
      <c r="J195" s="76">
        <f t="shared" si="14"/>
        <v>0</v>
      </c>
      <c r="K195">
        <f t="shared" si="15"/>
        <v>0</v>
      </c>
      <c r="L195">
        <f t="shared" si="18"/>
        <v>0</v>
      </c>
      <c r="P195" s="359">
        <v>7063</v>
      </c>
      <c r="Q195" s="362">
        <v>0</v>
      </c>
      <c r="R195" s="282">
        <f t="shared" si="17"/>
        <v>0</v>
      </c>
    </row>
    <row r="196" spans="2:18">
      <c r="D196">
        <v>0</v>
      </c>
      <c r="E196">
        <v>0</v>
      </c>
      <c r="F196">
        <v>0</v>
      </c>
      <c r="H196" s="76">
        <f t="shared" si="12"/>
        <v>0</v>
      </c>
      <c r="I196" s="76">
        <f t="shared" si="13"/>
        <v>0</v>
      </c>
      <c r="J196" s="76">
        <f t="shared" si="14"/>
        <v>0</v>
      </c>
      <c r="K196">
        <f t="shared" si="15"/>
        <v>0</v>
      </c>
      <c r="L196">
        <f t="shared" si="18"/>
        <v>0</v>
      </c>
      <c r="P196" s="359">
        <v>7061</v>
      </c>
      <c r="Q196" s="362">
        <v>0</v>
      </c>
      <c r="R196" s="282">
        <f>Q196+F196</f>
        <v>0</v>
      </c>
    </row>
    <row r="197" spans="2:18">
      <c r="D197">
        <v>0</v>
      </c>
      <c r="E197">
        <v>0</v>
      </c>
      <c r="F197">
        <v>0</v>
      </c>
      <c r="H197" s="76">
        <f t="shared" si="12"/>
        <v>0</v>
      </c>
      <c r="I197" s="76">
        <f t="shared" si="13"/>
        <v>0</v>
      </c>
      <c r="J197" s="76">
        <f t="shared" si="14"/>
        <v>0</v>
      </c>
      <c r="K197">
        <f t="shared" si="15"/>
        <v>0</v>
      </c>
      <c r="L197">
        <f t="shared" si="18"/>
        <v>0</v>
      </c>
      <c r="P197" s="359">
        <v>7064</v>
      </c>
      <c r="Q197" s="362">
        <v>0</v>
      </c>
      <c r="R197" s="282">
        <f t="shared" si="17"/>
        <v>0</v>
      </c>
    </row>
    <row r="198" spans="2:18">
      <c r="D198">
        <v>0</v>
      </c>
      <c r="E198">
        <v>0</v>
      </c>
      <c r="F198">
        <v>0</v>
      </c>
      <c r="H198" s="76">
        <f t="shared" ref="H198:H215" si="19">IF(D198&gt;0,D198/1000,0)</f>
        <v>0</v>
      </c>
      <c r="I198" s="76">
        <f t="shared" ref="I198:I215" si="20">IF(E198&gt;0,E198/1000,0)</f>
        <v>0</v>
      </c>
      <c r="J198" s="76">
        <f t="shared" ref="J198:J215" si="21">IF(F198&gt;0,F198/1000,0)</f>
        <v>0</v>
      </c>
      <c r="K198">
        <f t="shared" ref="K198:K229" si="22">_xlfn.IFNA(VLOOKUP($B198,$P$5:$Q$250,2,0),0)</f>
        <v>0</v>
      </c>
      <c r="L198">
        <f t="shared" si="18"/>
        <v>0</v>
      </c>
      <c r="P198" s="359">
        <v>7065</v>
      </c>
      <c r="Q198" s="362">
        <v>0</v>
      </c>
      <c r="R198" s="282">
        <f t="shared" ref="R198:R217" si="23">Q198+F198</f>
        <v>0</v>
      </c>
    </row>
    <row r="199" spans="2:18">
      <c r="D199">
        <v>0</v>
      </c>
      <c r="E199">
        <v>0</v>
      </c>
      <c r="F199">
        <v>0</v>
      </c>
      <c r="H199" s="76">
        <f t="shared" si="19"/>
        <v>0</v>
      </c>
      <c r="I199" s="76">
        <f t="shared" si="20"/>
        <v>0</v>
      </c>
      <c r="J199" s="76">
        <f t="shared" si="21"/>
        <v>0</v>
      </c>
      <c r="K199">
        <f t="shared" si="22"/>
        <v>0</v>
      </c>
      <c r="L199">
        <f t="shared" si="18"/>
        <v>0</v>
      </c>
      <c r="P199" s="359">
        <v>7077</v>
      </c>
      <c r="Q199" s="362">
        <v>0</v>
      </c>
      <c r="R199" s="282">
        <f>Q199+F199</f>
        <v>0</v>
      </c>
    </row>
    <row r="200" spans="2:18">
      <c r="D200">
        <v>0</v>
      </c>
      <c r="E200">
        <v>0</v>
      </c>
      <c r="F200">
        <v>0</v>
      </c>
      <c r="H200" s="76">
        <f t="shared" si="19"/>
        <v>0</v>
      </c>
      <c r="I200" s="76">
        <f t="shared" si="20"/>
        <v>0</v>
      </c>
      <c r="J200" s="76">
        <f t="shared" si="21"/>
        <v>0</v>
      </c>
      <c r="K200">
        <f t="shared" si="22"/>
        <v>0</v>
      </c>
      <c r="L200">
        <f t="shared" si="18"/>
        <v>0</v>
      </c>
      <c r="P200" s="359">
        <v>7078</v>
      </c>
      <c r="Q200" s="362">
        <v>0</v>
      </c>
      <c r="R200" s="282">
        <f t="shared" si="23"/>
        <v>0</v>
      </c>
    </row>
    <row r="201" spans="2:18">
      <c r="D201">
        <v>0</v>
      </c>
      <c r="E201">
        <v>0</v>
      </c>
      <c r="F201">
        <v>0</v>
      </c>
      <c r="H201" s="76">
        <f t="shared" si="19"/>
        <v>0</v>
      </c>
      <c r="I201" s="76">
        <f t="shared" si="20"/>
        <v>0</v>
      </c>
      <c r="J201" s="76">
        <f t="shared" si="21"/>
        <v>0</v>
      </c>
      <c r="K201">
        <f t="shared" si="22"/>
        <v>0</v>
      </c>
      <c r="L201">
        <f t="shared" si="18"/>
        <v>0</v>
      </c>
      <c r="P201" s="359">
        <v>7910</v>
      </c>
      <c r="Q201" s="362">
        <v>0</v>
      </c>
      <c r="R201" s="282">
        <f t="shared" si="23"/>
        <v>0</v>
      </c>
    </row>
    <row r="202" spans="2:18">
      <c r="D202">
        <v>0</v>
      </c>
      <c r="E202">
        <v>0</v>
      </c>
      <c r="F202">
        <v>0</v>
      </c>
      <c r="H202" s="76">
        <f t="shared" si="19"/>
        <v>0</v>
      </c>
      <c r="I202" s="76">
        <f t="shared" si="20"/>
        <v>0</v>
      </c>
      <c r="J202" s="76">
        <f t="shared" si="21"/>
        <v>0</v>
      </c>
      <c r="K202">
        <f t="shared" si="22"/>
        <v>0</v>
      </c>
      <c r="L202">
        <f t="shared" si="18"/>
        <v>0</v>
      </c>
      <c r="P202" s="359">
        <v>7911</v>
      </c>
      <c r="Q202" s="362">
        <v>0</v>
      </c>
      <c r="R202" s="282">
        <f t="shared" si="23"/>
        <v>0</v>
      </c>
    </row>
    <row r="203" spans="2:18">
      <c r="D203">
        <v>0</v>
      </c>
      <c r="E203">
        <v>0</v>
      </c>
      <c r="F203">
        <v>0</v>
      </c>
      <c r="H203" s="76">
        <f t="shared" si="19"/>
        <v>0</v>
      </c>
      <c r="I203" s="76">
        <f t="shared" si="20"/>
        <v>0</v>
      </c>
      <c r="J203" s="76">
        <f t="shared" si="21"/>
        <v>0</v>
      </c>
      <c r="K203">
        <f t="shared" si="22"/>
        <v>0</v>
      </c>
      <c r="L203">
        <f t="shared" si="18"/>
        <v>0</v>
      </c>
      <c r="P203" s="359">
        <v>7920</v>
      </c>
      <c r="Q203" s="362">
        <v>0</v>
      </c>
      <c r="R203" s="282">
        <f t="shared" si="23"/>
        <v>0</v>
      </c>
    </row>
    <row r="204" spans="2:18">
      <c r="B204" s="89"/>
      <c r="C204" s="89"/>
      <c r="D204">
        <v>0</v>
      </c>
      <c r="E204">
        <v>0</v>
      </c>
      <c r="F204">
        <v>0</v>
      </c>
      <c r="H204" s="76">
        <f t="shared" si="19"/>
        <v>0</v>
      </c>
      <c r="I204" s="76">
        <f t="shared" si="20"/>
        <v>0</v>
      </c>
      <c r="J204" s="76">
        <f t="shared" si="21"/>
        <v>0</v>
      </c>
      <c r="K204">
        <f t="shared" si="22"/>
        <v>0</v>
      </c>
      <c r="L204">
        <f t="shared" si="18"/>
        <v>0</v>
      </c>
      <c r="P204" s="359">
        <v>7930</v>
      </c>
      <c r="Q204" s="362">
        <v>0</v>
      </c>
      <c r="R204" s="282">
        <f t="shared" si="23"/>
        <v>0</v>
      </c>
    </row>
    <row r="205" spans="2:18">
      <c r="D205">
        <v>0</v>
      </c>
      <c r="E205">
        <v>0</v>
      </c>
      <c r="F205">
        <v>0</v>
      </c>
      <c r="H205" s="76">
        <f t="shared" si="19"/>
        <v>0</v>
      </c>
      <c r="I205" s="76">
        <f t="shared" si="20"/>
        <v>0</v>
      </c>
      <c r="J205" s="76">
        <f t="shared" si="21"/>
        <v>0</v>
      </c>
      <c r="K205">
        <f t="shared" si="22"/>
        <v>0</v>
      </c>
      <c r="L205">
        <f t="shared" si="18"/>
        <v>0</v>
      </c>
      <c r="P205" s="359">
        <v>7932</v>
      </c>
      <c r="Q205" s="362">
        <v>0</v>
      </c>
      <c r="R205" s="282">
        <f>Q205+F205</f>
        <v>0</v>
      </c>
    </row>
    <row r="206" spans="2:18">
      <c r="D206">
        <v>0</v>
      </c>
      <c r="E206">
        <v>0</v>
      </c>
      <c r="F206">
        <v>0</v>
      </c>
      <c r="H206" s="76">
        <f t="shared" si="19"/>
        <v>0</v>
      </c>
      <c r="I206" s="76">
        <f t="shared" si="20"/>
        <v>0</v>
      </c>
      <c r="J206" s="76">
        <f t="shared" si="21"/>
        <v>0</v>
      </c>
      <c r="K206">
        <f t="shared" si="22"/>
        <v>0</v>
      </c>
      <c r="P206" s="359">
        <v>7933</v>
      </c>
      <c r="Q206" s="362">
        <v>0</v>
      </c>
      <c r="R206" s="282">
        <f t="shared" si="23"/>
        <v>0</v>
      </c>
    </row>
    <row r="207" spans="2:18">
      <c r="D207">
        <v>0</v>
      </c>
      <c r="E207">
        <v>0</v>
      </c>
      <c r="F207">
        <v>0</v>
      </c>
      <c r="H207" s="76">
        <f t="shared" si="19"/>
        <v>0</v>
      </c>
      <c r="I207" s="76">
        <f t="shared" si="20"/>
        <v>0</v>
      </c>
      <c r="J207" s="76">
        <f t="shared" si="21"/>
        <v>0</v>
      </c>
      <c r="K207">
        <f t="shared" si="22"/>
        <v>0</v>
      </c>
      <c r="P207" s="359">
        <v>7081</v>
      </c>
      <c r="Q207" s="362">
        <v>0</v>
      </c>
      <c r="R207" s="282">
        <f t="shared" si="23"/>
        <v>0</v>
      </c>
    </row>
    <row r="208" spans="2:18">
      <c r="D208">
        <v>0</v>
      </c>
      <c r="E208">
        <v>0</v>
      </c>
      <c r="F208">
        <v>0</v>
      </c>
      <c r="H208" s="76">
        <f t="shared" si="19"/>
        <v>0</v>
      </c>
      <c r="I208" s="76">
        <f t="shared" si="20"/>
        <v>0</v>
      </c>
      <c r="J208" s="76">
        <f t="shared" si="21"/>
        <v>0</v>
      </c>
      <c r="K208">
        <f t="shared" si="22"/>
        <v>0</v>
      </c>
      <c r="P208" s="359">
        <v>7069</v>
      </c>
      <c r="Q208" s="362">
        <v>0</v>
      </c>
      <c r="R208" s="282">
        <f t="shared" si="23"/>
        <v>0</v>
      </c>
    </row>
    <row r="209" spans="3:18">
      <c r="D209">
        <v>0</v>
      </c>
      <c r="E209">
        <v>0</v>
      </c>
      <c r="F209">
        <v>0</v>
      </c>
      <c r="H209" s="76">
        <f t="shared" si="19"/>
        <v>0</v>
      </c>
      <c r="I209" s="76">
        <f t="shared" si="20"/>
        <v>0</v>
      </c>
      <c r="J209" s="76">
        <f t="shared" si="21"/>
        <v>0</v>
      </c>
      <c r="K209">
        <f t="shared" si="22"/>
        <v>0</v>
      </c>
      <c r="P209" s="359">
        <v>7072</v>
      </c>
      <c r="Q209" s="362">
        <v>0</v>
      </c>
      <c r="R209" s="282">
        <f t="shared" si="23"/>
        <v>0</v>
      </c>
    </row>
    <row r="210" spans="3:18">
      <c r="C210" s="556"/>
      <c r="D210">
        <v>0</v>
      </c>
      <c r="E210">
        <v>0</v>
      </c>
      <c r="F210">
        <v>0</v>
      </c>
      <c r="H210" s="76">
        <f t="shared" si="19"/>
        <v>0</v>
      </c>
      <c r="I210" s="76">
        <f t="shared" si="20"/>
        <v>0</v>
      </c>
      <c r="J210" s="76">
        <f t="shared" si="21"/>
        <v>0</v>
      </c>
      <c r="K210">
        <f t="shared" si="22"/>
        <v>0</v>
      </c>
      <c r="P210" s="359">
        <v>7073</v>
      </c>
      <c r="Q210" s="362">
        <v>0</v>
      </c>
      <c r="R210" s="282">
        <f t="shared" si="23"/>
        <v>0</v>
      </c>
    </row>
    <row r="211" spans="3:18">
      <c r="D211">
        <v>0</v>
      </c>
      <c r="E211">
        <v>0</v>
      </c>
      <c r="F211">
        <v>0</v>
      </c>
      <c r="H211" s="76">
        <f t="shared" si="19"/>
        <v>0</v>
      </c>
      <c r="I211" s="76">
        <f t="shared" si="20"/>
        <v>0</v>
      </c>
      <c r="J211" s="76">
        <f t="shared" si="21"/>
        <v>0</v>
      </c>
      <c r="K211">
        <f t="shared" si="22"/>
        <v>0</v>
      </c>
      <c r="P211" s="359">
        <v>7074</v>
      </c>
      <c r="Q211" s="362">
        <v>0</v>
      </c>
      <c r="R211" s="282">
        <f t="shared" si="23"/>
        <v>0</v>
      </c>
    </row>
    <row r="212" spans="3:18">
      <c r="D212">
        <v>0</v>
      </c>
      <c r="E212">
        <v>0</v>
      </c>
      <c r="F212">
        <v>0</v>
      </c>
      <c r="H212" s="76">
        <f t="shared" si="19"/>
        <v>0</v>
      </c>
      <c r="I212" s="76">
        <f t="shared" si="20"/>
        <v>0</v>
      </c>
      <c r="J212" s="76">
        <f t="shared" si="21"/>
        <v>0</v>
      </c>
      <c r="K212">
        <f t="shared" si="22"/>
        <v>0</v>
      </c>
      <c r="P212" s="359">
        <v>7075</v>
      </c>
      <c r="Q212" s="362">
        <v>0</v>
      </c>
      <c r="R212" s="282">
        <f t="shared" si="23"/>
        <v>0</v>
      </c>
    </row>
    <row r="213" spans="3:18">
      <c r="D213">
        <v>0</v>
      </c>
      <c r="E213">
        <v>0</v>
      </c>
      <c r="F213">
        <v>0</v>
      </c>
      <c r="H213" s="76">
        <f t="shared" si="19"/>
        <v>0</v>
      </c>
      <c r="I213" s="76">
        <f t="shared" si="20"/>
        <v>0</v>
      </c>
      <c r="J213" s="76">
        <f t="shared" si="21"/>
        <v>0</v>
      </c>
      <c r="K213">
        <f t="shared" si="22"/>
        <v>0</v>
      </c>
      <c r="P213" s="359">
        <v>7076</v>
      </c>
      <c r="Q213" s="362">
        <v>0</v>
      </c>
      <c r="R213" s="282">
        <f t="shared" si="23"/>
        <v>0</v>
      </c>
    </row>
    <row r="214" spans="3:18">
      <c r="D214">
        <v>0</v>
      </c>
      <c r="E214">
        <v>0</v>
      </c>
      <c r="F214">
        <v>0</v>
      </c>
      <c r="H214" s="76">
        <f t="shared" si="19"/>
        <v>0</v>
      </c>
      <c r="I214" s="76">
        <f t="shared" si="20"/>
        <v>0</v>
      </c>
      <c r="J214" s="76">
        <f t="shared" si="21"/>
        <v>0</v>
      </c>
      <c r="K214">
        <f t="shared" si="22"/>
        <v>0</v>
      </c>
      <c r="P214" s="359">
        <v>7436</v>
      </c>
      <c r="Q214" s="362">
        <v>0</v>
      </c>
      <c r="R214" s="282">
        <f>Q214+F214</f>
        <v>0</v>
      </c>
    </row>
    <row r="215" spans="3:18">
      <c r="D215">
        <v>0</v>
      </c>
      <c r="E215">
        <v>0</v>
      </c>
      <c r="F215">
        <v>0</v>
      </c>
      <c r="H215" s="76">
        <f t="shared" si="19"/>
        <v>0</v>
      </c>
      <c r="I215" s="76">
        <f t="shared" si="20"/>
        <v>0</v>
      </c>
      <c r="J215" s="76">
        <f t="shared" si="21"/>
        <v>0</v>
      </c>
      <c r="K215">
        <f t="shared" si="22"/>
        <v>0</v>
      </c>
      <c r="P215" s="359">
        <v>7446</v>
      </c>
      <c r="Q215" s="362">
        <v>0</v>
      </c>
      <c r="R215" s="282">
        <f t="shared" si="23"/>
        <v>0</v>
      </c>
    </row>
    <row r="216" spans="3:18">
      <c r="D216">
        <v>0</v>
      </c>
      <c r="E216">
        <v>0</v>
      </c>
      <c r="F216">
        <v>0</v>
      </c>
      <c r="H216" s="76">
        <f t="shared" ref="H216:H229" si="24">IF(D216&gt;0,D216/1000,0)</f>
        <v>0</v>
      </c>
      <c r="I216" s="76">
        <f t="shared" ref="I216:I229" si="25">IF(E216&gt;0,E216/1000,0)</f>
        <v>0</v>
      </c>
      <c r="J216" s="76">
        <f t="shared" ref="J216:J229" si="26">IF(F216&gt;0,F216/1000,0)</f>
        <v>0</v>
      </c>
      <c r="K216">
        <f t="shared" si="22"/>
        <v>0</v>
      </c>
      <c r="P216" s="359">
        <v>7447</v>
      </c>
      <c r="Q216" s="362">
        <v>0</v>
      </c>
      <c r="R216" s="282">
        <f t="shared" si="23"/>
        <v>0</v>
      </c>
    </row>
    <row r="217" spans="3:18">
      <c r="D217">
        <v>0</v>
      </c>
      <c r="E217">
        <v>0</v>
      </c>
      <c r="F217">
        <v>0</v>
      </c>
      <c r="H217" s="76">
        <f t="shared" si="24"/>
        <v>0</v>
      </c>
      <c r="I217" s="76">
        <f t="shared" si="25"/>
        <v>0</v>
      </c>
      <c r="J217" s="76">
        <f t="shared" si="26"/>
        <v>0</v>
      </c>
      <c r="K217">
        <f t="shared" si="22"/>
        <v>0</v>
      </c>
      <c r="P217" s="359">
        <v>7081</v>
      </c>
      <c r="Q217" s="362">
        <v>0</v>
      </c>
      <c r="R217" s="282">
        <f t="shared" si="23"/>
        <v>0</v>
      </c>
    </row>
    <row r="218" spans="3:18">
      <c r="D218">
        <v>0</v>
      </c>
      <c r="E218">
        <v>0</v>
      </c>
      <c r="F218">
        <v>0</v>
      </c>
      <c r="H218" s="76">
        <f t="shared" si="24"/>
        <v>0</v>
      </c>
      <c r="I218" s="76">
        <f t="shared" si="25"/>
        <v>0</v>
      </c>
      <c r="J218" s="76">
        <f t="shared" si="26"/>
        <v>0</v>
      </c>
      <c r="K218">
        <f t="shared" si="22"/>
        <v>0</v>
      </c>
      <c r="P218" s="665">
        <v>6500</v>
      </c>
      <c r="Q218" s="362">
        <v>0</v>
      </c>
      <c r="R218" s="282">
        <f>Q218+F218</f>
        <v>0</v>
      </c>
    </row>
    <row r="219" spans="3:18">
      <c r="D219">
        <v>0</v>
      </c>
      <c r="E219">
        <v>0</v>
      </c>
      <c r="F219">
        <v>0</v>
      </c>
      <c r="H219" s="76">
        <f t="shared" si="24"/>
        <v>0</v>
      </c>
      <c r="I219" s="76">
        <f t="shared" si="25"/>
        <v>0</v>
      </c>
      <c r="J219" s="76">
        <f t="shared" si="26"/>
        <v>0</v>
      </c>
      <c r="K219">
        <f t="shared" si="22"/>
        <v>0</v>
      </c>
      <c r="Q219">
        <v>0</v>
      </c>
    </row>
    <row r="220" spans="3:18">
      <c r="D220">
        <v>0</v>
      </c>
      <c r="E220">
        <v>0</v>
      </c>
      <c r="F220">
        <v>0</v>
      </c>
      <c r="H220" s="76">
        <f t="shared" si="24"/>
        <v>0</v>
      </c>
      <c r="I220" s="76">
        <f t="shared" si="25"/>
        <v>0</v>
      </c>
      <c r="J220" s="76">
        <f t="shared" si="26"/>
        <v>0</v>
      </c>
      <c r="K220">
        <f t="shared" si="22"/>
        <v>0</v>
      </c>
      <c r="Q220">
        <v>0</v>
      </c>
    </row>
    <row r="221" spans="3:18">
      <c r="D221">
        <v>0</v>
      </c>
      <c r="E221">
        <v>0</v>
      </c>
      <c r="F221">
        <v>0</v>
      </c>
      <c r="H221" s="76">
        <f t="shared" si="24"/>
        <v>0</v>
      </c>
      <c r="I221" s="76">
        <f t="shared" si="25"/>
        <v>0</v>
      </c>
      <c r="J221" s="76">
        <f t="shared" si="26"/>
        <v>0</v>
      </c>
      <c r="K221">
        <f t="shared" si="22"/>
        <v>0</v>
      </c>
      <c r="Q221">
        <v>0</v>
      </c>
    </row>
    <row r="222" spans="3:18">
      <c r="D222">
        <v>0</v>
      </c>
      <c r="E222">
        <v>0</v>
      </c>
      <c r="F222">
        <v>0</v>
      </c>
      <c r="H222" s="76">
        <f t="shared" si="24"/>
        <v>0</v>
      </c>
      <c r="I222" s="76">
        <f t="shared" si="25"/>
        <v>0</v>
      </c>
      <c r="J222" s="76">
        <f t="shared" si="26"/>
        <v>0</v>
      </c>
      <c r="K222">
        <f>_xlfn.IFNA(VLOOKUP($B222,$P$5:$Q$250,2,0),0)</f>
        <v>0</v>
      </c>
      <c r="Q222">
        <v>0</v>
      </c>
    </row>
    <row r="223" spans="3:18">
      <c r="C223" s="666"/>
      <c r="H223" s="76">
        <f t="shared" si="24"/>
        <v>0</v>
      </c>
      <c r="I223" s="76">
        <f t="shared" si="25"/>
        <v>0</v>
      </c>
      <c r="J223" s="76">
        <f t="shared" si="26"/>
        <v>0</v>
      </c>
      <c r="K223">
        <f>_xlfn.IFNA(VLOOKUP($B223,$P$5:$Q$250,2,0),0)</f>
        <v>0</v>
      </c>
      <c r="Q223">
        <v>0</v>
      </c>
    </row>
    <row r="224" spans="3:18">
      <c r="H224" s="76">
        <f t="shared" si="24"/>
        <v>0</v>
      </c>
      <c r="I224" s="76">
        <f t="shared" si="25"/>
        <v>0</v>
      </c>
      <c r="J224" s="76">
        <f t="shared" si="26"/>
        <v>0</v>
      </c>
      <c r="K224">
        <f t="shared" si="22"/>
        <v>0</v>
      </c>
      <c r="Q224">
        <v>0</v>
      </c>
    </row>
    <row r="225" spans="8:17">
      <c r="H225" s="76">
        <f t="shared" si="24"/>
        <v>0</v>
      </c>
      <c r="I225" s="76">
        <f t="shared" si="25"/>
        <v>0</v>
      </c>
      <c r="J225" s="76">
        <f t="shared" si="26"/>
        <v>0</v>
      </c>
      <c r="K225">
        <f t="shared" si="22"/>
        <v>0</v>
      </c>
      <c r="Q225">
        <v>0</v>
      </c>
    </row>
    <row r="226" spans="8:17">
      <c r="H226" s="76">
        <f t="shared" si="24"/>
        <v>0</v>
      </c>
      <c r="I226" s="76">
        <f t="shared" si="25"/>
        <v>0</v>
      </c>
      <c r="J226" s="76">
        <f t="shared" si="26"/>
        <v>0</v>
      </c>
      <c r="K226">
        <f t="shared" si="22"/>
        <v>0</v>
      </c>
      <c r="Q226">
        <v>0</v>
      </c>
    </row>
    <row r="227" spans="8:17">
      <c r="H227" s="76">
        <f t="shared" si="24"/>
        <v>0</v>
      </c>
      <c r="I227" s="76">
        <f t="shared" si="25"/>
        <v>0</v>
      </c>
      <c r="J227" s="76">
        <f t="shared" si="26"/>
        <v>0</v>
      </c>
      <c r="K227">
        <f t="shared" si="22"/>
        <v>0</v>
      </c>
      <c r="Q227">
        <v>0</v>
      </c>
    </row>
    <row r="228" spans="8:17">
      <c r="H228" s="76">
        <f t="shared" si="24"/>
        <v>0</v>
      </c>
      <c r="I228" s="76">
        <f t="shared" si="25"/>
        <v>0</v>
      </c>
      <c r="J228" s="76">
        <f t="shared" si="26"/>
        <v>0</v>
      </c>
      <c r="K228">
        <f t="shared" si="22"/>
        <v>0</v>
      </c>
      <c r="Q228">
        <v>0</v>
      </c>
    </row>
    <row r="229" spans="8:17">
      <c r="H229" s="76">
        <f t="shared" si="24"/>
        <v>0</v>
      </c>
      <c r="I229" s="76">
        <f t="shared" si="25"/>
        <v>0</v>
      </c>
      <c r="J229" s="76">
        <f t="shared" si="26"/>
        <v>0</v>
      </c>
      <c r="K229">
        <f t="shared" si="22"/>
        <v>0</v>
      </c>
      <c r="Q229">
        <v>0</v>
      </c>
    </row>
    <row r="230" spans="8:17">
      <c r="H230" s="76">
        <f t="shared" ref="H230:H245" si="27">IF(D230&gt;0,D230/1000,0)</f>
        <v>0</v>
      </c>
      <c r="I230" s="76">
        <f t="shared" ref="I230:I245" si="28">IF(E230&gt;0,E230/1000,0)</f>
        <v>0</v>
      </c>
      <c r="J230" s="76">
        <f t="shared" ref="J230:J245" si="29">IF(F230&gt;0,F230/1000,0)</f>
        <v>0</v>
      </c>
      <c r="Q230">
        <v>0</v>
      </c>
    </row>
    <row r="231" spans="8:17">
      <c r="H231" s="76">
        <f t="shared" si="27"/>
        <v>0</v>
      </c>
      <c r="I231" s="76">
        <f t="shared" si="28"/>
        <v>0</v>
      </c>
      <c r="J231" s="76">
        <f t="shared" si="29"/>
        <v>0</v>
      </c>
      <c r="Q231">
        <v>0</v>
      </c>
    </row>
    <row r="232" spans="8:17">
      <c r="H232" s="76">
        <f t="shared" si="27"/>
        <v>0</v>
      </c>
      <c r="I232" s="76">
        <f t="shared" si="28"/>
        <v>0</v>
      </c>
      <c r="J232" s="76">
        <f t="shared" si="29"/>
        <v>0</v>
      </c>
    </row>
    <row r="233" spans="8:17">
      <c r="H233" s="76">
        <f t="shared" si="27"/>
        <v>0</v>
      </c>
      <c r="I233" s="76">
        <f t="shared" si="28"/>
        <v>0</v>
      </c>
      <c r="J233" s="76">
        <f t="shared" si="29"/>
        <v>0</v>
      </c>
    </row>
    <row r="234" spans="8:17">
      <c r="H234" s="76">
        <f t="shared" si="27"/>
        <v>0</v>
      </c>
      <c r="I234" s="76">
        <f t="shared" si="28"/>
        <v>0</v>
      </c>
      <c r="J234" s="76">
        <f t="shared" si="29"/>
        <v>0</v>
      </c>
    </row>
    <row r="235" spans="8:17">
      <c r="H235" s="76">
        <f t="shared" si="27"/>
        <v>0</v>
      </c>
      <c r="I235" s="76">
        <f t="shared" si="28"/>
        <v>0</v>
      </c>
      <c r="J235" s="76">
        <f t="shared" si="29"/>
        <v>0</v>
      </c>
    </row>
    <row r="236" spans="8:17">
      <c r="H236" s="76">
        <f t="shared" si="27"/>
        <v>0</v>
      </c>
      <c r="I236" s="76">
        <f t="shared" si="28"/>
        <v>0</v>
      </c>
      <c r="J236" s="76">
        <f t="shared" si="29"/>
        <v>0</v>
      </c>
    </row>
    <row r="237" spans="8:17">
      <c r="H237" s="76">
        <f t="shared" si="27"/>
        <v>0</v>
      </c>
      <c r="I237" s="76">
        <f t="shared" si="28"/>
        <v>0</v>
      </c>
      <c r="J237" s="76">
        <f t="shared" si="29"/>
        <v>0</v>
      </c>
    </row>
    <row r="238" spans="8:17">
      <c r="H238" s="76">
        <f t="shared" si="27"/>
        <v>0</v>
      </c>
      <c r="I238" s="76">
        <f t="shared" si="28"/>
        <v>0</v>
      </c>
      <c r="J238" s="76">
        <f t="shared" si="29"/>
        <v>0</v>
      </c>
    </row>
    <row r="239" spans="8:17">
      <c r="H239" s="76">
        <f t="shared" si="27"/>
        <v>0</v>
      </c>
      <c r="I239" s="76">
        <f t="shared" si="28"/>
        <v>0</v>
      </c>
      <c r="J239" s="76">
        <f t="shared" si="29"/>
        <v>0</v>
      </c>
    </row>
    <row r="240" spans="8:17">
      <c r="H240" s="76">
        <f t="shared" si="27"/>
        <v>0</v>
      </c>
      <c r="I240" s="76">
        <f t="shared" si="28"/>
        <v>0</v>
      </c>
      <c r="J240" s="76">
        <f t="shared" si="29"/>
        <v>0</v>
      </c>
    </row>
    <row r="241" spans="1:10">
      <c r="H241" s="76">
        <f t="shared" si="27"/>
        <v>0</v>
      </c>
      <c r="I241" s="76">
        <f t="shared" si="28"/>
        <v>0</v>
      </c>
      <c r="J241" s="76">
        <f t="shared" si="29"/>
        <v>0</v>
      </c>
    </row>
    <row r="242" spans="1:10">
      <c r="H242" s="76">
        <f t="shared" si="27"/>
        <v>0</v>
      </c>
      <c r="I242" s="76">
        <f t="shared" si="28"/>
        <v>0</v>
      </c>
      <c r="J242" s="76">
        <f t="shared" si="29"/>
        <v>0</v>
      </c>
    </row>
    <row r="243" spans="1:10">
      <c r="H243" s="76">
        <f t="shared" si="27"/>
        <v>0</v>
      </c>
      <c r="I243" s="76">
        <f t="shared" si="28"/>
        <v>0</v>
      </c>
      <c r="J243" s="76">
        <f t="shared" si="29"/>
        <v>0</v>
      </c>
    </row>
    <row r="244" spans="1:10">
      <c r="H244" s="76">
        <f t="shared" si="27"/>
        <v>0</v>
      </c>
      <c r="I244" s="76">
        <f t="shared" si="28"/>
        <v>0</v>
      </c>
      <c r="J244" s="76">
        <f t="shared" si="29"/>
        <v>0</v>
      </c>
    </row>
    <row r="245" spans="1:10">
      <c r="H245" s="76">
        <f t="shared" si="27"/>
        <v>0</v>
      </c>
      <c r="I245" s="76">
        <f t="shared" si="28"/>
        <v>0</v>
      </c>
      <c r="J245" s="76">
        <f t="shared" si="29"/>
        <v>0</v>
      </c>
    </row>
    <row r="246" spans="1:10">
      <c r="A246" s="91"/>
      <c r="B246" s="91"/>
      <c r="C246" s="91"/>
      <c r="D246" s="91"/>
      <c r="E246" s="91"/>
      <c r="F246" s="91"/>
      <c r="G246" s="91"/>
    </row>
  </sheetData>
  <sortState xmlns:xlrd2="http://schemas.microsoft.com/office/spreadsheetml/2017/richdata2" ref="B5:F183">
    <sortCondition ref="B5:B183"/>
  </sortState>
  <pageMargins left="0.7" right="0.7" top="0.75" bottom="0.75" header="0.3" footer="0.3"/>
  <pageSetup paperSize="9" scale="2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85393-5EB5-495C-A051-946671590C4A}">
  <sheetPr codeName="Arkusz13"/>
  <dimension ref="A1:W31"/>
  <sheetViews>
    <sheetView workbookViewId="0">
      <selection activeCell="D25" sqref="D25"/>
    </sheetView>
  </sheetViews>
  <sheetFormatPr defaultRowHeight="15"/>
  <cols>
    <col min="1" max="1" width="8.42578125" bestFit="1" customWidth="1"/>
    <col min="2" max="2" width="13.5703125" bestFit="1" customWidth="1"/>
    <col min="3" max="3" width="13" bestFit="1" customWidth="1"/>
    <col min="4" max="4" width="42.5703125" bestFit="1" customWidth="1"/>
    <col min="5" max="5" width="13.42578125" bestFit="1" customWidth="1"/>
    <col min="6" max="6" width="6.5703125" bestFit="1" customWidth="1"/>
    <col min="7" max="7" width="12.42578125" bestFit="1" customWidth="1"/>
    <col min="8" max="8" width="6.5703125" bestFit="1" customWidth="1"/>
    <col min="9" max="9" width="12.5703125" bestFit="1" customWidth="1"/>
    <col min="10" max="10" width="11" bestFit="1" customWidth="1"/>
    <col min="11" max="11" width="10" bestFit="1" customWidth="1"/>
    <col min="12" max="12" width="10.5703125" bestFit="1" customWidth="1"/>
    <col min="13" max="13" width="15.5703125" bestFit="1" customWidth="1"/>
    <col min="14" max="14" width="13.42578125" bestFit="1" customWidth="1"/>
    <col min="15" max="15" width="13.5703125" bestFit="1" customWidth="1"/>
    <col min="16" max="16" width="13" bestFit="1" customWidth="1"/>
    <col min="17" max="17" width="13.5703125" bestFit="1" customWidth="1"/>
    <col min="18" max="19" width="11.42578125" bestFit="1" customWidth="1"/>
    <col min="20" max="21" width="10.42578125" bestFit="1" customWidth="1"/>
    <col min="22" max="22" width="11.5703125" bestFit="1" customWidth="1"/>
    <col min="23" max="23" width="9" bestFit="1" customWidth="1"/>
  </cols>
  <sheetData>
    <row r="1" spans="1:23" ht="15.75" customHeight="1">
      <c r="A1" t="s">
        <v>253</v>
      </c>
      <c r="B1" t="s">
        <v>254</v>
      </c>
      <c r="C1" t="s">
        <v>255</v>
      </c>
      <c r="D1" t="s">
        <v>126</v>
      </c>
      <c r="E1" t="s">
        <v>256</v>
      </c>
      <c r="F1" t="s">
        <v>257</v>
      </c>
      <c r="G1" t="s">
        <v>258</v>
      </c>
      <c r="H1" t="s">
        <v>259</v>
      </c>
      <c r="I1" s="226" t="s">
        <v>260</v>
      </c>
      <c r="J1" t="s">
        <v>261</v>
      </c>
      <c r="K1" t="s">
        <v>262</v>
      </c>
      <c r="L1" t="s">
        <v>263</v>
      </c>
      <c r="M1" t="s">
        <v>264</v>
      </c>
      <c r="N1" t="s">
        <v>265</v>
      </c>
      <c r="O1" t="s">
        <v>266</v>
      </c>
      <c r="P1" t="s">
        <v>267</v>
      </c>
      <c r="Q1" t="s">
        <v>268</v>
      </c>
      <c r="R1" t="s">
        <v>269</v>
      </c>
      <c r="S1" t="s">
        <v>270</v>
      </c>
      <c r="T1" t="s">
        <v>271</v>
      </c>
      <c r="U1" t="s">
        <v>272</v>
      </c>
      <c r="V1" t="s">
        <v>273</v>
      </c>
      <c r="W1" t="s">
        <v>274</v>
      </c>
    </row>
    <row r="2" spans="1:23">
      <c r="A2">
        <v>3111</v>
      </c>
      <c r="B2">
        <v>30110612</v>
      </c>
      <c r="C2">
        <v>3025782</v>
      </c>
      <c r="D2" t="str">
        <f>"KK M-SO Z NOGI D6 RO1"</f>
        <v>KK M-SO Z NOGI D6 RO1</v>
      </c>
      <c r="E2" t="str">
        <f>"291030110612"</f>
        <v>291030110612</v>
      </c>
      <c r="F2">
        <v>2022</v>
      </c>
      <c r="G2" t="str">
        <f>"3222291008"</f>
        <v>3222291008</v>
      </c>
      <c r="H2" t="s">
        <v>275</v>
      </c>
      <c r="I2" s="298">
        <v>1</v>
      </c>
      <c r="J2">
        <v>1216.9000000000001</v>
      </c>
      <c r="K2">
        <v>1216.9000000000001</v>
      </c>
      <c r="L2">
        <v>0</v>
      </c>
      <c r="M2">
        <v>37.75</v>
      </c>
      <c r="N2">
        <v>3224</v>
      </c>
      <c r="O2">
        <v>0</v>
      </c>
      <c r="P2">
        <v>2007.1</v>
      </c>
      <c r="Q2">
        <v>0</v>
      </c>
      <c r="R2" s="225">
        <v>44761</v>
      </c>
      <c r="S2" s="225">
        <v>44761</v>
      </c>
      <c r="T2" s="225">
        <v>44760</v>
      </c>
      <c r="U2" s="225">
        <v>44763</v>
      </c>
      <c r="W2">
        <v>2032</v>
      </c>
    </row>
    <row r="3" spans="1:23">
      <c r="A3">
        <v>3111</v>
      </c>
      <c r="B3">
        <v>51150000</v>
      </c>
      <c r="C3">
        <v>3016490</v>
      </c>
      <c r="D3" t="s">
        <v>372</v>
      </c>
      <c r="E3" t="str">
        <f>"285051150000"</f>
        <v>285051150000</v>
      </c>
      <c r="F3">
        <v>2022</v>
      </c>
      <c r="G3" t="str">
        <f>"3222285008"</f>
        <v>3222285008</v>
      </c>
      <c r="H3" t="s">
        <v>275</v>
      </c>
      <c r="I3" s="298">
        <v>1</v>
      </c>
      <c r="J3">
        <v>792.5</v>
      </c>
      <c r="K3">
        <v>792.5</v>
      </c>
      <c r="L3">
        <v>0</v>
      </c>
      <c r="M3">
        <v>100</v>
      </c>
      <c r="N3">
        <v>792.5</v>
      </c>
      <c r="O3">
        <v>0</v>
      </c>
      <c r="P3">
        <v>0</v>
      </c>
      <c r="Q3">
        <v>0</v>
      </c>
      <c r="R3" s="225">
        <v>44757</v>
      </c>
      <c r="S3" s="225">
        <v>44757</v>
      </c>
      <c r="T3" s="225">
        <v>44757</v>
      </c>
      <c r="U3" s="225">
        <v>44763</v>
      </c>
      <c r="W3">
        <v>2032</v>
      </c>
    </row>
    <row r="4" spans="1:23">
      <c r="A4">
        <v>3111</v>
      </c>
      <c r="B4">
        <v>28180602</v>
      </c>
      <c r="C4">
        <v>3032387</v>
      </c>
      <c r="D4" t="s">
        <v>381</v>
      </c>
      <c r="E4" t="str">
        <f>"291028180602"</f>
        <v>291028180602</v>
      </c>
      <c r="F4">
        <v>2022</v>
      </c>
      <c r="G4" t="str">
        <f>"3222291006"</f>
        <v>3222291006</v>
      </c>
      <c r="H4" t="s">
        <v>275</v>
      </c>
      <c r="I4">
        <v>2</v>
      </c>
      <c r="J4">
        <v>1346.5</v>
      </c>
      <c r="K4">
        <v>1346.5</v>
      </c>
      <c r="L4">
        <v>0</v>
      </c>
      <c r="M4">
        <v>38.229999999999997</v>
      </c>
      <c r="N4">
        <v>3522.5</v>
      </c>
      <c r="O4">
        <v>0</v>
      </c>
      <c r="P4">
        <v>2176</v>
      </c>
      <c r="Q4">
        <v>0</v>
      </c>
      <c r="R4" s="225">
        <v>44761</v>
      </c>
      <c r="S4" s="225">
        <v>44762</v>
      </c>
      <c r="T4" s="225">
        <v>44760</v>
      </c>
      <c r="U4" s="225">
        <v>44764</v>
      </c>
      <c r="W4">
        <v>2032</v>
      </c>
    </row>
    <row r="5" spans="1:23">
      <c r="A5">
        <v>3111</v>
      </c>
      <c r="B5">
        <v>53530000</v>
      </c>
      <c r="C5">
        <v>3039290</v>
      </c>
      <c r="D5" t="s">
        <v>373</v>
      </c>
      <c r="E5" t="str">
        <f>"291053530000"</f>
        <v>291053530000</v>
      </c>
      <c r="F5">
        <v>2022</v>
      </c>
      <c r="G5" t="str">
        <f>"3222291002"</f>
        <v>3222291002</v>
      </c>
      <c r="H5" t="s">
        <v>275</v>
      </c>
      <c r="I5">
        <v>2</v>
      </c>
      <c r="J5">
        <v>384.5</v>
      </c>
      <c r="K5">
        <v>384.5</v>
      </c>
      <c r="L5">
        <v>0</v>
      </c>
      <c r="M5">
        <v>1.99</v>
      </c>
      <c r="N5">
        <v>19353</v>
      </c>
      <c r="O5">
        <v>0</v>
      </c>
      <c r="P5">
        <v>18968.5</v>
      </c>
      <c r="Q5">
        <v>0</v>
      </c>
      <c r="R5" s="225">
        <v>44760</v>
      </c>
      <c r="S5" s="225">
        <v>44761</v>
      </c>
      <c r="T5" s="225">
        <v>44760</v>
      </c>
      <c r="U5" s="225">
        <v>44764</v>
      </c>
      <c r="W5">
        <v>2032</v>
      </c>
    </row>
    <row r="6" spans="1:23">
      <c r="A6">
        <v>3111</v>
      </c>
      <c r="B6">
        <v>20290602</v>
      </c>
      <c r="C6">
        <v>3024216</v>
      </c>
      <c r="D6" t="s">
        <v>386</v>
      </c>
      <c r="E6" t="str">
        <f>"291020290602"</f>
        <v>291020290602</v>
      </c>
      <c r="F6">
        <v>2022</v>
      </c>
      <c r="G6" t="str">
        <f>"3222291001"</f>
        <v>3222291001</v>
      </c>
      <c r="H6" t="s">
        <v>275</v>
      </c>
      <c r="I6">
        <v>3</v>
      </c>
      <c r="J6">
        <v>3008</v>
      </c>
      <c r="K6">
        <v>3008</v>
      </c>
      <c r="L6">
        <v>0</v>
      </c>
      <c r="M6">
        <v>49.14</v>
      </c>
      <c r="N6">
        <v>6121</v>
      </c>
      <c r="O6">
        <v>0</v>
      </c>
      <c r="P6">
        <v>3113</v>
      </c>
      <c r="Q6">
        <v>0</v>
      </c>
      <c r="R6" s="225">
        <v>44760</v>
      </c>
      <c r="S6" s="225">
        <v>44762</v>
      </c>
      <c r="T6" s="225">
        <v>44760</v>
      </c>
      <c r="U6" s="225">
        <v>44765</v>
      </c>
      <c r="W6">
        <v>2032</v>
      </c>
    </row>
    <row r="7" spans="1:23">
      <c r="A7">
        <v>3111</v>
      </c>
      <c r="B7">
        <v>50410000</v>
      </c>
      <c r="C7">
        <v>3016481</v>
      </c>
      <c r="D7" t="s">
        <v>382</v>
      </c>
      <c r="E7" t="str">
        <f>"292050410000"</f>
        <v>292050410000</v>
      </c>
      <c r="F7">
        <v>2022</v>
      </c>
      <c r="G7" t="str">
        <f>"3222292003"</f>
        <v>3222292003</v>
      </c>
      <c r="H7" t="s">
        <v>275</v>
      </c>
      <c r="I7">
        <v>3</v>
      </c>
      <c r="J7">
        <v>1004</v>
      </c>
      <c r="K7">
        <v>1004</v>
      </c>
      <c r="L7">
        <v>0</v>
      </c>
      <c r="M7">
        <v>38.020000000000003</v>
      </c>
      <c r="N7">
        <v>2641</v>
      </c>
      <c r="O7">
        <v>0</v>
      </c>
      <c r="P7">
        <v>1637</v>
      </c>
      <c r="Q7">
        <v>0</v>
      </c>
      <c r="R7" s="225">
        <v>44761</v>
      </c>
      <c r="S7" s="225">
        <v>44762</v>
      </c>
      <c r="T7" s="225">
        <v>44761</v>
      </c>
      <c r="U7" s="225">
        <v>44765</v>
      </c>
      <c r="W7">
        <v>2032</v>
      </c>
    </row>
    <row r="8" spans="1:23">
      <c r="A8">
        <v>3111</v>
      </c>
      <c r="B8">
        <v>50420000</v>
      </c>
      <c r="C8">
        <v>3016704</v>
      </c>
      <c r="D8" t="s">
        <v>383</v>
      </c>
      <c r="E8" t="str">
        <f>"292050420000"</f>
        <v>292050420000</v>
      </c>
      <c r="F8">
        <v>2022</v>
      </c>
      <c r="G8" t="str">
        <f>"3222292004"</f>
        <v>3222292004</v>
      </c>
      <c r="H8" t="s">
        <v>275</v>
      </c>
      <c r="I8">
        <v>3</v>
      </c>
      <c r="J8">
        <v>2673.5</v>
      </c>
      <c r="K8">
        <v>2673.5</v>
      </c>
      <c r="L8">
        <v>0</v>
      </c>
      <c r="M8">
        <v>100</v>
      </c>
      <c r="N8">
        <v>2673.5</v>
      </c>
      <c r="O8">
        <v>0</v>
      </c>
      <c r="P8">
        <v>0</v>
      </c>
      <c r="Q8">
        <v>0</v>
      </c>
      <c r="R8" s="225">
        <v>44761</v>
      </c>
      <c r="S8" s="225">
        <v>44761</v>
      </c>
      <c r="T8" s="225">
        <v>44761</v>
      </c>
      <c r="U8" s="225">
        <v>44765</v>
      </c>
      <c r="W8">
        <v>2032</v>
      </c>
    </row>
    <row r="9" spans="1:23">
      <c r="A9">
        <v>3111</v>
      </c>
      <c r="B9">
        <v>53040110</v>
      </c>
      <c r="C9">
        <v>3028125</v>
      </c>
      <c r="D9" t="str">
        <f>"FARSZ KUR.PEKL.PBX SU"</f>
        <v>FARSZ KUR.PEKL.PBX SU</v>
      </c>
      <c r="E9" t="str">
        <f>"6450464134"</f>
        <v>6450464134</v>
      </c>
      <c r="F9">
        <v>2022</v>
      </c>
      <c r="G9" t="str">
        <f>"6450464134"</f>
        <v>6450464134</v>
      </c>
      <c r="H9" t="s">
        <v>275</v>
      </c>
      <c r="I9">
        <v>3</v>
      </c>
      <c r="J9">
        <v>1504</v>
      </c>
      <c r="K9">
        <v>1504</v>
      </c>
      <c r="L9">
        <v>0</v>
      </c>
      <c r="M9">
        <v>31.09</v>
      </c>
      <c r="N9">
        <v>4837</v>
      </c>
      <c r="O9">
        <v>0</v>
      </c>
      <c r="P9">
        <v>3333</v>
      </c>
      <c r="Q9">
        <v>0</v>
      </c>
      <c r="R9" s="225">
        <v>44761</v>
      </c>
      <c r="S9" s="225">
        <v>44762</v>
      </c>
      <c r="T9" s="225">
        <v>44760</v>
      </c>
      <c r="U9" s="225">
        <v>44765</v>
      </c>
      <c r="W9">
        <v>3064</v>
      </c>
    </row>
    <row r="10" spans="1:23">
      <c r="A10">
        <v>3111</v>
      </c>
      <c r="B10">
        <v>53530000</v>
      </c>
      <c r="C10">
        <v>3039290</v>
      </c>
      <c r="D10" t="s">
        <v>373</v>
      </c>
      <c r="E10" t="str">
        <f>"292053530000"</f>
        <v>292053530000</v>
      </c>
      <c r="F10">
        <v>2022</v>
      </c>
      <c r="G10" t="str">
        <f>"3222292001"</f>
        <v>3222292001</v>
      </c>
      <c r="H10" t="s">
        <v>275</v>
      </c>
      <c r="I10">
        <v>3</v>
      </c>
      <c r="J10">
        <v>15388.5</v>
      </c>
      <c r="K10">
        <v>15388.5</v>
      </c>
      <c r="L10">
        <v>0</v>
      </c>
      <c r="M10">
        <v>100</v>
      </c>
      <c r="N10">
        <v>15388.5</v>
      </c>
      <c r="O10">
        <v>0</v>
      </c>
      <c r="P10">
        <v>0</v>
      </c>
      <c r="Q10">
        <v>0</v>
      </c>
      <c r="R10" s="225">
        <v>44761</v>
      </c>
      <c r="S10" s="225">
        <v>44761</v>
      </c>
      <c r="T10" s="225">
        <v>44761</v>
      </c>
      <c r="U10" s="225">
        <v>44765</v>
      </c>
      <c r="W10">
        <v>2032</v>
      </c>
    </row>
    <row r="11" spans="1:23">
      <c r="A11">
        <v>3111</v>
      </c>
      <c r="B11">
        <v>53650000</v>
      </c>
      <c r="C11">
        <v>3025614</v>
      </c>
      <c r="D11" t="s">
        <v>335</v>
      </c>
      <c r="E11" t="str">
        <f>"292053650000"</f>
        <v>292053650000</v>
      </c>
      <c r="F11">
        <v>2022</v>
      </c>
      <c r="G11" t="str">
        <f>"3222292005"</f>
        <v>3222292005</v>
      </c>
      <c r="H11" t="s">
        <v>275</v>
      </c>
      <c r="I11">
        <v>3</v>
      </c>
      <c r="J11">
        <v>15528.5</v>
      </c>
      <c r="K11">
        <v>15528.5</v>
      </c>
      <c r="L11">
        <v>0</v>
      </c>
      <c r="M11">
        <v>96.44</v>
      </c>
      <c r="N11">
        <v>16102</v>
      </c>
      <c r="O11">
        <v>0</v>
      </c>
      <c r="P11">
        <v>573.5</v>
      </c>
      <c r="Q11">
        <v>0</v>
      </c>
      <c r="R11" s="225">
        <v>44761</v>
      </c>
      <c r="S11" s="225">
        <v>44762</v>
      </c>
      <c r="T11" s="225">
        <v>44761</v>
      </c>
      <c r="U11" s="225">
        <v>44765</v>
      </c>
      <c r="W11">
        <v>2032</v>
      </c>
    </row>
    <row r="12" spans="1:23">
      <c r="A12">
        <v>3111</v>
      </c>
      <c r="B12">
        <v>16240007</v>
      </c>
      <c r="C12">
        <v>3024933</v>
      </c>
      <c r="D12" t="s">
        <v>374</v>
      </c>
      <c r="E12" t="str">
        <f>"291416240007"</f>
        <v>291416240007</v>
      </c>
      <c r="F12">
        <v>2022</v>
      </c>
      <c r="G12">
        <v>3432365</v>
      </c>
      <c r="H12" t="s">
        <v>275</v>
      </c>
      <c r="I12">
        <v>4</v>
      </c>
      <c r="J12">
        <v>97</v>
      </c>
      <c r="K12">
        <v>97</v>
      </c>
      <c r="L12">
        <v>0</v>
      </c>
      <c r="M12">
        <v>27.48</v>
      </c>
      <c r="N12">
        <v>353</v>
      </c>
      <c r="O12">
        <v>0</v>
      </c>
      <c r="P12">
        <v>256</v>
      </c>
      <c r="Q12">
        <v>0</v>
      </c>
      <c r="R12" s="225">
        <v>44760</v>
      </c>
      <c r="S12" s="225">
        <v>44761</v>
      </c>
      <c r="T12" s="225">
        <v>44760</v>
      </c>
      <c r="U12" s="225">
        <v>44766</v>
      </c>
      <c r="W12">
        <v>2032</v>
      </c>
    </row>
    <row r="13" spans="1:23">
      <c r="A13">
        <v>3111</v>
      </c>
      <c r="B13">
        <v>29100602</v>
      </c>
      <c r="C13">
        <v>3025734</v>
      </c>
      <c r="D13" t="s">
        <v>379</v>
      </c>
      <c r="E13" t="str">
        <f>"291029100602"</f>
        <v>291029100602</v>
      </c>
      <c r="F13">
        <v>2022</v>
      </c>
      <c r="G13" t="str">
        <f>"3222291004"</f>
        <v>3222291004</v>
      </c>
      <c r="H13" t="s">
        <v>275</v>
      </c>
      <c r="I13">
        <v>4</v>
      </c>
      <c r="J13">
        <v>8844</v>
      </c>
      <c r="K13">
        <v>8844</v>
      </c>
      <c r="L13">
        <v>0</v>
      </c>
      <c r="M13">
        <v>47.03</v>
      </c>
      <c r="N13">
        <v>18804</v>
      </c>
      <c r="O13">
        <v>0</v>
      </c>
      <c r="P13">
        <v>9960</v>
      </c>
      <c r="Q13">
        <v>0</v>
      </c>
      <c r="R13" s="225">
        <v>44760</v>
      </c>
      <c r="S13" s="225">
        <v>44762</v>
      </c>
      <c r="T13" s="225">
        <v>44760</v>
      </c>
      <c r="U13" s="225">
        <v>44766</v>
      </c>
      <c r="W13">
        <v>2032</v>
      </c>
    </row>
    <row r="14" spans="1:23">
      <c r="A14">
        <v>3111</v>
      </c>
      <c r="B14">
        <v>29164007</v>
      </c>
      <c r="C14">
        <v>3042799</v>
      </c>
      <c r="D14" t="s">
        <v>339</v>
      </c>
      <c r="E14" t="str">
        <f>"291429164007"</f>
        <v>291429164007</v>
      </c>
      <c r="F14">
        <v>2022</v>
      </c>
      <c r="G14">
        <v>3433799</v>
      </c>
      <c r="H14" t="s">
        <v>275</v>
      </c>
      <c r="I14">
        <v>4</v>
      </c>
      <c r="J14">
        <v>546</v>
      </c>
      <c r="K14">
        <v>546</v>
      </c>
      <c r="L14">
        <v>0</v>
      </c>
      <c r="M14">
        <v>100</v>
      </c>
      <c r="N14">
        <v>546</v>
      </c>
      <c r="O14">
        <v>0</v>
      </c>
      <c r="P14">
        <v>0</v>
      </c>
      <c r="Q14">
        <v>0</v>
      </c>
      <c r="R14" s="225">
        <v>44760</v>
      </c>
      <c r="S14" s="225">
        <v>44760</v>
      </c>
      <c r="T14" s="225">
        <v>44760</v>
      </c>
      <c r="U14" s="225">
        <v>44766</v>
      </c>
      <c r="W14">
        <v>2032</v>
      </c>
    </row>
    <row r="15" spans="1:23">
      <c r="A15">
        <v>3111</v>
      </c>
      <c r="B15">
        <v>29190007</v>
      </c>
      <c r="C15">
        <v>3042800</v>
      </c>
      <c r="D15" t="s">
        <v>380</v>
      </c>
      <c r="E15" t="str">
        <f>"291429190007"</f>
        <v>291429190007</v>
      </c>
      <c r="F15">
        <v>2022</v>
      </c>
      <c r="G15">
        <v>3433164</v>
      </c>
      <c r="H15" t="s">
        <v>275</v>
      </c>
      <c r="I15">
        <v>4</v>
      </c>
      <c r="J15">
        <v>398.5</v>
      </c>
      <c r="K15">
        <v>398.5</v>
      </c>
      <c r="L15">
        <v>0</v>
      </c>
      <c r="M15">
        <v>100</v>
      </c>
      <c r="N15">
        <v>398.5</v>
      </c>
      <c r="O15">
        <v>0</v>
      </c>
      <c r="P15">
        <v>0</v>
      </c>
      <c r="Q15">
        <v>0</v>
      </c>
      <c r="R15" s="225">
        <v>44760</v>
      </c>
      <c r="S15" s="225">
        <v>44760</v>
      </c>
      <c r="T15" s="225">
        <v>44760</v>
      </c>
      <c r="U15" s="225">
        <v>44766</v>
      </c>
      <c r="W15">
        <v>2032</v>
      </c>
    </row>
    <row r="16" spans="1:23">
      <c r="A16">
        <v>3111</v>
      </c>
      <c r="B16">
        <v>29340110</v>
      </c>
      <c r="C16">
        <v>3042537</v>
      </c>
      <c r="D16" t="s">
        <v>385</v>
      </c>
      <c r="E16" t="str">
        <f>"3450624167"</f>
        <v>3450624167</v>
      </c>
      <c r="F16">
        <v>2022</v>
      </c>
      <c r="G16" t="str">
        <f>"3450624167"</f>
        <v>3450624167</v>
      </c>
      <c r="H16" t="s">
        <v>275</v>
      </c>
      <c r="I16">
        <v>4</v>
      </c>
      <c r="J16">
        <v>2288.5</v>
      </c>
      <c r="K16">
        <v>2288.5</v>
      </c>
      <c r="L16">
        <v>0</v>
      </c>
      <c r="M16">
        <v>25</v>
      </c>
      <c r="N16">
        <v>9152.5</v>
      </c>
      <c r="O16">
        <v>0</v>
      </c>
      <c r="P16">
        <v>6864</v>
      </c>
      <c r="Q16">
        <v>0</v>
      </c>
      <c r="R16" s="225">
        <v>44761</v>
      </c>
      <c r="S16" s="225">
        <v>44762</v>
      </c>
      <c r="T16" s="225">
        <v>44760</v>
      </c>
      <c r="U16" s="225">
        <v>44766</v>
      </c>
      <c r="W16">
        <v>2034</v>
      </c>
    </row>
    <row r="17" spans="1:23">
      <c r="A17">
        <v>3111</v>
      </c>
      <c r="B17">
        <v>15590007</v>
      </c>
      <c r="C17">
        <v>3024906</v>
      </c>
      <c r="D17" t="s">
        <v>229</v>
      </c>
      <c r="E17" t="str">
        <f>"292515590007"</f>
        <v>292515590007</v>
      </c>
      <c r="F17">
        <v>2022</v>
      </c>
      <c r="G17">
        <v>3434647</v>
      </c>
      <c r="H17" t="s">
        <v>275</v>
      </c>
      <c r="I17">
        <v>5</v>
      </c>
      <c r="J17">
        <v>1047.5</v>
      </c>
      <c r="K17">
        <v>1047.5</v>
      </c>
      <c r="L17">
        <v>0</v>
      </c>
      <c r="M17">
        <v>72.97</v>
      </c>
      <c r="N17">
        <v>1435.5</v>
      </c>
      <c r="O17">
        <v>0</v>
      </c>
      <c r="P17">
        <v>388</v>
      </c>
      <c r="Q17">
        <v>0</v>
      </c>
      <c r="R17" s="225">
        <v>44761</v>
      </c>
      <c r="S17" s="225">
        <v>44761</v>
      </c>
      <c r="T17" s="225">
        <v>44761</v>
      </c>
      <c r="U17" s="225">
        <v>44767</v>
      </c>
      <c r="W17">
        <v>2032</v>
      </c>
    </row>
    <row r="18" spans="1:23">
      <c r="A18">
        <v>3111</v>
      </c>
      <c r="B18">
        <v>16240007</v>
      </c>
      <c r="C18">
        <v>3024933</v>
      </c>
      <c r="D18" t="s">
        <v>374</v>
      </c>
      <c r="E18" t="str">
        <f>"292516240007"</f>
        <v>292516240007</v>
      </c>
      <c r="F18">
        <v>2022</v>
      </c>
      <c r="G18">
        <v>3434012</v>
      </c>
      <c r="H18" t="s">
        <v>275</v>
      </c>
      <c r="I18">
        <v>5</v>
      </c>
      <c r="J18">
        <v>807</v>
      </c>
      <c r="K18">
        <v>807</v>
      </c>
      <c r="L18">
        <v>0</v>
      </c>
      <c r="M18">
        <v>100</v>
      </c>
      <c r="N18">
        <v>807</v>
      </c>
      <c r="O18">
        <v>0</v>
      </c>
      <c r="P18">
        <v>0</v>
      </c>
      <c r="Q18">
        <v>0</v>
      </c>
      <c r="R18" s="225">
        <v>44761</v>
      </c>
      <c r="S18" s="225">
        <v>44761</v>
      </c>
      <c r="T18" s="225">
        <v>44761</v>
      </c>
      <c r="U18" s="225">
        <v>44767</v>
      </c>
      <c r="W18">
        <v>2032</v>
      </c>
    </row>
    <row r="19" spans="1:23">
      <c r="A19">
        <v>3111</v>
      </c>
      <c r="B19">
        <v>16360007</v>
      </c>
      <c r="C19">
        <v>3024935</v>
      </c>
      <c r="D19" t="s">
        <v>231</v>
      </c>
      <c r="E19" t="str">
        <f>"292516360007"</f>
        <v>292516360007</v>
      </c>
      <c r="F19">
        <v>2022</v>
      </c>
      <c r="G19">
        <v>3434260</v>
      </c>
      <c r="H19" t="s">
        <v>275</v>
      </c>
      <c r="I19">
        <v>5</v>
      </c>
      <c r="J19">
        <v>1702</v>
      </c>
      <c r="K19">
        <v>1702</v>
      </c>
      <c r="L19">
        <v>0</v>
      </c>
      <c r="M19">
        <v>100</v>
      </c>
      <c r="N19">
        <v>1702</v>
      </c>
      <c r="O19">
        <v>0</v>
      </c>
      <c r="P19">
        <v>0</v>
      </c>
      <c r="Q19">
        <v>0</v>
      </c>
      <c r="R19" s="225">
        <v>44761</v>
      </c>
      <c r="S19" s="225">
        <v>44761</v>
      </c>
      <c r="T19" s="225">
        <v>44761</v>
      </c>
      <c r="U19" s="225">
        <v>44767</v>
      </c>
      <c r="W19">
        <v>2032</v>
      </c>
    </row>
    <row r="20" spans="1:23">
      <c r="A20">
        <v>3111</v>
      </c>
      <c r="B20">
        <v>19234000</v>
      </c>
      <c r="C20">
        <v>3039107</v>
      </c>
      <c r="D20" t="str">
        <f>"PP PRZEPONA KL2 CH1"</f>
        <v>PP PRZEPONA KL2 CH1</v>
      </c>
      <c r="E20" t="str">
        <f>"292000000000"</f>
        <v>292000000000</v>
      </c>
      <c r="F20">
        <v>2022</v>
      </c>
      <c r="G20">
        <v>3434201</v>
      </c>
      <c r="H20" t="s">
        <v>275</v>
      </c>
      <c r="I20">
        <v>5</v>
      </c>
      <c r="J20">
        <v>1769</v>
      </c>
      <c r="K20">
        <v>1769</v>
      </c>
      <c r="L20">
        <v>0</v>
      </c>
      <c r="M20">
        <v>87.81</v>
      </c>
      <c r="N20">
        <v>2014.5</v>
      </c>
      <c r="O20">
        <v>0</v>
      </c>
      <c r="P20">
        <v>245.5</v>
      </c>
      <c r="Q20">
        <v>0</v>
      </c>
      <c r="R20" s="225">
        <v>44761</v>
      </c>
      <c r="S20" s="225">
        <v>44762</v>
      </c>
      <c r="T20" s="225">
        <v>44761</v>
      </c>
      <c r="U20" s="225">
        <v>44767</v>
      </c>
      <c r="W20">
        <v>2032</v>
      </c>
    </row>
    <row r="21" spans="1:23">
      <c r="A21">
        <v>3111</v>
      </c>
      <c r="B21">
        <v>28180007</v>
      </c>
      <c r="C21">
        <v>3031735</v>
      </c>
      <c r="D21" t="s">
        <v>232</v>
      </c>
      <c r="E21" t="str">
        <f>"292528180007"</f>
        <v>292528180007</v>
      </c>
      <c r="F21">
        <v>2022</v>
      </c>
      <c r="G21">
        <v>3434242</v>
      </c>
      <c r="H21" t="s">
        <v>275</v>
      </c>
      <c r="I21">
        <v>5</v>
      </c>
      <c r="J21">
        <v>3147.5</v>
      </c>
      <c r="K21">
        <v>3147.5</v>
      </c>
      <c r="L21">
        <v>0</v>
      </c>
      <c r="M21">
        <v>88.03</v>
      </c>
      <c r="N21">
        <v>3575.5</v>
      </c>
      <c r="O21">
        <v>0</v>
      </c>
      <c r="P21">
        <v>428</v>
      </c>
      <c r="Q21">
        <v>0</v>
      </c>
      <c r="R21" s="225">
        <v>44761</v>
      </c>
      <c r="S21" s="225">
        <v>44761</v>
      </c>
      <c r="T21" s="225">
        <v>44761</v>
      </c>
      <c r="U21" s="225">
        <v>44767</v>
      </c>
      <c r="W21">
        <v>2032</v>
      </c>
    </row>
    <row r="22" spans="1:23">
      <c r="A22">
        <v>3111</v>
      </c>
      <c r="B22">
        <v>29104007</v>
      </c>
      <c r="C22">
        <v>3037725</v>
      </c>
      <c r="D22" t="s">
        <v>227</v>
      </c>
      <c r="E22" t="str">
        <f>"292529104007"</f>
        <v>292529104007</v>
      </c>
      <c r="F22">
        <v>2022</v>
      </c>
      <c r="G22">
        <v>3434048</v>
      </c>
      <c r="H22" t="s">
        <v>275</v>
      </c>
      <c r="I22">
        <v>5</v>
      </c>
      <c r="J22">
        <v>25380.5</v>
      </c>
      <c r="K22">
        <v>25380.5</v>
      </c>
      <c r="L22">
        <v>0</v>
      </c>
      <c r="M22">
        <v>95.18</v>
      </c>
      <c r="N22">
        <v>26664.5</v>
      </c>
      <c r="O22">
        <v>0</v>
      </c>
      <c r="P22">
        <v>1284</v>
      </c>
      <c r="Q22">
        <v>0</v>
      </c>
      <c r="R22" s="225">
        <v>44761</v>
      </c>
      <c r="S22" s="225">
        <v>44761</v>
      </c>
      <c r="T22" s="225">
        <v>44761</v>
      </c>
      <c r="U22" s="225">
        <v>44767</v>
      </c>
      <c r="W22">
        <v>2032</v>
      </c>
    </row>
    <row r="23" spans="1:23">
      <c r="A23">
        <v>3111</v>
      </c>
      <c r="B23">
        <v>29160007</v>
      </c>
      <c r="C23">
        <v>3042798</v>
      </c>
      <c r="D23" t="s">
        <v>384</v>
      </c>
      <c r="E23" t="str">
        <f>"292529160007"</f>
        <v>292529160007</v>
      </c>
      <c r="F23">
        <v>2022</v>
      </c>
      <c r="G23">
        <v>3434838</v>
      </c>
      <c r="H23" t="s">
        <v>275</v>
      </c>
      <c r="I23">
        <v>5</v>
      </c>
      <c r="J23">
        <v>136</v>
      </c>
      <c r="K23">
        <v>136</v>
      </c>
      <c r="L23">
        <v>0</v>
      </c>
      <c r="M23">
        <v>100</v>
      </c>
      <c r="N23">
        <v>136</v>
      </c>
      <c r="O23">
        <v>0</v>
      </c>
      <c r="P23">
        <v>0</v>
      </c>
      <c r="Q23">
        <v>0</v>
      </c>
      <c r="R23" s="225">
        <v>44761</v>
      </c>
      <c r="S23" s="225">
        <v>44761</v>
      </c>
      <c r="T23" s="225">
        <v>44761</v>
      </c>
      <c r="U23" s="225">
        <v>44767</v>
      </c>
      <c r="W23">
        <v>2032</v>
      </c>
    </row>
    <row r="24" spans="1:23">
      <c r="A24">
        <v>3111</v>
      </c>
      <c r="B24">
        <v>29190007</v>
      </c>
      <c r="C24">
        <v>3042800</v>
      </c>
      <c r="D24" t="s">
        <v>380</v>
      </c>
      <c r="E24" t="str">
        <f>"292529190007"</f>
        <v>292529190007</v>
      </c>
      <c r="F24">
        <v>2022</v>
      </c>
      <c r="G24">
        <v>3435217</v>
      </c>
      <c r="H24" t="s">
        <v>275</v>
      </c>
      <c r="I24">
        <v>5</v>
      </c>
      <c r="J24">
        <v>38</v>
      </c>
      <c r="K24">
        <v>38</v>
      </c>
      <c r="L24">
        <v>0</v>
      </c>
      <c r="M24">
        <v>100</v>
      </c>
      <c r="N24">
        <v>38</v>
      </c>
      <c r="O24">
        <v>0</v>
      </c>
      <c r="P24">
        <v>0</v>
      </c>
      <c r="Q24">
        <v>0</v>
      </c>
      <c r="R24" s="225">
        <v>44761</v>
      </c>
      <c r="S24" s="225">
        <v>44761</v>
      </c>
      <c r="T24" s="225">
        <v>44761</v>
      </c>
      <c r="U24" s="225">
        <v>44767</v>
      </c>
      <c r="W24">
        <v>2032</v>
      </c>
    </row>
    <row r="25" spans="1:23">
      <c r="A25">
        <v>3111</v>
      </c>
      <c r="B25">
        <v>29240007</v>
      </c>
      <c r="C25">
        <v>3025496</v>
      </c>
      <c r="D25" t="s">
        <v>230</v>
      </c>
      <c r="E25" t="str">
        <f>"292529240007"</f>
        <v>292529240007</v>
      </c>
      <c r="F25">
        <v>2022</v>
      </c>
      <c r="G25">
        <v>3434003</v>
      </c>
      <c r="H25" t="s">
        <v>275</v>
      </c>
      <c r="I25">
        <v>5</v>
      </c>
      <c r="J25">
        <v>4013.5</v>
      </c>
      <c r="K25">
        <v>4013.5</v>
      </c>
      <c r="L25">
        <v>0</v>
      </c>
      <c r="M25">
        <v>100</v>
      </c>
      <c r="N25">
        <v>4013.5</v>
      </c>
      <c r="O25">
        <v>0</v>
      </c>
      <c r="P25">
        <v>0</v>
      </c>
      <c r="Q25">
        <v>0</v>
      </c>
      <c r="R25" s="225">
        <v>44761</v>
      </c>
      <c r="S25" s="225">
        <v>44761</v>
      </c>
      <c r="T25" s="225">
        <v>44761</v>
      </c>
      <c r="U25" s="225">
        <v>44767</v>
      </c>
      <c r="W25">
        <v>2032</v>
      </c>
    </row>
    <row r="26" spans="1:23">
      <c r="A26">
        <v>3111</v>
      </c>
      <c r="B26">
        <v>53620000</v>
      </c>
      <c r="C26">
        <v>3024340</v>
      </c>
      <c r="D26" t="s">
        <v>387</v>
      </c>
      <c r="E26" t="str">
        <f>"292053620000"</f>
        <v>292053620000</v>
      </c>
      <c r="F26">
        <v>2022</v>
      </c>
      <c r="G26" t="str">
        <f>"3222292006"</f>
        <v>3222292006</v>
      </c>
      <c r="H26" t="s">
        <v>275</v>
      </c>
      <c r="I26">
        <v>5</v>
      </c>
      <c r="J26">
        <v>843</v>
      </c>
      <c r="K26">
        <v>843</v>
      </c>
      <c r="L26">
        <v>0</v>
      </c>
      <c r="M26">
        <v>22.81</v>
      </c>
      <c r="N26">
        <v>3695</v>
      </c>
      <c r="O26">
        <v>0</v>
      </c>
      <c r="P26">
        <v>2852</v>
      </c>
      <c r="Q26">
        <v>0</v>
      </c>
      <c r="R26" s="225">
        <v>44762</v>
      </c>
      <c r="S26" s="225">
        <v>44762</v>
      </c>
      <c r="T26" s="225">
        <v>44761</v>
      </c>
      <c r="U26" s="225">
        <v>44767</v>
      </c>
      <c r="W26">
        <v>2032</v>
      </c>
    </row>
    <row r="27" spans="1:23">
      <c r="A27">
        <v>3111</v>
      </c>
      <c r="B27">
        <v>16240007</v>
      </c>
      <c r="C27">
        <v>3024933</v>
      </c>
      <c r="D27" t="s">
        <v>374</v>
      </c>
      <c r="E27" t="str">
        <f>"293516240007"</f>
        <v>293516240007</v>
      </c>
      <c r="F27">
        <v>2022</v>
      </c>
      <c r="G27">
        <v>3435571</v>
      </c>
      <c r="H27" t="s">
        <v>275</v>
      </c>
      <c r="I27">
        <v>6</v>
      </c>
      <c r="J27">
        <v>861</v>
      </c>
      <c r="K27">
        <v>861</v>
      </c>
      <c r="L27">
        <v>0</v>
      </c>
      <c r="M27">
        <v>100</v>
      </c>
      <c r="N27">
        <v>861</v>
      </c>
      <c r="O27">
        <v>0</v>
      </c>
      <c r="P27">
        <v>0</v>
      </c>
      <c r="Q27">
        <v>0</v>
      </c>
      <c r="R27" s="225">
        <v>44762</v>
      </c>
      <c r="S27" s="225">
        <v>44762</v>
      </c>
      <c r="T27" s="225">
        <v>44762</v>
      </c>
      <c r="U27" s="225">
        <v>44768</v>
      </c>
      <c r="W27">
        <v>2032</v>
      </c>
    </row>
    <row r="28" spans="1:23">
      <c r="A28">
        <v>3111</v>
      </c>
      <c r="B28">
        <v>20290007</v>
      </c>
      <c r="C28">
        <v>3024213</v>
      </c>
      <c r="D28" t="s">
        <v>233</v>
      </c>
      <c r="E28" t="str">
        <f>"293520290007"</f>
        <v>293520290007</v>
      </c>
      <c r="F28">
        <v>2022</v>
      </c>
      <c r="G28">
        <v>3435575</v>
      </c>
      <c r="H28" t="s">
        <v>275</v>
      </c>
      <c r="I28">
        <v>6</v>
      </c>
      <c r="J28">
        <v>1099</v>
      </c>
      <c r="K28">
        <v>1099</v>
      </c>
      <c r="L28">
        <v>0</v>
      </c>
      <c r="M28">
        <v>100</v>
      </c>
      <c r="N28">
        <v>1099</v>
      </c>
      <c r="O28">
        <v>0</v>
      </c>
      <c r="P28">
        <v>0</v>
      </c>
      <c r="Q28">
        <v>0</v>
      </c>
      <c r="R28" s="225">
        <v>44762</v>
      </c>
      <c r="S28" s="225">
        <v>44762</v>
      </c>
      <c r="T28" s="225">
        <v>44762</v>
      </c>
      <c r="U28" s="225">
        <v>44768</v>
      </c>
      <c r="W28">
        <v>2032</v>
      </c>
    </row>
    <row r="29" spans="1:23">
      <c r="A29">
        <v>3111</v>
      </c>
      <c r="B29">
        <v>28180007</v>
      </c>
      <c r="C29">
        <v>3031735</v>
      </c>
      <c r="D29" t="s">
        <v>232</v>
      </c>
      <c r="E29" t="str">
        <f>"293528180007"</f>
        <v>293528180007</v>
      </c>
      <c r="F29">
        <v>2022</v>
      </c>
      <c r="G29">
        <v>3435573</v>
      </c>
      <c r="H29" t="s">
        <v>275</v>
      </c>
      <c r="I29">
        <v>6</v>
      </c>
      <c r="J29">
        <v>1089</v>
      </c>
      <c r="K29">
        <v>1089</v>
      </c>
      <c r="L29">
        <v>0</v>
      </c>
      <c r="M29">
        <v>100</v>
      </c>
      <c r="N29">
        <v>1089</v>
      </c>
      <c r="O29">
        <v>0</v>
      </c>
      <c r="P29">
        <v>0</v>
      </c>
      <c r="Q29">
        <v>0</v>
      </c>
      <c r="R29" s="225">
        <v>44762</v>
      </c>
      <c r="S29" s="225">
        <v>44762</v>
      </c>
      <c r="T29" s="225">
        <v>44762</v>
      </c>
      <c r="U29" s="225">
        <v>44768</v>
      </c>
      <c r="W29">
        <v>2032</v>
      </c>
    </row>
    <row r="30" spans="1:23">
      <c r="A30">
        <v>3111</v>
      </c>
      <c r="B30">
        <v>29104007</v>
      </c>
      <c r="C30">
        <v>3037725</v>
      </c>
      <c r="D30" t="s">
        <v>227</v>
      </c>
      <c r="E30" t="str">
        <f>"293529104007"</f>
        <v>293529104007</v>
      </c>
      <c r="F30">
        <v>2022</v>
      </c>
      <c r="G30">
        <v>3435553</v>
      </c>
      <c r="H30" t="s">
        <v>275</v>
      </c>
      <c r="I30">
        <v>6</v>
      </c>
      <c r="J30">
        <v>6087</v>
      </c>
      <c r="K30">
        <v>6087</v>
      </c>
      <c r="L30">
        <v>0</v>
      </c>
      <c r="M30">
        <v>100</v>
      </c>
      <c r="N30">
        <v>6087</v>
      </c>
      <c r="O30">
        <v>0</v>
      </c>
      <c r="P30">
        <v>0</v>
      </c>
      <c r="Q30">
        <v>0</v>
      </c>
      <c r="R30" s="225">
        <v>44762</v>
      </c>
      <c r="S30" s="225">
        <v>44762</v>
      </c>
      <c r="T30" s="225">
        <v>44762</v>
      </c>
      <c r="U30" s="225">
        <v>44768</v>
      </c>
      <c r="W30">
        <v>2032</v>
      </c>
    </row>
    <row r="31" spans="1:23">
      <c r="R31" s="225"/>
      <c r="S31" s="225"/>
      <c r="T31" s="225"/>
      <c r="U31" s="225"/>
    </row>
  </sheetData>
  <autoFilter ref="A1:W1" xr:uid="{83E85393-5EB5-495C-A051-946671590C4A}">
    <sortState xmlns:xlrd2="http://schemas.microsoft.com/office/spreadsheetml/2017/richdata2" ref="A2:W30">
      <sortCondition ref="I1"/>
    </sortState>
  </autoFilter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D7786-EF76-47A2-987A-D36DF361D15F}">
  <sheetPr codeName="Arkusz16"/>
  <dimension ref="A1:L58"/>
  <sheetViews>
    <sheetView topLeftCell="A2" workbookViewId="0">
      <selection activeCell="G15" sqref="G15"/>
    </sheetView>
  </sheetViews>
  <sheetFormatPr defaultRowHeight="15"/>
  <cols>
    <col min="1" max="1" width="9" bestFit="1" customWidth="1"/>
    <col min="2" max="2" width="8.5703125" customWidth="1"/>
    <col min="3" max="3" width="59.42578125" customWidth="1"/>
    <col min="4" max="4" width="10.5703125" customWidth="1"/>
    <col min="5" max="5" width="7.5703125" customWidth="1"/>
    <col min="6" max="6" width="5.42578125" bestFit="1" customWidth="1"/>
    <col min="7" max="7" width="10.42578125" customWidth="1"/>
    <col min="8" max="8" width="9.5703125" customWidth="1"/>
    <col min="11" max="11" width="12.5703125" bestFit="1" customWidth="1"/>
    <col min="12" max="12" width="17.42578125" bestFit="1" customWidth="1"/>
  </cols>
  <sheetData>
    <row r="1" spans="1:12" ht="18.75" thickBot="1">
      <c r="A1" s="44"/>
      <c r="B1" s="45"/>
      <c r="C1" s="944" t="s">
        <v>18702</v>
      </c>
      <c r="D1" s="945" t="s">
        <v>18703</v>
      </c>
      <c r="E1" s="946"/>
      <c r="F1" s="947"/>
      <c r="G1" s="948"/>
      <c r="H1" s="468"/>
    </row>
    <row r="2" spans="1:12" ht="39" thickBot="1">
      <c r="A2" s="949" t="s">
        <v>18704</v>
      </c>
      <c r="B2" s="950" t="s">
        <v>18705</v>
      </c>
      <c r="C2" s="951" t="s">
        <v>18706</v>
      </c>
      <c r="D2" s="945">
        <v>1</v>
      </c>
      <c r="E2" s="945"/>
      <c r="F2" s="952"/>
      <c r="G2" s="948"/>
      <c r="H2" s="822"/>
      <c r="I2" s="76" t="s">
        <v>125</v>
      </c>
      <c r="J2" s="76" t="s">
        <v>127</v>
      </c>
      <c r="K2" s="76" t="s">
        <v>17328</v>
      </c>
      <c r="L2" s="76" t="s">
        <v>17329</v>
      </c>
    </row>
    <row r="3" spans="1:12">
      <c r="A3" s="884">
        <v>2818</v>
      </c>
      <c r="B3" s="885">
        <v>630</v>
      </c>
      <c r="C3" s="985" t="s">
        <v>3202</v>
      </c>
      <c r="D3" s="953">
        <v>4000</v>
      </c>
      <c r="E3" s="953">
        <v>0</v>
      </c>
      <c r="F3" s="954">
        <v>0</v>
      </c>
      <c r="G3" s="955" t="s">
        <v>18803</v>
      </c>
      <c r="H3" s="822"/>
      <c r="I3" s="76">
        <f>MID(A3,1,4)*1</f>
        <v>2818</v>
      </c>
      <c r="J3" s="269">
        <f>SUM(D3:F3)</f>
        <v>4000</v>
      </c>
      <c r="K3" s="85" t="str">
        <f>IF(OR(IFERROR(VLOOKUP(I3,[7]Konfiguracja!$O$3:$O$51,1,0),0),IFERROR(VLOOKUP(I3,[7]Konfiguracja!$P$3:$P$51,1,0),0),IFERROR(VLOOKUP(I3,[7]Konfiguracja!$Q$3:$Q$51,1,0),0),IFERROR(VLOOKUP(I3,[7]Konfiguracja!$AD$3:$AD$51,1,0),0),IFERROR(VLOOKUP(I3,[7]Konfiguracja!$AE$3:$AE$51,1,0),0)),"ok","brak w bazie")</f>
        <v>brak w bazie</v>
      </c>
      <c r="L3" s="85">
        <f>VLOOKUP(I3,'[7]Kalkulator Wędzonki '!$A$5:$B$57,1,0)</f>
        <v>2818</v>
      </c>
    </row>
    <row r="4" spans="1:12" ht="15.75" thickBot="1">
      <c r="A4" s="884">
        <v>2796</v>
      </c>
      <c r="B4" s="885">
        <v>630</v>
      </c>
      <c r="C4" s="999" t="s">
        <v>18792</v>
      </c>
      <c r="D4" s="886">
        <v>5600</v>
      </c>
      <c r="E4" s="953">
        <v>0</v>
      </c>
      <c r="F4" s="954">
        <v>0</v>
      </c>
      <c r="G4" s="955"/>
      <c r="H4" s="822"/>
      <c r="I4" s="76">
        <f t="shared" ref="I4:I42" si="0">MID(A4,1,4)*1</f>
        <v>2796</v>
      </c>
      <c r="J4" s="269">
        <f t="shared" ref="J4:J44" si="1">SUM(D4:F4)</f>
        <v>5600</v>
      </c>
      <c r="K4" s="85" t="str">
        <f>IF(OR(IFERROR(VLOOKUP(I4,[7]Konfiguracja!$O$3:$O$51,1,0),0),IFERROR(VLOOKUP(I4,[7]Konfiguracja!$P$3:$P$51,1,0),0),IFERROR(VLOOKUP(I4,[7]Konfiguracja!$Q$3:$Q$51,1,0),0),IFERROR(VLOOKUP(I4,[7]Konfiguracja!$AD$3:$AD$51,1,0),0),IFERROR(VLOOKUP(I4,[7]Konfiguracja!$AE$3:$AE$51,1,0),0)),"ok","brak w bazie")</f>
        <v>ok</v>
      </c>
      <c r="L4" s="85" t="e">
        <f>VLOOKUP(I4,'[7]Kalkulator Wędzonki '!$A$5:$B$57,1,0)</f>
        <v>#N/A</v>
      </c>
    </row>
    <row r="5" spans="1:12" ht="15.75" thickBot="1">
      <c r="A5" s="887"/>
      <c r="B5" s="888"/>
      <c r="C5" s="956" t="s">
        <v>18707</v>
      </c>
      <c r="D5" s="945">
        <v>1</v>
      </c>
      <c r="E5" s="945"/>
      <c r="F5" s="952"/>
      <c r="G5" s="948"/>
      <c r="H5" s="822"/>
      <c r="I5" s="76" t="e">
        <f t="shared" si="0"/>
        <v>#VALUE!</v>
      </c>
      <c r="J5" s="269">
        <f t="shared" si="1"/>
        <v>1</v>
      </c>
      <c r="K5" s="85" t="str">
        <f>IF(OR(IFERROR(VLOOKUP(I5,[7]Konfiguracja!$O$3:$O$51,1,0),0),IFERROR(VLOOKUP(I5,[7]Konfiguracja!$P$3:$P$51,1,0),0),IFERROR(VLOOKUP(I5,[7]Konfiguracja!$Q$3:$Q$51,1,0),0),IFERROR(VLOOKUP(I5,[7]Konfiguracja!$AD$3:$AD$51,1,0),0),IFERROR(VLOOKUP(I5,[7]Konfiguracja!$AE$3:$AE$51,1,0),0)),"ok","brak w bazie")</f>
        <v>brak w bazie</v>
      </c>
      <c r="L5" s="85" t="e">
        <f>VLOOKUP(I5,'[7]Kalkulator Wędzonki '!$A$5:$B$57,1,0)</f>
        <v>#VALUE!</v>
      </c>
    </row>
    <row r="6" spans="1:12" ht="15.75" thickBot="1">
      <c r="A6" s="889"/>
      <c r="B6" s="888"/>
      <c r="C6" s="956" t="s">
        <v>18708</v>
      </c>
      <c r="D6" s="945">
        <v>1</v>
      </c>
      <c r="E6" s="945"/>
      <c r="F6" s="952"/>
      <c r="G6" s="948"/>
      <c r="H6" s="822"/>
      <c r="I6" s="76" t="e">
        <f t="shared" si="0"/>
        <v>#VALUE!</v>
      </c>
      <c r="J6" s="269">
        <f t="shared" si="1"/>
        <v>1</v>
      </c>
      <c r="K6" s="85" t="str">
        <f>IF(OR(IFERROR(VLOOKUP(I6,[7]Konfiguracja!$O$3:$O$51,1,0),0),IFERROR(VLOOKUP(I6,[7]Konfiguracja!$P$3:$P$51,1,0),0),IFERROR(VLOOKUP(I6,[7]Konfiguracja!$Q$3:$Q$51,1,0),0),IFERROR(VLOOKUP(I6,[7]Konfiguracja!$AD$3:$AD$51,1,0),0),IFERROR(VLOOKUP(I6,[7]Konfiguracja!$AE$3:$AE$51,1,0),0)),"ok","brak w bazie")</f>
        <v>brak w bazie</v>
      </c>
      <c r="L6" s="85" t="e">
        <f>VLOOKUP(I6,'[7]Kalkulator Wędzonki '!$A$5:$B$57,1,0)</f>
        <v>#VALUE!</v>
      </c>
    </row>
    <row r="7" spans="1:12" ht="15.75" thickBot="1">
      <c r="A7" s="890"/>
      <c r="B7" s="891"/>
      <c r="C7" s="956" t="s">
        <v>18709</v>
      </c>
      <c r="D7" s="945">
        <v>1</v>
      </c>
      <c r="E7" s="945"/>
      <c r="F7" s="952"/>
      <c r="G7" s="948"/>
      <c r="H7" s="822"/>
      <c r="I7" s="76" t="e">
        <f t="shared" si="0"/>
        <v>#VALUE!</v>
      </c>
      <c r="J7" s="269">
        <f t="shared" si="1"/>
        <v>1</v>
      </c>
      <c r="K7" s="85" t="str">
        <f>IF(OR(IFERROR(VLOOKUP(I7,[7]Konfiguracja!$O$3:$O$51,1,0),0),IFERROR(VLOOKUP(I7,[7]Konfiguracja!$P$3:$P$51,1,0),0),IFERROR(VLOOKUP(I7,[7]Konfiguracja!$Q$3:$Q$51,1,0),0),IFERROR(VLOOKUP(I7,[7]Konfiguracja!$AD$3:$AD$51,1,0),0),IFERROR(VLOOKUP(I7,[7]Konfiguracja!$AE$3:$AE$51,1,0),0)),"ok","brak w bazie")</f>
        <v>brak w bazie</v>
      </c>
      <c r="L7" s="85" t="e">
        <f>VLOOKUP(I7,'[7]Kalkulator Wędzonki '!$A$5:$B$57,1,0)</f>
        <v>#VALUE!</v>
      </c>
    </row>
    <row r="8" spans="1:12" ht="15.75" thickBot="1">
      <c r="A8" s="892"/>
      <c r="B8" s="893"/>
      <c r="C8" s="956" t="s">
        <v>18710</v>
      </c>
      <c r="D8" s="945">
        <v>1</v>
      </c>
      <c r="E8" s="945"/>
      <c r="F8" s="952"/>
      <c r="G8" s="948"/>
      <c r="H8" s="822"/>
      <c r="I8" s="76" t="e">
        <f t="shared" si="0"/>
        <v>#VALUE!</v>
      </c>
      <c r="J8" s="269">
        <f t="shared" si="1"/>
        <v>1</v>
      </c>
      <c r="K8" s="85" t="str">
        <f>IF(OR(IFERROR(VLOOKUP(I8,[7]Konfiguracja!$O$3:$O$51,1,0),0),IFERROR(VLOOKUP(I8,[7]Konfiguracja!$P$3:$P$51,1,0),0),IFERROR(VLOOKUP(I8,[7]Konfiguracja!$Q$3:$Q$51,1,0),0),IFERROR(VLOOKUP(I8,[7]Konfiguracja!$AD$3:$AD$51,1,0),0),IFERROR(VLOOKUP(I8,[7]Konfiguracja!$AE$3:$AE$51,1,0),0)),"ok","brak w bazie")</f>
        <v>brak w bazie</v>
      </c>
      <c r="L8" s="85" t="e">
        <f>VLOOKUP(I8,'[7]Kalkulator Wędzonki '!$A$5:$B$57,1,0)</f>
        <v>#VALUE!</v>
      </c>
    </row>
    <row r="9" spans="1:12">
      <c r="A9" s="986">
        <v>2924</v>
      </c>
      <c r="B9" s="894">
        <v>630</v>
      </c>
      <c r="C9" s="895" t="s">
        <v>18804</v>
      </c>
      <c r="D9" s="957">
        <v>800</v>
      </c>
      <c r="E9" s="957">
        <v>0</v>
      </c>
      <c r="F9" s="958">
        <v>0</v>
      </c>
      <c r="G9" s="955"/>
      <c r="H9" s="822"/>
      <c r="I9" s="76">
        <f t="shared" si="0"/>
        <v>2924</v>
      </c>
      <c r="J9" s="269">
        <f t="shared" si="1"/>
        <v>800</v>
      </c>
      <c r="K9" s="85" t="str">
        <f>IF(OR(IFERROR(VLOOKUP(I9,[7]Konfiguracja!$O$3:$O$51,1,0),0),IFERROR(VLOOKUP(I9,[7]Konfiguracja!$P$3:$P$51,1,0),0),IFERROR(VLOOKUP(I9,[7]Konfiguracja!$Q$3:$Q$51,1,0),0),IFERROR(VLOOKUP(I9,[7]Konfiguracja!$AD$3:$AD$51,1,0),0),IFERROR(VLOOKUP(I9,[7]Konfiguracja!$AE$3:$AE$51,1,0),0)),"ok","brak w bazie")</f>
        <v>brak w bazie</v>
      </c>
      <c r="L9" s="85">
        <f>VLOOKUP(I9,'[7]Kalkulator Wędzonki '!$A$5:$B$57,1,0)</f>
        <v>2924</v>
      </c>
    </row>
    <row r="10" spans="1:12">
      <c r="A10" s="896">
        <v>2910</v>
      </c>
      <c r="B10" s="894">
        <v>630</v>
      </c>
      <c r="C10" s="895" t="s">
        <v>18711</v>
      </c>
      <c r="D10" s="957">
        <v>12000</v>
      </c>
      <c r="E10" s="957">
        <v>0</v>
      </c>
      <c r="F10" s="958">
        <v>0</v>
      </c>
      <c r="G10" s="959" t="s">
        <v>18712</v>
      </c>
      <c r="H10" s="822"/>
      <c r="I10" s="76">
        <f t="shared" si="0"/>
        <v>2910</v>
      </c>
      <c r="J10" s="269">
        <f t="shared" si="1"/>
        <v>12000</v>
      </c>
      <c r="K10" s="85" t="str">
        <f>IF(OR(IFERROR(VLOOKUP(I10,[7]Konfiguracja!$O$3:$O$51,1,0),0),IFERROR(VLOOKUP(I10,[7]Konfiguracja!$P$3:$P$51,1,0),0),IFERROR(VLOOKUP(I10,[7]Konfiguracja!$Q$3:$Q$51,1,0),0),IFERROR(VLOOKUP(I10,[7]Konfiguracja!$AD$3:$AD$51,1,0),0),IFERROR(VLOOKUP(I10,[7]Konfiguracja!$AE$3:$AE$51,1,0),0)),"ok","brak w bazie")</f>
        <v>brak w bazie</v>
      </c>
      <c r="L10" s="85">
        <f>VLOOKUP(I10,'[7]Kalkulator Wędzonki '!$A$5:$B$57,1,0)</f>
        <v>2910</v>
      </c>
    </row>
    <row r="11" spans="1:12" ht="15.75" thickBot="1">
      <c r="A11" s="896">
        <v>2941</v>
      </c>
      <c r="B11" s="894">
        <v>630</v>
      </c>
      <c r="C11" s="895" t="s">
        <v>18713</v>
      </c>
      <c r="D11" s="960">
        <v>2000</v>
      </c>
      <c r="E11" s="957"/>
      <c r="F11" s="958"/>
      <c r="G11" s="955" t="s">
        <v>18714</v>
      </c>
      <c r="H11" s="822"/>
      <c r="I11" s="76">
        <f t="shared" si="0"/>
        <v>2941</v>
      </c>
      <c r="J11" s="269">
        <f t="shared" si="1"/>
        <v>2000</v>
      </c>
      <c r="K11" s="85" t="str">
        <f>IF(OR(IFERROR(VLOOKUP(I11,[7]Konfiguracja!$O$3:$O$51,1,0),0),IFERROR(VLOOKUP(I11,[7]Konfiguracja!$P$3:$P$51,1,0),0),IFERROR(VLOOKUP(I11,[7]Konfiguracja!$Q$3:$Q$51,1,0),0),IFERROR(VLOOKUP(I11,[7]Konfiguracja!$AD$3:$AD$51,1,0),0),IFERROR(VLOOKUP(I11,[7]Konfiguracja!$AE$3:$AE$51,1,0),0)),"ok","brak w bazie")</f>
        <v>brak w bazie</v>
      </c>
      <c r="L11" s="85" t="e">
        <f>VLOOKUP(I11,'[7]Kalkulator Wędzonki '!$A$5:$B$57,1,0)</f>
        <v>#N/A</v>
      </c>
    </row>
    <row r="12" spans="1:12" ht="15.75" thickBot="1">
      <c r="A12" s="961"/>
      <c r="B12" s="962"/>
      <c r="C12" s="963" t="s">
        <v>18715</v>
      </c>
      <c r="D12" s="946">
        <v>1</v>
      </c>
      <c r="E12" s="946"/>
      <c r="F12" s="947"/>
      <c r="G12" s="948"/>
      <c r="H12" s="822"/>
      <c r="I12" s="76" t="e">
        <f t="shared" si="0"/>
        <v>#VALUE!</v>
      </c>
      <c r="J12" s="269">
        <f t="shared" si="1"/>
        <v>1</v>
      </c>
      <c r="K12" s="85" t="str">
        <f>IF(OR(IFERROR(VLOOKUP(I12,[7]Konfiguracja!$O$3:$O$51,1,0),0),IFERROR(VLOOKUP(I12,[7]Konfiguracja!$P$3:$P$51,1,0),0),IFERROR(VLOOKUP(I12,[7]Konfiguracja!$Q$3:$Q$51,1,0),0),IFERROR(VLOOKUP(I12,[7]Konfiguracja!$AD$3:$AD$51,1,0),0),IFERROR(VLOOKUP(I12,[7]Konfiguracja!$AE$3:$AE$51,1,0),0)),"ok","brak w bazie")</f>
        <v>brak w bazie</v>
      </c>
      <c r="L12" s="85" t="e">
        <f>VLOOKUP(I12,'[7]Kalkulator Wędzonki '!$A$5:$B$57,1,0)</f>
        <v>#VALUE!</v>
      </c>
    </row>
    <row r="13" spans="1:12" ht="15.75" thickBot="1">
      <c r="A13" s="964"/>
      <c r="B13" s="965"/>
      <c r="C13" s="966" t="s">
        <v>18716</v>
      </c>
      <c r="D13" s="967" t="s">
        <v>18717</v>
      </c>
      <c r="E13" s="968" t="s">
        <v>18718</v>
      </c>
      <c r="F13" s="969"/>
      <c r="G13" s="970">
        <v>1</v>
      </c>
      <c r="H13" s="822"/>
      <c r="I13" s="76" t="e">
        <f t="shared" si="0"/>
        <v>#VALUE!</v>
      </c>
      <c r="J13" s="269">
        <f t="shared" si="1"/>
        <v>0</v>
      </c>
      <c r="K13" s="85" t="str">
        <f>IF(OR(IFERROR(VLOOKUP(I13,[7]Konfiguracja!$O$3:$O$51,1,0),0),IFERROR(VLOOKUP(I13,[7]Konfiguracja!$P$3:$P$51,1,0),0),IFERROR(VLOOKUP(I13,[7]Konfiguracja!$Q$3:$Q$51,1,0),0),IFERROR(VLOOKUP(I13,[7]Konfiguracja!$AD$3:$AD$51,1,0),0),IFERROR(VLOOKUP(I13,[7]Konfiguracja!$AE$3:$AE$51,1,0),0)),"ok","brak w bazie")</f>
        <v>brak w bazie</v>
      </c>
      <c r="L13" s="85" t="e">
        <f>VLOOKUP(I13,'[7]Kalkulator Wędzonki '!$A$5:$B$57,1,0)</f>
        <v>#VALUE!</v>
      </c>
    </row>
    <row r="14" spans="1:12">
      <c r="A14" s="971">
        <v>17872000</v>
      </c>
      <c r="B14" s="972">
        <v>630</v>
      </c>
      <c r="C14" s="972" t="s">
        <v>18745</v>
      </c>
      <c r="D14" s="973">
        <v>2500</v>
      </c>
      <c r="E14" s="973">
        <v>0</v>
      </c>
      <c r="F14" s="974"/>
      <c r="G14" s="955"/>
      <c r="H14" s="822"/>
      <c r="I14" s="76">
        <f t="shared" si="0"/>
        <v>1787</v>
      </c>
      <c r="J14" s="269">
        <f t="shared" si="1"/>
        <v>2500</v>
      </c>
      <c r="K14" s="85" t="str">
        <f>IF(OR(IFERROR(VLOOKUP(I14,[7]Konfiguracja!$O$3:$O$51,1,0),0),IFERROR(VLOOKUP(I14,[7]Konfiguracja!$P$3:$P$51,1,0),0),IFERROR(VLOOKUP(I14,[7]Konfiguracja!$Q$3:$Q$51,1,0),0),IFERROR(VLOOKUP(I14,[7]Konfiguracja!$AD$3:$AD$51,1,0),0),IFERROR(VLOOKUP(I14,[7]Konfiguracja!$AE$3:$AE$51,1,0),0)),"ok","brak w bazie")</f>
        <v>ok</v>
      </c>
      <c r="L14" s="85" t="e">
        <f>VLOOKUP(I14,'[7]Kalkulator Wędzonki '!$A$5:$B$57,1,0)</f>
        <v>#N/A</v>
      </c>
    </row>
    <row r="15" spans="1:12">
      <c r="A15" s="971">
        <v>17874007</v>
      </c>
      <c r="B15" s="972">
        <v>630</v>
      </c>
      <c r="C15" s="972" t="s">
        <v>18746</v>
      </c>
      <c r="D15" s="973">
        <v>2500</v>
      </c>
      <c r="E15" s="973">
        <v>0</v>
      </c>
      <c r="F15" s="974"/>
      <c r="G15" s="955"/>
      <c r="H15" s="822"/>
      <c r="I15" s="76">
        <f t="shared" si="0"/>
        <v>1787</v>
      </c>
      <c r="J15" s="269">
        <f t="shared" si="1"/>
        <v>2500</v>
      </c>
      <c r="K15" s="85" t="str">
        <f>IF(OR(IFERROR(VLOOKUP(I15,[7]Konfiguracja!$O$3:$O$51,1,0),0),IFERROR(VLOOKUP(I15,[7]Konfiguracja!$P$3:$P$51,1,0),0),IFERROR(VLOOKUP(I15,[7]Konfiguracja!$Q$3:$Q$51,1,0),0),IFERROR(VLOOKUP(I15,[7]Konfiguracja!$AD$3:$AD$51,1,0),0),IFERROR(VLOOKUP(I15,[7]Konfiguracja!$AE$3:$AE$51,1,0),0)),"ok","brak w bazie")</f>
        <v>ok</v>
      </c>
      <c r="L15" s="85" t="e">
        <f>VLOOKUP(I15,'[7]Kalkulator Wędzonki '!$A$5:$B$57,1,0)</f>
        <v>#N/A</v>
      </c>
    </row>
    <row r="16" spans="1:12">
      <c r="A16" s="971">
        <v>19234000</v>
      </c>
      <c r="B16" s="972"/>
      <c r="C16" s="972" t="s">
        <v>8527</v>
      </c>
      <c r="D16" s="973">
        <v>1800</v>
      </c>
      <c r="E16" s="973">
        <v>0</v>
      </c>
      <c r="F16" s="974"/>
      <c r="G16" s="955"/>
      <c r="H16" s="822"/>
      <c r="I16" s="76">
        <f t="shared" si="0"/>
        <v>1923</v>
      </c>
      <c r="J16" s="269">
        <f t="shared" si="1"/>
        <v>1800</v>
      </c>
      <c r="K16" s="85" t="str">
        <f>IF(OR(IFERROR(VLOOKUP(I16,[7]Konfiguracja!$O$3:$O$51,1,0),0),IFERROR(VLOOKUP(I16,[7]Konfiguracja!$P$3:$P$51,1,0),0),IFERROR(VLOOKUP(I16,[7]Konfiguracja!$Q$3:$Q$51,1,0),0),IFERROR(VLOOKUP(I16,[7]Konfiguracja!$AD$3:$AD$51,1,0),0),IFERROR(VLOOKUP(I16,[7]Konfiguracja!$AE$3:$AE$51,1,0),0)),"ok","brak w bazie")</f>
        <v>ok</v>
      </c>
      <c r="L16" s="85" t="e">
        <f>VLOOKUP(I16,'[7]Kalkulator Wędzonki '!$A$5:$B$57,1,0)</f>
        <v>#N/A</v>
      </c>
    </row>
    <row r="17" spans="1:12">
      <c r="A17" s="971">
        <v>20034007</v>
      </c>
      <c r="B17" s="972">
        <v>630</v>
      </c>
      <c r="C17" s="972" t="s">
        <v>318</v>
      </c>
      <c r="D17" s="973">
        <v>3400</v>
      </c>
      <c r="E17" s="973">
        <v>0</v>
      </c>
      <c r="F17" s="974"/>
      <c r="G17" s="955"/>
      <c r="H17" s="822"/>
      <c r="I17" s="76">
        <f t="shared" si="0"/>
        <v>2003</v>
      </c>
      <c r="J17" s="269">
        <f t="shared" si="1"/>
        <v>3400</v>
      </c>
      <c r="K17" s="85" t="str">
        <f>IF(OR(IFERROR(VLOOKUP(I17,[7]Konfiguracja!$O$3:$O$51,1,0),0),IFERROR(VLOOKUP(I17,[7]Konfiguracja!$P$3:$P$51,1,0),0),IFERROR(VLOOKUP(I17,[7]Konfiguracja!$Q$3:$Q$51,1,0),0),IFERROR(VLOOKUP(I17,[7]Konfiguracja!$AD$3:$AD$51,1,0),0),IFERROR(VLOOKUP(I17,[7]Konfiguracja!$AE$3:$AE$51,1,0),0)),"ok","brak w bazie")</f>
        <v>ok</v>
      </c>
      <c r="L17" s="85" t="e">
        <f>VLOOKUP(I17,'[7]Kalkulator Wędzonki '!$A$5:$B$57,1,0)</f>
        <v>#N/A</v>
      </c>
    </row>
    <row r="18" spans="1:12">
      <c r="A18" s="971">
        <v>22024007</v>
      </c>
      <c r="B18" s="972">
        <v>600</v>
      </c>
      <c r="C18" s="972" t="s">
        <v>18719</v>
      </c>
      <c r="D18" s="973">
        <v>1000</v>
      </c>
      <c r="E18" s="973">
        <v>0</v>
      </c>
      <c r="F18" s="974"/>
      <c r="G18" s="955"/>
      <c r="H18" s="822"/>
      <c r="I18" s="76">
        <f t="shared" si="0"/>
        <v>2202</v>
      </c>
      <c r="J18" s="269">
        <f t="shared" si="1"/>
        <v>1000</v>
      </c>
      <c r="K18" s="85" t="str">
        <f>IF(OR(IFERROR(VLOOKUP(I18,[7]Konfiguracja!$O$3:$O$51,1,0),0),IFERROR(VLOOKUP(I18,[7]Konfiguracja!$P$3:$P$51,1,0),0),IFERROR(VLOOKUP(I18,[7]Konfiguracja!$Q$3:$Q$51,1,0),0),IFERROR(VLOOKUP(I18,[7]Konfiguracja!$AD$3:$AD$51,1,0),0),IFERROR(VLOOKUP(I18,[7]Konfiguracja!$AE$3:$AE$51,1,0),0)),"ok","brak w bazie")</f>
        <v>ok</v>
      </c>
      <c r="L18" s="85" t="e">
        <f>VLOOKUP(I18,'[7]Kalkulator Wędzonki '!$A$5:$B$57,1,0)</f>
        <v>#N/A</v>
      </c>
    </row>
    <row r="19" spans="1:12">
      <c r="A19" s="971">
        <v>22034007</v>
      </c>
      <c r="B19" s="972">
        <v>600</v>
      </c>
      <c r="C19" s="972" t="s">
        <v>18747</v>
      </c>
      <c r="D19" s="973">
        <v>4100</v>
      </c>
      <c r="E19" s="973">
        <v>0</v>
      </c>
      <c r="F19" s="975"/>
      <c r="G19" s="955"/>
      <c r="H19" s="822"/>
      <c r="I19" s="76">
        <f t="shared" si="0"/>
        <v>2203</v>
      </c>
      <c r="J19" s="269">
        <f t="shared" si="1"/>
        <v>4100</v>
      </c>
      <c r="K19" s="85" t="str">
        <f>IF(OR(IFERROR(VLOOKUP(I19,[7]Konfiguracja!$O$3:$O$51,1,0),0),IFERROR(VLOOKUP(I19,[7]Konfiguracja!$P$3:$P$51,1,0),0),IFERROR(VLOOKUP(I19,[7]Konfiguracja!$Q$3:$Q$51,1,0),0),IFERROR(VLOOKUP(I19,[7]Konfiguracja!$AD$3:$AD$51,1,0),0),IFERROR(VLOOKUP(I19,[7]Konfiguracja!$AE$3:$AE$51,1,0),0)),"ok","brak w bazie")</f>
        <v>ok</v>
      </c>
      <c r="L19" s="85" t="e">
        <f>VLOOKUP(I19,'[7]Kalkulator Wędzonki '!$A$5:$B$57,1,0)</f>
        <v>#N/A</v>
      </c>
    </row>
    <row r="20" spans="1:12">
      <c r="A20" s="971">
        <v>22114007</v>
      </c>
      <c r="B20" s="972">
        <v>600</v>
      </c>
      <c r="C20" s="972" t="s">
        <v>18720</v>
      </c>
      <c r="D20" s="973">
        <v>900</v>
      </c>
      <c r="E20" s="973">
        <v>0</v>
      </c>
      <c r="F20" s="975"/>
      <c r="G20" s="955"/>
      <c r="H20" s="822"/>
      <c r="I20" s="76">
        <f t="shared" si="0"/>
        <v>2211</v>
      </c>
      <c r="J20" s="269">
        <f t="shared" si="1"/>
        <v>900</v>
      </c>
      <c r="K20" s="85" t="str">
        <f>IF(OR(IFERROR(VLOOKUP(I20,[7]Konfiguracja!$O$3:$O$51,1,0),0),IFERROR(VLOOKUP(I20,[7]Konfiguracja!$P$3:$P$51,1,0),0),IFERROR(VLOOKUP(I20,[7]Konfiguracja!$Q$3:$Q$51,1,0),0),IFERROR(VLOOKUP(I20,[7]Konfiguracja!$AD$3:$AD$51,1,0),0),IFERROR(VLOOKUP(I20,[7]Konfiguracja!$AE$3:$AE$51,1,0),0)),"ok","brak w bazie")</f>
        <v>ok</v>
      </c>
      <c r="L20" s="85" t="e">
        <f>VLOOKUP(I20,'[7]Kalkulator Wędzonki '!$A$5:$B$57,1,0)</f>
        <v>#N/A</v>
      </c>
    </row>
    <row r="21" spans="1:12">
      <c r="A21" s="976">
        <v>12394007</v>
      </c>
      <c r="B21" s="977"/>
      <c r="C21" s="978" t="s">
        <v>18721</v>
      </c>
      <c r="D21" s="973">
        <v>2500</v>
      </c>
      <c r="E21" s="973">
        <v>0</v>
      </c>
      <c r="F21" s="979"/>
      <c r="G21" s="955"/>
      <c r="H21" s="822"/>
      <c r="I21" s="76">
        <f t="shared" si="0"/>
        <v>1239</v>
      </c>
      <c r="J21" s="269">
        <f t="shared" si="1"/>
        <v>2500</v>
      </c>
      <c r="K21" s="85" t="str">
        <f>IF(OR(IFERROR(VLOOKUP(I21,[7]Konfiguracja!$O$3:$O$51,1,0),0),IFERROR(VLOOKUP(I21,[7]Konfiguracja!$P$3:$P$51,1,0),0),IFERROR(VLOOKUP(I21,[7]Konfiguracja!$Q$3:$Q$51,1,0),0),IFERROR(VLOOKUP(I21,[7]Konfiguracja!$AD$3:$AD$51,1,0),0),IFERROR(VLOOKUP(I21,[7]Konfiguracja!$AE$3:$AE$51,1,0),0)),"ok","brak w bazie")</f>
        <v>ok</v>
      </c>
      <c r="L21" s="85" t="e">
        <f>VLOOKUP(I21,'[7]Kalkulator Wędzonki '!$A$5:$B$57,1,0)</f>
        <v>#N/A</v>
      </c>
    </row>
    <row r="22" spans="1:12">
      <c r="A22" s="971">
        <v>22054207</v>
      </c>
      <c r="B22" s="972">
        <v>600</v>
      </c>
      <c r="C22" s="464" t="s">
        <v>18722</v>
      </c>
      <c r="D22" s="973">
        <v>3100</v>
      </c>
      <c r="E22" s="973">
        <v>0</v>
      </c>
      <c r="F22" s="974"/>
      <c r="G22" s="955"/>
      <c r="H22" s="822"/>
      <c r="I22" s="76">
        <f t="shared" si="0"/>
        <v>2205</v>
      </c>
      <c r="J22" s="269">
        <f t="shared" si="1"/>
        <v>3100</v>
      </c>
      <c r="K22" s="85" t="str">
        <f>IF(OR(IFERROR(VLOOKUP(I22,[7]Konfiguracja!$O$3:$O$51,1,0),0),IFERROR(VLOOKUP(I22,[7]Konfiguracja!$P$3:$P$51,1,0),0),IFERROR(VLOOKUP(I22,[7]Konfiguracja!$Q$3:$Q$51,1,0),0),IFERROR(VLOOKUP(I22,[7]Konfiguracja!$AD$3:$AD$51,1,0),0),IFERROR(VLOOKUP(I22,[7]Konfiguracja!$AE$3:$AE$51,1,0),0)),"ok","brak w bazie")</f>
        <v>ok</v>
      </c>
      <c r="L22" s="85" t="e">
        <f>VLOOKUP(I22,'[7]Kalkulator Wędzonki '!$A$5:$B$57,1,0)</f>
        <v>#N/A</v>
      </c>
    </row>
    <row r="23" spans="1:12">
      <c r="A23" s="971">
        <v>21974007</v>
      </c>
      <c r="B23" s="972">
        <v>600</v>
      </c>
      <c r="C23" s="972" t="s">
        <v>18767</v>
      </c>
      <c r="D23" s="973">
        <v>7000</v>
      </c>
      <c r="E23" s="973">
        <v>0</v>
      </c>
      <c r="F23" s="974"/>
      <c r="G23" s="955"/>
      <c r="H23" s="822"/>
      <c r="I23" s="76">
        <f t="shared" si="0"/>
        <v>2197</v>
      </c>
      <c r="J23" s="269">
        <f t="shared" si="1"/>
        <v>7000</v>
      </c>
      <c r="K23" s="85" t="str">
        <f>IF(OR(IFERROR(VLOOKUP(I23,[7]Konfiguracja!$O$3:$O$51,1,0),0),IFERROR(VLOOKUP(I23,[7]Konfiguracja!$P$3:$P$51,1,0),0),IFERROR(VLOOKUP(I23,[7]Konfiguracja!$Q$3:$Q$51,1,0),0),IFERROR(VLOOKUP(I23,[7]Konfiguracja!$AD$3:$AD$51,1,0),0),IFERROR(VLOOKUP(I23,[7]Konfiguracja!$AE$3:$AE$51,1,0),0)),"ok","brak w bazie")</f>
        <v>ok</v>
      </c>
      <c r="L23" s="85" t="e">
        <f>VLOOKUP(I23,'[7]Kalkulator Wędzonki '!$A$5:$B$57,1,0)</f>
        <v>#N/A</v>
      </c>
    </row>
    <row r="24" spans="1:12">
      <c r="A24" s="971">
        <v>22044207</v>
      </c>
      <c r="B24" s="972">
        <v>600</v>
      </c>
      <c r="C24" s="972" t="s">
        <v>8528</v>
      </c>
      <c r="D24" s="973">
        <v>3600</v>
      </c>
      <c r="E24" s="973">
        <v>0</v>
      </c>
      <c r="F24" s="974"/>
      <c r="G24" s="955"/>
      <c r="H24" s="822"/>
      <c r="I24" s="76">
        <f t="shared" si="0"/>
        <v>2204</v>
      </c>
      <c r="J24" s="269">
        <f t="shared" si="1"/>
        <v>3600</v>
      </c>
      <c r="K24" s="85" t="str">
        <f>IF(OR(IFERROR(VLOOKUP(I24,[7]Konfiguracja!$O$3:$O$51,1,0),0),IFERROR(VLOOKUP(I24,[7]Konfiguracja!$P$3:$P$51,1,0),0),IFERROR(VLOOKUP(I24,[7]Konfiguracja!$Q$3:$Q$51,1,0),0),IFERROR(VLOOKUP(I24,[7]Konfiguracja!$AD$3:$AD$51,1,0),0),IFERROR(VLOOKUP(I24,[7]Konfiguracja!$AE$3:$AE$51,1,0),0)),"ok","brak w bazie")</f>
        <v>ok</v>
      </c>
      <c r="L24" s="85" t="e">
        <f>VLOOKUP(I24,'[7]Kalkulator Wędzonki '!$A$5:$B$57,1,0)</f>
        <v>#N/A</v>
      </c>
    </row>
    <row r="25" spans="1:12">
      <c r="A25" s="971">
        <v>22044007</v>
      </c>
      <c r="B25" s="972">
        <v>600</v>
      </c>
      <c r="C25" s="972" t="s">
        <v>18723</v>
      </c>
      <c r="D25" s="973">
        <v>3400</v>
      </c>
      <c r="E25" s="973">
        <v>0</v>
      </c>
      <c r="F25" s="980"/>
      <c r="G25" s="955"/>
      <c r="H25" s="822"/>
      <c r="I25" s="76">
        <f t="shared" si="0"/>
        <v>2204</v>
      </c>
      <c r="J25" s="269">
        <f t="shared" si="1"/>
        <v>3400</v>
      </c>
      <c r="K25" s="85" t="str">
        <f>IF(OR(IFERROR(VLOOKUP(I25,[7]Konfiguracja!$O$3:$O$51,1,0),0),IFERROR(VLOOKUP(I25,[7]Konfiguracja!$P$3:$P$51,1,0),0),IFERROR(VLOOKUP(I25,[7]Konfiguracja!$Q$3:$Q$51,1,0),0),IFERROR(VLOOKUP(I25,[7]Konfiguracja!$AD$3:$AD$51,1,0),0),IFERROR(VLOOKUP(I25,[7]Konfiguracja!$AE$3:$AE$51,1,0),0)),"ok","brak w bazie")</f>
        <v>ok</v>
      </c>
      <c r="L25" s="85" t="e">
        <f>VLOOKUP(I25,'[7]Kalkulator Wędzonki '!$A$5:$B$57,1,0)</f>
        <v>#N/A</v>
      </c>
    </row>
    <row r="26" spans="1:12">
      <c r="A26" s="971">
        <v>22064007</v>
      </c>
      <c r="B26" s="972">
        <v>600</v>
      </c>
      <c r="C26" s="972" t="s">
        <v>18793</v>
      </c>
      <c r="D26" s="973">
        <v>3000</v>
      </c>
      <c r="E26" s="973">
        <v>0</v>
      </c>
      <c r="F26" s="974"/>
      <c r="G26" s="955"/>
      <c r="H26" s="822"/>
      <c r="I26" s="76">
        <f t="shared" si="0"/>
        <v>2206</v>
      </c>
      <c r="J26" s="269">
        <f>SUM(D26:F26)</f>
        <v>3000</v>
      </c>
      <c r="K26" s="85" t="str">
        <f>IF(OR(IFERROR(VLOOKUP(I26,[7]Konfiguracja!$O$3:$O$51,1,0),0),IFERROR(VLOOKUP(I26,[7]Konfiguracja!$P$3:$P$51,1,0),0),IFERROR(VLOOKUP(I26,[7]Konfiguracja!$Q$3:$Q$51,1,0),0),IFERROR(VLOOKUP(I26,[7]Konfiguracja!$AD$3:$AD$51,1,0),0),IFERROR(VLOOKUP(I26,[7]Konfiguracja!$AE$3:$AE$51,1,0),0)),"ok","brak w bazie")</f>
        <v>ok</v>
      </c>
      <c r="L26" s="85" t="e">
        <f>VLOOKUP(I26,'[7]Kalkulator Wędzonki '!$A$5:$B$57,1,0)</f>
        <v>#N/A</v>
      </c>
    </row>
    <row r="27" spans="1:12">
      <c r="A27" s="971">
        <v>22084207</v>
      </c>
      <c r="B27" s="972"/>
      <c r="C27" s="972" t="s">
        <v>8529</v>
      </c>
      <c r="D27" s="973">
        <v>1200</v>
      </c>
      <c r="E27" s="973">
        <v>0</v>
      </c>
      <c r="F27" s="974"/>
      <c r="G27" s="955"/>
      <c r="H27" s="822"/>
      <c r="I27" s="76">
        <f t="shared" si="0"/>
        <v>2208</v>
      </c>
      <c r="J27" s="269">
        <f t="shared" si="1"/>
        <v>1200</v>
      </c>
      <c r="K27" s="85" t="str">
        <f>IF(OR(IFERROR(VLOOKUP(I27,[7]Konfiguracja!$O$3:$O$51,1,0),0),IFERROR(VLOOKUP(I27,[7]Konfiguracja!$P$3:$P$51,1,0),0),IFERROR(VLOOKUP(I27,[7]Konfiguracja!$Q$3:$Q$51,1,0),0),IFERROR(VLOOKUP(I27,[7]Konfiguracja!$AD$3:$AD$51,1,0),0),IFERROR(VLOOKUP(I27,[7]Konfiguracja!$AE$3:$AE$51,1,0),0)),"ok","brak w bazie")</f>
        <v>ok</v>
      </c>
      <c r="L27" s="85" t="e">
        <f>VLOOKUP(I27,'[7]Kalkulator Wędzonki '!$A$5:$B$57,1,0)</f>
        <v>#N/A</v>
      </c>
    </row>
    <row r="28" spans="1:12">
      <c r="A28" s="971">
        <v>22087000</v>
      </c>
      <c r="B28" s="972"/>
      <c r="C28" s="1000" t="s">
        <v>8530</v>
      </c>
      <c r="D28" s="973">
        <v>1700</v>
      </c>
      <c r="E28" s="973">
        <v>0</v>
      </c>
      <c r="F28" s="974"/>
      <c r="G28" s="955"/>
      <c r="H28" s="822"/>
      <c r="I28" s="76">
        <f t="shared" si="0"/>
        <v>2208</v>
      </c>
      <c r="J28" s="269">
        <f t="shared" si="1"/>
        <v>1700</v>
      </c>
      <c r="K28" s="85" t="str">
        <f>IF(OR(IFERROR(VLOOKUP(I28,[7]Konfiguracja!$O$3:$O$51,1,0),0),IFERROR(VLOOKUP(I28,[7]Konfiguracja!$P$3:$P$51,1,0),0),IFERROR(VLOOKUP(I28,[7]Konfiguracja!$Q$3:$Q$51,1,0),0),IFERROR(VLOOKUP(I28,[7]Konfiguracja!$AD$3:$AD$51,1,0),0),IFERROR(VLOOKUP(I28,[7]Konfiguracja!$AE$3:$AE$51,1,0),0)),"ok","brak w bazie")</f>
        <v>ok</v>
      </c>
      <c r="L28" s="85" t="e">
        <f>VLOOKUP(I28,'[7]Kalkulator Wędzonki '!$A$5:$B$57,1,0)</f>
        <v>#N/A</v>
      </c>
    </row>
    <row r="29" spans="1:12">
      <c r="A29" s="971">
        <v>22094207</v>
      </c>
      <c r="B29" s="972"/>
      <c r="C29" s="972" t="s">
        <v>18805</v>
      </c>
      <c r="D29" s="973">
        <v>800</v>
      </c>
      <c r="E29" s="973">
        <v>0</v>
      </c>
      <c r="F29" s="974"/>
      <c r="G29" s="955"/>
      <c r="H29" s="822"/>
      <c r="I29" s="76">
        <f t="shared" si="0"/>
        <v>2209</v>
      </c>
      <c r="J29" s="269">
        <f t="shared" si="1"/>
        <v>800</v>
      </c>
      <c r="K29" s="85" t="str">
        <f>IF(OR(IFERROR(VLOOKUP(I29,[7]Konfiguracja!$O$3:$O$51,1,0),0),IFERROR(VLOOKUP(I29,[7]Konfiguracja!$P$3:$P$51,1,0),0),IFERROR(VLOOKUP(I29,[7]Konfiguracja!$Q$3:$Q$51,1,0),0),IFERROR(VLOOKUP(I29,[7]Konfiguracja!$AD$3:$AD$51,1,0),0),IFERROR(VLOOKUP(I29,[7]Konfiguracja!$AE$3:$AE$51,1,0),0)),"ok","brak w bazie")</f>
        <v>ok</v>
      </c>
      <c r="L29" s="85" t="e">
        <f>VLOOKUP(I29,'[7]Kalkulator Wędzonki '!$A$5:$B$57,1,0)</f>
        <v>#N/A</v>
      </c>
    </row>
    <row r="30" spans="1:12">
      <c r="A30" s="971">
        <v>22224900</v>
      </c>
      <c r="B30" s="972"/>
      <c r="C30" s="972" t="s">
        <v>18806</v>
      </c>
      <c r="D30" s="973">
        <v>3200</v>
      </c>
      <c r="E30" s="973">
        <v>0</v>
      </c>
      <c r="F30" s="974"/>
      <c r="G30" s="955"/>
      <c r="H30" s="822"/>
      <c r="I30" s="76">
        <f t="shared" si="0"/>
        <v>2222</v>
      </c>
      <c r="J30" s="269">
        <f t="shared" si="1"/>
        <v>3200</v>
      </c>
      <c r="K30" s="85" t="str">
        <f>IF(OR(IFERROR(VLOOKUP(I30,[7]Konfiguracja!$O$3:$O$51,1,0),0),IFERROR(VLOOKUP(I30,[7]Konfiguracja!$P$3:$P$51,1,0),0),IFERROR(VLOOKUP(I30,[7]Konfiguracja!$Q$3:$Q$51,1,0),0),IFERROR(VLOOKUP(I30,[7]Konfiguracja!$AD$3:$AD$51,1,0),0),IFERROR(VLOOKUP(I30,[7]Konfiguracja!$AE$3:$AE$51,1,0),0)),"ok","brak w bazie")</f>
        <v>ok</v>
      </c>
      <c r="L30" s="85" t="e">
        <f>VLOOKUP(I30,'[7]Kalkulator Wędzonki '!$A$5:$B$57,1,0)</f>
        <v>#N/A</v>
      </c>
    </row>
    <row r="31" spans="1:12">
      <c r="A31" s="981">
        <v>22144000</v>
      </c>
      <c r="B31" s="972">
        <v>600</v>
      </c>
      <c r="C31" s="982" t="s">
        <v>18724</v>
      </c>
      <c r="D31" s="973">
        <v>1600</v>
      </c>
      <c r="E31" s="973">
        <v>0</v>
      </c>
      <c r="F31" s="983"/>
      <c r="G31" s="955" t="s">
        <v>18725</v>
      </c>
      <c r="H31" s="822"/>
      <c r="I31" s="76">
        <f t="shared" si="0"/>
        <v>2214</v>
      </c>
      <c r="J31" s="269">
        <f t="shared" si="1"/>
        <v>1600</v>
      </c>
      <c r="K31" s="85" t="str">
        <f>IF(OR(IFERROR(VLOOKUP(I31,[7]Konfiguracja!$O$3:$O$51,1,0),0),IFERROR(VLOOKUP(I31,[7]Konfiguracja!$P$3:$P$51,1,0),0),IFERROR(VLOOKUP(I31,[7]Konfiguracja!$Q$3:$Q$51,1,0),0),IFERROR(VLOOKUP(I31,[7]Konfiguracja!$AD$3:$AD$51,1,0),0),IFERROR(VLOOKUP(I31,[7]Konfiguracja!$AE$3:$AE$51,1,0),0)),"ok","brak w bazie")</f>
        <v>ok</v>
      </c>
      <c r="L31" s="85" t="e">
        <f>VLOOKUP(I31,'[7]Kalkulator Wędzonki '!$A$5:$B$57,1,0)</f>
        <v>#N/A</v>
      </c>
    </row>
    <row r="32" spans="1:12">
      <c r="A32" s="971">
        <v>23164007</v>
      </c>
      <c r="B32" s="972">
        <v>600</v>
      </c>
      <c r="C32" s="984" t="s">
        <v>8531</v>
      </c>
      <c r="D32" s="973">
        <v>5000</v>
      </c>
      <c r="E32" s="973">
        <v>0</v>
      </c>
      <c r="F32" s="974"/>
      <c r="G32" s="955"/>
      <c r="H32" s="822"/>
      <c r="I32" s="76">
        <f t="shared" si="0"/>
        <v>2316</v>
      </c>
      <c r="J32" s="269">
        <f t="shared" si="1"/>
        <v>5000</v>
      </c>
      <c r="K32" s="85" t="str">
        <f>IF(OR(IFERROR(VLOOKUP(I32,[7]Konfiguracja!$O$3:$O$51,1,0),0),IFERROR(VLOOKUP(I32,[7]Konfiguracja!$P$3:$P$51,1,0),0),IFERROR(VLOOKUP(I32,[7]Konfiguracja!$Q$3:$Q$51,1,0),0),IFERROR(VLOOKUP(I32,[7]Konfiguracja!$AD$3:$AD$51,1,0),0),IFERROR(VLOOKUP(I32,[7]Konfiguracja!$AE$3:$AE$51,1,0),0)),"ok","brak w bazie")</f>
        <v>ok</v>
      </c>
      <c r="L32" s="85" t="e">
        <f>VLOOKUP(I32,'[7]Kalkulator Wędzonki '!$A$5:$B$57,1,0)</f>
        <v>#N/A</v>
      </c>
    </row>
    <row r="33" spans="1:12">
      <c r="A33" s="971"/>
      <c r="B33" s="972"/>
      <c r="C33" s="984"/>
      <c r="D33" s="973"/>
      <c r="E33" s="973"/>
      <c r="F33" s="974"/>
      <c r="G33" s="955"/>
      <c r="H33" s="822"/>
      <c r="I33" s="76" t="e">
        <f t="shared" si="0"/>
        <v>#VALUE!</v>
      </c>
      <c r="J33" s="269">
        <f>SUM(D33:F33)</f>
        <v>0</v>
      </c>
      <c r="K33" s="85" t="str">
        <f>IF(OR(IFERROR(VLOOKUP(I33,[7]Konfiguracja!$O$3:$O$51,1,0),0),IFERROR(VLOOKUP(I33,[7]Konfiguracja!$P$3:$P$51,1,0),0),IFERROR(VLOOKUP(I33,[7]Konfiguracja!$Q$3:$Q$51,1,0),0),IFERROR(VLOOKUP(I33,[7]Konfiguracja!$AD$3:$AD$51,1,0),0),IFERROR(VLOOKUP(I33,[7]Konfiguracja!$AE$3:$AE$51,1,0),0)),"ok","brak w bazie")</f>
        <v>brak w bazie</v>
      </c>
      <c r="L33" s="85" t="e">
        <f>VLOOKUP(I33,'[7]Kalkulator Wędzonki '!$A$5:$B$57,1,0)</f>
        <v>#VALUE!</v>
      </c>
    </row>
    <row r="34" spans="1:12">
      <c r="A34" s="939"/>
      <c r="B34" s="464"/>
      <c r="C34" s="941"/>
      <c r="D34" s="477"/>
      <c r="E34" s="477"/>
      <c r="F34" s="940"/>
      <c r="G34" s="938"/>
      <c r="H34" s="822"/>
      <c r="I34" s="76" t="e">
        <f t="shared" si="0"/>
        <v>#VALUE!</v>
      </c>
      <c r="J34" s="269">
        <f t="shared" si="1"/>
        <v>0</v>
      </c>
      <c r="K34" s="85" t="str">
        <f>IF(OR(IFERROR(VLOOKUP(I34,[7]Konfiguracja!$O$3:$O$51,1,0),0),IFERROR(VLOOKUP(I34,[7]Konfiguracja!$P$3:$P$51,1,0),0),IFERROR(VLOOKUP(I34,[7]Konfiguracja!$Q$3:$Q$51,1,0),0),IFERROR(VLOOKUP(I34,[7]Konfiguracja!$AD$3:$AD$51,1,0),0),IFERROR(VLOOKUP(I34,[7]Konfiguracja!$AE$3:$AE$51,1,0),0)),"ok","brak w bazie")</f>
        <v>brak w bazie</v>
      </c>
      <c r="L34" s="85" t="e">
        <f>VLOOKUP(I34,'[7]Kalkulator Wędzonki '!$A$5:$B$57,1,0)</f>
        <v>#VALUE!</v>
      </c>
    </row>
    <row r="35" spans="1:12">
      <c r="A35" s="939"/>
      <c r="B35" s="464"/>
      <c r="C35" s="464"/>
      <c r="D35" s="477"/>
      <c r="E35" s="477"/>
      <c r="F35" s="940"/>
      <c r="G35" s="938"/>
      <c r="H35" s="822"/>
      <c r="I35" s="76" t="e">
        <f t="shared" si="0"/>
        <v>#VALUE!</v>
      </c>
      <c r="J35" s="269">
        <f t="shared" si="1"/>
        <v>0</v>
      </c>
      <c r="K35" s="85" t="str">
        <f>IF(OR(IFERROR(VLOOKUP(I35,[7]Konfiguracja!$O$3:$O$51,1,0),0),IFERROR(VLOOKUP(I35,[7]Konfiguracja!$P$3:$P$51,1,0),0),IFERROR(VLOOKUP(I35,[7]Konfiguracja!$Q$3:$Q$51,1,0),0),IFERROR(VLOOKUP(I35,[7]Konfiguracja!$AD$3:$AD$51,1,0),0),IFERROR(VLOOKUP(I35,[7]Konfiguracja!$AE$3:$AE$51,1,0),0)),"ok","brak w bazie")</f>
        <v>brak w bazie</v>
      </c>
      <c r="L35" s="85" t="e">
        <f>VLOOKUP(I35,'[7]Kalkulator Wędzonki '!$A$5:$B$57,1,0)</f>
        <v>#VALUE!</v>
      </c>
    </row>
    <row r="36" spans="1:12">
      <c r="A36" s="939"/>
      <c r="B36" s="464"/>
      <c r="C36" s="464"/>
      <c r="D36" s="477"/>
      <c r="E36" s="477"/>
      <c r="F36" s="940"/>
      <c r="G36" s="938"/>
      <c r="H36" s="468"/>
      <c r="I36" s="76" t="e">
        <f t="shared" si="0"/>
        <v>#VALUE!</v>
      </c>
      <c r="J36" s="269">
        <f t="shared" si="1"/>
        <v>0</v>
      </c>
      <c r="K36" s="85" t="str">
        <f>IF(OR(IFERROR(VLOOKUP(I36,[7]Konfiguracja!$O$3:$O$51,1,0),0),IFERROR(VLOOKUP(I36,[7]Konfiguracja!$P$3:$P$51,1,0),0),IFERROR(VLOOKUP(I36,[7]Konfiguracja!$Q$3:$Q$51,1,0),0),IFERROR(VLOOKUP(I36,[7]Konfiguracja!$AD$3:$AD$51,1,0),0),IFERROR(VLOOKUP(I36,[7]Konfiguracja!$AE$3:$AE$51,1,0),0)),"ok","brak w bazie")</f>
        <v>brak w bazie</v>
      </c>
      <c r="L36" s="85" t="e">
        <f>VLOOKUP(I36,'[7]Kalkulator Wędzonki '!$A$5:$B$57,1,0)</f>
        <v>#VALUE!</v>
      </c>
    </row>
    <row r="37" spans="1:12">
      <c r="A37" s="939"/>
      <c r="B37" s="464"/>
      <c r="C37" s="464"/>
      <c r="D37" s="477"/>
      <c r="E37" s="477"/>
      <c r="F37" s="942"/>
      <c r="G37" s="938"/>
      <c r="H37" s="468"/>
      <c r="I37" s="76" t="e">
        <f t="shared" si="0"/>
        <v>#VALUE!</v>
      </c>
      <c r="J37" s="269">
        <f t="shared" si="1"/>
        <v>0</v>
      </c>
      <c r="K37" s="85" t="str">
        <f>IF(OR(IFERROR(VLOOKUP(I37,[7]Konfiguracja!$O$3:$O$51,1,0),0),IFERROR(VLOOKUP(I37,[7]Konfiguracja!$P$3:$P$51,1,0),0),IFERROR(VLOOKUP(I37,[7]Konfiguracja!$Q$3:$Q$51,1,0),0),IFERROR(VLOOKUP(I37,[7]Konfiguracja!$AD$3:$AD$51,1,0),0),IFERROR(VLOOKUP(I37,[7]Konfiguracja!$AE$3:$AE$51,1,0),0)),"ok","brak w bazie")</f>
        <v>brak w bazie</v>
      </c>
      <c r="L37" s="85" t="e">
        <f>VLOOKUP(I37,'[7]Kalkulator Wędzonki '!$A$5:$B$57,1,0)</f>
        <v>#VALUE!</v>
      </c>
    </row>
    <row r="38" spans="1:12">
      <c r="A38" s="939"/>
      <c r="B38" s="464"/>
      <c r="C38" s="943"/>
      <c r="D38" s="477"/>
      <c r="E38" s="477"/>
      <c r="F38" s="940"/>
      <c r="G38" s="938"/>
      <c r="H38" s="468"/>
      <c r="I38" s="76" t="e">
        <f t="shared" si="0"/>
        <v>#VALUE!</v>
      </c>
      <c r="J38" s="269">
        <f t="shared" si="1"/>
        <v>0</v>
      </c>
      <c r="K38" s="85" t="str">
        <f>IF(OR(IFERROR(VLOOKUP(I38,[7]Konfiguracja!$O$3:$O$51,1,0),0),IFERROR(VLOOKUP(I38,[7]Konfiguracja!$P$3:$P$51,1,0),0),IFERROR(VLOOKUP(I38,[7]Konfiguracja!$Q$3:$Q$51,1,0),0),IFERROR(VLOOKUP(I38,[7]Konfiguracja!$AD$3:$AD$51,1,0),0),IFERROR(VLOOKUP(I38,[7]Konfiguracja!$AE$3:$AE$51,1,0),0)),"ok","brak w bazie")</f>
        <v>brak w bazie</v>
      </c>
      <c r="L38" s="85" t="e">
        <f>VLOOKUP(I38,'[7]Kalkulator Wędzonki '!$A$5:$B$57,1,0)</f>
        <v>#VALUE!</v>
      </c>
    </row>
    <row r="39" spans="1:12">
      <c r="A39" s="464"/>
      <c r="B39" s="464"/>
      <c r="C39" s="464"/>
      <c r="D39" s="477"/>
      <c r="E39" s="477"/>
      <c r="F39" s="674"/>
      <c r="G39" s="468"/>
      <c r="H39" s="468"/>
      <c r="I39" s="76" t="e">
        <f t="shared" si="0"/>
        <v>#VALUE!</v>
      </c>
      <c r="J39" s="269">
        <f t="shared" si="1"/>
        <v>0</v>
      </c>
      <c r="K39" s="85" t="str">
        <f>IF(OR(IFERROR(VLOOKUP(I39,[7]Konfiguracja!$O$3:$O$51,1,0),0),IFERROR(VLOOKUP(I39,[7]Konfiguracja!$P$3:$P$51,1,0),0),IFERROR(VLOOKUP(I39,[7]Konfiguracja!$Q$3:$Q$51,1,0),0),IFERROR(VLOOKUP(I39,[7]Konfiguracja!$AD$3:$AD$51,1,0),0),IFERROR(VLOOKUP(I39,[7]Konfiguracja!$AE$3:$AE$51,1,0),0)),"ok","brak w bazie")</f>
        <v>brak w bazie</v>
      </c>
      <c r="L39" s="85" t="e">
        <f>VLOOKUP(I39,'[7]Kalkulator Wędzonki '!$A$5:$B$57,1,0)</f>
        <v>#VALUE!</v>
      </c>
    </row>
    <row r="40" spans="1:12" ht="16.5" customHeight="1">
      <c r="A40" s="464"/>
      <c r="B40" s="464"/>
      <c r="C40" s="464"/>
      <c r="D40" s="477"/>
      <c r="E40" s="477"/>
      <c r="F40" s="674"/>
      <c r="G40" s="468"/>
      <c r="H40" s="468"/>
      <c r="I40" s="76" t="e">
        <f t="shared" si="0"/>
        <v>#VALUE!</v>
      </c>
      <c r="J40" s="269">
        <f t="shared" si="1"/>
        <v>0</v>
      </c>
      <c r="K40" s="85" t="str">
        <f>IF(OR(IFERROR(VLOOKUP(I40,[7]Konfiguracja!$O$3:$O$51,1,0),0),IFERROR(VLOOKUP(I40,[7]Konfiguracja!$P$3:$P$51,1,0),0),IFERROR(VLOOKUP(I40,[7]Konfiguracja!$Q$3:$Q$51,1,0),0),IFERROR(VLOOKUP(I40,[7]Konfiguracja!$AD$3:$AD$51,1,0),0),IFERROR(VLOOKUP(I40,[7]Konfiguracja!$AE$3:$AE$51,1,0),0)),"ok","brak w bazie")</f>
        <v>brak w bazie</v>
      </c>
      <c r="L40" s="85" t="e">
        <f>VLOOKUP(I40,'[7]Kalkulator Wędzonki '!$A$5:$B$57,1,0)</f>
        <v>#VALUE!</v>
      </c>
    </row>
    <row r="41" spans="1:12">
      <c r="A41" s="464"/>
      <c r="B41" s="464"/>
      <c r="C41" s="464"/>
      <c r="D41" s="477"/>
      <c r="E41" s="477"/>
      <c r="F41" s="674"/>
      <c r="G41" s="468"/>
      <c r="H41" s="468"/>
      <c r="I41" s="76" t="e">
        <f t="shared" si="0"/>
        <v>#VALUE!</v>
      </c>
      <c r="J41" s="269">
        <f t="shared" si="1"/>
        <v>0</v>
      </c>
      <c r="K41" s="85" t="str">
        <f>IF(OR(IFERROR(VLOOKUP(I41,[7]Konfiguracja!$O$3:$O$51,1,0),0),IFERROR(VLOOKUP(I41,[7]Konfiguracja!$P$3:$P$51,1,0),0),IFERROR(VLOOKUP(I41,[7]Konfiguracja!$Q$3:$Q$51,1,0),0),IFERROR(VLOOKUP(I41,[7]Konfiguracja!$AD$3:$AD$51,1,0),0),IFERROR(VLOOKUP(I41,[7]Konfiguracja!$AE$3:$AE$51,1,0),0)),"ok","brak w bazie")</f>
        <v>brak w bazie</v>
      </c>
      <c r="L41" s="85" t="e">
        <f>VLOOKUP(I41,'[7]Kalkulator Wędzonki '!$A$5:$B$57,1,0)</f>
        <v>#VALUE!</v>
      </c>
    </row>
    <row r="42" spans="1:12">
      <c r="A42" s="464"/>
      <c r="B42" s="464"/>
      <c r="C42" s="464"/>
      <c r="D42" s="477"/>
      <c r="E42" s="477"/>
      <c r="F42" s="674"/>
      <c r="G42" s="468"/>
      <c r="H42" s="468"/>
      <c r="I42" s="76" t="e">
        <f t="shared" si="0"/>
        <v>#VALUE!</v>
      </c>
      <c r="J42" s="269">
        <f t="shared" si="1"/>
        <v>0</v>
      </c>
      <c r="K42" s="85" t="str">
        <f>IF(OR(IFERROR(VLOOKUP(I42,[7]Konfiguracja!$O$3:$O$51,1,0),0),IFERROR(VLOOKUP(I42,[7]Konfiguracja!$P$3:$P$51,1,0),0),IFERROR(VLOOKUP(I42,[7]Konfiguracja!$Q$3:$Q$51,1,0),0),IFERROR(VLOOKUP(I42,[7]Konfiguracja!$AD$3:$AD$51,1,0),0),IFERROR(VLOOKUP(I42,[7]Konfiguracja!$AE$3:$AE$51,1,0),0)),"ok","brak w bazie")</f>
        <v>brak w bazie</v>
      </c>
      <c r="L42" s="85" t="e">
        <f>VLOOKUP(I42,'[7]Kalkulator Wędzonki '!$A$5:$B$57,1,0)</f>
        <v>#VALUE!</v>
      </c>
    </row>
    <row r="43" spans="1:12">
      <c r="A43" s="464"/>
      <c r="B43" s="464"/>
      <c r="C43" s="464"/>
      <c r="D43" s="477"/>
      <c r="E43" s="477"/>
      <c r="F43" s="674"/>
      <c r="G43" s="468"/>
      <c r="H43" s="468"/>
      <c r="I43" s="76" t="e">
        <f>MID(A43,1,4)*1</f>
        <v>#VALUE!</v>
      </c>
      <c r="J43" s="269">
        <f t="shared" si="1"/>
        <v>0</v>
      </c>
      <c r="K43" s="85" t="str">
        <f>IF(OR(IFERROR(VLOOKUP(I43,[7]Konfiguracja!$O$3:$O$51,1,0),0),IFERROR(VLOOKUP(I43,[7]Konfiguracja!$P$3:$P$51,1,0),0),IFERROR(VLOOKUP(I43,[7]Konfiguracja!$Q$3:$Q$51,1,0),0),IFERROR(VLOOKUP(I43,[7]Konfiguracja!$AD$3:$AD$51,1,0),0),IFERROR(VLOOKUP(I43,[7]Konfiguracja!$AE$3:$AE$51,1,0),0)),"ok","brak w bazie")</f>
        <v>brak w bazie</v>
      </c>
      <c r="L43" s="85" t="e">
        <f>VLOOKUP(I43,'[7]Kalkulator Wędzonki '!$A$5:$B$57,1,0)</f>
        <v>#VALUE!</v>
      </c>
    </row>
    <row r="44" spans="1:12">
      <c r="A44" s="464"/>
      <c r="B44" s="464"/>
      <c r="C44" s="464"/>
      <c r="D44" s="477"/>
      <c r="E44" s="477"/>
      <c r="F44" s="674"/>
      <c r="G44" s="468"/>
      <c r="H44" s="468"/>
      <c r="I44" s="76" t="e">
        <f t="shared" ref="I44" si="2">MID(A44,1,4)*1</f>
        <v>#VALUE!</v>
      </c>
      <c r="J44" s="269">
        <f t="shared" si="1"/>
        <v>0</v>
      </c>
      <c r="K44" s="85" t="str">
        <f>IF(OR(IFERROR(VLOOKUP(I44,[7]Konfiguracja!$O$3:$O$51,1,0),0),IFERROR(VLOOKUP(I44,[7]Konfiguracja!$P$3:$P$51,1,0),0),IFERROR(VLOOKUP(I44,[7]Konfiguracja!$Q$3:$Q$51,1,0),0),IFERROR(VLOOKUP(I44,[7]Konfiguracja!$AD$3:$AD$51,1,0),0),IFERROR(VLOOKUP(I44,[7]Konfiguracja!$AE$3:$AE$51,1,0),0)),"ok","brak w bazie")</f>
        <v>brak w bazie</v>
      </c>
      <c r="L44" s="85" t="e">
        <f>VLOOKUP(I44,'[7]Kalkulator Wędzonki '!$A$5:$B$57,1,0)</f>
        <v>#VALUE!</v>
      </c>
    </row>
    <row r="45" spans="1:12">
      <c r="A45" s="464"/>
      <c r="B45" s="464"/>
      <c r="C45" s="464"/>
      <c r="D45" s="477"/>
      <c r="E45" s="477"/>
      <c r="F45" s="674"/>
      <c r="G45" s="468"/>
      <c r="H45" s="468"/>
      <c r="I45" s="76" t="e">
        <f t="shared" ref="I45:I58" si="3">MID(A45,1,4)*1</f>
        <v>#VALUE!</v>
      </c>
      <c r="J45" s="269">
        <f t="shared" ref="J45:J58" si="4">SUM(D45:F45)</f>
        <v>0</v>
      </c>
      <c r="K45" s="85" t="str">
        <f>IF(OR(IFERROR(VLOOKUP(I45,[7]Konfiguracja!$O$3:$O$51,1,0),0),IFERROR(VLOOKUP(I45,[7]Konfiguracja!$P$3:$P$51,1,0),0),IFERROR(VLOOKUP(I45,[7]Konfiguracja!$Q$3:$Q$51,1,0),0),IFERROR(VLOOKUP(I45,[7]Konfiguracja!$AD$3:$AD$51,1,0),0),IFERROR(VLOOKUP(I45,[7]Konfiguracja!$AE$3:$AE$51,1,0),0)),"ok","brak w bazie")</f>
        <v>brak w bazie</v>
      </c>
      <c r="L45" s="85" t="e">
        <f>VLOOKUP(I45,'[7]Kalkulator Wędzonki '!$A$5:$B$57,1,0)</f>
        <v>#VALUE!</v>
      </c>
    </row>
    <row r="46" spans="1:12">
      <c r="A46" s="468"/>
      <c r="B46" s="468"/>
      <c r="C46" s="468"/>
      <c r="D46" s="470"/>
      <c r="E46" s="470"/>
      <c r="F46" s="470"/>
      <c r="G46" s="470"/>
      <c r="H46" s="468"/>
      <c r="I46" s="76" t="e">
        <f t="shared" si="3"/>
        <v>#VALUE!</v>
      </c>
      <c r="J46" s="269">
        <f t="shared" si="4"/>
        <v>0</v>
      </c>
      <c r="K46" s="85" t="str">
        <f>IF(OR(IFERROR(VLOOKUP(I46,[7]Konfiguracja!$O$3:$O$51,1,0),0),IFERROR(VLOOKUP(I46,[7]Konfiguracja!$P$3:$P$51,1,0),0),IFERROR(VLOOKUP(I46,[7]Konfiguracja!$Q$3:$Q$51,1,0),0),IFERROR(VLOOKUP(I46,[7]Konfiguracja!$AD$3:$AD$51,1,0),0),IFERROR(VLOOKUP(I46,[7]Konfiguracja!$AE$3:$AE$51,1,0),0)),"ok","brak w bazie")</f>
        <v>brak w bazie</v>
      </c>
      <c r="L46" s="85" t="e">
        <f>VLOOKUP(I46,'[7]Kalkulator Wędzonki '!$A$5:$B$57,1,0)</f>
        <v>#VALUE!</v>
      </c>
    </row>
    <row r="47" spans="1:12">
      <c r="A47" s="468"/>
      <c r="B47" s="468"/>
      <c r="C47" s="468"/>
      <c r="D47" s="469"/>
      <c r="E47" s="470"/>
      <c r="F47" s="469"/>
      <c r="G47" s="470"/>
      <c r="H47" s="233"/>
      <c r="I47" s="76" t="e">
        <f t="shared" si="3"/>
        <v>#VALUE!</v>
      </c>
      <c r="J47" s="269">
        <f t="shared" si="4"/>
        <v>0</v>
      </c>
      <c r="K47" s="85" t="str">
        <f>IF(OR(IFERROR(VLOOKUP(I47,[7]Konfiguracja!$O$3:$O$51,1,0),0),IFERROR(VLOOKUP(I47,[7]Konfiguracja!$P$3:$P$51,1,0),0),IFERROR(VLOOKUP(I47,[7]Konfiguracja!$Q$3:$Q$51,1,0),0),IFERROR(VLOOKUP(I47,[7]Konfiguracja!$AD$3:$AD$51,1,0),0),IFERROR(VLOOKUP(I47,[7]Konfiguracja!$AE$3:$AE$51,1,0),0)),"ok","brak w bazie")</f>
        <v>brak w bazie</v>
      </c>
      <c r="L47" s="85" t="e">
        <f>VLOOKUP(I47,'[7]Kalkulator Wędzonki '!$A$5:$B$57,1,0)</f>
        <v>#VALUE!</v>
      </c>
    </row>
    <row r="48" spans="1:12">
      <c r="A48" s="468"/>
      <c r="B48" s="468"/>
      <c r="C48" s="468"/>
      <c r="D48" s="470"/>
      <c r="E48" s="470"/>
      <c r="F48" s="469"/>
      <c r="G48" s="470"/>
      <c r="H48" s="233"/>
      <c r="I48" s="76" t="e">
        <f t="shared" si="3"/>
        <v>#VALUE!</v>
      </c>
      <c r="J48" s="269">
        <f t="shared" si="4"/>
        <v>0</v>
      </c>
      <c r="K48" s="85" t="str">
        <f>IF(OR(IFERROR(VLOOKUP(I48,[7]Konfiguracja!$O$3:$O$51,1,0),0),IFERROR(VLOOKUP(I48,[7]Konfiguracja!$P$3:$P$51,1,0),0),IFERROR(VLOOKUP(I48,[7]Konfiguracja!$Q$3:$Q$51,1,0),0),IFERROR(VLOOKUP(I48,[7]Konfiguracja!$AD$3:$AD$51,1,0),0),IFERROR(VLOOKUP(I48,[7]Konfiguracja!$AE$3:$AE$51,1,0),0)),"ok","brak w bazie")</f>
        <v>brak w bazie</v>
      </c>
      <c r="L48" s="85" t="e">
        <f>VLOOKUP(I48,'[7]Kalkulator Wędzonki '!$A$5:$B$57,1,0)</f>
        <v>#VALUE!</v>
      </c>
    </row>
    <row r="49" spans="1:12">
      <c r="A49" s="468"/>
      <c r="B49" s="468"/>
      <c r="C49" s="468"/>
      <c r="D49" s="470"/>
      <c r="E49" s="470"/>
      <c r="F49" s="470"/>
      <c r="G49" s="470"/>
      <c r="H49" s="233"/>
      <c r="I49" s="76" t="e">
        <f t="shared" si="3"/>
        <v>#VALUE!</v>
      </c>
      <c r="J49" s="269">
        <f t="shared" si="4"/>
        <v>0</v>
      </c>
      <c r="K49" s="85" t="str">
        <f>IF(OR(IFERROR(VLOOKUP(I49,[7]Konfiguracja!$O$3:$O$51,1,0),0),IFERROR(VLOOKUP(I49,[7]Konfiguracja!$P$3:$P$51,1,0),0),IFERROR(VLOOKUP(I49,[7]Konfiguracja!$Q$3:$Q$51,1,0),0),IFERROR(VLOOKUP(I49,[7]Konfiguracja!$AD$3:$AD$51,1,0),0),IFERROR(VLOOKUP(I49,[7]Konfiguracja!$AE$3:$AE$51,1,0),0)),"ok","brak w bazie")</f>
        <v>brak w bazie</v>
      </c>
      <c r="L49" s="85" t="e">
        <f>VLOOKUP(I49,'[7]Kalkulator Wędzonki '!$A$5:$B$57,1,0)</f>
        <v>#VALUE!</v>
      </c>
    </row>
    <row r="50" spans="1:12">
      <c r="A50" s="468"/>
      <c r="B50" s="468"/>
      <c r="C50" s="468"/>
      <c r="D50" s="470"/>
      <c r="E50" s="470"/>
      <c r="F50" s="470"/>
      <c r="G50" s="470"/>
      <c r="H50" s="233"/>
      <c r="I50" s="76" t="e">
        <f t="shared" si="3"/>
        <v>#VALUE!</v>
      </c>
      <c r="J50" s="269">
        <f t="shared" si="4"/>
        <v>0</v>
      </c>
      <c r="K50" s="85" t="str">
        <f>IF(OR(IFERROR(VLOOKUP(I50,[7]Konfiguracja!$O$3:$O$51,1,0),0),IFERROR(VLOOKUP(I50,[7]Konfiguracja!$P$3:$P$51,1,0),0),IFERROR(VLOOKUP(I50,[7]Konfiguracja!$Q$3:$Q$51,1,0),0),IFERROR(VLOOKUP(I50,[7]Konfiguracja!$AD$3:$AD$51,1,0),0),IFERROR(VLOOKUP(I50,[7]Konfiguracja!$AE$3:$AE$51,1,0),0)),"ok","brak w bazie")</f>
        <v>brak w bazie</v>
      </c>
      <c r="L50" s="85" t="e">
        <f>VLOOKUP(I50,'[7]Kalkulator Wędzonki '!$A$5:$B$57,1,0)</f>
        <v>#VALUE!</v>
      </c>
    </row>
    <row r="51" spans="1:12">
      <c r="A51" s="356"/>
      <c r="B51" s="356"/>
      <c r="C51" s="357"/>
      <c r="D51" s="471"/>
      <c r="E51" s="470"/>
      <c r="F51" s="469"/>
      <c r="G51" s="470"/>
      <c r="H51" s="233"/>
      <c r="I51" s="76" t="e">
        <f t="shared" si="3"/>
        <v>#VALUE!</v>
      </c>
      <c r="J51" s="269">
        <f t="shared" si="4"/>
        <v>0</v>
      </c>
      <c r="K51" s="85" t="str">
        <f>IF(OR(IFERROR(VLOOKUP(I51,[7]Konfiguracja!$O$3:$O$51,1,0),0),IFERROR(VLOOKUP(I51,[7]Konfiguracja!$P$3:$P$51,1,0),0),IFERROR(VLOOKUP(I51,[7]Konfiguracja!$Q$3:$Q$51,1,0),0),IFERROR(VLOOKUP(I51,[7]Konfiguracja!$AD$3:$AD$51,1,0),0),IFERROR(VLOOKUP(I51,[7]Konfiguracja!$AE$3:$AE$51,1,0),0)),"ok","brak w bazie")</f>
        <v>brak w bazie</v>
      </c>
      <c r="L51" s="85" t="e">
        <f>VLOOKUP(I51,'[7]Kalkulator Wędzonki '!$A$5:$B$57,1,0)</f>
        <v>#VALUE!</v>
      </c>
    </row>
    <row r="52" spans="1:12">
      <c r="A52" s="468"/>
      <c r="B52" s="468"/>
      <c r="C52" s="468"/>
      <c r="D52" s="470"/>
      <c r="E52" s="470"/>
      <c r="F52" s="470"/>
      <c r="G52" s="470"/>
      <c r="H52" s="233"/>
      <c r="I52" s="76" t="e">
        <f t="shared" si="3"/>
        <v>#VALUE!</v>
      </c>
      <c r="J52" s="269">
        <f t="shared" si="4"/>
        <v>0</v>
      </c>
      <c r="K52" s="85" t="str">
        <f>IF(OR(IFERROR(VLOOKUP(I52,[7]Konfiguracja!$O$3:$O$51,1,0),0),IFERROR(VLOOKUP(I52,[7]Konfiguracja!$P$3:$P$51,1,0),0),IFERROR(VLOOKUP(I52,[7]Konfiguracja!$Q$3:$Q$51,1,0),0),IFERROR(VLOOKUP(I52,[7]Konfiguracja!$AD$3:$AD$51,1,0),0),IFERROR(VLOOKUP(I52,[7]Konfiguracja!$AE$3:$AE$51,1,0),0)),"ok","brak w bazie")</f>
        <v>brak w bazie</v>
      </c>
      <c r="L52" s="85" t="e">
        <f>VLOOKUP(I52,'[7]Kalkulator Wędzonki '!$A$5:$B$57,1,0)</f>
        <v>#VALUE!</v>
      </c>
    </row>
    <row r="53" spans="1:12">
      <c r="A53" s="468"/>
      <c r="B53" s="468"/>
      <c r="C53" s="468"/>
      <c r="D53" s="470"/>
      <c r="E53" s="470"/>
      <c r="F53" s="469"/>
      <c r="G53" s="470"/>
      <c r="H53" s="233"/>
      <c r="I53" s="76" t="e">
        <f t="shared" si="3"/>
        <v>#VALUE!</v>
      </c>
      <c r="J53" s="269">
        <f t="shared" si="4"/>
        <v>0</v>
      </c>
      <c r="K53" s="85" t="str">
        <f>IF(OR(IFERROR(VLOOKUP(I53,[7]Konfiguracja!$O$3:$O$51,1,0),0),IFERROR(VLOOKUP(I53,[7]Konfiguracja!$P$3:$P$51,1,0),0),IFERROR(VLOOKUP(I53,[7]Konfiguracja!$Q$3:$Q$51,1,0),0),IFERROR(VLOOKUP(I53,[7]Konfiguracja!$AD$3:$AD$51,1,0),0),IFERROR(VLOOKUP(I53,[7]Konfiguracja!$AE$3:$AE$51,1,0),0)),"ok","brak w bazie")</f>
        <v>brak w bazie</v>
      </c>
      <c r="L53" s="85" t="e">
        <f>VLOOKUP(I53,'[7]Kalkulator Wędzonki '!$A$5:$B$57,1,0)</f>
        <v>#VALUE!</v>
      </c>
    </row>
    <row r="54" spans="1:12">
      <c r="A54" s="472"/>
      <c r="B54" s="675"/>
      <c r="C54" s="473"/>
      <c r="D54" s="471"/>
      <c r="E54" s="470"/>
      <c r="F54" s="469"/>
      <c r="G54" s="470"/>
      <c r="H54" s="233"/>
      <c r="I54" s="76" t="e">
        <f t="shared" si="3"/>
        <v>#VALUE!</v>
      </c>
      <c r="J54" s="269">
        <f t="shared" si="4"/>
        <v>0</v>
      </c>
      <c r="K54" s="85" t="str">
        <f>IF(OR(IFERROR(VLOOKUP(I54,[7]Konfiguracja!$O$3:$O$51,1,0),0),IFERROR(VLOOKUP(I54,[7]Konfiguracja!$P$3:$P$51,1,0),0),IFERROR(VLOOKUP(I54,[7]Konfiguracja!$Q$3:$Q$51,1,0),0),IFERROR(VLOOKUP(I54,[7]Konfiguracja!$AD$3:$AD$51,1,0),0),IFERROR(VLOOKUP(I54,[7]Konfiguracja!$AE$3:$AE$51,1,0),0)),"ok","brak w bazie")</f>
        <v>brak w bazie</v>
      </c>
      <c r="L54" s="85" t="e">
        <f>VLOOKUP(I54,'[7]Kalkulator Wędzonki '!$A$5:$B$57,1,0)</f>
        <v>#VALUE!</v>
      </c>
    </row>
    <row r="55" spans="1:12">
      <c r="A55" s="474"/>
      <c r="B55" s="474"/>
      <c r="C55" s="473"/>
      <c r="D55" s="470"/>
      <c r="E55" s="470"/>
      <c r="F55" s="469"/>
      <c r="G55" s="470"/>
      <c r="H55" s="233"/>
      <c r="I55" s="76" t="e">
        <f t="shared" si="3"/>
        <v>#VALUE!</v>
      </c>
      <c r="J55" s="269">
        <f t="shared" si="4"/>
        <v>0</v>
      </c>
      <c r="K55" s="85" t="str">
        <f>IF(OR(IFERROR(VLOOKUP(I55,[7]Konfiguracja!$O$3:$O$51,1,0),0),IFERROR(VLOOKUP(I55,[7]Konfiguracja!$P$3:$P$51,1,0),0),IFERROR(VLOOKUP(I55,[7]Konfiguracja!$Q$3:$Q$51,1,0),0),IFERROR(VLOOKUP(I55,[7]Konfiguracja!$AD$3:$AD$51,1,0),0),IFERROR(VLOOKUP(I55,[7]Konfiguracja!$AE$3:$AE$51,1,0),0)),"ok","brak w bazie")</f>
        <v>brak w bazie</v>
      </c>
      <c r="L55" s="85" t="e">
        <f>VLOOKUP(I55,'[7]Kalkulator Wędzonki '!$A$5:$B$57,1,0)</f>
        <v>#VALUE!</v>
      </c>
    </row>
    <row r="56" spans="1:12">
      <c r="A56" s="474"/>
      <c r="B56" s="474"/>
      <c r="C56" s="473"/>
      <c r="D56" s="470"/>
      <c r="E56" s="470"/>
      <c r="F56" s="469"/>
      <c r="G56" s="470"/>
      <c r="H56" s="233"/>
      <c r="I56" s="76" t="e">
        <f t="shared" si="3"/>
        <v>#VALUE!</v>
      </c>
      <c r="J56" s="269">
        <f t="shared" si="4"/>
        <v>0</v>
      </c>
      <c r="K56" s="85" t="str">
        <f>IF(OR(IFERROR(VLOOKUP(I56,[7]Konfiguracja!$O$3:$O$51,1,0),0),IFERROR(VLOOKUP(I56,[7]Konfiguracja!$P$3:$P$51,1,0),0),IFERROR(VLOOKUP(I56,[7]Konfiguracja!$Q$3:$Q$51,1,0),0),IFERROR(VLOOKUP(I56,[7]Konfiguracja!$AD$3:$AD$51,1,0),0),IFERROR(VLOOKUP(I56,[7]Konfiguracja!$AE$3:$AE$51,1,0),0)),"ok","brak w bazie")</f>
        <v>brak w bazie</v>
      </c>
      <c r="L56" s="85" t="e">
        <f>VLOOKUP(I56,'[7]Kalkulator Wędzonki '!$A$5:$B$57,1,0)</f>
        <v>#VALUE!</v>
      </c>
    </row>
    <row r="57" spans="1:12">
      <c r="A57" s="468"/>
      <c r="B57" s="468"/>
      <c r="C57" s="468"/>
      <c r="D57" s="468"/>
      <c r="E57" s="468"/>
      <c r="F57" s="468"/>
      <c r="G57" s="468"/>
      <c r="H57" s="233"/>
      <c r="I57" s="76" t="e">
        <f t="shared" si="3"/>
        <v>#VALUE!</v>
      </c>
      <c r="J57" s="269">
        <f t="shared" si="4"/>
        <v>0</v>
      </c>
      <c r="K57" s="85" t="str">
        <f>IF(OR(IFERROR(VLOOKUP(I57,[7]Konfiguracja!$O$3:$O$51,1,0),0),IFERROR(VLOOKUP(I57,[7]Konfiguracja!$P$3:$P$51,1,0),0),IFERROR(VLOOKUP(I57,[7]Konfiguracja!$Q$3:$Q$51,1,0),0),IFERROR(VLOOKUP(I57,[7]Konfiguracja!$AD$3:$AD$51,1,0),0),IFERROR(VLOOKUP(I57,[7]Konfiguracja!$AE$3:$AE$51,1,0),0)),"ok","brak w bazie")</f>
        <v>brak w bazie</v>
      </c>
      <c r="L57" s="85" t="e">
        <f>VLOOKUP(I57,'[7]Kalkulator Wędzonki '!$A$5:$B$57,1,0)</f>
        <v>#VALUE!</v>
      </c>
    </row>
    <row r="58" spans="1:12">
      <c r="A58" s="468"/>
      <c r="B58" s="468"/>
      <c r="C58" s="468"/>
      <c r="D58" s="468"/>
      <c r="E58" s="468"/>
      <c r="F58" s="468"/>
      <c r="G58" s="468"/>
      <c r="H58" s="233"/>
      <c r="I58" s="76" t="e">
        <f t="shared" si="3"/>
        <v>#VALUE!</v>
      </c>
      <c r="J58" s="269">
        <f t="shared" si="4"/>
        <v>0</v>
      </c>
      <c r="K58" s="85" t="str">
        <f>IF(OR(IFERROR(VLOOKUP(I58,[7]Konfiguracja!$O$3:$O$51,1,0),0),IFERROR(VLOOKUP(I58,[7]Konfiguracja!$P$3:$P$51,1,0),0),IFERROR(VLOOKUP(I58,[7]Konfiguracja!$Q$3:$Q$51,1,0),0),IFERROR(VLOOKUP(I58,[7]Konfiguracja!$AD$3:$AD$51,1,0),0),IFERROR(VLOOKUP(I58,[7]Konfiguracja!$AE$3:$AE$51,1,0),0)),"ok","brak w bazie")</f>
        <v>brak w bazie</v>
      </c>
      <c r="L58" s="85" t="e">
        <f>VLOOKUP(I58,'[7]Kalkulator Wędzonki '!$A$5:$B$57,1,0)</f>
        <v>#VALUE!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79E88-C945-4B8C-8C23-6279D2DE3E9B}">
  <sheetPr codeName="Arkusz19"/>
  <dimension ref="A1:N16071"/>
  <sheetViews>
    <sheetView topLeftCell="A987" workbookViewId="0">
      <selection activeCell="C1012" sqref="C1012"/>
    </sheetView>
  </sheetViews>
  <sheetFormatPr defaultRowHeight="15"/>
  <cols>
    <col min="1" max="1" width="9" bestFit="1" customWidth="1"/>
    <col min="2" max="2" width="8" bestFit="1" customWidth="1"/>
    <col min="3" max="3" width="47.42578125" bestFit="1" customWidth="1"/>
    <col min="4" max="4" width="5.42578125" bestFit="1" customWidth="1"/>
    <col min="5" max="5" width="6" bestFit="1" customWidth="1"/>
    <col min="6" max="6" width="12" bestFit="1" customWidth="1"/>
    <col min="7" max="7" width="9" bestFit="1" customWidth="1"/>
    <col min="8" max="8" width="22.42578125" bestFit="1" customWidth="1"/>
    <col min="9" max="9" width="8.42578125" bestFit="1" customWidth="1"/>
    <col min="10" max="10" width="6.5703125" bestFit="1" customWidth="1"/>
    <col min="11" max="11" width="7.5703125" bestFit="1" customWidth="1"/>
    <col min="12" max="12" width="60.5703125" bestFit="1" customWidth="1"/>
    <col min="13" max="13" width="6.5703125" bestFit="1" customWidth="1"/>
  </cols>
  <sheetData>
    <row r="1" spans="1:14">
      <c r="A1" t="s">
        <v>68</v>
      </c>
      <c r="B1" t="s">
        <v>331</v>
      </c>
      <c r="C1" t="s">
        <v>429</v>
      </c>
      <c r="D1" t="s">
        <v>430</v>
      </c>
      <c r="E1" t="s">
        <v>431</v>
      </c>
      <c r="F1" t="s">
        <v>432</v>
      </c>
      <c r="G1" t="s">
        <v>433</v>
      </c>
      <c r="H1" t="s">
        <v>434</v>
      </c>
      <c r="I1" t="s">
        <v>435</v>
      </c>
      <c r="J1" t="s">
        <v>436</v>
      </c>
      <c r="K1" t="s">
        <v>437</v>
      </c>
      <c r="L1" t="s">
        <v>438</v>
      </c>
      <c r="M1" t="s">
        <v>439</v>
      </c>
    </row>
    <row r="2" spans="1:14">
      <c r="A2" t="s">
        <v>68</v>
      </c>
      <c r="B2" t="s">
        <v>331</v>
      </c>
      <c r="C2" t="s">
        <v>429</v>
      </c>
      <c r="D2" t="s">
        <v>430</v>
      </c>
      <c r="E2" t="s">
        <v>431</v>
      </c>
      <c r="F2" t="s">
        <v>432</v>
      </c>
      <c r="G2" t="s">
        <v>433</v>
      </c>
      <c r="H2" t="s">
        <v>434</v>
      </c>
      <c r="I2" t="s">
        <v>435</v>
      </c>
      <c r="J2" t="s">
        <v>436</v>
      </c>
      <c r="K2" t="s">
        <v>437</v>
      </c>
      <c r="L2" t="s">
        <v>438</v>
      </c>
      <c r="M2" t="s">
        <v>439</v>
      </c>
      <c r="N2" t="s">
        <v>17347</v>
      </c>
    </row>
    <row r="3" spans="1:14">
      <c r="A3">
        <v>1000</v>
      </c>
      <c r="C3" t="s">
        <v>440</v>
      </c>
      <c r="D3" t="s">
        <v>441</v>
      </c>
      <c r="E3" t="s">
        <v>442</v>
      </c>
      <c r="F3">
        <v>0</v>
      </c>
      <c r="G3">
        <v>0</v>
      </c>
      <c r="I3">
        <v>365</v>
      </c>
    </row>
    <row r="4" spans="1:14">
      <c r="A4">
        <v>2000</v>
      </c>
      <c r="C4" t="s">
        <v>443</v>
      </c>
      <c r="D4" t="s">
        <v>441</v>
      </c>
      <c r="E4" t="s">
        <v>442</v>
      </c>
      <c r="F4">
        <v>0</v>
      </c>
      <c r="G4">
        <v>0</v>
      </c>
      <c r="I4">
        <v>365</v>
      </c>
    </row>
    <row r="5" spans="1:14">
      <c r="A5">
        <v>3000</v>
      </c>
      <c r="C5" t="s">
        <v>444</v>
      </c>
      <c r="D5" t="s">
        <v>441</v>
      </c>
      <c r="E5" t="s">
        <v>442</v>
      </c>
      <c r="F5">
        <v>0</v>
      </c>
      <c r="G5">
        <v>0</v>
      </c>
      <c r="I5">
        <v>365</v>
      </c>
    </row>
    <row r="6" spans="1:14">
      <c r="A6">
        <v>4000</v>
      </c>
      <c r="C6" t="s">
        <v>8547</v>
      </c>
      <c r="D6" t="s">
        <v>441</v>
      </c>
      <c r="E6" t="s">
        <v>442</v>
      </c>
      <c r="F6">
        <v>0</v>
      </c>
      <c r="G6">
        <v>0</v>
      </c>
      <c r="I6">
        <v>365</v>
      </c>
    </row>
    <row r="7" spans="1:14">
      <c r="A7">
        <v>242200</v>
      </c>
      <c r="B7">
        <v>3008844</v>
      </c>
      <c r="C7" t="s">
        <v>8548</v>
      </c>
      <c r="D7" t="s">
        <v>441</v>
      </c>
      <c r="F7">
        <v>0</v>
      </c>
      <c r="G7">
        <v>0.39</v>
      </c>
      <c r="H7" t="s">
        <v>8549</v>
      </c>
      <c r="I7">
        <v>5</v>
      </c>
      <c r="J7" t="s">
        <v>445</v>
      </c>
      <c r="K7" t="s">
        <v>446</v>
      </c>
      <c r="M7">
        <v>2390</v>
      </c>
    </row>
    <row r="8" spans="1:14">
      <c r="A8">
        <v>610000</v>
      </c>
      <c r="C8" t="s">
        <v>8550</v>
      </c>
      <c r="D8" t="s">
        <v>441</v>
      </c>
      <c r="E8" t="s">
        <v>442</v>
      </c>
      <c r="F8">
        <v>0</v>
      </c>
      <c r="G8">
        <v>0</v>
      </c>
      <c r="I8">
        <v>0</v>
      </c>
      <c r="M8">
        <v>2100</v>
      </c>
    </row>
    <row r="9" spans="1:14">
      <c r="A9">
        <v>620000</v>
      </c>
      <c r="C9" t="s">
        <v>8551</v>
      </c>
      <c r="D9" t="s">
        <v>441</v>
      </c>
      <c r="E9" t="s">
        <v>442</v>
      </c>
      <c r="F9">
        <v>0</v>
      </c>
      <c r="G9">
        <v>0</v>
      </c>
      <c r="I9">
        <v>0</v>
      </c>
      <c r="M9">
        <v>2100</v>
      </c>
    </row>
    <row r="10" spans="1:14">
      <c r="A10">
        <v>630000</v>
      </c>
      <c r="C10" t="s">
        <v>8552</v>
      </c>
      <c r="D10" t="s">
        <v>441</v>
      </c>
      <c r="E10" t="s">
        <v>442</v>
      </c>
      <c r="F10">
        <v>0</v>
      </c>
      <c r="G10">
        <v>0</v>
      </c>
      <c r="I10">
        <v>0</v>
      </c>
      <c r="M10">
        <v>2100</v>
      </c>
    </row>
    <row r="11" spans="1:14">
      <c r="A11">
        <v>640000</v>
      </c>
      <c r="C11" t="s">
        <v>8553</v>
      </c>
      <c r="D11" t="s">
        <v>441</v>
      </c>
      <c r="E11" t="s">
        <v>442</v>
      </c>
      <c r="F11">
        <v>0</v>
      </c>
      <c r="G11">
        <v>0</v>
      </c>
      <c r="I11">
        <v>0</v>
      </c>
      <c r="M11">
        <v>2100</v>
      </c>
    </row>
    <row r="12" spans="1:14">
      <c r="A12">
        <v>650000</v>
      </c>
      <c r="C12" t="s">
        <v>8554</v>
      </c>
      <c r="D12" t="s">
        <v>441</v>
      </c>
      <c r="E12" t="s">
        <v>442</v>
      </c>
      <c r="F12">
        <v>0</v>
      </c>
      <c r="G12">
        <v>0</v>
      </c>
      <c r="I12">
        <v>0</v>
      </c>
      <c r="M12">
        <v>2100</v>
      </c>
    </row>
    <row r="13" spans="1:14">
      <c r="A13">
        <v>660000</v>
      </c>
      <c r="C13" t="s">
        <v>8555</v>
      </c>
      <c r="D13" t="s">
        <v>441</v>
      </c>
      <c r="E13" t="s">
        <v>442</v>
      </c>
      <c r="F13">
        <v>0</v>
      </c>
      <c r="G13">
        <v>0</v>
      </c>
      <c r="I13">
        <v>0</v>
      </c>
      <c r="M13">
        <v>2100</v>
      </c>
    </row>
    <row r="14" spans="1:14">
      <c r="A14">
        <v>680000</v>
      </c>
      <c r="C14" t="s">
        <v>8556</v>
      </c>
      <c r="D14" t="s">
        <v>441</v>
      </c>
      <c r="E14" t="s">
        <v>442</v>
      </c>
      <c r="F14">
        <v>0</v>
      </c>
      <c r="G14">
        <v>0</v>
      </c>
      <c r="I14">
        <v>0</v>
      </c>
      <c r="M14">
        <v>2100</v>
      </c>
    </row>
    <row r="15" spans="1:14">
      <c r="A15">
        <v>690000</v>
      </c>
      <c r="C15" t="s">
        <v>8557</v>
      </c>
      <c r="D15" t="s">
        <v>441</v>
      </c>
      <c r="E15" t="s">
        <v>442</v>
      </c>
      <c r="F15">
        <v>0</v>
      </c>
      <c r="G15">
        <v>0</v>
      </c>
      <c r="I15">
        <v>0</v>
      </c>
      <c r="M15">
        <v>2100</v>
      </c>
    </row>
    <row r="16" spans="1:14">
      <c r="A16">
        <v>900000</v>
      </c>
      <c r="C16" t="s">
        <v>8558</v>
      </c>
      <c r="D16" t="s">
        <v>441</v>
      </c>
      <c r="E16" t="s">
        <v>442</v>
      </c>
      <c r="F16">
        <v>0</v>
      </c>
      <c r="G16">
        <v>0</v>
      </c>
      <c r="I16">
        <v>0</v>
      </c>
    </row>
    <row r="17" spans="1:14">
      <c r="A17">
        <v>910000</v>
      </c>
      <c r="C17" t="s">
        <v>8559</v>
      </c>
      <c r="D17" t="s">
        <v>441</v>
      </c>
      <c r="E17" t="s">
        <v>442</v>
      </c>
      <c r="F17">
        <v>0</v>
      </c>
      <c r="G17">
        <v>0</v>
      </c>
      <c r="I17">
        <v>0</v>
      </c>
    </row>
    <row r="18" spans="1:14">
      <c r="A18">
        <v>920000</v>
      </c>
      <c r="C18" t="s">
        <v>8560</v>
      </c>
      <c r="D18" t="s">
        <v>441</v>
      </c>
      <c r="E18" t="s">
        <v>442</v>
      </c>
      <c r="F18">
        <v>0</v>
      </c>
      <c r="G18">
        <v>0</v>
      </c>
      <c r="I18">
        <v>0</v>
      </c>
    </row>
    <row r="19" spans="1:14">
      <c r="A19">
        <v>1000631</v>
      </c>
      <c r="B19">
        <v>1000631</v>
      </c>
      <c r="C19" t="s">
        <v>8561</v>
      </c>
      <c r="D19" t="s">
        <v>441</v>
      </c>
      <c r="E19" t="s">
        <v>442</v>
      </c>
      <c r="F19">
        <v>1</v>
      </c>
      <c r="G19">
        <v>0</v>
      </c>
      <c r="H19" t="s">
        <v>8562</v>
      </c>
      <c r="I19">
        <v>180</v>
      </c>
      <c r="J19" t="s">
        <v>447</v>
      </c>
      <c r="M19">
        <v>2101</v>
      </c>
      <c r="N19" t="s">
        <v>15973</v>
      </c>
    </row>
    <row r="20" spans="1:14">
      <c r="A20">
        <v>1000632</v>
      </c>
      <c r="B20">
        <v>1000632</v>
      </c>
      <c r="C20" t="s">
        <v>8563</v>
      </c>
      <c r="D20" t="s">
        <v>441</v>
      </c>
      <c r="E20" t="s">
        <v>442</v>
      </c>
      <c r="F20">
        <v>1</v>
      </c>
      <c r="G20">
        <v>0</v>
      </c>
      <c r="H20" t="s">
        <v>8562</v>
      </c>
      <c r="I20">
        <v>180</v>
      </c>
      <c r="J20" t="s">
        <v>447</v>
      </c>
      <c r="M20">
        <v>2101</v>
      </c>
      <c r="N20" t="s">
        <v>15973</v>
      </c>
    </row>
    <row r="21" spans="1:14">
      <c r="A21">
        <v>1000633</v>
      </c>
      <c r="B21">
        <v>1000633</v>
      </c>
      <c r="C21" t="s">
        <v>8564</v>
      </c>
      <c r="D21" t="s">
        <v>441</v>
      </c>
      <c r="E21" t="s">
        <v>442</v>
      </c>
      <c r="F21">
        <v>1</v>
      </c>
      <c r="G21">
        <v>0</v>
      </c>
      <c r="H21" t="s">
        <v>8562</v>
      </c>
      <c r="I21">
        <v>180</v>
      </c>
      <c r="J21" t="s">
        <v>447</v>
      </c>
      <c r="M21">
        <v>2101</v>
      </c>
      <c r="N21" t="s">
        <v>15973</v>
      </c>
    </row>
    <row r="22" spans="1:14">
      <c r="A22">
        <v>1000634</v>
      </c>
      <c r="B22">
        <v>1000634</v>
      </c>
      <c r="C22" t="s">
        <v>8565</v>
      </c>
      <c r="D22" t="s">
        <v>441</v>
      </c>
      <c r="E22" t="s">
        <v>442</v>
      </c>
      <c r="F22">
        <v>1</v>
      </c>
      <c r="G22">
        <v>0</v>
      </c>
      <c r="H22" t="s">
        <v>8562</v>
      </c>
      <c r="I22">
        <v>180</v>
      </c>
      <c r="J22" t="s">
        <v>447</v>
      </c>
      <c r="K22" t="s">
        <v>446</v>
      </c>
      <c r="M22">
        <v>2101</v>
      </c>
    </row>
    <row r="23" spans="1:14">
      <c r="A23">
        <v>1000636</v>
      </c>
      <c r="B23">
        <v>1000636</v>
      </c>
      <c r="C23" t="s">
        <v>8566</v>
      </c>
      <c r="D23" t="s">
        <v>441</v>
      </c>
      <c r="E23" t="s">
        <v>442</v>
      </c>
      <c r="F23">
        <v>1</v>
      </c>
      <c r="G23">
        <v>0</v>
      </c>
      <c r="H23" t="s">
        <v>8562</v>
      </c>
      <c r="I23">
        <v>180</v>
      </c>
      <c r="J23" t="s">
        <v>447</v>
      </c>
      <c r="M23">
        <v>2101</v>
      </c>
      <c r="N23" t="s">
        <v>15973</v>
      </c>
    </row>
    <row r="24" spans="1:14">
      <c r="A24">
        <v>1000637</v>
      </c>
      <c r="B24">
        <v>1000637</v>
      </c>
      <c r="C24" t="s">
        <v>8567</v>
      </c>
      <c r="D24" t="s">
        <v>441</v>
      </c>
      <c r="E24" t="s">
        <v>442</v>
      </c>
      <c r="F24">
        <v>1</v>
      </c>
      <c r="G24">
        <v>0</v>
      </c>
      <c r="H24" t="s">
        <v>8562</v>
      </c>
      <c r="I24">
        <v>180</v>
      </c>
      <c r="J24" t="s">
        <v>447</v>
      </c>
      <c r="M24">
        <v>2101</v>
      </c>
      <c r="N24" t="s">
        <v>15973</v>
      </c>
    </row>
    <row r="25" spans="1:14">
      <c r="A25">
        <v>1000638</v>
      </c>
      <c r="B25">
        <v>1000638</v>
      </c>
      <c r="C25" t="s">
        <v>8568</v>
      </c>
      <c r="D25" t="s">
        <v>441</v>
      </c>
      <c r="E25" t="s">
        <v>442</v>
      </c>
      <c r="F25">
        <v>1</v>
      </c>
      <c r="G25">
        <v>0</v>
      </c>
      <c r="H25" t="s">
        <v>8562</v>
      </c>
      <c r="I25">
        <v>180</v>
      </c>
      <c r="J25" t="s">
        <v>447</v>
      </c>
      <c r="M25">
        <v>2101</v>
      </c>
      <c r="N25" t="s">
        <v>15973</v>
      </c>
    </row>
    <row r="26" spans="1:14">
      <c r="A26">
        <v>1000639</v>
      </c>
      <c r="B26">
        <v>1000639</v>
      </c>
      <c r="C26" t="s">
        <v>8569</v>
      </c>
      <c r="D26" t="s">
        <v>441</v>
      </c>
      <c r="E26" t="s">
        <v>442</v>
      </c>
      <c r="F26">
        <v>1</v>
      </c>
      <c r="G26">
        <v>0</v>
      </c>
      <c r="H26" t="s">
        <v>8562</v>
      </c>
      <c r="I26">
        <v>180</v>
      </c>
      <c r="J26" t="s">
        <v>447</v>
      </c>
      <c r="M26">
        <v>2101</v>
      </c>
      <c r="N26" t="s">
        <v>15973</v>
      </c>
    </row>
    <row r="27" spans="1:14">
      <c r="A27">
        <v>1000640</v>
      </c>
      <c r="B27">
        <v>1000640</v>
      </c>
      <c r="C27" t="s">
        <v>8570</v>
      </c>
      <c r="D27" t="s">
        <v>441</v>
      </c>
      <c r="E27" t="s">
        <v>442</v>
      </c>
      <c r="F27">
        <v>1</v>
      </c>
      <c r="G27">
        <v>0</v>
      </c>
      <c r="H27" t="s">
        <v>8562</v>
      </c>
      <c r="I27">
        <v>180</v>
      </c>
      <c r="J27" t="s">
        <v>447</v>
      </c>
      <c r="M27">
        <v>2101</v>
      </c>
      <c r="N27" t="s">
        <v>15973</v>
      </c>
    </row>
    <row r="28" spans="1:14">
      <c r="A28">
        <v>1000641</v>
      </c>
      <c r="B28">
        <v>1000641</v>
      </c>
      <c r="C28" t="s">
        <v>8571</v>
      </c>
      <c r="D28" t="s">
        <v>441</v>
      </c>
      <c r="E28" t="s">
        <v>442</v>
      </c>
      <c r="F28">
        <v>1</v>
      </c>
      <c r="G28">
        <v>0</v>
      </c>
      <c r="H28" t="s">
        <v>8562</v>
      </c>
      <c r="I28">
        <v>180</v>
      </c>
      <c r="J28" t="s">
        <v>447</v>
      </c>
      <c r="M28">
        <v>2101</v>
      </c>
      <c r="N28" t="s">
        <v>15973</v>
      </c>
    </row>
    <row r="29" spans="1:14">
      <c r="A29">
        <v>1000700</v>
      </c>
      <c r="B29">
        <v>1000700</v>
      </c>
      <c r="C29" t="s">
        <v>8572</v>
      </c>
      <c r="D29" t="s">
        <v>441</v>
      </c>
      <c r="E29" t="s">
        <v>442</v>
      </c>
      <c r="F29">
        <v>1</v>
      </c>
      <c r="G29">
        <v>0</v>
      </c>
      <c r="H29" t="s">
        <v>8562</v>
      </c>
      <c r="I29">
        <v>180</v>
      </c>
      <c r="J29" t="s">
        <v>447</v>
      </c>
      <c r="M29">
        <v>2101</v>
      </c>
      <c r="N29" t="s">
        <v>15974</v>
      </c>
    </row>
    <row r="30" spans="1:14">
      <c r="A30">
        <v>1000701</v>
      </c>
      <c r="B30">
        <v>1000701</v>
      </c>
      <c r="C30" t="s">
        <v>8573</v>
      </c>
      <c r="D30" t="s">
        <v>441</v>
      </c>
      <c r="E30" t="s">
        <v>442</v>
      </c>
      <c r="F30">
        <v>1</v>
      </c>
      <c r="G30">
        <v>0</v>
      </c>
      <c r="H30" t="s">
        <v>8562</v>
      </c>
      <c r="I30">
        <v>180</v>
      </c>
      <c r="J30" t="s">
        <v>447</v>
      </c>
      <c r="M30">
        <v>2101</v>
      </c>
      <c r="N30" t="s">
        <v>15974</v>
      </c>
    </row>
    <row r="31" spans="1:14">
      <c r="A31">
        <v>2000971</v>
      </c>
      <c r="B31">
        <v>2000971</v>
      </c>
      <c r="C31" t="s">
        <v>448</v>
      </c>
      <c r="D31" t="s">
        <v>449</v>
      </c>
      <c r="E31" t="s">
        <v>441</v>
      </c>
      <c r="F31">
        <v>0.09</v>
      </c>
      <c r="H31" t="s">
        <v>8574</v>
      </c>
      <c r="I31">
        <v>720</v>
      </c>
      <c r="J31" t="s">
        <v>450</v>
      </c>
      <c r="K31" t="s">
        <v>446</v>
      </c>
      <c r="M31">
        <v>0</v>
      </c>
    </row>
    <row r="32" spans="1:14">
      <c r="A32">
        <v>2000985</v>
      </c>
      <c r="B32">
        <v>2000985</v>
      </c>
      <c r="C32" t="s">
        <v>8575</v>
      </c>
      <c r="D32" t="s">
        <v>442</v>
      </c>
      <c r="E32" t="s">
        <v>441</v>
      </c>
      <c r="F32">
        <v>6</v>
      </c>
      <c r="G32">
        <v>0</v>
      </c>
      <c r="I32">
        <v>730</v>
      </c>
      <c r="J32" t="s">
        <v>450</v>
      </c>
      <c r="K32" t="s">
        <v>446</v>
      </c>
      <c r="M32">
        <v>3311</v>
      </c>
    </row>
    <row r="33" spans="1:14">
      <c r="A33">
        <v>2001506</v>
      </c>
      <c r="B33">
        <v>2001506</v>
      </c>
      <c r="C33" t="s">
        <v>451</v>
      </c>
      <c r="D33" t="s">
        <v>449</v>
      </c>
      <c r="E33" t="s">
        <v>441</v>
      </c>
      <c r="F33">
        <v>3.7999999999999999E-2</v>
      </c>
      <c r="H33" t="s">
        <v>8576</v>
      </c>
      <c r="I33">
        <v>730</v>
      </c>
      <c r="J33" t="s">
        <v>450</v>
      </c>
      <c r="K33" t="s">
        <v>446</v>
      </c>
      <c r="M33">
        <v>0</v>
      </c>
    </row>
    <row r="34" spans="1:14">
      <c r="A34">
        <v>2001795</v>
      </c>
      <c r="B34">
        <v>2001795</v>
      </c>
      <c r="C34" t="s">
        <v>8577</v>
      </c>
      <c r="D34" t="s">
        <v>441</v>
      </c>
      <c r="F34">
        <v>0</v>
      </c>
      <c r="G34">
        <v>0</v>
      </c>
      <c r="I34">
        <v>365</v>
      </c>
      <c r="J34" t="s">
        <v>450</v>
      </c>
      <c r="K34" t="s">
        <v>446</v>
      </c>
      <c r="M34">
        <v>0</v>
      </c>
    </row>
    <row r="35" spans="1:14">
      <c r="A35">
        <v>2002808</v>
      </c>
      <c r="B35">
        <v>2002808</v>
      </c>
      <c r="C35" t="s">
        <v>452</v>
      </c>
      <c r="D35" t="s">
        <v>441</v>
      </c>
      <c r="F35">
        <v>0</v>
      </c>
      <c r="G35">
        <v>0</v>
      </c>
      <c r="I35">
        <v>720</v>
      </c>
      <c r="J35" t="s">
        <v>450</v>
      </c>
      <c r="K35" t="s">
        <v>446</v>
      </c>
      <c r="M35">
        <v>3311</v>
      </c>
    </row>
    <row r="36" spans="1:14">
      <c r="A36">
        <v>2005020</v>
      </c>
      <c r="B36">
        <v>2005020</v>
      </c>
      <c r="C36" t="s">
        <v>8578</v>
      </c>
      <c r="D36" t="s">
        <v>442</v>
      </c>
      <c r="F36">
        <v>0</v>
      </c>
      <c r="H36" t="s">
        <v>8574</v>
      </c>
      <c r="I36">
        <v>730</v>
      </c>
      <c r="J36" t="s">
        <v>450</v>
      </c>
      <c r="K36" t="s">
        <v>446</v>
      </c>
      <c r="M36">
        <v>0</v>
      </c>
    </row>
    <row r="37" spans="1:14">
      <c r="A37">
        <v>2006999</v>
      </c>
      <c r="B37">
        <v>2006999</v>
      </c>
      <c r="C37" t="s">
        <v>8579</v>
      </c>
      <c r="D37" t="s">
        <v>441</v>
      </c>
      <c r="F37">
        <v>0</v>
      </c>
      <c r="G37">
        <v>0</v>
      </c>
      <c r="H37" t="s">
        <v>8580</v>
      </c>
      <c r="I37">
        <v>365</v>
      </c>
      <c r="J37" t="s">
        <v>450</v>
      </c>
      <c r="K37" t="s">
        <v>446</v>
      </c>
      <c r="M37">
        <v>3311</v>
      </c>
    </row>
    <row r="38" spans="1:14">
      <c r="A38">
        <v>2007523</v>
      </c>
      <c r="B38">
        <v>2007523</v>
      </c>
      <c r="C38" t="s">
        <v>453</v>
      </c>
      <c r="D38" t="s">
        <v>442</v>
      </c>
      <c r="F38">
        <v>0</v>
      </c>
      <c r="H38" t="s">
        <v>8581</v>
      </c>
      <c r="I38">
        <v>360</v>
      </c>
      <c r="J38" t="s">
        <v>450</v>
      </c>
      <c r="K38" t="s">
        <v>446</v>
      </c>
      <c r="M38">
        <v>0</v>
      </c>
    </row>
    <row r="39" spans="1:14">
      <c r="A39">
        <v>2007877</v>
      </c>
      <c r="B39">
        <v>2007877</v>
      </c>
      <c r="C39" t="s">
        <v>454</v>
      </c>
      <c r="D39" t="s">
        <v>442</v>
      </c>
      <c r="F39">
        <v>0</v>
      </c>
      <c r="H39" t="s">
        <v>8581</v>
      </c>
      <c r="I39">
        <v>360</v>
      </c>
      <c r="J39" t="s">
        <v>450</v>
      </c>
      <c r="K39" t="s">
        <v>446</v>
      </c>
      <c r="M39">
        <v>0</v>
      </c>
    </row>
    <row r="40" spans="1:14">
      <c r="A40">
        <v>2008522</v>
      </c>
      <c r="B40">
        <v>2008522</v>
      </c>
      <c r="C40" t="s">
        <v>455</v>
      </c>
      <c r="D40" t="s">
        <v>442</v>
      </c>
      <c r="E40" t="s">
        <v>441</v>
      </c>
      <c r="F40">
        <v>1E-3</v>
      </c>
      <c r="H40" t="s">
        <v>8581</v>
      </c>
      <c r="I40">
        <v>760</v>
      </c>
      <c r="J40" t="s">
        <v>450</v>
      </c>
      <c r="K40" t="s">
        <v>446</v>
      </c>
      <c r="M40">
        <v>0</v>
      </c>
    </row>
    <row r="41" spans="1:14">
      <c r="A41">
        <v>2010666</v>
      </c>
      <c r="B41">
        <v>2010666</v>
      </c>
      <c r="C41" t="s">
        <v>8582</v>
      </c>
      <c r="D41" t="s">
        <v>442</v>
      </c>
      <c r="E41" t="s">
        <v>441</v>
      </c>
      <c r="F41">
        <v>7</v>
      </c>
      <c r="G41">
        <v>0</v>
      </c>
      <c r="H41" t="s">
        <v>8583</v>
      </c>
      <c r="I41">
        <v>730</v>
      </c>
      <c r="J41" t="s">
        <v>450</v>
      </c>
      <c r="K41" t="s">
        <v>446</v>
      </c>
      <c r="M41">
        <v>0</v>
      </c>
    </row>
    <row r="42" spans="1:14">
      <c r="A42">
        <v>2013424</v>
      </c>
      <c r="B42">
        <v>2013424</v>
      </c>
      <c r="C42" t="s">
        <v>456</v>
      </c>
      <c r="D42" t="s">
        <v>442</v>
      </c>
      <c r="E42" t="s">
        <v>441</v>
      </c>
      <c r="F42">
        <v>1E-3</v>
      </c>
      <c r="H42" t="s">
        <v>8584</v>
      </c>
      <c r="I42">
        <v>365</v>
      </c>
      <c r="J42" t="s">
        <v>450</v>
      </c>
      <c r="K42" t="s">
        <v>446</v>
      </c>
      <c r="M42">
        <v>0</v>
      </c>
    </row>
    <row r="43" spans="1:14">
      <c r="A43">
        <v>2100296</v>
      </c>
      <c r="B43">
        <v>2100296</v>
      </c>
      <c r="C43" t="s">
        <v>457</v>
      </c>
      <c r="D43" t="s">
        <v>441</v>
      </c>
      <c r="F43">
        <v>0</v>
      </c>
      <c r="I43">
        <v>365</v>
      </c>
      <c r="J43" t="s">
        <v>458</v>
      </c>
      <c r="K43" t="s">
        <v>446</v>
      </c>
      <c r="M43">
        <v>0</v>
      </c>
    </row>
    <row r="44" spans="1:14">
      <c r="A44">
        <v>2100334</v>
      </c>
      <c r="B44">
        <v>2100334</v>
      </c>
      <c r="C44" t="s">
        <v>459</v>
      </c>
      <c r="D44" t="s">
        <v>441</v>
      </c>
      <c r="F44">
        <v>0</v>
      </c>
      <c r="H44" t="s">
        <v>8584</v>
      </c>
      <c r="I44">
        <v>540</v>
      </c>
      <c r="J44" t="s">
        <v>458</v>
      </c>
      <c r="K44" t="s">
        <v>446</v>
      </c>
      <c r="M44">
        <v>0</v>
      </c>
    </row>
    <row r="45" spans="1:14">
      <c r="A45">
        <v>2101545</v>
      </c>
      <c r="B45">
        <v>2101545</v>
      </c>
      <c r="C45" t="s">
        <v>8585</v>
      </c>
      <c r="D45" t="s">
        <v>441</v>
      </c>
      <c r="F45">
        <v>0</v>
      </c>
      <c r="H45" t="s">
        <v>8586</v>
      </c>
      <c r="I45">
        <v>1825</v>
      </c>
      <c r="J45" t="s">
        <v>458</v>
      </c>
      <c r="K45" t="s">
        <v>446</v>
      </c>
      <c r="M45">
        <v>0</v>
      </c>
    </row>
    <row r="46" spans="1:14">
      <c r="A46">
        <v>3029168</v>
      </c>
      <c r="B46">
        <v>3029168</v>
      </c>
      <c r="C46" t="s">
        <v>460</v>
      </c>
      <c r="D46" t="s">
        <v>441</v>
      </c>
      <c r="F46">
        <v>0</v>
      </c>
      <c r="G46">
        <v>8.75</v>
      </c>
      <c r="H46" t="s">
        <v>8549</v>
      </c>
      <c r="I46">
        <v>4</v>
      </c>
      <c r="J46" t="s">
        <v>445</v>
      </c>
      <c r="K46" t="s">
        <v>446</v>
      </c>
      <c r="M46">
        <v>2511</v>
      </c>
      <c r="N46" t="s">
        <v>15975</v>
      </c>
    </row>
    <row r="47" spans="1:14">
      <c r="A47">
        <v>4006209</v>
      </c>
      <c r="B47">
        <v>4006209</v>
      </c>
      <c r="C47" t="s">
        <v>461</v>
      </c>
      <c r="D47" t="s">
        <v>442</v>
      </c>
      <c r="E47" t="s">
        <v>441</v>
      </c>
      <c r="F47">
        <v>4.99</v>
      </c>
      <c r="H47" t="s">
        <v>8587</v>
      </c>
      <c r="I47">
        <v>365</v>
      </c>
      <c r="J47" t="s">
        <v>462</v>
      </c>
      <c r="K47" t="s">
        <v>446</v>
      </c>
      <c r="M47">
        <v>0</v>
      </c>
    </row>
    <row r="48" spans="1:14">
      <c r="A48">
        <v>4006870</v>
      </c>
      <c r="B48">
        <v>4006870</v>
      </c>
      <c r="C48" t="s">
        <v>463</v>
      </c>
      <c r="D48" t="s">
        <v>441</v>
      </c>
      <c r="F48">
        <v>0</v>
      </c>
      <c r="H48" t="s">
        <v>8587</v>
      </c>
      <c r="I48">
        <v>35</v>
      </c>
      <c r="J48" t="s">
        <v>462</v>
      </c>
      <c r="K48" t="s">
        <v>446</v>
      </c>
      <c r="M48">
        <v>3711</v>
      </c>
    </row>
    <row r="49" spans="1:14">
      <c r="A49">
        <v>4007637</v>
      </c>
      <c r="B49">
        <v>4007637</v>
      </c>
      <c r="C49" t="s">
        <v>464</v>
      </c>
      <c r="D49" t="s">
        <v>441</v>
      </c>
      <c r="F49">
        <v>0</v>
      </c>
      <c r="H49" t="s">
        <v>8587</v>
      </c>
      <c r="I49">
        <v>44</v>
      </c>
      <c r="J49" t="s">
        <v>462</v>
      </c>
      <c r="K49" t="s">
        <v>446</v>
      </c>
      <c r="M49">
        <v>0</v>
      </c>
    </row>
    <row r="50" spans="1:14">
      <c r="A50">
        <v>4017200</v>
      </c>
      <c r="B50">
        <v>4017200</v>
      </c>
      <c r="C50" t="s">
        <v>465</v>
      </c>
      <c r="D50" t="s">
        <v>441</v>
      </c>
      <c r="F50">
        <v>0</v>
      </c>
      <c r="G50">
        <v>10.69</v>
      </c>
      <c r="H50" t="s">
        <v>8588</v>
      </c>
      <c r="I50">
        <v>365</v>
      </c>
      <c r="J50" t="s">
        <v>462</v>
      </c>
      <c r="M50">
        <v>0</v>
      </c>
      <c r="N50" t="s">
        <v>15976</v>
      </c>
    </row>
    <row r="51" spans="1:14">
      <c r="A51">
        <v>4018528</v>
      </c>
      <c r="B51">
        <v>4018528</v>
      </c>
      <c r="C51" t="s">
        <v>466</v>
      </c>
      <c r="D51" t="s">
        <v>441</v>
      </c>
      <c r="F51">
        <v>0</v>
      </c>
      <c r="G51">
        <v>14.37</v>
      </c>
      <c r="H51" t="s">
        <v>8587</v>
      </c>
      <c r="I51">
        <v>90</v>
      </c>
      <c r="J51" t="s">
        <v>462</v>
      </c>
      <c r="K51" t="s">
        <v>446</v>
      </c>
      <c r="M51">
        <v>0</v>
      </c>
    </row>
    <row r="52" spans="1:14">
      <c r="A52">
        <v>4018529</v>
      </c>
      <c r="B52">
        <v>4018529</v>
      </c>
      <c r="C52" t="s">
        <v>467</v>
      </c>
      <c r="D52" t="s">
        <v>441</v>
      </c>
      <c r="F52">
        <v>0</v>
      </c>
      <c r="G52">
        <v>13.97</v>
      </c>
      <c r="H52" t="s">
        <v>8587</v>
      </c>
      <c r="I52">
        <v>90</v>
      </c>
      <c r="J52" t="s">
        <v>462</v>
      </c>
      <c r="K52" t="s">
        <v>446</v>
      </c>
      <c r="M52">
        <v>0</v>
      </c>
    </row>
    <row r="53" spans="1:14">
      <c r="A53">
        <v>4018769</v>
      </c>
      <c r="B53">
        <v>4018769</v>
      </c>
      <c r="C53" t="s">
        <v>8589</v>
      </c>
      <c r="D53" t="s">
        <v>441</v>
      </c>
      <c r="F53">
        <v>0</v>
      </c>
      <c r="G53">
        <v>0.18</v>
      </c>
      <c r="H53" t="s">
        <v>8588</v>
      </c>
      <c r="I53">
        <v>365</v>
      </c>
      <c r="J53" t="s">
        <v>462</v>
      </c>
      <c r="K53" t="s">
        <v>446</v>
      </c>
      <c r="M53">
        <v>2501</v>
      </c>
      <c r="N53" t="s">
        <v>15977</v>
      </c>
    </row>
    <row r="54" spans="1:14">
      <c r="A54">
        <v>4021566</v>
      </c>
      <c r="B54">
        <v>4021566</v>
      </c>
      <c r="C54" t="s">
        <v>468</v>
      </c>
      <c r="D54" t="s">
        <v>442</v>
      </c>
      <c r="E54" t="s">
        <v>441</v>
      </c>
      <c r="F54">
        <v>0.32</v>
      </c>
      <c r="H54" t="s">
        <v>8587</v>
      </c>
      <c r="I54">
        <v>111</v>
      </c>
      <c r="J54" t="s">
        <v>462</v>
      </c>
      <c r="M54">
        <v>0</v>
      </c>
    </row>
    <row r="55" spans="1:14">
      <c r="A55">
        <v>8200002</v>
      </c>
      <c r="B55">
        <v>8200002</v>
      </c>
      <c r="C55" t="s">
        <v>8590</v>
      </c>
      <c r="D55" t="s">
        <v>442</v>
      </c>
      <c r="E55" t="s">
        <v>441</v>
      </c>
      <c r="F55">
        <v>1E-3</v>
      </c>
      <c r="H55" t="s">
        <v>8580</v>
      </c>
      <c r="I55">
        <v>0</v>
      </c>
      <c r="J55" t="s">
        <v>469</v>
      </c>
      <c r="M55">
        <v>0</v>
      </c>
    </row>
    <row r="56" spans="1:14">
      <c r="A56">
        <v>8200003</v>
      </c>
      <c r="B56">
        <v>8200003</v>
      </c>
      <c r="C56" t="s">
        <v>8591</v>
      </c>
      <c r="D56" t="s">
        <v>442</v>
      </c>
      <c r="E56" t="s">
        <v>441</v>
      </c>
      <c r="F56">
        <v>1E-3</v>
      </c>
      <c r="H56" t="s">
        <v>8580</v>
      </c>
      <c r="I56">
        <v>0</v>
      </c>
      <c r="J56" t="s">
        <v>469</v>
      </c>
      <c r="M56">
        <v>0</v>
      </c>
    </row>
    <row r="57" spans="1:14">
      <c r="A57">
        <v>8200004</v>
      </c>
      <c r="B57">
        <v>8200004</v>
      </c>
      <c r="C57" t="s">
        <v>8592</v>
      </c>
      <c r="D57" t="s">
        <v>442</v>
      </c>
      <c r="E57" t="s">
        <v>441</v>
      </c>
      <c r="F57">
        <v>1E-3</v>
      </c>
      <c r="H57" t="s">
        <v>8580</v>
      </c>
      <c r="I57">
        <v>0</v>
      </c>
      <c r="J57" t="s">
        <v>469</v>
      </c>
      <c r="M57">
        <v>0</v>
      </c>
    </row>
    <row r="58" spans="1:14">
      <c r="A58">
        <v>8200008</v>
      </c>
      <c r="B58">
        <v>8200008</v>
      </c>
      <c r="C58" t="s">
        <v>8593</v>
      </c>
      <c r="D58" t="s">
        <v>442</v>
      </c>
      <c r="E58" t="s">
        <v>441</v>
      </c>
      <c r="F58">
        <v>1E-3</v>
      </c>
      <c r="H58" t="s">
        <v>8580</v>
      </c>
      <c r="I58">
        <v>0</v>
      </c>
      <c r="J58" t="s">
        <v>469</v>
      </c>
      <c r="M58">
        <v>0</v>
      </c>
    </row>
    <row r="59" spans="1:14">
      <c r="A59">
        <v>8200009</v>
      </c>
      <c r="B59">
        <v>8200009</v>
      </c>
      <c r="C59" t="s">
        <v>8594</v>
      </c>
      <c r="D59" t="s">
        <v>442</v>
      </c>
      <c r="E59" t="s">
        <v>441</v>
      </c>
      <c r="F59">
        <v>1E-3</v>
      </c>
      <c r="H59" t="s">
        <v>8580</v>
      </c>
      <c r="I59">
        <v>0</v>
      </c>
      <c r="J59" t="s">
        <v>469</v>
      </c>
      <c r="M59">
        <v>0</v>
      </c>
    </row>
    <row r="60" spans="1:14">
      <c r="A60">
        <v>8200010</v>
      </c>
      <c r="B60">
        <v>8200010</v>
      </c>
      <c r="C60" t="s">
        <v>8595</v>
      </c>
      <c r="D60" t="s">
        <v>442</v>
      </c>
      <c r="E60" t="s">
        <v>441</v>
      </c>
      <c r="F60">
        <v>1E-3</v>
      </c>
      <c r="H60" t="s">
        <v>8580</v>
      </c>
      <c r="I60">
        <v>0</v>
      </c>
      <c r="J60" t="s">
        <v>469</v>
      </c>
      <c r="M60">
        <v>0</v>
      </c>
    </row>
    <row r="61" spans="1:14">
      <c r="A61">
        <v>8200011</v>
      </c>
      <c r="B61">
        <v>8200011</v>
      </c>
      <c r="C61" t="s">
        <v>8596</v>
      </c>
      <c r="D61" t="s">
        <v>442</v>
      </c>
      <c r="E61" t="s">
        <v>441</v>
      </c>
      <c r="F61">
        <v>1E-3</v>
      </c>
      <c r="H61" t="s">
        <v>8580</v>
      </c>
      <c r="I61">
        <v>0</v>
      </c>
      <c r="J61" t="s">
        <v>469</v>
      </c>
      <c r="M61">
        <v>0</v>
      </c>
    </row>
    <row r="62" spans="1:14">
      <c r="A62">
        <v>8200014</v>
      </c>
      <c r="B62">
        <v>8200014</v>
      </c>
      <c r="C62" t="s">
        <v>8597</v>
      </c>
      <c r="D62" t="s">
        <v>442</v>
      </c>
      <c r="E62" t="s">
        <v>441</v>
      </c>
      <c r="F62">
        <v>1E-3</v>
      </c>
      <c r="H62" t="s">
        <v>8580</v>
      </c>
      <c r="I62">
        <v>0</v>
      </c>
      <c r="J62" t="s">
        <v>469</v>
      </c>
      <c r="M62">
        <v>0</v>
      </c>
    </row>
    <row r="63" spans="1:14">
      <c r="A63">
        <v>8200015</v>
      </c>
      <c r="B63">
        <v>8200015</v>
      </c>
      <c r="C63" t="s">
        <v>8598</v>
      </c>
      <c r="D63" t="s">
        <v>442</v>
      </c>
      <c r="E63" t="s">
        <v>441</v>
      </c>
      <c r="F63">
        <v>1E-3</v>
      </c>
      <c r="H63" t="s">
        <v>8584</v>
      </c>
      <c r="I63">
        <v>0</v>
      </c>
      <c r="J63" t="s">
        <v>469</v>
      </c>
      <c r="M63">
        <v>0</v>
      </c>
    </row>
    <row r="64" spans="1:14">
      <c r="A64">
        <v>8200016</v>
      </c>
      <c r="B64">
        <v>8200016</v>
      </c>
      <c r="C64" t="s">
        <v>8599</v>
      </c>
      <c r="D64" t="s">
        <v>442</v>
      </c>
      <c r="E64" t="s">
        <v>441</v>
      </c>
      <c r="F64">
        <v>1E-3</v>
      </c>
      <c r="H64" t="s">
        <v>8580</v>
      </c>
      <c r="I64">
        <v>0</v>
      </c>
      <c r="J64" t="s">
        <v>469</v>
      </c>
      <c r="M64">
        <v>0</v>
      </c>
    </row>
    <row r="65" spans="1:13">
      <c r="A65">
        <v>8200017</v>
      </c>
      <c r="B65">
        <v>8200017</v>
      </c>
      <c r="C65" t="s">
        <v>8600</v>
      </c>
      <c r="D65" t="s">
        <v>442</v>
      </c>
      <c r="E65" t="s">
        <v>441</v>
      </c>
      <c r="F65">
        <v>1E-3</v>
      </c>
      <c r="H65" t="s">
        <v>8580</v>
      </c>
      <c r="I65">
        <v>0</v>
      </c>
      <c r="J65" t="s">
        <v>469</v>
      </c>
      <c r="M65">
        <v>0</v>
      </c>
    </row>
    <row r="66" spans="1:13">
      <c r="A66">
        <v>8200018</v>
      </c>
      <c r="B66">
        <v>8200018</v>
      </c>
      <c r="C66" t="s">
        <v>8601</v>
      </c>
      <c r="D66" t="s">
        <v>442</v>
      </c>
      <c r="E66" t="s">
        <v>441</v>
      </c>
      <c r="F66">
        <v>1E-3</v>
      </c>
      <c r="H66" t="s">
        <v>8580</v>
      </c>
      <c r="I66">
        <v>0</v>
      </c>
      <c r="J66" t="s">
        <v>469</v>
      </c>
      <c r="M66">
        <v>0</v>
      </c>
    </row>
    <row r="67" spans="1:13">
      <c r="A67">
        <v>8200019</v>
      </c>
      <c r="B67">
        <v>8200019</v>
      </c>
      <c r="C67" t="s">
        <v>8602</v>
      </c>
      <c r="D67" t="s">
        <v>442</v>
      </c>
      <c r="E67" t="s">
        <v>441</v>
      </c>
      <c r="F67">
        <v>1E-3</v>
      </c>
      <c r="H67" t="s">
        <v>8580</v>
      </c>
      <c r="I67">
        <v>0</v>
      </c>
      <c r="J67" t="s">
        <v>469</v>
      </c>
      <c r="M67">
        <v>0</v>
      </c>
    </row>
    <row r="68" spans="1:13">
      <c r="A68">
        <v>8200020</v>
      </c>
      <c r="B68">
        <v>8200020</v>
      </c>
      <c r="C68" t="s">
        <v>8603</v>
      </c>
      <c r="D68" t="s">
        <v>442</v>
      </c>
      <c r="E68" t="s">
        <v>441</v>
      </c>
      <c r="F68">
        <v>1E-3</v>
      </c>
      <c r="H68" t="s">
        <v>8580</v>
      </c>
      <c r="I68">
        <v>0</v>
      </c>
      <c r="J68" t="s">
        <v>469</v>
      </c>
      <c r="M68">
        <v>0</v>
      </c>
    </row>
    <row r="69" spans="1:13">
      <c r="A69">
        <v>8200021</v>
      </c>
      <c r="B69">
        <v>8200021</v>
      </c>
      <c r="C69" t="s">
        <v>8604</v>
      </c>
      <c r="D69" t="s">
        <v>442</v>
      </c>
      <c r="E69" t="s">
        <v>441</v>
      </c>
      <c r="F69">
        <v>1E-3</v>
      </c>
      <c r="H69" t="s">
        <v>8580</v>
      </c>
      <c r="I69">
        <v>0</v>
      </c>
      <c r="J69" t="s">
        <v>469</v>
      </c>
      <c r="M69">
        <v>0</v>
      </c>
    </row>
    <row r="70" spans="1:13">
      <c r="A70">
        <v>8200022</v>
      </c>
      <c r="B70">
        <v>8200022</v>
      </c>
      <c r="C70" t="s">
        <v>8605</v>
      </c>
      <c r="D70" t="s">
        <v>442</v>
      </c>
      <c r="E70" t="s">
        <v>441</v>
      </c>
      <c r="F70">
        <v>1E-3</v>
      </c>
      <c r="H70" t="s">
        <v>8580</v>
      </c>
      <c r="I70">
        <v>0</v>
      </c>
      <c r="J70" t="s">
        <v>469</v>
      </c>
      <c r="M70">
        <v>0</v>
      </c>
    </row>
    <row r="71" spans="1:13">
      <c r="A71">
        <v>8200023</v>
      </c>
      <c r="B71">
        <v>8200023</v>
      </c>
      <c r="C71" t="s">
        <v>8606</v>
      </c>
      <c r="D71" t="s">
        <v>442</v>
      </c>
      <c r="E71" t="s">
        <v>441</v>
      </c>
      <c r="F71">
        <v>1E-3</v>
      </c>
      <c r="H71" t="s">
        <v>8580</v>
      </c>
      <c r="I71">
        <v>0</v>
      </c>
      <c r="J71" t="s">
        <v>469</v>
      </c>
      <c r="M71">
        <v>0</v>
      </c>
    </row>
    <row r="72" spans="1:13">
      <c r="A72">
        <v>8200024</v>
      </c>
      <c r="B72">
        <v>8200024</v>
      </c>
      <c r="C72" t="s">
        <v>8607</v>
      </c>
      <c r="D72" t="s">
        <v>442</v>
      </c>
      <c r="E72" t="s">
        <v>441</v>
      </c>
      <c r="F72">
        <v>1E-3</v>
      </c>
      <c r="H72" t="s">
        <v>8580</v>
      </c>
      <c r="I72">
        <v>0</v>
      </c>
      <c r="J72" t="s">
        <v>469</v>
      </c>
      <c r="M72">
        <v>0</v>
      </c>
    </row>
    <row r="73" spans="1:13">
      <c r="A73">
        <v>8200025</v>
      </c>
      <c r="B73">
        <v>8200025</v>
      </c>
      <c r="C73" t="s">
        <v>8608</v>
      </c>
      <c r="D73" t="s">
        <v>442</v>
      </c>
      <c r="E73" t="s">
        <v>441</v>
      </c>
      <c r="F73">
        <v>1E-3</v>
      </c>
      <c r="H73" t="s">
        <v>8580</v>
      </c>
      <c r="I73">
        <v>0</v>
      </c>
      <c r="J73" t="s">
        <v>469</v>
      </c>
      <c r="M73">
        <v>0</v>
      </c>
    </row>
    <row r="74" spans="1:13">
      <c r="A74">
        <v>8200026</v>
      </c>
      <c r="B74">
        <v>8200026</v>
      </c>
      <c r="C74" t="s">
        <v>8609</v>
      </c>
      <c r="D74" t="s">
        <v>442</v>
      </c>
      <c r="E74" t="s">
        <v>441</v>
      </c>
      <c r="F74">
        <v>1E-3</v>
      </c>
      <c r="H74" t="s">
        <v>8580</v>
      </c>
      <c r="I74">
        <v>0</v>
      </c>
      <c r="J74" t="s">
        <v>469</v>
      </c>
      <c r="M74">
        <v>0</v>
      </c>
    </row>
    <row r="75" spans="1:13">
      <c r="A75">
        <v>8200027</v>
      </c>
      <c r="B75">
        <v>8200027</v>
      </c>
      <c r="C75" t="s">
        <v>8610</v>
      </c>
      <c r="D75" t="s">
        <v>442</v>
      </c>
      <c r="E75" t="s">
        <v>441</v>
      </c>
      <c r="F75">
        <v>1E-3</v>
      </c>
      <c r="H75" t="s">
        <v>8580</v>
      </c>
      <c r="I75">
        <v>0</v>
      </c>
      <c r="J75" t="s">
        <v>469</v>
      </c>
      <c r="M75">
        <v>0</v>
      </c>
    </row>
    <row r="76" spans="1:13">
      <c r="A76">
        <v>8200028</v>
      </c>
      <c r="B76">
        <v>8200028</v>
      </c>
      <c r="C76" t="s">
        <v>8611</v>
      </c>
      <c r="D76" t="s">
        <v>442</v>
      </c>
      <c r="E76" t="s">
        <v>441</v>
      </c>
      <c r="F76">
        <v>1E-3</v>
      </c>
      <c r="H76" t="s">
        <v>8580</v>
      </c>
      <c r="I76">
        <v>0</v>
      </c>
      <c r="J76" t="s">
        <v>469</v>
      </c>
      <c r="M76">
        <v>0</v>
      </c>
    </row>
    <row r="77" spans="1:13">
      <c r="A77">
        <v>8200029</v>
      </c>
      <c r="B77">
        <v>8200029</v>
      </c>
      <c r="C77" t="s">
        <v>8612</v>
      </c>
      <c r="D77" t="s">
        <v>442</v>
      </c>
      <c r="E77" t="s">
        <v>441</v>
      </c>
      <c r="F77">
        <v>1E-3</v>
      </c>
      <c r="H77" t="s">
        <v>8580</v>
      </c>
      <c r="I77">
        <v>0</v>
      </c>
      <c r="J77" t="s">
        <v>469</v>
      </c>
      <c r="M77">
        <v>0</v>
      </c>
    </row>
    <row r="78" spans="1:13">
      <c r="A78">
        <v>8200030</v>
      </c>
      <c r="B78">
        <v>8200030</v>
      </c>
      <c r="C78" t="s">
        <v>8613</v>
      </c>
      <c r="D78" t="s">
        <v>442</v>
      </c>
      <c r="E78" t="s">
        <v>441</v>
      </c>
      <c r="F78">
        <v>1E-3</v>
      </c>
      <c r="H78" t="s">
        <v>8580</v>
      </c>
      <c r="I78">
        <v>0</v>
      </c>
      <c r="J78" t="s">
        <v>469</v>
      </c>
      <c r="M78">
        <v>0</v>
      </c>
    </row>
    <row r="79" spans="1:13">
      <c r="A79">
        <v>8200031</v>
      </c>
      <c r="B79">
        <v>8200031</v>
      </c>
      <c r="C79" t="s">
        <v>8614</v>
      </c>
      <c r="D79" t="s">
        <v>442</v>
      </c>
      <c r="E79" t="s">
        <v>441</v>
      </c>
      <c r="F79">
        <v>1E-3</v>
      </c>
      <c r="H79" t="s">
        <v>8584</v>
      </c>
      <c r="I79">
        <v>0</v>
      </c>
      <c r="J79" t="s">
        <v>469</v>
      </c>
      <c r="M79">
        <v>0</v>
      </c>
    </row>
    <row r="80" spans="1:13">
      <c r="A80">
        <v>8200032</v>
      </c>
      <c r="B80">
        <v>8200032</v>
      </c>
      <c r="C80" t="s">
        <v>8615</v>
      </c>
      <c r="D80" t="s">
        <v>442</v>
      </c>
      <c r="E80" t="s">
        <v>441</v>
      </c>
      <c r="F80">
        <v>1E-3</v>
      </c>
      <c r="H80" t="s">
        <v>8580</v>
      </c>
      <c r="I80">
        <v>0</v>
      </c>
      <c r="J80" t="s">
        <v>469</v>
      </c>
      <c r="M80">
        <v>0</v>
      </c>
    </row>
    <row r="81" spans="1:13">
      <c r="A81">
        <v>8200033</v>
      </c>
      <c r="B81">
        <v>8200033</v>
      </c>
      <c r="C81" t="s">
        <v>8616</v>
      </c>
      <c r="D81" t="s">
        <v>442</v>
      </c>
      <c r="E81" t="s">
        <v>441</v>
      </c>
      <c r="F81">
        <v>1E-3</v>
      </c>
      <c r="H81" t="s">
        <v>8580</v>
      </c>
      <c r="I81">
        <v>0</v>
      </c>
      <c r="J81" t="s">
        <v>469</v>
      </c>
      <c r="M81">
        <v>0</v>
      </c>
    </row>
    <row r="82" spans="1:13">
      <c r="A82">
        <v>8200061</v>
      </c>
      <c r="B82">
        <v>8200061</v>
      </c>
      <c r="C82" t="s">
        <v>8617</v>
      </c>
      <c r="D82" t="s">
        <v>442</v>
      </c>
      <c r="E82" t="s">
        <v>441</v>
      </c>
      <c r="F82">
        <v>1E-3</v>
      </c>
      <c r="H82" t="s">
        <v>8584</v>
      </c>
      <c r="I82">
        <v>0</v>
      </c>
      <c r="J82" t="s">
        <v>469</v>
      </c>
      <c r="M82">
        <v>0</v>
      </c>
    </row>
    <row r="83" spans="1:13">
      <c r="A83">
        <v>8200070</v>
      </c>
      <c r="B83">
        <v>8200070</v>
      </c>
      <c r="C83" t="s">
        <v>8618</v>
      </c>
      <c r="D83" t="s">
        <v>442</v>
      </c>
      <c r="E83" t="s">
        <v>441</v>
      </c>
      <c r="F83">
        <v>1E-3</v>
      </c>
      <c r="H83" t="s">
        <v>8619</v>
      </c>
      <c r="I83">
        <v>0</v>
      </c>
      <c r="J83" t="s">
        <v>469</v>
      </c>
      <c r="M83">
        <v>0</v>
      </c>
    </row>
    <row r="84" spans="1:13">
      <c r="A84">
        <v>8200090</v>
      </c>
      <c r="B84">
        <v>8200090</v>
      </c>
      <c r="C84" t="s">
        <v>8620</v>
      </c>
      <c r="D84" t="s">
        <v>442</v>
      </c>
      <c r="E84" t="s">
        <v>441</v>
      </c>
      <c r="F84">
        <v>1E-3</v>
      </c>
      <c r="H84" t="s">
        <v>8580</v>
      </c>
      <c r="I84">
        <v>0</v>
      </c>
      <c r="J84" t="s">
        <v>469</v>
      </c>
      <c r="M84">
        <v>0</v>
      </c>
    </row>
    <row r="85" spans="1:13">
      <c r="A85">
        <v>8200092</v>
      </c>
      <c r="B85">
        <v>8200092</v>
      </c>
      <c r="C85" t="s">
        <v>8621</v>
      </c>
      <c r="D85" t="s">
        <v>442</v>
      </c>
      <c r="E85" t="s">
        <v>441</v>
      </c>
      <c r="F85">
        <v>1E-3</v>
      </c>
      <c r="H85" t="s">
        <v>8622</v>
      </c>
      <c r="I85">
        <v>0</v>
      </c>
      <c r="J85" t="s">
        <v>469</v>
      </c>
      <c r="M85">
        <v>0</v>
      </c>
    </row>
    <row r="86" spans="1:13">
      <c r="A86">
        <v>8200101</v>
      </c>
      <c r="B86">
        <v>8200101</v>
      </c>
      <c r="C86" t="s">
        <v>8623</v>
      </c>
      <c r="D86" t="s">
        <v>442</v>
      </c>
      <c r="E86" t="s">
        <v>441</v>
      </c>
      <c r="F86">
        <v>1E-3</v>
      </c>
      <c r="H86" t="s">
        <v>8624</v>
      </c>
      <c r="I86">
        <v>0</v>
      </c>
      <c r="J86" t="s">
        <v>469</v>
      </c>
      <c r="M86">
        <v>0</v>
      </c>
    </row>
    <row r="87" spans="1:13">
      <c r="A87">
        <v>8200120</v>
      </c>
      <c r="B87">
        <v>8200120</v>
      </c>
      <c r="C87" t="s">
        <v>8625</v>
      </c>
      <c r="D87" t="s">
        <v>442</v>
      </c>
      <c r="E87" t="s">
        <v>441</v>
      </c>
      <c r="F87">
        <v>1E-3</v>
      </c>
      <c r="H87" t="s">
        <v>8584</v>
      </c>
      <c r="I87">
        <v>0</v>
      </c>
      <c r="J87" t="s">
        <v>469</v>
      </c>
      <c r="M87">
        <v>0</v>
      </c>
    </row>
    <row r="88" spans="1:13">
      <c r="A88">
        <v>8200141</v>
      </c>
      <c r="B88">
        <v>8200141</v>
      </c>
      <c r="C88" t="s">
        <v>8626</v>
      </c>
      <c r="D88" t="s">
        <v>442</v>
      </c>
      <c r="E88" t="s">
        <v>441</v>
      </c>
      <c r="F88">
        <v>1E-3</v>
      </c>
      <c r="H88" t="s">
        <v>8627</v>
      </c>
      <c r="I88">
        <v>0</v>
      </c>
      <c r="J88" t="s">
        <v>469</v>
      </c>
      <c r="M88">
        <v>0</v>
      </c>
    </row>
    <row r="89" spans="1:13">
      <c r="A89">
        <v>8200142</v>
      </c>
      <c r="B89">
        <v>8200142</v>
      </c>
      <c r="C89" t="s">
        <v>8628</v>
      </c>
      <c r="D89" t="s">
        <v>442</v>
      </c>
      <c r="E89" t="s">
        <v>441</v>
      </c>
      <c r="F89">
        <v>1E-3</v>
      </c>
      <c r="H89" t="s">
        <v>8627</v>
      </c>
      <c r="I89">
        <v>0</v>
      </c>
      <c r="J89" t="s">
        <v>469</v>
      </c>
      <c r="M89">
        <v>0</v>
      </c>
    </row>
    <row r="90" spans="1:13">
      <c r="A90">
        <v>8200143</v>
      </c>
      <c r="B90">
        <v>8200143</v>
      </c>
      <c r="C90" t="s">
        <v>8629</v>
      </c>
      <c r="D90" t="s">
        <v>442</v>
      </c>
      <c r="E90" t="s">
        <v>441</v>
      </c>
      <c r="F90">
        <v>1E-3</v>
      </c>
      <c r="H90" t="s">
        <v>8584</v>
      </c>
      <c r="I90">
        <v>0</v>
      </c>
      <c r="J90" t="s">
        <v>469</v>
      </c>
      <c r="M90">
        <v>0</v>
      </c>
    </row>
    <row r="91" spans="1:13">
      <c r="A91">
        <v>8200144</v>
      </c>
      <c r="B91">
        <v>8200144</v>
      </c>
      <c r="C91" t="s">
        <v>8630</v>
      </c>
      <c r="D91" t="s">
        <v>442</v>
      </c>
      <c r="E91" t="s">
        <v>441</v>
      </c>
      <c r="F91">
        <v>1E-3</v>
      </c>
      <c r="H91" t="s">
        <v>8584</v>
      </c>
      <c r="I91">
        <v>0</v>
      </c>
      <c r="J91" t="s">
        <v>469</v>
      </c>
      <c r="M91">
        <v>0</v>
      </c>
    </row>
    <row r="92" spans="1:13">
      <c r="A92">
        <v>8200145</v>
      </c>
      <c r="B92">
        <v>8200145</v>
      </c>
      <c r="C92" t="s">
        <v>8631</v>
      </c>
      <c r="D92" t="s">
        <v>442</v>
      </c>
      <c r="E92" t="s">
        <v>441</v>
      </c>
      <c r="F92">
        <v>1E-3</v>
      </c>
      <c r="H92" t="s">
        <v>8580</v>
      </c>
      <c r="I92">
        <v>0</v>
      </c>
      <c r="J92" t="s">
        <v>469</v>
      </c>
      <c r="M92">
        <v>0</v>
      </c>
    </row>
    <row r="93" spans="1:13">
      <c r="A93">
        <v>8200200</v>
      </c>
      <c r="B93">
        <v>8200200</v>
      </c>
      <c r="C93" t="s">
        <v>8632</v>
      </c>
      <c r="D93" t="s">
        <v>442</v>
      </c>
      <c r="E93" t="s">
        <v>441</v>
      </c>
      <c r="F93">
        <v>4</v>
      </c>
      <c r="H93" t="s">
        <v>8580</v>
      </c>
      <c r="I93">
        <v>0</v>
      </c>
      <c r="J93" t="s">
        <v>469</v>
      </c>
      <c r="M93">
        <v>0</v>
      </c>
    </row>
    <row r="94" spans="1:13">
      <c r="A94">
        <v>8200470</v>
      </c>
      <c r="B94">
        <v>8200470</v>
      </c>
      <c r="C94" t="s">
        <v>8633</v>
      </c>
      <c r="D94" t="s">
        <v>442</v>
      </c>
      <c r="F94">
        <v>0</v>
      </c>
      <c r="H94" t="s">
        <v>8634</v>
      </c>
      <c r="I94">
        <v>0</v>
      </c>
      <c r="J94" t="s">
        <v>469</v>
      </c>
      <c r="M94">
        <v>0</v>
      </c>
    </row>
    <row r="95" spans="1:13">
      <c r="A95">
        <v>8200480</v>
      </c>
      <c r="B95">
        <v>8200480</v>
      </c>
      <c r="C95" t="s">
        <v>8635</v>
      </c>
      <c r="D95" t="s">
        <v>442</v>
      </c>
      <c r="F95">
        <v>0</v>
      </c>
      <c r="H95" t="s">
        <v>8580</v>
      </c>
      <c r="I95">
        <v>0</v>
      </c>
      <c r="J95" t="s">
        <v>469</v>
      </c>
      <c r="M95">
        <v>0</v>
      </c>
    </row>
    <row r="96" spans="1:13">
      <c r="A96">
        <v>8200550</v>
      </c>
      <c r="B96">
        <v>8200550</v>
      </c>
      <c r="C96" t="s">
        <v>8636</v>
      </c>
      <c r="D96" t="s">
        <v>442</v>
      </c>
      <c r="F96">
        <v>0</v>
      </c>
      <c r="H96" t="s">
        <v>8637</v>
      </c>
      <c r="I96">
        <v>0</v>
      </c>
      <c r="J96" t="s">
        <v>469</v>
      </c>
      <c r="M96">
        <v>0</v>
      </c>
    </row>
    <row r="97" spans="1:13">
      <c r="A97">
        <v>8500042</v>
      </c>
      <c r="B97">
        <v>8500042</v>
      </c>
      <c r="C97" t="s">
        <v>8638</v>
      </c>
      <c r="D97" t="s">
        <v>441</v>
      </c>
      <c r="F97">
        <v>0</v>
      </c>
      <c r="G97">
        <v>11.47</v>
      </c>
      <c r="H97" t="s">
        <v>8587</v>
      </c>
      <c r="I97">
        <v>90</v>
      </c>
      <c r="J97" t="s">
        <v>470</v>
      </c>
      <c r="M97">
        <v>0</v>
      </c>
    </row>
    <row r="98" spans="1:13">
      <c r="A98">
        <v>8500043</v>
      </c>
      <c r="B98">
        <v>8500043</v>
      </c>
      <c r="C98" t="s">
        <v>8639</v>
      </c>
      <c r="D98" t="s">
        <v>441</v>
      </c>
      <c r="F98">
        <v>0</v>
      </c>
      <c r="G98">
        <v>6.88</v>
      </c>
      <c r="H98" t="s">
        <v>8587</v>
      </c>
      <c r="I98">
        <v>90</v>
      </c>
      <c r="J98" t="s">
        <v>470</v>
      </c>
      <c r="M98">
        <v>0</v>
      </c>
    </row>
    <row r="99" spans="1:13">
      <c r="A99">
        <v>8500044</v>
      </c>
      <c r="B99">
        <v>8500044</v>
      </c>
      <c r="C99" t="s">
        <v>8640</v>
      </c>
      <c r="D99" t="s">
        <v>441</v>
      </c>
      <c r="F99">
        <v>0</v>
      </c>
      <c r="G99">
        <v>7.46</v>
      </c>
      <c r="H99" t="s">
        <v>8587</v>
      </c>
      <c r="I99">
        <v>90</v>
      </c>
      <c r="J99" t="s">
        <v>470</v>
      </c>
      <c r="M99">
        <v>0</v>
      </c>
    </row>
    <row r="100" spans="1:13">
      <c r="A100">
        <v>8500045</v>
      </c>
      <c r="B100">
        <v>8500045</v>
      </c>
      <c r="C100" t="s">
        <v>8641</v>
      </c>
      <c r="D100" t="s">
        <v>441</v>
      </c>
      <c r="F100">
        <v>0</v>
      </c>
      <c r="G100">
        <v>8.6199999999999992</v>
      </c>
      <c r="H100" t="s">
        <v>8587</v>
      </c>
      <c r="I100">
        <v>90</v>
      </c>
      <c r="J100" t="s">
        <v>470</v>
      </c>
      <c r="M100">
        <v>0</v>
      </c>
    </row>
    <row r="101" spans="1:13">
      <c r="A101">
        <v>8500046</v>
      </c>
      <c r="B101">
        <v>8500046</v>
      </c>
      <c r="C101" t="s">
        <v>8642</v>
      </c>
      <c r="D101" t="s">
        <v>441</v>
      </c>
      <c r="F101">
        <v>0</v>
      </c>
      <c r="G101">
        <v>14.32</v>
      </c>
      <c r="H101" t="s">
        <v>8587</v>
      </c>
      <c r="I101">
        <v>90</v>
      </c>
      <c r="J101" t="s">
        <v>470</v>
      </c>
      <c r="M101">
        <v>0</v>
      </c>
    </row>
    <row r="102" spans="1:13">
      <c r="A102">
        <v>8500047</v>
      </c>
      <c r="B102">
        <v>8500047</v>
      </c>
      <c r="C102" t="s">
        <v>8643</v>
      </c>
      <c r="D102" t="s">
        <v>441</v>
      </c>
      <c r="F102">
        <v>0</v>
      </c>
      <c r="G102">
        <v>90.82</v>
      </c>
      <c r="H102" t="s">
        <v>8587</v>
      </c>
      <c r="I102">
        <v>90</v>
      </c>
      <c r="J102" t="s">
        <v>470</v>
      </c>
      <c r="M102">
        <v>0</v>
      </c>
    </row>
    <row r="103" spans="1:13">
      <c r="A103">
        <v>8500048</v>
      </c>
      <c r="B103">
        <v>8500048</v>
      </c>
      <c r="C103" t="s">
        <v>8644</v>
      </c>
      <c r="D103" t="s">
        <v>441</v>
      </c>
      <c r="F103">
        <v>0</v>
      </c>
      <c r="G103">
        <v>7.2</v>
      </c>
      <c r="H103" t="s">
        <v>8587</v>
      </c>
      <c r="I103">
        <v>90</v>
      </c>
      <c r="J103" t="s">
        <v>470</v>
      </c>
      <c r="M103">
        <v>0</v>
      </c>
    </row>
    <row r="104" spans="1:13">
      <c r="A104">
        <v>8500049</v>
      </c>
      <c r="B104">
        <v>8500049</v>
      </c>
      <c r="C104" t="s">
        <v>8645</v>
      </c>
      <c r="D104" t="s">
        <v>441</v>
      </c>
      <c r="F104">
        <v>0</v>
      </c>
      <c r="G104">
        <v>10.68</v>
      </c>
      <c r="H104" t="s">
        <v>8587</v>
      </c>
      <c r="I104">
        <v>90</v>
      </c>
      <c r="J104" t="s">
        <v>470</v>
      </c>
      <c r="M104">
        <v>0</v>
      </c>
    </row>
    <row r="105" spans="1:13">
      <c r="A105">
        <v>8500057</v>
      </c>
      <c r="B105">
        <v>8500057</v>
      </c>
      <c r="C105" t="s">
        <v>8646</v>
      </c>
      <c r="D105" t="s">
        <v>441</v>
      </c>
      <c r="F105">
        <v>0</v>
      </c>
      <c r="G105">
        <v>8.35</v>
      </c>
      <c r="H105" t="s">
        <v>8587</v>
      </c>
      <c r="I105">
        <v>90</v>
      </c>
      <c r="J105" t="s">
        <v>470</v>
      </c>
      <c r="M105">
        <v>0</v>
      </c>
    </row>
    <row r="106" spans="1:13">
      <c r="A106">
        <v>8500068</v>
      </c>
      <c r="B106">
        <v>8500068</v>
      </c>
      <c r="C106" t="s">
        <v>8647</v>
      </c>
      <c r="D106" t="s">
        <v>441</v>
      </c>
      <c r="F106">
        <v>0</v>
      </c>
      <c r="G106">
        <v>10.38</v>
      </c>
      <c r="H106" t="s">
        <v>8587</v>
      </c>
      <c r="I106">
        <v>90</v>
      </c>
      <c r="J106" t="s">
        <v>470</v>
      </c>
      <c r="M106">
        <v>0</v>
      </c>
    </row>
    <row r="107" spans="1:13">
      <c r="A107">
        <v>8500069</v>
      </c>
      <c r="B107">
        <v>8500069</v>
      </c>
      <c r="C107" t="s">
        <v>8648</v>
      </c>
      <c r="D107" t="s">
        <v>441</v>
      </c>
      <c r="F107">
        <v>0</v>
      </c>
      <c r="G107">
        <v>8.6999999999999993</v>
      </c>
      <c r="H107" t="s">
        <v>8587</v>
      </c>
      <c r="I107">
        <v>90</v>
      </c>
      <c r="J107" t="s">
        <v>470</v>
      </c>
      <c r="M107">
        <v>0</v>
      </c>
    </row>
    <row r="108" spans="1:13">
      <c r="A108">
        <v>8500070</v>
      </c>
      <c r="B108">
        <v>8500070</v>
      </c>
      <c r="C108" t="s">
        <v>8649</v>
      </c>
      <c r="D108" t="s">
        <v>441</v>
      </c>
      <c r="F108">
        <v>0</v>
      </c>
      <c r="G108">
        <v>9.7799999999999994</v>
      </c>
      <c r="H108" t="s">
        <v>8587</v>
      </c>
      <c r="I108">
        <v>90</v>
      </c>
      <c r="J108" t="s">
        <v>470</v>
      </c>
      <c r="M108">
        <v>0</v>
      </c>
    </row>
    <row r="109" spans="1:13">
      <c r="A109">
        <v>8500071</v>
      </c>
      <c r="B109">
        <v>8500071</v>
      </c>
      <c r="C109" t="s">
        <v>8650</v>
      </c>
      <c r="D109" t="s">
        <v>441</v>
      </c>
      <c r="F109">
        <v>0</v>
      </c>
      <c r="G109">
        <v>12</v>
      </c>
      <c r="H109" t="s">
        <v>8587</v>
      </c>
      <c r="I109">
        <v>90</v>
      </c>
      <c r="J109" t="s">
        <v>470</v>
      </c>
      <c r="M109">
        <v>0</v>
      </c>
    </row>
    <row r="110" spans="1:13">
      <c r="A110">
        <v>8500072</v>
      </c>
      <c r="B110">
        <v>8500072</v>
      </c>
      <c r="C110" t="s">
        <v>8651</v>
      </c>
      <c r="D110" t="s">
        <v>441</v>
      </c>
      <c r="F110">
        <v>0</v>
      </c>
      <c r="G110">
        <v>0.24</v>
      </c>
      <c r="H110" t="s">
        <v>8587</v>
      </c>
      <c r="I110">
        <v>90</v>
      </c>
      <c r="J110" t="s">
        <v>470</v>
      </c>
      <c r="M110">
        <v>0</v>
      </c>
    </row>
    <row r="111" spans="1:13">
      <c r="A111">
        <v>8500073</v>
      </c>
      <c r="B111">
        <v>8500073</v>
      </c>
      <c r="C111" t="s">
        <v>8652</v>
      </c>
      <c r="D111" t="s">
        <v>441</v>
      </c>
      <c r="F111">
        <v>0</v>
      </c>
      <c r="G111">
        <v>10.81</v>
      </c>
      <c r="H111" t="s">
        <v>8587</v>
      </c>
      <c r="I111">
        <v>90</v>
      </c>
      <c r="J111" t="s">
        <v>470</v>
      </c>
      <c r="M111">
        <v>0</v>
      </c>
    </row>
    <row r="112" spans="1:13">
      <c r="A112">
        <v>8500074</v>
      </c>
      <c r="B112">
        <v>8500074</v>
      </c>
      <c r="C112" t="s">
        <v>8653</v>
      </c>
      <c r="D112" t="s">
        <v>441</v>
      </c>
      <c r="F112">
        <v>0</v>
      </c>
      <c r="G112">
        <v>14.09</v>
      </c>
      <c r="H112" t="s">
        <v>8587</v>
      </c>
      <c r="I112">
        <v>90</v>
      </c>
      <c r="J112" t="s">
        <v>470</v>
      </c>
      <c r="M112">
        <v>0</v>
      </c>
    </row>
    <row r="113" spans="1:13">
      <c r="A113">
        <v>8500075</v>
      </c>
      <c r="B113">
        <v>8500075</v>
      </c>
      <c r="C113" t="s">
        <v>8654</v>
      </c>
      <c r="D113" t="s">
        <v>441</v>
      </c>
      <c r="F113">
        <v>0</v>
      </c>
      <c r="G113">
        <v>1.41</v>
      </c>
      <c r="H113" t="s">
        <v>8587</v>
      </c>
      <c r="I113">
        <v>90</v>
      </c>
      <c r="J113" t="s">
        <v>470</v>
      </c>
      <c r="M113">
        <v>0</v>
      </c>
    </row>
    <row r="114" spans="1:13">
      <c r="A114">
        <v>8500076</v>
      </c>
      <c r="B114">
        <v>8500076</v>
      </c>
      <c r="C114" t="s">
        <v>8655</v>
      </c>
      <c r="D114" t="s">
        <v>441</v>
      </c>
      <c r="F114">
        <v>0</v>
      </c>
      <c r="G114">
        <v>8.1300000000000008</v>
      </c>
      <c r="H114" t="s">
        <v>8587</v>
      </c>
      <c r="I114">
        <v>90</v>
      </c>
      <c r="J114" t="s">
        <v>470</v>
      </c>
      <c r="M114">
        <v>0</v>
      </c>
    </row>
    <row r="115" spans="1:13">
      <c r="A115">
        <v>8500077</v>
      </c>
      <c r="B115">
        <v>8500077</v>
      </c>
      <c r="C115" t="s">
        <v>8656</v>
      </c>
      <c r="D115" t="s">
        <v>441</v>
      </c>
      <c r="F115">
        <v>0</v>
      </c>
      <c r="G115">
        <v>8.61</v>
      </c>
      <c r="H115" t="s">
        <v>8587</v>
      </c>
      <c r="I115">
        <v>90</v>
      </c>
      <c r="J115" t="s">
        <v>470</v>
      </c>
      <c r="M115">
        <v>0</v>
      </c>
    </row>
    <row r="116" spans="1:13">
      <c r="A116">
        <v>8500078</v>
      </c>
      <c r="B116">
        <v>8500078</v>
      </c>
      <c r="C116" t="s">
        <v>8657</v>
      </c>
      <c r="D116" t="s">
        <v>441</v>
      </c>
      <c r="F116">
        <v>0</v>
      </c>
      <c r="G116">
        <v>11.49</v>
      </c>
      <c r="H116" t="s">
        <v>8587</v>
      </c>
      <c r="I116">
        <v>90</v>
      </c>
      <c r="J116" t="s">
        <v>470</v>
      </c>
      <c r="M116">
        <v>0</v>
      </c>
    </row>
    <row r="117" spans="1:13">
      <c r="A117">
        <v>8500079</v>
      </c>
      <c r="B117">
        <v>8500079</v>
      </c>
      <c r="C117" t="s">
        <v>8658</v>
      </c>
      <c r="D117" t="s">
        <v>441</v>
      </c>
      <c r="F117">
        <v>0</v>
      </c>
      <c r="G117">
        <v>12.41</v>
      </c>
      <c r="H117" t="s">
        <v>8587</v>
      </c>
      <c r="I117">
        <v>90</v>
      </c>
      <c r="J117" t="s">
        <v>470</v>
      </c>
      <c r="M117">
        <v>0</v>
      </c>
    </row>
    <row r="118" spans="1:13">
      <c r="A118">
        <v>8500080</v>
      </c>
      <c r="B118">
        <v>8500080</v>
      </c>
      <c r="C118" t="s">
        <v>8659</v>
      </c>
      <c r="D118" t="s">
        <v>441</v>
      </c>
      <c r="F118">
        <v>0</v>
      </c>
      <c r="G118">
        <v>5.78</v>
      </c>
      <c r="H118" t="s">
        <v>8587</v>
      </c>
      <c r="I118">
        <v>90</v>
      </c>
      <c r="J118" t="s">
        <v>470</v>
      </c>
      <c r="M118">
        <v>0</v>
      </c>
    </row>
    <row r="119" spans="1:13">
      <c r="A119">
        <v>8500081</v>
      </c>
      <c r="B119">
        <v>8500081</v>
      </c>
      <c r="C119" t="s">
        <v>8660</v>
      </c>
      <c r="D119" t="s">
        <v>441</v>
      </c>
      <c r="F119">
        <v>0</v>
      </c>
      <c r="G119">
        <v>7.27</v>
      </c>
      <c r="H119" t="s">
        <v>8587</v>
      </c>
      <c r="I119">
        <v>90</v>
      </c>
      <c r="J119" t="s">
        <v>470</v>
      </c>
      <c r="M119">
        <v>0</v>
      </c>
    </row>
    <row r="120" spans="1:13">
      <c r="A120">
        <v>8500082</v>
      </c>
      <c r="B120">
        <v>8500082</v>
      </c>
      <c r="C120" t="s">
        <v>8661</v>
      </c>
      <c r="D120" t="s">
        <v>441</v>
      </c>
      <c r="F120">
        <v>0</v>
      </c>
      <c r="G120">
        <v>5.19</v>
      </c>
      <c r="H120" t="s">
        <v>8587</v>
      </c>
      <c r="I120">
        <v>90</v>
      </c>
      <c r="J120" t="s">
        <v>470</v>
      </c>
      <c r="M120">
        <v>0</v>
      </c>
    </row>
    <row r="121" spans="1:13">
      <c r="A121">
        <v>8500083</v>
      </c>
      <c r="B121">
        <v>8500083</v>
      </c>
      <c r="C121" t="s">
        <v>8662</v>
      </c>
      <c r="D121" t="s">
        <v>441</v>
      </c>
      <c r="F121">
        <v>0</v>
      </c>
      <c r="G121">
        <v>7.98</v>
      </c>
      <c r="H121" t="s">
        <v>8587</v>
      </c>
      <c r="I121">
        <v>90</v>
      </c>
      <c r="J121" t="s">
        <v>470</v>
      </c>
      <c r="M121">
        <v>0</v>
      </c>
    </row>
    <row r="122" spans="1:13">
      <c r="A122">
        <v>8500084</v>
      </c>
      <c r="B122">
        <v>8500084</v>
      </c>
      <c r="C122" t="s">
        <v>8663</v>
      </c>
      <c r="D122" t="s">
        <v>441</v>
      </c>
      <c r="F122">
        <v>0</v>
      </c>
      <c r="G122">
        <v>9.24</v>
      </c>
      <c r="H122" t="s">
        <v>8587</v>
      </c>
      <c r="I122">
        <v>90</v>
      </c>
      <c r="J122" t="s">
        <v>470</v>
      </c>
      <c r="M122">
        <v>0</v>
      </c>
    </row>
    <row r="123" spans="1:13">
      <c r="A123">
        <v>8500085</v>
      </c>
      <c r="B123">
        <v>8500085</v>
      </c>
      <c r="C123" t="s">
        <v>8664</v>
      </c>
      <c r="D123" t="s">
        <v>441</v>
      </c>
      <c r="F123">
        <v>0</v>
      </c>
      <c r="G123">
        <v>7.52</v>
      </c>
      <c r="H123" t="s">
        <v>8587</v>
      </c>
      <c r="I123">
        <v>90</v>
      </c>
      <c r="J123" t="s">
        <v>470</v>
      </c>
      <c r="M123">
        <v>0</v>
      </c>
    </row>
    <row r="124" spans="1:13">
      <c r="A124">
        <v>8500086</v>
      </c>
      <c r="B124">
        <v>8500086</v>
      </c>
      <c r="C124" t="s">
        <v>8665</v>
      </c>
      <c r="D124" t="s">
        <v>441</v>
      </c>
      <c r="F124">
        <v>0</v>
      </c>
      <c r="G124">
        <v>9.3800000000000008</v>
      </c>
      <c r="H124" t="s">
        <v>8587</v>
      </c>
      <c r="I124">
        <v>90</v>
      </c>
      <c r="J124" t="s">
        <v>470</v>
      </c>
      <c r="M124">
        <v>0</v>
      </c>
    </row>
    <row r="125" spans="1:13">
      <c r="A125">
        <v>8500087</v>
      </c>
      <c r="B125">
        <v>8500087</v>
      </c>
      <c r="C125" t="s">
        <v>8666</v>
      </c>
      <c r="D125" t="s">
        <v>441</v>
      </c>
      <c r="F125">
        <v>0</v>
      </c>
      <c r="G125">
        <v>11.5</v>
      </c>
      <c r="H125" t="s">
        <v>8587</v>
      </c>
      <c r="I125">
        <v>90</v>
      </c>
      <c r="J125" t="s">
        <v>470</v>
      </c>
      <c r="M125">
        <v>0</v>
      </c>
    </row>
    <row r="126" spans="1:13">
      <c r="A126">
        <v>8500088</v>
      </c>
      <c r="B126">
        <v>8500088</v>
      </c>
      <c r="C126" t="s">
        <v>8667</v>
      </c>
      <c r="D126" t="s">
        <v>441</v>
      </c>
      <c r="F126">
        <v>0</v>
      </c>
      <c r="G126">
        <v>6.95</v>
      </c>
      <c r="H126" t="s">
        <v>8587</v>
      </c>
      <c r="I126">
        <v>90</v>
      </c>
      <c r="J126" t="s">
        <v>470</v>
      </c>
      <c r="M126">
        <v>0</v>
      </c>
    </row>
    <row r="127" spans="1:13">
      <c r="A127">
        <v>8500089</v>
      </c>
      <c r="B127">
        <v>8500089</v>
      </c>
      <c r="C127" t="s">
        <v>8668</v>
      </c>
      <c r="D127" t="s">
        <v>441</v>
      </c>
      <c r="F127">
        <v>0</v>
      </c>
      <c r="G127">
        <v>8.99</v>
      </c>
      <c r="H127" t="s">
        <v>8587</v>
      </c>
      <c r="I127">
        <v>90</v>
      </c>
      <c r="J127" t="s">
        <v>470</v>
      </c>
      <c r="M127">
        <v>0</v>
      </c>
    </row>
    <row r="128" spans="1:13">
      <c r="A128">
        <v>8500090</v>
      </c>
      <c r="B128">
        <v>8500090</v>
      </c>
      <c r="C128" t="s">
        <v>8669</v>
      </c>
      <c r="D128" t="s">
        <v>441</v>
      </c>
      <c r="F128">
        <v>0</v>
      </c>
      <c r="G128">
        <v>6.18</v>
      </c>
      <c r="H128" t="s">
        <v>8587</v>
      </c>
      <c r="I128">
        <v>90</v>
      </c>
      <c r="J128" t="s">
        <v>470</v>
      </c>
      <c r="M128">
        <v>0</v>
      </c>
    </row>
    <row r="129" spans="1:13">
      <c r="A129">
        <v>8500091</v>
      </c>
      <c r="B129">
        <v>8500091</v>
      </c>
      <c r="C129" t="s">
        <v>8670</v>
      </c>
      <c r="D129" t="s">
        <v>441</v>
      </c>
      <c r="F129">
        <v>0</v>
      </c>
      <c r="G129">
        <v>7.59</v>
      </c>
      <c r="H129" t="s">
        <v>8587</v>
      </c>
      <c r="I129">
        <v>90</v>
      </c>
      <c r="J129" t="s">
        <v>470</v>
      </c>
      <c r="M129">
        <v>0</v>
      </c>
    </row>
    <row r="130" spans="1:13">
      <c r="A130">
        <v>8500092</v>
      </c>
      <c r="B130">
        <v>8500092</v>
      </c>
      <c r="C130" t="s">
        <v>8671</v>
      </c>
      <c r="D130" t="s">
        <v>441</v>
      </c>
      <c r="F130">
        <v>0</v>
      </c>
      <c r="G130">
        <v>8.32</v>
      </c>
      <c r="H130" t="s">
        <v>8587</v>
      </c>
      <c r="I130">
        <v>90</v>
      </c>
      <c r="J130" t="s">
        <v>470</v>
      </c>
      <c r="M130">
        <v>0</v>
      </c>
    </row>
    <row r="131" spans="1:13">
      <c r="A131">
        <v>8500093</v>
      </c>
      <c r="B131">
        <v>8500093</v>
      </c>
      <c r="C131" t="s">
        <v>8672</v>
      </c>
      <c r="D131" t="s">
        <v>441</v>
      </c>
      <c r="F131">
        <v>0</v>
      </c>
      <c r="G131">
        <v>7.94</v>
      </c>
      <c r="H131" t="s">
        <v>8587</v>
      </c>
      <c r="I131">
        <v>90</v>
      </c>
      <c r="J131" t="s">
        <v>470</v>
      </c>
      <c r="M131">
        <v>0</v>
      </c>
    </row>
    <row r="132" spans="1:13">
      <c r="A132">
        <v>8500094</v>
      </c>
      <c r="B132">
        <v>8500094</v>
      </c>
      <c r="C132" t="s">
        <v>8673</v>
      </c>
      <c r="D132" t="s">
        <v>441</v>
      </c>
      <c r="F132">
        <v>0</v>
      </c>
      <c r="G132">
        <v>8.25</v>
      </c>
      <c r="H132" t="s">
        <v>8587</v>
      </c>
      <c r="I132">
        <v>90</v>
      </c>
      <c r="J132" t="s">
        <v>470</v>
      </c>
      <c r="M132">
        <v>0</v>
      </c>
    </row>
    <row r="133" spans="1:13">
      <c r="A133">
        <v>8500095</v>
      </c>
      <c r="B133">
        <v>8500095</v>
      </c>
      <c r="C133" t="s">
        <v>8674</v>
      </c>
      <c r="D133" t="s">
        <v>441</v>
      </c>
      <c r="F133">
        <v>0</v>
      </c>
      <c r="G133">
        <v>12.2</v>
      </c>
      <c r="H133" t="s">
        <v>8587</v>
      </c>
      <c r="I133">
        <v>90</v>
      </c>
      <c r="J133" t="s">
        <v>470</v>
      </c>
      <c r="M133">
        <v>0</v>
      </c>
    </row>
    <row r="134" spans="1:13">
      <c r="A134">
        <v>8500096</v>
      </c>
      <c r="B134">
        <v>8500096</v>
      </c>
      <c r="C134" t="s">
        <v>8675</v>
      </c>
      <c r="D134" t="s">
        <v>441</v>
      </c>
      <c r="F134">
        <v>0</v>
      </c>
      <c r="G134">
        <v>8.1199999999999992</v>
      </c>
      <c r="H134" t="s">
        <v>8587</v>
      </c>
      <c r="I134">
        <v>90</v>
      </c>
      <c r="J134" t="s">
        <v>470</v>
      </c>
      <c r="M134">
        <v>0</v>
      </c>
    </row>
    <row r="135" spans="1:13">
      <c r="A135">
        <v>8500097</v>
      </c>
      <c r="B135">
        <v>8500097</v>
      </c>
      <c r="C135" t="s">
        <v>8676</v>
      </c>
      <c r="D135" t="s">
        <v>441</v>
      </c>
      <c r="F135">
        <v>0</v>
      </c>
      <c r="G135">
        <v>12.14</v>
      </c>
      <c r="H135" t="s">
        <v>8587</v>
      </c>
      <c r="I135">
        <v>90</v>
      </c>
      <c r="J135" t="s">
        <v>470</v>
      </c>
      <c r="M135">
        <v>0</v>
      </c>
    </row>
    <row r="136" spans="1:13">
      <c r="A136">
        <v>8500098</v>
      </c>
      <c r="B136">
        <v>8500098</v>
      </c>
      <c r="C136" t="s">
        <v>8677</v>
      </c>
      <c r="D136" t="s">
        <v>441</v>
      </c>
      <c r="F136">
        <v>0</v>
      </c>
      <c r="G136">
        <v>8.61</v>
      </c>
      <c r="H136" t="s">
        <v>8587</v>
      </c>
      <c r="I136">
        <v>90</v>
      </c>
      <c r="J136" t="s">
        <v>470</v>
      </c>
      <c r="M136">
        <v>0</v>
      </c>
    </row>
    <row r="137" spans="1:13">
      <c r="A137">
        <v>8500099</v>
      </c>
      <c r="B137">
        <v>8500099</v>
      </c>
      <c r="C137" t="s">
        <v>8678</v>
      </c>
      <c r="D137" t="s">
        <v>441</v>
      </c>
      <c r="F137">
        <v>0</v>
      </c>
      <c r="G137">
        <v>0.04</v>
      </c>
      <c r="H137" t="s">
        <v>8587</v>
      </c>
      <c r="I137">
        <v>90</v>
      </c>
      <c r="J137" t="s">
        <v>470</v>
      </c>
      <c r="M137">
        <v>0</v>
      </c>
    </row>
    <row r="138" spans="1:13">
      <c r="A138">
        <v>8500100</v>
      </c>
      <c r="B138">
        <v>8500100</v>
      </c>
      <c r="C138" t="s">
        <v>8679</v>
      </c>
      <c r="D138" t="s">
        <v>441</v>
      </c>
      <c r="F138">
        <v>0</v>
      </c>
      <c r="G138">
        <v>8.6199999999999992</v>
      </c>
      <c r="H138" t="s">
        <v>8587</v>
      </c>
      <c r="I138">
        <v>90</v>
      </c>
      <c r="J138" t="s">
        <v>470</v>
      </c>
      <c r="M138">
        <v>0</v>
      </c>
    </row>
    <row r="139" spans="1:13">
      <c r="A139">
        <v>8500101</v>
      </c>
      <c r="B139">
        <v>8500101</v>
      </c>
      <c r="C139" t="s">
        <v>8680</v>
      </c>
      <c r="D139" t="s">
        <v>441</v>
      </c>
      <c r="F139">
        <v>0</v>
      </c>
      <c r="G139">
        <v>8.94</v>
      </c>
      <c r="H139" t="s">
        <v>8587</v>
      </c>
      <c r="I139">
        <v>90</v>
      </c>
      <c r="J139" t="s">
        <v>470</v>
      </c>
      <c r="M139">
        <v>0</v>
      </c>
    </row>
    <row r="140" spans="1:13">
      <c r="A140">
        <v>8500103</v>
      </c>
      <c r="B140">
        <v>8500103</v>
      </c>
      <c r="C140" t="s">
        <v>8681</v>
      </c>
      <c r="D140" t="s">
        <v>441</v>
      </c>
      <c r="F140">
        <v>0</v>
      </c>
      <c r="G140">
        <v>10.4</v>
      </c>
      <c r="H140" t="s">
        <v>8587</v>
      </c>
      <c r="I140">
        <v>90</v>
      </c>
      <c r="J140" t="s">
        <v>470</v>
      </c>
      <c r="M140">
        <v>0</v>
      </c>
    </row>
    <row r="141" spans="1:13">
      <c r="A141">
        <v>8500110</v>
      </c>
      <c r="B141">
        <v>8500110</v>
      </c>
      <c r="C141" t="s">
        <v>8682</v>
      </c>
      <c r="D141" t="s">
        <v>441</v>
      </c>
      <c r="F141">
        <v>0</v>
      </c>
      <c r="G141">
        <v>10.75</v>
      </c>
      <c r="H141" t="s">
        <v>8587</v>
      </c>
      <c r="I141">
        <v>90</v>
      </c>
      <c r="J141" t="s">
        <v>470</v>
      </c>
      <c r="M141">
        <v>0</v>
      </c>
    </row>
    <row r="142" spans="1:13">
      <c r="A142">
        <v>8500111</v>
      </c>
      <c r="B142">
        <v>8500111</v>
      </c>
      <c r="C142" t="s">
        <v>8683</v>
      </c>
      <c r="D142" t="s">
        <v>441</v>
      </c>
      <c r="E142" t="s">
        <v>442</v>
      </c>
      <c r="F142">
        <v>1.5384615384615401</v>
      </c>
      <c r="G142">
        <v>14.18</v>
      </c>
      <c r="H142" t="s">
        <v>8587</v>
      </c>
      <c r="I142">
        <v>90</v>
      </c>
      <c r="J142" t="s">
        <v>470</v>
      </c>
      <c r="M142">
        <v>0</v>
      </c>
    </row>
    <row r="143" spans="1:13">
      <c r="A143">
        <v>8500112</v>
      </c>
      <c r="B143">
        <v>8500112</v>
      </c>
      <c r="C143" t="s">
        <v>8684</v>
      </c>
      <c r="D143" t="s">
        <v>441</v>
      </c>
      <c r="F143">
        <v>0</v>
      </c>
      <c r="G143">
        <v>13.41</v>
      </c>
      <c r="H143" t="s">
        <v>8587</v>
      </c>
      <c r="I143">
        <v>90</v>
      </c>
      <c r="J143" t="s">
        <v>470</v>
      </c>
      <c r="M143">
        <v>0</v>
      </c>
    </row>
    <row r="144" spans="1:13">
      <c r="A144">
        <v>8500113</v>
      </c>
      <c r="B144">
        <v>8500113</v>
      </c>
      <c r="C144" t="s">
        <v>8685</v>
      </c>
      <c r="D144" t="s">
        <v>441</v>
      </c>
      <c r="E144" t="s">
        <v>442</v>
      </c>
      <c r="F144">
        <v>5</v>
      </c>
      <c r="G144">
        <v>13.78</v>
      </c>
      <c r="H144" t="s">
        <v>8587</v>
      </c>
      <c r="I144">
        <v>90</v>
      </c>
      <c r="J144" t="s">
        <v>470</v>
      </c>
      <c r="M144">
        <v>0</v>
      </c>
    </row>
    <row r="145" spans="1:13">
      <c r="A145">
        <v>8500114</v>
      </c>
      <c r="B145">
        <v>8500114</v>
      </c>
      <c r="C145" t="s">
        <v>8686</v>
      </c>
      <c r="D145" t="s">
        <v>441</v>
      </c>
      <c r="E145" t="s">
        <v>442</v>
      </c>
      <c r="F145">
        <v>5</v>
      </c>
      <c r="G145">
        <v>15.84</v>
      </c>
      <c r="H145" t="s">
        <v>8587</v>
      </c>
      <c r="I145">
        <v>90</v>
      </c>
      <c r="J145" t="s">
        <v>470</v>
      </c>
      <c r="M145">
        <v>0</v>
      </c>
    </row>
    <row r="146" spans="1:13">
      <c r="A146">
        <v>8500115</v>
      </c>
      <c r="B146">
        <v>8500115</v>
      </c>
      <c r="C146" t="s">
        <v>8687</v>
      </c>
      <c r="D146" t="s">
        <v>441</v>
      </c>
      <c r="F146">
        <v>0</v>
      </c>
      <c r="G146">
        <v>10.46</v>
      </c>
      <c r="H146" t="s">
        <v>8587</v>
      </c>
      <c r="I146">
        <v>90</v>
      </c>
      <c r="J146" t="s">
        <v>470</v>
      </c>
      <c r="M146">
        <v>0</v>
      </c>
    </row>
    <row r="147" spans="1:13">
      <c r="A147">
        <v>8500116</v>
      </c>
      <c r="B147">
        <v>8500116</v>
      </c>
      <c r="C147" t="s">
        <v>8688</v>
      </c>
      <c r="D147" t="s">
        <v>441</v>
      </c>
      <c r="E147" t="s">
        <v>442</v>
      </c>
      <c r="F147">
        <v>5.8823529411764701</v>
      </c>
      <c r="G147">
        <v>10.8</v>
      </c>
      <c r="H147" t="s">
        <v>8587</v>
      </c>
      <c r="I147">
        <v>90</v>
      </c>
      <c r="J147" t="s">
        <v>470</v>
      </c>
      <c r="M147">
        <v>0</v>
      </c>
    </row>
    <row r="148" spans="1:13">
      <c r="A148">
        <v>8500117</v>
      </c>
      <c r="B148">
        <v>8500117</v>
      </c>
      <c r="C148" t="s">
        <v>8689</v>
      </c>
      <c r="D148" t="s">
        <v>441</v>
      </c>
      <c r="F148">
        <v>0</v>
      </c>
      <c r="G148">
        <v>12.7</v>
      </c>
      <c r="H148" t="s">
        <v>8587</v>
      </c>
      <c r="I148">
        <v>90</v>
      </c>
      <c r="J148" t="s">
        <v>470</v>
      </c>
      <c r="M148">
        <v>0</v>
      </c>
    </row>
    <row r="149" spans="1:13">
      <c r="A149">
        <v>8500118</v>
      </c>
      <c r="B149">
        <v>8500118</v>
      </c>
      <c r="C149" t="s">
        <v>8690</v>
      </c>
      <c r="D149" t="s">
        <v>441</v>
      </c>
      <c r="E149" t="s">
        <v>442</v>
      </c>
      <c r="F149">
        <v>5.8823529411764701</v>
      </c>
      <c r="G149">
        <v>1.33</v>
      </c>
      <c r="H149" t="s">
        <v>8587</v>
      </c>
      <c r="I149">
        <v>90</v>
      </c>
      <c r="J149" t="s">
        <v>470</v>
      </c>
      <c r="M149">
        <v>0</v>
      </c>
    </row>
    <row r="150" spans="1:13">
      <c r="A150">
        <v>8500119</v>
      </c>
      <c r="B150">
        <v>8500119</v>
      </c>
      <c r="C150" t="s">
        <v>8691</v>
      </c>
      <c r="D150" t="s">
        <v>441</v>
      </c>
      <c r="F150">
        <v>0</v>
      </c>
      <c r="G150">
        <v>1.58</v>
      </c>
      <c r="H150" t="s">
        <v>8587</v>
      </c>
      <c r="I150">
        <v>90</v>
      </c>
      <c r="J150" t="s">
        <v>470</v>
      </c>
      <c r="M150">
        <v>0</v>
      </c>
    </row>
    <row r="151" spans="1:13">
      <c r="A151">
        <v>8500120</v>
      </c>
      <c r="B151">
        <v>8500120</v>
      </c>
      <c r="C151" t="s">
        <v>8692</v>
      </c>
      <c r="D151" t="s">
        <v>441</v>
      </c>
      <c r="F151">
        <v>0</v>
      </c>
      <c r="G151">
        <v>3</v>
      </c>
      <c r="H151" t="s">
        <v>8587</v>
      </c>
      <c r="I151">
        <v>90</v>
      </c>
      <c r="J151" t="s">
        <v>470</v>
      </c>
      <c r="M151">
        <v>0</v>
      </c>
    </row>
    <row r="152" spans="1:13">
      <c r="A152">
        <v>8500121</v>
      </c>
      <c r="B152">
        <v>8500121</v>
      </c>
      <c r="C152" t="s">
        <v>8693</v>
      </c>
      <c r="D152" t="s">
        <v>441</v>
      </c>
      <c r="F152">
        <v>0</v>
      </c>
      <c r="G152">
        <v>10.34</v>
      </c>
      <c r="H152" t="s">
        <v>8587</v>
      </c>
      <c r="I152">
        <v>90</v>
      </c>
      <c r="J152" t="s">
        <v>470</v>
      </c>
      <c r="M152">
        <v>0</v>
      </c>
    </row>
    <row r="153" spans="1:13">
      <c r="A153">
        <v>8500122</v>
      </c>
      <c r="B153">
        <v>8500122</v>
      </c>
      <c r="C153" t="s">
        <v>8694</v>
      </c>
      <c r="D153" t="s">
        <v>441</v>
      </c>
      <c r="F153">
        <v>0</v>
      </c>
      <c r="G153">
        <v>13.95</v>
      </c>
      <c r="H153" t="s">
        <v>8587</v>
      </c>
      <c r="I153">
        <v>90</v>
      </c>
      <c r="J153" t="s">
        <v>470</v>
      </c>
      <c r="M153">
        <v>0</v>
      </c>
    </row>
    <row r="154" spans="1:13">
      <c r="A154">
        <v>8500123</v>
      </c>
      <c r="B154">
        <v>8500123</v>
      </c>
      <c r="C154" t="s">
        <v>8695</v>
      </c>
      <c r="D154" t="s">
        <v>441</v>
      </c>
      <c r="F154">
        <v>0</v>
      </c>
      <c r="G154">
        <v>12.46</v>
      </c>
      <c r="H154" t="s">
        <v>8587</v>
      </c>
      <c r="I154">
        <v>90</v>
      </c>
      <c r="J154" t="s">
        <v>470</v>
      </c>
      <c r="M154">
        <v>0</v>
      </c>
    </row>
    <row r="155" spans="1:13">
      <c r="A155">
        <v>8500125</v>
      </c>
      <c r="B155">
        <v>8500125</v>
      </c>
      <c r="C155" t="s">
        <v>8696</v>
      </c>
      <c r="D155" t="s">
        <v>441</v>
      </c>
      <c r="F155">
        <v>0</v>
      </c>
      <c r="G155">
        <v>9.44</v>
      </c>
      <c r="H155" t="s">
        <v>8587</v>
      </c>
      <c r="I155">
        <v>90</v>
      </c>
      <c r="J155" t="s">
        <v>470</v>
      </c>
      <c r="M155">
        <v>0</v>
      </c>
    </row>
    <row r="156" spans="1:13">
      <c r="A156">
        <v>8500126</v>
      </c>
      <c r="B156">
        <v>8500126</v>
      </c>
      <c r="C156" t="s">
        <v>8697</v>
      </c>
      <c r="D156" t="s">
        <v>441</v>
      </c>
      <c r="F156">
        <v>0</v>
      </c>
      <c r="G156">
        <v>14</v>
      </c>
      <c r="H156" t="s">
        <v>8587</v>
      </c>
      <c r="I156">
        <v>90</v>
      </c>
      <c r="J156" t="s">
        <v>470</v>
      </c>
      <c r="M156">
        <v>0</v>
      </c>
    </row>
    <row r="157" spans="1:13">
      <c r="A157">
        <v>8500127</v>
      </c>
      <c r="B157">
        <v>8500127</v>
      </c>
      <c r="C157" t="s">
        <v>8698</v>
      </c>
      <c r="D157" t="s">
        <v>441</v>
      </c>
      <c r="F157">
        <v>0</v>
      </c>
      <c r="G157">
        <v>15.02</v>
      </c>
      <c r="H157" t="s">
        <v>8587</v>
      </c>
      <c r="I157">
        <v>90</v>
      </c>
      <c r="J157" t="s">
        <v>470</v>
      </c>
      <c r="M157">
        <v>0</v>
      </c>
    </row>
    <row r="158" spans="1:13">
      <c r="A158">
        <v>8500135</v>
      </c>
      <c r="B158">
        <v>8500135</v>
      </c>
      <c r="C158" t="s">
        <v>8699</v>
      </c>
      <c r="D158" t="s">
        <v>441</v>
      </c>
      <c r="F158">
        <v>0</v>
      </c>
      <c r="G158">
        <v>1.54</v>
      </c>
      <c r="H158" t="s">
        <v>8580</v>
      </c>
      <c r="I158">
        <v>0</v>
      </c>
      <c r="J158" t="s">
        <v>470</v>
      </c>
      <c r="M158">
        <v>0</v>
      </c>
    </row>
    <row r="159" spans="1:13">
      <c r="A159">
        <v>8500140</v>
      </c>
      <c r="B159">
        <v>8500140</v>
      </c>
      <c r="C159" t="s">
        <v>8700</v>
      </c>
      <c r="D159" t="s">
        <v>441</v>
      </c>
      <c r="F159">
        <v>0</v>
      </c>
      <c r="G159">
        <v>2.39</v>
      </c>
      <c r="H159" t="s">
        <v>8634</v>
      </c>
      <c r="I159">
        <v>0</v>
      </c>
      <c r="J159" t="s">
        <v>470</v>
      </c>
      <c r="M159">
        <v>0</v>
      </c>
    </row>
    <row r="160" spans="1:13">
      <c r="A160">
        <v>8500150</v>
      </c>
      <c r="B160">
        <v>8500150</v>
      </c>
      <c r="C160" t="s">
        <v>8701</v>
      </c>
      <c r="D160" t="s">
        <v>441</v>
      </c>
      <c r="F160">
        <v>0</v>
      </c>
      <c r="G160">
        <v>7.28</v>
      </c>
      <c r="H160" t="s">
        <v>8587</v>
      </c>
      <c r="I160">
        <v>90</v>
      </c>
      <c r="J160" t="s">
        <v>470</v>
      </c>
      <c r="M160">
        <v>0</v>
      </c>
    </row>
    <row r="161" spans="1:13">
      <c r="A161">
        <v>8500151</v>
      </c>
      <c r="B161">
        <v>8500151</v>
      </c>
      <c r="C161" t="s">
        <v>8702</v>
      </c>
      <c r="D161" t="s">
        <v>441</v>
      </c>
      <c r="F161">
        <v>0</v>
      </c>
      <c r="G161">
        <v>7.64</v>
      </c>
      <c r="H161" t="s">
        <v>8587</v>
      </c>
      <c r="I161">
        <v>90</v>
      </c>
      <c r="J161" t="s">
        <v>470</v>
      </c>
      <c r="M161">
        <v>0</v>
      </c>
    </row>
    <row r="162" spans="1:13">
      <c r="A162">
        <v>8500152</v>
      </c>
      <c r="B162">
        <v>8500152</v>
      </c>
      <c r="C162" t="s">
        <v>8703</v>
      </c>
      <c r="D162" t="s">
        <v>441</v>
      </c>
      <c r="F162">
        <v>0</v>
      </c>
      <c r="G162">
        <v>9.2799999999999994</v>
      </c>
      <c r="H162" t="s">
        <v>8587</v>
      </c>
      <c r="I162">
        <v>90</v>
      </c>
      <c r="J162" t="s">
        <v>470</v>
      </c>
      <c r="M162">
        <v>0</v>
      </c>
    </row>
    <row r="163" spans="1:13">
      <c r="A163">
        <v>8500153</v>
      </c>
      <c r="B163">
        <v>8500153</v>
      </c>
      <c r="C163" t="s">
        <v>8704</v>
      </c>
      <c r="D163" t="s">
        <v>441</v>
      </c>
      <c r="F163">
        <v>0</v>
      </c>
      <c r="G163">
        <v>14.17</v>
      </c>
      <c r="H163" t="s">
        <v>8587</v>
      </c>
      <c r="I163">
        <v>90</v>
      </c>
      <c r="J163" t="s">
        <v>470</v>
      </c>
      <c r="M163">
        <v>0</v>
      </c>
    </row>
    <row r="164" spans="1:13">
      <c r="A164">
        <v>8500154</v>
      </c>
      <c r="B164">
        <v>8500154</v>
      </c>
      <c r="C164" t="s">
        <v>8705</v>
      </c>
      <c r="D164" t="s">
        <v>441</v>
      </c>
      <c r="F164">
        <v>0</v>
      </c>
      <c r="G164">
        <v>15.29</v>
      </c>
      <c r="H164" t="s">
        <v>8587</v>
      </c>
      <c r="I164">
        <v>90</v>
      </c>
      <c r="J164" t="s">
        <v>470</v>
      </c>
      <c r="M164">
        <v>0</v>
      </c>
    </row>
    <row r="165" spans="1:13">
      <c r="A165">
        <v>8500155</v>
      </c>
      <c r="B165">
        <v>8500155</v>
      </c>
      <c r="C165" t="s">
        <v>8706</v>
      </c>
      <c r="D165" t="s">
        <v>441</v>
      </c>
      <c r="F165">
        <v>0</v>
      </c>
      <c r="G165">
        <v>19.03</v>
      </c>
      <c r="H165" t="s">
        <v>8587</v>
      </c>
      <c r="I165">
        <v>90</v>
      </c>
      <c r="J165" t="s">
        <v>470</v>
      </c>
      <c r="M165">
        <v>0</v>
      </c>
    </row>
    <row r="166" spans="1:13">
      <c r="A166">
        <v>8500156</v>
      </c>
      <c r="B166">
        <v>8500156</v>
      </c>
      <c r="C166" t="s">
        <v>8707</v>
      </c>
      <c r="D166" t="s">
        <v>441</v>
      </c>
      <c r="F166">
        <v>0</v>
      </c>
      <c r="G166">
        <v>7.13</v>
      </c>
      <c r="H166" t="s">
        <v>8587</v>
      </c>
      <c r="I166">
        <v>90</v>
      </c>
      <c r="J166" t="s">
        <v>470</v>
      </c>
      <c r="M166">
        <v>0</v>
      </c>
    </row>
    <row r="167" spans="1:13">
      <c r="A167">
        <v>8500157</v>
      </c>
      <c r="B167">
        <v>8500157</v>
      </c>
      <c r="C167" t="s">
        <v>8708</v>
      </c>
      <c r="D167" t="s">
        <v>441</v>
      </c>
      <c r="F167">
        <v>0</v>
      </c>
      <c r="G167">
        <v>7.53</v>
      </c>
      <c r="H167" t="s">
        <v>8587</v>
      </c>
      <c r="I167">
        <v>90</v>
      </c>
      <c r="J167" t="s">
        <v>470</v>
      </c>
      <c r="M167">
        <v>0</v>
      </c>
    </row>
    <row r="168" spans="1:13">
      <c r="A168">
        <v>8500158</v>
      </c>
      <c r="B168">
        <v>8500158</v>
      </c>
      <c r="C168" t="s">
        <v>8709</v>
      </c>
      <c r="D168" t="s">
        <v>441</v>
      </c>
      <c r="F168">
        <v>0</v>
      </c>
      <c r="G168">
        <v>17.989999999999998</v>
      </c>
      <c r="H168" t="s">
        <v>8587</v>
      </c>
      <c r="I168">
        <v>90</v>
      </c>
      <c r="J168" t="s">
        <v>470</v>
      </c>
      <c r="M168">
        <v>0</v>
      </c>
    </row>
    <row r="169" spans="1:13">
      <c r="A169">
        <v>8500159</v>
      </c>
      <c r="B169">
        <v>8500159</v>
      </c>
      <c r="C169" t="s">
        <v>8710</v>
      </c>
      <c r="D169" t="s">
        <v>441</v>
      </c>
      <c r="F169">
        <v>0</v>
      </c>
      <c r="G169">
        <v>10.41</v>
      </c>
      <c r="H169" t="s">
        <v>8587</v>
      </c>
      <c r="I169">
        <v>90</v>
      </c>
      <c r="J169" t="s">
        <v>470</v>
      </c>
      <c r="M169">
        <v>0</v>
      </c>
    </row>
    <row r="170" spans="1:13">
      <c r="A170">
        <v>8500160</v>
      </c>
      <c r="B170">
        <v>8500160</v>
      </c>
      <c r="C170" t="s">
        <v>8711</v>
      </c>
      <c r="D170" t="s">
        <v>441</v>
      </c>
      <c r="F170">
        <v>0</v>
      </c>
      <c r="G170">
        <v>21.19</v>
      </c>
      <c r="H170" t="s">
        <v>8587</v>
      </c>
      <c r="I170">
        <v>90</v>
      </c>
      <c r="J170" t="s">
        <v>470</v>
      </c>
      <c r="M170">
        <v>0</v>
      </c>
    </row>
    <row r="171" spans="1:13">
      <c r="A171">
        <v>8500161</v>
      </c>
      <c r="B171">
        <v>8500161</v>
      </c>
      <c r="C171" t="s">
        <v>8712</v>
      </c>
      <c r="D171" t="s">
        <v>441</v>
      </c>
      <c r="F171">
        <v>0</v>
      </c>
      <c r="G171">
        <v>7.83</v>
      </c>
      <c r="H171" t="s">
        <v>8587</v>
      </c>
      <c r="I171">
        <v>90</v>
      </c>
      <c r="J171" t="s">
        <v>470</v>
      </c>
      <c r="M171">
        <v>0</v>
      </c>
    </row>
    <row r="172" spans="1:13">
      <c r="A172">
        <v>8500162</v>
      </c>
      <c r="B172">
        <v>8500162</v>
      </c>
      <c r="C172" t="s">
        <v>8713</v>
      </c>
      <c r="D172" t="s">
        <v>441</v>
      </c>
      <c r="F172">
        <v>0</v>
      </c>
      <c r="G172">
        <v>8.4</v>
      </c>
      <c r="H172" t="s">
        <v>8587</v>
      </c>
      <c r="I172">
        <v>90</v>
      </c>
      <c r="J172" t="s">
        <v>470</v>
      </c>
      <c r="M172">
        <v>0</v>
      </c>
    </row>
    <row r="173" spans="1:13">
      <c r="A173">
        <v>8500163</v>
      </c>
      <c r="B173">
        <v>8500163</v>
      </c>
      <c r="C173" t="s">
        <v>8714</v>
      </c>
      <c r="D173" t="s">
        <v>441</v>
      </c>
      <c r="F173">
        <v>0</v>
      </c>
      <c r="G173">
        <v>9.61</v>
      </c>
      <c r="H173" t="s">
        <v>8587</v>
      </c>
      <c r="I173">
        <v>90</v>
      </c>
      <c r="J173" t="s">
        <v>470</v>
      </c>
      <c r="M173">
        <v>0</v>
      </c>
    </row>
    <row r="174" spans="1:13">
      <c r="A174">
        <v>8500164</v>
      </c>
      <c r="B174">
        <v>8500164</v>
      </c>
      <c r="C174" t="s">
        <v>8715</v>
      </c>
      <c r="D174" t="s">
        <v>441</v>
      </c>
      <c r="F174">
        <v>0</v>
      </c>
      <c r="G174">
        <v>11.05</v>
      </c>
      <c r="H174" t="s">
        <v>8587</v>
      </c>
      <c r="I174">
        <v>90</v>
      </c>
      <c r="J174" t="s">
        <v>470</v>
      </c>
      <c r="M174">
        <v>0</v>
      </c>
    </row>
    <row r="175" spans="1:13">
      <c r="A175">
        <v>8500165</v>
      </c>
      <c r="B175">
        <v>8500165</v>
      </c>
      <c r="C175" t="s">
        <v>8716</v>
      </c>
      <c r="D175" t="s">
        <v>441</v>
      </c>
      <c r="F175">
        <v>0</v>
      </c>
      <c r="G175">
        <v>8.82</v>
      </c>
      <c r="H175" t="s">
        <v>8587</v>
      </c>
      <c r="I175">
        <v>90</v>
      </c>
      <c r="J175" t="s">
        <v>470</v>
      </c>
      <c r="M175">
        <v>0</v>
      </c>
    </row>
    <row r="176" spans="1:13">
      <c r="A176">
        <v>8500166</v>
      </c>
      <c r="B176">
        <v>8500166</v>
      </c>
      <c r="C176" t="s">
        <v>8717</v>
      </c>
      <c r="D176" t="s">
        <v>441</v>
      </c>
      <c r="F176">
        <v>0</v>
      </c>
      <c r="G176">
        <v>4.09</v>
      </c>
      <c r="H176" t="s">
        <v>8587</v>
      </c>
      <c r="I176">
        <v>90</v>
      </c>
      <c r="J176" t="s">
        <v>470</v>
      </c>
      <c r="M176">
        <v>0</v>
      </c>
    </row>
    <row r="177" spans="1:13">
      <c r="A177">
        <v>8500167</v>
      </c>
      <c r="B177">
        <v>8500167</v>
      </c>
      <c r="C177" t="s">
        <v>8718</v>
      </c>
      <c r="D177" t="s">
        <v>441</v>
      </c>
      <c r="F177">
        <v>0</v>
      </c>
      <c r="G177">
        <v>5</v>
      </c>
      <c r="H177" t="s">
        <v>8587</v>
      </c>
      <c r="I177">
        <v>90</v>
      </c>
      <c r="J177" t="s">
        <v>470</v>
      </c>
      <c r="M177">
        <v>0</v>
      </c>
    </row>
    <row r="178" spans="1:13">
      <c r="A178">
        <v>8500169</v>
      </c>
      <c r="B178">
        <v>8500169</v>
      </c>
      <c r="C178" t="s">
        <v>8719</v>
      </c>
      <c r="D178" t="s">
        <v>441</v>
      </c>
      <c r="F178">
        <v>0</v>
      </c>
      <c r="G178">
        <v>6.83</v>
      </c>
      <c r="H178" t="s">
        <v>8587</v>
      </c>
      <c r="I178">
        <v>90</v>
      </c>
      <c r="J178" t="s">
        <v>470</v>
      </c>
      <c r="M178">
        <v>0</v>
      </c>
    </row>
    <row r="179" spans="1:13">
      <c r="A179">
        <v>8500170</v>
      </c>
      <c r="B179">
        <v>8500170</v>
      </c>
      <c r="C179" t="s">
        <v>8720</v>
      </c>
      <c r="D179" t="s">
        <v>441</v>
      </c>
      <c r="F179">
        <v>0</v>
      </c>
      <c r="G179">
        <v>8.74</v>
      </c>
      <c r="H179" t="s">
        <v>8587</v>
      </c>
      <c r="I179">
        <v>90</v>
      </c>
      <c r="J179" t="s">
        <v>470</v>
      </c>
      <c r="M179">
        <v>0</v>
      </c>
    </row>
    <row r="180" spans="1:13">
      <c r="A180">
        <v>8500171</v>
      </c>
      <c r="B180">
        <v>8500171</v>
      </c>
      <c r="C180" t="s">
        <v>8721</v>
      </c>
      <c r="D180" t="s">
        <v>441</v>
      </c>
      <c r="F180">
        <v>0</v>
      </c>
      <c r="G180">
        <v>20.81</v>
      </c>
      <c r="H180" t="s">
        <v>8587</v>
      </c>
      <c r="I180">
        <v>90</v>
      </c>
      <c r="J180" t="s">
        <v>470</v>
      </c>
      <c r="M180">
        <v>0</v>
      </c>
    </row>
    <row r="181" spans="1:13">
      <c r="A181">
        <v>8500172</v>
      </c>
      <c r="B181">
        <v>8500172</v>
      </c>
      <c r="C181" t="s">
        <v>8722</v>
      </c>
      <c r="D181" t="s">
        <v>441</v>
      </c>
      <c r="F181">
        <v>0</v>
      </c>
      <c r="G181">
        <v>21.57</v>
      </c>
      <c r="H181" t="s">
        <v>8587</v>
      </c>
      <c r="I181">
        <v>90</v>
      </c>
      <c r="J181" t="s">
        <v>470</v>
      </c>
      <c r="M181">
        <v>0</v>
      </c>
    </row>
    <row r="182" spans="1:13">
      <c r="A182">
        <v>8500173</v>
      </c>
      <c r="B182">
        <v>8500173</v>
      </c>
      <c r="C182" t="s">
        <v>8723</v>
      </c>
      <c r="D182" t="s">
        <v>441</v>
      </c>
      <c r="F182">
        <v>0</v>
      </c>
      <c r="G182">
        <v>15.88</v>
      </c>
      <c r="H182" t="s">
        <v>8587</v>
      </c>
      <c r="I182">
        <v>90</v>
      </c>
      <c r="J182" t="s">
        <v>470</v>
      </c>
      <c r="M182">
        <v>0</v>
      </c>
    </row>
    <row r="183" spans="1:13">
      <c r="A183">
        <v>8500174</v>
      </c>
      <c r="B183">
        <v>8500174</v>
      </c>
      <c r="C183" t="s">
        <v>8724</v>
      </c>
      <c r="D183" t="s">
        <v>441</v>
      </c>
      <c r="F183">
        <v>0</v>
      </c>
      <c r="G183">
        <v>8.4499999999999993</v>
      </c>
      <c r="H183" t="s">
        <v>8587</v>
      </c>
      <c r="I183">
        <v>90</v>
      </c>
      <c r="J183" t="s">
        <v>470</v>
      </c>
      <c r="M183">
        <v>0</v>
      </c>
    </row>
    <row r="184" spans="1:13">
      <c r="A184">
        <v>8500175</v>
      </c>
      <c r="B184">
        <v>8500175</v>
      </c>
      <c r="C184" t="s">
        <v>8725</v>
      </c>
      <c r="D184" t="s">
        <v>441</v>
      </c>
      <c r="F184">
        <v>0</v>
      </c>
      <c r="G184">
        <v>12.4</v>
      </c>
      <c r="H184" t="s">
        <v>8587</v>
      </c>
      <c r="I184">
        <v>90</v>
      </c>
      <c r="J184" t="s">
        <v>470</v>
      </c>
      <c r="M184">
        <v>0</v>
      </c>
    </row>
    <row r="185" spans="1:13">
      <c r="A185">
        <v>8500176</v>
      </c>
      <c r="B185">
        <v>8500176</v>
      </c>
      <c r="C185" t="s">
        <v>8726</v>
      </c>
      <c r="D185" t="s">
        <v>441</v>
      </c>
      <c r="F185">
        <v>0</v>
      </c>
      <c r="G185">
        <v>14.09</v>
      </c>
      <c r="H185" t="s">
        <v>8587</v>
      </c>
      <c r="I185">
        <v>90</v>
      </c>
      <c r="J185" t="s">
        <v>470</v>
      </c>
      <c r="M185">
        <v>0</v>
      </c>
    </row>
    <row r="186" spans="1:13">
      <c r="A186">
        <v>8500178</v>
      </c>
      <c r="B186">
        <v>8500178</v>
      </c>
      <c r="C186" t="s">
        <v>8727</v>
      </c>
      <c r="D186" t="s">
        <v>441</v>
      </c>
      <c r="F186">
        <v>0</v>
      </c>
      <c r="G186">
        <v>13.31</v>
      </c>
      <c r="H186" t="s">
        <v>8587</v>
      </c>
      <c r="I186">
        <v>90</v>
      </c>
      <c r="J186" t="s">
        <v>470</v>
      </c>
      <c r="M186">
        <v>0</v>
      </c>
    </row>
    <row r="187" spans="1:13">
      <c r="A187">
        <v>8500179</v>
      </c>
      <c r="B187">
        <v>8500179</v>
      </c>
      <c r="C187" t="s">
        <v>8728</v>
      </c>
      <c r="D187" t="s">
        <v>441</v>
      </c>
      <c r="F187">
        <v>0</v>
      </c>
      <c r="G187">
        <v>19.16</v>
      </c>
      <c r="H187" t="s">
        <v>8587</v>
      </c>
      <c r="I187">
        <v>90</v>
      </c>
      <c r="J187" t="s">
        <v>470</v>
      </c>
      <c r="M187">
        <v>0</v>
      </c>
    </row>
    <row r="188" spans="1:13">
      <c r="A188">
        <v>8500180</v>
      </c>
      <c r="B188">
        <v>8500180</v>
      </c>
      <c r="C188" t="s">
        <v>8729</v>
      </c>
      <c r="D188" t="s">
        <v>441</v>
      </c>
      <c r="F188">
        <v>0</v>
      </c>
      <c r="G188">
        <v>7.54</v>
      </c>
      <c r="H188" t="s">
        <v>8587</v>
      </c>
      <c r="I188">
        <v>90</v>
      </c>
      <c r="J188" t="s">
        <v>470</v>
      </c>
      <c r="M188">
        <v>0</v>
      </c>
    </row>
    <row r="189" spans="1:13">
      <c r="A189">
        <v>8500181</v>
      </c>
      <c r="B189">
        <v>8500181</v>
      </c>
      <c r="C189" t="s">
        <v>8730</v>
      </c>
      <c r="D189" t="s">
        <v>441</v>
      </c>
      <c r="F189">
        <v>0</v>
      </c>
      <c r="G189">
        <v>13.95</v>
      </c>
      <c r="H189" t="s">
        <v>8587</v>
      </c>
      <c r="I189">
        <v>90</v>
      </c>
      <c r="J189" t="s">
        <v>470</v>
      </c>
      <c r="M189">
        <v>0</v>
      </c>
    </row>
    <row r="190" spans="1:13">
      <c r="A190">
        <v>8500182</v>
      </c>
      <c r="B190">
        <v>8500182</v>
      </c>
      <c r="C190" t="s">
        <v>8731</v>
      </c>
      <c r="D190" t="s">
        <v>441</v>
      </c>
      <c r="F190">
        <v>0</v>
      </c>
      <c r="G190">
        <v>16.16</v>
      </c>
      <c r="H190" t="s">
        <v>8587</v>
      </c>
      <c r="I190">
        <v>90</v>
      </c>
      <c r="J190" t="s">
        <v>470</v>
      </c>
      <c r="M190">
        <v>0</v>
      </c>
    </row>
    <row r="191" spans="1:13">
      <c r="A191">
        <v>8500183</v>
      </c>
      <c r="B191">
        <v>8500183</v>
      </c>
      <c r="C191" t="s">
        <v>8732</v>
      </c>
      <c r="D191" t="s">
        <v>441</v>
      </c>
      <c r="F191">
        <v>0</v>
      </c>
      <c r="G191">
        <v>8.82</v>
      </c>
      <c r="H191" t="s">
        <v>8587</v>
      </c>
      <c r="I191">
        <v>90</v>
      </c>
      <c r="J191" t="s">
        <v>470</v>
      </c>
      <c r="M191">
        <v>0</v>
      </c>
    </row>
    <row r="192" spans="1:13">
      <c r="A192">
        <v>8500184</v>
      </c>
      <c r="B192">
        <v>8500184</v>
      </c>
      <c r="C192" t="s">
        <v>8733</v>
      </c>
      <c r="D192" t="s">
        <v>441</v>
      </c>
      <c r="F192">
        <v>0</v>
      </c>
      <c r="G192">
        <v>5.71</v>
      </c>
      <c r="H192" t="s">
        <v>8587</v>
      </c>
      <c r="I192">
        <v>90</v>
      </c>
      <c r="J192" t="s">
        <v>470</v>
      </c>
      <c r="M192">
        <v>0</v>
      </c>
    </row>
    <row r="193" spans="1:13">
      <c r="A193">
        <v>8500185</v>
      </c>
      <c r="B193">
        <v>8500185</v>
      </c>
      <c r="C193" t="s">
        <v>8734</v>
      </c>
      <c r="D193" t="s">
        <v>441</v>
      </c>
      <c r="F193">
        <v>0</v>
      </c>
      <c r="G193">
        <v>12.35</v>
      </c>
      <c r="H193" t="s">
        <v>8587</v>
      </c>
      <c r="I193">
        <v>90</v>
      </c>
      <c r="J193" t="s">
        <v>470</v>
      </c>
      <c r="M193">
        <v>0</v>
      </c>
    </row>
    <row r="194" spans="1:13">
      <c r="A194">
        <v>8500186</v>
      </c>
      <c r="B194">
        <v>8500186</v>
      </c>
      <c r="C194" t="s">
        <v>8735</v>
      </c>
      <c r="D194" t="s">
        <v>441</v>
      </c>
      <c r="F194">
        <v>0</v>
      </c>
      <c r="G194">
        <v>0.55000000000000004</v>
      </c>
      <c r="H194" t="s">
        <v>8587</v>
      </c>
      <c r="I194">
        <v>90</v>
      </c>
      <c r="J194" t="s">
        <v>470</v>
      </c>
      <c r="M194">
        <v>0</v>
      </c>
    </row>
    <row r="195" spans="1:13">
      <c r="A195">
        <v>8500187</v>
      </c>
      <c r="B195">
        <v>8500187</v>
      </c>
      <c r="C195" t="s">
        <v>8736</v>
      </c>
      <c r="D195" t="s">
        <v>441</v>
      </c>
      <c r="F195">
        <v>0</v>
      </c>
      <c r="G195">
        <v>12.65</v>
      </c>
      <c r="H195" t="s">
        <v>8587</v>
      </c>
      <c r="I195">
        <v>90</v>
      </c>
      <c r="J195" t="s">
        <v>470</v>
      </c>
      <c r="M195">
        <v>0</v>
      </c>
    </row>
    <row r="196" spans="1:13">
      <c r="A196">
        <v>8500188</v>
      </c>
      <c r="B196">
        <v>8500188</v>
      </c>
      <c r="C196" t="s">
        <v>8737</v>
      </c>
      <c r="D196" t="s">
        <v>441</v>
      </c>
      <c r="F196">
        <v>0</v>
      </c>
      <c r="G196">
        <v>13.78</v>
      </c>
      <c r="H196" t="s">
        <v>8587</v>
      </c>
      <c r="I196">
        <v>90</v>
      </c>
      <c r="J196" t="s">
        <v>470</v>
      </c>
      <c r="M196">
        <v>0</v>
      </c>
    </row>
    <row r="197" spans="1:13">
      <c r="A197">
        <v>8500189</v>
      </c>
      <c r="B197">
        <v>8500189</v>
      </c>
      <c r="C197" t="s">
        <v>8738</v>
      </c>
      <c r="D197" t="s">
        <v>441</v>
      </c>
      <c r="F197">
        <v>0</v>
      </c>
      <c r="G197">
        <v>9.36</v>
      </c>
      <c r="H197" t="s">
        <v>8587</v>
      </c>
      <c r="I197">
        <v>90</v>
      </c>
      <c r="J197" t="s">
        <v>470</v>
      </c>
      <c r="M197">
        <v>0</v>
      </c>
    </row>
    <row r="198" spans="1:13">
      <c r="A198">
        <v>8500191</v>
      </c>
      <c r="B198">
        <v>8500191</v>
      </c>
      <c r="C198" t="s">
        <v>8739</v>
      </c>
      <c r="D198" t="s">
        <v>441</v>
      </c>
      <c r="F198">
        <v>0</v>
      </c>
      <c r="G198">
        <v>7.72</v>
      </c>
      <c r="H198" t="s">
        <v>8587</v>
      </c>
      <c r="I198">
        <v>90</v>
      </c>
      <c r="J198" t="s">
        <v>470</v>
      </c>
      <c r="M198">
        <v>0</v>
      </c>
    </row>
    <row r="199" spans="1:13">
      <c r="A199">
        <v>8500199</v>
      </c>
      <c r="B199">
        <v>8500199</v>
      </c>
      <c r="C199" t="s">
        <v>8740</v>
      </c>
      <c r="D199" t="s">
        <v>441</v>
      </c>
      <c r="F199">
        <v>0</v>
      </c>
      <c r="G199">
        <v>15.66</v>
      </c>
      <c r="H199" t="s">
        <v>8584</v>
      </c>
      <c r="I199">
        <v>0</v>
      </c>
      <c r="J199" t="s">
        <v>470</v>
      </c>
      <c r="M199">
        <v>0</v>
      </c>
    </row>
    <row r="200" spans="1:13">
      <c r="A200">
        <v>8500204</v>
      </c>
      <c r="B200">
        <v>8500204</v>
      </c>
      <c r="C200" t="s">
        <v>8741</v>
      </c>
      <c r="D200" t="s">
        <v>441</v>
      </c>
      <c r="F200">
        <v>0</v>
      </c>
      <c r="G200">
        <v>8.18</v>
      </c>
      <c r="H200" t="s">
        <v>8587</v>
      </c>
      <c r="I200">
        <v>90</v>
      </c>
      <c r="J200" t="s">
        <v>470</v>
      </c>
      <c r="M200">
        <v>0</v>
      </c>
    </row>
    <row r="201" spans="1:13">
      <c r="A201">
        <v>8500205</v>
      </c>
      <c r="B201">
        <v>8500205</v>
      </c>
      <c r="C201" t="s">
        <v>8742</v>
      </c>
      <c r="D201" t="s">
        <v>441</v>
      </c>
      <c r="F201">
        <v>0</v>
      </c>
      <c r="G201">
        <v>14.54</v>
      </c>
      <c r="H201" t="s">
        <v>8587</v>
      </c>
      <c r="I201">
        <v>90</v>
      </c>
      <c r="J201" t="s">
        <v>470</v>
      </c>
      <c r="M201">
        <v>0</v>
      </c>
    </row>
    <row r="202" spans="1:13">
      <c r="A202">
        <v>8500206</v>
      </c>
      <c r="B202">
        <v>8500206</v>
      </c>
      <c r="C202" t="s">
        <v>8743</v>
      </c>
      <c r="D202" t="s">
        <v>441</v>
      </c>
      <c r="F202">
        <v>0</v>
      </c>
      <c r="G202">
        <v>127.14</v>
      </c>
      <c r="H202" t="s">
        <v>8587</v>
      </c>
      <c r="I202">
        <v>90</v>
      </c>
      <c r="J202" t="s">
        <v>470</v>
      </c>
      <c r="M202">
        <v>0</v>
      </c>
    </row>
    <row r="203" spans="1:13">
      <c r="A203">
        <v>8500207</v>
      </c>
      <c r="B203">
        <v>8500207</v>
      </c>
      <c r="C203" t="s">
        <v>8744</v>
      </c>
      <c r="D203" t="s">
        <v>441</v>
      </c>
      <c r="F203">
        <v>0</v>
      </c>
      <c r="G203">
        <v>10.69</v>
      </c>
      <c r="H203" t="s">
        <v>8587</v>
      </c>
      <c r="I203">
        <v>90</v>
      </c>
      <c r="J203" t="s">
        <v>470</v>
      </c>
      <c r="M203">
        <v>0</v>
      </c>
    </row>
    <row r="204" spans="1:13">
      <c r="A204">
        <v>8500208</v>
      </c>
      <c r="B204">
        <v>8500208</v>
      </c>
      <c r="C204" t="s">
        <v>8745</v>
      </c>
      <c r="D204" t="s">
        <v>441</v>
      </c>
      <c r="F204">
        <v>0</v>
      </c>
      <c r="G204">
        <v>12.37</v>
      </c>
      <c r="H204" t="s">
        <v>8587</v>
      </c>
      <c r="I204">
        <v>90</v>
      </c>
      <c r="J204" t="s">
        <v>470</v>
      </c>
      <c r="M204">
        <v>0</v>
      </c>
    </row>
    <row r="205" spans="1:13">
      <c r="A205">
        <v>8500209</v>
      </c>
      <c r="B205">
        <v>8500209</v>
      </c>
      <c r="C205" t="s">
        <v>8746</v>
      </c>
      <c r="D205" t="s">
        <v>441</v>
      </c>
      <c r="F205">
        <v>0</v>
      </c>
      <c r="G205">
        <v>14.53</v>
      </c>
      <c r="H205" t="s">
        <v>8587</v>
      </c>
      <c r="I205">
        <v>90</v>
      </c>
      <c r="J205" t="s">
        <v>470</v>
      </c>
      <c r="M205">
        <v>0</v>
      </c>
    </row>
    <row r="206" spans="1:13">
      <c r="A206">
        <v>8500227</v>
      </c>
      <c r="B206">
        <v>8500227</v>
      </c>
      <c r="C206" t="s">
        <v>8747</v>
      </c>
      <c r="D206" t="s">
        <v>441</v>
      </c>
      <c r="F206">
        <v>0</v>
      </c>
      <c r="G206">
        <v>13.26</v>
      </c>
      <c r="H206" t="s">
        <v>8587</v>
      </c>
      <c r="I206">
        <v>90</v>
      </c>
      <c r="J206" t="s">
        <v>470</v>
      </c>
      <c r="M206">
        <v>0</v>
      </c>
    </row>
    <row r="207" spans="1:13">
      <c r="A207">
        <v>8500228</v>
      </c>
      <c r="B207">
        <v>8500228</v>
      </c>
      <c r="C207" t="s">
        <v>8748</v>
      </c>
      <c r="D207" t="s">
        <v>441</v>
      </c>
      <c r="F207">
        <v>0</v>
      </c>
      <c r="G207">
        <v>10.77</v>
      </c>
      <c r="H207" t="s">
        <v>8587</v>
      </c>
      <c r="I207">
        <v>90</v>
      </c>
      <c r="J207" t="s">
        <v>470</v>
      </c>
      <c r="M207">
        <v>0</v>
      </c>
    </row>
    <row r="208" spans="1:13">
      <c r="A208">
        <v>8500230</v>
      </c>
      <c r="B208">
        <v>8500230</v>
      </c>
      <c r="C208" t="s">
        <v>8749</v>
      </c>
      <c r="D208" t="s">
        <v>441</v>
      </c>
      <c r="F208">
        <v>0</v>
      </c>
      <c r="G208">
        <v>10.26</v>
      </c>
      <c r="H208" t="s">
        <v>8587</v>
      </c>
      <c r="I208">
        <v>90</v>
      </c>
      <c r="J208" t="s">
        <v>470</v>
      </c>
      <c r="M208">
        <v>0</v>
      </c>
    </row>
    <row r="209" spans="1:13">
      <c r="A209">
        <v>8500231</v>
      </c>
      <c r="B209">
        <v>8500231</v>
      </c>
      <c r="C209" t="s">
        <v>8750</v>
      </c>
      <c r="D209" t="s">
        <v>441</v>
      </c>
      <c r="F209">
        <v>0</v>
      </c>
      <c r="G209">
        <v>17.809999999999999</v>
      </c>
      <c r="H209" t="s">
        <v>8587</v>
      </c>
      <c r="I209">
        <v>90</v>
      </c>
      <c r="J209" t="s">
        <v>470</v>
      </c>
      <c r="M209">
        <v>0</v>
      </c>
    </row>
    <row r="210" spans="1:13">
      <c r="A210">
        <v>8500232</v>
      </c>
      <c r="B210">
        <v>8500232</v>
      </c>
      <c r="C210" t="s">
        <v>8751</v>
      </c>
      <c r="D210" t="s">
        <v>441</v>
      </c>
      <c r="F210">
        <v>0</v>
      </c>
      <c r="G210">
        <v>7.7</v>
      </c>
      <c r="H210" t="s">
        <v>8587</v>
      </c>
      <c r="I210">
        <v>90</v>
      </c>
      <c r="J210" t="s">
        <v>470</v>
      </c>
      <c r="M210">
        <v>0</v>
      </c>
    </row>
    <row r="211" spans="1:13">
      <c r="A211">
        <v>8500233</v>
      </c>
      <c r="B211">
        <v>8500233</v>
      </c>
      <c r="C211" t="s">
        <v>8752</v>
      </c>
      <c r="D211" t="s">
        <v>441</v>
      </c>
      <c r="F211">
        <v>0</v>
      </c>
      <c r="G211">
        <v>6.81</v>
      </c>
      <c r="H211" t="s">
        <v>8587</v>
      </c>
      <c r="I211">
        <v>90</v>
      </c>
      <c r="J211" t="s">
        <v>470</v>
      </c>
      <c r="M211">
        <v>0</v>
      </c>
    </row>
    <row r="212" spans="1:13">
      <c r="A212">
        <v>8500234</v>
      </c>
      <c r="B212">
        <v>8500234</v>
      </c>
      <c r="C212" t="s">
        <v>8753</v>
      </c>
      <c r="D212" t="s">
        <v>441</v>
      </c>
      <c r="F212">
        <v>0</v>
      </c>
      <c r="G212">
        <v>9.57</v>
      </c>
      <c r="H212" t="s">
        <v>8587</v>
      </c>
      <c r="I212">
        <v>90</v>
      </c>
      <c r="J212" t="s">
        <v>470</v>
      </c>
      <c r="M212">
        <v>0</v>
      </c>
    </row>
    <row r="213" spans="1:13">
      <c r="A213">
        <v>8500235</v>
      </c>
      <c r="B213">
        <v>8500235</v>
      </c>
      <c r="C213" t="s">
        <v>8754</v>
      </c>
      <c r="D213" t="s">
        <v>441</v>
      </c>
      <c r="F213">
        <v>0</v>
      </c>
      <c r="G213">
        <v>11.64</v>
      </c>
      <c r="H213" t="s">
        <v>8587</v>
      </c>
      <c r="I213">
        <v>90</v>
      </c>
      <c r="J213" t="s">
        <v>470</v>
      </c>
      <c r="M213">
        <v>0</v>
      </c>
    </row>
    <row r="214" spans="1:13">
      <c r="A214">
        <v>8500236</v>
      </c>
      <c r="B214">
        <v>8500236</v>
      </c>
      <c r="C214" t="s">
        <v>8755</v>
      </c>
      <c r="D214" t="s">
        <v>441</v>
      </c>
      <c r="F214">
        <v>0</v>
      </c>
      <c r="G214">
        <v>11.92</v>
      </c>
      <c r="H214" t="s">
        <v>8587</v>
      </c>
      <c r="I214">
        <v>90</v>
      </c>
      <c r="J214" t="s">
        <v>470</v>
      </c>
      <c r="M214">
        <v>0</v>
      </c>
    </row>
    <row r="215" spans="1:13">
      <c r="A215">
        <v>8500237</v>
      </c>
      <c r="B215">
        <v>8500237</v>
      </c>
      <c r="C215" t="s">
        <v>8756</v>
      </c>
      <c r="D215" t="s">
        <v>441</v>
      </c>
      <c r="F215">
        <v>0</v>
      </c>
      <c r="G215">
        <v>6.89</v>
      </c>
      <c r="H215" t="s">
        <v>8587</v>
      </c>
      <c r="I215">
        <v>90</v>
      </c>
      <c r="J215" t="s">
        <v>470</v>
      </c>
      <c r="M215">
        <v>0</v>
      </c>
    </row>
    <row r="216" spans="1:13">
      <c r="A216">
        <v>8500238</v>
      </c>
      <c r="B216">
        <v>8500238</v>
      </c>
      <c r="C216" t="s">
        <v>8757</v>
      </c>
      <c r="D216" t="s">
        <v>441</v>
      </c>
      <c r="F216">
        <v>0</v>
      </c>
      <c r="G216">
        <v>8.17</v>
      </c>
      <c r="H216" t="s">
        <v>8587</v>
      </c>
      <c r="I216">
        <v>90</v>
      </c>
      <c r="J216" t="s">
        <v>470</v>
      </c>
      <c r="M216">
        <v>0</v>
      </c>
    </row>
    <row r="217" spans="1:13">
      <c r="A217">
        <v>8500240</v>
      </c>
      <c r="B217">
        <v>8500240</v>
      </c>
      <c r="C217" t="s">
        <v>8758</v>
      </c>
      <c r="D217" t="s">
        <v>441</v>
      </c>
      <c r="F217">
        <v>0</v>
      </c>
      <c r="G217">
        <v>9.56</v>
      </c>
      <c r="H217" t="s">
        <v>8587</v>
      </c>
      <c r="I217">
        <v>90</v>
      </c>
      <c r="J217" t="s">
        <v>470</v>
      </c>
      <c r="M217">
        <v>0</v>
      </c>
    </row>
    <row r="218" spans="1:13">
      <c r="A218">
        <v>8500241</v>
      </c>
      <c r="B218">
        <v>8500241</v>
      </c>
      <c r="C218" t="s">
        <v>8759</v>
      </c>
      <c r="D218" t="s">
        <v>441</v>
      </c>
      <c r="F218">
        <v>0</v>
      </c>
      <c r="G218">
        <v>6.72</v>
      </c>
      <c r="H218" t="s">
        <v>8587</v>
      </c>
      <c r="I218">
        <v>90</v>
      </c>
      <c r="J218" t="s">
        <v>470</v>
      </c>
      <c r="M218">
        <v>0</v>
      </c>
    </row>
    <row r="219" spans="1:13">
      <c r="A219">
        <v>8500242</v>
      </c>
      <c r="B219">
        <v>8500242</v>
      </c>
      <c r="C219" t="s">
        <v>8760</v>
      </c>
      <c r="D219" t="s">
        <v>441</v>
      </c>
      <c r="F219">
        <v>0</v>
      </c>
      <c r="G219">
        <v>6.49</v>
      </c>
      <c r="H219" t="s">
        <v>8587</v>
      </c>
      <c r="I219">
        <v>90</v>
      </c>
      <c r="J219" t="s">
        <v>470</v>
      </c>
      <c r="M219">
        <v>0</v>
      </c>
    </row>
    <row r="220" spans="1:13">
      <c r="A220">
        <v>8500243</v>
      </c>
      <c r="B220">
        <v>8500243</v>
      </c>
      <c r="C220" t="s">
        <v>8761</v>
      </c>
      <c r="D220" t="s">
        <v>441</v>
      </c>
      <c r="F220">
        <v>0</v>
      </c>
      <c r="G220">
        <v>9.08</v>
      </c>
      <c r="H220" t="s">
        <v>8587</v>
      </c>
      <c r="I220">
        <v>90</v>
      </c>
      <c r="J220" t="s">
        <v>470</v>
      </c>
      <c r="M220">
        <v>0</v>
      </c>
    </row>
    <row r="221" spans="1:13">
      <c r="A221">
        <v>8500244</v>
      </c>
      <c r="B221">
        <v>8500244</v>
      </c>
      <c r="C221" t="s">
        <v>8762</v>
      </c>
      <c r="D221" t="s">
        <v>441</v>
      </c>
      <c r="F221">
        <v>0</v>
      </c>
      <c r="G221">
        <v>16.52</v>
      </c>
      <c r="H221" t="s">
        <v>8587</v>
      </c>
      <c r="I221">
        <v>90</v>
      </c>
      <c r="J221" t="s">
        <v>470</v>
      </c>
      <c r="M221">
        <v>0</v>
      </c>
    </row>
    <row r="222" spans="1:13">
      <c r="A222">
        <v>8500245</v>
      </c>
      <c r="B222">
        <v>8500245</v>
      </c>
      <c r="C222" t="s">
        <v>8763</v>
      </c>
      <c r="D222" t="s">
        <v>441</v>
      </c>
      <c r="F222">
        <v>0</v>
      </c>
      <c r="G222">
        <v>9.4</v>
      </c>
      <c r="H222" t="s">
        <v>8587</v>
      </c>
      <c r="I222">
        <v>90</v>
      </c>
      <c r="J222" t="s">
        <v>470</v>
      </c>
      <c r="M222">
        <v>0</v>
      </c>
    </row>
    <row r="223" spans="1:13">
      <c r="A223">
        <v>8500246</v>
      </c>
      <c r="B223">
        <v>8500246</v>
      </c>
      <c r="C223" t="s">
        <v>8764</v>
      </c>
      <c r="D223" t="s">
        <v>441</v>
      </c>
      <c r="F223">
        <v>0</v>
      </c>
      <c r="G223">
        <v>11.29</v>
      </c>
      <c r="H223" t="s">
        <v>8587</v>
      </c>
      <c r="I223">
        <v>90</v>
      </c>
      <c r="J223" t="s">
        <v>470</v>
      </c>
      <c r="M223">
        <v>0</v>
      </c>
    </row>
    <row r="224" spans="1:13">
      <c r="A224">
        <v>8500247</v>
      </c>
      <c r="B224">
        <v>8500247</v>
      </c>
      <c r="C224" t="s">
        <v>8765</v>
      </c>
      <c r="D224" t="s">
        <v>441</v>
      </c>
      <c r="F224">
        <v>0</v>
      </c>
      <c r="G224">
        <v>13.28</v>
      </c>
      <c r="H224" t="s">
        <v>8587</v>
      </c>
      <c r="I224">
        <v>90</v>
      </c>
      <c r="J224" t="s">
        <v>470</v>
      </c>
      <c r="M224">
        <v>0</v>
      </c>
    </row>
    <row r="225" spans="1:13">
      <c r="A225">
        <v>8500248</v>
      </c>
      <c r="B225">
        <v>8500248</v>
      </c>
      <c r="C225" t="s">
        <v>8766</v>
      </c>
      <c r="D225" t="s">
        <v>441</v>
      </c>
      <c r="F225">
        <v>0</v>
      </c>
      <c r="G225">
        <v>4.93</v>
      </c>
      <c r="H225" t="s">
        <v>8587</v>
      </c>
      <c r="I225">
        <v>90</v>
      </c>
      <c r="J225" t="s">
        <v>470</v>
      </c>
      <c r="M225">
        <v>0</v>
      </c>
    </row>
    <row r="226" spans="1:13">
      <c r="A226">
        <v>8500249</v>
      </c>
      <c r="B226">
        <v>8500249</v>
      </c>
      <c r="C226" t="s">
        <v>8767</v>
      </c>
      <c r="D226" t="s">
        <v>441</v>
      </c>
      <c r="F226">
        <v>0</v>
      </c>
      <c r="G226">
        <v>9.6199999999999992</v>
      </c>
      <c r="H226" t="s">
        <v>8587</v>
      </c>
      <c r="I226">
        <v>90</v>
      </c>
      <c r="J226" t="s">
        <v>470</v>
      </c>
      <c r="M226">
        <v>0</v>
      </c>
    </row>
    <row r="227" spans="1:13">
      <c r="A227">
        <v>8500250</v>
      </c>
      <c r="B227">
        <v>8500250</v>
      </c>
      <c r="C227" t="s">
        <v>8768</v>
      </c>
      <c r="D227" t="s">
        <v>441</v>
      </c>
      <c r="F227">
        <v>0</v>
      </c>
      <c r="G227">
        <v>10.44</v>
      </c>
      <c r="H227" t="s">
        <v>8587</v>
      </c>
      <c r="I227">
        <v>90</v>
      </c>
      <c r="J227" t="s">
        <v>470</v>
      </c>
      <c r="M227">
        <v>0</v>
      </c>
    </row>
    <row r="228" spans="1:13">
      <c r="A228">
        <v>8500251</v>
      </c>
      <c r="B228">
        <v>8500251</v>
      </c>
      <c r="C228" t="s">
        <v>8769</v>
      </c>
      <c r="D228" t="s">
        <v>441</v>
      </c>
      <c r="F228">
        <v>0</v>
      </c>
      <c r="G228">
        <v>12.77</v>
      </c>
      <c r="H228" t="s">
        <v>8587</v>
      </c>
      <c r="I228">
        <v>90</v>
      </c>
      <c r="J228" t="s">
        <v>470</v>
      </c>
      <c r="M228">
        <v>0</v>
      </c>
    </row>
    <row r="229" spans="1:13">
      <c r="A229">
        <v>8500260</v>
      </c>
      <c r="B229">
        <v>8500260</v>
      </c>
      <c r="C229" t="s">
        <v>8770</v>
      </c>
      <c r="D229" t="s">
        <v>441</v>
      </c>
      <c r="F229">
        <v>0</v>
      </c>
      <c r="G229">
        <v>14.25</v>
      </c>
      <c r="H229" t="s">
        <v>8587</v>
      </c>
      <c r="I229">
        <v>90</v>
      </c>
      <c r="J229" t="s">
        <v>470</v>
      </c>
      <c r="M229">
        <v>0</v>
      </c>
    </row>
    <row r="230" spans="1:13">
      <c r="A230">
        <v>8500262</v>
      </c>
      <c r="B230">
        <v>8500262</v>
      </c>
      <c r="C230" t="s">
        <v>8771</v>
      </c>
      <c r="D230" t="s">
        <v>441</v>
      </c>
      <c r="F230">
        <v>0</v>
      </c>
      <c r="G230">
        <v>13.33</v>
      </c>
      <c r="H230" t="s">
        <v>8587</v>
      </c>
      <c r="I230">
        <v>90</v>
      </c>
      <c r="J230" t="s">
        <v>470</v>
      </c>
      <c r="M230">
        <v>0</v>
      </c>
    </row>
    <row r="231" spans="1:13">
      <c r="A231">
        <v>8500263</v>
      </c>
      <c r="B231">
        <v>8500263</v>
      </c>
      <c r="C231" t="s">
        <v>8772</v>
      </c>
      <c r="D231" t="s">
        <v>441</v>
      </c>
      <c r="F231">
        <v>0</v>
      </c>
      <c r="G231">
        <v>12.28</v>
      </c>
      <c r="H231" t="s">
        <v>8587</v>
      </c>
      <c r="I231">
        <v>90</v>
      </c>
      <c r="J231" t="s">
        <v>470</v>
      </c>
      <c r="M231">
        <v>0</v>
      </c>
    </row>
    <row r="232" spans="1:13">
      <c r="A232">
        <v>8500264</v>
      </c>
      <c r="B232">
        <v>8500264</v>
      </c>
      <c r="C232" t="s">
        <v>8773</v>
      </c>
      <c r="D232" t="s">
        <v>441</v>
      </c>
      <c r="F232">
        <v>0</v>
      </c>
      <c r="G232">
        <v>10.62</v>
      </c>
      <c r="H232" t="s">
        <v>8587</v>
      </c>
      <c r="I232">
        <v>90</v>
      </c>
      <c r="J232" t="s">
        <v>470</v>
      </c>
      <c r="M232">
        <v>0</v>
      </c>
    </row>
    <row r="233" spans="1:13">
      <c r="A233">
        <v>8500265</v>
      </c>
      <c r="B233">
        <v>8500265</v>
      </c>
      <c r="C233" t="s">
        <v>8774</v>
      </c>
      <c r="D233" t="s">
        <v>441</v>
      </c>
      <c r="F233">
        <v>0</v>
      </c>
      <c r="G233">
        <v>10.130000000000001</v>
      </c>
      <c r="H233" t="s">
        <v>8587</v>
      </c>
      <c r="I233">
        <v>90</v>
      </c>
      <c r="J233" t="s">
        <v>470</v>
      </c>
      <c r="M233">
        <v>0</v>
      </c>
    </row>
    <row r="234" spans="1:13">
      <c r="A234">
        <v>8500266</v>
      </c>
      <c r="B234">
        <v>8500266</v>
      </c>
      <c r="C234" t="s">
        <v>8775</v>
      </c>
      <c r="D234" t="s">
        <v>441</v>
      </c>
      <c r="F234">
        <v>0</v>
      </c>
      <c r="G234">
        <v>13.46</v>
      </c>
      <c r="H234" t="s">
        <v>8587</v>
      </c>
      <c r="I234">
        <v>90</v>
      </c>
      <c r="J234" t="s">
        <v>470</v>
      </c>
      <c r="M234">
        <v>0</v>
      </c>
    </row>
    <row r="235" spans="1:13">
      <c r="A235">
        <v>8500267</v>
      </c>
      <c r="B235">
        <v>8500267</v>
      </c>
      <c r="C235" t="s">
        <v>8776</v>
      </c>
      <c r="D235" t="s">
        <v>441</v>
      </c>
      <c r="F235">
        <v>0</v>
      </c>
      <c r="G235">
        <v>10.94</v>
      </c>
      <c r="H235" t="s">
        <v>8587</v>
      </c>
      <c r="I235">
        <v>90</v>
      </c>
      <c r="J235" t="s">
        <v>470</v>
      </c>
      <c r="M235">
        <v>0</v>
      </c>
    </row>
    <row r="236" spans="1:13">
      <c r="A236">
        <v>8500268</v>
      </c>
      <c r="B236">
        <v>8500268</v>
      </c>
      <c r="C236" t="s">
        <v>8777</v>
      </c>
      <c r="D236" t="s">
        <v>441</v>
      </c>
      <c r="F236">
        <v>0</v>
      </c>
      <c r="G236">
        <v>7.72</v>
      </c>
      <c r="H236" t="s">
        <v>8587</v>
      </c>
      <c r="I236">
        <v>90</v>
      </c>
      <c r="J236" t="s">
        <v>470</v>
      </c>
      <c r="M236">
        <v>0</v>
      </c>
    </row>
    <row r="237" spans="1:13">
      <c r="A237">
        <v>8500269</v>
      </c>
      <c r="B237">
        <v>8500269</v>
      </c>
      <c r="C237" t="s">
        <v>8778</v>
      </c>
      <c r="D237" t="s">
        <v>441</v>
      </c>
      <c r="F237">
        <v>0</v>
      </c>
      <c r="G237">
        <v>12.78</v>
      </c>
      <c r="H237" t="s">
        <v>8587</v>
      </c>
      <c r="I237">
        <v>90</v>
      </c>
      <c r="J237" t="s">
        <v>470</v>
      </c>
      <c r="M237">
        <v>0</v>
      </c>
    </row>
    <row r="238" spans="1:13">
      <c r="A238">
        <v>8500270</v>
      </c>
      <c r="B238">
        <v>8500270</v>
      </c>
      <c r="C238" t="s">
        <v>8779</v>
      </c>
      <c r="D238" t="s">
        <v>441</v>
      </c>
      <c r="F238">
        <v>0</v>
      </c>
      <c r="G238">
        <v>12.4</v>
      </c>
      <c r="H238" t="s">
        <v>8587</v>
      </c>
      <c r="I238">
        <v>90</v>
      </c>
      <c r="J238" t="s">
        <v>470</v>
      </c>
      <c r="M238">
        <v>0</v>
      </c>
    </row>
    <row r="239" spans="1:13">
      <c r="A239">
        <v>8500271</v>
      </c>
      <c r="B239">
        <v>8500271</v>
      </c>
      <c r="C239" t="s">
        <v>8780</v>
      </c>
      <c r="D239" t="s">
        <v>441</v>
      </c>
      <c r="F239">
        <v>0</v>
      </c>
      <c r="G239">
        <v>6.54</v>
      </c>
      <c r="H239" t="s">
        <v>8587</v>
      </c>
      <c r="I239">
        <v>90</v>
      </c>
      <c r="J239" t="s">
        <v>470</v>
      </c>
      <c r="M239">
        <v>0</v>
      </c>
    </row>
    <row r="240" spans="1:13">
      <c r="A240">
        <v>8500272</v>
      </c>
      <c r="B240">
        <v>8500272</v>
      </c>
      <c r="C240" t="s">
        <v>8781</v>
      </c>
      <c r="D240" t="s">
        <v>441</v>
      </c>
      <c r="F240">
        <v>0</v>
      </c>
      <c r="G240">
        <v>6.45</v>
      </c>
      <c r="H240" t="s">
        <v>8587</v>
      </c>
      <c r="I240">
        <v>90</v>
      </c>
      <c r="J240" t="s">
        <v>470</v>
      </c>
      <c r="M240">
        <v>0</v>
      </c>
    </row>
    <row r="241" spans="1:13">
      <c r="A241">
        <v>8500273</v>
      </c>
      <c r="B241">
        <v>8500273</v>
      </c>
      <c r="C241" t="s">
        <v>8782</v>
      </c>
      <c r="D241" t="s">
        <v>441</v>
      </c>
      <c r="F241">
        <v>0</v>
      </c>
      <c r="G241">
        <v>8.44</v>
      </c>
      <c r="H241" t="s">
        <v>8587</v>
      </c>
      <c r="I241">
        <v>90</v>
      </c>
      <c r="J241" t="s">
        <v>470</v>
      </c>
      <c r="M241">
        <v>0</v>
      </c>
    </row>
    <row r="242" spans="1:13">
      <c r="A242">
        <v>8500274</v>
      </c>
      <c r="B242">
        <v>8500274</v>
      </c>
      <c r="C242" t="s">
        <v>8783</v>
      </c>
      <c r="D242" t="s">
        <v>441</v>
      </c>
      <c r="F242">
        <v>0</v>
      </c>
      <c r="G242">
        <v>11.4</v>
      </c>
      <c r="H242" t="s">
        <v>8587</v>
      </c>
      <c r="I242">
        <v>90</v>
      </c>
      <c r="J242" t="s">
        <v>470</v>
      </c>
      <c r="M242">
        <v>0</v>
      </c>
    </row>
    <row r="243" spans="1:13">
      <c r="A243">
        <v>8500275</v>
      </c>
      <c r="B243">
        <v>8500275</v>
      </c>
      <c r="C243" t="s">
        <v>8784</v>
      </c>
      <c r="D243" t="s">
        <v>441</v>
      </c>
      <c r="F243">
        <v>0</v>
      </c>
      <c r="G243">
        <v>12.65</v>
      </c>
      <c r="H243" t="s">
        <v>8587</v>
      </c>
      <c r="I243">
        <v>90</v>
      </c>
      <c r="J243" t="s">
        <v>470</v>
      </c>
      <c r="M243">
        <v>0</v>
      </c>
    </row>
    <row r="244" spans="1:13">
      <c r="A244">
        <v>8500276</v>
      </c>
      <c r="B244">
        <v>8500276</v>
      </c>
      <c r="C244" t="s">
        <v>8785</v>
      </c>
      <c r="D244" t="s">
        <v>441</v>
      </c>
      <c r="F244">
        <v>0</v>
      </c>
      <c r="G244">
        <v>18.32</v>
      </c>
      <c r="H244" t="s">
        <v>8587</v>
      </c>
      <c r="I244">
        <v>90</v>
      </c>
      <c r="J244" t="s">
        <v>470</v>
      </c>
      <c r="M244">
        <v>0</v>
      </c>
    </row>
    <row r="245" spans="1:13">
      <c r="A245">
        <v>8500277</v>
      </c>
      <c r="B245">
        <v>8500277</v>
      </c>
      <c r="C245" t="s">
        <v>8786</v>
      </c>
      <c r="D245" t="s">
        <v>441</v>
      </c>
      <c r="F245">
        <v>0</v>
      </c>
      <c r="G245">
        <v>1.51</v>
      </c>
      <c r="H245" t="s">
        <v>8587</v>
      </c>
      <c r="I245">
        <v>90</v>
      </c>
      <c r="J245" t="s">
        <v>470</v>
      </c>
      <c r="M245">
        <v>0</v>
      </c>
    </row>
    <row r="246" spans="1:13">
      <c r="A246">
        <v>8500278</v>
      </c>
      <c r="B246">
        <v>8500278</v>
      </c>
      <c r="C246" t="s">
        <v>8787</v>
      </c>
      <c r="D246" t="s">
        <v>441</v>
      </c>
      <c r="F246">
        <v>0</v>
      </c>
      <c r="G246">
        <v>12.63</v>
      </c>
      <c r="H246" t="s">
        <v>8587</v>
      </c>
      <c r="I246">
        <v>90</v>
      </c>
      <c r="J246" t="s">
        <v>470</v>
      </c>
      <c r="M246">
        <v>0</v>
      </c>
    </row>
    <row r="247" spans="1:13">
      <c r="A247">
        <v>8500279</v>
      </c>
      <c r="B247">
        <v>8500279</v>
      </c>
      <c r="C247" t="s">
        <v>8788</v>
      </c>
      <c r="D247" t="s">
        <v>441</v>
      </c>
      <c r="F247">
        <v>0</v>
      </c>
      <c r="G247">
        <v>14.51</v>
      </c>
      <c r="H247" t="s">
        <v>8587</v>
      </c>
      <c r="I247">
        <v>90</v>
      </c>
      <c r="J247" t="s">
        <v>470</v>
      </c>
      <c r="M247">
        <v>0</v>
      </c>
    </row>
    <row r="248" spans="1:13">
      <c r="A248">
        <v>8500280</v>
      </c>
      <c r="B248">
        <v>8500280</v>
      </c>
      <c r="C248" t="s">
        <v>8789</v>
      </c>
      <c r="D248" t="s">
        <v>441</v>
      </c>
      <c r="F248">
        <v>0</v>
      </c>
      <c r="G248">
        <v>2.1800000000000002</v>
      </c>
      <c r="H248" t="s">
        <v>8587</v>
      </c>
      <c r="I248">
        <v>90</v>
      </c>
      <c r="J248" t="s">
        <v>470</v>
      </c>
      <c r="M248">
        <v>0</v>
      </c>
    </row>
    <row r="249" spans="1:13">
      <c r="A249">
        <v>8500281</v>
      </c>
      <c r="B249">
        <v>8500281</v>
      </c>
      <c r="C249" t="s">
        <v>8790</v>
      </c>
      <c r="D249" t="s">
        <v>441</v>
      </c>
      <c r="F249">
        <v>0</v>
      </c>
      <c r="G249">
        <v>19.64</v>
      </c>
      <c r="H249" t="s">
        <v>8587</v>
      </c>
      <c r="I249">
        <v>90</v>
      </c>
      <c r="J249" t="s">
        <v>470</v>
      </c>
      <c r="M249">
        <v>0</v>
      </c>
    </row>
    <row r="250" spans="1:13">
      <c r="A250">
        <v>8500282</v>
      </c>
      <c r="B250">
        <v>8500282</v>
      </c>
      <c r="C250" t="s">
        <v>8791</v>
      </c>
      <c r="D250" t="s">
        <v>441</v>
      </c>
      <c r="F250">
        <v>0</v>
      </c>
      <c r="G250">
        <v>1.87</v>
      </c>
      <c r="H250" t="s">
        <v>8587</v>
      </c>
      <c r="I250">
        <v>90</v>
      </c>
      <c r="J250" t="s">
        <v>470</v>
      </c>
      <c r="M250">
        <v>0</v>
      </c>
    </row>
    <row r="251" spans="1:13">
      <c r="A251">
        <v>8500283</v>
      </c>
      <c r="B251">
        <v>8500283</v>
      </c>
      <c r="C251" t="s">
        <v>8792</v>
      </c>
      <c r="D251" t="s">
        <v>441</v>
      </c>
      <c r="F251">
        <v>0</v>
      </c>
      <c r="G251">
        <v>11.1</v>
      </c>
      <c r="H251" t="s">
        <v>8587</v>
      </c>
      <c r="I251">
        <v>90</v>
      </c>
      <c r="J251" t="s">
        <v>470</v>
      </c>
      <c r="M251">
        <v>0</v>
      </c>
    </row>
    <row r="252" spans="1:13">
      <c r="A252">
        <v>8500284</v>
      </c>
      <c r="B252">
        <v>8500284</v>
      </c>
      <c r="C252" t="s">
        <v>8793</v>
      </c>
      <c r="D252" t="s">
        <v>441</v>
      </c>
      <c r="F252">
        <v>0</v>
      </c>
      <c r="G252">
        <v>13.55</v>
      </c>
      <c r="H252" t="s">
        <v>8587</v>
      </c>
      <c r="I252">
        <v>90</v>
      </c>
      <c r="J252" t="s">
        <v>470</v>
      </c>
      <c r="M252">
        <v>0</v>
      </c>
    </row>
    <row r="253" spans="1:13">
      <c r="A253">
        <v>8500285</v>
      </c>
      <c r="B253">
        <v>8500285</v>
      </c>
      <c r="C253" t="s">
        <v>8794</v>
      </c>
      <c r="D253" t="s">
        <v>441</v>
      </c>
      <c r="F253">
        <v>0</v>
      </c>
      <c r="G253">
        <v>15.62</v>
      </c>
      <c r="H253" t="s">
        <v>8587</v>
      </c>
      <c r="I253">
        <v>90</v>
      </c>
      <c r="J253" t="s">
        <v>470</v>
      </c>
      <c r="M253">
        <v>0</v>
      </c>
    </row>
    <row r="254" spans="1:13">
      <c r="A254">
        <v>8500286</v>
      </c>
      <c r="B254">
        <v>8500286</v>
      </c>
      <c r="C254" t="s">
        <v>8795</v>
      </c>
      <c r="D254" t="s">
        <v>441</v>
      </c>
      <c r="F254">
        <v>0</v>
      </c>
      <c r="G254">
        <v>21.82</v>
      </c>
      <c r="H254" t="s">
        <v>8587</v>
      </c>
      <c r="I254">
        <v>90</v>
      </c>
      <c r="J254" t="s">
        <v>470</v>
      </c>
      <c r="M254">
        <v>0</v>
      </c>
    </row>
    <row r="255" spans="1:13">
      <c r="A255">
        <v>8500287</v>
      </c>
      <c r="B255">
        <v>8500287</v>
      </c>
      <c r="C255" t="s">
        <v>8796</v>
      </c>
      <c r="D255" t="s">
        <v>441</v>
      </c>
      <c r="F255">
        <v>0</v>
      </c>
      <c r="G255">
        <v>10.24</v>
      </c>
      <c r="H255" t="s">
        <v>8587</v>
      </c>
      <c r="I255">
        <v>90</v>
      </c>
      <c r="J255" t="s">
        <v>470</v>
      </c>
      <c r="M255">
        <v>0</v>
      </c>
    </row>
    <row r="256" spans="1:13">
      <c r="A256">
        <v>8500288</v>
      </c>
      <c r="B256">
        <v>8500288</v>
      </c>
      <c r="C256" t="s">
        <v>8797</v>
      </c>
      <c r="D256" t="s">
        <v>441</v>
      </c>
      <c r="F256">
        <v>0</v>
      </c>
      <c r="G256">
        <v>15.67</v>
      </c>
      <c r="H256" t="s">
        <v>8587</v>
      </c>
      <c r="I256">
        <v>90</v>
      </c>
      <c r="J256" t="s">
        <v>470</v>
      </c>
      <c r="M256">
        <v>0</v>
      </c>
    </row>
    <row r="257" spans="1:13">
      <c r="A257">
        <v>8500289</v>
      </c>
      <c r="B257">
        <v>8500289</v>
      </c>
      <c r="C257" t="s">
        <v>8798</v>
      </c>
      <c r="D257" t="s">
        <v>441</v>
      </c>
      <c r="F257">
        <v>0</v>
      </c>
      <c r="G257">
        <v>5.77</v>
      </c>
      <c r="H257" t="s">
        <v>8587</v>
      </c>
      <c r="I257">
        <v>90</v>
      </c>
      <c r="J257" t="s">
        <v>470</v>
      </c>
      <c r="M257">
        <v>0</v>
      </c>
    </row>
    <row r="258" spans="1:13">
      <c r="A258">
        <v>8500290</v>
      </c>
      <c r="B258">
        <v>8500290</v>
      </c>
      <c r="C258" t="s">
        <v>8799</v>
      </c>
      <c r="D258" t="s">
        <v>441</v>
      </c>
      <c r="F258">
        <v>0</v>
      </c>
      <c r="G258">
        <v>22.97</v>
      </c>
      <c r="H258" t="s">
        <v>8587</v>
      </c>
      <c r="I258">
        <v>90</v>
      </c>
      <c r="J258" t="s">
        <v>470</v>
      </c>
      <c r="M258">
        <v>0</v>
      </c>
    </row>
    <row r="259" spans="1:13">
      <c r="A259">
        <v>8500291</v>
      </c>
      <c r="B259">
        <v>8500291</v>
      </c>
      <c r="C259" t="s">
        <v>8800</v>
      </c>
      <c r="D259" t="s">
        <v>441</v>
      </c>
      <c r="F259">
        <v>0</v>
      </c>
      <c r="G259">
        <v>22.1</v>
      </c>
      <c r="H259" t="s">
        <v>8587</v>
      </c>
      <c r="I259">
        <v>90</v>
      </c>
      <c r="J259" t="s">
        <v>470</v>
      </c>
      <c r="M259">
        <v>0</v>
      </c>
    </row>
    <row r="260" spans="1:13">
      <c r="A260">
        <v>8500292</v>
      </c>
      <c r="B260">
        <v>8500292</v>
      </c>
      <c r="C260" t="s">
        <v>8801</v>
      </c>
      <c r="D260" t="s">
        <v>441</v>
      </c>
      <c r="F260">
        <v>0</v>
      </c>
      <c r="G260">
        <v>8.19</v>
      </c>
      <c r="H260" t="s">
        <v>8587</v>
      </c>
      <c r="I260">
        <v>90</v>
      </c>
      <c r="J260" t="s">
        <v>470</v>
      </c>
      <c r="M260">
        <v>0</v>
      </c>
    </row>
    <row r="261" spans="1:13">
      <c r="A261">
        <v>8500293</v>
      </c>
      <c r="B261">
        <v>8500293</v>
      </c>
      <c r="C261" t="s">
        <v>8802</v>
      </c>
      <c r="D261" t="s">
        <v>441</v>
      </c>
      <c r="F261">
        <v>0</v>
      </c>
      <c r="G261">
        <v>1.8</v>
      </c>
      <c r="H261" t="s">
        <v>8587</v>
      </c>
      <c r="I261">
        <v>90</v>
      </c>
      <c r="J261" t="s">
        <v>470</v>
      </c>
      <c r="M261">
        <v>0</v>
      </c>
    </row>
    <row r="262" spans="1:13">
      <c r="A262">
        <v>8500294</v>
      </c>
      <c r="B262">
        <v>8500294</v>
      </c>
      <c r="C262" t="s">
        <v>8803</v>
      </c>
      <c r="D262" t="s">
        <v>441</v>
      </c>
      <c r="F262">
        <v>0</v>
      </c>
      <c r="G262">
        <v>18.87</v>
      </c>
      <c r="H262" t="s">
        <v>8587</v>
      </c>
      <c r="I262">
        <v>90</v>
      </c>
      <c r="J262" t="s">
        <v>470</v>
      </c>
      <c r="M262">
        <v>0</v>
      </c>
    </row>
    <row r="263" spans="1:13">
      <c r="A263">
        <v>8500295</v>
      </c>
      <c r="B263">
        <v>8500295</v>
      </c>
      <c r="C263" t="s">
        <v>8804</v>
      </c>
      <c r="D263" t="s">
        <v>441</v>
      </c>
      <c r="F263">
        <v>0</v>
      </c>
      <c r="G263">
        <v>2.13</v>
      </c>
      <c r="H263" t="s">
        <v>8587</v>
      </c>
      <c r="I263">
        <v>90</v>
      </c>
      <c r="J263" t="s">
        <v>470</v>
      </c>
      <c r="M263">
        <v>0</v>
      </c>
    </row>
    <row r="264" spans="1:13">
      <c r="A264">
        <v>8500296</v>
      </c>
      <c r="B264">
        <v>8500296</v>
      </c>
      <c r="C264" t="s">
        <v>8805</v>
      </c>
      <c r="D264" t="s">
        <v>441</v>
      </c>
      <c r="F264">
        <v>0</v>
      </c>
      <c r="G264">
        <v>10.3</v>
      </c>
      <c r="H264" t="s">
        <v>8587</v>
      </c>
      <c r="I264">
        <v>90</v>
      </c>
      <c r="J264" t="s">
        <v>470</v>
      </c>
      <c r="M264">
        <v>0</v>
      </c>
    </row>
    <row r="265" spans="1:13">
      <c r="A265">
        <v>8500297</v>
      </c>
      <c r="B265">
        <v>8500297</v>
      </c>
      <c r="C265" t="s">
        <v>8806</v>
      </c>
      <c r="D265" t="s">
        <v>441</v>
      </c>
      <c r="F265">
        <v>0</v>
      </c>
      <c r="G265">
        <v>16.850000000000001</v>
      </c>
      <c r="H265" t="s">
        <v>8587</v>
      </c>
      <c r="I265">
        <v>90</v>
      </c>
      <c r="J265" t="s">
        <v>470</v>
      </c>
      <c r="M265">
        <v>0</v>
      </c>
    </row>
    <row r="266" spans="1:13">
      <c r="A266">
        <v>8500298</v>
      </c>
      <c r="B266">
        <v>8500298</v>
      </c>
      <c r="C266" t="s">
        <v>8807</v>
      </c>
      <c r="D266" t="s">
        <v>441</v>
      </c>
      <c r="F266">
        <v>0</v>
      </c>
      <c r="G266">
        <v>18.920000000000002</v>
      </c>
      <c r="H266" t="s">
        <v>8587</v>
      </c>
      <c r="I266">
        <v>90</v>
      </c>
      <c r="J266" t="s">
        <v>470</v>
      </c>
      <c r="M266">
        <v>0</v>
      </c>
    </row>
    <row r="267" spans="1:13">
      <c r="A267">
        <v>8500299</v>
      </c>
      <c r="B267">
        <v>8500299</v>
      </c>
      <c r="C267" t="s">
        <v>8808</v>
      </c>
      <c r="D267" t="s">
        <v>441</v>
      </c>
      <c r="F267">
        <v>0</v>
      </c>
      <c r="G267">
        <v>10.78</v>
      </c>
      <c r="H267" t="s">
        <v>8587</v>
      </c>
      <c r="I267">
        <v>90</v>
      </c>
      <c r="J267" t="s">
        <v>470</v>
      </c>
      <c r="M267">
        <v>0</v>
      </c>
    </row>
    <row r="268" spans="1:13">
      <c r="A268">
        <v>8500300</v>
      </c>
      <c r="B268">
        <v>8500300</v>
      </c>
      <c r="C268" t="s">
        <v>8809</v>
      </c>
      <c r="D268" t="s">
        <v>441</v>
      </c>
      <c r="F268">
        <v>0</v>
      </c>
      <c r="G268">
        <v>6.13</v>
      </c>
      <c r="H268" t="s">
        <v>8587</v>
      </c>
      <c r="I268">
        <v>90</v>
      </c>
      <c r="J268" t="s">
        <v>470</v>
      </c>
      <c r="M268">
        <v>0</v>
      </c>
    </row>
    <row r="269" spans="1:13">
      <c r="A269">
        <v>8500301</v>
      </c>
      <c r="B269">
        <v>8500301</v>
      </c>
      <c r="C269" t="s">
        <v>8810</v>
      </c>
      <c r="D269" t="s">
        <v>441</v>
      </c>
      <c r="F269">
        <v>0</v>
      </c>
      <c r="G269">
        <v>14.51</v>
      </c>
      <c r="H269" t="s">
        <v>8587</v>
      </c>
      <c r="I269">
        <v>90</v>
      </c>
      <c r="J269" t="s">
        <v>470</v>
      </c>
      <c r="M269">
        <v>0</v>
      </c>
    </row>
    <row r="270" spans="1:13">
      <c r="A270">
        <v>8500302</v>
      </c>
      <c r="B270">
        <v>8500302</v>
      </c>
      <c r="C270" t="s">
        <v>8811</v>
      </c>
      <c r="D270" t="s">
        <v>441</v>
      </c>
      <c r="F270">
        <v>0</v>
      </c>
      <c r="G270">
        <v>7.37</v>
      </c>
      <c r="H270" t="s">
        <v>8587</v>
      </c>
      <c r="I270">
        <v>90</v>
      </c>
      <c r="J270" t="s">
        <v>470</v>
      </c>
      <c r="M270">
        <v>0</v>
      </c>
    </row>
    <row r="271" spans="1:13">
      <c r="A271">
        <v>8500303</v>
      </c>
      <c r="B271">
        <v>8500303</v>
      </c>
      <c r="C271" t="s">
        <v>8812</v>
      </c>
      <c r="D271" t="s">
        <v>441</v>
      </c>
      <c r="F271">
        <v>0</v>
      </c>
      <c r="G271">
        <v>8.52</v>
      </c>
      <c r="H271" t="s">
        <v>8587</v>
      </c>
      <c r="I271">
        <v>90</v>
      </c>
      <c r="J271" t="s">
        <v>470</v>
      </c>
      <c r="M271">
        <v>0</v>
      </c>
    </row>
    <row r="272" spans="1:13">
      <c r="A272">
        <v>8500304</v>
      </c>
      <c r="B272">
        <v>8500304</v>
      </c>
      <c r="C272" t="s">
        <v>8813</v>
      </c>
      <c r="D272" t="s">
        <v>441</v>
      </c>
      <c r="F272">
        <v>0</v>
      </c>
      <c r="G272">
        <v>5.05</v>
      </c>
      <c r="H272" t="s">
        <v>8587</v>
      </c>
      <c r="I272">
        <v>90</v>
      </c>
      <c r="J272" t="s">
        <v>470</v>
      </c>
      <c r="M272">
        <v>0</v>
      </c>
    </row>
    <row r="273" spans="1:13">
      <c r="A273">
        <v>8500305</v>
      </c>
      <c r="B273">
        <v>8500305</v>
      </c>
      <c r="C273" t="s">
        <v>8814</v>
      </c>
      <c r="D273" t="s">
        <v>441</v>
      </c>
      <c r="F273">
        <v>0</v>
      </c>
      <c r="G273">
        <v>5.85</v>
      </c>
      <c r="H273" t="s">
        <v>8587</v>
      </c>
      <c r="I273">
        <v>90</v>
      </c>
      <c r="J273" t="s">
        <v>470</v>
      </c>
      <c r="M273">
        <v>0</v>
      </c>
    </row>
    <row r="274" spans="1:13">
      <c r="A274">
        <v>8500306</v>
      </c>
      <c r="B274">
        <v>8500306</v>
      </c>
      <c r="C274" t="s">
        <v>8815</v>
      </c>
      <c r="D274" t="s">
        <v>441</v>
      </c>
      <c r="F274">
        <v>0</v>
      </c>
      <c r="G274">
        <v>6.84</v>
      </c>
      <c r="H274" t="s">
        <v>8587</v>
      </c>
      <c r="I274">
        <v>90</v>
      </c>
      <c r="J274" t="s">
        <v>470</v>
      </c>
      <c r="M274">
        <v>0</v>
      </c>
    </row>
    <row r="275" spans="1:13">
      <c r="A275">
        <v>8500307</v>
      </c>
      <c r="B275">
        <v>8500307</v>
      </c>
      <c r="C275" t="s">
        <v>8816</v>
      </c>
      <c r="D275" t="s">
        <v>441</v>
      </c>
      <c r="F275">
        <v>0</v>
      </c>
      <c r="G275">
        <v>11.17</v>
      </c>
      <c r="H275" t="s">
        <v>8587</v>
      </c>
      <c r="I275">
        <v>90</v>
      </c>
      <c r="J275" t="s">
        <v>470</v>
      </c>
      <c r="M275">
        <v>0</v>
      </c>
    </row>
    <row r="276" spans="1:13">
      <c r="A276">
        <v>8500308</v>
      </c>
      <c r="B276">
        <v>8500308</v>
      </c>
      <c r="C276" t="s">
        <v>8817</v>
      </c>
      <c r="D276" t="s">
        <v>441</v>
      </c>
      <c r="F276">
        <v>0</v>
      </c>
      <c r="G276">
        <v>5.48</v>
      </c>
      <c r="H276" t="s">
        <v>8587</v>
      </c>
      <c r="I276">
        <v>90</v>
      </c>
      <c r="J276" t="s">
        <v>470</v>
      </c>
      <c r="M276">
        <v>0</v>
      </c>
    </row>
    <row r="277" spans="1:13">
      <c r="A277">
        <v>8500309</v>
      </c>
      <c r="B277">
        <v>8500309</v>
      </c>
      <c r="C277" t="s">
        <v>8818</v>
      </c>
      <c r="D277" t="s">
        <v>441</v>
      </c>
      <c r="F277">
        <v>0</v>
      </c>
      <c r="G277">
        <v>6.42</v>
      </c>
      <c r="H277" t="s">
        <v>8587</v>
      </c>
      <c r="I277">
        <v>90</v>
      </c>
      <c r="J277" t="s">
        <v>470</v>
      </c>
      <c r="M277">
        <v>0</v>
      </c>
    </row>
    <row r="278" spans="1:13">
      <c r="A278">
        <v>8500310</v>
      </c>
      <c r="B278">
        <v>8500310</v>
      </c>
      <c r="C278" t="s">
        <v>8819</v>
      </c>
      <c r="D278" t="s">
        <v>441</v>
      </c>
      <c r="F278">
        <v>0</v>
      </c>
      <c r="G278">
        <v>8.43</v>
      </c>
      <c r="H278" t="s">
        <v>8587</v>
      </c>
      <c r="I278">
        <v>90</v>
      </c>
      <c r="J278" t="s">
        <v>470</v>
      </c>
      <c r="M278">
        <v>0</v>
      </c>
    </row>
    <row r="279" spans="1:13">
      <c r="A279">
        <v>8500370</v>
      </c>
      <c r="B279">
        <v>8500370</v>
      </c>
      <c r="C279" t="s">
        <v>8820</v>
      </c>
      <c r="D279" t="s">
        <v>441</v>
      </c>
      <c r="F279">
        <v>0</v>
      </c>
      <c r="G279">
        <v>157.02000000000001</v>
      </c>
      <c r="H279" t="s">
        <v>8634</v>
      </c>
      <c r="I279">
        <v>0</v>
      </c>
      <c r="J279" t="s">
        <v>470</v>
      </c>
      <c r="M279">
        <v>0</v>
      </c>
    </row>
    <row r="280" spans="1:13">
      <c r="A280">
        <v>8500410</v>
      </c>
      <c r="B280">
        <v>8500410</v>
      </c>
      <c r="C280" t="s">
        <v>8821</v>
      </c>
      <c r="D280" t="s">
        <v>441</v>
      </c>
      <c r="F280">
        <v>0</v>
      </c>
      <c r="G280">
        <v>16.829999999999998</v>
      </c>
      <c r="H280" t="s">
        <v>8587</v>
      </c>
      <c r="I280">
        <v>90</v>
      </c>
      <c r="J280" t="s">
        <v>470</v>
      </c>
      <c r="M280">
        <v>0</v>
      </c>
    </row>
    <row r="281" spans="1:13">
      <c r="A281">
        <v>8500411</v>
      </c>
      <c r="B281">
        <v>8500411</v>
      </c>
      <c r="C281" t="s">
        <v>8822</v>
      </c>
      <c r="D281" t="s">
        <v>441</v>
      </c>
      <c r="F281">
        <v>0</v>
      </c>
      <c r="G281">
        <v>10.34</v>
      </c>
      <c r="H281" t="s">
        <v>8587</v>
      </c>
      <c r="I281">
        <v>90</v>
      </c>
      <c r="J281" t="s">
        <v>470</v>
      </c>
      <c r="M281">
        <v>0</v>
      </c>
    </row>
    <row r="282" spans="1:13">
      <c r="A282">
        <v>8500412</v>
      </c>
      <c r="B282">
        <v>8500412</v>
      </c>
      <c r="C282" t="s">
        <v>8823</v>
      </c>
      <c r="D282" t="s">
        <v>441</v>
      </c>
      <c r="F282">
        <v>0</v>
      </c>
      <c r="G282">
        <v>12.23</v>
      </c>
      <c r="H282" t="s">
        <v>8587</v>
      </c>
      <c r="I282">
        <v>90</v>
      </c>
      <c r="J282" t="s">
        <v>470</v>
      </c>
      <c r="M282">
        <v>0</v>
      </c>
    </row>
    <row r="283" spans="1:13">
      <c r="A283">
        <v>8500413</v>
      </c>
      <c r="B283">
        <v>8500413</v>
      </c>
      <c r="C283" t="s">
        <v>8824</v>
      </c>
      <c r="D283" t="s">
        <v>441</v>
      </c>
      <c r="F283">
        <v>0</v>
      </c>
      <c r="G283">
        <v>15.5</v>
      </c>
      <c r="H283" t="s">
        <v>8587</v>
      </c>
      <c r="I283">
        <v>90</v>
      </c>
      <c r="J283" t="s">
        <v>470</v>
      </c>
      <c r="M283">
        <v>0</v>
      </c>
    </row>
    <row r="284" spans="1:13">
      <c r="A284">
        <v>8500414</v>
      </c>
      <c r="B284">
        <v>8500414</v>
      </c>
      <c r="C284" t="s">
        <v>8825</v>
      </c>
      <c r="D284" t="s">
        <v>441</v>
      </c>
      <c r="F284">
        <v>0</v>
      </c>
      <c r="G284">
        <v>9.91</v>
      </c>
      <c r="H284" t="s">
        <v>8587</v>
      </c>
      <c r="I284">
        <v>90</v>
      </c>
      <c r="J284" t="s">
        <v>470</v>
      </c>
      <c r="M284">
        <v>0</v>
      </c>
    </row>
    <row r="285" spans="1:13">
      <c r="A285">
        <v>8500415</v>
      </c>
      <c r="B285">
        <v>8500415</v>
      </c>
      <c r="C285" t="s">
        <v>8826</v>
      </c>
      <c r="D285" t="s">
        <v>441</v>
      </c>
      <c r="F285">
        <v>0</v>
      </c>
      <c r="G285">
        <v>11.75</v>
      </c>
      <c r="H285" t="s">
        <v>8587</v>
      </c>
      <c r="I285">
        <v>90</v>
      </c>
      <c r="J285" t="s">
        <v>470</v>
      </c>
      <c r="M285">
        <v>0</v>
      </c>
    </row>
    <row r="286" spans="1:13">
      <c r="A286">
        <v>8500416</v>
      </c>
      <c r="B286">
        <v>8500416</v>
      </c>
      <c r="C286" t="s">
        <v>8827</v>
      </c>
      <c r="D286" t="s">
        <v>441</v>
      </c>
      <c r="F286">
        <v>0</v>
      </c>
      <c r="G286">
        <v>14.61</v>
      </c>
      <c r="H286" t="s">
        <v>8587</v>
      </c>
      <c r="I286">
        <v>90</v>
      </c>
      <c r="J286" t="s">
        <v>470</v>
      </c>
      <c r="M286">
        <v>0</v>
      </c>
    </row>
    <row r="287" spans="1:13">
      <c r="A287">
        <v>8500417</v>
      </c>
      <c r="B287">
        <v>8500417</v>
      </c>
      <c r="C287" t="s">
        <v>8828</v>
      </c>
      <c r="D287" t="s">
        <v>441</v>
      </c>
      <c r="F287">
        <v>0</v>
      </c>
      <c r="G287">
        <v>9.2799999999999994</v>
      </c>
      <c r="H287" t="s">
        <v>8587</v>
      </c>
      <c r="I287">
        <v>90</v>
      </c>
      <c r="J287" t="s">
        <v>470</v>
      </c>
      <c r="M287">
        <v>0</v>
      </c>
    </row>
    <row r="288" spans="1:13">
      <c r="A288">
        <v>8500418</v>
      </c>
      <c r="B288">
        <v>8500418</v>
      </c>
      <c r="C288" t="s">
        <v>8829</v>
      </c>
      <c r="D288" t="s">
        <v>441</v>
      </c>
      <c r="F288">
        <v>0</v>
      </c>
      <c r="G288">
        <v>10.28</v>
      </c>
      <c r="H288" t="s">
        <v>8587</v>
      </c>
      <c r="I288">
        <v>90</v>
      </c>
      <c r="J288" t="s">
        <v>470</v>
      </c>
      <c r="M288">
        <v>0</v>
      </c>
    </row>
    <row r="289" spans="1:13">
      <c r="A289">
        <v>8500419</v>
      </c>
      <c r="B289">
        <v>8500419</v>
      </c>
      <c r="C289" t="s">
        <v>8830</v>
      </c>
      <c r="D289" t="s">
        <v>441</v>
      </c>
      <c r="F289">
        <v>0</v>
      </c>
      <c r="G289">
        <v>7.92</v>
      </c>
      <c r="H289" t="s">
        <v>8587</v>
      </c>
      <c r="I289">
        <v>90</v>
      </c>
      <c r="J289" t="s">
        <v>470</v>
      </c>
      <c r="M289">
        <v>0</v>
      </c>
    </row>
    <row r="290" spans="1:13">
      <c r="A290">
        <v>8500420</v>
      </c>
      <c r="B290">
        <v>8500420</v>
      </c>
      <c r="C290" t="s">
        <v>8831</v>
      </c>
      <c r="D290" t="s">
        <v>441</v>
      </c>
      <c r="F290">
        <v>0</v>
      </c>
      <c r="G290">
        <v>8.07</v>
      </c>
      <c r="H290" t="s">
        <v>8587</v>
      </c>
      <c r="I290">
        <v>90</v>
      </c>
      <c r="J290" t="s">
        <v>470</v>
      </c>
      <c r="M290">
        <v>0</v>
      </c>
    </row>
    <row r="291" spans="1:13">
      <c r="A291">
        <v>8500421</v>
      </c>
      <c r="B291">
        <v>8500421</v>
      </c>
      <c r="C291" t="s">
        <v>8832</v>
      </c>
      <c r="D291" t="s">
        <v>441</v>
      </c>
      <c r="F291">
        <v>0</v>
      </c>
      <c r="G291">
        <v>9.3000000000000007</v>
      </c>
      <c r="H291" t="s">
        <v>8587</v>
      </c>
      <c r="I291">
        <v>90</v>
      </c>
      <c r="J291" t="s">
        <v>470</v>
      </c>
      <c r="M291">
        <v>0</v>
      </c>
    </row>
    <row r="292" spans="1:13">
      <c r="A292">
        <v>8500422</v>
      </c>
      <c r="B292">
        <v>8500422</v>
      </c>
      <c r="C292" t="s">
        <v>8833</v>
      </c>
      <c r="D292" t="s">
        <v>441</v>
      </c>
      <c r="F292">
        <v>0</v>
      </c>
      <c r="G292">
        <v>1</v>
      </c>
      <c r="H292" t="s">
        <v>8587</v>
      </c>
      <c r="I292">
        <v>90</v>
      </c>
      <c r="J292" t="s">
        <v>470</v>
      </c>
      <c r="M292">
        <v>0</v>
      </c>
    </row>
    <row r="293" spans="1:13">
      <c r="A293">
        <v>8500423</v>
      </c>
      <c r="B293">
        <v>8500423</v>
      </c>
      <c r="C293" t="s">
        <v>8834</v>
      </c>
      <c r="D293" t="s">
        <v>441</v>
      </c>
      <c r="F293">
        <v>0</v>
      </c>
      <c r="G293">
        <v>9.1199999999999992</v>
      </c>
      <c r="H293" t="s">
        <v>8587</v>
      </c>
      <c r="I293">
        <v>90</v>
      </c>
      <c r="J293" t="s">
        <v>470</v>
      </c>
      <c r="M293">
        <v>0</v>
      </c>
    </row>
    <row r="294" spans="1:13">
      <c r="A294">
        <v>8500424</v>
      </c>
      <c r="B294">
        <v>8500424</v>
      </c>
      <c r="C294" t="s">
        <v>8835</v>
      </c>
      <c r="D294" t="s">
        <v>441</v>
      </c>
      <c r="F294">
        <v>0</v>
      </c>
      <c r="G294">
        <v>6.49</v>
      </c>
      <c r="H294" t="s">
        <v>8587</v>
      </c>
      <c r="I294">
        <v>90</v>
      </c>
      <c r="J294" t="s">
        <v>470</v>
      </c>
      <c r="M294">
        <v>0</v>
      </c>
    </row>
    <row r="295" spans="1:13">
      <c r="A295">
        <v>8500425</v>
      </c>
      <c r="B295">
        <v>8500425</v>
      </c>
      <c r="C295" t="s">
        <v>8836</v>
      </c>
      <c r="D295" t="s">
        <v>441</v>
      </c>
      <c r="F295">
        <v>0</v>
      </c>
      <c r="G295">
        <v>6.64</v>
      </c>
      <c r="H295" t="s">
        <v>8587</v>
      </c>
      <c r="I295">
        <v>90</v>
      </c>
      <c r="J295" t="s">
        <v>470</v>
      </c>
      <c r="M295">
        <v>0</v>
      </c>
    </row>
    <row r="296" spans="1:13">
      <c r="A296">
        <v>8500426</v>
      </c>
      <c r="B296">
        <v>8500426</v>
      </c>
      <c r="C296" t="s">
        <v>8837</v>
      </c>
      <c r="D296" t="s">
        <v>441</v>
      </c>
      <c r="F296">
        <v>0</v>
      </c>
      <c r="G296">
        <v>8.49</v>
      </c>
      <c r="H296" t="s">
        <v>8587</v>
      </c>
      <c r="I296">
        <v>90</v>
      </c>
      <c r="J296" t="s">
        <v>470</v>
      </c>
      <c r="M296">
        <v>0</v>
      </c>
    </row>
    <row r="297" spans="1:13">
      <c r="A297">
        <v>8500427</v>
      </c>
      <c r="B297">
        <v>8500427</v>
      </c>
      <c r="C297" t="s">
        <v>8838</v>
      </c>
      <c r="D297" t="s">
        <v>441</v>
      </c>
      <c r="F297">
        <v>0</v>
      </c>
      <c r="G297">
        <v>9.2799999999999994</v>
      </c>
      <c r="H297" t="s">
        <v>8587</v>
      </c>
      <c r="I297">
        <v>90</v>
      </c>
      <c r="J297" t="s">
        <v>470</v>
      </c>
      <c r="M297">
        <v>0</v>
      </c>
    </row>
    <row r="298" spans="1:13">
      <c r="A298">
        <v>8500428</v>
      </c>
      <c r="B298">
        <v>8500428</v>
      </c>
      <c r="C298" t="s">
        <v>8839</v>
      </c>
      <c r="D298" t="s">
        <v>441</v>
      </c>
      <c r="F298">
        <v>0</v>
      </c>
      <c r="G298">
        <v>9.7799999999999994</v>
      </c>
      <c r="H298" t="s">
        <v>8587</v>
      </c>
      <c r="I298">
        <v>90</v>
      </c>
      <c r="J298" t="s">
        <v>470</v>
      </c>
      <c r="M298">
        <v>0</v>
      </c>
    </row>
    <row r="299" spans="1:13">
      <c r="A299">
        <v>8500429</v>
      </c>
      <c r="B299">
        <v>8500429</v>
      </c>
      <c r="C299" t="s">
        <v>8840</v>
      </c>
      <c r="D299" t="s">
        <v>441</v>
      </c>
      <c r="F299">
        <v>0</v>
      </c>
      <c r="G299">
        <v>5.41</v>
      </c>
      <c r="H299" t="s">
        <v>8587</v>
      </c>
      <c r="I299">
        <v>90</v>
      </c>
      <c r="J299" t="s">
        <v>470</v>
      </c>
      <c r="M299">
        <v>0</v>
      </c>
    </row>
    <row r="300" spans="1:13">
      <c r="A300">
        <v>8500430</v>
      </c>
      <c r="B300">
        <v>8500430</v>
      </c>
      <c r="C300" t="s">
        <v>8841</v>
      </c>
      <c r="D300" t="s">
        <v>441</v>
      </c>
      <c r="F300">
        <v>0</v>
      </c>
      <c r="G300">
        <v>5.36</v>
      </c>
      <c r="H300" t="s">
        <v>8587</v>
      </c>
      <c r="I300">
        <v>90</v>
      </c>
      <c r="J300" t="s">
        <v>470</v>
      </c>
      <c r="M300">
        <v>0</v>
      </c>
    </row>
    <row r="301" spans="1:13">
      <c r="A301">
        <v>8500431</v>
      </c>
      <c r="B301">
        <v>8500431</v>
      </c>
      <c r="C301" t="s">
        <v>8842</v>
      </c>
      <c r="D301" t="s">
        <v>441</v>
      </c>
      <c r="F301">
        <v>0</v>
      </c>
      <c r="G301">
        <v>5.95</v>
      </c>
      <c r="H301" t="s">
        <v>8587</v>
      </c>
      <c r="I301">
        <v>90</v>
      </c>
      <c r="J301" t="s">
        <v>470</v>
      </c>
      <c r="M301">
        <v>0</v>
      </c>
    </row>
    <row r="302" spans="1:13">
      <c r="A302">
        <v>8500432</v>
      </c>
      <c r="B302">
        <v>8500432</v>
      </c>
      <c r="C302" t="s">
        <v>8843</v>
      </c>
      <c r="D302" t="s">
        <v>441</v>
      </c>
      <c r="F302">
        <v>0</v>
      </c>
      <c r="G302">
        <v>15.21</v>
      </c>
      <c r="H302" t="s">
        <v>8587</v>
      </c>
      <c r="I302">
        <v>90</v>
      </c>
      <c r="J302" t="s">
        <v>470</v>
      </c>
      <c r="M302">
        <v>0</v>
      </c>
    </row>
    <row r="303" spans="1:13">
      <c r="A303">
        <v>8500433</v>
      </c>
      <c r="B303">
        <v>8500433</v>
      </c>
      <c r="C303" t="s">
        <v>8844</v>
      </c>
      <c r="D303" t="s">
        <v>441</v>
      </c>
      <c r="F303">
        <v>0</v>
      </c>
      <c r="G303">
        <v>16.03</v>
      </c>
      <c r="H303" t="s">
        <v>8587</v>
      </c>
      <c r="I303">
        <v>90</v>
      </c>
      <c r="J303" t="s">
        <v>470</v>
      </c>
      <c r="M303">
        <v>0</v>
      </c>
    </row>
    <row r="304" spans="1:13">
      <c r="A304">
        <v>8500434</v>
      </c>
      <c r="B304">
        <v>8500434</v>
      </c>
      <c r="C304" t="s">
        <v>8845</v>
      </c>
      <c r="D304" t="s">
        <v>441</v>
      </c>
      <c r="F304">
        <v>0</v>
      </c>
      <c r="G304">
        <v>17.63</v>
      </c>
      <c r="H304" t="s">
        <v>8587</v>
      </c>
      <c r="I304">
        <v>90</v>
      </c>
      <c r="J304" t="s">
        <v>470</v>
      </c>
      <c r="M304">
        <v>0</v>
      </c>
    </row>
    <row r="305" spans="1:13">
      <c r="A305">
        <v>8500435</v>
      </c>
      <c r="B305">
        <v>8500435</v>
      </c>
      <c r="C305" t="s">
        <v>8846</v>
      </c>
      <c r="D305" t="s">
        <v>441</v>
      </c>
      <c r="F305">
        <v>0</v>
      </c>
      <c r="G305">
        <v>17.93</v>
      </c>
      <c r="H305" t="s">
        <v>8587</v>
      </c>
      <c r="I305">
        <v>90</v>
      </c>
      <c r="J305" t="s">
        <v>470</v>
      </c>
      <c r="M305">
        <v>0</v>
      </c>
    </row>
    <row r="306" spans="1:13">
      <c r="A306">
        <v>8500436</v>
      </c>
      <c r="B306">
        <v>8500436</v>
      </c>
      <c r="C306" t="s">
        <v>8847</v>
      </c>
      <c r="D306" t="s">
        <v>441</v>
      </c>
      <c r="F306">
        <v>0</v>
      </c>
      <c r="G306">
        <v>6.41</v>
      </c>
      <c r="H306" t="s">
        <v>8587</v>
      </c>
      <c r="I306">
        <v>90</v>
      </c>
      <c r="J306" t="s">
        <v>470</v>
      </c>
      <c r="M306">
        <v>0</v>
      </c>
    </row>
    <row r="307" spans="1:13">
      <c r="A307">
        <v>8500437</v>
      </c>
      <c r="B307">
        <v>8500437</v>
      </c>
      <c r="C307" t="s">
        <v>8848</v>
      </c>
      <c r="D307" t="s">
        <v>441</v>
      </c>
      <c r="F307">
        <v>0</v>
      </c>
      <c r="G307">
        <v>7.08</v>
      </c>
      <c r="H307" t="s">
        <v>8587</v>
      </c>
      <c r="I307">
        <v>90</v>
      </c>
      <c r="J307" t="s">
        <v>470</v>
      </c>
      <c r="M307">
        <v>0</v>
      </c>
    </row>
    <row r="308" spans="1:13">
      <c r="A308">
        <v>8500438</v>
      </c>
      <c r="B308">
        <v>8500438</v>
      </c>
      <c r="C308" t="s">
        <v>8849</v>
      </c>
      <c r="D308" t="s">
        <v>441</v>
      </c>
      <c r="F308">
        <v>0</v>
      </c>
      <c r="G308">
        <v>11.87</v>
      </c>
      <c r="H308" t="s">
        <v>8587</v>
      </c>
      <c r="I308">
        <v>90</v>
      </c>
      <c r="J308" t="s">
        <v>470</v>
      </c>
      <c r="M308">
        <v>0</v>
      </c>
    </row>
    <row r="309" spans="1:13">
      <c r="A309">
        <v>8500439</v>
      </c>
      <c r="B309">
        <v>8500439</v>
      </c>
      <c r="C309" t="s">
        <v>8850</v>
      </c>
      <c r="D309" t="s">
        <v>441</v>
      </c>
      <c r="F309">
        <v>0</v>
      </c>
      <c r="G309">
        <v>12.54</v>
      </c>
      <c r="H309" t="s">
        <v>8587</v>
      </c>
      <c r="I309">
        <v>90</v>
      </c>
      <c r="J309" t="s">
        <v>470</v>
      </c>
      <c r="M309">
        <v>0</v>
      </c>
    </row>
    <row r="310" spans="1:13">
      <c r="A310">
        <v>8500442</v>
      </c>
      <c r="B310">
        <v>8500442</v>
      </c>
      <c r="C310" t="s">
        <v>8851</v>
      </c>
      <c r="D310" t="s">
        <v>441</v>
      </c>
      <c r="F310">
        <v>0</v>
      </c>
      <c r="G310">
        <v>14.29</v>
      </c>
      <c r="H310" t="s">
        <v>8584</v>
      </c>
      <c r="I310">
        <v>90</v>
      </c>
      <c r="J310" t="s">
        <v>470</v>
      </c>
      <c r="M310">
        <v>0</v>
      </c>
    </row>
    <row r="311" spans="1:13">
      <c r="A311">
        <v>8500443</v>
      </c>
      <c r="B311">
        <v>8500443</v>
      </c>
      <c r="C311" t="s">
        <v>8852</v>
      </c>
      <c r="D311" t="s">
        <v>441</v>
      </c>
      <c r="F311">
        <v>0</v>
      </c>
      <c r="G311">
        <v>14.88</v>
      </c>
      <c r="H311" t="s">
        <v>8584</v>
      </c>
      <c r="I311">
        <v>90</v>
      </c>
      <c r="J311" t="s">
        <v>470</v>
      </c>
      <c r="M311">
        <v>0</v>
      </c>
    </row>
    <row r="312" spans="1:13">
      <c r="A312">
        <v>8500444</v>
      </c>
      <c r="B312">
        <v>8500444</v>
      </c>
      <c r="C312" t="s">
        <v>8853</v>
      </c>
      <c r="D312" t="s">
        <v>441</v>
      </c>
      <c r="F312">
        <v>0</v>
      </c>
      <c r="G312">
        <v>15.49</v>
      </c>
      <c r="H312" t="s">
        <v>8584</v>
      </c>
      <c r="I312">
        <v>90</v>
      </c>
      <c r="J312" t="s">
        <v>470</v>
      </c>
      <c r="M312">
        <v>0</v>
      </c>
    </row>
    <row r="313" spans="1:13">
      <c r="A313">
        <v>8500445</v>
      </c>
      <c r="B313">
        <v>8500445</v>
      </c>
      <c r="C313" t="s">
        <v>8854</v>
      </c>
      <c r="D313" t="s">
        <v>441</v>
      </c>
      <c r="F313">
        <v>0</v>
      </c>
      <c r="G313">
        <v>25.64</v>
      </c>
      <c r="H313" t="s">
        <v>8580</v>
      </c>
      <c r="I313">
        <v>90</v>
      </c>
      <c r="J313" t="s">
        <v>470</v>
      </c>
      <c r="M313">
        <v>0</v>
      </c>
    </row>
    <row r="314" spans="1:13">
      <c r="A314">
        <v>8500446</v>
      </c>
      <c r="B314">
        <v>8500446</v>
      </c>
      <c r="C314" t="s">
        <v>8855</v>
      </c>
      <c r="D314" t="s">
        <v>441</v>
      </c>
      <c r="F314">
        <v>0</v>
      </c>
      <c r="G314">
        <v>5.89</v>
      </c>
      <c r="H314" t="s">
        <v>8584</v>
      </c>
      <c r="I314">
        <v>90</v>
      </c>
      <c r="J314" t="s">
        <v>470</v>
      </c>
      <c r="M314">
        <v>0</v>
      </c>
    </row>
    <row r="315" spans="1:13">
      <c r="A315">
        <v>8500447</v>
      </c>
      <c r="B315">
        <v>8500447</v>
      </c>
      <c r="C315" t="s">
        <v>8856</v>
      </c>
      <c r="D315" t="s">
        <v>441</v>
      </c>
      <c r="F315">
        <v>0</v>
      </c>
      <c r="G315">
        <v>6.73</v>
      </c>
      <c r="H315" t="s">
        <v>8584</v>
      </c>
      <c r="I315">
        <v>90</v>
      </c>
      <c r="J315" t="s">
        <v>470</v>
      </c>
      <c r="M315">
        <v>0</v>
      </c>
    </row>
    <row r="316" spans="1:13">
      <c r="A316">
        <v>8500448</v>
      </c>
      <c r="B316">
        <v>8500448</v>
      </c>
      <c r="C316" t="s">
        <v>8857</v>
      </c>
      <c r="D316" t="s">
        <v>441</v>
      </c>
      <c r="F316">
        <v>0</v>
      </c>
      <c r="G316">
        <v>12.25</v>
      </c>
      <c r="H316" t="s">
        <v>8584</v>
      </c>
      <c r="I316">
        <v>90</v>
      </c>
      <c r="J316" t="s">
        <v>470</v>
      </c>
      <c r="M316">
        <v>0</v>
      </c>
    </row>
    <row r="317" spans="1:13">
      <c r="A317">
        <v>8500449</v>
      </c>
      <c r="B317">
        <v>8500449</v>
      </c>
      <c r="C317" t="s">
        <v>8858</v>
      </c>
      <c r="D317" t="s">
        <v>441</v>
      </c>
      <c r="F317">
        <v>0</v>
      </c>
      <c r="G317">
        <v>11.37</v>
      </c>
      <c r="H317" t="s">
        <v>8859</v>
      </c>
      <c r="I317">
        <v>90</v>
      </c>
      <c r="J317" t="s">
        <v>470</v>
      </c>
      <c r="M317">
        <v>0</v>
      </c>
    </row>
    <row r="318" spans="1:13">
      <c r="A318">
        <v>8500450</v>
      </c>
      <c r="B318">
        <v>8500450</v>
      </c>
      <c r="C318" t="s">
        <v>8860</v>
      </c>
      <c r="D318" t="s">
        <v>441</v>
      </c>
      <c r="F318">
        <v>0</v>
      </c>
      <c r="G318">
        <v>11.06</v>
      </c>
      <c r="H318" t="s">
        <v>8859</v>
      </c>
      <c r="I318">
        <v>90</v>
      </c>
      <c r="J318" t="s">
        <v>470</v>
      </c>
      <c r="M318">
        <v>0</v>
      </c>
    </row>
    <row r="319" spans="1:13">
      <c r="A319">
        <v>8500451</v>
      </c>
      <c r="B319">
        <v>8500451</v>
      </c>
      <c r="C319" t="s">
        <v>8861</v>
      </c>
      <c r="D319" t="s">
        <v>441</v>
      </c>
      <c r="F319">
        <v>0</v>
      </c>
      <c r="G319">
        <v>13.17</v>
      </c>
      <c r="H319" t="s">
        <v>8584</v>
      </c>
      <c r="I319">
        <v>90</v>
      </c>
      <c r="J319" t="s">
        <v>470</v>
      </c>
      <c r="M319">
        <v>0</v>
      </c>
    </row>
    <row r="320" spans="1:13">
      <c r="A320">
        <v>8500452</v>
      </c>
      <c r="B320">
        <v>8500452</v>
      </c>
      <c r="C320" t="s">
        <v>8862</v>
      </c>
      <c r="D320" t="s">
        <v>441</v>
      </c>
      <c r="F320">
        <v>0</v>
      </c>
      <c r="G320">
        <v>1.02</v>
      </c>
      <c r="H320" t="s">
        <v>8584</v>
      </c>
      <c r="I320">
        <v>90</v>
      </c>
      <c r="J320" t="s">
        <v>470</v>
      </c>
      <c r="M320">
        <v>0</v>
      </c>
    </row>
    <row r="321" spans="1:13">
      <c r="A321">
        <v>8500453</v>
      </c>
      <c r="B321">
        <v>8500453</v>
      </c>
      <c r="C321" t="s">
        <v>8863</v>
      </c>
      <c r="D321" t="s">
        <v>441</v>
      </c>
      <c r="F321">
        <v>0</v>
      </c>
      <c r="G321">
        <v>11.29</v>
      </c>
      <c r="H321" t="s">
        <v>8584</v>
      </c>
      <c r="I321">
        <v>90</v>
      </c>
      <c r="J321" t="s">
        <v>470</v>
      </c>
      <c r="M321">
        <v>0</v>
      </c>
    </row>
    <row r="322" spans="1:13">
      <c r="A322">
        <v>8500454</v>
      </c>
      <c r="B322">
        <v>8500454</v>
      </c>
      <c r="C322" t="s">
        <v>8864</v>
      </c>
      <c r="D322" t="s">
        <v>441</v>
      </c>
      <c r="F322">
        <v>0</v>
      </c>
      <c r="G322">
        <v>12.87</v>
      </c>
      <c r="H322" t="s">
        <v>8584</v>
      </c>
      <c r="I322">
        <v>90</v>
      </c>
      <c r="J322" t="s">
        <v>470</v>
      </c>
      <c r="M322">
        <v>0</v>
      </c>
    </row>
    <row r="323" spans="1:13">
      <c r="A323">
        <v>8500455</v>
      </c>
      <c r="B323">
        <v>8500455</v>
      </c>
      <c r="C323" t="s">
        <v>8865</v>
      </c>
      <c r="D323" t="s">
        <v>441</v>
      </c>
      <c r="F323">
        <v>0</v>
      </c>
      <c r="G323">
        <v>9.89</v>
      </c>
      <c r="H323" t="s">
        <v>8580</v>
      </c>
      <c r="I323">
        <v>90</v>
      </c>
      <c r="J323" t="s">
        <v>470</v>
      </c>
      <c r="M323">
        <v>0</v>
      </c>
    </row>
    <row r="324" spans="1:13">
      <c r="A324">
        <v>8500456</v>
      </c>
      <c r="B324">
        <v>8500456</v>
      </c>
      <c r="C324" t="s">
        <v>8866</v>
      </c>
      <c r="D324" t="s">
        <v>441</v>
      </c>
      <c r="F324">
        <v>0</v>
      </c>
      <c r="G324">
        <v>7.34</v>
      </c>
      <c r="H324" t="s">
        <v>8580</v>
      </c>
      <c r="I324">
        <v>90</v>
      </c>
      <c r="J324" t="s">
        <v>470</v>
      </c>
      <c r="M324">
        <v>0</v>
      </c>
    </row>
    <row r="325" spans="1:13">
      <c r="A325">
        <v>8500457</v>
      </c>
      <c r="B325">
        <v>8500457</v>
      </c>
      <c r="C325" t="s">
        <v>8867</v>
      </c>
      <c r="D325" t="s">
        <v>441</v>
      </c>
      <c r="F325">
        <v>0</v>
      </c>
      <c r="G325">
        <v>2.62</v>
      </c>
      <c r="H325" t="s">
        <v>8580</v>
      </c>
      <c r="I325">
        <v>90</v>
      </c>
      <c r="J325" t="s">
        <v>470</v>
      </c>
      <c r="M325">
        <v>0</v>
      </c>
    </row>
    <row r="326" spans="1:13">
      <c r="A326">
        <v>8500458</v>
      </c>
      <c r="B326">
        <v>8500458</v>
      </c>
      <c r="C326" t="s">
        <v>8868</v>
      </c>
      <c r="D326" t="s">
        <v>441</v>
      </c>
      <c r="F326">
        <v>0</v>
      </c>
      <c r="G326">
        <v>23.28</v>
      </c>
      <c r="H326" t="s">
        <v>8584</v>
      </c>
      <c r="I326">
        <v>90</v>
      </c>
      <c r="J326" t="s">
        <v>470</v>
      </c>
      <c r="M326">
        <v>0</v>
      </c>
    </row>
    <row r="327" spans="1:13">
      <c r="A327">
        <v>8500459</v>
      </c>
      <c r="B327">
        <v>8500459</v>
      </c>
      <c r="C327" t="s">
        <v>8869</v>
      </c>
      <c r="D327" t="s">
        <v>441</v>
      </c>
      <c r="F327">
        <v>0</v>
      </c>
      <c r="G327">
        <v>5.48</v>
      </c>
      <c r="H327" t="s">
        <v>8584</v>
      </c>
      <c r="I327">
        <v>90</v>
      </c>
      <c r="J327" t="s">
        <v>470</v>
      </c>
      <c r="M327">
        <v>0</v>
      </c>
    </row>
    <row r="328" spans="1:13">
      <c r="A328">
        <v>8500460</v>
      </c>
      <c r="B328">
        <v>8500460</v>
      </c>
      <c r="C328" t="s">
        <v>8870</v>
      </c>
      <c r="D328" t="s">
        <v>441</v>
      </c>
      <c r="F328">
        <v>0</v>
      </c>
      <c r="G328">
        <v>16.940000000000001</v>
      </c>
      <c r="H328" t="s">
        <v>8584</v>
      </c>
      <c r="I328">
        <v>90</v>
      </c>
      <c r="J328" t="s">
        <v>470</v>
      </c>
      <c r="M328">
        <v>0</v>
      </c>
    </row>
    <row r="329" spans="1:13">
      <c r="A329">
        <v>8500461</v>
      </c>
      <c r="B329">
        <v>8500461</v>
      </c>
      <c r="C329" t="s">
        <v>8871</v>
      </c>
      <c r="D329" t="s">
        <v>441</v>
      </c>
      <c r="F329">
        <v>0</v>
      </c>
      <c r="G329">
        <v>16.190000000000001</v>
      </c>
      <c r="H329" t="s">
        <v>8584</v>
      </c>
      <c r="I329">
        <v>90</v>
      </c>
      <c r="J329" t="s">
        <v>470</v>
      </c>
      <c r="M329">
        <v>0</v>
      </c>
    </row>
    <row r="330" spans="1:13">
      <c r="A330">
        <v>8500462</v>
      </c>
      <c r="B330">
        <v>8500462</v>
      </c>
      <c r="C330" t="s">
        <v>8821</v>
      </c>
      <c r="D330" t="s">
        <v>441</v>
      </c>
      <c r="F330">
        <v>0</v>
      </c>
      <c r="G330">
        <v>9.0399999999999991</v>
      </c>
      <c r="H330" t="s">
        <v>8584</v>
      </c>
      <c r="I330">
        <v>90</v>
      </c>
      <c r="J330" t="s">
        <v>470</v>
      </c>
      <c r="M330">
        <v>0</v>
      </c>
    </row>
    <row r="331" spans="1:13">
      <c r="A331">
        <v>8500463</v>
      </c>
      <c r="B331">
        <v>8500463</v>
      </c>
      <c r="C331" t="s">
        <v>8822</v>
      </c>
      <c r="D331" t="s">
        <v>441</v>
      </c>
      <c r="F331">
        <v>0</v>
      </c>
      <c r="G331">
        <v>9.69</v>
      </c>
      <c r="H331" t="s">
        <v>8584</v>
      </c>
      <c r="I331">
        <v>90</v>
      </c>
      <c r="J331" t="s">
        <v>470</v>
      </c>
      <c r="M331">
        <v>0</v>
      </c>
    </row>
    <row r="332" spans="1:13">
      <c r="A332">
        <v>8500464</v>
      </c>
      <c r="B332">
        <v>8500464</v>
      </c>
      <c r="C332" t="s">
        <v>8823</v>
      </c>
      <c r="D332" t="s">
        <v>441</v>
      </c>
      <c r="F332">
        <v>0</v>
      </c>
      <c r="G332">
        <v>15.27</v>
      </c>
      <c r="H332" t="s">
        <v>8584</v>
      </c>
      <c r="I332">
        <v>90</v>
      </c>
      <c r="J332" t="s">
        <v>470</v>
      </c>
      <c r="M332">
        <v>0</v>
      </c>
    </row>
    <row r="333" spans="1:13">
      <c r="A333">
        <v>8500465</v>
      </c>
      <c r="B333">
        <v>8500465</v>
      </c>
      <c r="C333" t="s">
        <v>8824</v>
      </c>
      <c r="D333" t="s">
        <v>441</v>
      </c>
      <c r="F333">
        <v>0</v>
      </c>
      <c r="G333">
        <v>9.25</v>
      </c>
      <c r="H333" t="s">
        <v>8584</v>
      </c>
      <c r="I333">
        <v>90</v>
      </c>
      <c r="J333" t="s">
        <v>470</v>
      </c>
      <c r="M333">
        <v>0</v>
      </c>
    </row>
    <row r="334" spans="1:13">
      <c r="A334">
        <v>8500466</v>
      </c>
      <c r="B334">
        <v>8500466</v>
      </c>
      <c r="C334" t="s">
        <v>8825</v>
      </c>
      <c r="D334" t="s">
        <v>441</v>
      </c>
      <c r="F334">
        <v>0</v>
      </c>
      <c r="G334">
        <v>9.7899999999999991</v>
      </c>
      <c r="H334" t="s">
        <v>8584</v>
      </c>
      <c r="I334">
        <v>90</v>
      </c>
      <c r="J334" t="s">
        <v>470</v>
      </c>
      <c r="M334">
        <v>0</v>
      </c>
    </row>
    <row r="335" spans="1:13">
      <c r="A335">
        <v>8500467</v>
      </c>
      <c r="B335">
        <v>8500467</v>
      </c>
      <c r="C335" t="s">
        <v>8826</v>
      </c>
      <c r="D335" t="s">
        <v>441</v>
      </c>
      <c r="F335">
        <v>0</v>
      </c>
      <c r="G335">
        <v>9.7899999999999991</v>
      </c>
      <c r="H335" t="s">
        <v>8584</v>
      </c>
      <c r="I335">
        <v>90</v>
      </c>
      <c r="J335" t="s">
        <v>470</v>
      </c>
      <c r="M335">
        <v>0</v>
      </c>
    </row>
    <row r="336" spans="1:13">
      <c r="A336">
        <v>8500468</v>
      </c>
      <c r="B336">
        <v>8500468</v>
      </c>
      <c r="C336" t="s">
        <v>8827</v>
      </c>
      <c r="D336" t="s">
        <v>441</v>
      </c>
      <c r="F336">
        <v>0</v>
      </c>
      <c r="G336">
        <v>11.57</v>
      </c>
      <c r="H336" t="s">
        <v>8584</v>
      </c>
      <c r="I336">
        <v>90</v>
      </c>
      <c r="J336" t="s">
        <v>470</v>
      </c>
      <c r="M336">
        <v>0</v>
      </c>
    </row>
    <row r="337" spans="1:13">
      <c r="A337">
        <v>8500469</v>
      </c>
      <c r="B337">
        <v>8500469</v>
      </c>
      <c r="C337" t="s">
        <v>8828</v>
      </c>
      <c r="D337" t="s">
        <v>441</v>
      </c>
      <c r="F337">
        <v>0</v>
      </c>
      <c r="G337">
        <v>6.82</v>
      </c>
      <c r="H337" t="s">
        <v>8584</v>
      </c>
      <c r="I337">
        <v>90</v>
      </c>
      <c r="J337" t="s">
        <v>470</v>
      </c>
      <c r="M337">
        <v>0</v>
      </c>
    </row>
    <row r="338" spans="1:13">
      <c r="A338">
        <v>8500470</v>
      </c>
      <c r="B338">
        <v>8500470</v>
      </c>
      <c r="C338" t="s">
        <v>8829</v>
      </c>
      <c r="D338" t="s">
        <v>441</v>
      </c>
      <c r="F338">
        <v>0</v>
      </c>
      <c r="G338">
        <v>8.82</v>
      </c>
      <c r="H338" t="s">
        <v>8580</v>
      </c>
      <c r="I338">
        <v>90</v>
      </c>
      <c r="J338" t="s">
        <v>470</v>
      </c>
      <c r="M338">
        <v>0</v>
      </c>
    </row>
    <row r="339" spans="1:13">
      <c r="A339">
        <v>8500471</v>
      </c>
      <c r="B339">
        <v>8500471</v>
      </c>
      <c r="C339" t="s">
        <v>8830</v>
      </c>
      <c r="D339" t="s">
        <v>441</v>
      </c>
      <c r="F339">
        <v>0</v>
      </c>
      <c r="G339">
        <v>8.44</v>
      </c>
      <c r="H339" t="s">
        <v>8584</v>
      </c>
      <c r="I339">
        <v>90</v>
      </c>
      <c r="J339" t="s">
        <v>470</v>
      </c>
      <c r="M339">
        <v>0</v>
      </c>
    </row>
    <row r="340" spans="1:13">
      <c r="A340">
        <v>8500472</v>
      </c>
      <c r="B340">
        <v>8500472</v>
      </c>
      <c r="C340" t="s">
        <v>8831</v>
      </c>
      <c r="D340" t="s">
        <v>441</v>
      </c>
      <c r="F340">
        <v>0</v>
      </c>
      <c r="G340">
        <v>7.62</v>
      </c>
      <c r="H340" t="s">
        <v>8584</v>
      </c>
      <c r="I340">
        <v>90</v>
      </c>
      <c r="J340" t="s">
        <v>470</v>
      </c>
      <c r="M340">
        <v>0</v>
      </c>
    </row>
    <row r="341" spans="1:13">
      <c r="A341">
        <v>8500473</v>
      </c>
      <c r="B341">
        <v>8500473</v>
      </c>
      <c r="C341" t="s">
        <v>8832</v>
      </c>
      <c r="D341" t="s">
        <v>441</v>
      </c>
      <c r="F341">
        <v>0</v>
      </c>
      <c r="G341">
        <v>6.93</v>
      </c>
      <c r="H341" t="s">
        <v>8584</v>
      </c>
      <c r="I341">
        <v>90</v>
      </c>
      <c r="J341" t="s">
        <v>470</v>
      </c>
      <c r="M341">
        <v>0</v>
      </c>
    </row>
    <row r="342" spans="1:13">
      <c r="A342">
        <v>8500474</v>
      </c>
      <c r="B342">
        <v>8500474</v>
      </c>
      <c r="C342" t="s">
        <v>8833</v>
      </c>
      <c r="D342" t="s">
        <v>441</v>
      </c>
      <c r="F342">
        <v>0</v>
      </c>
      <c r="G342">
        <v>7.41</v>
      </c>
      <c r="H342" t="s">
        <v>8584</v>
      </c>
      <c r="I342">
        <v>90</v>
      </c>
      <c r="J342" t="s">
        <v>470</v>
      </c>
      <c r="M342">
        <v>0</v>
      </c>
    </row>
    <row r="343" spans="1:13">
      <c r="A343">
        <v>8500475</v>
      </c>
      <c r="B343">
        <v>8500475</v>
      </c>
      <c r="C343" t="s">
        <v>8834</v>
      </c>
      <c r="D343" t="s">
        <v>441</v>
      </c>
      <c r="F343">
        <v>0</v>
      </c>
      <c r="G343">
        <v>9.2100000000000009</v>
      </c>
      <c r="H343" t="s">
        <v>8580</v>
      </c>
      <c r="I343">
        <v>90</v>
      </c>
      <c r="J343" t="s">
        <v>470</v>
      </c>
      <c r="M343">
        <v>0</v>
      </c>
    </row>
    <row r="344" spans="1:13">
      <c r="A344">
        <v>8500476</v>
      </c>
      <c r="B344">
        <v>8500476</v>
      </c>
      <c r="C344" t="s">
        <v>8835</v>
      </c>
      <c r="D344" t="s">
        <v>441</v>
      </c>
      <c r="F344">
        <v>0</v>
      </c>
      <c r="G344">
        <v>8.82</v>
      </c>
      <c r="H344" t="s">
        <v>8584</v>
      </c>
      <c r="I344">
        <v>90</v>
      </c>
      <c r="J344" t="s">
        <v>470</v>
      </c>
      <c r="M344">
        <v>0</v>
      </c>
    </row>
    <row r="345" spans="1:13">
      <c r="A345">
        <v>8500477</v>
      </c>
      <c r="B345">
        <v>8500477</v>
      </c>
      <c r="C345" t="s">
        <v>8836</v>
      </c>
      <c r="D345" t="s">
        <v>441</v>
      </c>
      <c r="F345">
        <v>0</v>
      </c>
      <c r="G345">
        <v>10.16</v>
      </c>
      <c r="H345" t="s">
        <v>8584</v>
      </c>
      <c r="I345">
        <v>90</v>
      </c>
      <c r="J345" t="s">
        <v>470</v>
      </c>
      <c r="M345">
        <v>0</v>
      </c>
    </row>
    <row r="346" spans="1:13">
      <c r="A346">
        <v>8500478</v>
      </c>
      <c r="B346">
        <v>8500478</v>
      </c>
      <c r="C346" t="s">
        <v>8837</v>
      </c>
      <c r="D346" t="s">
        <v>441</v>
      </c>
      <c r="F346">
        <v>0</v>
      </c>
      <c r="G346">
        <v>7.08</v>
      </c>
      <c r="H346" t="s">
        <v>8584</v>
      </c>
      <c r="I346">
        <v>90</v>
      </c>
      <c r="J346" t="s">
        <v>470</v>
      </c>
      <c r="M346">
        <v>0</v>
      </c>
    </row>
    <row r="347" spans="1:13">
      <c r="A347">
        <v>8500479</v>
      </c>
      <c r="B347">
        <v>8500479</v>
      </c>
      <c r="C347" t="s">
        <v>8838</v>
      </c>
      <c r="D347" t="s">
        <v>441</v>
      </c>
      <c r="F347">
        <v>0</v>
      </c>
      <c r="G347">
        <v>8.8800000000000008</v>
      </c>
      <c r="H347" t="s">
        <v>8584</v>
      </c>
      <c r="I347">
        <v>90</v>
      </c>
      <c r="J347" t="s">
        <v>470</v>
      </c>
      <c r="M347">
        <v>0</v>
      </c>
    </row>
    <row r="348" spans="1:13">
      <c r="A348">
        <v>8500480</v>
      </c>
      <c r="B348">
        <v>8500480</v>
      </c>
      <c r="C348" t="s">
        <v>8839</v>
      </c>
      <c r="D348" t="s">
        <v>441</v>
      </c>
      <c r="F348">
        <v>0</v>
      </c>
      <c r="G348">
        <v>11.77</v>
      </c>
      <c r="H348" t="s">
        <v>8584</v>
      </c>
      <c r="I348">
        <v>90</v>
      </c>
      <c r="J348" t="s">
        <v>470</v>
      </c>
      <c r="M348">
        <v>0</v>
      </c>
    </row>
    <row r="349" spans="1:13">
      <c r="A349">
        <v>8500481</v>
      </c>
      <c r="B349">
        <v>8500481</v>
      </c>
      <c r="C349" t="s">
        <v>8840</v>
      </c>
      <c r="D349" t="s">
        <v>441</v>
      </c>
      <c r="F349">
        <v>0</v>
      </c>
      <c r="G349">
        <v>11.63</v>
      </c>
      <c r="H349" t="s">
        <v>8584</v>
      </c>
      <c r="I349">
        <v>90</v>
      </c>
      <c r="J349" t="s">
        <v>470</v>
      </c>
      <c r="M349">
        <v>0</v>
      </c>
    </row>
    <row r="350" spans="1:13">
      <c r="A350">
        <v>8500482</v>
      </c>
      <c r="B350">
        <v>8500482</v>
      </c>
      <c r="C350" t="s">
        <v>8841</v>
      </c>
      <c r="D350" t="s">
        <v>441</v>
      </c>
      <c r="F350">
        <v>0</v>
      </c>
      <c r="G350">
        <v>11.08</v>
      </c>
      <c r="H350" t="s">
        <v>8580</v>
      </c>
      <c r="I350">
        <v>90</v>
      </c>
      <c r="J350" t="s">
        <v>470</v>
      </c>
      <c r="M350">
        <v>0</v>
      </c>
    </row>
    <row r="351" spans="1:13">
      <c r="A351">
        <v>8500483</v>
      </c>
      <c r="B351">
        <v>8500483</v>
      </c>
      <c r="C351" t="s">
        <v>8842</v>
      </c>
      <c r="D351" t="s">
        <v>441</v>
      </c>
      <c r="F351">
        <v>0</v>
      </c>
      <c r="G351">
        <v>10.09</v>
      </c>
      <c r="H351" t="s">
        <v>8580</v>
      </c>
      <c r="I351">
        <v>90</v>
      </c>
      <c r="J351" t="s">
        <v>470</v>
      </c>
      <c r="M351">
        <v>0</v>
      </c>
    </row>
    <row r="352" spans="1:13">
      <c r="A352">
        <v>8500484</v>
      </c>
      <c r="B352">
        <v>8500484</v>
      </c>
      <c r="C352" t="s">
        <v>8843</v>
      </c>
      <c r="D352" t="s">
        <v>441</v>
      </c>
      <c r="F352">
        <v>0</v>
      </c>
      <c r="G352">
        <v>9.66</v>
      </c>
      <c r="H352" t="s">
        <v>8584</v>
      </c>
      <c r="I352">
        <v>90</v>
      </c>
      <c r="J352" t="s">
        <v>470</v>
      </c>
      <c r="M352">
        <v>0</v>
      </c>
    </row>
    <row r="353" spans="1:13">
      <c r="A353">
        <v>8500485</v>
      </c>
      <c r="B353">
        <v>8500485</v>
      </c>
      <c r="C353" t="s">
        <v>8844</v>
      </c>
      <c r="D353" t="s">
        <v>441</v>
      </c>
      <c r="F353">
        <v>0</v>
      </c>
      <c r="G353">
        <v>9.66</v>
      </c>
      <c r="H353" t="s">
        <v>8584</v>
      </c>
      <c r="I353">
        <v>90</v>
      </c>
      <c r="J353" t="s">
        <v>470</v>
      </c>
      <c r="M353">
        <v>0</v>
      </c>
    </row>
    <row r="354" spans="1:13">
      <c r="A354">
        <v>8500486</v>
      </c>
      <c r="B354">
        <v>8500486</v>
      </c>
      <c r="C354" t="s">
        <v>8845</v>
      </c>
      <c r="D354" t="s">
        <v>441</v>
      </c>
      <c r="F354">
        <v>0</v>
      </c>
      <c r="G354">
        <v>15.76</v>
      </c>
      <c r="H354" t="s">
        <v>8580</v>
      </c>
      <c r="I354">
        <v>90</v>
      </c>
      <c r="J354" t="s">
        <v>470</v>
      </c>
      <c r="M354">
        <v>0</v>
      </c>
    </row>
    <row r="355" spans="1:13">
      <c r="A355">
        <v>8500487</v>
      </c>
      <c r="B355">
        <v>8500487</v>
      </c>
      <c r="C355" t="s">
        <v>8846</v>
      </c>
      <c r="D355" t="s">
        <v>441</v>
      </c>
      <c r="F355">
        <v>0</v>
      </c>
      <c r="G355">
        <v>15.61</v>
      </c>
      <c r="H355" t="s">
        <v>8584</v>
      </c>
      <c r="I355">
        <v>90</v>
      </c>
      <c r="J355" t="s">
        <v>470</v>
      </c>
      <c r="M355">
        <v>0</v>
      </c>
    </row>
    <row r="356" spans="1:13">
      <c r="A356">
        <v>8500488</v>
      </c>
      <c r="B356">
        <v>8500488</v>
      </c>
      <c r="C356" t="s">
        <v>8847</v>
      </c>
      <c r="D356" t="s">
        <v>441</v>
      </c>
      <c r="F356">
        <v>0</v>
      </c>
      <c r="G356">
        <v>11.33</v>
      </c>
      <c r="H356" t="s">
        <v>8584</v>
      </c>
      <c r="I356">
        <v>90</v>
      </c>
      <c r="J356" t="s">
        <v>470</v>
      </c>
      <c r="M356">
        <v>0</v>
      </c>
    </row>
    <row r="357" spans="1:13">
      <c r="A357">
        <v>8500489</v>
      </c>
      <c r="B357">
        <v>8500489</v>
      </c>
      <c r="C357" t="s">
        <v>8848</v>
      </c>
      <c r="D357" t="s">
        <v>441</v>
      </c>
      <c r="F357">
        <v>0</v>
      </c>
      <c r="G357">
        <v>12.22</v>
      </c>
      <c r="H357" t="s">
        <v>8584</v>
      </c>
      <c r="I357">
        <v>90</v>
      </c>
      <c r="J357" t="s">
        <v>470</v>
      </c>
      <c r="M357">
        <v>0</v>
      </c>
    </row>
    <row r="358" spans="1:13">
      <c r="A358">
        <v>8500490</v>
      </c>
      <c r="B358">
        <v>8500490</v>
      </c>
      <c r="C358" t="s">
        <v>8849</v>
      </c>
      <c r="D358" t="s">
        <v>441</v>
      </c>
      <c r="F358">
        <v>0</v>
      </c>
      <c r="G358">
        <v>12.22</v>
      </c>
      <c r="H358" t="s">
        <v>8584</v>
      </c>
      <c r="I358">
        <v>90</v>
      </c>
      <c r="J358" t="s">
        <v>470</v>
      </c>
      <c r="M358">
        <v>0</v>
      </c>
    </row>
    <row r="359" spans="1:13">
      <c r="A359">
        <v>8500491</v>
      </c>
      <c r="B359">
        <v>8500491</v>
      </c>
      <c r="C359" t="s">
        <v>8850</v>
      </c>
      <c r="D359" t="s">
        <v>441</v>
      </c>
      <c r="F359">
        <v>0</v>
      </c>
      <c r="G359">
        <v>9.5299999999999994</v>
      </c>
      <c r="H359" t="s">
        <v>8580</v>
      </c>
      <c r="I359">
        <v>90</v>
      </c>
      <c r="J359" t="s">
        <v>470</v>
      </c>
      <c r="M359">
        <v>0</v>
      </c>
    </row>
    <row r="360" spans="1:13">
      <c r="A360">
        <v>8500492</v>
      </c>
      <c r="B360">
        <v>8500492</v>
      </c>
      <c r="C360" t="s">
        <v>8872</v>
      </c>
      <c r="D360" t="s">
        <v>441</v>
      </c>
      <c r="F360">
        <v>0</v>
      </c>
      <c r="G360">
        <v>8.42</v>
      </c>
      <c r="H360" t="s">
        <v>8580</v>
      </c>
      <c r="I360">
        <v>90</v>
      </c>
      <c r="J360" t="s">
        <v>470</v>
      </c>
      <c r="M360">
        <v>0</v>
      </c>
    </row>
    <row r="361" spans="1:13">
      <c r="A361">
        <v>8500493</v>
      </c>
      <c r="B361">
        <v>8500493</v>
      </c>
      <c r="C361" t="s">
        <v>8873</v>
      </c>
      <c r="D361" t="s">
        <v>441</v>
      </c>
      <c r="F361">
        <v>0</v>
      </c>
      <c r="G361">
        <v>11.94</v>
      </c>
      <c r="H361" t="s">
        <v>8874</v>
      </c>
      <c r="I361">
        <v>90</v>
      </c>
      <c r="J361" t="s">
        <v>470</v>
      </c>
      <c r="M361">
        <v>0</v>
      </c>
    </row>
    <row r="362" spans="1:13">
      <c r="A362">
        <v>8500494</v>
      </c>
      <c r="B362">
        <v>8500494</v>
      </c>
      <c r="C362" t="s">
        <v>8875</v>
      </c>
      <c r="D362" t="s">
        <v>441</v>
      </c>
      <c r="F362">
        <v>0</v>
      </c>
      <c r="G362">
        <v>10.62</v>
      </c>
      <c r="H362" t="s">
        <v>8584</v>
      </c>
      <c r="I362">
        <v>90</v>
      </c>
      <c r="J362" t="s">
        <v>470</v>
      </c>
      <c r="M362">
        <v>0</v>
      </c>
    </row>
    <row r="363" spans="1:13">
      <c r="A363">
        <v>8500495</v>
      </c>
      <c r="B363">
        <v>8500495</v>
      </c>
      <c r="C363" t="s">
        <v>8876</v>
      </c>
      <c r="D363" t="s">
        <v>441</v>
      </c>
      <c r="F363">
        <v>0</v>
      </c>
      <c r="G363">
        <v>5.31</v>
      </c>
      <c r="H363" t="s">
        <v>8580</v>
      </c>
      <c r="I363">
        <v>90</v>
      </c>
      <c r="J363" t="s">
        <v>470</v>
      </c>
      <c r="M363">
        <v>0</v>
      </c>
    </row>
    <row r="364" spans="1:13">
      <c r="A364">
        <v>8500496</v>
      </c>
      <c r="B364">
        <v>8500496</v>
      </c>
      <c r="C364" t="s">
        <v>8877</v>
      </c>
      <c r="D364" t="s">
        <v>441</v>
      </c>
      <c r="F364">
        <v>0</v>
      </c>
      <c r="G364">
        <v>12.02</v>
      </c>
      <c r="H364" t="s">
        <v>8584</v>
      </c>
      <c r="I364">
        <v>90</v>
      </c>
      <c r="J364" t="s">
        <v>470</v>
      </c>
      <c r="M364">
        <v>0</v>
      </c>
    </row>
    <row r="365" spans="1:13">
      <c r="A365">
        <v>8500497</v>
      </c>
      <c r="B365">
        <v>8500497</v>
      </c>
      <c r="C365" t="s">
        <v>8878</v>
      </c>
      <c r="D365" t="s">
        <v>441</v>
      </c>
      <c r="F365">
        <v>0</v>
      </c>
      <c r="G365">
        <v>4.4800000000000004</v>
      </c>
      <c r="H365" t="s">
        <v>8580</v>
      </c>
      <c r="I365">
        <v>90</v>
      </c>
      <c r="J365" t="s">
        <v>470</v>
      </c>
      <c r="M365">
        <v>0</v>
      </c>
    </row>
    <row r="366" spans="1:13">
      <c r="A366">
        <v>8500498</v>
      </c>
      <c r="B366">
        <v>8500498</v>
      </c>
      <c r="C366" t="s">
        <v>8879</v>
      </c>
      <c r="D366" t="s">
        <v>441</v>
      </c>
      <c r="F366">
        <v>0</v>
      </c>
      <c r="G366">
        <v>1.94</v>
      </c>
      <c r="H366" t="s">
        <v>8580</v>
      </c>
      <c r="I366">
        <v>90</v>
      </c>
      <c r="J366" t="s">
        <v>470</v>
      </c>
      <c r="M366">
        <v>0</v>
      </c>
    </row>
    <row r="367" spans="1:13">
      <c r="A367">
        <v>8500499</v>
      </c>
      <c r="B367">
        <v>8500499</v>
      </c>
      <c r="C367" t="s">
        <v>8880</v>
      </c>
      <c r="D367" t="s">
        <v>441</v>
      </c>
      <c r="F367">
        <v>0</v>
      </c>
      <c r="G367">
        <v>14.72</v>
      </c>
      <c r="H367" t="s">
        <v>8580</v>
      </c>
      <c r="I367">
        <v>90</v>
      </c>
      <c r="J367" t="s">
        <v>470</v>
      </c>
      <c r="M367">
        <v>0</v>
      </c>
    </row>
    <row r="368" spans="1:13">
      <c r="A368">
        <v>8500500</v>
      </c>
      <c r="B368">
        <v>8500500</v>
      </c>
      <c r="C368" t="s">
        <v>8881</v>
      </c>
      <c r="D368" t="s">
        <v>441</v>
      </c>
      <c r="F368">
        <v>0</v>
      </c>
      <c r="G368">
        <v>10.77</v>
      </c>
      <c r="H368" t="s">
        <v>8584</v>
      </c>
      <c r="I368">
        <v>90</v>
      </c>
      <c r="J368" t="s">
        <v>470</v>
      </c>
      <c r="M368">
        <v>0</v>
      </c>
    </row>
    <row r="369" spans="1:13">
      <c r="A369">
        <v>8500501</v>
      </c>
      <c r="B369">
        <v>8500501</v>
      </c>
      <c r="C369" t="s">
        <v>8882</v>
      </c>
      <c r="D369" t="s">
        <v>441</v>
      </c>
      <c r="F369">
        <v>0</v>
      </c>
      <c r="G369">
        <v>13.49</v>
      </c>
      <c r="H369" t="s">
        <v>8580</v>
      </c>
      <c r="I369">
        <v>90</v>
      </c>
      <c r="J369" t="s">
        <v>470</v>
      </c>
      <c r="M369">
        <v>0</v>
      </c>
    </row>
    <row r="370" spans="1:13">
      <c r="A370">
        <v>8500502</v>
      </c>
      <c r="B370">
        <v>8500502</v>
      </c>
      <c r="C370" t="s">
        <v>8883</v>
      </c>
      <c r="D370" t="s">
        <v>441</v>
      </c>
      <c r="F370">
        <v>0</v>
      </c>
      <c r="G370">
        <v>9.1300000000000008</v>
      </c>
      <c r="H370" t="s">
        <v>8584</v>
      </c>
      <c r="I370">
        <v>90</v>
      </c>
      <c r="J370" t="s">
        <v>470</v>
      </c>
      <c r="M370">
        <v>0</v>
      </c>
    </row>
    <row r="371" spans="1:13">
      <c r="A371">
        <v>8500503</v>
      </c>
      <c r="B371">
        <v>8500503</v>
      </c>
      <c r="C371" t="s">
        <v>8884</v>
      </c>
      <c r="D371" t="s">
        <v>441</v>
      </c>
      <c r="F371">
        <v>0</v>
      </c>
      <c r="G371">
        <v>9.7799999999999994</v>
      </c>
      <c r="H371" t="s">
        <v>8580</v>
      </c>
      <c r="I371">
        <v>90</v>
      </c>
      <c r="J371" t="s">
        <v>470</v>
      </c>
      <c r="M371">
        <v>0</v>
      </c>
    </row>
    <row r="372" spans="1:13">
      <c r="A372">
        <v>8500504</v>
      </c>
      <c r="B372">
        <v>8500504</v>
      </c>
      <c r="C372" t="s">
        <v>8885</v>
      </c>
      <c r="D372" t="s">
        <v>441</v>
      </c>
      <c r="F372">
        <v>0</v>
      </c>
      <c r="G372">
        <v>10.14</v>
      </c>
      <c r="H372" t="s">
        <v>8580</v>
      </c>
      <c r="I372">
        <v>90</v>
      </c>
      <c r="J372" t="s">
        <v>470</v>
      </c>
      <c r="M372">
        <v>0</v>
      </c>
    </row>
    <row r="373" spans="1:13">
      <c r="A373">
        <v>8500505</v>
      </c>
      <c r="B373">
        <v>8500505</v>
      </c>
      <c r="C373" t="s">
        <v>8886</v>
      </c>
      <c r="D373" t="s">
        <v>441</v>
      </c>
      <c r="F373">
        <v>0</v>
      </c>
      <c r="G373">
        <v>10.14</v>
      </c>
      <c r="H373" t="s">
        <v>8580</v>
      </c>
      <c r="I373">
        <v>90</v>
      </c>
      <c r="J373" t="s">
        <v>470</v>
      </c>
      <c r="M373">
        <v>0</v>
      </c>
    </row>
    <row r="374" spans="1:13">
      <c r="A374">
        <v>8500506</v>
      </c>
      <c r="B374">
        <v>8500506</v>
      </c>
      <c r="C374" t="s">
        <v>8887</v>
      </c>
      <c r="D374" t="s">
        <v>441</v>
      </c>
      <c r="F374">
        <v>0</v>
      </c>
      <c r="G374">
        <v>10.49</v>
      </c>
      <c r="H374" t="s">
        <v>8580</v>
      </c>
      <c r="I374">
        <v>90</v>
      </c>
      <c r="J374" t="s">
        <v>470</v>
      </c>
      <c r="M374">
        <v>0</v>
      </c>
    </row>
    <row r="375" spans="1:13">
      <c r="A375">
        <v>8500507</v>
      </c>
      <c r="B375">
        <v>8500507</v>
      </c>
      <c r="C375" t="s">
        <v>8888</v>
      </c>
      <c r="D375" t="s">
        <v>441</v>
      </c>
      <c r="F375">
        <v>0</v>
      </c>
      <c r="G375">
        <v>10.49</v>
      </c>
      <c r="H375" t="s">
        <v>8584</v>
      </c>
      <c r="I375">
        <v>90</v>
      </c>
      <c r="J375" t="s">
        <v>470</v>
      </c>
      <c r="M375">
        <v>0</v>
      </c>
    </row>
    <row r="376" spans="1:13">
      <c r="A376">
        <v>8500508</v>
      </c>
      <c r="B376">
        <v>8500508</v>
      </c>
      <c r="C376" t="s">
        <v>8889</v>
      </c>
      <c r="D376" t="s">
        <v>441</v>
      </c>
      <c r="F376">
        <v>0</v>
      </c>
      <c r="G376">
        <v>0.67</v>
      </c>
      <c r="H376" t="s">
        <v>8627</v>
      </c>
      <c r="I376">
        <v>90</v>
      </c>
      <c r="J376" t="s">
        <v>470</v>
      </c>
      <c r="M376">
        <v>0</v>
      </c>
    </row>
    <row r="377" spans="1:13">
      <c r="A377">
        <v>8500509</v>
      </c>
      <c r="B377">
        <v>8500509</v>
      </c>
      <c r="C377" t="s">
        <v>8890</v>
      </c>
      <c r="D377" t="s">
        <v>441</v>
      </c>
      <c r="F377">
        <v>0</v>
      </c>
      <c r="G377">
        <v>6.45</v>
      </c>
      <c r="H377" t="s">
        <v>8580</v>
      </c>
      <c r="I377">
        <v>90</v>
      </c>
      <c r="J377" t="s">
        <v>470</v>
      </c>
      <c r="M377">
        <v>0</v>
      </c>
    </row>
    <row r="378" spans="1:13">
      <c r="A378">
        <v>8500510</v>
      </c>
      <c r="B378">
        <v>8500510</v>
      </c>
      <c r="C378" t="s">
        <v>8891</v>
      </c>
      <c r="D378" t="s">
        <v>441</v>
      </c>
      <c r="F378">
        <v>0</v>
      </c>
      <c r="G378">
        <v>9.3699999999999992</v>
      </c>
      <c r="H378" t="s">
        <v>8584</v>
      </c>
      <c r="I378">
        <v>90</v>
      </c>
      <c r="J378" t="s">
        <v>470</v>
      </c>
      <c r="M378">
        <v>0</v>
      </c>
    </row>
    <row r="379" spans="1:13">
      <c r="A379">
        <v>8500511</v>
      </c>
      <c r="B379">
        <v>8500511</v>
      </c>
      <c r="C379" t="s">
        <v>8892</v>
      </c>
      <c r="D379" t="s">
        <v>441</v>
      </c>
      <c r="F379">
        <v>0</v>
      </c>
      <c r="G379">
        <v>0.12</v>
      </c>
      <c r="H379" t="s">
        <v>8584</v>
      </c>
      <c r="I379">
        <v>90</v>
      </c>
      <c r="J379" t="s">
        <v>470</v>
      </c>
      <c r="M379">
        <v>0</v>
      </c>
    </row>
    <row r="380" spans="1:13">
      <c r="A380">
        <v>8500512</v>
      </c>
      <c r="B380">
        <v>8500512</v>
      </c>
      <c r="C380" t="s">
        <v>8893</v>
      </c>
      <c r="D380" t="s">
        <v>441</v>
      </c>
      <c r="F380">
        <v>0</v>
      </c>
      <c r="G380">
        <v>0.12</v>
      </c>
      <c r="H380" t="s">
        <v>8584</v>
      </c>
      <c r="I380">
        <v>90</v>
      </c>
      <c r="J380" t="s">
        <v>470</v>
      </c>
      <c r="M380">
        <v>0</v>
      </c>
    </row>
    <row r="381" spans="1:13">
      <c r="A381">
        <v>8500513</v>
      </c>
      <c r="B381">
        <v>8500513</v>
      </c>
      <c r="C381" t="s">
        <v>8894</v>
      </c>
      <c r="D381" t="s">
        <v>441</v>
      </c>
      <c r="F381">
        <v>0</v>
      </c>
      <c r="G381">
        <v>10.14</v>
      </c>
      <c r="H381" t="s">
        <v>8580</v>
      </c>
      <c r="I381">
        <v>90</v>
      </c>
      <c r="J381" t="s">
        <v>470</v>
      </c>
      <c r="M381">
        <v>0</v>
      </c>
    </row>
    <row r="382" spans="1:13">
      <c r="A382">
        <v>8500514</v>
      </c>
      <c r="B382">
        <v>8500514</v>
      </c>
      <c r="C382" t="s">
        <v>8895</v>
      </c>
      <c r="D382" t="s">
        <v>441</v>
      </c>
      <c r="F382">
        <v>0</v>
      </c>
      <c r="G382">
        <v>8.98</v>
      </c>
      <c r="H382" t="s">
        <v>8584</v>
      </c>
      <c r="I382">
        <v>90</v>
      </c>
      <c r="J382" t="s">
        <v>470</v>
      </c>
      <c r="M382">
        <v>0</v>
      </c>
    </row>
    <row r="383" spans="1:13">
      <c r="A383">
        <v>8500515</v>
      </c>
      <c r="B383">
        <v>8500515</v>
      </c>
      <c r="C383" t="s">
        <v>8896</v>
      </c>
      <c r="D383" t="s">
        <v>441</v>
      </c>
      <c r="F383">
        <v>0</v>
      </c>
      <c r="G383">
        <v>8.75</v>
      </c>
      <c r="H383" t="s">
        <v>8584</v>
      </c>
      <c r="I383">
        <v>90</v>
      </c>
      <c r="J383" t="s">
        <v>470</v>
      </c>
      <c r="M383">
        <v>0</v>
      </c>
    </row>
    <row r="384" spans="1:13">
      <c r="A384">
        <v>8500516</v>
      </c>
      <c r="B384">
        <v>8500516</v>
      </c>
      <c r="C384" t="s">
        <v>8897</v>
      </c>
      <c r="D384" t="s">
        <v>441</v>
      </c>
      <c r="F384">
        <v>0</v>
      </c>
      <c r="G384">
        <v>0.46</v>
      </c>
      <c r="H384" t="s">
        <v>8584</v>
      </c>
      <c r="I384">
        <v>90</v>
      </c>
      <c r="J384" t="s">
        <v>470</v>
      </c>
      <c r="M384">
        <v>0</v>
      </c>
    </row>
    <row r="385" spans="1:13">
      <c r="A385">
        <v>8500518</v>
      </c>
      <c r="B385">
        <v>8500518</v>
      </c>
      <c r="C385" t="s">
        <v>8898</v>
      </c>
      <c r="D385" t="s">
        <v>441</v>
      </c>
      <c r="F385">
        <v>0</v>
      </c>
      <c r="G385">
        <v>16.41</v>
      </c>
      <c r="H385" t="s">
        <v>8584</v>
      </c>
      <c r="I385">
        <v>90</v>
      </c>
      <c r="J385" t="s">
        <v>470</v>
      </c>
      <c r="M385">
        <v>0</v>
      </c>
    </row>
    <row r="386" spans="1:13">
      <c r="A386">
        <v>8500519</v>
      </c>
      <c r="B386">
        <v>8500519</v>
      </c>
      <c r="C386" t="s">
        <v>8899</v>
      </c>
      <c r="D386" t="s">
        <v>441</v>
      </c>
      <c r="F386">
        <v>0</v>
      </c>
      <c r="G386">
        <v>18.420000000000002</v>
      </c>
      <c r="H386" t="s">
        <v>8584</v>
      </c>
      <c r="I386">
        <v>90</v>
      </c>
      <c r="J386" t="s">
        <v>470</v>
      </c>
      <c r="M386">
        <v>0</v>
      </c>
    </row>
    <row r="387" spans="1:13">
      <c r="A387">
        <v>8500520</v>
      </c>
      <c r="B387">
        <v>8500520</v>
      </c>
      <c r="C387" t="s">
        <v>8900</v>
      </c>
      <c r="D387" t="s">
        <v>441</v>
      </c>
      <c r="F387">
        <v>0</v>
      </c>
      <c r="G387">
        <v>8.4600000000000009</v>
      </c>
      <c r="H387" t="s">
        <v>8584</v>
      </c>
      <c r="I387">
        <v>90</v>
      </c>
      <c r="J387" t="s">
        <v>470</v>
      </c>
      <c r="M387">
        <v>0</v>
      </c>
    </row>
    <row r="388" spans="1:13">
      <c r="A388">
        <v>8500521</v>
      </c>
      <c r="B388">
        <v>8500521</v>
      </c>
      <c r="C388" t="s">
        <v>8901</v>
      </c>
      <c r="D388" t="s">
        <v>441</v>
      </c>
      <c r="F388">
        <v>0</v>
      </c>
      <c r="G388">
        <v>0.19</v>
      </c>
      <c r="H388" t="s">
        <v>8584</v>
      </c>
      <c r="I388">
        <v>90</v>
      </c>
      <c r="J388" t="s">
        <v>470</v>
      </c>
      <c r="M388">
        <v>0</v>
      </c>
    </row>
    <row r="389" spans="1:13">
      <c r="A389">
        <v>8500522</v>
      </c>
      <c r="B389">
        <v>8500522</v>
      </c>
      <c r="C389" t="s">
        <v>8902</v>
      </c>
      <c r="D389" t="s">
        <v>441</v>
      </c>
      <c r="F389">
        <v>0</v>
      </c>
      <c r="G389">
        <v>7.14</v>
      </c>
      <c r="H389" t="s">
        <v>8580</v>
      </c>
      <c r="I389">
        <v>90</v>
      </c>
      <c r="J389" t="s">
        <v>470</v>
      </c>
      <c r="M389">
        <v>0</v>
      </c>
    </row>
    <row r="390" spans="1:13">
      <c r="A390">
        <v>8500523</v>
      </c>
      <c r="B390">
        <v>8500523</v>
      </c>
      <c r="C390" t="s">
        <v>8903</v>
      </c>
      <c r="D390" t="s">
        <v>441</v>
      </c>
      <c r="F390">
        <v>0</v>
      </c>
      <c r="G390">
        <v>7.14</v>
      </c>
      <c r="H390" t="s">
        <v>8580</v>
      </c>
      <c r="I390">
        <v>90</v>
      </c>
      <c r="J390" t="s">
        <v>470</v>
      </c>
      <c r="M390">
        <v>0</v>
      </c>
    </row>
    <row r="391" spans="1:13">
      <c r="A391">
        <v>8500524</v>
      </c>
      <c r="B391">
        <v>8500524</v>
      </c>
      <c r="C391" t="s">
        <v>8904</v>
      </c>
      <c r="D391" t="s">
        <v>441</v>
      </c>
      <c r="F391">
        <v>0</v>
      </c>
      <c r="G391">
        <v>13.95</v>
      </c>
      <c r="H391" t="s">
        <v>8580</v>
      </c>
      <c r="I391">
        <v>90</v>
      </c>
      <c r="J391" t="s">
        <v>470</v>
      </c>
      <c r="M391">
        <v>0</v>
      </c>
    </row>
    <row r="392" spans="1:13">
      <c r="A392">
        <v>8500526</v>
      </c>
      <c r="B392">
        <v>8500526</v>
      </c>
      <c r="C392" t="s">
        <v>8905</v>
      </c>
      <c r="D392" t="s">
        <v>441</v>
      </c>
      <c r="F392">
        <v>0</v>
      </c>
      <c r="G392">
        <v>8.6300000000000008</v>
      </c>
      <c r="H392" t="s">
        <v>8580</v>
      </c>
      <c r="I392">
        <v>90</v>
      </c>
      <c r="J392" t="s">
        <v>470</v>
      </c>
      <c r="M392">
        <v>0</v>
      </c>
    </row>
    <row r="393" spans="1:13">
      <c r="A393">
        <v>8500527</v>
      </c>
      <c r="B393">
        <v>8500527</v>
      </c>
      <c r="C393" t="s">
        <v>8906</v>
      </c>
      <c r="D393" t="s">
        <v>441</v>
      </c>
      <c r="F393">
        <v>0</v>
      </c>
      <c r="G393">
        <v>7.38</v>
      </c>
      <c r="H393" t="s">
        <v>8584</v>
      </c>
      <c r="I393">
        <v>90</v>
      </c>
      <c r="J393" t="s">
        <v>470</v>
      </c>
      <c r="M393">
        <v>0</v>
      </c>
    </row>
    <row r="394" spans="1:13">
      <c r="A394">
        <v>8500528</v>
      </c>
      <c r="B394">
        <v>8500528</v>
      </c>
      <c r="C394" t="s">
        <v>8907</v>
      </c>
      <c r="D394" t="s">
        <v>441</v>
      </c>
      <c r="F394">
        <v>0</v>
      </c>
      <c r="G394">
        <v>14.71</v>
      </c>
      <c r="H394" t="s">
        <v>8584</v>
      </c>
      <c r="I394">
        <v>90</v>
      </c>
      <c r="J394" t="s">
        <v>470</v>
      </c>
      <c r="M394">
        <v>0</v>
      </c>
    </row>
    <row r="395" spans="1:13">
      <c r="A395">
        <v>8500529</v>
      </c>
      <c r="B395">
        <v>8500529</v>
      </c>
      <c r="C395" t="s">
        <v>8908</v>
      </c>
      <c r="D395" t="s">
        <v>441</v>
      </c>
      <c r="F395">
        <v>0</v>
      </c>
      <c r="G395">
        <v>10.56</v>
      </c>
      <c r="H395" t="s">
        <v>8584</v>
      </c>
      <c r="I395">
        <v>90</v>
      </c>
      <c r="J395" t="s">
        <v>470</v>
      </c>
      <c r="M395">
        <v>0</v>
      </c>
    </row>
    <row r="396" spans="1:13">
      <c r="A396">
        <v>8500530</v>
      </c>
      <c r="B396">
        <v>8500530</v>
      </c>
      <c r="C396" t="s">
        <v>8909</v>
      </c>
      <c r="D396" t="s">
        <v>441</v>
      </c>
      <c r="F396">
        <v>0</v>
      </c>
      <c r="G396">
        <v>7.79</v>
      </c>
      <c r="H396" t="s">
        <v>8580</v>
      </c>
      <c r="I396">
        <v>90</v>
      </c>
      <c r="J396" t="s">
        <v>470</v>
      </c>
      <c r="M396">
        <v>0</v>
      </c>
    </row>
    <row r="397" spans="1:13">
      <c r="A397">
        <v>8500531</v>
      </c>
      <c r="B397">
        <v>8500531</v>
      </c>
      <c r="C397" t="s">
        <v>8910</v>
      </c>
      <c r="D397" t="s">
        <v>441</v>
      </c>
      <c r="F397">
        <v>0</v>
      </c>
      <c r="G397">
        <v>10.68</v>
      </c>
      <c r="H397" t="s">
        <v>8580</v>
      </c>
      <c r="I397">
        <v>90</v>
      </c>
      <c r="J397" t="s">
        <v>470</v>
      </c>
      <c r="M397">
        <v>0</v>
      </c>
    </row>
    <row r="398" spans="1:13">
      <c r="A398">
        <v>8500532</v>
      </c>
      <c r="B398">
        <v>8500532</v>
      </c>
      <c r="C398" t="s">
        <v>8911</v>
      </c>
      <c r="D398" t="s">
        <v>441</v>
      </c>
      <c r="F398">
        <v>0</v>
      </c>
      <c r="G398">
        <v>10.41</v>
      </c>
      <c r="H398" t="s">
        <v>8874</v>
      </c>
      <c r="I398">
        <v>90</v>
      </c>
      <c r="J398" t="s">
        <v>470</v>
      </c>
      <c r="M398">
        <v>0</v>
      </c>
    </row>
    <row r="399" spans="1:13">
      <c r="A399">
        <v>8500533</v>
      </c>
      <c r="B399">
        <v>8500533</v>
      </c>
      <c r="C399" t="s">
        <v>8912</v>
      </c>
      <c r="D399" t="s">
        <v>441</v>
      </c>
      <c r="F399">
        <v>0</v>
      </c>
      <c r="G399">
        <v>9.01</v>
      </c>
      <c r="H399" t="s">
        <v>8584</v>
      </c>
      <c r="I399">
        <v>90</v>
      </c>
      <c r="J399" t="s">
        <v>470</v>
      </c>
      <c r="M399">
        <v>0</v>
      </c>
    </row>
    <row r="400" spans="1:13">
      <c r="A400">
        <v>8500534</v>
      </c>
      <c r="B400">
        <v>8500534</v>
      </c>
      <c r="C400" t="s">
        <v>8913</v>
      </c>
      <c r="D400" t="s">
        <v>441</v>
      </c>
      <c r="F400">
        <v>0</v>
      </c>
      <c r="G400">
        <v>11.07</v>
      </c>
      <c r="H400" t="s">
        <v>8584</v>
      </c>
      <c r="I400">
        <v>90</v>
      </c>
      <c r="J400" t="s">
        <v>470</v>
      </c>
      <c r="M400">
        <v>0</v>
      </c>
    </row>
    <row r="401" spans="1:14">
      <c r="A401">
        <v>8500535</v>
      </c>
      <c r="B401">
        <v>8500535</v>
      </c>
      <c r="C401" t="s">
        <v>8914</v>
      </c>
      <c r="D401" t="s">
        <v>441</v>
      </c>
      <c r="F401">
        <v>0</v>
      </c>
      <c r="G401">
        <v>3.04</v>
      </c>
      <c r="H401" t="s">
        <v>8584</v>
      </c>
      <c r="I401">
        <v>90</v>
      </c>
      <c r="J401" t="s">
        <v>470</v>
      </c>
      <c r="M401">
        <v>0</v>
      </c>
    </row>
    <row r="402" spans="1:14">
      <c r="A402">
        <v>8500536</v>
      </c>
      <c r="B402">
        <v>8500536</v>
      </c>
      <c r="C402" t="s">
        <v>8915</v>
      </c>
      <c r="D402" t="s">
        <v>441</v>
      </c>
      <c r="F402">
        <v>0</v>
      </c>
      <c r="G402">
        <v>2.77</v>
      </c>
      <c r="H402" t="s">
        <v>8584</v>
      </c>
      <c r="I402">
        <v>90</v>
      </c>
      <c r="J402" t="s">
        <v>470</v>
      </c>
      <c r="M402">
        <v>0</v>
      </c>
    </row>
    <row r="403" spans="1:14">
      <c r="A403">
        <v>8500537</v>
      </c>
      <c r="B403">
        <v>8500537</v>
      </c>
      <c r="C403" t="s">
        <v>8916</v>
      </c>
      <c r="D403" t="s">
        <v>441</v>
      </c>
      <c r="F403">
        <v>0</v>
      </c>
      <c r="G403">
        <v>6.75</v>
      </c>
      <c r="H403" t="s">
        <v>8584</v>
      </c>
      <c r="I403">
        <v>90</v>
      </c>
      <c r="J403" t="s">
        <v>470</v>
      </c>
      <c r="M403">
        <v>0</v>
      </c>
    </row>
    <row r="404" spans="1:14">
      <c r="A404">
        <v>8500538</v>
      </c>
      <c r="B404">
        <v>8500538</v>
      </c>
      <c r="C404" t="s">
        <v>8917</v>
      </c>
      <c r="D404" t="s">
        <v>441</v>
      </c>
      <c r="F404">
        <v>0</v>
      </c>
      <c r="G404">
        <v>8.8699999999999992</v>
      </c>
      <c r="H404" t="s">
        <v>8584</v>
      </c>
      <c r="I404">
        <v>90</v>
      </c>
      <c r="J404" t="s">
        <v>470</v>
      </c>
      <c r="M404">
        <v>0</v>
      </c>
    </row>
    <row r="405" spans="1:14">
      <c r="A405">
        <v>8500539</v>
      </c>
      <c r="B405">
        <v>8500539</v>
      </c>
      <c r="C405" t="s">
        <v>8918</v>
      </c>
      <c r="D405" t="s">
        <v>441</v>
      </c>
      <c r="F405">
        <v>0</v>
      </c>
      <c r="G405">
        <v>4.8899999999999997</v>
      </c>
      <c r="H405" t="s">
        <v>8584</v>
      </c>
      <c r="I405">
        <v>90</v>
      </c>
      <c r="J405" t="s">
        <v>470</v>
      </c>
      <c r="M405">
        <v>0</v>
      </c>
    </row>
    <row r="406" spans="1:14">
      <c r="A406">
        <v>8500540</v>
      </c>
      <c r="B406">
        <v>8500540</v>
      </c>
      <c r="C406" t="s">
        <v>8919</v>
      </c>
      <c r="D406" t="s">
        <v>441</v>
      </c>
      <c r="F406">
        <v>0</v>
      </c>
      <c r="G406">
        <v>7.08</v>
      </c>
      <c r="H406" t="s">
        <v>8584</v>
      </c>
      <c r="I406">
        <v>90</v>
      </c>
      <c r="J406" t="s">
        <v>470</v>
      </c>
      <c r="M406">
        <v>0</v>
      </c>
    </row>
    <row r="407" spans="1:14">
      <c r="A407">
        <v>8500541</v>
      </c>
      <c r="B407">
        <v>8500541</v>
      </c>
      <c r="C407" t="s">
        <v>8920</v>
      </c>
      <c r="D407" t="s">
        <v>441</v>
      </c>
      <c r="F407">
        <v>0</v>
      </c>
      <c r="G407">
        <v>7.08</v>
      </c>
      <c r="H407" t="s">
        <v>8584</v>
      </c>
      <c r="I407">
        <v>90</v>
      </c>
      <c r="J407" t="s">
        <v>470</v>
      </c>
      <c r="M407">
        <v>0</v>
      </c>
    </row>
    <row r="408" spans="1:14">
      <c r="A408">
        <v>8501180</v>
      </c>
      <c r="B408">
        <v>8501180</v>
      </c>
      <c r="C408" t="s">
        <v>8921</v>
      </c>
      <c r="D408" t="s">
        <v>442</v>
      </c>
      <c r="E408" t="s">
        <v>441</v>
      </c>
      <c r="F408">
        <v>0.24</v>
      </c>
      <c r="G408">
        <v>5.36</v>
      </c>
      <c r="H408" t="s">
        <v>8922</v>
      </c>
      <c r="I408">
        <v>90</v>
      </c>
      <c r="J408" t="s">
        <v>470</v>
      </c>
      <c r="M408">
        <v>0</v>
      </c>
    </row>
    <row r="409" spans="1:14">
      <c r="A409">
        <v>8501460</v>
      </c>
      <c r="B409">
        <v>8501460</v>
      </c>
      <c r="C409" t="s">
        <v>8923</v>
      </c>
      <c r="D409" t="s">
        <v>442</v>
      </c>
      <c r="E409" t="s">
        <v>441</v>
      </c>
      <c r="F409">
        <v>34.200000000000003</v>
      </c>
      <c r="G409">
        <v>3.56</v>
      </c>
      <c r="H409" t="s">
        <v>8580</v>
      </c>
      <c r="I409">
        <v>90</v>
      </c>
      <c r="J409" t="s">
        <v>470</v>
      </c>
      <c r="M409">
        <v>0</v>
      </c>
    </row>
    <row r="410" spans="1:14">
      <c r="A410">
        <v>10000000</v>
      </c>
      <c r="B410">
        <v>3014957</v>
      </c>
      <c r="C410" t="s">
        <v>471</v>
      </c>
      <c r="D410" t="s">
        <v>441</v>
      </c>
      <c r="E410" t="s">
        <v>442</v>
      </c>
      <c r="F410">
        <v>0</v>
      </c>
      <c r="G410">
        <v>6.02</v>
      </c>
      <c r="H410" t="s">
        <v>8580</v>
      </c>
      <c r="I410">
        <v>4</v>
      </c>
      <c r="J410" t="s">
        <v>445</v>
      </c>
      <c r="M410">
        <v>6666</v>
      </c>
      <c r="N410" t="s">
        <v>15978</v>
      </c>
    </row>
    <row r="411" spans="1:14">
      <c r="A411">
        <v>10000001</v>
      </c>
      <c r="B411">
        <v>3014958</v>
      </c>
      <c r="C411" t="s">
        <v>472</v>
      </c>
      <c r="D411" t="s">
        <v>441</v>
      </c>
      <c r="E411" t="s">
        <v>442</v>
      </c>
      <c r="F411">
        <v>0</v>
      </c>
      <c r="G411">
        <v>6.12</v>
      </c>
      <c r="H411" t="s">
        <v>8580</v>
      </c>
      <c r="I411">
        <v>6</v>
      </c>
      <c r="J411" t="s">
        <v>445</v>
      </c>
      <c r="M411">
        <v>6666</v>
      </c>
      <c r="N411" t="s">
        <v>15979</v>
      </c>
    </row>
    <row r="412" spans="1:14">
      <c r="A412">
        <v>10000002</v>
      </c>
      <c r="B412">
        <v>3011238</v>
      </c>
      <c r="C412" t="s">
        <v>473</v>
      </c>
      <c r="D412" t="s">
        <v>441</v>
      </c>
      <c r="E412" t="s">
        <v>442</v>
      </c>
      <c r="F412">
        <v>0</v>
      </c>
      <c r="G412">
        <v>8.32</v>
      </c>
      <c r="H412" t="s">
        <v>8580</v>
      </c>
      <c r="I412">
        <v>365</v>
      </c>
      <c r="J412" t="s">
        <v>445</v>
      </c>
      <c r="K412" t="s">
        <v>446</v>
      </c>
      <c r="M412">
        <v>2501</v>
      </c>
    </row>
    <row r="413" spans="1:14">
      <c r="A413">
        <v>10000031</v>
      </c>
      <c r="B413">
        <v>3016158</v>
      </c>
      <c r="C413" t="s">
        <v>8924</v>
      </c>
      <c r="D413" t="s">
        <v>441</v>
      </c>
      <c r="E413" t="s">
        <v>442</v>
      </c>
      <c r="F413">
        <v>0</v>
      </c>
      <c r="G413">
        <v>6.37</v>
      </c>
      <c r="H413" t="s">
        <v>8925</v>
      </c>
      <c r="I413">
        <v>6</v>
      </c>
      <c r="J413" t="s">
        <v>445</v>
      </c>
      <c r="M413">
        <v>6666</v>
      </c>
      <c r="N413" t="s">
        <v>15980</v>
      </c>
    </row>
    <row r="414" spans="1:14">
      <c r="A414">
        <v>10000101</v>
      </c>
      <c r="B414">
        <v>3012206</v>
      </c>
      <c r="C414" t="s">
        <v>474</v>
      </c>
      <c r="D414" t="s">
        <v>441</v>
      </c>
      <c r="E414" t="s">
        <v>442</v>
      </c>
      <c r="F414">
        <v>0</v>
      </c>
      <c r="G414">
        <v>0</v>
      </c>
      <c r="H414" t="s">
        <v>8925</v>
      </c>
      <c r="I414">
        <v>6</v>
      </c>
      <c r="J414" t="s">
        <v>445</v>
      </c>
      <c r="M414">
        <v>7161</v>
      </c>
      <c r="N414" t="s">
        <v>15979</v>
      </c>
    </row>
    <row r="415" spans="1:14">
      <c r="A415">
        <v>10000502</v>
      </c>
      <c r="B415">
        <v>3011239</v>
      </c>
      <c r="C415" t="s">
        <v>475</v>
      </c>
      <c r="D415" t="s">
        <v>441</v>
      </c>
      <c r="E415" t="s">
        <v>442</v>
      </c>
      <c r="F415">
        <v>0</v>
      </c>
      <c r="G415">
        <v>8.14</v>
      </c>
      <c r="H415" t="s">
        <v>8580</v>
      </c>
      <c r="I415">
        <v>6</v>
      </c>
      <c r="J415" t="s">
        <v>445</v>
      </c>
      <c r="K415" t="s">
        <v>446</v>
      </c>
      <c r="M415">
        <v>2641</v>
      </c>
    </row>
    <row r="416" spans="1:14">
      <c r="A416">
        <v>10000602</v>
      </c>
      <c r="B416">
        <v>3011250</v>
      </c>
      <c r="C416" t="s">
        <v>476</v>
      </c>
      <c r="D416" t="s">
        <v>441</v>
      </c>
      <c r="E416" t="s">
        <v>442</v>
      </c>
      <c r="F416">
        <v>0</v>
      </c>
      <c r="G416">
        <v>8.6</v>
      </c>
      <c r="H416" t="s">
        <v>8580</v>
      </c>
      <c r="I416">
        <v>4</v>
      </c>
      <c r="J416" t="s">
        <v>445</v>
      </c>
      <c r="K416" t="s">
        <v>446</v>
      </c>
      <c r="M416">
        <v>2511</v>
      </c>
    </row>
    <row r="417" spans="1:14">
      <c r="A417">
        <v>10010000</v>
      </c>
      <c r="B417">
        <v>3014959</v>
      </c>
      <c r="C417" t="s">
        <v>477</v>
      </c>
      <c r="D417" t="s">
        <v>441</v>
      </c>
      <c r="E417" t="s">
        <v>442</v>
      </c>
      <c r="F417">
        <v>0</v>
      </c>
      <c r="G417">
        <v>5.91</v>
      </c>
      <c r="H417" t="s">
        <v>8580</v>
      </c>
      <c r="I417">
        <v>4</v>
      </c>
      <c r="J417" t="s">
        <v>445</v>
      </c>
      <c r="M417">
        <v>6666</v>
      </c>
      <c r="N417" t="s">
        <v>15978</v>
      </c>
    </row>
    <row r="418" spans="1:14">
      <c r="A418">
        <v>10010001</v>
      </c>
      <c r="B418">
        <v>3014980</v>
      </c>
      <c r="C418" t="s">
        <v>478</v>
      </c>
      <c r="D418" t="s">
        <v>441</v>
      </c>
      <c r="E418" t="s">
        <v>442</v>
      </c>
      <c r="F418">
        <v>0</v>
      </c>
      <c r="G418">
        <v>6</v>
      </c>
      <c r="I418">
        <v>6</v>
      </c>
      <c r="J418" t="s">
        <v>445</v>
      </c>
      <c r="M418">
        <v>6666</v>
      </c>
      <c r="N418" t="s">
        <v>15979</v>
      </c>
    </row>
    <row r="419" spans="1:14">
      <c r="A419">
        <v>10010002</v>
      </c>
      <c r="B419">
        <v>3011255</v>
      </c>
      <c r="C419" t="s">
        <v>479</v>
      </c>
      <c r="D419" t="s">
        <v>441</v>
      </c>
      <c r="E419" t="s">
        <v>442</v>
      </c>
      <c r="F419">
        <v>0</v>
      </c>
      <c r="G419">
        <v>8.19</v>
      </c>
      <c r="H419" t="s">
        <v>8584</v>
      </c>
      <c r="I419">
        <v>365</v>
      </c>
      <c r="J419" t="s">
        <v>445</v>
      </c>
      <c r="K419" t="s">
        <v>446</v>
      </c>
      <c r="M419">
        <v>2501</v>
      </c>
    </row>
    <row r="420" spans="1:14">
      <c r="A420">
        <v>10010031</v>
      </c>
      <c r="B420">
        <v>3016159</v>
      </c>
      <c r="C420" t="s">
        <v>8926</v>
      </c>
      <c r="D420" t="s">
        <v>441</v>
      </c>
      <c r="E420" t="s">
        <v>442</v>
      </c>
      <c r="F420">
        <v>0</v>
      </c>
      <c r="G420">
        <v>6.25</v>
      </c>
      <c r="H420" t="s">
        <v>8925</v>
      </c>
      <c r="I420">
        <v>6</v>
      </c>
      <c r="J420" t="s">
        <v>445</v>
      </c>
      <c r="M420">
        <v>6666</v>
      </c>
      <c r="N420" t="s">
        <v>15980</v>
      </c>
    </row>
    <row r="421" spans="1:14">
      <c r="A421">
        <v>10010101</v>
      </c>
      <c r="B421">
        <v>3012207</v>
      </c>
      <c r="C421" t="s">
        <v>480</v>
      </c>
      <c r="D421" t="s">
        <v>441</v>
      </c>
      <c r="E421" t="s">
        <v>442</v>
      </c>
      <c r="F421">
        <v>0</v>
      </c>
      <c r="G421">
        <v>0</v>
      </c>
      <c r="H421" t="s">
        <v>8925</v>
      </c>
      <c r="I421">
        <v>6</v>
      </c>
      <c r="J421" t="s">
        <v>445</v>
      </c>
      <c r="M421">
        <v>7161</v>
      </c>
      <c r="N421" t="s">
        <v>15979</v>
      </c>
    </row>
    <row r="422" spans="1:14">
      <c r="A422">
        <v>10010502</v>
      </c>
      <c r="B422">
        <v>3011256</v>
      </c>
      <c r="C422" t="s">
        <v>481</v>
      </c>
      <c r="D422" t="s">
        <v>441</v>
      </c>
      <c r="E422" t="s">
        <v>442</v>
      </c>
      <c r="F422">
        <v>0</v>
      </c>
      <c r="G422">
        <v>8</v>
      </c>
      <c r="H422" t="s">
        <v>8580</v>
      </c>
      <c r="I422">
        <v>6</v>
      </c>
      <c r="J422" t="s">
        <v>445</v>
      </c>
      <c r="K422" t="s">
        <v>446</v>
      </c>
      <c r="M422">
        <v>2641</v>
      </c>
    </row>
    <row r="423" spans="1:14">
      <c r="A423">
        <v>10010602</v>
      </c>
      <c r="B423">
        <v>3011251</v>
      </c>
      <c r="C423" t="s">
        <v>482</v>
      </c>
      <c r="D423" t="s">
        <v>441</v>
      </c>
      <c r="E423" t="s">
        <v>442</v>
      </c>
      <c r="F423">
        <v>0</v>
      </c>
      <c r="G423">
        <v>8.4600000000000009</v>
      </c>
      <c r="H423" t="s">
        <v>8580</v>
      </c>
      <c r="I423">
        <v>4</v>
      </c>
      <c r="J423" t="s">
        <v>445</v>
      </c>
      <c r="K423" t="s">
        <v>446</v>
      </c>
      <c r="M423">
        <v>2511</v>
      </c>
    </row>
    <row r="424" spans="1:14">
      <c r="A424">
        <v>10020000</v>
      </c>
      <c r="B424">
        <v>3014981</v>
      </c>
      <c r="C424" t="s">
        <v>483</v>
      </c>
      <c r="D424" t="s">
        <v>441</v>
      </c>
      <c r="E424" t="s">
        <v>442</v>
      </c>
      <c r="F424">
        <v>0</v>
      </c>
      <c r="G424">
        <v>5.6</v>
      </c>
      <c r="H424" t="s">
        <v>8580</v>
      </c>
      <c r="I424">
        <v>4</v>
      </c>
      <c r="J424" t="s">
        <v>445</v>
      </c>
      <c r="M424">
        <v>6666</v>
      </c>
      <c r="N424" t="s">
        <v>15978</v>
      </c>
    </row>
    <row r="425" spans="1:14">
      <c r="A425">
        <v>10020001</v>
      </c>
      <c r="B425">
        <v>3014982</v>
      </c>
      <c r="C425" t="s">
        <v>484</v>
      </c>
      <c r="D425" t="s">
        <v>441</v>
      </c>
      <c r="E425" t="s">
        <v>442</v>
      </c>
      <c r="F425">
        <v>0</v>
      </c>
      <c r="G425">
        <v>5.69</v>
      </c>
      <c r="H425" t="s">
        <v>8580</v>
      </c>
      <c r="I425">
        <v>6</v>
      </c>
      <c r="J425" t="s">
        <v>445</v>
      </c>
      <c r="M425">
        <v>6666</v>
      </c>
      <c r="N425" t="s">
        <v>15979</v>
      </c>
    </row>
    <row r="426" spans="1:14">
      <c r="A426">
        <v>10020002</v>
      </c>
      <c r="B426">
        <v>3011252</v>
      </c>
      <c r="C426" t="s">
        <v>485</v>
      </c>
      <c r="D426" t="s">
        <v>441</v>
      </c>
      <c r="E426" t="s">
        <v>442</v>
      </c>
      <c r="F426">
        <v>0</v>
      </c>
      <c r="G426">
        <v>7.76</v>
      </c>
      <c r="H426" t="s">
        <v>8580</v>
      </c>
      <c r="I426">
        <v>365</v>
      </c>
      <c r="J426" t="s">
        <v>445</v>
      </c>
      <c r="K426" t="s">
        <v>446</v>
      </c>
      <c r="M426">
        <v>2501</v>
      </c>
    </row>
    <row r="427" spans="1:14">
      <c r="A427">
        <v>10020031</v>
      </c>
      <c r="B427">
        <v>3016170</v>
      </c>
      <c r="C427" t="s">
        <v>8927</v>
      </c>
      <c r="D427" t="s">
        <v>441</v>
      </c>
      <c r="E427" t="s">
        <v>442</v>
      </c>
      <c r="F427">
        <v>0</v>
      </c>
      <c r="G427">
        <v>5.92</v>
      </c>
      <c r="H427" t="s">
        <v>8925</v>
      </c>
      <c r="I427">
        <v>6</v>
      </c>
      <c r="J427" t="s">
        <v>445</v>
      </c>
      <c r="M427">
        <v>6666</v>
      </c>
      <c r="N427" t="s">
        <v>15980</v>
      </c>
    </row>
    <row r="428" spans="1:14">
      <c r="A428">
        <v>10020101</v>
      </c>
      <c r="B428">
        <v>3012205</v>
      </c>
      <c r="C428" t="s">
        <v>486</v>
      </c>
      <c r="D428" t="s">
        <v>441</v>
      </c>
      <c r="E428" t="s">
        <v>442</v>
      </c>
      <c r="F428">
        <v>0</v>
      </c>
      <c r="G428">
        <v>0</v>
      </c>
      <c r="H428" t="s">
        <v>8925</v>
      </c>
      <c r="I428">
        <v>6</v>
      </c>
      <c r="J428" t="s">
        <v>445</v>
      </c>
      <c r="M428">
        <v>7161</v>
      </c>
      <c r="N428" t="s">
        <v>15979</v>
      </c>
    </row>
    <row r="429" spans="1:14">
      <c r="A429">
        <v>10020502</v>
      </c>
      <c r="B429">
        <v>3011254</v>
      </c>
      <c r="C429" t="s">
        <v>487</v>
      </c>
      <c r="D429" t="s">
        <v>441</v>
      </c>
      <c r="E429" t="s">
        <v>442</v>
      </c>
      <c r="F429">
        <v>0</v>
      </c>
      <c r="G429">
        <v>7.58</v>
      </c>
      <c r="H429" t="s">
        <v>8619</v>
      </c>
      <c r="I429">
        <v>6</v>
      </c>
      <c r="J429" t="s">
        <v>445</v>
      </c>
      <c r="K429" t="s">
        <v>446</v>
      </c>
      <c r="M429">
        <v>2641</v>
      </c>
    </row>
    <row r="430" spans="1:14">
      <c r="A430">
        <v>10020602</v>
      </c>
      <c r="B430">
        <v>3011253</v>
      </c>
      <c r="C430" t="s">
        <v>488</v>
      </c>
      <c r="D430" t="s">
        <v>441</v>
      </c>
      <c r="E430" t="s">
        <v>442</v>
      </c>
      <c r="F430">
        <v>0</v>
      </c>
      <c r="G430">
        <v>8.0299999999999994</v>
      </c>
      <c r="H430" t="s">
        <v>8584</v>
      </c>
      <c r="I430">
        <v>4</v>
      </c>
      <c r="J430" t="s">
        <v>445</v>
      </c>
      <c r="K430" t="s">
        <v>446</v>
      </c>
      <c r="M430">
        <v>2511</v>
      </c>
    </row>
    <row r="431" spans="1:14">
      <c r="A431">
        <v>10030000</v>
      </c>
      <c r="B431">
        <v>3014983</v>
      </c>
      <c r="C431" t="s">
        <v>489</v>
      </c>
      <c r="D431" t="s">
        <v>441</v>
      </c>
      <c r="E431" t="s">
        <v>442</v>
      </c>
      <c r="F431">
        <v>0</v>
      </c>
      <c r="G431">
        <v>5.28</v>
      </c>
      <c r="H431" t="s">
        <v>8580</v>
      </c>
      <c r="I431">
        <v>4</v>
      </c>
      <c r="J431" t="s">
        <v>445</v>
      </c>
      <c r="M431">
        <v>6666</v>
      </c>
      <c r="N431" t="s">
        <v>15978</v>
      </c>
    </row>
    <row r="432" spans="1:14">
      <c r="A432">
        <v>10030001</v>
      </c>
      <c r="B432">
        <v>3014984</v>
      </c>
      <c r="C432" t="s">
        <v>490</v>
      </c>
      <c r="D432" t="s">
        <v>441</v>
      </c>
      <c r="E432" t="s">
        <v>442</v>
      </c>
      <c r="F432">
        <v>0</v>
      </c>
      <c r="G432">
        <v>5.37</v>
      </c>
      <c r="H432" t="s">
        <v>8580</v>
      </c>
      <c r="I432">
        <v>6</v>
      </c>
      <c r="J432" t="s">
        <v>445</v>
      </c>
      <c r="M432">
        <v>6666</v>
      </c>
      <c r="N432" t="s">
        <v>15979</v>
      </c>
    </row>
    <row r="433" spans="1:14">
      <c r="A433">
        <v>10030013</v>
      </c>
      <c r="B433">
        <v>4003721</v>
      </c>
      <c r="C433" t="s">
        <v>491</v>
      </c>
      <c r="D433" t="s">
        <v>441</v>
      </c>
      <c r="F433">
        <v>0</v>
      </c>
      <c r="G433">
        <v>5.19</v>
      </c>
      <c r="H433" t="s">
        <v>8925</v>
      </c>
      <c r="I433">
        <v>5</v>
      </c>
      <c r="J433" t="s">
        <v>462</v>
      </c>
      <c r="K433" t="s">
        <v>446</v>
      </c>
      <c r="M433">
        <v>2111</v>
      </c>
    </row>
    <row r="434" spans="1:14">
      <c r="A434">
        <v>10030031</v>
      </c>
      <c r="B434">
        <v>3016171</v>
      </c>
      <c r="C434" t="s">
        <v>8928</v>
      </c>
      <c r="D434" t="s">
        <v>441</v>
      </c>
      <c r="E434" t="s">
        <v>442</v>
      </c>
      <c r="F434">
        <v>0</v>
      </c>
      <c r="G434">
        <v>5.58</v>
      </c>
      <c r="H434" t="s">
        <v>8925</v>
      </c>
      <c r="I434">
        <v>6</v>
      </c>
      <c r="J434" t="s">
        <v>445</v>
      </c>
      <c r="M434">
        <v>6666</v>
      </c>
      <c r="N434" t="s">
        <v>15980</v>
      </c>
    </row>
    <row r="435" spans="1:14">
      <c r="A435">
        <v>10040000</v>
      </c>
      <c r="B435">
        <v>3014985</v>
      </c>
      <c r="C435" t="s">
        <v>492</v>
      </c>
      <c r="D435" t="s">
        <v>441</v>
      </c>
      <c r="E435" t="s">
        <v>442</v>
      </c>
      <c r="F435">
        <v>0</v>
      </c>
      <c r="G435">
        <v>4.83</v>
      </c>
      <c r="H435" t="s">
        <v>8580</v>
      </c>
      <c r="I435">
        <v>4</v>
      </c>
      <c r="J435" t="s">
        <v>445</v>
      </c>
      <c r="M435">
        <v>6666</v>
      </c>
      <c r="N435" t="s">
        <v>15978</v>
      </c>
    </row>
    <row r="436" spans="1:14">
      <c r="A436">
        <v>10040001</v>
      </c>
      <c r="B436">
        <v>3014986</v>
      </c>
      <c r="C436" t="s">
        <v>493</v>
      </c>
      <c r="D436" t="s">
        <v>441</v>
      </c>
      <c r="E436" t="s">
        <v>442</v>
      </c>
      <c r="F436">
        <v>0</v>
      </c>
      <c r="G436">
        <v>4.91</v>
      </c>
      <c r="H436" t="s">
        <v>8580</v>
      </c>
      <c r="I436">
        <v>6</v>
      </c>
      <c r="J436" t="s">
        <v>445</v>
      </c>
      <c r="M436">
        <v>6666</v>
      </c>
      <c r="N436" t="s">
        <v>15979</v>
      </c>
    </row>
    <row r="437" spans="1:14">
      <c r="A437">
        <v>10040031</v>
      </c>
      <c r="B437">
        <v>3016172</v>
      </c>
      <c r="C437" t="s">
        <v>8929</v>
      </c>
      <c r="D437" t="s">
        <v>441</v>
      </c>
      <c r="E437" t="s">
        <v>442</v>
      </c>
      <c r="F437">
        <v>0</v>
      </c>
      <c r="G437">
        <v>5.0999999999999996</v>
      </c>
      <c r="H437" t="s">
        <v>8925</v>
      </c>
      <c r="I437">
        <v>6</v>
      </c>
      <c r="J437" t="s">
        <v>445</v>
      </c>
      <c r="M437">
        <v>6666</v>
      </c>
      <c r="N437" t="s">
        <v>15980</v>
      </c>
    </row>
    <row r="438" spans="1:14">
      <c r="A438">
        <v>10050000</v>
      </c>
      <c r="B438">
        <v>3007428</v>
      </c>
      <c r="C438" t="s">
        <v>494</v>
      </c>
      <c r="D438" t="s">
        <v>441</v>
      </c>
      <c r="E438" t="s">
        <v>442</v>
      </c>
      <c r="F438">
        <v>0</v>
      </c>
      <c r="G438">
        <v>4.83</v>
      </c>
      <c r="I438">
        <v>4</v>
      </c>
      <c r="J438" t="s">
        <v>445</v>
      </c>
      <c r="M438">
        <v>6666</v>
      </c>
      <c r="N438" t="s">
        <v>15978</v>
      </c>
    </row>
    <row r="439" spans="1:14">
      <c r="A439">
        <v>10050001</v>
      </c>
      <c r="B439">
        <v>3007429</v>
      </c>
      <c r="C439" t="s">
        <v>495</v>
      </c>
      <c r="D439" t="s">
        <v>441</v>
      </c>
      <c r="E439" t="s">
        <v>442</v>
      </c>
      <c r="F439">
        <v>0</v>
      </c>
      <c r="G439">
        <v>4.91</v>
      </c>
      <c r="I439">
        <v>6</v>
      </c>
      <c r="J439" t="s">
        <v>445</v>
      </c>
      <c r="M439">
        <v>6666</v>
      </c>
      <c r="N439" t="s">
        <v>15979</v>
      </c>
    </row>
    <row r="440" spans="1:14">
      <c r="A440">
        <v>10050031</v>
      </c>
      <c r="B440">
        <v>3016173</v>
      </c>
      <c r="C440" t="s">
        <v>8930</v>
      </c>
      <c r="D440" t="s">
        <v>441</v>
      </c>
      <c r="E440" t="s">
        <v>442</v>
      </c>
      <c r="F440">
        <v>0</v>
      </c>
      <c r="G440">
        <v>5.0999999999999996</v>
      </c>
      <c r="H440" t="s">
        <v>8584</v>
      </c>
      <c r="I440">
        <v>6</v>
      </c>
      <c r="J440" t="s">
        <v>445</v>
      </c>
      <c r="M440">
        <v>6666</v>
      </c>
      <c r="N440" t="s">
        <v>15980</v>
      </c>
    </row>
    <row r="441" spans="1:14">
      <c r="A441">
        <v>10060000</v>
      </c>
      <c r="B441">
        <v>3014987</v>
      </c>
      <c r="C441" t="s">
        <v>496</v>
      </c>
      <c r="D441" t="s">
        <v>441</v>
      </c>
      <c r="E441" t="s">
        <v>442</v>
      </c>
      <c r="F441">
        <v>0</v>
      </c>
      <c r="G441">
        <v>4.2</v>
      </c>
      <c r="H441" t="s">
        <v>8580</v>
      </c>
      <c r="I441">
        <v>4</v>
      </c>
      <c r="J441" t="s">
        <v>445</v>
      </c>
      <c r="M441">
        <v>6666</v>
      </c>
      <c r="N441" t="s">
        <v>15978</v>
      </c>
    </row>
    <row r="442" spans="1:14">
      <c r="A442">
        <v>10060001</v>
      </c>
      <c r="B442">
        <v>3014988</v>
      </c>
      <c r="C442" t="s">
        <v>497</v>
      </c>
      <c r="D442" t="s">
        <v>441</v>
      </c>
      <c r="E442" t="s">
        <v>442</v>
      </c>
      <c r="F442">
        <v>0</v>
      </c>
      <c r="G442">
        <v>4.28</v>
      </c>
      <c r="H442" t="s">
        <v>8580</v>
      </c>
      <c r="I442">
        <v>6</v>
      </c>
      <c r="J442" t="s">
        <v>445</v>
      </c>
      <c r="M442">
        <v>6666</v>
      </c>
      <c r="N442" t="s">
        <v>15979</v>
      </c>
    </row>
    <row r="443" spans="1:14">
      <c r="A443">
        <v>10060031</v>
      </c>
      <c r="B443">
        <v>3016815</v>
      </c>
      <c r="C443" t="s">
        <v>498</v>
      </c>
      <c r="D443" t="s">
        <v>441</v>
      </c>
      <c r="E443" t="s">
        <v>442</v>
      </c>
      <c r="F443">
        <v>0</v>
      </c>
      <c r="G443">
        <v>4.4400000000000004</v>
      </c>
      <c r="H443" t="s">
        <v>8925</v>
      </c>
      <c r="I443">
        <v>6</v>
      </c>
      <c r="J443" t="s">
        <v>445</v>
      </c>
      <c r="M443">
        <v>6666</v>
      </c>
      <c r="N443" t="s">
        <v>15980</v>
      </c>
    </row>
    <row r="444" spans="1:14">
      <c r="A444">
        <v>10070000</v>
      </c>
      <c r="B444">
        <v>3014989</v>
      </c>
      <c r="C444" t="s">
        <v>499</v>
      </c>
      <c r="D444" t="s">
        <v>441</v>
      </c>
      <c r="E444" t="s">
        <v>442</v>
      </c>
      <c r="F444">
        <v>0</v>
      </c>
      <c r="G444">
        <v>4.45</v>
      </c>
      <c r="H444" t="s">
        <v>8580</v>
      </c>
      <c r="I444">
        <v>4</v>
      </c>
      <c r="J444" t="s">
        <v>445</v>
      </c>
      <c r="M444">
        <v>6666</v>
      </c>
      <c r="N444" t="s">
        <v>15978</v>
      </c>
    </row>
    <row r="445" spans="1:14">
      <c r="A445">
        <v>10070001</v>
      </c>
      <c r="B445">
        <v>3014990</v>
      </c>
      <c r="C445" t="s">
        <v>500</v>
      </c>
      <c r="D445" t="s">
        <v>441</v>
      </c>
      <c r="E445" t="s">
        <v>442</v>
      </c>
      <c r="F445">
        <v>0</v>
      </c>
      <c r="G445">
        <v>4.53</v>
      </c>
      <c r="H445" t="s">
        <v>8580</v>
      </c>
      <c r="I445">
        <v>6</v>
      </c>
      <c r="J445" t="s">
        <v>445</v>
      </c>
      <c r="M445">
        <v>6666</v>
      </c>
      <c r="N445" t="s">
        <v>15979</v>
      </c>
    </row>
    <row r="446" spans="1:14">
      <c r="A446">
        <v>10070031</v>
      </c>
      <c r="B446">
        <v>3016469</v>
      </c>
      <c r="C446" t="s">
        <v>501</v>
      </c>
      <c r="D446" t="s">
        <v>441</v>
      </c>
      <c r="E446" t="s">
        <v>442</v>
      </c>
      <c r="F446">
        <v>0</v>
      </c>
      <c r="G446">
        <v>4.7</v>
      </c>
      <c r="H446" t="s">
        <v>8925</v>
      </c>
      <c r="I446">
        <v>6</v>
      </c>
      <c r="J446" t="s">
        <v>445</v>
      </c>
      <c r="M446">
        <v>6666</v>
      </c>
      <c r="N446" t="s">
        <v>15980</v>
      </c>
    </row>
    <row r="447" spans="1:14">
      <c r="A447">
        <v>10080000</v>
      </c>
      <c r="B447">
        <v>3014991</v>
      </c>
      <c r="C447" t="s">
        <v>502</v>
      </c>
      <c r="D447" t="s">
        <v>441</v>
      </c>
      <c r="E447" t="s">
        <v>442</v>
      </c>
      <c r="F447">
        <v>0</v>
      </c>
      <c r="G447">
        <v>2.73</v>
      </c>
      <c r="H447" t="s">
        <v>8580</v>
      </c>
      <c r="I447">
        <v>4</v>
      </c>
      <c r="J447" t="s">
        <v>445</v>
      </c>
      <c r="M447">
        <v>6666</v>
      </c>
      <c r="N447" t="s">
        <v>15978</v>
      </c>
    </row>
    <row r="448" spans="1:14">
      <c r="A448">
        <v>10080001</v>
      </c>
      <c r="B448">
        <v>3014992</v>
      </c>
      <c r="C448" t="s">
        <v>503</v>
      </c>
      <c r="D448" t="s">
        <v>441</v>
      </c>
      <c r="E448" t="s">
        <v>442</v>
      </c>
      <c r="F448">
        <v>0</v>
      </c>
      <c r="G448">
        <v>2.79</v>
      </c>
      <c r="H448" t="s">
        <v>8580</v>
      </c>
      <c r="I448">
        <v>6</v>
      </c>
      <c r="J448" t="s">
        <v>445</v>
      </c>
      <c r="M448">
        <v>6666</v>
      </c>
      <c r="N448" t="s">
        <v>15979</v>
      </c>
    </row>
    <row r="449" spans="1:14">
      <c r="A449">
        <v>10080031</v>
      </c>
      <c r="B449">
        <v>3016814</v>
      </c>
      <c r="C449" t="s">
        <v>504</v>
      </c>
      <c r="D449" t="s">
        <v>441</v>
      </c>
      <c r="E449" t="s">
        <v>442</v>
      </c>
      <c r="F449">
        <v>0</v>
      </c>
      <c r="G449">
        <v>2.88</v>
      </c>
      <c r="H449" t="s">
        <v>8925</v>
      </c>
      <c r="I449">
        <v>6</v>
      </c>
      <c r="J449" t="s">
        <v>445</v>
      </c>
      <c r="M449">
        <v>6666</v>
      </c>
      <c r="N449" t="s">
        <v>15980</v>
      </c>
    </row>
    <row r="450" spans="1:14">
      <c r="A450">
        <v>10080131</v>
      </c>
      <c r="B450">
        <v>3035099</v>
      </c>
      <c r="C450" t="s">
        <v>505</v>
      </c>
      <c r="D450" t="s">
        <v>441</v>
      </c>
      <c r="F450">
        <v>0</v>
      </c>
      <c r="H450" t="s">
        <v>8549</v>
      </c>
      <c r="I450">
        <v>6</v>
      </c>
      <c r="J450" t="s">
        <v>445</v>
      </c>
      <c r="M450">
        <v>7161</v>
      </c>
      <c r="N450" t="s">
        <v>15980</v>
      </c>
    </row>
    <row r="451" spans="1:14">
      <c r="A451">
        <v>10083187</v>
      </c>
      <c r="B451">
        <v>4026035</v>
      </c>
      <c r="C451" t="s">
        <v>506</v>
      </c>
      <c r="D451" t="s">
        <v>441</v>
      </c>
      <c r="F451">
        <v>0</v>
      </c>
      <c r="G451">
        <v>3.04</v>
      </c>
      <c r="H451" t="s">
        <v>8588</v>
      </c>
      <c r="I451">
        <v>6</v>
      </c>
      <c r="J451" t="s">
        <v>462</v>
      </c>
      <c r="M451">
        <v>7112</v>
      </c>
      <c r="N451" t="s">
        <v>15980</v>
      </c>
    </row>
    <row r="452" spans="1:14">
      <c r="A452">
        <v>10090000</v>
      </c>
      <c r="B452">
        <v>3014994</v>
      </c>
      <c r="C452" t="s">
        <v>507</v>
      </c>
      <c r="D452" t="s">
        <v>441</v>
      </c>
      <c r="E452" t="s">
        <v>442</v>
      </c>
      <c r="F452">
        <v>0</v>
      </c>
      <c r="G452">
        <v>6.53</v>
      </c>
      <c r="H452" t="s">
        <v>8580</v>
      </c>
      <c r="I452">
        <v>4</v>
      </c>
      <c r="J452" t="s">
        <v>445</v>
      </c>
      <c r="M452">
        <v>6666</v>
      </c>
      <c r="N452" t="s">
        <v>15978</v>
      </c>
    </row>
    <row r="453" spans="1:14">
      <c r="A453">
        <v>10090001</v>
      </c>
      <c r="B453">
        <v>3014995</v>
      </c>
      <c r="C453" t="s">
        <v>508</v>
      </c>
      <c r="D453" t="s">
        <v>441</v>
      </c>
      <c r="E453" t="s">
        <v>442</v>
      </c>
      <c r="F453">
        <v>0</v>
      </c>
      <c r="G453">
        <v>6.63</v>
      </c>
      <c r="H453" t="s">
        <v>8580</v>
      </c>
      <c r="I453">
        <v>9</v>
      </c>
      <c r="J453" t="s">
        <v>445</v>
      </c>
      <c r="M453">
        <v>6666</v>
      </c>
      <c r="N453" t="s">
        <v>15979</v>
      </c>
    </row>
    <row r="454" spans="1:14">
      <c r="A454">
        <v>10090031</v>
      </c>
      <c r="B454">
        <v>3016243</v>
      </c>
      <c r="C454" t="s">
        <v>8931</v>
      </c>
      <c r="D454" t="s">
        <v>441</v>
      </c>
      <c r="E454" t="s">
        <v>442</v>
      </c>
      <c r="F454">
        <v>0</v>
      </c>
      <c r="G454">
        <v>6.9</v>
      </c>
      <c r="H454" t="s">
        <v>8925</v>
      </c>
      <c r="I454">
        <v>6</v>
      </c>
      <c r="J454" t="s">
        <v>445</v>
      </c>
      <c r="M454">
        <v>6666</v>
      </c>
      <c r="N454" t="s">
        <v>15980</v>
      </c>
    </row>
    <row r="455" spans="1:14">
      <c r="A455">
        <v>10530000</v>
      </c>
      <c r="B455">
        <v>1200070</v>
      </c>
      <c r="C455" t="s">
        <v>509</v>
      </c>
      <c r="D455" t="s">
        <v>441</v>
      </c>
      <c r="E455" t="s">
        <v>442</v>
      </c>
      <c r="F455">
        <v>0</v>
      </c>
      <c r="G455">
        <v>0.01</v>
      </c>
      <c r="I455">
        <v>5</v>
      </c>
      <c r="J455" t="s">
        <v>510</v>
      </c>
      <c r="K455" t="s">
        <v>446</v>
      </c>
      <c r="M455">
        <v>0</v>
      </c>
      <c r="N455" t="s">
        <v>15974</v>
      </c>
    </row>
    <row r="456" spans="1:14">
      <c r="A456">
        <v>10530088</v>
      </c>
      <c r="B456">
        <v>1100168</v>
      </c>
      <c r="C456" t="s">
        <v>8932</v>
      </c>
      <c r="D456" t="s">
        <v>441</v>
      </c>
      <c r="E456" t="s">
        <v>442</v>
      </c>
      <c r="F456">
        <v>0</v>
      </c>
      <c r="G456">
        <v>0.01</v>
      </c>
      <c r="H456" t="s">
        <v>8933</v>
      </c>
      <c r="I456">
        <v>5</v>
      </c>
      <c r="J456" t="s">
        <v>511</v>
      </c>
      <c r="M456">
        <v>2131</v>
      </c>
      <c r="N456" t="s">
        <v>15981</v>
      </c>
    </row>
    <row r="457" spans="1:14">
      <c r="A457">
        <v>10990001</v>
      </c>
      <c r="B457">
        <v>3034721</v>
      </c>
      <c r="C457" t="s">
        <v>512</v>
      </c>
      <c r="D457" t="s">
        <v>441</v>
      </c>
      <c r="E457" t="s">
        <v>442</v>
      </c>
      <c r="F457">
        <v>0</v>
      </c>
      <c r="G457">
        <v>5.95</v>
      </c>
      <c r="H457" t="s">
        <v>8925</v>
      </c>
      <c r="I457">
        <v>6</v>
      </c>
      <c r="J457" t="s">
        <v>445</v>
      </c>
      <c r="M457">
        <v>6666</v>
      </c>
      <c r="N457" t="s">
        <v>15979</v>
      </c>
    </row>
    <row r="458" spans="1:14">
      <c r="A458">
        <v>10990031</v>
      </c>
      <c r="B458">
        <v>3036166</v>
      </c>
      <c r="C458" t="s">
        <v>513</v>
      </c>
      <c r="D458" t="s">
        <v>441</v>
      </c>
      <c r="E458" t="s">
        <v>442</v>
      </c>
      <c r="F458">
        <v>0</v>
      </c>
      <c r="G458">
        <v>6.19</v>
      </c>
      <c r="H458" t="s">
        <v>8925</v>
      </c>
      <c r="I458">
        <v>6</v>
      </c>
      <c r="J458" t="s">
        <v>445</v>
      </c>
      <c r="M458">
        <v>6666</v>
      </c>
      <c r="N458" t="s">
        <v>15980</v>
      </c>
    </row>
    <row r="459" spans="1:14">
      <c r="A459">
        <v>11020000</v>
      </c>
      <c r="B459">
        <v>3012371</v>
      </c>
      <c r="C459" t="s">
        <v>514</v>
      </c>
      <c r="D459" t="s">
        <v>441</v>
      </c>
      <c r="F459">
        <v>0</v>
      </c>
      <c r="G459">
        <v>14.43</v>
      </c>
      <c r="H459" t="s">
        <v>8580</v>
      </c>
      <c r="I459">
        <v>6</v>
      </c>
      <c r="J459" t="s">
        <v>445</v>
      </c>
      <c r="K459" t="s">
        <v>446</v>
      </c>
      <c r="M459">
        <v>2390</v>
      </c>
    </row>
    <row r="460" spans="1:14">
      <c r="A460">
        <v>11020002</v>
      </c>
      <c r="B460">
        <v>3022687</v>
      </c>
      <c r="C460" t="s">
        <v>515</v>
      </c>
      <c r="D460" t="s">
        <v>441</v>
      </c>
      <c r="F460">
        <v>0</v>
      </c>
      <c r="G460">
        <v>13.14</v>
      </c>
      <c r="H460" t="s">
        <v>8588</v>
      </c>
      <c r="I460">
        <v>540</v>
      </c>
      <c r="J460" t="s">
        <v>445</v>
      </c>
      <c r="M460">
        <v>7111</v>
      </c>
      <c r="N460" t="s">
        <v>15982</v>
      </c>
    </row>
    <row r="461" spans="1:14">
      <c r="A461">
        <v>11020007</v>
      </c>
      <c r="B461">
        <v>3029089</v>
      </c>
      <c r="C461" t="s">
        <v>516</v>
      </c>
      <c r="D461" t="s">
        <v>441</v>
      </c>
      <c r="F461">
        <v>0</v>
      </c>
      <c r="G461">
        <v>16.41</v>
      </c>
      <c r="H461" t="s">
        <v>8549</v>
      </c>
      <c r="I461">
        <v>6</v>
      </c>
      <c r="J461" t="s">
        <v>445</v>
      </c>
      <c r="K461" t="s">
        <v>446</v>
      </c>
      <c r="M461">
        <v>2641</v>
      </c>
      <c r="N461" t="s">
        <v>15982</v>
      </c>
    </row>
    <row r="462" spans="1:14">
      <c r="A462">
        <v>11020050</v>
      </c>
      <c r="B462">
        <v>4010004</v>
      </c>
      <c r="C462" t="s">
        <v>15566</v>
      </c>
      <c r="D462" t="s">
        <v>441</v>
      </c>
      <c r="F462">
        <v>0</v>
      </c>
      <c r="G462">
        <v>19.149999999999999</v>
      </c>
      <c r="H462" t="s">
        <v>8588</v>
      </c>
      <c r="I462">
        <v>16</v>
      </c>
      <c r="J462" t="s">
        <v>462</v>
      </c>
      <c r="M462">
        <v>7112</v>
      </c>
      <c r="N462" t="s">
        <v>15983</v>
      </c>
    </row>
    <row r="463" spans="1:14">
      <c r="A463">
        <v>11020051</v>
      </c>
      <c r="B463">
        <v>4010536</v>
      </c>
      <c r="C463" t="s">
        <v>8934</v>
      </c>
      <c r="D463" t="s">
        <v>441</v>
      </c>
      <c r="F463">
        <v>0</v>
      </c>
      <c r="G463">
        <v>15.77</v>
      </c>
      <c r="H463" t="s">
        <v>8588</v>
      </c>
      <c r="I463">
        <v>16</v>
      </c>
      <c r="J463" t="s">
        <v>462</v>
      </c>
      <c r="K463" t="s">
        <v>446</v>
      </c>
      <c r="M463">
        <v>2612</v>
      </c>
    </row>
    <row r="464" spans="1:14">
      <c r="A464">
        <v>11020075</v>
      </c>
      <c r="B464">
        <v>3012458</v>
      </c>
      <c r="C464" t="s">
        <v>517</v>
      </c>
      <c r="D464" t="s">
        <v>441</v>
      </c>
      <c r="F464">
        <v>0</v>
      </c>
      <c r="G464">
        <v>12.84</v>
      </c>
      <c r="H464" t="s">
        <v>8588</v>
      </c>
      <c r="I464">
        <v>6</v>
      </c>
      <c r="J464" t="s">
        <v>445</v>
      </c>
      <c r="M464">
        <v>7112</v>
      </c>
      <c r="N464" t="s">
        <v>15982</v>
      </c>
    </row>
    <row r="465" spans="1:14">
      <c r="A465">
        <v>11020087</v>
      </c>
      <c r="B465">
        <v>3040939</v>
      </c>
      <c r="C465" t="s">
        <v>518</v>
      </c>
      <c r="D465" t="s">
        <v>441</v>
      </c>
      <c r="F465">
        <v>0</v>
      </c>
      <c r="G465">
        <v>12.77</v>
      </c>
      <c r="H465" t="s">
        <v>8588</v>
      </c>
      <c r="I465">
        <v>6</v>
      </c>
      <c r="J465" t="s">
        <v>445</v>
      </c>
      <c r="M465">
        <v>7112</v>
      </c>
      <c r="N465" t="s">
        <v>15982</v>
      </c>
    </row>
    <row r="466" spans="1:14">
      <c r="A466">
        <v>11020502</v>
      </c>
      <c r="B466">
        <v>3022662</v>
      </c>
      <c r="C466" t="s">
        <v>519</v>
      </c>
      <c r="D466" t="s">
        <v>441</v>
      </c>
      <c r="F466">
        <v>0</v>
      </c>
      <c r="G466">
        <v>12.75</v>
      </c>
      <c r="H466" t="s">
        <v>8549</v>
      </c>
      <c r="I466">
        <v>6</v>
      </c>
      <c r="J466" t="s">
        <v>445</v>
      </c>
      <c r="M466">
        <v>2502</v>
      </c>
      <c r="N466" t="s">
        <v>15982</v>
      </c>
    </row>
    <row r="467" spans="1:14">
      <c r="A467">
        <v>11020602</v>
      </c>
      <c r="B467">
        <v>3036588</v>
      </c>
      <c r="C467" t="s">
        <v>520</v>
      </c>
      <c r="D467" t="s">
        <v>441</v>
      </c>
      <c r="F467">
        <v>0</v>
      </c>
      <c r="G467">
        <v>13.49</v>
      </c>
      <c r="H467" t="s">
        <v>8549</v>
      </c>
      <c r="I467">
        <v>4</v>
      </c>
      <c r="J467" t="s">
        <v>445</v>
      </c>
      <c r="M467">
        <v>2510</v>
      </c>
      <c r="N467" t="s">
        <v>15982</v>
      </c>
    </row>
    <row r="468" spans="1:14">
      <c r="A468">
        <v>11020902</v>
      </c>
      <c r="B468">
        <v>3036589</v>
      </c>
      <c r="C468" t="s">
        <v>521</v>
      </c>
      <c r="D468" t="s">
        <v>441</v>
      </c>
      <c r="F468">
        <v>0</v>
      </c>
      <c r="H468" t="s">
        <v>8935</v>
      </c>
      <c r="I468">
        <v>4</v>
      </c>
      <c r="J468" t="s">
        <v>445</v>
      </c>
      <c r="M468">
        <v>6666</v>
      </c>
      <c r="N468" t="s">
        <v>15982</v>
      </c>
    </row>
    <row r="469" spans="1:14">
      <c r="A469">
        <v>11021050</v>
      </c>
      <c r="B469">
        <v>4012016</v>
      </c>
      <c r="C469" t="s">
        <v>8936</v>
      </c>
      <c r="D469" t="s">
        <v>441</v>
      </c>
      <c r="F469">
        <v>0</v>
      </c>
      <c r="G469">
        <v>15.4</v>
      </c>
      <c r="H469" t="s">
        <v>8588</v>
      </c>
      <c r="I469">
        <v>16</v>
      </c>
      <c r="J469" t="s">
        <v>462</v>
      </c>
      <c r="K469" t="s">
        <v>446</v>
      </c>
      <c r="M469">
        <v>2612</v>
      </c>
    </row>
    <row r="470" spans="1:14">
      <c r="A470">
        <v>11021051</v>
      </c>
      <c r="B470">
        <v>4012045</v>
      </c>
      <c r="C470" t="s">
        <v>8937</v>
      </c>
      <c r="D470" t="s">
        <v>441</v>
      </c>
      <c r="F470">
        <v>0</v>
      </c>
      <c r="G470">
        <v>15.77</v>
      </c>
      <c r="H470" t="s">
        <v>8588</v>
      </c>
      <c r="I470">
        <v>16</v>
      </c>
      <c r="J470" t="s">
        <v>462</v>
      </c>
      <c r="K470" t="s">
        <v>446</v>
      </c>
      <c r="M470">
        <v>2612</v>
      </c>
    </row>
    <row r="471" spans="1:14">
      <c r="A471">
        <v>11021075</v>
      </c>
      <c r="B471">
        <v>3038683</v>
      </c>
      <c r="C471" t="s">
        <v>522</v>
      </c>
      <c r="D471" t="s">
        <v>441</v>
      </c>
      <c r="F471">
        <v>0</v>
      </c>
      <c r="G471">
        <v>12.84</v>
      </c>
      <c r="H471" t="s">
        <v>8588</v>
      </c>
      <c r="I471">
        <v>6</v>
      </c>
      <c r="J471" t="s">
        <v>445</v>
      </c>
      <c r="M471">
        <v>7112</v>
      </c>
      <c r="N471" t="s">
        <v>15982</v>
      </c>
    </row>
    <row r="472" spans="1:14">
      <c r="A472">
        <v>11024002</v>
      </c>
      <c r="B472">
        <v>3040158</v>
      </c>
      <c r="C472" t="s">
        <v>523</v>
      </c>
      <c r="D472" t="s">
        <v>441</v>
      </c>
      <c r="F472">
        <v>0</v>
      </c>
      <c r="G472">
        <v>20.37</v>
      </c>
      <c r="H472" t="s">
        <v>8588</v>
      </c>
      <c r="I472">
        <v>540</v>
      </c>
      <c r="J472" t="s">
        <v>445</v>
      </c>
      <c r="M472">
        <v>7111</v>
      </c>
      <c r="N472" t="s">
        <v>15982</v>
      </c>
    </row>
    <row r="473" spans="1:14">
      <c r="A473">
        <v>11024075</v>
      </c>
      <c r="B473">
        <v>3039216</v>
      </c>
      <c r="C473" t="s">
        <v>524</v>
      </c>
      <c r="D473" t="s">
        <v>441</v>
      </c>
      <c r="F473">
        <v>0</v>
      </c>
      <c r="G473">
        <v>12.84</v>
      </c>
      <c r="H473" t="s">
        <v>8588</v>
      </c>
      <c r="I473">
        <v>6</v>
      </c>
      <c r="J473" t="s">
        <v>445</v>
      </c>
      <c r="M473">
        <v>7112</v>
      </c>
      <c r="N473" t="s">
        <v>15982</v>
      </c>
    </row>
    <row r="474" spans="1:14">
      <c r="A474">
        <v>11024087</v>
      </c>
      <c r="B474">
        <v>3040960</v>
      </c>
      <c r="C474" t="s">
        <v>525</v>
      </c>
      <c r="D474" t="s">
        <v>441</v>
      </c>
      <c r="F474">
        <v>0</v>
      </c>
      <c r="G474">
        <v>12.77</v>
      </c>
      <c r="H474" t="s">
        <v>8588</v>
      </c>
      <c r="I474">
        <v>6</v>
      </c>
      <c r="J474" t="s">
        <v>445</v>
      </c>
      <c r="M474">
        <v>7112</v>
      </c>
      <c r="N474" t="s">
        <v>15982</v>
      </c>
    </row>
    <row r="475" spans="1:14">
      <c r="A475">
        <v>11024502</v>
      </c>
      <c r="B475">
        <v>3040155</v>
      </c>
      <c r="C475" t="s">
        <v>526</v>
      </c>
      <c r="D475" t="s">
        <v>441</v>
      </c>
      <c r="F475">
        <v>0</v>
      </c>
      <c r="G475">
        <v>12.75</v>
      </c>
      <c r="H475" t="s">
        <v>8549</v>
      </c>
      <c r="I475">
        <v>6</v>
      </c>
      <c r="J475" t="s">
        <v>445</v>
      </c>
      <c r="M475">
        <v>2502</v>
      </c>
      <c r="N475" t="s">
        <v>15982</v>
      </c>
    </row>
    <row r="476" spans="1:14">
      <c r="A476">
        <v>11024602</v>
      </c>
      <c r="B476">
        <v>3040156</v>
      </c>
      <c r="C476" t="s">
        <v>527</v>
      </c>
      <c r="D476" t="s">
        <v>441</v>
      </c>
      <c r="F476">
        <v>0</v>
      </c>
      <c r="G476">
        <v>13.49</v>
      </c>
      <c r="H476" t="s">
        <v>8549</v>
      </c>
      <c r="I476">
        <v>4</v>
      </c>
      <c r="J476" t="s">
        <v>445</v>
      </c>
      <c r="M476">
        <v>2510</v>
      </c>
      <c r="N476" t="s">
        <v>15982</v>
      </c>
    </row>
    <row r="477" spans="1:14">
      <c r="A477">
        <v>11024902</v>
      </c>
      <c r="B477">
        <v>3040157</v>
      </c>
      <c r="C477" t="s">
        <v>528</v>
      </c>
      <c r="D477" t="s">
        <v>441</v>
      </c>
      <c r="F477">
        <v>0</v>
      </c>
      <c r="G477">
        <v>1</v>
      </c>
      <c r="H477" t="s">
        <v>8580</v>
      </c>
      <c r="I477">
        <v>4</v>
      </c>
      <c r="J477" t="s">
        <v>445</v>
      </c>
      <c r="M477">
        <v>6666</v>
      </c>
      <c r="N477" t="s">
        <v>15982</v>
      </c>
    </row>
    <row r="478" spans="1:14">
      <c r="A478">
        <v>11030000</v>
      </c>
      <c r="B478">
        <v>3011228</v>
      </c>
      <c r="C478" t="s">
        <v>8938</v>
      </c>
      <c r="D478" t="s">
        <v>441</v>
      </c>
      <c r="F478">
        <v>0</v>
      </c>
      <c r="G478">
        <v>10.6</v>
      </c>
      <c r="H478" t="s">
        <v>8584</v>
      </c>
      <c r="I478">
        <v>6</v>
      </c>
      <c r="J478" t="s">
        <v>445</v>
      </c>
      <c r="K478" t="s">
        <v>446</v>
      </c>
      <c r="M478">
        <v>2313</v>
      </c>
    </row>
    <row r="479" spans="1:14">
      <c r="A479">
        <v>11030002</v>
      </c>
      <c r="B479">
        <v>3011258</v>
      </c>
      <c r="C479" t="s">
        <v>8939</v>
      </c>
      <c r="D479" t="s">
        <v>441</v>
      </c>
      <c r="F479">
        <v>0</v>
      </c>
      <c r="G479">
        <v>10.1</v>
      </c>
      <c r="H479" t="s">
        <v>8588</v>
      </c>
      <c r="I479">
        <v>365</v>
      </c>
      <c r="J479" t="s">
        <v>445</v>
      </c>
      <c r="K479" t="s">
        <v>446</v>
      </c>
      <c r="M479">
        <v>2501</v>
      </c>
    </row>
    <row r="480" spans="1:14">
      <c r="A480">
        <v>11030502</v>
      </c>
      <c r="B480">
        <v>3011259</v>
      </c>
      <c r="C480" t="s">
        <v>8940</v>
      </c>
      <c r="D480" t="s">
        <v>441</v>
      </c>
      <c r="F480">
        <v>0</v>
      </c>
      <c r="G480">
        <v>9.85</v>
      </c>
      <c r="H480" t="s">
        <v>8584</v>
      </c>
      <c r="I480">
        <v>6</v>
      </c>
      <c r="J480" t="s">
        <v>445</v>
      </c>
      <c r="K480" t="s">
        <v>446</v>
      </c>
      <c r="M480">
        <v>2641</v>
      </c>
    </row>
    <row r="481" spans="1:14">
      <c r="A481">
        <v>11030602</v>
      </c>
      <c r="B481">
        <v>3011257</v>
      </c>
      <c r="C481" t="s">
        <v>8941</v>
      </c>
      <c r="D481" t="s">
        <v>441</v>
      </c>
      <c r="F481">
        <v>0</v>
      </c>
      <c r="G481">
        <v>10.71</v>
      </c>
      <c r="H481" t="s">
        <v>8580</v>
      </c>
      <c r="I481">
        <v>4</v>
      </c>
      <c r="J481" t="s">
        <v>445</v>
      </c>
      <c r="K481" t="s">
        <v>446</v>
      </c>
      <c r="M481">
        <v>2511</v>
      </c>
    </row>
    <row r="482" spans="1:14">
      <c r="A482">
        <v>11033000</v>
      </c>
      <c r="B482">
        <v>3011229</v>
      </c>
      <c r="C482" t="s">
        <v>8942</v>
      </c>
      <c r="D482" t="s">
        <v>441</v>
      </c>
      <c r="F482">
        <v>0</v>
      </c>
      <c r="G482">
        <v>10.61</v>
      </c>
      <c r="H482" t="s">
        <v>8580</v>
      </c>
      <c r="I482">
        <v>6</v>
      </c>
      <c r="J482" t="s">
        <v>445</v>
      </c>
      <c r="K482" t="s">
        <v>446</v>
      </c>
      <c r="M482">
        <v>2390</v>
      </c>
      <c r="N482" t="s">
        <v>15983</v>
      </c>
    </row>
    <row r="483" spans="1:14">
      <c r="A483">
        <v>11040000</v>
      </c>
      <c r="B483">
        <v>3013595</v>
      </c>
      <c r="C483" t="s">
        <v>529</v>
      </c>
      <c r="D483" t="s">
        <v>441</v>
      </c>
      <c r="F483">
        <v>0</v>
      </c>
      <c r="G483">
        <v>10.8</v>
      </c>
      <c r="H483" t="s">
        <v>8584</v>
      </c>
      <c r="I483">
        <v>6</v>
      </c>
      <c r="J483" t="s">
        <v>445</v>
      </c>
      <c r="K483" t="s">
        <v>446</v>
      </c>
      <c r="M483">
        <v>2390</v>
      </c>
    </row>
    <row r="484" spans="1:14">
      <c r="A484">
        <v>11040050</v>
      </c>
      <c r="B484">
        <v>4010131</v>
      </c>
      <c r="C484" t="s">
        <v>530</v>
      </c>
      <c r="D484" t="s">
        <v>441</v>
      </c>
      <c r="F484">
        <v>0</v>
      </c>
      <c r="G484">
        <v>11.34</v>
      </c>
      <c r="H484" t="s">
        <v>8588</v>
      </c>
      <c r="I484">
        <v>16</v>
      </c>
      <c r="J484" t="s">
        <v>462</v>
      </c>
      <c r="K484" t="s">
        <v>446</v>
      </c>
      <c r="M484">
        <v>2612</v>
      </c>
    </row>
    <row r="485" spans="1:14">
      <c r="A485">
        <v>11050000</v>
      </c>
      <c r="B485">
        <v>3018403</v>
      </c>
      <c r="C485" t="s">
        <v>531</v>
      </c>
      <c r="D485" t="s">
        <v>441</v>
      </c>
      <c r="F485">
        <v>0</v>
      </c>
      <c r="G485">
        <v>10.119999999999999</v>
      </c>
      <c r="H485" t="s">
        <v>8580</v>
      </c>
      <c r="I485">
        <v>6</v>
      </c>
      <c r="J485" t="s">
        <v>445</v>
      </c>
      <c r="M485">
        <v>2391</v>
      </c>
      <c r="N485" t="s">
        <v>15984</v>
      </c>
    </row>
    <row r="486" spans="1:14">
      <c r="A486">
        <v>11050050</v>
      </c>
      <c r="B486">
        <v>4012675</v>
      </c>
      <c r="C486" t="s">
        <v>8943</v>
      </c>
      <c r="D486" t="s">
        <v>441</v>
      </c>
      <c r="F486">
        <v>0</v>
      </c>
      <c r="G486">
        <v>10.91</v>
      </c>
      <c r="H486" t="s">
        <v>8588</v>
      </c>
      <c r="I486">
        <v>17</v>
      </c>
      <c r="J486" t="s">
        <v>462</v>
      </c>
      <c r="K486" t="s">
        <v>446</v>
      </c>
      <c r="M486">
        <v>2612</v>
      </c>
      <c r="N486" t="s">
        <v>15984</v>
      </c>
    </row>
    <row r="487" spans="1:14">
      <c r="A487">
        <v>11050054</v>
      </c>
      <c r="B487">
        <v>4015069</v>
      </c>
      <c r="C487" t="s">
        <v>8944</v>
      </c>
      <c r="D487" t="s">
        <v>441</v>
      </c>
      <c r="F487">
        <v>0</v>
      </c>
      <c r="G487">
        <v>13.56</v>
      </c>
      <c r="H487" t="s">
        <v>8588</v>
      </c>
      <c r="I487">
        <v>17</v>
      </c>
      <c r="J487" t="s">
        <v>462</v>
      </c>
      <c r="K487" t="s">
        <v>446</v>
      </c>
      <c r="M487">
        <v>2612</v>
      </c>
      <c r="N487" t="s">
        <v>15984</v>
      </c>
    </row>
    <row r="488" spans="1:14">
      <c r="A488">
        <v>11051000</v>
      </c>
      <c r="B488">
        <v>3018404</v>
      </c>
      <c r="C488" t="s">
        <v>532</v>
      </c>
      <c r="D488" t="s">
        <v>441</v>
      </c>
      <c r="F488">
        <v>0</v>
      </c>
      <c r="G488">
        <v>10.119999999999999</v>
      </c>
      <c r="I488">
        <v>6</v>
      </c>
      <c r="J488" t="s">
        <v>445</v>
      </c>
      <c r="M488">
        <v>2391</v>
      </c>
      <c r="N488" t="s">
        <v>15984</v>
      </c>
    </row>
    <row r="489" spans="1:14">
      <c r="A489">
        <v>11051050</v>
      </c>
      <c r="B489">
        <v>4012676</v>
      </c>
      <c r="C489" t="s">
        <v>8945</v>
      </c>
      <c r="D489" t="s">
        <v>441</v>
      </c>
      <c r="F489">
        <v>0</v>
      </c>
      <c r="G489">
        <v>10.91</v>
      </c>
      <c r="H489" t="s">
        <v>8588</v>
      </c>
      <c r="I489">
        <v>17</v>
      </c>
      <c r="J489" t="s">
        <v>462</v>
      </c>
      <c r="K489" t="s">
        <v>446</v>
      </c>
      <c r="M489">
        <v>2612</v>
      </c>
      <c r="N489" t="s">
        <v>15984</v>
      </c>
    </row>
    <row r="490" spans="1:14">
      <c r="A490">
        <v>11051054</v>
      </c>
      <c r="B490">
        <v>4015110</v>
      </c>
      <c r="C490" t="s">
        <v>8946</v>
      </c>
      <c r="D490" t="s">
        <v>441</v>
      </c>
      <c r="F490">
        <v>0</v>
      </c>
      <c r="G490">
        <v>13.56</v>
      </c>
      <c r="H490" t="s">
        <v>8588</v>
      </c>
      <c r="I490">
        <v>17</v>
      </c>
      <c r="J490" t="s">
        <v>462</v>
      </c>
      <c r="K490" t="s">
        <v>446</v>
      </c>
      <c r="M490">
        <v>2612</v>
      </c>
      <c r="N490" t="s">
        <v>15984</v>
      </c>
    </row>
    <row r="491" spans="1:14">
      <c r="A491">
        <v>11060000</v>
      </c>
      <c r="B491">
        <v>3011104</v>
      </c>
      <c r="C491" t="s">
        <v>533</v>
      </c>
      <c r="D491" t="s">
        <v>441</v>
      </c>
      <c r="F491">
        <v>0</v>
      </c>
      <c r="G491">
        <v>11.13</v>
      </c>
      <c r="H491" t="s">
        <v>8580</v>
      </c>
      <c r="I491">
        <v>5</v>
      </c>
      <c r="J491" t="s">
        <v>445</v>
      </c>
      <c r="M491">
        <v>2391</v>
      </c>
      <c r="N491" t="s">
        <v>15983</v>
      </c>
    </row>
    <row r="492" spans="1:14">
      <c r="A492">
        <v>11060007</v>
      </c>
      <c r="B492">
        <v>3024753</v>
      </c>
      <c r="C492" t="s">
        <v>534</v>
      </c>
      <c r="D492" t="s">
        <v>441</v>
      </c>
      <c r="F492">
        <v>0</v>
      </c>
      <c r="G492">
        <v>11.25</v>
      </c>
      <c r="H492" t="s">
        <v>8584</v>
      </c>
      <c r="I492">
        <v>6</v>
      </c>
      <c r="J492" t="s">
        <v>445</v>
      </c>
      <c r="M492">
        <v>3111</v>
      </c>
      <c r="N492" t="s">
        <v>15983</v>
      </c>
    </row>
    <row r="493" spans="1:14">
      <c r="A493">
        <v>11060020</v>
      </c>
      <c r="B493">
        <v>4015667</v>
      </c>
      <c r="C493" t="s">
        <v>8947</v>
      </c>
      <c r="D493" t="s">
        <v>441</v>
      </c>
      <c r="F493">
        <v>0</v>
      </c>
      <c r="G493">
        <v>14.86</v>
      </c>
      <c r="H493" t="s">
        <v>8588</v>
      </c>
      <c r="I493">
        <v>5</v>
      </c>
      <c r="J493" t="s">
        <v>462</v>
      </c>
      <c r="K493" t="s">
        <v>446</v>
      </c>
      <c r="M493">
        <v>2641</v>
      </c>
      <c r="N493" t="s">
        <v>15983</v>
      </c>
    </row>
    <row r="494" spans="1:14">
      <c r="A494">
        <v>11060030</v>
      </c>
      <c r="B494">
        <v>4013174</v>
      </c>
      <c r="C494" t="s">
        <v>535</v>
      </c>
      <c r="D494" t="s">
        <v>441</v>
      </c>
      <c r="F494">
        <v>0</v>
      </c>
      <c r="G494">
        <v>18.5</v>
      </c>
      <c r="H494" t="s">
        <v>8588</v>
      </c>
      <c r="I494">
        <v>7</v>
      </c>
      <c r="J494" t="s">
        <v>462</v>
      </c>
      <c r="L494">
        <v>100701</v>
      </c>
      <c r="M494">
        <v>7112</v>
      </c>
      <c r="N494" t="s">
        <v>15983</v>
      </c>
    </row>
    <row r="495" spans="1:14">
      <c r="A495">
        <v>11060040</v>
      </c>
      <c r="B495">
        <v>4022175</v>
      </c>
      <c r="C495" t="s">
        <v>536</v>
      </c>
      <c r="D495" t="s">
        <v>441</v>
      </c>
      <c r="F495">
        <v>0</v>
      </c>
      <c r="G495">
        <v>18.64</v>
      </c>
      <c r="H495" t="s">
        <v>8588</v>
      </c>
      <c r="I495">
        <v>11</v>
      </c>
      <c r="J495" t="s">
        <v>462</v>
      </c>
      <c r="M495">
        <v>7112</v>
      </c>
      <c r="N495" t="s">
        <v>15983</v>
      </c>
    </row>
    <row r="496" spans="1:14">
      <c r="A496">
        <v>11060900</v>
      </c>
      <c r="B496">
        <v>3022010</v>
      </c>
      <c r="C496" t="s">
        <v>537</v>
      </c>
      <c r="D496" t="s">
        <v>441</v>
      </c>
      <c r="F496">
        <v>0</v>
      </c>
      <c r="G496">
        <v>0</v>
      </c>
      <c r="H496" t="s">
        <v>8580</v>
      </c>
      <c r="I496">
        <v>5</v>
      </c>
      <c r="J496" t="s">
        <v>445</v>
      </c>
      <c r="M496">
        <v>6666</v>
      </c>
      <c r="N496" t="s">
        <v>15983</v>
      </c>
    </row>
    <row r="497" spans="1:14">
      <c r="A497">
        <v>11060907</v>
      </c>
      <c r="B497">
        <v>3025112</v>
      </c>
      <c r="C497" t="s">
        <v>538</v>
      </c>
      <c r="D497" t="s">
        <v>441</v>
      </c>
      <c r="F497">
        <v>0</v>
      </c>
      <c r="G497">
        <v>0</v>
      </c>
      <c r="H497" t="s">
        <v>8580</v>
      </c>
      <c r="I497">
        <v>6</v>
      </c>
      <c r="J497" t="s">
        <v>445</v>
      </c>
      <c r="M497">
        <v>6666</v>
      </c>
      <c r="N497" t="s">
        <v>15983</v>
      </c>
    </row>
    <row r="498" spans="1:14">
      <c r="A498">
        <v>11061000</v>
      </c>
      <c r="B498">
        <v>3017470</v>
      </c>
      <c r="C498" t="s">
        <v>539</v>
      </c>
      <c r="D498" t="s">
        <v>441</v>
      </c>
      <c r="F498">
        <v>0</v>
      </c>
      <c r="G498">
        <v>11.13</v>
      </c>
      <c r="H498" t="s">
        <v>8584</v>
      </c>
      <c r="I498">
        <v>5</v>
      </c>
      <c r="J498" t="s">
        <v>445</v>
      </c>
      <c r="M498">
        <v>2391</v>
      </c>
      <c r="N498" t="s">
        <v>15983</v>
      </c>
    </row>
    <row r="499" spans="1:14">
      <c r="A499">
        <v>11061007</v>
      </c>
      <c r="B499">
        <v>3024754</v>
      </c>
      <c r="C499" t="s">
        <v>540</v>
      </c>
      <c r="D499" t="s">
        <v>441</v>
      </c>
      <c r="F499">
        <v>0</v>
      </c>
      <c r="G499">
        <v>11.25</v>
      </c>
      <c r="H499" t="s">
        <v>8584</v>
      </c>
      <c r="I499">
        <v>6</v>
      </c>
      <c r="J499" t="s">
        <v>445</v>
      </c>
      <c r="M499">
        <v>3111</v>
      </c>
      <c r="N499" t="s">
        <v>15983</v>
      </c>
    </row>
    <row r="500" spans="1:14">
      <c r="A500">
        <v>11061030</v>
      </c>
      <c r="B500">
        <v>4013176</v>
      </c>
      <c r="C500" t="s">
        <v>8948</v>
      </c>
      <c r="D500" t="s">
        <v>441</v>
      </c>
      <c r="F500">
        <v>0</v>
      </c>
      <c r="G500">
        <v>14.98</v>
      </c>
      <c r="H500" t="s">
        <v>8588</v>
      </c>
      <c r="I500">
        <v>7</v>
      </c>
      <c r="J500" t="s">
        <v>462</v>
      </c>
      <c r="K500" t="s">
        <v>446</v>
      </c>
      <c r="L500">
        <v>100701</v>
      </c>
      <c r="M500">
        <v>2612</v>
      </c>
      <c r="N500" t="s">
        <v>15983</v>
      </c>
    </row>
    <row r="501" spans="1:14">
      <c r="A501">
        <v>11061900</v>
      </c>
      <c r="B501">
        <v>3022012</v>
      </c>
      <c r="C501" t="s">
        <v>541</v>
      </c>
      <c r="D501" t="s">
        <v>441</v>
      </c>
      <c r="F501">
        <v>0</v>
      </c>
      <c r="G501">
        <v>0</v>
      </c>
      <c r="H501" t="s">
        <v>8580</v>
      </c>
      <c r="I501">
        <v>5</v>
      </c>
      <c r="J501" t="s">
        <v>445</v>
      </c>
      <c r="M501">
        <v>6666</v>
      </c>
      <c r="N501" t="s">
        <v>15983</v>
      </c>
    </row>
    <row r="502" spans="1:14">
      <c r="A502">
        <v>11061907</v>
      </c>
      <c r="B502">
        <v>3025113</v>
      </c>
      <c r="C502" t="s">
        <v>8949</v>
      </c>
      <c r="D502" t="s">
        <v>441</v>
      </c>
      <c r="F502">
        <v>0</v>
      </c>
      <c r="G502">
        <v>0</v>
      </c>
      <c r="H502" t="s">
        <v>8580</v>
      </c>
      <c r="I502">
        <v>6</v>
      </c>
      <c r="J502" t="s">
        <v>445</v>
      </c>
      <c r="K502" t="s">
        <v>446</v>
      </c>
      <c r="M502">
        <v>6666</v>
      </c>
      <c r="N502" t="s">
        <v>15983</v>
      </c>
    </row>
    <row r="503" spans="1:14">
      <c r="A503">
        <v>11070000</v>
      </c>
      <c r="B503">
        <v>3021523</v>
      </c>
      <c r="C503" t="s">
        <v>542</v>
      </c>
      <c r="D503" t="s">
        <v>441</v>
      </c>
      <c r="F503">
        <v>0</v>
      </c>
      <c r="G503">
        <v>10.9</v>
      </c>
      <c r="H503" t="s">
        <v>8588</v>
      </c>
      <c r="I503">
        <v>6</v>
      </c>
      <c r="J503" t="s">
        <v>445</v>
      </c>
      <c r="M503">
        <v>2391</v>
      </c>
      <c r="N503" t="s">
        <v>15985</v>
      </c>
    </row>
    <row r="504" spans="1:14">
      <c r="A504">
        <v>11070007</v>
      </c>
      <c r="B504">
        <v>3025363</v>
      </c>
      <c r="C504" t="s">
        <v>543</v>
      </c>
      <c r="D504" t="s">
        <v>441</v>
      </c>
      <c r="F504">
        <v>0</v>
      </c>
      <c r="G504">
        <v>11.02</v>
      </c>
      <c r="H504" t="s">
        <v>8588</v>
      </c>
      <c r="I504">
        <v>6</v>
      </c>
      <c r="J504" t="s">
        <v>445</v>
      </c>
      <c r="M504">
        <v>3111</v>
      </c>
      <c r="N504" t="s">
        <v>15985</v>
      </c>
    </row>
    <row r="505" spans="1:14">
      <c r="A505">
        <v>11070900</v>
      </c>
      <c r="B505">
        <v>3021910</v>
      </c>
      <c r="C505" t="s">
        <v>544</v>
      </c>
      <c r="D505" t="s">
        <v>441</v>
      </c>
      <c r="F505">
        <v>0</v>
      </c>
      <c r="G505">
        <v>0</v>
      </c>
      <c r="H505" t="s">
        <v>8950</v>
      </c>
      <c r="I505">
        <v>6</v>
      </c>
      <c r="J505" t="s">
        <v>445</v>
      </c>
      <c r="M505">
        <v>6666</v>
      </c>
      <c r="N505" t="s">
        <v>15985</v>
      </c>
    </row>
    <row r="506" spans="1:14">
      <c r="A506">
        <v>11070907</v>
      </c>
      <c r="B506">
        <v>3025389</v>
      </c>
      <c r="C506" t="s">
        <v>545</v>
      </c>
      <c r="D506" t="s">
        <v>441</v>
      </c>
      <c r="F506">
        <v>0</v>
      </c>
      <c r="G506">
        <v>0</v>
      </c>
      <c r="H506" t="s">
        <v>8580</v>
      </c>
      <c r="I506">
        <v>6</v>
      </c>
      <c r="J506" t="s">
        <v>445</v>
      </c>
      <c r="M506">
        <v>6666</v>
      </c>
      <c r="N506" t="s">
        <v>15985</v>
      </c>
    </row>
    <row r="507" spans="1:14">
      <c r="A507">
        <v>11071000</v>
      </c>
      <c r="B507">
        <v>3021524</v>
      </c>
      <c r="C507" t="s">
        <v>546</v>
      </c>
      <c r="D507" t="s">
        <v>441</v>
      </c>
      <c r="F507">
        <v>0</v>
      </c>
      <c r="G507">
        <v>10.9</v>
      </c>
      <c r="H507" t="s">
        <v>8588</v>
      </c>
      <c r="I507">
        <v>6</v>
      </c>
      <c r="J507" t="s">
        <v>445</v>
      </c>
      <c r="M507">
        <v>2391</v>
      </c>
      <c r="N507" t="s">
        <v>15985</v>
      </c>
    </row>
    <row r="508" spans="1:14">
      <c r="A508">
        <v>11071007</v>
      </c>
      <c r="B508">
        <v>3025369</v>
      </c>
      <c r="C508" t="s">
        <v>547</v>
      </c>
      <c r="D508" t="s">
        <v>441</v>
      </c>
      <c r="F508">
        <v>0</v>
      </c>
      <c r="G508">
        <v>12.23</v>
      </c>
      <c r="H508" t="s">
        <v>8588</v>
      </c>
      <c r="I508">
        <v>6</v>
      </c>
      <c r="J508" t="s">
        <v>445</v>
      </c>
      <c r="M508">
        <v>2641</v>
      </c>
      <c r="N508" t="s">
        <v>15985</v>
      </c>
    </row>
    <row r="509" spans="1:14">
      <c r="A509">
        <v>11071900</v>
      </c>
      <c r="B509">
        <v>3021911</v>
      </c>
      <c r="C509" t="s">
        <v>548</v>
      </c>
      <c r="D509" t="s">
        <v>441</v>
      </c>
      <c r="F509">
        <v>0</v>
      </c>
      <c r="G509">
        <v>0</v>
      </c>
      <c r="H509" t="s">
        <v>8950</v>
      </c>
      <c r="I509">
        <v>6</v>
      </c>
      <c r="J509" t="s">
        <v>445</v>
      </c>
      <c r="M509">
        <v>6666</v>
      </c>
      <c r="N509" t="s">
        <v>15985</v>
      </c>
    </row>
    <row r="510" spans="1:14">
      <c r="A510">
        <v>11071907</v>
      </c>
      <c r="B510">
        <v>3025390</v>
      </c>
      <c r="C510" t="s">
        <v>8951</v>
      </c>
      <c r="D510" t="s">
        <v>441</v>
      </c>
      <c r="F510">
        <v>0</v>
      </c>
      <c r="G510">
        <v>12.23</v>
      </c>
      <c r="I510">
        <v>6</v>
      </c>
      <c r="J510" t="s">
        <v>445</v>
      </c>
      <c r="K510" t="s">
        <v>446</v>
      </c>
      <c r="M510">
        <v>6666</v>
      </c>
      <c r="N510" t="s">
        <v>15985</v>
      </c>
    </row>
    <row r="511" spans="1:14">
      <c r="A511">
        <v>11074000</v>
      </c>
      <c r="B511">
        <v>3035452</v>
      </c>
      <c r="C511" t="s">
        <v>549</v>
      </c>
      <c r="D511" t="s">
        <v>441</v>
      </c>
      <c r="F511">
        <v>0</v>
      </c>
      <c r="G511">
        <v>10.9</v>
      </c>
      <c r="H511" t="s">
        <v>8549</v>
      </c>
      <c r="I511">
        <v>6</v>
      </c>
      <c r="J511" t="s">
        <v>445</v>
      </c>
      <c r="M511">
        <v>2391</v>
      </c>
      <c r="N511" t="s">
        <v>15985</v>
      </c>
    </row>
    <row r="512" spans="1:14">
      <c r="A512">
        <v>11080000</v>
      </c>
      <c r="B512">
        <v>3027092</v>
      </c>
      <c r="C512" t="s">
        <v>550</v>
      </c>
      <c r="D512" t="s">
        <v>441</v>
      </c>
      <c r="F512">
        <v>0</v>
      </c>
      <c r="G512">
        <v>10.9</v>
      </c>
      <c r="H512" t="s">
        <v>8549</v>
      </c>
      <c r="I512">
        <v>6</v>
      </c>
      <c r="J512" t="s">
        <v>445</v>
      </c>
      <c r="M512">
        <v>2391</v>
      </c>
      <c r="N512" t="s">
        <v>15985</v>
      </c>
    </row>
    <row r="513" spans="1:14">
      <c r="A513">
        <v>11080002</v>
      </c>
      <c r="B513">
        <v>3027130</v>
      </c>
      <c r="C513" t="s">
        <v>8952</v>
      </c>
      <c r="D513" t="s">
        <v>441</v>
      </c>
      <c r="F513">
        <v>0</v>
      </c>
      <c r="G513">
        <v>14.59</v>
      </c>
      <c r="H513" t="s">
        <v>8588</v>
      </c>
      <c r="I513">
        <v>365</v>
      </c>
      <c r="J513" t="s">
        <v>445</v>
      </c>
      <c r="K513" t="s">
        <v>446</v>
      </c>
      <c r="M513">
        <v>2501</v>
      </c>
      <c r="N513" t="s">
        <v>15985</v>
      </c>
    </row>
    <row r="514" spans="1:14">
      <c r="A514">
        <v>11080007</v>
      </c>
      <c r="B514">
        <v>3027091</v>
      </c>
      <c r="C514" t="s">
        <v>551</v>
      </c>
      <c r="D514" t="s">
        <v>441</v>
      </c>
      <c r="F514">
        <v>0</v>
      </c>
      <c r="G514">
        <v>11.02</v>
      </c>
      <c r="H514" t="s">
        <v>8588</v>
      </c>
      <c r="I514">
        <v>6</v>
      </c>
      <c r="J514" t="s">
        <v>445</v>
      </c>
      <c r="M514">
        <v>3111</v>
      </c>
      <c r="N514" t="s">
        <v>15985</v>
      </c>
    </row>
    <row r="515" spans="1:14">
      <c r="A515">
        <v>11080019</v>
      </c>
      <c r="B515">
        <v>3036370</v>
      </c>
      <c r="C515" t="s">
        <v>552</v>
      </c>
      <c r="D515" t="s">
        <v>441</v>
      </c>
      <c r="F515">
        <v>0</v>
      </c>
      <c r="G515">
        <v>11.38</v>
      </c>
      <c r="H515" t="s">
        <v>8549</v>
      </c>
      <c r="I515">
        <v>540</v>
      </c>
      <c r="J515" t="s">
        <v>445</v>
      </c>
      <c r="M515">
        <v>7111</v>
      </c>
      <c r="N515" t="s">
        <v>15985</v>
      </c>
    </row>
    <row r="516" spans="1:14">
      <c r="A516">
        <v>11080040</v>
      </c>
      <c r="B516">
        <v>4023293</v>
      </c>
      <c r="C516" t="s">
        <v>553</v>
      </c>
      <c r="D516" t="s">
        <v>441</v>
      </c>
      <c r="F516">
        <v>0</v>
      </c>
      <c r="G516">
        <v>11.55</v>
      </c>
      <c r="H516" t="s">
        <v>8588</v>
      </c>
      <c r="I516">
        <v>14</v>
      </c>
      <c r="J516" t="s">
        <v>462</v>
      </c>
      <c r="M516">
        <v>7112</v>
      </c>
      <c r="N516" t="s">
        <v>15985</v>
      </c>
    </row>
    <row r="517" spans="1:14">
      <c r="A517">
        <v>11080075</v>
      </c>
      <c r="B517">
        <v>3029593</v>
      </c>
      <c r="C517" t="s">
        <v>554</v>
      </c>
      <c r="D517" t="s">
        <v>441</v>
      </c>
      <c r="F517">
        <v>0</v>
      </c>
      <c r="G517">
        <v>11.02</v>
      </c>
      <c r="H517" t="s">
        <v>8588</v>
      </c>
      <c r="I517">
        <v>6</v>
      </c>
      <c r="J517" t="s">
        <v>445</v>
      </c>
      <c r="M517">
        <v>7112</v>
      </c>
      <c r="N517" t="s">
        <v>15985</v>
      </c>
    </row>
    <row r="518" spans="1:14">
      <c r="A518">
        <v>11080502</v>
      </c>
      <c r="B518">
        <v>3027134</v>
      </c>
      <c r="C518" t="s">
        <v>8953</v>
      </c>
      <c r="D518" t="s">
        <v>441</v>
      </c>
      <c r="F518">
        <v>0</v>
      </c>
      <c r="G518">
        <v>14.29</v>
      </c>
      <c r="H518" t="s">
        <v>8588</v>
      </c>
      <c r="I518">
        <v>6</v>
      </c>
      <c r="J518" t="s">
        <v>445</v>
      </c>
      <c r="K518" t="s">
        <v>446</v>
      </c>
      <c r="M518">
        <v>2641</v>
      </c>
      <c r="N518" t="s">
        <v>15985</v>
      </c>
    </row>
    <row r="519" spans="1:14">
      <c r="A519">
        <v>11080519</v>
      </c>
      <c r="B519">
        <v>3036299</v>
      </c>
      <c r="C519" t="s">
        <v>555</v>
      </c>
      <c r="D519" t="s">
        <v>441</v>
      </c>
      <c r="F519">
        <v>0</v>
      </c>
      <c r="G519">
        <v>11</v>
      </c>
      <c r="H519" t="s">
        <v>8549</v>
      </c>
      <c r="I519">
        <v>6</v>
      </c>
      <c r="J519" t="s">
        <v>445</v>
      </c>
      <c r="M519">
        <v>2502</v>
      </c>
      <c r="N519" t="s">
        <v>15985</v>
      </c>
    </row>
    <row r="520" spans="1:14">
      <c r="A520">
        <v>11080602</v>
      </c>
      <c r="B520">
        <v>3027139</v>
      </c>
      <c r="C520" t="s">
        <v>8954</v>
      </c>
      <c r="D520" t="s">
        <v>441</v>
      </c>
      <c r="F520">
        <v>0</v>
      </c>
      <c r="G520">
        <v>15.05</v>
      </c>
      <c r="H520" t="s">
        <v>8588</v>
      </c>
      <c r="I520">
        <v>4</v>
      </c>
      <c r="J520" t="s">
        <v>445</v>
      </c>
      <c r="K520" t="s">
        <v>446</v>
      </c>
      <c r="M520">
        <v>2641</v>
      </c>
      <c r="N520" t="s">
        <v>15985</v>
      </c>
    </row>
    <row r="521" spans="1:14">
      <c r="A521">
        <v>11080902</v>
      </c>
      <c r="B521">
        <v>3027124</v>
      </c>
      <c r="C521" t="s">
        <v>8955</v>
      </c>
      <c r="D521" t="s">
        <v>441</v>
      </c>
      <c r="F521">
        <v>0</v>
      </c>
      <c r="H521" t="s">
        <v>8584</v>
      </c>
      <c r="I521">
        <v>4</v>
      </c>
      <c r="J521" t="s">
        <v>445</v>
      </c>
      <c r="K521" t="s">
        <v>446</v>
      </c>
      <c r="M521">
        <v>6666</v>
      </c>
      <c r="N521" t="s">
        <v>15985</v>
      </c>
    </row>
    <row r="522" spans="1:14">
      <c r="A522">
        <v>11080907</v>
      </c>
      <c r="B522">
        <v>3027038</v>
      </c>
      <c r="C522" t="s">
        <v>556</v>
      </c>
      <c r="D522" t="s">
        <v>441</v>
      </c>
      <c r="F522">
        <v>0</v>
      </c>
      <c r="H522" t="s">
        <v>8584</v>
      </c>
      <c r="I522">
        <v>6</v>
      </c>
      <c r="J522" t="s">
        <v>445</v>
      </c>
      <c r="M522">
        <v>6666</v>
      </c>
      <c r="N522" t="s">
        <v>15985</v>
      </c>
    </row>
    <row r="523" spans="1:14">
      <c r="A523">
        <v>11084000</v>
      </c>
      <c r="B523">
        <v>3035680</v>
      </c>
      <c r="C523" t="s">
        <v>557</v>
      </c>
      <c r="D523" t="s">
        <v>441</v>
      </c>
      <c r="F523">
        <v>0</v>
      </c>
      <c r="G523">
        <v>10.9</v>
      </c>
      <c r="H523" t="s">
        <v>8549</v>
      </c>
      <c r="I523">
        <v>6</v>
      </c>
      <c r="J523" t="s">
        <v>445</v>
      </c>
      <c r="M523">
        <v>2391</v>
      </c>
      <c r="N523" t="s">
        <v>15985</v>
      </c>
    </row>
    <row r="524" spans="1:14">
      <c r="A524">
        <v>11084002</v>
      </c>
      <c r="B524">
        <v>3036707</v>
      </c>
      <c r="C524" t="s">
        <v>558</v>
      </c>
      <c r="D524" t="s">
        <v>441</v>
      </c>
      <c r="F524">
        <v>0</v>
      </c>
      <c r="G524">
        <v>11.38</v>
      </c>
      <c r="H524" t="s">
        <v>8549</v>
      </c>
      <c r="I524">
        <v>540</v>
      </c>
      <c r="J524" t="s">
        <v>445</v>
      </c>
      <c r="M524">
        <v>7111</v>
      </c>
      <c r="N524" t="s">
        <v>15985</v>
      </c>
    </row>
    <row r="525" spans="1:14">
      <c r="A525">
        <v>11084007</v>
      </c>
      <c r="B525">
        <v>3040732</v>
      </c>
      <c r="C525" t="s">
        <v>559</v>
      </c>
      <c r="D525" t="s">
        <v>441</v>
      </c>
      <c r="F525">
        <v>0</v>
      </c>
      <c r="G525">
        <v>11.02</v>
      </c>
      <c r="H525" t="s">
        <v>8588</v>
      </c>
      <c r="I525">
        <v>6</v>
      </c>
      <c r="J525" t="s">
        <v>445</v>
      </c>
      <c r="M525">
        <v>3111</v>
      </c>
      <c r="N525" t="s">
        <v>15985</v>
      </c>
    </row>
    <row r="526" spans="1:14">
      <c r="A526">
        <v>11084502</v>
      </c>
      <c r="B526">
        <v>3036700</v>
      </c>
      <c r="C526" t="s">
        <v>560</v>
      </c>
      <c r="D526" t="s">
        <v>441</v>
      </c>
      <c r="F526">
        <v>0</v>
      </c>
      <c r="G526">
        <v>11</v>
      </c>
      <c r="H526" t="s">
        <v>8549</v>
      </c>
      <c r="I526">
        <v>540</v>
      </c>
      <c r="J526" t="s">
        <v>445</v>
      </c>
      <c r="M526">
        <v>2502</v>
      </c>
      <c r="N526" t="s">
        <v>15985</v>
      </c>
    </row>
    <row r="527" spans="1:14">
      <c r="A527">
        <v>11084907</v>
      </c>
      <c r="B527">
        <v>3040727</v>
      </c>
      <c r="C527" t="s">
        <v>561</v>
      </c>
      <c r="D527" t="s">
        <v>441</v>
      </c>
      <c r="F527">
        <v>0</v>
      </c>
      <c r="G527">
        <v>1</v>
      </c>
      <c r="H527" t="s">
        <v>8588</v>
      </c>
      <c r="I527">
        <v>6</v>
      </c>
      <c r="J527" t="s">
        <v>445</v>
      </c>
      <c r="M527">
        <v>6666</v>
      </c>
      <c r="N527" t="s">
        <v>15985</v>
      </c>
    </row>
    <row r="528" spans="1:14">
      <c r="A528">
        <v>11090000</v>
      </c>
      <c r="B528">
        <v>3027652</v>
      </c>
      <c r="C528" t="s">
        <v>562</v>
      </c>
      <c r="D528" t="s">
        <v>441</v>
      </c>
      <c r="F528">
        <v>0</v>
      </c>
      <c r="G528">
        <v>11.13</v>
      </c>
      <c r="H528" t="s">
        <v>8549</v>
      </c>
      <c r="I528">
        <v>6</v>
      </c>
      <c r="J528" t="s">
        <v>445</v>
      </c>
      <c r="M528">
        <v>2391</v>
      </c>
      <c r="N528" t="s">
        <v>15983</v>
      </c>
    </row>
    <row r="529" spans="1:14">
      <c r="A529">
        <v>11090002</v>
      </c>
      <c r="B529">
        <v>3043433</v>
      </c>
      <c r="C529" t="s">
        <v>563</v>
      </c>
      <c r="D529" t="s">
        <v>441</v>
      </c>
      <c r="F529">
        <v>0</v>
      </c>
      <c r="G529">
        <v>18.420000000000002</v>
      </c>
      <c r="H529" t="s">
        <v>8588</v>
      </c>
      <c r="I529">
        <v>540</v>
      </c>
      <c r="J529" t="s">
        <v>445</v>
      </c>
      <c r="M529">
        <v>7111</v>
      </c>
      <c r="N529" t="s">
        <v>15983</v>
      </c>
    </row>
    <row r="530" spans="1:14">
      <c r="A530">
        <v>11090007</v>
      </c>
      <c r="B530">
        <v>3028047</v>
      </c>
      <c r="C530" t="s">
        <v>564</v>
      </c>
      <c r="D530" t="s">
        <v>441</v>
      </c>
      <c r="F530">
        <v>0</v>
      </c>
      <c r="G530">
        <v>11.25</v>
      </c>
      <c r="H530" t="s">
        <v>8549</v>
      </c>
      <c r="I530">
        <v>6</v>
      </c>
      <c r="J530" t="s">
        <v>445</v>
      </c>
      <c r="M530">
        <v>2391</v>
      </c>
      <c r="N530" t="s">
        <v>15983</v>
      </c>
    </row>
    <row r="531" spans="1:14">
      <c r="A531">
        <v>11090040</v>
      </c>
      <c r="B531">
        <v>4018362</v>
      </c>
      <c r="C531" t="s">
        <v>565</v>
      </c>
      <c r="D531" t="s">
        <v>441</v>
      </c>
      <c r="F531">
        <v>0</v>
      </c>
      <c r="G531">
        <v>11.9</v>
      </c>
      <c r="H531" t="s">
        <v>8588</v>
      </c>
      <c r="I531">
        <v>16</v>
      </c>
      <c r="J531" t="s">
        <v>462</v>
      </c>
      <c r="M531">
        <v>7112</v>
      </c>
      <c r="N531" t="s">
        <v>15983</v>
      </c>
    </row>
    <row r="532" spans="1:14">
      <c r="A532">
        <v>11090041</v>
      </c>
      <c r="B532">
        <v>4020652</v>
      </c>
      <c r="C532" t="s">
        <v>8956</v>
      </c>
      <c r="D532" t="s">
        <v>441</v>
      </c>
      <c r="F532">
        <v>0</v>
      </c>
      <c r="G532">
        <v>14.14</v>
      </c>
      <c r="H532" t="s">
        <v>8588</v>
      </c>
      <c r="I532">
        <v>16</v>
      </c>
      <c r="J532" t="s">
        <v>462</v>
      </c>
      <c r="K532" t="s">
        <v>446</v>
      </c>
      <c r="M532">
        <v>2612</v>
      </c>
      <c r="N532" t="s">
        <v>15983</v>
      </c>
    </row>
    <row r="533" spans="1:14">
      <c r="A533">
        <v>11090043</v>
      </c>
      <c r="B533">
        <v>4029672</v>
      </c>
      <c r="C533" t="s">
        <v>15457</v>
      </c>
      <c r="D533" t="s">
        <v>441</v>
      </c>
      <c r="F533">
        <v>0</v>
      </c>
      <c r="G533">
        <v>19.05</v>
      </c>
      <c r="H533" t="s">
        <v>8588</v>
      </c>
      <c r="I533">
        <v>16</v>
      </c>
      <c r="J533" t="s">
        <v>462</v>
      </c>
      <c r="M533">
        <v>7112</v>
      </c>
      <c r="N533" t="s">
        <v>15983</v>
      </c>
    </row>
    <row r="534" spans="1:14">
      <c r="A534">
        <v>11090044</v>
      </c>
      <c r="B534">
        <v>4029725</v>
      </c>
      <c r="C534" t="s">
        <v>15458</v>
      </c>
      <c r="D534" t="s">
        <v>441</v>
      </c>
      <c r="F534">
        <v>0</v>
      </c>
      <c r="G534">
        <v>19.309999999999999</v>
      </c>
      <c r="H534" t="s">
        <v>8588</v>
      </c>
      <c r="I534">
        <v>16</v>
      </c>
      <c r="J534" t="s">
        <v>462</v>
      </c>
      <c r="M534">
        <v>7112</v>
      </c>
      <c r="N534" t="s">
        <v>15983</v>
      </c>
    </row>
    <row r="535" spans="1:14">
      <c r="A535">
        <v>11090050</v>
      </c>
      <c r="B535">
        <v>4019687</v>
      </c>
      <c r="C535" t="s">
        <v>566</v>
      </c>
      <c r="D535" t="s">
        <v>441</v>
      </c>
      <c r="F535">
        <v>0</v>
      </c>
      <c r="G535">
        <v>12.06</v>
      </c>
      <c r="H535" t="s">
        <v>8588</v>
      </c>
      <c r="I535">
        <v>16</v>
      </c>
      <c r="J535" t="s">
        <v>462</v>
      </c>
      <c r="M535">
        <v>7112</v>
      </c>
      <c r="N535" t="s">
        <v>15983</v>
      </c>
    </row>
    <row r="536" spans="1:14">
      <c r="A536">
        <v>11090502</v>
      </c>
      <c r="B536">
        <v>3043432</v>
      </c>
      <c r="C536" t="s">
        <v>567</v>
      </c>
      <c r="D536" t="s">
        <v>441</v>
      </c>
      <c r="F536">
        <v>0</v>
      </c>
      <c r="G536">
        <v>16.649999999999999</v>
      </c>
      <c r="H536" t="s">
        <v>8588</v>
      </c>
      <c r="I536">
        <v>540</v>
      </c>
      <c r="J536" t="s">
        <v>445</v>
      </c>
      <c r="M536">
        <v>2502</v>
      </c>
      <c r="N536" t="s">
        <v>15983</v>
      </c>
    </row>
    <row r="537" spans="1:14">
      <c r="A537">
        <v>11090602</v>
      </c>
      <c r="B537">
        <v>3043434</v>
      </c>
      <c r="C537" t="s">
        <v>568</v>
      </c>
      <c r="D537" t="s">
        <v>441</v>
      </c>
      <c r="F537">
        <v>0</v>
      </c>
      <c r="G537">
        <v>17.63</v>
      </c>
      <c r="H537" t="s">
        <v>8588</v>
      </c>
      <c r="I537">
        <v>4</v>
      </c>
      <c r="J537" t="s">
        <v>445</v>
      </c>
      <c r="M537">
        <v>2510</v>
      </c>
      <c r="N537" t="s">
        <v>15983</v>
      </c>
    </row>
    <row r="538" spans="1:14">
      <c r="A538">
        <v>11090902</v>
      </c>
      <c r="B538">
        <v>3043436</v>
      </c>
      <c r="C538" t="s">
        <v>569</v>
      </c>
      <c r="D538" t="s">
        <v>441</v>
      </c>
      <c r="F538">
        <v>0</v>
      </c>
      <c r="G538">
        <v>1</v>
      </c>
      <c r="H538" t="s">
        <v>8588</v>
      </c>
      <c r="I538">
        <v>4</v>
      </c>
      <c r="J538" t="s">
        <v>445</v>
      </c>
      <c r="M538">
        <v>6666</v>
      </c>
      <c r="N538" t="s">
        <v>15983</v>
      </c>
    </row>
    <row r="539" spans="1:14">
      <c r="A539">
        <v>11100000</v>
      </c>
      <c r="B539">
        <v>3035380</v>
      </c>
      <c r="C539" t="s">
        <v>570</v>
      </c>
      <c r="D539" t="s">
        <v>441</v>
      </c>
      <c r="F539">
        <v>0</v>
      </c>
      <c r="G539">
        <v>10.57</v>
      </c>
      <c r="H539" t="s">
        <v>8588</v>
      </c>
      <c r="I539">
        <v>6</v>
      </c>
      <c r="J539" t="s">
        <v>445</v>
      </c>
      <c r="M539">
        <v>2391</v>
      </c>
      <c r="N539" t="s">
        <v>15986</v>
      </c>
    </row>
    <row r="540" spans="1:14">
      <c r="A540">
        <v>11100002</v>
      </c>
      <c r="B540">
        <v>3036372</v>
      </c>
      <c r="C540" t="s">
        <v>571</v>
      </c>
      <c r="D540" t="s">
        <v>441</v>
      </c>
      <c r="F540">
        <v>0</v>
      </c>
      <c r="G540">
        <v>11.04</v>
      </c>
      <c r="H540" t="s">
        <v>8588</v>
      </c>
      <c r="I540">
        <v>540</v>
      </c>
      <c r="J540" t="s">
        <v>445</v>
      </c>
      <c r="M540">
        <v>7111</v>
      </c>
      <c r="N540" t="s">
        <v>15986</v>
      </c>
    </row>
    <row r="541" spans="1:14">
      <c r="A541">
        <v>11100007</v>
      </c>
      <c r="B541">
        <v>3035384</v>
      </c>
      <c r="C541" t="s">
        <v>572</v>
      </c>
      <c r="D541" t="s">
        <v>441</v>
      </c>
      <c r="F541">
        <v>0</v>
      </c>
      <c r="G541">
        <v>10.69</v>
      </c>
      <c r="H541" t="s">
        <v>8549</v>
      </c>
      <c r="I541">
        <v>6</v>
      </c>
      <c r="J541" t="s">
        <v>445</v>
      </c>
      <c r="M541">
        <v>3111</v>
      </c>
      <c r="N541" t="s">
        <v>15986</v>
      </c>
    </row>
    <row r="542" spans="1:14">
      <c r="A542">
        <v>11100502</v>
      </c>
      <c r="B542">
        <v>3036376</v>
      </c>
      <c r="C542" t="s">
        <v>573</v>
      </c>
      <c r="D542" t="s">
        <v>441</v>
      </c>
      <c r="F542">
        <v>0</v>
      </c>
      <c r="G542">
        <v>10.67</v>
      </c>
      <c r="H542" t="s">
        <v>8549</v>
      </c>
      <c r="I542">
        <v>540</v>
      </c>
      <c r="J542" t="s">
        <v>445</v>
      </c>
      <c r="M542">
        <v>2502</v>
      </c>
      <c r="N542" t="s">
        <v>15986</v>
      </c>
    </row>
    <row r="543" spans="1:14">
      <c r="A543">
        <v>11100602</v>
      </c>
      <c r="B543">
        <v>3036406</v>
      </c>
      <c r="C543" t="s">
        <v>574</v>
      </c>
      <c r="D543" t="s">
        <v>441</v>
      </c>
      <c r="F543">
        <v>0</v>
      </c>
      <c r="G543">
        <v>11.35</v>
      </c>
      <c r="H543" t="s">
        <v>8549</v>
      </c>
      <c r="I543">
        <v>4</v>
      </c>
      <c r="J543" t="s">
        <v>445</v>
      </c>
      <c r="M543">
        <v>2510</v>
      </c>
      <c r="N543" t="s">
        <v>15986</v>
      </c>
    </row>
    <row r="544" spans="1:14">
      <c r="A544">
        <v>11100902</v>
      </c>
      <c r="B544">
        <v>3036338</v>
      </c>
      <c r="C544" t="s">
        <v>575</v>
      </c>
      <c r="D544" t="s">
        <v>441</v>
      </c>
      <c r="F544">
        <v>0</v>
      </c>
      <c r="I544">
        <v>4</v>
      </c>
      <c r="J544" t="s">
        <v>445</v>
      </c>
      <c r="M544">
        <v>6666</v>
      </c>
      <c r="N544" t="s">
        <v>15986</v>
      </c>
    </row>
    <row r="545" spans="1:14">
      <c r="A545">
        <v>11100907</v>
      </c>
      <c r="B545">
        <v>3035388</v>
      </c>
      <c r="C545" t="s">
        <v>576</v>
      </c>
      <c r="D545" t="s">
        <v>441</v>
      </c>
      <c r="F545">
        <v>0</v>
      </c>
      <c r="I545">
        <v>6</v>
      </c>
      <c r="J545" t="s">
        <v>445</v>
      </c>
      <c r="M545">
        <v>6666</v>
      </c>
      <c r="N545" t="s">
        <v>15986</v>
      </c>
    </row>
    <row r="546" spans="1:14">
      <c r="A546">
        <v>11110000</v>
      </c>
      <c r="B546">
        <v>3036439</v>
      </c>
      <c r="C546" t="s">
        <v>577</v>
      </c>
      <c r="D546" t="s">
        <v>441</v>
      </c>
      <c r="F546">
        <v>0</v>
      </c>
      <c r="G546">
        <v>11</v>
      </c>
      <c r="H546" t="s">
        <v>8588</v>
      </c>
      <c r="I546">
        <v>6</v>
      </c>
      <c r="J546" t="s">
        <v>445</v>
      </c>
      <c r="M546">
        <v>2391</v>
      </c>
      <c r="N546" t="s">
        <v>15987</v>
      </c>
    </row>
    <row r="547" spans="1:14">
      <c r="A547">
        <v>11110002</v>
      </c>
      <c r="B547">
        <v>3036554</v>
      </c>
      <c r="C547" t="s">
        <v>578</v>
      </c>
      <c r="D547" t="s">
        <v>441</v>
      </c>
      <c r="F547">
        <v>0</v>
      </c>
      <c r="G547">
        <v>11.48</v>
      </c>
      <c r="H547" t="s">
        <v>8588</v>
      </c>
      <c r="I547">
        <v>540</v>
      </c>
      <c r="J547" t="s">
        <v>445</v>
      </c>
      <c r="M547">
        <v>7111</v>
      </c>
      <c r="N547" t="s">
        <v>15987</v>
      </c>
    </row>
    <row r="548" spans="1:14">
      <c r="A548">
        <v>11110007</v>
      </c>
      <c r="B548">
        <v>3036428</v>
      </c>
      <c r="C548" t="s">
        <v>579</v>
      </c>
      <c r="D548" t="s">
        <v>441</v>
      </c>
      <c r="F548">
        <v>0</v>
      </c>
      <c r="G548">
        <v>11.12</v>
      </c>
      <c r="H548" t="s">
        <v>8549</v>
      </c>
      <c r="I548">
        <v>6</v>
      </c>
      <c r="J548" t="s">
        <v>445</v>
      </c>
      <c r="M548">
        <v>3111</v>
      </c>
      <c r="N548" t="s">
        <v>15987</v>
      </c>
    </row>
    <row r="549" spans="1:14">
      <c r="A549">
        <v>11110502</v>
      </c>
      <c r="B549">
        <v>3036553</v>
      </c>
      <c r="C549" t="s">
        <v>580</v>
      </c>
      <c r="D549" t="s">
        <v>441</v>
      </c>
      <c r="F549">
        <v>0</v>
      </c>
      <c r="G549">
        <v>11.1</v>
      </c>
      <c r="H549" t="s">
        <v>8549</v>
      </c>
      <c r="I549">
        <v>6</v>
      </c>
      <c r="J549" t="s">
        <v>445</v>
      </c>
      <c r="M549">
        <v>2502</v>
      </c>
      <c r="N549" t="s">
        <v>15987</v>
      </c>
    </row>
    <row r="550" spans="1:14">
      <c r="A550">
        <v>11110602</v>
      </c>
      <c r="B550">
        <v>3036555</v>
      </c>
      <c r="C550" t="s">
        <v>581</v>
      </c>
      <c r="D550" t="s">
        <v>441</v>
      </c>
      <c r="F550">
        <v>0</v>
      </c>
      <c r="G550">
        <v>11.8</v>
      </c>
      <c r="H550" t="s">
        <v>8549</v>
      </c>
      <c r="I550">
        <v>4</v>
      </c>
      <c r="J550" t="s">
        <v>445</v>
      </c>
      <c r="M550">
        <v>2510</v>
      </c>
      <c r="N550" t="s">
        <v>15987</v>
      </c>
    </row>
    <row r="551" spans="1:14">
      <c r="A551">
        <v>11110902</v>
      </c>
      <c r="B551">
        <v>3036557</v>
      </c>
      <c r="C551" t="s">
        <v>582</v>
      </c>
      <c r="D551" t="s">
        <v>441</v>
      </c>
      <c r="F551">
        <v>0</v>
      </c>
      <c r="H551" t="s">
        <v>8584</v>
      </c>
      <c r="I551">
        <v>4</v>
      </c>
      <c r="J551" t="s">
        <v>445</v>
      </c>
      <c r="M551">
        <v>6666</v>
      </c>
      <c r="N551" t="s">
        <v>15987</v>
      </c>
    </row>
    <row r="552" spans="1:14">
      <c r="A552">
        <v>11110907</v>
      </c>
      <c r="B552">
        <v>3036363</v>
      </c>
      <c r="C552" t="s">
        <v>583</v>
      </c>
      <c r="D552" t="s">
        <v>441</v>
      </c>
      <c r="F552">
        <v>0</v>
      </c>
      <c r="I552">
        <v>6</v>
      </c>
      <c r="J552" t="s">
        <v>445</v>
      </c>
      <c r="M552">
        <v>6666</v>
      </c>
      <c r="N552" t="s">
        <v>15987</v>
      </c>
    </row>
    <row r="553" spans="1:14">
      <c r="A553">
        <v>11114000</v>
      </c>
      <c r="B553">
        <v>3038899</v>
      </c>
      <c r="C553" t="s">
        <v>584</v>
      </c>
      <c r="D553" t="s">
        <v>441</v>
      </c>
      <c r="F553">
        <v>0</v>
      </c>
      <c r="G553">
        <v>11.08</v>
      </c>
      <c r="H553" t="s">
        <v>8549</v>
      </c>
      <c r="I553">
        <v>6</v>
      </c>
      <c r="J553" t="s">
        <v>445</v>
      </c>
      <c r="M553">
        <v>2391</v>
      </c>
      <c r="N553" t="s">
        <v>15987</v>
      </c>
    </row>
    <row r="554" spans="1:14">
      <c r="A554">
        <v>11114002</v>
      </c>
      <c r="B554">
        <v>3040541</v>
      </c>
      <c r="C554" t="s">
        <v>585</v>
      </c>
      <c r="D554" t="s">
        <v>441</v>
      </c>
      <c r="F554">
        <v>0</v>
      </c>
      <c r="G554">
        <v>11.56</v>
      </c>
      <c r="H554" t="s">
        <v>8588</v>
      </c>
      <c r="I554">
        <v>540</v>
      </c>
      <c r="J554" t="s">
        <v>445</v>
      </c>
      <c r="M554">
        <v>7111</v>
      </c>
      <c r="N554" t="s">
        <v>15987</v>
      </c>
    </row>
    <row r="555" spans="1:14">
      <c r="A555">
        <v>11114007</v>
      </c>
      <c r="B555">
        <v>3039054</v>
      </c>
      <c r="C555" t="s">
        <v>586</v>
      </c>
      <c r="D555" t="s">
        <v>441</v>
      </c>
      <c r="F555">
        <v>0</v>
      </c>
      <c r="G555">
        <v>11.2</v>
      </c>
      <c r="H555" t="s">
        <v>8549</v>
      </c>
      <c r="I555">
        <v>6</v>
      </c>
      <c r="J555" t="s">
        <v>445</v>
      </c>
      <c r="M555">
        <v>3111</v>
      </c>
      <c r="N555" t="s">
        <v>15987</v>
      </c>
    </row>
    <row r="556" spans="1:14">
      <c r="A556">
        <v>11114502</v>
      </c>
      <c r="B556">
        <v>3040540</v>
      </c>
      <c r="C556" t="s">
        <v>587</v>
      </c>
      <c r="D556" t="s">
        <v>441</v>
      </c>
      <c r="F556">
        <v>0</v>
      </c>
      <c r="G556">
        <v>11.18</v>
      </c>
      <c r="H556" t="s">
        <v>8549</v>
      </c>
      <c r="I556">
        <v>6</v>
      </c>
      <c r="J556" t="s">
        <v>445</v>
      </c>
      <c r="M556">
        <v>2502</v>
      </c>
      <c r="N556" t="s">
        <v>15987</v>
      </c>
    </row>
    <row r="557" spans="1:14">
      <c r="A557">
        <v>11114602</v>
      </c>
      <c r="B557">
        <v>3040544</v>
      </c>
      <c r="C557" t="s">
        <v>588</v>
      </c>
      <c r="D557" t="s">
        <v>441</v>
      </c>
      <c r="F557">
        <v>0</v>
      </c>
      <c r="G557">
        <v>11.88</v>
      </c>
      <c r="H557" t="s">
        <v>8549</v>
      </c>
      <c r="I557">
        <v>4</v>
      </c>
      <c r="J557" t="s">
        <v>445</v>
      </c>
      <c r="M557">
        <v>2510</v>
      </c>
      <c r="N557" t="s">
        <v>15987</v>
      </c>
    </row>
    <row r="558" spans="1:14">
      <c r="A558">
        <v>11114902</v>
      </c>
      <c r="B558">
        <v>3040548</v>
      </c>
      <c r="C558" t="s">
        <v>589</v>
      </c>
      <c r="D558" t="s">
        <v>441</v>
      </c>
      <c r="F558">
        <v>0</v>
      </c>
      <c r="G558">
        <v>1</v>
      </c>
      <c r="H558" t="s">
        <v>8549</v>
      </c>
      <c r="I558">
        <v>4</v>
      </c>
      <c r="J558" t="s">
        <v>445</v>
      </c>
      <c r="M558">
        <v>6666</v>
      </c>
      <c r="N558" t="s">
        <v>15987</v>
      </c>
    </row>
    <row r="559" spans="1:14">
      <c r="A559">
        <v>11114907</v>
      </c>
      <c r="B559">
        <v>3039069</v>
      </c>
      <c r="C559" t="s">
        <v>235</v>
      </c>
      <c r="D559" t="s">
        <v>441</v>
      </c>
      <c r="F559">
        <v>0</v>
      </c>
      <c r="H559" t="s">
        <v>8580</v>
      </c>
      <c r="I559">
        <v>6</v>
      </c>
      <c r="J559" t="s">
        <v>445</v>
      </c>
      <c r="M559">
        <v>6666</v>
      </c>
      <c r="N559" t="s">
        <v>15987</v>
      </c>
    </row>
    <row r="560" spans="1:14">
      <c r="A560">
        <v>11180000</v>
      </c>
      <c r="B560">
        <v>3012491</v>
      </c>
      <c r="C560" t="s">
        <v>590</v>
      </c>
      <c r="D560" t="s">
        <v>441</v>
      </c>
      <c r="F560">
        <v>0</v>
      </c>
      <c r="G560">
        <v>13.55</v>
      </c>
      <c r="I560">
        <v>6</v>
      </c>
      <c r="J560" t="s">
        <v>445</v>
      </c>
      <c r="K560" t="s">
        <v>446</v>
      </c>
      <c r="M560">
        <v>2390</v>
      </c>
    </row>
    <row r="561" spans="1:14">
      <c r="A561">
        <v>11180075</v>
      </c>
      <c r="B561">
        <v>3012511</v>
      </c>
      <c r="C561" t="s">
        <v>591</v>
      </c>
      <c r="D561" t="s">
        <v>441</v>
      </c>
      <c r="F561">
        <v>0</v>
      </c>
      <c r="G561">
        <v>13.76</v>
      </c>
      <c r="H561" t="s">
        <v>8588</v>
      </c>
      <c r="I561">
        <v>6</v>
      </c>
      <c r="J561" t="s">
        <v>445</v>
      </c>
      <c r="K561" t="s">
        <v>446</v>
      </c>
      <c r="M561">
        <v>2641</v>
      </c>
    </row>
    <row r="562" spans="1:14">
      <c r="A562">
        <v>11190030</v>
      </c>
      <c r="B562">
        <v>4005581</v>
      </c>
      <c r="C562" t="s">
        <v>8957</v>
      </c>
      <c r="D562" t="s">
        <v>442</v>
      </c>
      <c r="E562" t="s">
        <v>441</v>
      </c>
      <c r="F562">
        <v>0.72</v>
      </c>
      <c r="G562">
        <v>11.12</v>
      </c>
      <c r="H562" t="s">
        <v>8588</v>
      </c>
      <c r="I562">
        <v>12</v>
      </c>
      <c r="J562" t="s">
        <v>462</v>
      </c>
      <c r="K562" t="s">
        <v>446</v>
      </c>
      <c r="M562">
        <v>2611</v>
      </c>
    </row>
    <row r="563" spans="1:14">
      <c r="A563">
        <v>11190031</v>
      </c>
      <c r="B563">
        <v>4005584</v>
      </c>
      <c r="C563" t="s">
        <v>8958</v>
      </c>
      <c r="D563" t="s">
        <v>442</v>
      </c>
      <c r="E563" t="s">
        <v>441</v>
      </c>
      <c r="F563">
        <v>0.36</v>
      </c>
      <c r="G563">
        <v>5.84</v>
      </c>
      <c r="H563" t="s">
        <v>8588</v>
      </c>
      <c r="I563">
        <v>12</v>
      </c>
      <c r="J563" t="s">
        <v>462</v>
      </c>
      <c r="K563" t="s">
        <v>446</v>
      </c>
      <c r="M563">
        <v>2611</v>
      </c>
    </row>
    <row r="564" spans="1:14">
      <c r="A564">
        <v>11190032</v>
      </c>
      <c r="B564">
        <v>4005585</v>
      </c>
      <c r="C564" t="s">
        <v>8959</v>
      </c>
      <c r="D564" t="s">
        <v>441</v>
      </c>
      <c r="F564">
        <v>0</v>
      </c>
      <c r="G564">
        <v>14.53</v>
      </c>
      <c r="H564" t="s">
        <v>8588</v>
      </c>
      <c r="I564">
        <v>12</v>
      </c>
      <c r="J564" t="s">
        <v>462</v>
      </c>
      <c r="K564" t="s">
        <v>446</v>
      </c>
      <c r="M564">
        <v>2611</v>
      </c>
    </row>
    <row r="565" spans="1:14">
      <c r="A565">
        <v>11200000</v>
      </c>
      <c r="B565">
        <v>3008790</v>
      </c>
      <c r="C565" t="s">
        <v>592</v>
      </c>
      <c r="D565" t="s">
        <v>441</v>
      </c>
      <c r="F565">
        <v>0</v>
      </c>
      <c r="G565">
        <v>12.29</v>
      </c>
      <c r="H565" t="s">
        <v>8580</v>
      </c>
      <c r="I565">
        <v>5</v>
      </c>
      <c r="J565" t="s">
        <v>445</v>
      </c>
      <c r="K565" t="s">
        <v>446</v>
      </c>
      <c r="M565">
        <v>2390</v>
      </c>
    </row>
    <row r="566" spans="1:14">
      <c r="A566">
        <v>11200020</v>
      </c>
      <c r="B566">
        <v>4001775</v>
      </c>
      <c r="C566" t="s">
        <v>8960</v>
      </c>
      <c r="D566" t="s">
        <v>441</v>
      </c>
      <c r="F566">
        <v>0</v>
      </c>
      <c r="G566">
        <v>12.74</v>
      </c>
      <c r="H566" t="s">
        <v>8588</v>
      </c>
      <c r="I566">
        <v>6</v>
      </c>
      <c r="J566" t="s">
        <v>462</v>
      </c>
      <c r="K566" t="s">
        <v>446</v>
      </c>
      <c r="M566">
        <v>2641</v>
      </c>
    </row>
    <row r="567" spans="1:14">
      <c r="A567">
        <v>11210000</v>
      </c>
      <c r="B567">
        <v>3007440</v>
      </c>
      <c r="C567" t="s">
        <v>593</v>
      </c>
      <c r="D567" t="s">
        <v>441</v>
      </c>
      <c r="F567">
        <v>0</v>
      </c>
      <c r="G567">
        <v>10.32</v>
      </c>
      <c r="H567" t="s">
        <v>8580</v>
      </c>
      <c r="I567">
        <v>6</v>
      </c>
      <c r="J567" t="s">
        <v>445</v>
      </c>
      <c r="M567">
        <v>2391</v>
      </c>
      <c r="N567" t="s">
        <v>15988</v>
      </c>
    </row>
    <row r="568" spans="1:14">
      <c r="A568">
        <v>11210007</v>
      </c>
      <c r="B568">
        <v>3027053</v>
      </c>
      <c r="C568" t="s">
        <v>594</v>
      </c>
      <c r="D568" t="s">
        <v>441</v>
      </c>
      <c r="F568">
        <v>0</v>
      </c>
      <c r="G568">
        <v>12.15</v>
      </c>
      <c r="H568" t="s">
        <v>8588</v>
      </c>
      <c r="I568">
        <v>6</v>
      </c>
      <c r="J568" t="s">
        <v>445</v>
      </c>
      <c r="K568" t="s">
        <v>446</v>
      </c>
      <c r="M568">
        <v>2641</v>
      </c>
      <c r="N568" t="s">
        <v>15988</v>
      </c>
    </row>
    <row r="569" spans="1:14">
      <c r="A569">
        <v>11210030</v>
      </c>
      <c r="B569">
        <v>4003726</v>
      </c>
      <c r="C569" t="s">
        <v>8961</v>
      </c>
      <c r="D569" t="s">
        <v>442</v>
      </c>
      <c r="E569" t="s">
        <v>441</v>
      </c>
      <c r="F569">
        <v>0.75</v>
      </c>
      <c r="G569">
        <v>10.17</v>
      </c>
      <c r="H569" t="s">
        <v>8588</v>
      </c>
      <c r="I569">
        <v>12</v>
      </c>
      <c r="J569" t="s">
        <v>462</v>
      </c>
      <c r="K569" t="s">
        <v>446</v>
      </c>
      <c r="M569">
        <v>2611</v>
      </c>
    </row>
    <row r="570" spans="1:14">
      <c r="A570">
        <v>11210031</v>
      </c>
      <c r="B570">
        <v>4012617</v>
      </c>
      <c r="C570" t="s">
        <v>8962</v>
      </c>
      <c r="D570" t="s">
        <v>442</v>
      </c>
      <c r="E570" t="s">
        <v>441</v>
      </c>
      <c r="F570">
        <v>0.625</v>
      </c>
      <c r="G570">
        <v>8.5500000000000007</v>
      </c>
      <c r="H570" t="s">
        <v>8588</v>
      </c>
      <c r="I570">
        <v>12</v>
      </c>
      <c r="J570" t="s">
        <v>462</v>
      </c>
      <c r="K570" t="s">
        <v>446</v>
      </c>
      <c r="M570">
        <v>2611</v>
      </c>
    </row>
    <row r="571" spans="1:14">
      <c r="A571">
        <v>11210032</v>
      </c>
      <c r="B571">
        <v>4015754</v>
      </c>
      <c r="C571" t="s">
        <v>595</v>
      </c>
      <c r="D571" t="s">
        <v>441</v>
      </c>
      <c r="F571">
        <v>0</v>
      </c>
      <c r="G571">
        <v>14.08</v>
      </c>
      <c r="H571" t="s">
        <v>8588</v>
      </c>
      <c r="I571">
        <v>12</v>
      </c>
      <c r="J571" t="s">
        <v>462</v>
      </c>
      <c r="K571" t="s">
        <v>446</v>
      </c>
      <c r="M571">
        <v>2611</v>
      </c>
      <c r="N571" t="s">
        <v>15988</v>
      </c>
    </row>
    <row r="572" spans="1:14">
      <c r="A572">
        <v>11210035</v>
      </c>
      <c r="B572">
        <v>4003727</v>
      </c>
      <c r="C572" t="s">
        <v>8963</v>
      </c>
      <c r="D572" t="s">
        <v>441</v>
      </c>
      <c r="F572">
        <v>0</v>
      </c>
      <c r="G572">
        <v>13.92</v>
      </c>
      <c r="H572" t="s">
        <v>8588</v>
      </c>
      <c r="I572">
        <v>12</v>
      </c>
      <c r="J572" t="s">
        <v>462</v>
      </c>
      <c r="K572" t="s">
        <v>446</v>
      </c>
      <c r="M572">
        <v>2611</v>
      </c>
    </row>
    <row r="573" spans="1:14">
      <c r="A573">
        <v>11210039</v>
      </c>
      <c r="B573">
        <v>4003728</v>
      </c>
      <c r="C573" t="s">
        <v>8964</v>
      </c>
      <c r="D573" t="s">
        <v>442</v>
      </c>
      <c r="E573" t="s">
        <v>441</v>
      </c>
      <c r="F573">
        <v>0.75</v>
      </c>
      <c r="G573">
        <v>10.75</v>
      </c>
      <c r="H573" t="s">
        <v>8588</v>
      </c>
      <c r="I573">
        <v>12</v>
      </c>
      <c r="J573" t="s">
        <v>462</v>
      </c>
      <c r="K573" t="s">
        <v>446</v>
      </c>
      <c r="M573">
        <v>2611</v>
      </c>
      <c r="N573" t="s">
        <v>15988</v>
      </c>
    </row>
    <row r="574" spans="1:14">
      <c r="A574">
        <v>11210065</v>
      </c>
      <c r="B574">
        <v>4015281</v>
      </c>
      <c r="C574" t="s">
        <v>8965</v>
      </c>
      <c r="D574" t="s">
        <v>442</v>
      </c>
      <c r="E574" t="s">
        <v>441</v>
      </c>
      <c r="F574">
        <v>0.75</v>
      </c>
      <c r="G574">
        <v>11.03</v>
      </c>
      <c r="H574" t="s">
        <v>8588</v>
      </c>
      <c r="I574">
        <v>12</v>
      </c>
      <c r="J574" t="s">
        <v>462</v>
      </c>
      <c r="K574" t="s">
        <v>446</v>
      </c>
      <c r="M574">
        <v>2611</v>
      </c>
      <c r="N574" t="s">
        <v>15988</v>
      </c>
    </row>
    <row r="575" spans="1:14">
      <c r="A575">
        <v>11210066</v>
      </c>
      <c r="B575">
        <v>4006573</v>
      </c>
      <c r="C575" t="s">
        <v>8966</v>
      </c>
      <c r="D575" t="s">
        <v>442</v>
      </c>
      <c r="E575" t="s">
        <v>441</v>
      </c>
      <c r="F575">
        <v>0.75</v>
      </c>
      <c r="G575">
        <v>11.19</v>
      </c>
      <c r="H575" t="s">
        <v>8588</v>
      </c>
      <c r="I575">
        <v>12</v>
      </c>
      <c r="J575" t="s">
        <v>462</v>
      </c>
      <c r="K575" t="s">
        <v>446</v>
      </c>
      <c r="M575">
        <v>2611</v>
      </c>
      <c r="N575" t="s">
        <v>15988</v>
      </c>
    </row>
    <row r="576" spans="1:14">
      <c r="A576">
        <v>11210067</v>
      </c>
      <c r="B576">
        <v>4006606</v>
      </c>
      <c r="C576" t="s">
        <v>8967</v>
      </c>
      <c r="D576" t="s">
        <v>441</v>
      </c>
      <c r="F576">
        <v>0</v>
      </c>
      <c r="G576">
        <v>14.63</v>
      </c>
      <c r="H576" t="s">
        <v>8587</v>
      </c>
      <c r="I576">
        <v>9</v>
      </c>
      <c r="J576" t="s">
        <v>462</v>
      </c>
      <c r="K576" t="s">
        <v>446</v>
      </c>
      <c r="M576">
        <v>2611</v>
      </c>
    </row>
    <row r="577" spans="1:14">
      <c r="A577">
        <v>11210068</v>
      </c>
      <c r="B577">
        <v>4006607</v>
      </c>
      <c r="C577" t="s">
        <v>8968</v>
      </c>
      <c r="D577" t="s">
        <v>441</v>
      </c>
      <c r="F577">
        <v>0</v>
      </c>
      <c r="G577">
        <v>13.07</v>
      </c>
      <c r="H577" t="s">
        <v>8587</v>
      </c>
      <c r="I577">
        <v>9</v>
      </c>
      <c r="J577" t="s">
        <v>462</v>
      </c>
      <c r="K577" t="s">
        <v>446</v>
      </c>
      <c r="M577">
        <v>2611</v>
      </c>
    </row>
    <row r="578" spans="1:14">
      <c r="A578">
        <v>11210069</v>
      </c>
      <c r="B578">
        <v>4007139</v>
      </c>
      <c r="C578" t="s">
        <v>8969</v>
      </c>
      <c r="D578" t="s">
        <v>442</v>
      </c>
      <c r="E578" t="s">
        <v>441</v>
      </c>
      <c r="F578">
        <v>1.1000000000000001</v>
      </c>
      <c r="G578">
        <v>14.75</v>
      </c>
      <c r="H578" t="s">
        <v>8588</v>
      </c>
      <c r="I578">
        <v>12</v>
      </c>
      <c r="J578" t="s">
        <v>462</v>
      </c>
      <c r="K578" t="s">
        <v>446</v>
      </c>
      <c r="M578">
        <v>2611</v>
      </c>
    </row>
    <row r="579" spans="1:14">
      <c r="A579">
        <v>11210075</v>
      </c>
      <c r="B579">
        <v>3026996</v>
      </c>
      <c r="C579" t="s">
        <v>596</v>
      </c>
      <c r="D579" t="s">
        <v>441</v>
      </c>
      <c r="F579">
        <v>0</v>
      </c>
      <c r="G579">
        <v>12.19</v>
      </c>
      <c r="H579" t="s">
        <v>8588</v>
      </c>
      <c r="I579">
        <v>6</v>
      </c>
      <c r="J579" t="s">
        <v>445</v>
      </c>
      <c r="K579" t="s">
        <v>446</v>
      </c>
      <c r="M579">
        <v>2641</v>
      </c>
      <c r="N579" t="s">
        <v>15988</v>
      </c>
    </row>
    <row r="580" spans="1:14">
      <c r="A580">
        <v>11211035</v>
      </c>
      <c r="B580">
        <v>4011583</v>
      </c>
      <c r="C580" t="s">
        <v>8970</v>
      </c>
      <c r="D580" t="s">
        <v>441</v>
      </c>
      <c r="F580">
        <v>0</v>
      </c>
      <c r="G580">
        <v>13.57</v>
      </c>
      <c r="H580" t="s">
        <v>8588</v>
      </c>
      <c r="I580">
        <v>12</v>
      </c>
      <c r="J580" t="s">
        <v>462</v>
      </c>
      <c r="K580" t="s">
        <v>446</v>
      </c>
      <c r="M580">
        <v>2611</v>
      </c>
      <c r="N580" t="s">
        <v>15988</v>
      </c>
    </row>
    <row r="581" spans="1:14">
      <c r="A581">
        <v>11211039</v>
      </c>
      <c r="B581">
        <v>4011584</v>
      </c>
      <c r="C581" t="s">
        <v>8971</v>
      </c>
      <c r="D581" t="s">
        <v>442</v>
      </c>
      <c r="E581" t="s">
        <v>441</v>
      </c>
      <c r="F581">
        <v>0.75</v>
      </c>
      <c r="G581">
        <v>11.34</v>
      </c>
      <c r="H581" t="s">
        <v>8588</v>
      </c>
      <c r="I581">
        <v>12</v>
      </c>
      <c r="J581" t="s">
        <v>462</v>
      </c>
      <c r="K581" t="s">
        <v>446</v>
      </c>
      <c r="M581">
        <v>2611</v>
      </c>
    </row>
    <row r="582" spans="1:14">
      <c r="A582">
        <v>11211066</v>
      </c>
      <c r="B582">
        <v>4011661</v>
      </c>
      <c r="C582" t="s">
        <v>8972</v>
      </c>
      <c r="D582" t="s">
        <v>442</v>
      </c>
      <c r="E582" t="s">
        <v>441</v>
      </c>
      <c r="F582">
        <v>0.75</v>
      </c>
      <c r="G582">
        <v>10.85</v>
      </c>
      <c r="H582" t="s">
        <v>8588</v>
      </c>
      <c r="I582">
        <v>12</v>
      </c>
      <c r="J582" t="s">
        <v>462</v>
      </c>
      <c r="K582" t="s">
        <v>446</v>
      </c>
      <c r="M582">
        <v>2611</v>
      </c>
      <c r="N582" t="s">
        <v>15988</v>
      </c>
    </row>
    <row r="583" spans="1:14">
      <c r="A583">
        <v>11211067</v>
      </c>
      <c r="B583">
        <v>4011667</v>
      </c>
      <c r="C583" t="s">
        <v>8973</v>
      </c>
      <c r="D583" t="s">
        <v>441</v>
      </c>
      <c r="F583">
        <v>0</v>
      </c>
      <c r="G583">
        <v>14.63</v>
      </c>
      <c r="H583" t="s">
        <v>8587</v>
      </c>
      <c r="I583">
        <v>9</v>
      </c>
      <c r="J583" t="s">
        <v>462</v>
      </c>
      <c r="K583" t="s">
        <v>446</v>
      </c>
      <c r="M583">
        <v>2611</v>
      </c>
    </row>
    <row r="584" spans="1:14">
      <c r="A584">
        <v>11211068</v>
      </c>
      <c r="B584">
        <v>4011668</v>
      </c>
      <c r="C584" t="s">
        <v>8974</v>
      </c>
      <c r="D584" t="s">
        <v>441</v>
      </c>
      <c r="F584">
        <v>0</v>
      </c>
      <c r="G584">
        <v>13.07</v>
      </c>
      <c r="H584" t="s">
        <v>8587</v>
      </c>
      <c r="I584">
        <v>9</v>
      </c>
      <c r="J584" t="s">
        <v>462</v>
      </c>
      <c r="K584" t="s">
        <v>446</v>
      </c>
      <c r="M584">
        <v>2611</v>
      </c>
    </row>
    <row r="585" spans="1:14">
      <c r="A585">
        <v>11211069</v>
      </c>
      <c r="B585">
        <v>4011716</v>
      </c>
      <c r="C585" t="s">
        <v>8975</v>
      </c>
      <c r="D585" t="s">
        <v>442</v>
      </c>
      <c r="E585" t="s">
        <v>441</v>
      </c>
      <c r="F585">
        <v>1.1000000000000001</v>
      </c>
      <c r="G585">
        <v>14.75</v>
      </c>
      <c r="H585" t="s">
        <v>8588</v>
      </c>
      <c r="I585">
        <v>12</v>
      </c>
      <c r="J585" t="s">
        <v>462</v>
      </c>
      <c r="K585" t="s">
        <v>446</v>
      </c>
      <c r="M585">
        <v>2611</v>
      </c>
    </row>
    <row r="586" spans="1:14">
      <c r="A586">
        <v>11214000</v>
      </c>
      <c r="B586">
        <v>3017002</v>
      </c>
      <c r="C586" t="s">
        <v>8976</v>
      </c>
      <c r="D586" t="s">
        <v>441</v>
      </c>
      <c r="F586">
        <v>0</v>
      </c>
      <c r="G586">
        <v>13.17</v>
      </c>
      <c r="H586" t="s">
        <v>8935</v>
      </c>
      <c r="I586">
        <v>6</v>
      </c>
      <c r="J586" t="s">
        <v>445</v>
      </c>
      <c r="K586" t="s">
        <v>446</v>
      </c>
      <c r="M586">
        <v>2611</v>
      </c>
      <c r="N586" t="s">
        <v>15988</v>
      </c>
    </row>
    <row r="587" spans="1:14">
      <c r="A587">
        <v>11215000</v>
      </c>
      <c r="B587">
        <v>3017840</v>
      </c>
      <c r="C587" t="s">
        <v>8977</v>
      </c>
      <c r="D587" t="s">
        <v>441</v>
      </c>
      <c r="F587">
        <v>0</v>
      </c>
      <c r="G587">
        <v>13.21</v>
      </c>
      <c r="H587" t="s">
        <v>8583</v>
      </c>
      <c r="I587">
        <v>6</v>
      </c>
      <c r="J587" t="s">
        <v>445</v>
      </c>
      <c r="K587" t="s">
        <v>446</v>
      </c>
      <c r="M587">
        <v>2611</v>
      </c>
      <c r="N587" t="s">
        <v>15988</v>
      </c>
    </row>
    <row r="588" spans="1:14">
      <c r="A588">
        <v>11220000</v>
      </c>
      <c r="B588">
        <v>3012365</v>
      </c>
      <c r="C588" t="s">
        <v>8978</v>
      </c>
      <c r="D588" t="s">
        <v>441</v>
      </c>
      <c r="F588">
        <v>0</v>
      </c>
      <c r="G588">
        <v>15.03</v>
      </c>
      <c r="I588">
        <v>6</v>
      </c>
      <c r="J588" t="s">
        <v>445</v>
      </c>
      <c r="K588" t="s">
        <v>446</v>
      </c>
      <c r="M588">
        <v>2611</v>
      </c>
    </row>
    <row r="589" spans="1:14">
      <c r="A589">
        <v>11220075</v>
      </c>
      <c r="B589">
        <v>4009940</v>
      </c>
      <c r="C589" t="s">
        <v>8979</v>
      </c>
      <c r="D589" t="s">
        <v>441</v>
      </c>
      <c r="F589">
        <v>0</v>
      </c>
      <c r="G589">
        <v>15.34</v>
      </c>
      <c r="H589" t="s">
        <v>8588</v>
      </c>
      <c r="I589">
        <v>6</v>
      </c>
      <c r="J589" t="s">
        <v>462</v>
      </c>
      <c r="K589" t="s">
        <v>446</v>
      </c>
      <c r="M589">
        <v>2641</v>
      </c>
    </row>
    <row r="590" spans="1:14">
      <c r="A590">
        <v>11223344</v>
      </c>
      <c r="B590">
        <v>3022001</v>
      </c>
      <c r="C590" t="s">
        <v>597</v>
      </c>
      <c r="D590" t="s">
        <v>441</v>
      </c>
      <c r="F590">
        <v>0</v>
      </c>
      <c r="H590" t="s">
        <v>8588</v>
      </c>
      <c r="I590">
        <v>365</v>
      </c>
      <c r="J590" t="s">
        <v>445</v>
      </c>
      <c r="K590" t="s">
        <v>446</v>
      </c>
      <c r="M590">
        <v>0</v>
      </c>
    </row>
    <row r="591" spans="1:14">
      <c r="A591">
        <v>11250000</v>
      </c>
      <c r="B591">
        <v>3008791</v>
      </c>
      <c r="C591" t="s">
        <v>598</v>
      </c>
      <c r="D591" t="s">
        <v>441</v>
      </c>
      <c r="F591">
        <v>0</v>
      </c>
      <c r="G591">
        <v>12.57</v>
      </c>
      <c r="H591" t="s">
        <v>8580</v>
      </c>
      <c r="I591">
        <v>6</v>
      </c>
      <c r="J591" t="s">
        <v>445</v>
      </c>
      <c r="K591" t="s">
        <v>446</v>
      </c>
      <c r="M591">
        <v>0</v>
      </c>
    </row>
    <row r="592" spans="1:14">
      <c r="A592">
        <v>11270000</v>
      </c>
      <c r="B592">
        <v>3007441</v>
      </c>
      <c r="C592" t="s">
        <v>599</v>
      </c>
      <c r="D592" t="s">
        <v>441</v>
      </c>
      <c r="F592">
        <v>0</v>
      </c>
      <c r="G592">
        <v>12.01</v>
      </c>
      <c r="H592" t="s">
        <v>8580</v>
      </c>
      <c r="I592">
        <v>6</v>
      </c>
      <c r="J592" t="s">
        <v>445</v>
      </c>
      <c r="K592" t="s">
        <v>446</v>
      </c>
      <c r="M592">
        <v>2611</v>
      </c>
      <c r="N592" t="s">
        <v>15983</v>
      </c>
    </row>
    <row r="593" spans="1:14">
      <c r="A593">
        <v>11270030</v>
      </c>
      <c r="B593">
        <v>4006961</v>
      </c>
      <c r="C593" t="s">
        <v>8980</v>
      </c>
      <c r="D593" t="s">
        <v>442</v>
      </c>
      <c r="E593" t="s">
        <v>441</v>
      </c>
      <c r="F593">
        <v>0.36</v>
      </c>
      <c r="G593">
        <v>6.15</v>
      </c>
      <c r="H593" t="s">
        <v>8588</v>
      </c>
      <c r="I593">
        <v>12</v>
      </c>
      <c r="J593" t="s">
        <v>462</v>
      </c>
      <c r="K593" t="s">
        <v>446</v>
      </c>
      <c r="M593">
        <v>2611</v>
      </c>
    </row>
    <row r="594" spans="1:14">
      <c r="A594">
        <v>11270031</v>
      </c>
      <c r="B594">
        <v>4003731</v>
      </c>
      <c r="C594" t="s">
        <v>8981</v>
      </c>
      <c r="D594" t="s">
        <v>442</v>
      </c>
      <c r="E594" t="s">
        <v>441</v>
      </c>
      <c r="F594">
        <v>0.36</v>
      </c>
      <c r="G594">
        <v>5.58</v>
      </c>
      <c r="H594" t="s">
        <v>8588</v>
      </c>
      <c r="I594">
        <v>12</v>
      </c>
      <c r="J594" t="s">
        <v>462</v>
      </c>
      <c r="K594" t="s">
        <v>446</v>
      </c>
      <c r="M594">
        <v>2611</v>
      </c>
      <c r="N594" t="s">
        <v>15983</v>
      </c>
    </row>
    <row r="595" spans="1:14">
      <c r="A595">
        <v>11270033</v>
      </c>
      <c r="B595">
        <v>4003733</v>
      </c>
      <c r="C595" t="s">
        <v>8982</v>
      </c>
      <c r="D595" t="s">
        <v>442</v>
      </c>
      <c r="E595" t="s">
        <v>441</v>
      </c>
      <c r="F595">
        <v>0.36</v>
      </c>
      <c r="G595">
        <v>5.67</v>
      </c>
      <c r="H595" t="s">
        <v>8588</v>
      </c>
      <c r="I595">
        <v>12</v>
      </c>
      <c r="J595" t="s">
        <v>462</v>
      </c>
      <c r="K595" t="s">
        <v>446</v>
      </c>
      <c r="L595" t="s">
        <v>8983</v>
      </c>
      <c r="M595">
        <v>2611</v>
      </c>
      <c r="N595" t="s">
        <v>15983</v>
      </c>
    </row>
    <row r="596" spans="1:14">
      <c r="A596">
        <v>11270034</v>
      </c>
      <c r="B596">
        <v>4015474</v>
      </c>
      <c r="C596" t="s">
        <v>8984</v>
      </c>
      <c r="D596" t="s">
        <v>442</v>
      </c>
      <c r="E596" t="s">
        <v>441</v>
      </c>
      <c r="F596">
        <v>0.7</v>
      </c>
      <c r="G596">
        <v>10.55</v>
      </c>
      <c r="H596" t="s">
        <v>8588</v>
      </c>
      <c r="I596">
        <v>12</v>
      </c>
      <c r="J596" t="s">
        <v>462</v>
      </c>
      <c r="K596" t="s">
        <v>446</v>
      </c>
      <c r="M596">
        <v>2611</v>
      </c>
      <c r="N596" t="s">
        <v>15983</v>
      </c>
    </row>
    <row r="597" spans="1:14">
      <c r="A597">
        <v>11270036</v>
      </c>
      <c r="B597">
        <v>4003735</v>
      </c>
      <c r="C597" t="s">
        <v>8985</v>
      </c>
      <c r="D597" t="s">
        <v>442</v>
      </c>
      <c r="E597" t="s">
        <v>441</v>
      </c>
      <c r="F597">
        <v>0.36</v>
      </c>
      <c r="G597">
        <v>5.81</v>
      </c>
      <c r="H597" t="s">
        <v>8588</v>
      </c>
      <c r="I597">
        <v>12</v>
      </c>
      <c r="J597" t="s">
        <v>462</v>
      </c>
      <c r="K597" t="s">
        <v>446</v>
      </c>
      <c r="M597">
        <v>2611</v>
      </c>
      <c r="N597" t="s">
        <v>15983</v>
      </c>
    </row>
    <row r="598" spans="1:14">
      <c r="A598">
        <v>11270038</v>
      </c>
      <c r="B598">
        <v>4010971</v>
      </c>
      <c r="C598" t="s">
        <v>8986</v>
      </c>
      <c r="D598" t="s">
        <v>442</v>
      </c>
      <c r="E598" t="s">
        <v>441</v>
      </c>
      <c r="F598">
        <v>0.36</v>
      </c>
      <c r="G598">
        <v>5.51</v>
      </c>
      <c r="H598" t="s">
        <v>8588</v>
      </c>
      <c r="I598">
        <v>12</v>
      </c>
      <c r="J598" t="s">
        <v>462</v>
      </c>
      <c r="K598" t="s">
        <v>446</v>
      </c>
      <c r="M598">
        <v>2611</v>
      </c>
      <c r="N598" t="s">
        <v>15983</v>
      </c>
    </row>
    <row r="599" spans="1:14">
      <c r="A599">
        <v>11270039</v>
      </c>
      <c r="B599">
        <v>4006699</v>
      </c>
      <c r="C599" t="s">
        <v>8987</v>
      </c>
      <c r="D599" t="s">
        <v>442</v>
      </c>
      <c r="E599" t="s">
        <v>441</v>
      </c>
      <c r="F599">
        <v>0.36</v>
      </c>
      <c r="G599">
        <v>6.14</v>
      </c>
      <c r="H599" t="s">
        <v>8588</v>
      </c>
      <c r="I599">
        <v>9</v>
      </c>
      <c r="J599" t="s">
        <v>462</v>
      </c>
      <c r="K599" t="s">
        <v>446</v>
      </c>
      <c r="M599">
        <v>2611</v>
      </c>
    </row>
    <row r="600" spans="1:14">
      <c r="A600">
        <v>11270041</v>
      </c>
      <c r="B600">
        <v>4008678</v>
      </c>
      <c r="C600" t="s">
        <v>8988</v>
      </c>
      <c r="D600" t="s">
        <v>441</v>
      </c>
      <c r="F600">
        <v>0</v>
      </c>
      <c r="G600">
        <v>15.03</v>
      </c>
      <c r="H600" t="s">
        <v>8922</v>
      </c>
      <c r="I600">
        <v>14</v>
      </c>
      <c r="J600" t="s">
        <v>462</v>
      </c>
      <c r="K600" t="s">
        <v>446</v>
      </c>
      <c r="M600">
        <v>2612</v>
      </c>
    </row>
    <row r="601" spans="1:14">
      <c r="A601">
        <v>11270050</v>
      </c>
      <c r="B601">
        <v>4009970</v>
      </c>
      <c r="C601" t="s">
        <v>8989</v>
      </c>
      <c r="D601" t="s">
        <v>441</v>
      </c>
      <c r="F601">
        <v>0</v>
      </c>
      <c r="G601">
        <v>14.85</v>
      </c>
      <c r="H601" t="s">
        <v>8922</v>
      </c>
      <c r="I601">
        <v>16</v>
      </c>
      <c r="J601" t="s">
        <v>462</v>
      </c>
      <c r="K601" t="s">
        <v>446</v>
      </c>
      <c r="M601">
        <v>2612</v>
      </c>
    </row>
    <row r="602" spans="1:14">
      <c r="A602">
        <v>11270064</v>
      </c>
      <c r="B602">
        <v>4008004</v>
      </c>
      <c r="C602" t="s">
        <v>8990</v>
      </c>
      <c r="D602" t="s">
        <v>442</v>
      </c>
      <c r="E602" t="s">
        <v>441</v>
      </c>
      <c r="F602">
        <v>2.88</v>
      </c>
      <c r="G602">
        <v>45.23</v>
      </c>
      <c r="H602" t="s">
        <v>8588</v>
      </c>
      <c r="I602">
        <v>12</v>
      </c>
      <c r="J602" t="s">
        <v>462</v>
      </c>
      <c r="K602" t="s">
        <v>446</v>
      </c>
      <c r="M602">
        <v>2611</v>
      </c>
    </row>
    <row r="603" spans="1:14">
      <c r="A603">
        <v>11270065</v>
      </c>
      <c r="B603">
        <v>4008012</v>
      </c>
      <c r="C603" t="s">
        <v>8991</v>
      </c>
      <c r="D603" t="s">
        <v>442</v>
      </c>
      <c r="E603" t="s">
        <v>441</v>
      </c>
      <c r="F603">
        <v>0.42</v>
      </c>
      <c r="G603">
        <v>7.06</v>
      </c>
      <c r="H603" t="s">
        <v>8588</v>
      </c>
      <c r="I603">
        <v>12</v>
      </c>
      <c r="J603" t="s">
        <v>462</v>
      </c>
      <c r="K603" t="s">
        <v>446</v>
      </c>
      <c r="M603">
        <v>2611</v>
      </c>
    </row>
    <row r="604" spans="1:14">
      <c r="A604">
        <v>11270066</v>
      </c>
      <c r="B604">
        <v>4015741</v>
      </c>
      <c r="C604" t="s">
        <v>8992</v>
      </c>
      <c r="D604" t="s">
        <v>442</v>
      </c>
      <c r="E604" t="s">
        <v>441</v>
      </c>
      <c r="F604">
        <v>1</v>
      </c>
      <c r="G604">
        <v>14</v>
      </c>
      <c r="H604" t="s">
        <v>8588</v>
      </c>
      <c r="I604">
        <v>12</v>
      </c>
      <c r="J604" t="s">
        <v>462</v>
      </c>
      <c r="K604" t="s">
        <v>446</v>
      </c>
      <c r="L604" t="s">
        <v>8993</v>
      </c>
      <c r="M604">
        <v>2611</v>
      </c>
      <c r="N604" t="s">
        <v>15983</v>
      </c>
    </row>
    <row r="605" spans="1:14">
      <c r="A605">
        <v>11270067</v>
      </c>
      <c r="B605">
        <v>4011107</v>
      </c>
      <c r="C605" t="s">
        <v>8994</v>
      </c>
      <c r="D605" t="s">
        <v>442</v>
      </c>
      <c r="E605" t="s">
        <v>441</v>
      </c>
      <c r="F605">
        <v>0.36</v>
      </c>
      <c r="G605">
        <v>5.25</v>
      </c>
      <c r="H605" t="s">
        <v>8588</v>
      </c>
      <c r="I605">
        <v>12</v>
      </c>
      <c r="J605" t="s">
        <v>462</v>
      </c>
      <c r="K605" t="s">
        <v>446</v>
      </c>
      <c r="M605">
        <v>2611</v>
      </c>
    </row>
    <row r="606" spans="1:14">
      <c r="A606">
        <v>11270092</v>
      </c>
      <c r="B606">
        <v>4016963</v>
      </c>
      <c r="C606" t="s">
        <v>8995</v>
      </c>
      <c r="D606" t="s">
        <v>442</v>
      </c>
      <c r="E606" t="s">
        <v>441</v>
      </c>
      <c r="F606">
        <v>0.36</v>
      </c>
      <c r="G606">
        <v>5.81</v>
      </c>
      <c r="H606" t="s">
        <v>8588</v>
      </c>
      <c r="I606">
        <v>12</v>
      </c>
      <c r="J606" t="s">
        <v>462</v>
      </c>
      <c r="K606" t="s">
        <v>446</v>
      </c>
      <c r="M606">
        <v>2611</v>
      </c>
      <c r="N606" t="s">
        <v>15983</v>
      </c>
    </row>
    <row r="607" spans="1:14">
      <c r="A607">
        <v>11270093</v>
      </c>
      <c r="B607">
        <v>4016960</v>
      </c>
      <c r="C607" t="s">
        <v>8996</v>
      </c>
      <c r="D607" t="s">
        <v>442</v>
      </c>
      <c r="E607" t="s">
        <v>441</v>
      </c>
      <c r="F607">
        <v>0.7</v>
      </c>
      <c r="G607">
        <v>10.55</v>
      </c>
      <c r="H607" t="s">
        <v>8588</v>
      </c>
      <c r="I607">
        <v>12</v>
      </c>
      <c r="J607" t="s">
        <v>462</v>
      </c>
      <c r="K607" t="s">
        <v>446</v>
      </c>
      <c r="M607">
        <v>2611</v>
      </c>
      <c r="N607" t="s">
        <v>15983</v>
      </c>
    </row>
    <row r="608" spans="1:14">
      <c r="A608">
        <v>11270094</v>
      </c>
      <c r="B608">
        <v>4006155</v>
      </c>
      <c r="C608" t="s">
        <v>8997</v>
      </c>
      <c r="D608" t="s">
        <v>442</v>
      </c>
      <c r="E608" t="s">
        <v>441</v>
      </c>
      <c r="F608">
        <v>0.36</v>
      </c>
      <c r="G608">
        <v>5.84</v>
      </c>
      <c r="H608" t="s">
        <v>8588</v>
      </c>
      <c r="I608">
        <v>12</v>
      </c>
      <c r="J608" t="s">
        <v>462</v>
      </c>
      <c r="K608" t="s">
        <v>446</v>
      </c>
      <c r="M608">
        <v>2611</v>
      </c>
    </row>
    <row r="609" spans="1:14">
      <c r="A609">
        <v>11270096</v>
      </c>
      <c r="B609">
        <v>4016898</v>
      </c>
      <c r="C609" t="s">
        <v>8998</v>
      </c>
      <c r="D609" t="s">
        <v>442</v>
      </c>
      <c r="E609" t="s">
        <v>441</v>
      </c>
      <c r="F609">
        <v>0.36</v>
      </c>
      <c r="G609">
        <v>5.8</v>
      </c>
      <c r="H609" t="s">
        <v>8588</v>
      </c>
      <c r="I609">
        <v>10</v>
      </c>
      <c r="J609" t="s">
        <v>462</v>
      </c>
      <c r="K609" t="s">
        <v>446</v>
      </c>
      <c r="M609">
        <v>2611</v>
      </c>
      <c r="N609" t="s">
        <v>15983</v>
      </c>
    </row>
    <row r="610" spans="1:14">
      <c r="A610">
        <v>11270097</v>
      </c>
      <c r="B610">
        <v>4003739</v>
      </c>
      <c r="C610" t="s">
        <v>8999</v>
      </c>
      <c r="D610" t="s">
        <v>442</v>
      </c>
      <c r="E610" t="s">
        <v>441</v>
      </c>
      <c r="F610">
        <v>0.36</v>
      </c>
      <c r="G610">
        <v>6.11</v>
      </c>
      <c r="H610" t="s">
        <v>8588</v>
      </c>
      <c r="I610">
        <v>12</v>
      </c>
      <c r="J610" t="s">
        <v>462</v>
      </c>
      <c r="K610" t="s">
        <v>446</v>
      </c>
      <c r="M610">
        <v>2611</v>
      </c>
    </row>
    <row r="611" spans="1:14">
      <c r="A611">
        <v>11270296</v>
      </c>
      <c r="B611">
        <v>3026331</v>
      </c>
      <c r="C611" t="s">
        <v>9000</v>
      </c>
      <c r="D611" t="s">
        <v>442</v>
      </c>
      <c r="E611" t="s">
        <v>441</v>
      </c>
      <c r="F611">
        <v>0.36</v>
      </c>
      <c r="G611">
        <v>5.23</v>
      </c>
      <c r="H611" t="s">
        <v>8588</v>
      </c>
      <c r="I611">
        <v>2</v>
      </c>
      <c r="J611" t="s">
        <v>445</v>
      </c>
      <c r="K611" t="s">
        <v>446</v>
      </c>
      <c r="M611">
        <v>2611</v>
      </c>
      <c r="N611" t="s">
        <v>15983</v>
      </c>
    </row>
    <row r="612" spans="1:14">
      <c r="A612">
        <v>11271000</v>
      </c>
      <c r="B612">
        <v>3017369</v>
      </c>
      <c r="C612" t="s">
        <v>9001</v>
      </c>
      <c r="D612" t="s">
        <v>441</v>
      </c>
      <c r="F612">
        <v>0</v>
      </c>
      <c r="G612">
        <v>12.01</v>
      </c>
      <c r="H612" t="s">
        <v>8935</v>
      </c>
      <c r="I612">
        <v>6</v>
      </c>
      <c r="J612" t="s">
        <v>445</v>
      </c>
      <c r="K612" t="s">
        <v>446</v>
      </c>
      <c r="M612">
        <v>2611</v>
      </c>
      <c r="N612" t="s">
        <v>15983</v>
      </c>
    </row>
    <row r="613" spans="1:14">
      <c r="A613">
        <v>11271030</v>
      </c>
      <c r="B613">
        <v>4011677</v>
      </c>
      <c r="C613" t="s">
        <v>9002</v>
      </c>
      <c r="D613" t="s">
        <v>442</v>
      </c>
      <c r="E613" t="s">
        <v>441</v>
      </c>
      <c r="F613">
        <v>0.36</v>
      </c>
      <c r="G613">
        <v>6.15</v>
      </c>
      <c r="H613" t="s">
        <v>8588</v>
      </c>
      <c r="I613">
        <v>12</v>
      </c>
      <c r="J613" t="s">
        <v>462</v>
      </c>
      <c r="K613" t="s">
        <v>446</v>
      </c>
      <c r="M613">
        <v>2611</v>
      </c>
    </row>
    <row r="614" spans="1:14">
      <c r="A614">
        <v>11271031</v>
      </c>
      <c r="B614">
        <v>4011585</v>
      </c>
      <c r="C614" t="s">
        <v>9003</v>
      </c>
      <c r="D614" t="s">
        <v>442</v>
      </c>
      <c r="E614" t="s">
        <v>441</v>
      </c>
      <c r="F614">
        <v>0.36</v>
      </c>
      <c r="G614">
        <v>5.58</v>
      </c>
      <c r="H614" t="s">
        <v>8588</v>
      </c>
      <c r="I614">
        <v>12</v>
      </c>
      <c r="J614" t="s">
        <v>462</v>
      </c>
      <c r="K614" t="s">
        <v>446</v>
      </c>
      <c r="M614">
        <v>2611</v>
      </c>
      <c r="N614" t="s">
        <v>15983</v>
      </c>
    </row>
    <row r="615" spans="1:14">
      <c r="A615">
        <v>11271036</v>
      </c>
      <c r="B615">
        <v>4011586</v>
      </c>
      <c r="C615" t="s">
        <v>9004</v>
      </c>
      <c r="D615" t="s">
        <v>442</v>
      </c>
      <c r="E615" t="s">
        <v>441</v>
      </c>
      <c r="F615">
        <v>0.36</v>
      </c>
      <c r="G615">
        <v>6.38</v>
      </c>
      <c r="H615" t="s">
        <v>8588</v>
      </c>
      <c r="I615">
        <v>12</v>
      </c>
      <c r="J615" t="s">
        <v>462</v>
      </c>
      <c r="K615" t="s">
        <v>446</v>
      </c>
      <c r="M615">
        <v>2611</v>
      </c>
      <c r="N615" t="s">
        <v>15983</v>
      </c>
    </row>
    <row r="616" spans="1:14">
      <c r="A616">
        <v>11271039</v>
      </c>
      <c r="B616">
        <v>4011670</v>
      </c>
      <c r="C616" t="s">
        <v>9005</v>
      </c>
      <c r="D616" t="s">
        <v>442</v>
      </c>
      <c r="E616" t="s">
        <v>441</v>
      </c>
      <c r="F616">
        <v>0.36</v>
      </c>
      <c r="G616">
        <v>6.14</v>
      </c>
      <c r="H616" t="s">
        <v>8588</v>
      </c>
      <c r="I616">
        <v>9</v>
      </c>
      <c r="J616" t="s">
        <v>462</v>
      </c>
      <c r="K616" t="s">
        <v>446</v>
      </c>
      <c r="M616">
        <v>2611</v>
      </c>
    </row>
    <row r="617" spans="1:14">
      <c r="A617">
        <v>11271041</v>
      </c>
      <c r="B617">
        <v>4011801</v>
      </c>
      <c r="C617" t="s">
        <v>9006</v>
      </c>
      <c r="D617" t="s">
        <v>441</v>
      </c>
      <c r="F617">
        <v>0</v>
      </c>
      <c r="G617">
        <v>15.03</v>
      </c>
      <c r="H617" t="s">
        <v>8922</v>
      </c>
      <c r="I617">
        <v>14</v>
      </c>
      <c r="J617" t="s">
        <v>462</v>
      </c>
      <c r="K617" t="s">
        <v>446</v>
      </c>
      <c r="M617">
        <v>2612</v>
      </c>
    </row>
    <row r="618" spans="1:14">
      <c r="A618">
        <v>11271050</v>
      </c>
      <c r="B618">
        <v>4012009</v>
      </c>
      <c r="C618" t="s">
        <v>9007</v>
      </c>
      <c r="D618" t="s">
        <v>441</v>
      </c>
      <c r="F618">
        <v>0</v>
      </c>
      <c r="G618">
        <v>14.85</v>
      </c>
      <c r="H618" t="s">
        <v>8922</v>
      </c>
      <c r="I618">
        <v>16</v>
      </c>
      <c r="J618" t="s">
        <v>462</v>
      </c>
      <c r="K618" t="s">
        <v>446</v>
      </c>
      <c r="M618">
        <v>2612</v>
      </c>
    </row>
    <row r="619" spans="1:14">
      <c r="A619">
        <v>11271064</v>
      </c>
      <c r="B619">
        <v>4011760</v>
      </c>
      <c r="C619" t="s">
        <v>9008</v>
      </c>
      <c r="D619" t="s">
        <v>442</v>
      </c>
      <c r="E619" t="s">
        <v>441</v>
      </c>
      <c r="F619">
        <v>2.88</v>
      </c>
      <c r="G619">
        <v>45.23</v>
      </c>
      <c r="H619" t="s">
        <v>8588</v>
      </c>
      <c r="I619">
        <v>12</v>
      </c>
      <c r="J619" t="s">
        <v>462</v>
      </c>
      <c r="K619" t="s">
        <v>446</v>
      </c>
      <c r="M619">
        <v>2611</v>
      </c>
    </row>
    <row r="620" spans="1:14">
      <c r="A620">
        <v>11271065</v>
      </c>
      <c r="B620">
        <v>4011763</v>
      </c>
      <c r="C620" t="s">
        <v>9009</v>
      </c>
      <c r="D620" t="s">
        <v>442</v>
      </c>
      <c r="E620" t="s">
        <v>441</v>
      </c>
      <c r="F620">
        <v>0.42</v>
      </c>
      <c r="G620">
        <v>7.06</v>
      </c>
      <c r="H620" t="s">
        <v>8588</v>
      </c>
      <c r="I620">
        <v>12</v>
      </c>
      <c r="J620" t="s">
        <v>462</v>
      </c>
      <c r="K620" t="s">
        <v>446</v>
      </c>
      <c r="M620">
        <v>2611</v>
      </c>
    </row>
    <row r="621" spans="1:14">
      <c r="A621">
        <v>11271067</v>
      </c>
      <c r="B621">
        <v>4012157</v>
      </c>
      <c r="C621" t="s">
        <v>9010</v>
      </c>
      <c r="D621" t="s">
        <v>442</v>
      </c>
      <c r="E621" t="s">
        <v>441</v>
      </c>
      <c r="F621">
        <v>0.36</v>
      </c>
      <c r="G621">
        <v>6.14</v>
      </c>
      <c r="H621" t="s">
        <v>8588</v>
      </c>
      <c r="I621">
        <v>12</v>
      </c>
      <c r="J621" t="s">
        <v>462</v>
      </c>
      <c r="K621" t="s">
        <v>446</v>
      </c>
      <c r="M621">
        <v>2611</v>
      </c>
      <c r="N621" t="s">
        <v>15983</v>
      </c>
    </row>
    <row r="622" spans="1:14">
      <c r="A622">
        <v>11271094</v>
      </c>
      <c r="B622">
        <v>4011644</v>
      </c>
      <c r="C622" t="s">
        <v>9011</v>
      </c>
      <c r="D622" t="s">
        <v>442</v>
      </c>
      <c r="E622" t="s">
        <v>441</v>
      </c>
      <c r="F622">
        <v>0.36</v>
      </c>
      <c r="G622">
        <v>5.84</v>
      </c>
      <c r="H622" t="s">
        <v>8588</v>
      </c>
      <c r="I622">
        <v>12</v>
      </c>
      <c r="J622" t="s">
        <v>462</v>
      </c>
      <c r="K622" t="s">
        <v>446</v>
      </c>
      <c r="M622">
        <v>2611</v>
      </c>
    </row>
    <row r="623" spans="1:14">
      <c r="A623">
        <v>11271097</v>
      </c>
      <c r="B623">
        <v>4011587</v>
      </c>
      <c r="C623" t="s">
        <v>9012</v>
      </c>
      <c r="D623" t="s">
        <v>442</v>
      </c>
      <c r="E623" t="s">
        <v>441</v>
      </c>
      <c r="F623">
        <v>0.36</v>
      </c>
      <c r="G623">
        <v>6.11</v>
      </c>
      <c r="H623" t="s">
        <v>8588</v>
      </c>
      <c r="I623">
        <v>12</v>
      </c>
      <c r="J623" t="s">
        <v>462</v>
      </c>
      <c r="K623" t="s">
        <v>446</v>
      </c>
      <c r="M623">
        <v>2611</v>
      </c>
    </row>
    <row r="624" spans="1:14">
      <c r="A624">
        <v>11271130</v>
      </c>
      <c r="B624">
        <v>4006605</v>
      </c>
      <c r="C624" t="s">
        <v>9013</v>
      </c>
      <c r="D624" t="s">
        <v>441</v>
      </c>
      <c r="F624">
        <v>0</v>
      </c>
      <c r="G624">
        <v>16.04</v>
      </c>
      <c r="H624" t="s">
        <v>8587</v>
      </c>
      <c r="I624">
        <v>9</v>
      </c>
      <c r="J624" t="s">
        <v>462</v>
      </c>
      <c r="K624" t="s">
        <v>446</v>
      </c>
      <c r="M624">
        <v>2611</v>
      </c>
    </row>
    <row r="625" spans="1:14">
      <c r="A625">
        <v>11271150</v>
      </c>
      <c r="B625">
        <v>4007516</v>
      </c>
      <c r="C625" t="s">
        <v>9014</v>
      </c>
      <c r="D625" t="s">
        <v>442</v>
      </c>
      <c r="E625" t="s">
        <v>441</v>
      </c>
      <c r="F625">
        <v>0.432</v>
      </c>
      <c r="G625">
        <v>7.3</v>
      </c>
      <c r="H625" t="s">
        <v>8588</v>
      </c>
      <c r="I625">
        <v>12</v>
      </c>
      <c r="J625" t="s">
        <v>462</v>
      </c>
      <c r="K625" t="s">
        <v>446</v>
      </c>
      <c r="M625">
        <v>2611</v>
      </c>
    </row>
    <row r="626" spans="1:14">
      <c r="A626">
        <v>11272130</v>
      </c>
      <c r="B626">
        <v>4011666</v>
      </c>
      <c r="C626" t="s">
        <v>9015</v>
      </c>
      <c r="D626" t="s">
        <v>441</v>
      </c>
      <c r="F626">
        <v>0</v>
      </c>
      <c r="G626">
        <v>16.29</v>
      </c>
      <c r="H626" t="s">
        <v>8587</v>
      </c>
      <c r="I626">
        <v>9</v>
      </c>
      <c r="J626" t="s">
        <v>462</v>
      </c>
      <c r="K626" t="s">
        <v>446</v>
      </c>
      <c r="M626">
        <v>2611</v>
      </c>
      <c r="N626" t="s">
        <v>15983</v>
      </c>
    </row>
    <row r="627" spans="1:14">
      <c r="A627">
        <v>11274000</v>
      </c>
      <c r="B627">
        <v>3007442</v>
      </c>
      <c r="C627" t="s">
        <v>600</v>
      </c>
      <c r="D627" t="s">
        <v>441</v>
      </c>
      <c r="F627">
        <v>0</v>
      </c>
      <c r="G627">
        <v>13.15</v>
      </c>
      <c r="H627" t="s">
        <v>8580</v>
      </c>
      <c r="I627">
        <v>6</v>
      </c>
      <c r="J627" t="s">
        <v>445</v>
      </c>
      <c r="K627" t="s">
        <v>446</v>
      </c>
      <c r="M627">
        <v>0</v>
      </c>
    </row>
    <row r="628" spans="1:14">
      <c r="A628">
        <v>11280000</v>
      </c>
      <c r="B628">
        <v>3008760</v>
      </c>
      <c r="C628" t="s">
        <v>9016</v>
      </c>
      <c r="D628" t="s">
        <v>441</v>
      </c>
      <c r="F628">
        <v>0</v>
      </c>
      <c r="G628">
        <v>13.42</v>
      </c>
      <c r="H628" t="s">
        <v>8549</v>
      </c>
      <c r="I628">
        <v>6</v>
      </c>
      <c r="J628" t="s">
        <v>445</v>
      </c>
      <c r="K628" t="s">
        <v>446</v>
      </c>
      <c r="M628">
        <v>2611</v>
      </c>
    </row>
    <row r="629" spans="1:14">
      <c r="A629">
        <v>11280018</v>
      </c>
      <c r="B629">
        <v>3033378</v>
      </c>
      <c r="C629" t="s">
        <v>601</v>
      </c>
      <c r="D629" t="s">
        <v>441</v>
      </c>
      <c r="F629">
        <v>0</v>
      </c>
      <c r="G629">
        <v>11.69</v>
      </c>
      <c r="H629" t="s">
        <v>8588</v>
      </c>
      <c r="I629">
        <v>540</v>
      </c>
      <c r="J629" t="s">
        <v>445</v>
      </c>
      <c r="M629">
        <v>7111</v>
      </c>
      <c r="N629" t="s">
        <v>15983</v>
      </c>
    </row>
    <row r="630" spans="1:14">
      <c r="A630">
        <v>11280019</v>
      </c>
      <c r="B630">
        <v>3000026</v>
      </c>
      <c r="C630" t="s">
        <v>9017</v>
      </c>
      <c r="D630" t="s">
        <v>441</v>
      </c>
      <c r="F630">
        <v>0</v>
      </c>
      <c r="G630">
        <v>12.84</v>
      </c>
      <c r="H630" t="s">
        <v>8588</v>
      </c>
      <c r="I630">
        <v>365</v>
      </c>
      <c r="J630" t="s">
        <v>445</v>
      </c>
      <c r="K630" t="s">
        <v>446</v>
      </c>
      <c r="M630">
        <v>2501</v>
      </c>
    </row>
    <row r="631" spans="1:14">
      <c r="A631">
        <v>11280020</v>
      </c>
      <c r="B631">
        <v>4007978</v>
      </c>
      <c r="C631" t="s">
        <v>14233</v>
      </c>
      <c r="D631" t="s">
        <v>441</v>
      </c>
      <c r="F631">
        <v>0</v>
      </c>
      <c r="G631">
        <v>18.260000000000002</v>
      </c>
      <c r="H631" t="s">
        <v>8588</v>
      </c>
      <c r="I631">
        <v>6</v>
      </c>
      <c r="J631" t="s">
        <v>462</v>
      </c>
      <c r="L631">
        <v>2082715</v>
      </c>
      <c r="M631">
        <v>7112</v>
      </c>
      <c r="N631" t="s">
        <v>15983</v>
      </c>
    </row>
    <row r="632" spans="1:14">
      <c r="A632">
        <v>11280021</v>
      </c>
      <c r="B632">
        <v>4012212</v>
      </c>
      <c r="C632" t="s">
        <v>9018</v>
      </c>
      <c r="D632" t="s">
        <v>441</v>
      </c>
      <c r="F632">
        <v>0</v>
      </c>
      <c r="G632">
        <v>11.98</v>
      </c>
      <c r="H632" t="s">
        <v>8588</v>
      </c>
      <c r="I632">
        <v>6</v>
      </c>
      <c r="J632" t="s">
        <v>462</v>
      </c>
      <c r="K632" t="s">
        <v>446</v>
      </c>
      <c r="M632">
        <v>2612</v>
      </c>
      <c r="N632" t="s">
        <v>15983</v>
      </c>
    </row>
    <row r="633" spans="1:14">
      <c r="A633">
        <v>11280030</v>
      </c>
      <c r="B633">
        <v>4006175</v>
      </c>
      <c r="C633" t="s">
        <v>9019</v>
      </c>
      <c r="D633" t="s">
        <v>442</v>
      </c>
      <c r="E633" t="s">
        <v>441</v>
      </c>
      <c r="F633">
        <v>0.56000000000000005</v>
      </c>
      <c r="G633">
        <v>9.2799999999999994</v>
      </c>
      <c r="H633" t="s">
        <v>8588</v>
      </c>
      <c r="I633">
        <v>12</v>
      </c>
      <c r="J633" t="s">
        <v>462</v>
      </c>
      <c r="K633" t="s">
        <v>446</v>
      </c>
      <c r="M633">
        <v>2611</v>
      </c>
    </row>
    <row r="634" spans="1:14">
      <c r="A634">
        <v>11280031</v>
      </c>
      <c r="B634">
        <v>4003743</v>
      </c>
      <c r="C634" t="s">
        <v>9020</v>
      </c>
      <c r="D634" t="s">
        <v>442</v>
      </c>
      <c r="E634" t="s">
        <v>441</v>
      </c>
      <c r="F634">
        <v>0.56000000000000005</v>
      </c>
      <c r="G634">
        <v>9.19</v>
      </c>
      <c r="H634" t="s">
        <v>8588</v>
      </c>
      <c r="I634">
        <v>12</v>
      </c>
      <c r="J634" t="s">
        <v>462</v>
      </c>
      <c r="K634" t="s">
        <v>446</v>
      </c>
      <c r="M634">
        <v>2611</v>
      </c>
    </row>
    <row r="635" spans="1:14">
      <c r="A635">
        <v>11280034</v>
      </c>
      <c r="B635">
        <v>4016292</v>
      </c>
      <c r="C635" t="s">
        <v>9021</v>
      </c>
      <c r="D635" t="s">
        <v>441</v>
      </c>
      <c r="F635">
        <v>0</v>
      </c>
      <c r="G635">
        <v>15.12</v>
      </c>
      <c r="H635" t="s">
        <v>8588</v>
      </c>
      <c r="I635">
        <v>10</v>
      </c>
      <c r="J635" t="s">
        <v>462</v>
      </c>
      <c r="K635" t="s">
        <v>446</v>
      </c>
      <c r="M635">
        <v>2611</v>
      </c>
      <c r="N635" t="s">
        <v>15983</v>
      </c>
    </row>
    <row r="636" spans="1:14">
      <c r="A636">
        <v>11280035</v>
      </c>
      <c r="B636">
        <v>4012616</v>
      </c>
      <c r="C636" t="s">
        <v>9022</v>
      </c>
      <c r="D636" t="s">
        <v>442</v>
      </c>
      <c r="E636" t="s">
        <v>441</v>
      </c>
      <c r="F636">
        <v>1</v>
      </c>
      <c r="G636">
        <v>16.100000000000001</v>
      </c>
      <c r="H636" t="s">
        <v>8588</v>
      </c>
      <c r="I636">
        <v>12</v>
      </c>
      <c r="J636" t="s">
        <v>462</v>
      </c>
      <c r="K636" t="s">
        <v>446</v>
      </c>
      <c r="M636">
        <v>2611</v>
      </c>
      <c r="N636" t="s">
        <v>15983</v>
      </c>
    </row>
    <row r="637" spans="1:14">
      <c r="A637">
        <v>11280036</v>
      </c>
      <c r="B637">
        <v>4013392</v>
      </c>
      <c r="C637" t="s">
        <v>9023</v>
      </c>
      <c r="D637" t="s">
        <v>441</v>
      </c>
      <c r="F637">
        <v>0</v>
      </c>
      <c r="G637">
        <v>15.17</v>
      </c>
      <c r="H637" t="s">
        <v>8588</v>
      </c>
      <c r="I637">
        <v>12</v>
      </c>
      <c r="J637" t="s">
        <v>462</v>
      </c>
      <c r="K637" t="s">
        <v>446</v>
      </c>
      <c r="M637">
        <v>2611</v>
      </c>
      <c r="N637" t="s">
        <v>15983</v>
      </c>
    </row>
    <row r="638" spans="1:14">
      <c r="A638">
        <v>11280040</v>
      </c>
      <c r="B638">
        <v>4014875</v>
      </c>
      <c r="C638" t="s">
        <v>9024</v>
      </c>
      <c r="D638" t="s">
        <v>441</v>
      </c>
      <c r="F638">
        <v>0</v>
      </c>
      <c r="G638">
        <v>12.98</v>
      </c>
      <c r="H638" t="s">
        <v>8588</v>
      </c>
      <c r="I638">
        <v>7</v>
      </c>
      <c r="J638" t="s">
        <v>462</v>
      </c>
      <c r="M638">
        <v>2612</v>
      </c>
      <c r="N638" t="s">
        <v>15983</v>
      </c>
    </row>
    <row r="639" spans="1:14">
      <c r="A639">
        <v>11280041</v>
      </c>
      <c r="B639">
        <v>4017645</v>
      </c>
      <c r="C639" t="s">
        <v>9025</v>
      </c>
      <c r="D639" t="s">
        <v>441</v>
      </c>
      <c r="F639">
        <v>0</v>
      </c>
      <c r="G639">
        <v>15.18</v>
      </c>
      <c r="H639" t="s">
        <v>8588</v>
      </c>
      <c r="I639">
        <v>16</v>
      </c>
      <c r="J639" t="s">
        <v>462</v>
      </c>
      <c r="K639" t="s">
        <v>446</v>
      </c>
      <c r="M639">
        <v>2612</v>
      </c>
      <c r="N639" t="s">
        <v>15983</v>
      </c>
    </row>
    <row r="640" spans="1:14">
      <c r="A640">
        <v>11280042</v>
      </c>
      <c r="B640">
        <v>4020848</v>
      </c>
      <c r="C640" t="s">
        <v>602</v>
      </c>
      <c r="D640" t="s">
        <v>441</v>
      </c>
      <c r="F640">
        <v>0</v>
      </c>
      <c r="G640">
        <v>18.39</v>
      </c>
      <c r="H640" t="s">
        <v>8588</v>
      </c>
      <c r="I640">
        <v>540</v>
      </c>
      <c r="J640" t="s">
        <v>462</v>
      </c>
      <c r="M640">
        <v>7111</v>
      </c>
      <c r="N640" t="s">
        <v>15983</v>
      </c>
    </row>
    <row r="641" spans="1:14">
      <c r="A641">
        <v>11280043</v>
      </c>
      <c r="B641">
        <v>4025033</v>
      </c>
      <c r="C641" t="s">
        <v>603</v>
      </c>
      <c r="D641" t="s">
        <v>441</v>
      </c>
      <c r="F641">
        <v>0</v>
      </c>
      <c r="G641">
        <v>11.94</v>
      </c>
      <c r="H641" t="s">
        <v>8588</v>
      </c>
      <c r="I641">
        <v>16</v>
      </c>
      <c r="J641" t="s">
        <v>462</v>
      </c>
      <c r="M641">
        <v>7112</v>
      </c>
      <c r="N641" t="s">
        <v>15983</v>
      </c>
    </row>
    <row r="642" spans="1:14">
      <c r="A642">
        <v>11280044</v>
      </c>
      <c r="B642">
        <v>4029630</v>
      </c>
      <c r="C642" t="s">
        <v>15394</v>
      </c>
      <c r="D642" t="s">
        <v>441</v>
      </c>
      <c r="F642">
        <v>0</v>
      </c>
      <c r="G642">
        <v>17.23</v>
      </c>
      <c r="H642" t="s">
        <v>8588</v>
      </c>
      <c r="I642">
        <v>16</v>
      </c>
      <c r="J642" t="s">
        <v>462</v>
      </c>
      <c r="M642">
        <v>7112</v>
      </c>
      <c r="N642" t="s">
        <v>15983</v>
      </c>
    </row>
    <row r="643" spans="1:14">
      <c r="A643">
        <v>11280045</v>
      </c>
      <c r="B643">
        <v>4030111</v>
      </c>
      <c r="C643" t="s">
        <v>15920</v>
      </c>
      <c r="D643" t="s">
        <v>441</v>
      </c>
      <c r="F643">
        <v>0</v>
      </c>
      <c r="G643">
        <v>20.63</v>
      </c>
      <c r="H643" t="s">
        <v>8588</v>
      </c>
      <c r="I643">
        <v>16</v>
      </c>
      <c r="J643" t="s">
        <v>462</v>
      </c>
      <c r="M643">
        <v>7112</v>
      </c>
      <c r="N643" t="s">
        <v>15983</v>
      </c>
    </row>
    <row r="644" spans="1:14">
      <c r="A644">
        <v>11280046</v>
      </c>
      <c r="B644">
        <v>4030288</v>
      </c>
      <c r="C644" t="s">
        <v>15989</v>
      </c>
      <c r="D644" t="s">
        <v>441</v>
      </c>
      <c r="F644">
        <v>0</v>
      </c>
      <c r="G644">
        <v>20.66</v>
      </c>
      <c r="H644" t="s">
        <v>8588</v>
      </c>
      <c r="I644">
        <v>16</v>
      </c>
      <c r="J644" t="s">
        <v>462</v>
      </c>
      <c r="M644">
        <v>7112</v>
      </c>
      <c r="N644" t="s">
        <v>15983</v>
      </c>
    </row>
    <row r="645" spans="1:14">
      <c r="A645">
        <v>11280047</v>
      </c>
      <c r="B645">
        <v>4030475</v>
      </c>
      <c r="C645" t="s">
        <v>17348</v>
      </c>
      <c r="D645" t="s">
        <v>441</v>
      </c>
      <c r="F645">
        <v>0</v>
      </c>
      <c r="G645">
        <v>21.98</v>
      </c>
      <c r="H645" t="s">
        <v>8588</v>
      </c>
      <c r="I645">
        <v>16</v>
      </c>
      <c r="J645" t="s">
        <v>462</v>
      </c>
      <c r="M645">
        <v>7112</v>
      </c>
      <c r="N645" t="s">
        <v>15983</v>
      </c>
    </row>
    <row r="646" spans="1:14">
      <c r="A646">
        <v>11280048</v>
      </c>
      <c r="B646">
        <v>4030476</v>
      </c>
      <c r="C646" t="s">
        <v>17349</v>
      </c>
      <c r="D646" t="s">
        <v>441</v>
      </c>
      <c r="F646">
        <v>0</v>
      </c>
      <c r="G646">
        <v>21.13</v>
      </c>
      <c r="H646" t="s">
        <v>8588</v>
      </c>
      <c r="I646">
        <v>16</v>
      </c>
      <c r="J646" t="s">
        <v>462</v>
      </c>
      <c r="M646">
        <v>7112</v>
      </c>
      <c r="N646" t="s">
        <v>15983</v>
      </c>
    </row>
    <row r="647" spans="1:14">
      <c r="A647">
        <v>11280050</v>
      </c>
      <c r="B647">
        <v>4012806</v>
      </c>
      <c r="C647" t="s">
        <v>15567</v>
      </c>
      <c r="D647" t="s">
        <v>441</v>
      </c>
      <c r="F647">
        <v>0</v>
      </c>
      <c r="G647">
        <v>19.13</v>
      </c>
      <c r="H647" t="s">
        <v>8588</v>
      </c>
      <c r="I647">
        <v>16</v>
      </c>
      <c r="J647" t="s">
        <v>462</v>
      </c>
      <c r="M647">
        <v>7112</v>
      </c>
      <c r="N647" t="s">
        <v>15983</v>
      </c>
    </row>
    <row r="648" spans="1:14">
      <c r="A648">
        <v>11280051</v>
      </c>
      <c r="B648">
        <v>4009557</v>
      </c>
      <c r="C648" t="s">
        <v>604</v>
      </c>
      <c r="D648" t="s">
        <v>441</v>
      </c>
      <c r="F648">
        <v>0</v>
      </c>
      <c r="G648">
        <v>17.63</v>
      </c>
      <c r="H648" t="s">
        <v>8588</v>
      </c>
      <c r="I648">
        <v>16</v>
      </c>
      <c r="J648" t="s">
        <v>462</v>
      </c>
      <c r="L648">
        <v>2082971</v>
      </c>
      <c r="M648">
        <v>7112</v>
      </c>
      <c r="N648" t="s">
        <v>15983</v>
      </c>
    </row>
    <row r="649" spans="1:14">
      <c r="A649">
        <v>11280052</v>
      </c>
      <c r="B649">
        <v>4010773</v>
      </c>
      <c r="C649" t="s">
        <v>15568</v>
      </c>
      <c r="D649" t="s">
        <v>441</v>
      </c>
      <c r="F649">
        <v>0</v>
      </c>
      <c r="G649">
        <v>19.28</v>
      </c>
      <c r="H649" t="s">
        <v>8588</v>
      </c>
      <c r="I649">
        <v>10</v>
      </c>
      <c r="J649" t="s">
        <v>462</v>
      </c>
      <c r="M649">
        <v>7112</v>
      </c>
      <c r="N649" t="s">
        <v>15983</v>
      </c>
    </row>
    <row r="650" spans="1:14">
      <c r="A650">
        <v>11280054</v>
      </c>
      <c r="B650">
        <v>4018238</v>
      </c>
      <c r="C650" t="s">
        <v>9026</v>
      </c>
      <c r="D650" t="s">
        <v>441</v>
      </c>
      <c r="F650">
        <v>0</v>
      </c>
      <c r="G650">
        <v>15.33</v>
      </c>
      <c r="H650" t="s">
        <v>8588</v>
      </c>
      <c r="I650">
        <v>365</v>
      </c>
      <c r="J650" t="s">
        <v>462</v>
      </c>
      <c r="K650" t="s">
        <v>446</v>
      </c>
      <c r="M650">
        <v>2511</v>
      </c>
      <c r="N650" t="s">
        <v>15983</v>
      </c>
    </row>
    <row r="651" spans="1:14">
      <c r="A651">
        <v>11280055</v>
      </c>
      <c r="B651">
        <v>4017166</v>
      </c>
      <c r="C651" t="s">
        <v>605</v>
      </c>
      <c r="D651" t="s">
        <v>441</v>
      </c>
      <c r="F651">
        <v>0</v>
      </c>
      <c r="G651">
        <v>11.94</v>
      </c>
      <c r="H651" t="s">
        <v>8588</v>
      </c>
      <c r="I651">
        <v>16</v>
      </c>
      <c r="J651" t="s">
        <v>462</v>
      </c>
      <c r="M651">
        <v>7112</v>
      </c>
      <c r="N651" t="s">
        <v>15983</v>
      </c>
    </row>
    <row r="652" spans="1:14">
      <c r="A652">
        <v>11280056</v>
      </c>
      <c r="B652">
        <v>4012645</v>
      </c>
      <c r="C652" t="s">
        <v>9027</v>
      </c>
      <c r="D652" t="s">
        <v>441</v>
      </c>
      <c r="F652">
        <v>0</v>
      </c>
      <c r="G652">
        <v>15.39</v>
      </c>
      <c r="H652" t="s">
        <v>8588</v>
      </c>
      <c r="I652">
        <v>12</v>
      </c>
      <c r="J652" t="s">
        <v>462</v>
      </c>
      <c r="K652" t="s">
        <v>446</v>
      </c>
      <c r="M652">
        <v>2612</v>
      </c>
      <c r="N652" t="s">
        <v>15983</v>
      </c>
    </row>
    <row r="653" spans="1:14">
      <c r="A653">
        <v>11280057</v>
      </c>
      <c r="B653">
        <v>4015386</v>
      </c>
      <c r="C653" t="s">
        <v>9028</v>
      </c>
      <c r="D653" t="s">
        <v>441</v>
      </c>
      <c r="F653">
        <v>0</v>
      </c>
      <c r="G653">
        <v>15.19</v>
      </c>
      <c r="H653" t="s">
        <v>8588</v>
      </c>
      <c r="I653">
        <v>16</v>
      </c>
      <c r="J653" t="s">
        <v>462</v>
      </c>
      <c r="K653" t="s">
        <v>446</v>
      </c>
      <c r="M653">
        <v>2612</v>
      </c>
      <c r="N653" t="s">
        <v>15983</v>
      </c>
    </row>
    <row r="654" spans="1:14">
      <c r="A654">
        <v>11280058</v>
      </c>
      <c r="B654">
        <v>4019530</v>
      </c>
      <c r="C654" t="s">
        <v>606</v>
      </c>
      <c r="D654" t="s">
        <v>441</v>
      </c>
      <c r="F654">
        <v>0</v>
      </c>
      <c r="G654">
        <v>11.92</v>
      </c>
      <c r="H654" t="s">
        <v>8588</v>
      </c>
      <c r="I654">
        <v>16</v>
      </c>
      <c r="J654" t="s">
        <v>462</v>
      </c>
      <c r="M654">
        <v>7112</v>
      </c>
      <c r="N654" t="s">
        <v>15983</v>
      </c>
    </row>
    <row r="655" spans="1:14">
      <c r="A655">
        <v>11280059</v>
      </c>
      <c r="B655">
        <v>4026585</v>
      </c>
      <c r="C655" t="s">
        <v>607</v>
      </c>
      <c r="D655" t="s">
        <v>441</v>
      </c>
      <c r="F655">
        <v>0</v>
      </c>
      <c r="G655">
        <v>11.82</v>
      </c>
      <c r="H655" t="s">
        <v>8588</v>
      </c>
      <c r="I655">
        <v>16</v>
      </c>
      <c r="J655" t="s">
        <v>462</v>
      </c>
      <c r="M655">
        <v>7112</v>
      </c>
      <c r="N655" t="s">
        <v>15983</v>
      </c>
    </row>
    <row r="656" spans="1:14">
      <c r="A656">
        <v>11280064</v>
      </c>
      <c r="B656">
        <v>4015785</v>
      </c>
      <c r="C656" t="s">
        <v>9029</v>
      </c>
      <c r="D656" t="s">
        <v>441</v>
      </c>
      <c r="F656">
        <v>0</v>
      </c>
      <c r="G656">
        <v>15.66</v>
      </c>
      <c r="H656" t="s">
        <v>8588</v>
      </c>
      <c r="I656">
        <v>12</v>
      </c>
      <c r="J656" t="s">
        <v>462</v>
      </c>
      <c r="K656" t="s">
        <v>446</v>
      </c>
      <c r="L656">
        <v>2615030</v>
      </c>
      <c r="M656">
        <v>2611</v>
      </c>
      <c r="N656" t="s">
        <v>15983</v>
      </c>
    </row>
    <row r="657" spans="1:14">
      <c r="A657">
        <v>11280065</v>
      </c>
      <c r="B657">
        <v>4008006</v>
      </c>
      <c r="C657" t="s">
        <v>9030</v>
      </c>
      <c r="D657" t="s">
        <v>442</v>
      </c>
      <c r="E657" t="s">
        <v>441</v>
      </c>
      <c r="F657">
        <v>4.4800000000000004</v>
      </c>
      <c r="G657">
        <v>67.72</v>
      </c>
      <c r="H657" t="s">
        <v>8588</v>
      </c>
      <c r="I657">
        <v>12</v>
      </c>
      <c r="J657" t="s">
        <v>462</v>
      </c>
      <c r="K657" t="s">
        <v>446</v>
      </c>
      <c r="M657">
        <v>2611</v>
      </c>
    </row>
    <row r="658" spans="1:14">
      <c r="A658">
        <v>11280068</v>
      </c>
      <c r="B658">
        <v>4006604</v>
      </c>
      <c r="C658" t="s">
        <v>9031</v>
      </c>
      <c r="D658" t="s">
        <v>441</v>
      </c>
      <c r="F658">
        <v>0</v>
      </c>
      <c r="G658">
        <v>12.68</v>
      </c>
      <c r="H658" t="s">
        <v>8588</v>
      </c>
      <c r="I658">
        <v>12</v>
      </c>
      <c r="J658" t="s">
        <v>462</v>
      </c>
      <c r="K658" t="s">
        <v>446</v>
      </c>
      <c r="M658">
        <v>2611</v>
      </c>
      <c r="N658" t="s">
        <v>15983</v>
      </c>
    </row>
    <row r="659" spans="1:14">
      <c r="A659">
        <v>11280074</v>
      </c>
      <c r="B659">
        <v>4025607</v>
      </c>
      <c r="C659" t="s">
        <v>608</v>
      </c>
      <c r="D659" t="s">
        <v>441</v>
      </c>
      <c r="F659">
        <v>0</v>
      </c>
      <c r="G659">
        <v>11.34</v>
      </c>
      <c r="H659" t="s">
        <v>8588</v>
      </c>
      <c r="I659">
        <v>6</v>
      </c>
      <c r="J659" t="s">
        <v>462</v>
      </c>
      <c r="L659">
        <v>2052267</v>
      </c>
      <c r="M659">
        <v>7112</v>
      </c>
      <c r="N659" t="s">
        <v>15983</v>
      </c>
    </row>
    <row r="660" spans="1:14">
      <c r="A660">
        <v>11280075</v>
      </c>
      <c r="B660">
        <v>3007443</v>
      </c>
      <c r="C660" t="s">
        <v>609</v>
      </c>
      <c r="D660" t="s">
        <v>441</v>
      </c>
      <c r="F660">
        <v>0</v>
      </c>
      <c r="G660">
        <v>11.33</v>
      </c>
      <c r="H660" t="s">
        <v>8588</v>
      </c>
      <c r="I660">
        <v>6</v>
      </c>
      <c r="J660" t="s">
        <v>445</v>
      </c>
      <c r="L660">
        <v>2092013</v>
      </c>
      <c r="M660">
        <v>7112</v>
      </c>
      <c r="N660" t="s">
        <v>15983</v>
      </c>
    </row>
    <row r="661" spans="1:14">
      <c r="A661">
        <v>11280076</v>
      </c>
      <c r="B661">
        <v>3007444</v>
      </c>
      <c r="C661" t="s">
        <v>9032</v>
      </c>
      <c r="D661" t="s">
        <v>441</v>
      </c>
      <c r="F661">
        <v>0</v>
      </c>
      <c r="G661">
        <v>14.6</v>
      </c>
      <c r="H661" t="s">
        <v>8588</v>
      </c>
      <c r="I661">
        <v>6</v>
      </c>
      <c r="J661" t="s">
        <v>445</v>
      </c>
      <c r="K661" t="s">
        <v>446</v>
      </c>
      <c r="M661">
        <v>2641</v>
      </c>
    </row>
    <row r="662" spans="1:14">
      <c r="A662">
        <v>11280077</v>
      </c>
      <c r="B662">
        <v>3007445</v>
      </c>
      <c r="C662" t="s">
        <v>9033</v>
      </c>
      <c r="D662" t="s">
        <v>441</v>
      </c>
      <c r="F662">
        <v>0</v>
      </c>
      <c r="G662">
        <v>12.68</v>
      </c>
      <c r="H662" t="s">
        <v>8588</v>
      </c>
      <c r="I662">
        <v>6</v>
      </c>
      <c r="J662" t="s">
        <v>445</v>
      </c>
      <c r="K662" t="s">
        <v>446</v>
      </c>
      <c r="M662">
        <v>2641</v>
      </c>
    </row>
    <row r="663" spans="1:14">
      <c r="A663">
        <v>11280078</v>
      </c>
      <c r="B663">
        <v>3027051</v>
      </c>
      <c r="C663" t="s">
        <v>610</v>
      </c>
      <c r="D663" t="s">
        <v>441</v>
      </c>
      <c r="F663">
        <v>0</v>
      </c>
      <c r="G663">
        <v>11.33</v>
      </c>
      <c r="H663" t="s">
        <v>8588</v>
      </c>
      <c r="I663">
        <v>6</v>
      </c>
      <c r="J663" t="s">
        <v>445</v>
      </c>
      <c r="M663">
        <v>7112</v>
      </c>
      <c r="N663" t="s">
        <v>15983</v>
      </c>
    </row>
    <row r="664" spans="1:14">
      <c r="A664">
        <v>11280079</v>
      </c>
      <c r="B664">
        <v>4024608</v>
      </c>
      <c r="C664" t="s">
        <v>611</v>
      </c>
      <c r="D664" t="s">
        <v>441</v>
      </c>
      <c r="F664">
        <v>0</v>
      </c>
      <c r="G664">
        <v>11.34</v>
      </c>
      <c r="H664" t="s">
        <v>8588</v>
      </c>
      <c r="I664">
        <v>6</v>
      </c>
      <c r="J664" t="s">
        <v>462</v>
      </c>
      <c r="L664">
        <v>2052185</v>
      </c>
      <c r="M664">
        <v>7112</v>
      </c>
      <c r="N664" t="s">
        <v>15983</v>
      </c>
    </row>
    <row r="665" spans="1:14">
      <c r="A665">
        <v>11280518</v>
      </c>
      <c r="B665">
        <v>3014783</v>
      </c>
      <c r="C665" t="s">
        <v>612</v>
      </c>
      <c r="D665" t="s">
        <v>441</v>
      </c>
      <c r="F665">
        <v>0</v>
      </c>
      <c r="G665">
        <v>11.31</v>
      </c>
      <c r="H665" t="s">
        <v>8634</v>
      </c>
      <c r="I665">
        <v>6</v>
      </c>
      <c r="J665" t="s">
        <v>445</v>
      </c>
      <c r="M665">
        <v>2502</v>
      </c>
      <c r="N665" t="s">
        <v>15983</v>
      </c>
    </row>
    <row r="666" spans="1:14">
      <c r="A666">
        <v>11280519</v>
      </c>
      <c r="B666">
        <v>3007446</v>
      </c>
      <c r="C666" t="s">
        <v>613</v>
      </c>
      <c r="D666" t="s">
        <v>441</v>
      </c>
      <c r="F666">
        <v>0</v>
      </c>
      <c r="G666">
        <v>12.59</v>
      </c>
      <c r="H666" t="s">
        <v>8580</v>
      </c>
      <c r="I666">
        <v>6</v>
      </c>
      <c r="J666" t="s">
        <v>445</v>
      </c>
      <c r="K666" t="s">
        <v>446</v>
      </c>
      <c r="M666">
        <v>2641</v>
      </c>
    </row>
    <row r="667" spans="1:14">
      <c r="A667">
        <v>11280542</v>
      </c>
      <c r="B667">
        <v>3031255</v>
      </c>
      <c r="C667" t="s">
        <v>614</v>
      </c>
      <c r="D667" t="s">
        <v>441</v>
      </c>
      <c r="F667">
        <v>0</v>
      </c>
      <c r="G667">
        <v>11.89</v>
      </c>
      <c r="H667" t="s">
        <v>8549</v>
      </c>
      <c r="I667">
        <v>540</v>
      </c>
      <c r="J667" t="s">
        <v>445</v>
      </c>
      <c r="M667">
        <v>2502</v>
      </c>
      <c r="N667" t="s">
        <v>15983</v>
      </c>
    </row>
    <row r="668" spans="1:14">
      <c r="A668">
        <v>11280554</v>
      </c>
      <c r="B668">
        <v>3027508</v>
      </c>
      <c r="C668" t="s">
        <v>9034</v>
      </c>
      <c r="D668" t="s">
        <v>441</v>
      </c>
      <c r="F668">
        <v>0</v>
      </c>
      <c r="G668">
        <v>15.13</v>
      </c>
      <c r="H668" t="s">
        <v>8588</v>
      </c>
      <c r="I668">
        <v>6</v>
      </c>
      <c r="J668" t="s">
        <v>445</v>
      </c>
      <c r="K668" t="s">
        <v>446</v>
      </c>
      <c r="M668">
        <v>2612</v>
      </c>
      <c r="N668" t="s">
        <v>15983</v>
      </c>
    </row>
    <row r="669" spans="1:14">
      <c r="A669">
        <v>11280619</v>
      </c>
      <c r="B669">
        <v>3007447</v>
      </c>
      <c r="C669" t="s">
        <v>615</v>
      </c>
      <c r="D669" t="s">
        <v>441</v>
      </c>
      <c r="F669">
        <v>0</v>
      </c>
      <c r="G669">
        <v>13.64</v>
      </c>
      <c r="H669" t="s">
        <v>8580</v>
      </c>
      <c r="I669">
        <v>4</v>
      </c>
      <c r="J669" t="s">
        <v>445</v>
      </c>
      <c r="K669" t="s">
        <v>446</v>
      </c>
      <c r="M669">
        <v>2511</v>
      </c>
    </row>
    <row r="670" spans="1:14">
      <c r="A670">
        <v>11281018</v>
      </c>
      <c r="B670">
        <v>3039581</v>
      </c>
      <c r="C670" t="s">
        <v>616</v>
      </c>
      <c r="D670" t="s">
        <v>441</v>
      </c>
      <c r="F670">
        <v>0</v>
      </c>
      <c r="G670">
        <v>11.69</v>
      </c>
      <c r="H670" t="s">
        <v>8588</v>
      </c>
      <c r="I670">
        <v>540</v>
      </c>
      <c r="J670" t="s">
        <v>445</v>
      </c>
      <c r="M670">
        <v>7111</v>
      </c>
      <c r="N670" t="s">
        <v>15983</v>
      </c>
    </row>
    <row r="671" spans="1:14">
      <c r="A671">
        <v>11281020</v>
      </c>
      <c r="B671">
        <v>4011759</v>
      </c>
      <c r="C671" t="s">
        <v>14234</v>
      </c>
      <c r="D671" t="s">
        <v>441</v>
      </c>
      <c r="F671">
        <v>0</v>
      </c>
      <c r="G671">
        <v>18.23</v>
      </c>
      <c r="H671" t="s">
        <v>8588</v>
      </c>
      <c r="I671">
        <v>6</v>
      </c>
      <c r="J671" t="s">
        <v>462</v>
      </c>
      <c r="L671">
        <v>2082715</v>
      </c>
      <c r="M671">
        <v>7112</v>
      </c>
      <c r="N671" t="s">
        <v>15983</v>
      </c>
    </row>
    <row r="672" spans="1:14">
      <c r="A672">
        <v>11281021</v>
      </c>
      <c r="B672">
        <v>4012213</v>
      </c>
      <c r="C672" t="s">
        <v>9035</v>
      </c>
      <c r="D672" t="s">
        <v>441</v>
      </c>
      <c r="F672">
        <v>0</v>
      </c>
      <c r="G672">
        <v>11.98</v>
      </c>
      <c r="H672" t="s">
        <v>8588</v>
      </c>
      <c r="I672">
        <v>6</v>
      </c>
      <c r="J672" t="s">
        <v>462</v>
      </c>
      <c r="K672" t="s">
        <v>446</v>
      </c>
      <c r="M672">
        <v>2612</v>
      </c>
      <c r="N672" t="s">
        <v>15983</v>
      </c>
    </row>
    <row r="673" spans="1:14">
      <c r="A673">
        <v>11281030</v>
      </c>
      <c r="B673">
        <v>4011645</v>
      </c>
      <c r="C673" t="s">
        <v>9036</v>
      </c>
      <c r="D673" t="s">
        <v>442</v>
      </c>
      <c r="E673" t="s">
        <v>441</v>
      </c>
      <c r="F673">
        <v>0.56000000000000005</v>
      </c>
      <c r="G673">
        <v>9.2799999999999994</v>
      </c>
      <c r="H673" t="s">
        <v>8935</v>
      </c>
      <c r="I673">
        <v>12</v>
      </c>
      <c r="J673" t="s">
        <v>462</v>
      </c>
      <c r="K673" t="s">
        <v>446</v>
      </c>
      <c r="M673">
        <v>2611</v>
      </c>
    </row>
    <row r="674" spans="1:14">
      <c r="A674">
        <v>11281031</v>
      </c>
      <c r="B674">
        <v>4011588</v>
      </c>
      <c r="C674" t="s">
        <v>9037</v>
      </c>
      <c r="D674" t="s">
        <v>442</v>
      </c>
      <c r="E674" t="s">
        <v>441</v>
      </c>
      <c r="F674">
        <v>0.56000000000000005</v>
      </c>
      <c r="G674">
        <v>9.19</v>
      </c>
      <c r="H674" t="s">
        <v>8588</v>
      </c>
      <c r="I674">
        <v>12</v>
      </c>
      <c r="J674" t="s">
        <v>462</v>
      </c>
      <c r="K674" t="s">
        <v>446</v>
      </c>
      <c r="M674">
        <v>2611</v>
      </c>
    </row>
    <row r="675" spans="1:14">
      <c r="A675">
        <v>11281034</v>
      </c>
      <c r="B675">
        <v>4012179</v>
      </c>
      <c r="C675" t="s">
        <v>9038</v>
      </c>
      <c r="D675" t="s">
        <v>442</v>
      </c>
      <c r="E675" t="s">
        <v>441</v>
      </c>
      <c r="F675">
        <v>0.56000000000000005</v>
      </c>
      <c r="G675">
        <v>9.32</v>
      </c>
      <c r="H675" t="s">
        <v>8588</v>
      </c>
      <c r="I675">
        <v>12</v>
      </c>
      <c r="J675" t="s">
        <v>462</v>
      </c>
      <c r="K675" t="s">
        <v>446</v>
      </c>
      <c r="M675">
        <v>2611</v>
      </c>
      <c r="N675" t="s">
        <v>15983</v>
      </c>
    </row>
    <row r="676" spans="1:14">
      <c r="A676">
        <v>11281036</v>
      </c>
      <c r="B676">
        <v>4013389</v>
      </c>
      <c r="C676" t="s">
        <v>9039</v>
      </c>
      <c r="D676" t="s">
        <v>441</v>
      </c>
      <c r="F676">
        <v>0</v>
      </c>
      <c r="G676">
        <v>15.17</v>
      </c>
      <c r="H676" t="s">
        <v>8588</v>
      </c>
      <c r="I676">
        <v>12</v>
      </c>
      <c r="J676" t="s">
        <v>462</v>
      </c>
      <c r="K676" t="s">
        <v>446</v>
      </c>
      <c r="M676">
        <v>2611</v>
      </c>
      <c r="N676" t="s">
        <v>15983</v>
      </c>
    </row>
    <row r="677" spans="1:14">
      <c r="A677">
        <v>11281040</v>
      </c>
      <c r="B677">
        <v>4014880</v>
      </c>
      <c r="C677" t="s">
        <v>9040</v>
      </c>
      <c r="D677" t="s">
        <v>441</v>
      </c>
      <c r="F677">
        <v>0</v>
      </c>
      <c r="G677">
        <v>13.64</v>
      </c>
      <c r="H677" t="s">
        <v>8588</v>
      </c>
      <c r="I677">
        <v>7</v>
      </c>
      <c r="J677" t="s">
        <v>462</v>
      </c>
      <c r="K677" t="s">
        <v>446</v>
      </c>
      <c r="M677">
        <v>2612</v>
      </c>
      <c r="N677" t="s">
        <v>15983</v>
      </c>
    </row>
    <row r="678" spans="1:14">
      <c r="A678">
        <v>11281041</v>
      </c>
      <c r="B678">
        <v>4017644</v>
      </c>
      <c r="C678" t="s">
        <v>9041</v>
      </c>
      <c r="D678" t="s">
        <v>441</v>
      </c>
      <c r="F678">
        <v>0</v>
      </c>
      <c r="G678">
        <v>15.18</v>
      </c>
      <c r="H678" t="s">
        <v>8588</v>
      </c>
      <c r="I678">
        <v>16</v>
      </c>
      <c r="J678" t="s">
        <v>462</v>
      </c>
      <c r="K678" t="s">
        <v>446</v>
      </c>
      <c r="M678">
        <v>2612</v>
      </c>
      <c r="N678" t="s">
        <v>15983</v>
      </c>
    </row>
    <row r="679" spans="1:14">
      <c r="A679">
        <v>11281050</v>
      </c>
      <c r="B679">
        <v>4012807</v>
      </c>
      <c r="C679" t="s">
        <v>15569</v>
      </c>
      <c r="D679" t="s">
        <v>441</v>
      </c>
      <c r="F679">
        <v>0</v>
      </c>
      <c r="G679">
        <v>19.13</v>
      </c>
      <c r="H679" t="s">
        <v>8588</v>
      </c>
      <c r="I679">
        <v>16</v>
      </c>
      <c r="J679" t="s">
        <v>462</v>
      </c>
      <c r="M679">
        <v>7112</v>
      </c>
      <c r="N679" t="s">
        <v>15983</v>
      </c>
    </row>
    <row r="680" spans="1:14">
      <c r="A680">
        <v>11281051</v>
      </c>
      <c r="B680">
        <v>4011948</v>
      </c>
      <c r="C680" t="s">
        <v>617</v>
      </c>
      <c r="D680" t="s">
        <v>441</v>
      </c>
      <c r="F680">
        <v>0</v>
      </c>
      <c r="G680">
        <v>17.62</v>
      </c>
      <c r="H680" t="s">
        <v>8588</v>
      </c>
      <c r="I680">
        <v>16</v>
      </c>
      <c r="J680" t="s">
        <v>462</v>
      </c>
      <c r="L680">
        <v>2082971</v>
      </c>
      <c r="M680">
        <v>7112</v>
      </c>
      <c r="N680" t="s">
        <v>15983</v>
      </c>
    </row>
    <row r="681" spans="1:14">
      <c r="A681">
        <v>11281052</v>
      </c>
      <c r="B681">
        <v>4012102</v>
      </c>
      <c r="C681" t="s">
        <v>15570</v>
      </c>
      <c r="D681" t="s">
        <v>441</v>
      </c>
      <c r="F681">
        <v>0</v>
      </c>
      <c r="G681">
        <v>19.28</v>
      </c>
      <c r="H681" t="s">
        <v>8588</v>
      </c>
      <c r="I681">
        <v>10</v>
      </c>
      <c r="J681" t="s">
        <v>462</v>
      </c>
      <c r="M681">
        <v>7112</v>
      </c>
      <c r="N681" t="s">
        <v>15983</v>
      </c>
    </row>
    <row r="682" spans="1:14">
      <c r="A682">
        <v>11281056</v>
      </c>
      <c r="B682">
        <v>4012646</v>
      </c>
      <c r="C682" t="s">
        <v>9042</v>
      </c>
      <c r="D682" t="s">
        <v>441</v>
      </c>
      <c r="F682">
        <v>0</v>
      </c>
      <c r="G682">
        <v>12.42</v>
      </c>
      <c r="H682" t="s">
        <v>8588</v>
      </c>
      <c r="I682">
        <v>13</v>
      </c>
      <c r="J682" t="s">
        <v>462</v>
      </c>
      <c r="K682" t="s">
        <v>446</v>
      </c>
      <c r="M682">
        <v>2612</v>
      </c>
      <c r="N682" t="s">
        <v>15983</v>
      </c>
    </row>
    <row r="683" spans="1:14">
      <c r="A683">
        <v>11281065</v>
      </c>
      <c r="B683">
        <v>4011761</v>
      </c>
      <c r="C683" t="s">
        <v>9043</v>
      </c>
      <c r="D683" t="s">
        <v>442</v>
      </c>
      <c r="E683" t="s">
        <v>441</v>
      </c>
      <c r="F683">
        <v>4.4800000000000004</v>
      </c>
      <c r="G683">
        <v>67.72</v>
      </c>
      <c r="H683" t="s">
        <v>8588</v>
      </c>
      <c r="I683">
        <v>12</v>
      </c>
      <c r="J683" t="s">
        <v>462</v>
      </c>
      <c r="K683" t="s">
        <v>446</v>
      </c>
      <c r="M683">
        <v>2611</v>
      </c>
    </row>
    <row r="684" spans="1:14">
      <c r="A684">
        <v>11281068</v>
      </c>
      <c r="B684">
        <v>4011665</v>
      </c>
      <c r="C684" t="s">
        <v>9044</v>
      </c>
      <c r="D684" t="s">
        <v>441</v>
      </c>
      <c r="F684">
        <v>0</v>
      </c>
      <c r="G684">
        <v>15.23</v>
      </c>
      <c r="H684" t="s">
        <v>8587</v>
      </c>
      <c r="I684">
        <v>9</v>
      </c>
      <c r="J684" t="s">
        <v>462</v>
      </c>
      <c r="K684" t="s">
        <v>446</v>
      </c>
      <c r="M684">
        <v>2611</v>
      </c>
    </row>
    <row r="685" spans="1:14">
      <c r="A685">
        <v>11281075</v>
      </c>
      <c r="B685">
        <v>3017370</v>
      </c>
      <c r="C685" t="s">
        <v>9045</v>
      </c>
      <c r="D685" t="s">
        <v>441</v>
      </c>
      <c r="F685">
        <v>0</v>
      </c>
      <c r="G685">
        <v>14.66</v>
      </c>
      <c r="H685" t="s">
        <v>8588</v>
      </c>
      <c r="I685">
        <v>6</v>
      </c>
      <c r="J685" t="s">
        <v>445</v>
      </c>
      <c r="K685" t="s">
        <v>446</v>
      </c>
      <c r="M685">
        <v>2641</v>
      </c>
      <c r="N685" t="s">
        <v>15983</v>
      </c>
    </row>
    <row r="686" spans="1:14">
      <c r="A686">
        <v>11281079</v>
      </c>
      <c r="B686">
        <v>4024609</v>
      </c>
      <c r="C686" t="s">
        <v>618</v>
      </c>
      <c r="D686" t="s">
        <v>441</v>
      </c>
      <c r="F686">
        <v>0</v>
      </c>
      <c r="G686">
        <v>11.34</v>
      </c>
      <c r="H686" t="s">
        <v>8588</v>
      </c>
      <c r="I686">
        <v>6</v>
      </c>
      <c r="J686" t="s">
        <v>462</v>
      </c>
      <c r="L686">
        <v>2052185</v>
      </c>
      <c r="M686">
        <v>7112</v>
      </c>
      <c r="N686" t="s">
        <v>15983</v>
      </c>
    </row>
    <row r="687" spans="1:14">
      <c r="A687">
        <v>11281518</v>
      </c>
      <c r="B687">
        <v>3039399</v>
      </c>
      <c r="C687" t="s">
        <v>619</v>
      </c>
      <c r="D687" t="s">
        <v>441</v>
      </c>
      <c r="F687">
        <v>0</v>
      </c>
      <c r="G687">
        <v>11.31</v>
      </c>
      <c r="H687" t="s">
        <v>8588</v>
      </c>
      <c r="I687">
        <v>6</v>
      </c>
      <c r="J687" t="s">
        <v>445</v>
      </c>
      <c r="M687">
        <v>2502</v>
      </c>
      <c r="N687" t="s">
        <v>15983</v>
      </c>
    </row>
    <row r="688" spans="1:14">
      <c r="A688">
        <v>11284075</v>
      </c>
      <c r="B688">
        <v>3035561</v>
      </c>
      <c r="C688" t="s">
        <v>620</v>
      </c>
      <c r="D688" t="s">
        <v>441</v>
      </c>
      <c r="F688">
        <v>0</v>
      </c>
      <c r="G688">
        <v>11.33</v>
      </c>
      <c r="H688" t="s">
        <v>8588</v>
      </c>
      <c r="I688">
        <v>6</v>
      </c>
      <c r="J688" t="s">
        <v>445</v>
      </c>
      <c r="M688">
        <v>7112</v>
      </c>
      <c r="N688" t="s">
        <v>15983</v>
      </c>
    </row>
    <row r="689" spans="1:14">
      <c r="A689">
        <v>11285051</v>
      </c>
      <c r="B689">
        <v>4023851</v>
      </c>
      <c r="C689" t="s">
        <v>621</v>
      </c>
      <c r="D689" t="s">
        <v>441</v>
      </c>
      <c r="F689">
        <v>0</v>
      </c>
      <c r="G689">
        <v>11.81</v>
      </c>
      <c r="H689" t="s">
        <v>8588</v>
      </c>
      <c r="I689">
        <v>16</v>
      </c>
      <c r="J689" t="s">
        <v>462</v>
      </c>
      <c r="L689">
        <v>2082971</v>
      </c>
      <c r="M689">
        <v>7112</v>
      </c>
      <c r="N689" t="s">
        <v>15983</v>
      </c>
    </row>
    <row r="690" spans="1:14">
      <c r="A690">
        <v>11290000</v>
      </c>
      <c r="B690">
        <v>3008792</v>
      </c>
      <c r="C690" t="s">
        <v>622</v>
      </c>
      <c r="D690" t="s">
        <v>441</v>
      </c>
      <c r="F690">
        <v>0</v>
      </c>
      <c r="G690">
        <v>10.67</v>
      </c>
      <c r="H690" t="s">
        <v>8580</v>
      </c>
      <c r="I690">
        <v>6</v>
      </c>
      <c r="J690" t="s">
        <v>445</v>
      </c>
      <c r="K690" t="s">
        <v>446</v>
      </c>
      <c r="M690">
        <v>0</v>
      </c>
    </row>
    <row r="691" spans="1:14">
      <c r="A691">
        <v>11300000</v>
      </c>
      <c r="B691">
        <v>3004302</v>
      </c>
      <c r="C691" t="s">
        <v>623</v>
      </c>
      <c r="D691" t="s">
        <v>441</v>
      </c>
      <c r="F691">
        <v>0</v>
      </c>
      <c r="G691">
        <v>9.6</v>
      </c>
      <c r="H691" t="s">
        <v>8580</v>
      </c>
      <c r="I691">
        <v>6</v>
      </c>
      <c r="J691" t="s">
        <v>445</v>
      </c>
      <c r="K691" t="s">
        <v>446</v>
      </c>
      <c r="M691">
        <v>2390</v>
      </c>
    </row>
    <row r="692" spans="1:14">
      <c r="A692">
        <v>11300020</v>
      </c>
      <c r="B692">
        <v>4003751</v>
      </c>
      <c r="C692" t="s">
        <v>9046</v>
      </c>
      <c r="D692" t="s">
        <v>441</v>
      </c>
      <c r="F692">
        <v>0</v>
      </c>
      <c r="G692">
        <v>11.08</v>
      </c>
      <c r="H692" t="s">
        <v>8588</v>
      </c>
      <c r="I692">
        <v>6</v>
      </c>
      <c r="J692" t="s">
        <v>462</v>
      </c>
      <c r="K692" t="s">
        <v>446</v>
      </c>
      <c r="L692">
        <v>2828211</v>
      </c>
      <c r="M692">
        <v>2641</v>
      </c>
      <c r="N692" t="s">
        <v>15988</v>
      </c>
    </row>
    <row r="693" spans="1:14">
      <c r="A693">
        <v>11300021</v>
      </c>
      <c r="B693">
        <v>4008790</v>
      </c>
      <c r="C693" t="s">
        <v>9047</v>
      </c>
      <c r="D693" t="s">
        <v>441</v>
      </c>
      <c r="F693">
        <v>0</v>
      </c>
      <c r="G693">
        <v>12.33</v>
      </c>
      <c r="H693" t="s">
        <v>8588</v>
      </c>
      <c r="I693">
        <v>6</v>
      </c>
      <c r="J693" t="s">
        <v>462</v>
      </c>
      <c r="K693" t="s">
        <v>446</v>
      </c>
      <c r="L693">
        <v>2209051</v>
      </c>
      <c r="M693">
        <v>2641</v>
      </c>
      <c r="N693" t="s">
        <v>15988</v>
      </c>
    </row>
    <row r="694" spans="1:14">
      <c r="A694">
        <v>11300022</v>
      </c>
      <c r="B694">
        <v>4005865</v>
      </c>
      <c r="C694" t="s">
        <v>9046</v>
      </c>
      <c r="D694" t="s">
        <v>441</v>
      </c>
      <c r="F694">
        <v>0</v>
      </c>
      <c r="G694">
        <v>11.03</v>
      </c>
      <c r="H694" t="s">
        <v>8588</v>
      </c>
      <c r="I694">
        <v>6</v>
      </c>
      <c r="J694" t="s">
        <v>462</v>
      </c>
      <c r="K694" t="s">
        <v>446</v>
      </c>
      <c r="M694">
        <v>2612</v>
      </c>
    </row>
    <row r="695" spans="1:14">
      <c r="A695">
        <v>11300023</v>
      </c>
      <c r="B695">
        <v>4010006</v>
      </c>
      <c r="C695" t="s">
        <v>9048</v>
      </c>
      <c r="D695" t="s">
        <v>441</v>
      </c>
      <c r="F695">
        <v>0</v>
      </c>
      <c r="G695">
        <v>9.7899999999999991</v>
      </c>
      <c r="H695" t="s">
        <v>8588</v>
      </c>
      <c r="I695">
        <v>6</v>
      </c>
      <c r="J695" t="s">
        <v>462</v>
      </c>
      <c r="K695" t="s">
        <v>446</v>
      </c>
      <c r="M695">
        <v>2612</v>
      </c>
      <c r="N695" t="s">
        <v>15988</v>
      </c>
    </row>
    <row r="696" spans="1:14">
      <c r="A696">
        <v>11300028</v>
      </c>
      <c r="B696">
        <v>4009732</v>
      </c>
      <c r="C696" t="s">
        <v>9049</v>
      </c>
      <c r="D696" t="s">
        <v>441</v>
      </c>
      <c r="F696">
        <v>0</v>
      </c>
      <c r="G696">
        <v>11.47</v>
      </c>
      <c r="H696" t="s">
        <v>8588</v>
      </c>
      <c r="I696">
        <v>365</v>
      </c>
      <c r="J696" t="s">
        <v>462</v>
      </c>
      <c r="K696" t="s">
        <v>446</v>
      </c>
      <c r="M696">
        <v>2501</v>
      </c>
    </row>
    <row r="697" spans="1:14">
      <c r="A697">
        <v>11300050</v>
      </c>
      <c r="B697">
        <v>4011102</v>
      </c>
      <c r="C697" t="s">
        <v>9050</v>
      </c>
      <c r="D697" t="s">
        <v>441</v>
      </c>
      <c r="F697">
        <v>0</v>
      </c>
      <c r="G697">
        <v>9.9499999999999993</v>
      </c>
      <c r="H697" t="s">
        <v>8588</v>
      </c>
      <c r="I697">
        <v>10</v>
      </c>
      <c r="J697" t="s">
        <v>462</v>
      </c>
      <c r="K697" t="s">
        <v>446</v>
      </c>
      <c r="M697">
        <v>2612</v>
      </c>
      <c r="N697" t="s">
        <v>15988</v>
      </c>
    </row>
    <row r="698" spans="1:14">
      <c r="A698">
        <v>11300051</v>
      </c>
      <c r="B698">
        <v>4012651</v>
      </c>
      <c r="C698" t="s">
        <v>9051</v>
      </c>
      <c r="D698" t="s">
        <v>441</v>
      </c>
      <c r="F698">
        <v>0</v>
      </c>
      <c r="G698">
        <v>12.58</v>
      </c>
      <c r="H698" t="s">
        <v>8588</v>
      </c>
      <c r="I698">
        <v>10</v>
      </c>
      <c r="J698" t="s">
        <v>462</v>
      </c>
      <c r="K698" t="s">
        <v>446</v>
      </c>
      <c r="M698">
        <v>2612</v>
      </c>
      <c r="N698" t="s">
        <v>15988</v>
      </c>
    </row>
    <row r="699" spans="1:14">
      <c r="A699">
        <v>11300053</v>
      </c>
      <c r="B699">
        <v>4012810</v>
      </c>
      <c r="C699" t="s">
        <v>9052</v>
      </c>
      <c r="D699" t="s">
        <v>441</v>
      </c>
      <c r="F699">
        <v>0</v>
      </c>
      <c r="G699">
        <v>11.51</v>
      </c>
      <c r="H699" t="s">
        <v>8588</v>
      </c>
      <c r="I699">
        <v>10</v>
      </c>
      <c r="J699" t="s">
        <v>462</v>
      </c>
      <c r="K699" t="s">
        <v>446</v>
      </c>
      <c r="M699">
        <v>2612</v>
      </c>
      <c r="N699" t="s">
        <v>15988</v>
      </c>
    </row>
    <row r="700" spans="1:14">
      <c r="A700">
        <v>11300077</v>
      </c>
      <c r="B700">
        <v>4007391</v>
      </c>
      <c r="C700" t="s">
        <v>9053</v>
      </c>
      <c r="D700" t="s">
        <v>441</v>
      </c>
      <c r="F700">
        <v>0</v>
      </c>
      <c r="G700">
        <v>12.17</v>
      </c>
      <c r="H700" t="s">
        <v>8588</v>
      </c>
      <c r="I700">
        <v>6</v>
      </c>
      <c r="J700" t="s">
        <v>462</v>
      </c>
      <c r="K700" t="s">
        <v>446</v>
      </c>
      <c r="M700">
        <v>2641</v>
      </c>
      <c r="N700" t="s">
        <v>15988</v>
      </c>
    </row>
    <row r="701" spans="1:14">
      <c r="A701">
        <v>11300528</v>
      </c>
      <c r="B701">
        <v>3012056</v>
      </c>
      <c r="C701" t="s">
        <v>9054</v>
      </c>
      <c r="D701" t="s">
        <v>441</v>
      </c>
      <c r="F701">
        <v>0</v>
      </c>
      <c r="G701">
        <v>11.38</v>
      </c>
      <c r="I701">
        <v>365</v>
      </c>
      <c r="J701" t="s">
        <v>445</v>
      </c>
      <c r="K701" t="s">
        <v>446</v>
      </c>
      <c r="M701">
        <v>2641</v>
      </c>
    </row>
    <row r="702" spans="1:14">
      <c r="A702">
        <v>11301020</v>
      </c>
      <c r="B702">
        <v>4011589</v>
      </c>
      <c r="C702" t="s">
        <v>9055</v>
      </c>
      <c r="D702" t="s">
        <v>441</v>
      </c>
      <c r="F702">
        <v>0</v>
      </c>
      <c r="G702">
        <v>12.32</v>
      </c>
      <c r="H702" t="s">
        <v>8588</v>
      </c>
      <c r="I702">
        <v>6</v>
      </c>
      <c r="J702" t="s">
        <v>462</v>
      </c>
      <c r="K702" t="s">
        <v>446</v>
      </c>
      <c r="M702">
        <v>2641</v>
      </c>
      <c r="N702" t="s">
        <v>15988</v>
      </c>
    </row>
    <row r="703" spans="1:14">
      <c r="A703">
        <v>11301021</v>
      </c>
      <c r="B703">
        <v>4011838</v>
      </c>
      <c r="C703" t="s">
        <v>9056</v>
      </c>
      <c r="D703" t="s">
        <v>441</v>
      </c>
      <c r="F703">
        <v>0</v>
      </c>
      <c r="G703">
        <v>9.83</v>
      </c>
      <c r="H703" t="s">
        <v>8588</v>
      </c>
      <c r="I703">
        <v>6</v>
      </c>
      <c r="J703" t="s">
        <v>462</v>
      </c>
      <c r="K703" t="s">
        <v>446</v>
      </c>
      <c r="L703">
        <v>2209051</v>
      </c>
      <c r="M703">
        <v>2641</v>
      </c>
      <c r="N703" t="s">
        <v>15988</v>
      </c>
    </row>
    <row r="704" spans="1:14">
      <c r="A704">
        <v>11301022</v>
      </c>
      <c r="B704">
        <v>4011636</v>
      </c>
      <c r="C704" t="s">
        <v>9055</v>
      </c>
      <c r="D704" t="s">
        <v>441</v>
      </c>
      <c r="F704">
        <v>0</v>
      </c>
      <c r="G704">
        <v>11.03</v>
      </c>
      <c r="H704" t="s">
        <v>8588</v>
      </c>
      <c r="I704">
        <v>6</v>
      </c>
      <c r="J704" t="s">
        <v>462</v>
      </c>
      <c r="K704" t="s">
        <v>446</v>
      </c>
      <c r="M704">
        <v>2612</v>
      </c>
    </row>
    <row r="705" spans="1:14">
      <c r="A705">
        <v>11301023</v>
      </c>
      <c r="B705">
        <v>4012017</v>
      </c>
      <c r="C705" t="s">
        <v>9057</v>
      </c>
      <c r="D705" t="s">
        <v>441</v>
      </c>
      <c r="F705">
        <v>0</v>
      </c>
      <c r="G705">
        <v>9.7899999999999991</v>
      </c>
      <c r="H705" t="s">
        <v>8588</v>
      </c>
      <c r="I705">
        <v>6</v>
      </c>
      <c r="J705" t="s">
        <v>462</v>
      </c>
      <c r="K705" t="s">
        <v>446</v>
      </c>
      <c r="M705">
        <v>2612</v>
      </c>
      <c r="N705" t="s">
        <v>15988</v>
      </c>
    </row>
    <row r="706" spans="1:14">
      <c r="A706">
        <v>11301028</v>
      </c>
      <c r="B706">
        <v>4011963</v>
      </c>
      <c r="C706" t="s">
        <v>624</v>
      </c>
      <c r="D706" t="s">
        <v>441</v>
      </c>
      <c r="F706">
        <v>0</v>
      </c>
      <c r="G706">
        <v>11.47</v>
      </c>
      <c r="H706" t="s">
        <v>8588</v>
      </c>
      <c r="I706">
        <v>365</v>
      </c>
      <c r="J706" t="s">
        <v>462</v>
      </c>
      <c r="K706" t="s">
        <v>446</v>
      </c>
      <c r="M706">
        <v>2501</v>
      </c>
    </row>
    <row r="707" spans="1:14">
      <c r="A707">
        <v>11301050</v>
      </c>
      <c r="B707">
        <v>4012153</v>
      </c>
      <c r="C707" t="s">
        <v>9058</v>
      </c>
      <c r="D707" t="s">
        <v>441</v>
      </c>
      <c r="F707">
        <v>0</v>
      </c>
      <c r="G707">
        <v>9.94</v>
      </c>
      <c r="H707" t="s">
        <v>8588</v>
      </c>
      <c r="I707">
        <v>10</v>
      </c>
      <c r="J707" t="s">
        <v>462</v>
      </c>
      <c r="K707" t="s">
        <v>446</v>
      </c>
      <c r="M707">
        <v>2612</v>
      </c>
      <c r="N707" t="s">
        <v>15988</v>
      </c>
    </row>
    <row r="708" spans="1:14">
      <c r="A708">
        <v>11301051</v>
      </c>
      <c r="B708">
        <v>4012650</v>
      </c>
      <c r="C708" t="s">
        <v>9059</v>
      </c>
      <c r="D708" t="s">
        <v>441</v>
      </c>
      <c r="F708">
        <v>0</v>
      </c>
      <c r="G708">
        <v>12.58</v>
      </c>
      <c r="H708" t="s">
        <v>8588</v>
      </c>
      <c r="I708">
        <v>10</v>
      </c>
      <c r="J708" t="s">
        <v>462</v>
      </c>
      <c r="K708" t="s">
        <v>446</v>
      </c>
      <c r="M708">
        <v>2612</v>
      </c>
      <c r="N708" t="s">
        <v>15988</v>
      </c>
    </row>
    <row r="709" spans="1:14">
      <c r="A709">
        <v>11301053</v>
      </c>
      <c r="B709">
        <v>4012811</v>
      </c>
      <c r="C709" t="s">
        <v>9060</v>
      </c>
      <c r="D709" t="s">
        <v>441</v>
      </c>
      <c r="F709">
        <v>0</v>
      </c>
      <c r="G709">
        <v>11.51</v>
      </c>
      <c r="H709" t="s">
        <v>8588</v>
      </c>
      <c r="I709">
        <v>10</v>
      </c>
      <c r="J709" t="s">
        <v>462</v>
      </c>
      <c r="K709" t="s">
        <v>446</v>
      </c>
      <c r="M709">
        <v>2612</v>
      </c>
      <c r="N709" t="s">
        <v>15988</v>
      </c>
    </row>
    <row r="710" spans="1:14">
      <c r="A710">
        <v>11301077</v>
      </c>
      <c r="B710">
        <v>4011726</v>
      </c>
      <c r="C710" t="s">
        <v>9061</v>
      </c>
      <c r="D710" t="s">
        <v>441</v>
      </c>
      <c r="F710">
        <v>0</v>
      </c>
      <c r="G710">
        <v>12.17</v>
      </c>
      <c r="H710" t="s">
        <v>8588</v>
      </c>
      <c r="I710">
        <v>6</v>
      </c>
      <c r="J710" t="s">
        <v>462</v>
      </c>
      <c r="K710" t="s">
        <v>446</v>
      </c>
      <c r="M710">
        <v>2641</v>
      </c>
      <c r="N710" t="s">
        <v>15988</v>
      </c>
    </row>
    <row r="711" spans="1:14">
      <c r="A711">
        <v>11301528</v>
      </c>
      <c r="B711">
        <v>3017495</v>
      </c>
      <c r="C711" t="s">
        <v>9062</v>
      </c>
      <c r="D711" t="s">
        <v>441</v>
      </c>
      <c r="F711">
        <v>0</v>
      </c>
      <c r="G711">
        <v>11.38</v>
      </c>
      <c r="H711" t="s">
        <v>8627</v>
      </c>
      <c r="I711">
        <v>365</v>
      </c>
      <c r="J711" t="s">
        <v>445</v>
      </c>
      <c r="K711" t="s">
        <v>446</v>
      </c>
      <c r="M711">
        <v>2641</v>
      </c>
    </row>
    <row r="712" spans="1:14">
      <c r="A712">
        <v>11306000</v>
      </c>
      <c r="B712">
        <v>3012054</v>
      </c>
      <c r="C712" t="s">
        <v>625</v>
      </c>
      <c r="D712" t="s">
        <v>441</v>
      </c>
      <c r="F712">
        <v>0</v>
      </c>
      <c r="G712">
        <v>9.42</v>
      </c>
      <c r="I712">
        <v>6</v>
      </c>
      <c r="J712" t="s">
        <v>445</v>
      </c>
      <c r="K712" t="s">
        <v>446</v>
      </c>
      <c r="M712">
        <v>2390</v>
      </c>
    </row>
    <row r="713" spans="1:14">
      <c r="A713">
        <v>11314000</v>
      </c>
      <c r="B713">
        <v>3007449</v>
      </c>
      <c r="C713" t="s">
        <v>626</v>
      </c>
      <c r="D713" t="s">
        <v>441</v>
      </c>
      <c r="F713">
        <v>0</v>
      </c>
      <c r="G713">
        <v>10.16</v>
      </c>
      <c r="H713" t="s">
        <v>8580</v>
      </c>
      <c r="I713">
        <v>6</v>
      </c>
      <c r="J713" t="s">
        <v>445</v>
      </c>
      <c r="K713" t="s">
        <v>446</v>
      </c>
      <c r="M713">
        <v>0</v>
      </c>
    </row>
    <row r="714" spans="1:14">
      <c r="A714">
        <v>11320000</v>
      </c>
      <c r="B714">
        <v>3007450</v>
      </c>
      <c r="C714" t="s">
        <v>627</v>
      </c>
      <c r="D714" t="s">
        <v>441</v>
      </c>
      <c r="F714">
        <v>0</v>
      </c>
      <c r="G714">
        <v>9.5</v>
      </c>
      <c r="H714" t="s">
        <v>8580</v>
      </c>
      <c r="I714">
        <v>6</v>
      </c>
      <c r="J714" t="s">
        <v>445</v>
      </c>
      <c r="K714" t="s">
        <v>446</v>
      </c>
      <c r="M714">
        <v>0</v>
      </c>
    </row>
    <row r="715" spans="1:14">
      <c r="A715">
        <v>11323000</v>
      </c>
      <c r="B715">
        <v>3009119</v>
      </c>
      <c r="C715" t="s">
        <v>628</v>
      </c>
      <c r="D715" t="s">
        <v>441</v>
      </c>
      <c r="F715">
        <v>0</v>
      </c>
      <c r="G715">
        <v>9.5</v>
      </c>
      <c r="I715">
        <v>6</v>
      </c>
      <c r="J715" t="s">
        <v>445</v>
      </c>
      <c r="K715" t="s">
        <v>446</v>
      </c>
      <c r="M715">
        <v>2390</v>
      </c>
    </row>
    <row r="716" spans="1:14">
      <c r="A716">
        <v>11330000</v>
      </c>
      <c r="B716">
        <v>3027273</v>
      </c>
      <c r="C716" t="s">
        <v>629</v>
      </c>
      <c r="D716" t="s">
        <v>441</v>
      </c>
      <c r="F716">
        <v>0</v>
      </c>
      <c r="G716">
        <v>9.34</v>
      </c>
      <c r="H716" t="s">
        <v>8588</v>
      </c>
      <c r="I716">
        <v>6</v>
      </c>
      <c r="J716" t="s">
        <v>445</v>
      </c>
      <c r="M716">
        <v>2391</v>
      </c>
      <c r="N716" t="s">
        <v>15990</v>
      </c>
    </row>
    <row r="717" spans="1:14">
      <c r="A717">
        <v>11330007</v>
      </c>
      <c r="B717">
        <v>3028045</v>
      </c>
      <c r="C717" t="s">
        <v>630</v>
      </c>
      <c r="D717" t="s">
        <v>441</v>
      </c>
      <c r="F717">
        <v>0</v>
      </c>
      <c r="G717">
        <v>9.4499999999999993</v>
      </c>
      <c r="H717" t="s">
        <v>8588</v>
      </c>
      <c r="I717">
        <v>6</v>
      </c>
      <c r="J717" t="s">
        <v>445</v>
      </c>
      <c r="M717">
        <v>2391</v>
      </c>
      <c r="N717" t="s">
        <v>15990</v>
      </c>
    </row>
    <row r="718" spans="1:14">
      <c r="A718">
        <v>11330040</v>
      </c>
      <c r="B718">
        <v>4026766</v>
      </c>
      <c r="C718" t="s">
        <v>631</v>
      </c>
      <c r="D718" t="s">
        <v>441</v>
      </c>
      <c r="F718">
        <v>0</v>
      </c>
      <c r="G718">
        <v>10.16</v>
      </c>
      <c r="H718" t="s">
        <v>8588</v>
      </c>
      <c r="I718">
        <v>16</v>
      </c>
      <c r="J718" t="s">
        <v>462</v>
      </c>
      <c r="M718">
        <v>7112</v>
      </c>
      <c r="N718" t="s">
        <v>15990</v>
      </c>
    </row>
    <row r="719" spans="1:14">
      <c r="A719">
        <v>11330050</v>
      </c>
      <c r="B719">
        <v>4019688</v>
      </c>
      <c r="C719" t="s">
        <v>632</v>
      </c>
      <c r="D719" t="s">
        <v>441</v>
      </c>
      <c r="F719">
        <v>0</v>
      </c>
      <c r="G719">
        <v>10.210000000000001</v>
      </c>
      <c r="H719" t="s">
        <v>8588</v>
      </c>
      <c r="I719">
        <v>16</v>
      </c>
      <c r="J719" t="s">
        <v>462</v>
      </c>
      <c r="M719">
        <v>7112</v>
      </c>
      <c r="N719" t="s">
        <v>15990</v>
      </c>
    </row>
    <row r="720" spans="1:14">
      <c r="A720">
        <v>11331000</v>
      </c>
      <c r="B720">
        <v>3045943</v>
      </c>
      <c r="C720" t="s">
        <v>17350</v>
      </c>
      <c r="D720" t="s">
        <v>441</v>
      </c>
      <c r="F720">
        <v>0</v>
      </c>
      <c r="G720">
        <v>18.11</v>
      </c>
      <c r="H720" t="s">
        <v>8549</v>
      </c>
      <c r="I720">
        <v>6</v>
      </c>
      <c r="J720" t="s">
        <v>445</v>
      </c>
      <c r="M720">
        <v>2391</v>
      </c>
      <c r="N720" t="s">
        <v>15990</v>
      </c>
    </row>
    <row r="721" spans="1:14">
      <c r="A721">
        <v>11340000</v>
      </c>
      <c r="B721">
        <v>3007451</v>
      </c>
      <c r="C721" t="s">
        <v>633</v>
      </c>
      <c r="D721" t="s">
        <v>441</v>
      </c>
      <c r="F721">
        <v>0</v>
      </c>
      <c r="G721">
        <v>9.34</v>
      </c>
      <c r="H721" t="s">
        <v>8580</v>
      </c>
      <c r="I721">
        <v>6</v>
      </c>
      <c r="J721" t="s">
        <v>445</v>
      </c>
      <c r="M721">
        <v>2391</v>
      </c>
      <c r="N721" t="s">
        <v>15990</v>
      </c>
    </row>
    <row r="722" spans="1:14">
      <c r="A722">
        <v>11340002</v>
      </c>
      <c r="B722">
        <v>3011357</v>
      </c>
      <c r="C722" t="s">
        <v>634</v>
      </c>
      <c r="D722" t="s">
        <v>441</v>
      </c>
      <c r="F722">
        <v>0</v>
      </c>
      <c r="G722">
        <v>12.53</v>
      </c>
      <c r="H722" t="s">
        <v>8549</v>
      </c>
      <c r="I722">
        <v>365</v>
      </c>
      <c r="J722" t="s">
        <v>445</v>
      </c>
      <c r="K722" t="s">
        <v>446</v>
      </c>
      <c r="M722">
        <v>2501</v>
      </c>
      <c r="N722" t="s">
        <v>15990</v>
      </c>
    </row>
    <row r="723" spans="1:14">
      <c r="A723">
        <v>11340020</v>
      </c>
      <c r="B723">
        <v>4003752</v>
      </c>
      <c r="C723" t="s">
        <v>635</v>
      </c>
      <c r="D723" t="s">
        <v>441</v>
      </c>
      <c r="F723">
        <v>0</v>
      </c>
      <c r="G723">
        <v>9.73</v>
      </c>
      <c r="H723" t="s">
        <v>8588</v>
      </c>
      <c r="I723">
        <v>6</v>
      </c>
      <c r="J723" t="s">
        <v>462</v>
      </c>
      <c r="L723">
        <v>2630490</v>
      </c>
      <c r="M723">
        <v>7112</v>
      </c>
      <c r="N723" t="s">
        <v>15990</v>
      </c>
    </row>
    <row r="724" spans="1:14">
      <c r="A724">
        <v>11340021</v>
      </c>
      <c r="B724">
        <v>4008749</v>
      </c>
      <c r="C724" t="s">
        <v>9063</v>
      </c>
      <c r="D724" t="s">
        <v>441</v>
      </c>
      <c r="F724">
        <v>0</v>
      </c>
      <c r="G724">
        <v>11.54</v>
      </c>
      <c r="H724" t="s">
        <v>8588</v>
      </c>
      <c r="I724">
        <v>6</v>
      </c>
      <c r="J724" t="s">
        <v>462</v>
      </c>
      <c r="K724" t="s">
        <v>446</v>
      </c>
      <c r="M724">
        <v>2641</v>
      </c>
      <c r="N724" t="s">
        <v>15990</v>
      </c>
    </row>
    <row r="725" spans="1:14">
      <c r="A725">
        <v>11340030</v>
      </c>
      <c r="B725">
        <v>4017005</v>
      </c>
      <c r="C725" t="s">
        <v>9064</v>
      </c>
      <c r="D725" t="s">
        <v>442</v>
      </c>
      <c r="E725" t="s">
        <v>441</v>
      </c>
      <c r="F725">
        <v>0.5</v>
      </c>
      <c r="G725">
        <v>7.76</v>
      </c>
      <c r="H725" t="s">
        <v>8588</v>
      </c>
      <c r="I725">
        <v>12</v>
      </c>
      <c r="J725" t="s">
        <v>462</v>
      </c>
      <c r="K725" t="s">
        <v>446</v>
      </c>
      <c r="M725">
        <v>2611</v>
      </c>
      <c r="N725" t="s">
        <v>15990</v>
      </c>
    </row>
    <row r="726" spans="1:14">
      <c r="A726">
        <v>11340031</v>
      </c>
      <c r="B726">
        <v>4017006</v>
      </c>
      <c r="C726" t="s">
        <v>9065</v>
      </c>
      <c r="D726" t="s">
        <v>441</v>
      </c>
      <c r="F726">
        <v>0</v>
      </c>
      <c r="G726">
        <v>12.36</v>
      </c>
      <c r="H726" t="s">
        <v>8588</v>
      </c>
      <c r="I726">
        <v>12</v>
      </c>
      <c r="J726" t="s">
        <v>462</v>
      </c>
      <c r="K726" t="s">
        <v>446</v>
      </c>
      <c r="M726">
        <v>2611</v>
      </c>
      <c r="N726" t="s">
        <v>15990</v>
      </c>
    </row>
    <row r="727" spans="1:14">
      <c r="A727">
        <v>11340040</v>
      </c>
      <c r="B727">
        <v>4008819</v>
      </c>
      <c r="C727" t="s">
        <v>9066</v>
      </c>
      <c r="D727" t="s">
        <v>441</v>
      </c>
      <c r="F727">
        <v>0</v>
      </c>
      <c r="G727">
        <v>12.07</v>
      </c>
      <c r="H727" t="s">
        <v>8588</v>
      </c>
      <c r="I727">
        <v>11</v>
      </c>
      <c r="J727" t="s">
        <v>462</v>
      </c>
      <c r="K727" t="s">
        <v>446</v>
      </c>
      <c r="M727">
        <v>2612</v>
      </c>
    </row>
    <row r="728" spans="1:14">
      <c r="A728">
        <v>11340041</v>
      </c>
      <c r="B728">
        <v>4009690</v>
      </c>
      <c r="C728" t="s">
        <v>636</v>
      </c>
      <c r="D728" t="s">
        <v>441</v>
      </c>
      <c r="F728">
        <v>0</v>
      </c>
      <c r="G728">
        <v>13.01</v>
      </c>
      <c r="H728" t="s">
        <v>8588</v>
      </c>
      <c r="I728">
        <v>12</v>
      </c>
      <c r="J728" t="s">
        <v>462</v>
      </c>
      <c r="K728" t="s">
        <v>446</v>
      </c>
      <c r="M728">
        <v>2612</v>
      </c>
      <c r="N728" t="s">
        <v>15990</v>
      </c>
    </row>
    <row r="729" spans="1:14">
      <c r="A729">
        <v>11340042</v>
      </c>
      <c r="B729">
        <v>4010949</v>
      </c>
      <c r="C729" t="s">
        <v>637</v>
      </c>
      <c r="D729" t="s">
        <v>441</v>
      </c>
      <c r="F729">
        <v>0</v>
      </c>
      <c r="G729">
        <v>12.8</v>
      </c>
      <c r="H729" t="s">
        <v>8588</v>
      </c>
      <c r="I729">
        <v>14</v>
      </c>
      <c r="J729" t="s">
        <v>462</v>
      </c>
      <c r="K729" t="s">
        <v>446</v>
      </c>
      <c r="L729">
        <v>2996520</v>
      </c>
      <c r="M729">
        <v>2612</v>
      </c>
      <c r="N729" t="s">
        <v>15990</v>
      </c>
    </row>
    <row r="730" spans="1:14">
      <c r="A730">
        <v>11340043</v>
      </c>
      <c r="B730">
        <v>4003753</v>
      </c>
      <c r="C730" t="s">
        <v>9067</v>
      </c>
      <c r="D730" t="s">
        <v>441</v>
      </c>
      <c r="F730">
        <v>0</v>
      </c>
      <c r="G730">
        <v>12.22</v>
      </c>
      <c r="H730" t="s">
        <v>8588</v>
      </c>
      <c r="I730">
        <v>11</v>
      </c>
      <c r="J730" t="s">
        <v>462</v>
      </c>
      <c r="K730" t="s">
        <v>446</v>
      </c>
      <c r="M730">
        <v>2612</v>
      </c>
    </row>
    <row r="731" spans="1:14">
      <c r="A731">
        <v>11340044</v>
      </c>
      <c r="B731">
        <v>4009869</v>
      </c>
      <c r="C731" t="s">
        <v>9068</v>
      </c>
      <c r="D731" t="s">
        <v>441</v>
      </c>
      <c r="F731">
        <v>0</v>
      </c>
      <c r="G731">
        <v>11.85</v>
      </c>
      <c r="H731" t="s">
        <v>8588</v>
      </c>
      <c r="I731">
        <v>11</v>
      </c>
      <c r="J731" t="s">
        <v>462</v>
      </c>
      <c r="K731" t="s">
        <v>446</v>
      </c>
      <c r="M731">
        <v>2612</v>
      </c>
    </row>
    <row r="732" spans="1:14">
      <c r="A732">
        <v>11340045</v>
      </c>
      <c r="B732">
        <v>4012388</v>
      </c>
      <c r="C732" t="s">
        <v>9069</v>
      </c>
      <c r="D732" t="s">
        <v>441</v>
      </c>
      <c r="F732">
        <v>0</v>
      </c>
      <c r="G732">
        <v>12.32</v>
      </c>
      <c r="H732" t="s">
        <v>8588</v>
      </c>
      <c r="I732">
        <v>11</v>
      </c>
      <c r="J732" t="s">
        <v>462</v>
      </c>
      <c r="K732" t="s">
        <v>446</v>
      </c>
      <c r="M732">
        <v>2641</v>
      </c>
    </row>
    <row r="733" spans="1:14">
      <c r="A733">
        <v>11340047</v>
      </c>
      <c r="B733">
        <v>4003755</v>
      </c>
      <c r="C733" t="s">
        <v>9070</v>
      </c>
      <c r="D733" t="s">
        <v>441</v>
      </c>
      <c r="F733">
        <v>0</v>
      </c>
      <c r="G733">
        <v>12.04</v>
      </c>
      <c r="H733" t="s">
        <v>8588</v>
      </c>
      <c r="I733">
        <v>11</v>
      </c>
      <c r="J733" t="s">
        <v>462</v>
      </c>
      <c r="K733" t="s">
        <v>446</v>
      </c>
      <c r="M733">
        <v>2612</v>
      </c>
    </row>
    <row r="734" spans="1:14">
      <c r="A734">
        <v>11340048</v>
      </c>
      <c r="B734">
        <v>4006840</v>
      </c>
      <c r="C734" t="s">
        <v>9071</v>
      </c>
      <c r="D734" t="s">
        <v>441</v>
      </c>
      <c r="F734">
        <v>0</v>
      </c>
      <c r="G734">
        <v>10.37</v>
      </c>
      <c r="H734" t="s">
        <v>8588</v>
      </c>
      <c r="I734">
        <v>16</v>
      </c>
      <c r="J734" t="s">
        <v>462</v>
      </c>
      <c r="K734" t="s">
        <v>446</v>
      </c>
      <c r="M734">
        <v>2612</v>
      </c>
      <c r="N734" t="s">
        <v>15990</v>
      </c>
    </row>
    <row r="735" spans="1:14">
      <c r="A735">
        <v>11340049</v>
      </c>
      <c r="B735">
        <v>4008277</v>
      </c>
      <c r="C735" t="s">
        <v>9072</v>
      </c>
      <c r="D735" t="s">
        <v>441</v>
      </c>
      <c r="F735">
        <v>0</v>
      </c>
      <c r="G735">
        <v>13.17</v>
      </c>
      <c r="H735" t="s">
        <v>8588</v>
      </c>
      <c r="I735">
        <v>12</v>
      </c>
      <c r="J735" t="s">
        <v>462</v>
      </c>
      <c r="K735" t="s">
        <v>446</v>
      </c>
      <c r="M735">
        <v>2612</v>
      </c>
      <c r="N735" t="s">
        <v>15990</v>
      </c>
    </row>
    <row r="736" spans="1:14">
      <c r="A736">
        <v>11340050</v>
      </c>
      <c r="B736">
        <v>4010133</v>
      </c>
      <c r="C736" t="s">
        <v>9073</v>
      </c>
      <c r="D736" t="s">
        <v>441</v>
      </c>
      <c r="F736">
        <v>0</v>
      </c>
      <c r="G736">
        <v>11.88</v>
      </c>
      <c r="H736" t="s">
        <v>8588</v>
      </c>
      <c r="I736">
        <v>16</v>
      </c>
      <c r="J736" t="s">
        <v>462</v>
      </c>
      <c r="K736" t="s">
        <v>446</v>
      </c>
      <c r="M736">
        <v>2612</v>
      </c>
    </row>
    <row r="737" spans="1:14">
      <c r="A737">
        <v>11340051</v>
      </c>
      <c r="B737">
        <v>4001776</v>
      </c>
      <c r="C737" t="s">
        <v>638</v>
      </c>
      <c r="D737" t="s">
        <v>441</v>
      </c>
      <c r="F737">
        <v>0</v>
      </c>
      <c r="G737">
        <v>9.94</v>
      </c>
      <c r="H737" t="s">
        <v>8588</v>
      </c>
      <c r="I737">
        <v>16</v>
      </c>
      <c r="J737" t="s">
        <v>462</v>
      </c>
      <c r="M737">
        <v>7112</v>
      </c>
      <c r="N737" t="s">
        <v>15990</v>
      </c>
    </row>
    <row r="738" spans="1:14">
      <c r="A738">
        <v>11340052</v>
      </c>
      <c r="B738">
        <v>4003756</v>
      </c>
      <c r="C738" t="s">
        <v>9074</v>
      </c>
      <c r="D738" t="s">
        <v>441</v>
      </c>
      <c r="F738">
        <v>0</v>
      </c>
      <c r="G738">
        <v>12.5</v>
      </c>
      <c r="H738" t="s">
        <v>8588</v>
      </c>
      <c r="I738">
        <v>11</v>
      </c>
      <c r="J738" t="s">
        <v>462</v>
      </c>
      <c r="K738" t="s">
        <v>446</v>
      </c>
      <c r="M738">
        <v>2612</v>
      </c>
    </row>
    <row r="739" spans="1:14">
      <c r="A739">
        <v>11340053</v>
      </c>
      <c r="B739">
        <v>4012641</v>
      </c>
      <c r="C739" t="s">
        <v>9075</v>
      </c>
      <c r="D739" t="s">
        <v>441</v>
      </c>
      <c r="F739">
        <v>0</v>
      </c>
      <c r="G739">
        <v>12.69</v>
      </c>
      <c r="H739" t="s">
        <v>8588</v>
      </c>
      <c r="I739">
        <v>12</v>
      </c>
      <c r="J739" t="s">
        <v>462</v>
      </c>
      <c r="K739" t="s">
        <v>446</v>
      </c>
      <c r="M739">
        <v>2612</v>
      </c>
      <c r="N739" t="s">
        <v>15990</v>
      </c>
    </row>
    <row r="740" spans="1:14">
      <c r="A740">
        <v>11340054</v>
      </c>
      <c r="B740">
        <v>4015387</v>
      </c>
      <c r="C740" t="s">
        <v>9076</v>
      </c>
      <c r="D740" t="s">
        <v>441</v>
      </c>
      <c r="F740">
        <v>0</v>
      </c>
      <c r="G740">
        <v>12.76</v>
      </c>
      <c r="H740" t="s">
        <v>8588</v>
      </c>
      <c r="I740">
        <v>16</v>
      </c>
      <c r="J740" t="s">
        <v>462</v>
      </c>
      <c r="K740" t="s">
        <v>446</v>
      </c>
      <c r="M740">
        <v>2612</v>
      </c>
      <c r="N740" t="s">
        <v>15990</v>
      </c>
    </row>
    <row r="741" spans="1:14">
      <c r="A741">
        <v>11340055</v>
      </c>
      <c r="B741">
        <v>4015763</v>
      </c>
      <c r="C741" t="s">
        <v>9077</v>
      </c>
      <c r="D741" t="s">
        <v>441</v>
      </c>
      <c r="F741">
        <v>0</v>
      </c>
      <c r="G741">
        <v>14.39</v>
      </c>
      <c r="H741" t="s">
        <v>8588</v>
      </c>
      <c r="I741">
        <v>16</v>
      </c>
      <c r="J741" t="s">
        <v>462</v>
      </c>
      <c r="K741" t="s">
        <v>446</v>
      </c>
      <c r="L741">
        <v>2630490</v>
      </c>
      <c r="M741">
        <v>2612</v>
      </c>
      <c r="N741" t="s">
        <v>15990</v>
      </c>
    </row>
    <row r="742" spans="1:14">
      <c r="A742">
        <v>11340056</v>
      </c>
      <c r="B742">
        <v>4016681</v>
      </c>
      <c r="C742" t="s">
        <v>17351</v>
      </c>
      <c r="D742" t="s">
        <v>441</v>
      </c>
      <c r="F742">
        <v>0</v>
      </c>
      <c r="G742">
        <v>18.850000000000001</v>
      </c>
      <c r="H742" t="s">
        <v>8588</v>
      </c>
      <c r="I742">
        <v>9</v>
      </c>
      <c r="J742" t="s">
        <v>462</v>
      </c>
      <c r="L742">
        <v>10925</v>
      </c>
      <c r="M742">
        <v>7112</v>
      </c>
      <c r="N742" t="s">
        <v>15990</v>
      </c>
    </row>
    <row r="743" spans="1:14">
      <c r="A743">
        <v>11340057</v>
      </c>
      <c r="B743">
        <v>4017715</v>
      </c>
      <c r="C743" t="s">
        <v>9078</v>
      </c>
      <c r="D743" t="s">
        <v>441</v>
      </c>
      <c r="F743">
        <v>0</v>
      </c>
      <c r="G743">
        <v>12.45</v>
      </c>
      <c r="H743" t="s">
        <v>8588</v>
      </c>
      <c r="I743">
        <v>13</v>
      </c>
      <c r="J743" t="s">
        <v>462</v>
      </c>
      <c r="K743" t="s">
        <v>446</v>
      </c>
      <c r="M743">
        <v>2612</v>
      </c>
      <c r="N743" t="s">
        <v>15990</v>
      </c>
    </row>
    <row r="744" spans="1:14">
      <c r="A744">
        <v>11340058</v>
      </c>
      <c r="B744">
        <v>4019534</v>
      </c>
      <c r="C744" t="s">
        <v>17352</v>
      </c>
      <c r="D744" t="s">
        <v>441</v>
      </c>
      <c r="F744">
        <v>0</v>
      </c>
      <c r="G744">
        <v>18.190000000000001</v>
      </c>
      <c r="H744" t="s">
        <v>8588</v>
      </c>
      <c r="I744">
        <v>16</v>
      </c>
      <c r="J744" t="s">
        <v>462</v>
      </c>
      <c r="M744">
        <v>7112</v>
      </c>
      <c r="N744" t="s">
        <v>15990</v>
      </c>
    </row>
    <row r="745" spans="1:14">
      <c r="A745">
        <v>11340059</v>
      </c>
      <c r="B745">
        <v>4019619</v>
      </c>
      <c r="C745" t="s">
        <v>9079</v>
      </c>
      <c r="D745" t="s">
        <v>441</v>
      </c>
      <c r="F745">
        <v>0</v>
      </c>
      <c r="G745">
        <v>12.28</v>
      </c>
      <c r="H745" t="s">
        <v>8588</v>
      </c>
      <c r="I745">
        <v>14</v>
      </c>
      <c r="J745" t="s">
        <v>462</v>
      </c>
      <c r="K745" t="s">
        <v>446</v>
      </c>
      <c r="M745">
        <v>2612</v>
      </c>
      <c r="N745" t="s">
        <v>15990</v>
      </c>
    </row>
    <row r="746" spans="1:14">
      <c r="A746">
        <v>11340061</v>
      </c>
      <c r="B746">
        <v>3011380</v>
      </c>
      <c r="C746" t="s">
        <v>639</v>
      </c>
      <c r="D746" t="s">
        <v>441</v>
      </c>
      <c r="F746">
        <v>0</v>
      </c>
      <c r="G746">
        <v>10.15</v>
      </c>
      <c r="H746" t="s">
        <v>8549</v>
      </c>
      <c r="I746">
        <v>365</v>
      </c>
      <c r="J746" t="s">
        <v>445</v>
      </c>
      <c r="K746" t="s">
        <v>446</v>
      </c>
      <c r="M746">
        <v>2501</v>
      </c>
      <c r="N746" t="s">
        <v>15990</v>
      </c>
    </row>
    <row r="747" spans="1:14">
      <c r="A747">
        <v>11340062</v>
      </c>
      <c r="B747">
        <v>4013692</v>
      </c>
      <c r="C747" t="s">
        <v>9080</v>
      </c>
      <c r="D747" t="s">
        <v>441</v>
      </c>
      <c r="F747">
        <v>0</v>
      </c>
      <c r="G747">
        <v>11.16</v>
      </c>
      <c r="H747" t="s">
        <v>8588</v>
      </c>
      <c r="I747">
        <v>16</v>
      </c>
      <c r="J747" t="s">
        <v>462</v>
      </c>
      <c r="K747" t="s">
        <v>446</v>
      </c>
      <c r="M747">
        <v>2612</v>
      </c>
      <c r="N747" t="s">
        <v>15990</v>
      </c>
    </row>
    <row r="748" spans="1:14">
      <c r="A748">
        <v>11340063</v>
      </c>
      <c r="B748">
        <v>4014239</v>
      </c>
      <c r="C748" t="s">
        <v>640</v>
      </c>
      <c r="D748" t="s">
        <v>441</v>
      </c>
      <c r="F748">
        <v>0</v>
      </c>
      <c r="G748">
        <v>12.88</v>
      </c>
      <c r="H748" t="s">
        <v>8588</v>
      </c>
      <c r="I748">
        <v>14</v>
      </c>
      <c r="J748" t="s">
        <v>462</v>
      </c>
      <c r="K748" t="s">
        <v>446</v>
      </c>
      <c r="L748">
        <v>2996520</v>
      </c>
      <c r="M748">
        <v>2612</v>
      </c>
      <c r="N748" t="s">
        <v>15990</v>
      </c>
    </row>
    <row r="749" spans="1:14">
      <c r="A749">
        <v>11340064</v>
      </c>
      <c r="B749">
        <v>4015488</v>
      </c>
      <c r="C749" t="s">
        <v>9081</v>
      </c>
      <c r="D749" t="s">
        <v>441</v>
      </c>
      <c r="F749">
        <v>0</v>
      </c>
      <c r="G749">
        <v>13.04</v>
      </c>
      <c r="H749" t="s">
        <v>8588</v>
      </c>
      <c r="I749">
        <v>16</v>
      </c>
      <c r="J749" t="s">
        <v>462</v>
      </c>
      <c r="K749" t="s">
        <v>446</v>
      </c>
      <c r="M749">
        <v>2612</v>
      </c>
      <c r="N749" t="s">
        <v>15990</v>
      </c>
    </row>
    <row r="750" spans="1:14">
      <c r="A750">
        <v>11340065</v>
      </c>
      <c r="B750">
        <v>4016954</v>
      </c>
      <c r="C750" t="s">
        <v>641</v>
      </c>
      <c r="D750" t="s">
        <v>441</v>
      </c>
      <c r="F750">
        <v>0</v>
      </c>
      <c r="G750">
        <v>13.04</v>
      </c>
      <c r="H750" t="s">
        <v>8588</v>
      </c>
      <c r="I750">
        <v>16</v>
      </c>
      <c r="J750" t="s">
        <v>462</v>
      </c>
      <c r="K750" t="s">
        <v>446</v>
      </c>
      <c r="M750">
        <v>2612</v>
      </c>
      <c r="N750" t="s">
        <v>15990</v>
      </c>
    </row>
    <row r="751" spans="1:14">
      <c r="A751">
        <v>11340066</v>
      </c>
      <c r="B751">
        <v>4017757</v>
      </c>
      <c r="C751" t="s">
        <v>642</v>
      </c>
      <c r="D751" t="s">
        <v>441</v>
      </c>
      <c r="F751">
        <v>0</v>
      </c>
      <c r="G751">
        <v>12.48</v>
      </c>
      <c r="H751" t="s">
        <v>8588</v>
      </c>
      <c r="I751">
        <v>16</v>
      </c>
      <c r="J751" t="s">
        <v>462</v>
      </c>
      <c r="K751" t="s">
        <v>446</v>
      </c>
      <c r="M751">
        <v>2612</v>
      </c>
      <c r="N751" t="s">
        <v>15990</v>
      </c>
    </row>
    <row r="752" spans="1:14">
      <c r="A752">
        <v>11340067</v>
      </c>
      <c r="B752">
        <v>4019975</v>
      </c>
      <c r="C752" t="s">
        <v>643</v>
      </c>
      <c r="D752" t="s">
        <v>441</v>
      </c>
      <c r="F752">
        <v>0</v>
      </c>
      <c r="G752">
        <v>12.77</v>
      </c>
      <c r="H752" t="s">
        <v>8588</v>
      </c>
      <c r="I752">
        <v>16</v>
      </c>
      <c r="J752" t="s">
        <v>462</v>
      </c>
      <c r="K752" t="s">
        <v>446</v>
      </c>
      <c r="M752">
        <v>2612</v>
      </c>
      <c r="N752" t="s">
        <v>15990</v>
      </c>
    </row>
    <row r="753" spans="1:14">
      <c r="A753">
        <v>11340068</v>
      </c>
      <c r="B753">
        <v>4024026</v>
      </c>
      <c r="C753" t="s">
        <v>644</v>
      </c>
      <c r="D753" t="s">
        <v>441</v>
      </c>
      <c r="F753">
        <v>0</v>
      </c>
      <c r="G753">
        <v>9.99</v>
      </c>
      <c r="H753" t="s">
        <v>8588</v>
      </c>
      <c r="I753">
        <v>16</v>
      </c>
      <c r="J753" t="s">
        <v>462</v>
      </c>
      <c r="M753">
        <v>7112</v>
      </c>
      <c r="N753" t="s">
        <v>15990</v>
      </c>
    </row>
    <row r="754" spans="1:14">
      <c r="A754">
        <v>11340069</v>
      </c>
      <c r="B754">
        <v>4030110</v>
      </c>
      <c r="C754" t="s">
        <v>15921</v>
      </c>
      <c r="D754" t="s">
        <v>441</v>
      </c>
      <c r="F754">
        <v>0</v>
      </c>
      <c r="G754">
        <v>17.91</v>
      </c>
      <c r="H754" t="s">
        <v>8588</v>
      </c>
      <c r="I754">
        <v>16</v>
      </c>
      <c r="J754" t="s">
        <v>462</v>
      </c>
      <c r="M754">
        <v>7112</v>
      </c>
      <c r="N754" t="s">
        <v>15990</v>
      </c>
    </row>
    <row r="755" spans="1:14">
      <c r="A755">
        <v>11340075</v>
      </c>
      <c r="B755">
        <v>3007452</v>
      </c>
      <c r="C755" t="s">
        <v>9082</v>
      </c>
      <c r="D755" t="s">
        <v>441</v>
      </c>
      <c r="F755">
        <v>0</v>
      </c>
      <c r="G755">
        <v>12.26</v>
      </c>
      <c r="H755" t="s">
        <v>8588</v>
      </c>
      <c r="I755">
        <v>6</v>
      </c>
      <c r="J755" t="s">
        <v>445</v>
      </c>
      <c r="K755" t="s">
        <v>446</v>
      </c>
      <c r="M755">
        <v>2641</v>
      </c>
      <c r="N755" t="s">
        <v>15990</v>
      </c>
    </row>
    <row r="756" spans="1:14">
      <c r="A756">
        <v>11340076</v>
      </c>
      <c r="B756">
        <v>3026047</v>
      </c>
      <c r="C756" t="s">
        <v>645</v>
      </c>
      <c r="D756" t="s">
        <v>441</v>
      </c>
      <c r="F756">
        <v>0</v>
      </c>
      <c r="G756">
        <v>9.56</v>
      </c>
      <c r="H756" t="s">
        <v>8588</v>
      </c>
      <c r="I756">
        <v>6</v>
      </c>
      <c r="J756" t="s">
        <v>445</v>
      </c>
      <c r="L756">
        <v>2092020</v>
      </c>
      <c r="M756">
        <v>7112</v>
      </c>
      <c r="N756" t="s">
        <v>15990</v>
      </c>
    </row>
    <row r="757" spans="1:14">
      <c r="A757">
        <v>11340100</v>
      </c>
      <c r="B757">
        <v>3017020</v>
      </c>
      <c r="C757" t="s">
        <v>646</v>
      </c>
      <c r="D757" t="s">
        <v>441</v>
      </c>
      <c r="F757">
        <v>0</v>
      </c>
      <c r="H757" t="s">
        <v>8588</v>
      </c>
      <c r="I757">
        <v>6</v>
      </c>
      <c r="J757" t="s">
        <v>445</v>
      </c>
      <c r="M757">
        <v>7161</v>
      </c>
      <c r="N757" t="s">
        <v>15990</v>
      </c>
    </row>
    <row r="758" spans="1:14">
      <c r="A758">
        <v>11340110</v>
      </c>
      <c r="B758">
        <v>3015348</v>
      </c>
      <c r="C758" t="s">
        <v>647</v>
      </c>
      <c r="D758" t="s">
        <v>441</v>
      </c>
      <c r="F758">
        <v>0</v>
      </c>
      <c r="H758" t="s">
        <v>8549</v>
      </c>
      <c r="I758">
        <v>6</v>
      </c>
      <c r="J758" t="s">
        <v>445</v>
      </c>
      <c r="M758">
        <v>7161</v>
      </c>
      <c r="N758" t="s">
        <v>15990</v>
      </c>
    </row>
    <row r="759" spans="1:14">
      <c r="A759">
        <v>11340120</v>
      </c>
      <c r="B759">
        <v>3012006</v>
      </c>
      <c r="C759" t="s">
        <v>648</v>
      </c>
      <c r="D759" t="s">
        <v>441</v>
      </c>
      <c r="F759">
        <v>0</v>
      </c>
      <c r="G759">
        <v>13.2</v>
      </c>
      <c r="H759" t="s">
        <v>8588</v>
      </c>
      <c r="I759">
        <v>5</v>
      </c>
      <c r="J759" t="s">
        <v>445</v>
      </c>
      <c r="K759" t="s">
        <v>446</v>
      </c>
      <c r="M759">
        <v>2391</v>
      </c>
    </row>
    <row r="760" spans="1:14">
      <c r="A760">
        <v>11340502</v>
      </c>
      <c r="B760">
        <v>3011359</v>
      </c>
      <c r="C760" t="s">
        <v>649</v>
      </c>
      <c r="D760" t="s">
        <v>441</v>
      </c>
      <c r="F760">
        <v>0</v>
      </c>
      <c r="G760">
        <v>12.25</v>
      </c>
      <c r="H760" t="s">
        <v>8549</v>
      </c>
      <c r="I760">
        <v>6</v>
      </c>
      <c r="J760" t="s">
        <v>445</v>
      </c>
      <c r="K760" t="s">
        <v>446</v>
      </c>
      <c r="M760">
        <v>2641</v>
      </c>
      <c r="N760" t="s">
        <v>15990</v>
      </c>
    </row>
    <row r="761" spans="1:14">
      <c r="A761">
        <v>11340561</v>
      </c>
      <c r="B761">
        <v>3011391</v>
      </c>
      <c r="C761" t="s">
        <v>9083</v>
      </c>
      <c r="D761" t="s">
        <v>441</v>
      </c>
      <c r="F761">
        <v>0</v>
      </c>
      <c r="G761">
        <v>9.93</v>
      </c>
      <c r="H761" t="s">
        <v>8549</v>
      </c>
      <c r="I761">
        <v>6</v>
      </c>
      <c r="J761" t="s">
        <v>445</v>
      </c>
      <c r="K761" t="s">
        <v>446</v>
      </c>
      <c r="M761">
        <v>2641</v>
      </c>
      <c r="N761" t="s">
        <v>15990</v>
      </c>
    </row>
    <row r="762" spans="1:14">
      <c r="A762">
        <v>11340602</v>
      </c>
      <c r="B762">
        <v>3011358</v>
      </c>
      <c r="C762" t="s">
        <v>650</v>
      </c>
      <c r="D762" t="s">
        <v>441</v>
      </c>
      <c r="F762">
        <v>0</v>
      </c>
      <c r="G762">
        <v>12.96</v>
      </c>
      <c r="H762" t="s">
        <v>8580</v>
      </c>
      <c r="I762">
        <v>4</v>
      </c>
      <c r="J762" t="s">
        <v>445</v>
      </c>
      <c r="K762" t="s">
        <v>446</v>
      </c>
      <c r="M762">
        <v>2511</v>
      </c>
      <c r="N762" t="s">
        <v>15990</v>
      </c>
    </row>
    <row r="763" spans="1:14">
      <c r="A763">
        <v>11340661</v>
      </c>
      <c r="B763">
        <v>3011390</v>
      </c>
      <c r="C763" t="s">
        <v>651</v>
      </c>
      <c r="D763" t="s">
        <v>441</v>
      </c>
      <c r="F763">
        <v>0</v>
      </c>
      <c r="G763">
        <v>10.57</v>
      </c>
      <c r="I763">
        <v>4</v>
      </c>
      <c r="J763" t="s">
        <v>445</v>
      </c>
      <c r="K763" t="s">
        <v>446</v>
      </c>
      <c r="M763">
        <v>2511</v>
      </c>
      <c r="N763" t="s">
        <v>15990</v>
      </c>
    </row>
    <row r="764" spans="1:14">
      <c r="A764">
        <v>11340900</v>
      </c>
      <c r="B764">
        <v>3024208</v>
      </c>
      <c r="C764" t="s">
        <v>652</v>
      </c>
      <c r="D764" t="s">
        <v>441</v>
      </c>
      <c r="F764">
        <v>0</v>
      </c>
      <c r="I764">
        <v>6</v>
      </c>
      <c r="J764" t="s">
        <v>445</v>
      </c>
      <c r="M764">
        <v>6666</v>
      </c>
      <c r="N764" t="s">
        <v>15990</v>
      </c>
    </row>
    <row r="765" spans="1:14">
      <c r="A765">
        <v>11341020</v>
      </c>
      <c r="B765">
        <v>4011590</v>
      </c>
      <c r="C765" t="s">
        <v>653</v>
      </c>
      <c r="D765" t="s">
        <v>441</v>
      </c>
      <c r="F765">
        <v>0</v>
      </c>
      <c r="G765">
        <v>9.73</v>
      </c>
      <c r="H765" t="s">
        <v>8588</v>
      </c>
      <c r="I765">
        <v>6</v>
      </c>
      <c r="J765" t="s">
        <v>462</v>
      </c>
      <c r="L765">
        <v>2630490</v>
      </c>
      <c r="M765">
        <v>7112</v>
      </c>
      <c r="N765" t="s">
        <v>15990</v>
      </c>
    </row>
    <row r="766" spans="1:14">
      <c r="A766">
        <v>11341021</v>
      </c>
      <c r="B766">
        <v>4011820</v>
      </c>
      <c r="C766" t="s">
        <v>9084</v>
      </c>
      <c r="D766" t="s">
        <v>441</v>
      </c>
      <c r="F766">
        <v>0</v>
      </c>
      <c r="G766">
        <v>11.54</v>
      </c>
      <c r="H766" t="s">
        <v>8588</v>
      </c>
      <c r="I766">
        <v>6</v>
      </c>
      <c r="J766" t="s">
        <v>462</v>
      </c>
      <c r="K766" t="s">
        <v>446</v>
      </c>
      <c r="M766">
        <v>2641</v>
      </c>
      <c r="N766" t="s">
        <v>15990</v>
      </c>
    </row>
    <row r="767" spans="1:14">
      <c r="A767">
        <v>11341040</v>
      </c>
      <c r="B767">
        <v>4011848</v>
      </c>
      <c r="C767" t="s">
        <v>9085</v>
      </c>
      <c r="D767" t="s">
        <v>441</v>
      </c>
      <c r="F767">
        <v>0</v>
      </c>
      <c r="G767">
        <v>12.06</v>
      </c>
      <c r="H767" t="s">
        <v>8588</v>
      </c>
      <c r="I767">
        <v>11</v>
      </c>
      <c r="J767" t="s">
        <v>462</v>
      </c>
      <c r="K767" t="s">
        <v>446</v>
      </c>
      <c r="M767">
        <v>2612</v>
      </c>
    </row>
    <row r="768" spans="1:14">
      <c r="A768">
        <v>11341041</v>
      </c>
      <c r="B768">
        <v>4011957</v>
      </c>
      <c r="C768" t="s">
        <v>9086</v>
      </c>
      <c r="D768" t="s">
        <v>441</v>
      </c>
      <c r="F768">
        <v>0</v>
      </c>
      <c r="G768">
        <v>12.91</v>
      </c>
      <c r="H768" t="s">
        <v>8588</v>
      </c>
      <c r="I768">
        <v>12</v>
      </c>
      <c r="J768" t="s">
        <v>462</v>
      </c>
      <c r="K768" t="s">
        <v>446</v>
      </c>
      <c r="M768">
        <v>2612</v>
      </c>
      <c r="N768" t="s">
        <v>15990</v>
      </c>
    </row>
    <row r="769" spans="1:14">
      <c r="A769">
        <v>11341043</v>
      </c>
      <c r="B769">
        <v>4011591</v>
      </c>
      <c r="C769" t="s">
        <v>9087</v>
      </c>
      <c r="D769" t="s">
        <v>441</v>
      </c>
      <c r="F769">
        <v>0</v>
      </c>
      <c r="G769">
        <v>12.21</v>
      </c>
      <c r="H769" t="s">
        <v>8588</v>
      </c>
      <c r="I769">
        <v>11</v>
      </c>
      <c r="J769" t="s">
        <v>462</v>
      </c>
      <c r="K769" t="s">
        <v>446</v>
      </c>
      <c r="M769">
        <v>2612</v>
      </c>
    </row>
    <row r="770" spans="1:14">
      <c r="A770">
        <v>11341044</v>
      </c>
      <c r="B770">
        <v>4011981</v>
      </c>
      <c r="C770" t="s">
        <v>9088</v>
      </c>
      <c r="D770" t="s">
        <v>441</v>
      </c>
      <c r="F770">
        <v>0</v>
      </c>
      <c r="G770">
        <v>11.84</v>
      </c>
      <c r="H770" t="s">
        <v>8588</v>
      </c>
      <c r="I770">
        <v>11</v>
      </c>
      <c r="J770" t="s">
        <v>462</v>
      </c>
      <c r="K770" t="s">
        <v>446</v>
      </c>
      <c r="M770">
        <v>2612</v>
      </c>
    </row>
    <row r="771" spans="1:14">
      <c r="A771">
        <v>11341045</v>
      </c>
      <c r="B771">
        <v>4012420</v>
      </c>
      <c r="C771" t="s">
        <v>9089</v>
      </c>
      <c r="D771" t="s">
        <v>441</v>
      </c>
      <c r="F771">
        <v>0</v>
      </c>
      <c r="G771">
        <v>11.07</v>
      </c>
      <c r="H771" t="s">
        <v>8588</v>
      </c>
      <c r="I771">
        <v>11</v>
      </c>
      <c r="J771" t="s">
        <v>462</v>
      </c>
      <c r="K771" t="s">
        <v>446</v>
      </c>
      <c r="M771">
        <v>2641</v>
      </c>
      <c r="N771" t="s">
        <v>15990</v>
      </c>
    </row>
    <row r="772" spans="1:14">
      <c r="A772">
        <v>11341047</v>
      </c>
      <c r="B772">
        <v>4011592</v>
      </c>
      <c r="C772" t="s">
        <v>9090</v>
      </c>
      <c r="D772" t="s">
        <v>441</v>
      </c>
      <c r="F772">
        <v>0</v>
      </c>
      <c r="G772">
        <v>12.03</v>
      </c>
      <c r="H772" t="s">
        <v>8588</v>
      </c>
      <c r="I772">
        <v>11</v>
      </c>
      <c r="J772" t="s">
        <v>462</v>
      </c>
      <c r="K772" t="s">
        <v>446</v>
      </c>
      <c r="M772">
        <v>2612</v>
      </c>
    </row>
    <row r="773" spans="1:14">
      <c r="A773">
        <v>11341048</v>
      </c>
      <c r="B773">
        <v>4011671</v>
      </c>
      <c r="C773" t="s">
        <v>9091</v>
      </c>
      <c r="D773" t="s">
        <v>441</v>
      </c>
      <c r="F773">
        <v>0</v>
      </c>
      <c r="G773">
        <v>10.59</v>
      </c>
      <c r="H773" t="s">
        <v>8588</v>
      </c>
      <c r="I773">
        <v>11</v>
      </c>
      <c r="J773" t="s">
        <v>462</v>
      </c>
      <c r="K773" t="s">
        <v>446</v>
      </c>
      <c r="M773">
        <v>2612</v>
      </c>
      <c r="N773" t="s">
        <v>15990</v>
      </c>
    </row>
    <row r="774" spans="1:14">
      <c r="A774">
        <v>11341049</v>
      </c>
      <c r="B774">
        <v>4011778</v>
      </c>
      <c r="C774" t="s">
        <v>9092</v>
      </c>
      <c r="D774" t="s">
        <v>441</v>
      </c>
      <c r="F774">
        <v>0</v>
      </c>
      <c r="G774">
        <v>12.62</v>
      </c>
      <c r="H774" t="s">
        <v>8588</v>
      </c>
      <c r="I774">
        <v>11</v>
      </c>
      <c r="J774" t="s">
        <v>462</v>
      </c>
      <c r="K774" t="s">
        <v>446</v>
      </c>
      <c r="M774">
        <v>2612</v>
      </c>
    </row>
    <row r="775" spans="1:14">
      <c r="A775">
        <v>11341050</v>
      </c>
      <c r="B775">
        <v>4012031</v>
      </c>
      <c r="C775" t="s">
        <v>9093</v>
      </c>
      <c r="D775" t="s">
        <v>441</v>
      </c>
      <c r="F775">
        <v>0</v>
      </c>
      <c r="G775">
        <v>11.87</v>
      </c>
      <c r="H775" t="s">
        <v>8588</v>
      </c>
      <c r="I775">
        <v>16</v>
      </c>
      <c r="J775" t="s">
        <v>462</v>
      </c>
      <c r="K775" t="s">
        <v>446</v>
      </c>
      <c r="M775">
        <v>2612</v>
      </c>
    </row>
    <row r="776" spans="1:14">
      <c r="A776">
        <v>11341051</v>
      </c>
      <c r="B776">
        <v>4011455</v>
      </c>
      <c r="C776" t="s">
        <v>9094</v>
      </c>
      <c r="D776" t="s">
        <v>441</v>
      </c>
      <c r="F776">
        <v>0</v>
      </c>
      <c r="G776">
        <v>12.7</v>
      </c>
      <c r="H776" t="s">
        <v>8588</v>
      </c>
      <c r="I776">
        <v>11</v>
      </c>
      <c r="J776" t="s">
        <v>462</v>
      </c>
      <c r="K776" t="s">
        <v>446</v>
      </c>
      <c r="M776">
        <v>2612</v>
      </c>
      <c r="N776" t="s">
        <v>15990</v>
      </c>
    </row>
    <row r="777" spans="1:14">
      <c r="A777">
        <v>11341052</v>
      </c>
      <c r="B777">
        <v>4011593</v>
      </c>
      <c r="C777" t="s">
        <v>9095</v>
      </c>
      <c r="D777" t="s">
        <v>441</v>
      </c>
      <c r="F777">
        <v>0</v>
      </c>
      <c r="G777">
        <v>12.5</v>
      </c>
      <c r="H777" t="s">
        <v>8588</v>
      </c>
      <c r="I777">
        <v>11</v>
      </c>
      <c r="J777" t="s">
        <v>462</v>
      </c>
      <c r="K777" t="s">
        <v>446</v>
      </c>
      <c r="M777">
        <v>2612</v>
      </c>
    </row>
    <row r="778" spans="1:14">
      <c r="A778">
        <v>11341053</v>
      </c>
      <c r="B778">
        <v>4012644</v>
      </c>
      <c r="C778" t="s">
        <v>9096</v>
      </c>
      <c r="D778" t="s">
        <v>441</v>
      </c>
      <c r="F778">
        <v>0</v>
      </c>
      <c r="G778">
        <v>12.69</v>
      </c>
      <c r="H778" t="s">
        <v>8588</v>
      </c>
      <c r="I778">
        <v>13</v>
      </c>
      <c r="J778" t="s">
        <v>462</v>
      </c>
      <c r="K778" t="s">
        <v>446</v>
      </c>
      <c r="M778">
        <v>2612</v>
      </c>
      <c r="N778" t="s">
        <v>15990</v>
      </c>
    </row>
    <row r="779" spans="1:14">
      <c r="A779">
        <v>11341056</v>
      </c>
      <c r="B779">
        <v>4016684</v>
      </c>
      <c r="C779" t="s">
        <v>17353</v>
      </c>
      <c r="D779" t="s">
        <v>441</v>
      </c>
      <c r="F779">
        <v>0</v>
      </c>
      <c r="G779">
        <v>18.850000000000001</v>
      </c>
      <c r="H779" t="s">
        <v>8588</v>
      </c>
      <c r="I779">
        <v>11</v>
      </c>
      <c r="J779" t="s">
        <v>462</v>
      </c>
      <c r="M779">
        <v>7112</v>
      </c>
      <c r="N779" t="s">
        <v>15990</v>
      </c>
    </row>
    <row r="780" spans="1:14">
      <c r="A780">
        <v>11341057</v>
      </c>
      <c r="B780">
        <v>4017716</v>
      </c>
      <c r="C780" t="s">
        <v>9097</v>
      </c>
      <c r="D780" t="s">
        <v>441</v>
      </c>
      <c r="F780">
        <v>0</v>
      </c>
      <c r="G780">
        <v>12.9</v>
      </c>
      <c r="H780" t="s">
        <v>8588</v>
      </c>
      <c r="I780">
        <v>9</v>
      </c>
      <c r="J780" t="s">
        <v>462</v>
      </c>
      <c r="K780" t="s">
        <v>446</v>
      </c>
      <c r="M780">
        <v>2612</v>
      </c>
      <c r="N780" t="s">
        <v>15990</v>
      </c>
    </row>
    <row r="781" spans="1:14">
      <c r="A781">
        <v>11341062</v>
      </c>
      <c r="B781">
        <v>4013693</v>
      </c>
      <c r="C781" t="s">
        <v>9098</v>
      </c>
      <c r="D781" t="s">
        <v>441</v>
      </c>
      <c r="F781">
        <v>0</v>
      </c>
      <c r="G781">
        <v>11.16</v>
      </c>
      <c r="H781" t="s">
        <v>8588</v>
      </c>
      <c r="I781">
        <v>16</v>
      </c>
      <c r="J781" t="s">
        <v>462</v>
      </c>
      <c r="K781" t="s">
        <v>446</v>
      </c>
      <c r="M781">
        <v>2612</v>
      </c>
      <c r="N781" t="s">
        <v>15990</v>
      </c>
    </row>
    <row r="782" spans="1:14">
      <c r="A782">
        <v>11341067</v>
      </c>
      <c r="B782">
        <v>4019974</v>
      </c>
      <c r="C782" t="s">
        <v>654</v>
      </c>
      <c r="D782" t="s">
        <v>441</v>
      </c>
      <c r="F782">
        <v>0</v>
      </c>
      <c r="G782">
        <v>12.77</v>
      </c>
      <c r="H782" t="s">
        <v>8588</v>
      </c>
      <c r="I782">
        <v>16</v>
      </c>
      <c r="J782" t="s">
        <v>462</v>
      </c>
      <c r="K782" t="s">
        <v>446</v>
      </c>
      <c r="M782">
        <v>2612</v>
      </c>
      <c r="N782" t="s">
        <v>15990</v>
      </c>
    </row>
    <row r="783" spans="1:14">
      <c r="A783">
        <v>11341075</v>
      </c>
      <c r="B783">
        <v>3017371</v>
      </c>
      <c r="C783" t="s">
        <v>9099</v>
      </c>
      <c r="D783" t="s">
        <v>441</v>
      </c>
      <c r="F783">
        <v>0</v>
      </c>
      <c r="G783">
        <v>12.26</v>
      </c>
      <c r="H783" t="s">
        <v>8935</v>
      </c>
      <c r="I783">
        <v>6</v>
      </c>
      <c r="J783" t="s">
        <v>445</v>
      </c>
      <c r="K783" t="s">
        <v>446</v>
      </c>
      <c r="M783">
        <v>2641</v>
      </c>
      <c r="N783" t="s">
        <v>15990</v>
      </c>
    </row>
    <row r="784" spans="1:14">
      <c r="A784">
        <v>11341561</v>
      </c>
      <c r="B784">
        <v>3017474</v>
      </c>
      <c r="C784" t="s">
        <v>9100</v>
      </c>
      <c r="D784" t="s">
        <v>441</v>
      </c>
      <c r="F784">
        <v>0</v>
      </c>
      <c r="G784">
        <v>9.93</v>
      </c>
      <c r="H784" t="s">
        <v>8580</v>
      </c>
      <c r="I784">
        <v>6</v>
      </c>
      <c r="J784" t="s">
        <v>445</v>
      </c>
      <c r="K784" t="s">
        <v>446</v>
      </c>
      <c r="M784">
        <v>2641</v>
      </c>
      <c r="N784" t="s">
        <v>15990</v>
      </c>
    </row>
    <row r="785" spans="1:14">
      <c r="A785">
        <v>11344076</v>
      </c>
      <c r="B785">
        <v>3035457</v>
      </c>
      <c r="C785" t="s">
        <v>655</v>
      </c>
      <c r="D785" t="s">
        <v>441</v>
      </c>
      <c r="F785">
        <v>0</v>
      </c>
      <c r="G785">
        <v>9.56</v>
      </c>
      <c r="H785" t="s">
        <v>8588</v>
      </c>
      <c r="I785">
        <v>6</v>
      </c>
      <c r="J785" t="s">
        <v>445</v>
      </c>
      <c r="M785">
        <v>7112</v>
      </c>
      <c r="N785" t="s">
        <v>15990</v>
      </c>
    </row>
    <row r="786" spans="1:14">
      <c r="A786">
        <v>11344087</v>
      </c>
      <c r="B786">
        <v>3042467</v>
      </c>
      <c r="C786" t="s">
        <v>656</v>
      </c>
      <c r="D786" t="s">
        <v>441</v>
      </c>
      <c r="F786">
        <v>0</v>
      </c>
      <c r="G786">
        <v>14.55</v>
      </c>
      <c r="H786" t="s">
        <v>8588</v>
      </c>
      <c r="I786">
        <v>6</v>
      </c>
      <c r="J786" t="s">
        <v>445</v>
      </c>
      <c r="M786">
        <v>7112</v>
      </c>
      <c r="N786" t="s">
        <v>15990</v>
      </c>
    </row>
    <row r="787" spans="1:14">
      <c r="A787">
        <v>11350000</v>
      </c>
      <c r="B787">
        <v>3027332</v>
      </c>
      <c r="C787" t="s">
        <v>657</v>
      </c>
      <c r="D787" t="s">
        <v>441</v>
      </c>
      <c r="F787">
        <v>0</v>
      </c>
      <c r="G787">
        <v>9.34</v>
      </c>
      <c r="H787" t="s">
        <v>8588</v>
      </c>
      <c r="I787">
        <v>6</v>
      </c>
      <c r="J787" t="s">
        <v>445</v>
      </c>
      <c r="M787">
        <v>2391</v>
      </c>
      <c r="N787" t="s">
        <v>15990</v>
      </c>
    </row>
    <row r="788" spans="1:14">
      <c r="A788">
        <v>11350007</v>
      </c>
      <c r="B788">
        <v>3028046</v>
      </c>
      <c r="C788" t="s">
        <v>658</v>
      </c>
      <c r="D788" t="s">
        <v>441</v>
      </c>
      <c r="F788">
        <v>0</v>
      </c>
      <c r="G788">
        <v>11.91</v>
      </c>
      <c r="H788" t="s">
        <v>8588</v>
      </c>
      <c r="I788">
        <v>6</v>
      </c>
      <c r="J788" t="s">
        <v>445</v>
      </c>
      <c r="K788" t="s">
        <v>446</v>
      </c>
      <c r="M788">
        <v>2641</v>
      </c>
      <c r="N788" t="s">
        <v>15990</v>
      </c>
    </row>
    <row r="789" spans="1:14">
      <c r="A789">
        <v>11350041</v>
      </c>
      <c r="B789">
        <v>4029471</v>
      </c>
      <c r="C789" t="s">
        <v>14692</v>
      </c>
      <c r="D789" t="s">
        <v>441</v>
      </c>
      <c r="F789">
        <v>0</v>
      </c>
      <c r="G789">
        <v>15.92</v>
      </c>
      <c r="H789" t="s">
        <v>8588</v>
      </c>
      <c r="I789">
        <v>16</v>
      </c>
      <c r="J789" t="s">
        <v>462</v>
      </c>
      <c r="M789">
        <v>7112</v>
      </c>
      <c r="N789" t="s">
        <v>15990</v>
      </c>
    </row>
    <row r="790" spans="1:14">
      <c r="A790">
        <v>11360000</v>
      </c>
      <c r="B790">
        <v>3008882</v>
      </c>
      <c r="C790" t="s">
        <v>659</v>
      </c>
      <c r="D790" t="s">
        <v>441</v>
      </c>
      <c r="F790">
        <v>0</v>
      </c>
      <c r="G790">
        <v>12.19</v>
      </c>
      <c r="H790" t="s">
        <v>8580</v>
      </c>
      <c r="I790">
        <v>6</v>
      </c>
      <c r="J790" t="s">
        <v>445</v>
      </c>
      <c r="K790" t="s">
        <v>446</v>
      </c>
      <c r="M790">
        <v>2390</v>
      </c>
    </row>
    <row r="791" spans="1:14">
      <c r="A791">
        <v>11370000</v>
      </c>
      <c r="B791">
        <v>3004287</v>
      </c>
      <c r="C791" t="s">
        <v>660</v>
      </c>
      <c r="D791" t="s">
        <v>441</v>
      </c>
      <c r="F791">
        <v>0</v>
      </c>
      <c r="G791">
        <v>13.69</v>
      </c>
      <c r="H791" t="s">
        <v>8580</v>
      </c>
      <c r="I791">
        <v>6</v>
      </c>
      <c r="J791" t="s">
        <v>445</v>
      </c>
      <c r="K791" t="s">
        <v>446</v>
      </c>
      <c r="M791">
        <v>2390</v>
      </c>
    </row>
    <row r="792" spans="1:14">
      <c r="A792">
        <v>11370002</v>
      </c>
      <c r="B792">
        <v>3012165</v>
      </c>
      <c r="C792" t="s">
        <v>661</v>
      </c>
      <c r="D792" t="s">
        <v>441</v>
      </c>
      <c r="F792">
        <v>0</v>
      </c>
      <c r="G792">
        <v>14.6</v>
      </c>
      <c r="H792" t="s">
        <v>8588</v>
      </c>
      <c r="I792">
        <v>365</v>
      </c>
      <c r="J792" t="s">
        <v>445</v>
      </c>
      <c r="K792" t="s">
        <v>446</v>
      </c>
      <c r="M792">
        <v>2501</v>
      </c>
      <c r="N792" t="s">
        <v>15985</v>
      </c>
    </row>
    <row r="793" spans="1:14">
      <c r="A793">
        <v>11370019</v>
      </c>
      <c r="B793">
        <v>4009670</v>
      </c>
      <c r="C793" t="s">
        <v>9101</v>
      </c>
      <c r="D793" t="s">
        <v>441</v>
      </c>
      <c r="F793">
        <v>0</v>
      </c>
      <c r="G793">
        <v>13.4</v>
      </c>
      <c r="H793" t="s">
        <v>8588</v>
      </c>
      <c r="I793">
        <v>365</v>
      </c>
      <c r="J793" t="s">
        <v>462</v>
      </c>
      <c r="K793" t="s">
        <v>446</v>
      </c>
      <c r="M793">
        <v>2501</v>
      </c>
    </row>
    <row r="794" spans="1:14">
      <c r="A794">
        <v>11370020</v>
      </c>
      <c r="B794">
        <v>4003763</v>
      </c>
      <c r="C794" t="s">
        <v>9102</v>
      </c>
      <c r="D794" t="s">
        <v>441</v>
      </c>
      <c r="F794">
        <v>0</v>
      </c>
      <c r="G794">
        <v>13.39</v>
      </c>
      <c r="H794" t="s">
        <v>8588</v>
      </c>
      <c r="I794">
        <v>6</v>
      </c>
      <c r="J794" t="s">
        <v>462</v>
      </c>
      <c r="K794" t="s">
        <v>446</v>
      </c>
      <c r="M794">
        <v>2641</v>
      </c>
    </row>
    <row r="795" spans="1:14">
      <c r="A795">
        <v>11370021</v>
      </c>
      <c r="B795">
        <v>4010516</v>
      </c>
      <c r="C795" t="s">
        <v>9103</v>
      </c>
      <c r="D795" t="s">
        <v>441</v>
      </c>
      <c r="F795">
        <v>0</v>
      </c>
      <c r="G795">
        <v>14.52</v>
      </c>
      <c r="H795" t="s">
        <v>8588</v>
      </c>
      <c r="I795">
        <v>6</v>
      </c>
      <c r="J795" t="s">
        <v>462</v>
      </c>
      <c r="K795" t="s">
        <v>446</v>
      </c>
      <c r="M795">
        <v>2612</v>
      </c>
      <c r="N795" t="s">
        <v>15985</v>
      </c>
    </row>
    <row r="796" spans="1:14">
      <c r="A796">
        <v>11370028</v>
      </c>
      <c r="B796">
        <v>4008153</v>
      </c>
      <c r="C796" t="s">
        <v>9104</v>
      </c>
      <c r="D796" t="s">
        <v>441</v>
      </c>
      <c r="F796">
        <v>0</v>
      </c>
      <c r="G796">
        <v>14.06</v>
      </c>
      <c r="H796" t="s">
        <v>8588</v>
      </c>
      <c r="I796">
        <v>365</v>
      </c>
      <c r="J796" t="s">
        <v>462</v>
      </c>
      <c r="K796" t="s">
        <v>446</v>
      </c>
      <c r="M796">
        <v>2501</v>
      </c>
    </row>
    <row r="797" spans="1:14">
      <c r="A797">
        <v>11370040</v>
      </c>
      <c r="B797">
        <v>4008805</v>
      </c>
      <c r="C797" t="s">
        <v>9105</v>
      </c>
      <c r="D797" t="s">
        <v>441</v>
      </c>
      <c r="F797">
        <v>0</v>
      </c>
      <c r="G797">
        <v>13.2</v>
      </c>
      <c r="H797" t="s">
        <v>8588</v>
      </c>
      <c r="I797">
        <v>11</v>
      </c>
      <c r="J797" t="s">
        <v>462</v>
      </c>
      <c r="K797" t="s">
        <v>446</v>
      </c>
      <c r="M797">
        <v>2612</v>
      </c>
    </row>
    <row r="798" spans="1:14">
      <c r="A798">
        <v>11370041</v>
      </c>
      <c r="B798">
        <v>4001777</v>
      </c>
      <c r="C798" t="s">
        <v>9106</v>
      </c>
      <c r="D798" t="s">
        <v>441</v>
      </c>
      <c r="F798">
        <v>0</v>
      </c>
      <c r="G798">
        <v>14.77</v>
      </c>
      <c r="H798" t="s">
        <v>8588</v>
      </c>
      <c r="I798">
        <v>16</v>
      </c>
      <c r="J798" t="s">
        <v>462</v>
      </c>
      <c r="K798" t="s">
        <v>446</v>
      </c>
      <c r="M798">
        <v>2612</v>
      </c>
      <c r="N798" t="s">
        <v>15985</v>
      </c>
    </row>
    <row r="799" spans="1:14">
      <c r="A799">
        <v>11370042</v>
      </c>
      <c r="B799">
        <v>4009454</v>
      </c>
      <c r="C799" t="s">
        <v>9107</v>
      </c>
      <c r="D799" t="s">
        <v>441</v>
      </c>
      <c r="F799">
        <v>0</v>
      </c>
      <c r="G799">
        <v>14.55</v>
      </c>
      <c r="H799" t="s">
        <v>8588</v>
      </c>
      <c r="I799">
        <v>16</v>
      </c>
      <c r="J799" t="s">
        <v>462</v>
      </c>
      <c r="K799" t="s">
        <v>446</v>
      </c>
      <c r="M799">
        <v>2612</v>
      </c>
    </row>
    <row r="800" spans="1:14">
      <c r="A800">
        <v>11370044</v>
      </c>
      <c r="B800">
        <v>4011110</v>
      </c>
      <c r="C800" t="s">
        <v>9108</v>
      </c>
      <c r="D800" t="s">
        <v>441</v>
      </c>
      <c r="F800">
        <v>0</v>
      </c>
      <c r="G800">
        <v>13.01</v>
      </c>
      <c r="H800" t="s">
        <v>8588</v>
      </c>
      <c r="I800">
        <v>10</v>
      </c>
      <c r="J800" t="s">
        <v>462</v>
      </c>
      <c r="K800" t="s">
        <v>446</v>
      </c>
      <c r="M800">
        <v>2612</v>
      </c>
      <c r="N800" t="s">
        <v>15985</v>
      </c>
    </row>
    <row r="801" spans="1:14">
      <c r="A801">
        <v>11370050</v>
      </c>
      <c r="B801">
        <v>4010150</v>
      </c>
      <c r="C801" t="s">
        <v>9109</v>
      </c>
      <c r="D801" t="s">
        <v>441</v>
      </c>
      <c r="F801">
        <v>0</v>
      </c>
      <c r="G801">
        <v>13.12</v>
      </c>
      <c r="H801" t="s">
        <v>8588</v>
      </c>
      <c r="I801">
        <v>16</v>
      </c>
      <c r="J801" t="s">
        <v>462</v>
      </c>
      <c r="K801" t="s">
        <v>446</v>
      </c>
      <c r="M801">
        <v>2612</v>
      </c>
    </row>
    <row r="802" spans="1:14">
      <c r="A802">
        <v>11370051</v>
      </c>
      <c r="B802">
        <v>4008887</v>
      </c>
      <c r="C802" t="s">
        <v>9110</v>
      </c>
      <c r="D802" t="s">
        <v>441</v>
      </c>
      <c r="F802">
        <v>0</v>
      </c>
      <c r="G802">
        <v>13.9</v>
      </c>
      <c r="H802" t="s">
        <v>8588</v>
      </c>
      <c r="I802">
        <v>16</v>
      </c>
      <c r="J802" t="s">
        <v>462</v>
      </c>
      <c r="K802" t="s">
        <v>446</v>
      </c>
      <c r="M802">
        <v>2612</v>
      </c>
    </row>
    <row r="803" spans="1:14">
      <c r="A803">
        <v>11370052</v>
      </c>
      <c r="B803">
        <v>4009134</v>
      </c>
      <c r="C803" t="s">
        <v>9111</v>
      </c>
      <c r="D803" t="s">
        <v>441</v>
      </c>
      <c r="F803">
        <v>0</v>
      </c>
      <c r="G803">
        <v>13.89</v>
      </c>
      <c r="H803" t="s">
        <v>8588</v>
      </c>
      <c r="I803">
        <v>16</v>
      </c>
      <c r="J803" t="s">
        <v>462</v>
      </c>
      <c r="K803" t="s">
        <v>446</v>
      </c>
      <c r="M803">
        <v>2612</v>
      </c>
    </row>
    <row r="804" spans="1:14">
      <c r="A804">
        <v>11370053</v>
      </c>
      <c r="B804">
        <v>4009895</v>
      </c>
      <c r="C804" t="s">
        <v>9112</v>
      </c>
      <c r="D804" t="s">
        <v>441</v>
      </c>
      <c r="F804">
        <v>0</v>
      </c>
      <c r="G804">
        <v>14.93</v>
      </c>
      <c r="H804" t="s">
        <v>8588</v>
      </c>
      <c r="I804">
        <v>16</v>
      </c>
      <c r="J804" t="s">
        <v>462</v>
      </c>
      <c r="K804" t="s">
        <v>446</v>
      </c>
      <c r="M804">
        <v>2612</v>
      </c>
      <c r="N804" t="s">
        <v>15985</v>
      </c>
    </row>
    <row r="805" spans="1:14">
      <c r="A805">
        <v>11370054</v>
      </c>
      <c r="B805">
        <v>4011111</v>
      </c>
      <c r="C805" t="s">
        <v>9113</v>
      </c>
      <c r="D805" t="s">
        <v>441</v>
      </c>
      <c r="F805">
        <v>0</v>
      </c>
      <c r="G805">
        <v>14.93</v>
      </c>
      <c r="H805" t="s">
        <v>8588</v>
      </c>
      <c r="I805">
        <v>10</v>
      </c>
      <c r="J805" t="s">
        <v>462</v>
      </c>
      <c r="K805" t="s">
        <v>446</v>
      </c>
      <c r="M805">
        <v>2612</v>
      </c>
      <c r="N805" t="s">
        <v>15985</v>
      </c>
    </row>
    <row r="806" spans="1:14">
      <c r="A806">
        <v>11370055</v>
      </c>
      <c r="B806">
        <v>4011120</v>
      </c>
      <c r="C806" t="s">
        <v>9114</v>
      </c>
      <c r="D806" t="s">
        <v>441</v>
      </c>
      <c r="F806">
        <v>0</v>
      </c>
      <c r="G806">
        <v>15.07</v>
      </c>
      <c r="H806" t="s">
        <v>8588</v>
      </c>
      <c r="I806">
        <v>10</v>
      </c>
      <c r="J806" t="s">
        <v>462</v>
      </c>
      <c r="K806" t="s">
        <v>446</v>
      </c>
      <c r="M806">
        <v>2612</v>
      </c>
      <c r="N806" t="s">
        <v>15985</v>
      </c>
    </row>
    <row r="807" spans="1:14">
      <c r="A807">
        <v>11370058</v>
      </c>
      <c r="B807">
        <v>4007394</v>
      </c>
      <c r="C807" t="s">
        <v>9115</v>
      </c>
      <c r="D807" t="s">
        <v>441</v>
      </c>
      <c r="F807">
        <v>0</v>
      </c>
      <c r="G807">
        <v>13.3</v>
      </c>
      <c r="H807" t="s">
        <v>8588</v>
      </c>
      <c r="I807">
        <v>11</v>
      </c>
      <c r="J807" t="s">
        <v>462</v>
      </c>
      <c r="K807" t="s">
        <v>446</v>
      </c>
      <c r="M807">
        <v>2612</v>
      </c>
    </row>
    <row r="808" spans="1:14">
      <c r="A808">
        <v>11370060</v>
      </c>
      <c r="B808">
        <v>4009863</v>
      </c>
      <c r="C808" t="s">
        <v>9116</v>
      </c>
      <c r="D808" t="s">
        <v>441</v>
      </c>
      <c r="F808">
        <v>0</v>
      </c>
      <c r="G808">
        <v>15.1</v>
      </c>
      <c r="H808" t="s">
        <v>8588</v>
      </c>
      <c r="I808">
        <v>365</v>
      </c>
      <c r="J808" t="s">
        <v>462</v>
      </c>
      <c r="K808" t="s">
        <v>446</v>
      </c>
      <c r="M808">
        <v>2501</v>
      </c>
      <c r="N808" t="s">
        <v>15985</v>
      </c>
    </row>
    <row r="809" spans="1:14">
      <c r="A809">
        <v>11370075</v>
      </c>
      <c r="B809">
        <v>3007453</v>
      </c>
      <c r="C809" t="s">
        <v>609</v>
      </c>
      <c r="D809" t="s">
        <v>441</v>
      </c>
      <c r="F809">
        <v>0</v>
      </c>
      <c r="G809">
        <v>11.08</v>
      </c>
      <c r="H809" t="s">
        <v>8588</v>
      </c>
      <c r="I809">
        <v>6</v>
      </c>
      <c r="J809" t="s">
        <v>445</v>
      </c>
      <c r="M809">
        <v>7112</v>
      </c>
      <c r="N809" t="s">
        <v>15985</v>
      </c>
    </row>
    <row r="810" spans="1:14">
      <c r="A810">
        <v>11370076</v>
      </c>
      <c r="B810">
        <v>3033329</v>
      </c>
      <c r="C810" t="s">
        <v>662</v>
      </c>
      <c r="D810" t="s">
        <v>441</v>
      </c>
      <c r="F810">
        <v>0</v>
      </c>
      <c r="G810">
        <v>11.12</v>
      </c>
      <c r="H810" t="s">
        <v>8588</v>
      </c>
      <c r="I810">
        <v>6</v>
      </c>
      <c r="J810" t="s">
        <v>445</v>
      </c>
      <c r="M810">
        <v>7112</v>
      </c>
      <c r="N810" t="s">
        <v>15985</v>
      </c>
    </row>
    <row r="811" spans="1:14">
      <c r="A811">
        <v>11370077</v>
      </c>
      <c r="B811">
        <v>4007393</v>
      </c>
      <c r="C811" t="s">
        <v>9117</v>
      </c>
      <c r="D811" t="s">
        <v>441</v>
      </c>
      <c r="F811">
        <v>0</v>
      </c>
      <c r="G811">
        <v>14.31</v>
      </c>
      <c r="H811" t="s">
        <v>8588</v>
      </c>
      <c r="I811">
        <v>6</v>
      </c>
      <c r="J811" t="s">
        <v>462</v>
      </c>
      <c r="K811" t="s">
        <v>446</v>
      </c>
      <c r="M811">
        <v>2641</v>
      </c>
      <c r="N811" t="s">
        <v>15985</v>
      </c>
    </row>
    <row r="812" spans="1:14">
      <c r="A812">
        <v>11370100</v>
      </c>
      <c r="B812">
        <v>3009172</v>
      </c>
      <c r="C812" t="s">
        <v>663</v>
      </c>
      <c r="D812" t="s">
        <v>441</v>
      </c>
      <c r="F812">
        <v>0</v>
      </c>
      <c r="G812">
        <v>15.69</v>
      </c>
      <c r="H812" t="s">
        <v>8588</v>
      </c>
      <c r="I812">
        <v>6</v>
      </c>
      <c r="J812" t="s">
        <v>445</v>
      </c>
      <c r="K812" t="s">
        <v>446</v>
      </c>
      <c r="M812">
        <v>7161</v>
      </c>
    </row>
    <row r="813" spans="1:14">
      <c r="A813">
        <v>11370102</v>
      </c>
      <c r="B813">
        <v>3007455</v>
      </c>
      <c r="C813" t="s">
        <v>664</v>
      </c>
      <c r="D813" t="s">
        <v>441</v>
      </c>
      <c r="F813">
        <v>0</v>
      </c>
      <c r="H813" t="s">
        <v>8580</v>
      </c>
      <c r="I813">
        <v>9</v>
      </c>
      <c r="J813" t="s">
        <v>445</v>
      </c>
      <c r="K813" t="s">
        <v>446</v>
      </c>
      <c r="M813">
        <v>0</v>
      </c>
      <c r="N813" t="s">
        <v>15985</v>
      </c>
    </row>
    <row r="814" spans="1:14">
      <c r="A814">
        <v>11370120</v>
      </c>
      <c r="B814">
        <v>3003271</v>
      </c>
      <c r="C814" t="s">
        <v>665</v>
      </c>
      <c r="D814" t="s">
        <v>441</v>
      </c>
      <c r="F814">
        <v>0</v>
      </c>
      <c r="H814" t="s">
        <v>8588</v>
      </c>
      <c r="I814">
        <v>6</v>
      </c>
      <c r="J814" t="s">
        <v>445</v>
      </c>
      <c r="K814" t="s">
        <v>446</v>
      </c>
      <c r="M814">
        <v>2391</v>
      </c>
    </row>
    <row r="815" spans="1:14">
      <c r="A815">
        <v>11370130</v>
      </c>
      <c r="B815">
        <v>3011130</v>
      </c>
      <c r="C815" t="s">
        <v>9118</v>
      </c>
      <c r="D815" t="s">
        <v>441</v>
      </c>
      <c r="F815">
        <v>0</v>
      </c>
      <c r="H815" t="s">
        <v>8588</v>
      </c>
      <c r="I815">
        <v>6</v>
      </c>
      <c r="J815" t="s">
        <v>445</v>
      </c>
      <c r="K815" t="s">
        <v>446</v>
      </c>
      <c r="M815">
        <v>2391</v>
      </c>
    </row>
    <row r="816" spans="1:14">
      <c r="A816">
        <v>11370502</v>
      </c>
      <c r="B816">
        <v>3012161</v>
      </c>
      <c r="C816" t="s">
        <v>9119</v>
      </c>
      <c r="D816" t="s">
        <v>441</v>
      </c>
      <c r="F816">
        <v>0</v>
      </c>
      <c r="G816">
        <v>14.3</v>
      </c>
      <c r="I816">
        <v>356</v>
      </c>
      <c r="J816" t="s">
        <v>445</v>
      </c>
      <c r="K816" t="s">
        <v>446</v>
      </c>
      <c r="M816">
        <v>2641</v>
      </c>
      <c r="N816" t="s">
        <v>15985</v>
      </c>
    </row>
    <row r="817" spans="1:14">
      <c r="A817">
        <v>11370519</v>
      </c>
      <c r="B817">
        <v>3011991</v>
      </c>
      <c r="C817" t="s">
        <v>9120</v>
      </c>
      <c r="D817" t="s">
        <v>441</v>
      </c>
      <c r="F817">
        <v>0</v>
      </c>
      <c r="G817">
        <v>13.41</v>
      </c>
      <c r="H817" t="s">
        <v>8580</v>
      </c>
      <c r="I817">
        <v>356</v>
      </c>
      <c r="J817" t="s">
        <v>445</v>
      </c>
      <c r="K817" t="s">
        <v>446</v>
      </c>
      <c r="M817">
        <v>2641</v>
      </c>
    </row>
    <row r="818" spans="1:14">
      <c r="A818">
        <v>11370528</v>
      </c>
      <c r="B818">
        <v>3009123</v>
      </c>
      <c r="C818" t="s">
        <v>9121</v>
      </c>
      <c r="D818" t="s">
        <v>441</v>
      </c>
      <c r="F818">
        <v>0</v>
      </c>
      <c r="G818">
        <v>13.81</v>
      </c>
      <c r="H818" t="s">
        <v>8580</v>
      </c>
      <c r="I818">
        <v>365</v>
      </c>
      <c r="J818" t="s">
        <v>445</v>
      </c>
      <c r="K818" t="s">
        <v>446</v>
      </c>
      <c r="M818">
        <v>2501</v>
      </c>
    </row>
    <row r="819" spans="1:14">
      <c r="A819">
        <v>11370560</v>
      </c>
      <c r="B819">
        <v>3012287</v>
      </c>
      <c r="C819" t="s">
        <v>9122</v>
      </c>
      <c r="D819" t="s">
        <v>441</v>
      </c>
      <c r="F819">
        <v>0</v>
      </c>
      <c r="G819">
        <v>14.9</v>
      </c>
      <c r="I819">
        <v>365</v>
      </c>
      <c r="J819" t="s">
        <v>445</v>
      </c>
      <c r="K819" t="s">
        <v>446</v>
      </c>
      <c r="M819">
        <v>2612</v>
      </c>
      <c r="N819" t="s">
        <v>15985</v>
      </c>
    </row>
    <row r="820" spans="1:14">
      <c r="A820">
        <v>11370602</v>
      </c>
      <c r="B820">
        <v>3012166</v>
      </c>
      <c r="C820" t="s">
        <v>666</v>
      </c>
      <c r="D820" t="s">
        <v>441</v>
      </c>
      <c r="F820">
        <v>0</v>
      </c>
      <c r="G820">
        <v>15.06</v>
      </c>
      <c r="H820" t="s">
        <v>8588</v>
      </c>
      <c r="I820">
        <v>4</v>
      </c>
      <c r="J820" t="s">
        <v>445</v>
      </c>
      <c r="K820" t="s">
        <v>446</v>
      </c>
      <c r="M820">
        <v>2511</v>
      </c>
      <c r="N820" t="s">
        <v>15985</v>
      </c>
    </row>
    <row r="821" spans="1:14">
      <c r="A821">
        <v>11370902</v>
      </c>
      <c r="B821">
        <v>3020210</v>
      </c>
      <c r="C821" t="s">
        <v>667</v>
      </c>
      <c r="D821" t="s">
        <v>441</v>
      </c>
      <c r="F821">
        <v>0</v>
      </c>
      <c r="G821">
        <v>12.71</v>
      </c>
      <c r="H821" t="s">
        <v>8584</v>
      </c>
      <c r="I821">
        <v>4</v>
      </c>
      <c r="J821" t="s">
        <v>445</v>
      </c>
      <c r="M821">
        <v>6666</v>
      </c>
      <c r="N821" t="s">
        <v>15985</v>
      </c>
    </row>
    <row r="822" spans="1:14">
      <c r="A822">
        <v>11371019</v>
      </c>
      <c r="B822">
        <v>4011954</v>
      </c>
      <c r="C822" t="s">
        <v>668</v>
      </c>
      <c r="D822" t="s">
        <v>441</v>
      </c>
      <c r="F822">
        <v>0</v>
      </c>
      <c r="G822">
        <v>13.38</v>
      </c>
      <c r="H822" t="s">
        <v>8588</v>
      </c>
      <c r="I822">
        <v>365</v>
      </c>
      <c r="J822" t="s">
        <v>462</v>
      </c>
      <c r="K822" t="s">
        <v>446</v>
      </c>
      <c r="M822">
        <v>2501</v>
      </c>
    </row>
    <row r="823" spans="1:14">
      <c r="A823">
        <v>11371020</v>
      </c>
      <c r="B823">
        <v>4011594</v>
      </c>
      <c r="C823" t="s">
        <v>9123</v>
      </c>
      <c r="D823" t="s">
        <v>441</v>
      </c>
      <c r="F823">
        <v>0</v>
      </c>
      <c r="G823">
        <v>13.38</v>
      </c>
      <c r="H823" t="s">
        <v>8588</v>
      </c>
      <c r="I823">
        <v>6</v>
      </c>
      <c r="J823" t="s">
        <v>462</v>
      </c>
      <c r="K823" t="s">
        <v>446</v>
      </c>
      <c r="M823">
        <v>2641</v>
      </c>
    </row>
    <row r="824" spans="1:14">
      <c r="A824">
        <v>11371021</v>
      </c>
      <c r="B824">
        <v>4012041</v>
      </c>
      <c r="C824" t="s">
        <v>9124</v>
      </c>
      <c r="D824" t="s">
        <v>441</v>
      </c>
      <c r="F824">
        <v>0</v>
      </c>
      <c r="G824">
        <v>14.52</v>
      </c>
      <c r="H824" t="s">
        <v>8588</v>
      </c>
      <c r="I824">
        <v>6</v>
      </c>
      <c r="J824" t="s">
        <v>462</v>
      </c>
      <c r="K824" t="s">
        <v>446</v>
      </c>
      <c r="M824">
        <v>2612</v>
      </c>
      <c r="N824" t="s">
        <v>15985</v>
      </c>
    </row>
    <row r="825" spans="1:14">
      <c r="A825">
        <v>11371028</v>
      </c>
      <c r="B825">
        <v>4011771</v>
      </c>
      <c r="C825" t="s">
        <v>9125</v>
      </c>
      <c r="D825" t="s">
        <v>441</v>
      </c>
      <c r="F825">
        <v>0</v>
      </c>
      <c r="G825">
        <v>13.79</v>
      </c>
      <c r="H825" t="s">
        <v>8588</v>
      </c>
      <c r="I825">
        <v>365</v>
      </c>
      <c r="J825" t="s">
        <v>462</v>
      </c>
      <c r="K825" t="s">
        <v>446</v>
      </c>
      <c r="M825">
        <v>2501</v>
      </c>
    </row>
    <row r="826" spans="1:14">
      <c r="A826">
        <v>11371040</v>
      </c>
      <c r="B826">
        <v>4011842</v>
      </c>
      <c r="C826" t="s">
        <v>9126</v>
      </c>
      <c r="D826" t="s">
        <v>441</v>
      </c>
      <c r="F826">
        <v>0</v>
      </c>
      <c r="G826">
        <v>13.18</v>
      </c>
      <c r="H826" t="s">
        <v>8588</v>
      </c>
      <c r="I826">
        <v>11</v>
      </c>
      <c r="J826" t="s">
        <v>462</v>
      </c>
      <c r="K826" t="s">
        <v>446</v>
      </c>
      <c r="M826">
        <v>2612</v>
      </c>
    </row>
    <row r="827" spans="1:14">
      <c r="A827">
        <v>11371041</v>
      </c>
      <c r="B827">
        <v>4011456</v>
      </c>
      <c r="C827" t="s">
        <v>9127</v>
      </c>
      <c r="D827" t="s">
        <v>441</v>
      </c>
      <c r="F827">
        <v>0</v>
      </c>
      <c r="G827">
        <v>14.77</v>
      </c>
      <c r="H827" t="s">
        <v>8588</v>
      </c>
      <c r="I827">
        <v>16</v>
      </c>
      <c r="J827" t="s">
        <v>462</v>
      </c>
      <c r="K827" t="s">
        <v>446</v>
      </c>
      <c r="M827">
        <v>2612</v>
      </c>
      <c r="N827" t="s">
        <v>15985</v>
      </c>
    </row>
    <row r="828" spans="1:14">
      <c r="A828">
        <v>11371042</v>
      </c>
      <c r="B828">
        <v>4011922</v>
      </c>
      <c r="C828" t="s">
        <v>9128</v>
      </c>
      <c r="D828" t="s">
        <v>441</v>
      </c>
      <c r="F828">
        <v>0</v>
      </c>
      <c r="G828">
        <v>14.53</v>
      </c>
      <c r="H828" t="s">
        <v>8588</v>
      </c>
      <c r="I828">
        <v>16</v>
      </c>
      <c r="J828" t="s">
        <v>462</v>
      </c>
      <c r="K828" t="s">
        <v>446</v>
      </c>
      <c r="M828">
        <v>2612</v>
      </c>
    </row>
    <row r="829" spans="1:14">
      <c r="A829">
        <v>11371044</v>
      </c>
      <c r="B829">
        <v>4012158</v>
      </c>
      <c r="C829" t="s">
        <v>9129</v>
      </c>
      <c r="D829" t="s">
        <v>441</v>
      </c>
      <c r="F829">
        <v>0</v>
      </c>
      <c r="G829">
        <v>13.01</v>
      </c>
      <c r="H829" t="s">
        <v>8588</v>
      </c>
      <c r="I829">
        <v>10</v>
      </c>
      <c r="J829" t="s">
        <v>462</v>
      </c>
      <c r="K829" t="s">
        <v>446</v>
      </c>
      <c r="M829">
        <v>2612</v>
      </c>
      <c r="N829" t="s">
        <v>15985</v>
      </c>
    </row>
    <row r="830" spans="1:14">
      <c r="A830">
        <v>11371050</v>
      </c>
      <c r="B830">
        <v>4012035</v>
      </c>
      <c r="C830" t="s">
        <v>9130</v>
      </c>
      <c r="D830" t="s">
        <v>441</v>
      </c>
      <c r="F830">
        <v>0</v>
      </c>
      <c r="G830">
        <v>13.11</v>
      </c>
      <c r="H830" t="s">
        <v>8588</v>
      </c>
      <c r="I830">
        <v>16</v>
      </c>
      <c r="J830" t="s">
        <v>462</v>
      </c>
      <c r="K830" t="s">
        <v>446</v>
      </c>
      <c r="M830">
        <v>2612</v>
      </c>
    </row>
    <row r="831" spans="1:14">
      <c r="A831">
        <v>11371051</v>
      </c>
      <c r="B831">
        <v>4011868</v>
      </c>
      <c r="C831" t="s">
        <v>9131</v>
      </c>
      <c r="D831" t="s">
        <v>441</v>
      </c>
      <c r="F831">
        <v>0</v>
      </c>
      <c r="G831">
        <v>13.88</v>
      </c>
      <c r="H831" t="s">
        <v>8588</v>
      </c>
      <c r="I831">
        <v>16</v>
      </c>
      <c r="J831" t="s">
        <v>462</v>
      </c>
      <c r="K831" t="s">
        <v>446</v>
      </c>
      <c r="M831">
        <v>2612</v>
      </c>
    </row>
    <row r="832" spans="1:14">
      <c r="A832">
        <v>11371052</v>
      </c>
      <c r="B832">
        <v>4011887</v>
      </c>
      <c r="C832" t="s">
        <v>9132</v>
      </c>
      <c r="D832" t="s">
        <v>441</v>
      </c>
      <c r="F832">
        <v>0</v>
      </c>
      <c r="G832">
        <v>13.87</v>
      </c>
      <c r="H832" t="s">
        <v>8588</v>
      </c>
      <c r="I832">
        <v>16</v>
      </c>
      <c r="J832" t="s">
        <v>462</v>
      </c>
      <c r="K832" t="s">
        <v>446</v>
      </c>
      <c r="M832">
        <v>2612</v>
      </c>
    </row>
    <row r="833" spans="1:14">
      <c r="A833">
        <v>11371053</v>
      </c>
      <c r="B833">
        <v>4011987</v>
      </c>
      <c r="C833" t="s">
        <v>9133</v>
      </c>
      <c r="D833" t="s">
        <v>441</v>
      </c>
      <c r="F833">
        <v>0</v>
      </c>
      <c r="G833">
        <v>14.93</v>
      </c>
      <c r="H833" t="s">
        <v>8588</v>
      </c>
      <c r="I833">
        <v>16</v>
      </c>
      <c r="J833" t="s">
        <v>462</v>
      </c>
      <c r="K833" t="s">
        <v>446</v>
      </c>
      <c r="M833">
        <v>2612</v>
      </c>
      <c r="N833" t="s">
        <v>15985</v>
      </c>
    </row>
    <row r="834" spans="1:14">
      <c r="A834">
        <v>11371054</v>
      </c>
      <c r="B834">
        <v>4012159</v>
      </c>
      <c r="C834" t="s">
        <v>9134</v>
      </c>
      <c r="D834" t="s">
        <v>441</v>
      </c>
      <c r="F834">
        <v>0</v>
      </c>
      <c r="G834">
        <v>14.95</v>
      </c>
      <c r="H834" t="s">
        <v>8588</v>
      </c>
      <c r="I834">
        <v>10</v>
      </c>
      <c r="J834" t="s">
        <v>462</v>
      </c>
      <c r="K834" t="s">
        <v>446</v>
      </c>
      <c r="M834">
        <v>2612</v>
      </c>
      <c r="N834" t="s">
        <v>15985</v>
      </c>
    </row>
    <row r="835" spans="1:14">
      <c r="A835">
        <v>11371055</v>
      </c>
      <c r="B835">
        <v>4012160</v>
      </c>
      <c r="C835" t="s">
        <v>9135</v>
      </c>
      <c r="D835" t="s">
        <v>441</v>
      </c>
      <c r="F835">
        <v>0</v>
      </c>
      <c r="G835">
        <v>15.07</v>
      </c>
      <c r="H835" t="s">
        <v>8588</v>
      </c>
      <c r="I835">
        <v>10</v>
      </c>
      <c r="J835" t="s">
        <v>462</v>
      </c>
      <c r="K835" t="s">
        <v>446</v>
      </c>
      <c r="M835">
        <v>2612</v>
      </c>
      <c r="N835" t="s">
        <v>15985</v>
      </c>
    </row>
    <row r="836" spans="1:14">
      <c r="A836">
        <v>11371058</v>
      </c>
      <c r="B836">
        <v>4011728</v>
      </c>
      <c r="C836" t="s">
        <v>9136</v>
      </c>
      <c r="D836" t="s">
        <v>441</v>
      </c>
      <c r="F836">
        <v>0</v>
      </c>
      <c r="G836">
        <v>13.28</v>
      </c>
      <c r="H836" t="s">
        <v>8588</v>
      </c>
      <c r="I836">
        <v>11</v>
      </c>
      <c r="J836" t="s">
        <v>462</v>
      </c>
      <c r="K836" t="s">
        <v>446</v>
      </c>
      <c r="M836">
        <v>2612</v>
      </c>
    </row>
    <row r="837" spans="1:14">
      <c r="A837">
        <v>11371060</v>
      </c>
      <c r="B837">
        <v>4011977</v>
      </c>
      <c r="C837" t="s">
        <v>9137</v>
      </c>
      <c r="D837" t="s">
        <v>441</v>
      </c>
      <c r="F837">
        <v>0</v>
      </c>
      <c r="G837">
        <v>15.1</v>
      </c>
      <c r="H837" t="s">
        <v>8588</v>
      </c>
      <c r="I837">
        <v>365</v>
      </c>
      <c r="J837" t="s">
        <v>462</v>
      </c>
      <c r="K837" t="s">
        <v>446</v>
      </c>
      <c r="M837">
        <v>2501</v>
      </c>
      <c r="N837" t="s">
        <v>15985</v>
      </c>
    </row>
    <row r="838" spans="1:14">
      <c r="A838">
        <v>11371077</v>
      </c>
      <c r="B838">
        <v>4011727</v>
      </c>
      <c r="C838" t="s">
        <v>9138</v>
      </c>
      <c r="D838" t="s">
        <v>441</v>
      </c>
      <c r="F838">
        <v>0</v>
      </c>
      <c r="G838">
        <v>14.31</v>
      </c>
      <c r="H838" t="s">
        <v>8588</v>
      </c>
      <c r="I838">
        <v>6</v>
      </c>
      <c r="J838" t="s">
        <v>462</v>
      </c>
      <c r="K838" t="s">
        <v>446</v>
      </c>
      <c r="M838">
        <v>2641</v>
      </c>
      <c r="N838" t="s">
        <v>15985</v>
      </c>
    </row>
    <row r="839" spans="1:14">
      <c r="A839">
        <v>11371502</v>
      </c>
      <c r="B839">
        <v>3017508</v>
      </c>
      <c r="C839" t="s">
        <v>9139</v>
      </c>
      <c r="D839" t="s">
        <v>441</v>
      </c>
      <c r="F839">
        <v>0</v>
      </c>
      <c r="G839">
        <v>14.3</v>
      </c>
      <c r="I839">
        <v>356</v>
      </c>
      <c r="J839" t="s">
        <v>445</v>
      </c>
      <c r="K839" t="s">
        <v>446</v>
      </c>
      <c r="M839">
        <v>2641</v>
      </c>
      <c r="N839" t="s">
        <v>15985</v>
      </c>
    </row>
    <row r="840" spans="1:14">
      <c r="A840">
        <v>11371519</v>
      </c>
      <c r="B840">
        <v>3017493</v>
      </c>
      <c r="C840" t="s">
        <v>9140</v>
      </c>
      <c r="D840" t="s">
        <v>441</v>
      </c>
      <c r="F840">
        <v>0</v>
      </c>
      <c r="G840">
        <v>13.39</v>
      </c>
      <c r="I840">
        <v>356</v>
      </c>
      <c r="J840" t="s">
        <v>445</v>
      </c>
      <c r="K840" t="s">
        <v>446</v>
      </c>
      <c r="M840">
        <v>2641</v>
      </c>
    </row>
    <row r="841" spans="1:14">
      <c r="A841">
        <v>11371528</v>
      </c>
      <c r="B841">
        <v>3017441</v>
      </c>
      <c r="C841" t="s">
        <v>9141</v>
      </c>
      <c r="D841" t="s">
        <v>441</v>
      </c>
      <c r="F841">
        <v>0</v>
      </c>
      <c r="G841">
        <v>13.8</v>
      </c>
      <c r="I841">
        <v>365</v>
      </c>
      <c r="J841" t="s">
        <v>445</v>
      </c>
      <c r="K841" t="s">
        <v>446</v>
      </c>
      <c r="M841">
        <v>2501</v>
      </c>
    </row>
    <row r="842" spans="1:14">
      <c r="A842">
        <v>11371560</v>
      </c>
      <c r="B842">
        <v>3017514</v>
      </c>
      <c r="C842" t="s">
        <v>9142</v>
      </c>
      <c r="D842" t="s">
        <v>441</v>
      </c>
      <c r="F842">
        <v>0</v>
      </c>
      <c r="G842">
        <v>14.9</v>
      </c>
      <c r="H842" t="s">
        <v>8584</v>
      </c>
      <c r="I842">
        <v>365</v>
      </c>
      <c r="J842" t="s">
        <v>445</v>
      </c>
      <c r="K842" t="s">
        <v>446</v>
      </c>
      <c r="M842">
        <v>2612</v>
      </c>
      <c r="N842" t="s">
        <v>15985</v>
      </c>
    </row>
    <row r="843" spans="1:14">
      <c r="A843">
        <v>11374075</v>
      </c>
      <c r="B843">
        <v>3035590</v>
      </c>
      <c r="C843" t="s">
        <v>669</v>
      </c>
      <c r="D843" t="s">
        <v>441</v>
      </c>
      <c r="F843">
        <v>0</v>
      </c>
      <c r="G843">
        <v>11.08</v>
      </c>
      <c r="H843" t="s">
        <v>8549</v>
      </c>
      <c r="I843">
        <v>6</v>
      </c>
      <c r="J843" t="s">
        <v>445</v>
      </c>
      <c r="M843">
        <v>7112</v>
      </c>
      <c r="N843" t="s">
        <v>15985</v>
      </c>
    </row>
    <row r="844" spans="1:14">
      <c r="A844">
        <v>11376000</v>
      </c>
      <c r="B844">
        <v>3009234</v>
      </c>
      <c r="C844" t="s">
        <v>670</v>
      </c>
      <c r="D844" t="s">
        <v>441</v>
      </c>
      <c r="F844">
        <v>0</v>
      </c>
      <c r="G844">
        <v>13.43</v>
      </c>
      <c r="H844" t="s">
        <v>8580</v>
      </c>
      <c r="I844">
        <v>6</v>
      </c>
      <c r="J844" t="s">
        <v>445</v>
      </c>
      <c r="K844" t="s">
        <v>446</v>
      </c>
      <c r="M844">
        <v>2390</v>
      </c>
    </row>
    <row r="845" spans="1:14">
      <c r="A845">
        <v>11380000</v>
      </c>
      <c r="B845">
        <v>3029913</v>
      </c>
      <c r="C845" t="s">
        <v>671</v>
      </c>
      <c r="D845" t="s">
        <v>441</v>
      </c>
      <c r="F845">
        <v>0</v>
      </c>
      <c r="G845">
        <v>9.98</v>
      </c>
      <c r="H845" t="s">
        <v>8549</v>
      </c>
      <c r="I845">
        <v>6</v>
      </c>
      <c r="J845" t="s">
        <v>445</v>
      </c>
      <c r="M845">
        <v>2391</v>
      </c>
      <c r="N845" t="s">
        <v>15991</v>
      </c>
    </row>
    <row r="846" spans="1:14">
      <c r="A846">
        <v>11380007</v>
      </c>
      <c r="B846">
        <v>3029914</v>
      </c>
      <c r="C846" t="s">
        <v>672</v>
      </c>
      <c r="D846" t="s">
        <v>441</v>
      </c>
      <c r="F846">
        <v>0</v>
      </c>
      <c r="G846">
        <v>10.1</v>
      </c>
      <c r="H846" t="s">
        <v>8588</v>
      </c>
      <c r="I846">
        <v>6</v>
      </c>
      <c r="J846" t="s">
        <v>445</v>
      </c>
      <c r="M846">
        <v>2391</v>
      </c>
      <c r="N846" t="s">
        <v>15991</v>
      </c>
    </row>
    <row r="847" spans="1:14">
      <c r="A847">
        <v>11380041</v>
      </c>
      <c r="B847">
        <v>4019895</v>
      </c>
      <c r="C847" t="s">
        <v>673</v>
      </c>
      <c r="D847" t="s">
        <v>441</v>
      </c>
      <c r="F847">
        <v>0</v>
      </c>
      <c r="G847">
        <v>10.64</v>
      </c>
      <c r="H847" t="s">
        <v>8588</v>
      </c>
      <c r="I847">
        <v>14</v>
      </c>
      <c r="J847" t="s">
        <v>462</v>
      </c>
      <c r="M847">
        <v>7112</v>
      </c>
      <c r="N847" t="s">
        <v>15991</v>
      </c>
    </row>
    <row r="848" spans="1:14">
      <c r="A848">
        <v>11380042</v>
      </c>
      <c r="B848">
        <v>4020083</v>
      </c>
      <c r="C848" t="s">
        <v>674</v>
      </c>
      <c r="D848" t="s">
        <v>441</v>
      </c>
      <c r="F848">
        <v>0</v>
      </c>
      <c r="G848">
        <v>10.73</v>
      </c>
      <c r="H848" t="s">
        <v>8588</v>
      </c>
      <c r="I848">
        <v>16</v>
      </c>
      <c r="J848" t="s">
        <v>462</v>
      </c>
      <c r="M848">
        <v>7112</v>
      </c>
      <c r="N848" t="s">
        <v>15991</v>
      </c>
    </row>
    <row r="849" spans="1:14">
      <c r="A849">
        <v>11380043</v>
      </c>
      <c r="B849">
        <v>4020132</v>
      </c>
      <c r="C849" t="s">
        <v>675</v>
      </c>
      <c r="D849" t="s">
        <v>441</v>
      </c>
      <c r="F849">
        <v>0</v>
      </c>
      <c r="G849">
        <v>10.88</v>
      </c>
      <c r="H849" t="s">
        <v>8588</v>
      </c>
      <c r="I849">
        <v>16</v>
      </c>
      <c r="J849" t="s">
        <v>462</v>
      </c>
      <c r="M849">
        <v>7112</v>
      </c>
      <c r="N849" t="s">
        <v>15991</v>
      </c>
    </row>
    <row r="850" spans="1:14">
      <c r="A850">
        <v>11380044</v>
      </c>
      <c r="B850">
        <v>4020133</v>
      </c>
      <c r="C850" t="s">
        <v>676</v>
      </c>
      <c r="D850" t="s">
        <v>441</v>
      </c>
      <c r="F850">
        <v>0</v>
      </c>
      <c r="G850">
        <v>10.89</v>
      </c>
      <c r="H850" t="s">
        <v>8588</v>
      </c>
      <c r="I850">
        <v>16</v>
      </c>
      <c r="J850" t="s">
        <v>462</v>
      </c>
      <c r="M850">
        <v>7112</v>
      </c>
      <c r="N850" t="s">
        <v>15991</v>
      </c>
    </row>
    <row r="851" spans="1:14">
      <c r="A851">
        <v>11380045</v>
      </c>
      <c r="B851">
        <v>4020270</v>
      </c>
      <c r="C851" t="s">
        <v>677</v>
      </c>
      <c r="D851" t="s">
        <v>441</v>
      </c>
      <c r="F851">
        <v>0</v>
      </c>
      <c r="G851">
        <v>10.77</v>
      </c>
      <c r="H851" t="s">
        <v>8588</v>
      </c>
      <c r="I851">
        <v>16</v>
      </c>
      <c r="J851" t="s">
        <v>462</v>
      </c>
      <c r="M851">
        <v>7112</v>
      </c>
      <c r="N851" t="s">
        <v>15991</v>
      </c>
    </row>
    <row r="852" spans="1:14">
      <c r="A852">
        <v>11380046</v>
      </c>
      <c r="B852">
        <v>4023136</v>
      </c>
      <c r="C852" t="s">
        <v>678</v>
      </c>
      <c r="D852" t="s">
        <v>441</v>
      </c>
      <c r="F852">
        <v>0</v>
      </c>
      <c r="G852">
        <v>10.87</v>
      </c>
      <c r="H852" t="s">
        <v>8588</v>
      </c>
      <c r="I852">
        <v>16</v>
      </c>
      <c r="J852" t="s">
        <v>462</v>
      </c>
      <c r="M852">
        <v>7112</v>
      </c>
      <c r="N852" t="s">
        <v>15991</v>
      </c>
    </row>
    <row r="853" spans="1:14">
      <c r="A853">
        <v>11380047</v>
      </c>
      <c r="B853">
        <v>4024458</v>
      </c>
      <c r="C853" t="s">
        <v>17354</v>
      </c>
      <c r="D853" t="s">
        <v>441</v>
      </c>
      <c r="F853">
        <v>0</v>
      </c>
      <c r="G853">
        <v>19.940000000000001</v>
      </c>
      <c r="H853" t="s">
        <v>8588</v>
      </c>
      <c r="I853">
        <v>16</v>
      </c>
      <c r="J853" t="s">
        <v>462</v>
      </c>
      <c r="K853" t="s">
        <v>446</v>
      </c>
      <c r="M853">
        <v>7112</v>
      </c>
      <c r="N853" t="s">
        <v>15991</v>
      </c>
    </row>
    <row r="854" spans="1:14">
      <c r="A854">
        <v>11380048</v>
      </c>
      <c r="B854">
        <v>4030132</v>
      </c>
      <c r="C854" t="s">
        <v>15992</v>
      </c>
      <c r="D854" t="s">
        <v>441</v>
      </c>
      <c r="F854">
        <v>0</v>
      </c>
      <c r="G854">
        <v>18.93</v>
      </c>
      <c r="H854" t="s">
        <v>8588</v>
      </c>
      <c r="I854">
        <v>16</v>
      </c>
      <c r="J854" t="s">
        <v>462</v>
      </c>
      <c r="M854">
        <v>7112</v>
      </c>
      <c r="N854" t="s">
        <v>15991</v>
      </c>
    </row>
    <row r="855" spans="1:14">
      <c r="A855">
        <v>11380073</v>
      </c>
      <c r="B855">
        <v>4026703</v>
      </c>
      <c r="C855" t="s">
        <v>679</v>
      </c>
      <c r="D855" t="s">
        <v>441</v>
      </c>
      <c r="F855">
        <v>0</v>
      </c>
      <c r="G855">
        <v>10.64</v>
      </c>
      <c r="H855" t="s">
        <v>8588</v>
      </c>
      <c r="I855">
        <v>14</v>
      </c>
      <c r="J855" t="s">
        <v>462</v>
      </c>
      <c r="M855">
        <v>7112</v>
      </c>
      <c r="N855" t="s">
        <v>15991</v>
      </c>
    </row>
    <row r="856" spans="1:14">
      <c r="A856">
        <v>11380100</v>
      </c>
      <c r="B856">
        <v>3036798</v>
      </c>
      <c r="C856" t="s">
        <v>680</v>
      </c>
      <c r="D856" t="s">
        <v>441</v>
      </c>
      <c r="F856">
        <v>0</v>
      </c>
      <c r="H856" t="s">
        <v>8588</v>
      </c>
      <c r="I856">
        <v>6</v>
      </c>
      <c r="J856" t="s">
        <v>445</v>
      </c>
      <c r="M856">
        <v>7161</v>
      </c>
      <c r="N856" t="s">
        <v>15991</v>
      </c>
    </row>
    <row r="857" spans="1:14">
      <c r="A857">
        <v>11384000</v>
      </c>
      <c r="B857">
        <v>3035442</v>
      </c>
      <c r="C857" t="s">
        <v>681</v>
      </c>
      <c r="D857" t="s">
        <v>441</v>
      </c>
      <c r="F857">
        <v>0</v>
      </c>
      <c r="G857">
        <v>9.98</v>
      </c>
      <c r="H857" t="s">
        <v>8549</v>
      </c>
      <c r="I857">
        <v>6</v>
      </c>
      <c r="J857" t="s">
        <v>445</v>
      </c>
      <c r="M857">
        <v>2391</v>
      </c>
      <c r="N857" t="s">
        <v>15991</v>
      </c>
    </row>
    <row r="858" spans="1:14">
      <c r="A858">
        <v>11384007</v>
      </c>
      <c r="B858">
        <v>3035443</v>
      </c>
      <c r="C858" t="s">
        <v>682</v>
      </c>
      <c r="D858" t="s">
        <v>441</v>
      </c>
      <c r="F858">
        <v>0</v>
      </c>
      <c r="G858">
        <v>10.1</v>
      </c>
      <c r="H858" t="s">
        <v>8549</v>
      </c>
      <c r="I858">
        <v>6</v>
      </c>
      <c r="J858" t="s">
        <v>445</v>
      </c>
      <c r="M858">
        <v>2391</v>
      </c>
      <c r="N858" t="s">
        <v>15991</v>
      </c>
    </row>
    <row r="859" spans="1:14">
      <c r="A859">
        <v>11384100</v>
      </c>
      <c r="B859">
        <v>3036851</v>
      </c>
      <c r="C859" t="s">
        <v>683</v>
      </c>
      <c r="D859" t="s">
        <v>441</v>
      </c>
      <c r="F859">
        <v>0</v>
      </c>
      <c r="H859" t="s">
        <v>8588</v>
      </c>
      <c r="I859">
        <v>6</v>
      </c>
      <c r="J859" t="s">
        <v>445</v>
      </c>
      <c r="M859">
        <v>7161</v>
      </c>
      <c r="N859" t="s">
        <v>15991</v>
      </c>
    </row>
    <row r="860" spans="1:14">
      <c r="A860">
        <v>11390000</v>
      </c>
      <c r="B860">
        <v>3007457</v>
      </c>
      <c r="C860" t="s">
        <v>684</v>
      </c>
      <c r="D860" t="s">
        <v>441</v>
      </c>
      <c r="F860">
        <v>0</v>
      </c>
      <c r="G860">
        <v>15.7</v>
      </c>
      <c r="H860" t="s">
        <v>8584</v>
      </c>
      <c r="I860">
        <v>6</v>
      </c>
      <c r="J860" t="s">
        <v>445</v>
      </c>
      <c r="K860" t="s">
        <v>446</v>
      </c>
      <c r="M860">
        <v>2390</v>
      </c>
    </row>
    <row r="861" spans="1:14">
      <c r="A861">
        <v>11390002</v>
      </c>
      <c r="B861">
        <v>3007458</v>
      </c>
      <c r="C861" t="s">
        <v>685</v>
      </c>
      <c r="D861" t="s">
        <v>441</v>
      </c>
      <c r="F861">
        <v>0</v>
      </c>
      <c r="G861">
        <v>16.2</v>
      </c>
      <c r="H861" t="s">
        <v>8584</v>
      </c>
      <c r="I861">
        <v>365</v>
      </c>
      <c r="J861" t="s">
        <v>445</v>
      </c>
      <c r="K861" t="s">
        <v>446</v>
      </c>
      <c r="M861">
        <v>2501</v>
      </c>
    </row>
    <row r="862" spans="1:14">
      <c r="A862">
        <v>11390014</v>
      </c>
      <c r="B862">
        <v>3007459</v>
      </c>
      <c r="C862" t="s">
        <v>686</v>
      </c>
      <c r="D862" t="s">
        <v>441</v>
      </c>
      <c r="F862">
        <v>0</v>
      </c>
      <c r="G862">
        <v>9.92</v>
      </c>
      <c r="H862" t="s">
        <v>8583</v>
      </c>
      <c r="I862">
        <v>365</v>
      </c>
      <c r="J862" t="s">
        <v>445</v>
      </c>
      <c r="K862" t="s">
        <v>446</v>
      </c>
      <c r="M862">
        <v>2501</v>
      </c>
    </row>
    <row r="863" spans="1:14">
      <c r="A863">
        <v>11390020</v>
      </c>
      <c r="B863">
        <v>4007614</v>
      </c>
      <c r="C863" t="s">
        <v>9143</v>
      </c>
      <c r="D863" t="s">
        <v>441</v>
      </c>
      <c r="F863">
        <v>0</v>
      </c>
      <c r="G863">
        <v>16.079999999999998</v>
      </c>
      <c r="H863" t="s">
        <v>8588</v>
      </c>
      <c r="I863">
        <v>6</v>
      </c>
      <c r="J863" t="s">
        <v>462</v>
      </c>
      <c r="K863" t="s">
        <v>446</v>
      </c>
      <c r="M863">
        <v>2641</v>
      </c>
    </row>
    <row r="864" spans="1:14">
      <c r="A864">
        <v>11390502</v>
      </c>
      <c r="B864">
        <v>3007460</v>
      </c>
      <c r="C864" t="s">
        <v>687</v>
      </c>
      <c r="D864" t="s">
        <v>441</v>
      </c>
      <c r="F864">
        <v>0</v>
      </c>
      <c r="G864">
        <v>15.76</v>
      </c>
      <c r="H864" t="s">
        <v>8583</v>
      </c>
      <c r="I864">
        <v>6</v>
      </c>
      <c r="J864" t="s">
        <v>445</v>
      </c>
      <c r="K864" t="s">
        <v>446</v>
      </c>
      <c r="M864">
        <v>2641</v>
      </c>
    </row>
    <row r="865" spans="1:14">
      <c r="A865">
        <v>11390514</v>
      </c>
      <c r="B865">
        <v>3007461</v>
      </c>
      <c r="C865" t="s">
        <v>688</v>
      </c>
      <c r="D865" t="s">
        <v>441</v>
      </c>
      <c r="F865">
        <v>0</v>
      </c>
      <c r="G865">
        <v>9.65</v>
      </c>
      <c r="H865" t="s">
        <v>8584</v>
      </c>
      <c r="I865">
        <v>6</v>
      </c>
      <c r="J865" t="s">
        <v>445</v>
      </c>
      <c r="K865" t="s">
        <v>446</v>
      </c>
      <c r="M865">
        <v>2641</v>
      </c>
    </row>
    <row r="866" spans="1:14">
      <c r="A866">
        <v>11390602</v>
      </c>
      <c r="B866">
        <v>3007462</v>
      </c>
      <c r="C866" t="s">
        <v>689</v>
      </c>
      <c r="D866" t="s">
        <v>441</v>
      </c>
      <c r="F866">
        <v>0</v>
      </c>
      <c r="G866">
        <v>17.22</v>
      </c>
      <c r="H866" t="s">
        <v>8580</v>
      </c>
      <c r="I866">
        <v>4</v>
      </c>
      <c r="J866" t="s">
        <v>445</v>
      </c>
      <c r="K866" t="s">
        <v>446</v>
      </c>
      <c r="M866">
        <v>2511</v>
      </c>
    </row>
    <row r="867" spans="1:14">
      <c r="A867">
        <v>11390614</v>
      </c>
      <c r="B867">
        <v>3007463</v>
      </c>
      <c r="C867" t="s">
        <v>690</v>
      </c>
      <c r="D867" t="s">
        <v>441</v>
      </c>
      <c r="F867">
        <v>0</v>
      </c>
      <c r="G867">
        <v>10.61</v>
      </c>
      <c r="H867" t="s">
        <v>8583</v>
      </c>
      <c r="I867">
        <v>4</v>
      </c>
      <c r="J867" t="s">
        <v>445</v>
      </c>
      <c r="K867" t="s">
        <v>446</v>
      </c>
      <c r="M867">
        <v>2511</v>
      </c>
    </row>
    <row r="868" spans="1:14">
      <c r="A868">
        <v>11400000</v>
      </c>
      <c r="B868">
        <v>3007464</v>
      </c>
      <c r="C868" t="s">
        <v>691</v>
      </c>
      <c r="D868" t="s">
        <v>441</v>
      </c>
      <c r="F868">
        <v>0</v>
      </c>
      <c r="G868">
        <v>11.07</v>
      </c>
      <c r="H868" t="s">
        <v>8580</v>
      </c>
      <c r="I868">
        <v>5</v>
      </c>
      <c r="J868" t="s">
        <v>445</v>
      </c>
      <c r="K868" t="s">
        <v>446</v>
      </c>
      <c r="M868">
        <v>2390</v>
      </c>
    </row>
    <row r="869" spans="1:14">
      <c r="A869">
        <v>11400002</v>
      </c>
      <c r="B869">
        <v>3007465</v>
      </c>
      <c r="C869" t="s">
        <v>692</v>
      </c>
      <c r="D869" t="s">
        <v>441</v>
      </c>
      <c r="F869">
        <v>0</v>
      </c>
      <c r="G869">
        <v>11.62</v>
      </c>
      <c r="I869">
        <v>540</v>
      </c>
      <c r="J869" t="s">
        <v>445</v>
      </c>
      <c r="M869">
        <v>7111</v>
      </c>
      <c r="N869" t="s">
        <v>15983</v>
      </c>
    </row>
    <row r="870" spans="1:14">
      <c r="A870">
        <v>11400025</v>
      </c>
      <c r="B870">
        <v>4013802</v>
      </c>
      <c r="C870" t="s">
        <v>9144</v>
      </c>
      <c r="D870" t="s">
        <v>441</v>
      </c>
      <c r="F870">
        <v>0</v>
      </c>
      <c r="G870">
        <v>12.96</v>
      </c>
      <c r="H870" t="s">
        <v>8588</v>
      </c>
      <c r="I870">
        <v>365</v>
      </c>
      <c r="J870" t="s">
        <v>462</v>
      </c>
      <c r="K870" t="s">
        <v>446</v>
      </c>
      <c r="M870">
        <v>2501</v>
      </c>
      <c r="N870" t="s">
        <v>15983</v>
      </c>
    </row>
    <row r="871" spans="1:14">
      <c r="A871">
        <v>11400050</v>
      </c>
      <c r="B871">
        <v>4013848</v>
      </c>
      <c r="C871" t="s">
        <v>15571</v>
      </c>
      <c r="D871" t="s">
        <v>441</v>
      </c>
      <c r="F871">
        <v>0</v>
      </c>
      <c r="G871">
        <v>19.04</v>
      </c>
      <c r="H871" t="s">
        <v>8588</v>
      </c>
      <c r="I871">
        <v>16</v>
      </c>
      <c r="J871" t="s">
        <v>462</v>
      </c>
      <c r="M871">
        <v>7112</v>
      </c>
      <c r="N871" t="s">
        <v>15983</v>
      </c>
    </row>
    <row r="872" spans="1:14">
      <c r="A872">
        <v>11400051</v>
      </c>
      <c r="B872">
        <v>3012106</v>
      </c>
      <c r="C872" t="s">
        <v>9145</v>
      </c>
      <c r="D872" t="s">
        <v>441</v>
      </c>
      <c r="F872">
        <v>0</v>
      </c>
      <c r="G872">
        <v>12.1</v>
      </c>
      <c r="H872" t="s">
        <v>8588</v>
      </c>
      <c r="I872">
        <v>21</v>
      </c>
      <c r="J872" t="s">
        <v>445</v>
      </c>
      <c r="K872" t="s">
        <v>446</v>
      </c>
      <c r="M872">
        <v>2611</v>
      </c>
      <c r="N872" t="s">
        <v>15983</v>
      </c>
    </row>
    <row r="873" spans="1:14">
      <c r="A873">
        <v>11400100</v>
      </c>
      <c r="B873">
        <v>3014996</v>
      </c>
      <c r="C873" t="s">
        <v>693</v>
      </c>
      <c r="D873" t="s">
        <v>441</v>
      </c>
      <c r="F873">
        <v>0</v>
      </c>
      <c r="H873" t="s">
        <v>8588</v>
      </c>
      <c r="I873">
        <v>6</v>
      </c>
      <c r="J873" t="s">
        <v>445</v>
      </c>
      <c r="M873">
        <v>7161</v>
      </c>
      <c r="N873" t="s">
        <v>15993</v>
      </c>
    </row>
    <row r="874" spans="1:14">
      <c r="A874">
        <v>11400102</v>
      </c>
      <c r="B874">
        <v>3007466</v>
      </c>
      <c r="C874" t="s">
        <v>694</v>
      </c>
      <c r="D874" t="s">
        <v>441</v>
      </c>
      <c r="F874">
        <v>0</v>
      </c>
      <c r="H874" t="s">
        <v>8580</v>
      </c>
      <c r="I874">
        <v>9</v>
      </c>
      <c r="J874" t="s">
        <v>445</v>
      </c>
      <c r="K874" t="s">
        <v>446</v>
      </c>
      <c r="M874">
        <v>0</v>
      </c>
      <c r="N874" t="s">
        <v>15983</v>
      </c>
    </row>
    <row r="875" spans="1:14">
      <c r="A875">
        <v>11400103</v>
      </c>
      <c r="B875">
        <v>3014784</v>
      </c>
      <c r="C875" t="s">
        <v>695</v>
      </c>
      <c r="D875" t="s">
        <v>441</v>
      </c>
      <c r="F875">
        <v>0</v>
      </c>
      <c r="H875" t="s">
        <v>8588</v>
      </c>
      <c r="I875">
        <v>540</v>
      </c>
      <c r="J875" t="s">
        <v>445</v>
      </c>
      <c r="M875">
        <v>7161</v>
      </c>
      <c r="N875" t="s">
        <v>15983</v>
      </c>
    </row>
    <row r="876" spans="1:14">
      <c r="A876">
        <v>11400110</v>
      </c>
      <c r="B876">
        <v>3031684</v>
      </c>
      <c r="C876" t="s">
        <v>696</v>
      </c>
      <c r="D876" t="s">
        <v>441</v>
      </c>
      <c r="F876">
        <v>0</v>
      </c>
      <c r="H876" t="s">
        <v>8588</v>
      </c>
      <c r="I876">
        <v>5</v>
      </c>
      <c r="J876" t="s">
        <v>445</v>
      </c>
      <c r="K876" t="s">
        <v>446</v>
      </c>
      <c r="M876">
        <v>0</v>
      </c>
      <c r="N876" t="s">
        <v>15983</v>
      </c>
    </row>
    <row r="877" spans="1:14">
      <c r="A877">
        <v>11400120</v>
      </c>
      <c r="B877">
        <v>3003267</v>
      </c>
      <c r="C877" t="s">
        <v>697</v>
      </c>
      <c r="D877" t="s">
        <v>441</v>
      </c>
      <c r="F877">
        <v>0</v>
      </c>
      <c r="H877" t="s">
        <v>8588</v>
      </c>
      <c r="I877">
        <v>6</v>
      </c>
      <c r="J877" t="s">
        <v>445</v>
      </c>
      <c r="K877" t="s">
        <v>446</v>
      </c>
      <c r="M877">
        <v>2391</v>
      </c>
    </row>
    <row r="878" spans="1:14">
      <c r="A878">
        <v>11400130</v>
      </c>
      <c r="B878">
        <v>3005540</v>
      </c>
      <c r="C878" t="s">
        <v>698</v>
      </c>
      <c r="D878" t="s">
        <v>441</v>
      </c>
      <c r="F878">
        <v>0</v>
      </c>
      <c r="H878" t="s">
        <v>8588</v>
      </c>
      <c r="I878">
        <v>6</v>
      </c>
      <c r="J878" t="s">
        <v>445</v>
      </c>
      <c r="M878">
        <v>7161</v>
      </c>
      <c r="N878" t="s">
        <v>15983</v>
      </c>
    </row>
    <row r="879" spans="1:14">
      <c r="A879">
        <v>11400152</v>
      </c>
      <c r="B879">
        <v>3005763</v>
      </c>
      <c r="C879" t="s">
        <v>699</v>
      </c>
      <c r="D879" t="s">
        <v>441</v>
      </c>
      <c r="F879">
        <v>0</v>
      </c>
      <c r="H879" t="s">
        <v>8588</v>
      </c>
      <c r="I879">
        <v>540</v>
      </c>
      <c r="J879" t="s">
        <v>445</v>
      </c>
      <c r="M879">
        <v>7113</v>
      </c>
      <c r="N879" t="s">
        <v>15983</v>
      </c>
    </row>
    <row r="880" spans="1:14">
      <c r="A880">
        <v>11400502</v>
      </c>
      <c r="B880">
        <v>3007468</v>
      </c>
      <c r="C880" t="s">
        <v>700</v>
      </c>
      <c r="D880" t="s">
        <v>441</v>
      </c>
      <c r="F880">
        <v>0</v>
      </c>
      <c r="G880">
        <v>11.24</v>
      </c>
      <c r="H880" t="s">
        <v>8584</v>
      </c>
      <c r="I880">
        <v>540</v>
      </c>
      <c r="J880" t="s">
        <v>445</v>
      </c>
      <c r="M880">
        <v>2502</v>
      </c>
      <c r="N880" t="s">
        <v>15983</v>
      </c>
    </row>
    <row r="881" spans="1:14">
      <c r="A881">
        <v>11400525</v>
      </c>
      <c r="B881">
        <v>3021122</v>
      </c>
      <c r="C881" t="s">
        <v>9146</v>
      </c>
      <c r="D881" t="s">
        <v>441</v>
      </c>
      <c r="F881">
        <v>0</v>
      </c>
      <c r="G881">
        <v>12.76</v>
      </c>
      <c r="H881" t="s">
        <v>8584</v>
      </c>
      <c r="I881">
        <v>6</v>
      </c>
      <c r="J881" t="s">
        <v>445</v>
      </c>
      <c r="K881" t="s">
        <v>446</v>
      </c>
      <c r="M881">
        <v>2641</v>
      </c>
      <c r="N881" t="s">
        <v>15983</v>
      </c>
    </row>
    <row r="882" spans="1:14">
      <c r="A882">
        <v>11400602</v>
      </c>
      <c r="B882">
        <v>3007469</v>
      </c>
      <c r="C882" t="s">
        <v>390</v>
      </c>
      <c r="D882" t="s">
        <v>441</v>
      </c>
      <c r="F882">
        <v>0</v>
      </c>
      <c r="G882">
        <v>11.94</v>
      </c>
      <c r="H882" t="s">
        <v>8588</v>
      </c>
      <c r="I882">
        <v>4</v>
      </c>
      <c r="J882" t="s">
        <v>445</v>
      </c>
      <c r="M882">
        <v>2510</v>
      </c>
      <c r="N882" t="s">
        <v>15983</v>
      </c>
    </row>
    <row r="883" spans="1:14">
      <c r="A883">
        <v>11400652</v>
      </c>
      <c r="B883">
        <v>3012036</v>
      </c>
      <c r="C883" t="s">
        <v>701</v>
      </c>
      <c r="D883" t="s">
        <v>441</v>
      </c>
      <c r="F883">
        <v>0</v>
      </c>
      <c r="G883">
        <v>15.32</v>
      </c>
      <c r="H883" t="s">
        <v>8583</v>
      </c>
      <c r="I883">
        <v>4</v>
      </c>
      <c r="J883" t="s">
        <v>445</v>
      </c>
      <c r="K883" t="s">
        <v>446</v>
      </c>
      <c r="M883">
        <v>2511</v>
      </c>
    </row>
    <row r="884" spans="1:14">
      <c r="A884">
        <v>11400902</v>
      </c>
      <c r="B884">
        <v>3020211</v>
      </c>
      <c r="C884" t="s">
        <v>702</v>
      </c>
      <c r="D884" t="s">
        <v>441</v>
      </c>
      <c r="F884">
        <v>0</v>
      </c>
      <c r="H884" t="s">
        <v>8584</v>
      </c>
      <c r="I884">
        <v>4</v>
      </c>
      <c r="J884" t="s">
        <v>445</v>
      </c>
      <c r="M884">
        <v>6666</v>
      </c>
      <c r="N884" t="s">
        <v>15983</v>
      </c>
    </row>
    <row r="885" spans="1:14">
      <c r="A885">
        <v>11401025</v>
      </c>
      <c r="B885">
        <v>4013803</v>
      </c>
      <c r="C885" t="s">
        <v>9147</v>
      </c>
      <c r="D885" t="s">
        <v>441</v>
      </c>
      <c r="F885">
        <v>0</v>
      </c>
      <c r="G885">
        <v>12.96</v>
      </c>
      <c r="H885" t="s">
        <v>8588</v>
      </c>
      <c r="I885">
        <v>365</v>
      </c>
      <c r="J885" t="s">
        <v>462</v>
      </c>
      <c r="K885" t="s">
        <v>446</v>
      </c>
      <c r="M885">
        <v>2501</v>
      </c>
      <c r="N885" t="s">
        <v>15983</v>
      </c>
    </row>
    <row r="886" spans="1:14">
      <c r="A886">
        <v>11401050</v>
      </c>
      <c r="B886">
        <v>4013849</v>
      </c>
      <c r="C886" t="s">
        <v>9148</v>
      </c>
      <c r="D886" t="s">
        <v>441</v>
      </c>
      <c r="F886">
        <v>0</v>
      </c>
      <c r="G886">
        <v>15.11</v>
      </c>
      <c r="H886" t="s">
        <v>8588</v>
      </c>
      <c r="I886">
        <v>9</v>
      </c>
      <c r="J886" t="s">
        <v>462</v>
      </c>
      <c r="K886" t="s">
        <v>446</v>
      </c>
      <c r="M886">
        <v>2612</v>
      </c>
      <c r="N886" t="s">
        <v>15983</v>
      </c>
    </row>
    <row r="887" spans="1:14">
      <c r="A887">
        <v>11401051</v>
      </c>
      <c r="B887">
        <v>3017503</v>
      </c>
      <c r="C887" t="s">
        <v>9149</v>
      </c>
      <c r="D887" t="s">
        <v>441</v>
      </c>
      <c r="F887">
        <v>0</v>
      </c>
      <c r="G887">
        <v>12.1</v>
      </c>
      <c r="H887" t="s">
        <v>8580</v>
      </c>
      <c r="I887">
        <v>21</v>
      </c>
      <c r="J887" t="s">
        <v>445</v>
      </c>
      <c r="K887" t="s">
        <v>446</v>
      </c>
      <c r="M887">
        <v>2611</v>
      </c>
      <c r="N887" t="s">
        <v>15983</v>
      </c>
    </row>
    <row r="888" spans="1:14">
      <c r="A888">
        <v>11401100</v>
      </c>
      <c r="B888">
        <v>3017643</v>
      </c>
      <c r="C888" t="s">
        <v>703</v>
      </c>
      <c r="D888" t="s">
        <v>441</v>
      </c>
      <c r="F888">
        <v>0</v>
      </c>
      <c r="H888" t="s">
        <v>8588</v>
      </c>
      <c r="I888">
        <v>6</v>
      </c>
      <c r="J888" t="s">
        <v>445</v>
      </c>
      <c r="M888">
        <v>7161</v>
      </c>
      <c r="N888" t="s">
        <v>15983</v>
      </c>
    </row>
    <row r="889" spans="1:14">
      <c r="A889">
        <v>11401525</v>
      </c>
      <c r="B889">
        <v>3021123</v>
      </c>
      <c r="C889" t="s">
        <v>9150</v>
      </c>
      <c r="D889" t="s">
        <v>441</v>
      </c>
      <c r="F889">
        <v>0</v>
      </c>
      <c r="G889">
        <v>12.76</v>
      </c>
      <c r="H889" t="s">
        <v>8584</v>
      </c>
      <c r="I889">
        <v>6</v>
      </c>
      <c r="J889" t="s">
        <v>445</v>
      </c>
      <c r="K889" t="s">
        <v>446</v>
      </c>
      <c r="M889">
        <v>2641</v>
      </c>
      <c r="N889" t="s">
        <v>15983</v>
      </c>
    </row>
    <row r="890" spans="1:14">
      <c r="A890">
        <v>11410000</v>
      </c>
      <c r="B890">
        <v>3030512</v>
      </c>
      <c r="C890" t="s">
        <v>704</v>
      </c>
      <c r="D890" t="s">
        <v>441</v>
      </c>
      <c r="F890">
        <v>0</v>
      </c>
      <c r="G890">
        <v>9.98</v>
      </c>
      <c r="H890" t="s">
        <v>8549</v>
      </c>
      <c r="I890">
        <v>6</v>
      </c>
      <c r="J890" t="s">
        <v>445</v>
      </c>
      <c r="M890">
        <v>2391</v>
      </c>
      <c r="N890" t="s">
        <v>15991</v>
      </c>
    </row>
    <row r="891" spans="1:14">
      <c r="A891">
        <v>11410040</v>
      </c>
      <c r="B891">
        <v>4022277</v>
      </c>
      <c r="C891" t="s">
        <v>9151</v>
      </c>
      <c r="D891" t="s">
        <v>441</v>
      </c>
      <c r="F891">
        <v>0</v>
      </c>
      <c r="G891">
        <v>11.16</v>
      </c>
      <c r="H891" t="s">
        <v>8588</v>
      </c>
      <c r="I891">
        <v>14</v>
      </c>
      <c r="J891" t="s">
        <v>462</v>
      </c>
      <c r="K891" t="s">
        <v>446</v>
      </c>
      <c r="M891">
        <v>2612</v>
      </c>
      <c r="N891" t="s">
        <v>15991</v>
      </c>
    </row>
    <row r="892" spans="1:14">
      <c r="A892">
        <v>11410075</v>
      </c>
      <c r="B892">
        <v>3030533</v>
      </c>
      <c r="C892" t="s">
        <v>705</v>
      </c>
      <c r="D892" t="s">
        <v>441</v>
      </c>
      <c r="F892">
        <v>0</v>
      </c>
      <c r="G892">
        <v>10.199999999999999</v>
      </c>
      <c r="H892" t="s">
        <v>8588</v>
      </c>
      <c r="I892">
        <v>6</v>
      </c>
      <c r="J892" t="s">
        <v>445</v>
      </c>
      <c r="M892">
        <v>7112</v>
      </c>
      <c r="N892" t="s">
        <v>15991</v>
      </c>
    </row>
    <row r="893" spans="1:14">
      <c r="A893">
        <v>11410100</v>
      </c>
      <c r="B893">
        <v>3031685</v>
      </c>
      <c r="C893" t="s">
        <v>9152</v>
      </c>
      <c r="D893" t="s">
        <v>441</v>
      </c>
      <c r="F893">
        <v>0</v>
      </c>
      <c r="H893" t="s">
        <v>8588</v>
      </c>
      <c r="I893">
        <v>6</v>
      </c>
      <c r="J893" t="s">
        <v>445</v>
      </c>
      <c r="K893" t="s">
        <v>446</v>
      </c>
      <c r="M893">
        <v>0</v>
      </c>
      <c r="N893" t="s">
        <v>15991</v>
      </c>
    </row>
    <row r="894" spans="1:14">
      <c r="A894">
        <v>11410110</v>
      </c>
      <c r="B894">
        <v>3033530</v>
      </c>
      <c r="C894" t="s">
        <v>706</v>
      </c>
      <c r="D894" t="s">
        <v>441</v>
      </c>
      <c r="F894">
        <v>0</v>
      </c>
      <c r="H894" t="s">
        <v>8588</v>
      </c>
      <c r="I894">
        <v>6</v>
      </c>
      <c r="J894" t="s">
        <v>445</v>
      </c>
      <c r="M894">
        <v>7161</v>
      </c>
      <c r="N894" t="s">
        <v>15991</v>
      </c>
    </row>
    <row r="895" spans="1:14">
      <c r="A895">
        <v>11410120</v>
      </c>
      <c r="B895">
        <v>3033528</v>
      </c>
      <c r="C895" t="s">
        <v>707</v>
      </c>
      <c r="D895" t="s">
        <v>441</v>
      </c>
      <c r="F895">
        <v>0</v>
      </c>
      <c r="H895" t="s">
        <v>8588</v>
      </c>
      <c r="I895">
        <v>6</v>
      </c>
      <c r="J895" t="s">
        <v>445</v>
      </c>
      <c r="M895">
        <v>7161</v>
      </c>
      <c r="N895" t="s">
        <v>15991</v>
      </c>
    </row>
    <row r="896" spans="1:14">
      <c r="A896">
        <v>11410130</v>
      </c>
      <c r="B896">
        <v>3030213</v>
      </c>
      <c r="C896" t="s">
        <v>708</v>
      </c>
      <c r="D896" t="s">
        <v>441</v>
      </c>
      <c r="F896">
        <v>0</v>
      </c>
      <c r="H896" t="s">
        <v>8588</v>
      </c>
      <c r="I896">
        <v>6</v>
      </c>
      <c r="J896" t="s">
        <v>445</v>
      </c>
      <c r="M896">
        <v>7161</v>
      </c>
      <c r="N896" t="s">
        <v>15991</v>
      </c>
    </row>
    <row r="897" spans="1:14">
      <c r="A897">
        <v>11414000</v>
      </c>
      <c r="B897">
        <v>3035453</v>
      </c>
      <c r="C897" t="s">
        <v>709</v>
      </c>
      <c r="D897" t="s">
        <v>441</v>
      </c>
      <c r="F897">
        <v>0</v>
      </c>
      <c r="G897">
        <v>9.98</v>
      </c>
      <c r="H897" t="s">
        <v>8549</v>
      </c>
      <c r="I897">
        <v>6</v>
      </c>
      <c r="J897" t="s">
        <v>445</v>
      </c>
      <c r="M897">
        <v>2391</v>
      </c>
      <c r="N897" t="s">
        <v>15991</v>
      </c>
    </row>
    <row r="898" spans="1:14">
      <c r="A898">
        <v>11414075</v>
      </c>
      <c r="B898">
        <v>3035694</v>
      </c>
      <c r="C898" t="s">
        <v>710</v>
      </c>
      <c r="D898" t="s">
        <v>441</v>
      </c>
      <c r="F898">
        <v>0</v>
      </c>
      <c r="G898">
        <v>10.199999999999999</v>
      </c>
      <c r="H898" t="s">
        <v>8588</v>
      </c>
      <c r="I898">
        <v>6</v>
      </c>
      <c r="J898" t="s">
        <v>445</v>
      </c>
      <c r="M898">
        <v>7112</v>
      </c>
      <c r="N898" t="s">
        <v>15991</v>
      </c>
    </row>
    <row r="899" spans="1:14">
      <c r="A899">
        <v>11420000</v>
      </c>
      <c r="B899">
        <v>3007470</v>
      </c>
      <c r="C899" t="s">
        <v>711</v>
      </c>
      <c r="D899" t="s">
        <v>441</v>
      </c>
      <c r="F899">
        <v>0</v>
      </c>
      <c r="G899">
        <v>18.05</v>
      </c>
      <c r="H899" t="s">
        <v>8580</v>
      </c>
      <c r="I899">
        <v>5</v>
      </c>
      <c r="J899" t="s">
        <v>445</v>
      </c>
      <c r="K899" t="s">
        <v>446</v>
      </c>
      <c r="M899">
        <v>2390</v>
      </c>
    </row>
    <row r="900" spans="1:14">
      <c r="A900">
        <v>11420075</v>
      </c>
      <c r="B900">
        <v>3011999</v>
      </c>
      <c r="C900" t="s">
        <v>712</v>
      </c>
      <c r="D900" t="s">
        <v>441</v>
      </c>
      <c r="F900">
        <v>0</v>
      </c>
      <c r="G900">
        <v>14.51</v>
      </c>
      <c r="H900" t="s">
        <v>8588</v>
      </c>
      <c r="I900">
        <v>6</v>
      </c>
      <c r="J900" t="s">
        <v>445</v>
      </c>
      <c r="M900">
        <v>7112</v>
      </c>
      <c r="N900" t="s">
        <v>15994</v>
      </c>
    </row>
    <row r="901" spans="1:14">
      <c r="A901">
        <v>11428802</v>
      </c>
      <c r="B901">
        <v>3007471</v>
      </c>
      <c r="C901" t="s">
        <v>713</v>
      </c>
      <c r="D901" t="s">
        <v>441</v>
      </c>
      <c r="F901">
        <v>0</v>
      </c>
      <c r="H901" t="s">
        <v>8584</v>
      </c>
      <c r="I901">
        <v>9</v>
      </c>
      <c r="J901" t="s">
        <v>445</v>
      </c>
      <c r="K901" t="s">
        <v>446</v>
      </c>
      <c r="M901">
        <v>0</v>
      </c>
      <c r="N901" t="s">
        <v>15994</v>
      </c>
    </row>
    <row r="902" spans="1:14">
      <c r="A902">
        <v>11429000</v>
      </c>
      <c r="B902">
        <v>3021206</v>
      </c>
      <c r="C902" t="s">
        <v>714</v>
      </c>
      <c r="D902" t="s">
        <v>441</v>
      </c>
      <c r="F902">
        <v>0</v>
      </c>
      <c r="G902">
        <v>14.37</v>
      </c>
      <c r="H902" t="s">
        <v>8588</v>
      </c>
      <c r="I902">
        <v>2</v>
      </c>
      <c r="J902" t="s">
        <v>445</v>
      </c>
      <c r="M902">
        <v>3111</v>
      </c>
      <c r="N902" t="s">
        <v>15994</v>
      </c>
    </row>
    <row r="903" spans="1:14">
      <c r="A903">
        <v>11429900</v>
      </c>
      <c r="B903">
        <v>3021926</v>
      </c>
      <c r="C903" t="s">
        <v>715</v>
      </c>
      <c r="D903" t="s">
        <v>441</v>
      </c>
      <c r="F903">
        <v>0</v>
      </c>
      <c r="H903" t="s">
        <v>8950</v>
      </c>
      <c r="I903">
        <v>2</v>
      </c>
      <c r="J903" t="s">
        <v>445</v>
      </c>
      <c r="M903">
        <v>6666</v>
      </c>
      <c r="N903" t="s">
        <v>15994</v>
      </c>
    </row>
    <row r="904" spans="1:14">
      <c r="A904">
        <v>11500000</v>
      </c>
      <c r="B904">
        <v>3004268</v>
      </c>
      <c r="C904" t="s">
        <v>716</v>
      </c>
      <c r="D904" t="s">
        <v>441</v>
      </c>
      <c r="F904">
        <v>0</v>
      </c>
      <c r="G904">
        <v>11.1</v>
      </c>
      <c r="H904" t="s">
        <v>8580</v>
      </c>
      <c r="I904">
        <v>6</v>
      </c>
      <c r="J904" t="s">
        <v>445</v>
      </c>
      <c r="K904" t="s">
        <v>446</v>
      </c>
      <c r="M904">
        <v>0</v>
      </c>
    </row>
    <row r="905" spans="1:14">
      <c r="A905">
        <v>11550000</v>
      </c>
      <c r="B905">
        <v>3012372</v>
      </c>
      <c r="C905" t="s">
        <v>9153</v>
      </c>
      <c r="D905" t="s">
        <v>441</v>
      </c>
      <c r="F905">
        <v>0</v>
      </c>
      <c r="G905">
        <v>9.8000000000000007</v>
      </c>
      <c r="H905" t="s">
        <v>8588</v>
      </c>
      <c r="I905">
        <v>6</v>
      </c>
      <c r="J905" t="s">
        <v>445</v>
      </c>
      <c r="K905" t="s">
        <v>446</v>
      </c>
      <c r="M905">
        <v>2313</v>
      </c>
    </row>
    <row r="906" spans="1:14">
      <c r="A906">
        <v>11550002</v>
      </c>
      <c r="B906">
        <v>3014258</v>
      </c>
      <c r="C906" t="s">
        <v>717</v>
      </c>
      <c r="D906" t="s">
        <v>441</v>
      </c>
      <c r="F906">
        <v>0</v>
      </c>
      <c r="G906">
        <v>10.210000000000001</v>
      </c>
      <c r="H906" t="s">
        <v>8588</v>
      </c>
      <c r="I906">
        <v>365</v>
      </c>
      <c r="J906" t="s">
        <v>445</v>
      </c>
      <c r="K906" t="s">
        <v>446</v>
      </c>
      <c r="M906">
        <v>2501</v>
      </c>
    </row>
    <row r="907" spans="1:14">
      <c r="A907">
        <v>11550020</v>
      </c>
      <c r="B907">
        <v>4012384</v>
      </c>
      <c r="C907" t="s">
        <v>9154</v>
      </c>
      <c r="D907" t="s">
        <v>441</v>
      </c>
      <c r="F907">
        <v>0</v>
      </c>
      <c r="G907">
        <v>10.09</v>
      </c>
      <c r="H907" t="s">
        <v>8588</v>
      </c>
      <c r="I907">
        <v>6</v>
      </c>
      <c r="J907" t="s">
        <v>462</v>
      </c>
      <c r="K907" t="s">
        <v>446</v>
      </c>
      <c r="M907">
        <v>2641</v>
      </c>
    </row>
    <row r="908" spans="1:14">
      <c r="A908">
        <v>11550050</v>
      </c>
      <c r="B908">
        <v>4010005</v>
      </c>
      <c r="C908" t="s">
        <v>9155</v>
      </c>
      <c r="D908" t="s">
        <v>441</v>
      </c>
      <c r="F908">
        <v>0</v>
      </c>
      <c r="G908">
        <v>10.99</v>
      </c>
      <c r="H908" t="s">
        <v>8588</v>
      </c>
      <c r="I908">
        <v>16</v>
      </c>
      <c r="J908" t="s">
        <v>462</v>
      </c>
      <c r="K908" t="s">
        <v>446</v>
      </c>
      <c r="M908">
        <v>2612</v>
      </c>
    </row>
    <row r="909" spans="1:14">
      <c r="A909">
        <v>11550502</v>
      </c>
      <c r="B909">
        <v>3014260</v>
      </c>
      <c r="C909" t="s">
        <v>718</v>
      </c>
      <c r="D909" t="s">
        <v>441</v>
      </c>
      <c r="F909">
        <v>0</v>
      </c>
      <c r="G909">
        <v>9.9700000000000006</v>
      </c>
      <c r="H909" t="s">
        <v>8580</v>
      </c>
      <c r="I909">
        <v>365</v>
      </c>
      <c r="J909" t="s">
        <v>445</v>
      </c>
      <c r="K909" t="s">
        <v>446</v>
      </c>
      <c r="M909">
        <v>2641</v>
      </c>
    </row>
    <row r="910" spans="1:14">
      <c r="A910">
        <v>11550602</v>
      </c>
      <c r="B910">
        <v>3014259</v>
      </c>
      <c r="C910" t="s">
        <v>719</v>
      </c>
      <c r="D910" t="s">
        <v>441</v>
      </c>
      <c r="F910">
        <v>0</v>
      </c>
      <c r="G910">
        <v>10.91</v>
      </c>
      <c r="H910" t="s">
        <v>8588</v>
      </c>
      <c r="I910">
        <v>4</v>
      </c>
      <c r="J910" t="s">
        <v>445</v>
      </c>
      <c r="K910" t="s">
        <v>446</v>
      </c>
      <c r="M910">
        <v>2511</v>
      </c>
    </row>
    <row r="911" spans="1:14">
      <c r="A911">
        <v>11550900</v>
      </c>
      <c r="B911">
        <v>3020212</v>
      </c>
      <c r="C911" t="s">
        <v>9156</v>
      </c>
      <c r="D911" t="s">
        <v>441</v>
      </c>
      <c r="F911">
        <v>0</v>
      </c>
      <c r="G911">
        <v>9.1</v>
      </c>
      <c r="H911" t="s">
        <v>8584</v>
      </c>
      <c r="I911">
        <v>6</v>
      </c>
      <c r="J911" t="s">
        <v>445</v>
      </c>
      <c r="K911" t="s">
        <v>446</v>
      </c>
      <c r="M911">
        <v>6666</v>
      </c>
    </row>
    <row r="912" spans="1:14">
      <c r="A912">
        <v>11550902</v>
      </c>
      <c r="B912">
        <v>3020213</v>
      </c>
      <c r="C912" t="s">
        <v>720</v>
      </c>
      <c r="D912" t="s">
        <v>441</v>
      </c>
      <c r="F912">
        <v>0</v>
      </c>
      <c r="G912">
        <v>10.06</v>
      </c>
      <c r="H912" t="s">
        <v>8584</v>
      </c>
      <c r="I912">
        <v>4</v>
      </c>
      <c r="J912" t="s">
        <v>445</v>
      </c>
      <c r="K912" t="s">
        <v>446</v>
      </c>
      <c r="M912">
        <v>6666</v>
      </c>
    </row>
    <row r="913" spans="1:14">
      <c r="A913">
        <v>11551000</v>
      </c>
      <c r="B913">
        <v>3017525</v>
      </c>
      <c r="C913" t="s">
        <v>9157</v>
      </c>
      <c r="D913" t="s">
        <v>441</v>
      </c>
      <c r="F913">
        <v>0</v>
      </c>
      <c r="G913">
        <v>9.8000000000000007</v>
      </c>
      <c r="I913">
        <v>6</v>
      </c>
      <c r="J913" t="s">
        <v>445</v>
      </c>
      <c r="K913" t="s">
        <v>446</v>
      </c>
      <c r="M913">
        <v>2313</v>
      </c>
    </row>
    <row r="914" spans="1:14">
      <c r="A914">
        <v>11551020</v>
      </c>
      <c r="B914">
        <v>4012391</v>
      </c>
      <c r="C914" t="s">
        <v>9158</v>
      </c>
      <c r="D914" t="s">
        <v>441</v>
      </c>
      <c r="F914">
        <v>0</v>
      </c>
      <c r="G914">
        <v>10.09</v>
      </c>
      <c r="H914" t="s">
        <v>8588</v>
      </c>
      <c r="I914">
        <v>6</v>
      </c>
      <c r="J914" t="s">
        <v>462</v>
      </c>
      <c r="K914" t="s">
        <v>446</v>
      </c>
      <c r="M914">
        <v>2641</v>
      </c>
    </row>
    <row r="915" spans="1:14">
      <c r="A915">
        <v>11553000</v>
      </c>
      <c r="B915">
        <v>3012370</v>
      </c>
      <c r="C915" t="s">
        <v>721</v>
      </c>
      <c r="D915" t="s">
        <v>441</v>
      </c>
      <c r="F915">
        <v>0</v>
      </c>
      <c r="G915">
        <v>9.6999999999999993</v>
      </c>
      <c r="H915" t="s">
        <v>8580</v>
      </c>
      <c r="I915">
        <v>6</v>
      </c>
      <c r="J915" t="s">
        <v>445</v>
      </c>
      <c r="K915" t="s">
        <v>446</v>
      </c>
      <c r="M915">
        <v>2390</v>
      </c>
    </row>
    <row r="916" spans="1:14">
      <c r="A916">
        <v>11564000</v>
      </c>
      <c r="B916">
        <v>3040857</v>
      </c>
      <c r="C916" t="s">
        <v>722</v>
      </c>
      <c r="D916" t="s">
        <v>441</v>
      </c>
      <c r="F916">
        <v>0</v>
      </c>
      <c r="G916">
        <v>12.64</v>
      </c>
      <c r="H916" t="s">
        <v>8549</v>
      </c>
      <c r="I916">
        <v>6</v>
      </c>
      <c r="J916" t="s">
        <v>445</v>
      </c>
      <c r="M916">
        <v>2391</v>
      </c>
      <c r="N916" t="s">
        <v>15982</v>
      </c>
    </row>
    <row r="917" spans="1:14">
      <c r="A917">
        <v>11564007</v>
      </c>
      <c r="B917">
        <v>3040865</v>
      </c>
      <c r="C917" t="s">
        <v>723</v>
      </c>
      <c r="D917" t="s">
        <v>441</v>
      </c>
      <c r="F917">
        <v>0</v>
      </c>
      <c r="G917">
        <v>12.77</v>
      </c>
      <c r="H917" t="s">
        <v>8549</v>
      </c>
      <c r="I917">
        <v>6</v>
      </c>
      <c r="J917" t="s">
        <v>445</v>
      </c>
      <c r="M917">
        <v>3111</v>
      </c>
      <c r="N917" t="s">
        <v>15982</v>
      </c>
    </row>
    <row r="918" spans="1:14">
      <c r="A918">
        <v>11564907</v>
      </c>
      <c r="B918">
        <v>3040709</v>
      </c>
      <c r="C918" t="s">
        <v>724</v>
      </c>
      <c r="D918" t="s">
        <v>441</v>
      </c>
      <c r="F918">
        <v>0</v>
      </c>
      <c r="G918">
        <v>11.8</v>
      </c>
      <c r="H918" t="s">
        <v>8634</v>
      </c>
      <c r="I918">
        <v>6</v>
      </c>
      <c r="J918" t="s">
        <v>445</v>
      </c>
      <c r="M918">
        <v>6666</v>
      </c>
      <c r="N918" t="s">
        <v>15982</v>
      </c>
    </row>
    <row r="919" spans="1:14">
      <c r="A919">
        <v>11570000</v>
      </c>
      <c r="B919">
        <v>3012373</v>
      </c>
      <c r="C919" t="s">
        <v>725</v>
      </c>
      <c r="D919" t="s">
        <v>441</v>
      </c>
      <c r="F919">
        <v>0</v>
      </c>
      <c r="G919">
        <v>14.24</v>
      </c>
      <c r="H919" t="s">
        <v>8580</v>
      </c>
      <c r="I919">
        <v>6</v>
      </c>
      <c r="J919" t="s">
        <v>445</v>
      </c>
      <c r="K919" t="s">
        <v>446</v>
      </c>
      <c r="M919">
        <v>2313</v>
      </c>
    </row>
    <row r="920" spans="1:14">
      <c r="A920">
        <v>11580000</v>
      </c>
      <c r="B920">
        <v>3012374</v>
      </c>
      <c r="C920" t="s">
        <v>726</v>
      </c>
      <c r="D920" t="s">
        <v>441</v>
      </c>
      <c r="F920">
        <v>0</v>
      </c>
      <c r="G920">
        <v>12.64</v>
      </c>
      <c r="H920" t="s">
        <v>8580</v>
      </c>
      <c r="I920">
        <v>6</v>
      </c>
      <c r="J920" t="s">
        <v>445</v>
      </c>
      <c r="M920">
        <v>2391</v>
      </c>
      <c r="N920" t="s">
        <v>15982</v>
      </c>
    </row>
    <row r="921" spans="1:14">
      <c r="A921">
        <v>11580007</v>
      </c>
      <c r="B921">
        <v>3021249</v>
      </c>
      <c r="C921" t="s">
        <v>727</v>
      </c>
      <c r="D921" t="s">
        <v>441</v>
      </c>
      <c r="F921">
        <v>0</v>
      </c>
      <c r="G921">
        <v>12.77</v>
      </c>
      <c r="H921" t="s">
        <v>8549</v>
      </c>
      <c r="I921">
        <v>6</v>
      </c>
      <c r="J921" t="s">
        <v>445</v>
      </c>
      <c r="M921">
        <v>3111</v>
      </c>
      <c r="N921" t="s">
        <v>15982</v>
      </c>
    </row>
    <row r="922" spans="1:14">
      <c r="A922">
        <v>11580900</v>
      </c>
      <c r="B922">
        <v>3024204</v>
      </c>
      <c r="C922" t="s">
        <v>728</v>
      </c>
      <c r="D922" t="s">
        <v>441</v>
      </c>
      <c r="F922">
        <v>0</v>
      </c>
      <c r="H922" t="s">
        <v>8580</v>
      </c>
      <c r="I922">
        <v>6</v>
      </c>
      <c r="J922" t="s">
        <v>445</v>
      </c>
      <c r="M922">
        <v>6666</v>
      </c>
      <c r="N922" t="s">
        <v>15982</v>
      </c>
    </row>
    <row r="923" spans="1:14">
      <c r="A923">
        <v>11580907</v>
      </c>
      <c r="B923">
        <v>3021251</v>
      </c>
      <c r="C923" t="s">
        <v>729</v>
      </c>
      <c r="D923" t="s">
        <v>441</v>
      </c>
      <c r="F923">
        <v>0</v>
      </c>
      <c r="I923">
        <v>6</v>
      </c>
      <c r="J923" t="s">
        <v>445</v>
      </c>
      <c r="M923">
        <v>6666</v>
      </c>
      <c r="N923" t="s">
        <v>15982</v>
      </c>
    </row>
    <row r="924" spans="1:14">
      <c r="A924">
        <v>11581000</v>
      </c>
      <c r="B924">
        <v>3017526</v>
      </c>
      <c r="C924" t="s">
        <v>730</v>
      </c>
      <c r="D924" t="s">
        <v>441</v>
      </c>
      <c r="F924">
        <v>0</v>
      </c>
      <c r="G924">
        <v>12.64</v>
      </c>
      <c r="H924" t="s">
        <v>8580</v>
      </c>
      <c r="I924">
        <v>6</v>
      </c>
      <c r="J924" t="s">
        <v>445</v>
      </c>
      <c r="M924">
        <v>2391</v>
      </c>
      <c r="N924" t="s">
        <v>15982</v>
      </c>
    </row>
    <row r="925" spans="1:14">
      <c r="A925">
        <v>11581900</v>
      </c>
      <c r="B925">
        <v>3024205</v>
      </c>
      <c r="C925" t="s">
        <v>731</v>
      </c>
      <c r="D925" t="s">
        <v>441</v>
      </c>
      <c r="F925">
        <v>0</v>
      </c>
      <c r="H925" t="s">
        <v>8580</v>
      </c>
      <c r="I925">
        <v>6</v>
      </c>
      <c r="J925" t="s">
        <v>445</v>
      </c>
      <c r="M925">
        <v>6666</v>
      </c>
      <c r="N925" t="s">
        <v>15982</v>
      </c>
    </row>
    <row r="926" spans="1:14">
      <c r="A926">
        <v>11584000</v>
      </c>
      <c r="B926">
        <v>3038908</v>
      </c>
      <c r="C926" t="s">
        <v>732</v>
      </c>
      <c r="D926" t="s">
        <v>441</v>
      </c>
      <c r="F926">
        <v>0</v>
      </c>
      <c r="G926">
        <v>12.64</v>
      </c>
      <c r="H926" t="s">
        <v>8549</v>
      </c>
      <c r="I926">
        <v>6</v>
      </c>
      <c r="J926" t="s">
        <v>445</v>
      </c>
      <c r="M926">
        <v>2391</v>
      </c>
      <c r="N926" t="s">
        <v>15982</v>
      </c>
    </row>
    <row r="927" spans="1:14">
      <c r="A927">
        <v>11584007</v>
      </c>
      <c r="B927">
        <v>3039056</v>
      </c>
      <c r="C927" t="s">
        <v>733</v>
      </c>
      <c r="D927" t="s">
        <v>441</v>
      </c>
      <c r="F927">
        <v>0</v>
      </c>
      <c r="G927">
        <v>12.77</v>
      </c>
      <c r="H927" t="s">
        <v>8549</v>
      </c>
      <c r="I927">
        <v>6</v>
      </c>
      <c r="J927" t="s">
        <v>445</v>
      </c>
      <c r="M927">
        <v>3111</v>
      </c>
      <c r="N927" t="s">
        <v>15982</v>
      </c>
    </row>
    <row r="928" spans="1:14">
      <c r="A928">
        <v>11584907</v>
      </c>
      <c r="B928">
        <v>3039072</v>
      </c>
      <c r="C928" t="s">
        <v>242</v>
      </c>
      <c r="D928" t="s">
        <v>441</v>
      </c>
      <c r="F928">
        <v>0</v>
      </c>
      <c r="H928" t="s">
        <v>8580</v>
      </c>
      <c r="I928">
        <v>6</v>
      </c>
      <c r="J928" t="s">
        <v>445</v>
      </c>
      <c r="M928">
        <v>6666</v>
      </c>
      <c r="N928" t="s">
        <v>15982</v>
      </c>
    </row>
    <row r="929" spans="1:14">
      <c r="A929">
        <v>11590000</v>
      </c>
      <c r="B929">
        <v>3007472</v>
      </c>
      <c r="C929" t="s">
        <v>734</v>
      </c>
      <c r="D929" t="s">
        <v>441</v>
      </c>
      <c r="F929">
        <v>0</v>
      </c>
      <c r="G929">
        <v>16.399999999999999</v>
      </c>
      <c r="H929" t="s">
        <v>8584</v>
      </c>
      <c r="I929">
        <v>6</v>
      </c>
      <c r="J929" t="s">
        <v>445</v>
      </c>
      <c r="K929" t="s">
        <v>446</v>
      </c>
      <c r="M929">
        <v>0</v>
      </c>
    </row>
    <row r="930" spans="1:14">
      <c r="A930">
        <v>11600000</v>
      </c>
      <c r="B930">
        <v>3015893</v>
      </c>
      <c r="C930" t="s">
        <v>9159</v>
      </c>
      <c r="D930" t="s">
        <v>441</v>
      </c>
      <c r="F930">
        <v>0</v>
      </c>
      <c r="G930">
        <v>10.77</v>
      </c>
      <c r="H930" t="s">
        <v>8580</v>
      </c>
      <c r="I930">
        <v>6</v>
      </c>
      <c r="J930" t="s">
        <v>445</v>
      </c>
      <c r="K930" t="s">
        <v>446</v>
      </c>
      <c r="M930">
        <v>0</v>
      </c>
      <c r="N930" t="s">
        <v>15995</v>
      </c>
    </row>
    <row r="931" spans="1:14">
      <c r="A931">
        <v>11601000</v>
      </c>
      <c r="B931">
        <v>3017731</v>
      </c>
      <c r="C931" t="s">
        <v>9160</v>
      </c>
      <c r="D931" t="s">
        <v>441</v>
      </c>
      <c r="F931">
        <v>0</v>
      </c>
      <c r="G931">
        <v>10.5</v>
      </c>
      <c r="H931" t="s">
        <v>8580</v>
      </c>
      <c r="I931">
        <v>6</v>
      </c>
      <c r="J931" t="s">
        <v>445</v>
      </c>
      <c r="K931" t="s">
        <v>446</v>
      </c>
      <c r="M931">
        <v>0</v>
      </c>
      <c r="N931" t="s">
        <v>15995</v>
      </c>
    </row>
    <row r="932" spans="1:14">
      <c r="A932">
        <v>11610000</v>
      </c>
      <c r="B932">
        <v>3042772</v>
      </c>
      <c r="C932" t="s">
        <v>735</v>
      </c>
      <c r="D932" t="s">
        <v>441</v>
      </c>
      <c r="F932">
        <v>0</v>
      </c>
      <c r="G932">
        <v>3.84</v>
      </c>
      <c r="H932" t="s">
        <v>8549</v>
      </c>
      <c r="I932">
        <v>6</v>
      </c>
      <c r="J932" t="s">
        <v>445</v>
      </c>
      <c r="M932">
        <v>2391</v>
      </c>
      <c r="N932" t="s">
        <v>15996</v>
      </c>
    </row>
    <row r="933" spans="1:14">
      <c r="A933">
        <v>11610007</v>
      </c>
      <c r="B933">
        <v>3042794</v>
      </c>
      <c r="C933" t="s">
        <v>736</v>
      </c>
      <c r="D933" t="s">
        <v>441</v>
      </c>
      <c r="F933">
        <v>0</v>
      </c>
      <c r="G933">
        <v>3.94</v>
      </c>
      <c r="H933" t="s">
        <v>8588</v>
      </c>
      <c r="I933">
        <v>6</v>
      </c>
      <c r="J933" t="s">
        <v>445</v>
      </c>
      <c r="M933">
        <v>3111</v>
      </c>
      <c r="N933" t="s">
        <v>15996</v>
      </c>
    </row>
    <row r="934" spans="1:14">
      <c r="A934">
        <v>11610087</v>
      </c>
      <c r="B934">
        <v>3042811</v>
      </c>
      <c r="C934" t="s">
        <v>737</v>
      </c>
      <c r="D934" t="s">
        <v>441</v>
      </c>
      <c r="F934">
        <v>0</v>
      </c>
      <c r="G934">
        <v>3.94</v>
      </c>
      <c r="H934" t="s">
        <v>8588</v>
      </c>
      <c r="I934">
        <v>6</v>
      </c>
      <c r="J934" t="s">
        <v>445</v>
      </c>
      <c r="M934">
        <v>7112</v>
      </c>
      <c r="N934" t="s">
        <v>15996</v>
      </c>
    </row>
    <row r="935" spans="1:14">
      <c r="A935">
        <v>11610907</v>
      </c>
      <c r="B935">
        <v>3042879</v>
      </c>
      <c r="C935" t="s">
        <v>738</v>
      </c>
      <c r="D935" t="s">
        <v>441</v>
      </c>
      <c r="F935">
        <v>0</v>
      </c>
      <c r="G935">
        <v>1</v>
      </c>
      <c r="H935" t="s">
        <v>8588</v>
      </c>
      <c r="I935">
        <v>6</v>
      </c>
      <c r="J935" t="s">
        <v>445</v>
      </c>
      <c r="M935">
        <v>6666</v>
      </c>
      <c r="N935" t="s">
        <v>15996</v>
      </c>
    </row>
    <row r="936" spans="1:14">
      <c r="A936">
        <v>11611000</v>
      </c>
      <c r="B936">
        <v>3012055</v>
      </c>
      <c r="C936" t="s">
        <v>739</v>
      </c>
      <c r="D936" t="s">
        <v>441</v>
      </c>
      <c r="F936">
        <v>0</v>
      </c>
      <c r="G936">
        <v>8.83</v>
      </c>
      <c r="H936" t="s">
        <v>8627</v>
      </c>
      <c r="I936">
        <v>6</v>
      </c>
      <c r="J936" t="s">
        <v>445</v>
      </c>
      <c r="K936" t="s">
        <v>446</v>
      </c>
      <c r="M936">
        <v>2313</v>
      </c>
    </row>
    <row r="937" spans="1:14">
      <c r="A937">
        <v>11614000</v>
      </c>
      <c r="B937">
        <v>3042771</v>
      </c>
      <c r="C937" t="s">
        <v>740</v>
      </c>
      <c r="D937" t="s">
        <v>441</v>
      </c>
      <c r="F937">
        <v>0</v>
      </c>
      <c r="G937">
        <v>3.84</v>
      </c>
      <c r="H937" t="s">
        <v>8549</v>
      </c>
      <c r="I937">
        <v>6</v>
      </c>
      <c r="J937" t="s">
        <v>445</v>
      </c>
      <c r="M937">
        <v>2391</v>
      </c>
      <c r="N937" t="s">
        <v>15996</v>
      </c>
    </row>
    <row r="938" spans="1:14">
      <c r="A938">
        <v>11614007</v>
      </c>
      <c r="B938">
        <v>3042795</v>
      </c>
      <c r="C938" t="s">
        <v>741</v>
      </c>
      <c r="D938" t="s">
        <v>441</v>
      </c>
      <c r="F938">
        <v>0</v>
      </c>
      <c r="G938">
        <v>3.94</v>
      </c>
      <c r="H938" t="s">
        <v>8588</v>
      </c>
      <c r="I938">
        <v>6</v>
      </c>
      <c r="J938" t="s">
        <v>445</v>
      </c>
      <c r="M938">
        <v>3111</v>
      </c>
      <c r="N938" t="s">
        <v>15996</v>
      </c>
    </row>
    <row r="939" spans="1:14">
      <c r="A939">
        <v>11614087</v>
      </c>
      <c r="B939">
        <v>3042812</v>
      </c>
      <c r="C939" t="s">
        <v>742</v>
      </c>
      <c r="D939" t="s">
        <v>441</v>
      </c>
      <c r="F939">
        <v>0</v>
      </c>
      <c r="G939">
        <v>3.94</v>
      </c>
      <c r="H939" t="s">
        <v>8588</v>
      </c>
      <c r="I939">
        <v>6</v>
      </c>
      <c r="J939" t="s">
        <v>445</v>
      </c>
      <c r="M939">
        <v>7112</v>
      </c>
      <c r="N939" t="s">
        <v>15996</v>
      </c>
    </row>
    <row r="940" spans="1:14">
      <c r="A940">
        <v>11614907</v>
      </c>
      <c r="B940">
        <v>3042918</v>
      </c>
      <c r="C940" t="s">
        <v>743</v>
      </c>
      <c r="D940" t="s">
        <v>441</v>
      </c>
      <c r="F940">
        <v>0</v>
      </c>
      <c r="G940">
        <v>1</v>
      </c>
      <c r="H940" t="s">
        <v>8588</v>
      </c>
      <c r="I940">
        <v>6</v>
      </c>
      <c r="J940" t="s">
        <v>445</v>
      </c>
      <c r="M940">
        <v>6666</v>
      </c>
      <c r="N940" t="s">
        <v>15996</v>
      </c>
    </row>
    <row r="941" spans="1:14">
      <c r="A941">
        <v>11620000</v>
      </c>
      <c r="B941">
        <v>3013547</v>
      </c>
      <c r="C941" t="s">
        <v>744</v>
      </c>
      <c r="D941" t="s">
        <v>441</v>
      </c>
      <c r="F941">
        <v>0</v>
      </c>
      <c r="G941">
        <v>13.62</v>
      </c>
      <c r="H941" t="s">
        <v>8584</v>
      </c>
      <c r="I941">
        <v>6</v>
      </c>
      <c r="J941" t="s">
        <v>445</v>
      </c>
      <c r="M941">
        <v>2391</v>
      </c>
      <c r="N941" t="s">
        <v>15997</v>
      </c>
    </row>
    <row r="942" spans="1:14">
      <c r="A942">
        <v>11620040</v>
      </c>
      <c r="B942">
        <v>4028426</v>
      </c>
      <c r="C942" t="s">
        <v>745</v>
      </c>
      <c r="D942" t="s">
        <v>441</v>
      </c>
      <c r="F942">
        <v>0</v>
      </c>
      <c r="G942">
        <v>14.81</v>
      </c>
      <c r="H942" t="s">
        <v>8588</v>
      </c>
      <c r="I942">
        <v>16</v>
      </c>
      <c r="J942" t="s">
        <v>462</v>
      </c>
      <c r="M942">
        <v>7112</v>
      </c>
      <c r="N942" t="s">
        <v>15997</v>
      </c>
    </row>
    <row r="943" spans="1:14">
      <c r="A943">
        <v>11620080</v>
      </c>
      <c r="B943">
        <v>4022712</v>
      </c>
      <c r="C943" t="s">
        <v>746</v>
      </c>
      <c r="D943" t="s">
        <v>441</v>
      </c>
      <c r="F943">
        <v>0</v>
      </c>
      <c r="G943">
        <v>9.8800000000000008</v>
      </c>
      <c r="H943" t="s">
        <v>8588</v>
      </c>
      <c r="I943">
        <v>6</v>
      </c>
      <c r="J943" t="s">
        <v>462</v>
      </c>
      <c r="M943">
        <v>7112</v>
      </c>
      <c r="N943" t="s">
        <v>15997</v>
      </c>
    </row>
    <row r="944" spans="1:14">
      <c r="A944">
        <v>11620087</v>
      </c>
      <c r="B944">
        <v>4024220</v>
      </c>
      <c r="C944" t="s">
        <v>747</v>
      </c>
      <c r="D944" t="s">
        <v>441</v>
      </c>
      <c r="F944">
        <v>0</v>
      </c>
      <c r="G944">
        <v>9.7899999999999991</v>
      </c>
      <c r="H944" t="s">
        <v>8588</v>
      </c>
      <c r="I944">
        <v>6</v>
      </c>
      <c r="J944" t="s">
        <v>462</v>
      </c>
      <c r="M944">
        <v>7112</v>
      </c>
      <c r="N944" t="s">
        <v>15997</v>
      </c>
    </row>
    <row r="945" spans="1:14">
      <c r="A945">
        <v>11621000</v>
      </c>
      <c r="B945">
        <v>3036284</v>
      </c>
      <c r="C945" t="s">
        <v>748</v>
      </c>
      <c r="D945" t="s">
        <v>441</v>
      </c>
      <c r="F945">
        <v>0</v>
      </c>
      <c r="G945">
        <v>9.66</v>
      </c>
      <c r="H945" t="s">
        <v>8580</v>
      </c>
      <c r="I945">
        <v>6</v>
      </c>
      <c r="J945" t="s">
        <v>445</v>
      </c>
      <c r="M945">
        <v>2391</v>
      </c>
      <c r="N945" t="s">
        <v>15997</v>
      </c>
    </row>
    <row r="946" spans="1:14">
      <c r="A946">
        <v>11621018</v>
      </c>
      <c r="B946">
        <v>3039604</v>
      </c>
      <c r="C946" t="s">
        <v>749</v>
      </c>
      <c r="D946" t="s">
        <v>441</v>
      </c>
      <c r="F946">
        <v>0</v>
      </c>
      <c r="G946">
        <v>10.199999999999999</v>
      </c>
      <c r="H946" t="s">
        <v>8588</v>
      </c>
      <c r="I946">
        <v>540</v>
      </c>
      <c r="J946" t="s">
        <v>445</v>
      </c>
      <c r="M946">
        <v>7111</v>
      </c>
      <c r="N946" t="s">
        <v>15997</v>
      </c>
    </row>
    <row r="947" spans="1:14">
      <c r="A947">
        <v>11621087</v>
      </c>
      <c r="B947">
        <v>4024368</v>
      </c>
      <c r="C947" t="s">
        <v>750</v>
      </c>
      <c r="D947" t="s">
        <v>441</v>
      </c>
      <c r="F947">
        <v>0</v>
      </c>
      <c r="G947">
        <v>9.7899999999999991</v>
      </c>
      <c r="H947" t="s">
        <v>8588</v>
      </c>
      <c r="I947">
        <v>6</v>
      </c>
      <c r="J947" t="s">
        <v>462</v>
      </c>
      <c r="M947">
        <v>7112</v>
      </c>
      <c r="N947" t="s">
        <v>15997</v>
      </c>
    </row>
    <row r="948" spans="1:14">
      <c r="A948">
        <v>11621518</v>
      </c>
      <c r="B948">
        <v>3039603</v>
      </c>
      <c r="C948" t="s">
        <v>751</v>
      </c>
      <c r="D948" t="s">
        <v>441</v>
      </c>
      <c r="F948">
        <v>0</v>
      </c>
      <c r="G948">
        <v>9.83</v>
      </c>
      <c r="H948" t="s">
        <v>8588</v>
      </c>
      <c r="I948">
        <v>6</v>
      </c>
      <c r="J948" t="s">
        <v>445</v>
      </c>
      <c r="M948">
        <v>2502</v>
      </c>
      <c r="N948" t="s">
        <v>15997</v>
      </c>
    </row>
    <row r="949" spans="1:14">
      <c r="A949">
        <v>11621618</v>
      </c>
      <c r="B949">
        <v>3039971</v>
      </c>
      <c r="C949" t="s">
        <v>752</v>
      </c>
      <c r="D949" t="s">
        <v>441</v>
      </c>
      <c r="F949">
        <v>0</v>
      </c>
      <c r="G949">
        <v>10.5</v>
      </c>
      <c r="H949" t="s">
        <v>8549</v>
      </c>
      <c r="I949">
        <v>6</v>
      </c>
      <c r="J949" t="s">
        <v>445</v>
      </c>
      <c r="M949">
        <v>2510</v>
      </c>
      <c r="N949" t="s">
        <v>15997</v>
      </c>
    </row>
    <row r="950" spans="1:14">
      <c r="A950">
        <v>11621918</v>
      </c>
      <c r="B950">
        <v>3039975</v>
      </c>
      <c r="C950" t="s">
        <v>753</v>
      </c>
      <c r="D950" t="s">
        <v>441</v>
      </c>
      <c r="F950">
        <v>0</v>
      </c>
      <c r="H950" t="s">
        <v>8580</v>
      </c>
      <c r="I950">
        <v>6</v>
      </c>
      <c r="J950" t="s">
        <v>445</v>
      </c>
      <c r="M950">
        <v>6666</v>
      </c>
      <c r="N950" t="s">
        <v>15997</v>
      </c>
    </row>
    <row r="951" spans="1:14">
      <c r="A951">
        <v>11630000</v>
      </c>
      <c r="B951">
        <v>3021100</v>
      </c>
      <c r="C951" t="s">
        <v>9161</v>
      </c>
      <c r="D951" t="s">
        <v>441</v>
      </c>
      <c r="F951">
        <v>0</v>
      </c>
      <c r="G951">
        <v>15.2</v>
      </c>
      <c r="H951" t="s">
        <v>8580</v>
      </c>
      <c r="I951">
        <v>6</v>
      </c>
      <c r="J951" t="s">
        <v>445</v>
      </c>
      <c r="K951" t="s">
        <v>446</v>
      </c>
      <c r="M951">
        <v>2313</v>
      </c>
      <c r="N951" t="s">
        <v>15982</v>
      </c>
    </row>
    <row r="952" spans="1:14">
      <c r="A952">
        <v>11630075</v>
      </c>
      <c r="B952">
        <v>3021102</v>
      </c>
      <c r="C952" t="s">
        <v>754</v>
      </c>
      <c r="D952" t="s">
        <v>441</v>
      </c>
      <c r="F952">
        <v>0</v>
      </c>
      <c r="G952">
        <v>15.45</v>
      </c>
      <c r="H952" t="s">
        <v>8588</v>
      </c>
      <c r="I952">
        <v>6</v>
      </c>
      <c r="J952" t="s">
        <v>445</v>
      </c>
      <c r="K952" t="s">
        <v>446</v>
      </c>
      <c r="M952">
        <v>2641</v>
      </c>
      <c r="N952" t="s">
        <v>15982</v>
      </c>
    </row>
    <row r="953" spans="1:14">
      <c r="A953">
        <v>11631000</v>
      </c>
      <c r="B953">
        <v>3021101</v>
      </c>
      <c r="C953" t="s">
        <v>9162</v>
      </c>
      <c r="D953" t="s">
        <v>441</v>
      </c>
      <c r="F953">
        <v>0</v>
      </c>
      <c r="G953">
        <v>15.2</v>
      </c>
      <c r="H953" t="s">
        <v>8580</v>
      </c>
      <c r="I953">
        <v>6</v>
      </c>
      <c r="J953" t="s">
        <v>445</v>
      </c>
      <c r="K953" t="s">
        <v>446</v>
      </c>
      <c r="M953">
        <v>2313</v>
      </c>
      <c r="N953" t="s">
        <v>15982</v>
      </c>
    </row>
    <row r="954" spans="1:14">
      <c r="A954">
        <v>11650000</v>
      </c>
      <c r="B954">
        <v>3007473</v>
      </c>
      <c r="C954" t="s">
        <v>755</v>
      </c>
      <c r="D954" t="s">
        <v>441</v>
      </c>
      <c r="F954">
        <v>0</v>
      </c>
      <c r="G954">
        <v>15.82</v>
      </c>
      <c r="H954" t="s">
        <v>8580</v>
      </c>
      <c r="I954">
        <v>6</v>
      </c>
      <c r="J954" t="s">
        <v>445</v>
      </c>
      <c r="K954" t="s">
        <v>446</v>
      </c>
      <c r="M954">
        <v>0</v>
      </c>
    </row>
    <row r="955" spans="1:14">
      <c r="A955">
        <v>11660000</v>
      </c>
      <c r="B955">
        <v>3015889</v>
      </c>
      <c r="C955" t="s">
        <v>756</v>
      </c>
      <c r="D955" t="s">
        <v>441</v>
      </c>
      <c r="F955">
        <v>0</v>
      </c>
      <c r="G955">
        <v>11.13</v>
      </c>
      <c r="H955" t="s">
        <v>8588</v>
      </c>
      <c r="I955">
        <v>6</v>
      </c>
      <c r="J955" t="s">
        <v>445</v>
      </c>
      <c r="M955">
        <v>2391</v>
      </c>
      <c r="N955" t="s">
        <v>15983</v>
      </c>
    </row>
    <row r="956" spans="1:14">
      <c r="A956">
        <v>11660007</v>
      </c>
      <c r="B956">
        <v>3014999</v>
      </c>
      <c r="C956" t="s">
        <v>234</v>
      </c>
      <c r="D956" t="s">
        <v>441</v>
      </c>
      <c r="F956">
        <v>0</v>
      </c>
      <c r="G956">
        <v>11.25</v>
      </c>
      <c r="H956" t="s">
        <v>8588</v>
      </c>
      <c r="I956">
        <v>6</v>
      </c>
      <c r="J956" t="s">
        <v>445</v>
      </c>
      <c r="M956">
        <v>3111</v>
      </c>
      <c r="N956" t="s">
        <v>15983</v>
      </c>
    </row>
    <row r="957" spans="1:14">
      <c r="A957">
        <v>11660100</v>
      </c>
      <c r="B957">
        <v>3014788</v>
      </c>
      <c r="C957" t="s">
        <v>757</v>
      </c>
      <c r="D957" t="s">
        <v>441</v>
      </c>
      <c r="F957">
        <v>0</v>
      </c>
      <c r="H957" t="s">
        <v>8588</v>
      </c>
      <c r="I957">
        <v>540</v>
      </c>
      <c r="J957" t="s">
        <v>445</v>
      </c>
      <c r="M957">
        <v>7161</v>
      </c>
      <c r="N957" t="s">
        <v>15983</v>
      </c>
    </row>
    <row r="958" spans="1:14">
      <c r="A958">
        <v>11660110</v>
      </c>
      <c r="B958">
        <v>3024822</v>
      </c>
      <c r="C958" t="s">
        <v>758</v>
      </c>
      <c r="D958" t="s">
        <v>441</v>
      </c>
      <c r="F958">
        <v>0</v>
      </c>
      <c r="H958" t="s">
        <v>8588</v>
      </c>
      <c r="I958">
        <v>540</v>
      </c>
      <c r="J958" t="s">
        <v>445</v>
      </c>
      <c r="M958">
        <v>7161</v>
      </c>
      <c r="N958" t="s">
        <v>15983</v>
      </c>
    </row>
    <row r="959" spans="1:14">
      <c r="A959">
        <v>11660120</v>
      </c>
      <c r="B959">
        <v>3034668</v>
      </c>
      <c r="C959" t="s">
        <v>759</v>
      </c>
      <c r="D959" t="s">
        <v>441</v>
      </c>
      <c r="F959">
        <v>0</v>
      </c>
      <c r="H959" t="s">
        <v>8588</v>
      </c>
      <c r="I959">
        <v>6</v>
      </c>
      <c r="J959" t="s">
        <v>445</v>
      </c>
      <c r="M959">
        <v>7161</v>
      </c>
      <c r="N959" t="s">
        <v>15983</v>
      </c>
    </row>
    <row r="960" spans="1:14">
      <c r="A960">
        <v>11660600</v>
      </c>
      <c r="B960">
        <v>3030547</v>
      </c>
      <c r="C960" t="s">
        <v>760</v>
      </c>
      <c r="D960" t="s">
        <v>441</v>
      </c>
      <c r="F960">
        <v>0</v>
      </c>
      <c r="G960">
        <v>11.36</v>
      </c>
      <c r="H960" t="s">
        <v>8588</v>
      </c>
      <c r="I960">
        <v>4</v>
      </c>
      <c r="J960" t="s">
        <v>445</v>
      </c>
      <c r="M960">
        <v>2510</v>
      </c>
      <c r="N960" t="s">
        <v>15983</v>
      </c>
    </row>
    <row r="961" spans="1:14">
      <c r="A961">
        <v>11660900</v>
      </c>
      <c r="B961">
        <v>3020214</v>
      </c>
      <c r="C961" t="s">
        <v>761</v>
      </c>
      <c r="D961" t="s">
        <v>441</v>
      </c>
      <c r="F961">
        <v>0</v>
      </c>
      <c r="G961">
        <v>0</v>
      </c>
      <c r="H961" t="s">
        <v>8584</v>
      </c>
      <c r="I961">
        <v>6</v>
      </c>
      <c r="J961" t="s">
        <v>445</v>
      </c>
      <c r="M961">
        <v>6666</v>
      </c>
      <c r="N961" t="s">
        <v>15983</v>
      </c>
    </row>
    <row r="962" spans="1:14">
      <c r="A962">
        <v>11660907</v>
      </c>
      <c r="B962">
        <v>3020474</v>
      </c>
      <c r="C962" t="s">
        <v>762</v>
      </c>
      <c r="D962" t="s">
        <v>441</v>
      </c>
      <c r="F962">
        <v>0</v>
      </c>
      <c r="G962">
        <v>0</v>
      </c>
      <c r="H962" t="s">
        <v>8584</v>
      </c>
      <c r="I962">
        <v>6</v>
      </c>
      <c r="J962" t="s">
        <v>445</v>
      </c>
      <c r="M962">
        <v>6666</v>
      </c>
      <c r="N962" t="s">
        <v>15983</v>
      </c>
    </row>
    <row r="963" spans="1:14">
      <c r="A963">
        <v>11661000</v>
      </c>
      <c r="B963">
        <v>3017729</v>
      </c>
      <c r="C963" t="s">
        <v>763</v>
      </c>
      <c r="D963" t="s">
        <v>441</v>
      </c>
      <c r="F963">
        <v>0</v>
      </c>
      <c r="G963">
        <v>11.13</v>
      </c>
      <c r="H963" t="s">
        <v>8588</v>
      </c>
      <c r="I963">
        <v>6</v>
      </c>
      <c r="J963" t="s">
        <v>445</v>
      </c>
      <c r="M963">
        <v>2391</v>
      </c>
      <c r="N963" t="s">
        <v>15983</v>
      </c>
    </row>
    <row r="964" spans="1:14">
      <c r="A964">
        <v>11661007</v>
      </c>
      <c r="B964">
        <v>3017642</v>
      </c>
      <c r="C964" t="s">
        <v>764</v>
      </c>
      <c r="D964" t="s">
        <v>441</v>
      </c>
      <c r="F964">
        <v>0</v>
      </c>
      <c r="G964">
        <v>11.25</v>
      </c>
      <c r="H964" t="s">
        <v>8588</v>
      </c>
      <c r="I964">
        <v>6</v>
      </c>
      <c r="J964" t="s">
        <v>445</v>
      </c>
      <c r="M964">
        <v>3111</v>
      </c>
      <c r="N964" t="s">
        <v>15983</v>
      </c>
    </row>
    <row r="965" spans="1:14">
      <c r="A965">
        <v>11661900</v>
      </c>
      <c r="B965">
        <v>3020215</v>
      </c>
      <c r="C965" t="s">
        <v>765</v>
      </c>
      <c r="D965" t="s">
        <v>441</v>
      </c>
      <c r="F965">
        <v>0</v>
      </c>
      <c r="G965">
        <v>0</v>
      </c>
      <c r="H965" t="s">
        <v>8584</v>
      </c>
      <c r="I965">
        <v>6</v>
      </c>
      <c r="J965" t="s">
        <v>445</v>
      </c>
      <c r="M965">
        <v>6666</v>
      </c>
      <c r="N965" t="s">
        <v>15983</v>
      </c>
    </row>
    <row r="966" spans="1:14">
      <c r="A966">
        <v>11661907</v>
      </c>
      <c r="B966">
        <v>3020481</v>
      </c>
      <c r="C966" t="s">
        <v>766</v>
      </c>
      <c r="D966" t="s">
        <v>441</v>
      </c>
      <c r="F966">
        <v>0</v>
      </c>
      <c r="G966">
        <v>0</v>
      </c>
      <c r="H966" t="s">
        <v>8580</v>
      </c>
      <c r="I966">
        <v>6</v>
      </c>
      <c r="J966" t="s">
        <v>445</v>
      </c>
      <c r="M966">
        <v>6666</v>
      </c>
      <c r="N966" t="s">
        <v>15983</v>
      </c>
    </row>
    <row r="967" spans="1:14">
      <c r="A967">
        <v>11664000</v>
      </c>
      <c r="B967">
        <v>3035460</v>
      </c>
      <c r="C967" t="s">
        <v>767</v>
      </c>
      <c r="D967" t="s">
        <v>441</v>
      </c>
      <c r="F967">
        <v>0</v>
      </c>
      <c r="G967">
        <v>11.13</v>
      </c>
      <c r="H967" t="s">
        <v>8549</v>
      </c>
      <c r="I967">
        <v>6</v>
      </c>
      <c r="J967" t="s">
        <v>445</v>
      </c>
      <c r="M967">
        <v>2391</v>
      </c>
      <c r="N967" t="s">
        <v>15983</v>
      </c>
    </row>
    <row r="968" spans="1:14">
      <c r="A968">
        <v>11665000</v>
      </c>
      <c r="B968">
        <v>3035215</v>
      </c>
      <c r="C968" t="s">
        <v>768</v>
      </c>
      <c r="D968" t="s">
        <v>441</v>
      </c>
      <c r="F968">
        <v>0</v>
      </c>
      <c r="G968">
        <v>11.13</v>
      </c>
      <c r="H968" t="s">
        <v>8588</v>
      </c>
      <c r="I968">
        <v>6</v>
      </c>
      <c r="J968" t="s">
        <v>445</v>
      </c>
      <c r="M968">
        <v>2391</v>
      </c>
      <c r="N968" t="s">
        <v>15983</v>
      </c>
    </row>
    <row r="969" spans="1:14">
      <c r="A969">
        <v>11670000</v>
      </c>
      <c r="B969">
        <v>3042763</v>
      </c>
      <c r="C969" t="s">
        <v>9163</v>
      </c>
      <c r="D969" t="s">
        <v>441</v>
      </c>
      <c r="F969">
        <v>0</v>
      </c>
      <c r="G969">
        <v>1</v>
      </c>
      <c r="H969" t="s">
        <v>8588</v>
      </c>
      <c r="I969">
        <v>6</v>
      </c>
      <c r="J969" t="s">
        <v>445</v>
      </c>
      <c r="K969" t="s">
        <v>446</v>
      </c>
      <c r="M969">
        <v>2391</v>
      </c>
      <c r="N969" t="s">
        <v>15998</v>
      </c>
    </row>
    <row r="970" spans="1:14">
      <c r="A970">
        <v>11670007</v>
      </c>
      <c r="B970">
        <v>3042791</v>
      </c>
      <c r="C970" t="s">
        <v>9164</v>
      </c>
      <c r="D970" t="s">
        <v>441</v>
      </c>
      <c r="F970">
        <v>0</v>
      </c>
      <c r="G970">
        <v>1</v>
      </c>
      <c r="H970" t="s">
        <v>8588</v>
      </c>
      <c r="I970">
        <v>6</v>
      </c>
      <c r="J970" t="s">
        <v>445</v>
      </c>
      <c r="K970" t="s">
        <v>446</v>
      </c>
      <c r="M970">
        <v>3111</v>
      </c>
      <c r="N970" t="s">
        <v>15998</v>
      </c>
    </row>
    <row r="971" spans="1:14">
      <c r="A971">
        <v>11670087</v>
      </c>
      <c r="B971">
        <v>3042822</v>
      </c>
      <c r="C971" t="s">
        <v>9165</v>
      </c>
      <c r="D971" t="s">
        <v>441</v>
      </c>
      <c r="F971">
        <v>0</v>
      </c>
      <c r="G971">
        <v>1</v>
      </c>
      <c r="H971" t="s">
        <v>8588</v>
      </c>
      <c r="I971">
        <v>6</v>
      </c>
      <c r="J971" t="s">
        <v>445</v>
      </c>
      <c r="K971" t="s">
        <v>446</v>
      </c>
      <c r="M971">
        <v>7112</v>
      </c>
      <c r="N971" t="s">
        <v>15998</v>
      </c>
    </row>
    <row r="972" spans="1:14">
      <c r="A972">
        <v>11671000</v>
      </c>
      <c r="B972">
        <v>3009232</v>
      </c>
      <c r="C972" t="s">
        <v>769</v>
      </c>
      <c r="D972" t="s">
        <v>441</v>
      </c>
      <c r="F972">
        <v>0</v>
      </c>
      <c r="G972">
        <v>13.18</v>
      </c>
      <c r="H972" t="s">
        <v>8580</v>
      </c>
      <c r="I972">
        <v>6</v>
      </c>
      <c r="J972" t="s">
        <v>445</v>
      </c>
      <c r="K972" t="s">
        <v>446</v>
      </c>
      <c r="M972">
        <v>2313</v>
      </c>
    </row>
    <row r="973" spans="1:14">
      <c r="A973">
        <v>11674000</v>
      </c>
      <c r="B973">
        <v>3042764</v>
      </c>
      <c r="C973" t="s">
        <v>9166</v>
      </c>
      <c r="D973" t="s">
        <v>441</v>
      </c>
      <c r="F973">
        <v>0</v>
      </c>
      <c r="G973">
        <v>1</v>
      </c>
      <c r="H973" t="s">
        <v>8588</v>
      </c>
      <c r="I973">
        <v>6</v>
      </c>
      <c r="J973" t="s">
        <v>445</v>
      </c>
      <c r="K973" t="s">
        <v>446</v>
      </c>
      <c r="M973">
        <v>2391</v>
      </c>
      <c r="N973" t="s">
        <v>15998</v>
      </c>
    </row>
    <row r="974" spans="1:14">
      <c r="A974">
        <v>11674007</v>
      </c>
      <c r="B974">
        <v>3042793</v>
      </c>
      <c r="C974" t="s">
        <v>9167</v>
      </c>
      <c r="D974" t="s">
        <v>441</v>
      </c>
      <c r="F974">
        <v>0</v>
      </c>
      <c r="G974">
        <v>1</v>
      </c>
      <c r="H974" t="s">
        <v>8588</v>
      </c>
      <c r="I974">
        <v>6</v>
      </c>
      <c r="J974" t="s">
        <v>445</v>
      </c>
      <c r="K974" t="s">
        <v>446</v>
      </c>
      <c r="M974">
        <v>3111</v>
      </c>
      <c r="N974" t="s">
        <v>15998</v>
      </c>
    </row>
    <row r="975" spans="1:14">
      <c r="A975">
        <v>11674087</v>
      </c>
      <c r="B975">
        <v>3042823</v>
      </c>
      <c r="C975" t="s">
        <v>9168</v>
      </c>
      <c r="D975" t="s">
        <v>441</v>
      </c>
      <c r="F975">
        <v>0</v>
      </c>
      <c r="G975">
        <v>1</v>
      </c>
      <c r="H975" t="s">
        <v>8588</v>
      </c>
      <c r="I975">
        <v>6</v>
      </c>
      <c r="J975" t="s">
        <v>445</v>
      </c>
      <c r="K975" t="s">
        <v>446</v>
      </c>
      <c r="M975">
        <v>7112</v>
      </c>
      <c r="N975" t="s">
        <v>15998</v>
      </c>
    </row>
    <row r="976" spans="1:14">
      <c r="A976">
        <v>11680000</v>
      </c>
      <c r="B976">
        <v>3004276</v>
      </c>
      <c r="C976" t="s">
        <v>770</v>
      </c>
      <c r="D976" t="s">
        <v>441</v>
      </c>
      <c r="F976">
        <v>0</v>
      </c>
      <c r="G976">
        <v>11.7</v>
      </c>
      <c r="H976" t="s">
        <v>8580</v>
      </c>
      <c r="I976">
        <v>6</v>
      </c>
      <c r="J976" t="s">
        <v>445</v>
      </c>
      <c r="K976" t="s">
        <v>446</v>
      </c>
      <c r="M976">
        <v>0</v>
      </c>
    </row>
    <row r="977" spans="1:14">
      <c r="A977">
        <v>11690000</v>
      </c>
      <c r="B977">
        <v>3017210</v>
      </c>
      <c r="C977" t="s">
        <v>771</v>
      </c>
      <c r="D977" t="s">
        <v>441</v>
      </c>
      <c r="F977">
        <v>0</v>
      </c>
      <c r="G977">
        <v>10.3</v>
      </c>
      <c r="H977" t="s">
        <v>8935</v>
      </c>
      <c r="I977">
        <v>6</v>
      </c>
      <c r="J977" t="s">
        <v>445</v>
      </c>
      <c r="M977">
        <v>2391</v>
      </c>
      <c r="N977" t="s">
        <v>15999</v>
      </c>
    </row>
    <row r="978" spans="1:14">
      <c r="A978">
        <v>11690007</v>
      </c>
      <c r="B978">
        <v>3024755</v>
      </c>
      <c r="C978" t="s">
        <v>772</v>
      </c>
      <c r="D978" t="s">
        <v>441</v>
      </c>
      <c r="F978">
        <v>0</v>
      </c>
      <c r="G978">
        <v>10.42</v>
      </c>
      <c r="H978" t="s">
        <v>8584</v>
      </c>
      <c r="I978">
        <v>6</v>
      </c>
      <c r="J978" t="s">
        <v>445</v>
      </c>
      <c r="M978">
        <v>3111</v>
      </c>
      <c r="N978" t="s">
        <v>15999</v>
      </c>
    </row>
    <row r="979" spans="1:14">
      <c r="A979">
        <v>11690040</v>
      </c>
      <c r="B979">
        <v>4019021</v>
      </c>
      <c r="C979" t="s">
        <v>773</v>
      </c>
      <c r="D979" t="s">
        <v>441</v>
      </c>
      <c r="F979">
        <v>0</v>
      </c>
      <c r="G979">
        <v>11.08</v>
      </c>
      <c r="H979" t="s">
        <v>8588</v>
      </c>
      <c r="I979">
        <v>16</v>
      </c>
      <c r="J979" t="s">
        <v>462</v>
      </c>
      <c r="M979">
        <v>7112</v>
      </c>
      <c r="N979" t="s">
        <v>15999</v>
      </c>
    </row>
    <row r="980" spans="1:14">
      <c r="A980">
        <v>11690041</v>
      </c>
      <c r="B980">
        <v>4021954</v>
      </c>
      <c r="C980" t="s">
        <v>774</v>
      </c>
      <c r="D980" t="s">
        <v>441</v>
      </c>
      <c r="F980">
        <v>0</v>
      </c>
      <c r="G980">
        <v>17.13</v>
      </c>
      <c r="H980" t="s">
        <v>8588</v>
      </c>
      <c r="I980">
        <v>540</v>
      </c>
      <c r="J980" t="s">
        <v>462</v>
      </c>
      <c r="M980">
        <v>7111</v>
      </c>
      <c r="N980" t="s">
        <v>15999</v>
      </c>
    </row>
    <row r="981" spans="1:14">
      <c r="A981">
        <v>11690042</v>
      </c>
      <c r="B981">
        <v>4024495</v>
      </c>
      <c r="C981" t="s">
        <v>775</v>
      </c>
      <c r="D981" t="s">
        <v>441</v>
      </c>
      <c r="F981">
        <v>0</v>
      </c>
      <c r="G981">
        <v>11.1</v>
      </c>
      <c r="H981" t="s">
        <v>8588</v>
      </c>
      <c r="I981">
        <v>16</v>
      </c>
      <c r="J981" t="s">
        <v>462</v>
      </c>
      <c r="M981">
        <v>7112</v>
      </c>
      <c r="N981" t="s">
        <v>15999</v>
      </c>
    </row>
    <row r="982" spans="1:14">
      <c r="A982">
        <v>11690043</v>
      </c>
      <c r="B982">
        <v>4025300</v>
      </c>
      <c r="C982" t="s">
        <v>776</v>
      </c>
      <c r="D982" t="s">
        <v>441</v>
      </c>
      <c r="F982">
        <v>0</v>
      </c>
      <c r="G982">
        <v>15.57</v>
      </c>
      <c r="H982" t="s">
        <v>8588</v>
      </c>
      <c r="I982">
        <v>16</v>
      </c>
      <c r="J982" t="s">
        <v>462</v>
      </c>
      <c r="M982">
        <v>7112</v>
      </c>
      <c r="N982" t="s">
        <v>15999</v>
      </c>
    </row>
    <row r="983" spans="1:14">
      <c r="A983">
        <v>11690044</v>
      </c>
      <c r="B983">
        <v>4030289</v>
      </c>
      <c r="C983" t="s">
        <v>16000</v>
      </c>
      <c r="D983" t="s">
        <v>441</v>
      </c>
      <c r="F983">
        <v>0</v>
      </c>
      <c r="G983">
        <v>19.559999999999999</v>
      </c>
      <c r="H983" t="s">
        <v>8588</v>
      </c>
      <c r="I983">
        <v>16</v>
      </c>
      <c r="J983" t="s">
        <v>462</v>
      </c>
      <c r="M983">
        <v>7112</v>
      </c>
      <c r="N983" t="s">
        <v>15999</v>
      </c>
    </row>
    <row r="984" spans="1:14">
      <c r="A984">
        <v>11690045</v>
      </c>
      <c r="B984">
        <v>4030317</v>
      </c>
      <c r="C984" t="s">
        <v>16001</v>
      </c>
      <c r="D984" t="s">
        <v>441</v>
      </c>
      <c r="F984">
        <v>0</v>
      </c>
      <c r="G984">
        <v>19.489999999999998</v>
      </c>
      <c r="H984" t="s">
        <v>8588</v>
      </c>
      <c r="I984">
        <v>16</v>
      </c>
      <c r="J984" t="s">
        <v>462</v>
      </c>
      <c r="M984">
        <v>7112</v>
      </c>
      <c r="N984" t="s">
        <v>15999</v>
      </c>
    </row>
    <row r="985" spans="1:14">
      <c r="A985">
        <v>11690050</v>
      </c>
      <c r="B985">
        <v>4015788</v>
      </c>
      <c r="C985" t="s">
        <v>9169</v>
      </c>
      <c r="D985" t="s">
        <v>441</v>
      </c>
      <c r="F985">
        <v>0</v>
      </c>
      <c r="G985">
        <v>11.41</v>
      </c>
      <c r="H985" t="s">
        <v>8588</v>
      </c>
      <c r="I985">
        <v>16</v>
      </c>
      <c r="J985" t="s">
        <v>462</v>
      </c>
      <c r="K985" t="s">
        <v>446</v>
      </c>
      <c r="M985">
        <v>2612</v>
      </c>
      <c r="N985" t="s">
        <v>15999</v>
      </c>
    </row>
    <row r="986" spans="1:14">
      <c r="A986">
        <v>11690051</v>
      </c>
      <c r="B986">
        <v>4017284</v>
      </c>
      <c r="C986" t="s">
        <v>9170</v>
      </c>
      <c r="D986" t="s">
        <v>441</v>
      </c>
      <c r="F986">
        <v>0</v>
      </c>
      <c r="G986">
        <v>14.2</v>
      </c>
      <c r="H986" t="s">
        <v>8588</v>
      </c>
      <c r="I986">
        <v>17</v>
      </c>
      <c r="J986" t="s">
        <v>462</v>
      </c>
      <c r="K986" t="s">
        <v>446</v>
      </c>
      <c r="M986">
        <v>2612</v>
      </c>
      <c r="N986" t="s">
        <v>15999</v>
      </c>
    </row>
    <row r="987" spans="1:14">
      <c r="A987">
        <v>11690052</v>
      </c>
      <c r="B987">
        <v>4018004</v>
      </c>
      <c r="C987" t="s">
        <v>777</v>
      </c>
      <c r="D987" t="s">
        <v>441</v>
      </c>
      <c r="F987">
        <v>0</v>
      </c>
      <c r="G987">
        <v>17.45</v>
      </c>
      <c r="H987" t="s">
        <v>8588</v>
      </c>
      <c r="I987">
        <v>16</v>
      </c>
      <c r="J987" t="s">
        <v>462</v>
      </c>
      <c r="M987">
        <v>7112</v>
      </c>
      <c r="N987" t="s">
        <v>15999</v>
      </c>
    </row>
    <row r="988" spans="1:14">
      <c r="A988">
        <v>11690053</v>
      </c>
      <c r="B988">
        <v>4021817</v>
      </c>
      <c r="C988" t="s">
        <v>778</v>
      </c>
      <c r="D988" t="s">
        <v>441</v>
      </c>
      <c r="F988">
        <v>0</v>
      </c>
      <c r="G988">
        <v>11.05</v>
      </c>
      <c r="H988" t="s">
        <v>8588</v>
      </c>
      <c r="I988">
        <v>16</v>
      </c>
      <c r="J988" t="s">
        <v>462</v>
      </c>
      <c r="M988">
        <v>7112</v>
      </c>
      <c r="N988" t="s">
        <v>15999</v>
      </c>
    </row>
    <row r="989" spans="1:14">
      <c r="A989">
        <v>11690075</v>
      </c>
      <c r="B989">
        <v>3029925</v>
      </c>
      <c r="C989" t="s">
        <v>779</v>
      </c>
      <c r="D989" t="s">
        <v>441</v>
      </c>
      <c r="F989">
        <v>0</v>
      </c>
      <c r="G989">
        <v>10.5</v>
      </c>
      <c r="H989" t="s">
        <v>8588</v>
      </c>
      <c r="I989">
        <v>6</v>
      </c>
      <c r="J989" t="s">
        <v>445</v>
      </c>
      <c r="M989">
        <v>7112</v>
      </c>
      <c r="N989" t="s">
        <v>15999</v>
      </c>
    </row>
    <row r="990" spans="1:14">
      <c r="A990">
        <v>11690076</v>
      </c>
      <c r="B990">
        <v>4025279</v>
      </c>
      <c r="C990" t="s">
        <v>780</v>
      </c>
      <c r="D990" t="s">
        <v>441</v>
      </c>
      <c r="F990">
        <v>0</v>
      </c>
      <c r="G990">
        <v>15.17</v>
      </c>
      <c r="H990" t="s">
        <v>8588</v>
      </c>
      <c r="I990">
        <v>6</v>
      </c>
      <c r="J990" t="s">
        <v>462</v>
      </c>
      <c r="L990">
        <v>2630490</v>
      </c>
      <c r="M990">
        <v>7112</v>
      </c>
      <c r="N990" t="s">
        <v>15999</v>
      </c>
    </row>
    <row r="991" spans="1:14">
      <c r="A991">
        <v>11690541</v>
      </c>
      <c r="B991">
        <v>3025678</v>
      </c>
      <c r="C991" t="s">
        <v>781</v>
      </c>
      <c r="D991" t="s">
        <v>441</v>
      </c>
      <c r="F991">
        <v>0</v>
      </c>
      <c r="G991">
        <v>11.03</v>
      </c>
      <c r="H991" t="s">
        <v>8580</v>
      </c>
      <c r="I991">
        <v>6</v>
      </c>
      <c r="J991" t="s">
        <v>445</v>
      </c>
      <c r="M991">
        <v>2502</v>
      </c>
      <c r="N991" t="s">
        <v>15999</v>
      </c>
    </row>
    <row r="992" spans="1:14">
      <c r="A992">
        <v>11690907</v>
      </c>
      <c r="B992">
        <v>3025114</v>
      </c>
      <c r="C992" t="s">
        <v>782</v>
      </c>
      <c r="D992" t="s">
        <v>441</v>
      </c>
      <c r="F992">
        <v>0</v>
      </c>
      <c r="G992">
        <v>0</v>
      </c>
      <c r="H992" t="s">
        <v>8580</v>
      </c>
      <c r="I992">
        <v>6</v>
      </c>
      <c r="J992" t="s">
        <v>445</v>
      </c>
      <c r="M992">
        <v>6666</v>
      </c>
      <c r="N992" t="s">
        <v>15999</v>
      </c>
    </row>
    <row r="993" spans="1:14">
      <c r="A993">
        <v>11691000</v>
      </c>
      <c r="B993">
        <v>3017850</v>
      </c>
      <c r="C993" t="s">
        <v>783</v>
      </c>
      <c r="D993" t="s">
        <v>441</v>
      </c>
      <c r="F993">
        <v>0</v>
      </c>
      <c r="G993">
        <v>10.3</v>
      </c>
      <c r="I993">
        <v>6</v>
      </c>
      <c r="J993" t="s">
        <v>445</v>
      </c>
      <c r="M993">
        <v>2391</v>
      </c>
      <c r="N993" t="s">
        <v>15999</v>
      </c>
    </row>
    <row r="994" spans="1:14">
      <c r="A994">
        <v>11691007</v>
      </c>
      <c r="B994">
        <v>3024756</v>
      </c>
      <c r="C994" t="s">
        <v>9171</v>
      </c>
      <c r="D994" t="s">
        <v>441</v>
      </c>
      <c r="F994">
        <v>0</v>
      </c>
      <c r="G994">
        <v>13.57</v>
      </c>
      <c r="H994" t="s">
        <v>8580</v>
      </c>
      <c r="I994">
        <v>6</v>
      </c>
      <c r="J994" t="s">
        <v>445</v>
      </c>
      <c r="K994" t="s">
        <v>446</v>
      </c>
      <c r="M994">
        <v>3111</v>
      </c>
      <c r="N994" t="s">
        <v>15999</v>
      </c>
    </row>
    <row r="995" spans="1:14">
      <c r="A995">
        <v>11691052</v>
      </c>
      <c r="B995">
        <v>4029632</v>
      </c>
      <c r="C995" t="s">
        <v>15395</v>
      </c>
      <c r="D995" t="s">
        <v>441</v>
      </c>
      <c r="F995">
        <v>0</v>
      </c>
      <c r="G995">
        <v>16.25</v>
      </c>
      <c r="H995" t="s">
        <v>8588</v>
      </c>
      <c r="I995">
        <v>16</v>
      </c>
      <c r="J995" t="s">
        <v>462</v>
      </c>
      <c r="M995">
        <v>7112</v>
      </c>
      <c r="N995" t="s">
        <v>15999</v>
      </c>
    </row>
    <row r="996" spans="1:14">
      <c r="A996">
        <v>11691907</v>
      </c>
      <c r="B996">
        <v>3025115</v>
      </c>
      <c r="C996" t="s">
        <v>9172</v>
      </c>
      <c r="D996" t="s">
        <v>441</v>
      </c>
      <c r="F996">
        <v>0</v>
      </c>
      <c r="G996">
        <v>0</v>
      </c>
      <c r="H996" t="s">
        <v>8580</v>
      </c>
      <c r="I996">
        <v>6</v>
      </c>
      <c r="J996" t="s">
        <v>445</v>
      </c>
      <c r="K996" t="s">
        <v>446</v>
      </c>
      <c r="M996">
        <v>6666</v>
      </c>
      <c r="N996" t="s">
        <v>15999</v>
      </c>
    </row>
    <row r="997" spans="1:14">
      <c r="A997">
        <v>11700000</v>
      </c>
      <c r="B997">
        <v>3007474</v>
      </c>
      <c r="C997" t="s">
        <v>9173</v>
      </c>
      <c r="D997" t="s">
        <v>441</v>
      </c>
      <c r="F997">
        <v>0</v>
      </c>
      <c r="G997">
        <v>11.87</v>
      </c>
      <c r="H997" t="s">
        <v>8588</v>
      </c>
      <c r="I997">
        <v>6</v>
      </c>
      <c r="J997" t="s">
        <v>445</v>
      </c>
      <c r="K997" t="s">
        <v>446</v>
      </c>
      <c r="M997">
        <v>0</v>
      </c>
    </row>
    <row r="998" spans="1:14">
      <c r="A998">
        <v>11700002</v>
      </c>
      <c r="B998">
        <v>3007475</v>
      </c>
      <c r="C998" t="s">
        <v>784</v>
      </c>
      <c r="D998" t="s">
        <v>441</v>
      </c>
      <c r="F998">
        <v>0</v>
      </c>
      <c r="G998">
        <v>13.77</v>
      </c>
      <c r="I998">
        <v>540</v>
      </c>
      <c r="J998" t="s">
        <v>445</v>
      </c>
      <c r="K998" t="s">
        <v>446</v>
      </c>
      <c r="M998">
        <v>2501</v>
      </c>
      <c r="N998" t="s">
        <v>15983</v>
      </c>
    </row>
    <row r="999" spans="1:14">
      <c r="A999">
        <v>11700100</v>
      </c>
      <c r="B999">
        <v>3015000</v>
      </c>
      <c r="C999" t="s">
        <v>785</v>
      </c>
      <c r="D999" t="s">
        <v>441</v>
      </c>
      <c r="F999">
        <v>0</v>
      </c>
      <c r="H999" t="s">
        <v>8588</v>
      </c>
      <c r="I999">
        <v>6</v>
      </c>
      <c r="J999" t="s">
        <v>445</v>
      </c>
      <c r="M999">
        <v>7161</v>
      </c>
      <c r="N999" t="s">
        <v>15983</v>
      </c>
    </row>
    <row r="1000" spans="1:14">
      <c r="A1000">
        <v>11700502</v>
      </c>
      <c r="B1000">
        <v>3007476</v>
      </c>
      <c r="C1000" t="s">
        <v>786</v>
      </c>
      <c r="D1000" t="s">
        <v>441</v>
      </c>
      <c r="F1000">
        <v>0</v>
      </c>
      <c r="G1000">
        <v>13.78</v>
      </c>
      <c r="H1000" t="s">
        <v>8580</v>
      </c>
      <c r="I1000">
        <v>540</v>
      </c>
      <c r="J1000" t="s">
        <v>445</v>
      </c>
      <c r="K1000" t="s">
        <v>446</v>
      </c>
      <c r="M1000">
        <v>2641</v>
      </c>
      <c r="N1000" t="s">
        <v>15983</v>
      </c>
    </row>
    <row r="1001" spans="1:14">
      <c r="A1001">
        <v>11700900</v>
      </c>
      <c r="B1001">
        <v>3020216</v>
      </c>
      <c r="C1001" t="s">
        <v>9174</v>
      </c>
      <c r="D1001" t="s">
        <v>441</v>
      </c>
      <c r="F1001">
        <v>0</v>
      </c>
      <c r="G1001">
        <v>11.67</v>
      </c>
      <c r="H1001" t="s">
        <v>8584</v>
      </c>
      <c r="I1001">
        <v>6</v>
      </c>
      <c r="J1001" t="s">
        <v>445</v>
      </c>
      <c r="K1001" t="s">
        <v>446</v>
      </c>
      <c r="M1001">
        <v>6666</v>
      </c>
    </row>
    <row r="1002" spans="1:14">
      <c r="A1002">
        <v>11701000</v>
      </c>
      <c r="B1002">
        <v>3017372</v>
      </c>
      <c r="C1002" t="s">
        <v>9175</v>
      </c>
      <c r="D1002" t="s">
        <v>441</v>
      </c>
      <c r="F1002">
        <v>0</v>
      </c>
      <c r="G1002">
        <v>11.53</v>
      </c>
      <c r="H1002" t="s">
        <v>8588</v>
      </c>
      <c r="I1002">
        <v>6</v>
      </c>
      <c r="J1002" t="s">
        <v>445</v>
      </c>
      <c r="K1002" t="s">
        <v>446</v>
      </c>
      <c r="M1002">
        <v>0</v>
      </c>
    </row>
    <row r="1003" spans="1:14">
      <c r="A1003">
        <v>11701900</v>
      </c>
      <c r="B1003">
        <v>3020217</v>
      </c>
      <c r="C1003" t="s">
        <v>9176</v>
      </c>
      <c r="D1003" t="s">
        <v>441</v>
      </c>
      <c r="F1003">
        <v>0</v>
      </c>
      <c r="G1003">
        <v>11.67</v>
      </c>
      <c r="H1003" t="s">
        <v>8584</v>
      </c>
      <c r="I1003">
        <v>6</v>
      </c>
      <c r="J1003" t="s">
        <v>445</v>
      </c>
      <c r="K1003" t="s">
        <v>446</v>
      </c>
      <c r="M1003">
        <v>6666</v>
      </c>
    </row>
    <row r="1004" spans="1:14">
      <c r="A1004">
        <v>11709000</v>
      </c>
      <c r="B1004">
        <v>3019042</v>
      </c>
      <c r="C1004" t="s">
        <v>787</v>
      </c>
      <c r="D1004" t="s">
        <v>441</v>
      </c>
      <c r="F1004">
        <v>0</v>
      </c>
      <c r="G1004">
        <v>11.13</v>
      </c>
      <c r="H1004" t="s">
        <v>8588</v>
      </c>
      <c r="I1004">
        <v>2</v>
      </c>
      <c r="J1004" t="s">
        <v>445</v>
      </c>
      <c r="M1004">
        <v>3111</v>
      </c>
      <c r="N1004" t="s">
        <v>15983</v>
      </c>
    </row>
    <row r="1005" spans="1:14">
      <c r="A1005">
        <v>11709900</v>
      </c>
      <c r="B1005">
        <v>3020218</v>
      </c>
      <c r="C1005" t="s">
        <v>788</v>
      </c>
      <c r="D1005" t="s">
        <v>441</v>
      </c>
      <c r="F1005">
        <v>0</v>
      </c>
      <c r="H1005" t="s">
        <v>8584</v>
      </c>
      <c r="I1005">
        <v>2</v>
      </c>
      <c r="J1005" t="s">
        <v>445</v>
      </c>
      <c r="M1005">
        <v>6666</v>
      </c>
      <c r="N1005" t="s">
        <v>15983</v>
      </c>
    </row>
    <row r="1006" spans="1:14">
      <c r="A1006">
        <v>11710000</v>
      </c>
      <c r="B1006">
        <v>3007477</v>
      </c>
      <c r="C1006" t="s">
        <v>789</v>
      </c>
      <c r="D1006" t="s">
        <v>441</v>
      </c>
      <c r="F1006">
        <v>0</v>
      </c>
      <c r="G1006">
        <v>12.32</v>
      </c>
      <c r="I1006">
        <v>5</v>
      </c>
      <c r="J1006" t="s">
        <v>445</v>
      </c>
      <c r="K1006" t="s">
        <v>446</v>
      </c>
      <c r="M1006">
        <v>0</v>
      </c>
    </row>
    <row r="1007" spans="1:14">
      <c r="A1007">
        <v>11720000</v>
      </c>
      <c r="B1007">
        <v>3007478</v>
      </c>
      <c r="C1007" t="s">
        <v>790</v>
      </c>
      <c r="D1007" t="s">
        <v>441</v>
      </c>
      <c r="F1007">
        <v>0</v>
      </c>
      <c r="G1007">
        <v>12.66</v>
      </c>
      <c r="H1007" t="s">
        <v>8580</v>
      </c>
      <c r="I1007">
        <v>5</v>
      </c>
      <c r="J1007" t="s">
        <v>445</v>
      </c>
      <c r="K1007" t="s">
        <v>446</v>
      </c>
      <c r="M1007">
        <v>0</v>
      </c>
    </row>
    <row r="1008" spans="1:14">
      <c r="A1008">
        <v>11730000</v>
      </c>
      <c r="B1008">
        <v>3015892</v>
      </c>
      <c r="C1008" t="s">
        <v>791</v>
      </c>
      <c r="D1008" t="s">
        <v>441</v>
      </c>
      <c r="F1008">
        <v>0</v>
      </c>
      <c r="G1008">
        <v>7.25</v>
      </c>
      <c r="H1008" t="s">
        <v>8580</v>
      </c>
      <c r="I1008">
        <v>6</v>
      </c>
      <c r="J1008" t="s">
        <v>445</v>
      </c>
      <c r="M1008">
        <v>2391</v>
      </c>
      <c r="N1008" t="s">
        <v>16002</v>
      </c>
    </row>
    <row r="1009" spans="1:14">
      <c r="A1009">
        <v>11730007</v>
      </c>
      <c r="B1009">
        <v>3024757</v>
      </c>
      <c r="C1009" t="s">
        <v>792</v>
      </c>
      <c r="D1009" t="s">
        <v>441</v>
      </c>
      <c r="F1009">
        <v>0</v>
      </c>
      <c r="G1009">
        <v>9.6999999999999993</v>
      </c>
      <c r="H1009" t="s">
        <v>8580</v>
      </c>
      <c r="I1009">
        <v>6</v>
      </c>
      <c r="J1009" t="s">
        <v>445</v>
      </c>
      <c r="K1009" t="s">
        <v>446</v>
      </c>
      <c r="M1009">
        <v>3111</v>
      </c>
      <c r="N1009" t="s">
        <v>16002</v>
      </c>
    </row>
    <row r="1010" spans="1:14">
      <c r="A1010">
        <v>11730019</v>
      </c>
      <c r="B1010">
        <v>3022079</v>
      </c>
      <c r="C1010" t="s">
        <v>793</v>
      </c>
      <c r="D1010" t="s">
        <v>441</v>
      </c>
      <c r="F1010">
        <v>0</v>
      </c>
      <c r="G1010">
        <v>12.59</v>
      </c>
      <c r="H1010" t="s">
        <v>8549</v>
      </c>
      <c r="I1010">
        <v>540</v>
      </c>
      <c r="J1010" t="s">
        <v>445</v>
      </c>
      <c r="K1010" t="s">
        <v>446</v>
      </c>
      <c r="M1010">
        <v>2501</v>
      </c>
      <c r="N1010" t="s">
        <v>15990</v>
      </c>
    </row>
    <row r="1011" spans="1:14">
      <c r="A1011">
        <v>11730075</v>
      </c>
      <c r="B1011">
        <v>3022114</v>
      </c>
      <c r="C1011" t="s">
        <v>794</v>
      </c>
      <c r="D1011" t="s">
        <v>441</v>
      </c>
      <c r="F1011">
        <v>0</v>
      </c>
      <c r="G1011">
        <v>10.52</v>
      </c>
      <c r="H1011" t="s">
        <v>8588</v>
      </c>
      <c r="I1011">
        <v>6</v>
      </c>
      <c r="J1011" t="s">
        <v>445</v>
      </c>
      <c r="K1011" t="s">
        <v>446</v>
      </c>
      <c r="M1011">
        <v>2641</v>
      </c>
      <c r="N1011" t="s">
        <v>15990</v>
      </c>
    </row>
    <row r="1012" spans="1:14">
      <c r="A1012">
        <v>11730519</v>
      </c>
      <c r="B1012">
        <v>3014789</v>
      </c>
      <c r="C1012" t="s">
        <v>795</v>
      </c>
      <c r="D1012" t="s">
        <v>441</v>
      </c>
      <c r="F1012">
        <v>0</v>
      </c>
      <c r="G1012">
        <v>12.31</v>
      </c>
      <c r="H1012" t="s">
        <v>8584</v>
      </c>
      <c r="I1012">
        <v>6</v>
      </c>
      <c r="J1012" t="s">
        <v>445</v>
      </c>
      <c r="K1012" t="s">
        <v>446</v>
      </c>
      <c r="M1012">
        <v>2641</v>
      </c>
      <c r="N1012" t="s">
        <v>15990</v>
      </c>
    </row>
    <row r="1013" spans="1:14">
      <c r="A1013">
        <v>11730602</v>
      </c>
      <c r="B1013">
        <v>3022055</v>
      </c>
      <c r="C1013" t="s">
        <v>796</v>
      </c>
      <c r="D1013" t="s">
        <v>441</v>
      </c>
      <c r="F1013">
        <v>0</v>
      </c>
      <c r="G1013">
        <v>11.39</v>
      </c>
      <c r="H1013" t="s">
        <v>8584</v>
      </c>
      <c r="I1013">
        <v>4</v>
      </c>
      <c r="J1013" t="s">
        <v>445</v>
      </c>
      <c r="K1013" t="s">
        <v>446</v>
      </c>
      <c r="M1013">
        <v>2511</v>
      </c>
    </row>
    <row r="1014" spans="1:14">
      <c r="A1014">
        <v>11730619</v>
      </c>
      <c r="B1014">
        <v>3015010</v>
      </c>
      <c r="C1014" t="s">
        <v>797</v>
      </c>
      <c r="D1014" t="s">
        <v>441</v>
      </c>
      <c r="F1014">
        <v>0</v>
      </c>
      <c r="G1014">
        <v>12.82</v>
      </c>
      <c r="H1014" t="s">
        <v>8588</v>
      </c>
      <c r="I1014">
        <v>5</v>
      </c>
      <c r="J1014" t="s">
        <v>445</v>
      </c>
      <c r="K1014" t="s">
        <v>446</v>
      </c>
      <c r="M1014">
        <v>2511</v>
      </c>
      <c r="N1014" t="s">
        <v>15990</v>
      </c>
    </row>
    <row r="1015" spans="1:14">
      <c r="A1015">
        <v>11730900</v>
      </c>
      <c r="B1015">
        <v>3022077</v>
      </c>
      <c r="C1015" t="s">
        <v>798</v>
      </c>
      <c r="D1015" t="s">
        <v>441</v>
      </c>
      <c r="F1015">
        <v>0</v>
      </c>
      <c r="G1015">
        <v>0</v>
      </c>
      <c r="H1015" t="s">
        <v>8580</v>
      </c>
      <c r="I1015">
        <v>6</v>
      </c>
      <c r="J1015" t="s">
        <v>445</v>
      </c>
      <c r="M1015">
        <v>6666</v>
      </c>
      <c r="N1015" t="s">
        <v>16002</v>
      </c>
    </row>
    <row r="1016" spans="1:14">
      <c r="A1016">
        <v>11730907</v>
      </c>
      <c r="B1016">
        <v>3025116</v>
      </c>
      <c r="C1016" t="s">
        <v>799</v>
      </c>
      <c r="D1016" t="s">
        <v>441</v>
      </c>
      <c r="F1016">
        <v>0</v>
      </c>
      <c r="G1016">
        <v>0</v>
      </c>
      <c r="H1016" t="s">
        <v>8935</v>
      </c>
      <c r="I1016">
        <v>6</v>
      </c>
      <c r="J1016" t="s">
        <v>445</v>
      </c>
      <c r="K1016" t="s">
        <v>446</v>
      </c>
      <c r="M1016">
        <v>6666</v>
      </c>
      <c r="N1016" t="s">
        <v>16002</v>
      </c>
    </row>
    <row r="1017" spans="1:14">
      <c r="A1017">
        <v>11730919</v>
      </c>
      <c r="B1017">
        <v>3020486</v>
      </c>
      <c r="C1017" t="s">
        <v>800</v>
      </c>
      <c r="D1017" t="s">
        <v>441</v>
      </c>
      <c r="F1017">
        <v>0</v>
      </c>
      <c r="H1017" t="s">
        <v>8580</v>
      </c>
      <c r="I1017">
        <v>5</v>
      </c>
      <c r="J1017" t="s">
        <v>445</v>
      </c>
      <c r="K1017" t="s">
        <v>446</v>
      </c>
      <c r="M1017">
        <v>6666</v>
      </c>
      <c r="N1017" t="s">
        <v>15990</v>
      </c>
    </row>
    <row r="1018" spans="1:14">
      <c r="A1018">
        <v>11740000</v>
      </c>
      <c r="B1018">
        <v>3007479</v>
      </c>
      <c r="C1018" t="s">
        <v>801</v>
      </c>
      <c r="D1018" t="s">
        <v>441</v>
      </c>
      <c r="F1018">
        <v>0</v>
      </c>
      <c r="G1018">
        <v>13.42</v>
      </c>
      <c r="I1018">
        <v>6</v>
      </c>
      <c r="J1018" t="s">
        <v>445</v>
      </c>
      <c r="K1018" t="s">
        <v>446</v>
      </c>
      <c r="M1018">
        <v>0</v>
      </c>
    </row>
    <row r="1019" spans="1:14">
      <c r="A1019">
        <v>11750000</v>
      </c>
      <c r="B1019">
        <v>3035059</v>
      </c>
      <c r="C1019" t="s">
        <v>802</v>
      </c>
      <c r="D1019" t="s">
        <v>441</v>
      </c>
      <c r="F1019">
        <v>0</v>
      </c>
      <c r="G1019">
        <v>10.3</v>
      </c>
      <c r="H1019" t="s">
        <v>8549</v>
      </c>
      <c r="I1019">
        <v>6</v>
      </c>
      <c r="J1019" t="s">
        <v>445</v>
      </c>
      <c r="M1019">
        <v>2391</v>
      </c>
      <c r="N1019" t="s">
        <v>15999</v>
      </c>
    </row>
    <row r="1020" spans="1:14">
      <c r="A1020">
        <v>11750007</v>
      </c>
      <c r="B1020">
        <v>3035120</v>
      </c>
      <c r="C1020" t="s">
        <v>803</v>
      </c>
      <c r="D1020" t="s">
        <v>441</v>
      </c>
      <c r="F1020">
        <v>0</v>
      </c>
      <c r="G1020">
        <v>10.42</v>
      </c>
      <c r="H1020" t="s">
        <v>8549</v>
      </c>
      <c r="I1020">
        <v>6</v>
      </c>
      <c r="J1020" t="s">
        <v>445</v>
      </c>
      <c r="M1020">
        <v>2391</v>
      </c>
      <c r="N1020" t="s">
        <v>15999</v>
      </c>
    </row>
    <row r="1021" spans="1:14">
      <c r="A1021">
        <v>11750040</v>
      </c>
      <c r="B1021">
        <v>4023751</v>
      </c>
      <c r="C1021" t="s">
        <v>804</v>
      </c>
      <c r="D1021" t="s">
        <v>441</v>
      </c>
      <c r="F1021">
        <v>0</v>
      </c>
      <c r="G1021">
        <v>10.96</v>
      </c>
      <c r="H1021" t="s">
        <v>8588</v>
      </c>
      <c r="I1021">
        <v>12</v>
      </c>
      <c r="J1021" t="s">
        <v>462</v>
      </c>
      <c r="K1021" t="s">
        <v>446</v>
      </c>
      <c r="M1021">
        <v>2612</v>
      </c>
      <c r="N1021" t="s">
        <v>15999</v>
      </c>
    </row>
    <row r="1022" spans="1:14">
      <c r="A1022">
        <v>11760000</v>
      </c>
      <c r="B1022">
        <v>3007480</v>
      </c>
      <c r="C1022" t="s">
        <v>805</v>
      </c>
      <c r="D1022" t="s">
        <v>441</v>
      </c>
      <c r="F1022">
        <v>0</v>
      </c>
      <c r="G1022">
        <v>14.37</v>
      </c>
      <c r="H1022" t="s">
        <v>8588</v>
      </c>
      <c r="I1022">
        <v>6</v>
      </c>
      <c r="J1022" t="s">
        <v>445</v>
      </c>
      <c r="M1022">
        <v>2391</v>
      </c>
      <c r="N1022" t="s">
        <v>15994</v>
      </c>
    </row>
    <row r="1023" spans="1:14">
      <c r="A1023">
        <v>11760007</v>
      </c>
      <c r="B1023">
        <v>3024758</v>
      </c>
      <c r="C1023" t="s">
        <v>806</v>
      </c>
      <c r="D1023" t="s">
        <v>441</v>
      </c>
      <c r="F1023">
        <v>0</v>
      </c>
      <c r="G1023">
        <v>14.51</v>
      </c>
      <c r="H1023" t="s">
        <v>8935</v>
      </c>
      <c r="I1023">
        <v>6</v>
      </c>
      <c r="J1023" t="s">
        <v>445</v>
      </c>
      <c r="M1023">
        <v>3111</v>
      </c>
      <c r="N1023" t="s">
        <v>15994</v>
      </c>
    </row>
    <row r="1024" spans="1:14">
      <c r="A1024">
        <v>11760900</v>
      </c>
      <c r="B1024">
        <v>3020219</v>
      </c>
      <c r="C1024" t="s">
        <v>807</v>
      </c>
      <c r="D1024" t="s">
        <v>441</v>
      </c>
      <c r="F1024">
        <v>0</v>
      </c>
      <c r="G1024">
        <v>0</v>
      </c>
      <c r="H1024" t="s">
        <v>8584</v>
      </c>
      <c r="I1024">
        <v>6</v>
      </c>
      <c r="J1024" t="s">
        <v>445</v>
      </c>
      <c r="M1024">
        <v>6666</v>
      </c>
      <c r="N1024" t="s">
        <v>15994</v>
      </c>
    </row>
    <row r="1025" spans="1:14">
      <c r="A1025">
        <v>11760907</v>
      </c>
      <c r="B1025">
        <v>3025117</v>
      </c>
      <c r="C1025" t="s">
        <v>808</v>
      </c>
      <c r="D1025" t="s">
        <v>441</v>
      </c>
      <c r="F1025">
        <v>0</v>
      </c>
      <c r="G1025">
        <v>0</v>
      </c>
      <c r="H1025" t="s">
        <v>8935</v>
      </c>
      <c r="I1025">
        <v>6</v>
      </c>
      <c r="J1025" t="s">
        <v>445</v>
      </c>
      <c r="M1025">
        <v>6666</v>
      </c>
      <c r="N1025" t="s">
        <v>15994</v>
      </c>
    </row>
    <row r="1026" spans="1:14">
      <c r="A1026">
        <v>11764000</v>
      </c>
      <c r="B1026">
        <v>3039063</v>
      </c>
      <c r="C1026" t="s">
        <v>809</v>
      </c>
      <c r="D1026" t="s">
        <v>441</v>
      </c>
      <c r="F1026">
        <v>0</v>
      </c>
      <c r="G1026">
        <v>14.37</v>
      </c>
      <c r="H1026" t="s">
        <v>8588</v>
      </c>
      <c r="I1026">
        <v>6</v>
      </c>
      <c r="J1026" t="s">
        <v>445</v>
      </c>
      <c r="M1026">
        <v>2391</v>
      </c>
      <c r="N1026" t="s">
        <v>15994</v>
      </c>
    </row>
    <row r="1027" spans="1:14">
      <c r="A1027">
        <v>11764007</v>
      </c>
      <c r="B1027">
        <v>3039071</v>
      </c>
      <c r="C1027" t="s">
        <v>810</v>
      </c>
      <c r="D1027" t="s">
        <v>441</v>
      </c>
      <c r="F1027">
        <v>0</v>
      </c>
      <c r="G1027">
        <v>14.51</v>
      </c>
      <c r="H1027" t="s">
        <v>8588</v>
      </c>
      <c r="I1027">
        <v>6</v>
      </c>
      <c r="J1027" t="s">
        <v>445</v>
      </c>
      <c r="M1027">
        <v>3111</v>
      </c>
      <c r="N1027" t="s">
        <v>15994</v>
      </c>
    </row>
    <row r="1028" spans="1:14">
      <c r="A1028">
        <v>11764075</v>
      </c>
      <c r="B1028">
        <v>3042576</v>
      </c>
      <c r="C1028" t="s">
        <v>811</v>
      </c>
      <c r="D1028" t="s">
        <v>441</v>
      </c>
      <c r="F1028">
        <v>0</v>
      </c>
      <c r="G1028">
        <v>22.22</v>
      </c>
      <c r="H1028" t="s">
        <v>8588</v>
      </c>
      <c r="I1028">
        <v>6</v>
      </c>
      <c r="J1028" t="s">
        <v>445</v>
      </c>
      <c r="M1028">
        <v>7112</v>
      </c>
      <c r="N1028" t="s">
        <v>15994</v>
      </c>
    </row>
    <row r="1029" spans="1:14">
      <c r="A1029">
        <v>11764907</v>
      </c>
      <c r="B1029">
        <v>3039080</v>
      </c>
      <c r="C1029" t="s">
        <v>236</v>
      </c>
      <c r="D1029" t="s">
        <v>441</v>
      </c>
      <c r="F1029">
        <v>0</v>
      </c>
      <c r="H1029" t="s">
        <v>8580</v>
      </c>
      <c r="I1029">
        <v>6</v>
      </c>
      <c r="J1029" t="s">
        <v>445</v>
      </c>
      <c r="M1029">
        <v>6666</v>
      </c>
      <c r="N1029" t="s">
        <v>15994</v>
      </c>
    </row>
    <row r="1030" spans="1:14">
      <c r="A1030">
        <v>11770000</v>
      </c>
      <c r="B1030">
        <v>3007481</v>
      </c>
      <c r="C1030" t="s">
        <v>812</v>
      </c>
      <c r="D1030" t="s">
        <v>441</v>
      </c>
      <c r="F1030">
        <v>0</v>
      </c>
      <c r="G1030">
        <v>13.52</v>
      </c>
      <c r="I1030">
        <v>6</v>
      </c>
      <c r="J1030" t="s">
        <v>445</v>
      </c>
      <c r="K1030" t="s">
        <v>446</v>
      </c>
      <c r="M1030">
        <v>0</v>
      </c>
    </row>
    <row r="1031" spans="1:14">
      <c r="A1031">
        <v>11780000</v>
      </c>
      <c r="B1031">
        <v>3014124</v>
      </c>
      <c r="C1031" t="s">
        <v>813</v>
      </c>
      <c r="D1031" t="s">
        <v>441</v>
      </c>
      <c r="F1031">
        <v>0</v>
      </c>
      <c r="G1031">
        <v>6.75</v>
      </c>
      <c r="H1031" t="s">
        <v>8580</v>
      </c>
      <c r="I1031">
        <v>6</v>
      </c>
      <c r="J1031" t="s">
        <v>445</v>
      </c>
      <c r="K1031" t="s">
        <v>446</v>
      </c>
      <c r="M1031">
        <v>2313</v>
      </c>
    </row>
    <row r="1032" spans="1:14">
      <c r="A1032">
        <v>11800000</v>
      </c>
      <c r="B1032">
        <v>3007482</v>
      </c>
      <c r="C1032" t="s">
        <v>814</v>
      </c>
      <c r="D1032" t="s">
        <v>441</v>
      </c>
      <c r="F1032">
        <v>0</v>
      </c>
      <c r="G1032">
        <v>15.71</v>
      </c>
      <c r="I1032">
        <v>5</v>
      </c>
      <c r="J1032" t="s">
        <v>445</v>
      </c>
      <c r="K1032" t="s">
        <v>446</v>
      </c>
      <c r="M1032">
        <v>0</v>
      </c>
    </row>
    <row r="1033" spans="1:14">
      <c r="A1033">
        <v>11800014</v>
      </c>
      <c r="B1033">
        <v>3007483</v>
      </c>
      <c r="C1033" t="s">
        <v>815</v>
      </c>
      <c r="D1033" t="s">
        <v>441</v>
      </c>
      <c r="F1033">
        <v>0</v>
      </c>
      <c r="G1033">
        <v>9.4</v>
      </c>
      <c r="I1033">
        <v>365</v>
      </c>
      <c r="J1033" t="s">
        <v>445</v>
      </c>
      <c r="K1033" t="s">
        <v>446</v>
      </c>
      <c r="M1033">
        <v>2501</v>
      </c>
    </row>
    <row r="1034" spans="1:14">
      <c r="A1034">
        <v>11800514</v>
      </c>
      <c r="B1034">
        <v>3007484</v>
      </c>
      <c r="C1034" t="s">
        <v>816</v>
      </c>
      <c r="D1034" t="s">
        <v>441</v>
      </c>
      <c r="F1034">
        <v>0</v>
      </c>
      <c r="G1034">
        <v>9.9600000000000009</v>
      </c>
      <c r="I1034">
        <v>6</v>
      </c>
      <c r="J1034" t="s">
        <v>445</v>
      </c>
      <c r="K1034" t="s">
        <v>446</v>
      </c>
      <c r="M1034">
        <v>2641</v>
      </c>
    </row>
    <row r="1035" spans="1:14">
      <c r="A1035">
        <v>11810000</v>
      </c>
      <c r="B1035">
        <v>3007485</v>
      </c>
      <c r="C1035" t="s">
        <v>817</v>
      </c>
      <c r="D1035" t="s">
        <v>441</v>
      </c>
      <c r="F1035">
        <v>0</v>
      </c>
      <c r="G1035">
        <v>14.84</v>
      </c>
      <c r="I1035">
        <v>5</v>
      </c>
      <c r="J1035" t="s">
        <v>445</v>
      </c>
      <c r="K1035" t="s">
        <v>446</v>
      </c>
      <c r="M1035">
        <v>0</v>
      </c>
    </row>
    <row r="1036" spans="1:14">
      <c r="A1036">
        <v>11810014</v>
      </c>
      <c r="B1036">
        <v>3007486</v>
      </c>
      <c r="C1036" t="s">
        <v>818</v>
      </c>
      <c r="D1036" t="s">
        <v>441</v>
      </c>
      <c r="F1036">
        <v>0</v>
      </c>
      <c r="G1036">
        <v>9.4</v>
      </c>
      <c r="I1036">
        <v>365</v>
      </c>
      <c r="J1036" t="s">
        <v>445</v>
      </c>
      <c r="K1036" t="s">
        <v>446</v>
      </c>
      <c r="M1036">
        <v>2501</v>
      </c>
    </row>
    <row r="1037" spans="1:14">
      <c r="A1037">
        <v>11810514</v>
      </c>
      <c r="B1037">
        <v>3007487</v>
      </c>
      <c r="C1037" t="s">
        <v>819</v>
      </c>
      <c r="D1037" t="s">
        <v>441</v>
      </c>
      <c r="F1037">
        <v>0</v>
      </c>
      <c r="G1037">
        <v>9.9600000000000009</v>
      </c>
      <c r="H1037" t="s">
        <v>8580</v>
      </c>
      <c r="I1037">
        <v>6</v>
      </c>
      <c r="J1037" t="s">
        <v>445</v>
      </c>
      <c r="K1037" t="s">
        <v>446</v>
      </c>
      <c r="M1037">
        <v>2641</v>
      </c>
    </row>
    <row r="1038" spans="1:14">
      <c r="A1038">
        <v>11820000</v>
      </c>
      <c r="B1038">
        <v>3007488</v>
      </c>
      <c r="C1038" t="s">
        <v>820</v>
      </c>
      <c r="D1038" t="s">
        <v>441</v>
      </c>
      <c r="F1038">
        <v>0</v>
      </c>
      <c r="G1038">
        <v>15.74</v>
      </c>
      <c r="H1038" t="s">
        <v>8580</v>
      </c>
      <c r="I1038">
        <v>5</v>
      </c>
      <c r="J1038" t="s">
        <v>445</v>
      </c>
      <c r="K1038" t="s">
        <v>446</v>
      </c>
      <c r="M1038">
        <v>0</v>
      </c>
    </row>
    <row r="1039" spans="1:14">
      <c r="A1039">
        <v>11820014</v>
      </c>
      <c r="B1039">
        <v>3007489</v>
      </c>
      <c r="C1039" t="s">
        <v>821</v>
      </c>
      <c r="D1039" t="s">
        <v>441</v>
      </c>
      <c r="F1039">
        <v>0</v>
      </c>
      <c r="G1039">
        <v>9.4</v>
      </c>
      <c r="H1039" t="s">
        <v>8580</v>
      </c>
      <c r="I1039">
        <v>365</v>
      </c>
      <c r="J1039" t="s">
        <v>445</v>
      </c>
      <c r="K1039" t="s">
        <v>446</v>
      </c>
      <c r="M1039">
        <v>2501</v>
      </c>
    </row>
    <row r="1040" spans="1:14">
      <c r="A1040">
        <v>11820514</v>
      </c>
      <c r="B1040">
        <v>3007490</v>
      </c>
      <c r="C1040" t="s">
        <v>822</v>
      </c>
      <c r="D1040" t="s">
        <v>441</v>
      </c>
      <c r="F1040">
        <v>0</v>
      </c>
      <c r="G1040">
        <v>9.9600000000000009</v>
      </c>
      <c r="H1040" t="s">
        <v>8580</v>
      </c>
      <c r="I1040">
        <v>6</v>
      </c>
      <c r="J1040" t="s">
        <v>445</v>
      </c>
      <c r="K1040" t="s">
        <v>446</v>
      </c>
      <c r="M1040">
        <v>2641</v>
      </c>
    </row>
    <row r="1041" spans="1:13">
      <c r="A1041">
        <v>11830000</v>
      </c>
      <c r="B1041">
        <v>3007491</v>
      </c>
      <c r="C1041" t="s">
        <v>823</v>
      </c>
      <c r="D1041" t="s">
        <v>441</v>
      </c>
      <c r="F1041">
        <v>0</v>
      </c>
      <c r="G1041">
        <v>19.440000000000001</v>
      </c>
      <c r="H1041" t="s">
        <v>8580</v>
      </c>
      <c r="I1041">
        <v>6</v>
      </c>
      <c r="J1041" t="s">
        <v>445</v>
      </c>
      <c r="K1041" t="s">
        <v>446</v>
      </c>
      <c r="M1041">
        <v>0</v>
      </c>
    </row>
    <row r="1042" spans="1:13">
      <c r="A1042">
        <v>11840000</v>
      </c>
      <c r="B1042">
        <v>3007492</v>
      </c>
      <c r="C1042" t="s">
        <v>824</v>
      </c>
      <c r="D1042" t="s">
        <v>441</v>
      </c>
      <c r="F1042">
        <v>0</v>
      </c>
      <c r="G1042">
        <v>15.64</v>
      </c>
      <c r="H1042" t="s">
        <v>8580</v>
      </c>
      <c r="I1042">
        <v>6</v>
      </c>
      <c r="J1042" t="s">
        <v>445</v>
      </c>
      <c r="K1042" t="s">
        <v>446</v>
      </c>
      <c r="M1042">
        <v>0</v>
      </c>
    </row>
    <row r="1043" spans="1:13">
      <c r="A1043">
        <v>11840014</v>
      </c>
      <c r="B1043">
        <v>3007493</v>
      </c>
      <c r="C1043" t="s">
        <v>825</v>
      </c>
      <c r="D1043" t="s">
        <v>441</v>
      </c>
      <c r="F1043">
        <v>0</v>
      </c>
      <c r="G1043">
        <v>9.4</v>
      </c>
      <c r="H1043" t="s">
        <v>8580</v>
      </c>
      <c r="I1043">
        <v>365</v>
      </c>
      <c r="J1043" t="s">
        <v>445</v>
      </c>
      <c r="K1043" t="s">
        <v>446</v>
      </c>
      <c r="M1043">
        <v>2501</v>
      </c>
    </row>
    <row r="1044" spans="1:13">
      <c r="A1044">
        <v>11840514</v>
      </c>
      <c r="B1044">
        <v>3007494</v>
      </c>
      <c r="C1044" t="s">
        <v>826</v>
      </c>
      <c r="D1044" t="s">
        <v>441</v>
      </c>
      <c r="F1044">
        <v>0</v>
      </c>
      <c r="G1044">
        <v>9.9600000000000009</v>
      </c>
      <c r="H1044" t="s">
        <v>8580</v>
      </c>
      <c r="I1044">
        <v>6</v>
      </c>
      <c r="J1044" t="s">
        <v>445</v>
      </c>
      <c r="K1044" t="s">
        <v>446</v>
      </c>
      <c r="M1044">
        <v>2641</v>
      </c>
    </row>
    <row r="1045" spans="1:13">
      <c r="A1045">
        <v>11850000</v>
      </c>
      <c r="B1045">
        <v>3007495</v>
      </c>
      <c r="C1045" t="s">
        <v>827</v>
      </c>
      <c r="D1045" t="s">
        <v>441</v>
      </c>
      <c r="F1045">
        <v>0</v>
      </c>
      <c r="G1045">
        <v>7.64</v>
      </c>
      <c r="H1045" t="s">
        <v>8580</v>
      </c>
      <c r="I1045">
        <v>5</v>
      </c>
      <c r="J1045" t="s">
        <v>445</v>
      </c>
      <c r="K1045" t="s">
        <v>446</v>
      </c>
      <c r="M1045">
        <v>0</v>
      </c>
    </row>
    <row r="1046" spans="1:13">
      <c r="A1046">
        <v>11860000</v>
      </c>
      <c r="B1046">
        <v>3008869</v>
      </c>
      <c r="C1046" t="s">
        <v>828</v>
      </c>
      <c r="D1046" t="s">
        <v>441</v>
      </c>
      <c r="F1046">
        <v>0</v>
      </c>
      <c r="G1046">
        <v>12.56</v>
      </c>
      <c r="H1046" t="s">
        <v>8549</v>
      </c>
      <c r="I1046">
        <v>5</v>
      </c>
      <c r="J1046" t="s">
        <v>445</v>
      </c>
      <c r="K1046" t="s">
        <v>446</v>
      </c>
      <c r="M1046">
        <v>0</v>
      </c>
    </row>
    <row r="1047" spans="1:13">
      <c r="A1047">
        <v>11870000</v>
      </c>
      <c r="B1047">
        <v>3008880</v>
      </c>
      <c r="C1047" t="s">
        <v>829</v>
      </c>
      <c r="D1047" t="s">
        <v>441</v>
      </c>
      <c r="F1047">
        <v>0</v>
      </c>
      <c r="G1047">
        <v>12.08</v>
      </c>
      <c r="H1047" t="s">
        <v>8549</v>
      </c>
      <c r="I1047">
        <v>6</v>
      </c>
      <c r="J1047" t="s">
        <v>445</v>
      </c>
      <c r="K1047" t="s">
        <v>446</v>
      </c>
      <c r="M1047">
        <v>0</v>
      </c>
    </row>
    <row r="1048" spans="1:13">
      <c r="A1048">
        <v>11880000</v>
      </c>
      <c r="B1048">
        <v>3008881</v>
      </c>
      <c r="C1048" t="s">
        <v>830</v>
      </c>
      <c r="D1048" t="s">
        <v>441</v>
      </c>
      <c r="F1048">
        <v>0</v>
      </c>
      <c r="G1048">
        <v>10.96</v>
      </c>
      <c r="H1048" t="s">
        <v>8549</v>
      </c>
      <c r="I1048">
        <v>6</v>
      </c>
      <c r="J1048" t="s">
        <v>445</v>
      </c>
      <c r="K1048" t="s">
        <v>446</v>
      </c>
      <c r="M1048">
        <v>0</v>
      </c>
    </row>
    <row r="1049" spans="1:13">
      <c r="A1049">
        <v>11900000</v>
      </c>
      <c r="B1049">
        <v>3012493</v>
      </c>
      <c r="C1049" t="s">
        <v>831</v>
      </c>
      <c r="D1049" t="s">
        <v>441</v>
      </c>
      <c r="F1049">
        <v>0</v>
      </c>
      <c r="G1049">
        <v>14.04</v>
      </c>
      <c r="I1049">
        <v>6</v>
      </c>
      <c r="J1049" t="s">
        <v>445</v>
      </c>
      <c r="K1049" t="s">
        <v>446</v>
      </c>
      <c r="M1049">
        <v>2313</v>
      </c>
    </row>
    <row r="1050" spans="1:13">
      <c r="A1050">
        <v>11910000</v>
      </c>
      <c r="B1050">
        <v>3012494</v>
      </c>
      <c r="C1050" t="s">
        <v>832</v>
      </c>
      <c r="D1050" t="s">
        <v>441</v>
      </c>
      <c r="F1050">
        <v>0</v>
      </c>
      <c r="G1050">
        <v>13.22</v>
      </c>
      <c r="I1050">
        <v>6</v>
      </c>
      <c r="J1050" t="s">
        <v>445</v>
      </c>
      <c r="K1050" t="s">
        <v>446</v>
      </c>
      <c r="M1050">
        <v>2313</v>
      </c>
    </row>
    <row r="1051" spans="1:13">
      <c r="A1051">
        <v>11960000</v>
      </c>
      <c r="B1051">
        <v>3008793</v>
      </c>
      <c r="C1051" t="s">
        <v>833</v>
      </c>
      <c r="D1051" t="s">
        <v>441</v>
      </c>
      <c r="F1051">
        <v>0</v>
      </c>
      <c r="G1051">
        <v>16.36</v>
      </c>
      <c r="H1051" t="s">
        <v>8580</v>
      </c>
      <c r="I1051">
        <v>6</v>
      </c>
      <c r="J1051" t="s">
        <v>445</v>
      </c>
      <c r="K1051" t="s">
        <v>446</v>
      </c>
      <c r="M1051">
        <v>2390</v>
      </c>
    </row>
    <row r="1052" spans="1:13">
      <c r="A1052">
        <v>11960075</v>
      </c>
      <c r="B1052">
        <v>3012474</v>
      </c>
      <c r="C1052" t="s">
        <v>834</v>
      </c>
      <c r="D1052" t="s">
        <v>441</v>
      </c>
      <c r="F1052">
        <v>0</v>
      </c>
      <c r="G1052">
        <v>16.600000000000001</v>
      </c>
      <c r="H1052" t="s">
        <v>8588</v>
      </c>
      <c r="I1052">
        <v>6</v>
      </c>
      <c r="J1052" t="s">
        <v>445</v>
      </c>
      <c r="K1052" t="s">
        <v>446</v>
      </c>
      <c r="M1052">
        <v>2641</v>
      </c>
    </row>
    <row r="1053" spans="1:13">
      <c r="A1053">
        <v>11980000</v>
      </c>
      <c r="B1053">
        <v>3004273</v>
      </c>
      <c r="C1053" t="s">
        <v>835</v>
      </c>
      <c r="D1053" t="s">
        <v>441</v>
      </c>
      <c r="F1053">
        <v>0</v>
      </c>
      <c r="G1053">
        <v>13.29</v>
      </c>
      <c r="H1053" t="s">
        <v>8580</v>
      </c>
      <c r="I1053">
        <v>6</v>
      </c>
      <c r="J1053" t="s">
        <v>445</v>
      </c>
      <c r="K1053" t="s">
        <v>446</v>
      </c>
      <c r="M1053">
        <v>0</v>
      </c>
    </row>
    <row r="1054" spans="1:13">
      <c r="A1054">
        <v>11981000</v>
      </c>
      <c r="B1054">
        <v>3009227</v>
      </c>
      <c r="C1054" t="s">
        <v>836</v>
      </c>
      <c r="D1054" t="s">
        <v>441</v>
      </c>
      <c r="F1054">
        <v>0</v>
      </c>
      <c r="G1054">
        <v>13.29</v>
      </c>
      <c r="H1054" t="s">
        <v>8580</v>
      </c>
      <c r="I1054">
        <v>6</v>
      </c>
      <c r="J1054" t="s">
        <v>445</v>
      </c>
      <c r="K1054" t="s">
        <v>446</v>
      </c>
      <c r="M1054">
        <v>2313</v>
      </c>
    </row>
    <row r="1055" spans="1:13">
      <c r="A1055">
        <v>11990000</v>
      </c>
      <c r="B1055">
        <v>3007496</v>
      </c>
      <c r="C1055" t="s">
        <v>837</v>
      </c>
      <c r="D1055" t="s">
        <v>441</v>
      </c>
      <c r="F1055">
        <v>0</v>
      </c>
      <c r="G1055">
        <v>10.68</v>
      </c>
      <c r="I1055">
        <v>6</v>
      </c>
      <c r="J1055" t="s">
        <v>445</v>
      </c>
      <c r="K1055" t="s">
        <v>446</v>
      </c>
      <c r="M1055">
        <v>2390</v>
      </c>
    </row>
    <row r="1056" spans="1:13">
      <c r="A1056">
        <v>11990020</v>
      </c>
      <c r="B1056">
        <v>4007979</v>
      </c>
      <c r="C1056" t="s">
        <v>838</v>
      </c>
      <c r="D1056" t="s">
        <v>441</v>
      </c>
      <c r="F1056">
        <v>0</v>
      </c>
      <c r="G1056">
        <v>11.02</v>
      </c>
      <c r="H1056" t="s">
        <v>8588</v>
      </c>
      <c r="I1056">
        <v>6</v>
      </c>
      <c r="J1056" t="s">
        <v>462</v>
      </c>
      <c r="K1056" t="s">
        <v>446</v>
      </c>
      <c r="M1056">
        <v>2641</v>
      </c>
    </row>
    <row r="1057" spans="1:14">
      <c r="A1057">
        <v>12000000</v>
      </c>
      <c r="B1057">
        <v>3007497</v>
      </c>
      <c r="C1057" t="s">
        <v>839</v>
      </c>
      <c r="D1057" t="s">
        <v>441</v>
      </c>
      <c r="F1057">
        <v>0</v>
      </c>
      <c r="G1057">
        <v>8.09</v>
      </c>
      <c r="I1057">
        <v>6</v>
      </c>
      <c r="J1057" t="s">
        <v>445</v>
      </c>
      <c r="K1057" t="s">
        <v>446</v>
      </c>
      <c r="M1057">
        <v>0</v>
      </c>
    </row>
    <row r="1058" spans="1:14">
      <c r="A1058">
        <v>12010000</v>
      </c>
      <c r="B1058">
        <v>3007498</v>
      </c>
      <c r="C1058" t="s">
        <v>840</v>
      </c>
      <c r="D1058" t="s">
        <v>441</v>
      </c>
      <c r="F1058">
        <v>0</v>
      </c>
      <c r="G1058">
        <v>7.68</v>
      </c>
      <c r="I1058">
        <v>5</v>
      </c>
      <c r="J1058" t="s">
        <v>445</v>
      </c>
      <c r="K1058" t="s">
        <v>446</v>
      </c>
      <c r="M1058">
        <v>0</v>
      </c>
    </row>
    <row r="1059" spans="1:14">
      <c r="A1059">
        <v>12010086</v>
      </c>
      <c r="B1059">
        <v>3026563</v>
      </c>
      <c r="C1059" t="s">
        <v>841</v>
      </c>
      <c r="D1059" t="s">
        <v>441</v>
      </c>
      <c r="F1059">
        <v>0</v>
      </c>
      <c r="H1059" t="s">
        <v>8588</v>
      </c>
      <c r="I1059">
        <v>6</v>
      </c>
      <c r="J1059" t="s">
        <v>445</v>
      </c>
      <c r="K1059" t="s">
        <v>446</v>
      </c>
      <c r="M1059">
        <v>7161</v>
      </c>
      <c r="N1059" t="s">
        <v>16003</v>
      </c>
    </row>
    <row r="1060" spans="1:14">
      <c r="A1060">
        <v>12020000</v>
      </c>
      <c r="B1060">
        <v>3025670</v>
      </c>
      <c r="C1060" t="s">
        <v>842</v>
      </c>
      <c r="D1060" t="s">
        <v>441</v>
      </c>
      <c r="F1060">
        <v>0</v>
      </c>
      <c r="G1060">
        <v>6.42</v>
      </c>
      <c r="H1060" t="s">
        <v>8588</v>
      </c>
      <c r="I1060">
        <v>6</v>
      </c>
      <c r="J1060" t="s">
        <v>445</v>
      </c>
      <c r="M1060">
        <v>2391</v>
      </c>
      <c r="N1060" t="s">
        <v>16004</v>
      </c>
    </row>
    <row r="1061" spans="1:14">
      <c r="A1061">
        <v>12020002</v>
      </c>
      <c r="B1061">
        <v>3026351</v>
      </c>
      <c r="C1061" t="s">
        <v>843</v>
      </c>
      <c r="D1061" t="s">
        <v>441</v>
      </c>
      <c r="F1061">
        <v>0</v>
      </c>
      <c r="G1061">
        <v>6.86</v>
      </c>
      <c r="H1061" t="s">
        <v>8588</v>
      </c>
      <c r="I1061">
        <v>540</v>
      </c>
      <c r="J1061" t="s">
        <v>445</v>
      </c>
      <c r="M1061">
        <v>7111</v>
      </c>
      <c r="N1061" t="s">
        <v>16004</v>
      </c>
    </row>
    <row r="1062" spans="1:14">
      <c r="A1062">
        <v>12020007</v>
      </c>
      <c r="B1062">
        <v>3025676</v>
      </c>
      <c r="C1062" t="s">
        <v>844</v>
      </c>
      <c r="D1062" t="s">
        <v>441</v>
      </c>
      <c r="F1062">
        <v>0</v>
      </c>
      <c r="G1062">
        <v>6.53</v>
      </c>
      <c r="H1062" t="s">
        <v>8549</v>
      </c>
      <c r="I1062">
        <v>6</v>
      </c>
      <c r="J1062" t="s">
        <v>445</v>
      </c>
      <c r="M1062">
        <v>3113</v>
      </c>
      <c r="N1062" t="s">
        <v>16004</v>
      </c>
    </row>
    <row r="1063" spans="1:14">
      <c r="A1063">
        <v>12020017</v>
      </c>
      <c r="B1063">
        <v>3032485</v>
      </c>
      <c r="C1063" t="s">
        <v>845</v>
      </c>
      <c r="D1063" t="s">
        <v>441</v>
      </c>
      <c r="F1063">
        <v>0</v>
      </c>
      <c r="G1063">
        <v>11.36</v>
      </c>
      <c r="H1063" t="s">
        <v>8588</v>
      </c>
      <c r="I1063">
        <v>540</v>
      </c>
      <c r="J1063" t="s">
        <v>445</v>
      </c>
      <c r="M1063">
        <v>7111</v>
      </c>
      <c r="N1063" t="s">
        <v>16004</v>
      </c>
    </row>
    <row r="1064" spans="1:14">
      <c r="A1064">
        <v>12020080</v>
      </c>
      <c r="B1064">
        <v>3027549</v>
      </c>
      <c r="C1064" t="s">
        <v>846</v>
      </c>
      <c r="D1064" t="s">
        <v>441</v>
      </c>
      <c r="F1064">
        <v>0</v>
      </c>
      <c r="G1064">
        <v>6.57</v>
      </c>
      <c r="H1064" t="s">
        <v>8588</v>
      </c>
      <c r="I1064">
        <v>6</v>
      </c>
      <c r="J1064" t="s">
        <v>445</v>
      </c>
      <c r="L1064" t="s">
        <v>9177</v>
      </c>
      <c r="M1064">
        <v>7112</v>
      </c>
      <c r="N1064" t="s">
        <v>16004</v>
      </c>
    </row>
    <row r="1065" spans="1:14">
      <c r="A1065">
        <v>12020100</v>
      </c>
      <c r="B1065">
        <v>3025955</v>
      </c>
      <c r="C1065" t="s">
        <v>847</v>
      </c>
      <c r="D1065" t="s">
        <v>441</v>
      </c>
      <c r="F1065">
        <v>0</v>
      </c>
      <c r="H1065" t="s">
        <v>8588</v>
      </c>
      <c r="I1065">
        <v>6</v>
      </c>
      <c r="J1065" t="s">
        <v>445</v>
      </c>
      <c r="M1065">
        <v>7161</v>
      </c>
      <c r="N1065" t="s">
        <v>16004</v>
      </c>
    </row>
    <row r="1066" spans="1:14">
      <c r="A1066">
        <v>12020110</v>
      </c>
      <c r="B1066">
        <v>3025937</v>
      </c>
      <c r="C1066" t="s">
        <v>848</v>
      </c>
      <c r="D1066" t="s">
        <v>441</v>
      </c>
      <c r="F1066">
        <v>0</v>
      </c>
      <c r="H1066" t="s">
        <v>8588</v>
      </c>
      <c r="I1066">
        <v>6</v>
      </c>
      <c r="J1066" t="s">
        <v>445</v>
      </c>
      <c r="M1066">
        <v>7161</v>
      </c>
      <c r="N1066" t="s">
        <v>16004</v>
      </c>
    </row>
    <row r="1067" spans="1:14">
      <c r="A1067">
        <v>12020112</v>
      </c>
      <c r="B1067">
        <v>3033409</v>
      </c>
      <c r="C1067" t="s">
        <v>849</v>
      </c>
      <c r="D1067" t="s">
        <v>441</v>
      </c>
      <c r="F1067">
        <v>0</v>
      </c>
      <c r="H1067" t="s">
        <v>8588</v>
      </c>
      <c r="I1067">
        <v>365</v>
      </c>
      <c r="J1067" t="s">
        <v>445</v>
      </c>
      <c r="K1067" t="s">
        <v>446</v>
      </c>
      <c r="M1067">
        <v>0</v>
      </c>
      <c r="N1067" t="s">
        <v>16005</v>
      </c>
    </row>
    <row r="1068" spans="1:14">
      <c r="A1068">
        <v>12020120</v>
      </c>
      <c r="B1068">
        <v>3036420</v>
      </c>
      <c r="C1068" t="s">
        <v>850</v>
      </c>
      <c r="D1068" t="s">
        <v>441</v>
      </c>
      <c r="F1068">
        <v>0</v>
      </c>
      <c r="H1068" t="s">
        <v>8588</v>
      </c>
      <c r="I1068">
        <v>6</v>
      </c>
      <c r="J1068" t="s">
        <v>445</v>
      </c>
      <c r="M1068">
        <v>7161</v>
      </c>
      <c r="N1068" t="s">
        <v>16004</v>
      </c>
    </row>
    <row r="1069" spans="1:14">
      <c r="A1069">
        <v>12020130</v>
      </c>
      <c r="B1069">
        <v>3033467</v>
      </c>
      <c r="C1069" t="s">
        <v>851</v>
      </c>
      <c r="D1069" t="s">
        <v>441</v>
      </c>
      <c r="F1069">
        <v>0</v>
      </c>
      <c r="H1069" t="s">
        <v>8588</v>
      </c>
      <c r="I1069">
        <v>6</v>
      </c>
      <c r="J1069" t="s">
        <v>445</v>
      </c>
      <c r="M1069">
        <v>7161</v>
      </c>
      <c r="N1069" t="s">
        <v>16004</v>
      </c>
    </row>
    <row r="1070" spans="1:14">
      <c r="A1070">
        <v>12020502</v>
      </c>
      <c r="B1070">
        <v>3026350</v>
      </c>
      <c r="C1070" t="s">
        <v>852</v>
      </c>
      <c r="D1070" t="s">
        <v>441</v>
      </c>
      <c r="F1070">
        <v>0</v>
      </c>
      <c r="G1070">
        <v>6.52</v>
      </c>
      <c r="H1070" t="s">
        <v>8549</v>
      </c>
      <c r="I1070">
        <v>6</v>
      </c>
      <c r="J1070" t="s">
        <v>445</v>
      </c>
      <c r="M1070">
        <v>2502</v>
      </c>
      <c r="N1070" t="s">
        <v>16004</v>
      </c>
    </row>
    <row r="1071" spans="1:14">
      <c r="A1071">
        <v>12020517</v>
      </c>
      <c r="B1071">
        <v>3032483</v>
      </c>
      <c r="C1071" t="s">
        <v>853</v>
      </c>
      <c r="D1071" t="s">
        <v>441</v>
      </c>
      <c r="F1071">
        <v>0</v>
      </c>
      <c r="G1071">
        <v>10.94</v>
      </c>
      <c r="H1071" t="s">
        <v>8588</v>
      </c>
      <c r="I1071">
        <v>540</v>
      </c>
      <c r="J1071" t="s">
        <v>445</v>
      </c>
      <c r="M1071">
        <v>2502</v>
      </c>
      <c r="N1071" t="s">
        <v>16004</v>
      </c>
    </row>
    <row r="1072" spans="1:14">
      <c r="A1072">
        <v>12020602</v>
      </c>
      <c r="B1072">
        <v>3034104</v>
      </c>
      <c r="C1072" t="s">
        <v>854</v>
      </c>
      <c r="D1072" t="s">
        <v>441</v>
      </c>
      <c r="F1072">
        <v>0</v>
      </c>
      <c r="G1072">
        <v>7.11</v>
      </c>
      <c r="H1072" t="s">
        <v>8549</v>
      </c>
      <c r="I1072">
        <v>4</v>
      </c>
      <c r="J1072" t="s">
        <v>445</v>
      </c>
      <c r="M1072">
        <v>2510</v>
      </c>
      <c r="N1072" t="s">
        <v>16004</v>
      </c>
    </row>
    <row r="1073" spans="1:14">
      <c r="A1073">
        <v>12020612</v>
      </c>
      <c r="B1073">
        <v>3034131</v>
      </c>
      <c r="C1073" t="s">
        <v>9178</v>
      </c>
      <c r="D1073" t="s">
        <v>441</v>
      </c>
      <c r="F1073">
        <v>0</v>
      </c>
      <c r="G1073">
        <v>8.76</v>
      </c>
      <c r="H1073" t="s">
        <v>8549</v>
      </c>
      <c r="I1073">
        <v>4</v>
      </c>
      <c r="J1073" t="s">
        <v>445</v>
      </c>
      <c r="K1073" t="s">
        <v>446</v>
      </c>
      <c r="M1073">
        <v>2511</v>
      </c>
      <c r="N1073" t="s">
        <v>16005</v>
      </c>
    </row>
    <row r="1074" spans="1:14">
      <c r="A1074">
        <v>12020902</v>
      </c>
      <c r="B1074">
        <v>3034105</v>
      </c>
      <c r="C1074" t="s">
        <v>855</v>
      </c>
      <c r="D1074" t="s">
        <v>441</v>
      </c>
      <c r="F1074">
        <v>0</v>
      </c>
      <c r="H1074" t="s">
        <v>8624</v>
      </c>
      <c r="I1074">
        <v>4</v>
      </c>
      <c r="J1074" t="s">
        <v>445</v>
      </c>
      <c r="M1074">
        <v>6666</v>
      </c>
      <c r="N1074" t="s">
        <v>16004</v>
      </c>
    </row>
    <row r="1075" spans="1:14">
      <c r="A1075">
        <v>12020907</v>
      </c>
      <c r="B1075">
        <v>3025789</v>
      </c>
      <c r="C1075" t="s">
        <v>856</v>
      </c>
      <c r="D1075" t="s">
        <v>441</v>
      </c>
      <c r="F1075">
        <v>0</v>
      </c>
      <c r="G1075">
        <v>0</v>
      </c>
      <c r="H1075" t="s">
        <v>8580</v>
      </c>
      <c r="I1075">
        <v>6</v>
      </c>
      <c r="J1075" t="s">
        <v>445</v>
      </c>
      <c r="M1075">
        <v>6666</v>
      </c>
      <c r="N1075" t="s">
        <v>16004</v>
      </c>
    </row>
    <row r="1076" spans="1:14">
      <c r="A1076">
        <v>12021000</v>
      </c>
      <c r="B1076">
        <v>3025671</v>
      </c>
      <c r="C1076" t="s">
        <v>857</v>
      </c>
      <c r="D1076" t="s">
        <v>441</v>
      </c>
      <c r="F1076">
        <v>0</v>
      </c>
      <c r="G1076">
        <v>6.42</v>
      </c>
      <c r="H1076" t="s">
        <v>8588</v>
      </c>
      <c r="I1076">
        <v>6</v>
      </c>
      <c r="J1076" t="s">
        <v>445</v>
      </c>
      <c r="M1076">
        <v>2391</v>
      </c>
      <c r="N1076" t="s">
        <v>16004</v>
      </c>
    </row>
    <row r="1077" spans="1:14">
      <c r="A1077">
        <v>12021002</v>
      </c>
      <c r="B1077">
        <v>3044694</v>
      </c>
      <c r="C1077" t="s">
        <v>15361</v>
      </c>
      <c r="D1077" t="s">
        <v>441</v>
      </c>
      <c r="F1077">
        <v>0</v>
      </c>
      <c r="G1077">
        <v>12.57</v>
      </c>
      <c r="H1077" t="s">
        <v>8588</v>
      </c>
      <c r="I1077">
        <v>540</v>
      </c>
      <c r="J1077" t="s">
        <v>445</v>
      </c>
      <c r="M1077">
        <v>7111</v>
      </c>
      <c r="N1077" t="s">
        <v>16004</v>
      </c>
    </row>
    <row r="1078" spans="1:14">
      <c r="A1078">
        <v>12021007</v>
      </c>
      <c r="B1078">
        <v>3025637</v>
      </c>
      <c r="C1078" t="s">
        <v>858</v>
      </c>
      <c r="D1078" t="s">
        <v>441</v>
      </c>
      <c r="F1078">
        <v>0</v>
      </c>
      <c r="G1078">
        <v>7.72</v>
      </c>
      <c r="H1078" t="s">
        <v>8588</v>
      </c>
      <c r="I1078">
        <v>6</v>
      </c>
      <c r="J1078" t="s">
        <v>445</v>
      </c>
      <c r="M1078">
        <v>2641</v>
      </c>
      <c r="N1078" t="s">
        <v>16004</v>
      </c>
    </row>
    <row r="1079" spans="1:14">
      <c r="A1079">
        <v>12021502</v>
      </c>
      <c r="B1079">
        <v>3026550</v>
      </c>
      <c r="C1079" t="s">
        <v>15362</v>
      </c>
      <c r="D1079" t="s">
        <v>441</v>
      </c>
      <c r="F1079">
        <v>0</v>
      </c>
      <c r="G1079">
        <v>11.94</v>
      </c>
      <c r="H1079" t="s">
        <v>8588</v>
      </c>
      <c r="I1079">
        <v>6</v>
      </c>
      <c r="J1079" t="s">
        <v>445</v>
      </c>
      <c r="M1079">
        <v>2502</v>
      </c>
      <c r="N1079" t="s">
        <v>16004</v>
      </c>
    </row>
    <row r="1080" spans="1:14">
      <c r="A1080">
        <v>12021602</v>
      </c>
      <c r="B1080">
        <v>3044695</v>
      </c>
      <c r="C1080" t="s">
        <v>15363</v>
      </c>
      <c r="D1080" t="s">
        <v>441</v>
      </c>
      <c r="F1080">
        <v>0</v>
      </c>
      <c r="G1080">
        <v>12.98</v>
      </c>
      <c r="H1080" t="s">
        <v>8549</v>
      </c>
      <c r="I1080">
        <v>4</v>
      </c>
      <c r="J1080" t="s">
        <v>445</v>
      </c>
      <c r="M1080">
        <v>2510</v>
      </c>
      <c r="N1080" t="s">
        <v>16004</v>
      </c>
    </row>
    <row r="1081" spans="1:14">
      <c r="A1081">
        <v>12021902</v>
      </c>
      <c r="B1081">
        <v>3044698</v>
      </c>
      <c r="C1081" t="s">
        <v>15364</v>
      </c>
      <c r="D1081" t="s">
        <v>441</v>
      </c>
      <c r="F1081">
        <v>0</v>
      </c>
      <c r="G1081">
        <v>1</v>
      </c>
      <c r="H1081" t="s">
        <v>8549</v>
      </c>
      <c r="I1081">
        <v>4</v>
      </c>
      <c r="J1081" t="s">
        <v>445</v>
      </c>
      <c r="M1081">
        <v>6666</v>
      </c>
      <c r="N1081" t="s">
        <v>16004</v>
      </c>
    </row>
    <row r="1082" spans="1:14">
      <c r="A1082">
        <v>12021907</v>
      </c>
      <c r="B1082">
        <v>3025796</v>
      </c>
      <c r="C1082" t="s">
        <v>859</v>
      </c>
      <c r="D1082" t="s">
        <v>441</v>
      </c>
      <c r="F1082">
        <v>0</v>
      </c>
      <c r="G1082">
        <v>8.43</v>
      </c>
      <c r="H1082" t="s">
        <v>8580</v>
      </c>
      <c r="I1082">
        <v>6</v>
      </c>
      <c r="J1082" t="s">
        <v>445</v>
      </c>
      <c r="M1082">
        <v>6666</v>
      </c>
      <c r="N1082" t="s">
        <v>16004</v>
      </c>
    </row>
    <row r="1083" spans="1:14">
      <c r="A1083">
        <v>12024000</v>
      </c>
      <c r="B1083">
        <v>3035841</v>
      </c>
      <c r="C1083" t="s">
        <v>860</v>
      </c>
      <c r="D1083" t="s">
        <v>441</v>
      </c>
      <c r="F1083">
        <v>0</v>
      </c>
      <c r="G1083">
        <v>6.42</v>
      </c>
      <c r="H1083" t="s">
        <v>8588</v>
      </c>
      <c r="I1083">
        <v>6</v>
      </c>
      <c r="J1083" t="s">
        <v>445</v>
      </c>
      <c r="M1083">
        <v>2391</v>
      </c>
      <c r="N1083" t="s">
        <v>16004</v>
      </c>
    </row>
    <row r="1084" spans="1:14">
      <c r="A1084">
        <v>12024002</v>
      </c>
      <c r="B1084">
        <v>3040920</v>
      </c>
      <c r="C1084" t="s">
        <v>861</v>
      </c>
      <c r="D1084" t="s">
        <v>441</v>
      </c>
      <c r="F1084">
        <v>0</v>
      </c>
      <c r="G1084">
        <v>6.86</v>
      </c>
      <c r="H1084" t="s">
        <v>8588</v>
      </c>
      <c r="I1084">
        <v>540</v>
      </c>
      <c r="J1084" t="s">
        <v>445</v>
      </c>
      <c r="M1084">
        <v>7111</v>
      </c>
      <c r="N1084" t="s">
        <v>16004</v>
      </c>
    </row>
    <row r="1085" spans="1:14">
      <c r="A1085">
        <v>12024007</v>
      </c>
      <c r="B1085">
        <v>3040524</v>
      </c>
      <c r="C1085" t="s">
        <v>389</v>
      </c>
      <c r="D1085" t="s">
        <v>441</v>
      </c>
      <c r="F1085">
        <v>0</v>
      </c>
      <c r="G1085">
        <v>6.53</v>
      </c>
      <c r="H1085" t="s">
        <v>8549</v>
      </c>
      <c r="I1085">
        <v>6</v>
      </c>
      <c r="J1085" t="s">
        <v>445</v>
      </c>
      <c r="M1085">
        <v>3111</v>
      </c>
      <c r="N1085" t="s">
        <v>16004</v>
      </c>
    </row>
    <row r="1086" spans="1:14">
      <c r="A1086">
        <v>12024080</v>
      </c>
      <c r="B1086">
        <v>3039532</v>
      </c>
      <c r="C1086" t="s">
        <v>862</v>
      </c>
      <c r="D1086" t="s">
        <v>441</v>
      </c>
      <c r="F1086">
        <v>0</v>
      </c>
      <c r="G1086">
        <v>6.57</v>
      </c>
      <c r="H1086" t="s">
        <v>8588</v>
      </c>
      <c r="I1086">
        <v>6</v>
      </c>
      <c r="J1086" t="s">
        <v>445</v>
      </c>
      <c r="M1086">
        <v>7112</v>
      </c>
      <c r="N1086" t="s">
        <v>16004</v>
      </c>
    </row>
    <row r="1087" spans="1:14">
      <c r="A1087">
        <v>12024087</v>
      </c>
      <c r="B1087">
        <v>3036417</v>
      </c>
      <c r="C1087" t="s">
        <v>9179</v>
      </c>
      <c r="D1087" t="s">
        <v>441</v>
      </c>
      <c r="F1087">
        <v>0</v>
      </c>
      <c r="G1087">
        <v>7.06</v>
      </c>
      <c r="H1087" t="s">
        <v>8549</v>
      </c>
      <c r="I1087">
        <v>6</v>
      </c>
      <c r="J1087" t="s">
        <v>445</v>
      </c>
      <c r="M1087">
        <v>2641</v>
      </c>
      <c r="N1087" t="s">
        <v>16004</v>
      </c>
    </row>
    <row r="1088" spans="1:14">
      <c r="A1088">
        <v>12024502</v>
      </c>
      <c r="B1088">
        <v>3035842</v>
      </c>
      <c r="C1088" t="s">
        <v>863</v>
      </c>
      <c r="D1088" t="s">
        <v>441</v>
      </c>
      <c r="F1088">
        <v>0</v>
      </c>
      <c r="G1088">
        <v>6.52</v>
      </c>
      <c r="H1088" t="s">
        <v>8549</v>
      </c>
      <c r="I1088">
        <v>6</v>
      </c>
      <c r="J1088" t="s">
        <v>445</v>
      </c>
      <c r="M1088">
        <v>2502</v>
      </c>
      <c r="N1088" t="s">
        <v>16004</v>
      </c>
    </row>
    <row r="1089" spans="1:14">
      <c r="A1089">
        <v>12024602</v>
      </c>
      <c r="B1089">
        <v>3040921</v>
      </c>
      <c r="C1089" t="s">
        <v>864</v>
      </c>
      <c r="D1089" t="s">
        <v>441</v>
      </c>
      <c r="F1089">
        <v>0</v>
      </c>
      <c r="G1089">
        <v>7.11</v>
      </c>
      <c r="H1089" t="s">
        <v>8549</v>
      </c>
      <c r="I1089">
        <v>4</v>
      </c>
      <c r="J1089" t="s">
        <v>445</v>
      </c>
      <c r="M1089">
        <v>2510</v>
      </c>
      <c r="N1089" t="s">
        <v>16004</v>
      </c>
    </row>
    <row r="1090" spans="1:14">
      <c r="A1090">
        <v>12024902</v>
      </c>
      <c r="B1090">
        <v>3040932</v>
      </c>
      <c r="C1090" t="s">
        <v>865</v>
      </c>
      <c r="D1090" t="s">
        <v>441</v>
      </c>
      <c r="F1090">
        <v>0</v>
      </c>
      <c r="G1090">
        <v>1</v>
      </c>
      <c r="H1090" t="s">
        <v>8584</v>
      </c>
      <c r="I1090">
        <v>4</v>
      </c>
      <c r="J1090" t="s">
        <v>445</v>
      </c>
      <c r="M1090">
        <v>6666</v>
      </c>
      <c r="N1090" t="s">
        <v>16004</v>
      </c>
    </row>
    <row r="1091" spans="1:14">
      <c r="A1091">
        <v>12024907</v>
      </c>
      <c r="B1091">
        <v>3040933</v>
      </c>
      <c r="C1091" t="s">
        <v>866</v>
      </c>
      <c r="D1091" t="s">
        <v>441</v>
      </c>
      <c r="F1091">
        <v>0</v>
      </c>
      <c r="G1091">
        <v>6.7</v>
      </c>
      <c r="H1091" t="s">
        <v>8549</v>
      </c>
      <c r="I1091">
        <v>6</v>
      </c>
      <c r="J1091" t="s">
        <v>445</v>
      </c>
      <c r="M1091">
        <v>6666</v>
      </c>
      <c r="N1091" t="s">
        <v>16004</v>
      </c>
    </row>
    <row r="1092" spans="1:14">
      <c r="A1092">
        <v>12027000</v>
      </c>
      <c r="B1092">
        <v>3032533</v>
      </c>
      <c r="C1092" t="s">
        <v>867</v>
      </c>
      <c r="D1092" t="s">
        <v>441</v>
      </c>
      <c r="F1092">
        <v>0</v>
      </c>
      <c r="G1092">
        <v>6.42</v>
      </c>
      <c r="H1092" t="s">
        <v>8588</v>
      </c>
      <c r="I1092">
        <v>6</v>
      </c>
      <c r="J1092" t="s">
        <v>445</v>
      </c>
      <c r="M1092">
        <v>2391</v>
      </c>
      <c r="N1092" t="s">
        <v>16004</v>
      </c>
    </row>
    <row r="1093" spans="1:14">
      <c r="A1093">
        <v>12027007</v>
      </c>
      <c r="B1093">
        <v>3032535</v>
      </c>
      <c r="C1093" t="s">
        <v>868</v>
      </c>
      <c r="D1093" t="s">
        <v>441</v>
      </c>
      <c r="F1093">
        <v>0</v>
      </c>
      <c r="G1093">
        <v>10.88</v>
      </c>
      <c r="H1093" t="s">
        <v>8588</v>
      </c>
      <c r="I1093">
        <v>6</v>
      </c>
      <c r="J1093" t="s">
        <v>445</v>
      </c>
      <c r="M1093">
        <v>2391</v>
      </c>
      <c r="N1093" t="s">
        <v>16004</v>
      </c>
    </row>
    <row r="1094" spans="1:14">
      <c r="A1094">
        <v>12029000</v>
      </c>
      <c r="B1094">
        <v>3031005</v>
      </c>
      <c r="C1094" t="s">
        <v>869</v>
      </c>
      <c r="D1094" t="s">
        <v>441</v>
      </c>
      <c r="F1094">
        <v>0</v>
      </c>
      <c r="G1094">
        <v>6.42</v>
      </c>
      <c r="H1094" t="s">
        <v>8588</v>
      </c>
      <c r="I1094">
        <v>2</v>
      </c>
      <c r="J1094" t="s">
        <v>445</v>
      </c>
      <c r="M1094">
        <v>3111</v>
      </c>
      <c r="N1094" t="s">
        <v>16004</v>
      </c>
    </row>
    <row r="1095" spans="1:14">
      <c r="A1095">
        <v>12029900</v>
      </c>
      <c r="B1095">
        <v>3030953</v>
      </c>
      <c r="C1095" t="s">
        <v>870</v>
      </c>
      <c r="D1095" t="s">
        <v>441</v>
      </c>
      <c r="F1095">
        <v>0</v>
      </c>
      <c r="H1095" t="s">
        <v>8584</v>
      </c>
      <c r="I1095">
        <v>2</v>
      </c>
      <c r="J1095" t="s">
        <v>445</v>
      </c>
      <c r="M1095">
        <v>6666</v>
      </c>
      <c r="N1095" t="s">
        <v>16004</v>
      </c>
    </row>
    <row r="1096" spans="1:14">
      <c r="A1096">
        <v>12030000</v>
      </c>
      <c r="B1096">
        <v>3014490</v>
      </c>
      <c r="C1096" t="s">
        <v>871</v>
      </c>
      <c r="D1096" t="s">
        <v>441</v>
      </c>
      <c r="F1096">
        <v>0</v>
      </c>
      <c r="G1096">
        <v>10.02</v>
      </c>
      <c r="I1096">
        <v>6</v>
      </c>
      <c r="J1096" t="s">
        <v>445</v>
      </c>
      <c r="K1096" t="s">
        <v>446</v>
      </c>
      <c r="M1096">
        <v>2390</v>
      </c>
    </row>
    <row r="1097" spans="1:14">
      <c r="A1097">
        <v>12030087</v>
      </c>
      <c r="B1097">
        <v>3016961</v>
      </c>
      <c r="C1097" t="s">
        <v>872</v>
      </c>
      <c r="D1097" t="s">
        <v>441</v>
      </c>
      <c r="F1097">
        <v>0</v>
      </c>
      <c r="G1097">
        <v>9.51</v>
      </c>
      <c r="H1097" t="s">
        <v>8588</v>
      </c>
      <c r="I1097">
        <v>6</v>
      </c>
      <c r="J1097" t="s">
        <v>445</v>
      </c>
      <c r="K1097" t="s">
        <v>446</v>
      </c>
      <c r="M1097">
        <v>2641</v>
      </c>
    </row>
    <row r="1098" spans="1:14">
      <c r="A1098">
        <v>12040000</v>
      </c>
      <c r="B1098">
        <v>3042733</v>
      </c>
      <c r="C1098" t="s">
        <v>873</v>
      </c>
      <c r="D1098" t="s">
        <v>441</v>
      </c>
      <c r="F1098">
        <v>0</v>
      </c>
      <c r="G1098">
        <v>4.25</v>
      </c>
      <c r="H1098" t="s">
        <v>8588</v>
      </c>
      <c r="I1098">
        <v>6</v>
      </c>
      <c r="J1098" t="s">
        <v>445</v>
      </c>
      <c r="M1098">
        <v>2391</v>
      </c>
      <c r="N1098" t="s">
        <v>16006</v>
      </c>
    </row>
    <row r="1099" spans="1:14">
      <c r="A1099">
        <v>12040007</v>
      </c>
      <c r="B1099">
        <v>3042754</v>
      </c>
      <c r="C1099" t="s">
        <v>15396</v>
      </c>
      <c r="D1099" t="s">
        <v>441</v>
      </c>
      <c r="F1099">
        <v>0</v>
      </c>
      <c r="G1099">
        <v>11.03</v>
      </c>
      <c r="H1099" t="s">
        <v>8549</v>
      </c>
      <c r="I1099">
        <v>6</v>
      </c>
      <c r="J1099" t="s">
        <v>445</v>
      </c>
      <c r="M1099">
        <v>3111</v>
      </c>
      <c r="N1099" t="s">
        <v>16006</v>
      </c>
    </row>
    <row r="1100" spans="1:14">
      <c r="A1100">
        <v>12040907</v>
      </c>
      <c r="B1100">
        <v>3042880</v>
      </c>
      <c r="C1100" t="s">
        <v>15397</v>
      </c>
      <c r="D1100" t="s">
        <v>441</v>
      </c>
      <c r="F1100">
        <v>0</v>
      </c>
      <c r="G1100">
        <v>1</v>
      </c>
      <c r="H1100" t="s">
        <v>8549</v>
      </c>
      <c r="I1100">
        <v>6</v>
      </c>
      <c r="J1100" t="s">
        <v>445</v>
      </c>
      <c r="M1100">
        <v>6666</v>
      </c>
      <c r="N1100" t="s">
        <v>16006</v>
      </c>
    </row>
    <row r="1101" spans="1:14">
      <c r="A1101">
        <v>12044000</v>
      </c>
      <c r="B1101">
        <v>3042742</v>
      </c>
      <c r="C1101" t="s">
        <v>874</v>
      </c>
      <c r="D1101" t="s">
        <v>441</v>
      </c>
      <c r="F1101">
        <v>0</v>
      </c>
      <c r="G1101">
        <v>4.25</v>
      </c>
      <c r="H1101" t="s">
        <v>8549</v>
      </c>
      <c r="I1101">
        <v>6</v>
      </c>
      <c r="J1101" t="s">
        <v>445</v>
      </c>
      <c r="M1101">
        <v>2391</v>
      </c>
      <c r="N1101" t="s">
        <v>16006</v>
      </c>
    </row>
    <row r="1102" spans="1:14">
      <c r="A1102">
        <v>12044007</v>
      </c>
      <c r="B1102">
        <v>3042755</v>
      </c>
      <c r="C1102" t="s">
        <v>15398</v>
      </c>
      <c r="D1102" t="s">
        <v>441</v>
      </c>
      <c r="F1102">
        <v>0</v>
      </c>
      <c r="G1102">
        <v>11.03</v>
      </c>
      <c r="H1102" t="s">
        <v>8588</v>
      </c>
      <c r="I1102">
        <v>6</v>
      </c>
      <c r="J1102" t="s">
        <v>445</v>
      </c>
      <c r="M1102">
        <v>3111</v>
      </c>
      <c r="N1102" t="s">
        <v>16006</v>
      </c>
    </row>
    <row r="1103" spans="1:14">
      <c r="A1103">
        <v>12044907</v>
      </c>
      <c r="B1103">
        <v>3042884</v>
      </c>
      <c r="C1103" t="s">
        <v>15399</v>
      </c>
      <c r="D1103" t="s">
        <v>441</v>
      </c>
      <c r="F1103">
        <v>0</v>
      </c>
      <c r="G1103">
        <v>1</v>
      </c>
      <c r="H1103" t="s">
        <v>8588</v>
      </c>
      <c r="I1103">
        <v>6</v>
      </c>
      <c r="J1103" t="s">
        <v>445</v>
      </c>
      <c r="M1103">
        <v>6666</v>
      </c>
      <c r="N1103" t="s">
        <v>16006</v>
      </c>
    </row>
    <row r="1104" spans="1:14">
      <c r="A1104">
        <v>12050000</v>
      </c>
      <c r="B1104">
        <v>3021513</v>
      </c>
      <c r="C1104" t="s">
        <v>875</v>
      </c>
      <c r="D1104" t="s">
        <v>441</v>
      </c>
      <c r="F1104">
        <v>0</v>
      </c>
      <c r="G1104">
        <v>6.5</v>
      </c>
      <c r="H1104" t="s">
        <v>8634</v>
      </c>
      <c r="I1104">
        <v>6</v>
      </c>
      <c r="J1104" t="s">
        <v>445</v>
      </c>
      <c r="M1104">
        <v>2391</v>
      </c>
      <c r="N1104" t="s">
        <v>16007</v>
      </c>
    </row>
    <row r="1105" spans="1:14">
      <c r="A1105">
        <v>12050075</v>
      </c>
      <c r="B1105">
        <v>4024185</v>
      </c>
      <c r="C1105" t="s">
        <v>876</v>
      </c>
      <c r="D1105" t="s">
        <v>441</v>
      </c>
      <c r="F1105">
        <v>0</v>
      </c>
      <c r="G1105">
        <v>6.6</v>
      </c>
      <c r="H1105" t="s">
        <v>8588</v>
      </c>
      <c r="I1105">
        <v>6</v>
      </c>
      <c r="J1105" t="s">
        <v>462</v>
      </c>
      <c r="M1105">
        <v>7112</v>
      </c>
      <c r="N1105" t="s">
        <v>16007</v>
      </c>
    </row>
    <row r="1106" spans="1:14">
      <c r="A1106">
        <v>12050080</v>
      </c>
      <c r="B1106">
        <v>4024361</v>
      </c>
      <c r="C1106" t="s">
        <v>877</v>
      </c>
      <c r="D1106" t="s">
        <v>441</v>
      </c>
      <c r="F1106">
        <v>0</v>
      </c>
      <c r="G1106">
        <v>6.71</v>
      </c>
      <c r="H1106" t="s">
        <v>8588</v>
      </c>
      <c r="I1106">
        <v>6</v>
      </c>
      <c r="J1106" t="s">
        <v>462</v>
      </c>
      <c r="M1106">
        <v>7112</v>
      </c>
      <c r="N1106" t="s">
        <v>16007</v>
      </c>
    </row>
    <row r="1107" spans="1:14">
      <c r="A1107">
        <v>12050087</v>
      </c>
      <c r="B1107">
        <v>4015370</v>
      </c>
      <c r="C1107" t="s">
        <v>9180</v>
      </c>
      <c r="D1107" t="s">
        <v>441</v>
      </c>
      <c r="F1107">
        <v>0</v>
      </c>
      <c r="G1107">
        <v>9.44</v>
      </c>
      <c r="H1107" t="s">
        <v>8588</v>
      </c>
      <c r="I1107">
        <v>6</v>
      </c>
      <c r="J1107" t="s">
        <v>462</v>
      </c>
      <c r="K1107" t="s">
        <v>446</v>
      </c>
      <c r="M1107">
        <v>2641</v>
      </c>
      <c r="N1107" t="s">
        <v>16007</v>
      </c>
    </row>
    <row r="1108" spans="1:14">
      <c r="A1108">
        <v>12051000</v>
      </c>
      <c r="B1108">
        <v>3021517</v>
      </c>
      <c r="C1108" t="s">
        <v>878</v>
      </c>
      <c r="D1108" t="s">
        <v>441</v>
      </c>
      <c r="F1108">
        <v>0</v>
      </c>
      <c r="G1108">
        <v>6.5</v>
      </c>
      <c r="H1108" t="s">
        <v>8634</v>
      </c>
      <c r="I1108">
        <v>6</v>
      </c>
      <c r="J1108" t="s">
        <v>445</v>
      </c>
      <c r="M1108">
        <v>2391</v>
      </c>
      <c r="N1108" t="s">
        <v>16007</v>
      </c>
    </row>
    <row r="1109" spans="1:14">
      <c r="A1109">
        <v>12051087</v>
      </c>
      <c r="B1109">
        <v>4015371</v>
      </c>
      <c r="C1109" t="s">
        <v>9181</v>
      </c>
      <c r="D1109" t="s">
        <v>441</v>
      </c>
      <c r="F1109">
        <v>0</v>
      </c>
      <c r="G1109">
        <v>9.44</v>
      </c>
      <c r="H1109" t="s">
        <v>8588</v>
      </c>
      <c r="I1109">
        <v>6</v>
      </c>
      <c r="J1109" t="s">
        <v>462</v>
      </c>
      <c r="K1109" t="s">
        <v>446</v>
      </c>
      <c r="M1109">
        <v>2641</v>
      </c>
      <c r="N1109" t="s">
        <v>16007</v>
      </c>
    </row>
    <row r="1110" spans="1:14">
      <c r="A1110">
        <v>12060000</v>
      </c>
      <c r="B1110">
        <v>3009396</v>
      </c>
      <c r="C1110" t="s">
        <v>879</v>
      </c>
      <c r="D1110" t="s">
        <v>441</v>
      </c>
      <c r="F1110">
        <v>0</v>
      </c>
      <c r="G1110">
        <v>7.78</v>
      </c>
      <c r="H1110" t="s">
        <v>8580</v>
      </c>
      <c r="I1110">
        <v>6</v>
      </c>
      <c r="J1110" t="s">
        <v>445</v>
      </c>
      <c r="K1110" t="s">
        <v>446</v>
      </c>
      <c r="M1110">
        <v>2390</v>
      </c>
    </row>
    <row r="1111" spans="1:14">
      <c r="A1111">
        <v>12068700</v>
      </c>
      <c r="B1111">
        <v>3007500</v>
      </c>
      <c r="C1111" t="s">
        <v>880</v>
      </c>
      <c r="D1111" t="s">
        <v>441</v>
      </c>
      <c r="F1111">
        <v>0</v>
      </c>
      <c r="I1111">
        <v>9</v>
      </c>
      <c r="J1111" t="s">
        <v>445</v>
      </c>
      <c r="K1111" t="s">
        <v>446</v>
      </c>
      <c r="M1111">
        <v>0</v>
      </c>
    </row>
    <row r="1112" spans="1:14">
      <c r="A1112">
        <v>12070000</v>
      </c>
      <c r="B1112">
        <v>3013589</v>
      </c>
      <c r="C1112" t="s">
        <v>881</v>
      </c>
      <c r="D1112" t="s">
        <v>441</v>
      </c>
      <c r="F1112">
        <v>0</v>
      </c>
      <c r="G1112">
        <v>7.04</v>
      </c>
      <c r="H1112" t="s">
        <v>8580</v>
      </c>
      <c r="I1112">
        <v>6</v>
      </c>
      <c r="J1112" t="s">
        <v>445</v>
      </c>
      <c r="K1112" t="s">
        <v>446</v>
      </c>
      <c r="M1112">
        <v>2390</v>
      </c>
    </row>
    <row r="1113" spans="1:14">
      <c r="A1113">
        <v>12070076</v>
      </c>
      <c r="B1113">
        <v>4010132</v>
      </c>
      <c r="C1113" t="s">
        <v>882</v>
      </c>
      <c r="D1113" t="s">
        <v>441</v>
      </c>
      <c r="F1113">
        <v>0</v>
      </c>
      <c r="G1113">
        <v>7.26</v>
      </c>
      <c r="H1113" t="s">
        <v>8588</v>
      </c>
      <c r="I1113">
        <v>6</v>
      </c>
      <c r="J1113" t="s">
        <v>462</v>
      </c>
      <c r="K1113" t="s">
        <v>446</v>
      </c>
      <c r="M1113">
        <v>2641</v>
      </c>
    </row>
    <row r="1114" spans="1:14">
      <c r="A1114">
        <v>12070080</v>
      </c>
      <c r="B1114">
        <v>4010136</v>
      </c>
      <c r="C1114" t="s">
        <v>883</v>
      </c>
      <c r="D1114" t="s">
        <v>441</v>
      </c>
      <c r="F1114">
        <v>0</v>
      </c>
      <c r="G1114">
        <v>7.38</v>
      </c>
      <c r="H1114" t="s">
        <v>8588</v>
      </c>
      <c r="I1114">
        <v>6</v>
      </c>
      <c r="J1114" t="s">
        <v>462</v>
      </c>
      <c r="K1114" t="s">
        <v>446</v>
      </c>
      <c r="M1114">
        <v>2641</v>
      </c>
    </row>
    <row r="1115" spans="1:14">
      <c r="A1115">
        <v>12080000</v>
      </c>
      <c r="B1115">
        <v>3014132</v>
      </c>
      <c r="C1115" t="s">
        <v>884</v>
      </c>
      <c r="D1115" t="s">
        <v>441</v>
      </c>
      <c r="F1115">
        <v>0</v>
      </c>
      <c r="G1115">
        <v>7.63</v>
      </c>
      <c r="H1115" t="s">
        <v>8580</v>
      </c>
      <c r="I1115">
        <v>6</v>
      </c>
      <c r="J1115" t="s">
        <v>445</v>
      </c>
      <c r="K1115" t="s">
        <v>446</v>
      </c>
      <c r="M1115">
        <v>2390</v>
      </c>
    </row>
    <row r="1116" spans="1:14">
      <c r="A1116">
        <v>12080002</v>
      </c>
      <c r="B1116">
        <v>3016178</v>
      </c>
      <c r="C1116" t="s">
        <v>885</v>
      </c>
      <c r="D1116" t="s">
        <v>441</v>
      </c>
      <c r="F1116">
        <v>0</v>
      </c>
      <c r="G1116">
        <v>12.88</v>
      </c>
      <c r="H1116" t="s">
        <v>8549</v>
      </c>
      <c r="I1116">
        <v>365</v>
      </c>
      <c r="J1116" t="s">
        <v>445</v>
      </c>
      <c r="K1116" t="s">
        <v>446</v>
      </c>
      <c r="M1116">
        <v>2501</v>
      </c>
      <c r="N1116" t="s">
        <v>16008</v>
      </c>
    </row>
    <row r="1117" spans="1:14">
      <c r="A1117">
        <v>12080075</v>
      </c>
      <c r="B1117">
        <v>3014142</v>
      </c>
      <c r="C1117" t="s">
        <v>886</v>
      </c>
      <c r="D1117" t="s">
        <v>441</v>
      </c>
      <c r="F1117">
        <v>0</v>
      </c>
      <c r="G1117">
        <v>12.61</v>
      </c>
      <c r="H1117" t="s">
        <v>8588</v>
      </c>
      <c r="I1117">
        <v>6</v>
      </c>
      <c r="J1117" t="s">
        <v>445</v>
      </c>
      <c r="K1117" t="s">
        <v>446</v>
      </c>
      <c r="M1117">
        <v>2641</v>
      </c>
      <c r="N1117" t="s">
        <v>16008</v>
      </c>
    </row>
    <row r="1118" spans="1:14">
      <c r="A1118">
        <v>12080502</v>
      </c>
      <c r="B1118">
        <v>3016179</v>
      </c>
      <c r="C1118" t="s">
        <v>887</v>
      </c>
      <c r="D1118" t="s">
        <v>441</v>
      </c>
      <c r="F1118">
        <v>0</v>
      </c>
      <c r="G1118">
        <v>12.59</v>
      </c>
      <c r="H1118" t="s">
        <v>8584</v>
      </c>
      <c r="I1118">
        <v>365</v>
      </c>
      <c r="J1118" t="s">
        <v>445</v>
      </c>
      <c r="K1118" t="s">
        <v>446</v>
      </c>
      <c r="M1118">
        <v>2641</v>
      </c>
      <c r="N1118" t="s">
        <v>16008</v>
      </c>
    </row>
    <row r="1119" spans="1:14">
      <c r="A1119">
        <v>12090000</v>
      </c>
      <c r="B1119">
        <v>3014131</v>
      </c>
      <c r="C1119" t="s">
        <v>888</v>
      </c>
      <c r="D1119" t="s">
        <v>441</v>
      </c>
      <c r="F1119">
        <v>0</v>
      </c>
      <c r="G1119">
        <v>12.83</v>
      </c>
      <c r="H1119" t="s">
        <v>8580</v>
      </c>
      <c r="I1119">
        <v>6</v>
      </c>
      <c r="J1119" t="s">
        <v>445</v>
      </c>
      <c r="K1119" t="s">
        <v>446</v>
      </c>
      <c r="M1119">
        <v>2311</v>
      </c>
      <c r="N1119" t="s">
        <v>16008</v>
      </c>
    </row>
    <row r="1120" spans="1:14">
      <c r="A1120">
        <v>12094000</v>
      </c>
      <c r="B1120">
        <v>3041089</v>
      </c>
      <c r="C1120" t="s">
        <v>889</v>
      </c>
      <c r="D1120" t="s">
        <v>441</v>
      </c>
      <c r="F1120">
        <v>0</v>
      </c>
      <c r="G1120">
        <v>8.2100000000000009</v>
      </c>
      <c r="H1120" t="s">
        <v>8549</v>
      </c>
      <c r="I1120">
        <v>6</v>
      </c>
      <c r="J1120" t="s">
        <v>445</v>
      </c>
      <c r="M1120">
        <v>2391</v>
      </c>
      <c r="N1120" t="s">
        <v>16008</v>
      </c>
    </row>
    <row r="1121" spans="1:14">
      <c r="A1121">
        <v>12094002</v>
      </c>
      <c r="B1121">
        <v>3042347</v>
      </c>
      <c r="C1121" t="s">
        <v>890</v>
      </c>
      <c r="D1121" t="s">
        <v>441</v>
      </c>
      <c r="F1121">
        <v>0</v>
      </c>
      <c r="G1121">
        <v>15.18</v>
      </c>
      <c r="H1121" t="s">
        <v>8584</v>
      </c>
      <c r="I1121">
        <v>540</v>
      </c>
      <c r="J1121" t="s">
        <v>445</v>
      </c>
      <c r="M1121">
        <v>7111</v>
      </c>
      <c r="N1121" t="s">
        <v>16008</v>
      </c>
    </row>
    <row r="1122" spans="1:14">
      <c r="A1122">
        <v>12094007</v>
      </c>
      <c r="B1122">
        <v>3041130</v>
      </c>
      <c r="C1122" t="s">
        <v>414</v>
      </c>
      <c r="D1122" t="s">
        <v>441</v>
      </c>
      <c r="F1122">
        <v>0</v>
      </c>
      <c r="G1122">
        <v>8.33</v>
      </c>
      <c r="H1122" t="s">
        <v>8549</v>
      </c>
      <c r="I1122">
        <v>6</v>
      </c>
      <c r="J1122" t="s">
        <v>445</v>
      </c>
      <c r="M1122">
        <v>3111</v>
      </c>
      <c r="N1122" t="s">
        <v>16008</v>
      </c>
    </row>
    <row r="1123" spans="1:14">
      <c r="A1123">
        <v>12094502</v>
      </c>
      <c r="B1123">
        <v>3042348</v>
      </c>
      <c r="C1123" t="s">
        <v>891</v>
      </c>
      <c r="D1123" t="s">
        <v>441</v>
      </c>
      <c r="F1123">
        <v>0</v>
      </c>
      <c r="G1123">
        <v>14.99</v>
      </c>
      <c r="H1123" t="s">
        <v>8584</v>
      </c>
      <c r="I1123">
        <v>540</v>
      </c>
      <c r="J1123" t="s">
        <v>445</v>
      </c>
      <c r="M1123">
        <v>2502</v>
      </c>
      <c r="N1123" t="s">
        <v>16008</v>
      </c>
    </row>
    <row r="1124" spans="1:14">
      <c r="A1124">
        <v>12094602</v>
      </c>
      <c r="B1124">
        <v>3042351</v>
      </c>
      <c r="C1124" t="s">
        <v>892</v>
      </c>
      <c r="D1124" t="s">
        <v>441</v>
      </c>
      <c r="F1124">
        <v>0</v>
      </c>
      <c r="G1124">
        <v>15.58</v>
      </c>
      <c r="H1124" t="s">
        <v>8584</v>
      </c>
      <c r="I1124">
        <v>4</v>
      </c>
      <c r="J1124" t="s">
        <v>445</v>
      </c>
      <c r="M1124">
        <v>2510</v>
      </c>
      <c r="N1124" t="s">
        <v>16008</v>
      </c>
    </row>
    <row r="1125" spans="1:14">
      <c r="A1125">
        <v>12094902</v>
      </c>
      <c r="B1125">
        <v>3042246</v>
      </c>
      <c r="C1125" t="s">
        <v>893</v>
      </c>
      <c r="D1125" t="s">
        <v>441</v>
      </c>
      <c r="F1125">
        <v>0</v>
      </c>
      <c r="G1125">
        <v>15.58</v>
      </c>
      <c r="H1125" t="s">
        <v>8584</v>
      </c>
      <c r="I1125">
        <v>4</v>
      </c>
      <c r="J1125" t="s">
        <v>445</v>
      </c>
      <c r="M1125">
        <v>6666</v>
      </c>
      <c r="N1125" t="s">
        <v>16008</v>
      </c>
    </row>
    <row r="1126" spans="1:14">
      <c r="A1126">
        <v>12094907</v>
      </c>
      <c r="B1126">
        <v>3041141</v>
      </c>
      <c r="C1126" t="s">
        <v>241</v>
      </c>
      <c r="D1126" t="s">
        <v>441</v>
      </c>
      <c r="F1126">
        <v>0</v>
      </c>
      <c r="G1126">
        <v>1</v>
      </c>
      <c r="H1126" t="s">
        <v>8549</v>
      </c>
      <c r="I1126">
        <v>6</v>
      </c>
      <c r="J1126" t="s">
        <v>445</v>
      </c>
      <c r="M1126">
        <v>6666</v>
      </c>
      <c r="N1126" t="s">
        <v>16008</v>
      </c>
    </row>
    <row r="1127" spans="1:14">
      <c r="A1127">
        <v>12100000</v>
      </c>
      <c r="B1127">
        <v>3014148</v>
      </c>
      <c r="C1127" t="s">
        <v>894</v>
      </c>
      <c r="D1127" t="s">
        <v>441</v>
      </c>
      <c r="F1127">
        <v>0</v>
      </c>
      <c r="G1127">
        <v>9.59</v>
      </c>
      <c r="H1127" t="s">
        <v>8634</v>
      </c>
      <c r="I1127">
        <v>6</v>
      </c>
      <c r="J1127" t="s">
        <v>445</v>
      </c>
      <c r="K1127" t="s">
        <v>446</v>
      </c>
      <c r="M1127">
        <v>2390</v>
      </c>
    </row>
    <row r="1128" spans="1:14">
      <c r="A1128">
        <v>12100020</v>
      </c>
      <c r="B1128">
        <v>4010134</v>
      </c>
      <c r="C1128" t="s">
        <v>9182</v>
      </c>
      <c r="D1128" t="s">
        <v>441</v>
      </c>
      <c r="F1128">
        <v>0</v>
      </c>
      <c r="G1128">
        <v>10.25</v>
      </c>
      <c r="H1128" t="s">
        <v>8588</v>
      </c>
      <c r="I1128">
        <v>6</v>
      </c>
      <c r="J1128" t="s">
        <v>462</v>
      </c>
      <c r="K1128" t="s">
        <v>446</v>
      </c>
      <c r="M1128">
        <v>2612</v>
      </c>
      <c r="N1128" t="s">
        <v>16009</v>
      </c>
    </row>
    <row r="1129" spans="1:14">
      <c r="A1129">
        <v>12100050</v>
      </c>
      <c r="B1129">
        <v>4010881</v>
      </c>
      <c r="C1129" t="s">
        <v>9183</v>
      </c>
      <c r="D1129" t="s">
        <v>441</v>
      </c>
      <c r="F1129">
        <v>0</v>
      </c>
      <c r="G1129">
        <v>7.72</v>
      </c>
      <c r="H1129" t="s">
        <v>8588</v>
      </c>
      <c r="I1129">
        <v>16</v>
      </c>
      <c r="J1129" t="s">
        <v>462</v>
      </c>
      <c r="K1129" t="s">
        <v>446</v>
      </c>
      <c r="M1129">
        <v>2612</v>
      </c>
    </row>
    <row r="1130" spans="1:14">
      <c r="A1130">
        <v>12101020</v>
      </c>
      <c r="B1130">
        <v>4012032</v>
      </c>
      <c r="C1130" t="s">
        <v>9184</v>
      </c>
      <c r="D1130" t="s">
        <v>441</v>
      </c>
      <c r="F1130">
        <v>0</v>
      </c>
      <c r="G1130">
        <v>10.16</v>
      </c>
      <c r="H1130" t="s">
        <v>8588</v>
      </c>
      <c r="I1130">
        <v>6</v>
      </c>
      <c r="J1130" t="s">
        <v>462</v>
      </c>
      <c r="K1130" t="s">
        <v>446</v>
      </c>
      <c r="M1130">
        <v>2612</v>
      </c>
      <c r="N1130" t="s">
        <v>16009</v>
      </c>
    </row>
    <row r="1131" spans="1:14">
      <c r="A1131">
        <v>12101050</v>
      </c>
      <c r="B1131">
        <v>4012121</v>
      </c>
      <c r="C1131" t="s">
        <v>9185</v>
      </c>
      <c r="D1131" t="s">
        <v>441</v>
      </c>
      <c r="F1131">
        <v>0</v>
      </c>
      <c r="G1131">
        <v>10.39</v>
      </c>
      <c r="H1131" t="s">
        <v>8588</v>
      </c>
      <c r="I1131">
        <v>16</v>
      </c>
      <c r="J1131" t="s">
        <v>462</v>
      </c>
      <c r="K1131" t="s">
        <v>446</v>
      </c>
      <c r="M1131">
        <v>2612</v>
      </c>
      <c r="N1131" t="s">
        <v>16009</v>
      </c>
    </row>
    <row r="1132" spans="1:14">
      <c r="A1132">
        <v>12110000</v>
      </c>
      <c r="B1132">
        <v>3014143</v>
      </c>
      <c r="C1132" t="s">
        <v>895</v>
      </c>
      <c r="D1132" t="s">
        <v>441</v>
      </c>
      <c r="F1132">
        <v>0</v>
      </c>
      <c r="G1132">
        <v>9.89</v>
      </c>
      <c r="H1132" t="s">
        <v>8634</v>
      </c>
      <c r="I1132">
        <v>6</v>
      </c>
      <c r="J1132" t="s">
        <v>445</v>
      </c>
      <c r="K1132" t="s">
        <v>446</v>
      </c>
      <c r="M1132">
        <v>2390</v>
      </c>
    </row>
    <row r="1133" spans="1:14">
      <c r="A1133">
        <v>12110020</v>
      </c>
      <c r="B1133">
        <v>4010152</v>
      </c>
      <c r="C1133" t="s">
        <v>9186</v>
      </c>
      <c r="D1133" t="s">
        <v>441</v>
      </c>
      <c r="F1133">
        <v>0</v>
      </c>
      <c r="G1133">
        <v>11.8</v>
      </c>
      <c r="H1133" t="s">
        <v>8588</v>
      </c>
      <c r="I1133">
        <v>6</v>
      </c>
      <c r="J1133" t="s">
        <v>462</v>
      </c>
      <c r="K1133" t="s">
        <v>446</v>
      </c>
      <c r="M1133">
        <v>2612</v>
      </c>
      <c r="N1133" t="s">
        <v>16010</v>
      </c>
    </row>
    <row r="1134" spans="1:14">
      <c r="A1134">
        <v>12110050</v>
      </c>
      <c r="B1134">
        <v>4010880</v>
      </c>
      <c r="C1134" t="s">
        <v>9187</v>
      </c>
      <c r="D1134" t="s">
        <v>441</v>
      </c>
      <c r="F1134">
        <v>0</v>
      </c>
      <c r="G1134">
        <v>8.74</v>
      </c>
      <c r="H1134" t="s">
        <v>8588</v>
      </c>
      <c r="I1134">
        <v>16</v>
      </c>
      <c r="J1134" t="s">
        <v>462</v>
      </c>
      <c r="K1134" t="s">
        <v>446</v>
      </c>
      <c r="M1134">
        <v>2612</v>
      </c>
      <c r="N1134" t="s">
        <v>16010</v>
      </c>
    </row>
    <row r="1135" spans="1:14">
      <c r="A1135">
        <v>12111020</v>
      </c>
      <c r="B1135">
        <v>4012037</v>
      </c>
      <c r="C1135" t="s">
        <v>9188</v>
      </c>
      <c r="D1135" t="s">
        <v>441</v>
      </c>
      <c r="F1135">
        <v>0</v>
      </c>
      <c r="G1135">
        <v>11.8</v>
      </c>
      <c r="H1135" t="s">
        <v>8588</v>
      </c>
      <c r="I1135">
        <v>6</v>
      </c>
      <c r="J1135" t="s">
        <v>462</v>
      </c>
      <c r="K1135" t="s">
        <v>446</v>
      </c>
      <c r="M1135">
        <v>2612</v>
      </c>
      <c r="N1135" t="s">
        <v>16010</v>
      </c>
    </row>
    <row r="1136" spans="1:14">
      <c r="A1136">
        <v>12111050</v>
      </c>
      <c r="B1136">
        <v>4012120</v>
      </c>
      <c r="C1136" t="s">
        <v>9189</v>
      </c>
      <c r="D1136" t="s">
        <v>441</v>
      </c>
      <c r="F1136">
        <v>0</v>
      </c>
      <c r="G1136">
        <v>8.74</v>
      </c>
      <c r="H1136" t="s">
        <v>8588</v>
      </c>
      <c r="I1136">
        <v>16</v>
      </c>
      <c r="J1136" t="s">
        <v>462</v>
      </c>
      <c r="K1136" t="s">
        <v>446</v>
      </c>
      <c r="M1136">
        <v>2612</v>
      </c>
      <c r="N1136" t="s">
        <v>16010</v>
      </c>
    </row>
    <row r="1137" spans="1:14">
      <c r="A1137">
        <v>12120000</v>
      </c>
      <c r="B1137">
        <v>3014147</v>
      </c>
      <c r="C1137" t="s">
        <v>896</v>
      </c>
      <c r="D1137" t="s">
        <v>441</v>
      </c>
      <c r="F1137">
        <v>0</v>
      </c>
      <c r="G1137">
        <v>9.59</v>
      </c>
      <c r="H1137" t="s">
        <v>8634</v>
      </c>
      <c r="I1137">
        <v>6</v>
      </c>
      <c r="J1137" t="s">
        <v>445</v>
      </c>
      <c r="K1137" t="s">
        <v>446</v>
      </c>
      <c r="M1137">
        <v>2390</v>
      </c>
    </row>
    <row r="1138" spans="1:14">
      <c r="A1138">
        <v>12120020</v>
      </c>
      <c r="B1138">
        <v>4010151</v>
      </c>
      <c r="C1138" t="s">
        <v>9190</v>
      </c>
      <c r="D1138" t="s">
        <v>441</v>
      </c>
      <c r="F1138">
        <v>0</v>
      </c>
      <c r="G1138">
        <v>11.55</v>
      </c>
      <c r="H1138" t="s">
        <v>8588</v>
      </c>
      <c r="I1138">
        <v>6</v>
      </c>
      <c r="J1138" t="s">
        <v>462</v>
      </c>
      <c r="K1138" t="s">
        <v>446</v>
      </c>
      <c r="M1138">
        <v>2612</v>
      </c>
      <c r="N1138" t="s">
        <v>16011</v>
      </c>
    </row>
    <row r="1139" spans="1:14">
      <c r="A1139">
        <v>12120050</v>
      </c>
      <c r="B1139">
        <v>4010859</v>
      </c>
      <c r="C1139" t="s">
        <v>9191</v>
      </c>
      <c r="D1139" t="s">
        <v>441</v>
      </c>
      <c r="F1139">
        <v>0</v>
      </c>
      <c r="G1139">
        <v>8.61</v>
      </c>
      <c r="H1139" t="s">
        <v>8588</v>
      </c>
      <c r="I1139">
        <v>16</v>
      </c>
      <c r="J1139" t="s">
        <v>462</v>
      </c>
      <c r="K1139" t="s">
        <v>446</v>
      </c>
      <c r="M1139">
        <v>2612</v>
      </c>
      <c r="N1139" t="s">
        <v>16011</v>
      </c>
    </row>
    <row r="1140" spans="1:14">
      <c r="A1140">
        <v>12121020</v>
      </c>
      <c r="B1140">
        <v>4012036</v>
      </c>
      <c r="C1140" t="s">
        <v>9192</v>
      </c>
      <c r="D1140" t="s">
        <v>441</v>
      </c>
      <c r="F1140">
        <v>0</v>
      </c>
      <c r="G1140">
        <v>11.55</v>
      </c>
      <c r="H1140" t="s">
        <v>8588</v>
      </c>
      <c r="I1140">
        <v>6</v>
      </c>
      <c r="J1140" t="s">
        <v>462</v>
      </c>
      <c r="K1140" t="s">
        <v>446</v>
      </c>
      <c r="M1140">
        <v>2612</v>
      </c>
      <c r="N1140" t="s">
        <v>16011</v>
      </c>
    </row>
    <row r="1141" spans="1:14">
      <c r="A1141">
        <v>12121050</v>
      </c>
      <c r="B1141">
        <v>4012114</v>
      </c>
      <c r="C1141" t="s">
        <v>9193</v>
      </c>
      <c r="D1141" t="s">
        <v>441</v>
      </c>
      <c r="F1141">
        <v>0</v>
      </c>
      <c r="G1141">
        <v>8.61</v>
      </c>
      <c r="H1141" t="s">
        <v>8588</v>
      </c>
      <c r="I1141">
        <v>16</v>
      </c>
      <c r="J1141" t="s">
        <v>462</v>
      </c>
      <c r="K1141" t="s">
        <v>446</v>
      </c>
      <c r="M1141">
        <v>2612</v>
      </c>
      <c r="N1141" t="s">
        <v>16011</v>
      </c>
    </row>
    <row r="1142" spans="1:14">
      <c r="A1142">
        <v>12130000</v>
      </c>
      <c r="B1142">
        <v>3014281</v>
      </c>
      <c r="C1142" t="s">
        <v>9194</v>
      </c>
      <c r="D1142" t="s">
        <v>441</v>
      </c>
      <c r="F1142">
        <v>0</v>
      </c>
      <c r="G1142">
        <v>12.85</v>
      </c>
      <c r="H1142" t="s">
        <v>8580</v>
      </c>
      <c r="I1142">
        <v>6</v>
      </c>
      <c r="J1142" t="s">
        <v>445</v>
      </c>
      <c r="K1142" t="s">
        <v>446</v>
      </c>
      <c r="M1142">
        <v>2390</v>
      </c>
    </row>
    <row r="1143" spans="1:14">
      <c r="A1143">
        <v>12130050</v>
      </c>
      <c r="B1143">
        <v>4010518</v>
      </c>
      <c r="C1143" t="s">
        <v>897</v>
      </c>
      <c r="D1143" t="s">
        <v>441</v>
      </c>
      <c r="F1143">
        <v>0</v>
      </c>
      <c r="G1143">
        <v>14.31</v>
      </c>
      <c r="H1143" t="s">
        <v>8588</v>
      </c>
      <c r="I1143">
        <v>16</v>
      </c>
      <c r="J1143" t="s">
        <v>462</v>
      </c>
      <c r="K1143" t="s">
        <v>446</v>
      </c>
      <c r="M1143">
        <v>2612</v>
      </c>
      <c r="N1143" t="s">
        <v>16012</v>
      </c>
    </row>
    <row r="1144" spans="1:14">
      <c r="A1144">
        <v>12130051</v>
      </c>
      <c r="B1144">
        <v>4012939</v>
      </c>
      <c r="C1144" t="s">
        <v>898</v>
      </c>
      <c r="D1144" t="s">
        <v>441</v>
      </c>
      <c r="F1144">
        <v>0</v>
      </c>
      <c r="G1144">
        <v>10.65</v>
      </c>
      <c r="H1144" t="s">
        <v>8588</v>
      </c>
      <c r="I1144">
        <v>365</v>
      </c>
      <c r="J1144" t="s">
        <v>462</v>
      </c>
      <c r="K1144" t="s">
        <v>446</v>
      </c>
      <c r="M1144">
        <v>2501</v>
      </c>
      <c r="N1144" t="s">
        <v>16012</v>
      </c>
    </row>
    <row r="1145" spans="1:14">
      <c r="A1145">
        <v>12130551</v>
      </c>
      <c r="B1145">
        <v>3018634</v>
      </c>
      <c r="C1145" t="s">
        <v>899</v>
      </c>
      <c r="D1145" t="s">
        <v>441</v>
      </c>
      <c r="F1145">
        <v>0</v>
      </c>
      <c r="G1145">
        <v>10.43</v>
      </c>
      <c r="H1145" t="s">
        <v>8580</v>
      </c>
      <c r="I1145">
        <v>365</v>
      </c>
      <c r="J1145" t="s">
        <v>445</v>
      </c>
      <c r="K1145" t="s">
        <v>446</v>
      </c>
      <c r="M1145">
        <v>2612</v>
      </c>
      <c r="N1145" t="s">
        <v>16012</v>
      </c>
    </row>
    <row r="1146" spans="1:14">
      <c r="A1146">
        <v>12131050</v>
      </c>
      <c r="B1146">
        <v>4012042</v>
      </c>
      <c r="C1146" t="s">
        <v>900</v>
      </c>
      <c r="D1146" t="s">
        <v>441</v>
      </c>
      <c r="F1146">
        <v>0</v>
      </c>
      <c r="G1146">
        <v>14.33</v>
      </c>
      <c r="H1146" t="s">
        <v>8588</v>
      </c>
      <c r="I1146">
        <v>16</v>
      </c>
      <c r="J1146" t="s">
        <v>462</v>
      </c>
      <c r="K1146" t="s">
        <v>446</v>
      </c>
      <c r="M1146">
        <v>2612</v>
      </c>
      <c r="N1146" t="s">
        <v>16012</v>
      </c>
    </row>
    <row r="1147" spans="1:14">
      <c r="A1147">
        <v>12131051</v>
      </c>
      <c r="B1147">
        <v>4012940</v>
      </c>
      <c r="C1147" t="s">
        <v>901</v>
      </c>
      <c r="D1147" t="s">
        <v>441</v>
      </c>
      <c r="F1147">
        <v>0</v>
      </c>
      <c r="G1147">
        <v>10.65</v>
      </c>
      <c r="H1147" t="s">
        <v>8588</v>
      </c>
      <c r="I1147">
        <v>365</v>
      </c>
      <c r="J1147" t="s">
        <v>462</v>
      </c>
      <c r="K1147" t="s">
        <v>446</v>
      </c>
      <c r="M1147">
        <v>2501</v>
      </c>
      <c r="N1147" t="s">
        <v>16012</v>
      </c>
    </row>
    <row r="1148" spans="1:14">
      <c r="A1148">
        <v>12131551</v>
      </c>
      <c r="B1148">
        <v>3018635</v>
      </c>
      <c r="C1148" t="s">
        <v>902</v>
      </c>
      <c r="D1148" t="s">
        <v>441</v>
      </c>
      <c r="F1148">
        <v>0</v>
      </c>
      <c r="G1148">
        <v>10.43</v>
      </c>
      <c r="H1148" t="s">
        <v>8580</v>
      </c>
      <c r="I1148">
        <v>365</v>
      </c>
      <c r="J1148" t="s">
        <v>445</v>
      </c>
      <c r="K1148" t="s">
        <v>446</v>
      </c>
      <c r="M1148">
        <v>2612</v>
      </c>
      <c r="N1148" t="s">
        <v>16012</v>
      </c>
    </row>
    <row r="1149" spans="1:14">
      <c r="A1149">
        <v>12140000</v>
      </c>
      <c r="B1149">
        <v>3014336</v>
      </c>
      <c r="C1149" t="s">
        <v>903</v>
      </c>
      <c r="D1149" t="s">
        <v>441</v>
      </c>
      <c r="F1149">
        <v>0</v>
      </c>
      <c r="G1149">
        <v>8.17</v>
      </c>
      <c r="I1149">
        <v>6</v>
      </c>
      <c r="J1149" t="s">
        <v>445</v>
      </c>
      <c r="K1149" t="s">
        <v>446</v>
      </c>
      <c r="M1149">
        <v>2390</v>
      </c>
    </row>
    <row r="1150" spans="1:14">
      <c r="A1150">
        <v>12140076</v>
      </c>
      <c r="B1150">
        <v>4010599</v>
      </c>
      <c r="C1150" t="s">
        <v>904</v>
      </c>
      <c r="D1150" t="s">
        <v>441</v>
      </c>
      <c r="F1150">
        <v>0</v>
      </c>
      <c r="G1150">
        <v>9.3800000000000008</v>
      </c>
      <c r="H1150" t="s">
        <v>8588</v>
      </c>
      <c r="I1150">
        <v>6</v>
      </c>
      <c r="J1150" t="s">
        <v>462</v>
      </c>
      <c r="K1150" t="s">
        <v>446</v>
      </c>
      <c r="M1150">
        <v>2641</v>
      </c>
      <c r="N1150" t="s">
        <v>16013</v>
      </c>
    </row>
    <row r="1151" spans="1:14">
      <c r="A1151">
        <v>12140080</v>
      </c>
      <c r="B1151">
        <v>4010553</v>
      </c>
      <c r="C1151" t="s">
        <v>9195</v>
      </c>
      <c r="D1151" t="s">
        <v>441</v>
      </c>
      <c r="F1151">
        <v>0</v>
      </c>
      <c r="G1151">
        <v>9.31</v>
      </c>
      <c r="H1151" t="s">
        <v>8588</v>
      </c>
      <c r="I1151">
        <v>6</v>
      </c>
      <c r="J1151" t="s">
        <v>462</v>
      </c>
      <c r="K1151" t="s">
        <v>446</v>
      </c>
      <c r="M1151">
        <v>2641</v>
      </c>
      <c r="N1151" t="s">
        <v>16013</v>
      </c>
    </row>
    <row r="1152" spans="1:14">
      <c r="A1152">
        <v>12141080</v>
      </c>
      <c r="B1152">
        <v>4012052</v>
      </c>
      <c r="C1152" t="s">
        <v>9196</v>
      </c>
      <c r="D1152" t="s">
        <v>441</v>
      </c>
      <c r="F1152">
        <v>0</v>
      </c>
      <c r="G1152">
        <v>9.4</v>
      </c>
      <c r="H1152" t="s">
        <v>8588</v>
      </c>
      <c r="I1152">
        <v>6</v>
      </c>
      <c r="J1152" t="s">
        <v>462</v>
      </c>
      <c r="K1152" t="s">
        <v>446</v>
      </c>
      <c r="M1152">
        <v>2641</v>
      </c>
      <c r="N1152" t="s">
        <v>16013</v>
      </c>
    </row>
    <row r="1153" spans="1:14">
      <c r="A1153">
        <v>12150000</v>
      </c>
      <c r="B1153">
        <v>3014334</v>
      </c>
      <c r="C1153" t="s">
        <v>905</v>
      </c>
      <c r="D1153" t="s">
        <v>441</v>
      </c>
      <c r="F1153">
        <v>0</v>
      </c>
      <c r="G1153">
        <v>9.51</v>
      </c>
      <c r="H1153" t="s">
        <v>8580</v>
      </c>
      <c r="I1153">
        <v>6</v>
      </c>
      <c r="J1153" t="s">
        <v>445</v>
      </c>
      <c r="K1153" t="s">
        <v>446</v>
      </c>
      <c r="M1153">
        <v>2390</v>
      </c>
    </row>
    <row r="1154" spans="1:14">
      <c r="A1154">
        <v>12150050</v>
      </c>
      <c r="B1154">
        <v>4010869</v>
      </c>
      <c r="C1154" t="s">
        <v>9197</v>
      </c>
      <c r="D1154" t="s">
        <v>441</v>
      </c>
      <c r="F1154">
        <v>0</v>
      </c>
      <c r="G1154">
        <v>11.72</v>
      </c>
      <c r="H1154" t="s">
        <v>8588</v>
      </c>
      <c r="I1154">
        <v>16</v>
      </c>
      <c r="J1154" t="s">
        <v>462</v>
      </c>
      <c r="K1154" t="s">
        <v>446</v>
      </c>
      <c r="M1154">
        <v>2612</v>
      </c>
      <c r="N1154" t="s">
        <v>16014</v>
      </c>
    </row>
    <row r="1155" spans="1:14">
      <c r="A1155">
        <v>12150051</v>
      </c>
      <c r="B1155">
        <v>4018789</v>
      </c>
      <c r="C1155" t="s">
        <v>9198</v>
      </c>
      <c r="D1155" t="s">
        <v>441</v>
      </c>
      <c r="F1155">
        <v>0</v>
      </c>
      <c r="G1155">
        <v>11.75</v>
      </c>
      <c r="H1155" t="s">
        <v>8588</v>
      </c>
      <c r="I1155">
        <v>16</v>
      </c>
      <c r="J1155" t="s">
        <v>462</v>
      </c>
      <c r="K1155" t="s">
        <v>446</v>
      </c>
      <c r="M1155">
        <v>2612</v>
      </c>
      <c r="N1155" t="s">
        <v>16014</v>
      </c>
    </row>
    <row r="1156" spans="1:14">
      <c r="A1156">
        <v>12150052</v>
      </c>
      <c r="B1156">
        <v>4019848</v>
      </c>
      <c r="C1156" t="s">
        <v>15572</v>
      </c>
      <c r="D1156" t="s">
        <v>441</v>
      </c>
      <c r="F1156">
        <v>0</v>
      </c>
      <c r="G1156">
        <v>15.96</v>
      </c>
      <c r="H1156" t="s">
        <v>8588</v>
      </c>
      <c r="I1156">
        <v>16</v>
      </c>
      <c r="J1156" t="s">
        <v>462</v>
      </c>
      <c r="M1156">
        <v>7112</v>
      </c>
      <c r="N1156" t="s">
        <v>16014</v>
      </c>
    </row>
    <row r="1157" spans="1:14">
      <c r="A1157">
        <v>12150080</v>
      </c>
      <c r="B1157">
        <v>4010550</v>
      </c>
      <c r="C1157" t="s">
        <v>9199</v>
      </c>
      <c r="D1157" t="s">
        <v>441</v>
      </c>
      <c r="F1157">
        <v>0</v>
      </c>
      <c r="G1157">
        <v>11.49</v>
      </c>
      <c r="H1157" t="s">
        <v>8588</v>
      </c>
      <c r="I1157">
        <v>6</v>
      </c>
      <c r="J1157" t="s">
        <v>462</v>
      </c>
      <c r="K1157" t="s">
        <v>446</v>
      </c>
      <c r="M1157">
        <v>2641</v>
      </c>
      <c r="N1157" t="s">
        <v>16014</v>
      </c>
    </row>
    <row r="1158" spans="1:14">
      <c r="A1158">
        <v>12151050</v>
      </c>
      <c r="B1158">
        <v>4012119</v>
      </c>
      <c r="C1158" t="s">
        <v>9200</v>
      </c>
      <c r="D1158" t="s">
        <v>441</v>
      </c>
      <c r="F1158">
        <v>0</v>
      </c>
      <c r="G1158">
        <v>11.67</v>
      </c>
      <c r="H1158" t="s">
        <v>8588</v>
      </c>
      <c r="I1158">
        <v>16</v>
      </c>
      <c r="J1158" t="s">
        <v>462</v>
      </c>
      <c r="K1158" t="s">
        <v>446</v>
      </c>
      <c r="M1158">
        <v>2612</v>
      </c>
      <c r="N1158" t="s">
        <v>16014</v>
      </c>
    </row>
    <row r="1159" spans="1:14">
      <c r="A1159">
        <v>12151051</v>
      </c>
      <c r="B1159">
        <v>4018788</v>
      </c>
      <c r="C1159" t="s">
        <v>9201</v>
      </c>
      <c r="D1159" t="s">
        <v>441</v>
      </c>
      <c r="F1159">
        <v>0</v>
      </c>
      <c r="G1159">
        <v>11.75</v>
      </c>
      <c r="H1159" t="s">
        <v>8588</v>
      </c>
      <c r="I1159">
        <v>16</v>
      </c>
      <c r="J1159" t="s">
        <v>462</v>
      </c>
      <c r="K1159" t="s">
        <v>446</v>
      </c>
      <c r="M1159">
        <v>2612</v>
      </c>
      <c r="N1159" t="s">
        <v>16014</v>
      </c>
    </row>
    <row r="1160" spans="1:14">
      <c r="A1160">
        <v>12151052</v>
      </c>
      <c r="B1160">
        <v>4019849</v>
      </c>
      <c r="C1160" t="s">
        <v>9202</v>
      </c>
      <c r="D1160" t="s">
        <v>441</v>
      </c>
      <c r="F1160">
        <v>0</v>
      </c>
      <c r="G1160">
        <v>11.66</v>
      </c>
      <c r="H1160" t="s">
        <v>8588</v>
      </c>
      <c r="I1160">
        <v>16</v>
      </c>
      <c r="J1160" t="s">
        <v>462</v>
      </c>
      <c r="K1160" t="s">
        <v>446</v>
      </c>
      <c r="M1160">
        <v>2612</v>
      </c>
      <c r="N1160" t="s">
        <v>16014</v>
      </c>
    </row>
    <row r="1161" spans="1:14">
      <c r="A1161">
        <v>12151080</v>
      </c>
      <c r="B1161">
        <v>4012051</v>
      </c>
      <c r="C1161" t="s">
        <v>9203</v>
      </c>
      <c r="D1161" t="s">
        <v>441</v>
      </c>
      <c r="F1161">
        <v>0</v>
      </c>
      <c r="G1161">
        <v>11.49</v>
      </c>
      <c r="H1161" t="s">
        <v>8588</v>
      </c>
      <c r="I1161">
        <v>6</v>
      </c>
      <c r="J1161" t="s">
        <v>462</v>
      </c>
      <c r="K1161" t="s">
        <v>446</v>
      </c>
      <c r="M1161">
        <v>2641</v>
      </c>
      <c r="N1161" t="s">
        <v>16014</v>
      </c>
    </row>
    <row r="1162" spans="1:14">
      <c r="A1162">
        <v>12160000</v>
      </c>
      <c r="B1162">
        <v>3014343</v>
      </c>
      <c r="C1162" t="s">
        <v>906</v>
      </c>
      <c r="D1162" t="s">
        <v>441</v>
      </c>
      <c r="F1162">
        <v>0</v>
      </c>
      <c r="G1162">
        <v>11.66</v>
      </c>
      <c r="I1162">
        <v>6</v>
      </c>
      <c r="J1162" t="s">
        <v>445</v>
      </c>
      <c r="K1162" t="s">
        <v>446</v>
      </c>
      <c r="M1162">
        <v>2390</v>
      </c>
    </row>
    <row r="1163" spans="1:14">
      <c r="A1163">
        <v>12160020</v>
      </c>
      <c r="B1163">
        <v>4011319</v>
      </c>
      <c r="C1163" t="s">
        <v>9204</v>
      </c>
      <c r="D1163" t="s">
        <v>441</v>
      </c>
      <c r="F1163">
        <v>0</v>
      </c>
      <c r="G1163">
        <v>12.93</v>
      </c>
      <c r="H1163" t="s">
        <v>8588</v>
      </c>
      <c r="I1163">
        <v>6</v>
      </c>
      <c r="J1163" t="s">
        <v>462</v>
      </c>
      <c r="K1163" t="s">
        <v>446</v>
      </c>
      <c r="M1163">
        <v>2641</v>
      </c>
      <c r="N1163" t="s">
        <v>16015</v>
      </c>
    </row>
    <row r="1164" spans="1:14">
      <c r="A1164">
        <v>12160050</v>
      </c>
      <c r="B1164">
        <v>4010554</v>
      </c>
      <c r="C1164" t="s">
        <v>9205</v>
      </c>
      <c r="D1164" t="s">
        <v>441</v>
      </c>
      <c r="F1164">
        <v>0</v>
      </c>
      <c r="G1164">
        <v>10.71</v>
      </c>
      <c r="H1164" t="s">
        <v>8588</v>
      </c>
      <c r="I1164">
        <v>16</v>
      </c>
      <c r="J1164" t="s">
        <v>462</v>
      </c>
      <c r="K1164" t="s">
        <v>446</v>
      </c>
      <c r="M1164">
        <v>2612</v>
      </c>
      <c r="N1164" t="s">
        <v>16016</v>
      </c>
    </row>
    <row r="1165" spans="1:14">
      <c r="A1165">
        <v>12161020</v>
      </c>
      <c r="B1165">
        <v>4012183</v>
      </c>
      <c r="C1165" t="s">
        <v>9206</v>
      </c>
      <c r="D1165" t="s">
        <v>441</v>
      </c>
      <c r="F1165">
        <v>0</v>
      </c>
      <c r="G1165">
        <v>12.93</v>
      </c>
      <c r="H1165" t="s">
        <v>8588</v>
      </c>
      <c r="I1165">
        <v>6</v>
      </c>
      <c r="J1165" t="s">
        <v>462</v>
      </c>
      <c r="K1165" t="s">
        <v>446</v>
      </c>
      <c r="M1165">
        <v>2641</v>
      </c>
      <c r="N1165" t="s">
        <v>16015</v>
      </c>
    </row>
    <row r="1166" spans="1:14">
      <c r="A1166">
        <v>12161050</v>
      </c>
      <c r="B1166">
        <v>4012053</v>
      </c>
      <c r="C1166" t="s">
        <v>907</v>
      </c>
      <c r="D1166" t="s">
        <v>441</v>
      </c>
      <c r="F1166">
        <v>0</v>
      </c>
      <c r="G1166">
        <v>11.01</v>
      </c>
      <c r="H1166" t="s">
        <v>8588</v>
      </c>
      <c r="I1166">
        <v>16</v>
      </c>
      <c r="J1166" t="s">
        <v>462</v>
      </c>
      <c r="K1166" t="s">
        <v>446</v>
      </c>
      <c r="M1166">
        <v>2612</v>
      </c>
    </row>
    <row r="1167" spans="1:14">
      <c r="A1167">
        <v>12170000</v>
      </c>
      <c r="B1167">
        <v>3012533</v>
      </c>
      <c r="C1167" t="s">
        <v>908</v>
      </c>
      <c r="D1167" t="s">
        <v>441</v>
      </c>
      <c r="F1167">
        <v>0</v>
      </c>
      <c r="G1167">
        <v>11.01</v>
      </c>
      <c r="I1167">
        <v>6</v>
      </c>
      <c r="J1167" t="s">
        <v>445</v>
      </c>
      <c r="K1167" t="s">
        <v>446</v>
      </c>
      <c r="M1167">
        <v>2390</v>
      </c>
    </row>
    <row r="1168" spans="1:14">
      <c r="A1168">
        <v>12170050</v>
      </c>
      <c r="B1168">
        <v>4010037</v>
      </c>
      <c r="C1168" t="s">
        <v>909</v>
      </c>
      <c r="D1168" t="s">
        <v>441</v>
      </c>
      <c r="F1168">
        <v>0</v>
      </c>
      <c r="G1168">
        <v>11.65</v>
      </c>
      <c r="H1168" t="s">
        <v>8588</v>
      </c>
      <c r="I1168">
        <v>16</v>
      </c>
      <c r="J1168" t="s">
        <v>462</v>
      </c>
      <c r="K1168" t="s">
        <v>446</v>
      </c>
      <c r="M1168">
        <v>2612</v>
      </c>
    </row>
    <row r="1169" spans="1:14">
      <c r="A1169">
        <v>12180000</v>
      </c>
      <c r="B1169">
        <v>3007501</v>
      </c>
      <c r="C1169" t="s">
        <v>910</v>
      </c>
      <c r="D1169" t="s">
        <v>441</v>
      </c>
      <c r="F1169">
        <v>0</v>
      </c>
      <c r="G1169">
        <v>8.1300000000000008</v>
      </c>
      <c r="I1169">
        <v>6</v>
      </c>
      <c r="J1169" t="s">
        <v>445</v>
      </c>
      <c r="K1169" t="s">
        <v>446</v>
      </c>
      <c r="M1169">
        <v>2390</v>
      </c>
    </row>
    <row r="1170" spans="1:14">
      <c r="A1170">
        <v>12180020</v>
      </c>
      <c r="B1170">
        <v>4003768</v>
      </c>
      <c r="C1170" t="s">
        <v>9207</v>
      </c>
      <c r="D1170" t="s">
        <v>441</v>
      </c>
      <c r="F1170">
        <v>0</v>
      </c>
      <c r="G1170">
        <v>8.4700000000000006</v>
      </c>
      <c r="H1170" t="s">
        <v>8588</v>
      </c>
      <c r="I1170">
        <v>6</v>
      </c>
      <c r="J1170" t="s">
        <v>462</v>
      </c>
      <c r="K1170" t="s">
        <v>446</v>
      </c>
      <c r="M1170">
        <v>2641</v>
      </c>
    </row>
    <row r="1171" spans="1:14">
      <c r="A1171">
        <v>12180021</v>
      </c>
      <c r="B1171">
        <v>4008804</v>
      </c>
      <c r="C1171" t="s">
        <v>911</v>
      </c>
      <c r="D1171" t="s">
        <v>441</v>
      </c>
      <c r="F1171">
        <v>0</v>
      </c>
      <c r="G1171">
        <v>8.57</v>
      </c>
      <c r="H1171" t="s">
        <v>8588</v>
      </c>
      <c r="I1171">
        <v>6</v>
      </c>
      <c r="J1171" t="s">
        <v>462</v>
      </c>
      <c r="K1171" t="s">
        <v>446</v>
      </c>
      <c r="M1171">
        <v>2641</v>
      </c>
    </row>
    <row r="1172" spans="1:14">
      <c r="A1172">
        <v>12190000</v>
      </c>
      <c r="B1172">
        <v>3018785</v>
      </c>
      <c r="C1172" t="s">
        <v>912</v>
      </c>
      <c r="D1172" t="s">
        <v>441</v>
      </c>
      <c r="F1172">
        <v>0</v>
      </c>
      <c r="G1172">
        <v>6.48</v>
      </c>
      <c r="H1172" t="s">
        <v>8935</v>
      </c>
      <c r="I1172">
        <v>6</v>
      </c>
      <c r="J1172" t="s">
        <v>445</v>
      </c>
      <c r="M1172">
        <v>2391</v>
      </c>
      <c r="N1172" t="s">
        <v>16017</v>
      </c>
    </row>
    <row r="1173" spans="1:14">
      <c r="A1173">
        <v>12190007</v>
      </c>
      <c r="B1173">
        <v>3024759</v>
      </c>
      <c r="C1173" t="s">
        <v>9208</v>
      </c>
      <c r="D1173" t="s">
        <v>441</v>
      </c>
      <c r="F1173">
        <v>0</v>
      </c>
      <c r="G1173">
        <v>9.5299999999999994</v>
      </c>
      <c r="I1173">
        <v>6</v>
      </c>
      <c r="J1173" t="s">
        <v>445</v>
      </c>
      <c r="K1173" t="s">
        <v>446</v>
      </c>
      <c r="M1173">
        <v>3111</v>
      </c>
      <c r="N1173" t="s">
        <v>16017</v>
      </c>
    </row>
    <row r="1174" spans="1:14">
      <c r="A1174">
        <v>12190076</v>
      </c>
      <c r="B1174">
        <v>4013066</v>
      </c>
      <c r="C1174" t="s">
        <v>9209</v>
      </c>
      <c r="D1174" t="s">
        <v>441</v>
      </c>
      <c r="F1174">
        <v>0</v>
      </c>
      <c r="G1174">
        <v>9.58</v>
      </c>
      <c r="H1174" t="s">
        <v>8588</v>
      </c>
      <c r="I1174">
        <v>6</v>
      </c>
      <c r="J1174" t="s">
        <v>462</v>
      </c>
      <c r="K1174" t="s">
        <v>446</v>
      </c>
      <c r="M1174">
        <v>2641</v>
      </c>
      <c r="N1174" t="s">
        <v>16017</v>
      </c>
    </row>
    <row r="1175" spans="1:14">
      <c r="A1175">
        <v>12190077</v>
      </c>
      <c r="B1175">
        <v>4013114</v>
      </c>
      <c r="C1175" t="s">
        <v>9210</v>
      </c>
      <c r="D1175" t="s">
        <v>441</v>
      </c>
      <c r="F1175">
        <v>0</v>
      </c>
      <c r="G1175">
        <v>9.58</v>
      </c>
      <c r="H1175" t="s">
        <v>8588</v>
      </c>
      <c r="I1175">
        <v>6</v>
      </c>
      <c r="J1175" t="s">
        <v>462</v>
      </c>
      <c r="K1175" t="s">
        <v>446</v>
      </c>
      <c r="M1175">
        <v>2641</v>
      </c>
      <c r="N1175" t="s">
        <v>16017</v>
      </c>
    </row>
    <row r="1176" spans="1:14">
      <c r="A1176">
        <v>12191000</v>
      </c>
      <c r="B1176">
        <v>3018786</v>
      </c>
      <c r="C1176" t="s">
        <v>913</v>
      </c>
      <c r="D1176" t="s">
        <v>441</v>
      </c>
      <c r="F1176">
        <v>0</v>
      </c>
      <c r="G1176">
        <v>6.48</v>
      </c>
      <c r="H1176" t="s">
        <v>8935</v>
      </c>
      <c r="I1176">
        <v>6</v>
      </c>
      <c r="J1176" t="s">
        <v>445</v>
      </c>
      <c r="M1176">
        <v>2391</v>
      </c>
      <c r="N1176" t="s">
        <v>16017</v>
      </c>
    </row>
    <row r="1177" spans="1:14">
      <c r="A1177">
        <v>12191007</v>
      </c>
      <c r="B1177">
        <v>3024860</v>
      </c>
      <c r="C1177" t="s">
        <v>9211</v>
      </c>
      <c r="D1177" t="s">
        <v>441</v>
      </c>
      <c r="F1177">
        <v>0</v>
      </c>
      <c r="G1177">
        <v>9.6199999999999992</v>
      </c>
      <c r="H1177" t="s">
        <v>8584</v>
      </c>
      <c r="I1177">
        <v>6</v>
      </c>
      <c r="J1177" t="s">
        <v>445</v>
      </c>
      <c r="K1177" t="s">
        <v>446</v>
      </c>
      <c r="M1177">
        <v>3111</v>
      </c>
      <c r="N1177" t="s">
        <v>16017</v>
      </c>
    </row>
    <row r="1178" spans="1:14">
      <c r="A1178">
        <v>12191076</v>
      </c>
      <c r="B1178">
        <v>4013067</v>
      </c>
      <c r="C1178" t="s">
        <v>9212</v>
      </c>
      <c r="D1178" t="s">
        <v>441</v>
      </c>
      <c r="F1178">
        <v>0</v>
      </c>
      <c r="G1178">
        <v>9.69</v>
      </c>
      <c r="H1178" t="s">
        <v>8588</v>
      </c>
      <c r="I1178">
        <v>6</v>
      </c>
      <c r="J1178" t="s">
        <v>462</v>
      </c>
      <c r="K1178" t="s">
        <v>446</v>
      </c>
      <c r="M1178">
        <v>2641</v>
      </c>
      <c r="N1178" t="s">
        <v>16017</v>
      </c>
    </row>
    <row r="1179" spans="1:14">
      <c r="A1179">
        <v>12191077</v>
      </c>
      <c r="B1179">
        <v>4013113</v>
      </c>
      <c r="C1179" t="s">
        <v>9213</v>
      </c>
      <c r="D1179" t="s">
        <v>441</v>
      </c>
      <c r="F1179">
        <v>0</v>
      </c>
      <c r="G1179">
        <v>9.69</v>
      </c>
      <c r="H1179" t="s">
        <v>8588</v>
      </c>
      <c r="I1179">
        <v>6</v>
      </c>
      <c r="J1179" t="s">
        <v>462</v>
      </c>
      <c r="K1179" t="s">
        <v>446</v>
      </c>
      <c r="M1179">
        <v>2641</v>
      </c>
      <c r="N1179" t="s">
        <v>16017</v>
      </c>
    </row>
    <row r="1180" spans="1:14">
      <c r="A1180">
        <v>12200000</v>
      </c>
      <c r="B1180">
        <v>3020992</v>
      </c>
      <c r="C1180" t="s">
        <v>914</v>
      </c>
      <c r="D1180" t="s">
        <v>441</v>
      </c>
      <c r="F1180">
        <v>0</v>
      </c>
      <c r="G1180">
        <v>8.19</v>
      </c>
      <c r="H1180" t="s">
        <v>8634</v>
      </c>
      <c r="I1180">
        <v>6</v>
      </c>
      <c r="J1180" t="s">
        <v>445</v>
      </c>
      <c r="M1180">
        <v>2391</v>
      </c>
      <c r="N1180" t="s">
        <v>16018</v>
      </c>
    </row>
    <row r="1181" spans="1:14">
      <c r="A1181">
        <v>12201000</v>
      </c>
      <c r="B1181">
        <v>3020993</v>
      </c>
      <c r="C1181" t="s">
        <v>915</v>
      </c>
      <c r="D1181" t="s">
        <v>441</v>
      </c>
      <c r="F1181">
        <v>0</v>
      </c>
      <c r="G1181">
        <v>8.19</v>
      </c>
      <c r="H1181" t="s">
        <v>8634</v>
      </c>
      <c r="I1181">
        <v>6</v>
      </c>
      <c r="J1181" t="s">
        <v>445</v>
      </c>
      <c r="M1181">
        <v>2391</v>
      </c>
      <c r="N1181" t="s">
        <v>16018</v>
      </c>
    </row>
    <row r="1182" spans="1:14">
      <c r="A1182">
        <v>12208100</v>
      </c>
      <c r="B1182">
        <v>3007502</v>
      </c>
      <c r="C1182" t="s">
        <v>916</v>
      </c>
      <c r="D1182" t="s">
        <v>441</v>
      </c>
      <c r="F1182">
        <v>0</v>
      </c>
      <c r="I1182">
        <v>9</v>
      </c>
      <c r="J1182" t="s">
        <v>445</v>
      </c>
      <c r="K1182" t="s">
        <v>446</v>
      </c>
      <c r="M1182">
        <v>0</v>
      </c>
    </row>
    <row r="1183" spans="1:14">
      <c r="A1183">
        <v>12210000</v>
      </c>
      <c r="B1183">
        <v>3020994</v>
      </c>
      <c r="C1183" t="s">
        <v>9214</v>
      </c>
      <c r="D1183" t="s">
        <v>441</v>
      </c>
      <c r="F1183">
        <v>0</v>
      </c>
      <c r="G1183">
        <v>10.210000000000001</v>
      </c>
      <c r="H1183" t="s">
        <v>8588</v>
      </c>
      <c r="I1183">
        <v>6</v>
      </c>
      <c r="J1183" t="s">
        <v>445</v>
      </c>
      <c r="K1183" t="s">
        <v>446</v>
      </c>
      <c r="M1183">
        <v>2311</v>
      </c>
      <c r="N1183" t="s">
        <v>16019</v>
      </c>
    </row>
    <row r="1184" spans="1:14">
      <c r="A1184">
        <v>12210900</v>
      </c>
      <c r="B1184">
        <v>3020979</v>
      </c>
      <c r="C1184" t="s">
        <v>9215</v>
      </c>
      <c r="D1184" t="s">
        <v>441</v>
      </c>
      <c r="F1184">
        <v>0</v>
      </c>
      <c r="G1184">
        <v>0</v>
      </c>
      <c r="H1184" t="s">
        <v>8580</v>
      </c>
      <c r="I1184">
        <v>6</v>
      </c>
      <c r="J1184" t="s">
        <v>445</v>
      </c>
      <c r="K1184" t="s">
        <v>446</v>
      </c>
      <c r="M1184">
        <v>6666</v>
      </c>
      <c r="N1184" t="s">
        <v>16019</v>
      </c>
    </row>
    <row r="1185" spans="1:14">
      <c r="A1185">
        <v>12211000</v>
      </c>
      <c r="B1185">
        <v>3020995</v>
      </c>
      <c r="C1185" t="s">
        <v>9216</v>
      </c>
      <c r="D1185" t="s">
        <v>441</v>
      </c>
      <c r="F1185">
        <v>0</v>
      </c>
      <c r="G1185">
        <v>10.210000000000001</v>
      </c>
      <c r="H1185" t="s">
        <v>8588</v>
      </c>
      <c r="I1185">
        <v>6</v>
      </c>
      <c r="J1185" t="s">
        <v>445</v>
      </c>
      <c r="K1185" t="s">
        <v>446</v>
      </c>
      <c r="M1185">
        <v>2311</v>
      </c>
      <c r="N1185" t="s">
        <v>16019</v>
      </c>
    </row>
    <row r="1186" spans="1:14">
      <c r="A1186">
        <v>12211900</v>
      </c>
      <c r="B1186">
        <v>3021010</v>
      </c>
      <c r="C1186" t="s">
        <v>9217</v>
      </c>
      <c r="D1186" t="s">
        <v>441</v>
      </c>
      <c r="F1186">
        <v>0</v>
      </c>
      <c r="H1186" t="s">
        <v>8634</v>
      </c>
      <c r="I1186">
        <v>6</v>
      </c>
      <c r="J1186" t="s">
        <v>445</v>
      </c>
      <c r="K1186" t="s">
        <v>446</v>
      </c>
      <c r="M1186">
        <v>6666</v>
      </c>
      <c r="N1186" t="s">
        <v>16019</v>
      </c>
    </row>
    <row r="1187" spans="1:14">
      <c r="A1187">
        <v>12220000</v>
      </c>
      <c r="B1187">
        <v>3020996</v>
      </c>
      <c r="C1187" t="s">
        <v>917</v>
      </c>
      <c r="D1187" t="s">
        <v>441</v>
      </c>
      <c r="F1187">
        <v>0</v>
      </c>
      <c r="G1187">
        <v>8.1300000000000008</v>
      </c>
      <c r="H1187" t="s">
        <v>8588</v>
      </c>
      <c r="I1187">
        <v>6</v>
      </c>
      <c r="J1187" t="s">
        <v>445</v>
      </c>
      <c r="M1187">
        <v>2391</v>
      </c>
      <c r="N1187" t="s">
        <v>16020</v>
      </c>
    </row>
    <row r="1188" spans="1:14">
      <c r="A1188">
        <v>12220002</v>
      </c>
      <c r="B1188">
        <v>3036895</v>
      </c>
      <c r="C1188" t="s">
        <v>918</v>
      </c>
      <c r="D1188" t="s">
        <v>441</v>
      </c>
      <c r="F1188">
        <v>0</v>
      </c>
      <c r="G1188">
        <v>8.58</v>
      </c>
      <c r="H1188" t="s">
        <v>8588</v>
      </c>
      <c r="I1188">
        <v>540</v>
      </c>
      <c r="J1188" t="s">
        <v>445</v>
      </c>
      <c r="M1188">
        <v>7111</v>
      </c>
      <c r="N1188" t="s">
        <v>16020</v>
      </c>
    </row>
    <row r="1189" spans="1:14">
      <c r="A1189">
        <v>12220007</v>
      </c>
      <c r="B1189">
        <v>3024861</v>
      </c>
      <c r="C1189" t="s">
        <v>919</v>
      </c>
      <c r="D1189" t="s">
        <v>441</v>
      </c>
      <c r="F1189">
        <v>0</v>
      </c>
      <c r="G1189">
        <v>8.24</v>
      </c>
      <c r="H1189" t="s">
        <v>8549</v>
      </c>
      <c r="I1189">
        <v>6</v>
      </c>
      <c r="J1189" t="s">
        <v>445</v>
      </c>
      <c r="M1189">
        <v>3111</v>
      </c>
      <c r="N1189" t="s">
        <v>16020</v>
      </c>
    </row>
    <row r="1190" spans="1:14">
      <c r="A1190">
        <v>12220076</v>
      </c>
      <c r="B1190">
        <v>3025803</v>
      </c>
      <c r="C1190" t="s">
        <v>920</v>
      </c>
      <c r="D1190" t="s">
        <v>441</v>
      </c>
      <c r="F1190">
        <v>0</v>
      </c>
      <c r="G1190">
        <v>8.24</v>
      </c>
      <c r="H1190" t="s">
        <v>8588</v>
      </c>
      <c r="I1190">
        <v>6</v>
      </c>
      <c r="J1190" t="s">
        <v>445</v>
      </c>
      <c r="L1190">
        <v>2092027</v>
      </c>
      <c r="M1190">
        <v>7112</v>
      </c>
      <c r="N1190" t="s">
        <v>16020</v>
      </c>
    </row>
    <row r="1191" spans="1:14">
      <c r="A1191">
        <v>12220077</v>
      </c>
      <c r="B1191">
        <v>3033417</v>
      </c>
      <c r="C1191" t="s">
        <v>921</v>
      </c>
      <c r="D1191" t="s">
        <v>441</v>
      </c>
      <c r="F1191">
        <v>0</v>
      </c>
      <c r="G1191">
        <v>8.34</v>
      </c>
      <c r="H1191" t="s">
        <v>8588</v>
      </c>
      <c r="I1191">
        <v>6</v>
      </c>
      <c r="J1191" t="s">
        <v>445</v>
      </c>
      <c r="M1191">
        <v>7112</v>
      </c>
      <c r="N1191" t="s">
        <v>16020</v>
      </c>
    </row>
    <row r="1192" spans="1:14">
      <c r="A1192">
        <v>12220502</v>
      </c>
      <c r="B1192">
        <v>3036845</v>
      </c>
      <c r="C1192" t="s">
        <v>922</v>
      </c>
      <c r="D1192" t="s">
        <v>441</v>
      </c>
      <c r="F1192">
        <v>0</v>
      </c>
      <c r="G1192">
        <v>8.2200000000000006</v>
      </c>
      <c r="H1192" t="s">
        <v>8549</v>
      </c>
      <c r="I1192">
        <v>6</v>
      </c>
      <c r="J1192" t="s">
        <v>445</v>
      </c>
      <c r="M1192">
        <v>2502</v>
      </c>
      <c r="N1192" t="s">
        <v>16020</v>
      </c>
    </row>
    <row r="1193" spans="1:14">
      <c r="A1193">
        <v>12220602</v>
      </c>
      <c r="B1193">
        <v>3034228</v>
      </c>
      <c r="C1193" t="s">
        <v>923</v>
      </c>
      <c r="D1193" t="s">
        <v>441</v>
      </c>
      <c r="F1193">
        <v>0</v>
      </c>
      <c r="G1193">
        <v>8.85</v>
      </c>
      <c r="H1193" t="s">
        <v>8549</v>
      </c>
      <c r="I1193">
        <v>3</v>
      </c>
      <c r="J1193" t="s">
        <v>445</v>
      </c>
      <c r="M1193">
        <v>2510</v>
      </c>
      <c r="N1193" t="s">
        <v>16020</v>
      </c>
    </row>
    <row r="1194" spans="1:14">
      <c r="A1194">
        <v>12220900</v>
      </c>
      <c r="B1194">
        <v>3021011</v>
      </c>
      <c r="C1194" t="s">
        <v>924</v>
      </c>
      <c r="D1194" t="s">
        <v>441</v>
      </c>
      <c r="F1194">
        <v>0</v>
      </c>
      <c r="G1194">
        <v>0</v>
      </c>
      <c r="H1194" t="s">
        <v>8634</v>
      </c>
      <c r="I1194">
        <v>6</v>
      </c>
      <c r="J1194" t="s">
        <v>445</v>
      </c>
      <c r="M1194">
        <v>6666</v>
      </c>
      <c r="N1194" t="s">
        <v>16020</v>
      </c>
    </row>
    <row r="1195" spans="1:14">
      <c r="A1195">
        <v>12220902</v>
      </c>
      <c r="B1195">
        <v>3036846</v>
      </c>
      <c r="C1195" t="s">
        <v>925</v>
      </c>
      <c r="D1195" t="s">
        <v>441</v>
      </c>
      <c r="F1195">
        <v>0</v>
      </c>
      <c r="H1195" t="s">
        <v>8580</v>
      </c>
      <c r="I1195">
        <v>3</v>
      </c>
      <c r="J1195" t="s">
        <v>445</v>
      </c>
      <c r="M1195">
        <v>6666</v>
      </c>
      <c r="N1195" t="s">
        <v>16020</v>
      </c>
    </row>
    <row r="1196" spans="1:14">
      <c r="A1196">
        <v>12220907</v>
      </c>
      <c r="B1196">
        <v>3025121</v>
      </c>
      <c r="C1196" t="s">
        <v>926</v>
      </c>
      <c r="D1196" t="s">
        <v>441</v>
      </c>
      <c r="F1196">
        <v>0</v>
      </c>
      <c r="G1196">
        <v>0</v>
      </c>
      <c r="H1196" t="s">
        <v>8935</v>
      </c>
      <c r="I1196">
        <v>6</v>
      </c>
      <c r="J1196" t="s">
        <v>445</v>
      </c>
      <c r="M1196">
        <v>6666</v>
      </c>
      <c r="N1196" t="s">
        <v>16020</v>
      </c>
    </row>
    <row r="1197" spans="1:14">
      <c r="A1197">
        <v>12221000</v>
      </c>
      <c r="B1197">
        <v>3020997</v>
      </c>
      <c r="C1197" t="s">
        <v>927</v>
      </c>
      <c r="D1197" t="s">
        <v>441</v>
      </c>
      <c r="F1197">
        <v>0</v>
      </c>
      <c r="G1197">
        <v>8.1300000000000008</v>
      </c>
      <c r="H1197" t="s">
        <v>8588</v>
      </c>
      <c r="I1197">
        <v>6</v>
      </c>
      <c r="J1197" t="s">
        <v>445</v>
      </c>
      <c r="M1197">
        <v>2391</v>
      </c>
      <c r="N1197" t="s">
        <v>16020</v>
      </c>
    </row>
    <row r="1198" spans="1:14">
      <c r="A1198">
        <v>12221007</v>
      </c>
      <c r="B1198">
        <v>3024862</v>
      </c>
      <c r="C1198" t="s">
        <v>928</v>
      </c>
      <c r="D1198" t="s">
        <v>441</v>
      </c>
      <c r="F1198">
        <v>0</v>
      </c>
      <c r="G1198">
        <v>8.24</v>
      </c>
      <c r="H1198" t="s">
        <v>8584</v>
      </c>
      <c r="I1198">
        <v>6</v>
      </c>
      <c r="J1198" t="s">
        <v>445</v>
      </c>
      <c r="M1198">
        <v>3111</v>
      </c>
      <c r="N1198" t="s">
        <v>16020</v>
      </c>
    </row>
    <row r="1199" spans="1:14">
      <c r="A1199">
        <v>12221900</v>
      </c>
      <c r="B1199">
        <v>3021012</v>
      </c>
      <c r="C1199" t="s">
        <v>929</v>
      </c>
      <c r="D1199" t="s">
        <v>441</v>
      </c>
      <c r="F1199">
        <v>0</v>
      </c>
      <c r="G1199">
        <v>0</v>
      </c>
      <c r="H1199" t="s">
        <v>8634</v>
      </c>
      <c r="I1199">
        <v>6</v>
      </c>
      <c r="J1199" t="s">
        <v>445</v>
      </c>
      <c r="M1199">
        <v>6666</v>
      </c>
      <c r="N1199" t="s">
        <v>16020</v>
      </c>
    </row>
    <row r="1200" spans="1:14">
      <c r="A1200">
        <v>12221907</v>
      </c>
      <c r="B1200">
        <v>3025122</v>
      </c>
      <c r="C1200" t="s">
        <v>930</v>
      </c>
      <c r="D1200" t="s">
        <v>441</v>
      </c>
      <c r="F1200">
        <v>0</v>
      </c>
      <c r="G1200">
        <v>0</v>
      </c>
      <c r="H1200" t="s">
        <v>8580</v>
      </c>
      <c r="I1200">
        <v>6</v>
      </c>
      <c r="J1200" t="s">
        <v>445</v>
      </c>
      <c r="M1200">
        <v>6666</v>
      </c>
      <c r="N1200" t="s">
        <v>16020</v>
      </c>
    </row>
    <row r="1201" spans="1:14">
      <c r="A1201">
        <v>12224000</v>
      </c>
      <c r="B1201">
        <v>3035834</v>
      </c>
      <c r="C1201" t="s">
        <v>931</v>
      </c>
      <c r="D1201" t="s">
        <v>441</v>
      </c>
      <c r="F1201">
        <v>0</v>
      </c>
      <c r="G1201">
        <v>12.92</v>
      </c>
      <c r="H1201" t="s">
        <v>8588</v>
      </c>
      <c r="I1201">
        <v>6</v>
      </c>
      <c r="J1201" t="s">
        <v>445</v>
      </c>
      <c r="M1201">
        <v>2391</v>
      </c>
      <c r="N1201" t="s">
        <v>16020</v>
      </c>
    </row>
    <row r="1202" spans="1:14">
      <c r="A1202">
        <v>12224002</v>
      </c>
      <c r="B1202">
        <v>3039354</v>
      </c>
      <c r="C1202" t="s">
        <v>932</v>
      </c>
      <c r="D1202" t="s">
        <v>441</v>
      </c>
      <c r="F1202">
        <v>0</v>
      </c>
      <c r="G1202">
        <v>8.58</v>
      </c>
      <c r="H1202" t="s">
        <v>8588</v>
      </c>
      <c r="I1202">
        <v>540</v>
      </c>
      <c r="J1202" t="s">
        <v>445</v>
      </c>
      <c r="M1202">
        <v>7111</v>
      </c>
      <c r="N1202" t="s">
        <v>16020</v>
      </c>
    </row>
    <row r="1203" spans="1:14">
      <c r="A1203">
        <v>12224007</v>
      </c>
      <c r="B1203">
        <v>3037645</v>
      </c>
      <c r="C1203" t="s">
        <v>933</v>
      </c>
      <c r="D1203" t="s">
        <v>441</v>
      </c>
      <c r="F1203">
        <v>0</v>
      </c>
      <c r="G1203">
        <v>8.24</v>
      </c>
      <c r="H1203" t="s">
        <v>8549</v>
      </c>
      <c r="I1203">
        <v>6</v>
      </c>
      <c r="J1203" t="s">
        <v>445</v>
      </c>
      <c r="M1203">
        <v>3111</v>
      </c>
      <c r="N1203" t="s">
        <v>16020</v>
      </c>
    </row>
    <row r="1204" spans="1:14">
      <c r="A1204">
        <v>12224076</v>
      </c>
      <c r="B1204">
        <v>3039386</v>
      </c>
      <c r="C1204" t="s">
        <v>934</v>
      </c>
      <c r="D1204" t="s">
        <v>441</v>
      </c>
      <c r="F1204">
        <v>0</v>
      </c>
      <c r="G1204">
        <v>8.24</v>
      </c>
      <c r="H1204" t="s">
        <v>8588</v>
      </c>
      <c r="I1204">
        <v>6</v>
      </c>
      <c r="J1204" t="s">
        <v>445</v>
      </c>
      <c r="M1204">
        <v>7112</v>
      </c>
      <c r="N1204" t="s">
        <v>16020</v>
      </c>
    </row>
    <row r="1205" spans="1:14">
      <c r="A1205">
        <v>12224502</v>
      </c>
      <c r="B1205">
        <v>3039353</v>
      </c>
      <c r="C1205" t="s">
        <v>935</v>
      </c>
      <c r="D1205" t="s">
        <v>441</v>
      </c>
      <c r="F1205">
        <v>0</v>
      </c>
      <c r="G1205">
        <v>8.2200000000000006</v>
      </c>
      <c r="H1205" t="s">
        <v>8549</v>
      </c>
      <c r="I1205">
        <v>6</v>
      </c>
      <c r="J1205" t="s">
        <v>445</v>
      </c>
      <c r="M1205">
        <v>2502</v>
      </c>
      <c r="N1205" t="s">
        <v>16020</v>
      </c>
    </row>
    <row r="1206" spans="1:14">
      <c r="A1206">
        <v>12224602</v>
      </c>
      <c r="B1206">
        <v>3039355</v>
      </c>
      <c r="C1206" t="s">
        <v>936</v>
      </c>
      <c r="D1206" t="s">
        <v>441</v>
      </c>
      <c r="F1206">
        <v>0</v>
      </c>
      <c r="G1206">
        <v>8.85</v>
      </c>
      <c r="H1206" t="s">
        <v>8549</v>
      </c>
      <c r="I1206">
        <v>3</v>
      </c>
      <c r="J1206" t="s">
        <v>445</v>
      </c>
      <c r="M1206">
        <v>2510</v>
      </c>
      <c r="N1206" t="s">
        <v>16020</v>
      </c>
    </row>
    <row r="1207" spans="1:14">
      <c r="A1207">
        <v>12224902</v>
      </c>
      <c r="B1207">
        <v>3039384</v>
      </c>
      <c r="C1207" t="s">
        <v>937</v>
      </c>
      <c r="D1207" t="s">
        <v>441</v>
      </c>
      <c r="F1207">
        <v>0</v>
      </c>
      <c r="H1207" t="s">
        <v>8584</v>
      </c>
      <c r="I1207">
        <v>3</v>
      </c>
      <c r="J1207" t="s">
        <v>445</v>
      </c>
      <c r="M1207">
        <v>6666</v>
      </c>
      <c r="N1207" t="s">
        <v>16020</v>
      </c>
    </row>
    <row r="1208" spans="1:14">
      <c r="A1208">
        <v>12224907</v>
      </c>
      <c r="B1208">
        <v>3037786</v>
      </c>
      <c r="C1208" t="s">
        <v>938</v>
      </c>
      <c r="D1208" t="s">
        <v>441</v>
      </c>
      <c r="F1208">
        <v>0</v>
      </c>
      <c r="H1208" t="s">
        <v>8584</v>
      </c>
      <c r="I1208">
        <v>6</v>
      </c>
      <c r="J1208" t="s">
        <v>445</v>
      </c>
      <c r="M1208">
        <v>6666</v>
      </c>
      <c r="N1208" t="s">
        <v>16020</v>
      </c>
    </row>
    <row r="1209" spans="1:14">
      <c r="A1209">
        <v>12230000</v>
      </c>
      <c r="B1209">
        <v>3022305</v>
      </c>
      <c r="C1209" t="s">
        <v>939</v>
      </c>
      <c r="D1209" t="s">
        <v>441</v>
      </c>
      <c r="F1209">
        <v>0</v>
      </c>
      <c r="G1209">
        <v>6.48</v>
      </c>
      <c r="I1209">
        <v>6</v>
      </c>
      <c r="J1209" t="s">
        <v>445</v>
      </c>
      <c r="M1209">
        <v>2391</v>
      </c>
      <c r="N1209" t="s">
        <v>16017</v>
      </c>
    </row>
    <row r="1210" spans="1:14">
      <c r="A1210">
        <v>12230076</v>
      </c>
      <c r="B1210">
        <v>4015390</v>
      </c>
      <c r="C1210" t="s">
        <v>9218</v>
      </c>
      <c r="D1210" t="s">
        <v>441</v>
      </c>
      <c r="F1210">
        <v>0</v>
      </c>
      <c r="G1210">
        <v>6.68</v>
      </c>
      <c r="H1210" t="s">
        <v>8588</v>
      </c>
      <c r="I1210">
        <v>6</v>
      </c>
      <c r="J1210" t="s">
        <v>462</v>
      </c>
      <c r="K1210" t="s">
        <v>446</v>
      </c>
      <c r="M1210">
        <v>7112</v>
      </c>
      <c r="N1210" t="s">
        <v>16017</v>
      </c>
    </row>
    <row r="1211" spans="1:14">
      <c r="A1211">
        <v>12231000</v>
      </c>
      <c r="B1211">
        <v>3022330</v>
      </c>
      <c r="C1211" t="s">
        <v>940</v>
      </c>
      <c r="D1211" t="s">
        <v>441</v>
      </c>
      <c r="F1211">
        <v>0</v>
      </c>
      <c r="G1211">
        <v>6.48</v>
      </c>
      <c r="H1211" t="s">
        <v>8580</v>
      </c>
      <c r="I1211">
        <v>6</v>
      </c>
      <c r="J1211" t="s">
        <v>445</v>
      </c>
      <c r="M1211">
        <v>2391</v>
      </c>
      <c r="N1211" t="s">
        <v>16017</v>
      </c>
    </row>
    <row r="1212" spans="1:14">
      <c r="A1212">
        <v>12231076</v>
      </c>
      <c r="B1212">
        <v>4015391</v>
      </c>
      <c r="C1212" t="s">
        <v>9219</v>
      </c>
      <c r="D1212" t="s">
        <v>441</v>
      </c>
      <c r="F1212">
        <v>0</v>
      </c>
      <c r="G1212">
        <v>9.68</v>
      </c>
      <c r="H1212" t="s">
        <v>8588</v>
      </c>
      <c r="I1212">
        <v>6</v>
      </c>
      <c r="J1212" t="s">
        <v>462</v>
      </c>
      <c r="K1212" t="s">
        <v>446</v>
      </c>
      <c r="M1212">
        <v>2641</v>
      </c>
      <c r="N1212" t="s">
        <v>16017</v>
      </c>
    </row>
    <row r="1213" spans="1:14">
      <c r="A1213">
        <v>12240000</v>
      </c>
      <c r="B1213">
        <v>3026494</v>
      </c>
      <c r="C1213" t="s">
        <v>941</v>
      </c>
      <c r="D1213" t="s">
        <v>441</v>
      </c>
      <c r="F1213">
        <v>0</v>
      </c>
      <c r="G1213">
        <v>9.1999999999999993</v>
      </c>
      <c r="H1213" t="s">
        <v>8588</v>
      </c>
      <c r="I1213">
        <v>6</v>
      </c>
      <c r="J1213" t="s">
        <v>445</v>
      </c>
      <c r="M1213">
        <v>2391</v>
      </c>
      <c r="N1213" t="s">
        <v>16003</v>
      </c>
    </row>
    <row r="1214" spans="1:14">
      <c r="A1214">
        <v>12240007</v>
      </c>
      <c r="B1214">
        <v>3026426</v>
      </c>
      <c r="C1214" t="s">
        <v>942</v>
      </c>
      <c r="D1214" t="s">
        <v>441</v>
      </c>
      <c r="F1214">
        <v>0</v>
      </c>
      <c r="G1214">
        <v>9.31</v>
      </c>
      <c r="H1214" t="s">
        <v>8588</v>
      </c>
      <c r="I1214">
        <v>6</v>
      </c>
      <c r="J1214" t="s">
        <v>445</v>
      </c>
      <c r="M1214">
        <v>3113</v>
      </c>
      <c r="N1214" t="s">
        <v>16003</v>
      </c>
    </row>
    <row r="1215" spans="1:14">
      <c r="A1215">
        <v>12240026</v>
      </c>
      <c r="B1215">
        <v>3026485</v>
      </c>
      <c r="C1215" t="s">
        <v>943</v>
      </c>
      <c r="D1215" t="s">
        <v>441</v>
      </c>
      <c r="F1215">
        <v>0</v>
      </c>
      <c r="G1215">
        <v>9.67</v>
      </c>
      <c r="H1215" t="s">
        <v>8588</v>
      </c>
      <c r="I1215">
        <v>540</v>
      </c>
      <c r="J1215" t="s">
        <v>445</v>
      </c>
      <c r="M1215">
        <v>7111</v>
      </c>
      <c r="N1215" t="s">
        <v>16003</v>
      </c>
    </row>
    <row r="1216" spans="1:14">
      <c r="A1216">
        <v>12240075</v>
      </c>
      <c r="B1216">
        <v>3026480</v>
      </c>
      <c r="C1216" t="s">
        <v>944</v>
      </c>
      <c r="D1216" t="s">
        <v>441</v>
      </c>
      <c r="F1216">
        <v>0</v>
      </c>
      <c r="G1216">
        <v>9.31</v>
      </c>
      <c r="H1216" t="s">
        <v>8588</v>
      </c>
      <c r="I1216">
        <v>6</v>
      </c>
      <c r="J1216" t="s">
        <v>445</v>
      </c>
      <c r="M1216">
        <v>7112</v>
      </c>
      <c r="N1216" t="s">
        <v>16003</v>
      </c>
    </row>
    <row r="1217" spans="1:14">
      <c r="A1217">
        <v>12240526</v>
      </c>
      <c r="B1217">
        <v>3026483</v>
      </c>
      <c r="C1217" t="s">
        <v>945</v>
      </c>
      <c r="D1217" t="s">
        <v>441</v>
      </c>
      <c r="F1217">
        <v>0</v>
      </c>
      <c r="G1217">
        <v>9.31</v>
      </c>
      <c r="H1217" t="s">
        <v>8588</v>
      </c>
      <c r="I1217">
        <v>6</v>
      </c>
      <c r="J1217" t="s">
        <v>445</v>
      </c>
      <c r="M1217">
        <v>2502</v>
      </c>
      <c r="N1217" t="s">
        <v>16003</v>
      </c>
    </row>
    <row r="1218" spans="1:14">
      <c r="A1218">
        <v>12240626</v>
      </c>
      <c r="B1218">
        <v>3028137</v>
      </c>
      <c r="C1218" t="s">
        <v>946</v>
      </c>
      <c r="D1218" t="s">
        <v>441</v>
      </c>
      <c r="F1218">
        <v>0</v>
      </c>
      <c r="G1218">
        <v>9.9600000000000009</v>
      </c>
      <c r="H1218" t="s">
        <v>8588</v>
      </c>
      <c r="I1218">
        <v>4</v>
      </c>
      <c r="J1218" t="s">
        <v>445</v>
      </c>
      <c r="M1218">
        <v>2510</v>
      </c>
      <c r="N1218" t="s">
        <v>16003</v>
      </c>
    </row>
    <row r="1219" spans="1:14">
      <c r="A1219">
        <v>12240907</v>
      </c>
      <c r="B1219">
        <v>3026429</v>
      </c>
      <c r="C1219" t="s">
        <v>947</v>
      </c>
      <c r="D1219" t="s">
        <v>441</v>
      </c>
      <c r="F1219">
        <v>0</v>
      </c>
      <c r="H1219" t="s">
        <v>8584</v>
      </c>
      <c r="I1219">
        <v>6</v>
      </c>
      <c r="J1219" t="s">
        <v>445</v>
      </c>
      <c r="M1219">
        <v>6666</v>
      </c>
      <c r="N1219" t="s">
        <v>16003</v>
      </c>
    </row>
    <row r="1220" spans="1:14">
      <c r="A1220">
        <v>12240926</v>
      </c>
      <c r="B1220">
        <v>3028138</v>
      </c>
      <c r="C1220" t="s">
        <v>948</v>
      </c>
      <c r="D1220" t="s">
        <v>441</v>
      </c>
      <c r="F1220">
        <v>0</v>
      </c>
      <c r="H1220" t="s">
        <v>8580</v>
      </c>
      <c r="I1220">
        <v>4</v>
      </c>
      <c r="J1220" t="s">
        <v>445</v>
      </c>
      <c r="M1220">
        <v>6666</v>
      </c>
      <c r="N1220" t="s">
        <v>16003</v>
      </c>
    </row>
    <row r="1221" spans="1:14">
      <c r="A1221">
        <v>12241000</v>
      </c>
      <c r="B1221">
        <v>3026481</v>
      </c>
      <c r="C1221" t="s">
        <v>949</v>
      </c>
      <c r="D1221" t="s">
        <v>441</v>
      </c>
      <c r="F1221">
        <v>0</v>
      </c>
      <c r="G1221">
        <v>9.1999999999999993</v>
      </c>
      <c r="H1221" t="s">
        <v>8588</v>
      </c>
      <c r="I1221">
        <v>6</v>
      </c>
      <c r="J1221" t="s">
        <v>445</v>
      </c>
      <c r="M1221">
        <v>2391</v>
      </c>
      <c r="N1221" t="s">
        <v>16003</v>
      </c>
    </row>
    <row r="1222" spans="1:14">
      <c r="A1222">
        <v>12241007</v>
      </c>
      <c r="B1222">
        <v>3026427</v>
      </c>
      <c r="C1222" t="s">
        <v>950</v>
      </c>
      <c r="D1222" t="s">
        <v>441</v>
      </c>
      <c r="F1222">
        <v>0</v>
      </c>
      <c r="G1222">
        <v>14.72</v>
      </c>
      <c r="H1222" t="s">
        <v>8588</v>
      </c>
      <c r="I1222">
        <v>6</v>
      </c>
      <c r="J1222" t="s">
        <v>445</v>
      </c>
      <c r="K1222" t="s">
        <v>446</v>
      </c>
      <c r="M1222">
        <v>2641</v>
      </c>
      <c r="N1222" t="s">
        <v>16003</v>
      </c>
    </row>
    <row r="1223" spans="1:14">
      <c r="A1223">
        <v>12241026</v>
      </c>
      <c r="B1223">
        <v>3026484</v>
      </c>
      <c r="C1223" t="s">
        <v>951</v>
      </c>
      <c r="D1223" t="s">
        <v>441</v>
      </c>
      <c r="F1223">
        <v>0</v>
      </c>
      <c r="G1223">
        <v>14.93</v>
      </c>
      <c r="H1223" t="s">
        <v>8588</v>
      </c>
      <c r="I1223">
        <v>365</v>
      </c>
      <c r="J1223" t="s">
        <v>445</v>
      </c>
      <c r="K1223" t="s">
        <v>446</v>
      </c>
      <c r="M1223">
        <v>2501</v>
      </c>
      <c r="N1223" t="s">
        <v>16003</v>
      </c>
    </row>
    <row r="1224" spans="1:14">
      <c r="A1224">
        <v>12241075</v>
      </c>
      <c r="B1224">
        <v>3026459</v>
      </c>
      <c r="C1224" t="s">
        <v>952</v>
      </c>
      <c r="D1224" t="s">
        <v>441</v>
      </c>
      <c r="F1224">
        <v>0</v>
      </c>
      <c r="G1224">
        <v>9.34</v>
      </c>
      <c r="H1224" t="s">
        <v>8588</v>
      </c>
      <c r="I1224">
        <v>6</v>
      </c>
      <c r="J1224" t="s">
        <v>445</v>
      </c>
      <c r="M1224">
        <v>7112</v>
      </c>
      <c r="N1224" t="s">
        <v>16003</v>
      </c>
    </row>
    <row r="1225" spans="1:14">
      <c r="A1225">
        <v>12241526</v>
      </c>
      <c r="B1225">
        <v>3026486</v>
      </c>
      <c r="C1225" t="s">
        <v>953</v>
      </c>
      <c r="D1225" t="s">
        <v>441</v>
      </c>
      <c r="F1225">
        <v>0</v>
      </c>
      <c r="G1225">
        <v>14.74</v>
      </c>
      <c r="H1225" t="s">
        <v>8588</v>
      </c>
      <c r="I1225">
        <v>6</v>
      </c>
      <c r="J1225" t="s">
        <v>445</v>
      </c>
      <c r="K1225" t="s">
        <v>446</v>
      </c>
      <c r="M1225">
        <v>2641</v>
      </c>
      <c r="N1225" t="s">
        <v>16003</v>
      </c>
    </row>
    <row r="1226" spans="1:14">
      <c r="A1226">
        <v>12241907</v>
      </c>
      <c r="B1226">
        <v>3026510</v>
      </c>
      <c r="C1226" t="s">
        <v>954</v>
      </c>
      <c r="D1226" t="s">
        <v>441</v>
      </c>
      <c r="F1226">
        <v>0</v>
      </c>
      <c r="H1226" t="s">
        <v>8584</v>
      </c>
      <c r="I1226">
        <v>6</v>
      </c>
      <c r="J1226" t="s">
        <v>445</v>
      </c>
      <c r="K1226" t="s">
        <v>446</v>
      </c>
      <c r="M1226">
        <v>6666</v>
      </c>
      <c r="N1226" t="s">
        <v>16003</v>
      </c>
    </row>
    <row r="1227" spans="1:14">
      <c r="A1227">
        <v>12244000</v>
      </c>
      <c r="B1227">
        <v>3039583</v>
      </c>
      <c r="C1227" t="s">
        <v>955</v>
      </c>
      <c r="D1227" t="s">
        <v>441</v>
      </c>
      <c r="F1227">
        <v>0</v>
      </c>
      <c r="G1227">
        <v>9.1999999999999993</v>
      </c>
      <c r="H1227" t="s">
        <v>8549</v>
      </c>
      <c r="I1227">
        <v>6</v>
      </c>
      <c r="J1227" t="s">
        <v>445</v>
      </c>
      <c r="M1227">
        <v>2391</v>
      </c>
      <c r="N1227" t="s">
        <v>16003</v>
      </c>
    </row>
    <row r="1228" spans="1:14">
      <c r="A1228">
        <v>12244007</v>
      </c>
      <c r="B1228">
        <v>3039584</v>
      </c>
      <c r="C1228" t="s">
        <v>956</v>
      </c>
      <c r="D1228" t="s">
        <v>441</v>
      </c>
      <c r="F1228">
        <v>0</v>
      </c>
      <c r="G1228">
        <v>9.31</v>
      </c>
      <c r="H1228" t="s">
        <v>8588</v>
      </c>
      <c r="I1228">
        <v>6</v>
      </c>
      <c r="J1228" t="s">
        <v>445</v>
      </c>
      <c r="M1228">
        <v>2391</v>
      </c>
      <c r="N1228" t="s">
        <v>16003</v>
      </c>
    </row>
    <row r="1229" spans="1:14">
      <c r="A1229">
        <v>12244075</v>
      </c>
      <c r="B1229">
        <v>3039426</v>
      </c>
      <c r="C1229" t="s">
        <v>957</v>
      </c>
      <c r="D1229" t="s">
        <v>441</v>
      </c>
      <c r="F1229">
        <v>0</v>
      </c>
      <c r="G1229">
        <v>9.31</v>
      </c>
      <c r="H1229" t="s">
        <v>8588</v>
      </c>
      <c r="I1229">
        <v>6</v>
      </c>
      <c r="J1229" t="s">
        <v>445</v>
      </c>
      <c r="M1229">
        <v>7112</v>
      </c>
      <c r="N1229" t="s">
        <v>16003</v>
      </c>
    </row>
    <row r="1230" spans="1:14">
      <c r="A1230">
        <v>12250000</v>
      </c>
      <c r="B1230">
        <v>3026401</v>
      </c>
      <c r="C1230" t="s">
        <v>958</v>
      </c>
      <c r="D1230" t="s">
        <v>441</v>
      </c>
      <c r="F1230">
        <v>0</v>
      </c>
      <c r="G1230">
        <v>9.1999999999999993</v>
      </c>
      <c r="H1230" t="s">
        <v>8588</v>
      </c>
      <c r="I1230">
        <v>6</v>
      </c>
      <c r="J1230" t="s">
        <v>445</v>
      </c>
      <c r="M1230">
        <v>2391</v>
      </c>
      <c r="N1230" t="s">
        <v>16003</v>
      </c>
    </row>
    <row r="1231" spans="1:14">
      <c r="A1231">
        <v>12250007</v>
      </c>
      <c r="B1231">
        <v>3029090</v>
      </c>
      <c r="C1231" t="s">
        <v>959</v>
      </c>
      <c r="D1231" t="s">
        <v>441</v>
      </c>
      <c r="F1231">
        <v>0</v>
      </c>
      <c r="G1231">
        <v>14.72</v>
      </c>
      <c r="H1231" t="s">
        <v>8549</v>
      </c>
      <c r="I1231">
        <v>6</v>
      </c>
      <c r="J1231" t="s">
        <v>445</v>
      </c>
      <c r="K1231" t="s">
        <v>446</v>
      </c>
      <c r="M1231">
        <v>2641</v>
      </c>
      <c r="N1231" t="s">
        <v>16003</v>
      </c>
    </row>
    <row r="1232" spans="1:14">
      <c r="A1232">
        <v>12250026</v>
      </c>
      <c r="B1232">
        <v>3026487</v>
      </c>
      <c r="C1232" t="s">
        <v>960</v>
      </c>
      <c r="D1232" t="s">
        <v>441</v>
      </c>
      <c r="F1232">
        <v>0</v>
      </c>
      <c r="G1232">
        <v>9.67</v>
      </c>
      <c r="H1232" t="s">
        <v>8588</v>
      </c>
      <c r="I1232">
        <v>540</v>
      </c>
      <c r="J1232" t="s">
        <v>445</v>
      </c>
      <c r="M1232">
        <v>7111</v>
      </c>
      <c r="N1232" t="s">
        <v>16003</v>
      </c>
    </row>
    <row r="1233" spans="1:14">
      <c r="A1233">
        <v>12250075</v>
      </c>
      <c r="B1233">
        <v>3026489</v>
      </c>
      <c r="C1233" t="s">
        <v>961</v>
      </c>
      <c r="D1233" t="s">
        <v>441</v>
      </c>
      <c r="F1233">
        <v>0</v>
      </c>
      <c r="G1233">
        <v>9.32</v>
      </c>
      <c r="H1233" t="s">
        <v>8588</v>
      </c>
      <c r="I1233">
        <v>6</v>
      </c>
      <c r="J1233" t="s">
        <v>445</v>
      </c>
      <c r="M1233">
        <v>7112</v>
      </c>
      <c r="N1233" t="s">
        <v>16003</v>
      </c>
    </row>
    <row r="1234" spans="1:14">
      <c r="A1234">
        <v>12250526</v>
      </c>
      <c r="B1234">
        <v>3026400</v>
      </c>
      <c r="C1234" t="s">
        <v>962</v>
      </c>
      <c r="D1234" t="s">
        <v>441</v>
      </c>
      <c r="F1234">
        <v>0</v>
      </c>
      <c r="G1234">
        <v>9.31</v>
      </c>
      <c r="H1234" t="s">
        <v>8588</v>
      </c>
      <c r="I1234">
        <v>540</v>
      </c>
      <c r="J1234" t="s">
        <v>445</v>
      </c>
      <c r="M1234">
        <v>2502</v>
      </c>
      <c r="N1234" t="s">
        <v>16003</v>
      </c>
    </row>
    <row r="1235" spans="1:14">
      <c r="A1235">
        <v>12251000</v>
      </c>
      <c r="B1235">
        <v>3026402</v>
      </c>
      <c r="C1235" t="s">
        <v>963</v>
      </c>
      <c r="D1235" t="s">
        <v>441</v>
      </c>
      <c r="F1235">
        <v>0</v>
      </c>
      <c r="G1235">
        <v>9.1999999999999993</v>
      </c>
      <c r="H1235" t="s">
        <v>8588</v>
      </c>
      <c r="I1235">
        <v>6</v>
      </c>
      <c r="J1235" t="s">
        <v>445</v>
      </c>
      <c r="M1235">
        <v>2391</v>
      </c>
      <c r="N1235" t="s">
        <v>16003</v>
      </c>
    </row>
    <row r="1236" spans="1:14">
      <c r="A1236">
        <v>12251026</v>
      </c>
      <c r="B1236">
        <v>3026488</v>
      </c>
      <c r="C1236" t="s">
        <v>964</v>
      </c>
      <c r="D1236" t="s">
        <v>441</v>
      </c>
      <c r="F1236">
        <v>0</v>
      </c>
      <c r="G1236">
        <v>14.93</v>
      </c>
      <c r="H1236" t="s">
        <v>8588</v>
      </c>
      <c r="I1236">
        <v>365</v>
      </c>
      <c r="J1236" t="s">
        <v>445</v>
      </c>
      <c r="K1236" t="s">
        <v>446</v>
      </c>
      <c r="M1236">
        <v>2501</v>
      </c>
      <c r="N1236" t="s">
        <v>16003</v>
      </c>
    </row>
    <row r="1237" spans="1:14">
      <c r="A1237">
        <v>12251075</v>
      </c>
      <c r="B1237">
        <v>3026490</v>
      </c>
      <c r="C1237" t="s">
        <v>965</v>
      </c>
      <c r="D1237" t="s">
        <v>441</v>
      </c>
      <c r="F1237">
        <v>0</v>
      </c>
      <c r="G1237">
        <v>14.75</v>
      </c>
      <c r="H1237" t="s">
        <v>8588</v>
      </c>
      <c r="I1237">
        <v>6</v>
      </c>
      <c r="J1237" t="s">
        <v>445</v>
      </c>
      <c r="K1237" t="s">
        <v>446</v>
      </c>
      <c r="M1237">
        <v>2641</v>
      </c>
      <c r="N1237" t="s">
        <v>16003</v>
      </c>
    </row>
    <row r="1238" spans="1:14">
      <c r="A1238">
        <v>12251526</v>
      </c>
      <c r="B1238">
        <v>3026408</v>
      </c>
      <c r="C1238" t="s">
        <v>966</v>
      </c>
      <c r="D1238" t="s">
        <v>441</v>
      </c>
      <c r="F1238">
        <v>0</v>
      </c>
      <c r="G1238">
        <v>14.74</v>
      </c>
      <c r="H1238" t="s">
        <v>8588</v>
      </c>
      <c r="I1238">
        <v>6</v>
      </c>
      <c r="J1238" t="s">
        <v>445</v>
      </c>
      <c r="K1238" t="s">
        <v>446</v>
      </c>
      <c r="M1238">
        <v>2641</v>
      </c>
      <c r="N1238" t="s">
        <v>16003</v>
      </c>
    </row>
    <row r="1239" spans="1:14">
      <c r="A1239">
        <v>12254000</v>
      </c>
      <c r="B1239">
        <v>3039571</v>
      </c>
      <c r="C1239" t="s">
        <v>967</v>
      </c>
      <c r="D1239" t="s">
        <v>441</v>
      </c>
      <c r="F1239">
        <v>0</v>
      </c>
      <c r="G1239">
        <v>8.81</v>
      </c>
      <c r="H1239" t="s">
        <v>8588</v>
      </c>
      <c r="I1239">
        <v>6</v>
      </c>
      <c r="J1239" t="s">
        <v>445</v>
      </c>
      <c r="M1239">
        <v>2391</v>
      </c>
      <c r="N1239" t="s">
        <v>16003</v>
      </c>
    </row>
    <row r="1240" spans="1:14">
      <c r="A1240">
        <v>12254007</v>
      </c>
      <c r="B1240">
        <v>3039582</v>
      </c>
      <c r="C1240" t="s">
        <v>968</v>
      </c>
      <c r="D1240" t="s">
        <v>441</v>
      </c>
      <c r="F1240">
        <v>0</v>
      </c>
      <c r="G1240">
        <v>8.92</v>
      </c>
      <c r="H1240" t="s">
        <v>8588</v>
      </c>
      <c r="I1240">
        <v>6</v>
      </c>
      <c r="J1240" t="s">
        <v>445</v>
      </c>
      <c r="M1240">
        <v>2391</v>
      </c>
      <c r="N1240" t="s">
        <v>16003</v>
      </c>
    </row>
    <row r="1241" spans="1:14">
      <c r="A1241">
        <v>12254075</v>
      </c>
      <c r="B1241">
        <v>3039428</v>
      </c>
      <c r="C1241" t="s">
        <v>969</v>
      </c>
      <c r="D1241" t="s">
        <v>441</v>
      </c>
      <c r="F1241">
        <v>0</v>
      </c>
      <c r="G1241">
        <v>9.32</v>
      </c>
      <c r="H1241" t="s">
        <v>8588</v>
      </c>
      <c r="I1241">
        <v>6</v>
      </c>
      <c r="J1241" t="s">
        <v>445</v>
      </c>
      <c r="M1241">
        <v>7112</v>
      </c>
      <c r="N1241" t="s">
        <v>16003</v>
      </c>
    </row>
    <row r="1242" spans="1:14">
      <c r="A1242">
        <v>12260000</v>
      </c>
      <c r="B1242">
        <v>3027498</v>
      </c>
      <c r="C1242" t="s">
        <v>970</v>
      </c>
      <c r="D1242" t="s">
        <v>441</v>
      </c>
      <c r="F1242">
        <v>0</v>
      </c>
      <c r="G1242">
        <v>13.54</v>
      </c>
      <c r="H1242" t="s">
        <v>8588</v>
      </c>
      <c r="I1242">
        <v>6</v>
      </c>
      <c r="J1242" t="s">
        <v>445</v>
      </c>
      <c r="K1242" t="s">
        <v>446</v>
      </c>
      <c r="M1242">
        <v>2311</v>
      </c>
      <c r="N1242" t="s">
        <v>16021</v>
      </c>
    </row>
    <row r="1243" spans="1:14">
      <c r="A1243">
        <v>12260007</v>
      </c>
      <c r="B1243">
        <v>3027495</v>
      </c>
      <c r="C1243" t="s">
        <v>971</v>
      </c>
      <c r="D1243" t="s">
        <v>441</v>
      </c>
      <c r="F1243">
        <v>0</v>
      </c>
      <c r="G1243">
        <v>13.66</v>
      </c>
      <c r="H1243" t="s">
        <v>8588</v>
      </c>
      <c r="I1243">
        <v>6</v>
      </c>
      <c r="J1243" t="s">
        <v>445</v>
      </c>
      <c r="K1243" t="s">
        <v>446</v>
      </c>
      <c r="M1243">
        <v>2641</v>
      </c>
      <c r="N1243" t="s">
        <v>16021</v>
      </c>
    </row>
    <row r="1244" spans="1:14">
      <c r="A1244">
        <v>12260076</v>
      </c>
      <c r="B1244">
        <v>3027493</v>
      </c>
      <c r="C1244" t="s">
        <v>972</v>
      </c>
      <c r="D1244" t="s">
        <v>441</v>
      </c>
      <c r="F1244">
        <v>0</v>
      </c>
      <c r="G1244">
        <v>13.74</v>
      </c>
      <c r="H1244" t="s">
        <v>8588</v>
      </c>
      <c r="I1244">
        <v>6</v>
      </c>
      <c r="J1244" t="s">
        <v>445</v>
      </c>
      <c r="K1244" t="s">
        <v>446</v>
      </c>
      <c r="M1244">
        <v>2641</v>
      </c>
      <c r="N1244" t="s">
        <v>16021</v>
      </c>
    </row>
    <row r="1245" spans="1:14">
      <c r="A1245">
        <v>12270000</v>
      </c>
      <c r="B1245">
        <v>3027514</v>
      </c>
      <c r="C1245" t="s">
        <v>14235</v>
      </c>
      <c r="D1245" t="s">
        <v>441</v>
      </c>
      <c r="F1245">
        <v>0</v>
      </c>
      <c r="G1245">
        <v>16.72</v>
      </c>
      <c r="H1245" t="s">
        <v>8588</v>
      </c>
      <c r="I1245">
        <v>6</v>
      </c>
      <c r="J1245" t="s">
        <v>445</v>
      </c>
      <c r="M1245">
        <v>2391</v>
      </c>
      <c r="N1245" t="s">
        <v>16003</v>
      </c>
    </row>
    <row r="1246" spans="1:14">
      <c r="A1246">
        <v>12270007</v>
      </c>
      <c r="B1246">
        <v>3027515</v>
      </c>
      <c r="C1246" t="s">
        <v>14236</v>
      </c>
      <c r="D1246" t="s">
        <v>441</v>
      </c>
      <c r="F1246">
        <v>0</v>
      </c>
      <c r="G1246">
        <v>16.899999999999999</v>
      </c>
      <c r="H1246" t="s">
        <v>8588</v>
      </c>
      <c r="I1246">
        <v>6</v>
      </c>
      <c r="J1246" t="s">
        <v>445</v>
      </c>
      <c r="M1246">
        <v>2391</v>
      </c>
      <c r="N1246" t="s">
        <v>16003</v>
      </c>
    </row>
    <row r="1247" spans="1:14">
      <c r="A1247">
        <v>12274000</v>
      </c>
      <c r="B1247">
        <v>3039364</v>
      </c>
      <c r="C1247" t="s">
        <v>14237</v>
      </c>
      <c r="D1247" t="s">
        <v>441</v>
      </c>
      <c r="F1247">
        <v>0</v>
      </c>
      <c r="G1247">
        <v>16.72</v>
      </c>
      <c r="H1247" t="s">
        <v>8588</v>
      </c>
      <c r="I1247">
        <v>6</v>
      </c>
      <c r="J1247" t="s">
        <v>445</v>
      </c>
      <c r="M1247">
        <v>2391</v>
      </c>
      <c r="N1247" t="s">
        <v>16003</v>
      </c>
    </row>
    <row r="1248" spans="1:14">
      <c r="A1248">
        <v>12274007</v>
      </c>
      <c r="B1248">
        <v>3039370</v>
      </c>
      <c r="C1248" t="s">
        <v>14238</v>
      </c>
      <c r="D1248" t="s">
        <v>441</v>
      </c>
      <c r="F1248">
        <v>0</v>
      </c>
      <c r="G1248">
        <v>16.899999999999999</v>
      </c>
      <c r="H1248" t="s">
        <v>8588</v>
      </c>
      <c r="I1248">
        <v>6</v>
      </c>
      <c r="J1248" t="s">
        <v>445</v>
      </c>
      <c r="M1248">
        <v>2391</v>
      </c>
      <c r="N1248" t="s">
        <v>16003</v>
      </c>
    </row>
    <row r="1249" spans="1:14">
      <c r="A1249">
        <v>12280000</v>
      </c>
      <c r="B1249">
        <v>3027485</v>
      </c>
      <c r="C1249" t="s">
        <v>973</v>
      </c>
      <c r="D1249" t="s">
        <v>441</v>
      </c>
      <c r="F1249">
        <v>0</v>
      </c>
      <c r="G1249">
        <v>8.24</v>
      </c>
      <c r="H1249" t="s">
        <v>8549</v>
      </c>
      <c r="I1249">
        <v>6</v>
      </c>
      <c r="J1249" t="s">
        <v>445</v>
      </c>
      <c r="M1249">
        <v>2391</v>
      </c>
      <c r="N1249" t="s">
        <v>16022</v>
      </c>
    </row>
    <row r="1250" spans="1:14">
      <c r="A1250">
        <v>12280007</v>
      </c>
      <c r="B1250">
        <v>3028078</v>
      </c>
      <c r="C1250" t="s">
        <v>974</v>
      </c>
      <c r="D1250" t="s">
        <v>441</v>
      </c>
      <c r="F1250">
        <v>0</v>
      </c>
      <c r="G1250">
        <v>8.35</v>
      </c>
      <c r="H1250" t="s">
        <v>8549</v>
      </c>
      <c r="I1250">
        <v>6</v>
      </c>
      <c r="J1250" t="s">
        <v>445</v>
      </c>
      <c r="M1250">
        <v>2391</v>
      </c>
      <c r="N1250" t="s">
        <v>16022</v>
      </c>
    </row>
    <row r="1251" spans="1:14">
      <c r="A1251">
        <v>12280050</v>
      </c>
      <c r="B1251">
        <v>4019657</v>
      </c>
      <c r="C1251" t="s">
        <v>975</v>
      </c>
      <c r="D1251" t="s">
        <v>441</v>
      </c>
      <c r="F1251">
        <v>0</v>
      </c>
      <c r="G1251">
        <v>9.16</v>
      </c>
      <c r="H1251" t="s">
        <v>8588</v>
      </c>
      <c r="I1251">
        <v>16</v>
      </c>
      <c r="J1251" t="s">
        <v>462</v>
      </c>
      <c r="M1251">
        <v>7112</v>
      </c>
      <c r="N1251" t="s">
        <v>16022</v>
      </c>
    </row>
    <row r="1252" spans="1:14">
      <c r="A1252">
        <v>12290000</v>
      </c>
      <c r="B1252">
        <v>3027484</v>
      </c>
      <c r="C1252" t="s">
        <v>15302</v>
      </c>
      <c r="D1252" t="s">
        <v>441</v>
      </c>
      <c r="F1252">
        <v>0</v>
      </c>
      <c r="G1252">
        <v>14.12</v>
      </c>
      <c r="H1252" t="s">
        <v>8549</v>
      </c>
      <c r="I1252">
        <v>6</v>
      </c>
      <c r="J1252" t="s">
        <v>445</v>
      </c>
      <c r="M1252">
        <v>2391</v>
      </c>
      <c r="N1252" t="s">
        <v>16022</v>
      </c>
    </row>
    <row r="1253" spans="1:14">
      <c r="A1253">
        <v>12290007</v>
      </c>
      <c r="B1253">
        <v>3028081</v>
      </c>
      <c r="C1253" t="s">
        <v>976</v>
      </c>
      <c r="D1253" t="s">
        <v>441</v>
      </c>
      <c r="F1253">
        <v>0</v>
      </c>
      <c r="G1253">
        <v>8.35</v>
      </c>
      <c r="H1253" t="s">
        <v>8549</v>
      </c>
      <c r="I1253">
        <v>6</v>
      </c>
      <c r="J1253" t="s">
        <v>445</v>
      </c>
      <c r="M1253">
        <v>2391</v>
      </c>
      <c r="N1253" t="s">
        <v>16022</v>
      </c>
    </row>
    <row r="1254" spans="1:14">
      <c r="A1254">
        <v>12290040</v>
      </c>
      <c r="B1254">
        <v>4020257</v>
      </c>
      <c r="C1254" t="s">
        <v>9220</v>
      </c>
      <c r="D1254" t="s">
        <v>441</v>
      </c>
      <c r="F1254">
        <v>0</v>
      </c>
      <c r="G1254">
        <v>13.16</v>
      </c>
      <c r="H1254" t="s">
        <v>8588</v>
      </c>
      <c r="I1254">
        <v>16</v>
      </c>
      <c r="J1254" t="s">
        <v>462</v>
      </c>
      <c r="K1254" t="s">
        <v>446</v>
      </c>
      <c r="M1254">
        <v>2612</v>
      </c>
      <c r="N1254" t="s">
        <v>16022</v>
      </c>
    </row>
    <row r="1255" spans="1:14">
      <c r="A1255">
        <v>12290041</v>
      </c>
      <c r="B1255">
        <v>4021951</v>
      </c>
      <c r="C1255" t="s">
        <v>9221</v>
      </c>
      <c r="D1255" t="s">
        <v>441</v>
      </c>
      <c r="F1255">
        <v>0</v>
      </c>
      <c r="G1255">
        <v>9.4600000000000009</v>
      </c>
      <c r="H1255" t="s">
        <v>8588</v>
      </c>
      <c r="I1255">
        <v>12</v>
      </c>
      <c r="J1255" t="s">
        <v>462</v>
      </c>
      <c r="K1255" t="s">
        <v>446</v>
      </c>
      <c r="M1255">
        <v>2612</v>
      </c>
      <c r="N1255" t="s">
        <v>16022</v>
      </c>
    </row>
    <row r="1256" spans="1:14">
      <c r="A1256">
        <v>12291000</v>
      </c>
      <c r="B1256">
        <v>3044663</v>
      </c>
      <c r="C1256" t="s">
        <v>15303</v>
      </c>
      <c r="D1256" t="s">
        <v>441</v>
      </c>
      <c r="F1256">
        <v>0</v>
      </c>
      <c r="G1256">
        <v>13.77</v>
      </c>
      <c r="H1256" t="s">
        <v>8549</v>
      </c>
      <c r="I1256">
        <v>6</v>
      </c>
      <c r="J1256" t="s">
        <v>445</v>
      </c>
      <c r="M1256">
        <v>2391</v>
      </c>
      <c r="N1256" t="s">
        <v>16022</v>
      </c>
    </row>
    <row r="1257" spans="1:14">
      <c r="A1257">
        <v>12294000</v>
      </c>
      <c r="B1257">
        <v>3035440</v>
      </c>
      <c r="C1257" t="s">
        <v>977</v>
      </c>
      <c r="D1257" t="s">
        <v>441</v>
      </c>
      <c r="F1257">
        <v>0</v>
      </c>
      <c r="G1257">
        <v>8.24</v>
      </c>
      <c r="H1257" t="s">
        <v>8549</v>
      </c>
      <c r="I1257">
        <v>6</v>
      </c>
      <c r="J1257" t="s">
        <v>445</v>
      </c>
      <c r="M1257">
        <v>2391</v>
      </c>
      <c r="N1257" t="s">
        <v>16022</v>
      </c>
    </row>
    <row r="1258" spans="1:14">
      <c r="A1258">
        <v>12294007</v>
      </c>
      <c r="B1258">
        <v>3035441</v>
      </c>
      <c r="C1258" t="s">
        <v>978</v>
      </c>
      <c r="D1258" t="s">
        <v>441</v>
      </c>
      <c r="F1258">
        <v>0</v>
      </c>
      <c r="G1258">
        <v>8.35</v>
      </c>
      <c r="H1258" t="s">
        <v>8549</v>
      </c>
      <c r="I1258">
        <v>6</v>
      </c>
      <c r="J1258" t="s">
        <v>445</v>
      </c>
      <c r="M1258">
        <v>2391</v>
      </c>
      <c r="N1258" t="s">
        <v>16022</v>
      </c>
    </row>
    <row r="1259" spans="1:14">
      <c r="A1259">
        <v>12300000</v>
      </c>
      <c r="B1259">
        <v>3012508</v>
      </c>
      <c r="C1259" t="s">
        <v>979</v>
      </c>
      <c r="D1259" t="s">
        <v>441</v>
      </c>
      <c r="F1259">
        <v>0</v>
      </c>
      <c r="G1259">
        <v>11.46</v>
      </c>
      <c r="H1259" t="s">
        <v>8580</v>
      </c>
      <c r="I1259">
        <v>6</v>
      </c>
      <c r="J1259" t="s">
        <v>445</v>
      </c>
      <c r="K1259" t="s">
        <v>446</v>
      </c>
      <c r="M1259">
        <v>2390</v>
      </c>
    </row>
    <row r="1260" spans="1:14">
      <c r="A1260">
        <v>12310000</v>
      </c>
      <c r="B1260">
        <v>3007503</v>
      </c>
      <c r="C1260" t="s">
        <v>980</v>
      </c>
      <c r="D1260" t="s">
        <v>441</v>
      </c>
      <c r="F1260">
        <v>0</v>
      </c>
      <c r="G1260">
        <v>8.7799999999999994</v>
      </c>
      <c r="I1260">
        <v>5</v>
      </c>
      <c r="J1260" t="s">
        <v>445</v>
      </c>
      <c r="K1260" t="s">
        <v>446</v>
      </c>
      <c r="M1260">
        <v>2390</v>
      </c>
    </row>
    <row r="1261" spans="1:14">
      <c r="A1261">
        <v>12310020</v>
      </c>
      <c r="B1261">
        <v>4003769</v>
      </c>
      <c r="C1261" t="s">
        <v>9222</v>
      </c>
      <c r="D1261" t="s">
        <v>441</v>
      </c>
      <c r="F1261">
        <v>0</v>
      </c>
      <c r="G1261">
        <v>9.1300000000000008</v>
      </c>
      <c r="H1261" t="s">
        <v>8588</v>
      </c>
      <c r="I1261">
        <v>6</v>
      </c>
      <c r="J1261" t="s">
        <v>462</v>
      </c>
      <c r="K1261" t="s">
        <v>446</v>
      </c>
      <c r="M1261">
        <v>2641</v>
      </c>
    </row>
    <row r="1262" spans="1:14">
      <c r="A1262">
        <v>12320000</v>
      </c>
      <c r="B1262">
        <v>3016055</v>
      </c>
      <c r="C1262" t="s">
        <v>981</v>
      </c>
      <c r="D1262" t="s">
        <v>441</v>
      </c>
      <c r="F1262">
        <v>0</v>
      </c>
      <c r="G1262">
        <v>8.84</v>
      </c>
      <c r="H1262" t="s">
        <v>8584</v>
      </c>
      <c r="I1262">
        <v>6</v>
      </c>
      <c r="J1262" t="s">
        <v>445</v>
      </c>
      <c r="K1262" t="s">
        <v>446</v>
      </c>
      <c r="M1262">
        <v>2390</v>
      </c>
    </row>
    <row r="1263" spans="1:14">
      <c r="A1263">
        <v>12320050</v>
      </c>
      <c r="B1263">
        <v>4010951</v>
      </c>
      <c r="C1263" t="s">
        <v>982</v>
      </c>
      <c r="D1263" t="s">
        <v>441</v>
      </c>
      <c r="F1263">
        <v>0</v>
      </c>
      <c r="G1263">
        <v>9.3000000000000007</v>
      </c>
      <c r="H1263" t="s">
        <v>8588</v>
      </c>
      <c r="I1263">
        <v>16</v>
      </c>
      <c r="J1263" t="s">
        <v>462</v>
      </c>
      <c r="K1263" t="s">
        <v>446</v>
      </c>
      <c r="M1263">
        <v>2612</v>
      </c>
    </row>
    <row r="1264" spans="1:14">
      <c r="A1264">
        <v>12330000</v>
      </c>
      <c r="B1264">
        <v>3007504</v>
      </c>
      <c r="C1264" t="s">
        <v>17355</v>
      </c>
      <c r="D1264" t="s">
        <v>441</v>
      </c>
      <c r="F1264">
        <v>0</v>
      </c>
      <c r="G1264">
        <v>18.420000000000002</v>
      </c>
      <c r="I1264">
        <v>5</v>
      </c>
      <c r="J1264" t="s">
        <v>445</v>
      </c>
      <c r="M1264">
        <v>2391</v>
      </c>
      <c r="N1264" t="s">
        <v>16023</v>
      </c>
    </row>
    <row r="1265" spans="1:14">
      <c r="A1265">
        <v>12330002</v>
      </c>
      <c r="B1265">
        <v>3007505</v>
      </c>
      <c r="C1265" t="s">
        <v>17356</v>
      </c>
      <c r="D1265" t="s">
        <v>441</v>
      </c>
      <c r="F1265">
        <v>0</v>
      </c>
      <c r="G1265">
        <v>19.170000000000002</v>
      </c>
      <c r="I1265">
        <v>540</v>
      </c>
      <c r="J1265" t="s">
        <v>445</v>
      </c>
      <c r="M1265">
        <v>7111</v>
      </c>
      <c r="N1265" t="s">
        <v>16023</v>
      </c>
    </row>
    <row r="1266" spans="1:14">
      <c r="A1266">
        <v>12330120</v>
      </c>
      <c r="B1266">
        <v>3009165</v>
      </c>
      <c r="C1266" t="s">
        <v>983</v>
      </c>
      <c r="D1266" t="s">
        <v>441</v>
      </c>
      <c r="F1266">
        <v>0</v>
      </c>
      <c r="G1266">
        <v>13.46</v>
      </c>
      <c r="H1266" t="s">
        <v>8588</v>
      </c>
      <c r="I1266">
        <v>6</v>
      </c>
      <c r="J1266" t="s">
        <v>445</v>
      </c>
      <c r="K1266" t="s">
        <v>446</v>
      </c>
      <c r="M1266">
        <v>7161</v>
      </c>
    </row>
    <row r="1267" spans="1:14">
      <c r="A1267">
        <v>12330502</v>
      </c>
      <c r="B1267">
        <v>3007506</v>
      </c>
      <c r="C1267" t="s">
        <v>17357</v>
      </c>
      <c r="D1267" t="s">
        <v>441</v>
      </c>
      <c r="F1267">
        <v>0</v>
      </c>
      <c r="G1267">
        <v>18.600000000000001</v>
      </c>
      <c r="I1267">
        <v>6</v>
      </c>
      <c r="J1267" t="s">
        <v>445</v>
      </c>
      <c r="M1267">
        <v>2502</v>
      </c>
      <c r="N1267" t="s">
        <v>16023</v>
      </c>
    </row>
    <row r="1268" spans="1:14">
      <c r="A1268">
        <v>12330602</v>
      </c>
      <c r="B1268">
        <v>3007507</v>
      </c>
      <c r="C1268" t="s">
        <v>17358</v>
      </c>
      <c r="D1268" t="s">
        <v>441</v>
      </c>
      <c r="F1268">
        <v>0</v>
      </c>
      <c r="G1268">
        <v>19.670000000000002</v>
      </c>
      <c r="H1268" t="s">
        <v>8588</v>
      </c>
      <c r="I1268">
        <v>4</v>
      </c>
      <c r="J1268" t="s">
        <v>445</v>
      </c>
      <c r="M1268">
        <v>2510</v>
      </c>
      <c r="N1268" t="s">
        <v>16023</v>
      </c>
    </row>
    <row r="1269" spans="1:14">
      <c r="A1269">
        <v>12330902</v>
      </c>
      <c r="B1269">
        <v>3020220</v>
      </c>
      <c r="C1269" t="s">
        <v>17359</v>
      </c>
      <c r="D1269" t="s">
        <v>441</v>
      </c>
      <c r="F1269">
        <v>0</v>
      </c>
      <c r="H1269" t="s">
        <v>8584</v>
      </c>
      <c r="I1269">
        <v>4</v>
      </c>
      <c r="J1269" t="s">
        <v>445</v>
      </c>
      <c r="M1269">
        <v>6666</v>
      </c>
      <c r="N1269" t="s">
        <v>16023</v>
      </c>
    </row>
    <row r="1270" spans="1:14">
      <c r="A1270">
        <v>12340000</v>
      </c>
      <c r="B1270">
        <v>3008794</v>
      </c>
      <c r="C1270" t="s">
        <v>984</v>
      </c>
      <c r="D1270" t="s">
        <v>441</v>
      </c>
      <c r="F1270">
        <v>0</v>
      </c>
      <c r="G1270">
        <v>10.15</v>
      </c>
      <c r="H1270" t="s">
        <v>8580</v>
      </c>
      <c r="I1270">
        <v>5</v>
      </c>
      <c r="J1270" t="s">
        <v>445</v>
      </c>
      <c r="K1270" t="s">
        <v>446</v>
      </c>
      <c r="M1270">
        <v>2390</v>
      </c>
    </row>
    <row r="1271" spans="1:14">
      <c r="A1271">
        <v>12340002</v>
      </c>
      <c r="B1271">
        <v>3008866</v>
      </c>
      <c r="C1271" t="s">
        <v>985</v>
      </c>
      <c r="D1271" t="s">
        <v>441</v>
      </c>
      <c r="F1271">
        <v>0</v>
      </c>
      <c r="G1271">
        <v>10.48</v>
      </c>
      <c r="H1271" t="s">
        <v>8588</v>
      </c>
      <c r="I1271">
        <v>365</v>
      </c>
      <c r="J1271" t="s">
        <v>445</v>
      </c>
      <c r="K1271" t="s">
        <v>446</v>
      </c>
      <c r="M1271">
        <v>2501</v>
      </c>
    </row>
    <row r="1272" spans="1:14">
      <c r="A1272">
        <v>12340075</v>
      </c>
      <c r="B1272">
        <v>4007951</v>
      </c>
      <c r="C1272" t="s">
        <v>986</v>
      </c>
      <c r="D1272" t="s">
        <v>441</v>
      </c>
      <c r="F1272">
        <v>0</v>
      </c>
      <c r="G1272">
        <v>10.220000000000001</v>
      </c>
      <c r="H1272" t="s">
        <v>8588</v>
      </c>
      <c r="I1272">
        <v>5</v>
      </c>
      <c r="J1272" t="s">
        <v>462</v>
      </c>
      <c r="K1272" t="s">
        <v>446</v>
      </c>
      <c r="M1272">
        <v>2641</v>
      </c>
    </row>
    <row r="1273" spans="1:14">
      <c r="A1273">
        <v>12340076</v>
      </c>
      <c r="B1273">
        <v>3010646</v>
      </c>
      <c r="C1273" t="s">
        <v>987</v>
      </c>
      <c r="D1273" t="s">
        <v>441</v>
      </c>
      <c r="F1273">
        <v>0</v>
      </c>
      <c r="G1273">
        <v>12.49</v>
      </c>
      <c r="H1273" t="s">
        <v>8588</v>
      </c>
      <c r="I1273">
        <v>6</v>
      </c>
      <c r="J1273" t="s">
        <v>445</v>
      </c>
      <c r="K1273" t="s">
        <v>446</v>
      </c>
      <c r="M1273">
        <v>2641</v>
      </c>
    </row>
    <row r="1274" spans="1:14">
      <c r="A1274">
        <v>12340077</v>
      </c>
      <c r="B1274">
        <v>3012612</v>
      </c>
      <c r="C1274" t="s">
        <v>987</v>
      </c>
      <c r="D1274" t="s">
        <v>441</v>
      </c>
      <c r="F1274">
        <v>0</v>
      </c>
      <c r="G1274">
        <v>10.220000000000001</v>
      </c>
      <c r="H1274" t="s">
        <v>8588</v>
      </c>
      <c r="I1274">
        <v>6</v>
      </c>
      <c r="J1274" t="s">
        <v>445</v>
      </c>
      <c r="K1274" t="s">
        <v>446</v>
      </c>
      <c r="M1274">
        <v>2641</v>
      </c>
    </row>
    <row r="1275" spans="1:14">
      <c r="A1275">
        <v>12340100</v>
      </c>
      <c r="B1275">
        <v>3011429</v>
      </c>
      <c r="C1275" t="s">
        <v>988</v>
      </c>
      <c r="D1275" t="s">
        <v>441</v>
      </c>
      <c r="F1275">
        <v>0</v>
      </c>
      <c r="H1275" t="s">
        <v>8588</v>
      </c>
      <c r="I1275">
        <v>6</v>
      </c>
      <c r="J1275" t="s">
        <v>445</v>
      </c>
      <c r="K1275" t="s">
        <v>446</v>
      </c>
      <c r="M1275">
        <v>3741</v>
      </c>
    </row>
    <row r="1276" spans="1:14">
      <c r="A1276">
        <v>12340502</v>
      </c>
      <c r="B1276">
        <v>3008710</v>
      </c>
      <c r="C1276" t="s">
        <v>989</v>
      </c>
      <c r="D1276" t="s">
        <v>441</v>
      </c>
      <c r="F1276">
        <v>0</v>
      </c>
      <c r="G1276">
        <v>10.199999999999999</v>
      </c>
      <c r="I1276">
        <v>6</v>
      </c>
      <c r="J1276" t="s">
        <v>445</v>
      </c>
      <c r="K1276" t="s">
        <v>446</v>
      </c>
      <c r="M1276">
        <v>2641</v>
      </c>
    </row>
    <row r="1277" spans="1:14">
      <c r="A1277">
        <v>12340519</v>
      </c>
      <c r="B1277">
        <v>3008711</v>
      </c>
      <c r="C1277" t="s">
        <v>990</v>
      </c>
      <c r="D1277" t="s">
        <v>441</v>
      </c>
      <c r="F1277">
        <v>0</v>
      </c>
      <c r="G1277">
        <v>10.34</v>
      </c>
      <c r="H1277" t="s">
        <v>8580</v>
      </c>
      <c r="I1277">
        <v>6</v>
      </c>
      <c r="J1277" t="s">
        <v>445</v>
      </c>
      <c r="K1277" t="s">
        <v>446</v>
      </c>
      <c r="M1277">
        <v>2641</v>
      </c>
    </row>
    <row r="1278" spans="1:14">
      <c r="A1278">
        <v>12340602</v>
      </c>
      <c r="B1278">
        <v>3008712</v>
      </c>
      <c r="C1278" t="s">
        <v>991</v>
      </c>
      <c r="D1278" t="s">
        <v>441</v>
      </c>
      <c r="F1278">
        <v>0</v>
      </c>
      <c r="G1278">
        <v>11.16</v>
      </c>
      <c r="H1278" t="s">
        <v>8584</v>
      </c>
      <c r="I1278">
        <v>4</v>
      </c>
      <c r="J1278" t="s">
        <v>445</v>
      </c>
      <c r="K1278" t="s">
        <v>446</v>
      </c>
      <c r="M1278">
        <v>2511</v>
      </c>
    </row>
    <row r="1279" spans="1:14">
      <c r="A1279">
        <v>12350000</v>
      </c>
      <c r="B1279">
        <v>3014151</v>
      </c>
      <c r="C1279" t="s">
        <v>992</v>
      </c>
      <c r="D1279" t="s">
        <v>441</v>
      </c>
      <c r="F1279">
        <v>0</v>
      </c>
      <c r="G1279">
        <v>9.56</v>
      </c>
      <c r="H1279" t="s">
        <v>8634</v>
      </c>
      <c r="I1279">
        <v>6</v>
      </c>
      <c r="J1279" t="s">
        <v>445</v>
      </c>
      <c r="K1279" t="s">
        <v>446</v>
      </c>
      <c r="M1279">
        <v>2311</v>
      </c>
    </row>
    <row r="1280" spans="1:14">
      <c r="A1280">
        <v>12360000</v>
      </c>
      <c r="B1280">
        <v>3014146</v>
      </c>
      <c r="C1280" t="s">
        <v>993</v>
      </c>
      <c r="D1280" t="s">
        <v>441</v>
      </c>
      <c r="F1280">
        <v>0</v>
      </c>
      <c r="G1280">
        <v>7.72</v>
      </c>
      <c r="H1280" t="s">
        <v>8634</v>
      </c>
      <c r="I1280">
        <v>6</v>
      </c>
      <c r="J1280" t="s">
        <v>445</v>
      </c>
      <c r="M1280">
        <v>2391</v>
      </c>
      <c r="N1280" t="s">
        <v>16010</v>
      </c>
    </row>
    <row r="1281" spans="1:14">
      <c r="A1281">
        <v>12360007</v>
      </c>
      <c r="B1281">
        <v>3024863</v>
      </c>
      <c r="C1281" t="s">
        <v>9223</v>
      </c>
      <c r="D1281" t="s">
        <v>441</v>
      </c>
      <c r="F1281">
        <v>0</v>
      </c>
      <c r="G1281">
        <v>11.59</v>
      </c>
      <c r="I1281">
        <v>6</v>
      </c>
      <c r="J1281" t="s">
        <v>445</v>
      </c>
      <c r="K1281" t="s">
        <v>446</v>
      </c>
      <c r="M1281">
        <v>3111</v>
      </c>
      <c r="N1281" t="s">
        <v>16010</v>
      </c>
    </row>
    <row r="1282" spans="1:14">
      <c r="A1282">
        <v>12361000</v>
      </c>
      <c r="B1282">
        <v>3017566</v>
      </c>
      <c r="C1282" t="s">
        <v>994</v>
      </c>
      <c r="D1282" t="s">
        <v>441</v>
      </c>
      <c r="F1282">
        <v>0</v>
      </c>
      <c r="G1282">
        <v>7.72</v>
      </c>
      <c r="H1282" t="s">
        <v>8584</v>
      </c>
      <c r="I1282">
        <v>6</v>
      </c>
      <c r="J1282" t="s">
        <v>445</v>
      </c>
      <c r="M1282">
        <v>2391</v>
      </c>
      <c r="N1282" t="s">
        <v>16010</v>
      </c>
    </row>
    <row r="1283" spans="1:14">
      <c r="A1283">
        <v>12361007</v>
      </c>
      <c r="B1283">
        <v>3024864</v>
      </c>
      <c r="C1283" t="s">
        <v>9224</v>
      </c>
      <c r="D1283" t="s">
        <v>441</v>
      </c>
      <c r="F1283">
        <v>0</v>
      </c>
      <c r="G1283">
        <v>11.59</v>
      </c>
      <c r="H1283" t="s">
        <v>8584</v>
      </c>
      <c r="I1283">
        <v>6</v>
      </c>
      <c r="J1283" t="s">
        <v>445</v>
      </c>
      <c r="K1283" t="s">
        <v>446</v>
      </c>
      <c r="M1283">
        <v>3111</v>
      </c>
      <c r="N1283" t="s">
        <v>16010</v>
      </c>
    </row>
    <row r="1284" spans="1:14">
      <c r="A1284">
        <v>12370000</v>
      </c>
      <c r="B1284">
        <v>3004373</v>
      </c>
      <c r="C1284" t="s">
        <v>995</v>
      </c>
      <c r="D1284" t="s">
        <v>441</v>
      </c>
      <c r="F1284">
        <v>0</v>
      </c>
      <c r="G1284">
        <v>10.92</v>
      </c>
      <c r="H1284" t="s">
        <v>8586</v>
      </c>
      <c r="I1284">
        <v>6</v>
      </c>
      <c r="J1284" t="s">
        <v>445</v>
      </c>
      <c r="K1284" t="s">
        <v>446</v>
      </c>
      <c r="M1284">
        <v>2390</v>
      </c>
    </row>
    <row r="1285" spans="1:14">
      <c r="A1285">
        <v>12370020</v>
      </c>
      <c r="B1285">
        <v>3007508</v>
      </c>
      <c r="C1285" t="s">
        <v>14239</v>
      </c>
      <c r="D1285" t="s">
        <v>441</v>
      </c>
      <c r="F1285">
        <v>0</v>
      </c>
      <c r="G1285">
        <v>15.67</v>
      </c>
      <c r="H1285" t="s">
        <v>8588</v>
      </c>
      <c r="I1285">
        <v>6</v>
      </c>
      <c r="J1285" t="s">
        <v>445</v>
      </c>
      <c r="L1285">
        <v>2831180</v>
      </c>
      <c r="M1285">
        <v>7112</v>
      </c>
      <c r="N1285" t="s">
        <v>16024</v>
      </c>
    </row>
    <row r="1286" spans="1:14">
      <c r="A1286">
        <v>12370021</v>
      </c>
      <c r="B1286">
        <v>4008807</v>
      </c>
      <c r="C1286" t="s">
        <v>9225</v>
      </c>
      <c r="D1286" t="s">
        <v>441</v>
      </c>
      <c r="F1286">
        <v>0</v>
      </c>
      <c r="G1286">
        <v>10.48</v>
      </c>
      <c r="H1286" t="s">
        <v>8588</v>
      </c>
      <c r="I1286">
        <v>6</v>
      </c>
      <c r="J1286" t="s">
        <v>462</v>
      </c>
      <c r="K1286" t="s">
        <v>446</v>
      </c>
      <c r="M1286">
        <v>2641</v>
      </c>
      <c r="N1286" t="s">
        <v>16024</v>
      </c>
    </row>
    <row r="1287" spans="1:14">
      <c r="A1287">
        <v>12370022</v>
      </c>
      <c r="B1287">
        <v>4010107</v>
      </c>
      <c r="C1287" t="s">
        <v>996</v>
      </c>
      <c r="D1287" t="s">
        <v>441</v>
      </c>
      <c r="F1287">
        <v>0</v>
      </c>
      <c r="G1287">
        <v>8.61</v>
      </c>
      <c r="H1287" t="s">
        <v>8588</v>
      </c>
      <c r="I1287">
        <v>6</v>
      </c>
      <c r="J1287" t="s">
        <v>462</v>
      </c>
      <c r="M1287">
        <v>7112</v>
      </c>
      <c r="N1287" t="s">
        <v>16024</v>
      </c>
    </row>
    <row r="1288" spans="1:14">
      <c r="A1288">
        <v>12370023</v>
      </c>
      <c r="B1288">
        <v>4012215</v>
      </c>
      <c r="C1288" t="s">
        <v>9226</v>
      </c>
      <c r="D1288" t="s">
        <v>441</v>
      </c>
      <c r="F1288">
        <v>0</v>
      </c>
      <c r="G1288">
        <v>10.17</v>
      </c>
      <c r="H1288" t="s">
        <v>8588</v>
      </c>
      <c r="I1288">
        <v>6</v>
      </c>
      <c r="J1288" t="s">
        <v>462</v>
      </c>
      <c r="K1288" t="s">
        <v>446</v>
      </c>
      <c r="M1288">
        <v>2612</v>
      </c>
      <c r="N1288" t="s">
        <v>16024</v>
      </c>
    </row>
    <row r="1289" spans="1:14">
      <c r="A1289">
        <v>12370024</v>
      </c>
      <c r="B1289">
        <v>3021929</v>
      </c>
      <c r="C1289" t="s">
        <v>997</v>
      </c>
      <c r="D1289" t="s">
        <v>441</v>
      </c>
      <c r="F1289">
        <v>0</v>
      </c>
      <c r="G1289">
        <v>8.33</v>
      </c>
      <c r="H1289" t="s">
        <v>8588</v>
      </c>
      <c r="I1289">
        <v>6</v>
      </c>
      <c r="J1289" t="s">
        <v>445</v>
      </c>
      <c r="L1289">
        <v>2092016</v>
      </c>
      <c r="M1289">
        <v>7112</v>
      </c>
      <c r="N1289" t="s">
        <v>16024</v>
      </c>
    </row>
    <row r="1290" spans="1:14">
      <c r="A1290">
        <v>12370027</v>
      </c>
      <c r="B1290">
        <v>4008152</v>
      </c>
      <c r="C1290" t="s">
        <v>998</v>
      </c>
      <c r="D1290" t="s">
        <v>441</v>
      </c>
      <c r="F1290">
        <v>0</v>
      </c>
      <c r="G1290">
        <v>15.24</v>
      </c>
      <c r="H1290" t="s">
        <v>8588</v>
      </c>
      <c r="I1290">
        <v>540</v>
      </c>
      <c r="J1290" t="s">
        <v>462</v>
      </c>
      <c r="M1290">
        <v>7111</v>
      </c>
      <c r="N1290" t="s">
        <v>16024</v>
      </c>
    </row>
    <row r="1291" spans="1:14">
      <c r="A1291">
        <v>12370028</v>
      </c>
      <c r="B1291">
        <v>4010918</v>
      </c>
      <c r="C1291" t="s">
        <v>9227</v>
      </c>
      <c r="D1291" t="s">
        <v>441</v>
      </c>
      <c r="F1291">
        <v>0</v>
      </c>
      <c r="G1291">
        <v>12.89</v>
      </c>
      <c r="H1291" t="s">
        <v>8588</v>
      </c>
      <c r="I1291">
        <v>365</v>
      </c>
      <c r="J1291" t="s">
        <v>462</v>
      </c>
      <c r="K1291" t="s">
        <v>446</v>
      </c>
      <c r="M1291">
        <v>2501</v>
      </c>
      <c r="N1291" t="s">
        <v>16024</v>
      </c>
    </row>
    <row r="1292" spans="1:14">
      <c r="A1292">
        <v>12370030</v>
      </c>
      <c r="B1292">
        <v>4009083</v>
      </c>
      <c r="C1292" t="s">
        <v>9228</v>
      </c>
      <c r="D1292" t="s">
        <v>441</v>
      </c>
      <c r="F1292">
        <v>0</v>
      </c>
      <c r="G1292">
        <v>11.29</v>
      </c>
      <c r="H1292" t="s">
        <v>8588</v>
      </c>
      <c r="I1292">
        <v>12</v>
      </c>
      <c r="J1292" t="s">
        <v>462</v>
      </c>
      <c r="K1292" t="s">
        <v>446</v>
      </c>
      <c r="L1292">
        <v>2980980</v>
      </c>
      <c r="M1292">
        <v>2611</v>
      </c>
      <c r="N1292" t="s">
        <v>16022</v>
      </c>
    </row>
    <row r="1293" spans="1:14">
      <c r="A1293">
        <v>12370032</v>
      </c>
      <c r="B1293">
        <v>4013395</v>
      </c>
      <c r="C1293" t="s">
        <v>9229</v>
      </c>
      <c r="D1293" t="s">
        <v>441</v>
      </c>
      <c r="F1293">
        <v>0</v>
      </c>
      <c r="G1293">
        <v>11.54</v>
      </c>
      <c r="H1293" t="s">
        <v>8588</v>
      </c>
      <c r="I1293">
        <v>12</v>
      </c>
      <c r="J1293" t="s">
        <v>462</v>
      </c>
      <c r="K1293" t="s">
        <v>446</v>
      </c>
      <c r="M1293">
        <v>2611</v>
      </c>
      <c r="N1293" t="s">
        <v>16024</v>
      </c>
    </row>
    <row r="1294" spans="1:14">
      <c r="A1294">
        <v>12370040</v>
      </c>
      <c r="B1294">
        <v>4008808</v>
      </c>
      <c r="C1294" t="s">
        <v>9230</v>
      </c>
      <c r="D1294" t="s">
        <v>441</v>
      </c>
      <c r="F1294">
        <v>0</v>
      </c>
      <c r="G1294">
        <v>13.18</v>
      </c>
      <c r="H1294" t="s">
        <v>8588</v>
      </c>
      <c r="I1294">
        <v>12</v>
      </c>
      <c r="J1294" t="s">
        <v>462</v>
      </c>
      <c r="K1294" t="s">
        <v>446</v>
      </c>
      <c r="M1294">
        <v>2612</v>
      </c>
      <c r="N1294" t="s">
        <v>16024</v>
      </c>
    </row>
    <row r="1295" spans="1:14">
      <c r="A1295">
        <v>12370041</v>
      </c>
      <c r="B1295">
        <v>4015924</v>
      </c>
      <c r="C1295" t="s">
        <v>9231</v>
      </c>
      <c r="D1295" t="s">
        <v>441</v>
      </c>
      <c r="F1295">
        <v>0</v>
      </c>
      <c r="G1295">
        <v>12.89</v>
      </c>
      <c r="H1295" t="s">
        <v>8588</v>
      </c>
      <c r="I1295">
        <v>13</v>
      </c>
      <c r="J1295" t="s">
        <v>462</v>
      </c>
      <c r="K1295" t="s">
        <v>446</v>
      </c>
      <c r="M1295">
        <v>2612</v>
      </c>
      <c r="N1295" t="s">
        <v>16024</v>
      </c>
    </row>
    <row r="1296" spans="1:14">
      <c r="A1296">
        <v>12370042</v>
      </c>
      <c r="B1296">
        <v>4016193</v>
      </c>
      <c r="C1296" t="s">
        <v>9232</v>
      </c>
      <c r="D1296" t="s">
        <v>441</v>
      </c>
      <c r="F1296">
        <v>0</v>
      </c>
      <c r="G1296">
        <v>9.8800000000000008</v>
      </c>
      <c r="H1296" t="s">
        <v>8588</v>
      </c>
      <c r="I1296">
        <v>16</v>
      </c>
      <c r="J1296" t="s">
        <v>462</v>
      </c>
      <c r="K1296" t="s">
        <v>446</v>
      </c>
      <c r="M1296">
        <v>2612</v>
      </c>
      <c r="N1296" t="s">
        <v>16024</v>
      </c>
    </row>
    <row r="1297" spans="1:14">
      <c r="A1297">
        <v>12370043</v>
      </c>
      <c r="B1297">
        <v>4008818</v>
      </c>
      <c r="C1297" t="s">
        <v>9233</v>
      </c>
      <c r="D1297" t="s">
        <v>441</v>
      </c>
      <c r="F1297">
        <v>0</v>
      </c>
      <c r="G1297">
        <v>12.84</v>
      </c>
      <c r="H1297" t="s">
        <v>8588</v>
      </c>
      <c r="I1297">
        <v>12</v>
      </c>
      <c r="J1297" t="s">
        <v>462</v>
      </c>
      <c r="K1297" t="s">
        <v>446</v>
      </c>
      <c r="M1297">
        <v>2612</v>
      </c>
      <c r="N1297" t="s">
        <v>16024</v>
      </c>
    </row>
    <row r="1298" spans="1:14">
      <c r="A1298">
        <v>12370044</v>
      </c>
      <c r="B1298">
        <v>4009448</v>
      </c>
      <c r="C1298" t="s">
        <v>9234</v>
      </c>
      <c r="D1298" t="s">
        <v>441</v>
      </c>
      <c r="F1298">
        <v>0</v>
      </c>
      <c r="G1298">
        <v>11.04</v>
      </c>
      <c r="H1298" t="s">
        <v>8588</v>
      </c>
      <c r="I1298">
        <v>16</v>
      </c>
      <c r="J1298" t="s">
        <v>462</v>
      </c>
      <c r="K1298" t="s">
        <v>446</v>
      </c>
      <c r="M1298">
        <v>2612</v>
      </c>
    </row>
    <row r="1299" spans="1:14">
      <c r="A1299">
        <v>12370045</v>
      </c>
      <c r="B1299">
        <v>4009880</v>
      </c>
      <c r="C1299" t="s">
        <v>9235</v>
      </c>
      <c r="D1299" t="s">
        <v>441</v>
      </c>
      <c r="F1299">
        <v>0</v>
      </c>
      <c r="G1299">
        <v>9.6300000000000008</v>
      </c>
      <c r="H1299" t="s">
        <v>8588</v>
      </c>
      <c r="I1299">
        <v>11</v>
      </c>
      <c r="J1299" t="s">
        <v>462</v>
      </c>
      <c r="K1299" t="s">
        <v>446</v>
      </c>
      <c r="M1299">
        <v>2612</v>
      </c>
      <c r="N1299" t="s">
        <v>16024</v>
      </c>
    </row>
    <row r="1300" spans="1:14">
      <c r="A1300">
        <v>12370046</v>
      </c>
      <c r="B1300">
        <v>4011133</v>
      </c>
      <c r="C1300" t="s">
        <v>9236</v>
      </c>
      <c r="D1300" t="s">
        <v>441</v>
      </c>
      <c r="F1300">
        <v>0</v>
      </c>
      <c r="G1300">
        <v>10.66</v>
      </c>
      <c r="H1300" t="s">
        <v>8588</v>
      </c>
      <c r="I1300">
        <v>10</v>
      </c>
      <c r="J1300" t="s">
        <v>462</v>
      </c>
      <c r="K1300" t="s">
        <v>446</v>
      </c>
      <c r="M1300">
        <v>2612</v>
      </c>
      <c r="N1300" t="s">
        <v>16024</v>
      </c>
    </row>
    <row r="1301" spans="1:14">
      <c r="A1301">
        <v>12370047</v>
      </c>
      <c r="B1301">
        <v>4013696</v>
      </c>
      <c r="C1301" t="s">
        <v>9237</v>
      </c>
      <c r="D1301" t="s">
        <v>441</v>
      </c>
      <c r="F1301">
        <v>0</v>
      </c>
      <c r="G1301">
        <v>10.6</v>
      </c>
      <c r="H1301" t="s">
        <v>8588</v>
      </c>
      <c r="I1301">
        <v>16</v>
      </c>
      <c r="J1301" t="s">
        <v>462</v>
      </c>
      <c r="K1301" t="s">
        <v>446</v>
      </c>
      <c r="M1301">
        <v>2612</v>
      </c>
      <c r="N1301" t="s">
        <v>16024</v>
      </c>
    </row>
    <row r="1302" spans="1:14">
      <c r="A1302">
        <v>12370048</v>
      </c>
      <c r="B1302">
        <v>4013882</v>
      </c>
      <c r="C1302" t="s">
        <v>999</v>
      </c>
      <c r="D1302" t="s">
        <v>441</v>
      </c>
      <c r="F1302">
        <v>0</v>
      </c>
      <c r="G1302">
        <v>8.57</v>
      </c>
      <c r="H1302" t="s">
        <v>8588</v>
      </c>
      <c r="I1302">
        <v>16</v>
      </c>
      <c r="J1302" t="s">
        <v>462</v>
      </c>
      <c r="M1302">
        <v>7112</v>
      </c>
      <c r="N1302" t="s">
        <v>16024</v>
      </c>
    </row>
    <row r="1303" spans="1:14">
      <c r="A1303">
        <v>12370049</v>
      </c>
      <c r="B1303">
        <v>4015416</v>
      </c>
      <c r="C1303" t="s">
        <v>9238</v>
      </c>
      <c r="D1303" t="s">
        <v>441</v>
      </c>
      <c r="F1303">
        <v>0</v>
      </c>
      <c r="G1303">
        <v>12.71</v>
      </c>
      <c r="H1303" t="s">
        <v>8588</v>
      </c>
      <c r="I1303">
        <v>16</v>
      </c>
      <c r="J1303" t="s">
        <v>462</v>
      </c>
      <c r="K1303" t="s">
        <v>446</v>
      </c>
      <c r="M1303">
        <v>2612</v>
      </c>
      <c r="N1303" t="s">
        <v>16024</v>
      </c>
    </row>
    <row r="1304" spans="1:14">
      <c r="A1304">
        <v>12370050</v>
      </c>
      <c r="B1304">
        <v>4009893</v>
      </c>
      <c r="C1304" t="s">
        <v>9239</v>
      </c>
      <c r="D1304" t="s">
        <v>441</v>
      </c>
      <c r="F1304">
        <v>0</v>
      </c>
      <c r="G1304">
        <v>12.81</v>
      </c>
      <c r="H1304" t="s">
        <v>8588</v>
      </c>
      <c r="I1304">
        <v>16</v>
      </c>
      <c r="J1304" t="s">
        <v>462</v>
      </c>
      <c r="K1304" t="s">
        <v>446</v>
      </c>
      <c r="M1304">
        <v>2612</v>
      </c>
      <c r="N1304" t="s">
        <v>16024</v>
      </c>
    </row>
    <row r="1305" spans="1:14">
      <c r="A1305">
        <v>12370051</v>
      </c>
      <c r="B1305">
        <v>4010776</v>
      </c>
      <c r="C1305" t="s">
        <v>15573</v>
      </c>
      <c r="D1305" t="s">
        <v>441</v>
      </c>
      <c r="F1305">
        <v>0</v>
      </c>
      <c r="G1305">
        <v>16.77</v>
      </c>
      <c r="H1305" t="s">
        <v>8588</v>
      </c>
      <c r="I1305">
        <v>10</v>
      </c>
      <c r="J1305" t="s">
        <v>462</v>
      </c>
      <c r="M1305">
        <v>7112</v>
      </c>
      <c r="N1305" t="s">
        <v>16024</v>
      </c>
    </row>
    <row r="1306" spans="1:14">
      <c r="A1306">
        <v>12370052</v>
      </c>
      <c r="B1306">
        <v>4016680</v>
      </c>
      <c r="C1306" t="s">
        <v>17360</v>
      </c>
      <c r="D1306" t="s">
        <v>441</v>
      </c>
      <c r="F1306">
        <v>0</v>
      </c>
      <c r="G1306">
        <v>19.350000000000001</v>
      </c>
      <c r="H1306" t="s">
        <v>8588</v>
      </c>
      <c r="I1306">
        <v>10</v>
      </c>
      <c r="J1306" t="s">
        <v>462</v>
      </c>
      <c r="L1306">
        <v>11890</v>
      </c>
      <c r="M1306">
        <v>7112</v>
      </c>
      <c r="N1306" t="s">
        <v>16024</v>
      </c>
    </row>
    <row r="1307" spans="1:14">
      <c r="A1307">
        <v>12370053</v>
      </c>
      <c r="B1307">
        <v>4010883</v>
      </c>
      <c r="C1307" t="s">
        <v>9240</v>
      </c>
      <c r="D1307" t="s">
        <v>441</v>
      </c>
      <c r="F1307">
        <v>0</v>
      </c>
      <c r="G1307">
        <v>9.9600000000000009</v>
      </c>
      <c r="H1307" t="s">
        <v>8588</v>
      </c>
      <c r="I1307">
        <v>16</v>
      </c>
      <c r="J1307" t="s">
        <v>462</v>
      </c>
      <c r="K1307" t="s">
        <v>446</v>
      </c>
      <c r="M1307">
        <v>2612</v>
      </c>
    </row>
    <row r="1308" spans="1:14">
      <c r="A1308">
        <v>12370054</v>
      </c>
      <c r="B1308">
        <v>4011128</v>
      </c>
      <c r="C1308" t="s">
        <v>9241</v>
      </c>
      <c r="D1308" t="s">
        <v>441</v>
      </c>
      <c r="F1308">
        <v>0</v>
      </c>
      <c r="G1308">
        <v>10.58</v>
      </c>
      <c r="H1308" t="s">
        <v>8588</v>
      </c>
      <c r="I1308">
        <v>10</v>
      </c>
      <c r="J1308" t="s">
        <v>462</v>
      </c>
      <c r="K1308" t="s">
        <v>446</v>
      </c>
      <c r="M1308">
        <v>2612</v>
      </c>
      <c r="N1308" t="s">
        <v>16024</v>
      </c>
    </row>
    <row r="1309" spans="1:14">
      <c r="A1309">
        <v>12370055</v>
      </c>
      <c r="B1309">
        <v>4009138</v>
      </c>
      <c r="C1309" t="s">
        <v>9242</v>
      </c>
      <c r="D1309" t="s">
        <v>441</v>
      </c>
      <c r="F1309">
        <v>0</v>
      </c>
      <c r="G1309">
        <v>10.55</v>
      </c>
      <c r="H1309" t="s">
        <v>8588</v>
      </c>
      <c r="I1309">
        <v>16</v>
      </c>
      <c r="J1309" t="s">
        <v>462</v>
      </c>
      <c r="K1309" t="s">
        <v>446</v>
      </c>
      <c r="M1309">
        <v>2612</v>
      </c>
    </row>
    <row r="1310" spans="1:14">
      <c r="A1310">
        <v>12370056</v>
      </c>
      <c r="B1310">
        <v>4008884</v>
      </c>
      <c r="C1310" t="s">
        <v>9243</v>
      </c>
      <c r="D1310" t="s">
        <v>441</v>
      </c>
      <c r="F1310">
        <v>0</v>
      </c>
      <c r="G1310">
        <v>10.56</v>
      </c>
      <c r="H1310" t="s">
        <v>8588</v>
      </c>
      <c r="I1310">
        <v>16</v>
      </c>
      <c r="J1310" t="s">
        <v>462</v>
      </c>
      <c r="K1310" t="s">
        <v>446</v>
      </c>
      <c r="M1310">
        <v>2612</v>
      </c>
    </row>
    <row r="1311" spans="1:14">
      <c r="A1311">
        <v>12370057</v>
      </c>
      <c r="B1311">
        <v>4001778</v>
      </c>
      <c r="C1311" t="s">
        <v>1000</v>
      </c>
      <c r="D1311" t="s">
        <v>441</v>
      </c>
      <c r="F1311">
        <v>0</v>
      </c>
      <c r="G1311">
        <v>8.59</v>
      </c>
      <c r="H1311" t="s">
        <v>8588</v>
      </c>
      <c r="I1311">
        <v>16</v>
      </c>
      <c r="J1311" t="s">
        <v>462</v>
      </c>
      <c r="M1311">
        <v>7112</v>
      </c>
      <c r="N1311" t="s">
        <v>16024</v>
      </c>
    </row>
    <row r="1312" spans="1:14">
      <c r="A1312">
        <v>12370058</v>
      </c>
      <c r="B1312">
        <v>4011132</v>
      </c>
      <c r="C1312" t="s">
        <v>9244</v>
      </c>
      <c r="D1312" t="s">
        <v>441</v>
      </c>
      <c r="F1312">
        <v>0</v>
      </c>
      <c r="G1312">
        <v>12.85</v>
      </c>
      <c r="H1312" t="s">
        <v>8588</v>
      </c>
      <c r="I1312">
        <v>10</v>
      </c>
      <c r="J1312" t="s">
        <v>462</v>
      </c>
      <c r="K1312" t="s">
        <v>446</v>
      </c>
      <c r="M1312">
        <v>2612</v>
      </c>
      <c r="N1312" t="s">
        <v>16024</v>
      </c>
    </row>
    <row r="1313" spans="1:14">
      <c r="A1313">
        <v>12370059</v>
      </c>
      <c r="B1313">
        <v>4015773</v>
      </c>
      <c r="C1313" t="s">
        <v>9245</v>
      </c>
      <c r="D1313" t="s">
        <v>441</v>
      </c>
      <c r="F1313">
        <v>0</v>
      </c>
      <c r="G1313">
        <v>14.09</v>
      </c>
      <c r="H1313" t="s">
        <v>8588</v>
      </c>
      <c r="I1313">
        <v>16</v>
      </c>
      <c r="J1313" t="s">
        <v>462</v>
      </c>
      <c r="K1313" t="s">
        <v>446</v>
      </c>
      <c r="L1313">
        <v>2615200</v>
      </c>
      <c r="M1313">
        <v>2612</v>
      </c>
      <c r="N1313" t="s">
        <v>16024</v>
      </c>
    </row>
    <row r="1314" spans="1:14">
      <c r="A1314">
        <v>12370060</v>
      </c>
      <c r="B1314">
        <v>4017169</v>
      </c>
      <c r="C1314" t="s">
        <v>15459</v>
      </c>
      <c r="D1314" t="s">
        <v>441</v>
      </c>
      <c r="F1314">
        <v>0</v>
      </c>
      <c r="G1314">
        <v>16.809999999999999</v>
      </c>
      <c r="H1314" t="s">
        <v>8588</v>
      </c>
      <c r="I1314">
        <v>16</v>
      </c>
      <c r="J1314" t="s">
        <v>462</v>
      </c>
      <c r="M1314">
        <v>7112</v>
      </c>
      <c r="N1314" t="s">
        <v>16024</v>
      </c>
    </row>
    <row r="1315" spans="1:14">
      <c r="A1315">
        <v>12370061</v>
      </c>
      <c r="B1315">
        <v>4018016</v>
      </c>
      <c r="C1315" t="s">
        <v>15365</v>
      </c>
      <c r="D1315" t="s">
        <v>441</v>
      </c>
      <c r="F1315">
        <v>0</v>
      </c>
      <c r="G1315">
        <v>14.64</v>
      </c>
      <c r="H1315" t="s">
        <v>8588</v>
      </c>
      <c r="I1315">
        <v>16</v>
      </c>
      <c r="J1315" t="s">
        <v>462</v>
      </c>
      <c r="M1315">
        <v>7112</v>
      </c>
      <c r="N1315" t="s">
        <v>16024</v>
      </c>
    </row>
    <row r="1316" spans="1:14">
      <c r="A1316">
        <v>12370062</v>
      </c>
      <c r="B1316">
        <v>4022278</v>
      </c>
      <c r="C1316" t="s">
        <v>1001</v>
      </c>
      <c r="D1316" t="s">
        <v>441</v>
      </c>
      <c r="F1316">
        <v>0</v>
      </c>
      <c r="G1316">
        <v>8.7200000000000006</v>
      </c>
      <c r="H1316" t="s">
        <v>8588</v>
      </c>
      <c r="I1316">
        <v>14</v>
      </c>
      <c r="J1316" t="s">
        <v>462</v>
      </c>
      <c r="M1316">
        <v>7112</v>
      </c>
      <c r="N1316" t="s">
        <v>16024</v>
      </c>
    </row>
    <row r="1317" spans="1:14">
      <c r="A1317">
        <v>12370063</v>
      </c>
      <c r="B1317">
        <v>4025031</v>
      </c>
      <c r="C1317" t="s">
        <v>1002</v>
      </c>
      <c r="D1317" t="s">
        <v>441</v>
      </c>
      <c r="F1317">
        <v>0</v>
      </c>
      <c r="G1317">
        <v>8.65</v>
      </c>
      <c r="H1317" t="s">
        <v>8588</v>
      </c>
      <c r="I1317">
        <v>16</v>
      </c>
      <c r="J1317" t="s">
        <v>462</v>
      </c>
      <c r="M1317">
        <v>7112</v>
      </c>
      <c r="N1317" t="s">
        <v>16024</v>
      </c>
    </row>
    <row r="1318" spans="1:14">
      <c r="A1318">
        <v>12370064</v>
      </c>
      <c r="B1318">
        <v>4028829</v>
      </c>
      <c r="C1318" t="s">
        <v>14240</v>
      </c>
      <c r="D1318" t="s">
        <v>441</v>
      </c>
      <c r="F1318">
        <v>0</v>
      </c>
      <c r="G1318">
        <v>15.05</v>
      </c>
      <c r="H1318" t="s">
        <v>8588</v>
      </c>
      <c r="I1318">
        <v>16</v>
      </c>
      <c r="J1318" t="s">
        <v>462</v>
      </c>
      <c r="M1318">
        <v>7112</v>
      </c>
      <c r="N1318" t="s">
        <v>16024</v>
      </c>
    </row>
    <row r="1319" spans="1:14">
      <c r="A1319">
        <v>12370065</v>
      </c>
      <c r="B1319">
        <v>4030114</v>
      </c>
      <c r="C1319" t="s">
        <v>15922</v>
      </c>
      <c r="D1319" t="s">
        <v>441</v>
      </c>
      <c r="F1319">
        <v>0</v>
      </c>
      <c r="G1319">
        <v>17.2</v>
      </c>
      <c r="H1319" t="s">
        <v>8588</v>
      </c>
      <c r="I1319">
        <v>16</v>
      </c>
      <c r="J1319" t="s">
        <v>462</v>
      </c>
      <c r="M1319">
        <v>7112</v>
      </c>
      <c r="N1319" t="s">
        <v>16024</v>
      </c>
    </row>
    <row r="1320" spans="1:14">
      <c r="A1320">
        <v>12370067</v>
      </c>
      <c r="B1320">
        <v>4030287</v>
      </c>
      <c r="C1320" t="s">
        <v>16025</v>
      </c>
      <c r="D1320" t="s">
        <v>441</v>
      </c>
      <c r="F1320">
        <v>0</v>
      </c>
      <c r="G1320">
        <v>17.55</v>
      </c>
      <c r="H1320" t="s">
        <v>8588</v>
      </c>
      <c r="I1320">
        <v>16</v>
      </c>
      <c r="J1320" t="s">
        <v>462</v>
      </c>
      <c r="M1320">
        <v>7112</v>
      </c>
      <c r="N1320" t="s">
        <v>16024</v>
      </c>
    </row>
    <row r="1321" spans="1:14">
      <c r="A1321">
        <v>12370068</v>
      </c>
      <c r="B1321">
        <v>4019551</v>
      </c>
      <c r="C1321" t="s">
        <v>17361</v>
      </c>
      <c r="D1321" t="s">
        <v>441</v>
      </c>
      <c r="F1321">
        <v>0</v>
      </c>
      <c r="G1321">
        <v>18.690000000000001</v>
      </c>
      <c r="H1321" t="s">
        <v>8588</v>
      </c>
      <c r="I1321">
        <v>16</v>
      </c>
      <c r="J1321" t="s">
        <v>462</v>
      </c>
      <c r="M1321">
        <v>7112</v>
      </c>
      <c r="N1321" t="s">
        <v>16024</v>
      </c>
    </row>
    <row r="1322" spans="1:14">
      <c r="A1322">
        <v>12370069</v>
      </c>
      <c r="B1322">
        <v>4008620</v>
      </c>
      <c r="C1322" t="s">
        <v>9246</v>
      </c>
      <c r="D1322" t="s">
        <v>441</v>
      </c>
      <c r="F1322">
        <v>0</v>
      </c>
      <c r="G1322">
        <v>13.08</v>
      </c>
      <c r="H1322" t="s">
        <v>8588</v>
      </c>
      <c r="I1322">
        <v>12</v>
      </c>
      <c r="J1322" t="s">
        <v>462</v>
      </c>
      <c r="K1322" t="s">
        <v>446</v>
      </c>
      <c r="M1322">
        <v>2611</v>
      </c>
    </row>
    <row r="1323" spans="1:14">
      <c r="A1323">
        <v>12370070</v>
      </c>
      <c r="B1323">
        <v>4030314</v>
      </c>
      <c r="C1323" t="s">
        <v>16026</v>
      </c>
      <c r="D1323" t="s">
        <v>441</v>
      </c>
      <c r="F1323">
        <v>0</v>
      </c>
      <c r="G1323">
        <v>17.46</v>
      </c>
      <c r="H1323" t="s">
        <v>8588</v>
      </c>
      <c r="I1323">
        <v>16</v>
      </c>
      <c r="J1323" t="s">
        <v>462</v>
      </c>
      <c r="M1323">
        <v>7112</v>
      </c>
      <c r="N1323" t="s">
        <v>16024</v>
      </c>
    </row>
    <row r="1324" spans="1:14">
      <c r="A1324">
        <v>12370071</v>
      </c>
      <c r="B1324">
        <v>4015807</v>
      </c>
      <c r="C1324" t="s">
        <v>9247</v>
      </c>
      <c r="D1324" t="s">
        <v>441</v>
      </c>
      <c r="F1324">
        <v>0</v>
      </c>
      <c r="G1324">
        <v>12.81</v>
      </c>
      <c r="H1324" t="s">
        <v>8588</v>
      </c>
      <c r="I1324">
        <v>16</v>
      </c>
      <c r="J1324" t="s">
        <v>462</v>
      </c>
      <c r="K1324" t="s">
        <v>446</v>
      </c>
      <c r="M1324">
        <v>2612</v>
      </c>
      <c r="N1324" t="s">
        <v>16024</v>
      </c>
    </row>
    <row r="1325" spans="1:14">
      <c r="A1325">
        <v>12370075</v>
      </c>
      <c r="B1325">
        <v>3008843</v>
      </c>
      <c r="C1325" t="s">
        <v>1003</v>
      </c>
      <c r="D1325" t="s">
        <v>441</v>
      </c>
      <c r="F1325">
        <v>0</v>
      </c>
      <c r="G1325">
        <v>10.01</v>
      </c>
      <c r="H1325" t="s">
        <v>8588</v>
      </c>
      <c r="I1325">
        <v>6</v>
      </c>
      <c r="J1325" t="s">
        <v>445</v>
      </c>
      <c r="K1325" t="s">
        <v>446</v>
      </c>
      <c r="M1325">
        <v>2641</v>
      </c>
    </row>
    <row r="1326" spans="1:14">
      <c r="A1326">
        <v>12370076</v>
      </c>
      <c r="B1326">
        <v>4008255</v>
      </c>
      <c r="C1326" t="s">
        <v>9248</v>
      </c>
      <c r="D1326" t="s">
        <v>441</v>
      </c>
      <c r="F1326">
        <v>0</v>
      </c>
      <c r="G1326">
        <v>12.61</v>
      </c>
      <c r="H1326" t="s">
        <v>8588</v>
      </c>
      <c r="I1326">
        <v>365</v>
      </c>
      <c r="J1326" t="s">
        <v>462</v>
      </c>
      <c r="K1326" t="s">
        <v>446</v>
      </c>
      <c r="M1326">
        <v>2501</v>
      </c>
      <c r="N1326" t="s">
        <v>16024</v>
      </c>
    </row>
    <row r="1327" spans="1:14">
      <c r="A1327">
        <v>12370077</v>
      </c>
      <c r="B1327">
        <v>4012890</v>
      </c>
      <c r="C1327" t="s">
        <v>9249</v>
      </c>
      <c r="D1327" t="s">
        <v>441</v>
      </c>
      <c r="F1327">
        <v>0</v>
      </c>
      <c r="G1327">
        <v>12.5</v>
      </c>
      <c r="H1327" t="s">
        <v>8588</v>
      </c>
      <c r="I1327">
        <v>6</v>
      </c>
      <c r="J1327" t="s">
        <v>462</v>
      </c>
      <c r="K1327" t="s">
        <v>446</v>
      </c>
      <c r="M1327">
        <v>2641</v>
      </c>
      <c r="N1327" t="s">
        <v>16024</v>
      </c>
    </row>
    <row r="1328" spans="1:14">
      <c r="A1328">
        <v>12370078</v>
      </c>
      <c r="B1328">
        <v>4015345</v>
      </c>
      <c r="C1328" t="s">
        <v>15460</v>
      </c>
      <c r="D1328" t="s">
        <v>441</v>
      </c>
      <c r="F1328">
        <v>0</v>
      </c>
      <c r="G1328">
        <v>16.3</v>
      </c>
      <c r="H1328" t="s">
        <v>8588</v>
      </c>
      <c r="I1328">
        <v>6</v>
      </c>
      <c r="J1328" t="s">
        <v>462</v>
      </c>
      <c r="L1328">
        <v>2630500</v>
      </c>
      <c r="M1328">
        <v>7112</v>
      </c>
      <c r="N1328" t="s">
        <v>16024</v>
      </c>
    </row>
    <row r="1329" spans="1:14">
      <c r="A1329">
        <v>12370100</v>
      </c>
      <c r="B1329">
        <v>3003288</v>
      </c>
      <c r="C1329" t="s">
        <v>9250</v>
      </c>
      <c r="D1329" t="s">
        <v>441</v>
      </c>
      <c r="F1329">
        <v>0</v>
      </c>
      <c r="H1329" t="s">
        <v>8588</v>
      </c>
      <c r="I1329">
        <v>6</v>
      </c>
      <c r="J1329" t="s">
        <v>445</v>
      </c>
      <c r="K1329" t="s">
        <v>446</v>
      </c>
      <c r="M1329">
        <v>2391</v>
      </c>
    </row>
    <row r="1330" spans="1:14">
      <c r="A1330">
        <v>12370110</v>
      </c>
      <c r="B1330">
        <v>3031571</v>
      </c>
      <c r="C1330" t="s">
        <v>1004</v>
      </c>
      <c r="D1330" t="s">
        <v>441</v>
      </c>
      <c r="F1330">
        <v>0</v>
      </c>
      <c r="H1330" t="s">
        <v>8588</v>
      </c>
      <c r="I1330">
        <v>6</v>
      </c>
      <c r="J1330" t="s">
        <v>445</v>
      </c>
      <c r="M1330">
        <v>7161</v>
      </c>
      <c r="N1330" t="s">
        <v>16024</v>
      </c>
    </row>
    <row r="1331" spans="1:14">
      <c r="A1331">
        <v>12370120</v>
      </c>
      <c r="B1331">
        <v>3031486</v>
      </c>
      <c r="C1331" t="s">
        <v>1005</v>
      </c>
      <c r="D1331" t="s">
        <v>441</v>
      </c>
      <c r="F1331">
        <v>0</v>
      </c>
      <c r="H1331" t="s">
        <v>8637</v>
      </c>
      <c r="I1331">
        <v>730</v>
      </c>
      <c r="J1331" t="s">
        <v>445</v>
      </c>
      <c r="M1331">
        <v>7161</v>
      </c>
      <c r="N1331" t="s">
        <v>16024</v>
      </c>
    </row>
    <row r="1332" spans="1:14">
      <c r="A1332">
        <v>12370527</v>
      </c>
      <c r="B1332">
        <v>3009124</v>
      </c>
      <c r="C1332" t="s">
        <v>1006</v>
      </c>
      <c r="D1332" t="s">
        <v>441</v>
      </c>
      <c r="F1332">
        <v>0</v>
      </c>
      <c r="G1332">
        <v>8.52</v>
      </c>
      <c r="H1332" t="s">
        <v>8580</v>
      </c>
      <c r="I1332">
        <v>540</v>
      </c>
      <c r="J1332" t="s">
        <v>445</v>
      </c>
      <c r="M1332">
        <v>2502</v>
      </c>
      <c r="N1332" t="s">
        <v>16024</v>
      </c>
    </row>
    <row r="1333" spans="1:14">
      <c r="A1333">
        <v>12370528</v>
      </c>
      <c r="B1333">
        <v>3014978</v>
      </c>
      <c r="C1333" t="s">
        <v>9251</v>
      </c>
      <c r="D1333" t="s">
        <v>441</v>
      </c>
      <c r="F1333">
        <v>0</v>
      </c>
      <c r="G1333">
        <v>12.71</v>
      </c>
      <c r="I1333">
        <v>365</v>
      </c>
      <c r="J1333" t="s">
        <v>445</v>
      </c>
      <c r="K1333" t="s">
        <v>446</v>
      </c>
      <c r="M1333">
        <v>2641</v>
      </c>
      <c r="N1333" t="s">
        <v>16024</v>
      </c>
    </row>
    <row r="1334" spans="1:14">
      <c r="A1334">
        <v>12370576</v>
      </c>
      <c r="B1334">
        <v>3009125</v>
      </c>
      <c r="C1334" t="s">
        <v>9252</v>
      </c>
      <c r="D1334" t="s">
        <v>441</v>
      </c>
      <c r="F1334">
        <v>0</v>
      </c>
      <c r="G1334">
        <v>12.55</v>
      </c>
      <c r="H1334" t="s">
        <v>8580</v>
      </c>
      <c r="I1334">
        <v>6</v>
      </c>
      <c r="J1334" t="s">
        <v>445</v>
      </c>
      <c r="K1334" t="s">
        <v>446</v>
      </c>
      <c r="M1334">
        <v>2501</v>
      </c>
      <c r="N1334" t="s">
        <v>16024</v>
      </c>
    </row>
    <row r="1335" spans="1:14">
      <c r="A1335">
        <v>12370627</v>
      </c>
      <c r="B1335">
        <v>3011990</v>
      </c>
      <c r="C1335" t="s">
        <v>1007</v>
      </c>
      <c r="D1335" t="s">
        <v>441</v>
      </c>
      <c r="F1335">
        <v>0</v>
      </c>
      <c r="G1335">
        <v>9.9499999999999993</v>
      </c>
      <c r="H1335" t="s">
        <v>8588</v>
      </c>
      <c r="I1335">
        <v>4</v>
      </c>
      <c r="J1335" t="s">
        <v>445</v>
      </c>
      <c r="M1335">
        <v>2510</v>
      </c>
      <c r="N1335" t="s">
        <v>16024</v>
      </c>
    </row>
    <row r="1336" spans="1:14">
      <c r="A1336">
        <v>12370927</v>
      </c>
      <c r="B1336">
        <v>3020906</v>
      </c>
      <c r="C1336" t="s">
        <v>1008</v>
      </c>
      <c r="D1336" t="s">
        <v>441</v>
      </c>
      <c r="F1336">
        <v>0</v>
      </c>
      <c r="G1336">
        <v>9.77</v>
      </c>
      <c r="H1336" t="s">
        <v>8580</v>
      </c>
      <c r="I1336">
        <v>4</v>
      </c>
      <c r="J1336" t="s">
        <v>445</v>
      </c>
      <c r="K1336" t="s">
        <v>446</v>
      </c>
      <c r="M1336">
        <v>6666</v>
      </c>
      <c r="N1336" t="s">
        <v>16024</v>
      </c>
    </row>
    <row r="1337" spans="1:14">
      <c r="A1337">
        <v>12371020</v>
      </c>
      <c r="B1337">
        <v>3017375</v>
      </c>
      <c r="C1337" t="s">
        <v>9253</v>
      </c>
      <c r="D1337" t="s">
        <v>441</v>
      </c>
      <c r="F1337">
        <v>0</v>
      </c>
      <c r="G1337">
        <v>12.61</v>
      </c>
      <c r="H1337" t="s">
        <v>8588</v>
      </c>
      <c r="I1337">
        <v>6</v>
      </c>
      <c r="J1337" t="s">
        <v>445</v>
      </c>
      <c r="K1337" t="s">
        <v>446</v>
      </c>
      <c r="M1337">
        <v>2641</v>
      </c>
      <c r="N1337" t="s">
        <v>16024</v>
      </c>
    </row>
    <row r="1338" spans="1:14">
      <c r="A1338">
        <v>12371021</v>
      </c>
      <c r="B1338">
        <v>4011844</v>
      </c>
      <c r="C1338" t="s">
        <v>9254</v>
      </c>
      <c r="D1338" t="s">
        <v>441</v>
      </c>
      <c r="F1338">
        <v>0</v>
      </c>
      <c r="G1338">
        <v>10.48</v>
      </c>
      <c r="H1338" t="s">
        <v>8588</v>
      </c>
      <c r="I1338">
        <v>6</v>
      </c>
      <c r="J1338" t="s">
        <v>462</v>
      </c>
      <c r="K1338" t="s">
        <v>446</v>
      </c>
      <c r="M1338">
        <v>2641</v>
      </c>
      <c r="N1338" t="s">
        <v>16024</v>
      </c>
    </row>
    <row r="1339" spans="1:14">
      <c r="A1339">
        <v>12371022</v>
      </c>
      <c r="B1339">
        <v>4012027</v>
      </c>
      <c r="C1339" t="s">
        <v>9255</v>
      </c>
      <c r="D1339" t="s">
        <v>441</v>
      </c>
      <c r="F1339">
        <v>0</v>
      </c>
      <c r="G1339">
        <v>12.7</v>
      </c>
      <c r="H1339" t="s">
        <v>8588</v>
      </c>
      <c r="I1339">
        <v>6</v>
      </c>
      <c r="J1339" t="s">
        <v>462</v>
      </c>
      <c r="K1339" t="s">
        <v>446</v>
      </c>
      <c r="M1339">
        <v>2641</v>
      </c>
      <c r="N1339" t="s">
        <v>16024</v>
      </c>
    </row>
    <row r="1340" spans="1:14">
      <c r="A1340">
        <v>12371023</v>
      </c>
      <c r="B1340">
        <v>4012211</v>
      </c>
      <c r="C1340" t="s">
        <v>9256</v>
      </c>
      <c r="D1340" t="s">
        <v>441</v>
      </c>
      <c r="F1340">
        <v>0</v>
      </c>
      <c r="G1340">
        <v>10.17</v>
      </c>
      <c r="H1340" t="s">
        <v>8588</v>
      </c>
      <c r="I1340">
        <v>6</v>
      </c>
      <c r="J1340" t="s">
        <v>462</v>
      </c>
      <c r="K1340" t="s">
        <v>446</v>
      </c>
      <c r="M1340">
        <v>2612</v>
      </c>
      <c r="N1340" t="s">
        <v>16024</v>
      </c>
    </row>
    <row r="1341" spans="1:14">
      <c r="A1341">
        <v>12371027</v>
      </c>
      <c r="B1341">
        <v>4011770</v>
      </c>
      <c r="C1341" t="s">
        <v>9257</v>
      </c>
      <c r="D1341" t="s">
        <v>441</v>
      </c>
      <c r="F1341">
        <v>0</v>
      </c>
      <c r="G1341">
        <v>10.26</v>
      </c>
      <c r="H1341" t="s">
        <v>8588</v>
      </c>
      <c r="I1341">
        <v>365</v>
      </c>
      <c r="J1341" t="s">
        <v>462</v>
      </c>
      <c r="K1341" t="s">
        <v>446</v>
      </c>
      <c r="M1341">
        <v>2501</v>
      </c>
    </row>
    <row r="1342" spans="1:14">
      <c r="A1342">
        <v>12371028</v>
      </c>
      <c r="B1342">
        <v>4012127</v>
      </c>
      <c r="C1342" t="s">
        <v>9258</v>
      </c>
      <c r="D1342" t="s">
        <v>441</v>
      </c>
      <c r="F1342">
        <v>0</v>
      </c>
      <c r="G1342">
        <v>12.89</v>
      </c>
      <c r="H1342" t="s">
        <v>8588</v>
      </c>
      <c r="I1342">
        <v>365</v>
      </c>
      <c r="J1342" t="s">
        <v>462</v>
      </c>
      <c r="K1342" t="s">
        <v>446</v>
      </c>
      <c r="M1342">
        <v>2501</v>
      </c>
      <c r="N1342" t="s">
        <v>16024</v>
      </c>
    </row>
    <row r="1343" spans="1:14">
      <c r="A1343">
        <v>12371032</v>
      </c>
      <c r="B1343">
        <v>4013394</v>
      </c>
      <c r="C1343" t="s">
        <v>9259</v>
      </c>
      <c r="D1343" t="s">
        <v>441</v>
      </c>
      <c r="F1343">
        <v>0</v>
      </c>
      <c r="G1343">
        <v>11.54</v>
      </c>
      <c r="H1343" t="s">
        <v>8588</v>
      </c>
      <c r="I1343">
        <v>12</v>
      </c>
      <c r="J1343" t="s">
        <v>462</v>
      </c>
      <c r="K1343" t="s">
        <v>446</v>
      </c>
      <c r="M1343">
        <v>2611</v>
      </c>
      <c r="N1343" t="s">
        <v>16024</v>
      </c>
    </row>
    <row r="1344" spans="1:14">
      <c r="A1344">
        <v>12371040</v>
      </c>
      <c r="B1344">
        <v>4011845</v>
      </c>
      <c r="C1344" t="s">
        <v>9260</v>
      </c>
      <c r="D1344" t="s">
        <v>441</v>
      </c>
      <c r="F1344">
        <v>0</v>
      </c>
      <c r="G1344">
        <v>13.07</v>
      </c>
      <c r="H1344" t="s">
        <v>8588</v>
      </c>
      <c r="I1344">
        <v>12</v>
      </c>
      <c r="J1344" t="s">
        <v>462</v>
      </c>
      <c r="K1344" t="s">
        <v>446</v>
      </c>
      <c r="M1344">
        <v>2612</v>
      </c>
      <c r="N1344" t="s">
        <v>16024</v>
      </c>
    </row>
    <row r="1345" spans="1:14">
      <c r="A1345">
        <v>12371042</v>
      </c>
      <c r="B1345">
        <v>4011777</v>
      </c>
      <c r="C1345" t="s">
        <v>9261</v>
      </c>
      <c r="D1345" t="s">
        <v>441</v>
      </c>
      <c r="F1345">
        <v>0</v>
      </c>
      <c r="G1345">
        <v>10.53</v>
      </c>
      <c r="H1345" t="s">
        <v>8588</v>
      </c>
      <c r="I1345">
        <v>11</v>
      </c>
      <c r="J1345" t="s">
        <v>462</v>
      </c>
      <c r="K1345" t="s">
        <v>446</v>
      </c>
      <c r="M1345">
        <v>2612</v>
      </c>
    </row>
    <row r="1346" spans="1:14">
      <c r="A1346">
        <v>12371043</v>
      </c>
      <c r="B1346">
        <v>4011847</v>
      </c>
      <c r="C1346" t="s">
        <v>9262</v>
      </c>
      <c r="D1346" t="s">
        <v>441</v>
      </c>
      <c r="F1346">
        <v>0</v>
      </c>
      <c r="G1346">
        <v>10.55</v>
      </c>
      <c r="H1346" t="s">
        <v>8588</v>
      </c>
      <c r="I1346">
        <v>13</v>
      </c>
      <c r="J1346" t="s">
        <v>462</v>
      </c>
      <c r="K1346" t="s">
        <v>446</v>
      </c>
      <c r="M1346">
        <v>2612</v>
      </c>
      <c r="N1346" t="s">
        <v>16024</v>
      </c>
    </row>
    <row r="1347" spans="1:14">
      <c r="A1347">
        <v>12371044</v>
      </c>
      <c r="B1347">
        <v>4011921</v>
      </c>
      <c r="C1347" t="s">
        <v>9263</v>
      </c>
      <c r="D1347" t="s">
        <v>441</v>
      </c>
      <c r="F1347">
        <v>0</v>
      </c>
      <c r="G1347">
        <v>11.04</v>
      </c>
      <c r="H1347" t="s">
        <v>8588</v>
      </c>
      <c r="I1347">
        <v>16</v>
      </c>
      <c r="J1347" t="s">
        <v>462</v>
      </c>
      <c r="K1347" t="s">
        <v>446</v>
      </c>
      <c r="M1347">
        <v>2612</v>
      </c>
    </row>
    <row r="1348" spans="1:14">
      <c r="A1348">
        <v>12371045</v>
      </c>
      <c r="B1348">
        <v>4011982</v>
      </c>
      <c r="C1348" t="s">
        <v>9264</v>
      </c>
      <c r="D1348" t="s">
        <v>441</v>
      </c>
      <c r="F1348">
        <v>0</v>
      </c>
      <c r="G1348">
        <v>9.59</v>
      </c>
      <c r="H1348" t="s">
        <v>8588</v>
      </c>
      <c r="I1348">
        <v>11</v>
      </c>
      <c r="J1348" t="s">
        <v>462</v>
      </c>
      <c r="K1348" t="s">
        <v>446</v>
      </c>
      <c r="M1348">
        <v>2612</v>
      </c>
      <c r="N1348" t="s">
        <v>16024</v>
      </c>
    </row>
    <row r="1349" spans="1:14">
      <c r="A1349">
        <v>12371046</v>
      </c>
      <c r="B1349">
        <v>4012170</v>
      </c>
      <c r="C1349" t="s">
        <v>9265</v>
      </c>
      <c r="D1349" t="s">
        <v>441</v>
      </c>
      <c r="F1349">
        <v>0</v>
      </c>
      <c r="G1349">
        <v>10.66</v>
      </c>
      <c r="H1349" t="s">
        <v>8588</v>
      </c>
      <c r="I1349">
        <v>10</v>
      </c>
      <c r="J1349" t="s">
        <v>462</v>
      </c>
      <c r="K1349" t="s">
        <v>446</v>
      </c>
      <c r="M1349">
        <v>2612</v>
      </c>
      <c r="N1349" t="s">
        <v>16024</v>
      </c>
    </row>
    <row r="1350" spans="1:14">
      <c r="A1350">
        <v>12371047</v>
      </c>
      <c r="B1350">
        <v>4013697</v>
      </c>
      <c r="C1350" t="s">
        <v>9266</v>
      </c>
      <c r="D1350" t="s">
        <v>441</v>
      </c>
      <c r="F1350">
        <v>0</v>
      </c>
      <c r="G1350">
        <v>10.6</v>
      </c>
      <c r="H1350" t="s">
        <v>8588</v>
      </c>
      <c r="I1350">
        <v>16</v>
      </c>
      <c r="J1350" t="s">
        <v>462</v>
      </c>
      <c r="K1350" t="s">
        <v>446</v>
      </c>
      <c r="M1350">
        <v>2612</v>
      </c>
      <c r="N1350" t="s">
        <v>16024</v>
      </c>
    </row>
    <row r="1351" spans="1:14">
      <c r="A1351">
        <v>12371048</v>
      </c>
      <c r="B1351">
        <v>4013883</v>
      </c>
      <c r="C1351" t="s">
        <v>9267</v>
      </c>
      <c r="D1351" t="s">
        <v>441</v>
      </c>
      <c r="F1351">
        <v>0</v>
      </c>
      <c r="G1351">
        <v>12.65</v>
      </c>
      <c r="H1351" t="s">
        <v>8588</v>
      </c>
      <c r="I1351">
        <v>9</v>
      </c>
      <c r="J1351" t="s">
        <v>462</v>
      </c>
      <c r="K1351" t="s">
        <v>446</v>
      </c>
      <c r="M1351">
        <v>2612</v>
      </c>
      <c r="N1351" t="s">
        <v>16024</v>
      </c>
    </row>
    <row r="1352" spans="1:14">
      <c r="A1352">
        <v>12371050</v>
      </c>
      <c r="B1352">
        <v>4011985</v>
      </c>
      <c r="C1352" t="s">
        <v>9268</v>
      </c>
      <c r="D1352" t="s">
        <v>441</v>
      </c>
      <c r="F1352">
        <v>0</v>
      </c>
      <c r="G1352">
        <v>12.81</v>
      </c>
      <c r="H1352" t="s">
        <v>8588</v>
      </c>
      <c r="I1352">
        <v>16</v>
      </c>
      <c r="J1352" t="s">
        <v>462</v>
      </c>
      <c r="K1352" t="s">
        <v>446</v>
      </c>
      <c r="M1352">
        <v>2612</v>
      </c>
      <c r="N1352" t="s">
        <v>16024</v>
      </c>
    </row>
    <row r="1353" spans="1:14">
      <c r="A1353">
        <v>12371051</v>
      </c>
      <c r="B1353">
        <v>4012105</v>
      </c>
      <c r="C1353" t="s">
        <v>15574</v>
      </c>
      <c r="D1353" t="s">
        <v>441</v>
      </c>
      <c r="F1353">
        <v>0</v>
      </c>
      <c r="G1353">
        <v>16.77</v>
      </c>
      <c r="H1353" t="s">
        <v>8588</v>
      </c>
      <c r="I1353">
        <v>10</v>
      </c>
      <c r="J1353" t="s">
        <v>462</v>
      </c>
      <c r="M1353">
        <v>7112</v>
      </c>
      <c r="N1353" t="s">
        <v>16024</v>
      </c>
    </row>
    <row r="1354" spans="1:14">
      <c r="A1354">
        <v>12371052</v>
      </c>
      <c r="B1354">
        <v>4016685</v>
      </c>
      <c r="C1354" t="s">
        <v>17362</v>
      </c>
      <c r="D1354" t="s">
        <v>441</v>
      </c>
      <c r="F1354">
        <v>0</v>
      </c>
      <c r="G1354">
        <v>19.350000000000001</v>
      </c>
      <c r="H1354" t="s">
        <v>8588</v>
      </c>
      <c r="I1354">
        <v>10</v>
      </c>
      <c r="J1354" t="s">
        <v>462</v>
      </c>
      <c r="M1354">
        <v>7112</v>
      </c>
      <c r="N1354" t="s">
        <v>16024</v>
      </c>
    </row>
    <row r="1355" spans="1:14">
      <c r="A1355">
        <v>12371053</v>
      </c>
      <c r="B1355">
        <v>4012124</v>
      </c>
      <c r="C1355" t="s">
        <v>9269</v>
      </c>
      <c r="D1355" t="s">
        <v>441</v>
      </c>
      <c r="F1355">
        <v>0</v>
      </c>
      <c r="G1355">
        <v>9.9600000000000009</v>
      </c>
      <c r="H1355" t="s">
        <v>8588</v>
      </c>
      <c r="I1355">
        <v>16</v>
      </c>
      <c r="J1355" t="s">
        <v>462</v>
      </c>
      <c r="K1355" t="s">
        <v>446</v>
      </c>
      <c r="M1355">
        <v>2612</v>
      </c>
    </row>
    <row r="1356" spans="1:14">
      <c r="A1356">
        <v>12371054</v>
      </c>
      <c r="B1356">
        <v>4012165</v>
      </c>
      <c r="C1356" t="s">
        <v>9270</v>
      </c>
      <c r="D1356" t="s">
        <v>441</v>
      </c>
      <c r="F1356">
        <v>0</v>
      </c>
      <c r="G1356">
        <v>10.58</v>
      </c>
      <c r="H1356" t="s">
        <v>8588</v>
      </c>
      <c r="I1356">
        <v>10</v>
      </c>
      <c r="J1356" t="s">
        <v>462</v>
      </c>
      <c r="K1356" t="s">
        <v>446</v>
      </c>
      <c r="M1356">
        <v>2612</v>
      </c>
      <c r="N1356" t="s">
        <v>16024</v>
      </c>
    </row>
    <row r="1357" spans="1:14">
      <c r="A1357">
        <v>12371055</v>
      </c>
      <c r="B1357">
        <v>4011889</v>
      </c>
      <c r="C1357" t="s">
        <v>9271</v>
      </c>
      <c r="D1357" t="s">
        <v>441</v>
      </c>
      <c r="F1357">
        <v>0</v>
      </c>
      <c r="G1357">
        <v>10.55</v>
      </c>
      <c r="H1357" t="s">
        <v>8588</v>
      </c>
      <c r="I1357">
        <v>16</v>
      </c>
      <c r="J1357" t="s">
        <v>462</v>
      </c>
      <c r="K1357" t="s">
        <v>446</v>
      </c>
      <c r="M1357">
        <v>2612</v>
      </c>
    </row>
    <row r="1358" spans="1:14">
      <c r="A1358">
        <v>12371056</v>
      </c>
      <c r="B1358">
        <v>4011866</v>
      </c>
      <c r="C1358" t="s">
        <v>9272</v>
      </c>
      <c r="D1358" t="s">
        <v>441</v>
      </c>
      <c r="F1358">
        <v>0</v>
      </c>
      <c r="G1358">
        <v>10.74</v>
      </c>
      <c r="H1358" t="s">
        <v>8588</v>
      </c>
      <c r="I1358">
        <v>16</v>
      </c>
      <c r="J1358" t="s">
        <v>462</v>
      </c>
      <c r="K1358" t="s">
        <v>446</v>
      </c>
      <c r="M1358">
        <v>2612</v>
      </c>
      <c r="N1358" t="s">
        <v>16024</v>
      </c>
    </row>
    <row r="1359" spans="1:14">
      <c r="A1359">
        <v>12371057</v>
      </c>
      <c r="B1359">
        <v>4011457</v>
      </c>
      <c r="C1359" t="s">
        <v>9273</v>
      </c>
      <c r="D1359" t="s">
        <v>441</v>
      </c>
      <c r="F1359">
        <v>0</v>
      </c>
      <c r="G1359">
        <v>12.73</v>
      </c>
      <c r="H1359" t="s">
        <v>8588</v>
      </c>
      <c r="I1359">
        <v>16</v>
      </c>
      <c r="J1359" t="s">
        <v>462</v>
      </c>
      <c r="K1359" t="s">
        <v>446</v>
      </c>
      <c r="M1359">
        <v>2612</v>
      </c>
      <c r="N1359" t="s">
        <v>16024</v>
      </c>
    </row>
    <row r="1360" spans="1:14">
      <c r="A1360">
        <v>12371058</v>
      </c>
      <c r="B1360">
        <v>4012169</v>
      </c>
      <c r="C1360" t="s">
        <v>9274</v>
      </c>
      <c r="D1360" t="s">
        <v>441</v>
      </c>
      <c r="F1360">
        <v>0</v>
      </c>
      <c r="G1360">
        <v>12.84</v>
      </c>
      <c r="H1360" t="s">
        <v>8588</v>
      </c>
      <c r="I1360">
        <v>10</v>
      </c>
      <c r="J1360" t="s">
        <v>462</v>
      </c>
      <c r="K1360" t="s">
        <v>446</v>
      </c>
      <c r="M1360">
        <v>2612</v>
      </c>
      <c r="N1360" t="s">
        <v>16024</v>
      </c>
    </row>
    <row r="1361" spans="1:14">
      <c r="A1361">
        <v>12371061</v>
      </c>
      <c r="B1361">
        <v>4029617</v>
      </c>
      <c r="C1361" t="s">
        <v>15400</v>
      </c>
      <c r="D1361" t="s">
        <v>441</v>
      </c>
      <c r="F1361">
        <v>0</v>
      </c>
      <c r="G1361">
        <v>14.65</v>
      </c>
      <c r="H1361" t="s">
        <v>8588</v>
      </c>
      <c r="I1361">
        <v>16</v>
      </c>
      <c r="J1361" t="s">
        <v>462</v>
      </c>
      <c r="M1361">
        <v>7112</v>
      </c>
      <c r="N1361" t="s">
        <v>16024</v>
      </c>
    </row>
    <row r="1362" spans="1:14">
      <c r="A1362">
        <v>12371069</v>
      </c>
      <c r="B1362">
        <v>4011800</v>
      </c>
      <c r="C1362" t="s">
        <v>9275</v>
      </c>
      <c r="D1362" t="s">
        <v>441</v>
      </c>
      <c r="F1362">
        <v>0</v>
      </c>
      <c r="G1362">
        <v>13.08</v>
      </c>
      <c r="H1362" t="s">
        <v>8588</v>
      </c>
      <c r="I1362">
        <v>12</v>
      </c>
      <c r="J1362" t="s">
        <v>462</v>
      </c>
      <c r="K1362" t="s">
        <v>446</v>
      </c>
      <c r="M1362">
        <v>2611</v>
      </c>
    </row>
    <row r="1363" spans="1:14">
      <c r="A1363">
        <v>12371076</v>
      </c>
      <c r="B1363">
        <v>4011776</v>
      </c>
      <c r="C1363" t="s">
        <v>9276</v>
      </c>
      <c r="D1363" t="s">
        <v>441</v>
      </c>
      <c r="F1363">
        <v>0</v>
      </c>
      <c r="G1363">
        <v>12.61</v>
      </c>
      <c r="H1363" t="s">
        <v>8588</v>
      </c>
      <c r="I1363">
        <v>365</v>
      </c>
      <c r="J1363" t="s">
        <v>462</v>
      </c>
      <c r="K1363" t="s">
        <v>446</v>
      </c>
      <c r="M1363">
        <v>2501</v>
      </c>
      <c r="N1363" t="s">
        <v>16024</v>
      </c>
    </row>
    <row r="1364" spans="1:14">
      <c r="A1364">
        <v>12371077</v>
      </c>
      <c r="B1364">
        <v>4012891</v>
      </c>
      <c r="C1364" t="s">
        <v>9277</v>
      </c>
      <c r="D1364" t="s">
        <v>441</v>
      </c>
      <c r="F1364">
        <v>0</v>
      </c>
      <c r="G1364">
        <v>12.46</v>
      </c>
      <c r="H1364" t="s">
        <v>8588</v>
      </c>
      <c r="I1364">
        <v>6</v>
      </c>
      <c r="J1364" t="s">
        <v>462</v>
      </c>
      <c r="K1364" t="s">
        <v>446</v>
      </c>
      <c r="M1364">
        <v>2641</v>
      </c>
      <c r="N1364" t="s">
        <v>16024</v>
      </c>
    </row>
    <row r="1365" spans="1:14">
      <c r="A1365">
        <v>12371078</v>
      </c>
      <c r="B1365">
        <v>4015346</v>
      </c>
      <c r="C1365" t="s">
        <v>9278</v>
      </c>
      <c r="D1365" t="s">
        <v>441</v>
      </c>
      <c r="F1365">
        <v>0</v>
      </c>
      <c r="G1365">
        <v>9.8800000000000008</v>
      </c>
      <c r="H1365" t="s">
        <v>8588</v>
      </c>
      <c r="I1365">
        <v>6</v>
      </c>
      <c r="J1365" t="s">
        <v>462</v>
      </c>
      <c r="K1365" t="s">
        <v>446</v>
      </c>
      <c r="L1365">
        <v>2630500</v>
      </c>
      <c r="M1365">
        <v>2641</v>
      </c>
      <c r="N1365" t="s">
        <v>16024</v>
      </c>
    </row>
    <row r="1366" spans="1:14">
      <c r="A1366">
        <v>12371527</v>
      </c>
      <c r="B1366">
        <v>3017442</v>
      </c>
      <c r="C1366" t="s">
        <v>9279</v>
      </c>
      <c r="D1366" t="s">
        <v>441</v>
      </c>
      <c r="F1366">
        <v>0</v>
      </c>
      <c r="G1366">
        <v>10.16</v>
      </c>
      <c r="H1366" t="s">
        <v>8580</v>
      </c>
      <c r="I1366">
        <v>6</v>
      </c>
      <c r="J1366" t="s">
        <v>445</v>
      </c>
      <c r="K1366" t="s">
        <v>446</v>
      </c>
      <c r="M1366">
        <v>2641</v>
      </c>
    </row>
    <row r="1367" spans="1:14">
      <c r="A1367">
        <v>12371528</v>
      </c>
      <c r="B1367">
        <v>3017640</v>
      </c>
      <c r="C1367" t="s">
        <v>9280</v>
      </c>
      <c r="D1367" t="s">
        <v>441</v>
      </c>
      <c r="F1367">
        <v>0</v>
      </c>
      <c r="G1367">
        <v>12.71</v>
      </c>
      <c r="H1367" t="s">
        <v>8580</v>
      </c>
      <c r="I1367">
        <v>365</v>
      </c>
      <c r="J1367" t="s">
        <v>445</v>
      </c>
      <c r="K1367" t="s">
        <v>446</v>
      </c>
      <c r="M1367">
        <v>2641</v>
      </c>
      <c r="N1367" t="s">
        <v>16024</v>
      </c>
    </row>
    <row r="1368" spans="1:14">
      <c r="A1368">
        <v>12371576</v>
      </c>
      <c r="B1368">
        <v>3017443</v>
      </c>
      <c r="C1368" t="s">
        <v>9281</v>
      </c>
      <c r="D1368" t="s">
        <v>441</v>
      </c>
      <c r="F1368">
        <v>0</v>
      </c>
      <c r="G1368">
        <v>12.55</v>
      </c>
      <c r="H1368" t="s">
        <v>8580</v>
      </c>
      <c r="I1368">
        <v>6</v>
      </c>
      <c r="J1368" t="s">
        <v>445</v>
      </c>
      <c r="K1368" t="s">
        <v>446</v>
      </c>
      <c r="M1368">
        <v>2501</v>
      </c>
      <c r="N1368" t="s">
        <v>16024</v>
      </c>
    </row>
    <row r="1369" spans="1:14">
      <c r="A1369">
        <v>12376000</v>
      </c>
      <c r="B1369">
        <v>3009238</v>
      </c>
      <c r="C1369" t="s">
        <v>1009</v>
      </c>
      <c r="D1369" t="s">
        <v>441</v>
      </c>
      <c r="F1369">
        <v>0</v>
      </c>
      <c r="G1369">
        <v>10.31</v>
      </c>
      <c r="I1369">
        <v>6</v>
      </c>
      <c r="J1369" t="s">
        <v>445</v>
      </c>
      <c r="K1369" t="s">
        <v>446</v>
      </c>
      <c r="M1369">
        <v>2390</v>
      </c>
    </row>
    <row r="1370" spans="1:14">
      <c r="A1370">
        <v>12380000</v>
      </c>
      <c r="B1370">
        <v>3018914</v>
      </c>
      <c r="C1370" t="s">
        <v>9282</v>
      </c>
      <c r="D1370" t="s">
        <v>441</v>
      </c>
      <c r="F1370">
        <v>0</v>
      </c>
      <c r="G1370">
        <v>8.09</v>
      </c>
      <c r="H1370" t="s">
        <v>8580</v>
      </c>
      <c r="I1370">
        <v>6</v>
      </c>
      <c r="J1370" t="s">
        <v>445</v>
      </c>
      <c r="M1370">
        <v>2391</v>
      </c>
      <c r="N1370" t="s">
        <v>16027</v>
      </c>
    </row>
    <row r="1371" spans="1:14">
      <c r="A1371">
        <v>12380007</v>
      </c>
      <c r="B1371">
        <v>3024865</v>
      </c>
      <c r="C1371" t="s">
        <v>1010</v>
      </c>
      <c r="D1371" t="s">
        <v>441</v>
      </c>
      <c r="F1371">
        <v>0</v>
      </c>
      <c r="G1371">
        <v>8.19</v>
      </c>
      <c r="H1371" t="s">
        <v>8584</v>
      </c>
      <c r="I1371">
        <v>6</v>
      </c>
      <c r="J1371" t="s">
        <v>445</v>
      </c>
      <c r="M1371">
        <v>3111</v>
      </c>
      <c r="N1371" t="s">
        <v>16027</v>
      </c>
    </row>
    <row r="1372" spans="1:14">
      <c r="A1372">
        <v>12380020</v>
      </c>
      <c r="B1372">
        <v>4015666</v>
      </c>
      <c r="C1372" t="s">
        <v>9283</v>
      </c>
      <c r="D1372" t="s">
        <v>441</v>
      </c>
      <c r="F1372">
        <v>0</v>
      </c>
      <c r="G1372">
        <v>12.5</v>
      </c>
      <c r="H1372" t="s">
        <v>8588</v>
      </c>
      <c r="I1372">
        <v>5</v>
      </c>
      <c r="J1372" t="s">
        <v>462</v>
      </c>
      <c r="K1372" t="s">
        <v>446</v>
      </c>
      <c r="L1372">
        <v>2801270</v>
      </c>
      <c r="M1372">
        <v>2641</v>
      </c>
      <c r="N1372" t="s">
        <v>16027</v>
      </c>
    </row>
    <row r="1373" spans="1:14">
      <c r="A1373">
        <v>12380030</v>
      </c>
      <c r="B1373">
        <v>4013177</v>
      </c>
      <c r="C1373" t="s">
        <v>1011</v>
      </c>
      <c r="D1373" t="s">
        <v>441</v>
      </c>
      <c r="F1373">
        <v>0</v>
      </c>
      <c r="G1373">
        <v>15.67</v>
      </c>
      <c r="H1373" t="s">
        <v>8588</v>
      </c>
      <c r="I1373">
        <v>7</v>
      </c>
      <c r="J1373" t="s">
        <v>462</v>
      </c>
      <c r="M1373">
        <v>7112</v>
      </c>
      <c r="N1373" t="s">
        <v>16027</v>
      </c>
    </row>
    <row r="1374" spans="1:14">
      <c r="A1374">
        <v>12380040</v>
      </c>
      <c r="B1374">
        <v>4014873</v>
      </c>
      <c r="C1374" t="s">
        <v>9284</v>
      </c>
      <c r="D1374" t="s">
        <v>441</v>
      </c>
      <c r="F1374">
        <v>0</v>
      </c>
      <c r="G1374">
        <v>11.18</v>
      </c>
      <c r="H1374" t="s">
        <v>8588</v>
      </c>
      <c r="I1374">
        <v>7</v>
      </c>
      <c r="J1374" t="s">
        <v>462</v>
      </c>
      <c r="M1374">
        <v>2612</v>
      </c>
      <c r="N1374" t="s">
        <v>16027</v>
      </c>
    </row>
    <row r="1375" spans="1:14">
      <c r="A1375">
        <v>12380041</v>
      </c>
      <c r="B1375">
        <v>4020348</v>
      </c>
      <c r="C1375" t="s">
        <v>1012</v>
      </c>
      <c r="D1375" t="s">
        <v>441</v>
      </c>
      <c r="F1375">
        <v>0</v>
      </c>
      <c r="G1375">
        <v>8.59</v>
      </c>
      <c r="H1375" t="s">
        <v>8588</v>
      </c>
      <c r="I1375">
        <v>16</v>
      </c>
      <c r="J1375" t="s">
        <v>462</v>
      </c>
      <c r="L1375">
        <v>100054</v>
      </c>
      <c r="M1375">
        <v>7112</v>
      </c>
      <c r="N1375" t="s">
        <v>16027</v>
      </c>
    </row>
    <row r="1376" spans="1:14">
      <c r="A1376">
        <v>12380042</v>
      </c>
      <c r="B1376">
        <v>4022176</v>
      </c>
      <c r="C1376" t="s">
        <v>1013</v>
      </c>
      <c r="D1376" t="s">
        <v>441</v>
      </c>
      <c r="F1376">
        <v>0</v>
      </c>
      <c r="G1376">
        <v>15.89</v>
      </c>
      <c r="H1376" t="s">
        <v>8588</v>
      </c>
      <c r="I1376">
        <v>10</v>
      </c>
      <c r="J1376" t="s">
        <v>462</v>
      </c>
      <c r="M1376">
        <v>7112</v>
      </c>
      <c r="N1376" t="s">
        <v>16027</v>
      </c>
    </row>
    <row r="1377" spans="1:14">
      <c r="A1377">
        <v>12380043</v>
      </c>
      <c r="B1377">
        <v>4024615</v>
      </c>
      <c r="C1377" t="s">
        <v>1014</v>
      </c>
      <c r="D1377" t="s">
        <v>441</v>
      </c>
      <c r="F1377">
        <v>0</v>
      </c>
      <c r="G1377">
        <v>8.51</v>
      </c>
      <c r="H1377" t="s">
        <v>8588</v>
      </c>
      <c r="I1377">
        <v>13</v>
      </c>
      <c r="J1377" t="s">
        <v>462</v>
      </c>
      <c r="M1377">
        <v>7112</v>
      </c>
      <c r="N1377" t="s">
        <v>16027</v>
      </c>
    </row>
    <row r="1378" spans="1:14">
      <c r="A1378">
        <v>12380044</v>
      </c>
      <c r="B1378">
        <v>4025012</v>
      </c>
      <c r="C1378" t="s">
        <v>1015</v>
      </c>
      <c r="D1378" t="s">
        <v>441</v>
      </c>
      <c r="F1378">
        <v>0</v>
      </c>
      <c r="G1378">
        <v>8.4</v>
      </c>
      <c r="H1378" t="s">
        <v>8588</v>
      </c>
      <c r="I1378">
        <v>16</v>
      </c>
      <c r="J1378" t="s">
        <v>462</v>
      </c>
      <c r="M1378">
        <v>7112</v>
      </c>
      <c r="N1378" t="s">
        <v>16027</v>
      </c>
    </row>
    <row r="1379" spans="1:14">
      <c r="A1379">
        <v>12380045</v>
      </c>
      <c r="B1379">
        <v>4027467</v>
      </c>
      <c r="C1379" t="s">
        <v>1016</v>
      </c>
      <c r="D1379" t="s">
        <v>441</v>
      </c>
      <c r="F1379">
        <v>0</v>
      </c>
      <c r="G1379">
        <v>8.5299999999999994</v>
      </c>
      <c r="H1379" t="s">
        <v>8588</v>
      </c>
      <c r="I1379">
        <v>16</v>
      </c>
      <c r="J1379" t="s">
        <v>462</v>
      </c>
      <c r="M1379">
        <v>7112</v>
      </c>
      <c r="N1379" t="s">
        <v>16027</v>
      </c>
    </row>
    <row r="1380" spans="1:14">
      <c r="A1380">
        <v>12380074</v>
      </c>
      <c r="B1380">
        <v>4025608</v>
      </c>
      <c r="C1380" t="s">
        <v>1017</v>
      </c>
      <c r="D1380" t="s">
        <v>441</v>
      </c>
      <c r="F1380">
        <v>0</v>
      </c>
      <c r="G1380">
        <v>14.94</v>
      </c>
      <c r="H1380" t="s">
        <v>8588</v>
      </c>
      <c r="I1380">
        <v>6</v>
      </c>
      <c r="J1380" t="s">
        <v>462</v>
      </c>
      <c r="L1380">
        <v>2052269</v>
      </c>
      <c r="M1380">
        <v>7112</v>
      </c>
      <c r="N1380" t="s">
        <v>16027</v>
      </c>
    </row>
    <row r="1381" spans="1:14">
      <c r="A1381">
        <v>12380230</v>
      </c>
      <c r="B1381">
        <v>3032391</v>
      </c>
      <c r="C1381" t="s">
        <v>9285</v>
      </c>
      <c r="D1381" t="s">
        <v>441</v>
      </c>
      <c r="F1381">
        <v>0</v>
      </c>
      <c r="G1381">
        <v>12.48</v>
      </c>
      <c r="H1381" t="s">
        <v>8549</v>
      </c>
      <c r="I1381">
        <v>9</v>
      </c>
      <c r="J1381" t="s">
        <v>445</v>
      </c>
      <c r="K1381" t="s">
        <v>446</v>
      </c>
      <c r="M1381">
        <v>2612</v>
      </c>
      <c r="N1381" t="s">
        <v>16027</v>
      </c>
    </row>
    <row r="1382" spans="1:14">
      <c r="A1382">
        <v>12380907</v>
      </c>
      <c r="B1382">
        <v>3025125</v>
      </c>
      <c r="C1382" t="s">
        <v>1018</v>
      </c>
      <c r="D1382" t="s">
        <v>441</v>
      </c>
      <c r="F1382">
        <v>0</v>
      </c>
      <c r="G1382">
        <v>0</v>
      </c>
      <c r="H1382" t="s">
        <v>8580</v>
      </c>
      <c r="I1382">
        <v>6</v>
      </c>
      <c r="J1382" t="s">
        <v>445</v>
      </c>
      <c r="M1382">
        <v>6666</v>
      </c>
      <c r="N1382" t="s">
        <v>16027</v>
      </c>
    </row>
    <row r="1383" spans="1:14">
      <c r="A1383">
        <v>12381000</v>
      </c>
      <c r="B1383">
        <v>3018915</v>
      </c>
      <c r="C1383" t="s">
        <v>9286</v>
      </c>
      <c r="D1383" t="s">
        <v>441</v>
      </c>
      <c r="F1383">
        <v>0</v>
      </c>
      <c r="G1383">
        <v>8.09</v>
      </c>
      <c r="H1383" t="s">
        <v>8580</v>
      </c>
      <c r="I1383">
        <v>6</v>
      </c>
      <c r="J1383" t="s">
        <v>445</v>
      </c>
      <c r="M1383">
        <v>2391</v>
      </c>
      <c r="N1383" t="s">
        <v>16027</v>
      </c>
    </row>
    <row r="1384" spans="1:14">
      <c r="A1384">
        <v>12381007</v>
      </c>
      <c r="B1384">
        <v>3024866</v>
      </c>
      <c r="C1384" t="s">
        <v>9287</v>
      </c>
      <c r="D1384" t="s">
        <v>441</v>
      </c>
      <c r="F1384">
        <v>0</v>
      </c>
      <c r="G1384">
        <v>12.28</v>
      </c>
      <c r="I1384">
        <v>6</v>
      </c>
      <c r="J1384" t="s">
        <v>445</v>
      </c>
      <c r="K1384" t="s">
        <v>446</v>
      </c>
      <c r="M1384">
        <v>3111</v>
      </c>
      <c r="N1384" t="s">
        <v>16027</v>
      </c>
    </row>
    <row r="1385" spans="1:14">
      <c r="A1385">
        <v>12381030</v>
      </c>
      <c r="B1385">
        <v>4013178</v>
      </c>
      <c r="C1385" t="s">
        <v>9288</v>
      </c>
      <c r="D1385" t="s">
        <v>441</v>
      </c>
      <c r="F1385">
        <v>0</v>
      </c>
      <c r="G1385">
        <v>12.59</v>
      </c>
      <c r="H1385" t="s">
        <v>8588</v>
      </c>
      <c r="I1385">
        <v>7</v>
      </c>
      <c r="J1385" t="s">
        <v>462</v>
      </c>
      <c r="K1385" t="s">
        <v>446</v>
      </c>
      <c r="M1385">
        <v>2612</v>
      </c>
      <c r="N1385" t="s">
        <v>16027</v>
      </c>
    </row>
    <row r="1386" spans="1:14">
      <c r="A1386">
        <v>12381040</v>
      </c>
      <c r="B1386">
        <v>4014874</v>
      </c>
      <c r="C1386" t="s">
        <v>9289</v>
      </c>
      <c r="D1386" t="s">
        <v>441</v>
      </c>
      <c r="F1386">
        <v>0</v>
      </c>
      <c r="G1386">
        <v>11.72</v>
      </c>
      <c r="H1386" t="s">
        <v>8588</v>
      </c>
      <c r="I1386">
        <v>7</v>
      </c>
      <c r="J1386" t="s">
        <v>462</v>
      </c>
      <c r="K1386" t="s">
        <v>446</v>
      </c>
      <c r="M1386">
        <v>2612</v>
      </c>
      <c r="N1386" t="s">
        <v>16027</v>
      </c>
    </row>
    <row r="1387" spans="1:14">
      <c r="A1387">
        <v>12381041</v>
      </c>
      <c r="B1387">
        <v>4020349</v>
      </c>
      <c r="C1387" t="s">
        <v>9290</v>
      </c>
      <c r="D1387" t="s">
        <v>441</v>
      </c>
      <c r="F1387">
        <v>0</v>
      </c>
      <c r="G1387">
        <v>12.62</v>
      </c>
      <c r="H1387" t="s">
        <v>8588</v>
      </c>
      <c r="I1387">
        <v>16</v>
      </c>
      <c r="J1387" t="s">
        <v>462</v>
      </c>
      <c r="K1387" t="s">
        <v>446</v>
      </c>
      <c r="L1387" t="s">
        <v>9291</v>
      </c>
      <c r="M1387">
        <v>2612</v>
      </c>
      <c r="N1387" t="s">
        <v>16027</v>
      </c>
    </row>
    <row r="1388" spans="1:14">
      <c r="A1388">
        <v>12381907</v>
      </c>
      <c r="B1388">
        <v>3025126</v>
      </c>
      <c r="C1388" t="s">
        <v>9292</v>
      </c>
      <c r="D1388" t="s">
        <v>441</v>
      </c>
      <c r="F1388">
        <v>0</v>
      </c>
      <c r="G1388">
        <v>0</v>
      </c>
      <c r="H1388" t="s">
        <v>8580</v>
      </c>
      <c r="I1388">
        <v>6</v>
      </c>
      <c r="J1388" t="s">
        <v>445</v>
      </c>
      <c r="K1388" t="s">
        <v>446</v>
      </c>
      <c r="M1388">
        <v>6666</v>
      </c>
      <c r="N1388" t="s">
        <v>16027</v>
      </c>
    </row>
    <row r="1389" spans="1:14">
      <c r="A1389">
        <v>12390000</v>
      </c>
      <c r="B1389">
        <v>3015906</v>
      </c>
      <c r="C1389" t="s">
        <v>1019</v>
      </c>
      <c r="D1389" t="s">
        <v>441</v>
      </c>
      <c r="F1389">
        <v>0</v>
      </c>
      <c r="G1389">
        <v>0</v>
      </c>
      <c r="H1389" t="s">
        <v>8588</v>
      </c>
      <c r="I1389">
        <v>6</v>
      </c>
      <c r="J1389" t="s">
        <v>445</v>
      </c>
      <c r="M1389">
        <v>2391</v>
      </c>
      <c r="N1389" t="s">
        <v>16028</v>
      </c>
    </row>
    <row r="1390" spans="1:14">
      <c r="A1390">
        <v>12390007</v>
      </c>
      <c r="B1390">
        <v>3024867</v>
      </c>
      <c r="C1390" t="s">
        <v>14241</v>
      </c>
      <c r="D1390" t="s">
        <v>441</v>
      </c>
      <c r="F1390">
        <v>0</v>
      </c>
      <c r="G1390">
        <v>11.94</v>
      </c>
      <c r="H1390" t="s">
        <v>8588</v>
      </c>
      <c r="I1390">
        <v>6</v>
      </c>
      <c r="J1390" t="s">
        <v>445</v>
      </c>
      <c r="M1390">
        <v>3113</v>
      </c>
      <c r="N1390" t="s">
        <v>16028</v>
      </c>
    </row>
    <row r="1391" spans="1:14">
      <c r="A1391">
        <v>12390019</v>
      </c>
      <c r="B1391">
        <v>3011314</v>
      </c>
      <c r="C1391" t="s">
        <v>1020</v>
      </c>
      <c r="D1391" t="s">
        <v>441</v>
      </c>
      <c r="F1391">
        <v>0</v>
      </c>
      <c r="G1391">
        <v>7.49</v>
      </c>
      <c r="H1391" t="s">
        <v>8588</v>
      </c>
      <c r="I1391">
        <v>540</v>
      </c>
      <c r="J1391" t="s">
        <v>445</v>
      </c>
      <c r="M1391">
        <v>7111</v>
      </c>
      <c r="N1391" t="s">
        <v>16028</v>
      </c>
    </row>
    <row r="1392" spans="1:14">
      <c r="A1392">
        <v>12390020</v>
      </c>
      <c r="B1392">
        <v>4009071</v>
      </c>
      <c r="C1392" t="s">
        <v>9293</v>
      </c>
      <c r="D1392" t="s">
        <v>441</v>
      </c>
      <c r="F1392">
        <v>0</v>
      </c>
      <c r="G1392">
        <v>9.2899999999999991</v>
      </c>
      <c r="H1392" t="s">
        <v>8588</v>
      </c>
      <c r="I1392">
        <v>6</v>
      </c>
      <c r="J1392" t="s">
        <v>462</v>
      </c>
      <c r="K1392" t="s">
        <v>446</v>
      </c>
      <c r="M1392">
        <v>2641</v>
      </c>
    </row>
    <row r="1393" spans="1:14">
      <c r="A1393">
        <v>12390040</v>
      </c>
      <c r="B1393">
        <v>4009094</v>
      </c>
      <c r="C1393" t="s">
        <v>9294</v>
      </c>
      <c r="D1393" t="s">
        <v>441</v>
      </c>
      <c r="F1393">
        <v>0</v>
      </c>
      <c r="G1393">
        <v>8.67</v>
      </c>
      <c r="H1393" t="s">
        <v>9295</v>
      </c>
      <c r="I1393">
        <v>11</v>
      </c>
      <c r="J1393" t="s">
        <v>462</v>
      </c>
      <c r="K1393" t="s">
        <v>446</v>
      </c>
      <c r="M1393">
        <v>2612</v>
      </c>
    </row>
    <row r="1394" spans="1:14">
      <c r="A1394">
        <v>12390075</v>
      </c>
      <c r="B1394">
        <v>3010616</v>
      </c>
      <c r="C1394" t="s">
        <v>1021</v>
      </c>
      <c r="D1394" t="s">
        <v>441</v>
      </c>
      <c r="F1394">
        <v>0</v>
      </c>
      <c r="G1394">
        <v>7.14</v>
      </c>
      <c r="H1394" t="s">
        <v>8588</v>
      </c>
      <c r="I1394">
        <v>6</v>
      </c>
      <c r="J1394" t="s">
        <v>445</v>
      </c>
      <c r="L1394">
        <v>2092024</v>
      </c>
      <c r="M1394">
        <v>7112</v>
      </c>
      <c r="N1394" t="s">
        <v>16028</v>
      </c>
    </row>
    <row r="1395" spans="1:14">
      <c r="A1395">
        <v>12390076</v>
      </c>
      <c r="B1395">
        <v>4009610</v>
      </c>
      <c r="C1395" t="s">
        <v>1022</v>
      </c>
      <c r="D1395" t="s">
        <v>441</v>
      </c>
      <c r="F1395">
        <v>0</v>
      </c>
      <c r="G1395">
        <v>9.7100000000000009</v>
      </c>
      <c r="H1395" t="s">
        <v>8588</v>
      </c>
      <c r="I1395">
        <v>6</v>
      </c>
      <c r="J1395" t="s">
        <v>462</v>
      </c>
      <c r="K1395" t="s">
        <v>446</v>
      </c>
      <c r="L1395">
        <v>14161</v>
      </c>
      <c r="M1395">
        <v>2641</v>
      </c>
    </row>
    <row r="1396" spans="1:14">
      <c r="A1396">
        <v>12390080</v>
      </c>
      <c r="B1396">
        <v>3010617</v>
      </c>
      <c r="C1396" t="s">
        <v>1023</v>
      </c>
      <c r="D1396" t="s">
        <v>441</v>
      </c>
      <c r="F1396">
        <v>0</v>
      </c>
      <c r="G1396">
        <v>9.74</v>
      </c>
      <c r="H1396" t="s">
        <v>8588</v>
      </c>
      <c r="I1396">
        <v>6</v>
      </c>
      <c r="J1396" t="s">
        <v>445</v>
      </c>
      <c r="K1396" t="s">
        <v>446</v>
      </c>
      <c r="M1396">
        <v>2641</v>
      </c>
    </row>
    <row r="1397" spans="1:14">
      <c r="A1397">
        <v>12390087</v>
      </c>
      <c r="B1397">
        <v>3012328</v>
      </c>
      <c r="C1397" t="s">
        <v>1024</v>
      </c>
      <c r="D1397" t="s">
        <v>441</v>
      </c>
      <c r="F1397">
        <v>0</v>
      </c>
      <c r="G1397">
        <v>7.14</v>
      </c>
      <c r="H1397" t="s">
        <v>8588</v>
      </c>
      <c r="I1397">
        <v>6</v>
      </c>
      <c r="J1397" t="s">
        <v>445</v>
      </c>
      <c r="M1397">
        <v>7112</v>
      </c>
      <c r="N1397" t="s">
        <v>16028</v>
      </c>
    </row>
    <row r="1398" spans="1:14">
      <c r="A1398">
        <v>12390519</v>
      </c>
      <c r="B1398">
        <v>3011317</v>
      </c>
      <c r="C1398" t="s">
        <v>1025</v>
      </c>
      <c r="D1398" t="s">
        <v>441</v>
      </c>
      <c r="F1398">
        <v>0</v>
      </c>
      <c r="G1398">
        <v>7.14</v>
      </c>
      <c r="H1398" t="s">
        <v>8584</v>
      </c>
      <c r="I1398">
        <v>6</v>
      </c>
      <c r="J1398" t="s">
        <v>445</v>
      </c>
      <c r="M1398">
        <v>2502</v>
      </c>
      <c r="N1398" t="s">
        <v>16028</v>
      </c>
    </row>
    <row r="1399" spans="1:14">
      <c r="A1399">
        <v>12390619</v>
      </c>
      <c r="B1399">
        <v>3018250</v>
      </c>
      <c r="C1399" t="s">
        <v>1026</v>
      </c>
      <c r="D1399" t="s">
        <v>441</v>
      </c>
      <c r="F1399">
        <v>0</v>
      </c>
      <c r="G1399">
        <v>7.67</v>
      </c>
      <c r="H1399" t="s">
        <v>8588</v>
      </c>
      <c r="I1399">
        <v>4</v>
      </c>
      <c r="J1399" t="s">
        <v>445</v>
      </c>
      <c r="M1399">
        <v>2510</v>
      </c>
      <c r="N1399" t="s">
        <v>16028</v>
      </c>
    </row>
    <row r="1400" spans="1:14">
      <c r="A1400">
        <v>12390900</v>
      </c>
      <c r="B1400">
        <v>3020221</v>
      </c>
      <c r="C1400" t="s">
        <v>1027</v>
      </c>
      <c r="D1400" t="s">
        <v>441</v>
      </c>
      <c r="F1400">
        <v>0</v>
      </c>
      <c r="G1400">
        <v>0</v>
      </c>
      <c r="H1400" t="s">
        <v>8584</v>
      </c>
      <c r="I1400">
        <v>6</v>
      </c>
      <c r="J1400" t="s">
        <v>445</v>
      </c>
      <c r="M1400">
        <v>6666</v>
      </c>
      <c r="N1400" t="s">
        <v>16028</v>
      </c>
    </row>
    <row r="1401" spans="1:14">
      <c r="A1401">
        <v>12390907</v>
      </c>
      <c r="B1401">
        <v>3025127</v>
      </c>
      <c r="C1401" t="s">
        <v>14242</v>
      </c>
      <c r="D1401" t="s">
        <v>441</v>
      </c>
      <c r="F1401">
        <v>0</v>
      </c>
      <c r="G1401">
        <v>0</v>
      </c>
      <c r="H1401" t="s">
        <v>8584</v>
      </c>
      <c r="I1401">
        <v>6</v>
      </c>
      <c r="J1401" t="s">
        <v>445</v>
      </c>
      <c r="M1401">
        <v>6666</v>
      </c>
      <c r="N1401" t="s">
        <v>16028</v>
      </c>
    </row>
    <row r="1402" spans="1:14">
      <c r="A1402">
        <v>12390919</v>
      </c>
      <c r="B1402">
        <v>3020222</v>
      </c>
      <c r="C1402" t="s">
        <v>1028</v>
      </c>
      <c r="D1402" t="s">
        <v>441</v>
      </c>
      <c r="F1402">
        <v>0</v>
      </c>
      <c r="H1402" t="s">
        <v>8584</v>
      </c>
      <c r="I1402">
        <v>4</v>
      </c>
      <c r="J1402" t="s">
        <v>445</v>
      </c>
      <c r="M1402">
        <v>6666</v>
      </c>
      <c r="N1402" t="s">
        <v>16028</v>
      </c>
    </row>
    <row r="1403" spans="1:14">
      <c r="A1403">
        <v>12391000</v>
      </c>
      <c r="B1403">
        <v>3017738</v>
      </c>
      <c r="C1403" t="s">
        <v>1029</v>
      </c>
      <c r="D1403" t="s">
        <v>441</v>
      </c>
      <c r="F1403">
        <v>0</v>
      </c>
      <c r="G1403">
        <v>0</v>
      </c>
      <c r="H1403" t="s">
        <v>8588</v>
      </c>
      <c r="I1403">
        <v>6</v>
      </c>
      <c r="J1403" t="s">
        <v>445</v>
      </c>
      <c r="M1403">
        <v>2391</v>
      </c>
      <c r="N1403" t="s">
        <v>16028</v>
      </c>
    </row>
    <row r="1404" spans="1:14">
      <c r="A1404">
        <v>12391007</v>
      </c>
      <c r="B1404">
        <v>3024868</v>
      </c>
      <c r="C1404" t="s">
        <v>14243</v>
      </c>
      <c r="D1404" t="s">
        <v>441</v>
      </c>
      <c r="F1404">
        <v>0</v>
      </c>
      <c r="G1404">
        <v>11.94</v>
      </c>
      <c r="I1404">
        <v>6</v>
      </c>
      <c r="J1404" t="s">
        <v>445</v>
      </c>
      <c r="M1404">
        <v>3113</v>
      </c>
      <c r="N1404" t="s">
        <v>16028</v>
      </c>
    </row>
    <row r="1405" spans="1:14">
      <c r="A1405">
        <v>12391019</v>
      </c>
      <c r="B1405">
        <v>3044720</v>
      </c>
      <c r="C1405" t="s">
        <v>15366</v>
      </c>
      <c r="D1405" t="s">
        <v>441</v>
      </c>
      <c r="F1405">
        <v>0</v>
      </c>
      <c r="G1405">
        <v>14.59</v>
      </c>
      <c r="H1405" t="s">
        <v>8588</v>
      </c>
      <c r="I1405">
        <v>540</v>
      </c>
      <c r="J1405" t="s">
        <v>445</v>
      </c>
      <c r="M1405">
        <v>7111</v>
      </c>
      <c r="N1405" t="s">
        <v>16028</v>
      </c>
    </row>
    <row r="1406" spans="1:14">
      <c r="A1406">
        <v>12391020</v>
      </c>
      <c r="B1406">
        <v>4011881</v>
      </c>
      <c r="C1406" t="s">
        <v>9296</v>
      </c>
      <c r="D1406" t="s">
        <v>441</v>
      </c>
      <c r="F1406">
        <v>0</v>
      </c>
      <c r="G1406">
        <v>9.8699999999999992</v>
      </c>
      <c r="H1406" t="s">
        <v>8588</v>
      </c>
      <c r="I1406">
        <v>6</v>
      </c>
      <c r="J1406" t="s">
        <v>462</v>
      </c>
      <c r="K1406" t="s">
        <v>446</v>
      </c>
      <c r="M1406">
        <v>2641</v>
      </c>
    </row>
    <row r="1407" spans="1:14">
      <c r="A1407">
        <v>12391040</v>
      </c>
      <c r="B1407">
        <v>4011883</v>
      </c>
      <c r="C1407" t="s">
        <v>9297</v>
      </c>
      <c r="D1407" t="s">
        <v>441</v>
      </c>
      <c r="F1407">
        <v>0</v>
      </c>
      <c r="G1407">
        <v>8.67</v>
      </c>
      <c r="H1407" t="s">
        <v>9295</v>
      </c>
      <c r="I1407">
        <v>11</v>
      </c>
      <c r="J1407" t="s">
        <v>462</v>
      </c>
      <c r="K1407" t="s">
        <v>446</v>
      </c>
      <c r="M1407">
        <v>2612</v>
      </c>
    </row>
    <row r="1408" spans="1:14">
      <c r="A1408">
        <v>12391076</v>
      </c>
      <c r="B1408">
        <v>4011952</v>
      </c>
      <c r="C1408" t="s">
        <v>1030</v>
      </c>
      <c r="D1408" t="s">
        <v>441</v>
      </c>
      <c r="F1408">
        <v>0</v>
      </c>
      <c r="G1408">
        <v>9.7100000000000009</v>
      </c>
      <c r="H1408" t="s">
        <v>8588</v>
      </c>
      <c r="I1408">
        <v>6</v>
      </c>
      <c r="J1408" t="s">
        <v>462</v>
      </c>
      <c r="K1408" t="s">
        <v>446</v>
      </c>
      <c r="L1408">
        <v>14161</v>
      </c>
      <c r="M1408">
        <v>2641</v>
      </c>
    </row>
    <row r="1409" spans="1:14">
      <c r="A1409">
        <v>12391519</v>
      </c>
      <c r="B1409">
        <v>3017473</v>
      </c>
      <c r="C1409" t="s">
        <v>15367</v>
      </c>
      <c r="D1409" t="s">
        <v>441</v>
      </c>
      <c r="F1409">
        <v>0</v>
      </c>
      <c r="G1409">
        <v>9.6999999999999993</v>
      </c>
      <c r="I1409">
        <v>6</v>
      </c>
      <c r="J1409" t="s">
        <v>445</v>
      </c>
      <c r="M1409">
        <v>2641</v>
      </c>
      <c r="N1409" t="s">
        <v>16028</v>
      </c>
    </row>
    <row r="1410" spans="1:14">
      <c r="A1410">
        <v>12391619</v>
      </c>
      <c r="B1410">
        <v>3044721</v>
      </c>
      <c r="C1410" t="s">
        <v>15368</v>
      </c>
      <c r="D1410" t="s">
        <v>441</v>
      </c>
      <c r="F1410">
        <v>0</v>
      </c>
      <c r="G1410">
        <v>14.87</v>
      </c>
      <c r="H1410" t="s">
        <v>8588</v>
      </c>
      <c r="I1410">
        <v>4</v>
      </c>
      <c r="J1410" t="s">
        <v>445</v>
      </c>
      <c r="M1410">
        <v>2510</v>
      </c>
      <c r="N1410" t="s">
        <v>16028</v>
      </c>
    </row>
    <row r="1411" spans="1:14">
      <c r="A1411">
        <v>12391900</v>
      </c>
      <c r="B1411">
        <v>3020223</v>
      </c>
      <c r="C1411" t="s">
        <v>1031</v>
      </c>
      <c r="D1411" t="s">
        <v>441</v>
      </c>
      <c r="F1411">
        <v>0</v>
      </c>
      <c r="G1411">
        <v>0</v>
      </c>
      <c r="H1411" t="s">
        <v>8584</v>
      </c>
      <c r="I1411">
        <v>6</v>
      </c>
      <c r="J1411" t="s">
        <v>445</v>
      </c>
      <c r="M1411">
        <v>6666</v>
      </c>
      <c r="N1411" t="s">
        <v>16028</v>
      </c>
    </row>
    <row r="1412" spans="1:14">
      <c r="A1412">
        <v>12391907</v>
      </c>
      <c r="B1412">
        <v>3025128</v>
      </c>
      <c r="C1412" t="s">
        <v>14244</v>
      </c>
      <c r="D1412" t="s">
        <v>441</v>
      </c>
      <c r="F1412">
        <v>0</v>
      </c>
      <c r="G1412">
        <v>0</v>
      </c>
      <c r="H1412" t="s">
        <v>8935</v>
      </c>
      <c r="I1412">
        <v>6</v>
      </c>
      <c r="J1412" t="s">
        <v>445</v>
      </c>
      <c r="M1412">
        <v>6666</v>
      </c>
      <c r="N1412" t="s">
        <v>16028</v>
      </c>
    </row>
    <row r="1413" spans="1:14">
      <c r="A1413">
        <v>12391919</v>
      </c>
      <c r="B1413">
        <v>3044730</v>
      </c>
      <c r="C1413" t="s">
        <v>15369</v>
      </c>
      <c r="D1413" t="s">
        <v>441</v>
      </c>
      <c r="F1413">
        <v>0</v>
      </c>
      <c r="G1413">
        <v>1</v>
      </c>
      <c r="H1413" t="s">
        <v>8588</v>
      </c>
      <c r="I1413">
        <v>4</v>
      </c>
      <c r="J1413" t="s">
        <v>445</v>
      </c>
      <c r="M1413">
        <v>6666</v>
      </c>
      <c r="N1413" t="s">
        <v>16028</v>
      </c>
    </row>
    <row r="1414" spans="1:14">
      <c r="A1414">
        <v>12393000</v>
      </c>
      <c r="B1414">
        <v>3010035</v>
      </c>
      <c r="C1414" t="s">
        <v>9298</v>
      </c>
      <c r="D1414" t="s">
        <v>441</v>
      </c>
      <c r="F1414">
        <v>0</v>
      </c>
      <c r="G1414">
        <v>7.48</v>
      </c>
      <c r="I1414">
        <v>6</v>
      </c>
      <c r="J1414" t="s">
        <v>445</v>
      </c>
      <c r="K1414" t="s">
        <v>446</v>
      </c>
      <c r="M1414">
        <v>2390</v>
      </c>
    </row>
    <row r="1415" spans="1:14">
      <c r="A1415">
        <v>12394000</v>
      </c>
      <c r="B1415">
        <v>3035906</v>
      </c>
      <c r="C1415" t="s">
        <v>1032</v>
      </c>
      <c r="D1415" t="s">
        <v>441</v>
      </c>
      <c r="F1415">
        <v>0</v>
      </c>
      <c r="G1415">
        <v>7.09</v>
      </c>
      <c r="H1415" t="s">
        <v>8549</v>
      </c>
      <c r="I1415">
        <v>6</v>
      </c>
      <c r="J1415" t="s">
        <v>445</v>
      </c>
      <c r="M1415">
        <v>2391</v>
      </c>
      <c r="N1415" t="s">
        <v>16028</v>
      </c>
    </row>
    <row r="1416" spans="1:14">
      <c r="A1416">
        <v>12394007</v>
      </c>
      <c r="B1416">
        <v>3037640</v>
      </c>
      <c r="C1416" t="s">
        <v>405</v>
      </c>
      <c r="D1416" t="s">
        <v>441</v>
      </c>
      <c r="F1416">
        <v>0</v>
      </c>
      <c r="G1416">
        <v>7.14</v>
      </c>
      <c r="H1416" t="s">
        <v>8549</v>
      </c>
      <c r="I1416">
        <v>6</v>
      </c>
      <c r="J1416" t="s">
        <v>445</v>
      </c>
      <c r="M1416">
        <v>3113</v>
      </c>
      <c r="N1416" t="s">
        <v>16028</v>
      </c>
    </row>
    <row r="1417" spans="1:14">
      <c r="A1417">
        <v>12394019</v>
      </c>
      <c r="B1417">
        <v>3039357</v>
      </c>
      <c r="C1417" t="s">
        <v>1033</v>
      </c>
      <c r="D1417" t="s">
        <v>441</v>
      </c>
      <c r="F1417">
        <v>0</v>
      </c>
      <c r="G1417">
        <v>7.49</v>
      </c>
      <c r="H1417" t="s">
        <v>8588</v>
      </c>
      <c r="I1417">
        <v>540</v>
      </c>
      <c r="J1417" t="s">
        <v>445</v>
      </c>
      <c r="M1417">
        <v>7111</v>
      </c>
      <c r="N1417" t="s">
        <v>16028</v>
      </c>
    </row>
    <row r="1418" spans="1:14">
      <c r="A1418">
        <v>12394075</v>
      </c>
      <c r="B1418">
        <v>3035872</v>
      </c>
      <c r="C1418" t="s">
        <v>1034</v>
      </c>
      <c r="D1418" t="s">
        <v>441</v>
      </c>
      <c r="F1418">
        <v>0</v>
      </c>
      <c r="G1418">
        <v>7.14</v>
      </c>
      <c r="H1418" t="s">
        <v>8588</v>
      </c>
      <c r="I1418">
        <v>6</v>
      </c>
      <c r="J1418" t="s">
        <v>445</v>
      </c>
      <c r="M1418">
        <v>7112</v>
      </c>
      <c r="N1418" t="s">
        <v>16028</v>
      </c>
    </row>
    <row r="1419" spans="1:14">
      <c r="A1419">
        <v>12394519</v>
      </c>
      <c r="B1419">
        <v>3039356</v>
      </c>
      <c r="C1419" t="s">
        <v>1035</v>
      </c>
      <c r="D1419" t="s">
        <v>441</v>
      </c>
      <c r="F1419">
        <v>0</v>
      </c>
      <c r="G1419">
        <v>7.14</v>
      </c>
      <c r="H1419" t="s">
        <v>8549</v>
      </c>
      <c r="I1419">
        <v>6</v>
      </c>
      <c r="J1419" t="s">
        <v>445</v>
      </c>
      <c r="M1419">
        <v>2502</v>
      </c>
      <c r="N1419" t="s">
        <v>16028</v>
      </c>
    </row>
    <row r="1420" spans="1:14">
      <c r="A1420">
        <v>12394619</v>
      </c>
      <c r="B1420">
        <v>3039358</v>
      </c>
      <c r="C1420" t="s">
        <v>1036</v>
      </c>
      <c r="D1420" t="s">
        <v>441</v>
      </c>
      <c r="F1420">
        <v>0</v>
      </c>
      <c r="G1420">
        <v>7.67</v>
      </c>
      <c r="H1420" t="s">
        <v>8588</v>
      </c>
      <c r="I1420">
        <v>4</v>
      </c>
      <c r="J1420" t="s">
        <v>445</v>
      </c>
      <c r="M1420">
        <v>2510</v>
      </c>
      <c r="N1420" t="s">
        <v>16028</v>
      </c>
    </row>
    <row r="1421" spans="1:14">
      <c r="A1421">
        <v>12394907</v>
      </c>
      <c r="B1421">
        <v>3037784</v>
      </c>
      <c r="C1421" t="s">
        <v>1037</v>
      </c>
      <c r="D1421" t="s">
        <v>441</v>
      </c>
      <c r="F1421">
        <v>0</v>
      </c>
      <c r="H1421" t="s">
        <v>8584</v>
      </c>
      <c r="I1421">
        <v>6</v>
      </c>
      <c r="J1421" t="s">
        <v>445</v>
      </c>
      <c r="M1421">
        <v>6666</v>
      </c>
      <c r="N1421" t="s">
        <v>16028</v>
      </c>
    </row>
    <row r="1422" spans="1:14">
      <c r="A1422">
        <v>12394919</v>
      </c>
      <c r="B1422">
        <v>3039385</v>
      </c>
      <c r="C1422" t="s">
        <v>1038</v>
      </c>
      <c r="D1422" t="s">
        <v>441</v>
      </c>
      <c r="F1422">
        <v>0</v>
      </c>
      <c r="I1422">
        <v>4</v>
      </c>
      <c r="J1422" t="s">
        <v>445</v>
      </c>
      <c r="M1422">
        <v>6666</v>
      </c>
      <c r="N1422" t="s">
        <v>16028</v>
      </c>
    </row>
    <row r="1423" spans="1:14">
      <c r="A1423">
        <v>12399000</v>
      </c>
      <c r="B1423">
        <v>3029649</v>
      </c>
      <c r="C1423" t="s">
        <v>1039</v>
      </c>
      <c r="D1423" t="s">
        <v>441</v>
      </c>
      <c r="F1423">
        <v>0</v>
      </c>
      <c r="G1423">
        <v>7.04</v>
      </c>
      <c r="H1423" t="s">
        <v>8588</v>
      </c>
      <c r="I1423">
        <v>2</v>
      </c>
      <c r="J1423" t="s">
        <v>445</v>
      </c>
      <c r="M1423">
        <v>3111</v>
      </c>
      <c r="N1423" t="s">
        <v>16028</v>
      </c>
    </row>
    <row r="1424" spans="1:14">
      <c r="A1424">
        <v>12399900</v>
      </c>
      <c r="B1424">
        <v>3029639</v>
      </c>
      <c r="C1424" t="s">
        <v>1040</v>
      </c>
      <c r="D1424" t="s">
        <v>441</v>
      </c>
      <c r="F1424">
        <v>0</v>
      </c>
      <c r="G1424">
        <v>0</v>
      </c>
      <c r="H1424" t="s">
        <v>8580</v>
      </c>
      <c r="I1424">
        <v>2</v>
      </c>
      <c r="J1424" t="s">
        <v>445</v>
      </c>
      <c r="M1424">
        <v>6666</v>
      </c>
      <c r="N1424" t="s">
        <v>16028</v>
      </c>
    </row>
    <row r="1425" spans="1:14">
      <c r="A1425">
        <v>12400000</v>
      </c>
      <c r="B1425">
        <v>3007509</v>
      </c>
      <c r="C1425" t="s">
        <v>9299</v>
      </c>
      <c r="D1425" t="s">
        <v>441</v>
      </c>
      <c r="F1425">
        <v>0</v>
      </c>
      <c r="G1425">
        <v>13.44</v>
      </c>
      <c r="I1425">
        <v>5</v>
      </c>
      <c r="J1425" t="s">
        <v>445</v>
      </c>
      <c r="K1425" t="s">
        <v>446</v>
      </c>
      <c r="M1425">
        <v>2390</v>
      </c>
    </row>
    <row r="1426" spans="1:14">
      <c r="A1426">
        <v>12400002</v>
      </c>
      <c r="B1426">
        <v>3007510</v>
      </c>
      <c r="C1426" t="s">
        <v>1041</v>
      </c>
      <c r="D1426" t="s">
        <v>441</v>
      </c>
      <c r="F1426">
        <v>0</v>
      </c>
      <c r="G1426">
        <v>15.22</v>
      </c>
      <c r="H1426" t="s">
        <v>8549</v>
      </c>
      <c r="I1426">
        <v>365</v>
      </c>
      <c r="J1426" t="s">
        <v>445</v>
      </c>
      <c r="K1426" t="s">
        <v>446</v>
      </c>
      <c r="M1426">
        <v>2501</v>
      </c>
      <c r="N1426" t="s">
        <v>16003</v>
      </c>
    </row>
    <row r="1427" spans="1:14">
      <c r="A1427">
        <v>12400025</v>
      </c>
      <c r="B1427">
        <v>3000082</v>
      </c>
      <c r="C1427" t="s">
        <v>1042</v>
      </c>
      <c r="D1427" t="s">
        <v>441</v>
      </c>
      <c r="F1427">
        <v>0</v>
      </c>
      <c r="G1427">
        <v>15.26</v>
      </c>
      <c r="H1427" t="s">
        <v>8588</v>
      </c>
      <c r="I1427">
        <v>365</v>
      </c>
      <c r="J1427" t="s">
        <v>445</v>
      </c>
      <c r="K1427" t="s">
        <v>446</v>
      </c>
      <c r="M1427">
        <v>2501</v>
      </c>
    </row>
    <row r="1428" spans="1:14">
      <c r="A1428">
        <v>12400026</v>
      </c>
      <c r="B1428">
        <v>3012574</v>
      </c>
      <c r="C1428" t="s">
        <v>1043</v>
      </c>
      <c r="D1428" t="s">
        <v>441</v>
      </c>
      <c r="F1428">
        <v>0</v>
      </c>
      <c r="G1428">
        <v>9.66</v>
      </c>
      <c r="H1428" t="s">
        <v>8588</v>
      </c>
      <c r="I1428">
        <v>540</v>
      </c>
      <c r="J1428" t="s">
        <v>445</v>
      </c>
      <c r="M1428">
        <v>7111</v>
      </c>
      <c r="N1428" t="s">
        <v>16003</v>
      </c>
    </row>
    <row r="1429" spans="1:14">
      <c r="A1429">
        <v>12400075</v>
      </c>
      <c r="B1429">
        <v>3018205</v>
      </c>
      <c r="C1429" t="s">
        <v>1044</v>
      </c>
      <c r="D1429" t="s">
        <v>441</v>
      </c>
      <c r="F1429">
        <v>0</v>
      </c>
      <c r="G1429">
        <v>9.39</v>
      </c>
      <c r="H1429" t="s">
        <v>8588</v>
      </c>
      <c r="I1429">
        <v>6</v>
      </c>
      <c r="J1429" t="s">
        <v>445</v>
      </c>
      <c r="M1429">
        <v>7112</v>
      </c>
      <c r="N1429" t="s">
        <v>16003</v>
      </c>
    </row>
    <row r="1430" spans="1:14">
      <c r="A1430">
        <v>12400076</v>
      </c>
      <c r="B1430">
        <v>3037011</v>
      </c>
      <c r="C1430" t="s">
        <v>1045</v>
      </c>
      <c r="D1430" t="s">
        <v>441</v>
      </c>
      <c r="F1430">
        <v>0</v>
      </c>
      <c r="G1430">
        <v>9.35</v>
      </c>
      <c r="H1430" t="s">
        <v>8588</v>
      </c>
      <c r="I1430">
        <v>6</v>
      </c>
      <c r="J1430" t="s">
        <v>445</v>
      </c>
      <c r="M1430">
        <v>7112</v>
      </c>
      <c r="N1430" t="s">
        <v>16003</v>
      </c>
    </row>
    <row r="1431" spans="1:14">
      <c r="A1431">
        <v>12400077</v>
      </c>
      <c r="B1431">
        <v>3012573</v>
      </c>
      <c r="C1431" t="s">
        <v>1046</v>
      </c>
      <c r="D1431" t="s">
        <v>441</v>
      </c>
      <c r="F1431">
        <v>0</v>
      </c>
      <c r="G1431">
        <v>9.35</v>
      </c>
      <c r="H1431" t="s">
        <v>8588</v>
      </c>
      <c r="I1431">
        <v>6</v>
      </c>
      <c r="J1431" t="s">
        <v>445</v>
      </c>
      <c r="M1431">
        <v>7112</v>
      </c>
      <c r="N1431" t="s">
        <v>16003</v>
      </c>
    </row>
    <row r="1432" spans="1:14">
      <c r="A1432">
        <v>12400100</v>
      </c>
      <c r="B1432">
        <v>3000076</v>
      </c>
      <c r="C1432" t="s">
        <v>1047</v>
      </c>
      <c r="D1432" t="s">
        <v>441</v>
      </c>
      <c r="F1432">
        <v>0</v>
      </c>
      <c r="H1432" t="s">
        <v>8588</v>
      </c>
      <c r="I1432">
        <v>6</v>
      </c>
      <c r="J1432" t="s">
        <v>445</v>
      </c>
      <c r="K1432" t="s">
        <v>446</v>
      </c>
      <c r="M1432">
        <v>7161</v>
      </c>
    </row>
    <row r="1433" spans="1:14">
      <c r="A1433">
        <v>12400102</v>
      </c>
      <c r="B1433">
        <v>3000078</v>
      </c>
      <c r="C1433" t="s">
        <v>9300</v>
      </c>
      <c r="D1433" t="s">
        <v>441</v>
      </c>
      <c r="F1433">
        <v>0</v>
      </c>
      <c r="G1433">
        <v>13.7</v>
      </c>
      <c r="H1433" t="s">
        <v>8588</v>
      </c>
      <c r="I1433">
        <v>365</v>
      </c>
      <c r="J1433" t="s">
        <v>445</v>
      </c>
      <c r="K1433" t="s">
        <v>446</v>
      </c>
      <c r="M1433">
        <v>7161</v>
      </c>
    </row>
    <row r="1434" spans="1:14">
      <c r="A1434">
        <v>12400112</v>
      </c>
      <c r="B1434">
        <v>3033304</v>
      </c>
      <c r="C1434" t="s">
        <v>1048</v>
      </c>
      <c r="D1434" t="s">
        <v>441</v>
      </c>
      <c r="F1434">
        <v>0</v>
      </c>
      <c r="H1434" t="s">
        <v>8588</v>
      </c>
      <c r="I1434">
        <v>365</v>
      </c>
      <c r="J1434" t="s">
        <v>445</v>
      </c>
      <c r="K1434" t="s">
        <v>446</v>
      </c>
      <c r="M1434">
        <v>0</v>
      </c>
      <c r="N1434" t="s">
        <v>16003</v>
      </c>
    </row>
    <row r="1435" spans="1:14">
      <c r="A1435">
        <v>12400120</v>
      </c>
      <c r="B1435">
        <v>3014720</v>
      </c>
      <c r="C1435" t="s">
        <v>1049</v>
      </c>
      <c r="D1435" t="s">
        <v>441</v>
      </c>
      <c r="F1435">
        <v>0</v>
      </c>
      <c r="H1435" t="s">
        <v>8588</v>
      </c>
      <c r="I1435">
        <v>540</v>
      </c>
      <c r="J1435" t="s">
        <v>445</v>
      </c>
      <c r="M1435">
        <v>7161</v>
      </c>
      <c r="N1435" t="s">
        <v>16003</v>
      </c>
    </row>
    <row r="1436" spans="1:14">
      <c r="A1436">
        <v>12400130</v>
      </c>
      <c r="B1436">
        <v>3012653</v>
      </c>
      <c r="C1436" t="s">
        <v>1050</v>
      </c>
      <c r="D1436" t="s">
        <v>441</v>
      </c>
      <c r="F1436">
        <v>0</v>
      </c>
      <c r="H1436" t="s">
        <v>8588</v>
      </c>
      <c r="I1436">
        <v>6</v>
      </c>
      <c r="J1436" t="s">
        <v>445</v>
      </c>
      <c r="K1436" t="s">
        <v>446</v>
      </c>
      <c r="M1436">
        <v>7161</v>
      </c>
      <c r="N1436" t="s">
        <v>16003</v>
      </c>
    </row>
    <row r="1437" spans="1:14">
      <c r="A1437">
        <v>12400140</v>
      </c>
      <c r="B1437">
        <v>3012655</v>
      </c>
      <c r="C1437" t="s">
        <v>1051</v>
      </c>
      <c r="D1437" t="s">
        <v>441</v>
      </c>
      <c r="F1437">
        <v>0</v>
      </c>
      <c r="H1437" t="s">
        <v>8588</v>
      </c>
      <c r="I1437">
        <v>540</v>
      </c>
      <c r="J1437" t="s">
        <v>445</v>
      </c>
      <c r="K1437" t="s">
        <v>446</v>
      </c>
      <c r="M1437">
        <v>7161</v>
      </c>
      <c r="N1437" t="s">
        <v>16003</v>
      </c>
    </row>
    <row r="1438" spans="1:14">
      <c r="A1438">
        <v>12400502</v>
      </c>
      <c r="B1438">
        <v>3007512</v>
      </c>
      <c r="C1438" t="s">
        <v>1052</v>
      </c>
      <c r="D1438" t="s">
        <v>441</v>
      </c>
      <c r="F1438">
        <v>0</v>
      </c>
      <c r="G1438">
        <v>14.91</v>
      </c>
      <c r="I1438">
        <v>6</v>
      </c>
      <c r="J1438" t="s">
        <v>445</v>
      </c>
      <c r="K1438" t="s">
        <v>446</v>
      </c>
      <c r="M1438">
        <v>2641</v>
      </c>
      <c r="N1438" t="s">
        <v>16003</v>
      </c>
    </row>
    <row r="1439" spans="1:14">
      <c r="A1439">
        <v>12400525</v>
      </c>
      <c r="B1439">
        <v>3007513</v>
      </c>
      <c r="C1439" t="s">
        <v>1053</v>
      </c>
      <c r="D1439" t="s">
        <v>441</v>
      </c>
      <c r="F1439">
        <v>0</v>
      </c>
      <c r="G1439">
        <v>14.95</v>
      </c>
      <c r="I1439">
        <v>6</v>
      </c>
      <c r="J1439" t="s">
        <v>445</v>
      </c>
      <c r="K1439" t="s">
        <v>446</v>
      </c>
      <c r="M1439">
        <v>2641</v>
      </c>
      <c r="N1439" t="s">
        <v>16003</v>
      </c>
    </row>
    <row r="1440" spans="1:14">
      <c r="A1440">
        <v>12400526</v>
      </c>
      <c r="B1440">
        <v>3013559</v>
      </c>
      <c r="C1440" t="s">
        <v>1054</v>
      </c>
      <c r="D1440" t="s">
        <v>441</v>
      </c>
      <c r="F1440">
        <v>0</v>
      </c>
      <c r="G1440">
        <v>9.3000000000000007</v>
      </c>
      <c r="H1440" t="s">
        <v>8584</v>
      </c>
      <c r="I1440">
        <v>540</v>
      </c>
      <c r="J1440" t="s">
        <v>445</v>
      </c>
      <c r="M1440">
        <v>2502</v>
      </c>
      <c r="N1440" t="s">
        <v>16003</v>
      </c>
    </row>
    <row r="1441" spans="1:14">
      <c r="A1441">
        <v>12400602</v>
      </c>
      <c r="B1441">
        <v>3007514</v>
      </c>
      <c r="C1441" t="s">
        <v>1055</v>
      </c>
      <c r="D1441" t="s">
        <v>441</v>
      </c>
      <c r="F1441">
        <v>0</v>
      </c>
      <c r="G1441">
        <v>15.68</v>
      </c>
      <c r="I1441">
        <v>4</v>
      </c>
      <c r="J1441" t="s">
        <v>445</v>
      </c>
      <c r="K1441" t="s">
        <v>446</v>
      </c>
      <c r="M1441">
        <v>2511</v>
      </c>
      <c r="N1441" t="s">
        <v>16003</v>
      </c>
    </row>
    <row r="1442" spans="1:14">
      <c r="A1442">
        <v>12400625</v>
      </c>
      <c r="B1442">
        <v>3012003</v>
      </c>
      <c r="C1442" t="s">
        <v>9301</v>
      </c>
      <c r="D1442" t="s">
        <v>441</v>
      </c>
      <c r="F1442">
        <v>0</v>
      </c>
      <c r="G1442">
        <v>16.13</v>
      </c>
      <c r="H1442" t="s">
        <v>9302</v>
      </c>
      <c r="I1442">
        <v>4</v>
      </c>
      <c r="J1442" t="s">
        <v>445</v>
      </c>
      <c r="K1442" t="s">
        <v>446</v>
      </c>
      <c r="M1442">
        <v>2511</v>
      </c>
    </row>
    <row r="1443" spans="1:14">
      <c r="A1443">
        <v>12400626</v>
      </c>
      <c r="B1443">
        <v>3013556</v>
      </c>
      <c r="C1443" t="s">
        <v>1056</v>
      </c>
      <c r="D1443" t="s">
        <v>441</v>
      </c>
      <c r="F1443">
        <v>0</v>
      </c>
      <c r="G1443">
        <v>21.99</v>
      </c>
      <c r="H1443" t="s">
        <v>8588</v>
      </c>
      <c r="I1443">
        <v>4</v>
      </c>
      <c r="J1443" t="s">
        <v>445</v>
      </c>
      <c r="M1443">
        <v>2510</v>
      </c>
      <c r="N1443" t="s">
        <v>16003</v>
      </c>
    </row>
    <row r="1444" spans="1:14">
      <c r="A1444">
        <v>12400902</v>
      </c>
      <c r="B1444">
        <v>3023525</v>
      </c>
      <c r="C1444" t="s">
        <v>1057</v>
      </c>
      <c r="D1444" t="s">
        <v>441</v>
      </c>
      <c r="F1444">
        <v>0</v>
      </c>
      <c r="G1444">
        <v>14.22</v>
      </c>
      <c r="H1444" t="s">
        <v>8580</v>
      </c>
      <c r="I1444">
        <v>4</v>
      </c>
      <c r="J1444" t="s">
        <v>445</v>
      </c>
      <c r="K1444" t="s">
        <v>446</v>
      </c>
      <c r="M1444">
        <v>6666</v>
      </c>
      <c r="N1444" t="s">
        <v>16003</v>
      </c>
    </row>
    <row r="1445" spans="1:14">
      <c r="A1445">
        <v>12400926</v>
      </c>
      <c r="B1445">
        <v>3020224</v>
      </c>
      <c r="C1445" t="s">
        <v>17363</v>
      </c>
      <c r="D1445" t="s">
        <v>441</v>
      </c>
      <c r="F1445">
        <v>0</v>
      </c>
      <c r="H1445" t="s">
        <v>8584</v>
      </c>
      <c r="I1445">
        <v>4</v>
      </c>
      <c r="J1445" t="s">
        <v>445</v>
      </c>
      <c r="K1445" t="s">
        <v>446</v>
      </c>
      <c r="M1445">
        <v>6666</v>
      </c>
      <c r="N1445" t="s">
        <v>16003</v>
      </c>
    </row>
    <row r="1446" spans="1:14">
      <c r="A1446">
        <v>12401026</v>
      </c>
      <c r="B1446">
        <v>3044612</v>
      </c>
      <c r="C1446" t="s">
        <v>15252</v>
      </c>
      <c r="D1446" t="s">
        <v>441</v>
      </c>
      <c r="F1446">
        <v>0</v>
      </c>
      <c r="G1446">
        <v>16.559999999999999</v>
      </c>
      <c r="H1446" t="s">
        <v>8588</v>
      </c>
      <c r="I1446">
        <v>540</v>
      </c>
      <c r="J1446" t="s">
        <v>445</v>
      </c>
      <c r="M1446">
        <v>7111</v>
      </c>
      <c r="N1446" t="s">
        <v>16003</v>
      </c>
    </row>
    <row r="1447" spans="1:14">
      <c r="A1447">
        <v>12401077</v>
      </c>
      <c r="B1447">
        <v>3041885</v>
      </c>
      <c r="C1447" t="s">
        <v>1058</v>
      </c>
      <c r="D1447" t="s">
        <v>441</v>
      </c>
      <c r="F1447">
        <v>0</v>
      </c>
      <c r="G1447">
        <v>12.16</v>
      </c>
      <c r="H1447" t="s">
        <v>8588</v>
      </c>
      <c r="I1447">
        <v>6</v>
      </c>
      <c r="J1447" t="s">
        <v>445</v>
      </c>
      <c r="M1447">
        <v>7112</v>
      </c>
      <c r="N1447" t="s">
        <v>16003</v>
      </c>
    </row>
    <row r="1448" spans="1:14">
      <c r="A1448">
        <v>12401525</v>
      </c>
      <c r="B1448">
        <v>3017376</v>
      </c>
      <c r="C1448" t="s">
        <v>1059</v>
      </c>
      <c r="D1448" t="s">
        <v>441</v>
      </c>
      <c r="F1448">
        <v>0</v>
      </c>
      <c r="G1448">
        <v>14.95</v>
      </c>
      <c r="H1448" t="s">
        <v>8634</v>
      </c>
      <c r="I1448">
        <v>6</v>
      </c>
      <c r="J1448" t="s">
        <v>445</v>
      </c>
      <c r="K1448" t="s">
        <v>446</v>
      </c>
      <c r="M1448">
        <v>2641</v>
      </c>
      <c r="N1448" t="s">
        <v>16003</v>
      </c>
    </row>
    <row r="1449" spans="1:14">
      <c r="A1449">
        <v>12401526</v>
      </c>
      <c r="B1449">
        <v>3035730</v>
      </c>
      <c r="C1449" t="s">
        <v>15253</v>
      </c>
      <c r="D1449" t="s">
        <v>441</v>
      </c>
      <c r="F1449">
        <v>0</v>
      </c>
      <c r="G1449">
        <v>15.95</v>
      </c>
      <c r="H1449" t="s">
        <v>8588</v>
      </c>
      <c r="I1449">
        <v>6</v>
      </c>
      <c r="J1449" t="s">
        <v>445</v>
      </c>
      <c r="M1449">
        <v>2502</v>
      </c>
      <c r="N1449" t="s">
        <v>16003</v>
      </c>
    </row>
    <row r="1450" spans="1:14">
      <c r="A1450">
        <v>12404026</v>
      </c>
      <c r="B1450">
        <v>3040937</v>
      </c>
      <c r="C1450" t="s">
        <v>1060</v>
      </c>
      <c r="D1450" t="s">
        <v>441</v>
      </c>
      <c r="F1450">
        <v>0</v>
      </c>
      <c r="G1450">
        <v>9.66</v>
      </c>
      <c r="H1450" t="s">
        <v>8588</v>
      </c>
      <c r="I1450">
        <v>540</v>
      </c>
      <c r="J1450" t="s">
        <v>445</v>
      </c>
      <c r="M1450">
        <v>7111</v>
      </c>
      <c r="N1450" t="s">
        <v>16003</v>
      </c>
    </row>
    <row r="1451" spans="1:14">
      <c r="A1451">
        <v>12404077</v>
      </c>
      <c r="B1451">
        <v>3039533</v>
      </c>
      <c r="C1451" t="s">
        <v>1061</v>
      </c>
      <c r="D1451" t="s">
        <v>441</v>
      </c>
      <c r="F1451">
        <v>0</v>
      </c>
      <c r="G1451">
        <v>9.35</v>
      </c>
      <c r="H1451" t="s">
        <v>8588</v>
      </c>
      <c r="I1451">
        <v>6</v>
      </c>
      <c r="J1451" t="s">
        <v>445</v>
      </c>
      <c r="M1451">
        <v>7112</v>
      </c>
      <c r="N1451" t="s">
        <v>16003</v>
      </c>
    </row>
    <row r="1452" spans="1:14">
      <c r="A1452">
        <v>12404526</v>
      </c>
      <c r="B1452">
        <v>3039212</v>
      </c>
      <c r="C1452" t="s">
        <v>1062</v>
      </c>
      <c r="D1452" t="s">
        <v>441</v>
      </c>
      <c r="F1452">
        <v>0</v>
      </c>
      <c r="G1452">
        <v>9.3000000000000007</v>
      </c>
      <c r="H1452" t="s">
        <v>8588</v>
      </c>
      <c r="I1452">
        <v>6</v>
      </c>
      <c r="J1452" t="s">
        <v>445</v>
      </c>
      <c r="M1452">
        <v>2502</v>
      </c>
      <c r="N1452" t="s">
        <v>16003</v>
      </c>
    </row>
    <row r="1453" spans="1:14">
      <c r="A1453">
        <v>12404626</v>
      </c>
      <c r="B1453">
        <v>3040938</v>
      </c>
      <c r="C1453" t="s">
        <v>1063</v>
      </c>
      <c r="D1453" t="s">
        <v>441</v>
      </c>
      <c r="F1453">
        <v>0</v>
      </c>
      <c r="G1453">
        <v>9.9499999999999993</v>
      </c>
      <c r="H1453" t="s">
        <v>8588</v>
      </c>
      <c r="I1453">
        <v>4</v>
      </c>
      <c r="J1453" t="s">
        <v>445</v>
      </c>
      <c r="M1453">
        <v>2510</v>
      </c>
      <c r="N1453" t="s">
        <v>16003</v>
      </c>
    </row>
    <row r="1454" spans="1:14">
      <c r="A1454">
        <v>12404926</v>
      </c>
      <c r="B1454">
        <v>3040980</v>
      </c>
      <c r="C1454" t="s">
        <v>1064</v>
      </c>
      <c r="D1454" t="s">
        <v>441</v>
      </c>
      <c r="F1454">
        <v>0</v>
      </c>
      <c r="G1454">
        <v>9.7200000000000006</v>
      </c>
      <c r="I1454">
        <v>4</v>
      </c>
      <c r="J1454" t="s">
        <v>445</v>
      </c>
      <c r="M1454">
        <v>6666</v>
      </c>
      <c r="N1454" t="s">
        <v>16003</v>
      </c>
    </row>
    <row r="1455" spans="1:14">
      <c r="A1455">
        <v>12405000</v>
      </c>
      <c r="B1455">
        <v>3009636</v>
      </c>
      <c r="C1455" t="s">
        <v>9303</v>
      </c>
      <c r="D1455" t="s">
        <v>441</v>
      </c>
      <c r="F1455">
        <v>0</v>
      </c>
      <c r="G1455">
        <v>13.44</v>
      </c>
      <c r="H1455" t="s">
        <v>8584</v>
      </c>
      <c r="I1455">
        <v>6</v>
      </c>
      <c r="J1455" t="s">
        <v>445</v>
      </c>
      <c r="K1455" t="s">
        <v>446</v>
      </c>
      <c r="M1455">
        <v>2390</v>
      </c>
    </row>
    <row r="1456" spans="1:14">
      <c r="A1456">
        <v>12405002</v>
      </c>
      <c r="B1456">
        <v>3009649</v>
      </c>
      <c r="C1456" t="s">
        <v>1065</v>
      </c>
      <c r="D1456" t="s">
        <v>441</v>
      </c>
      <c r="F1456">
        <v>0</v>
      </c>
      <c r="G1456">
        <v>11.55</v>
      </c>
      <c r="I1456">
        <v>365</v>
      </c>
      <c r="J1456" t="s">
        <v>445</v>
      </c>
      <c r="K1456" t="s">
        <v>446</v>
      </c>
      <c r="M1456">
        <v>2501</v>
      </c>
      <c r="N1456" t="s">
        <v>16003</v>
      </c>
    </row>
    <row r="1457" spans="1:14">
      <c r="A1457">
        <v>12405502</v>
      </c>
      <c r="B1457">
        <v>3009646</v>
      </c>
      <c r="C1457" t="s">
        <v>1066</v>
      </c>
      <c r="D1457" t="s">
        <v>441</v>
      </c>
      <c r="F1457">
        <v>0</v>
      </c>
      <c r="G1457">
        <v>11.28</v>
      </c>
      <c r="I1457">
        <v>6</v>
      </c>
      <c r="J1457" t="s">
        <v>445</v>
      </c>
      <c r="K1457" t="s">
        <v>446</v>
      </c>
      <c r="M1457">
        <v>2641</v>
      </c>
      <c r="N1457" t="s">
        <v>16003</v>
      </c>
    </row>
    <row r="1458" spans="1:14">
      <c r="A1458">
        <v>12405602</v>
      </c>
      <c r="B1458">
        <v>3009645</v>
      </c>
      <c r="C1458" t="s">
        <v>1067</v>
      </c>
      <c r="D1458" t="s">
        <v>441</v>
      </c>
      <c r="F1458">
        <v>0</v>
      </c>
      <c r="G1458">
        <v>11.96</v>
      </c>
      <c r="H1458" t="s">
        <v>8588</v>
      </c>
      <c r="I1458">
        <v>4</v>
      </c>
      <c r="J1458" t="s">
        <v>445</v>
      </c>
      <c r="K1458" t="s">
        <v>446</v>
      </c>
      <c r="M1458">
        <v>2511</v>
      </c>
      <c r="N1458" t="s">
        <v>16003</v>
      </c>
    </row>
    <row r="1459" spans="1:14">
      <c r="A1459">
        <v>12405902</v>
      </c>
      <c r="B1459">
        <v>3020225</v>
      </c>
      <c r="C1459" t="s">
        <v>1068</v>
      </c>
      <c r="D1459" t="s">
        <v>441</v>
      </c>
      <c r="F1459">
        <v>0</v>
      </c>
      <c r="G1459">
        <v>11.37</v>
      </c>
      <c r="H1459" t="s">
        <v>8584</v>
      </c>
      <c r="I1459">
        <v>4</v>
      </c>
      <c r="J1459" t="s">
        <v>445</v>
      </c>
      <c r="K1459" t="s">
        <v>446</v>
      </c>
      <c r="M1459">
        <v>6666</v>
      </c>
      <c r="N1459" t="s">
        <v>16003</v>
      </c>
    </row>
    <row r="1460" spans="1:14">
      <c r="A1460">
        <v>12410000</v>
      </c>
      <c r="B1460">
        <v>3024471</v>
      </c>
      <c r="C1460" t="s">
        <v>14245</v>
      </c>
      <c r="D1460" t="s">
        <v>441</v>
      </c>
      <c r="F1460">
        <v>0</v>
      </c>
      <c r="G1460">
        <v>16.72</v>
      </c>
      <c r="H1460" t="s">
        <v>8588</v>
      </c>
      <c r="I1460">
        <v>6</v>
      </c>
      <c r="J1460" t="s">
        <v>445</v>
      </c>
      <c r="M1460">
        <v>2391</v>
      </c>
      <c r="N1460" t="s">
        <v>16003</v>
      </c>
    </row>
    <row r="1461" spans="1:14">
      <c r="A1461">
        <v>12410007</v>
      </c>
      <c r="B1461">
        <v>3025991</v>
      </c>
      <c r="C1461" t="s">
        <v>1069</v>
      </c>
      <c r="D1461" t="s">
        <v>441</v>
      </c>
      <c r="F1461">
        <v>0</v>
      </c>
      <c r="G1461">
        <v>9.32</v>
      </c>
      <c r="H1461" t="s">
        <v>8588</v>
      </c>
      <c r="I1461">
        <v>6</v>
      </c>
      <c r="J1461" t="s">
        <v>445</v>
      </c>
      <c r="M1461">
        <v>2391</v>
      </c>
      <c r="N1461" t="s">
        <v>16003</v>
      </c>
    </row>
    <row r="1462" spans="1:14">
      <c r="A1462">
        <v>12410075</v>
      </c>
      <c r="B1462">
        <v>3041477</v>
      </c>
      <c r="C1462" t="s">
        <v>1070</v>
      </c>
      <c r="D1462" t="s">
        <v>441</v>
      </c>
      <c r="F1462">
        <v>0</v>
      </c>
      <c r="G1462">
        <v>9.39</v>
      </c>
      <c r="H1462" t="s">
        <v>8588</v>
      </c>
      <c r="I1462">
        <v>6</v>
      </c>
      <c r="J1462" t="s">
        <v>445</v>
      </c>
      <c r="M1462">
        <v>7112</v>
      </c>
      <c r="N1462" t="s">
        <v>16003</v>
      </c>
    </row>
    <row r="1463" spans="1:14">
      <c r="A1463">
        <v>12410076</v>
      </c>
      <c r="B1463">
        <v>4029576</v>
      </c>
      <c r="C1463" t="s">
        <v>15306</v>
      </c>
      <c r="D1463" t="s">
        <v>441</v>
      </c>
      <c r="F1463">
        <v>0</v>
      </c>
      <c r="G1463">
        <v>16.100000000000001</v>
      </c>
      <c r="H1463" t="s">
        <v>8588</v>
      </c>
      <c r="I1463">
        <v>6</v>
      </c>
      <c r="J1463" t="s">
        <v>462</v>
      </c>
      <c r="L1463">
        <v>2052584</v>
      </c>
      <c r="M1463">
        <v>7112</v>
      </c>
      <c r="N1463" t="s">
        <v>16003</v>
      </c>
    </row>
    <row r="1464" spans="1:14">
      <c r="A1464">
        <v>12410087</v>
      </c>
      <c r="B1464">
        <v>3036996</v>
      </c>
      <c r="C1464" t="s">
        <v>1170</v>
      </c>
      <c r="D1464" t="s">
        <v>441</v>
      </c>
      <c r="F1464">
        <v>0</v>
      </c>
      <c r="G1464">
        <v>16.89</v>
      </c>
      <c r="H1464" t="s">
        <v>8588</v>
      </c>
      <c r="I1464">
        <v>6</v>
      </c>
      <c r="J1464" t="s">
        <v>445</v>
      </c>
      <c r="M1464">
        <v>7112</v>
      </c>
      <c r="N1464" t="s">
        <v>16003</v>
      </c>
    </row>
    <row r="1465" spans="1:14">
      <c r="A1465">
        <v>12411000</v>
      </c>
      <c r="B1465">
        <v>3024470</v>
      </c>
      <c r="C1465" t="s">
        <v>14246</v>
      </c>
      <c r="D1465" t="s">
        <v>441</v>
      </c>
      <c r="F1465">
        <v>0</v>
      </c>
      <c r="G1465">
        <v>16.72</v>
      </c>
      <c r="H1465" t="s">
        <v>8588</v>
      </c>
      <c r="I1465">
        <v>6</v>
      </c>
      <c r="J1465" t="s">
        <v>445</v>
      </c>
      <c r="M1465">
        <v>2391</v>
      </c>
      <c r="N1465" t="s">
        <v>16003</v>
      </c>
    </row>
    <row r="1466" spans="1:14">
      <c r="A1466">
        <v>12411007</v>
      </c>
      <c r="B1466">
        <v>3044741</v>
      </c>
      <c r="C1466" t="s">
        <v>15401</v>
      </c>
      <c r="D1466" t="s">
        <v>441</v>
      </c>
      <c r="F1466">
        <v>0</v>
      </c>
      <c r="G1466">
        <v>15.99</v>
      </c>
      <c r="H1466" t="s">
        <v>8588</v>
      </c>
      <c r="I1466">
        <v>6</v>
      </c>
      <c r="J1466" t="s">
        <v>445</v>
      </c>
      <c r="M1466">
        <v>7112</v>
      </c>
      <c r="N1466" t="s">
        <v>16003</v>
      </c>
    </row>
    <row r="1467" spans="1:14">
      <c r="A1467">
        <v>12414000</v>
      </c>
      <c r="B1467">
        <v>3039297</v>
      </c>
      <c r="C1467" t="s">
        <v>14247</v>
      </c>
      <c r="D1467" t="s">
        <v>441</v>
      </c>
      <c r="F1467">
        <v>0</v>
      </c>
      <c r="G1467">
        <v>16.72</v>
      </c>
      <c r="H1467" t="s">
        <v>8588</v>
      </c>
      <c r="I1467">
        <v>6</v>
      </c>
      <c r="J1467" t="s">
        <v>445</v>
      </c>
      <c r="M1467">
        <v>2391</v>
      </c>
      <c r="N1467" t="s">
        <v>16003</v>
      </c>
    </row>
    <row r="1468" spans="1:14">
      <c r="A1468">
        <v>12414007</v>
      </c>
      <c r="B1468">
        <v>3039298</v>
      </c>
      <c r="C1468" t="s">
        <v>14248</v>
      </c>
      <c r="D1468" t="s">
        <v>441</v>
      </c>
      <c r="F1468">
        <v>0</v>
      </c>
      <c r="G1468">
        <v>16.899999999999999</v>
      </c>
      <c r="H1468" t="s">
        <v>8588</v>
      </c>
      <c r="I1468">
        <v>6</v>
      </c>
      <c r="J1468" t="s">
        <v>445</v>
      </c>
      <c r="M1468">
        <v>3111</v>
      </c>
      <c r="N1468" t="s">
        <v>16003</v>
      </c>
    </row>
    <row r="1469" spans="1:14">
      <c r="A1469">
        <v>12414075</v>
      </c>
      <c r="B1469">
        <v>3041478</v>
      </c>
      <c r="C1469" t="s">
        <v>1071</v>
      </c>
      <c r="D1469" t="s">
        <v>441</v>
      </c>
      <c r="F1469">
        <v>0</v>
      </c>
      <c r="G1469">
        <v>9.39</v>
      </c>
      <c r="H1469" t="s">
        <v>8588</v>
      </c>
      <c r="I1469">
        <v>6</v>
      </c>
      <c r="J1469" t="s">
        <v>445</v>
      </c>
      <c r="M1469">
        <v>7112</v>
      </c>
      <c r="N1469" t="s">
        <v>16003</v>
      </c>
    </row>
    <row r="1470" spans="1:14">
      <c r="A1470">
        <v>12414907</v>
      </c>
      <c r="B1470">
        <v>3039361</v>
      </c>
      <c r="C1470" t="s">
        <v>14249</v>
      </c>
      <c r="D1470" t="s">
        <v>441</v>
      </c>
      <c r="F1470">
        <v>0</v>
      </c>
      <c r="H1470" t="s">
        <v>8584</v>
      </c>
      <c r="I1470">
        <v>6</v>
      </c>
      <c r="J1470" t="s">
        <v>445</v>
      </c>
      <c r="M1470">
        <v>6666</v>
      </c>
      <c r="N1470" t="s">
        <v>16003</v>
      </c>
    </row>
    <row r="1471" spans="1:14">
      <c r="A1471">
        <v>12419000</v>
      </c>
      <c r="B1471">
        <v>3027518</v>
      </c>
      <c r="C1471" t="s">
        <v>14250</v>
      </c>
      <c r="D1471" t="s">
        <v>441</v>
      </c>
      <c r="F1471">
        <v>0</v>
      </c>
      <c r="G1471">
        <v>16.899999999999999</v>
      </c>
      <c r="H1471" t="s">
        <v>8588</v>
      </c>
      <c r="I1471">
        <v>2</v>
      </c>
      <c r="J1471" t="s">
        <v>445</v>
      </c>
      <c r="M1471">
        <v>3111</v>
      </c>
      <c r="N1471" t="s">
        <v>16003</v>
      </c>
    </row>
    <row r="1472" spans="1:14">
      <c r="A1472">
        <v>12419900</v>
      </c>
      <c r="B1472">
        <v>3027520</v>
      </c>
      <c r="C1472" t="s">
        <v>14251</v>
      </c>
      <c r="D1472" t="s">
        <v>441</v>
      </c>
      <c r="F1472">
        <v>0</v>
      </c>
      <c r="I1472">
        <v>2</v>
      </c>
      <c r="J1472" t="s">
        <v>445</v>
      </c>
      <c r="M1472">
        <v>6666</v>
      </c>
      <c r="N1472" t="s">
        <v>16003</v>
      </c>
    </row>
    <row r="1473" spans="1:14">
      <c r="A1473">
        <v>12420000</v>
      </c>
      <c r="B1473">
        <v>3008796</v>
      </c>
      <c r="C1473" t="s">
        <v>1072</v>
      </c>
      <c r="D1473" t="s">
        <v>441</v>
      </c>
      <c r="F1473">
        <v>0</v>
      </c>
      <c r="G1473">
        <v>10.91</v>
      </c>
      <c r="H1473" t="s">
        <v>8580</v>
      </c>
      <c r="I1473">
        <v>5</v>
      </c>
      <c r="J1473" t="s">
        <v>445</v>
      </c>
      <c r="K1473" t="s">
        <v>446</v>
      </c>
      <c r="M1473">
        <v>2390</v>
      </c>
    </row>
    <row r="1474" spans="1:14">
      <c r="A1474">
        <v>12430000</v>
      </c>
      <c r="B1474">
        <v>3013609</v>
      </c>
      <c r="C1474" t="s">
        <v>1073</v>
      </c>
      <c r="D1474" t="s">
        <v>441</v>
      </c>
      <c r="F1474">
        <v>0</v>
      </c>
      <c r="G1474">
        <v>5.6</v>
      </c>
      <c r="H1474" t="s">
        <v>9302</v>
      </c>
      <c r="I1474">
        <v>6</v>
      </c>
      <c r="J1474" t="s">
        <v>445</v>
      </c>
      <c r="M1474">
        <v>2391</v>
      </c>
      <c r="N1474" t="s">
        <v>16029</v>
      </c>
    </row>
    <row r="1475" spans="1:14">
      <c r="A1475">
        <v>12430002</v>
      </c>
      <c r="B1475">
        <v>3022900</v>
      </c>
      <c r="C1475" t="s">
        <v>1074</v>
      </c>
      <c r="D1475" t="s">
        <v>441</v>
      </c>
      <c r="F1475">
        <v>0</v>
      </c>
      <c r="G1475">
        <v>6.04</v>
      </c>
      <c r="H1475" t="s">
        <v>8549</v>
      </c>
      <c r="I1475">
        <v>540</v>
      </c>
      <c r="J1475" t="s">
        <v>445</v>
      </c>
      <c r="M1475">
        <v>7111</v>
      </c>
      <c r="N1475" t="s">
        <v>16029</v>
      </c>
    </row>
    <row r="1476" spans="1:14">
      <c r="A1476">
        <v>12430502</v>
      </c>
      <c r="B1476">
        <v>3022901</v>
      </c>
      <c r="C1476" t="s">
        <v>1075</v>
      </c>
      <c r="D1476" t="s">
        <v>441</v>
      </c>
      <c r="F1476">
        <v>0</v>
      </c>
      <c r="G1476">
        <v>5.71</v>
      </c>
      <c r="H1476" t="s">
        <v>8580</v>
      </c>
      <c r="I1476">
        <v>6</v>
      </c>
      <c r="J1476" t="s">
        <v>445</v>
      </c>
      <c r="M1476">
        <v>2502</v>
      </c>
      <c r="N1476" t="s">
        <v>16029</v>
      </c>
    </row>
    <row r="1477" spans="1:14">
      <c r="A1477">
        <v>12430602</v>
      </c>
      <c r="B1477">
        <v>3022859</v>
      </c>
      <c r="C1477" t="s">
        <v>1076</v>
      </c>
      <c r="D1477" t="s">
        <v>441</v>
      </c>
      <c r="F1477">
        <v>0</v>
      </c>
      <c r="G1477">
        <v>6.28</v>
      </c>
      <c r="H1477" t="s">
        <v>8588</v>
      </c>
      <c r="I1477">
        <v>4</v>
      </c>
      <c r="J1477" t="s">
        <v>445</v>
      </c>
      <c r="M1477">
        <v>2510</v>
      </c>
      <c r="N1477" t="s">
        <v>16029</v>
      </c>
    </row>
    <row r="1478" spans="1:14">
      <c r="A1478">
        <v>12431000</v>
      </c>
      <c r="B1478">
        <v>3017562</v>
      </c>
      <c r="C1478" t="s">
        <v>1077</v>
      </c>
      <c r="D1478" t="s">
        <v>441</v>
      </c>
      <c r="F1478">
        <v>0</v>
      </c>
      <c r="G1478">
        <v>5.6</v>
      </c>
      <c r="I1478">
        <v>6</v>
      </c>
      <c r="J1478" t="s">
        <v>445</v>
      </c>
      <c r="M1478">
        <v>2391</v>
      </c>
      <c r="N1478" t="s">
        <v>16029</v>
      </c>
    </row>
    <row r="1479" spans="1:14">
      <c r="A1479">
        <v>12440000</v>
      </c>
      <c r="B1479">
        <v>3031754</v>
      </c>
      <c r="C1479" t="s">
        <v>1078</v>
      </c>
      <c r="D1479" t="s">
        <v>441</v>
      </c>
      <c r="F1479">
        <v>0</v>
      </c>
      <c r="G1479">
        <v>6.48</v>
      </c>
      <c r="H1479" t="s">
        <v>8935</v>
      </c>
      <c r="I1479">
        <v>6</v>
      </c>
      <c r="J1479" t="s">
        <v>445</v>
      </c>
      <c r="M1479">
        <v>2391</v>
      </c>
      <c r="N1479" t="s">
        <v>16030</v>
      </c>
    </row>
    <row r="1480" spans="1:14">
      <c r="A1480">
        <v>12440076</v>
      </c>
      <c r="B1480">
        <v>4024059</v>
      </c>
      <c r="C1480" t="s">
        <v>1079</v>
      </c>
      <c r="D1480" t="s">
        <v>441</v>
      </c>
      <c r="F1480">
        <v>0</v>
      </c>
      <c r="G1480">
        <v>6.71</v>
      </c>
      <c r="H1480" t="s">
        <v>8588</v>
      </c>
      <c r="I1480">
        <v>6</v>
      </c>
      <c r="J1480" t="s">
        <v>462</v>
      </c>
      <c r="M1480">
        <v>7112</v>
      </c>
      <c r="N1480" t="s">
        <v>16030</v>
      </c>
    </row>
    <row r="1481" spans="1:14">
      <c r="A1481">
        <v>12450000</v>
      </c>
      <c r="B1481">
        <v>3015905</v>
      </c>
      <c r="C1481" t="s">
        <v>1080</v>
      </c>
      <c r="D1481" t="s">
        <v>441</v>
      </c>
      <c r="F1481">
        <v>0</v>
      </c>
      <c r="G1481">
        <v>0</v>
      </c>
      <c r="H1481" t="s">
        <v>8588</v>
      </c>
      <c r="I1481">
        <v>6</v>
      </c>
      <c r="J1481" t="s">
        <v>445</v>
      </c>
      <c r="M1481">
        <v>2391</v>
      </c>
      <c r="N1481" t="s">
        <v>16031</v>
      </c>
    </row>
    <row r="1482" spans="1:14">
      <c r="A1482">
        <v>12450002</v>
      </c>
      <c r="B1482">
        <v>3007515</v>
      </c>
      <c r="C1482" t="s">
        <v>1081</v>
      </c>
      <c r="D1482" t="s">
        <v>441</v>
      </c>
      <c r="F1482">
        <v>0</v>
      </c>
      <c r="G1482">
        <v>8.9700000000000006</v>
      </c>
      <c r="H1482" t="s">
        <v>8549</v>
      </c>
      <c r="I1482">
        <v>540</v>
      </c>
      <c r="J1482" t="s">
        <v>445</v>
      </c>
      <c r="K1482" t="s">
        <v>446</v>
      </c>
      <c r="M1482">
        <v>2501</v>
      </c>
    </row>
    <row r="1483" spans="1:14">
      <c r="A1483">
        <v>12450007</v>
      </c>
      <c r="B1483">
        <v>3024869</v>
      </c>
      <c r="C1483" t="s">
        <v>1082</v>
      </c>
      <c r="D1483" t="s">
        <v>441</v>
      </c>
      <c r="F1483">
        <v>0</v>
      </c>
      <c r="G1483">
        <v>10.93</v>
      </c>
      <c r="H1483" t="s">
        <v>8588</v>
      </c>
      <c r="I1483">
        <v>6</v>
      </c>
      <c r="J1483" t="s">
        <v>445</v>
      </c>
      <c r="M1483">
        <v>3113</v>
      </c>
      <c r="N1483" t="s">
        <v>16032</v>
      </c>
    </row>
    <row r="1484" spans="1:14">
      <c r="A1484">
        <v>12450018</v>
      </c>
      <c r="B1484">
        <v>3012605</v>
      </c>
      <c r="C1484" t="s">
        <v>1083</v>
      </c>
      <c r="D1484" t="s">
        <v>441</v>
      </c>
      <c r="F1484">
        <v>0</v>
      </c>
      <c r="G1484">
        <v>11.32</v>
      </c>
      <c r="H1484" t="s">
        <v>8588</v>
      </c>
      <c r="I1484">
        <v>540</v>
      </c>
      <c r="J1484" t="s">
        <v>445</v>
      </c>
      <c r="M1484">
        <v>7111</v>
      </c>
      <c r="N1484" t="s">
        <v>16032</v>
      </c>
    </row>
    <row r="1485" spans="1:14">
      <c r="A1485">
        <v>12450019</v>
      </c>
      <c r="B1485">
        <v>3008632</v>
      </c>
      <c r="C1485" t="s">
        <v>1084</v>
      </c>
      <c r="D1485" t="s">
        <v>441</v>
      </c>
      <c r="F1485">
        <v>0</v>
      </c>
      <c r="G1485">
        <v>9.91</v>
      </c>
      <c r="H1485" t="s">
        <v>8588</v>
      </c>
      <c r="I1485">
        <v>365</v>
      </c>
      <c r="J1485" t="s">
        <v>445</v>
      </c>
      <c r="K1485" t="s">
        <v>446</v>
      </c>
      <c r="M1485">
        <v>2501</v>
      </c>
    </row>
    <row r="1486" spans="1:14">
      <c r="A1486">
        <v>12450075</v>
      </c>
      <c r="B1486">
        <v>3007516</v>
      </c>
      <c r="C1486" t="s">
        <v>1085</v>
      </c>
      <c r="D1486" t="s">
        <v>441</v>
      </c>
      <c r="F1486">
        <v>0</v>
      </c>
      <c r="G1486">
        <v>7.23</v>
      </c>
      <c r="H1486" t="s">
        <v>8588</v>
      </c>
      <c r="I1486">
        <v>6</v>
      </c>
      <c r="J1486" t="s">
        <v>445</v>
      </c>
      <c r="M1486">
        <v>7112</v>
      </c>
      <c r="N1486" t="s">
        <v>16032</v>
      </c>
    </row>
    <row r="1487" spans="1:14">
      <c r="A1487">
        <v>12450076</v>
      </c>
      <c r="B1487">
        <v>3012595</v>
      </c>
      <c r="C1487" t="s">
        <v>1086</v>
      </c>
      <c r="D1487" t="s">
        <v>441</v>
      </c>
      <c r="F1487">
        <v>0</v>
      </c>
      <c r="G1487">
        <v>10.199999999999999</v>
      </c>
      <c r="H1487" t="s">
        <v>8588</v>
      </c>
      <c r="I1487">
        <v>6</v>
      </c>
      <c r="J1487" t="s">
        <v>445</v>
      </c>
      <c r="K1487" t="s">
        <v>446</v>
      </c>
      <c r="M1487">
        <v>2641</v>
      </c>
    </row>
    <row r="1488" spans="1:14">
      <c r="A1488">
        <v>12450080</v>
      </c>
      <c r="B1488">
        <v>3009723</v>
      </c>
      <c r="C1488" t="s">
        <v>1087</v>
      </c>
      <c r="D1488" t="s">
        <v>441</v>
      </c>
      <c r="F1488">
        <v>0</v>
      </c>
      <c r="G1488">
        <v>10.98</v>
      </c>
      <c r="H1488" t="s">
        <v>8588</v>
      </c>
      <c r="I1488">
        <v>6</v>
      </c>
      <c r="J1488" t="s">
        <v>445</v>
      </c>
      <c r="M1488">
        <v>7112</v>
      </c>
      <c r="N1488" t="s">
        <v>16032</v>
      </c>
    </row>
    <row r="1489" spans="1:14">
      <c r="A1489">
        <v>12450087</v>
      </c>
      <c r="B1489">
        <v>3012327</v>
      </c>
      <c r="C1489" t="s">
        <v>1088</v>
      </c>
      <c r="D1489" t="s">
        <v>441</v>
      </c>
      <c r="F1489">
        <v>0</v>
      </c>
      <c r="G1489">
        <v>10.91</v>
      </c>
      <c r="H1489" t="s">
        <v>8588</v>
      </c>
      <c r="I1489">
        <v>6</v>
      </c>
      <c r="J1489" t="s">
        <v>445</v>
      </c>
      <c r="K1489" t="s">
        <v>446</v>
      </c>
      <c r="M1489">
        <v>2641</v>
      </c>
    </row>
    <row r="1490" spans="1:14">
      <c r="A1490">
        <v>12450400</v>
      </c>
      <c r="B1490">
        <v>3002576</v>
      </c>
      <c r="C1490" t="s">
        <v>1089</v>
      </c>
      <c r="D1490" t="s">
        <v>441</v>
      </c>
      <c r="F1490">
        <v>0</v>
      </c>
      <c r="G1490">
        <v>11.03</v>
      </c>
      <c r="H1490" t="s">
        <v>8588</v>
      </c>
      <c r="I1490">
        <v>6</v>
      </c>
      <c r="J1490" t="s">
        <v>445</v>
      </c>
      <c r="M1490">
        <v>7112</v>
      </c>
      <c r="N1490" t="s">
        <v>16032</v>
      </c>
    </row>
    <row r="1491" spans="1:14">
      <c r="A1491">
        <v>12450502</v>
      </c>
      <c r="B1491">
        <v>3009126</v>
      </c>
      <c r="C1491" t="s">
        <v>1090</v>
      </c>
      <c r="D1491" t="s">
        <v>441</v>
      </c>
      <c r="F1491">
        <v>0</v>
      </c>
      <c r="G1491">
        <v>8.7200000000000006</v>
      </c>
      <c r="H1491" t="s">
        <v>8588</v>
      </c>
      <c r="I1491">
        <v>6</v>
      </c>
      <c r="J1491" t="s">
        <v>445</v>
      </c>
      <c r="K1491" t="s">
        <v>446</v>
      </c>
      <c r="M1491">
        <v>2641</v>
      </c>
    </row>
    <row r="1492" spans="1:14">
      <c r="A1492">
        <v>12450518</v>
      </c>
      <c r="B1492">
        <v>3013590</v>
      </c>
      <c r="C1492" t="s">
        <v>1091</v>
      </c>
      <c r="D1492" t="s">
        <v>441</v>
      </c>
      <c r="F1492">
        <v>0</v>
      </c>
      <c r="G1492">
        <v>10.9</v>
      </c>
      <c r="H1492" t="s">
        <v>8584</v>
      </c>
      <c r="I1492">
        <v>540</v>
      </c>
      <c r="J1492" t="s">
        <v>445</v>
      </c>
      <c r="M1492">
        <v>2502</v>
      </c>
      <c r="N1492" t="s">
        <v>16032</v>
      </c>
    </row>
    <row r="1493" spans="1:14">
      <c r="A1493">
        <v>12450519</v>
      </c>
      <c r="B1493">
        <v>3007517</v>
      </c>
      <c r="C1493" t="s">
        <v>9304</v>
      </c>
      <c r="D1493" t="s">
        <v>441</v>
      </c>
      <c r="F1493">
        <v>0</v>
      </c>
      <c r="G1493">
        <v>8.16</v>
      </c>
      <c r="H1493" t="s">
        <v>8580</v>
      </c>
      <c r="I1493">
        <v>6</v>
      </c>
      <c r="J1493" t="s">
        <v>445</v>
      </c>
      <c r="K1493" t="s">
        <v>446</v>
      </c>
      <c r="M1493">
        <v>2641</v>
      </c>
    </row>
    <row r="1494" spans="1:14">
      <c r="A1494">
        <v>12450602</v>
      </c>
      <c r="B1494">
        <v>3012155</v>
      </c>
      <c r="C1494" t="s">
        <v>1092</v>
      </c>
      <c r="D1494" t="s">
        <v>441</v>
      </c>
      <c r="F1494">
        <v>0</v>
      </c>
      <c r="G1494">
        <v>9.57</v>
      </c>
      <c r="H1494" t="s">
        <v>8580</v>
      </c>
      <c r="I1494">
        <v>4</v>
      </c>
      <c r="J1494" t="s">
        <v>445</v>
      </c>
      <c r="K1494" t="s">
        <v>446</v>
      </c>
      <c r="M1494">
        <v>2511</v>
      </c>
    </row>
    <row r="1495" spans="1:14">
      <c r="A1495">
        <v>12450618</v>
      </c>
      <c r="B1495">
        <v>3013557</v>
      </c>
      <c r="C1495" t="s">
        <v>1093</v>
      </c>
      <c r="D1495" t="s">
        <v>441</v>
      </c>
      <c r="F1495">
        <v>0</v>
      </c>
      <c r="G1495">
        <v>7.65</v>
      </c>
      <c r="H1495" t="s">
        <v>8588</v>
      </c>
      <c r="I1495">
        <v>4</v>
      </c>
      <c r="J1495" t="s">
        <v>445</v>
      </c>
      <c r="M1495">
        <v>2510</v>
      </c>
      <c r="N1495" t="s">
        <v>16032</v>
      </c>
    </row>
    <row r="1496" spans="1:14">
      <c r="A1496">
        <v>12450619</v>
      </c>
      <c r="B1496">
        <v>3007518</v>
      </c>
      <c r="C1496" t="s">
        <v>9305</v>
      </c>
      <c r="D1496" t="s">
        <v>441</v>
      </c>
      <c r="F1496">
        <v>0</v>
      </c>
      <c r="G1496">
        <v>10.41</v>
      </c>
      <c r="H1496" t="s">
        <v>8580</v>
      </c>
      <c r="I1496">
        <v>4</v>
      </c>
      <c r="J1496" t="s">
        <v>445</v>
      </c>
      <c r="K1496" t="s">
        <v>446</v>
      </c>
      <c r="M1496">
        <v>2511</v>
      </c>
    </row>
    <row r="1497" spans="1:14">
      <c r="A1497">
        <v>12450900</v>
      </c>
      <c r="B1497">
        <v>3020226</v>
      </c>
      <c r="C1497" t="s">
        <v>1094</v>
      </c>
      <c r="D1497" t="s">
        <v>441</v>
      </c>
      <c r="F1497">
        <v>0</v>
      </c>
      <c r="G1497">
        <v>0</v>
      </c>
      <c r="H1497" t="s">
        <v>8584</v>
      </c>
      <c r="I1497">
        <v>6</v>
      </c>
      <c r="J1497" t="s">
        <v>445</v>
      </c>
      <c r="M1497">
        <v>6666</v>
      </c>
      <c r="N1497" t="s">
        <v>16031</v>
      </c>
    </row>
    <row r="1498" spans="1:14">
      <c r="A1498">
        <v>12450907</v>
      </c>
      <c r="B1498">
        <v>3025129</v>
      </c>
      <c r="C1498" t="s">
        <v>1095</v>
      </c>
      <c r="D1498" t="s">
        <v>441</v>
      </c>
      <c r="F1498">
        <v>0</v>
      </c>
      <c r="G1498">
        <v>0</v>
      </c>
      <c r="H1498" t="s">
        <v>8935</v>
      </c>
      <c r="I1498">
        <v>6</v>
      </c>
      <c r="J1498" t="s">
        <v>445</v>
      </c>
      <c r="M1498">
        <v>6666</v>
      </c>
      <c r="N1498" t="s">
        <v>16032</v>
      </c>
    </row>
    <row r="1499" spans="1:14">
      <c r="A1499">
        <v>12450918</v>
      </c>
      <c r="B1499">
        <v>3020227</v>
      </c>
      <c r="C1499" t="s">
        <v>1096</v>
      </c>
      <c r="D1499" t="s">
        <v>441</v>
      </c>
      <c r="F1499">
        <v>0</v>
      </c>
      <c r="H1499" t="s">
        <v>8580</v>
      </c>
      <c r="I1499">
        <v>4</v>
      </c>
      <c r="J1499" t="s">
        <v>445</v>
      </c>
      <c r="M1499">
        <v>6666</v>
      </c>
      <c r="N1499" t="s">
        <v>16032</v>
      </c>
    </row>
    <row r="1500" spans="1:14">
      <c r="A1500">
        <v>12451000</v>
      </c>
      <c r="B1500">
        <v>3017736</v>
      </c>
      <c r="C1500" t="s">
        <v>1097</v>
      </c>
      <c r="D1500" t="s">
        <v>441</v>
      </c>
      <c r="F1500">
        <v>0</v>
      </c>
      <c r="G1500">
        <v>0</v>
      </c>
      <c r="H1500" t="s">
        <v>8549</v>
      </c>
      <c r="I1500">
        <v>6</v>
      </c>
      <c r="J1500" t="s">
        <v>445</v>
      </c>
      <c r="M1500">
        <v>2391</v>
      </c>
      <c r="N1500" t="s">
        <v>16031</v>
      </c>
    </row>
    <row r="1501" spans="1:14">
      <c r="A1501">
        <v>12451007</v>
      </c>
      <c r="B1501">
        <v>3024870</v>
      </c>
      <c r="C1501" t="s">
        <v>1098</v>
      </c>
      <c r="D1501" t="s">
        <v>441</v>
      </c>
      <c r="F1501">
        <v>0</v>
      </c>
      <c r="G1501">
        <v>7.14</v>
      </c>
      <c r="I1501">
        <v>6</v>
      </c>
      <c r="J1501" t="s">
        <v>445</v>
      </c>
      <c r="M1501">
        <v>3111</v>
      </c>
      <c r="N1501" t="s">
        <v>16032</v>
      </c>
    </row>
    <row r="1502" spans="1:14">
      <c r="A1502">
        <v>12451018</v>
      </c>
      <c r="B1502">
        <v>3044719</v>
      </c>
      <c r="C1502" t="s">
        <v>15370</v>
      </c>
      <c r="D1502" t="s">
        <v>441</v>
      </c>
      <c r="F1502">
        <v>0</v>
      </c>
      <c r="G1502">
        <v>14.56</v>
      </c>
      <c r="H1502" t="s">
        <v>8588</v>
      </c>
      <c r="I1502">
        <v>540</v>
      </c>
      <c r="J1502" t="s">
        <v>445</v>
      </c>
      <c r="M1502">
        <v>7111</v>
      </c>
      <c r="N1502" t="s">
        <v>16032</v>
      </c>
    </row>
    <row r="1503" spans="1:14">
      <c r="A1503">
        <v>12451080</v>
      </c>
      <c r="B1503">
        <v>3017454</v>
      </c>
      <c r="C1503" t="s">
        <v>1099</v>
      </c>
      <c r="D1503" t="s">
        <v>441</v>
      </c>
      <c r="F1503">
        <v>0</v>
      </c>
      <c r="G1503">
        <v>8.77</v>
      </c>
      <c r="H1503" t="s">
        <v>8588</v>
      </c>
      <c r="I1503">
        <v>6</v>
      </c>
      <c r="J1503" t="s">
        <v>445</v>
      </c>
      <c r="K1503" t="s">
        <v>446</v>
      </c>
      <c r="M1503">
        <v>2641</v>
      </c>
    </row>
    <row r="1504" spans="1:14">
      <c r="A1504">
        <v>12451502</v>
      </c>
      <c r="B1504">
        <v>3017444</v>
      </c>
      <c r="C1504" t="s">
        <v>1100</v>
      </c>
      <c r="D1504" t="s">
        <v>441</v>
      </c>
      <c r="F1504">
        <v>0</v>
      </c>
      <c r="G1504">
        <v>8.73</v>
      </c>
      <c r="H1504" t="s">
        <v>8584</v>
      </c>
      <c r="I1504">
        <v>6</v>
      </c>
      <c r="J1504" t="s">
        <v>445</v>
      </c>
      <c r="K1504" t="s">
        <v>446</v>
      </c>
      <c r="M1504">
        <v>2641</v>
      </c>
    </row>
    <row r="1505" spans="1:14">
      <c r="A1505">
        <v>12451518</v>
      </c>
      <c r="B1505">
        <v>3017561</v>
      </c>
      <c r="C1505" t="s">
        <v>15371</v>
      </c>
      <c r="D1505" t="s">
        <v>441</v>
      </c>
      <c r="F1505">
        <v>0</v>
      </c>
      <c r="G1505">
        <v>8.65</v>
      </c>
      <c r="H1505" t="s">
        <v>8580</v>
      </c>
      <c r="I1505">
        <v>365</v>
      </c>
      <c r="J1505" t="s">
        <v>445</v>
      </c>
      <c r="M1505">
        <v>2641</v>
      </c>
      <c r="N1505" t="s">
        <v>16032</v>
      </c>
    </row>
    <row r="1506" spans="1:14">
      <c r="A1506">
        <v>12451907</v>
      </c>
      <c r="B1506">
        <v>3025130</v>
      </c>
      <c r="C1506" t="s">
        <v>1101</v>
      </c>
      <c r="D1506" t="s">
        <v>441</v>
      </c>
      <c r="F1506">
        <v>0</v>
      </c>
      <c r="G1506">
        <v>0</v>
      </c>
      <c r="H1506" t="s">
        <v>8935</v>
      </c>
      <c r="I1506">
        <v>6</v>
      </c>
      <c r="J1506" t="s">
        <v>445</v>
      </c>
      <c r="M1506">
        <v>6666</v>
      </c>
      <c r="N1506" t="s">
        <v>16032</v>
      </c>
    </row>
    <row r="1507" spans="1:14">
      <c r="A1507">
        <v>12453000</v>
      </c>
      <c r="B1507">
        <v>3015036</v>
      </c>
      <c r="C1507" t="s">
        <v>9306</v>
      </c>
      <c r="D1507" t="s">
        <v>441</v>
      </c>
      <c r="F1507">
        <v>0</v>
      </c>
      <c r="G1507">
        <v>7.5</v>
      </c>
      <c r="H1507" t="s">
        <v>8580</v>
      </c>
      <c r="I1507">
        <v>6</v>
      </c>
      <c r="J1507" t="s">
        <v>445</v>
      </c>
      <c r="K1507" t="s">
        <v>446</v>
      </c>
      <c r="M1507">
        <v>2390</v>
      </c>
    </row>
    <row r="1508" spans="1:14">
      <c r="A1508">
        <v>12454000</v>
      </c>
      <c r="B1508">
        <v>3035826</v>
      </c>
      <c r="C1508" t="s">
        <v>1102</v>
      </c>
      <c r="D1508" t="s">
        <v>441</v>
      </c>
      <c r="F1508">
        <v>0</v>
      </c>
      <c r="G1508">
        <v>10.79</v>
      </c>
      <c r="H1508" t="s">
        <v>8588</v>
      </c>
      <c r="I1508">
        <v>6</v>
      </c>
      <c r="J1508" t="s">
        <v>445</v>
      </c>
      <c r="M1508">
        <v>2391</v>
      </c>
      <c r="N1508" t="s">
        <v>16031</v>
      </c>
    </row>
    <row r="1509" spans="1:14">
      <c r="A1509">
        <v>12454018</v>
      </c>
      <c r="B1509">
        <v>3040904</v>
      </c>
      <c r="C1509" t="s">
        <v>1103</v>
      </c>
      <c r="D1509" t="s">
        <v>441</v>
      </c>
      <c r="F1509">
        <v>0</v>
      </c>
      <c r="G1509">
        <v>11.32</v>
      </c>
      <c r="H1509" t="s">
        <v>8588</v>
      </c>
      <c r="I1509">
        <v>540</v>
      </c>
      <c r="J1509" t="s">
        <v>445</v>
      </c>
      <c r="M1509">
        <v>7111</v>
      </c>
      <c r="N1509" t="s">
        <v>16032</v>
      </c>
    </row>
    <row r="1510" spans="1:14">
      <c r="A1510">
        <v>12454075</v>
      </c>
      <c r="B1510">
        <v>3036052</v>
      </c>
      <c r="C1510" t="s">
        <v>1104</v>
      </c>
      <c r="D1510" t="s">
        <v>441</v>
      </c>
      <c r="F1510">
        <v>0</v>
      </c>
      <c r="G1510">
        <v>7.23</v>
      </c>
      <c r="H1510" t="s">
        <v>8588</v>
      </c>
      <c r="I1510">
        <v>6</v>
      </c>
      <c r="J1510" t="s">
        <v>445</v>
      </c>
      <c r="M1510">
        <v>7112</v>
      </c>
      <c r="N1510" t="s">
        <v>16032</v>
      </c>
    </row>
    <row r="1511" spans="1:14">
      <c r="A1511">
        <v>12454080</v>
      </c>
      <c r="B1511">
        <v>3039429</v>
      </c>
      <c r="C1511" t="s">
        <v>1105</v>
      </c>
      <c r="D1511" t="s">
        <v>441</v>
      </c>
      <c r="F1511">
        <v>0</v>
      </c>
      <c r="G1511">
        <v>10.98</v>
      </c>
      <c r="H1511" t="s">
        <v>8588</v>
      </c>
      <c r="I1511">
        <v>6</v>
      </c>
      <c r="J1511" t="s">
        <v>445</v>
      </c>
      <c r="M1511">
        <v>7112</v>
      </c>
      <c r="N1511" t="s">
        <v>16032</v>
      </c>
    </row>
    <row r="1512" spans="1:14">
      <c r="A1512">
        <v>12454087</v>
      </c>
      <c r="B1512">
        <v>3038790</v>
      </c>
      <c r="C1512" t="s">
        <v>1106</v>
      </c>
      <c r="D1512" t="s">
        <v>441</v>
      </c>
      <c r="F1512">
        <v>0</v>
      </c>
      <c r="G1512">
        <v>11.02</v>
      </c>
      <c r="H1512" t="s">
        <v>8588</v>
      </c>
      <c r="I1512">
        <v>6</v>
      </c>
      <c r="J1512" t="s">
        <v>445</v>
      </c>
      <c r="M1512">
        <v>7112</v>
      </c>
      <c r="N1512" t="s">
        <v>16032</v>
      </c>
    </row>
    <row r="1513" spans="1:14">
      <c r="A1513">
        <v>12454518</v>
      </c>
      <c r="B1513">
        <v>3036209</v>
      </c>
      <c r="C1513" t="s">
        <v>1107</v>
      </c>
      <c r="D1513" t="s">
        <v>441</v>
      </c>
      <c r="F1513">
        <v>0</v>
      </c>
      <c r="G1513">
        <v>7.13</v>
      </c>
      <c r="H1513" t="s">
        <v>8588</v>
      </c>
      <c r="I1513">
        <v>6</v>
      </c>
      <c r="J1513" t="s">
        <v>445</v>
      </c>
      <c r="M1513">
        <v>2502</v>
      </c>
      <c r="N1513" t="s">
        <v>16032</v>
      </c>
    </row>
    <row r="1514" spans="1:14">
      <c r="A1514">
        <v>12454618</v>
      </c>
      <c r="B1514">
        <v>3041032</v>
      </c>
      <c r="C1514" t="s">
        <v>14691</v>
      </c>
      <c r="D1514" t="s">
        <v>441</v>
      </c>
      <c r="F1514">
        <v>0</v>
      </c>
      <c r="G1514">
        <v>12.75</v>
      </c>
      <c r="H1514" t="s">
        <v>8549</v>
      </c>
      <c r="I1514">
        <v>4</v>
      </c>
      <c r="J1514" t="s">
        <v>445</v>
      </c>
      <c r="M1514">
        <v>2510</v>
      </c>
      <c r="N1514" t="s">
        <v>16032</v>
      </c>
    </row>
    <row r="1515" spans="1:14">
      <c r="A1515">
        <v>12454918</v>
      </c>
      <c r="B1515">
        <v>3044568</v>
      </c>
      <c r="C1515" t="s">
        <v>15254</v>
      </c>
      <c r="D1515" t="s">
        <v>441</v>
      </c>
      <c r="F1515">
        <v>0</v>
      </c>
      <c r="G1515">
        <v>12.75</v>
      </c>
      <c r="H1515" t="s">
        <v>8549</v>
      </c>
      <c r="I1515">
        <v>4</v>
      </c>
      <c r="J1515" t="s">
        <v>445</v>
      </c>
      <c r="M1515">
        <v>6666</v>
      </c>
      <c r="N1515" t="s">
        <v>16032</v>
      </c>
    </row>
    <row r="1516" spans="1:14">
      <c r="A1516">
        <v>12459000</v>
      </c>
      <c r="B1516">
        <v>3027010</v>
      </c>
      <c r="C1516" t="s">
        <v>1108</v>
      </c>
      <c r="D1516" t="s">
        <v>441</v>
      </c>
      <c r="F1516">
        <v>0</v>
      </c>
      <c r="G1516">
        <v>10.79</v>
      </c>
      <c r="H1516" t="s">
        <v>8588</v>
      </c>
      <c r="I1516">
        <v>6</v>
      </c>
      <c r="J1516" t="s">
        <v>445</v>
      </c>
      <c r="M1516">
        <v>3111</v>
      </c>
      <c r="N1516" t="s">
        <v>16032</v>
      </c>
    </row>
    <row r="1517" spans="1:14">
      <c r="A1517">
        <v>12459900</v>
      </c>
      <c r="B1517">
        <v>3027380</v>
      </c>
      <c r="C1517" t="s">
        <v>1109</v>
      </c>
      <c r="D1517" t="s">
        <v>441</v>
      </c>
      <c r="F1517">
        <v>0</v>
      </c>
      <c r="H1517" t="s">
        <v>8584</v>
      </c>
      <c r="I1517">
        <v>6</v>
      </c>
      <c r="J1517" t="s">
        <v>445</v>
      </c>
      <c r="M1517">
        <v>6666</v>
      </c>
      <c r="N1517" t="s">
        <v>16032</v>
      </c>
    </row>
    <row r="1518" spans="1:14">
      <c r="A1518">
        <v>12460000</v>
      </c>
      <c r="B1518">
        <v>3007519</v>
      </c>
      <c r="C1518" t="s">
        <v>1110</v>
      </c>
      <c r="D1518" t="s">
        <v>441</v>
      </c>
      <c r="F1518">
        <v>0</v>
      </c>
      <c r="G1518">
        <v>9.1999999999999993</v>
      </c>
      <c r="H1518" t="s">
        <v>8549</v>
      </c>
      <c r="I1518">
        <v>6</v>
      </c>
      <c r="J1518" t="s">
        <v>445</v>
      </c>
      <c r="M1518">
        <v>2391</v>
      </c>
      <c r="N1518" t="s">
        <v>16003</v>
      </c>
    </row>
    <row r="1519" spans="1:14">
      <c r="A1519">
        <v>12460002</v>
      </c>
      <c r="B1519">
        <v>3007520</v>
      </c>
      <c r="C1519" t="s">
        <v>9307</v>
      </c>
      <c r="D1519" t="s">
        <v>441</v>
      </c>
      <c r="F1519">
        <v>0</v>
      </c>
      <c r="G1519">
        <v>14.55</v>
      </c>
      <c r="H1519" t="s">
        <v>8580</v>
      </c>
      <c r="I1519">
        <v>365</v>
      </c>
      <c r="J1519" t="s">
        <v>445</v>
      </c>
      <c r="K1519" t="s">
        <v>446</v>
      </c>
      <c r="M1519">
        <v>2501</v>
      </c>
    </row>
    <row r="1520" spans="1:14">
      <c r="A1520">
        <v>12460019</v>
      </c>
      <c r="B1520">
        <v>3012596</v>
      </c>
      <c r="C1520" t="s">
        <v>1111</v>
      </c>
      <c r="D1520" t="s">
        <v>441</v>
      </c>
      <c r="F1520">
        <v>0</v>
      </c>
      <c r="G1520">
        <v>9.73</v>
      </c>
      <c r="H1520" t="s">
        <v>8588</v>
      </c>
      <c r="I1520">
        <v>540</v>
      </c>
      <c r="J1520" t="s">
        <v>445</v>
      </c>
      <c r="M1520">
        <v>7111</v>
      </c>
      <c r="N1520" t="s">
        <v>16003</v>
      </c>
    </row>
    <row r="1521" spans="1:14">
      <c r="A1521">
        <v>12460025</v>
      </c>
      <c r="B1521">
        <v>3002623</v>
      </c>
      <c r="C1521" t="s">
        <v>1112</v>
      </c>
      <c r="D1521" t="s">
        <v>441</v>
      </c>
      <c r="F1521">
        <v>0</v>
      </c>
      <c r="G1521">
        <v>12.34</v>
      </c>
      <c r="H1521" t="s">
        <v>8588</v>
      </c>
      <c r="I1521">
        <v>365</v>
      </c>
      <c r="J1521" t="s">
        <v>445</v>
      </c>
      <c r="K1521" t="s">
        <v>446</v>
      </c>
      <c r="M1521">
        <v>2501</v>
      </c>
    </row>
    <row r="1522" spans="1:14">
      <c r="A1522">
        <v>12460040</v>
      </c>
      <c r="B1522">
        <v>4009093</v>
      </c>
      <c r="C1522" t="s">
        <v>9308</v>
      </c>
      <c r="D1522" t="s">
        <v>441</v>
      </c>
      <c r="F1522">
        <v>0</v>
      </c>
      <c r="G1522">
        <v>11.83</v>
      </c>
      <c r="H1522" t="s">
        <v>9295</v>
      </c>
      <c r="I1522">
        <v>11</v>
      </c>
      <c r="J1522" t="s">
        <v>462</v>
      </c>
      <c r="K1522" t="s">
        <v>446</v>
      </c>
      <c r="M1522">
        <v>2612</v>
      </c>
    </row>
    <row r="1523" spans="1:14">
      <c r="A1523">
        <v>12460075</v>
      </c>
      <c r="B1523">
        <v>3007521</v>
      </c>
      <c r="C1523" t="s">
        <v>1113</v>
      </c>
      <c r="D1523" t="s">
        <v>441</v>
      </c>
      <c r="F1523">
        <v>0</v>
      </c>
      <c r="G1523">
        <v>14.19</v>
      </c>
      <c r="H1523" t="s">
        <v>8588</v>
      </c>
      <c r="I1523">
        <v>6</v>
      </c>
      <c r="J1523" t="s">
        <v>445</v>
      </c>
      <c r="K1523" t="s">
        <v>446</v>
      </c>
      <c r="M1523">
        <v>2641</v>
      </c>
    </row>
    <row r="1524" spans="1:14">
      <c r="A1524">
        <v>12460076</v>
      </c>
      <c r="B1524">
        <v>3012597</v>
      </c>
      <c r="C1524" t="s">
        <v>1114</v>
      </c>
      <c r="D1524" t="s">
        <v>441</v>
      </c>
      <c r="F1524">
        <v>0</v>
      </c>
      <c r="G1524">
        <v>9.34</v>
      </c>
      <c r="H1524" t="s">
        <v>8588</v>
      </c>
      <c r="I1524">
        <v>6</v>
      </c>
      <c r="J1524" t="s">
        <v>445</v>
      </c>
      <c r="M1524">
        <v>7112</v>
      </c>
      <c r="N1524" t="s">
        <v>16003</v>
      </c>
    </row>
    <row r="1525" spans="1:14">
      <c r="A1525">
        <v>12460077</v>
      </c>
      <c r="B1525">
        <v>3016181</v>
      </c>
      <c r="C1525" t="s">
        <v>1115</v>
      </c>
      <c r="D1525" t="s">
        <v>441</v>
      </c>
      <c r="F1525">
        <v>0</v>
      </c>
      <c r="G1525">
        <v>9.39</v>
      </c>
      <c r="H1525" t="s">
        <v>8588</v>
      </c>
      <c r="I1525">
        <v>6</v>
      </c>
      <c r="J1525" t="s">
        <v>445</v>
      </c>
      <c r="M1525">
        <v>7112</v>
      </c>
      <c r="N1525" t="s">
        <v>16003</v>
      </c>
    </row>
    <row r="1526" spans="1:14">
      <c r="A1526">
        <v>12460078</v>
      </c>
      <c r="B1526">
        <v>3016180</v>
      </c>
      <c r="C1526" t="s">
        <v>1114</v>
      </c>
      <c r="D1526" t="s">
        <v>441</v>
      </c>
      <c r="F1526">
        <v>0</v>
      </c>
      <c r="G1526">
        <v>9.41</v>
      </c>
      <c r="H1526" t="s">
        <v>8588</v>
      </c>
      <c r="I1526">
        <v>6</v>
      </c>
      <c r="J1526" t="s">
        <v>445</v>
      </c>
      <c r="M1526">
        <v>7112</v>
      </c>
      <c r="N1526" t="s">
        <v>16003</v>
      </c>
    </row>
    <row r="1527" spans="1:14">
      <c r="A1527">
        <v>12460300</v>
      </c>
      <c r="B1527">
        <v>3005815</v>
      </c>
      <c r="C1527" t="s">
        <v>17364</v>
      </c>
      <c r="D1527" t="s">
        <v>441</v>
      </c>
      <c r="F1527">
        <v>0</v>
      </c>
      <c r="H1527" t="s">
        <v>8584</v>
      </c>
      <c r="I1527">
        <v>6</v>
      </c>
      <c r="J1527" t="s">
        <v>445</v>
      </c>
      <c r="K1527" t="s">
        <v>446</v>
      </c>
      <c r="M1527">
        <v>7161</v>
      </c>
      <c r="N1527" t="s">
        <v>16003</v>
      </c>
    </row>
    <row r="1528" spans="1:14">
      <c r="A1528">
        <v>12460302</v>
      </c>
      <c r="B1528">
        <v>3007522</v>
      </c>
      <c r="C1528" t="s">
        <v>17365</v>
      </c>
      <c r="D1528" t="s">
        <v>441</v>
      </c>
      <c r="F1528">
        <v>0</v>
      </c>
      <c r="H1528" t="s">
        <v>8580</v>
      </c>
      <c r="I1528">
        <v>700</v>
      </c>
      <c r="J1528" t="s">
        <v>445</v>
      </c>
      <c r="K1528" t="s">
        <v>446</v>
      </c>
      <c r="M1528">
        <v>7113</v>
      </c>
      <c r="N1528" t="s">
        <v>16003</v>
      </c>
    </row>
    <row r="1529" spans="1:14">
      <c r="A1529">
        <v>12460502</v>
      </c>
      <c r="B1529">
        <v>3007523</v>
      </c>
      <c r="C1529" t="s">
        <v>9309</v>
      </c>
      <c r="D1529" t="s">
        <v>441</v>
      </c>
      <c r="F1529">
        <v>0</v>
      </c>
      <c r="G1529">
        <v>13.5</v>
      </c>
      <c r="H1529" t="s">
        <v>8580</v>
      </c>
      <c r="I1529">
        <v>6</v>
      </c>
      <c r="J1529" t="s">
        <v>445</v>
      </c>
      <c r="K1529" t="s">
        <v>446</v>
      </c>
      <c r="M1529">
        <v>2641</v>
      </c>
    </row>
    <row r="1530" spans="1:14">
      <c r="A1530">
        <v>12460519</v>
      </c>
      <c r="B1530">
        <v>3013593</v>
      </c>
      <c r="C1530" t="s">
        <v>1116</v>
      </c>
      <c r="D1530" t="s">
        <v>441</v>
      </c>
      <c r="F1530">
        <v>0</v>
      </c>
      <c r="G1530">
        <v>9.3699999999999992</v>
      </c>
      <c r="H1530" t="s">
        <v>8584</v>
      </c>
      <c r="I1530">
        <v>540</v>
      </c>
      <c r="J1530" t="s">
        <v>445</v>
      </c>
      <c r="M1530">
        <v>2502</v>
      </c>
      <c r="N1530" t="s">
        <v>16003</v>
      </c>
    </row>
    <row r="1531" spans="1:14">
      <c r="A1531">
        <v>12460525</v>
      </c>
      <c r="B1531">
        <v>3009121</v>
      </c>
      <c r="C1531" t="s">
        <v>1117</v>
      </c>
      <c r="D1531" t="s">
        <v>441</v>
      </c>
      <c r="F1531">
        <v>0</v>
      </c>
      <c r="G1531">
        <v>11.97</v>
      </c>
      <c r="H1531" t="s">
        <v>8580</v>
      </c>
      <c r="I1531">
        <v>6</v>
      </c>
      <c r="J1531" t="s">
        <v>445</v>
      </c>
      <c r="K1531" t="s">
        <v>446</v>
      </c>
      <c r="M1531">
        <v>2501</v>
      </c>
    </row>
    <row r="1532" spans="1:14">
      <c r="A1532">
        <v>12460602</v>
      </c>
      <c r="B1532">
        <v>3007524</v>
      </c>
      <c r="C1532" t="s">
        <v>9310</v>
      </c>
      <c r="D1532" t="s">
        <v>441</v>
      </c>
      <c r="F1532">
        <v>0</v>
      </c>
      <c r="G1532">
        <v>15.39</v>
      </c>
      <c r="H1532" t="s">
        <v>8580</v>
      </c>
      <c r="I1532">
        <v>4</v>
      </c>
      <c r="J1532" t="s">
        <v>445</v>
      </c>
      <c r="K1532" t="s">
        <v>446</v>
      </c>
      <c r="M1532">
        <v>2511</v>
      </c>
    </row>
    <row r="1533" spans="1:14">
      <c r="A1533">
        <v>12460619</v>
      </c>
      <c r="B1533">
        <v>3013588</v>
      </c>
      <c r="C1533" t="s">
        <v>1118</v>
      </c>
      <c r="D1533" t="s">
        <v>441</v>
      </c>
      <c r="F1533">
        <v>0</v>
      </c>
      <c r="G1533">
        <v>10.029999999999999</v>
      </c>
      <c r="H1533" t="s">
        <v>8588</v>
      </c>
      <c r="I1533">
        <v>4</v>
      </c>
      <c r="J1533" t="s">
        <v>445</v>
      </c>
      <c r="M1533">
        <v>2510</v>
      </c>
      <c r="N1533" t="s">
        <v>16003</v>
      </c>
    </row>
    <row r="1534" spans="1:14">
      <c r="A1534">
        <v>12460919</v>
      </c>
      <c r="B1534">
        <v>3020228</v>
      </c>
      <c r="C1534" t="s">
        <v>1119</v>
      </c>
      <c r="D1534" t="s">
        <v>441</v>
      </c>
      <c r="F1534">
        <v>0</v>
      </c>
      <c r="H1534" t="s">
        <v>8584</v>
      </c>
      <c r="I1534">
        <v>4</v>
      </c>
      <c r="J1534" t="s">
        <v>445</v>
      </c>
      <c r="M1534">
        <v>6666</v>
      </c>
      <c r="N1534" t="s">
        <v>16003</v>
      </c>
    </row>
    <row r="1535" spans="1:14">
      <c r="A1535">
        <v>12461019</v>
      </c>
      <c r="B1535">
        <v>3044611</v>
      </c>
      <c r="C1535" t="s">
        <v>15255</v>
      </c>
      <c r="D1535" t="s">
        <v>441</v>
      </c>
      <c r="F1535">
        <v>0</v>
      </c>
      <c r="G1535">
        <v>16.649999999999999</v>
      </c>
      <c r="H1535" t="s">
        <v>8588</v>
      </c>
      <c r="I1535">
        <v>540</v>
      </c>
      <c r="J1535" t="s">
        <v>445</v>
      </c>
      <c r="M1535">
        <v>7111</v>
      </c>
      <c r="N1535" t="s">
        <v>16003</v>
      </c>
    </row>
    <row r="1536" spans="1:14">
      <c r="A1536">
        <v>12461040</v>
      </c>
      <c r="B1536">
        <v>4011882</v>
      </c>
      <c r="C1536" t="s">
        <v>9311</v>
      </c>
      <c r="D1536" t="s">
        <v>441</v>
      </c>
      <c r="F1536">
        <v>0</v>
      </c>
      <c r="G1536">
        <v>11.83</v>
      </c>
      <c r="H1536" t="s">
        <v>9295</v>
      </c>
      <c r="I1536">
        <v>11</v>
      </c>
      <c r="J1536" t="s">
        <v>462</v>
      </c>
      <c r="K1536" t="s">
        <v>446</v>
      </c>
      <c r="M1536">
        <v>2612</v>
      </c>
    </row>
    <row r="1537" spans="1:14">
      <c r="A1537">
        <v>12461078</v>
      </c>
      <c r="B1537">
        <v>3041884</v>
      </c>
      <c r="C1537" t="s">
        <v>1120</v>
      </c>
      <c r="D1537" t="s">
        <v>441</v>
      </c>
      <c r="F1537">
        <v>0</v>
      </c>
      <c r="G1537">
        <v>12.24</v>
      </c>
      <c r="H1537" t="s">
        <v>8588</v>
      </c>
      <c r="I1537">
        <v>6</v>
      </c>
      <c r="J1537" t="s">
        <v>445</v>
      </c>
      <c r="M1537">
        <v>7112</v>
      </c>
      <c r="N1537" t="s">
        <v>16003</v>
      </c>
    </row>
    <row r="1538" spans="1:14">
      <c r="A1538">
        <v>12461519</v>
      </c>
      <c r="B1538">
        <v>3018752</v>
      </c>
      <c r="C1538" t="s">
        <v>15256</v>
      </c>
      <c r="D1538" t="s">
        <v>441</v>
      </c>
      <c r="F1538">
        <v>0</v>
      </c>
      <c r="G1538">
        <v>16.04</v>
      </c>
      <c r="H1538" t="s">
        <v>8935</v>
      </c>
      <c r="I1538">
        <v>6</v>
      </c>
      <c r="J1538" t="s">
        <v>445</v>
      </c>
      <c r="M1538">
        <v>2502</v>
      </c>
      <c r="N1538" t="s">
        <v>16003</v>
      </c>
    </row>
    <row r="1539" spans="1:14">
      <c r="A1539">
        <v>12461525</v>
      </c>
      <c r="B1539">
        <v>3017439</v>
      </c>
      <c r="C1539" t="s">
        <v>1121</v>
      </c>
      <c r="D1539" t="s">
        <v>441</v>
      </c>
      <c r="F1539">
        <v>0</v>
      </c>
      <c r="G1539">
        <v>11.97</v>
      </c>
      <c r="H1539" t="s">
        <v>8584</v>
      </c>
      <c r="I1539">
        <v>6</v>
      </c>
      <c r="J1539" t="s">
        <v>445</v>
      </c>
      <c r="K1539" t="s">
        <v>446</v>
      </c>
      <c r="M1539">
        <v>2501</v>
      </c>
    </row>
    <row r="1540" spans="1:14">
      <c r="A1540">
        <v>12464019</v>
      </c>
      <c r="B1540">
        <v>3040970</v>
      </c>
      <c r="C1540" t="s">
        <v>1122</v>
      </c>
      <c r="D1540" t="s">
        <v>441</v>
      </c>
      <c r="F1540">
        <v>0</v>
      </c>
      <c r="G1540">
        <v>9.73</v>
      </c>
      <c r="H1540" t="s">
        <v>8588</v>
      </c>
      <c r="I1540">
        <v>540</v>
      </c>
      <c r="J1540" t="s">
        <v>445</v>
      </c>
      <c r="M1540">
        <v>7111</v>
      </c>
      <c r="N1540" t="s">
        <v>16003</v>
      </c>
    </row>
    <row r="1541" spans="1:14">
      <c r="A1541">
        <v>12464078</v>
      </c>
      <c r="B1541">
        <v>3039427</v>
      </c>
      <c r="C1541" t="s">
        <v>1123</v>
      </c>
      <c r="D1541" t="s">
        <v>441</v>
      </c>
      <c r="F1541">
        <v>0</v>
      </c>
      <c r="G1541">
        <v>9.5299999999999994</v>
      </c>
      <c r="H1541" t="s">
        <v>8588</v>
      </c>
      <c r="I1541">
        <v>6</v>
      </c>
      <c r="J1541" t="s">
        <v>445</v>
      </c>
      <c r="M1541">
        <v>7112</v>
      </c>
      <c r="N1541" t="s">
        <v>16003</v>
      </c>
    </row>
    <row r="1542" spans="1:14">
      <c r="A1542">
        <v>12464519</v>
      </c>
      <c r="B1542">
        <v>3039277</v>
      </c>
      <c r="C1542" t="s">
        <v>1124</v>
      </c>
      <c r="D1542" t="s">
        <v>441</v>
      </c>
      <c r="F1542">
        <v>0</v>
      </c>
      <c r="G1542">
        <v>9.3699999999999992</v>
      </c>
      <c r="H1542" t="s">
        <v>8580</v>
      </c>
      <c r="I1542">
        <v>6</v>
      </c>
      <c r="J1542" t="s">
        <v>445</v>
      </c>
      <c r="M1542">
        <v>2502</v>
      </c>
      <c r="N1542" t="s">
        <v>16003</v>
      </c>
    </row>
    <row r="1543" spans="1:14">
      <c r="A1543">
        <v>12464619</v>
      </c>
      <c r="B1543">
        <v>3039550</v>
      </c>
      <c r="C1543" t="s">
        <v>1125</v>
      </c>
      <c r="D1543" t="s">
        <v>441</v>
      </c>
      <c r="F1543">
        <v>0</v>
      </c>
      <c r="G1543">
        <v>10.029999999999999</v>
      </c>
      <c r="H1543" t="s">
        <v>8588</v>
      </c>
      <c r="I1543">
        <v>5</v>
      </c>
      <c r="J1543" t="s">
        <v>445</v>
      </c>
      <c r="M1543">
        <v>2510</v>
      </c>
      <c r="N1543" t="s">
        <v>16003</v>
      </c>
    </row>
    <row r="1544" spans="1:14">
      <c r="A1544">
        <v>12464919</v>
      </c>
      <c r="B1544">
        <v>3039598</v>
      </c>
      <c r="C1544" t="s">
        <v>1126</v>
      </c>
      <c r="D1544" t="s">
        <v>441</v>
      </c>
      <c r="F1544">
        <v>0</v>
      </c>
      <c r="G1544">
        <v>9.06</v>
      </c>
      <c r="H1544" t="s">
        <v>8580</v>
      </c>
      <c r="I1544">
        <v>5</v>
      </c>
      <c r="J1544" t="s">
        <v>445</v>
      </c>
      <c r="M1544">
        <v>6666</v>
      </c>
      <c r="N1544" t="s">
        <v>16003</v>
      </c>
    </row>
    <row r="1545" spans="1:14">
      <c r="A1545">
        <v>12469000</v>
      </c>
      <c r="B1545">
        <v>3022865</v>
      </c>
      <c r="C1545" t="s">
        <v>1127</v>
      </c>
      <c r="D1545" t="s">
        <v>441</v>
      </c>
      <c r="F1545">
        <v>0</v>
      </c>
      <c r="G1545">
        <v>9.1999999999999993</v>
      </c>
      <c r="H1545" t="s">
        <v>8588</v>
      </c>
      <c r="I1545">
        <v>2</v>
      </c>
      <c r="J1545" t="s">
        <v>445</v>
      </c>
      <c r="M1545">
        <v>3111</v>
      </c>
      <c r="N1545" t="s">
        <v>16003</v>
      </c>
    </row>
    <row r="1546" spans="1:14">
      <c r="A1546">
        <v>12469400</v>
      </c>
      <c r="B1546">
        <v>3040903</v>
      </c>
      <c r="C1546" t="s">
        <v>1128</v>
      </c>
      <c r="D1546" t="s">
        <v>441</v>
      </c>
      <c r="F1546">
        <v>0</v>
      </c>
      <c r="G1546">
        <v>9.1999999999999993</v>
      </c>
      <c r="H1546" t="s">
        <v>8549</v>
      </c>
      <c r="I1546">
        <v>2</v>
      </c>
      <c r="J1546" t="s">
        <v>445</v>
      </c>
      <c r="M1546">
        <v>3111</v>
      </c>
      <c r="N1546" t="s">
        <v>16003</v>
      </c>
    </row>
    <row r="1547" spans="1:14">
      <c r="A1547">
        <v>12469900</v>
      </c>
      <c r="B1547">
        <v>3022867</v>
      </c>
      <c r="C1547" t="s">
        <v>1129</v>
      </c>
      <c r="D1547" t="s">
        <v>441</v>
      </c>
      <c r="F1547">
        <v>0</v>
      </c>
      <c r="H1547" t="s">
        <v>8634</v>
      </c>
      <c r="I1547">
        <v>2</v>
      </c>
      <c r="J1547" t="s">
        <v>445</v>
      </c>
      <c r="M1547">
        <v>6666</v>
      </c>
      <c r="N1547" t="s">
        <v>16003</v>
      </c>
    </row>
    <row r="1548" spans="1:14">
      <c r="A1548">
        <v>12469940</v>
      </c>
      <c r="B1548">
        <v>3040910</v>
      </c>
      <c r="C1548" t="s">
        <v>1130</v>
      </c>
      <c r="D1548" t="s">
        <v>441</v>
      </c>
      <c r="F1548">
        <v>0</v>
      </c>
      <c r="G1548">
        <v>1</v>
      </c>
      <c r="H1548" t="s">
        <v>8549</v>
      </c>
      <c r="I1548">
        <v>2</v>
      </c>
      <c r="J1548" t="s">
        <v>445</v>
      </c>
      <c r="M1548">
        <v>6666</v>
      </c>
      <c r="N1548" t="s">
        <v>16003</v>
      </c>
    </row>
    <row r="1549" spans="1:14">
      <c r="A1549">
        <v>12470000</v>
      </c>
      <c r="B1549">
        <v>3009680</v>
      </c>
      <c r="C1549" t="s">
        <v>1131</v>
      </c>
      <c r="D1549" t="s">
        <v>441</v>
      </c>
      <c r="F1549">
        <v>0</v>
      </c>
      <c r="G1549">
        <v>12.11</v>
      </c>
      <c r="I1549">
        <v>6</v>
      </c>
      <c r="J1549" t="s">
        <v>445</v>
      </c>
      <c r="K1549" t="s">
        <v>446</v>
      </c>
      <c r="M1549">
        <v>2390</v>
      </c>
    </row>
    <row r="1550" spans="1:14">
      <c r="A1550">
        <v>12470002</v>
      </c>
      <c r="B1550">
        <v>3018530</v>
      </c>
      <c r="C1550" t="s">
        <v>1132</v>
      </c>
      <c r="D1550" t="s">
        <v>441</v>
      </c>
      <c r="F1550">
        <v>0</v>
      </c>
      <c r="G1550">
        <v>13.64</v>
      </c>
      <c r="I1550">
        <v>365</v>
      </c>
      <c r="J1550" t="s">
        <v>445</v>
      </c>
      <c r="K1550" t="s">
        <v>446</v>
      </c>
      <c r="M1550">
        <v>2501</v>
      </c>
      <c r="N1550" t="s">
        <v>16033</v>
      </c>
    </row>
    <row r="1551" spans="1:14">
      <c r="A1551">
        <v>12470502</v>
      </c>
      <c r="B1551">
        <v>3018519</v>
      </c>
      <c r="C1551" t="s">
        <v>1133</v>
      </c>
      <c r="D1551" t="s">
        <v>441</v>
      </c>
      <c r="F1551">
        <v>0</v>
      </c>
      <c r="G1551">
        <v>13.34</v>
      </c>
      <c r="H1551" t="s">
        <v>8580</v>
      </c>
      <c r="I1551">
        <v>365</v>
      </c>
      <c r="J1551" t="s">
        <v>445</v>
      </c>
      <c r="K1551" t="s">
        <v>446</v>
      </c>
      <c r="M1551">
        <v>2641</v>
      </c>
      <c r="N1551" t="s">
        <v>16033</v>
      </c>
    </row>
    <row r="1552" spans="1:14">
      <c r="A1552">
        <v>12470602</v>
      </c>
      <c r="B1552">
        <v>3018531</v>
      </c>
      <c r="C1552" t="s">
        <v>1134</v>
      </c>
      <c r="D1552" t="s">
        <v>441</v>
      </c>
      <c r="F1552">
        <v>0</v>
      </c>
      <c r="G1552">
        <v>14.08</v>
      </c>
      <c r="H1552" t="s">
        <v>8580</v>
      </c>
      <c r="I1552">
        <v>4</v>
      </c>
      <c r="J1552" t="s">
        <v>445</v>
      </c>
      <c r="K1552" t="s">
        <v>446</v>
      </c>
      <c r="M1552">
        <v>2511</v>
      </c>
      <c r="N1552" t="s">
        <v>16033</v>
      </c>
    </row>
    <row r="1553" spans="1:14">
      <c r="A1553">
        <v>12470902</v>
      </c>
      <c r="B1553">
        <v>3026919</v>
      </c>
      <c r="C1553" t="s">
        <v>1135</v>
      </c>
      <c r="D1553" t="s">
        <v>441</v>
      </c>
      <c r="F1553">
        <v>0</v>
      </c>
      <c r="G1553">
        <v>10.47</v>
      </c>
      <c r="H1553" t="s">
        <v>8584</v>
      </c>
      <c r="I1553">
        <v>4</v>
      </c>
      <c r="J1553" t="s">
        <v>445</v>
      </c>
      <c r="K1553" t="s">
        <v>446</v>
      </c>
      <c r="M1553">
        <v>6666</v>
      </c>
      <c r="N1553" t="s">
        <v>16033</v>
      </c>
    </row>
    <row r="1554" spans="1:14">
      <c r="A1554">
        <v>12480000</v>
      </c>
      <c r="B1554">
        <v>3013608</v>
      </c>
      <c r="C1554" t="s">
        <v>1136</v>
      </c>
      <c r="D1554" t="s">
        <v>441</v>
      </c>
      <c r="F1554">
        <v>0</v>
      </c>
      <c r="G1554">
        <v>6.66</v>
      </c>
      <c r="H1554" t="s">
        <v>8584</v>
      </c>
      <c r="I1554">
        <v>6</v>
      </c>
      <c r="J1554" t="s">
        <v>445</v>
      </c>
      <c r="K1554" t="s">
        <v>446</v>
      </c>
      <c r="M1554">
        <v>2211</v>
      </c>
    </row>
    <row r="1555" spans="1:14">
      <c r="A1555">
        <v>12490000</v>
      </c>
      <c r="B1555">
        <v>3005025</v>
      </c>
      <c r="C1555" t="s">
        <v>9312</v>
      </c>
      <c r="D1555" t="s">
        <v>441</v>
      </c>
      <c r="F1555">
        <v>0</v>
      </c>
      <c r="G1555">
        <v>12.67</v>
      </c>
      <c r="I1555">
        <v>6</v>
      </c>
      <c r="J1555" t="s">
        <v>445</v>
      </c>
      <c r="K1555" t="s">
        <v>446</v>
      </c>
      <c r="M1555">
        <v>2390</v>
      </c>
    </row>
    <row r="1556" spans="1:14">
      <c r="A1556">
        <v>12490002</v>
      </c>
      <c r="B1556">
        <v>3007525</v>
      </c>
      <c r="C1556" t="s">
        <v>1137</v>
      </c>
      <c r="D1556" t="s">
        <v>441</v>
      </c>
      <c r="F1556">
        <v>0</v>
      </c>
      <c r="G1556">
        <v>13.3</v>
      </c>
      <c r="H1556" t="s">
        <v>8580</v>
      </c>
      <c r="I1556">
        <v>540</v>
      </c>
      <c r="J1556" t="s">
        <v>445</v>
      </c>
      <c r="K1556" t="s">
        <v>446</v>
      </c>
      <c r="M1556">
        <v>2501</v>
      </c>
      <c r="N1556" t="s">
        <v>16034</v>
      </c>
    </row>
    <row r="1557" spans="1:14">
      <c r="A1557">
        <v>12490100</v>
      </c>
      <c r="B1557">
        <v>3008797</v>
      </c>
      <c r="C1557" t="s">
        <v>17366</v>
      </c>
      <c r="D1557" t="s">
        <v>441</v>
      </c>
      <c r="F1557">
        <v>0</v>
      </c>
      <c r="H1557" t="s">
        <v>8580</v>
      </c>
      <c r="I1557">
        <v>5</v>
      </c>
      <c r="J1557" t="s">
        <v>445</v>
      </c>
      <c r="K1557" t="s">
        <v>446</v>
      </c>
      <c r="M1557">
        <v>7161</v>
      </c>
      <c r="N1557" t="s">
        <v>16034</v>
      </c>
    </row>
    <row r="1558" spans="1:14">
      <c r="A1558">
        <v>12490502</v>
      </c>
      <c r="B1558">
        <v>3007526</v>
      </c>
      <c r="C1558" t="s">
        <v>1138</v>
      </c>
      <c r="D1558" t="s">
        <v>441</v>
      </c>
      <c r="F1558">
        <v>0</v>
      </c>
      <c r="G1558">
        <v>13.01</v>
      </c>
      <c r="H1558" t="s">
        <v>8580</v>
      </c>
      <c r="I1558">
        <v>6</v>
      </c>
      <c r="J1558" t="s">
        <v>445</v>
      </c>
      <c r="K1558" t="s">
        <v>446</v>
      </c>
      <c r="M1558">
        <v>2641</v>
      </c>
      <c r="N1558" t="s">
        <v>16034</v>
      </c>
    </row>
    <row r="1559" spans="1:14">
      <c r="A1559">
        <v>12490602</v>
      </c>
      <c r="B1559">
        <v>3007527</v>
      </c>
      <c r="C1559" t="s">
        <v>1139</v>
      </c>
      <c r="D1559" t="s">
        <v>441</v>
      </c>
      <c r="F1559">
        <v>0</v>
      </c>
      <c r="G1559">
        <v>13.67</v>
      </c>
      <c r="H1559" t="s">
        <v>8588</v>
      </c>
      <c r="I1559">
        <v>4</v>
      </c>
      <c r="J1559" t="s">
        <v>445</v>
      </c>
      <c r="K1559" t="s">
        <v>446</v>
      </c>
      <c r="M1559">
        <v>2511</v>
      </c>
      <c r="N1559" t="s">
        <v>16034</v>
      </c>
    </row>
    <row r="1560" spans="1:14">
      <c r="A1560">
        <v>12490902</v>
      </c>
      <c r="B1560">
        <v>3020229</v>
      </c>
      <c r="C1560" t="s">
        <v>1140</v>
      </c>
      <c r="D1560" t="s">
        <v>441</v>
      </c>
      <c r="F1560">
        <v>0</v>
      </c>
      <c r="H1560" t="s">
        <v>8580</v>
      </c>
      <c r="I1560">
        <v>4</v>
      </c>
      <c r="J1560" t="s">
        <v>445</v>
      </c>
      <c r="K1560" t="s">
        <v>446</v>
      </c>
      <c r="M1560">
        <v>6666</v>
      </c>
      <c r="N1560" t="s">
        <v>16034</v>
      </c>
    </row>
    <row r="1561" spans="1:14">
      <c r="A1561">
        <v>12498802</v>
      </c>
      <c r="B1561">
        <v>3007528</v>
      </c>
      <c r="C1561" t="s">
        <v>1141</v>
      </c>
      <c r="D1561" t="s">
        <v>441</v>
      </c>
      <c r="F1561">
        <v>0</v>
      </c>
      <c r="H1561" t="s">
        <v>8580</v>
      </c>
      <c r="I1561">
        <v>9</v>
      </c>
      <c r="J1561" t="s">
        <v>445</v>
      </c>
      <c r="K1561" t="s">
        <v>446</v>
      </c>
      <c r="M1561">
        <v>0</v>
      </c>
      <c r="N1561" t="s">
        <v>16034</v>
      </c>
    </row>
    <row r="1562" spans="1:14">
      <c r="A1562">
        <v>12500000</v>
      </c>
      <c r="B1562">
        <v>3007529</v>
      </c>
      <c r="C1562" t="s">
        <v>1142</v>
      </c>
      <c r="D1562" t="s">
        <v>441</v>
      </c>
      <c r="F1562">
        <v>0</v>
      </c>
      <c r="G1562">
        <v>8.77</v>
      </c>
      <c r="H1562" t="s">
        <v>8580</v>
      </c>
      <c r="I1562">
        <v>5</v>
      </c>
      <c r="J1562" t="s">
        <v>445</v>
      </c>
      <c r="K1562" t="s">
        <v>446</v>
      </c>
      <c r="M1562">
        <v>2311</v>
      </c>
    </row>
    <row r="1563" spans="1:14">
      <c r="A1563">
        <v>12510000</v>
      </c>
      <c r="B1563">
        <v>3007530</v>
      </c>
      <c r="C1563" t="s">
        <v>1143</v>
      </c>
      <c r="D1563" t="s">
        <v>441</v>
      </c>
      <c r="F1563">
        <v>0</v>
      </c>
      <c r="G1563">
        <v>8.2100000000000009</v>
      </c>
      <c r="H1563" t="s">
        <v>8580</v>
      </c>
      <c r="I1563">
        <v>5</v>
      </c>
      <c r="J1563" t="s">
        <v>445</v>
      </c>
      <c r="K1563" t="s">
        <v>446</v>
      </c>
      <c r="M1563">
        <v>0</v>
      </c>
    </row>
    <row r="1564" spans="1:14">
      <c r="A1564">
        <v>12520000</v>
      </c>
      <c r="B1564">
        <v>3009762</v>
      </c>
      <c r="C1564" t="s">
        <v>1144</v>
      </c>
      <c r="D1564" t="s">
        <v>441</v>
      </c>
      <c r="F1564">
        <v>0</v>
      </c>
      <c r="G1564">
        <v>11.1</v>
      </c>
      <c r="H1564" t="s">
        <v>8549</v>
      </c>
      <c r="I1564">
        <v>6</v>
      </c>
      <c r="J1564" t="s">
        <v>445</v>
      </c>
      <c r="K1564" t="s">
        <v>446</v>
      </c>
      <c r="M1564">
        <v>2311</v>
      </c>
    </row>
    <row r="1565" spans="1:14">
      <c r="A1565">
        <v>12530000</v>
      </c>
      <c r="B1565">
        <v>3009764</v>
      </c>
      <c r="C1565" t="s">
        <v>1145</v>
      </c>
      <c r="D1565" t="s">
        <v>441</v>
      </c>
      <c r="F1565">
        <v>0</v>
      </c>
      <c r="G1565">
        <v>10.62</v>
      </c>
      <c r="H1565" t="s">
        <v>8549</v>
      </c>
      <c r="I1565">
        <v>6</v>
      </c>
      <c r="J1565" t="s">
        <v>445</v>
      </c>
      <c r="K1565" t="s">
        <v>446</v>
      </c>
      <c r="M1565">
        <v>2311</v>
      </c>
    </row>
    <row r="1566" spans="1:14">
      <c r="A1566">
        <v>12540000</v>
      </c>
      <c r="B1566">
        <v>3009761</v>
      </c>
      <c r="C1566" t="s">
        <v>1146</v>
      </c>
      <c r="D1566" t="s">
        <v>441</v>
      </c>
      <c r="F1566">
        <v>0</v>
      </c>
      <c r="G1566">
        <v>11.05</v>
      </c>
      <c r="H1566" t="s">
        <v>8549</v>
      </c>
      <c r="I1566">
        <v>6</v>
      </c>
      <c r="J1566" t="s">
        <v>445</v>
      </c>
      <c r="K1566" t="s">
        <v>446</v>
      </c>
      <c r="M1566">
        <v>2311</v>
      </c>
    </row>
    <row r="1567" spans="1:14">
      <c r="A1567">
        <v>12550000</v>
      </c>
      <c r="B1567">
        <v>3015914</v>
      </c>
      <c r="C1567" t="s">
        <v>1147</v>
      </c>
      <c r="D1567" t="s">
        <v>441</v>
      </c>
      <c r="F1567">
        <v>0</v>
      </c>
      <c r="G1567">
        <v>8.15</v>
      </c>
      <c r="H1567" t="s">
        <v>8549</v>
      </c>
      <c r="I1567">
        <v>6</v>
      </c>
      <c r="J1567" t="s">
        <v>445</v>
      </c>
      <c r="M1567">
        <v>2391</v>
      </c>
      <c r="N1567" t="s">
        <v>16024</v>
      </c>
    </row>
    <row r="1568" spans="1:14">
      <c r="A1568">
        <v>12550002</v>
      </c>
      <c r="B1568">
        <v>3020156</v>
      </c>
      <c r="C1568" t="s">
        <v>1148</v>
      </c>
      <c r="D1568" t="s">
        <v>441</v>
      </c>
      <c r="F1568">
        <v>0</v>
      </c>
      <c r="G1568">
        <v>8.6</v>
      </c>
      <c r="H1568" t="s">
        <v>8549</v>
      </c>
      <c r="I1568">
        <v>540</v>
      </c>
      <c r="J1568" t="s">
        <v>445</v>
      </c>
      <c r="M1568">
        <v>7111</v>
      </c>
      <c r="N1568" t="s">
        <v>16024</v>
      </c>
    </row>
    <row r="1569" spans="1:14">
      <c r="A1569">
        <v>12550007</v>
      </c>
      <c r="B1569">
        <v>3024871</v>
      </c>
      <c r="C1569" t="s">
        <v>1149</v>
      </c>
      <c r="D1569" t="s">
        <v>441</v>
      </c>
      <c r="F1569">
        <v>0</v>
      </c>
      <c r="G1569">
        <v>8.26</v>
      </c>
      <c r="H1569" t="s">
        <v>8637</v>
      </c>
      <c r="I1569">
        <v>6</v>
      </c>
      <c r="J1569" t="s">
        <v>445</v>
      </c>
      <c r="M1569">
        <v>3111</v>
      </c>
      <c r="N1569" t="s">
        <v>16024</v>
      </c>
    </row>
    <row r="1570" spans="1:14">
      <c r="A1570">
        <v>12550100</v>
      </c>
      <c r="B1570">
        <v>3012680</v>
      </c>
      <c r="C1570" t="s">
        <v>1150</v>
      </c>
      <c r="D1570" t="s">
        <v>441</v>
      </c>
      <c r="F1570">
        <v>0</v>
      </c>
      <c r="H1570" t="s">
        <v>8588</v>
      </c>
      <c r="I1570">
        <v>6</v>
      </c>
      <c r="J1570" t="s">
        <v>445</v>
      </c>
      <c r="M1570">
        <v>7161</v>
      </c>
      <c r="N1570" t="s">
        <v>16024</v>
      </c>
    </row>
    <row r="1571" spans="1:14">
      <c r="A1571">
        <v>12550120</v>
      </c>
      <c r="B1571">
        <v>3021202</v>
      </c>
      <c r="C1571" t="s">
        <v>1151</v>
      </c>
      <c r="D1571" t="s">
        <v>441</v>
      </c>
      <c r="F1571">
        <v>0</v>
      </c>
      <c r="H1571" t="s">
        <v>8588</v>
      </c>
      <c r="I1571">
        <v>6</v>
      </c>
      <c r="J1571" t="s">
        <v>445</v>
      </c>
      <c r="M1571">
        <v>7161</v>
      </c>
      <c r="N1571" t="s">
        <v>16024</v>
      </c>
    </row>
    <row r="1572" spans="1:14">
      <c r="A1572">
        <v>12550130</v>
      </c>
      <c r="B1572">
        <v>3037074</v>
      </c>
      <c r="C1572" t="s">
        <v>1152</v>
      </c>
      <c r="D1572" t="s">
        <v>441</v>
      </c>
      <c r="F1572">
        <v>0</v>
      </c>
      <c r="H1572" t="s">
        <v>8588</v>
      </c>
      <c r="I1572">
        <v>6</v>
      </c>
      <c r="J1572" t="s">
        <v>445</v>
      </c>
      <c r="M1572">
        <v>7161</v>
      </c>
      <c r="N1572" t="s">
        <v>16024</v>
      </c>
    </row>
    <row r="1573" spans="1:14">
      <c r="A1573">
        <v>12550502</v>
      </c>
      <c r="B1573">
        <v>3020155</v>
      </c>
      <c r="C1573" t="s">
        <v>1153</v>
      </c>
      <c r="D1573" t="s">
        <v>441</v>
      </c>
      <c r="F1573">
        <v>0</v>
      </c>
      <c r="G1573">
        <v>8.24</v>
      </c>
      <c r="H1573" t="s">
        <v>8584</v>
      </c>
      <c r="I1573">
        <v>6</v>
      </c>
      <c r="J1573" t="s">
        <v>445</v>
      </c>
      <c r="M1573">
        <v>2502</v>
      </c>
      <c r="N1573" t="s">
        <v>16024</v>
      </c>
    </row>
    <row r="1574" spans="1:14">
      <c r="A1574">
        <v>12550602</v>
      </c>
      <c r="B1574">
        <v>3020157</v>
      </c>
      <c r="C1574" t="s">
        <v>1154</v>
      </c>
      <c r="D1574" t="s">
        <v>441</v>
      </c>
      <c r="F1574">
        <v>0</v>
      </c>
      <c r="G1574">
        <v>8.8699999999999992</v>
      </c>
      <c r="H1574" t="s">
        <v>8588</v>
      </c>
      <c r="I1574">
        <v>4</v>
      </c>
      <c r="J1574" t="s">
        <v>445</v>
      </c>
      <c r="M1574">
        <v>2510</v>
      </c>
      <c r="N1574" t="s">
        <v>16024</v>
      </c>
    </row>
    <row r="1575" spans="1:14">
      <c r="A1575">
        <v>12550900</v>
      </c>
      <c r="B1575">
        <v>3020230</v>
      </c>
      <c r="C1575" t="s">
        <v>1155</v>
      </c>
      <c r="D1575" t="s">
        <v>441</v>
      </c>
      <c r="F1575">
        <v>0</v>
      </c>
      <c r="G1575">
        <v>0</v>
      </c>
      <c r="H1575" t="s">
        <v>8580</v>
      </c>
      <c r="I1575">
        <v>6</v>
      </c>
      <c r="J1575" t="s">
        <v>445</v>
      </c>
      <c r="M1575">
        <v>6666</v>
      </c>
      <c r="N1575" t="s">
        <v>16024</v>
      </c>
    </row>
    <row r="1576" spans="1:14">
      <c r="A1576">
        <v>12550902</v>
      </c>
      <c r="B1576">
        <v>3020919</v>
      </c>
      <c r="C1576" t="s">
        <v>1156</v>
      </c>
      <c r="D1576" t="s">
        <v>441</v>
      </c>
      <c r="F1576">
        <v>0</v>
      </c>
      <c r="H1576" t="s">
        <v>8584</v>
      </c>
      <c r="I1576">
        <v>4</v>
      </c>
      <c r="J1576" t="s">
        <v>445</v>
      </c>
      <c r="M1576">
        <v>6666</v>
      </c>
      <c r="N1576" t="s">
        <v>16024</v>
      </c>
    </row>
    <row r="1577" spans="1:14">
      <c r="A1577">
        <v>12550907</v>
      </c>
      <c r="B1577">
        <v>3025131</v>
      </c>
      <c r="C1577" t="s">
        <v>194</v>
      </c>
      <c r="D1577" t="s">
        <v>441</v>
      </c>
      <c r="F1577">
        <v>0</v>
      </c>
      <c r="G1577">
        <v>0</v>
      </c>
      <c r="H1577" t="s">
        <v>8935</v>
      </c>
      <c r="I1577">
        <v>6</v>
      </c>
      <c r="J1577" t="s">
        <v>445</v>
      </c>
      <c r="M1577">
        <v>6666</v>
      </c>
      <c r="N1577" t="s">
        <v>16024</v>
      </c>
    </row>
    <row r="1578" spans="1:14">
      <c r="A1578">
        <v>12551000</v>
      </c>
      <c r="B1578">
        <v>3017748</v>
      </c>
      <c r="C1578" t="s">
        <v>1157</v>
      </c>
      <c r="D1578" t="s">
        <v>441</v>
      </c>
      <c r="F1578">
        <v>0</v>
      </c>
      <c r="G1578">
        <v>8.15</v>
      </c>
      <c r="H1578" t="s">
        <v>8584</v>
      </c>
      <c r="I1578">
        <v>6</v>
      </c>
      <c r="J1578" t="s">
        <v>445</v>
      </c>
      <c r="M1578">
        <v>2391</v>
      </c>
      <c r="N1578" t="s">
        <v>16024</v>
      </c>
    </row>
    <row r="1579" spans="1:14">
      <c r="A1579">
        <v>12551007</v>
      </c>
      <c r="B1579">
        <v>3024872</v>
      </c>
      <c r="C1579" t="s">
        <v>9313</v>
      </c>
      <c r="D1579" t="s">
        <v>441</v>
      </c>
      <c r="F1579">
        <v>0</v>
      </c>
      <c r="G1579">
        <v>12.44</v>
      </c>
      <c r="H1579" t="s">
        <v>8619</v>
      </c>
      <c r="I1579">
        <v>6</v>
      </c>
      <c r="J1579" t="s">
        <v>445</v>
      </c>
      <c r="K1579" t="s">
        <v>446</v>
      </c>
      <c r="M1579">
        <v>3111</v>
      </c>
      <c r="N1579" t="s">
        <v>16024</v>
      </c>
    </row>
    <row r="1580" spans="1:14">
      <c r="A1580">
        <v>12551900</v>
      </c>
      <c r="B1580">
        <v>3024014</v>
      </c>
      <c r="C1580" t="s">
        <v>1158</v>
      </c>
      <c r="D1580" t="s">
        <v>441</v>
      </c>
      <c r="F1580">
        <v>0</v>
      </c>
      <c r="G1580">
        <v>0</v>
      </c>
      <c r="H1580" t="s">
        <v>8584</v>
      </c>
      <c r="I1580">
        <v>6</v>
      </c>
      <c r="J1580" t="s">
        <v>445</v>
      </c>
      <c r="M1580">
        <v>6666</v>
      </c>
      <c r="N1580" t="s">
        <v>16024</v>
      </c>
    </row>
    <row r="1581" spans="1:14">
      <c r="A1581">
        <v>12551907</v>
      </c>
      <c r="B1581">
        <v>3025132</v>
      </c>
      <c r="C1581" t="s">
        <v>9314</v>
      </c>
      <c r="D1581" t="s">
        <v>441</v>
      </c>
      <c r="F1581">
        <v>0</v>
      </c>
      <c r="G1581">
        <v>0</v>
      </c>
      <c r="H1581" t="s">
        <v>8935</v>
      </c>
      <c r="I1581">
        <v>6</v>
      </c>
      <c r="J1581" t="s">
        <v>445</v>
      </c>
      <c r="K1581" t="s">
        <v>446</v>
      </c>
      <c r="M1581">
        <v>6666</v>
      </c>
      <c r="N1581" t="s">
        <v>16024</v>
      </c>
    </row>
    <row r="1582" spans="1:14">
      <c r="A1582">
        <v>12554000</v>
      </c>
      <c r="B1582">
        <v>3035682</v>
      </c>
      <c r="C1582" t="s">
        <v>1159</v>
      </c>
      <c r="D1582" t="s">
        <v>441</v>
      </c>
      <c r="F1582">
        <v>0</v>
      </c>
      <c r="G1582">
        <v>8.15</v>
      </c>
      <c r="H1582" t="s">
        <v>8549</v>
      </c>
      <c r="I1582">
        <v>6</v>
      </c>
      <c r="J1582" t="s">
        <v>445</v>
      </c>
      <c r="M1582">
        <v>2391</v>
      </c>
      <c r="N1582" t="s">
        <v>16024</v>
      </c>
    </row>
    <row r="1583" spans="1:14">
      <c r="A1583">
        <v>12559000</v>
      </c>
      <c r="B1583">
        <v>3019012</v>
      </c>
      <c r="C1583" t="s">
        <v>1160</v>
      </c>
      <c r="D1583" t="s">
        <v>441</v>
      </c>
      <c r="F1583">
        <v>0</v>
      </c>
      <c r="G1583">
        <v>8.15</v>
      </c>
      <c r="H1583" t="s">
        <v>8588</v>
      </c>
      <c r="I1583">
        <v>2</v>
      </c>
      <c r="J1583" t="s">
        <v>445</v>
      </c>
      <c r="M1583">
        <v>3111</v>
      </c>
      <c r="N1583" t="s">
        <v>16024</v>
      </c>
    </row>
    <row r="1584" spans="1:14">
      <c r="A1584">
        <v>12559900</v>
      </c>
      <c r="B1584">
        <v>3020231</v>
      </c>
      <c r="C1584" t="s">
        <v>1161</v>
      </c>
      <c r="D1584" t="s">
        <v>441</v>
      </c>
      <c r="F1584">
        <v>0</v>
      </c>
      <c r="H1584" t="s">
        <v>8580</v>
      </c>
      <c r="I1584">
        <v>2</v>
      </c>
      <c r="J1584" t="s">
        <v>445</v>
      </c>
      <c r="M1584">
        <v>6666</v>
      </c>
      <c r="N1584" t="s">
        <v>16024</v>
      </c>
    </row>
    <row r="1585" spans="1:14">
      <c r="A1585">
        <v>12560000</v>
      </c>
      <c r="B1585">
        <v>3004372</v>
      </c>
      <c r="C1585" t="s">
        <v>1162</v>
      </c>
      <c r="D1585" t="s">
        <v>441</v>
      </c>
      <c r="F1585">
        <v>0</v>
      </c>
      <c r="G1585">
        <v>10.130000000000001</v>
      </c>
      <c r="H1585" t="s">
        <v>8637</v>
      </c>
      <c r="I1585">
        <v>6</v>
      </c>
      <c r="J1585" t="s">
        <v>445</v>
      </c>
      <c r="K1585" t="s">
        <v>446</v>
      </c>
      <c r="M1585">
        <v>0</v>
      </c>
    </row>
    <row r="1586" spans="1:14">
      <c r="A1586">
        <v>12561000</v>
      </c>
      <c r="B1586">
        <v>3009230</v>
      </c>
      <c r="C1586" t="s">
        <v>1163</v>
      </c>
      <c r="D1586" t="s">
        <v>441</v>
      </c>
      <c r="F1586">
        <v>0</v>
      </c>
      <c r="G1586">
        <v>10.130000000000001</v>
      </c>
      <c r="H1586" t="s">
        <v>8580</v>
      </c>
      <c r="I1586">
        <v>6</v>
      </c>
      <c r="J1586" t="s">
        <v>445</v>
      </c>
      <c r="K1586" t="s">
        <v>446</v>
      </c>
      <c r="M1586">
        <v>2311</v>
      </c>
    </row>
    <row r="1587" spans="1:14">
      <c r="A1587">
        <v>12570000</v>
      </c>
      <c r="B1587">
        <v>3013600</v>
      </c>
      <c r="C1587" t="s">
        <v>1164</v>
      </c>
      <c r="D1587" t="s">
        <v>441</v>
      </c>
      <c r="F1587">
        <v>0</v>
      </c>
      <c r="G1587">
        <v>7.03</v>
      </c>
      <c r="H1587" t="s">
        <v>8584</v>
      </c>
      <c r="I1587">
        <v>6</v>
      </c>
      <c r="J1587" t="s">
        <v>445</v>
      </c>
      <c r="K1587" t="s">
        <v>446</v>
      </c>
      <c r="M1587">
        <v>2311</v>
      </c>
    </row>
    <row r="1588" spans="1:14">
      <c r="A1588">
        <v>12580000</v>
      </c>
      <c r="B1588">
        <v>3014130</v>
      </c>
      <c r="C1588" t="s">
        <v>1165</v>
      </c>
      <c r="D1588" t="s">
        <v>441</v>
      </c>
      <c r="F1588">
        <v>0</v>
      </c>
      <c r="G1588">
        <v>7.05</v>
      </c>
      <c r="H1588" t="s">
        <v>8580</v>
      </c>
      <c r="I1588">
        <v>6</v>
      </c>
      <c r="J1588" t="s">
        <v>445</v>
      </c>
      <c r="K1588" t="s">
        <v>446</v>
      </c>
      <c r="M1588">
        <v>2311</v>
      </c>
    </row>
    <row r="1589" spans="1:14">
      <c r="A1589">
        <v>12590000</v>
      </c>
      <c r="B1589">
        <v>3005896</v>
      </c>
      <c r="C1589" t="s">
        <v>1166</v>
      </c>
      <c r="D1589" t="s">
        <v>441</v>
      </c>
      <c r="F1589">
        <v>0</v>
      </c>
      <c r="G1589">
        <v>10.25</v>
      </c>
      <c r="H1589" t="s">
        <v>8580</v>
      </c>
      <c r="I1589">
        <v>6</v>
      </c>
      <c r="J1589" t="s">
        <v>445</v>
      </c>
      <c r="K1589" t="s">
        <v>446</v>
      </c>
      <c r="M1589">
        <v>0</v>
      </c>
    </row>
    <row r="1590" spans="1:14">
      <c r="A1590">
        <v>12591000</v>
      </c>
      <c r="B1590">
        <v>3009252</v>
      </c>
      <c r="C1590" t="s">
        <v>1167</v>
      </c>
      <c r="D1590" t="s">
        <v>441</v>
      </c>
      <c r="F1590">
        <v>0</v>
      </c>
      <c r="G1590">
        <v>10.25</v>
      </c>
      <c r="H1590" t="s">
        <v>8580</v>
      </c>
      <c r="I1590">
        <v>6</v>
      </c>
      <c r="J1590" t="s">
        <v>445</v>
      </c>
      <c r="K1590" t="s">
        <v>446</v>
      </c>
      <c r="M1590">
        <v>2311</v>
      </c>
    </row>
    <row r="1591" spans="1:14">
      <c r="A1591">
        <v>12600000</v>
      </c>
      <c r="B1591">
        <v>3015909</v>
      </c>
      <c r="C1591" t="s">
        <v>1168</v>
      </c>
      <c r="D1591" t="s">
        <v>441</v>
      </c>
      <c r="F1591">
        <v>0</v>
      </c>
      <c r="G1591">
        <v>21.82</v>
      </c>
      <c r="H1591" t="s">
        <v>8549</v>
      </c>
      <c r="I1591">
        <v>6</v>
      </c>
      <c r="J1591" t="s">
        <v>445</v>
      </c>
      <c r="M1591">
        <v>2391</v>
      </c>
      <c r="N1591" t="s">
        <v>16003</v>
      </c>
    </row>
    <row r="1592" spans="1:14">
      <c r="A1592">
        <v>12600007</v>
      </c>
      <c r="B1592">
        <v>3015048</v>
      </c>
      <c r="C1592" t="s">
        <v>1169</v>
      </c>
      <c r="D1592" t="s">
        <v>441</v>
      </c>
      <c r="F1592">
        <v>0</v>
      </c>
      <c r="G1592">
        <v>9.31</v>
      </c>
      <c r="H1592" t="s">
        <v>8588</v>
      </c>
      <c r="I1592">
        <v>6</v>
      </c>
      <c r="J1592" t="s">
        <v>445</v>
      </c>
      <c r="M1592">
        <v>3113</v>
      </c>
      <c r="N1592" t="s">
        <v>16003</v>
      </c>
    </row>
    <row r="1593" spans="1:14">
      <c r="A1593">
        <v>12600087</v>
      </c>
      <c r="B1593">
        <v>3026165</v>
      </c>
      <c r="C1593" t="s">
        <v>1170</v>
      </c>
      <c r="D1593" t="s">
        <v>441</v>
      </c>
      <c r="F1593">
        <v>0</v>
      </c>
      <c r="G1593">
        <v>22.03</v>
      </c>
      <c r="H1593" t="s">
        <v>8588</v>
      </c>
      <c r="I1593">
        <v>6</v>
      </c>
      <c r="J1593" t="s">
        <v>445</v>
      </c>
      <c r="K1593" t="s">
        <v>446</v>
      </c>
      <c r="M1593">
        <v>7112</v>
      </c>
      <c r="N1593" t="s">
        <v>16003</v>
      </c>
    </row>
    <row r="1594" spans="1:14">
      <c r="A1594">
        <v>12600100</v>
      </c>
      <c r="B1594">
        <v>3031713</v>
      </c>
      <c r="C1594" t="s">
        <v>1171</v>
      </c>
      <c r="D1594" t="s">
        <v>441</v>
      </c>
      <c r="F1594">
        <v>0</v>
      </c>
      <c r="H1594" t="s">
        <v>8588</v>
      </c>
      <c r="I1594">
        <v>6</v>
      </c>
      <c r="J1594" t="s">
        <v>445</v>
      </c>
      <c r="K1594" t="s">
        <v>446</v>
      </c>
      <c r="M1594">
        <v>7161</v>
      </c>
      <c r="N1594" t="s">
        <v>16003</v>
      </c>
    </row>
    <row r="1595" spans="1:14">
      <c r="A1595">
        <v>12600900</v>
      </c>
      <c r="B1595">
        <v>3020232</v>
      </c>
      <c r="C1595" t="s">
        <v>17367</v>
      </c>
      <c r="D1595" t="s">
        <v>441</v>
      </c>
      <c r="F1595">
        <v>0</v>
      </c>
      <c r="G1595">
        <v>0</v>
      </c>
      <c r="H1595" t="s">
        <v>8584</v>
      </c>
      <c r="I1595">
        <v>6</v>
      </c>
      <c r="J1595" t="s">
        <v>445</v>
      </c>
      <c r="K1595" t="s">
        <v>446</v>
      </c>
      <c r="M1595">
        <v>6666</v>
      </c>
      <c r="N1595" t="s">
        <v>16003</v>
      </c>
    </row>
    <row r="1596" spans="1:14">
      <c r="A1596">
        <v>12600907</v>
      </c>
      <c r="B1596">
        <v>3020505</v>
      </c>
      <c r="C1596" t="s">
        <v>1172</v>
      </c>
      <c r="D1596" t="s">
        <v>441</v>
      </c>
      <c r="F1596">
        <v>0</v>
      </c>
      <c r="G1596">
        <v>0</v>
      </c>
      <c r="H1596" t="s">
        <v>8637</v>
      </c>
      <c r="I1596">
        <v>6</v>
      </c>
      <c r="J1596" t="s">
        <v>445</v>
      </c>
      <c r="M1596">
        <v>6666</v>
      </c>
      <c r="N1596" t="s">
        <v>16003</v>
      </c>
    </row>
    <row r="1597" spans="1:14">
      <c r="A1597">
        <v>12601000</v>
      </c>
      <c r="B1597">
        <v>3017744</v>
      </c>
      <c r="C1597" t="s">
        <v>1173</v>
      </c>
      <c r="D1597" t="s">
        <v>441</v>
      </c>
      <c r="F1597">
        <v>0</v>
      </c>
      <c r="G1597">
        <v>21.82</v>
      </c>
      <c r="H1597" t="s">
        <v>8588</v>
      </c>
      <c r="I1597">
        <v>6</v>
      </c>
      <c r="J1597" t="s">
        <v>445</v>
      </c>
      <c r="M1597">
        <v>2391</v>
      </c>
      <c r="N1597" t="s">
        <v>16003</v>
      </c>
    </row>
    <row r="1598" spans="1:14">
      <c r="A1598">
        <v>12601007</v>
      </c>
      <c r="B1598">
        <v>3024873</v>
      </c>
      <c r="C1598" t="s">
        <v>17368</v>
      </c>
      <c r="D1598" t="s">
        <v>441</v>
      </c>
      <c r="F1598">
        <v>0</v>
      </c>
      <c r="G1598">
        <v>22.02</v>
      </c>
      <c r="I1598">
        <v>6</v>
      </c>
      <c r="J1598" t="s">
        <v>445</v>
      </c>
      <c r="K1598" t="s">
        <v>446</v>
      </c>
      <c r="M1598">
        <v>3111</v>
      </c>
      <c r="N1598" t="s">
        <v>16003</v>
      </c>
    </row>
    <row r="1599" spans="1:14">
      <c r="A1599">
        <v>12601900</v>
      </c>
      <c r="B1599">
        <v>3020233</v>
      </c>
      <c r="C1599" t="s">
        <v>17369</v>
      </c>
      <c r="D1599" t="s">
        <v>441</v>
      </c>
      <c r="F1599">
        <v>0</v>
      </c>
      <c r="G1599">
        <v>0</v>
      </c>
      <c r="H1599" t="s">
        <v>8634</v>
      </c>
      <c r="I1599">
        <v>6</v>
      </c>
      <c r="J1599" t="s">
        <v>445</v>
      </c>
      <c r="K1599" t="s">
        <v>446</v>
      </c>
      <c r="M1599">
        <v>6666</v>
      </c>
      <c r="N1599" t="s">
        <v>16003</v>
      </c>
    </row>
    <row r="1600" spans="1:14">
      <c r="A1600">
        <v>12601907</v>
      </c>
      <c r="B1600">
        <v>3025133</v>
      </c>
      <c r="C1600" t="s">
        <v>17370</v>
      </c>
      <c r="D1600" t="s">
        <v>441</v>
      </c>
      <c r="F1600">
        <v>0</v>
      </c>
      <c r="G1600">
        <v>0</v>
      </c>
      <c r="H1600" t="s">
        <v>8935</v>
      </c>
      <c r="I1600">
        <v>6</v>
      </c>
      <c r="J1600" t="s">
        <v>445</v>
      </c>
      <c r="K1600" t="s">
        <v>446</v>
      </c>
      <c r="M1600">
        <v>6666</v>
      </c>
      <c r="N1600" t="s">
        <v>16003</v>
      </c>
    </row>
    <row r="1601" spans="1:14">
      <c r="A1601">
        <v>12602000</v>
      </c>
      <c r="B1601">
        <v>3009640</v>
      </c>
      <c r="C1601" t="s">
        <v>17371</v>
      </c>
      <c r="D1601" t="s">
        <v>441</v>
      </c>
      <c r="F1601">
        <v>0</v>
      </c>
      <c r="G1601">
        <v>14.45</v>
      </c>
      <c r="H1601" t="s">
        <v>8588</v>
      </c>
      <c r="I1601">
        <v>6</v>
      </c>
      <c r="J1601" t="s">
        <v>445</v>
      </c>
      <c r="K1601" t="s">
        <v>446</v>
      </c>
      <c r="M1601">
        <v>2391</v>
      </c>
      <c r="N1601" t="s">
        <v>16003</v>
      </c>
    </row>
    <row r="1602" spans="1:14">
      <c r="A1602">
        <v>12602007</v>
      </c>
      <c r="B1602">
        <v>3024874</v>
      </c>
      <c r="C1602" t="s">
        <v>1174</v>
      </c>
      <c r="D1602" t="s">
        <v>441</v>
      </c>
      <c r="F1602">
        <v>0</v>
      </c>
      <c r="G1602">
        <v>11.27</v>
      </c>
      <c r="H1602" t="s">
        <v>8584</v>
      </c>
      <c r="I1602">
        <v>6</v>
      </c>
      <c r="J1602" t="s">
        <v>445</v>
      </c>
      <c r="K1602" t="s">
        <v>446</v>
      </c>
      <c r="M1602">
        <v>3111</v>
      </c>
      <c r="N1602" t="s">
        <v>16003</v>
      </c>
    </row>
    <row r="1603" spans="1:14">
      <c r="A1603">
        <v>12602075</v>
      </c>
      <c r="B1603">
        <v>3019953</v>
      </c>
      <c r="C1603" t="s">
        <v>1175</v>
      </c>
      <c r="D1603" t="s">
        <v>441</v>
      </c>
      <c r="F1603">
        <v>0</v>
      </c>
      <c r="G1603">
        <v>11.29</v>
      </c>
      <c r="H1603" t="s">
        <v>8588</v>
      </c>
      <c r="I1603">
        <v>6</v>
      </c>
      <c r="J1603" t="s">
        <v>445</v>
      </c>
      <c r="K1603" t="s">
        <v>446</v>
      </c>
      <c r="M1603">
        <v>2641</v>
      </c>
      <c r="N1603" t="s">
        <v>16003</v>
      </c>
    </row>
    <row r="1604" spans="1:14">
      <c r="A1604">
        <v>12602900</v>
      </c>
      <c r="B1604">
        <v>3020234</v>
      </c>
      <c r="C1604" t="s">
        <v>17372</v>
      </c>
      <c r="D1604" t="s">
        <v>441</v>
      </c>
      <c r="F1604">
        <v>0</v>
      </c>
      <c r="G1604">
        <v>0</v>
      </c>
      <c r="H1604" t="s">
        <v>8634</v>
      </c>
      <c r="I1604">
        <v>6</v>
      </c>
      <c r="J1604" t="s">
        <v>445</v>
      </c>
      <c r="K1604" t="s">
        <v>446</v>
      </c>
      <c r="M1604">
        <v>6666</v>
      </c>
      <c r="N1604" t="s">
        <v>16003</v>
      </c>
    </row>
    <row r="1605" spans="1:14">
      <c r="A1605">
        <v>12602907</v>
      </c>
      <c r="B1605">
        <v>3025134</v>
      </c>
      <c r="C1605" t="s">
        <v>1176</v>
      </c>
      <c r="D1605" t="s">
        <v>441</v>
      </c>
      <c r="F1605">
        <v>0</v>
      </c>
      <c r="G1605">
        <v>0</v>
      </c>
      <c r="H1605" t="s">
        <v>8935</v>
      </c>
      <c r="I1605">
        <v>6</v>
      </c>
      <c r="J1605" t="s">
        <v>445</v>
      </c>
      <c r="K1605" t="s">
        <v>446</v>
      </c>
      <c r="M1605">
        <v>6666</v>
      </c>
      <c r="N1605" t="s">
        <v>16003</v>
      </c>
    </row>
    <row r="1606" spans="1:14">
      <c r="A1606">
        <v>12603000</v>
      </c>
      <c r="B1606">
        <v>3017452</v>
      </c>
      <c r="C1606" t="s">
        <v>1177</v>
      </c>
      <c r="D1606" t="s">
        <v>441</v>
      </c>
      <c r="F1606">
        <v>0</v>
      </c>
      <c r="G1606">
        <v>13.44</v>
      </c>
      <c r="H1606" t="s">
        <v>8580</v>
      </c>
      <c r="I1606">
        <v>6</v>
      </c>
      <c r="J1606" t="s">
        <v>445</v>
      </c>
      <c r="K1606" t="s">
        <v>446</v>
      </c>
      <c r="M1606">
        <v>2311</v>
      </c>
    </row>
    <row r="1607" spans="1:14">
      <c r="A1607">
        <v>12604000</v>
      </c>
      <c r="B1607">
        <v>3039078</v>
      </c>
      <c r="C1607" t="s">
        <v>1178</v>
      </c>
      <c r="D1607" t="s">
        <v>441</v>
      </c>
      <c r="F1607">
        <v>0</v>
      </c>
      <c r="G1607">
        <v>9.1999999999999993</v>
      </c>
      <c r="H1607" t="s">
        <v>8549</v>
      </c>
      <c r="I1607">
        <v>6</v>
      </c>
      <c r="J1607" t="s">
        <v>445</v>
      </c>
      <c r="M1607">
        <v>2391</v>
      </c>
      <c r="N1607" t="s">
        <v>16003</v>
      </c>
    </row>
    <row r="1608" spans="1:14">
      <c r="A1608">
        <v>12604007</v>
      </c>
      <c r="B1608">
        <v>3039580</v>
      </c>
      <c r="C1608" t="s">
        <v>1179</v>
      </c>
      <c r="D1608" t="s">
        <v>441</v>
      </c>
      <c r="F1608">
        <v>0</v>
      </c>
      <c r="G1608">
        <v>9.31</v>
      </c>
      <c r="H1608" t="s">
        <v>8588</v>
      </c>
      <c r="I1608">
        <v>6</v>
      </c>
      <c r="J1608" t="s">
        <v>445</v>
      </c>
      <c r="M1608">
        <v>2391</v>
      </c>
      <c r="N1608" t="s">
        <v>16003</v>
      </c>
    </row>
    <row r="1609" spans="1:14">
      <c r="A1609">
        <v>12609000</v>
      </c>
      <c r="B1609">
        <v>3019013</v>
      </c>
      <c r="C1609" t="s">
        <v>17373</v>
      </c>
      <c r="D1609" t="s">
        <v>441</v>
      </c>
      <c r="F1609">
        <v>0</v>
      </c>
      <c r="G1609">
        <v>21.82</v>
      </c>
      <c r="H1609" t="s">
        <v>8588</v>
      </c>
      <c r="I1609">
        <v>2</v>
      </c>
      <c r="J1609" t="s">
        <v>445</v>
      </c>
      <c r="K1609" t="s">
        <v>446</v>
      </c>
      <c r="M1609">
        <v>3111</v>
      </c>
      <c r="N1609" t="s">
        <v>16003</v>
      </c>
    </row>
    <row r="1610" spans="1:14">
      <c r="A1610">
        <v>12609900</v>
      </c>
      <c r="B1610">
        <v>3020235</v>
      </c>
      <c r="C1610" t="s">
        <v>17374</v>
      </c>
      <c r="D1610" t="s">
        <v>441</v>
      </c>
      <c r="F1610">
        <v>0</v>
      </c>
      <c r="H1610" t="s">
        <v>8634</v>
      </c>
      <c r="I1610">
        <v>2</v>
      </c>
      <c r="J1610" t="s">
        <v>445</v>
      </c>
      <c r="K1610" t="s">
        <v>446</v>
      </c>
      <c r="M1610">
        <v>6666</v>
      </c>
      <c r="N1610" t="s">
        <v>16003</v>
      </c>
    </row>
    <row r="1611" spans="1:14">
      <c r="A1611">
        <v>12610000</v>
      </c>
      <c r="B1611">
        <v>3007532</v>
      </c>
      <c r="C1611" t="s">
        <v>9315</v>
      </c>
      <c r="D1611" t="s">
        <v>441</v>
      </c>
      <c r="F1611">
        <v>0</v>
      </c>
      <c r="G1611">
        <v>11.55</v>
      </c>
      <c r="H1611" t="s">
        <v>8580</v>
      </c>
      <c r="I1611">
        <v>5</v>
      </c>
      <c r="J1611" t="s">
        <v>445</v>
      </c>
      <c r="K1611" t="s">
        <v>446</v>
      </c>
      <c r="M1611">
        <v>0</v>
      </c>
    </row>
    <row r="1612" spans="1:14">
      <c r="A1612">
        <v>12610002</v>
      </c>
      <c r="B1612">
        <v>3007533</v>
      </c>
      <c r="C1612" t="s">
        <v>9316</v>
      </c>
      <c r="D1612" t="s">
        <v>441</v>
      </c>
      <c r="F1612">
        <v>0</v>
      </c>
      <c r="G1612">
        <v>12.19</v>
      </c>
      <c r="H1612" t="s">
        <v>8580</v>
      </c>
      <c r="I1612">
        <v>365</v>
      </c>
      <c r="J1612" t="s">
        <v>445</v>
      </c>
      <c r="K1612" t="s">
        <v>446</v>
      </c>
      <c r="M1612">
        <v>2501</v>
      </c>
    </row>
    <row r="1613" spans="1:14">
      <c r="A1613">
        <v>12610502</v>
      </c>
      <c r="B1613">
        <v>3007534</v>
      </c>
      <c r="C1613" t="s">
        <v>9317</v>
      </c>
      <c r="D1613" t="s">
        <v>441</v>
      </c>
      <c r="F1613">
        <v>0</v>
      </c>
      <c r="G1613">
        <v>11.79</v>
      </c>
      <c r="H1613" t="s">
        <v>8584</v>
      </c>
      <c r="I1613">
        <v>6</v>
      </c>
      <c r="J1613" t="s">
        <v>445</v>
      </c>
      <c r="K1613" t="s">
        <v>446</v>
      </c>
      <c r="M1613">
        <v>2641</v>
      </c>
    </row>
    <row r="1614" spans="1:14">
      <c r="A1614">
        <v>12612000</v>
      </c>
      <c r="B1614">
        <v>3009639</v>
      </c>
      <c r="C1614" t="s">
        <v>9318</v>
      </c>
      <c r="D1614" t="s">
        <v>441</v>
      </c>
      <c r="F1614">
        <v>0</v>
      </c>
      <c r="G1614">
        <v>11.55</v>
      </c>
      <c r="I1614">
        <v>6</v>
      </c>
      <c r="J1614" t="s">
        <v>445</v>
      </c>
      <c r="K1614" t="s">
        <v>446</v>
      </c>
      <c r="M1614">
        <v>2311</v>
      </c>
    </row>
    <row r="1615" spans="1:14">
      <c r="A1615">
        <v>12620000</v>
      </c>
      <c r="B1615">
        <v>3007535</v>
      </c>
      <c r="C1615" t="s">
        <v>9319</v>
      </c>
      <c r="D1615" t="s">
        <v>441</v>
      </c>
      <c r="F1615">
        <v>0</v>
      </c>
      <c r="G1615">
        <v>10.46</v>
      </c>
      <c r="I1615">
        <v>6</v>
      </c>
      <c r="J1615" t="s">
        <v>445</v>
      </c>
      <c r="K1615" t="s">
        <v>446</v>
      </c>
      <c r="M1615">
        <v>0</v>
      </c>
    </row>
    <row r="1616" spans="1:14">
      <c r="A1616">
        <v>12622000</v>
      </c>
      <c r="B1616">
        <v>3009638</v>
      </c>
      <c r="C1616" t="s">
        <v>9320</v>
      </c>
      <c r="D1616" t="s">
        <v>441</v>
      </c>
      <c r="F1616">
        <v>0</v>
      </c>
      <c r="G1616">
        <v>10.46</v>
      </c>
      <c r="H1616" t="s">
        <v>8584</v>
      </c>
      <c r="I1616">
        <v>6</v>
      </c>
      <c r="J1616" t="s">
        <v>445</v>
      </c>
      <c r="K1616" t="s">
        <v>446</v>
      </c>
      <c r="M1616">
        <v>2311</v>
      </c>
    </row>
    <row r="1617" spans="1:14">
      <c r="A1617">
        <v>12630000</v>
      </c>
      <c r="B1617">
        <v>3037641</v>
      </c>
      <c r="C1617" t="s">
        <v>1180</v>
      </c>
      <c r="D1617" t="s">
        <v>441</v>
      </c>
      <c r="F1617">
        <v>0</v>
      </c>
      <c r="G1617">
        <v>9.1999999999999993</v>
      </c>
      <c r="H1617" t="s">
        <v>8549</v>
      </c>
      <c r="I1617">
        <v>6</v>
      </c>
      <c r="J1617" t="s">
        <v>445</v>
      </c>
      <c r="M1617">
        <v>2391</v>
      </c>
      <c r="N1617" t="s">
        <v>16035</v>
      </c>
    </row>
    <row r="1618" spans="1:14">
      <c r="A1618">
        <v>12630040</v>
      </c>
      <c r="B1618">
        <v>4025851</v>
      </c>
      <c r="C1618" t="s">
        <v>1181</v>
      </c>
      <c r="D1618" t="s">
        <v>441</v>
      </c>
      <c r="F1618">
        <v>0</v>
      </c>
      <c r="G1618">
        <v>9.73</v>
      </c>
      <c r="H1618" t="s">
        <v>8588</v>
      </c>
      <c r="I1618">
        <v>16</v>
      </c>
      <c r="J1618" t="s">
        <v>462</v>
      </c>
      <c r="M1618">
        <v>7112</v>
      </c>
      <c r="N1618" t="s">
        <v>16035</v>
      </c>
    </row>
    <row r="1619" spans="1:14">
      <c r="A1619">
        <v>12630075</v>
      </c>
      <c r="B1619">
        <v>4025403</v>
      </c>
      <c r="C1619" t="s">
        <v>1182</v>
      </c>
      <c r="D1619" t="s">
        <v>441</v>
      </c>
      <c r="F1619">
        <v>0</v>
      </c>
      <c r="G1619">
        <v>15.02</v>
      </c>
      <c r="H1619" t="s">
        <v>8588</v>
      </c>
      <c r="I1619">
        <v>6</v>
      </c>
      <c r="J1619" t="s">
        <v>462</v>
      </c>
      <c r="M1619">
        <v>7112</v>
      </c>
      <c r="N1619" t="s">
        <v>16035</v>
      </c>
    </row>
    <row r="1620" spans="1:14">
      <c r="A1620">
        <v>12631000</v>
      </c>
      <c r="B1620">
        <v>3037642</v>
      </c>
      <c r="C1620" t="s">
        <v>1183</v>
      </c>
      <c r="D1620" t="s">
        <v>441</v>
      </c>
      <c r="F1620">
        <v>0</v>
      </c>
      <c r="G1620">
        <v>9.1999999999999993</v>
      </c>
      <c r="H1620" t="s">
        <v>8549</v>
      </c>
      <c r="I1620">
        <v>6</v>
      </c>
      <c r="J1620" t="s">
        <v>445</v>
      </c>
      <c r="M1620">
        <v>2391</v>
      </c>
      <c r="N1620" t="s">
        <v>16035</v>
      </c>
    </row>
    <row r="1621" spans="1:14">
      <c r="A1621">
        <v>12640000</v>
      </c>
      <c r="B1621">
        <v>3007537</v>
      </c>
      <c r="C1621" t="s">
        <v>9321</v>
      </c>
      <c r="D1621" t="s">
        <v>441</v>
      </c>
      <c r="F1621">
        <v>0</v>
      </c>
      <c r="G1621">
        <v>11.76</v>
      </c>
      <c r="I1621">
        <v>6</v>
      </c>
      <c r="J1621" t="s">
        <v>445</v>
      </c>
      <c r="K1621" t="s">
        <v>446</v>
      </c>
      <c r="M1621">
        <v>0</v>
      </c>
    </row>
    <row r="1622" spans="1:14">
      <c r="A1622">
        <v>12640002</v>
      </c>
      <c r="B1622">
        <v>3007538</v>
      </c>
      <c r="C1622" t="s">
        <v>9322</v>
      </c>
      <c r="D1622" t="s">
        <v>441</v>
      </c>
      <c r="F1622">
        <v>0</v>
      </c>
      <c r="G1622">
        <v>12.31</v>
      </c>
      <c r="I1622">
        <v>365</v>
      </c>
      <c r="J1622" t="s">
        <v>445</v>
      </c>
      <c r="K1622" t="s">
        <v>446</v>
      </c>
      <c r="M1622">
        <v>2501</v>
      </c>
    </row>
    <row r="1623" spans="1:14">
      <c r="A1623">
        <v>12640502</v>
      </c>
      <c r="B1623">
        <v>3007539</v>
      </c>
      <c r="C1623" t="s">
        <v>9323</v>
      </c>
      <c r="D1623" t="s">
        <v>441</v>
      </c>
      <c r="F1623">
        <v>0</v>
      </c>
      <c r="G1623">
        <v>11.91</v>
      </c>
      <c r="I1623">
        <v>6</v>
      </c>
      <c r="J1623" t="s">
        <v>445</v>
      </c>
      <c r="K1623" t="s">
        <v>446</v>
      </c>
      <c r="M1623">
        <v>2641</v>
      </c>
    </row>
    <row r="1624" spans="1:14">
      <c r="A1624">
        <v>12642000</v>
      </c>
      <c r="B1624">
        <v>3009637</v>
      </c>
      <c r="C1624" t="s">
        <v>9324</v>
      </c>
      <c r="D1624" t="s">
        <v>441</v>
      </c>
      <c r="F1624">
        <v>0</v>
      </c>
      <c r="G1624">
        <v>11.76</v>
      </c>
      <c r="H1624" t="s">
        <v>8584</v>
      </c>
      <c r="I1624">
        <v>6</v>
      </c>
      <c r="J1624" t="s">
        <v>445</v>
      </c>
      <c r="K1624" t="s">
        <v>446</v>
      </c>
      <c r="M1624">
        <v>2311</v>
      </c>
    </row>
    <row r="1625" spans="1:14">
      <c r="A1625">
        <v>12650000</v>
      </c>
      <c r="B1625">
        <v>3015907</v>
      </c>
      <c r="C1625" t="s">
        <v>1184</v>
      </c>
      <c r="D1625" t="s">
        <v>441</v>
      </c>
      <c r="F1625">
        <v>0</v>
      </c>
      <c r="G1625">
        <v>9.1999999999999993</v>
      </c>
      <c r="H1625" t="s">
        <v>8588</v>
      </c>
      <c r="I1625">
        <v>6</v>
      </c>
      <c r="J1625" t="s">
        <v>445</v>
      </c>
      <c r="M1625">
        <v>2391</v>
      </c>
      <c r="N1625" t="s">
        <v>16003</v>
      </c>
    </row>
    <row r="1626" spans="1:14">
      <c r="A1626">
        <v>12650002</v>
      </c>
      <c r="B1626">
        <v>3007541</v>
      </c>
      <c r="C1626" t="s">
        <v>1185</v>
      </c>
      <c r="D1626" t="s">
        <v>441</v>
      </c>
      <c r="F1626">
        <v>0</v>
      </c>
      <c r="G1626">
        <v>13.34</v>
      </c>
      <c r="I1626">
        <v>540</v>
      </c>
      <c r="J1626" t="s">
        <v>445</v>
      </c>
      <c r="K1626" t="s">
        <v>446</v>
      </c>
      <c r="M1626">
        <v>2501</v>
      </c>
      <c r="N1626" t="s">
        <v>16003</v>
      </c>
    </row>
    <row r="1627" spans="1:14">
      <c r="A1627">
        <v>12650007</v>
      </c>
      <c r="B1627">
        <v>3024875</v>
      </c>
      <c r="C1627" t="s">
        <v>1186</v>
      </c>
      <c r="D1627" t="s">
        <v>441</v>
      </c>
      <c r="F1627">
        <v>0</v>
      </c>
      <c r="G1627">
        <v>9.32</v>
      </c>
      <c r="H1627" t="s">
        <v>8588</v>
      </c>
      <c r="I1627">
        <v>6</v>
      </c>
      <c r="J1627" t="s">
        <v>445</v>
      </c>
      <c r="M1627">
        <v>3113</v>
      </c>
      <c r="N1627" t="s">
        <v>16003</v>
      </c>
    </row>
    <row r="1628" spans="1:14">
      <c r="A1628">
        <v>12650018</v>
      </c>
      <c r="B1628">
        <v>3039995</v>
      </c>
      <c r="C1628" t="s">
        <v>1187</v>
      </c>
      <c r="D1628" t="s">
        <v>441</v>
      </c>
      <c r="F1628">
        <v>0</v>
      </c>
      <c r="G1628">
        <v>9.73</v>
      </c>
      <c r="H1628" t="s">
        <v>8588</v>
      </c>
      <c r="I1628">
        <v>540</v>
      </c>
      <c r="J1628" t="s">
        <v>445</v>
      </c>
      <c r="M1628">
        <v>7111</v>
      </c>
      <c r="N1628" t="s">
        <v>16003</v>
      </c>
    </row>
    <row r="1629" spans="1:14">
      <c r="A1629">
        <v>12650075</v>
      </c>
      <c r="B1629">
        <v>3007542</v>
      </c>
      <c r="C1629" t="s">
        <v>1188</v>
      </c>
      <c r="D1629" t="s">
        <v>441</v>
      </c>
      <c r="F1629">
        <v>0</v>
      </c>
      <c r="G1629">
        <v>9.35</v>
      </c>
      <c r="I1629">
        <v>6</v>
      </c>
      <c r="J1629" t="s">
        <v>445</v>
      </c>
      <c r="K1629" t="s">
        <v>446</v>
      </c>
      <c r="M1629">
        <v>2641</v>
      </c>
    </row>
    <row r="1630" spans="1:14">
      <c r="A1630">
        <v>12650100</v>
      </c>
      <c r="B1630">
        <v>3007543</v>
      </c>
      <c r="C1630" t="s">
        <v>1189</v>
      </c>
      <c r="D1630" t="s">
        <v>441</v>
      </c>
      <c r="F1630">
        <v>0</v>
      </c>
      <c r="I1630">
        <v>9</v>
      </c>
      <c r="J1630" t="s">
        <v>445</v>
      </c>
      <c r="K1630" t="s">
        <v>446</v>
      </c>
      <c r="M1630">
        <v>0</v>
      </c>
    </row>
    <row r="1631" spans="1:14">
      <c r="A1631">
        <v>12650102</v>
      </c>
      <c r="B1631">
        <v>3007544</v>
      </c>
      <c r="C1631" t="s">
        <v>1190</v>
      </c>
      <c r="D1631" t="s">
        <v>441</v>
      </c>
      <c r="F1631">
        <v>0</v>
      </c>
      <c r="I1631">
        <v>9</v>
      </c>
      <c r="J1631" t="s">
        <v>445</v>
      </c>
      <c r="K1631" t="s">
        <v>446</v>
      </c>
      <c r="M1631">
        <v>0</v>
      </c>
    </row>
    <row r="1632" spans="1:14">
      <c r="A1632">
        <v>12650502</v>
      </c>
      <c r="B1632">
        <v>3007545</v>
      </c>
      <c r="C1632" t="s">
        <v>1191</v>
      </c>
      <c r="D1632" t="s">
        <v>441</v>
      </c>
      <c r="F1632">
        <v>0</v>
      </c>
      <c r="G1632">
        <v>14.74</v>
      </c>
      <c r="I1632">
        <v>6</v>
      </c>
      <c r="J1632" t="s">
        <v>445</v>
      </c>
      <c r="K1632" t="s">
        <v>446</v>
      </c>
      <c r="M1632">
        <v>2641</v>
      </c>
      <c r="N1632" t="s">
        <v>16003</v>
      </c>
    </row>
    <row r="1633" spans="1:14">
      <c r="A1633">
        <v>12650518</v>
      </c>
      <c r="B1633">
        <v>3039864</v>
      </c>
      <c r="C1633" t="s">
        <v>1192</v>
      </c>
      <c r="D1633" t="s">
        <v>441</v>
      </c>
      <c r="F1633">
        <v>0</v>
      </c>
      <c r="G1633">
        <v>9.3699999999999992</v>
      </c>
      <c r="H1633" t="s">
        <v>8549</v>
      </c>
      <c r="I1633">
        <v>6</v>
      </c>
      <c r="J1633" t="s">
        <v>445</v>
      </c>
      <c r="M1633">
        <v>2502</v>
      </c>
      <c r="N1633" t="s">
        <v>16003</v>
      </c>
    </row>
    <row r="1634" spans="1:14">
      <c r="A1634">
        <v>12650900</v>
      </c>
      <c r="B1634">
        <v>3020236</v>
      </c>
      <c r="C1634" t="s">
        <v>1193</v>
      </c>
      <c r="D1634" t="s">
        <v>441</v>
      </c>
      <c r="F1634">
        <v>0</v>
      </c>
      <c r="G1634">
        <v>0</v>
      </c>
      <c r="H1634" t="s">
        <v>8634</v>
      </c>
      <c r="I1634">
        <v>6</v>
      </c>
      <c r="J1634" t="s">
        <v>445</v>
      </c>
      <c r="M1634">
        <v>6666</v>
      </c>
      <c r="N1634" t="s">
        <v>16003</v>
      </c>
    </row>
    <row r="1635" spans="1:14">
      <c r="A1635">
        <v>12650907</v>
      </c>
      <c r="B1635">
        <v>3025135</v>
      </c>
      <c r="C1635" t="s">
        <v>1194</v>
      </c>
      <c r="D1635" t="s">
        <v>441</v>
      </c>
      <c r="F1635">
        <v>0</v>
      </c>
      <c r="G1635">
        <v>0</v>
      </c>
      <c r="H1635" t="s">
        <v>8935</v>
      </c>
      <c r="I1635">
        <v>6</v>
      </c>
      <c r="J1635" t="s">
        <v>445</v>
      </c>
      <c r="M1635">
        <v>6666</v>
      </c>
      <c r="N1635" t="s">
        <v>16003</v>
      </c>
    </row>
    <row r="1636" spans="1:14">
      <c r="A1636">
        <v>12651000</v>
      </c>
      <c r="B1636">
        <v>3017740</v>
      </c>
      <c r="C1636" t="s">
        <v>1195</v>
      </c>
      <c r="D1636" t="s">
        <v>441</v>
      </c>
      <c r="F1636">
        <v>0</v>
      </c>
      <c r="G1636">
        <v>9.1999999999999993</v>
      </c>
      <c r="H1636" t="s">
        <v>8588</v>
      </c>
      <c r="I1636">
        <v>6</v>
      </c>
      <c r="J1636" t="s">
        <v>445</v>
      </c>
      <c r="M1636">
        <v>2391</v>
      </c>
      <c r="N1636" t="s">
        <v>16003</v>
      </c>
    </row>
    <row r="1637" spans="1:14">
      <c r="A1637">
        <v>12651007</v>
      </c>
      <c r="B1637">
        <v>3024876</v>
      </c>
      <c r="C1637" t="s">
        <v>1196</v>
      </c>
      <c r="D1637" t="s">
        <v>441</v>
      </c>
      <c r="F1637">
        <v>0</v>
      </c>
      <c r="G1637">
        <v>9.32</v>
      </c>
      <c r="H1637" t="s">
        <v>8637</v>
      </c>
      <c r="I1637">
        <v>6</v>
      </c>
      <c r="J1637" t="s">
        <v>445</v>
      </c>
      <c r="M1637">
        <v>3113</v>
      </c>
      <c r="N1637" t="s">
        <v>16003</v>
      </c>
    </row>
    <row r="1638" spans="1:14">
      <c r="A1638">
        <v>12651018</v>
      </c>
      <c r="B1638">
        <v>3039993</v>
      </c>
      <c r="C1638" t="s">
        <v>1197</v>
      </c>
      <c r="D1638" t="s">
        <v>441</v>
      </c>
      <c r="F1638">
        <v>0</v>
      </c>
      <c r="G1638">
        <v>9.73</v>
      </c>
      <c r="H1638" t="s">
        <v>8588</v>
      </c>
      <c r="I1638">
        <v>540</v>
      </c>
      <c r="J1638" t="s">
        <v>445</v>
      </c>
      <c r="M1638">
        <v>7111</v>
      </c>
      <c r="N1638" t="s">
        <v>16003</v>
      </c>
    </row>
    <row r="1639" spans="1:14">
      <c r="A1639">
        <v>12651518</v>
      </c>
      <c r="B1639">
        <v>3039865</v>
      </c>
      <c r="C1639" t="s">
        <v>1198</v>
      </c>
      <c r="D1639" t="s">
        <v>441</v>
      </c>
      <c r="F1639">
        <v>0</v>
      </c>
      <c r="G1639">
        <v>9.3699999999999992</v>
      </c>
      <c r="H1639" t="s">
        <v>8549</v>
      </c>
      <c r="I1639">
        <v>6</v>
      </c>
      <c r="J1639" t="s">
        <v>445</v>
      </c>
      <c r="M1639">
        <v>2502</v>
      </c>
      <c r="N1639" t="s">
        <v>16003</v>
      </c>
    </row>
    <row r="1640" spans="1:14">
      <c r="A1640">
        <v>12651900</v>
      </c>
      <c r="B1640">
        <v>3020237</v>
      </c>
      <c r="C1640" t="s">
        <v>1199</v>
      </c>
      <c r="D1640" t="s">
        <v>441</v>
      </c>
      <c r="F1640">
        <v>0</v>
      </c>
      <c r="G1640">
        <v>0</v>
      </c>
      <c r="H1640" t="s">
        <v>8634</v>
      </c>
      <c r="I1640">
        <v>6</v>
      </c>
      <c r="J1640" t="s">
        <v>445</v>
      </c>
      <c r="M1640">
        <v>6666</v>
      </c>
      <c r="N1640" t="s">
        <v>16003</v>
      </c>
    </row>
    <row r="1641" spans="1:14">
      <c r="A1641">
        <v>12651907</v>
      </c>
      <c r="B1641">
        <v>3025136</v>
      </c>
      <c r="C1641" t="s">
        <v>1200</v>
      </c>
      <c r="D1641" t="s">
        <v>441</v>
      </c>
      <c r="F1641">
        <v>0</v>
      </c>
      <c r="G1641">
        <v>0</v>
      </c>
      <c r="H1641" t="s">
        <v>8935</v>
      </c>
      <c r="I1641">
        <v>6</v>
      </c>
      <c r="J1641" t="s">
        <v>445</v>
      </c>
      <c r="M1641">
        <v>6666</v>
      </c>
      <c r="N1641" t="s">
        <v>16003</v>
      </c>
    </row>
    <row r="1642" spans="1:14">
      <c r="A1642">
        <v>12652000</v>
      </c>
      <c r="B1642">
        <v>3020171</v>
      </c>
      <c r="C1642" t="s">
        <v>1201</v>
      </c>
      <c r="D1642" t="s">
        <v>441</v>
      </c>
      <c r="F1642">
        <v>0</v>
      </c>
      <c r="G1642">
        <v>9.1999999999999993</v>
      </c>
      <c r="H1642" t="s">
        <v>8588</v>
      </c>
      <c r="I1642">
        <v>6</v>
      </c>
      <c r="J1642" t="s">
        <v>445</v>
      </c>
      <c r="M1642">
        <v>2391</v>
      </c>
      <c r="N1642" t="s">
        <v>16003</v>
      </c>
    </row>
    <row r="1643" spans="1:14">
      <c r="A1643">
        <v>12652002</v>
      </c>
      <c r="B1643">
        <v>3020173</v>
      </c>
      <c r="C1643" t="s">
        <v>1202</v>
      </c>
      <c r="D1643" t="s">
        <v>441</v>
      </c>
      <c r="F1643">
        <v>0</v>
      </c>
      <c r="G1643">
        <v>15.03</v>
      </c>
      <c r="H1643" t="s">
        <v>8588</v>
      </c>
      <c r="I1643">
        <v>365</v>
      </c>
      <c r="J1643" t="s">
        <v>445</v>
      </c>
      <c r="K1643" t="s">
        <v>446</v>
      </c>
      <c r="M1643">
        <v>2501</v>
      </c>
      <c r="N1643" t="s">
        <v>16003</v>
      </c>
    </row>
    <row r="1644" spans="1:14">
      <c r="A1644">
        <v>12652075</v>
      </c>
      <c r="B1644">
        <v>4021855</v>
      </c>
      <c r="C1644" t="s">
        <v>1203</v>
      </c>
      <c r="D1644" t="s">
        <v>441</v>
      </c>
      <c r="F1644">
        <v>0</v>
      </c>
      <c r="G1644">
        <v>9.31</v>
      </c>
      <c r="H1644" t="s">
        <v>8588</v>
      </c>
      <c r="I1644">
        <v>6</v>
      </c>
      <c r="J1644" t="s">
        <v>462</v>
      </c>
      <c r="M1644">
        <v>7112</v>
      </c>
      <c r="N1644" t="s">
        <v>16003</v>
      </c>
    </row>
    <row r="1645" spans="1:14">
      <c r="A1645">
        <v>12652076</v>
      </c>
      <c r="B1645">
        <v>4022653</v>
      </c>
      <c r="C1645" t="s">
        <v>1204</v>
      </c>
      <c r="D1645" t="s">
        <v>441</v>
      </c>
      <c r="F1645">
        <v>0</v>
      </c>
      <c r="G1645">
        <v>9.3699999999999992</v>
      </c>
      <c r="H1645" t="s">
        <v>8588</v>
      </c>
      <c r="I1645">
        <v>6</v>
      </c>
      <c r="J1645" t="s">
        <v>462</v>
      </c>
      <c r="M1645">
        <v>7112</v>
      </c>
      <c r="N1645" t="s">
        <v>16003</v>
      </c>
    </row>
    <row r="1646" spans="1:14">
      <c r="A1646">
        <v>12652502</v>
      </c>
      <c r="B1646">
        <v>3020172</v>
      </c>
      <c r="C1646" t="s">
        <v>1205</v>
      </c>
      <c r="D1646" t="s">
        <v>441</v>
      </c>
      <c r="F1646">
        <v>0</v>
      </c>
      <c r="G1646">
        <v>14.73</v>
      </c>
      <c r="H1646" t="s">
        <v>8584</v>
      </c>
      <c r="I1646">
        <v>6</v>
      </c>
      <c r="J1646" t="s">
        <v>445</v>
      </c>
      <c r="K1646" t="s">
        <v>446</v>
      </c>
      <c r="M1646">
        <v>3741</v>
      </c>
      <c r="N1646" t="s">
        <v>16003</v>
      </c>
    </row>
    <row r="1647" spans="1:14">
      <c r="A1647">
        <v>12652602</v>
      </c>
      <c r="B1647">
        <v>3020174</v>
      </c>
      <c r="C1647" t="s">
        <v>1206</v>
      </c>
      <c r="D1647" t="s">
        <v>441</v>
      </c>
      <c r="F1647">
        <v>0</v>
      </c>
      <c r="G1647">
        <v>15.5</v>
      </c>
      <c r="H1647" t="s">
        <v>8588</v>
      </c>
      <c r="I1647">
        <v>4</v>
      </c>
      <c r="J1647" t="s">
        <v>445</v>
      </c>
      <c r="K1647" t="s">
        <v>446</v>
      </c>
      <c r="M1647">
        <v>2511</v>
      </c>
      <c r="N1647" t="s">
        <v>16003</v>
      </c>
    </row>
    <row r="1648" spans="1:14">
      <c r="A1648">
        <v>12652900</v>
      </c>
      <c r="B1648">
        <v>3020924</v>
      </c>
      <c r="C1648" t="s">
        <v>197</v>
      </c>
      <c r="D1648" t="s">
        <v>441</v>
      </c>
      <c r="F1648">
        <v>0</v>
      </c>
      <c r="H1648" t="s">
        <v>8580</v>
      </c>
      <c r="I1648">
        <v>6</v>
      </c>
      <c r="J1648" t="s">
        <v>445</v>
      </c>
      <c r="M1648">
        <v>6666</v>
      </c>
      <c r="N1648" t="s">
        <v>16003</v>
      </c>
    </row>
    <row r="1649" spans="1:14">
      <c r="A1649">
        <v>12652902</v>
      </c>
      <c r="B1649">
        <v>3020922</v>
      </c>
      <c r="C1649" t="s">
        <v>1207</v>
      </c>
      <c r="D1649" t="s">
        <v>441</v>
      </c>
      <c r="F1649">
        <v>0</v>
      </c>
      <c r="G1649">
        <v>11.37</v>
      </c>
      <c r="H1649" t="s">
        <v>8580</v>
      </c>
      <c r="I1649">
        <v>4</v>
      </c>
      <c r="J1649" t="s">
        <v>445</v>
      </c>
      <c r="K1649" t="s">
        <v>446</v>
      </c>
      <c r="M1649">
        <v>6666</v>
      </c>
      <c r="N1649" t="s">
        <v>16003</v>
      </c>
    </row>
    <row r="1650" spans="1:14">
      <c r="A1650">
        <v>12654000</v>
      </c>
      <c r="B1650">
        <v>3037545</v>
      </c>
      <c r="C1650" t="s">
        <v>1208</v>
      </c>
      <c r="D1650" t="s">
        <v>441</v>
      </c>
      <c r="F1650">
        <v>0</v>
      </c>
      <c r="G1650">
        <v>9.1999999999999993</v>
      </c>
      <c r="H1650" t="s">
        <v>8588</v>
      </c>
      <c r="I1650">
        <v>6</v>
      </c>
      <c r="J1650" t="s">
        <v>445</v>
      </c>
      <c r="M1650">
        <v>2391</v>
      </c>
      <c r="N1650" t="s">
        <v>16003</v>
      </c>
    </row>
    <row r="1651" spans="1:14">
      <c r="A1651">
        <v>12654007</v>
      </c>
      <c r="B1651">
        <v>3037785</v>
      </c>
      <c r="C1651" t="s">
        <v>1209</v>
      </c>
      <c r="D1651" t="s">
        <v>441</v>
      </c>
      <c r="F1651">
        <v>0</v>
      </c>
      <c r="G1651">
        <v>9.31</v>
      </c>
      <c r="H1651" t="s">
        <v>8588</v>
      </c>
      <c r="I1651">
        <v>6</v>
      </c>
      <c r="J1651" t="s">
        <v>445</v>
      </c>
      <c r="M1651">
        <v>3113</v>
      </c>
      <c r="N1651" t="s">
        <v>16003</v>
      </c>
    </row>
    <row r="1652" spans="1:14">
      <c r="A1652">
        <v>12654018</v>
      </c>
      <c r="B1652">
        <v>3039994</v>
      </c>
      <c r="C1652" t="s">
        <v>1210</v>
      </c>
      <c r="D1652" t="s">
        <v>441</v>
      </c>
      <c r="F1652">
        <v>0</v>
      </c>
      <c r="G1652">
        <v>9.73</v>
      </c>
      <c r="H1652" t="s">
        <v>8588</v>
      </c>
      <c r="I1652">
        <v>540</v>
      </c>
      <c r="J1652" t="s">
        <v>445</v>
      </c>
      <c r="M1652">
        <v>7111</v>
      </c>
      <c r="N1652" t="s">
        <v>16003</v>
      </c>
    </row>
    <row r="1653" spans="1:14">
      <c r="A1653">
        <v>12654518</v>
      </c>
      <c r="B1653">
        <v>3039836</v>
      </c>
      <c r="C1653" t="s">
        <v>1211</v>
      </c>
      <c r="D1653" t="s">
        <v>441</v>
      </c>
      <c r="F1653">
        <v>0</v>
      </c>
      <c r="G1653">
        <v>9.3699999999999992</v>
      </c>
      <c r="H1653" t="s">
        <v>8588</v>
      </c>
      <c r="I1653">
        <v>6</v>
      </c>
      <c r="J1653" t="s">
        <v>445</v>
      </c>
      <c r="M1653">
        <v>2502</v>
      </c>
      <c r="N1653" t="s">
        <v>16003</v>
      </c>
    </row>
    <row r="1654" spans="1:14">
      <c r="A1654">
        <v>12654907</v>
      </c>
      <c r="B1654">
        <v>3037765</v>
      </c>
      <c r="C1654" t="s">
        <v>1212</v>
      </c>
      <c r="D1654" t="s">
        <v>441</v>
      </c>
      <c r="F1654">
        <v>0</v>
      </c>
      <c r="H1654" t="s">
        <v>8580</v>
      </c>
      <c r="I1654">
        <v>6</v>
      </c>
      <c r="J1654" t="s">
        <v>445</v>
      </c>
      <c r="M1654">
        <v>6666</v>
      </c>
      <c r="N1654" t="s">
        <v>16003</v>
      </c>
    </row>
    <row r="1655" spans="1:14">
      <c r="A1655">
        <v>12660000</v>
      </c>
      <c r="B1655">
        <v>3007546</v>
      </c>
      <c r="C1655" t="s">
        <v>9325</v>
      </c>
      <c r="D1655" t="s">
        <v>441</v>
      </c>
      <c r="F1655">
        <v>0</v>
      </c>
      <c r="G1655">
        <v>11.55</v>
      </c>
      <c r="H1655" t="s">
        <v>8580</v>
      </c>
      <c r="I1655">
        <v>6</v>
      </c>
      <c r="J1655" t="s">
        <v>445</v>
      </c>
      <c r="K1655" t="s">
        <v>446</v>
      </c>
      <c r="M1655">
        <v>0</v>
      </c>
    </row>
    <row r="1656" spans="1:14">
      <c r="A1656">
        <v>12670000</v>
      </c>
      <c r="B1656">
        <v>3007547</v>
      </c>
      <c r="C1656" t="s">
        <v>9326</v>
      </c>
      <c r="D1656" t="s">
        <v>441</v>
      </c>
      <c r="F1656">
        <v>0</v>
      </c>
      <c r="G1656">
        <v>10.46</v>
      </c>
      <c r="H1656" t="s">
        <v>8580</v>
      </c>
      <c r="I1656">
        <v>6</v>
      </c>
      <c r="J1656" t="s">
        <v>445</v>
      </c>
      <c r="K1656" t="s">
        <v>446</v>
      </c>
      <c r="M1656">
        <v>0</v>
      </c>
    </row>
    <row r="1657" spans="1:14">
      <c r="A1657">
        <v>12680000</v>
      </c>
      <c r="B1657">
        <v>3042731</v>
      </c>
      <c r="C1657" t="s">
        <v>1213</v>
      </c>
      <c r="D1657" t="s">
        <v>441</v>
      </c>
      <c r="F1657">
        <v>0</v>
      </c>
      <c r="G1657">
        <v>5.25</v>
      </c>
      <c r="H1657" t="s">
        <v>8588</v>
      </c>
      <c r="I1657">
        <v>6</v>
      </c>
      <c r="J1657" t="s">
        <v>445</v>
      </c>
      <c r="M1657">
        <v>2391</v>
      </c>
      <c r="N1657" t="s">
        <v>16036</v>
      </c>
    </row>
    <row r="1658" spans="1:14">
      <c r="A1658">
        <v>12680007</v>
      </c>
      <c r="B1658">
        <v>3042757</v>
      </c>
      <c r="C1658" t="s">
        <v>1214</v>
      </c>
      <c r="D1658" t="s">
        <v>441</v>
      </c>
      <c r="F1658">
        <v>0</v>
      </c>
      <c r="G1658">
        <v>5.35</v>
      </c>
      <c r="H1658" t="s">
        <v>8588</v>
      </c>
      <c r="I1658">
        <v>6</v>
      </c>
      <c r="J1658" t="s">
        <v>445</v>
      </c>
      <c r="M1658">
        <v>3111</v>
      </c>
      <c r="N1658" t="s">
        <v>16036</v>
      </c>
    </row>
    <row r="1659" spans="1:14">
      <c r="A1659">
        <v>12680087</v>
      </c>
      <c r="B1659">
        <v>3042777</v>
      </c>
      <c r="C1659" t="s">
        <v>1215</v>
      </c>
      <c r="D1659" t="s">
        <v>441</v>
      </c>
      <c r="F1659">
        <v>0</v>
      </c>
      <c r="G1659">
        <v>5.35</v>
      </c>
      <c r="H1659" t="s">
        <v>8588</v>
      </c>
      <c r="I1659">
        <v>6</v>
      </c>
      <c r="J1659" t="s">
        <v>445</v>
      </c>
      <c r="M1659">
        <v>7112</v>
      </c>
      <c r="N1659" t="s">
        <v>16036</v>
      </c>
    </row>
    <row r="1660" spans="1:14">
      <c r="A1660">
        <v>12680907</v>
      </c>
      <c r="B1660">
        <v>3042881</v>
      </c>
      <c r="C1660" t="s">
        <v>1216</v>
      </c>
      <c r="D1660" t="s">
        <v>441</v>
      </c>
      <c r="F1660">
        <v>0</v>
      </c>
      <c r="G1660">
        <v>1</v>
      </c>
      <c r="H1660" t="s">
        <v>8588</v>
      </c>
      <c r="I1660">
        <v>6</v>
      </c>
      <c r="J1660" t="s">
        <v>445</v>
      </c>
      <c r="M1660">
        <v>6666</v>
      </c>
      <c r="N1660" t="s">
        <v>16036</v>
      </c>
    </row>
    <row r="1661" spans="1:14">
      <c r="A1661">
        <v>12684000</v>
      </c>
      <c r="B1661">
        <v>3042743</v>
      </c>
      <c r="C1661" t="s">
        <v>1217</v>
      </c>
      <c r="D1661" t="s">
        <v>441</v>
      </c>
      <c r="F1661">
        <v>0</v>
      </c>
      <c r="G1661">
        <v>5.25</v>
      </c>
      <c r="H1661" t="s">
        <v>8549</v>
      </c>
      <c r="I1661">
        <v>6</v>
      </c>
      <c r="J1661" t="s">
        <v>445</v>
      </c>
      <c r="M1661">
        <v>2391</v>
      </c>
      <c r="N1661" t="s">
        <v>16036</v>
      </c>
    </row>
    <row r="1662" spans="1:14">
      <c r="A1662">
        <v>12684007</v>
      </c>
      <c r="B1662">
        <v>3042756</v>
      </c>
      <c r="C1662" t="s">
        <v>1218</v>
      </c>
      <c r="D1662" t="s">
        <v>441</v>
      </c>
      <c r="F1662">
        <v>0</v>
      </c>
      <c r="G1662">
        <v>5.35</v>
      </c>
      <c r="H1662" t="s">
        <v>8588</v>
      </c>
      <c r="I1662">
        <v>6</v>
      </c>
      <c r="J1662" t="s">
        <v>445</v>
      </c>
      <c r="M1662">
        <v>3111</v>
      </c>
      <c r="N1662" t="s">
        <v>16036</v>
      </c>
    </row>
    <row r="1663" spans="1:14">
      <c r="A1663">
        <v>12684087</v>
      </c>
      <c r="B1663">
        <v>3042778</v>
      </c>
      <c r="C1663" t="s">
        <v>1219</v>
      </c>
      <c r="D1663" t="s">
        <v>441</v>
      </c>
      <c r="F1663">
        <v>0</v>
      </c>
      <c r="G1663">
        <v>5.35</v>
      </c>
      <c r="H1663" t="s">
        <v>8588</v>
      </c>
      <c r="I1663">
        <v>6</v>
      </c>
      <c r="J1663" t="s">
        <v>445</v>
      </c>
      <c r="M1663">
        <v>7112</v>
      </c>
      <c r="N1663" t="s">
        <v>16036</v>
      </c>
    </row>
    <row r="1664" spans="1:14">
      <c r="A1664">
        <v>12684907</v>
      </c>
      <c r="B1664">
        <v>3042916</v>
      </c>
      <c r="C1664" t="s">
        <v>1220</v>
      </c>
      <c r="D1664" t="s">
        <v>441</v>
      </c>
      <c r="F1664">
        <v>0</v>
      </c>
      <c r="G1664">
        <v>1</v>
      </c>
      <c r="H1664" t="s">
        <v>8588</v>
      </c>
      <c r="I1664">
        <v>6</v>
      </c>
      <c r="J1664" t="s">
        <v>445</v>
      </c>
      <c r="M1664">
        <v>6666</v>
      </c>
      <c r="N1664" t="s">
        <v>16036</v>
      </c>
    </row>
    <row r="1665" spans="1:14">
      <c r="A1665">
        <v>12690000</v>
      </c>
      <c r="B1665">
        <v>3007549</v>
      </c>
      <c r="C1665" t="s">
        <v>9327</v>
      </c>
      <c r="D1665" t="s">
        <v>441</v>
      </c>
      <c r="F1665">
        <v>0</v>
      </c>
      <c r="G1665">
        <v>11.76</v>
      </c>
      <c r="H1665" t="s">
        <v>8580</v>
      </c>
      <c r="I1665">
        <v>6</v>
      </c>
      <c r="J1665" t="s">
        <v>445</v>
      </c>
      <c r="K1665" t="s">
        <v>446</v>
      </c>
      <c r="M1665">
        <v>0</v>
      </c>
    </row>
    <row r="1666" spans="1:14">
      <c r="A1666">
        <v>12700000</v>
      </c>
      <c r="B1666">
        <v>3012509</v>
      </c>
      <c r="C1666" t="s">
        <v>1221</v>
      </c>
      <c r="D1666" t="s">
        <v>441</v>
      </c>
      <c r="F1666">
        <v>0</v>
      </c>
      <c r="G1666">
        <v>10.32</v>
      </c>
      <c r="H1666" t="s">
        <v>8580</v>
      </c>
      <c r="I1666">
        <v>6</v>
      </c>
      <c r="J1666" t="s">
        <v>445</v>
      </c>
      <c r="K1666" t="s">
        <v>446</v>
      </c>
      <c r="M1666">
        <v>2311</v>
      </c>
    </row>
    <row r="1667" spans="1:14">
      <c r="A1667">
        <v>12710000</v>
      </c>
      <c r="B1667">
        <v>3012510</v>
      </c>
      <c r="C1667" t="s">
        <v>9328</v>
      </c>
      <c r="D1667" t="s">
        <v>441</v>
      </c>
      <c r="F1667">
        <v>0</v>
      </c>
      <c r="G1667">
        <v>10.66</v>
      </c>
      <c r="H1667" t="s">
        <v>8580</v>
      </c>
      <c r="I1667">
        <v>6</v>
      </c>
      <c r="J1667" t="s">
        <v>445</v>
      </c>
      <c r="K1667" t="s">
        <v>446</v>
      </c>
      <c r="M1667">
        <v>2311</v>
      </c>
    </row>
    <row r="1668" spans="1:14">
      <c r="A1668">
        <v>12711000</v>
      </c>
      <c r="B1668">
        <v>3017529</v>
      </c>
      <c r="C1668" t="s">
        <v>9329</v>
      </c>
      <c r="D1668" t="s">
        <v>441</v>
      </c>
      <c r="F1668">
        <v>0</v>
      </c>
      <c r="G1668">
        <v>10.6</v>
      </c>
      <c r="I1668">
        <v>6</v>
      </c>
      <c r="J1668" t="s">
        <v>445</v>
      </c>
      <c r="K1668" t="s">
        <v>446</v>
      </c>
      <c r="M1668">
        <v>2311</v>
      </c>
    </row>
    <row r="1669" spans="1:14">
      <c r="A1669">
        <v>12720000</v>
      </c>
      <c r="B1669">
        <v>3012507</v>
      </c>
      <c r="C1669" t="s">
        <v>1222</v>
      </c>
      <c r="D1669" t="s">
        <v>441</v>
      </c>
      <c r="F1669">
        <v>0</v>
      </c>
      <c r="G1669">
        <v>10.199999999999999</v>
      </c>
      <c r="H1669" t="s">
        <v>8580</v>
      </c>
      <c r="I1669">
        <v>6</v>
      </c>
      <c r="J1669" t="s">
        <v>445</v>
      </c>
      <c r="K1669" t="s">
        <v>446</v>
      </c>
      <c r="M1669">
        <v>2311</v>
      </c>
    </row>
    <row r="1670" spans="1:14">
      <c r="A1670">
        <v>12730000</v>
      </c>
      <c r="B1670">
        <v>3014149</v>
      </c>
      <c r="C1670" t="s">
        <v>1223</v>
      </c>
      <c r="D1670" t="s">
        <v>441</v>
      </c>
      <c r="F1670">
        <v>0</v>
      </c>
      <c r="G1670">
        <v>9.6300000000000008</v>
      </c>
      <c r="H1670" t="s">
        <v>8634</v>
      </c>
      <c r="I1670">
        <v>6</v>
      </c>
      <c r="J1670" t="s">
        <v>445</v>
      </c>
      <c r="K1670" t="s">
        <v>446</v>
      </c>
      <c r="M1670">
        <v>2311</v>
      </c>
    </row>
    <row r="1671" spans="1:14">
      <c r="A1671">
        <v>12740000</v>
      </c>
      <c r="B1671">
        <v>3014145</v>
      </c>
      <c r="C1671" t="s">
        <v>1224</v>
      </c>
      <c r="D1671" t="s">
        <v>441</v>
      </c>
      <c r="F1671">
        <v>0</v>
      </c>
      <c r="G1671">
        <v>7.61</v>
      </c>
      <c r="H1671" t="s">
        <v>8634</v>
      </c>
      <c r="I1671">
        <v>6</v>
      </c>
      <c r="J1671" t="s">
        <v>445</v>
      </c>
      <c r="M1671">
        <v>2391</v>
      </c>
      <c r="N1671" t="s">
        <v>16011</v>
      </c>
    </row>
    <row r="1672" spans="1:14">
      <c r="A1672">
        <v>12740007</v>
      </c>
      <c r="B1672">
        <v>3024877</v>
      </c>
      <c r="C1672" t="s">
        <v>9330</v>
      </c>
      <c r="D1672" t="s">
        <v>441</v>
      </c>
      <c r="F1672">
        <v>0</v>
      </c>
      <c r="G1672">
        <v>11.34</v>
      </c>
      <c r="I1672">
        <v>6</v>
      </c>
      <c r="J1672" t="s">
        <v>445</v>
      </c>
      <c r="K1672" t="s">
        <v>446</v>
      </c>
      <c r="M1672">
        <v>3111</v>
      </c>
      <c r="N1672" t="s">
        <v>16011</v>
      </c>
    </row>
    <row r="1673" spans="1:14">
      <c r="A1673">
        <v>12741000</v>
      </c>
      <c r="B1673">
        <v>3017564</v>
      </c>
      <c r="C1673" t="s">
        <v>1225</v>
      </c>
      <c r="D1673" t="s">
        <v>441</v>
      </c>
      <c r="F1673">
        <v>0</v>
      </c>
      <c r="G1673">
        <v>7.61</v>
      </c>
      <c r="I1673">
        <v>6</v>
      </c>
      <c r="J1673" t="s">
        <v>445</v>
      </c>
      <c r="M1673">
        <v>2391</v>
      </c>
      <c r="N1673" t="s">
        <v>16011</v>
      </c>
    </row>
    <row r="1674" spans="1:14">
      <c r="A1674">
        <v>12741007</v>
      </c>
      <c r="B1674">
        <v>3024878</v>
      </c>
      <c r="C1674" t="s">
        <v>9331</v>
      </c>
      <c r="D1674" t="s">
        <v>441</v>
      </c>
      <c r="F1674">
        <v>0</v>
      </c>
      <c r="G1674">
        <v>11.34</v>
      </c>
      <c r="H1674" t="s">
        <v>8584</v>
      </c>
      <c r="I1674">
        <v>6</v>
      </c>
      <c r="J1674" t="s">
        <v>445</v>
      </c>
      <c r="K1674" t="s">
        <v>446</v>
      </c>
      <c r="M1674">
        <v>3111</v>
      </c>
      <c r="N1674" t="s">
        <v>16011</v>
      </c>
    </row>
    <row r="1675" spans="1:14">
      <c r="A1675">
        <v>12750000</v>
      </c>
      <c r="B1675">
        <v>3007550</v>
      </c>
      <c r="C1675" t="s">
        <v>1226</v>
      </c>
      <c r="D1675" t="s">
        <v>441</v>
      </c>
      <c r="F1675">
        <v>0</v>
      </c>
      <c r="G1675">
        <v>10.14</v>
      </c>
      <c r="H1675" t="s">
        <v>8580</v>
      </c>
      <c r="I1675">
        <v>6</v>
      </c>
      <c r="J1675" t="s">
        <v>445</v>
      </c>
      <c r="K1675" t="s">
        <v>446</v>
      </c>
      <c r="M1675">
        <v>0</v>
      </c>
    </row>
    <row r="1676" spans="1:14">
      <c r="A1676">
        <v>12750002</v>
      </c>
      <c r="B1676">
        <v>3007551</v>
      </c>
      <c r="C1676" t="s">
        <v>1227</v>
      </c>
      <c r="D1676" t="s">
        <v>441</v>
      </c>
      <c r="F1676">
        <v>0</v>
      </c>
      <c r="G1676">
        <v>10.58</v>
      </c>
      <c r="H1676" t="s">
        <v>8580</v>
      </c>
      <c r="I1676">
        <v>365</v>
      </c>
      <c r="J1676" t="s">
        <v>445</v>
      </c>
      <c r="K1676" t="s">
        <v>446</v>
      </c>
      <c r="M1676">
        <v>2501</v>
      </c>
    </row>
    <row r="1677" spans="1:14">
      <c r="A1677">
        <v>12750502</v>
      </c>
      <c r="B1677">
        <v>3007552</v>
      </c>
      <c r="C1677" t="s">
        <v>1228</v>
      </c>
      <c r="D1677" t="s">
        <v>441</v>
      </c>
      <c r="F1677">
        <v>0</v>
      </c>
      <c r="G1677">
        <v>10.19</v>
      </c>
      <c r="H1677" t="s">
        <v>8580</v>
      </c>
      <c r="I1677">
        <v>6</v>
      </c>
      <c r="J1677" t="s">
        <v>445</v>
      </c>
      <c r="K1677" t="s">
        <v>446</v>
      </c>
      <c r="M1677">
        <v>2641</v>
      </c>
    </row>
    <row r="1678" spans="1:14">
      <c r="A1678">
        <v>12760000</v>
      </c>
      <c r="B1678">
        <v>3007553</v>
      </c>
      <c r="C1678" t="s">
        <v>1229</v>
      </c>
      <c r="D1678" t="s">
        <v>441</v>
      </c>
      <c r="F1678">
        <v>0</v>
      </c>
      <c r="G1678">
        <v>10.16</v>
      </c>
      <c r="H1678" t="s">
        <v>8580</v>
      </c>
      <c r="I1678">
        <v>6</v>
      </c>
      <c r="J1678" t="s">
        <v>445</v>
      </c>
      <c r="K1678" t="s">
        <v>446</v>
      </c>
      <c r="M1678">
        <v>0</v>
      </c>
    </row>
    <row r="1679" spans="1:14">
      <c r="A1679">
        <v>12760002</v>
      </c>
      <c r="B1679">
        <v>3007554</v>
      </c>
      <c r="C1679" t="s">
        <v>1230</v>
      </c>
      <c r="D1679" t="s">
        <v>441</v>
      </c>
      <c r="F1679">
        <v>0</v>
      </c>
      <c r="G1679">
        <v>10.99</v>
      </c>
      <c r="H1679" t="s">
        <v>8580</v>
      </c>
      <c r="I1679">
        <v>365</v>
      </c>
      <c r="J1679" t="s">
        <v>445</v>
      </c>
      <c r="K1679" t="s">
        <v>446</v>
      </c>
      <c r="M1679">
        <v>2501</v>
      </c>
    </row>
    <row r="1680" spans="1:14">
      <c r="A1680">
        <v>12760502</v>
      </c>
      <c r="B1680">
        <v>3007555</v>
      </c>
      <c r="C1680" t="s">
        <v>1231</v>
      </c>
      <c r="D1680" t="s">
        <v>441</v>
      </c>
      <c r="F1680">
        <v>0</v>
      </c>
      <c r="G1680">
        <v>10.59</v>
      </c>
      <c r="H1680" t="s">
        <v>8580</v>
      </c>
      <c r="I1680">
        <v>6</v>
      </c>
      <c r="J1680" t="s">
        <v>445</v>
      </c>
      <c r="K1680" t="s">
        <v>446</v>
      </c>
      <c r="M1680">
        <v>2641</v>
      </c>
    </row>
    <row r="1681" spans="1:14">
      <c r="A1681">
        <v>12770000</v>
      </c>
      <c r="B1681">
        <v>3014144</v>
      </c>
      <c r="C1681" t="s">
        <v>1232</v>
      </c>
      <c r="D1681" t="s">
        <v>441</v>
      </c>
      <c r="F1681">
        <v>0</v>
      </c>
      <c r="G1681">
        <v>9.6300000000000008</v>
      </c>
      <c r="H1681" t="s">
        <v>8634</v>
      </c>
      <c r="I1681">
        <v>6</v>
      </c>
      <c r="J1681" t="s">
        <v>445</v>
      </c>
      <c r="K1681" t="s">
        <v>446</v>
      </c>
      <c r="M1681">
        <v>2311</v>
      </c>
    </row>
    <row r="1682" spans="1:14">
      <c r="A1682">
        <v>12780000</v>
      </c>
      <c r="B1682">
        <v>3014150</v>
      </c>
      <c r="C1682" t="s">
        <v>1233</v>
      </c>
      <c r="D1682" t="s">
        <v>441</v>
      </c>
      <c r="F1682">
        <v>0</v>
      </c>
      <c r="G1682">
        <v>7.61</v>
      </c>
      <c r="H1682" t="s">
        <v>8634</v>
      </c>
      <c r="I1682">
        <v>6</v>
      </c>
      <c r="J1682" t="s">
        <v>445</v>
      </c>
      <c r="M1682">
        <v>2391</v>
      </c>
      <c r="N1682" t="s">
        <v>16009</v>
      </c>
    </row>
    <row r="1683" spans="1:14">
      <c r="A1683">
        <v>12781000</v>
      </c>
      <c r="B1683">
        <v>3017568</v>
      </c>
      <c r="C1683" t="s">
        <v>1234</v>
      </c>
      <c r="D1683" t="s">
        <v>441</v>
      </c>
      <c r="F1683">
        <v>0</v>
      </c>
      <c r="G1683">
        <v>7.61</v>
      </c>
      <c r="I1683">
        <v>6</v>
      </c>
      <c r="J1683" t="s">
        <v>445</v>
      </c>
      <c r="M1683">
        <v>2391</v>
      </c>
      <c r="N1683" t="s">
        <v>16009</v>
      </c>
    </row>
    <row r="1684" spans="1:14">
      <c r="A1684">
        <v>12790000</v>
      </c>
      <c r="B1684">
        <v>3007556</v>
      </c>
      <c r="C1684" t="s">
        <v>1235</v>
      </c>
      <c r="D1684" t="s">
        <v>441</v>
      </c>
      <c r="F1684">
        <v>0</v>
      </c>
      <c r="G1684">
        <v>11.64</v>
      </c>
      <c r="H1684" t="s">
        <v>8580</v>
      </c>
      <c r="I1684">
        <v>6</v>
      </c>
      <c r="J1684" t="s">
        <v>445</v>
      </c>
      <c r="K1684" t="s">
        <v>446</v>
      </c>
      <c r="M1684">
        <v>0</v>
      </c>
    </row>
    <row r="1685" spans="1:14">
      <c r="A1685">
        <v>12800000</v>
      </c>
      <c r="B1685">
        <v>3016304</v>
      </c>
      <c r="C1685" t="s">
        <v>17375</v>
      </c>
      <c r="D1685" t="s">
        <v>441</v>
      </c>
      <c r="F1685">
        <v>0</v>
      </c>
      <c r="G1685">
        <v>18.420000000000002</v>
      </c>
      <c r="H1685" t="s">
        <v>8588</v>
      </c>
      <c r="I1685">
        <v>6</v>
      </c>
      <c r="J1685" t="s">
        <v>445</v>
      </c>
      <c r="M1685">
        <v>2391</v>
      </c>
      <c r="N1685" t="s">
        <v>16023</v>
      </c>
    </row>
    <row r="1686" spans="1:14">
      <c r="A1686">
        <v>12800002</v>
      </c>
      <c r="B1686">
        <v>3007558</v>
      </c>
      <c r="C1686" t="s">
        <v>1236</v>
      </c>
      <c r="D1686" t="s">
        <v>441</v>
      </c>
      <c r="F1686">
        <v>0</v>
      </c>
      <c r="G1686">
        <v>11.83</v>
      </c>
      <c r="I1686">
        <v>540</v>
      </c>
      <c r="J1686" t="s">
        <v>445</v>
      </c>
      <c r="K1686" t="s">
        <v>446</v>
      </c>
      <c r="M1686">
        <v>2501</v>
      </c>
      <c r="N1686" t="s">
        <v>16023</v>
      </c>
    </row>
    <row r="1687" spans="1:14">
      <c r="A1687">
        <v>12800007</v>
      </c>
      <c r="B1687">
        <v>3024879</v>
      </c>
      <c r="C1687" t="s">
        <v>17376</v>
      </c>
      <c r="D1687" t="s">
        <v>441</v>
      </c>
      <c r="F1687">
        <v>0</v>
      </c>
      <c r="G1687">
        <v>18.61</v>
      </c>
      <c r="H1687" t="s">
        <v>8588</v>
      </c>
      <c r="I1687">
        <v>6</v>
      </c>
      <c r="J1687" t="s">
        <v>445</v>
      </c>
      <c r="M1687">
        <v>3111</v>
      </c>
      <c r="N1687" t="s">
        <v>16023</v>
      </c>
    </row>
    <row r="1688" spans="1:14">
      <c r="A1688">
        <v>12800100</v>
      </c>
      <c r="B1688">
        <v>3034783</v>
      </c>
      <c r="C1688" t="s">
        <v>1237</v>
      </c>
      <c r="D1688" t="s">
        <v>441</v>
      </c>
      <c r="F1688">
        <v>0</v>
      </c>
      <c r="H1688" t="s">
        <v>8588</v>
      </c>
      <c r="I1688">
        <v>6</v>
      </c>
      <c r="J1688" t="s">
        <v>445</v>
      </c>
      <c r="M1688">
        <v>7161</v>
      </c>
      <c r="N1688" t="s">
        <v>16023</v>
      </c>
    </row>
    <row r="1689" spans="1:14">
      <c r="A1689">
        <v>12800502</v>
      </c>
      <c r="B1689">
        <v>3007559</v>
      </c>
      <c r="C1689" t="s">
        <v>1238</v>
      </c>
      <c r="D1689" t="s">
        <v>441</v>
      </c>
      <c r="F1689">
        <v>0</v>
      </c>
      <c r="G1689">
        <v>13.06</v>
      </c>
      <c r="I1689">
        <v>6</v>
      </c>
      <c r="J1689" t="s">
        <v>445</v>
      </c>
      <c r="K1689" t="s">
        <v>446</v>
      </c>
      <c r="M1689">
        <v>2641</v>
      </c>
      <c r="N1689" t="s">
        <v>16023</v>
      </c>
    </row>
    <row r="1690" spans="1:14">
      <c r="A1690">
        <v>12800900</v>
      </c>
      <c r="B1690">
        <v>3020238</v>
      </c>
      <c r="C1690" t="s">
        <v>17377</v>
      </c>
      <c r="D1690" t="s">
        <v>441</v>
      </c>
      <c r="F1690">
        <v>0</v>
      </c>
      <c r="G1690">
        <v>0</v>
      </c>
      <c r="H1690" t="s">
        <v>8634</v>
      </c>
      <c r="I1690">
        <v>6</v>
      </c>
      <c r="J1690" t="s">
        <v>445</v>
      </c>
      <c r="M1690">
        <v>6666</v>
      </c>
      <c r="N1690" t="s">
        <v>16023</v>
      </c>
    </row>
    <row r="1691" spans="1:14">
      <c r="A1691">
        <v>12800907</v>
      </c>
      <c r="B1691">
        <v>3025139</v>
      </c>
      <c r="C1691" t="s">
        <v>17378</v>
      </c>
      <c r="D1691" t="s">
        <v>441</v>
      </c>
      <c r="F1691">
        <v>0</v>
      </c>
      <c r="G1691">
        <v>0</v>
      </c>
      <c r="H1691" t="s">
        <v>8935</v>
      </c>
      <c r="I1691">
        <v>6</v>
      </c>
      <c r="J1691" t="s">
        <v>445</v>
      </c>
      <c r="M1691">
        <v>6666</v>
      </c>
      <c r="N1691" t="s">
        <v>16023</v>
      </c>
    </row>
    <row r="1692" spans="1:14">
      <c r="A1692">
        <v>12810000</v>
      </c>
      <c r="B1692">
        <v>3007560</v>
      </c>
      <c r="C1692" t="s">
        <v>1239</v>
      </c>
      <c r="D1692" t="s">
        <v>441</v>
      </c>
      <c r="F1692">
        <v>0</v>
      </c>
      <c r="G1692">
        <v>10.83</v>
      </c>
      <c r="H1692" t="s">
        <v>8549</v>
      </c>
      <c r="I1692">
        <v>5</v>
      </c>
      <c r="J1692" t="s">
        <v>445</v>
      </c>
      <c r="K1692" t="s">
        <v>446</v>
      </c>
      <c r="M1692">
        <v>0</v>
      </c>
    </row>
    <row r="1693" spans="1:14">
      <c r="A1693">
        <v>12820000</v>
      </c>
      <c r="B1693">
        <v>3007561</v>
      </c>
      <c r="C1693" t="s">
        <v>1240</v>
      </c>
      <c r="D1693" t="s">
        <v>441</v>
      </c>
      <c r="F1693">
        <v>0</v>
      </c>
      <c r="G1693">
        <v>9.9600000000000009</v>
      </c>
      <c r="I1693">
        <v>5</v>
      </c>
      <c r="J1693" t="s">
        <v>445</v>
      </c>
      <c r="K1693" t="s">
        <v>446</v>
      </c>
      <c r="M1693">
        <v>0</v>
      </c>
    </row>
    <row r="1694" spans="1:14">
      <c r="A1694">
        <v>12830000</v>
      </c>
      <c r="B1694">
        <v>3014335</v>
      </c>
      <c r="C1694" t="s">
        <v>1241</v>
      </c>
      <c r="D1694" t="s">
        <v>441</v>
      </c>
      <c r="F1694">
        <v>0</v>
      </c>
      <c r="G1694">
        <v>6.3</v>
      </c>
      <c r="H1694" t="s">
        <v>8549</v>
      </c>
      <c r="I1694">
        <v>6</v>
      </c>
      <c r="J1694" t="s">
        <v>445</v>
      </c>
      <c r="M1694">
        <v>2391</v>
      </c>
      <c r="N1694" t="s">
        <v>16013</v>
      </c>
    </row>
    <row r="1695" spans="1:14">
      <c r="A1695">
        <v>12830007</v>
      </c>
      <c r="B1695">
        <v>3024880</v>
      </c>
      <c r="C1695" t="s">
        <v>9332</v>
      </c>
      <c r="D1695" t="s">
        <v>441</v>
      </c>
      <c r="F1695">
        <v>0</v>
      </c>
      <c r="G1695">
        <v>9.31</v>
      </c>
      <c r="H1695" t="s">
        <v>8584</v>
      </c>
      <c r="I1695">
        <v>6</v>
      </c>
      <c r="J1695" t="s">
        <v>445</v>
      </c>
      <c r="K1695" t="s">
        <v>446</v>
      </c>
      <c r="M1695">
        <v>3111</v>
      </c>
      <c r="N1695" t="s">
        <v>16013</v>
      </c>
    </row>
    <row r="1696" spans="1:14">
      <c r="A1696">
        <v>12830076</v>
      </c>
      <c r="B1696">
        <v>4028055</v>
      </c>
      <c r="C1696" t="s">
        <v>1242</v>
      </c>
      <c r="D1696" t="s">
        <v>441</v>
      </c>
      <c r="F1696">
        <v>0</v>
      </c>
      <c r="G1696">
        <v>11.19</v>
      </c>
      <c r="H1696" t="s">
        <v>8549</v>
      </c>
      <c r="I1696">
        <v>6</v>
      </c>
      <c r="J1696" t="s">
        <v>462</v>
      </c>
      <c r="M1696">
        <v>7112</v>
      </c>
      <c r="N1696" t="s">
        <v>16013</v>
      </c>
    </row>
    <row r="1697" spans="1:14">
      <c r="A1697">
        <v>12831000</v>
      </c>
      <c r="B1697">
        <v>3017575</v>
      </c>
      <c r="C1697" t="s">
        <v>1243</v>
      </c>
      <c r="D1697" t="s">
        <v>441</v>
      </c>
      <c r="F1697">
        <v>0</v>
      </c>
      <c r="G1697">
        <v>6.3</v>
      </c>
      <c r="H1697" t="s">
        <v>8549</v>
      </c>
      <c r="I1697">
        <v>6</v>
      </c>
      <c r="J1697" t="s">
        <v>445</v>
      </c>
      <c r="M1697">
        <v>2391</v>
      </c>
      <c r="N1697" t="s">
        <v>16013</v>
      </c>
    </row>
    <row r="1698" spans="1:14">
      <c r="A1698">
        <v>12831007</v>
      </c>
      <c r="B1698">
        <v>3024881</v>
      </c>
      <c r="C1698" t="s">
        <v>9333</v>
      </c>
      <c r="D1698" t="s">
        <v>441</v>
      </c>
      <c r="F1698">
        <v>0</v>
      </c>
      <c r="G1698">
        <v>9.31</v>
      </c>
      <c r="I1698">
        <v>6</v>
      </c>
      <c r="J1698" t="s">
        <v>445</v>
      </c>
      <c r="K1698" t="s">
        <v>446</v>
      </c>
      <c r="M1698">
        <v>3111</v>
      </c>
      <c r="N1698" t="s">
        <v>16013</v>
      </c>
    </row>
    <row r="1699" spans="1:14">
      <c r="A1699">
        <v>12840000</v>
      </c>
      <c r="B1699">
        <v>3007562</v>
      </c>
      <c r="C1699" t="s">
        <v>1244</v>
      </c>
      <c r="D1699" t="s">
        <v>441</v>
      </c>
      <c r="F1699">
        <v>0</v>
      </c>
      <c r="G1699">
        <v>11.33</v>
      </c>
      <c r="H1699" t="s">
        <v>8549</v>
      </c>
      <c r="I1699">
        <v>6</v>
      </c>
      <c r="J1699" t="s">
        <v>445</v>
      </c>
      <c r="K1699" t="s">
        <v>446</v>
      </c>
      <c r="M1699">
        <v>0</v>
      </c>
    </row>
    <row r="1700" spans="1:14">
      <c r="A1700">
        <v>12850000</v>
      </c>
      <c r="B1700">
        <v>3012345</v>
      </c>
      <c r="C1700" t="s">
        <v>9334</v>
      </c>
      <c r="D1700" t="s">
        <v>441</v>
      </c>
      <c r="F1700">
        <v>0</v>
      </c>
      <c r="G1700">
        <v>11.57</v>
      </c>
      <c r="H1700" t="s">
        <v>8580</v>
      </c>
      <c r="I1700">
        <v>6</v>
      </c>
      <c r="J1700" t="s">
        <v>445</v>
      </c>
      <c r="K1700" t="s">
        <v>446</v>
      </c>
      <c r="M1700">
        <v>2311</v>
      </c>
    </row>
    <row r="1701" spans="1:14">
      <c r="A1701">
        <v>12860000</v>
      </c>
      <c r="B1701">
        <v>3012349</v>
      </c>
      <c r="C1701" t="s">
        <v>1245</v>
      </c>
      <c r="D1701" t="s">
        <v>441</v>
      </c>
      <c r="F1701">
        <v>0</v>
      </c>
      <c r="G1701">
        <v>8.94</v>
      </c>
      <c r="H1701" t="s">
        <v>8580</v>
      </c>
      <c r="I1701">
        <v>6</v>
      </c>
      <c r="J1701" t="s">
        <v>445</v>
      </c>
      <c r="M1701">
        <v>2391</v>
      </c>
      <c r="N1701" t="s">
        <v>16012</v>
      </c>
    </row>
    <row r="1702" spans="1:14">
      <c r="A1702">
        <v>12860007</v>
      </c>
      <c r="B1702">
        <v>3024882</v>
      </c>
      <c r="C1702" t="s">
        <v>1246</v>
      </c>
      <c r="D1702" t="s">
        <v>441</v>
      </c>
      <c r="F1702">
        <v>0</v>
      </c>
      <c r="G1702">
        <v>9.0500000000000007</v>
      </c>
      <c r="H1702" t="s">
        <v>8584</v>
      </c>
      <c r="I1702">
        <v>6</v>
      </c>
      <c r="J1702" t="s">
        <v>445</v>
      </c>
      <c r="M1702">
        <v>2391</v>
      </c>
      <c r="N1702" t="s">
        <v>16012</v>
      </c>
    </row>
    <row r="1703" spans="1:14">
      <c r="A1703">
        <v>12860087</v>
      </c>
      <c r="B1703">
        <v>4021072</v>
      </c>
      <c r="C1703" t="s">
        <v>1247</v>
      </c>
      <c r="D1703" t="s">
        <v>441</v>
      </c>
      <c r="F1703">
        <v>0</v>
      </c>
      <c r="G1703">
        <v>9.06</v>
      </c>
      <c r="H1703" t="s">
        <v>8588</v>
      </c>
      <c r="I1703">
        <v>6</v>
      </c>
      <c r="J1703" t="s">
        <v>462</v>
      </c>
      <c r="M1703">
        <v>7112</v>
      </c>
      <c r="N1703" t="s">
        <v>16012</v>
      </c>
    </row>
    <row r="1704" spans="1:14">
      <c r="A1704">
        <v>12861000</v>
      </c>
      <c r="B1704">
        <v>3017522</v>
      </c>
      <c r="C1704" t="s">
        <v>1248</v>
      </c>
      <c r="D1704" t="s">
        <v>441</v>
      </c>
      <c r="F1704">
        <v>0</v>
      </c>
      <c r="G1704">
        <v>8.94</v>
      </c>
      <c r="H1704" t="s">
        <v>8637</v>
      </c>
      <c r="I1704">
        <v>6</v>
      </c>
      <c r="J1704" t="s">
        <v>445</v>
      </c>
      <c r="M1704">
        <v>2391</v>
      </c>
      <c r="N1704" t="s">
        <v>16012</v>
      </c>
    </row>
    <row r="1705" spans="1:14">
      <c r="A1705">
        <v>12861007</v>
      </c>
      <c r="B1705">
        <v>3024883</v>
      </c>
      <c r="C1705" t="s">
        <v>1249</v>
      </c>
      <c r="D1705" t="s">
        <v>441</v>
      </c>
      <c r="F1705">
        <v>0</v>
      </c>
      <c r="G1705">
        <v>14.12</v>
      </c>
      <c r="I1705">
        <v>6</v>
      </c>
      <c r="J1705" t="s">
        <v>445</v>
      </c>
      <c r="K1705" t="s">
        <v>446</v>
      </c>
      <c r="M1705">
        <v>3111</v>
      </c>
      <c r="N1705" t="s">
        <v>16012</v>
      </c>
    </row>
    <row r="1706" spans="1:14">
      <c r="A1706">
        <v>12870000</v>
      </c>
      <c r="B1706">
        <v>3014337</v>
      </c>
      <c r="C1706" t="s">
        <v>1250</v>
      </c>
      <c r="D1706" t="s">
        <v>441</v>
      </c>
      <c r="F1706">
        <v>0</v>
      </c>
      <c r="G1706">
        <v>7.59</v>
      </c>
      <c r="I1706">
        <v>6</v>
      </c>
      <c r="J1706" t="s">
        <v>445</v>
      </c>
      <c r="M1706">
        <v>2391</v>
      </c>
      <c r="N1706" t="s">
        <v>16014</v>
      </c>
    </row>
    <row r="1707" spans="1:14">
      <c r="A1707">
        <v>12870007</v>
      </c>
      <c r="B1707">
        <v>3024884</v>
      </c>
      <c r="C1707" t="s">
        <v>1251</v>
      </c>
      <c r="D1707" t="s">
        <v>441</v>
      </c>
      <c r="F1707">
        <v>0</v>
      </c>
      <c r="G1707">
        <v>7.77</v>
      </c>
      <c r="H1707" t="s">
        <v>8637</v>
      </c>
      <c r="I1707">
        <v>6</v>
      </c>
      <c r="J1707" t="s">
        <v>445</v>
      </c>
      <c r="M1707">
        <v>2391</v>
      </c>
      <c r="N1707" t="s">
        <v>16014</v>
      </c>
    </row>
    <row r="1708" spans="1:14">
      <c r="A1708">
        <v>12871000</v>
      </c>
      <c r="B1708">
        <v>3017577</v>
      </c>
      <c r="C1708" t="s">
        <v>1252</v>
      </c>
      <c r="D1708" t="s">
        <v>441</v>
      </c>
      <c r="F1708">
        <v>0</v>
      </c>
      <c r="G1708">
        <v>7.59</v>
      </c>
      <c r="H1708" t="s">
        <v>8549</v>
      </c>
      <c r="I1708">
        <v>6</v>
      </c>
      <c r="J1708" t="s">
        <v>445</v>
      </c>
      <c r="M1708">
        <v>2391</v>
      </c>
      <c r="N1708" t="s">
        <v>16014</v>
      </c>
    </row>
    <row r="1709" spans="1:14">
      <c r="A1709">
        <v>12871007</v>
      </c>
      <c r="B1709">
        <v>3024885</v>
      </c>
      <c r="C1709" t="s">
        <v>9335</v>
      </c>
      <c r="D1709" t="s">
        <v>441</v>
      </c>
      <c r="F1709">
        <v>0</v>
      </c>
      <c r="G1709">
        <v>11.31</v>
      </c>
      <c r="I1709">
        <v>6</v>
      </c>
      <c r="J1709" t="s">
        <v>445</v>
      </c>
      <c r="K1709" t="s">
        <v>446</v>
      </c>
      <c r="M1709">
        <v>3111</v>
      </c>
      <c r="N1709" t="s">
        <v>16014</v>
      </c>
    </row>
    <row r="1710" spans="1:14">
      <c r="A1710">
        <v>12880000</v>
      </c>
      <c r="B1710">
        <v>3014344</v>
      </c>
      <c r="C1710" t="s">
        <v>9336</v>
      </c>
      <c r="D1710" t="s">
        <v>441</v>
      </c>
      <c r="F1710">
        <v>0</v>
      </c>
      <c r="G1710">
        <v>13.11</v>
      </c>
      <c r="I1710">
        <v>6</v>
      </c>
      <c r="J1710" t="s">
        <v>445</v>
      </c>
      <c r="K1710" t="s">
        <v>446</v>
      </c>
      <c r="M1710">
        <v>2311</v>
      </c>
      <c r="N1710" t="s">
        <v>16015</v>
      </c>
    </row>
    <row r="1711" spans="1:14">
      <c r="A1711">
        <v>12880007</v>
      </c>
      <c r="B1711">
        <v>3024886</v>
      </c>
      <c r="C1711" t="s">
        <v>9337</v>
      </c>
      <c r="D1711" t="s">
        <v>441</v>
      </c>
      <c r="F1711">
        <v>0</v>
      </c>
      <c r="G1711">
        <v>12.79</v>
      </c>
      <c r="H1711" t="s">
        <v>8637</v>
      </c>
      <c r="I1711">
        <v>6</v>
      </c>
      <c r="J1711" t="s">
        <v>445</v>
      </c>
      <c r="K1711" t="s">
        <v>446</v>
      </c>
      <c r="M1711">
        <v>3111</v>
      </c>
      <c r="N1711" t="s">
        <v>16015</v>
      </c>
    </row>
    <row r="1712" spans="1:14">
      <c r="A1712">
        <v>12881000</v>
      </c>
      <c r="B1712">
        <v>3017582</v>
      </c>
      <c r="C1712" t="s">
        <v>9338</v>
      </c>
      <c r="D1712" t="s">
        <v>441</v>
      </c>
      <c r="F1712">
        <v>0</v>
      </c>
      <c r="G1712">
        <v>13.11</v>
      </c>
      <c r="I1712">
        <v>6</v>
      </c>
      <c r="J1712" t="s">
        <v>445</v>
      </c>
      <c r="K1712" t="s">
        <v>446</v>
      </c>
      <c r="M1712">
        <v>2311</v>
      </c>
      <c r="N1712" t="s">
        <v>16015</v>
      </c>
    </row>
    <row r="1713" spans="1:14">
      <c r="A1713">
        <v>12881007</v>
      </c>
      <c r="B1713">
        <v>3024887</v>
      </c>
      <c r="C1713" t="s">
        <v>9339</v>
      </c>
      <c r="D1713" t="s">
        <v>441</v>
      </c>
      <c r="F1713">
        <v>0</v>
      </c>
      <c r="G1713">
        <v>12.79</v>
      </c>
      <c r="I1713">
        <v>6</v>
      </c>
      <c r="J1713" t="s">
        <v>445</v>
      </c>
      <c r="K1713" t="s">
        <v>446</v>
      </c>
      <c r="M1713">
        <v>3111</v>
      </c>
      <c r="N1713" t="s">
        <v>16015</v>
      </c>
    </row>
    <row r="1714" spans="1:14">
      <c r="A1714">
        <v>12890000</v>
      </c>
      <c r="B1714">
        <v>3027274</v>
      </c>
      <c r="C1714" t="s">
        <v>1253</v>
      </c>
      <c r="D1714" t="s">
        <v>441</v>
      </c>
      <c r="F1714">
        <v>0</v>
      </c>
      <c r="G1714">
        <v>8.15</v>
      </c>
      <c r="H1714" t="s">
        <v>8588</v>
      </c>
      <c r="I1714">
        <v>6</v>
      </c>
      <c r="J1714" t="s">
        <v>445</v>
      </c>
      <c r="M1714">
        <v>2391</v>
      </c>
      <c r="N1714" t="s">
        <v>16024</v>
      </c>
    </row>
    <row r="1715" spans="1:14">
      <c r="A1715">
        <v>12890007</v>
      </c>
      <c r="B1715">
        <v>3028079</v>
      </c>
      <c r="C1715" t="s">
        <v>9340</v>
      </c>
      <c r="D1715" t="s">
        <v>441</v>
      </c>
      <c r="F1715">
        <v>0</v>
      </c>
      <c r="G1715">
        <v>12.43</v>
      </c>
      <c r="H1715" t="s">
        <v>8588</v>
      </c>
      <c r="I1715">
        <v>6</v>
      </c>
      <c r="J1715" t="s">
        <v>445</v>
      </c>
      <c r="K1715" t="s">
        <v>446</v>
      </c>
      <c r="M1715">
        <v>2641</v>
      </c>
      <c r="N1715" t="s">
        <v>16024</v>
      </c>
    </row>
    <row r="1716" spans="1:14">
      <c r="A1716">
        <v>12900000</v>
      </c>
      <c r="B1716">
        <v>3007563</v>
      </c>
      <c r="C1716" t="s">
        <v>9341</v>
      </c>
      <c r="D1716" t="s">
        <v>441</v>
      </c>
      <c r="F1716">
        <v>0</v>
      </c>
      <c r="G1716">
        <v>8.39</v>
      </c>
      <c r="I1716">
        <v>5</v>
      </c>
      <c r="J1716" t="s">
        <v>445</v>
      </c>
      <c r="K1716" t="s">
        <v>446</v>
      </c>
      <c r="M1716">
        <v>0</v>
      </c>
    </row>
    <row r="1717" spans="1:14">
      <c r="A1717">
        <v>12910000</v>
      </c>
      <c r="B1717">
        <v>3021339</v>
      </c>
      <c r="C1717" t="s">
        <v>1254</v>
      </c>
      <c r="D1717" t="s">
        <v>441</v>
      </c>
      <c r="F1717">
        <v>0</v>
      </c>
      <c r="G1717">
        <v>8.5500000000000007</v>
      </c>
      <c r="H1717" t="s">
        <v>8588</v>
      </c>
      <c r="I1717">
        <v>6</v>
      </c>
      <c r="J1717" t="s">
        <v>445</v>
      </c>
      <c r="M1717">
        <v>2391</v>
      </c>
      <c r="N1717" t="s">
        <v>16037</v>
      </c>
    </row>
    <row r="1718" spans="1:14">
      <c r="A1718">
        <v>12910075</v>
      </c>
      <c r="B1718">
        <v>4013983</v>
      </c>
      <c r="C1718" t="s">
        <v>1255</v>
      </c>
      <c r="D1718" t="s">
        <v>441</v>
      </c>
      <c r="F1718">
        <v>0</v>
      </c>
      <c r="G1718">
        <v>13.37</v>
      </c>
      <c r="H1718" t="s">
        <v>8588</v>
      </c>
      <c r="I1718">
        <v>6</v>
      </c>
      <c r="J1718" t="s">
        <v>462</v>
      </c>
      <c r="K1718" t="s">
        <v>446</v>
      </c>
      <c r="L1718">
        <v>11020</v>
      </c>
      <c r="M1718">
        <v>2641</v>
      </c>
      <c r="N1718" t="s">
        <v>16037</v>
      </c>
    </row>
    <row r="1719" spans="1:14">
      <c r="A1719">
        <v>12911000</v>
      </c>
      <c r="B1719">
        <v>3021410</v>
      </c>
      <c r="C1719" t="s">
        <v>1256</v>
      </c>
      <c r="D1719" t="s">
        <v>441</v>
      </c>
      <c r="F1719">
        <v>0</v>
      </c>
      <c r="G1719">
        <v>8.5500000000000007</v>
      </c>
      <c r="H1719" t="s">
        <v>8588</v>
      </c>
      <c r="I1719">
        <v>6</v>
      </c>
      <c r="J1719" t="s">
        <v>445</v>
      </c>
      <c r="M1719">
        <v>2391</v>
      </c>
      <c r="N1719" t="s">
        <v>16037</v>
      </c>
    </row>
    <row r="1720" spans="1:14">
      <c r="A1720">
        <v>12911075</v>
      </c>
      <c r="B1720">
        <v>4013984</v>
      </c>
      <c r="C1720" t="s">
        <v>1257</v>
      </c>
      <c r="D1720" t="s">
        <v>441</v>
      </c>
      <c r="F1720">
        <v>0</v>
      </c>
      <c r="G1720">
        <v>13.37</v>
      </c>
      <c r="H1720" t="s">
        <v>8588</v>
      </c>
      <c r="I1720">
        <v>6</v>
      </c>
      <c r="J1720" t="s">
        <v>462</v>
      </c>
      <c r="K1720" t="s">
        <v>446</v>
      </c>
      <c r="L1720">
        <v>11020</v>
      </c>
      <c r="M1720">
        <v>2641</v>
      </c>
      <c r="N1720" t="s">
        <v>16037</v>
      </c>
    </row>
    <row r="1721" spans="1:14">
      <c r="A1721">
        <v>12920000</v>
      </c>
      <c r="B1721">
        <v>3009391</v>
      </c>
      <c r="C1721" t="s">
        <v>9342</v>
      </c>
      <c r="D1721" t="s">
        <v>441</v>
      </c>
      <c r="F1721">
        <v>0</v>
      </c>
      <c r="G1721">
        <v>9.94</v>
      </c>
      <c r="H1721" t="s">
        <v>8549</v>
      </c>
      <c r="I1721">
        <v>6</v>
      </c>
      <c r="J1721" t="s">
        <v>445</v>
      </c>
      <c r="K1721" t="s">
        <v>446</v>
      </c>
      <c r="M1721">
        <v>2311</v>
      </c>
    </row>
    <row r="1722" spans="1:14">
      <c r="A1722">
        <v>12930000</v>
      </c>
      <c r="B1722">
        <v>3015915</v>
      </c>
      <c r="C1722" t="s">
        <v>1258</v>
      </c>
      <c r="D1722" t="s">
        <v>441</v>
      </c>
      <c r="F1722">
        <v>0</v>
      </c>
      <c r="G1722">
        <v>8.24</v>
      </c>
      <c r="H1722" t="s">
        <v>8580</v>
      </c>
      <c r="I1722">
        <v>6</v>
      </c>
      <c r="J1722" t="s">
        <v>445</v>
      </c>
      <c r="M1722">
        <v>2391</v>
      </c>
      <c r="N1722" t="s">
        <v>16022</v>
      </c>
    </row>
    <row r="1723" spans="1:14">
      <c r="A1723">
        <v>12930007</v>
      </c>
      <c r="B1723">
        <v>3024888</v>
      </c>
      <c r="C1723" t="s">
        <v>1259</v>
      </c>
      <c r="D1723" t="s">
        <v>441</v>
      </c>
      <c r="F1723">
        <v>0</v>
      </c>
      <c r="G1723">
        <v>8.35</v>
      </c>
      <c r="H1723" t="s">
        <v>8584</v>
      </c>
      <c r="I1723">
        <v>6</v>
      </c>
      <c r="J1723" t="s">
        <v>445</v>
      </c>
      <c r="M1723">
        <v>3111</v>
      </c>
      <c r="N1723" t="s">
        <v>16022</v>
      </c>
    </row>
    <row r="1724" spans="1:14">
      <c r="A1724">
        <v>12930041</v>
      </c>
      <c r="B1724">
        <v>4013384</v>
      </c>
      <c r="C1724" t="s">
        <v>1260</v>
      </c>
      <c r="D1724" t="s">
        <v>441</v>
      </c>
      <c r="F1724">
        <v>0</v>
      </c>
      <c r="G1724">
        <v>8.92</v>
      </c>
      <c r="H1724" t="s">
        <v>8588</v>
      </c>
      <c r="I1724">
        <v>14</v>
      </c>
      <c r="J1724" t="s">
        <v>462</v>
      </c>
      <c r="L1724">
        <v>2932990</v>
      </c>
      <c r="M1724">
        <v>7112</v>
      </c>
      <c r="N1724" t="s">
        <v>16022</v>
      </c>
    </row>
    <row r="1725" spans="1:14">
      <c r="A1725">
        <v>12930042</v>
      </c>
      <c r="B1725">
        <v>4015550</v>
      </c>
      <c r="C1725" t="s">
        <v>1261</v>
      </c>
      <c r="D1725" t="s">
        <v>441</v>
      </c>
      <c r="F1725">
        <v>0</v>
      </c>
      <c r="G1725">
        <v>9.01</v>
      </c>
      <c r="H1725" t="s">
        <v>8588</v>
      </c>
      <c r="I1725">
        <v>16</v>
      </c>
      <c r="J1725" t="s">
        <v>462</v>
      </c>
      <c r="M1725">
        <v>7112</v>
      </c>
      <c r="N1725" t="s">
        <v>16022</v>
      </c>
    </row>
    <row r="1726" spans="1:14">
      <c r="A1726">
        <v>12930043</v>
      </c>
      <c r="B1726">
        <v>4016259</v>
      </c>
      <c r="C1726" t="s">
        <v>9343</v>
      </c>
      <c r="D1726" t="s">
        <v>441</v>
      </c>
      <c r="F1726">
        <v>0</v>
      </c>
      <c r="G1726">
        <v>13.04</v>
      </c>
      <c r="H1726" t="s">
        <v>8588</v>
      </c>
      <c r="I1726">
        <v>14</v>
      </c>
      <c r="J1726" t="s">
        <v>462</v>
      </c>
      <c r="K1726" t="s">
        <v>446</v>
      </c>
      <c r="L1726">
        <v>2932990</v>
      </c>
      <c r="M1726">
        <v>2612</v>
      </c>
      <c r="N1726" t="s">
        <v>16022</v>
      </c>
    </row>
    <row r="1727" spans="1:14">
      <c r="A1727">
        <v>12930044</v>
      </c>
      <c r="B1727">
        <v>4016955</v>
      </c>
      <c r="C1727" t="s">
        <v>1262</v>
      </c>
      <c r="D1727" t="s">
        <v>441</v>
      </c>
      <c r="F1727">
        <v>0</v>
      </c>
      <c r="G1727">
        <v>9.0399999999999991</v>
      </c>
      <c r="H1727" t="s">
        <v>8588</v>
      </c>
      <c r="I1727">
        <v>16</v>
      </c>
      <c r="J1727" t="s">
        <v>462</v>
      </c>
      <c r="M1727">
        <v>7112</v>
      </c>
      <c r="N1727" t="s">
        <v>16022</v>
      </c>
    </row>
    <row r="1728" spans="1:14">
      <c r="A1728">
        <v>12930045</v>
      </c>
      <c r="B1728">
        <v>4017760</v>
      </c>
      <c r="C1728" t="s">
        <v>1263</v>
      </c>
      <c r="D1728" t="s">
        <v>441</v>
      </c>
      <c r="F1728">
        <v>0</v>
      </c>
      <c r="G1728">
        <v>9.0299999999999994</v>
      </c>
      <c r="H1728" t="s">
        <v>8588</v>
      </c>
      <c r="I1728">
        <v>16</v>
      </c>
      <c r="J1728" t="s">
        <v>462</v>
      </c>
      <c r="M1728">
        <v>7112</v>
      </c>
      <c r="N1728" t="s">
        <v>16022</v>
      </c>
    </row>
    <row r="1729" spans="1:14">
      <c r="A1729">
        <v>12930046</v>
      </c>
      <c r="B1729">
        <v>4019618</v>
      </c>
      <c r="C1729" t="s">
        <v>9344</v>
      </c>
      <c r="D1729" t="s">
        <v>441</v>
      </c>
      <c r="F1729">
        <v>0</v>
      </c>
      <c r="G1729">
        <v>13.15</v>
      </c>
      <c r="H1729" t="s">
        <v>8588</v>
      </c>
      <c r="I1729">
        <v>16</v>
      </c>
      <c r="J1729" t="s">
        <v>462</v>
      </c>
      <c r="K1729" t="s">
        <v>446</v>
      </c>
      <c r="M1729">
        <v>2612</v>
      </c>
      <c r="N1729" t="s">
        <v>16022</v>
      </c>
    </row>
    <row r="1730" spans="1:14">
      <c r="A1730">
        <v>12930047</v>
      </c>
      <c r="B1730">
        <v>4023146</v>
      </c>
      <c r="C1730" t="s">
        <v>1264</v>
      </c>
      <c r="D1730" t="s">
        <v>441</v>
      </c>
      <c r="F1730">
        <v>0</v>
      </c>
      <c r="G1730">
        <v>9.14</v>
      </c>
      <c r="H1730" t="s">
        <v>8588</v>
      </c>
      <c r="I1730">
        <v>16</v>
      </c>
      <c r="J1730" t="s">
        <v>462</v>
      </c>
      <c r="M1730">
        <v>7112</v>
      </c>
      <c r="N1730" t="s">
        <v>16022</v>
      </c>
    </row>
    <row r="1731" spans="1:14">
      <c r="A1731">
        <v>12930048</v>
      </c>
      <c r="B1731">
        <v>4024457</v>
      </c>
      <c r="C1731" t="s">
        <v>1265</v>
      </c>
      <c r="D1731" t="s">
        <v>441</v>
      </c>
      <c r="F1731">
        <v>0</v>
      </c>
      <c r="G1731">
        <v>8.9700000000000006</v>
      </c>
      <c r="H1731" t="s">
        <v>8588</v>
      </c>
      <c r="I1731">
        <v>16</v>
      </c>
      <c r="J1731" t="s">
        <v>462</v>
      </c>
      <c r="M1731">
        <v>7112</v>
      </c>
      <c r="N1731" t="s">
        <v>16022</v>
      </c>
    </row>
    <row r="1732" spans="1:14">
      <c r="A1732">
        <v>12930049</v>
      </c>
      <c r="B1732">
        <v>4030142</v>
      </c>
      <c r="C1732" t="s">
        <v>16038</v>
      </c>
      <c r="D1732" t="s">
        <v>441</v>
      </c>
      <c r="F1732">
        <v>0</v>
      </c>
      <c r="G1732">
        <v>17.64</v>
      </c>
      <c r="H1732" t="s">
        <v>8588</v>
      </c>
      <c r="I1732">
        <v>16</v>
      </c>
      <c r="J1732" t="s">
        <v>462</v>
      </c>
      <c r="M1732">
        <v>7112</v>
      </c>
      <c r="N1732" t="s">
        <v>16022</v>
      </c>
    </row>
    <row r="1733" spans="1:14">
      <c r="A1733">
        <v>12930073</v>
      </c>
      <c r="B1733">
        <v>4026704</v>
      </c>
      <c r="C1733" t="s">
        <v>1266</v>
      </c>
      <c r="D1733" t="s">
        <v>441</v>
      </c>
      <c r="F1733">
        <v>0</v>
      </c>
      <c r="G1733">
        <v>8.92</v>
      </c>
      <c r="H1733" t="s">
        <v>8588</v>
      </c>
      <c r="I1733">
        <v>14</v>
      </c>
      <c r="J1733" t="s">
        <v>462</v>
      </c>
      <c r="M1733">
        <v>7112</v>
      </c>
      <c r="N1733" t="s">
        <v>16022</v>
      </c>
    </row>
    <row r="1734" spans="1:14">
      <c r="A1734">
        <v>12930075</v>
      </c>
      <c r="B1734">
        <v>3029935</v>
      </c>
      <c r="C1734" t="s">
        <v>1267</v>
      </c>
      <c r="D1734" t="s">
        <v>441</v>
      </c>
      <c r="F1734">
        <v>0</v>
      </c>
      <c r="G1734">
        <v>8.35</v>
      </c>
      <c r="H1734" t="s">
        <v>8588</v>
      </c>
      <c r="I1734">
        <v>6</v>
      </c>
      <c r="J1734" t="s">
        <v>445</v>
      </c>
      <c r="M1734">
        <v>7112</v>
      </c>
      <c r="N1734" t="s">
        <v>16022</v>
      </c>
    </row>
    <row r="1735" spans="1:14">
      <c r="A1735">
        <v>12930087</v>
      </c>
      <c r="B1735">
        <v>3040973</v>
      </c>
      <c r="C1735" t="s">
        <v>1268</v>
      </c>
      <c r="D1735" t="s">
        <v>441</v>
      </c>
      <c r="F1735">
        <v>0</v>
      </c>
      <c r="G1735">
        <v>8.35</v>
      </c>
      <c r="H1735" t="s">
        <v>8588</v>
      </c>
      <c r="I1735">
        <v>6</v>
      </c>
      <c r="J1735" t="s">
        <v>445</v>
      </c>
      <c r="M1735">
        <v>7112</v>
      </c>
      <c r="N1735" t="s">
        <v>16022</v>
      </c>
    </row>
    <row r="1736" spans="1:14">
      <c r="A1736">
        <v>12930907</v>
      </c>
      <c r="B1736">
        <v>3025148</v>
      </c>
      <c r="C1736" t="s">
        <v>1269</v>
      </c>
      <c r="D1736" t="s">
        <v>441</v>
      </c>
      <c r="F1736">
        <v>0</v>
      </c>
      <c r="G1736">
        <v>0</v>
      </c>
      <c r="I1736">
        <v>6</v>
      </c>
      <c r="J1736" t="s">
        <v>445</v>
      </c>
      <c r="M1736">
        <v>6666</v>
      </c>
      <c r="N1736" t="s">
        <v>16022</v>
      </c>
    </row>
    <row r="1737" spans="1:14">
      <c r="A1737">
        <v>12931041</v>
      </c>
      <c r="B1737">
        <v>4029553</v>
      </c>
      <c r="C1737" t="s">
        <v>15304</v>
      </c>
      <c r="D1737" t="s">
        <v>441</v>
      </c>
      <c r="F1737">
        <v>0</v>
      </c>
      <c r="G1737">
        <v>14.56</v>
      </c>
      <c r="H1737" t="s">
        <v>8588</v>
      </c>
      <c r="I1737">
        <v>14</v>
      </c>
      <c r="J1737" t="s">
        <v>462</v>
      </c>
      <c r="M1737">
        <v>7112</v>
      </c>
      <c r="N1737" t="s">
        <v>16022</v>
      </c>
    </row>
    <row r="1738" spans="1:14">
      <c r="A1738">
        <v>12934040</v>
      </c>
      <c r="B1738">
        <v>4030365</v>
      </c>
      <c r="C1738" t="s">
        <v>17379</v>
      </c>
      <c r="D1738" t="s">
        <v>441</v>
      </c>
      <c r="F1738">
        <v>0</v>
      </c>
      <c r="G1738">
        <v>17.8</v>
      </c>
      <c r="H1738" t="s">
        <v>8588</v>
      </c>
      <c r="I1738">
        <v>16</v>
      </c>
      <c r="J1738" t="s">
        <v>462</v>
      </c>
      <c r="M1738">
        <v>7112</v>
      </c>
      <c r="N1738" t="s">
        <v>16022</v>
      </c>
    </row>
    <row r="1739" spans="1:14">
      <c r="A1739">
        <v>12940000</v>
      </c>
      <c r="B1739">
        <v>3009375</v>
      </c>
      <c r="C1739" t="s">
        <v>9345</v>
      </c>
      <c r="D1739" t="s">
        <v>441</v>
      </c>
      <c r="F1739">
        <v>0</v>
      </c>
      <c r="G1739">
        <v>9.5299999999999994</v>
      </c>
      <c r="H1739" t="s">
        <v>8549</v>
      </c>
      <c r="I1739">
        <v>6</v>
      </c>
      <c r="J1739" t="s">
        <v>445</v>
      </c>
      <c r="K1739" t="s">
        <v>446</v>
      </c>
      <c r="M1739">
        <v>2311</v>
      </c>
    </row>
    <row r="1740" spans="1:14">
      <c r="A1740">
        <v>12950000</v>
      </c>
      <c r="B1740">
        <v>3009374</v>
      </c>
      <c r="C1740" t="s">
        <v>1270</v>
      </c>
      <c r="D1740" t="s">
        <v>441</v>
      </c>
      <c r="F1740">
        <v>0</v>
      </c>
      <c r="G1740">
        <v>9.9</v>
      </c>
      <c r="H1740" t="s">
        <v>8549</v>
      </c>
      <c r="I1740">
        <v>6</v>
      </c>
      <c r="J1740" t="s">
        <v>445</v>
      </c>
      <c r="K1740" t="s">
        <v>446</v>
      </c>
      <c r="M1740">
        <v>2390</v>
      </c>
    </row>
    <row r="1741" spans="1:14">
      <c r="A1741">
        <v>12950051</v>
      </c>
      <c r="B1741">
        <v>4009587</v>
      </c>
      <c r="C1741" t="s">
        <v>1271</v>
      </c>
      <c r="D1741" t="s">
        <v>441</v>
      </c>
      <c r="F1741">
        <v>0</v>
      </c>
      <c r="G1741">
        <v>10.32</v>
      </c>
      <c r="H1741" t="s">
        <v>8588</v>
      </c>
      <c r="I1741">
        <v>11</v>
      </c>
      <c r="J1741" t="s">
        <v>462</v>
      </c>
      <c r="K1741" t="s">
        <v>446</v>
      </c>
      <c r="M1741">
        <v>2612</v>
      </c>
    </row>
    <row r="1742" spans="1:14">
      <c r="A1742">
        <v>12950075</v>
      </c>
      <c r="B1742">
        <v>4009595</v>
      </c>
      <c r="C1742" t="s">
        <v>1272</v>
      </c>
      <c r="D1742" t="s">
        <v>441</v>
      </c>
      <c r="F1742">
        <v>0</v>
      </c>
      <c r="G1742">
        <v>10.119999999999999</v>
      </c>
      <c r="H1742" t="s">
        <v>8588</v>
      </c>
      <c r="I1742">
        <v>6</v>
      </c>
      <c r="J1742" t="s">
        <v>462</v>
      </c>
      <c r="K1742" t="s">
        <v>446</v>
      </c>
      <c r="L1742">
        <v>11006</v>
      </c>
      <c r="M1742">
        <v>2641</v>
      </c>
    </row>
    <row r="1743" spans="1:14">
      <c r="A1743">
        <v>12960000</v>
      </c>
      <c r="B1743">
        <v>3040129</v>
      </c>
      <c r="C1743" t="s">
        <v>1273</v>
      </c>
      <c r="D1743" t="s">
        <v>441</v>
      </c>
      <c r="F1743">
        <v>0</v>
      </c>
      <c r="G1743">
        <v>8.34</v>
      </c>
      <c r="H1743" t="s">
        <v>8588</v>
      </c>
      <c r="I1743">
        <v>6</v>
      </c>
      <c r="J1743" t="s">
        <v>445</v>
      </c>
      <c r="M1743">
        <v>2391</v>
      </c>
      <c r="N1743" t="s">
        <v>16039</v>
      </c>
    </row>
    <row r="1744" spans="1:14">
      <c r="A1744">
        <v>12960002</v>
      </c>
      <c r="B1744">
        <v>3040733</v>
      </c>
      <c r="C1744" t="s">
        <v>1274</v>
      </c>
      <c r="D1744" t="s">
        <v>441</v>
      </c>
      <c r="F1744">
        <v>0</v>
      </c>
      <c r="G1744">
        <v>8.7899999999999991</v>
      </c>
      <c r="H1744" t="s">
        <v>8549</v>
      </c>
      <c r="I1744">
        <v>540</v>
      </c>
      <c r="J1744" t="s">
        <v>445</v>
      </c>
      <c r="M1744">
        <v>7111</v>
      </c>
      <c r="N1744" t="s">
        <v>16039</v>
      </c>
    </row>
    <row r="1745" spans="1:14">
      <c r="A1745">
        <v>12960007</v>
      </c>
      <c r="B1745">
        <v>3040212</v>
      </c>
      <c r="C1745" t="s">
        <v>1275</v>
      </c>
      <c r="D1745" t="s">
        <v>441</v>
      </c>
      <c r="F1745">
        <v>0</v>
      </c>
      <c r="G1745">
        <v>8.4499999999999993</v>
      </c>
      <c r="H1745" t="s">
        <v>8549</v>
      </c>
      <c r="I1745">
        <v>6</v>
      </c>
      <c r="J1745" t="s">
        <v>445</v>
      </c>
      <c r="M1745">
        <v>3111</v>
      </c>
      <c r="N1745" t="s">
        <v>16039</v>
      </c>
    </row>
    <row r="1746" spans="1:14">
      <c r="A1746">
        <v>12960087</v>
      </c>
      <c r="B1746">
        <v>3040984</v>
      </c>
      <c r="C1746" t="s">
        <v>1276</v>
      </c>
      <c r="D1746" t="s">
        <v>441</v>
      </c>
      <c r="F1746">
        <v>0</v>
      </c>
      <c r="G1746">
        <v>8.4499999999999993</v>
      </c>
      <c r="H1746" t="s">
        <v>8549</v>
      </c>
      <c r="I1746">
        <v>6</v>
      </c>
      <c r="J1746" t="s">
        <v>445</v>
      </c>
      <c r="M1746">
        <v>7112</v>
      </c>
      <c r="N1746" t="s">
        <v>16039</v>
      </c>
    </row>
    <row r="1747" spans="1:14">
      <c r="A1747">
        <v>12960502</v>
      </c>
      <c r="B1747">
        <v>3040734</v>
      </c>
      <c r="C1747" t="s">
        <v>1277</v>
      </c>
      <c r="D1747" t="s">
        <v>441</v>
      </c>
      <c r="F1747">
        <v>0</v>
      </c>
      <c r="G1747">
        <v>8.43</v>
      </c>
      <c r="H1747" t="s">
        <v>8549</v>
      </c>
      <c r="I1747">
        <v>6</v>
      </c>
      <c r="J1747" t="s">
        <v>445</v>
      </c>
      <c r="M1747">
        <v>2502</v>
      </c>
      <c r="N1747" t="s">
        <v>16039</v>
      </c>
    </row>
    <row r="1748" spans="1:14">
      <c r="A1748">
        <v>12960602</v>
      </c>
      <c r="B1748">
        <v>3040728</v>
      </c>
      <c r="C1748" t="s">
        <v>1278</v>
      </c>
      <c r="D1748" t="s">
        <v>441</v>
      </c>
      <c r="F1748">
        <v>0</v>
      </c>
      <c r="G1748">
        <v>9.06</v>
      </c>
      <c r="H1748" t="s">
        <v>8549</v>
      </c>
      <c r="I1748">
        <v>4</v>
      </c>
      <c r="J1748" t="s">
        <v>445</v>
      </c>
      <c r="M1748">
        <v>2510</v>
      </c>
      <c r="N1748" t="s">
        <v>16039</v>
      </c>
    </row>
    <row r="1749" spans="1:14">
      <c r="A1749">
        <v>12960902</v>
      </c>
      <c r="B1749">
        <v>3040752</v>
      </c>
      <c r="C1749" t="s">
        <v>1279</v>
      </c>
      <c r="D1749" t="s">
        <v>441</v>
      </c>
      <c r="F1749">
        <v>0</v>
      </c>
      <c r="G1749">
        <v>1</v>
      </c>
      <c r="H1749" t="s">
        <v>8549</v>
      </c>
      <c r="I1749">
        <v>4</v>
      </c>
      <c r="J1749" t="s">
        <v>445</v>
      </c>
      <c r="M1749">
        <v>6666</v>
      </c>
      <c r="N1749" t="s">
        <v>16039</v>
      </c>
    </row>
    <row r="1750" spans="1:14">
      <c r="A1750">
        <v>12960907</v>
      </c>
      <c r="B1750">
        <v>3040213</v>
      </c>
      <c r="C1750" t="s">
        <v>1280</v>
      </c>
      <c r="D1750" t="s">
        <v>441</v>
      </c>
      <c r="F1750">
        <v>0</v>
      </c>
      <c r="G1750">
        <v>1</v>
      </c>
      <c r="H1750" t="s">
        <v>8580</v>
      </c>
      <c r="I1750">
        <v>6</v>
      </c>
      <c r="J1750" t="s">
        <v>445</v>
      </c>
      <c r="M1750">
        <v>6666</v>
      </c>
      <c r="N1750" t="s">
        <v>16039</v>
      </c>
    </row>
    <row r="1751" spans="1:14">
      <c r="A1751">
        <v>12964000</v>
      </c>
      <c r="B1751">
        <v>3040242</v>
      </c>
      <c r="C1751" t="s">
        <v>1281</v>
      </c>
      <c r="D1751" t="s">
        <v>441</v>
      </c>
      <c r="F1751">
        <v>0</v>
      </c>
      <c r="G1751">
        <v>8.34</v>
      </c>
      <c r="H1751" t="s">
        <v>8549</v>
      </c>
      <c r="I1751">
        <v>6</v>
      </c>
      <c r="J1751" t="s">
        <v>445</v>
      </c>
      <c r="M1751">
        <v>2391</v>
      </c>
      <c r="N1751" t="s">
        <v>16039</v>
      </c>
    </row>
    <row r="1752" spans="1:14">
      <c r="A1752">
        <v>12964002</v>
      </c>
      <c r="B1752">
        <v>3040750</v>
      </c>
      <c r="C1752" t="s">
        <v>1282</v>
      </c>
      <c r="D1752" t="s">
        <v>441</v>
      </c>
      <c r="F1752">
        <v>0</v>
      </c>
      <c r="G1752">
        <v>8.7899999999999991</v>
      </c>
      <c r="H1752" t="s">
        <v>8549</v>
      </c>
      <c r="I1752">
        <v>540</v>
      </c>
      <c r="J1752" t="s">
        <v>445</v>
      </c>
      <c r="M1752">
        <v>7111</v>
      </c>
      <c r="N1752" t="s">
        <v>16039</v>
      </c>
    </row>
    <row r="1753" spans="1:14">
      <c r="A1753">
        <v>12964007</v>
      </c>
      <c r="B1753">
        <v>3040243</v>
      </c>
      <c r="C1753" t="s">
        <v>1283</v>
      </c>
      <c r="D1753" t="s">
        <v>441</v>
      </c>
      <c r="F1753">
        <v>0</v>
      </c>
      <c r="G1753">
        <v>8.4499999999999993</v>
      </c>
      <c r="H1753" t="s">
        <v>8549</v>
      </c>
      <c r="I1753">
        <v>6</v>
      </c>
      <c r="J1753" t="s">
        <v>445</v>
      </c>
      <c r="M1753">
        <v>3111</v>
      </c>
      <c r="N1753" t="s">
        <v>16039</v>
      </c>
    </row>
    <row r="1754" spans="1:14">
      <c r="A1754">
        <v>12964502</v>
      </c>
      <c r="B1754">
        <v>3040729</v>
      </c>
      <c r="C1754" t="s">
        <v>1284</v>
      </c>
      <c r="D1754" t="s">
        <v>441</v>
      </c>
      <c r="F1754">
        <v>0</v>
      </c>
      <c r="G1754">
        <v>8.43</v>
      </c>
      <c r="H1754" t="s">
        <v>8549</v>
      </c>
      <c r="I1754">
        <v>6</v>
      </c>
      <c r="J1754" t="s">
        <v>445</v>
      </c>
      <c r="M1754">
        <v>2502</v>
      </c>
      <c r="N1754" t="s">
        <v>16039</v>
      </c>
    </row>
    <row r="1755" spans="1:14">
      <c r="A1755">
        <v>12964602</v>
      </c>
      <c r="B1755">
        <v>3040751</v>
      </c>
      <c r="C1755" t="s">
        <v>1285</v>
      </c>
      <c r="D1755" t="s">
        <v>441</v>
      </c>
      <c r="F1755">
        <v>0</v>
      </c>
      <c r="G1755">
        <v>9.06</v>
      </c>
      <c r="H1755" t="s">
        <v>8549</v>
      </c>
      <c r="I1755">
        <v>4</v>
      </c>
      <c r="J1755" t="s">
        <v>445</v>
      </c>
      <c r="M1755">
        <v>2510</v>
      </c>
      <c r="N1755" t="s">
        <v>16039</v>
      </c>
    </row>
    <row r="1756" spans="1:14">
      <c r="A1756">
        <v>12964902</v>
      </c>
      <c r="B1756">
        <v>3040763</v>
      </c>
      <c r="C1756" t="s">
        <v>1286</v>
      </c>
      <c r="D1756" t="s">
        <v>441</v>
      </c>
      <c r="F1756">
        <v>0</v>
      </c>
      <c r="G1756">
        <v>1</v>
      </c>
      <c r="H1756" t="s">
        <v>8549</v>
      </c>
      <c r="I1756">
        <v>4</v>
      </c>
      <c r="J1756" t="s">
        <v>445</v>
      </c>
      <c r="M1756">
        <v>6666</v>
      </c>
      <c r="N1756" t="s">
        <v>16039</v>
      </c>
    </row>
    <row r="1757" spans="1:14">
      <c r="A1757">
        <v>12964907</v>
      </c>
      <c r="B1757">
        <v>3040244</v>
      </c>
      <c r="C1757" t="s">
        <v>1287</v>
      </c>
      <c r="D1757" t="s">
        <v>441</v>
      </c>
      <c r="F1757">
        <v>0</v>
      </c>
      <c r="G1757">
        <v>1</v>
      </c>
      <c r="H1757" t="s">
        <v>8549</v>
      </c>
      <c r="I1757">
        <v>6</v>
      </c>
      <c r="J1757" t="s">
        <v>445</v>
      </c>
      <c r="M1757">
        <v>6666</v>
      </c>
      <c r="N1757" t="s">
        <v>16039</v>
      </c>
    </row>
    <row r="1758" spans="1:14">
      <c r="A1758">
        <v>12970000</v>
      </c>
      <c r="B1758">
        <v>3014491</v>
      </c>
      <c r="C1758" t="s">
        <v>9346</v>
      </c>
      <c r="D1758" t="s">
        <v>441</v>
      </c>
      <c r="F1758">
        <v>0</v>
      </c>
      <c r="G1758">
        <v>9.4499999999999993</v>
      </c>
      <c r="I1758">
        <v>6</v>
      </c>
      <c r="J1758" t="s">
        <v>445</v>
      </c>
      <c r="K1758" t="s">
        <v>446</v>
      </c>
      <c r="M1758">
        <v>2311</v>
      </c>
    </row>
    <row r="1759" spans="1:14">
      <c r="A1759">
        <v>12971000</v>
      </c>
      <c r="B1759">
        <v>3017592</v>
      </c>
      <c r="C1759" t="s">
        <v>9347</v>
      </c>
      <c r="D1759" t="s">
        <v>441</v>
      </c>
      <c r="F1759">
        <v>0</v>
      </c>
      <c r="G1759">
        <v>9.43</v>
      </c>
      <c r="I1759">
        <v>6</v>
      </c>
      <c r="J1759" t="s">
        <v>445</v>
      </c>
      <c r="K1759" t="s">
        <v>446</v>
      </c>
      <c r="M1759">
        <v>2311</v>
      </c>
    </row>
    <row r="1760" spans="1:14">
      <c r="A1760">
        <v>12980000</v>
      </c>
      <c r="B1760">
        <v>3014492</v>
      </c>
      <c r="C1760" t="s">
        <v>1288</v>
      </c>
      <c r="D1760" t="s">
        <v>441</v>
      </c>
      <c r="F1760">
        <v>0</v>
      </c>
      <c r="G1760">
        <v>9.89</v>
      </c>
      <c r="I1760">
        <v>6</v>
      </c>
      <c r="J1760" t="s">
        <v>445</v>
      </c>
      <c r="K1760" t="s">
        <v>446</v>
      </c>
      <c r="M1760">
        <v>2311</v>
      </c>
    </row>
    <row r="1761" spans="1:14">
      <c r="A1761">
        <v>12990000</v>
      </c>
      <c r="B1761">
        <v>3027334</v>
      </c>
      <c r="C1761" t="s">
        <v>1289</v>
      </c>
      <c r="D1761" t="s">
        <v>441</v>
      </c>
      <c r="F1761">
        <v>0</v>
      </c>
      <c r="G1761">
        <v>8.15</v>
      </c>
      <c r="H1761" t="s">
        <v>8588</v>
      </c>
      <c r="I1761">
        <v>6</v>
      </c>
      <c r="J1761" t="s">
        <v>445</v>
      </c>
      <c r="M1761">
        <v>2391</v>
      </c>
      <c r="N1761" t="s">
        <v>16024</v>
      </c>
    </row>
    <row r="1762" spans="1:14">
      <c r="A1762">
        <v>12990007</v>
      </c>
      <c r="B1762">
        <v>3028077</v>
      </c>
      <c r="C1762" t="s">
        <v>1290</v>
      </c>
      <c r="D1762" t="s">
        <v>441</v>
      </c>
      <c r="F1762">
        <v>0</v>
      </c>
      <c r="G1762">
        <v>8.26</v>
      </c>
      <c r="H1762" t="s">
        <v>8588</v>
      </c>
      <c r="I1762">
        <v>6</v>
      </c>
      <c r="J1762" t="s">
        <v>445</v>
      </c>
      <c r="M1762">
        <v>2391</v>
      </c>
      <c r="N1762" t="s">
        <v>16024</v>
      </c>
    </row>
    <row r="1763" spans="1:14">
      <c r="A1763">
        <v>12990040</v>
      </c>
      <c r="B1763">
        <v>4018367</v>
      </c>
      <c r="C1763" t="s">
        <v>15461</v>
      </c>
      <c r="D1763" t="s">
        <v>441</v>
      </c>
      <c r="F1763">
        <v>0</v>
      </c>
      <c r="G1763">
        <v>16.89</v>
      </c>
      <c r="H1763" t="s">
        <v>8588</v>
      </c>
      <c r="I1763">
        <v>16</v>
      </c>
      <c r="J1763" t="s">
        <v>462</v>
      </c>
      <c r="M1763">
        <v>7112</v>
      </c>
      <c r="N1763" t="s">
        <v>16024</v>
      </c>
    </row>
    <row r="1764" spans="1:14">
      <c r="A1764">
        <v>12990041</v>
      </c>
      <c r="B1764">
        <v>4029641</v>
      </c>
      <c r="C1764" t="s">
        <v>15462</v>
      </c>
      <c r="D1764" t="s">
        <v>441</v>
      </c>
      <c r="F1764">
        <v>0</v>
      </c>
      <c r="G1764">
        <v>16.850000000000001</v>
      </c>
      <c r="H1764" t="s">
        <v>8588</v>
      </c>
      <c r="I1764">
        <v>16</v>
      </c>
      <c r="J1764" t="s">
        <v>462</v>
      </c>
      <c r="M1764">
        <v>7112</v>
      </c>
      <c r="N1764" t="s">
        <v>16024</v>
      </c>
    </row>
    <row r="1765" spans="1:14">
      <c r="A1765">
        <v>12990042</v>
      </c>
      <c r="B1765">
        <v>4029723</v>
      </c>
      <c r="C1765" t="s">
        <v>15463</v>
      </c>
      <c r="D1765" t="s">
        <v>441</v>
      </c>
      <c r="F1765">
        <v>0</v>
      </c>
      <c r="G1765">
        <v>17.100000000000001</v>
      </c>
      <c r="H1765" t="s">
        <v>8588</v>
      </c>
      <c r="I1765">
        <v>16</v>
      </c>
      <c r="J1765" t="s">
        <v>462</v>
      </c>
      <c r="M1765">
        <v>7112</v>
      </c>
      <c r="N1765" t="s">
        <v>16024</v>
      </c>
    </row>
    <row r="1766" spans="1:14">
      <c r="A1766">
        <v>12991000</v>
      </c>
      <c r="B1766">
        <v>3045944</v>
      </c>
      <c r="C1766" t="s">
        <v>17380</v>
      </c>
      <c r="D1766" t="s">
        <v>441</v>
      </c>
      <c r="F1766">
        <v>0</v>
      </c>
      <c r="G1766">
        <v>18.66</v>
      </c>
      <c r="H1766" t="s">
        <v>8549</v>
      </c>
      <c r="I1766">
        <v>6</v>
      </c>
      <c r="J1766" t="s">
        <v>445</v>
      </c>
      <c r="M1766">
        <v>2391</v>
      </c>
      <c r="N1766" t="s">
        <v>16024</v>
      </c>
    </row>
    <row r="1767" spans="1:14">
      <c r="A1767">
        <v>13000000</v>
      </c>
      <c r="B1767">
        <v>3004391</v>
      </c>
      <c r="C1767" t="s">
        <v>1291</v>
      </c>
      <c r="D1767" t="s">
        <v>441</v>
      </c>
      <c r="F1767">
        <v>0</v>
      </c>
      <c r="G1767">
        <v>6.54</v>
      </c>
      <c r="I1767">
        <v>6</v>
      </c>
      <c r="J1767" t="s">
        <v>445</v>
      </c>
      <c r="K1767" t="s">
        <v>446</v>
      </c>
      <c r="M1767">
        <v>0</v>
      </c>
    </row>
    <row r="1768" spans="1:14">
      <c r="A1768">
        <v>13010000</v>
      </c>
      <c r="B1768">
        <v>3008926</v>
      </c>
      <c r="C1768" t="s">
        <v>1292</v>
      </c>
      <c r="D1768" t="s">
        <v>441</v>
      </c>
      <c r="F1768">
        <v>0</v>
      </c>
      <c r="G1768">
        <v>6.15</v>
      </c>
      <c r="H1768" t="s">
        <v>8580</v>
      </c>
      <c r="I1768">
        <v>5</v>
      </c>
      <c r="J1768" t="s">
        <v>445</v>
      </c>
      <c r="K1768" t="s">
        <v>446</v>
      </c>
      <c r="M1768">
        <v>0</v>
      </c>
    </row>
    <row r="1769" spans="1:14">
      <c r="A1769">
        <v>13020000</v>
      </c>
      <c r="B1769">
        <v>3008925</v>
      </c>
      <c r="C1769" t="s">
        <v>1293</v>
      </c>
      <c r="D1769" t="s">
        <v>441</v>
      </c>
      <c r="F1769">
        <v>0</v>
      </c>
      <c r="G1769">
        <v>5.57</v>
      </c>
      <c r="H1769" t="s">
        <v>8580</v>
      </c>
      <c r="I1769">
        <v>5</v>
      </c>
      <c r="J1769" t="s">
        <v>445</v>
      </c>
      <c r="K1769" t="s">
        <v>446</v>
      </c>
      <c r="M1769">
        <v>0</v>
      </c>
    </row>
    <row r="1770" spans="1:14">
      <c r="A1770">
        <v>13030000</v>
      </c>
      <c r="B1770">
        <v>3008924</v>
      </c>
      <c r="C1770" t="s">
        <v>1294</v>
      </c>
      <c r="D1770" t="s">
        <v>441</v>
      </c>
      <c r="F1770">
        <v>0</v>
      </c>
      <c r="G1770">
        <v>9.0299999999999994</v>
      </c>
      <c r="H1770" t="s">
        <v>8580</v>
      </c>
      <c r="I1770">
        <v>5</v>
      </c>
      <c r="J1770" t="s">
        <v>445</v>
      </c>
      <c r="K1770" t="s">
        <v>446</v>
      </c>
      <c r="M1770">
        <v>0</v>
      </c>
    </row>
    <row r="1771" spans="1:14">
      <c r="A1771">
        <v>13040000</v>
      </c>
      <c r="B1771">
        <v>3008923</v>
      </c>
      <c r="C1771" t="s">
        <v>1295</v>
      </c>
      <c r="D1771" t="s">
        <v>441</v>
      </c>
      <c r="F1771">
        <v>0</v>
      </c>
      <c r="G1771">
        <v>6.58</v>
      </c>
      <c r="H1771" t="s">
        <v>8580</v>
      </c>
      <c r="I1771">
        <v>6</v>
      </c>
      <c r="J1771" t="s">
        <v>445</v>
      </c>
      <c r="K1771" t="s">
        <v>446</v>
      </c>
      <c r="M1771">
        <v>0</v>
      </c>
    </row>
    <row r="1772" spans="1:14">
      <c r="A1772">
        <v>13050000</v>
      </c>
      <c r="B1772">
        <v>3023138</v>
      </c>
      <c r="C1772" t="s">
        <v>1296</v>
      </c>
      <c r="D1772" t="s">
        <v>441</v>
      </c>
      <c r="F1772">
        <v>0</v>
      </c>
      <c r="G1772">
        <v>6.23</v>
      </c>
      <c r="H1772" t="s">
        <v>8588</v>
      </c>
      <c r="I1772">
        <v>6</v>
      </c>
      <c r="J1772" t="s">
        <v>445</v>
      </c>
      <c r="M1772">
        <v>2391</v>
      </c>
      <c r="N1772" t="s">
        <v>16040</v>
      </c>
    </row>
    <row r="1773" spans="1:14">
      <c r="A1773">
        <v>13050087</v>
      </c>
      <c r="B1773">
        <v>4015349</v>
      </c>
      <c r="C1773" t="s">
        <v>9348</v>
      </c>
      <c r="D1773" t="s">
        <v>441</v>
      </c>
      <c r="F1773">
        <v>0</v>
      </c>
      <c r="G1773">
        <v>8.4</v>
      </c>
      <c r="H1773" t="s">
        <v>8588</v>
      </c>
      <c r="I1773">
        <v>6</v>
      </c>
      <c r="J1773" t="s">
        <v>462</v>
      </c>
      <c r="K1773" t="s">
        <v>446</v>
      </c>
      <c r="M1773">
        <v>2641</v>
      </c>
      <c r="N1773" t="s">
        <v>16040</v>
      </c>
    </row>
    <row r="1774" spans="1:14">
      <c r="A1774">
        <v>13051000</v>
      </c>
      <c r="B1774">
        <v>3023212</v>
      </c>
      <c r="C1774" t="s">
        <v>1297</v>
      </c>
      <c r="D1774" t="s">
        <v>441</v>
      </c>
      <c r="F1774">
        <v>0</v>
      </c>
      <c r="G1774">
        <v>6.23</v>
      </c>
      <c r="H1774" t="s">
        <v>8588</v>
      </c>
      <c r="I1774">
        <v>6</v>
      </c>
      <c r="J1774" t="s">
        <v>445</v>
      </c>
      <c r="M1774">
        <v>2391</v>
      </c>
      <c r="N1774" t="s">
        <v>16040</v>
      </c>
    </row>
    <row r="1775" spans="1:14">
      <c r="A1775">
        <v>13051087</v>
      </c>
      <c r="B1775">
        <v>4015314</v>
      </c>
      <c r="C1775" t="s">
        <v>9349</v>
      </c>
      <c r="D1775" t="s">
        <v>441</v>
      </c>
      <c r="F1775">
        <v>0</v>
      </c>
      <c r="G1775">
        <v>8.4</v>
      </c>
      <c r="H1775" t="s">
        <v>8588</v>
      </c>
      <c r="I1775">
        <v>6</v>
      </c>
      <c r="J1775" t="s">
        <v>462</v>
      </c>
      <c r="K1775" t="s">
        <v>446</v>
      </c>
      <c r="M1775">
        <v>2641</v>
      </c>
      <c r="N1775" t="s">
        <v>16040</v>
      </c>
    </row>
    <row r="1776" spans="1:14">
      <c r="A1776">
        <v>13060000</v>
      </c>
      <c r="B1776">
        <v>3029458</v>
      </c>
      <c r="C1776" t="s">
        <v>1298</v>
      </c>
      <c r="D1776" t="s">
        <v>441</v>
      </c>
      <c r="F1776">
        <v>0</v>
      </c>
      <c r="G1776">
        <v>5.63</v>
      </c>
      <c r="H1776" t="s">
        <v>8549</v>
      </c>
      <c r="I1776">
        <v>6</v>
      </c>
      <c r="J1776" t="s">
        <v>445</v>
      </c>
      <c r="M1776">
        <v>2391</v>
      </c>
      <c r="N1776" t="s">
        <v>16041</v>
      </c>
    </row>
    <row r="1777" spans="1:14">
      <c r="A1777">
        <v>13150000</v>
      </c>
      <c r="B1777">
        <v>3024511</v>
      </c>
      <c r="C1777" t="s">
        <v>1299</v>
      </c>
      <c r="D1777" t="s">
        <v>441</v>
      </c>
      <c r="F1777">
        <v>0</v>
      </c>
      <c r="G1777">
        <v>7.19</v>
      </c>
      <c r="H1777" t="s">
        <v>8549</v>
      </c>
      <c r="I1777">
        <v>6</v>
      </c>
      <c r="J1777" t="s">
        <v>445</v>
      </c>
      <c r="M1777">
        <v>2391</v>
      </c>
      <c r="N1777" t="s">
        <v>16042</v>
      </c>
    </row>
    <row r="1778" spans="1:14">
      <c r="A1778">
        <v>13150007</v>
      </c>
      <c r="B1778">
        <v>3025510</v>
      </c>
      <c r="C1778" t="s">
        <v>1300</v>
      </c>
      <c r="D1778" t="s">
        <v>441</v>
      </c>
      <c r="F1778">
        <v>0</v>
      </c>
      <c r="G1778">
        <v>7.3</v>
      </c>
      <c r="H1778" t="s">
        <v>8588</v>
      </c>
      <c r="I1778">
        <v>6</v>
      </c>
      <c r="J1778" t="s">
        <v>445</v>
      </c>
      <c r="L1778">
        <v>2092021</v>
      </c>
      <c r="M1778">
        <v>3113</v>
      </c>
      <c r="N1778" t="s">
        <v>16042</v>
      </c>
    </row>
    <row r="1779" spans="1:14">
      <c r="A1779">
        <v>13150017</v>
      </c>
      <c r="B1779">
        <v>3032484</v>
      </c>
      <c r="C1779" t="s">
        <v>1301</v>
      </c>
      <c r="D1779" t="s">
        <v>441</v>
      </c>
      <c r="F1779">
        <v>0</v>
      </c>
      <c r="G1779">
        <v>11.7</v>
      </c>
      <c r="H1779" t="s">
        <v>8588</v>
      </c>
      <c r="I1779">
        <v>540</v>
      </c>
      <c r="J1779" t="s">
        <v>445</v>
      </c>
      <c r="M1779">
        <v>7111</v>
      </c>
      <c r="N1779" t="s">
        <v>16042</v>
      </c>
    </row>
    <row r="1780" spans="1:14">
      <c r="A1780">
        <v>13150018</v>
      </c>
      <c r="B1780">
        <v>3024720</v>
      </c>
      <c r="C1780" t="s">
        <v>1302</v>
      </c>
      <c r="D1780" t="s">
        <v>441</v>
      </c>
      <c r="F1780">
        <v>0</v>
      </c>
      <c r="G1780">
        <v>7.62</v>
      </c>
      <c r="H1780" t="s">
        <v>8588</v>
      </c>
      <c r="I1780">
        <v>540</v>
      </c>
      <c r="J1780" t="s">
        <v>445</v>
      </c>
      <c r="M1780">
        <v>7111</v>
      </c>
      <c r="N1780" t="s">
        <v>16042</v>
      </c>
    </row>
    <row r="1781" spans="1:14">
      <c r="A1781">
        <v>13150075</v>
      </c>
      <c r="B1781">
        <v>3033452</v>
      </c>
      <c r="C1781" t="s">
        <v>1303</v>
      </c>
      <c r="D1781" t="s">
        <v>441</v>
      </c>
      <c r="F1781">
        <v>0</v>
      </c>
      <c r="G1781">
        <v>7.39</v>
      </c>
      <c r="H1781" t="s">
        <v>8588</v>
      </c>
      <c r="I1781">
        <v>6</v>
      </c>
      <c r="J1781" t="s">
        <v>445</v>
      </c>
      <c r="M1781">
        <v>7112</v>
      </c>
      <c r="N1781" t="s">
        <v>16042</v>
      </c>
    </row>
    <row r="1782" spans="1:14">
      <c r="A1782">
        <v>13150080</v>
      </c>
      <c r="B1782">
        <v>3027550</v>
      </c>
      <c r="C1782" t="s">
        <v>1304</v>
      </c>
      <c r="D1782" t="s">
        <v>441</v>
      </c>
      <c r="F1782">
        <v>0</v>
      </c>
      <c r="G1782">
        <v>7.33</v>
      </c>
      <c r="H1782" t="s">
        <v>8588</v>
      </c>
      <c r="I1782">
        <v>6</v>
      </c>
      <c r="J1782" t="s">
        <v>445</v>
      </c>
      <c r="M1782">
        <v>7112</v>
      </c>
      <c r="N1782" t="s">
        <v>16042</v>
      </c>
    </row>
    <row r="1783" spans="1:14">
      <c r="A1783">
        <v>13150100</v>
      </c>
      <c r="B1783">
        <v>3031690</v>
      </c>
      <c r="C1783" t="s">
        <v>1305</v>
      </c>
      <c r="D1783" t="s">
        <v>441</v>
      </c>
      <c r="F1783">
        <v>0</v>
      </c>
      <c r="H1783" t="s">
        <v>8588</v>
      </c>
      <c r="I1783">
        <v>6</v>
      </c>
      <c r="J1783" t="s">
        <v>445</v>
      </c>
      <c r="K1783" t="s">
        <v>446</v>
      </c>
      <c r="M1783">
        <v>0</v>
      </c>
      <c r="N1783" t="s">
        <v>16042</v>
      </c>
    </row>
    <row r="1784" spans="1:14">
      <c r="A1784">
        <v>13150110</v>
      </c>
      <c r="B1784">
        <v>3033499</v>
      </c>
      <c r="C1784" t="s">
        <v>1306</v>
      </c>
      <c r="D1784" t="s">
        <v>441</v>
      </c>
      <c r="F1784">
        <v>0</v>
      </c>
      <c r="H1784" t="s">
        <v>8588</v>
      </c>
      <c r="I1784">
        <v>6</v>
      </c>
      <c r="J1784" t="s">
        <v>445</v>
      </c>
      <c r="M1784">
        <v>7161</v>
      </c>
      <c r="N1784" t="s">
        <v>16042</v>
      </c>
    </row>
    <row r="1785" spans="1:14">
      <c r="A1785">
        <v>13150112</v>
      </c>
      <c r="B1785">
        <v>3027252</v>
      </c>
      <c r="C1785" t="s">
        <v>1307</v>
      </c>
      <c r="D1785" t="s">
        <v>441</v>
      </c>
      <c r="F1785">
        <v>0</v>
      </c>
      <c r="H1785" t="s">
        <v>8588</v>
      </c>
      <c r="I1785">
        <v>365</v>
      </c>
      <c r="J1785" t="s">
        <v>445</v>
      </c>
      <c r="M1785">
        <v>7113</v>
      </c>
      <c r="N1785" t="s">
        <v>16042</v>
      </c>
    </row>
    <row r="1786" spans="1:14">
      <c r="A1786">
        <v>13150120</v>
      </c>
      <c r="B1786">
        <v>3024649</v>
      </c>
      <c r="C1786" t="s">
        <v>1308</v>
      </c>
      <c r="D1786" t="s">
        <v>441</v>
      </c>
      <c r="F1786">
        <v>0</v>
      </c>
      <c r="H1786" t="s">
        <v>8588</v>
      </c>
      <c r="I1786">
        <v>6</v>
      </c>
      <c r="J1786" t="s">
        <v>445</v>
      </c>
      <c r="M1786">
        <v>7161</v>
      </c>
      <c r="N1786" t="s">
        <v>16042</v>
      </c>
    </row>
    <row r="1787" spans="1:14">
      <c r="A1787">
        <v>13150122</v>
      </c>
      <c r="B1787">
        <v>3033768</v>
      </c>
      <c r="C1787" t="s">
        <v>1309</v>
      </c>
      <c r="D1787" t="s">
        <v>441</v>
      </c>
      <c r="F1787">
        <v>0</v>
      </c>
      <c r="G1787">
        <v>9.43</v>
      </c>
      <c r="H1787" t="s">
        <v>8588</v>
      </c>
      <c r="I1787">
        <v>729</v>
      </c>
      <c r="J1787" t="s">
        <v>445</v>
      </c>
      <c r="M1787">
        <v>0</v>
      </c>
      <c r="N1787" t="s">
        <v>16042</v>
      </c>
    </row>
    <row r="1788" spans="1:14">
      <c r="A1788">
        <v>13150130</v>
      </c>
      <c r="B1788">
        <v>3024583</v>
      </c>
      <c r="C1788" t="s">
        <v>1310</v>
      </c>
      <c r="D1788" t="s">
        <v>441</v>
      </c>
      <c r="F1788">
        <v>0</v>
      </c>
      <c r="H1788" t="s">
        <v>8588</v>
      </c>
      <c r="I1788">
        <v>6</v>
      </c>
      <c r="J1788" t="s">
        <v>445</v>
      </c>
      <c r="M1788">
        <v>7161</v>
      </c>
      <c r="N1788" t="s">
        <v>16042</v>
      </c>
    </row>
    <row r="1789" spans="1:14">
      <c r="A1789">
        <v>13150132</v>
      </c>
      <c r="B1789">
        <v>3026117</v>
      </c>
      <c r="C1789" t="s">
        <v>1311</v>
      </c>
      <c r="D1789" t="s">
        <v>441</v>
      </c>
      <c r="F1789">
        <v>0</v>
      </c>
      <c r="H1789" t="s">
        <v>8588</v>
      </c>
      <c r="I1789">
        <v>540</v>
      </c>
      <c r="J1789" t="s">
        <v>445</v>
      </c>
      <c r="M1789">
        <v>7113</v>
      </c>
      <c r="N1789" t="s">
        <v>16042</v>
      </c>
    </row>
    <row r="1790" spans="1:14">
      <c r="A1790">
        <v>13150140</v>
      </c>
      <c r="B1790">
        <v>3036408</v>
      </c>
      <c r="C1790" t="s">
        <v>1312</v>
      </c>
      <c r="D1790" t="s">
        <v>441</v>
      </c>
      <c r="F1790">
        <v>0</v>
      </c>
      <c r="H1790" t="s">
        <v>8588</v>
      </c>
      <c r="I1790">
        <v>6</v>
      </c>
      <c r="J1790" t="s">
        <v>445</v>
      </c>
      <c r="M1790">
        <v>7161</v>
      </c>
      <c r="N1790" t="s">
        <v>16042</v>
      </c>
    </row>
    <row r="1791" spans="1:14">
      <c r="A1791">
        <v>13150142</v>
      </c>
      <c r="B1791">
        <v>3024645</v>
      </c>
      <c r="C1791" t="s">
        <v>1313</v>
      </c>
      <c r="D1791" t="s">
        <v>441</v>
      </c>
      <c r="F1791">
        <v>0</v>
      </c>
      <c r="H1791" t="s">
        <v>8588</v>
      </c>
      <c r="I1791">
        <v>540</v>
      </c>
      <c r="J1791" t="s">
        <v>445</v>
      </c>
      <c r="M1791">
        <v>7113</v>
      </c>
      <c r="N1791" t="s">
        <v>16042</v>
      </c>
    </row>
    <row r="1792" spans="1:14">
      <c r="A1792">
        <v>13150517</v>
      </c>
      <c r="B1792">
        <v>3032536</v>
      </c>
      <c r="C1792" t="s">
        <v>1314</v>
      </c>
      <c r="D1792" t="s">
        <v>441</v>
      </c>
      <c r="F1792">
        <v>0</v>
      </c>
      <c r="G1792">
        <v>11.28</v>
      </c>
      <c r="H1792" t="s">
        <v>8588</v>
      </c>
      <c r="I1792">
        <v>540</v>
      </c>
      <c r="J1792" t="s">
        <v>445</v>
      </c>
      <c r="M1792">
        <v>2502</v>
      </c>
      <c r="N1792" t="s">
        <v>16042</v>
      </c>
    </row>
    <row r="1793" spans="1:14">
      <c r="A1793">
        <v>13150518</v>
      </c>
      <c r="B1793">
        <v>3024641</v>
      </c>
      <c r="C1793" t="s">
        <v>1315</v>
      </c>
      <c r="D1793" t="s">
        <v>441</v>
      </c>
      <c r="F1793">
        <v>0</v>
      </c>
      <c r="G1793">
        <v>7.28</v>
      </c>
      <c r="H1793" t="s">
        <v>8588</v>
      </c>
      <c r="I1793">
        <v>6</v>
      </c>
      <c r="J1793" t="s">
        <v>445</v>
      </c>
      <c r="M1793">
        <v>2502</v>
      </c>
      <c r="N1793" t="s">
        <v>16042</v>
      </c>
    </row>
    <row r="1794" spans="1:14">
      <c r="A1794">
        <v>13150612</v>
      </c>
      <c r="B1794">
        <v>3030397</v>
      </c>
      <c r="C1794" t="s">
        <v>17381</v>
      </c>
      <c r="D1794" t="s">
        <v>441</v>
      </c>
      <c r="F1794">
        <v>0</v>
      </c>
      <c r="G1794">
        <v>10.36</v>
      </c>
      <c r="I1794">
        <v>5</v>
      </c>
      <c r="J1794" t="s">
        <v>445</v>
      </c>
      <c r="M1794">
        <v>2510</v>
      </c>
      <c r="N1794" t="s">
        <v>16042</v>
      </c>
    </row>
    <row r="1795" spans="1:14">
      <c r="A1795">
        <v>13150618</v>
      </c>
      <c r="B1795">
        <v>3024703</v>
      </c>
      <c r="C1795" t="s">
        <v>1316</v>
      </c>
      <c r="D1795" t="s">
        <v>441</v>
      </c>
      <c r="F1795">
        <v>0</v>
      </c>
      <c r="G1795">
        <v>7.88</v>
      </c>
      <c r="H1795" t="s">
        <v>8588</v>
      </c>
      <c r="I1795">
        <v>4</v>
      </c>
      <c r="J1795" t="s">
        <v>445</v>
      </c>
      <c r="M1795">
        <v>2510</v>
      </c>
      <c r="N1795" t="s">
        <v>16042</v>
      </c>
    </row>
    <row r="1796" spans="1:14">
      <c r="A1796">
        <v>13150900</v>
      </c>
      <c r="B1796">
        <v>3024637</v>
      </c>
      <c r="C1796" t="s">
        <v>1317</v>
      </c>
      <c r="D1796" t="s">
        <v>441</v>
      </c>
      <c r="F1796">
        <v>0</v>
      </c>
      <c r="G1796">
        <v>0</v>
      </c>
      <c r="H1796" t="s">
        <v>8580</v>
      </c>
      <c r="I1796">
        <v>6</v>
      </c>
      <c r="J1796" t="s">
        <v>445</v>
      </c>
      <c r="M1796">
        <v>6666</v>
      </c>
      <c r="N1796" t="s">
        <v>16042</v>
      </c>
    </row>
    <row r="1797" spans="1:14">
      <c r="A1797">
        <v>13150907</v>
      </c>
      <c r="B1797">
        <v>3025511</v>
      </c>
      <c r="C1797" t="s">
        <v>1318</v>
      </c>
      <c r="D1797" t="s">
        <v>441</v>
      </c>
      <c r="F1797">
        <v>0</v>
      </c>
      <c r="G1797">
        <v>0</v>
      </c>
      <c r="H1797" t="s">
        <v>8935</v>
      </c>
      <c r="I1797">
        <v>6</v>
      </c>
      <c r="J1797" t="s">
        <v>445</v>
      </c>
      <c r="M1797">
        <v>6666</v>
      </c>
      <c r="N1797" t="s">
        <v>16042</v>
      </c>
    </row>
    <row r="1798" spans="1:14">
      <c r="A1798">
        <v>13150918</v>
      </c>
      <c r="B1798">
        <v>3024745</v>
      </c>
      <c r="C1798" t="s">
        <v>1319</v>
      </c>
      <c r="D1798" t="s">
        <v>441</v>
      </c>
      <c r="F1798">
        <v>0</v>
      </c>
      <c r="H1798" t="s">
        <v>8584</v>
      </c>
      <c r="I1798">
        <v>365</v>
      </c>
      <c r="J1798" t="s">
        <v>445</v>
      </c>
      <c r="M1798">
        <v>6666</v>
      </c>
      <c r="N1798" t="s">
        <v>16042</v>
      </c>
    </row>
    <row r="1799" spans="1:14">
      <c r="A1799">
        <v>13151000</v>
      </c>
      <c r="B1799">
        <v>3024513</v>
      </c>
      <c r="C1799" t="s">
        <v>1320</v>
      </c>
      <c r="D1799" t="s">
        <v>441</v>
      </c>
      <c r="F1799">
        <v>0</v>
      </c>
      <c r="G1799">
        <v>7.19</v>
      </c>
      <c r="H1799" t="s">
        <v>8588</v>
      </c>
      <c r="I1799">
        <v>6</v>
      </c>
      <c r="J1799" t="s">
        <v>445</v>
      </c>
      <c r="M1799">
        <v>2391</v>
      </c>
      <c r="N1799" t="s">
        <v>16042</v>
      </c>
    </row>
    <row r="1800" spans="1:14">
      <c r="A1800">
        <v>13151007</v>
      </c>
      <c r="B1800">
        <v>3025512</v>
      </c>
      <c r="C1800" t="s">
        <v>17382</v>
      </c>
      <c r="D1800" t="s">
        <v>441</v>
      </c>
      <c r="F1800">
        <v>0</v>
      </c>
      <c r="G1800">
        <v>9.89</v>
      </c>
      <c r="H1800" t="s">
        <v>8588</v>
      </c>
      <c r="I1800">
        <v>6</v>
      </c>
      <c r="J1800" t="s">
        <v>445</v>
      </c>
      <c r="M1800">
        <v>2641</v>
      </c>
      <c r="N1800" t="s">
        <v>16042</v>
      </c>
    </row>
    <row r="1801" spans="1:14">
      <c r="A1801">
        <v>13151087</v>
      </c>
      <c r="B1801">
        <v>3045871</v>
      </c>
      <c r="C1801" t="s">
        <v>17383</v>
      </c>
      <c r="D1801" t="s">
        <v>441</v>
      </c>
      <c r="F1801">
        <v>0</v>
      </c>
      <c r="G1801">
        <v>15.17</v>
      </c>
      <c r="H1801" t="s">
        <v>8588</v>
      </c>
      <c r="I1801">
        <v>6</v>
      </c>
      <c r="J1801" t="s">
        <v>445</v>
      </c>
      <c r="M1801">
        <v>7112</v>
      </c>
      <c r="N1801" t="s">
        <v>16042</v>
      </c>
    </row>
    <row r="1802" spans="1:14">
      <c r="A1802">
        <v>13151102</v>
      </c>
      <c r="B1802">
        <v>3045484</v>
      </c>
      <c r="C1802" t="s">
        <v>17384</v>
      </c>
      <c r="D1802" t="s">
        <v>441</v>
      </c>
      <c r="F1802">
        <v>0</v>
      </c>
      <c r="G1802">
        <v>15.6</v>
      </c>
      <c r="H1802" t="s">
        <v>8588</v>
      </c>
      <c r="I1802">
        <v>729</v>
      </c>
      <c r="J1802" t="s">
        <v>445</v>
      </c>
      <c r="M1802">
        <v>0</v>
      </c>
      <c r="N1802" t="s">
        <v>16042</v>
      </c>
    </row>
    <row r="1803" spans="1:14">
      <c r="A1803">
        <v>13151618</v>
      </c>
      <c r="B1803">
        <v>3046310</v>
      </c>
      <c r="C1803" t="s">
        <v>17385</v>
      </c>
      <c r="D1803" t="s">
        <v>441</v>
      </c>
      <c r="F1803">
        <v>0</v>
      </c>
      <c r="G1803">
        <v>16.04</v>
      </c>
      <c r="H1803" t="s">
        <v>8588</v>
      </c>
      <c r="I1803">
        <v>4</v>
      </c>
      <c r="J1803" t="s">
        <v>445</v>
      </c>
      <c r="M1803">
        <v>2510</v>
      </c>
      <c r="N1803" t="s">
        <v>16042</v>
      </c>
    </row>
    <row r="1804" spans="1:14">
      <c r="A1804">
        <v>13151900</v>
      </c>
      <c r="B1804">
        <v>3024638</v>
      </c>
      <c r="C1804" t="s">
        <v>1321</v>
      </c>
      <c r="D1804" t="s">
        <v>441</v>
      </c>
      <c r="F1804">
        <v>0</v>
      </c>
      <c r="G1804">
        <v>0</v>
      </c>
      <c r="H1804" t="s">
        <v>8580</v>
      </c>
      <c r="I1804">
        <v>6</v>
      </c>
      <c r="J1804" t="s">
        <v>445</v>
      </c>
      <c r="M1804">
        <v>6666</v>
      </c>
      <c r="N1804" t="s">
        <v>16042</v>
      </c>
    </row>
    <row r="1805" spans="1:14">
      <c r="A1805">
        <v>13151907</v>
      </c>
      <c r="B1805">
        <v>3025513</v>
      </c>
      <c r="C1805" t="s">
        <v>9350</v>
      </c>
      <c r="D1805" t="s">
        <v>441</v>
      </c>
      <c r="F1805">
        <v>0</v>
      </c>
      <c r="H1805" t="s">
        <v>8584</v>
      </c>
      <c r="I1805">
        <v>6</v>
      </c>
      <c r="J1805" t="s">
        <v>445</v>
      </c>
      <c r="K1805" t="s">
        <v>446</v>
      </c>
      <c r="M1805">
        <v>6666</v>
      </c>
      <c r="N1805" t="s">
        <v>16042</v>
      </c>
    </row>
    <row r="1806" spans="1:14">
      <c r="A1806">
        <v>13151918</v>
      </c>
      <c r="B1806">
        <v>3046313</v>
      </c>
      <c r="C1806" t="s">
        <v>17386</v>
      </c>
      <c r="D1806" t="s">
        <v>441</v>
      </c>
      <c r="F1806">
        <v>0</v>
      </c>
      <c r="G1806">
        <v>1</v>
      </c>
      <c r="H1806" t="s">
        <v>8588</v>
      </c>
      <c r="I1806">
        <v>4</v>
      </c>
      <c r="J1806" t="s">
        <v>445</v>
      </c>
      <c r="M1806">
        <v>6666</v>
      </c>
      <c r="N1806" t="s">
        <v>16042</v>
      </c>
    </row>
    <row r="1807" spans="1:14">
      <c r="A1807">
        <v>13154000</v>
      </c>
      <c r="B1807">
        <v>3035532</v>
      </c>
      <c r="C1807" t="s">
        <v>1322</v>
      </c>
      <c r="D1807" t="s">
        <v>441</v>
      </c>
      <c r="F1807">
        <v>0</v>
      </c>
      <c r="G1807">
        <v>7.19</v>
      </c>
      <c r="H1807" t="s">
        <v>8588</v>
      </c>
      <c r="I1807">
        <v>6</v>
      </c>
      <c r="J1807" t="s">
        <v>445</v>
      </c>
      <c r="M1807">
        <v>2391</v>
      </c>
      <c r="N1807" t="s">
        <v>16042</v>
      </c>
    </row>
    <row r="1808" spans="1:14">
      <c r="A1808">
        <v>13154007</v>
      </c>
      <c r="B1808">
        <v>3042122</v>
      </c>
      <c r="C1808" t="s">
        <v>423</v>
      </c>
      <c r="D1808" t="s">
        <v>441</v>
      </c>
      <c r="F1808">
        <v>0</v>
      </c>
      <c r="G1808">
        <v>7.73</v>
      </c>
      <c r="H1808" t="s">
        <v>8588</v>
      </c>
      <c r="I1808">
        <v>6</v>
      </c>
      <c r="J1808" t="s">
        <v>445</v>
      </c>
      <c r="M1808">
        <v>3111</v>
      </c>
      <c r="N1808" t="s">
        <v>16042</v>
      </c>
    </row>
    <row r="1809" spans="1:14">
      <c r="A1809">
        <v>13154018</v>
      </c>
      <c r="B1809">
        <v>3040906</v>
      </c>
      <c r="C1809" t="s">
        <v>1323</v>
      </c>
      <c r="D1809" t="s">
        <v>441</v>
      </c>
      <c r="F1809">
        <v>0</v>
      </c>
      <c r="G1809">
        <v>7.62</v>
      </c>
      <c r="H1809" t="s">
        <v>8588</v>
      </c>
      <c r="I1809">
        <v>540</v>
      </c>
      <c r="J1809" t="s">
        <v>445</v>
      </c>
      <c r="M1809">
        <v>7111</v>
      </c>
      <c r="N1809" t="s">
        <v>16042</v>
      </c>
    </row>
    <row r="1810" spans="1:14">
      <c r="A1810">
        <v>13154087</v>
      </c>
      <c r="B1810">
        <v>3036297</v>
      </c>
      <c r="C1810" t="s">
        <v>1324</v>
      </c>
      <c r="D1810" t="s">
        <v>441</v>
      </c>
      <c r="F1810">
        <v>0</v>
      </c>
      <c r="G1810">
        <v>7.29</v>
      </c>
      <c r="H1810" t="s">
        <v>8588</v>
      </c>
      <c r="I1810">
        <v>6</v>
      </c>
      <c r="J1810" t="s">
        <v>445</v>
      </c>
      <c r="M1810">
        <v>7112</v>
      </c>
      <c r="N1810" t="s">
        <v>16042</v>
      </c>
    </row>
    <row r="1811" spans="1:14">
      <c r="A1811">
        <v>13154102</v>
      </c>
      <c r="B1811">
        <v>3039425</v>
      </c>
      <c r="C1811" t="s">
        <v>17387</v>
      </c>
      <c r="D1811" t="s">
        <v>441</v>
      </c>
      <c r="F1811">
        <v>0</v>
      </c>
      <c r="G1811">
        <v>15.49</v>
      </c>
      <c r="H1811" t="s">
        <v>8588</v>
      </c>
      <c r="I1811">
        <v>729</v>
      </c>
      <c r="J1811" t="s">
        <v>445</v>
      </c>
      <c r="M1811">
        <v>0</v>
      </c>
      <c r="N1811" t="s">
        <v>16042</v>
      </c>
    </row>
    <row r="1812" spans="1:14">
      <c r="A1812">
        <v>13154110</v>
      </c>
      <c r="B1812">
        <v>3035534</v>
      </c>
      <c r="C1812" t="s">
        <v>1325</v>
      </c>
      <c r="D1812" t="s">
        <v>441</v>
      </c>
      <c r="F1812">
        <v>0</v>
      </c>
      <c r="G1812">
        <v>11.67</v>
      </c>
      <c r="H1812" t="s">
        <v>8588</v>
      </c>
      <c r="I1812">
        <v>6</v>
      </c>
      <c r="J1812" t="s">
        <v>445</v>
      </c>
      <c r="M1812">
        <v>0</v>
      </c>
      <c r="N1812" t="s">
        <v>16042</v>
      </c>
    </row>
    <row r="1813" spans="1:14">
      <c r="A1813">
        <v>13154518</v>
      </c>
      <c r="B1813">
        <v>3035839</v>
      </c>
      <c r="C1813" t="s">
        <v>1326</v>
      </c>
      <c r="D1813" t="s">
        <v>441</v>
      </c>
      <c r="F1813">
        <v>0</v>
      </c>
      <c r="G1813">
        <v>12.03</v>
      </c>
      <c r="H1813" t="s">
        <v>8588</v>
      </c>
      <c r="I1813">
        <v>6</v>
      </c>
      <c r="J1813" t="s">
        <v>445</v>
      </c>
      <c r="M1813">
        <v>2502</v>
      </c>
      <c r="N1813" t="s">
        <v>16042</v>
      </c>
    </row>
    <row r="1814" spans="1:14">
      <c r="A1814">
        <v>13154618</v>
      </c>
      <c r="B1814">
        <v>3040907</v>
      </c>
      <c r="C1814" t="s">
        <v>1327</v>
      </c>
      <c r="D1814" t="s">
        <v>441</v>
      </c>
      <c r="F1814">
        <v>0</v>
      </c>
      <c r="G1814">
        <v>7.88</v>
      </c>
      <c r="H1814" t="s">
        <v>8549</v>
      </c>
      <c r="I1814">
        <v>4</v>
      </c>
      <c r="J1814" t="s">
        <v>445</v>
      </c>
      <c r="M1814">
        <v>2510</v>
      </c>
      <c r="N1814" t="s">
        <v>16042</v>
      </c>
    </row>
    <row r="1815" spans="1:14">
      <c r="A1815">
        <v>13154907</v>
      </c>
      <c r="B1815">
        <v>3042106</v>
      </c>
      <c r="C1815" t="s">
        <v>1328</v>
      </c>
      <c r="D1815" t="s">
        <v>441</v>
      </c>
      <c r="F1815">
        <v>0</v>
      </c>
      <c r="G1815">
        <v>1</v>
      </c>
      <c r="H1815" t="s">
        <v>8588</v>
      </c>
      <c r="I1815">
        <v>6</v>
      </c>
      <c r="J1815" t="s">
        <v>445</v>
      </c>
      <c r="M1815">
        <v>6666</v>
      </c>
      <c r="N1815" t="s">
        <v>16042</v>
      </c>
    </row>
    <row r="1816" spans="1:14">
      <c r="A1816">
        <v>13154918</v>
      </c>
      <c r="B1816">
        <v>3040909</v>
      </c>
      <c r="C1816" t="s">
        <v>1329</v>
      </c>
      <c r="D1816" t="s">
        <v>441</v>
      </c>
      <c r="F1816">
        <v>0</v>
      </c>
      <c r="G1816">
        <v>1</v>
      </c>
      <c r="H1816" t="s">
        <v>8580</v>
      </c>
      <c r="I1816">
        <v>4</v>
      </c>
      <c r="J1816" t="s">
        <v>445</v>
      </c>
      <c r="M1816">
        <v>6666</v>
      </c>
      <c r="N1816" t="s">
        <v>16042</v>
      </c>
    </row>
    <row r="1817" spans="1:14">
      <c r="A1817">
        <v>13157000</v>
      </c>
      <c r="B1817">
        <v>3032534</v>
      </c>
      <c r="C1817" t="s">
        <v>1330</v>
      </c>
      <c r="D1817" t="s">
        <v>441</v>
      </c>
      <c r="F1817">
        <v>0</v>
      </c>
      <c r="G1817">
        <v>11.09</v>
      </c>
      <c r="H1817" t="s">
        <v>8588</v>
      </c>
      <c r="I1817">
        <v>6</v>
      </c>
      <c r="J1817" t="s">
        <v>445</v>
      </c>
      <c r="M1817">
        <v>2391</v>
      </c>
      <c r="N1817" t="s">
        <v>16042</v>
      </c>
    </row>
    <row r="1818" spans="1:14">
      <c r="A1818">
        <v>13157007</v>
      </c>
      <c r="B1818">
        <v>3032527</v>
      </c>
      <c r="C1818" t="s">
        <v>1331</v>
      </c>
      <c r="D1818" t="s">
        <v>441</v>
      </c>
      <c r="F1818">
        <v>0</v>
      </c>
      <c r="G1818">
        <v>11.22</v>
      </c>
      <c r="H1818" t="s">
        <v>8588</v>
      </c>
      <c r="I1818">
        <v>6</v>
      </c>
      <c r="J1818" t="s">
        <v>445</v>
      </c>
      <c r="M1818">
        <v>2391</v>
      </c>
      <c r="N1818" t="s">
        <v>16042</v>
      </c>
    </row>
    <row r="1819" spans="1:14">
      <c r="A1819">
        <v>13160000</v>
      </c>
      <c r="B1819">
        <v>3042709</v>
      </c>
      <c r="C1819" t="s">
        <v>1332</v>
      </c>
      <c r="D1819" t="s">
        <v>441</v>
      </c>
      <c r="F1819">
        <v>0</v>
      </c>
      <c r="G1819">
        <v>3.34</v>
      </c>
      <c r="H1819" t="s">
        <v>8549</v>
      </c>
      <c r="I1819">
        <v>6</v>
      </c>
      <c r="J1819" t="s">
        <v>445</v>
      </c>
      <c r="M1819">
        <v>2391</v>
      </c>
      <c r="N1819" t="s">
        <v>16043</v>
      </c>
    </row>
    <row r="1820" spans="1:14">
      <c r="A1820">
        <v>13160007</v>
      </c>
      <c r="B1820">
        <v>3042758</v>
      </c>
      <c r="C1820" t="s">
        <v>1333</v>
      </c>
      <c r="D1820" t="s">
        <v>441</v>
      </c>
      <c r="F1820">
        <v>0</v>
      </c>
      <c r="G1820">
        <v>3.44</v>
      </c>
      <c r="H1820" t="s">
        <v>8588</v>
      </c>
      <c r="I1820">
        <v>6</v>
      </c>
      <c r="J1820" t="s">
        <v>445</v>
      </c>
      <c r="M1820">
        <v>3111</v>
      </c>
      <c r="N1820" t="s">
        <v>16043</v>
      </c>
    </row>
    <row r="1821" spans="1:14">
      <c r="A1821">
        <v>13160907</v>
      </c>
      <c r="B1821">
        <v>3042878</v>
      </c>
      <c r="C1821" t="s">
        <v>1334</v>
      </c>
      <c r="D1821" t="s">
        <v>441</v>
      </c>
      <c r="F1821">
        <v>0</v>
      </c>
      <c r="G1821">
        <v>1</v>
      </c>
      <c r="H1821" t="s">
        <v>8588</v>
      </c>
      <c r="I1821">
        <v>6</v>
      </c>
      <c r="J1821" t="s">
        <v>445</v>
      </c>
      <c r="M1821">
        <v>6666</v>
      </c>
      <c r="N1821" t="s">
        <v>16043</v>
      </c>
    </row>
    <row r="1822" spans="1:14">
      <c r="A1822">
        <v>13164000</v>
      </c>
      <c r="B1822">
        <v>3042744</v>
      </c>
      <c r="C1822" t="s">
        <v>1335</v>
      </c>
      <c r="D1822" t="s">
        <v>441</v>
      </c>
      <c r="F1822">
        <v>0</v>
      </c>
      <c r="G1822">
        <v>4.17</v>
      </c>
      <c r="H1822" t="s">
        <v>8549</v>
      </c>
      <c r="I1822">
        <v>6</v>
      </c>
      <c r="J1822" t="s">
        <v>445</v>
      </c>
      <c r="M1822">
        <v>2391</v>
      </c>
      <c r="N1822" t="s">
        <v>16043</v>
      </c>
    </row>
    <row r="1823" spans="1:14">
      <c r="A1823">
        <v>13164007</v>
      </c>
      <c r="B1823">
        <v>3042759</v>
      </c>
      <c r="C1823" t="s">
        <v>16044</v>
      </c>
      <c r="D1823" t="s">
        <v>441</v>
      </c>
      <c r="F1823">
        <v>0</v>
      </c>
      <c r="G1823">
        <v>14.48</v>
      </c>
      <c r="H1823" t="s">
        <v>8588</v>
      </c>
      <c r="I1823">
        <v>6</v>
      </c>
      <c r="J1823" t="s">
        <v>445</v>
      </c>
      <c r="M1823">
        <v>3111</v>
      </c>
      <c r="N1823" t="s">
        <v>16043</v>
      </c>
    </row>
    <row r="1824" spans="1:14">
      <c r="A1824">
        <v>13164907</v>
      </c>
      <c r="B1824">
        <v>3042892</v>
      </c>
      <c r="C1824" t="s">
        <v>16045</v>
      </c>
      <c r="D1824" t="s">
        <v>441</v>
      </c>
      <c r="F1824">
        <v>0</v>
      </c>
      <c r="G1824">
        <v>1</v>
      </c>
      <c r="H1824" t="s">
        <v>8588</v>
      </c>
      <c r="I1824">
        <v>6</v>
      </c>
      <c r="J1824" t="s">
        <v>445</v>
      </c>
      <c r="M1824">
        <v>6666</v>
      </c>
      <c r="N1824" t="s">
        <v>16043</v>
      </c>
    </row>
    <row r="1825" spans="1:14">
      <c r="A1825">
        <v>13200000</v>
      </c>
      <c r="B1825">
        <v>3014204</v>
      </c>
      <c r="C1825" t="s">
        <v>1336</v>
      </c>
      <c r="D1825" t="s">
        <v>441</v>
      </c>
      <c r="F1825">
        <v>0</v>
      </c>
      <c r="G1825">
        <v>6.36</v>
      </c>
      <c r="I1825">
        <v>6</v>
      </c>
      <c r="J1825" t="s">
        <v>445</v>
      </c>
      <c r="K1825" t="s">
        <v>446</v>
      </c>
      <c r="M1825">
        <v>2390</v>
      </c>
    </row>
    <row r="1826" spans="1:14">
      <c r="A1826">
        <v>13200080</v>
      </c>
      <c r="B1826">
        <v>4010183</v>
      </c>
      <c r="C1826" t="s">
        <v>9351</v>
      </c>
      <c r="D1826" t="s">
        <v>441</v>
      </c>
      <c r="F1826">
        <v>0</v>
      </c>
      <c r="G1826">
        <v>6.33</v>
      </c>
      <c r="H1826" t="s">
        <v>8588</v>
      </c>
      <c r="I1826">
        <v>6</v>
      </c>
      <c r="J1826" t="s">
        <v>462</v>
      </c>
      <c r="K1826" t="s">
        <v>446</v>
      </c>
      <c r="M1826">
        <v>2641</v>
      </c>
    </row>
    <row r="1827" spans="1:14">
      <c r="A1827">
        <v>13201080</v>
      </c>
      <c r="B1827">
        <v>4012039</v>
      </c>
      <c r="C1827" t="s">
        <v>9352</v>
      </c>
      <c r="D1827" t="s">
        <v>441</v>
      </c>
      <c r="F1827">
        <v>0</v>
      </c>
      <c r="G1827">
        <v>6.33</v>
      </c>
      <c r="H1827" t="s">
        <v>8588</v>
      </c>
      <c r="I1827">
        <v>6</v>
      </c>
      <c r="J1827" t="s">
        <v>462</v>
      </c>
      <c r="K1827" t="s">
        <v>446</v>
      </c>
      <c r="M1827">
        <v>2641</v>
      </c>
    </row>
    <row r="1828" spans="1:14">
      <c r="A1828">
        <v>13210000</v>
      </c>
      <c r="B1828">
        <v>3005573</v>
      </c>
      <c r="C1828" t="s">
        <v>1337</v>
      </c>
      <c r="D1828" t="s">
        <v>441</v>
      </c>
      <c r="F1828">
        <v>0</v>
      </c>
      <c r="G1828">
        <v>9.08</v>
      </c>
      <c r="H1828" t="s">
        <v>8549</v>
      </c>
      <c r="I1828">
        <v>6</v>
      </c>
      <c r="J1828" t="s">
        <v>445</v>
      </c>
      <c r="K1828" t="s">
        <v>446</v>
      </c>
      <c r="M1828">
        <v>2390</v>
      </c>
    </row>
    <row r="1829" spans="1:14">
      <c r="A1829">
        <v>13210021</v>
      </c>
      <c r="B1829">
        <v>4012217</v>
      </c>
      <c r="C1829" t="s">
        <v>9353</v>
      </c>
      <c r="D1829" t="s">
        <v>441</v>
      </c>
      <c r="F1829">
        <v>0</v>
      </c>
      <c r="G1829">
        <v>8.89</v>
      </c>
      <c r="H1829" t="s">
        <v>8588</v>
      </c>
      <c r="I1829">
        <v>6</v>
      </c>
      <c r="J1829" t="s">
        <v>462</v>
      </c>
      <c r="K1829" t="s">
        <v>446</v>
      </c>
      <c r="M1829">
        <v>2612</v>
      </c>
      <c r="N1829" t="s">
        <v>16046</v>
      </c>
    </row>
    <row r="1830" spans="1:14">
      <c r="A1830">
        <v>13210050</v>
      </c>
      <c r="B1830">
        <v>4010775</v>
      </c>
      <c r="C1830" t="s">
        <v>9354</v>
      </c>
      <c r="D1830" t="s">
        <v>441</v>
      </c>
      <c r="F1830">
        <v>0</v>
      </c>
      <c r="G1830">
        <v>8.17</v>
      </c>
      <c r="H1830" t="s">
        <v>8588</v>
      </c>
      <c r="I1830">
        <v>10</v>
      </c>
      <c r="J1830" t="s">
        <v>462</v>
      </c>
      <c r="K1830" t="s">
        <v>446</v>
      </c>
      <c r="M1830">
        <v>2612</v>
      </c>
      <c r="N1830" t="s">
        <v>16047</v>
      </c>
    </row>
    <row r="1831" spans="1:14">
      <c r="A1831">
        <v>13210051</v>
      </c>
      <c r="B1831">
        <v>4015789</v>
      </c>
      <c r="C1831" t="s">
        <v>9355</v>
      </c>
      <c r="D1831" t="s">
        <v>441</v>
      </c>
      <c r="F1831">
        <v>0</v>
      </c>
      <c r="G1831">
        <v>11.31</v>
      </c>
      <c r="H1831" t="s">
        <v>8588</v>
      </c>
      <c r="I1831">
        <v>16</v>
      </c>
      <c r="J1831" t="s">
        <v>462</v>
      </c>
      <c r="K1831" t="s">
        <v>446</v>
      </c>
      <c r="M1831">
        <v>2612</v>
      </c>
      <c r="N1831" t="s">
        <v>16046</v>
      </c>
    </row>
    <row r="1832" spans="1:14">
      <c r="A1832">
        <v>13210061</v>
      </c>
      <c r="B1832">
        <v>4013730</v>
      </c>
      <c r="C1832" t="s">
        <v>9356</v>
      </c>
      <c r="D1832" t="s">
        <v>441</v>
      </c>
      <c r="F1832">
        <v>0</v>
      </c>
      <c r="G1832">
        <v>8.2899999999999991</v>
      </c>
      <c r="H1832" t="s">
        <v>8588</v>
      </c>
      <c r="I1832">
        <v>365</v>
      </c>
      <c r="J1832" t="s">
        <v>462</v>
      </c>
      <c r="K1832" t="s">
        <v>446</v>
      </c>
      <c r="M1832">
        <v>2501</v>
      </c>
      <c r="N1832" t="s">
        <v>16046</v>
      </c>
    </row>
    <row r="1833" spans="1:14">
      <c r="A1833">
        <v>13210561</v>
      </c>
      <c r="B1833">
        <v>3020955</v>
      </c>
      <c r="C1833" t="s">
        <v>9357</v>
      </c>
      <c r="D1833" t="s">
        <v>441</v>
      </c>
      <c r="F1833">
        <v>0</v>
      </c>
      <c r="G1833">
        <v>8.07</v>
      </c>
      <c r="H1833" t="s">
        <v>8586</v>
      </c>
      <c r="I1833">
        <v>6</v>
      </c>
      <c r="J1833" t="s">
        <v>445</v>
      </c>
      <c r="K1833" t="s">
        <v>446</v>
      </c>
      <c r="M1833">
        <v>2612</v>
      </c>
      <c r="N1833" t="s">
        <v>16046</v>
      </c>
    </row>
    <row r="1834" spans="1:14">
      <c r="A1834">
        <v>13211021</v>
      </c>
      <c r="B1834">
        <v>4012214</v>
      </c>
      <c r="C1834" t="s">
        <v>9358</v>
      </c>
      <c r="D1834" t="s">
        <v>441</v>
      </c>
      <c r="F1834">
        <v>0</v>
      </c>
      <c r="G1834">
        <v>8.89</v>
      </c>
      <c r="H1834" t="s">
        <v>8588</v>
      </c>
      <c r="I1834">
        <v>6</v>
      </c>
      <c r="J1834" t="s">
        <v>462</v>
      </c>
      <c r="K1834" t="s">
        <v>446</v>
      </c>
      <c r="M1834">
        <v>2612</v>
      </c>
      <c r="N1834" t="s">
        <v>16046</v>
      </c>
    </row>
    <row r="1835" spans="1:14">
      <c r="A1835">
        <v>13211050</v>
      </c>
      <c r="B1835">
        <v>4012104</v>
      </c>
      <c r="C1835" t="s">
        <v>9359</v>
      </c>
      <c r="D1835" t="s">
        <v>441</v>
      </c>
      <c r="F1835">
        <v>0</v>
      </c>
      <c r="G1835">
        <v>7.97</v>
      </c>
      <c r="H1835" t="s">
        <v>8588</v>
      </c>
      <c r="I1835">
        <v>10</v>
      </c>
      <c r="J1835" t="s">
        <v>462</v>
      </c>
      <c r="K1835" t="s">
        <v>446</v>
      </c>
      <c r="M1835">
        <v>2612</v>
      </c>
      <c r="N1835" t="s">
        <v>16046</v>
      </c>
    </row>
    <row r="1836" spans="1:14">
      <c r="A1836">
        <v>13211061</v>
      </c>
      <c r="B1836">
        <v>4013732</v>
      </c>
      <c r="C1836" t="s">
        <v>9360</v>
      </c>
      <c r="D1836" t="s">
        <v>441</v>
      </c>
      <c r="F1836">
        <v>0</v>
      </c>
      <c r="G1836">
        <v>8.2899999999999991</v>
      </c>
      <c r="H1836" t="s">
        <v>8588</v>
      </c>
      <c r="I1836">
        <v>365</v>
      </c>
      <c r="J1836" t="s">
        <v>462</v>
      </c>
      <c r="K1836" t="s">
        <v>446</v>
      </c>
      <c r="M1836">
        <v>2501</v>
      </c>
      <c r="N1836" t="s">
        <v>16046</v>
      </c>
    </row>
    <row r="1837" spans="1:14">
      <c r="A1837">
        <v>13211561</v>
      </c>
      <c r="B1837">
        <v>3020956</v>
      </c>
      <c r="C1837" t="s">
        <v>9361</v>
      </c>
      <c r="D1837" t="s">
        <v>441</v>
      </c>
      <c r="F1837">
        <v>0</v>
      </c>
      <c r="G1837">
        <v>8.07</v>
      </c>
      <c r="H1837" t="s">
        <v>8586</v>
      </c>
      <c r="I1837">
        <v>6</v>
      </c>
      <c r="J1837" t="s">
        <v>445</v>
      </c>
      <c r="K1837" t="s">
        <v>446</v>
      </c>
      <c r="M1837">
        <v>2612</v>
      </c>
      <c r="N1837" t="s">
        <v>16046</v>
      </c>
    </row>
    <row r="1838" spans="1:14">
      <c r="A1838">
        <v>13220000</v>
      </c>
      <c r="B1838">
        <v>3012375</v>
      </c>
      <c r="C1838" t="s">
        <v>1338</v>
      </c>
      <c r="D1838" t="s">
        <v>441</v>
      </c>
      <c r="F1838">
        <v>0</v>
      </c>
      <c r="G1838">
        <v>9.11</v>
      </c>
      <c r="H1838" t="s">
        <v>8580</v>
      </c>
      <c r="I1838">
        <v>6</v>
      </c>
      <c r="J1838" t="s">
        <v>445</v>
      </c>
      <c r="K1838" t="s">
        <v>446</v>
      </c>
      <c r="M1838">
        <v>2390</v>
      </c>
    </row>
    <row r="1839" spans="1:14">
      <c r="A1839">
        <v>13220050</v>
      </c>
      <c r="B1839">
        <v>4010007</v>
      </c>
      <c r="C1839" t="s">
        <v>15575</v>
      </c>
      <c r="D1839" t="s">
        <v>441</v>
      </c>
      <c r="F1839">
        <v>0</v>
      </c>
      <c r="G1839">
        <v>16.02</v>
      </c>
      <c r="H1839" t="s">
        <v>8588</v>
      </c>
      <c r="I1839">
        <v>16</v>
      </c>
      <c r="J1839" t="s">
        <v>462</v>
      </c>
      <c r="M1839">
        <v>7112</v>
      </c>
      <c r="N1839" t="s">
        <v>16047</v>
      </c>
    </row>
    <row r="1840" spans="1:14">
      <c r="A1840">
        <v>13230000</v>
      </c>
      <c r="B1840">
        <v>3008798</v>
      </c>
      <c r="C1840" t="s">
        <v>1339</v>
      </c>
      <c r="D1840" t="s">
        <v>441</v>
      </c>
      <c r="F1840">
        <v>0</v>
      </c>
      <c r="G1840">
        <v>10.02</v>
      </c>
      <c r="H1840" t="s">
        <v>8580</v>
      </c>
      <c r="I1840">
        <v>6</v>
      </c>
      <c r="J1840" t="s">
        <v>445</v>
      </c>
      <c r="K1840" t="s">
        <v>446</v>
      </c>
      <c r="M1840">
        <v>2390</v>
      </c>
    </row>
    <row r="1841" spans="1:14">
      <c r="A1841">
        <v>13240000</v>
      </c>
      <c r="B1841">
        <v>3015074</v>
      </c>
      <c r="C1841" t="s">
        <v>1340</v>
      </c>
      <c r="D1841" t="s">
        <v>441</v>
      </c>
      <c r="F1841">
        <v>0</v>
      </c>
      <c r="G1841">
        <v>8.36</v>
      </c>
      <c r="H1841" t="s">
        <v>8580</v>
      </c>
      <c r="I1841">
        <v>6</v>
      </c>
      <c r="J1841" t="s">
        <v>445</v>
      </c>
      <c r="K1841" t="s">
        <v>446</v>
      </c>
      <c r="M1841">
        <v>2390</v>
      </c>
    </row>
    <row r="1842" spans="1:14">
      <c r="A1842">
        <v>13240019</v>
      </c>
      <c r="B1842">
        <v>3011415</v>
      </c>
      <c r="C1842" t="s">
        <v>1341</v>
      </c>
      <c r="D1842" t="s">
        <v>441</v>
      </c>
      <c r="F1842">
        <v>0</v>
      </c>
      <c r="G1842">
        <v>10.59</v>
      </c>
      <c r="H1842" t="s">
        <v>8588</v>
      </c>
      <c r="I1842">
        <v>365</v>
      </c>
      <c r="J1842" t="s">
        <v>445</v>
      </c>
      <c r="K1842" t="s">
        <v>446</v>
      </c>
      <c r="M1842">
        <v>2501</v>
      </c>
      <c r="N1842" t="s">
        <v>16048</v>
      </c>
    </row>
    <row r="1843" spans="1:14">
      <c r="A1843">
        <v>13240050</v>
      </c>
      <c r="B1843">
        <v>3020097</v>
      </c>
      <c r="C1843" t="s">
        <v>1342</v>
      </c>
      <c r="D1843" t="s">
        <v>441</v>
      </c>
      <c r="F1843">
        <v>0</v>
      </c>
      <c r="G1843">
        <v>7.46</v>
      </c>
      <c r="H1843" t="s">
        <v>8588</v>
      </c>
      <c r="I1843">
        <v>11</v>
      </c>
      <c r="J1843" t="s">
        <v>445</v>
      </c>
      <c r="K1843" t="s">
        <v>446</v>
      </c>
      <c r="M1843">
        <v>2612</v>
      </c>
      <c r="N1843" t="s">
        <v>16048</v>
      </c>
    </row>
    <row r="1844" spans="1:14">
      <c r="A1844">
        <v>13240087</v>
      </c>
      <c r="B1844">
        <v>3011399</v>
      </c>
      <c r="C1844" t="s">
        <v>1343</v>
      </c>
      <c r="D1844" t="s">
        <v>441</v>
      </c>
      <c r="F1844">
        <v>0</v>
      </c>
      <c r="G1844">
        <v>10.33</v>
      </c>
      <c r="H1844" t="s">
        <v>8588</v>
      </c>
      <c r="I1844">
        <v>6</v>
      </c>
      <c r="J1844" t="s">
        <v>445</v>
      </c>
      <c r="K1844" t="s">
        <v>446</v>
      </c>
      <c r="M1844">
        <v>2641</v>
      </c>
      <c r="N1844" t="s">
        <v>16048</v>
      </c>
    </row>
    <row r="1845" spans="1:14">
      <c r="A1845">
        <v>13240088</v>
      </c>
      <c r="B1845">
        <v>3011400</v>
      </c>
      <c r="C1845" t="s">
        <v>1344</v>
      </c>
      <c r="D1845" t="s">
        <v>441</v>
      </c>
      <c r="F1845">
        <v>0</v>
      </c>
      <c r="G1845">
        <v>10.37</v>
      </c>
      <c r="H1845" t="s">
        <v>8588</v>
      </c>
      <c r="I1845">
        <v>6</v>
      </c>
      <c r="J1845" t="s">
        <v>445</v>
      </c>
      <c r="K1845" t="s">
        <v>446</v>
      </c>
      <c r="M1845">
        <v>2641</v>
      </c>
      <c r="N1845" t="s">
        <v>16048</v>
      </c>
    </row>
    <row r="1846" spans="1:14">
      <c r="A1846">
        <v>13240089</v>
      </c>
      <c r="B1846">
        <v>3012624</v>
      </c>
      <c r="C1846" t="s">
        <v>1345</v>
      </c>
      <c r="D1846" t="s">
        <v>441</v>
      </c>
      <c r="F1846">
        <v>0</v>
      </c>
      <c r="H1846" t="s">
        <v>8588</v>
      </c>
      <c r="I1846">
        <v>6</v>
      </c>
      <c r="J1846" t="s">
        <v>445</v>
      </c>
      <c r="M1846">
        <v>7112</v>
      </c>
      <c r="N1846" t="s">
        <v>16048</v>
      </c>
    </row>
    <row r="1847" spans="1:14">
      <c r="A1847">
        <v>13240100</v>
      </c>
      <c r="B1847">
        <v>3012657</v>
      </c>
      <c r="C1847" t="s">
        <v>1346</v>
      </c>
      <c r="D1847" t="s">
        <v>441</v>
      </c>
      <c r="F1847">
        <v>0</v>
      </c>
      <c r="H1847" t="s">
        <v>8588</v>
      </c>
      <c r="I1847">
        <v>6</v>
      </c>
      <c r="J1847" t="s">
        <v>445</v>
      </c>
      <c r="M1847">
        <v>7161</v>
      </c>
      <c r="N1847" t="s">
        <v>16048</v>
      </c>
    </row>
    <row r="1848" spans="1:14">
      <c r="A1848">
        <v>13240519</v>
      </c>
      <c r="B1848">
        <v>3011407</v>
      </c>
      <c r="C1848" t="s">
        <v>9362</v>
      </c>
      <c r="D1848" t="s">
        <v>441</v>
      </c>
      <c r="F1848">
        <v>0</v>
      </c>
      <c r="G1848">
        <v>10.33</v>
      </c>
      <c r="H1848" t="s">
        <v>8584</v>
      </c>
      <c r="I1848">
        <v>6</v>
      </c>
      <c r="J1848" t="s">
        <v>445</v>
      </c>
      <c r="K1848" t="s">
        <v>446</v>
      </c>
      <c r="M1848">
        <v>2641</v>
      </c>
      <c r="N1848" t="s">
        <v>16048</v>
      </c>
    </row>
    <row r="1849" spans="1:14">
      <c r="A1849">
        <v>13240619</v>
      </c>
      <c r="B1849">
        <v>3011414</v>
      </c>
      <c r="C1849" t="s">
        <v>1347</v>
      </c>
      <c r="D1849" t="s">
        <v>441</v>
      </c>
      <c r="F1849">
        <v>0</v>
      </c>
      <c r="G1849">
        <v>10.99</v>
      </c>
      <c r="H1849" t="s">
        <v>8588</v>
      </c>
      <c r="I1849">
        <v>4</v>
      </c>
      <c r="J1849" t="s">
        <v>445</v>
      </c>
      <c r="K1849" t="s">
        <v>446</v>
      </c>
      <c r="M1849">
        <v>2511</v>
      </c>
      <c r="N1849" t="s">
        <v>16048</v>
      </c>
    </row>
    <row r="1850" spans="1:14">
      <c r="A1850">
        <v>13240919</v>
      </c>
      <c r="B1850">
        <v>3020239</v>
      </c>
      <c r="C1850" t="s">
        <v>1348</v>
      </c>
      <c r="D1850" t="s">
        <v>441</v>
      </c>
      <c r="F1850">
        <v>0</v>
      </c>
      <c r="G1850">
        <v>7.83</v>
      </c>
      <c r="H1850" t="s">
        <v>8634</v>
      </c>
      <c r="I1850">
        <v>4</v>
      </c>
      <c r="J1850" t="s">
        <v>445</v>
      </c>
      <c r="K1850" t="s">
        <v>446</v>
      </c>
      <c r="M1850">
        <v>6666</v>
      </c>
      <c r="N1850" t="s">
        <v>16048</v>
      </c>
    </row>
    <row r="1851" spans="1:14">
      <c r="A1851">
        <v>13241519</v>
      </c>
      <c r="B1851">
        <v>3017476</v>
      </c>
      <c r="C1851" t="s">
        <v>9363</v>
      </c>
      <c r="D1851" t="s">
        <v>441</v>
      </c>
      <c r="F1851">
        <v>0</v>
      </c>
      <c r="G1851">
        <v>8.1300000000000008</v>
      </c>
      <c r="H1851" t="s">
        <v>9302</v>
      </c>
      <c r="I1851">
        <v>6</v>
      </c>
      <c r="J1851" t="s">
        <v>445</v>
      </c>
      <c r="K1851" t="s">
        <v>446</v>
      </c>
      <c r="M1851">
        <v>2641</v>
      </c>
    </row>
    <row r="1852" spans="1:14">
      <c r="A1852">
        <v>13250000</v>
      </c>
      <c r="B1852">
        <v>3018916</v>
      </c>
      <c r="C1852" t="s">
        <v>1349</v>
      </c>
      <c r="D1852" t="s">
        <v>441</v>
      </c>
      <c r="F1852">
        <v>0</v>
      </c>
      <c r="G1852">
        <v>9.3699999999999992</v>
      </c>
      <c r="H1852" t="s">
        <v>8580</v>
      </c>
      <c r="I1852">
        <v>6</v>
      </c>
      <c r="J1852" t="s">
        <v>445</v>
      </c>
      <c r="M1852">
        <v>2391</v>
      </c>
      <c r="N1852" t="s">
        <v>16049</v>
      </c>
    </row>
    <row r="1853" spans="1:14">
      <c r="A1853">
        <v>13250007</v>
      </c>
      <c r="B1853">
        <v>3024889</v>
      </c>
      <c r="C1853" t="s">
        <v>9364</v>
      </c>
      <c r="D1853" t="s">
        <v>441</v>
      </c>
      <c r="F1853">
        <v>0</v>
      </c>
      <c r="G1853">
        <v>12.64</v>
      </c>
      <c r="I1853">
        <v>6</v>
      </c>
      <c r="J1853" t="s">
        <v>445</v>
      </c>
      <c r="K1853" t="s">
        <v>446</v>
      </c>
      <c r="M1853">
        <v>3111</v>
      </c>
      <c r="N1853" t="s">
        <v>16049</v>
      </c>
    </row>
    <row r="1854" spans="1:14">
      <c r="A1854">
        <v>13250030</v>
      </c>
      <c r="B1854">
        <v>4013179</v>
      </c>
      <c r="C1854" t="s">
        <v>1350</v>
      </c>
      <c r="D1854" t="s">
        <v>441</v>
      </c>
      <c r="F1854">
        <v>0</v>
      </c>
      <c r="G1854">
        <v>9.94</v>
      </c>
      <c r="H1854" t="s">
        <v>8588</v>
      </c>
      <c r="I1854">
        <v>7</v>
      </c>
      <c r="J1854" t="s">
        <v>462</v>
      </c>
      <c r="L1854">
        <v>100681</v>
      </c>
      <c r="M1854">
        <v>7112</v>
      </c>
      <c r="N1854" t="s">
        <v>16049</v>
      </c>
    </row>
    <row r="1855" spans="1:14">
      <c r="A1855">
        <v>13250040</v>
      </c>
      <c r="B1855">
        <v>4014876</v>
      </c>
      <c r="C1855" t="s">
        <v>9365</v>
      </c>
      <c r="D1855" t="s">
        <v>441</v>
      </c>
      <c r="F1855">
        <v>0</v>
      </c>
      <c r="G1855">
        <v>13.06</v>
      </c>
      <c r="H1855" t="s">
        <v>8588</v>
      </c>
      <c r="I1855">
        <v>7</v>
      </c>
      <c r="J1855" t="s">
        <v>462</v>
      </c>
      <c r="K1855" t="s">
        <v>446</v>
      </c>
      <c r="M1855">
        <v>2612</v>
      </c>
      <c r="N1855" t="s">
        <v>16049</v>
      </c>
    </row>
    <row r="1856" spans="1:14">
      <c r="A1856">
        <v>13250907</v>
      </c>
      <c r="B1856">
        <v>3025149</v>
      </c>
      <c r="C1856" t="s">
        <v>9366</v>
      </c>
      <c r="D1856" t="s">
        <v>441</v>
      </c>
      <c r="F1856">
        <v>0</v>
      </c>
      <c r="G1856">
        <v>0</v>
      </c>
      <c r="H1856" t="s">
        <v>8935</v>
      </c>
      <c r="I1856">
        <v>6</v>
      </c>
      <c r="J1856" t="s">
        <v>445</v>
      </c>
      <c r="K1856" t="s">
        <v>446</v>
      </c>
      <c r="M1856">
        <v>6666</v>
      </c>
      <c r="N1856" t="s">
        <v>16049</v>
      </c>
    </row>
    <row r="1857" spans="1:14">
      <c r="A1857">
        <v>13251000</v>
      </c>
      <c r="B1857">
        <v>3018917</v>
      </c>
      <c r="C1857" t="s">
        <v>9367</v>
      </c>
      <c r="D1857" t="s">
        <v>441</v>
      </c>
      <c r="F1857">
        <v>0</v>
      </c>
      <c r="G1857">
        <v>12.51</v>
      </c>
      <c r="H1857" t="s">
        <v>8580</v>
      </c>
      <c r="I1857">
        <v>6</v>
      </c>
      <c r="J1857" t="s">
        <v>445</v>
      </c>
      <c r="K1857" t="s">
        <v>446</v>
      </c>
      <c r="M1857">
        <v>2312</v>
      </c>
      <c r="N1857" t="s">
        <v>16049</v>
      </c>
    </row>
    <row r="1858" spans="1:14">
      <c r="A1858">
        <v>13251007</v>
      </c>
      <c r="B1858">
        <v>3024890</v>
      </c>
      <c r="C1858" t="s">
        <v>9368</v>
      </c>
      <c r="D1858" t="s">
        <v>441</v>
      </c>
      <c r="F1858">
        <v>0</v>
      </c>
      <c r="G1858">
        <v>12.64</v>
      </c>
      <c r="I1858">
        <v>6</v>
      </c>
      <c r="J1858" t="s">
        <v>445</v>
      </c>
      <c r="K1858" t="s">
        <v>446</v>
      </c>
      <c r="M1858">
        <v>3111</v>
      </c>
      <c r="N1858" t="s">
        <v>16049</v>
      </c>
    </row>
    <row r="1859" spans="1:14">
      <c r="A1859">
        <v>13251030</v>
      </c>
      <c r="B1859">
        <v>4013180</v>
      </c>
      <c r="C1859" t="s">
        <v>9369</v>
      </c>
      <c r="D1859" t="s">
        <v>441</v>
      </c>
      <c r="F1859">
        <v>0</v>
      </c>
      <c r="G1859">
        <v>13.04</v>
      </c>
      <c r="H1859" t="s">
        <v>8588</v>
      </c>
      <c r="I1859">
        <v>7</v>
      </c>
      <c r="J1859" t="s">
        <v>462</v>
      </c>
      <c r="K1859" t="s">
        <v>446</v>
      </c>
      <c r="M1859">
        <v>2612</v>
      </c>
      <c r="N1859" t="s">
        <v>16049</v>
      </c>
    </row>
    <row r="1860" spans="1:14">
      <c r="A1860">
        <v>13251040</v>
      </c>
      <c r="B1860">
        <v>4014877</v>
      </c>
      <c r="C1860" t="s">
        <v>9370</v>
      </c>
      <c r="D1860" t="s">
        <v>441</v>
      </c>
      <c r="F1860">
        <v>0</v>
      </c>
      <c r="G1860">
        <v>13.06</v>
      </c>
      <c r="H1860" t="s">
        <v>8588</v>
      </c>
      <c r="I1860">
        <v>7</v>
      </c>
      <c r="J1860" t="s">
        <v>462</v>
      </c>
      <c r="K1860" t="s">
        <v>446</v>
      </c>
      <c r="M1860">
        <v>2612</v>
      </c>
      <c r="N1860" t="s">
        <v>16049</v>
      </c>
    </row>
    <row r="1861" spans="1:14">
      <c r="A1861">
        <v>13251907</v>
      </c>
      <c r="B1861">
        <v>3025150</v>
      </c>
      <c r="C1861" t="s">
        <v>9371</v>
      </c>
      <c r="D1861" t="s">
        <v>441</v>
      </c>
      <c r="F1861">
        <v>0</v>
      </c>
      <c r="G1861">
        <v>0</v>
      </c>
      <c r="H1861" t="s">
        <v>8935</v>
      </c>
      <c r="I1861">
        <v>6</v>
      </c>
      <c r="J1861" t="s">
        <v>445</v>
      </c>
      <c r="K1861" t="s">
        <v>446</v>
      </c>
      <c r="M1861">
        <v>6666</v>
      </c>
      <c r="N1861" t="s">
        <v>16049</v>
      </c>
    </row>
    <row r="1862" spans="1:14">
      <c r="A1862">
        <v>13260000</v>
      </c>
      <c r="B1862">
        <v>3023586</v>
      </c>
      <c r="C1862" t="s">
        <v>1351</v>
      </c>
      <c r="D1862" t="s">
        <v>441</v>
      </c>
      <c r="F1862">
        <v>0</v>
      </c>
      <c r="G1862">
        <v>7.48</v>
      </c>
      <c r="H1862" t="s">
        <v>8580</v>
      </c>
      <c r="I1862">
        <v>6</v>
      </c>
      <c r="J1862" t="s">
        <v>445</v>
      </c>
      <c r="M1862">
        <v>2391</v>
      </c>
      <c r="N1862" t="s">
        <v>16048</v>
      </c>
    </row>
    <row r="1863" spans="1:14">
      <c r="A1863">
        <v>13260900</v>
      </c>
      <c r="B1863">
        <v>3023589</v>
      </c>
      <c r="C1863" t="s">
        <v>1352</v>
      </c>
      <c r="D1863" t="s">
        <v>441</v>
      </c>
      <c r="F1863">
        <v>0</v>
      </c>
      <c r="H1863" t="s">
        <v>8580</v>
      </c>
      <c r="I1863">
        <v>6</v>
      </c>
      <c r="J1863" t="s">
        <v>445</v>
      </c>
      <c r="M1863">
        <v>6666</v>
      </c>
      <c r="N1863" t="s">
        <v>16048</v>
      </c>
    </row>
    <row r="1864" spans="1:14">
      <c r="A1864">
        <v>13310000</v>
      </c>
      <c r="B1864">
        <v>3004390</v>
      </c>
      <c r="C1864" t="s">
        <v>1353</v>
      </c>
      <c r="D1864" t="s">
        <v>441</v>
      </c>
      <c r="F1864">
        <v>0</v>
      </c>
      <c r="G1864">
        <v>6</v>
      </c>
      <c r="H1864" t="s">
        <v>8580</v>
      </c>
      <c r="I1864">
        <v>6</v>
      </c>
      <c r="J1864" t="s">
        <v>445</v>
      </c>
      <c r="K1864" t="s">
        <v>446</v>
      </c>
      <c r="M1864">
        <v>2390</v>
      </c>
    </row>
    <row r="1865" spans="1:14">
      <c r="A1865">
        <v>13310087</v>
      </c>
      <c r="B1865">
        <v>3014624</v>
      </c>
      <c r="C1865" t="s">
        <v>9372</v>
      </c>
      <c r="D1865" t="s">
        <v>441</v>
      </c>
      <c r="F1865">
        <v>0</v>
      </c>
      <c r="G1865">
        <v>7.86</v>
      </c>
      <c r="H1865" t="s">
        <v>8588</v>
      </c>
      <c r="I1865">
        <v>6</v>
      </c>
      <c r="J1865" t="s">
        <v>445</v>
      </c>
      <c r="K1865" t="s">
        <v>446</v>
      </c>
      <c r="M1865">
        <v>2641</v>
      </c>
      <c r="N1865" t="s">
        <v>16050</v>
      </c>
    </row>
    <row r="1866" spans="1:14">
      <c r="A1866">
        <v>13310100</v>
      </c>
      <c r="B1866">
        <v>3007566</v>
      </c>
      <c r="C1866" t="s">
        <v>1354</v>
      </c>
      <c r="D1866" t="s">
        <v>441</v>
      </c>
      <c r="F1866">
        <v>0</v>
      </c>
      <c r="I1866">
        <v>9</v>
      </c>
      <c r="J1866" t="s">
        <v>445</v>
      </c>
      <c r="M1866">
        <v>7161</v>
      </c>
      <c r="N1866" t="s">
        <v>16050</v>
      </c>
    </row>
    <row r="1867" spans="1:14">
      <c r="A1867">
        <v>13311087</v>
      </c>
      <c r="B1867">
        <v>3017597</v>
      </c>
      <c r="C1867" t="s">
        <v>9373</v>
      </c>
      <c r="D1867" t="s">
        <v>441</v>
      </c>
      <c r="F1867">
        <v>0</v>
      </c>
      <c r="G1867">
        <v>7.85</v>
      </c>
      <c r="H1867" t="s">
        <v>8588</v>
      </c>
      <c r="I1867">
        <v>6</v>
      </c>
      <c r="J1867" t="s">
        <v>445</v>
      </c>
      <c r="K1867" t="s">
        <v>446</v>
      </c>
      <c r="M1867">
        <v>2641</v>
      </c>
      <c r="N1867" t="s">
        <v>16050</v>
      </c>
    </row>
    <row r="1868" spans="1:14">
      <c r="A1868">
        <v>13330000</v>
      </c>
      <c r="B1868">
        <v>3007567</v>
      </c>
      <c r="C1868" t="s">
        <v>1355</v>
      </c>
      <c r="D1868" t="s">
        <v>441</v>
      </c>
      <c r="F1868">
        <v>0</v>
      </c>
      <c r="G1868">
        <v>6.83</v>
      </c>
      <c r="I1868">
        <v>6</v>
      </c>
      <c r="J1868" t="s">
        <v>445</v>
      </c>
      <c r="K1868" t="s">
        <v>446</v>
      </c>
      <c r="M1868">
        <v>2390</v>
      </c>
    </row>
    <row r="1869" spans="1:14">
      <c r="A1869">
        <v>13330020</v>
      </c>
      <c r="B1869">
        <v>4003789</v>
      </c>
      <c r="C1869" t="s">
        <v>1356</v>
      </c>
      <c r="D1869" t="s">
        <v>441</v>
      </c>
      <c r="F1869">
        <v>0</v>
      </c>
      <c r="G1869">
        <v>7.13</v>
      </c>
      <c r="H1869" t="s">
        <v>8588</v>
      </c>
      <c r="I1869">
        <v>6</v>
      </c>
      <c r="J1869" t="s">
        <v>462</v>
      </c>
      <c r="K1869" t="s">
        <v>446</v>
      </c>
      <c r="M1869">
        <v>2641</v>
      </c>
    </row>
    <row r="1870" spans="1:14">
      <c r="A1870">
        <v>13410000</v>
      </c>
      <c r="B1870">
        <v>3012467</v>
      </c>
      <c r="C1870" t="s">
        <v>1357</v>
      </c>
      <c r="D1870" t="s">
        <v>441</v>
      </c>
      <c r="F1870">
        <v>0</v>
      </c>
      <c r="G1870">
        <v>7.56</v>
      </c>
      <c r="H1870" t="s">
        <v>8580</v>
      </c>
      <c r="I1870">
        <v>6</v>
      </c>
      <c r="J1870" t="s">
        <v>445</v>
      </c>
      <c r="K1870" t="s">
        <v>446</v>
      </c>
      <c r="M1870">
        <v>2312</v>
      </c>
    </row>
    <row r="1871" spans="1:14">
      <c r="A1871">
        <v>13420000</v>
      </c>
      <c r="B1871">
        <v>3004402</v>
      </c>
      <c r="C1871" t="s">
        <v>1358</v>
      </c>
      <c r="D1871" t="s">
        <v>441</v>
      </c>
      <c r="F1871">
        <v>0</v>
      </c>
      <c r="G1871">
        <v>9.68</v>
      </c>
      <c r="I1871">
        <v>6</v>
      </c>
      <c r="J1871" t="s">
        <v>445</v>
      </c>
      <c r="K1871" t="s">
        <v>446</v>
      </c>
      <c r="M1871">
        <v>2390</v>
      </c>
    </row>
    <row r="1872" spans="1:14">
      <c r="A1872">
        <v>13420002</v>
      </c>
      <c r="B1872">
        <v>3007568</v>
      </c>
      <c r="C1872" t="s">
        <v>1359</v>
      </c>
      <c r="D1872" t="s">
        <v>441</v>
      </c>
      <c r="F1872">
        <v>0</v>
      </c>
      <c r="G1872">
        <v>8.4499999999999993</v>
      </c>
      <c r="H1872" t="s">
        <v>8588</v>
      </c>
      <c r="I1872">
        <v>540</v>
      </c>
      <c r="J1872" t="s">
        <v>445</v>
      </c>
      <c r="M1872">
        <v>7111</v>
      </c>
      <c r="N1872" t="s">
        <v>16047</v>
      </c>
    </row>
    <row r="1873" spans="1:14">
      <c r="A1873">
        <v>13420019</v>
      </c>
      <c r="B1873">
        <v>4009582</v>
      </c>
      <c r="C1873" t="s">
        <v>9374</v>
      </c>
      <c r="D1873" t="s">
        <v>441</v>
      </c>
      <c r="F1873">
        <v>0</v>
      </c>
      <c r="G1873">
        <v>9.7200000000000006</v>
      </c>
      <c r="H1873" t="s">
        <v>8588</v>
      </c>
      <c r="I1873">
        <v>365</v>
      </c>
      <c r="J1873" t="s">
        <v>462</v>
      </c>
      <c r="K1873" t="s">
        <v>446</v>
      </c>
      <c r="M1873">
        <v>2501</v>
      </c>
    </row>
    <row r="1874" spans="1:14">
      <c r="A1874">
        <v>13420020</v>
      </c>
      <c r="B1874">
        <v>4001779</v>
      </c>
      <c r="C1874" t="s">
        <v>1360</v>
      </c>
      <c r="D1874" t="s">
        <v>441</v>
      </c>
      <c r="F1874">
        <v>0</v>
      </c>
      <c r="G1874">
        <v>8.3699999999999992</v>
      </c>
      <c r="H1874" t="s">
        <v>8588</v>
      </c>
      <c r="I1874">
        <v>6</v>
      </c>
      <c r="J1874" t="s">
        <v>462</v>
      </c>
      <c r="L1874">
        <v>2831250</v>
      </c>
      <c r="M1874">
        <v>7112</v>
      </c>
      <c r="N1874" t="s">
        <v>16047</v>
      </c>
    </row>
    <row r="1875" spans="1:14">
      <c r="A1875">
        <v>13420021</v>
      </c>
      <c r="B1875">
        <v>4008806</v>
      </c>
      <c r="C1875" t="s">
        <v>9375</v>
      </c>
      <c r="D1875" t="s">
        <v>441</v>
      </c>
      <c r="F1875">
        <v>0</v>
      </c>
      <c r="G1875">
        <v>10.39</v>
      </c>
      <c r="H1875" t="s">
        <v>8588</v>
      </c>
      <c r="I1875">
        <v>6</v>
      </c>
      <c r="J1875" t="s">
        <v>462</v>
      </c>
      <c r="K1875" t="s">
        <v>446</v>
      </c>
      <c r="M1875">
        <v>2641</v>
      </c>
      <c r="N1875" t="s">
        <v>16047</v>
      </c>
    </row>
    <row r="1876" spans="1:14">
      <c r="A1876">
        <v>13420022</v>
      </c>
      <c r="B1876">
        <v>3042680</v>
      </c>
      <c r="C1876" t="s">
        <v>1361</v>
      </c>
      <c r="D1876" t="s">
        <v>441</v>
      </c>
      <c r="F1876">
        <v>0</v>
      </c>
      <c r="G1876">
        <v>12.3</v>
      </c>
      <c r="H1876" t="s">
        <v>8588</v>
      </c>
      <c r="I1876">
        <v>6</v>
      </c>
      <c r="J1876" t="s">
        <v>445</v>
      </c>
      <c r="M1876">
        <v>7112</v>
      </c>
      <c r="N1876" t="s">
        <v>16047</v>
      </c>
    </row>
    <row r="1877" spans="1:14">
      <c r="A1877">
        <v>13420027</v>
      </c>
      <c r="B1877">
        <v>4013594</v>
      </c>
      <c r="C1877" t="s">
        <v>1362</v>
      </c>
      <c r="D1877" t="s">
        <v>441</v>
      </c>
      <c r="F1877">
        <v>0</v>
      </c>
      <c r="G1877">
        <v>8.4499999999999993</v>
      </c>
      <c r="H1877" t="s">
        <v>8588</v>
      </c>
      <c r="I1877">
        <v>540</v>
      </c>
      <c r="J1877" t="s">
        <v>462</v>
      </c>
      <c r="M1877">
        <v>7111</v>
      </c>
      <c r="N1877" t="s">
        <v>16047</v>
      </c>
    </row>
    <row r="1878" spans="1:14">
      <c r="A1878">
        <v>13420028</v>
      </c>
      <c r="B1878">
        <v>4008151</v>
      </c>
      <c r="C1878" t="s">
        <v>9376</v>
      </c>
      <c r="D1878" t="s">
        <v>441</v>
      </c>
      <c r="F1878">
        <v>0</v>
      </c>
      <c r="G1878">
        <v>9.98</v>
      </c>
      <c r="H1878" t="s">
        <v>8588</v>
      </c>
      <c r="I1878">
        <v>365</v>
      </c>
      <c r="J1878" t="s">
        <v>462</v>
      </c>
      <c r="K1878" t="s">
        <v>446</v>
      </c>
      <c r="L1878" t="s">
        <v>9377</v>
      </c>
      <c r="M1878">
        <v>2501</v>
      </c>
    </row>
    <row r="1879" spans="1:14">
      <c r="A1879">
        <v>13420030</v>
      </c>
      <c r="B1879">
        <v>4023277</v>
      </c>
      <c r="C1879" t="s">
        <v>1363</v>
      </c>
      <c r="D1879" t="s">
        <v>441</v>
      </c>
      <c r="F1879">
        <v>0</v>
      </c>
      <c r="G1879">
        <v>14.54</v>
      </c>
      <c r="H1879" t="s">
        <v>8588</v>
      </c>
      <c r="I1879">
        <v>7</v>
      </c>
      <c r="J1879" t="s">
        <v>462</v>
      </c>
      <c r="M1879">
        <v>7112</v>
      </c>
      <c r="N1879" t="s">
        <v>16047</v>
      </c>
    </row>
    <row r="1880" spans="1:14">
      <c r="A1880">
        <v>13420040</v>
      </c>
      <c r="B1880">
        <v>4016209</v>
      </c>
      <c r="C1880" t="s">
        <v>9378</v>
      </c>
      <c r="D1880" t="s">
        <v>441</v>
      </c>
      <c r="F1880">
        <v>0</v>
      </c>
      <c r="G1880">
        <v>11.79</v>
      </c>
      <c r="H1880" t="s">
        <v>8588</v>
      </c>
      <c r="I1880">
        <v>16</v>
      </c>
      <c r="J1880" t="s">
        <v>462</v>
      </c>
      <c r="K1880" t="s">
        <v>446</v>
      </c>
      <c r="M1880">
        <v>2612</v>
      </c>
      <c r="N1880" t="s">
        <v>16047</v>
      </c>
    </row>
    <row r="1881" spans="1:14">
      <c r="A1881">
        <v>13420041</v>
      </c>
      <c r="B1881">
        <v>4001780</v>
      </c>
      <c r="C1881" t="s">
        <v>1364</v>
      </c>
      <c r="D1881" t="s">
        <v>441</v>
      </c>
      <c r="F1881">
        <v>0</v>
      </c>
      <c r="G1881">
        <v>13.84</v>
      </c>
      <c r="H1881" t="s">
        <v>8588</v>
      </c>
      <c r="I1881">
        <v>16</v>
      </c>
      <c r="J1881" t="s">
        <v>462</v>
      </c>
      <c r="M1881">
        <v>7112</v>
      </c>
      <c r="N1881" t="s">
        <v>16047</v>
      </c>
    </row>
    <row r="1882" spans="1:14">
      <c r="A1882">
        <v>13420042</v>
      </c>
      <c r="B1882">
        <v>4009135</v>
      </c>
      <c r="C1882" t="s">
        <v>1365</v>
      </c>
      <c r="D1882" t="s">
        <v>441</v>
      </c>
      <c r="F1882">
        <v>0</v>
      </c>
      <c r="G1882">
        <v>17.510000000000002</v>
      </c>
      <c r="H1882" t="s">
        <v>8588</v>
      </c>
      <c r="I1882">
        <v>10</v>
      </c>
      <c r="J1882" t="s">
        <v>462</v>
      </c>
      <c r="M1882">
        <v>7112</v>
      </c>
      <c r="N1882" t="s">
        <v>16047</v>
      </c>
    </row>
    <row r="1883" spans="1:14">
      <c r="A1883">
        <v>13420044</v>
      </c>
      <c r="B1883">
        <v>4008306</v>
      </c>
      <c r="C1883" t="s">
        <v>9379</v>
      </c>
      <c r="D1883" t="s">
        <v>441</v>
      </c>
      <c r="F1883">
        <v>0</v>
      </c>
      <c r="G1883">
        <v>10.17</v>
      </c>
      <c r="H1883" t="s">
        <v>8588</v>
      </c>
      <c r="I1883">
        <v>11</v>
      </c>
      <c r="J1883" t="s">
        <v>462</v>
      </c>
      <c r="K1883" t="s">
        <v>446</v>
      </c>
      <c r="M1883">
        <v>2612</v>
      </c>
    </row>
    <row r="1884" spans="1:14">
      <c r="A1884">
        <v>13420045</v>
      </c>
      <c r="B1884">
        <v>4009455</v>
      </c>
      <c r="C1884" t="s">
        <v>9380</v>
      </c>
      <c r="D1884" t="s">
        <v>441</v>
      </c>
      <c r="F1884">
        <v>0</v>
      </c>
      <c r="G1884">
        <v>10.67</v>
      </c>
      <c r="H1884" t="s">
        <v>8588</v>
      </c>
      <c r="I1884">
        <v>16</v>
      </c>
      <c r="J1884" t="s">
        <v>462</v>
      </c>
      <c r="K1884" t="s">
        <v>446</v>
      </c>
      <c r="M1884">
        <v>2612</v>
      </c>
    </row>
    <row r="1885" spans="1:14">
      <c r="A1885">
        <v>13420046</v>
      </c>
      <c r="B1885">
        <v>4012783</v>
      </c>
      <c r="C1885" t="s">
        <v>15464</v>
      </c>
      <c r="D1885" t="s">
        <v>441</v>
      </c>
      <c r="F1885">
        <v>0</v>
      </c>
      <c r="G1885">
        <v>15.92</v>
      </c>
      <c r="H1885" t="s">
        <v>8588</v>
      </c>
      <c r="I1885">
        <v>16</v>
      </c>
      <c r="J1885" t="s">
        <v>462</v>
      </c>
      <c r="M1885">
        <v>7112</v>
      </c>
      <c r="N1885" t="s">
        <v>16047</v>
      </c>
    </row>
    <row r="1886" spans="1:14">
      <c r="A1886">
        <v>13420047</v>
      </c>
      <c r="B1886">
        <v>4013333</v>
      </c>
      <c r="C1886" t="s">
        <v>1366</v>
      </c>
      <c r="D1886" t="s">
        <v>441</v>
      </c>
      <c r="F1886">
        <v>0</v>
      </c>
      <c r="G1886">
        <v>8.6999999999999993</v>
      </c>
      <c r="H1886" t="s">
        <v>8588</v>
      </c>
      <c r="I1886">
        <v>14</v>
      </c>
      <c r="J1886" t="s">
        <v>462</v>
      </c>
      <c r="L1886">
        <v>2993820</v>
      </c>
      <c r="M1886">
        <v>7112</v>
      </c>
      <c r="N1886" t="s">
        <v>16047</v>
      </c>
    </row>
    <row r="1887" spans="1:14">
      <c r="A1887">
        <v>13420048</v>
      </c>
      <c r="B1887">
        <v>4013698</v>
      </c>
      <c r="C1887" t="s">
        <v>9381</v>
      </c>
      <c r="D1887" t="s">
        <v>441</v>
      </c>
      <c r="F1887">
        <v>0</v>
      </c>
      <c r="G1887">
        <v>9.42</v>
      </c>
      <c r="H1887" t="s">
        <v>8588</v>
      </c>
      <c r="I1887">
        <v>16</v>
      </c>
      <c r="J1887" t="s">
        <v>462</v>
      </c>
      <c r="K1887" t="s">
        <v>446</v>
      </c>
      <c r="M1887">
        <v>2612</v>
      </c>
      <c r="N1887" t="s">
        <v>16047</v>
      </c>
    </row>
    <row r="1888" spans="1:14">
      <c r="A1888">
        <v>13420049</v>
      </c>
      <c r="B1888">
        <v>4013889</v>
      </c>
      <c r="C1888" t="s">
        <v>1367</v>
      </c>
      <c r="D1888" t="s">
        <v>441</v>
      </c>
      <c r="F1888">
        <v>0</v>
      </c>
      <c r="G1888">
        <v>8.43</v>
      </c>
      <c r="H1888" t="s">
        <v>8588</v>
      </c>
      <c r="I1888">
        <v>16</v>
      </c>
      <c r="J1888" t="s">
        <v>462</v>
      </c>
      <c r="M1888">
        <v>7112</v>
      </c>
      <c r="N1888" t="s">
        <v>16047</v>
      </c>
    </row>
    <row r="1889" spans="1:14">
      <c r="A1889">
        <v>13420050</v>
      </c>
      <c r="B1889">
        <v>4009894</v>
      </c>
      <c r="C1889" t="s">
        <v>9382</v>
      </c>
      <c r="D1889" t="s">
        <v>441</v>
      </c>
      <c r="F1889">
        <v>0</v>
      </c>
      <c r="G1889">
        <v>10.119999999999999</v>
      </c>
      <c r="H1889" t="s">
        <v>8588</v>
      </c>
      <c r="I1889">
        <v>11</v>
      </c>
      <c r="J1889" t="s">
        <v>462</v>
      </c>
      <c r="K1889" t="s">
        <v>446</v>
      </c>
      <c r="M1889">
        <v>2612</v>
      </c>
    </row>
    <row r="1890" spans="1:14">
      <c r="A1890">
        <v>13420051</v>
      </c>
      <c r="B1890">
        <v>4015492</v>
      </c>
      <c r="C1890" t="s">
        <v>1368</v>
      </c>
      <c r="D1890" t="s">
        <v>441</v>
      </c>
      <c r="F1890">
        <v>0</v>
      </c>
      <c r="G1890">
        <v>8.77</v>
      </c>
      <c r="H1890" t="s">
        <v>8588</v>
      </c>
      <c r="I1890">
        <v>16</v>
      </c>
      <c r="J1890" t="s">
        <v>462</v>
      </c>
      <c r="M1890">
        <v>7112</v>
      </c>
      <c r="N1890" t="s">
        <v>16047</v>
      </c>
    </row>
    <row r="1891" spans="1:14">
      <c r="A1891">
        <v>13420052</v>
      </c>
      <c r="B1891">
        <v>4015774</v>
      </c>
      <c r="C1891" t="s">
        <v>9383</v>
      </c>
      <c r="D1891" t="s">
        <v>441</v>
      </c>
      <c r="F1891">
        <v>0</v>
      </c>
      <c r="G1891">
        <v>13.16</v>
      </c>
      <c r="H1891" t="s">
        <v>8588</v>
      </c>
      <c r="I1891">
        <v>16</v>
      </c>
      <c r="J1891" t="s">
        <v>462</v>
      </c>
      <c r="K1891" t="s">
        <v>446</v>
      </c>
      <c r="L1891">
        <v>2615090</v>
      </c>
      <c r="M1891">
        <v>2612</v>
      </c>
      <c r="N1891" t="s">
        <v>16047</v>
      </c>
    </row>
    <row r="1892" spans="1:14">
      <c r="A1892">
        <v>13420054</v>
      </c>
      <c r="B1892">
        <v>4015793</v>
      </c>
      <c r="C1892" t="s">
        <v>9384</v>
      </c>
      <c r="D1892" t="s">
        <v>441</v>
      </c>
      <c r="F1892">
        <v>0</v>
      </c>
      <c r="G1892">
        <v>11.33</v>
      </c>
      <c r="H1892" t="s">
        <v>8588</v>
      </c>
      <c r="I1892">
        <v>16</v>
      </c>
      <c r="J1892" t="s">
        <v>462</v>
      </c>
      <c r="K1892" t="s">
        <v>446</v>
      </c>
      <c r="M1892">
        <v>2612</v>
      </c>
      <c r="N1892" t="s">
        <v>16047</v>
      </c>
    </row>
    <row r="1893" spans="1:14">
      <c r="A1893">
        <v>13420055</v>
      </c>
      <c r="B1893">
        <v>4008886</v>
      </c>
      <c r="C1893" t="s">
        <v>9385</v>
      </c>
      <c r="D1893" t="s">
        <v>441</v>
      </c>
      <c r="F1893">
        <v>0</v>
      </c>
      <c r="G1893">
        <v>9.51</v>
      </c>
      <c r="H1893" t="s">
        <v>8588</v>
      </c>
      <c r="I1893">
        <v>16</v>
      </c>
      <c r="J1893" t="s">
        <v>462</v>
      </c>
      <c r="K1893" t="s">
        <v>446</v>
      </c>
      <c r="M1893">
        <v>2612</v>
      </c>
    </row>
    <row r="1894" spans="1:14">
      <c r="A1894">
        <v>13420056</v>
      </c>
      <c r="B1894">
        <v>4016682</v>
      </c>
      <c r="C1894" t="s">
        <v>1369</v>
      </c>
      <c r="D1894" t="s">
        <v>441</v>
      </c>
      <c r="F1894">
        <v>0</v>
      </c>
      <c r="G1894">
        <v>17.649999999999999</v>
      </c>
      <c r="H1894" t="s">
        <v>8588</v>
      </c>
      <c r="I1894">
        <v>9</v>
      </c>
      <c r="J1894" t="s">
        <v>462</v>
      </c>
      <c r="L1894">
        <v>11040</v>
      </c>
      <c r="M1894">
        <v>7112</v>
      </c>
      <c r="N1894" t="s">
        <v>16047</v>
      </c>
    </row>
    <row r="1895" spans="1:14">
      <c r="A1895">
        <v>13420057</v>
      </c>
      <c r="B1895">
        <v>4012649</v>
      </c>
      <c r="C1895" t="s">
        <v>9386</v>
      </c>
      <c r="D1895" t="s">
        <v>441</v>
      </c>
      <c r="F1895">
        <v>0</v>
      </c>
      <c r="G1895">
        <v>11.82</v>
      </c>
      <c r="H1895" t="s">
        <v>8588</v>
      </c>
      <c r="I1895">
        <v>12</v>
      </c>
      <c r="J1895" t="s">
        <v>462</v>
      </c>
      <c r="K1895" t="s">
        <v>446</v>
      </c>
      <c r="M1895">
        <v>2612</v>
      </c>
      <c r="N1895" t="s">
        <v>16047</v>
      </c>
    </row>
    <row r="1896" spans="1:14">
      <c r="A1896">
        <v>13420058</v>
      </c>
      <c r="B1896">
        <v>4015414</v>
      </c>
      <c r="C1896" t="s">
        <v>9387</v>
      </c>
      <c r="D1896" t="s">
        <v>441</v>
      </c>
      <c r="F1896">
        <v>0</v>
      </c>
      <c r="G1896">
        <v>11.8</v>
      </c>
      <c r="H1896" t="s">
        <v>8588</v>
      </c>
      <c r="I1896">
        <v>16</v>
      </c>
      <c r="J1896" t="s">
        <v>462</v>
      </c>
      <c r="K1896" t="s">
        <v>446</v>
      </c>
      <c r="M1896">
        <v>2612</v>
      </c>
      <c r="N1896" t="s">
        <v>16047</v>
      </c>
    </row>
    <row r="1897" spans="1:14">
      <c r="A1897">
        <v>13420059</v>
      </c>
      <c r="B1897">
        <v>4016951</v>
      </c>
      <c r="C1897" t="s">
        <v>1370</v>
      </c>
      <c r="D1897" t="s">
        <v>441</v>
      </c>
      <c r="F1897">
        <v>0</v>
      </c>
      <c r="G1897">
        <v>8.8000000000000007</v>
      </c>
      <c r="H1897" t="s">
        <v>8588</v>
      </c>
      <c r="I1897">
        <v>16</v>
      </c>
      <c r="J1897" t="s">
        <v>462</v>
      </c>
      <c r="L1897">
        <v>218461</v>
      </c>
      <c r="M1897">
        <v>7112</v>
      </c>
      <c r="N1897" t="s">
        <v>16047</v>
      </c>
    </row>
    <row r="1898" spans="1:14">
      <c r="A1898">
        <v>13420060</v>
      </c>
      <c r="B1898">
        <v>4017138</v>
      </c>
      <c r="C1898" t="s">
        <v>1371</v>
      </c>
      <c r="D1898" t="s">
        <v>441</v>
      </c>
      <c r="F1898">
        <v>0</v>
      </c>
      <c r="G1898">
        <v>8.6199999999999992</v>
      </c>
      <c r="H1898" t="s">
        <v>8588</v>
      </c>
      <c r="I1898">
        <v>16</v>
      </c>
      <c r="J1898" t="s">
        <v>462</v>
      </c>
      <c r="M1898">
        <v>7112</v>
      </c>
      <c r="N1898" t="s">
        <v>16047</v>
      </c>
    </row>
    <row r="1899" spans="1:14">
      <c r="A1899">
        <v>13420061</v>
      </c>
      <c r="B1899">
        <v>4017710</v>
      </c>
      <c r="C1899" t="s">
        <v>9388</v>
      </c>
      <c r="D1899" t="s">
        <v>441</v>
      </c>
      <c r="F1899">
        <v>0</v>
      </c>
      <c r="G1899">
        <v>11.69</v>
      </c>
      <c r="H1899" t="s">
        <v>8588</v>
      </c>
      <c r="I1899">
        <v>13</v>
      </c>
      <c r="J1899" t="s">
        <v>462</v>
      </c>
      <c r="K1899" t="s">
        <v>446</v>
      </c>
      <c r="M1899">
        <v>0</v>
      </c>
      <c r="N1899" t="s">
        <v>16047</v>
      </c>
    </row>
    <row r="1900" spans="1:14">
      <c r="A1900">
        <v>13420062</v>
      </c>
      <c r="B1900">
        <v>4017758</v>
      </c>
      <c r="C1900" t="s">
        <v>1372</v>
      </c>
      <c r="D1900" t="s">
        <v>441</v>
      </c>
      <c r="F1900">
        <v>0</v>
      </c>
      <c r="G1900">
        <v>8.8000000000000007</v>
      </c>
      <c r="H1900" t="s">
        <v>8588</v>
      </c>
      <c r="I1900">
        <v>16</v>
      </c>
      <c r="J1900" t="s">
        <v>462</v>
      </c>
      <c r="M1900">
        <v>7112</v>
      </c>
      <c r="N1900" t="s">
        <v>16047</v>
      </c>
    </row>
    <row r="1901" spans="1:14">
      <c r="A1901">
        <v>13420063</v>
      </c>
      <c r="B1901">
        <v>4018015</v>
      </c>
      <c r="C1901" t="s">
        <v>1373</v>
      </c>
      <c r="D1901" t="s">
        <v>441</v>
      </c>
      <c r="F1901">
        <v>0</v>
      </c>
      <c r="G1901">
        <v>14.78</v>
      </c>
      <c r="H1901" t="s">
        <v>8588</v>
      </c>
      <c r="I1901">
        <v>16</v>
      </c>
      <c r="J1901" t="s">
        <v>462</v>
      </c>
      <c r="M1901">
        <v>7112</v>
      </c>
      <c r="N1901" t="s">
        <v>16047</v>
      </c>
    </row>
    <row r="1902" spans="1:14">
      <c r="A1902">
        <v>13420064</v>
      </c>
      <c r="B1902">
        <v>4019630</v>
      </c>
      <c r="C1902" t="s">
        <v>1374</v>
      </c>
      <c r="D1902" t="s">
        <v>441</v>
      </c>
      <c r="F1902">
        <v>0</v>
      </c>
      <c r="G1902">
        <v>8.58</v>
      </c>
      <c r="H1902" t="s">
        <v>8588</v>
      </c>
      <c r="I1902">
        <v>14</v>
      </c>
      <c r="J1902" t="s">
        <v>462</v>
      </c>
      <c r="M1902">
        <v>7112</v>
      </c>
      <c r="N1902" t="s">
        <v>16047</v>
      </c>
    </row>
    <row r="1903" spans="1:14">
      <c r="A1903">
        <v>13420065</v>
      </c>
      <c r="B1903">
        <v>4019879</v>
      </c>
      <c r="C1903" t="s">
        <v>1375</v>
      </c>
      <c r="D1903" t="s">
        <v>441</v>
      </c>
      <c r="F1903">
        <v>0</v>
      </c>
      <c r="G1903">
        <v>8.61</v>
      </c>
      <c r="H1903" t="s">
        <v>8588</v>
      </c>
      <c r="I1903">
        <v>15</v>
      </c>
      <c r="J1903" t="s">
        <v>462</v>
      </c>
      <c r="L1903">
        <v>100430</v>
      </c>
      <c r="M1903">
        <v>7112</v>
      </c>
      <c r="N1903" t="s">
        <v>16047</v>
      </c>
    </row>
    <row r="1904" spans="1:14">
      <c r="A1904">
        <v>13420066</v>
      </c>
      <c r="B1904">
        <v>4021939</v>
      </c>
      <c r="C1904" t="s">
        <v>1376</v>
      </c>
      <c r="D1904" t="s">
        <v>441</v>
      </c>
      <c r="F1904">
        <v>0</v>
      </c>
      <c r="G1904">
        <v>8.44</v>
      </c>
      <c r="H1904" t="s">
        <v>8588</v>
      </c>
      <c r="I1904">
        <v>16</v>
      </c>
      <c r="J1904" t="s">
        <v>462</v>
      </c>
      <c r="M1904">
        <v>7112</v>
      </c>
      <c r="N1904" t="s">
        <v>16047</v>
      </c>
    </row>
    <row r="1905" spans="1:14">
      <c r="A1905">
        <v>13420067</v>
      </c>
      <c r="B1905">
        <v>4023737</v>
      </c>
      <c r="C1905" t="s">
        <v>1377</v>
      </c>
      <c r="D1905" t="s">
        <v>441</v>
      </c>
      <c r="F1905">
        <v>0</v>
      </c>
      <c r="G1905">
        <v>18.32</v>
      </c>
      <c r="H1905" t="s">
        <v>8588</v>
      </c>
      <c r="I1905">
        <v>15</v>
      </c>
      <c r="J1905" t="s">
        <v>462</v>
      </c>
      <c r="M1905">
        <v>7112</v>
      </c>
      <c r="N1905" t="s">
        <v>16047</v>
      </c>
    </row>
    <row r="1906" spans="1:14">
      <c r="A1906">
        <v>13420068</v>
      </c>
      <c r="B1906">
        <v>4019397</v>
      </c>
      <c r="C1906" t="s">
        <v>17388</v>
      </c>
      <c r="D1906" t="s">
        <v>441</v>
      </c>
      <c r="F1906">
        <v>0</v>
      </c>
      <c r="G1906">
        <v>17.8</v>
      </c>
      <c r="H1906" t="s">
        <v>8588</v>
      </c>
      <c r="I1906">
        <v>16</v>
      </c>
      <c r="J1906" t="s">
        <v>462</v>
      </c>
      <c r="M1906">
        <v>7112</v>
      </c>
      <c r="N1906" t="s">
        <v>16047</v>
      </c>
    </row>
    <row r="1907" spans="1:14">
      <c r="A1907">
        <v>13420070</v>
      </c>
      <c r="B1907">
        <v>4024459</v>
      </c>
      <c r="C1907" t="s">
        <v>17389</v>
      </c>
      <c r="D1907" t="s">
        <v>441</v>
      </c>
      <c r="F1907">
        <v>0</v>
      </c>
      <c r="G1907">
        <v>17.309999999999999</v>
      </c>
      <c r="H1907" t="s">
        <v>8588</v>
      </c>
      <c r="I1907">
        <v>16</v>
      </c>
      <c r="J1907" t="s">
        <v>462</v>
      </c>
      <c r="K1907" t="s">
        <v>446</v>
      </c>
      <c r="M1907">
        <v>7112</v>
      </c>
      <c r="N1907" t="s">
        <v>16047</v>
      </c>
    </row>
    <row r="1908" spans="1:14">
      <c r="A1908">
        <v>13420071</v>
      </c>
      <c r="B1908">
        <v>4024476</v>
      </c>
      <c r="C1908" t="s">
        <v>1378</v>
      </c>
      <c r="D1908" t="s">
        <v>441</v>
      </c>
      <c r="F1908">
        <v>0</v>
      </c>
      <c r="G1908">
        <v>8.6199999999999992</v>
      </c>
      <c r="H1908" t="s">
        <v>8588</v>
      </c>
      <c r="I1908">
        <v>16</v>
      </c>
      <c r="J1908" t="s">
        <v>462</v>
      </c>
      <c r="M1908">
        <v>7112</v>
      </c>
      <c r="N1908" t="s">
        <v>16047</v>
      </c>
    </row>
    <row r="1909" spans="1:14">
      <c r="A1909">
        <v>13420072</v>
      </c>
      <c r="B1909">
        <v>4024965</v>
      </c>
      <c r="C1909" t="s">
        <v>15465</v>
      </c>
      <c r="D1909" t="s">
        <v>441</v>
      </c>
      <c r="F1909">
        <v>0</v>
      </c>
      <c r="G1909">
        <v>15.97</v>
      </c>
      <c r="H1909" t="s">
        <v>8588</v>
      </c>
      <c r="I1909">
        <v>16</v>
      </c>
      <c r="J1909" t="s">
        <v>462</v>
      </c>
      <c r="M1909">
        <v>7112</v>
      </c>
      <c r="N1909" t="s">
        <v>16047</v>
      </c>
    </row>
    <row r="1910" spans="1:14">
      <c r="A1910">
        <v>13420073</v>
      </c>
      <c r="B1910">
        <v>4026702</v>
      </c>
      <c r="C1910" t="s">
        <v>1379</v>
      </c>
      <c r="D1910" t="s">
        <v>441</v>
      </c>
      <c r="F1910">
        <v>0</v>
      </c>
      <c r="G1910">
        <v>8.6999999999999993</v>
      </c>
      <c r="H1910" t="s">
        <v>8588</v>
      </c>
      <c r="I1910">
        <v>14</v>
      </c>
      <c r="J1910" t="s">
        <v>462</v>
      </c>
      <c r="M1910">
        <v>7112</v>
      </c>
      <c r="N1910" t="s">
        <v>16047</v>
      </c>
    </row>
    <row r="1911" spans="1:14">
      <c r="A1911">
        <v>13420074</v>
      </c>
      <c r="B1911">
        <v>4025611</v>
      </c>
      <c r="C1911" t="s">
        <v>15466</v>
      </c>
      <c r="D1911" t="s">
        <v>441</v>
      </c>
      <c r="F1911">
        <v>0</v>
      </c>
      <c r="G1911">
        <v>15.41</v>
      </c>
      <c r="H1911" t="s">
        <v>8588</v>
      </c>
      <c r="I1911">
        <v>6</v>
      </c>
      <c r="J1911" t="s">
        <v>462</v>
      </c>
      <c r="L1911">
        <v>2052268</v>
      </c>
      <c r="M1911">
        <v>7112</v>
      </c>
      <c r="N1911" t="s">
        <v>16047</v>
      </c>
    </row>
    <row r="1912" spans="1:14">
      <c r="A1912">
        <v>13420075</v>
      </c>
      <c r="B1912">
        <v>3007569</v>
      </c>
      <c r="C1912" t="s">
        <v>1380</v>
      </c>
      <c r="D1912" t="s">
        <v>441</v>
      </c>
      <c r="F1912">
        <v>0</v>
      </c>
      <c r="G1912">
        <v>8.11</v>
      </c>
      <c r="H1912" t="s">
        <v>8588</v>
      </c>
      <c r="I1912">
        <v>6</v>
      </c>
      <c r="J1912" t="s">
        <v>445</v>
      </c>
      <c r="L1912">
        <v>2092018</v>
      </c>
      <c r="M1912">
        <v>7112</v>
      </c>
      <c r="N1912" t="s">
        <v>16047</v>
      </c>
    </row>
    <row r="1913" spans="1:14">
      <c r="A1913">
        <v>13420076</v>
      </c>
      <c r="B1913">
        <v>4010119</v>
      </c>
      <c r="C1913" t="s">
        <v>9389</v>
      </c>
      <c r="D1913" t="s">
        <v>441</v>
      </c>
      <c r="F1913">
        <v>0</v>
      </c>
      <c r="G1913">
        <v>11.43</v>
      </c>
      <c r="H1913" t="s">
        <v>8588</v>
      </c>
      <c r="I1913">
        <v>6</v>
      </c>
      <c r="J1913" t="s">
        <v>462</v>
      </c>
      <c r="K1913" t="s">
        <v>446</v>
      </c>
      <c r="L1913">
        <v>11681</v>
      </c>
      <c r="M1913">
        <v>2641</v>
      </c>
      <c r="N1913" t="s">
        <v>16047</v>
      </c>
    </row>
    <row r="1914" spans="1:14">
      <c r="A1914">
        <v>13420077</v>
      </c>
      <c r="B1914">
        <v>4013222</v>
      </c>
      <c r="C1914" t="s">
        <v>9390</v>
      </c>
      <c r="D1914" t="s">
        <v>441</v>
      </c>
      <c r="F1914">
        <v>0</v>
      </c>
      <c r="G1914">
        <v>11.43</v>
      </c>
      <c r="H1914" t="s">
        <v>8588</v>
      </c>
      <c r="I1914">
        <v>6</v>
      </c>
      <c r="J1914" t="s">
        <v>462</v>
      </c>
      <c r="K1914" t="s">
        <v>446</v>
      </c>
      <c r="M1914">
        <v>2641</v>
      </c>
      <c r="N1914" t="s">
        <v>16047</v>
      </c>
    </row>
    <row r="1915" spans="1:14">
      <c r="A1915">
        <v>13420078</v>
      </c>
      <c r="B1915">
        <v>4024921</v>
      </c>
      <c r="C1915" t="s">
        <v>1381</v>
      </c>
      <c r="D1915" t="s">
        <v>441</v>
      </c>
      <c r="F1915">
        <v>0</v>
      </c>
      <c r="G1915">
        <v>8.14</v>
      </c>
      <c r="H1915" t="s">
        <v>8588</v>
      </c>
      <c r="I1915">
        <v>6</v>
      </c>
      <c r="J1915" t="s">
        <v>462</v>
      </c>
      <c r="L1915">
        <v>2630910</v>
      </c>
      <c r="M1915">
        <v>7112</v>
      </c>
      <c r="N1915" t="s">
        <v>16047</v>
      </c>
    </row>
    <row r="1916" spans="1:14">
      <c r="A1916">
        <v>13420079</v>
      </c>
      <c r="B1916">
        <v>4027447</v>
      </c>
      <c r="C1916" t="s">
        <v>1382</v>
      </c>
      <c r="D1916" t="s">
        <v>441</v>
      </c>
      <c r="F1916">
        <v>0</v>
      </c>
      <c r="G1916">
        <v>14.97</v>
      </c>
      <c r="H1916" t="s">
        <v>8588</v>
      </c>
      <c r="I1916">
        <v>540</v>
      </c>
      <c r="J1916" t="s">
        <v>462</v>
      </c>
      <c r="M1916">
        <v>7111</v>
      </c>
      <c r="N1916" t="s">
        <v>16047</v>
      </c>
    </row>
    <row r="1917" spans="1:14">
      <c r="A1917">
        <v>13420080</v>
      </c>
      <c r="B1917">
        <v>4030315</v>
      </c>
      <c r="C1917" t="s">
        <v>16051</v>
      </c>
      <c r="D1917" t="s">
        <v>441</v>
      </c>
      <c r="F1917">
        <v>0</v>
      </c>
      <c r="G1917">
        <v>17.18</v>
      </c>
      <c r="H1917" t="s">
        <v>8588</v>
      </c>
      <c r="I1917">
        <v>16</v>
      </c>
      <c r="J1917" t="s">
        <v>462</v>
      </c>
      <c r="M1917">
        <v>7112</v>
      </c>
      <c r="N1917" t="s">
        <v>16047</v>
      </c>
    </row>
    <row r="1918" spans="1:14">
      <c r="A1918">
        <v>13420081</v>
      </c>
      <c r="B1918">
        <v>4030300</v>
      </c>
      <c r="C1918" t="s">
        <v>16052</v>
      </c>
      <c r="D1918" t="s">
        <v>441</v>
      </c>
      <c r="F1918">
        <v>0</v>
      </c>
      <c r="G1918">
        <v>17.260000000000002</v>
      </c>
      <c r="H1918" t="s">
        <v>8588</v>
      </c>
      <c r="I1918">
        <v>16</v>
      </c>
      <c r="J1918" t="s">
        <v>462</v>
      </c>
      <c r="M1918">
        <v>7112</v>
      </c>
      <c r="N1918" t="s">
        <v>16047</v>
      </c>
    </row>
    <row r="1919" spans="1:14">
      <c r="A1919">
        <v>13420087</v>
      </c>
      <c r="B1919">
        <v>3040940</v>
      </c>
      <c r="C1919" t="s">
        <v>1383</v>
      </c>
      <c r="D1919" t="s">
        <v>441</v>
      </c>
      <c r="F1919">
        <v>0</v>
      </c>
      <c r="G1919">
        <v>8.11</v>
      </c>
      <c r="H1919" t="s">
        <v>8588</v>
      </c>
      <c r="I1919">
        <v>6</v>
      </c>
      <c r="J1919" t="s">
        <v>445</v>
      </c>
      <c r="M1919">
        <v>7112</v>
      </c>
      <c r="N1919" t="s">
        <v>16047</v>
      </c>
    </row>
    <row r="1920" spans="1:14">
      <c r="A1920">
        <v>13420090</v>
      </c>
      <c r="B1920">
        <v>4030116</v>
      </c>
      <c r="C1920" t="s">
        <v>15923</v>
      </c>
      <c r="D1920" t="s">
        <v>441</v>
      </c>
      <c r="F1920">
        <v>0</v>
      </c>
      <c r="G1920">
        <v>17.25</v>
      </c>
      <c r="H1920" t="s">
        <v>8588</v>
      </c>
      <c r="I1920">
        <v>16</v>
      </c>
      <c r="J1920" t="s">
        <v>462</v>
      </c>
      <c r="M1920">
        <v>7112</v>
      </c>
      <c r="N1920" t="s">
        <v>16047</v>
      </c>
    </row>
    <row r="1921" spans="1:14">
      <c r="A1921">
        <v>13420100</v>
      </c>
      <c r="B1921">
        <v>3007026</v>
      </c>
      <c r="C1921" t="s">
        <v>1384</v>
      </c>
      <c r="D1921" t="s">
        <v>441</v>
      </c>
      <c r="F1921">
        <v>0</v>
      </c>
      <c r="H1921" t="s">
        <v>8549</v>
      </c>
      <c r="I1921">
        <v>6</v>
      </c>
      <c r="J1921" t="s">
        <v>445</v>
      </c>
      <c r="K1921" t="s">
        <v>446</v>
      </c>
      <c r="M1921">
        <v>2391</v>
      </c>
    </row>
    <row r="1922" spans="1:14">
      <c r="A1922">
        <v>13420110</v>
      </c>
      <c r="B1922">
        <v>3031570</v>
      </c>
      <c r="C1922" t="s">
        <v>14252</v>
      </c>
      <c r="D1922" t="s">
        <v>441</v>
      </c>
      <c r="F1922">
        <v>0</v>
      </c>
      <c r="H1922" t="s">
        <v>8588</v>
      </c>
      <c r="I1922">
        <v>730</v>
      </c>
      <c r="J1922" t="s">
        <v>445</v>
      </c>
      <c r="M1922">
        <v>7161</v>
      </c>
      <c r="N1922" t="s">
        <v>16047</v>
      </c>
    </row>
    <row r="1923" spans="1:14">
      <c r="A1923">
        <v>13420120</v>
      </c>
      <c r="B1923">
        <v>3003297</v>
      </c>
      <c r="C1923" t="s">
        <v>9391</v>
      </c>
      <c r="D1923" t="s">
        <v>441</v>
      </c>
      <c r="F1923">
        <v>0</v>
      </c>
      <c r="H1923" t="s">
        <v>8588</v>
      </c>
      <c r="I1923">
        <v>6</v>
      </c>
      <c r="J1923" t="s">
        <v>445</v>
      </c>
      <c r="K1923" t="s">
        <v>446</v>
      </c>
      <c r="M1923">
        <v>7161</v>
      </c>
    </row>
    <row r="1924" spans="1:14">
      <c r="A1924">
        <v>13420130</v>
      </c>
      <c r="B1924">
        <v>3031503</v>
      </c>
      <c r="C1924" t="s">
        <v>1385</v>
      </c>
      <c r="D1924" t="s">
        <v>441</v>
      </c>
      <c r="F1924">
        <v>0</v>
      </c>
      <c r="H1924" t="s">
        <v>8549</v>
      </c>
      <c r="I1924">
        <v>6</v>
      </c>
      <c r="J1924" t="s">
        <v>445</v>
      </c>
      <c r="M1924">
        <v>7161</v>
      </c>
      <c r="N1924" t="s">
        <v>16047</v>
      </c>
    </row>
    <row r="1925" spans="1:14">
      <c r="A1925">
        <v>13420140</v>
      </c>
      <c r="B1925">
        <v>3031672</v>
      </c>
      <c r="C1925" t="s">
        <v>1386</v>
      </c>
      <c r="D1925" t="s">
        <v>441</v>
      </c>
      <c r="F1925">
        <v>0</v>
      </c>
      <c r="H1925" t="s">
        <v>8549</v>
      </c>
      <c r="I1925">
        <v>6</v>
      </c>
      <c r="J1925" t="s">
        <v>445</v>
      </c>
      <c r="K1925" t="s">
        <v>446</v>
      </c>
      <c r="M1925">
        <v>0</v>
      </c>
      <c r="N1925" t="s">
        <v>16047</v>
      </c>
    </row>
    <row r="1926" spans="1:14">
      <c r="A1926">
        <v>13420502</v>
      </c>
      <c r="B1926">
        <v>3007571</v>
      </c>
      <c r="C1926" t="s">
        <v>1387</v>
      </c>
      <c r="D1926" t="s">
        <v>441</v>
      </c>
      <c r="F1926">
        <v>0</v>
      </c>
      <c r="G1926">
        <v>8.09</v>
      </c>
      <c r="I1926">
        <v>540</v>
      </c>
      <c r="J1926" t="s">
        <v>445</v>
      </c>
      <c r="M1926">
        <v>2502</v>
      </c>
      <c r="N1926" t="s">
        <v>16047</v>
      </c>
    </row>
    <row r="1927" spans="1:14">
      <c r="A1927">
        <v>13420519</v>
      </c>
      <c r="B1927">
        <v>3011839</v>
      </c>
      <c r="C1927" t="s">
        <v>9392</v>
      </c>
      <c r="D1927" t="s">
        <v>441</v>
      </c>
      <c r="F1927">
        <v>0</v>
      </c>
      <c r="G1927">
        <v>9.61</v>
      </c>
      <c r="H1927" t="s">
        <v>8580</v>
      </c>
      <c r="I1927">
        <v>6</v>
      </c>
      <c r="J1927" t="s">
        <v>445</v>
      </c>
      <c r="K1927" t="s">
        <v>446</v>
      </c>
      <c r="M1927">
        <v>2641</v>
      </c>
    </row>
    <row r="1928" spans="1:14">
      <c r="A1928">
        <v>13420527</v>
      </c>
      <c r="B1928">
        <v>3020053</v>
      </c>
      <c r="C1928" t="s">
        <v>1388</v>
      </c>
      <c r="D1928" t="s">
        <v>441</v>
      </c>
      <c r="F1928">
        <v>0</v>
      </c>
      <c r="G1928">
        <v>8.16</v>
      </c>
      <c r="H1928" t="s">
        <v>8584</v>
      </c>
      <c r="I1928">
        <v>540</v>
      </c>
      <c r="J1928" t="s">
        <v>445</v>
      </c>
      <c r="M1928">
        <v>2502</v>
      </c>
      <c r="N1928" t="s">
        <v>16047</v>
      </c>
    </row>
    <row r="1929" spans="1:14">
      <c r="A1929">
        <v>13420528</v>
      </c>
      <c r="B1929">
        <v>3008948</v>
      </c>
      <c r="C1929" t="s">
        <v>9393</v>
      </c>
      <c r="D1929" t="s">
        <v>441</v>
      </c>
      <c r="F1929">
        <v>0</v>
      </c>
      <c r="G1929">
        <v>9.8800000000000008</v>
      </c>
      <c r="H1929" t="s">
        <v>8580</v>
      </c>
      <c r="I1929">
        <v>6</v>
      </c>
      <c r="J1929" t="s">
        <v>445</v>
      </c>
      <c r="K1929" t="s">
        <v>446</v>
      </c>
      <c r="M1929">
        <v>2641</v>
      </c>
    </row>
    <row r="1930" spans="1:14">
      <c r="A1930">
        <v>13420579</v>
      </c>
      <c r="B1930">
        <v>3041610</v>
      </c>
      <c r="C1930" t="s">
        <v>1389</v>
      </c>
      <c r="D1930" t="s">
        <v>441</v>
      </c>
      <c r="F1930">
        <v>0</v>
      </c>
      <c r="G1930">
        <v>8.6199999999999992</v>
      </c>
      <c r="H1930" t="s">
        <v>8580</v>
      </c>
      <c r="I1930">
        <v>540</v>
      </c>
      <c r="J1930" t="s">
        <v>445</v>
      </c>
      <c r="M1930">
        <v>2502</v>
      </c>
      <c r="N1930" t="s">
        <v>16047</v>
      </c>
    </row>
    <row r="1931" spans="1:14">
      <c r="A1931">
        <v>13420602</v>
      </c>
      <c r="B1931">
        <v>3007572</v>
      </c>
      <c r="C1931" t="s">
        <v>1390</v>
      </c>
      <c r="D1931" t="s">
        <v>441</v>
      </c>
      <c r="F1931">
        <v>0</v>
      </c>
      <c r="G1931">
        <v>8.7200000000000006</v>
      </c>
      <c r="H1931" t="s">
        <v>8588</v>
      </c>
      <c r="I1931">
        <v>4</v>
      </c>
      <c r="J1931" t="s">
        <v>445</v>
      </c>
      <c r="M1931">
        <v>2510</v>
      </c>
      <c r="N1931" t="s">
        <v>16047</v>
      </c>
    </row>
    <row r="1932" spans="1:14">
      <c r="A1932">
        <v>13420630</v>
      </c>
      <c r="B1932">
        <v>3014547</v>
      </c>
      <c r="C1932" t="s">
        <v>1391</v>
      </c>
      <c r="D1932" t="s">
        <v>441</v>
      </c>
      <c r="F1932">
        <v>0</v>
      </c>
      <c r="G1932">
        <v>11.04</v>
      </c>
      <c r="H1932" t="s">
        <v>8549</v>
      </c>
      <c r="I1932">
        <v>5</v>
      </c>
      <c r="J1932" t="s">
        <v>445</v>
      </c>
      <c r="M1932">
        <v>2510</v>
      </c>
      <c r="N1932" t="s">
        <v>16047</v>
      </c>
    </row>
    <row r="1933" spans="1:14">
      <c r="A1933">
        <v>13420902</v>
      </c>
      <c r="B1933">
        <v>3020240</v>
      </c>
      <c r="C1933" t="s">
        <v>1392</v>
      </c>
      <c r="D1933" t="s">
        <v>441</v>
      </c>
      <c r="F1933">
        <v>0</v>
      </c>
      <c r="H1933" t="s">
        <v>8634</v>
      </c>
      <c r="I1933">
        <v>4</v>
      </c>
      <c r="J1933" t="s">
        <v>445</v>
      </c>
      <c r="M1933">
        <v>6666</v>
      </c>
      <c r="N1933" t="s">
        <v>16047</v>
      </c>
    </row>
    <row r="1934" spans="1:14">
      <c r="A1934">
        <v>13421019</v>
      </c>
      <c r="B1934">
        <v>4011951</v>
      </c>
      <c r="C1934" t="s">
        <v>9394</v>
      </c>
      <c r="D1934" t="s">
        <v>441</v>
      </c>
      <c r="F1934">
        <v>0</v>
      </c>
      <c r="G1934">
        <v>9.7200000000000006</v>
      </c>
      <c r="H1934" t="s">
        <v>8588</v>
      </c>
      <c r="I1934">
        <v>365</v>
      </c>
      <c r="J1934" t="s">
        <v>462</v>
      </c>
      <c r="K1934" t="s">
        <v>446</v>
      </c>
      <c r="M1934">
        <v>2501</v>
      </c>
    </row>
    <row r="1935" spans="1:14">
      <c r="A1935">
        <v>13421020</v>
      </c>
      <c r="B1935">
        <v>4011458</v>
      </c>
      <c r="C1935" t="s">
        <v>9395</v>
      </c>
      <c r="D1935" t="s">
        <v>441</v>
      </c>
      <c r="F1935">
        <v>0</v>
      </c>
      <c r="G1935">
        <v>9.69</v>
      </c>
      <c r="H1935" t="s">
        <v>8588</v>
      </c>
      <c r="I1935">
        <v>6</v>
      </c>
      <c r="J1935" t="s">
        <v>462</v>
      </c>
      <c r="K1935" t="s">
        <v>446</v>
      </c>
      <c r="M1935">
        <v>2641</v>
      </c>
    </row>
    <row r="1936" spans="1:14">
      <c r="A1936">
        <v>13421021</v>
      </c>
      <c r="B1936">
        <v>4011843</v>
      </c>
      <c r="C1936" t="s">
        <v>9396</v>
      </c>
      <c r="D1936" t="s">
        <v>441</v>
      </c>
      <c r="F1936">
        <v>0</v>
      </c>
      <c r="G1936">
        <v>10.39</v>
      </c>
      <c r="H1936" t="s">
        <v>8588</v>
      </c>
      <c r="I1936">
        <v>6</v>
      </c>
      <c r="J1936" t="s">
        <v>462</v>
      </c>
      <c r="K1936" t="s">
        <v>446</v>
      </c>
      <c r="M1936">
        <v>2641</v>
      </c>
      <c r="N1936" t="s">
        <v>16047</v>
      </c>
    </row>
    <row r="1937" spans="1:14">
      <c r="A1937">
        <v>13421028</v>
      </c>
      <c r="B1937">
        <v>4011769</v>
      </c>
      <c r="C1937" t="s">
        <v>9397</v>
      </c>
      <c r="D1937" t="s">
        <v>441</v>
      </c>
      <c r="F1937">
        <v>0</v>
      </c>
      <c r="G1937">
        <v>10</v>
      </c>
      <c r="H1937" t="s">
        <v>8588</v>
      </c>
      <c r="I1937">
        <v>365</v>
      </c>
      <c r="J1937" t="s">
        <v>462</v>
      </c>
      <c r="K1937" t="s">
        <v>446</v>
      </c>
      <c r="M1937">
        <v>2501</v>
      </c>
    </row>
    <row r="1938" spans="1:14">
      <c r="A1938">
        <v>13421040</v>
      </c>
      <c r="B1938">
        <v>4011846</v>
      </c>
      <c r="C1938" t="s">
        <v>9398</v>
      </c>
      <c r="D1938" t="s">
        <v>441</v>
      </c>
      <c r="F1938">
        <v>0</v>
      </c>
      <c r="G1938">
        <v>9.66</v>
      </c>
      <c r="H1938" t="s">
        <v>8588</v>
      </c>
      <c r="I1938">
        <v>11</v>
      </c>
      <c r="J1938" t="s">
        <v>462</v>
      </c>
      <c r="K1938" t="s">
        <v>446</v>
      </c>
      <c r="M1938">
        <v>2612</v>
      </c>
    </row>
    <row r="1939" spans="1:14">
      <c r="A1939">
        <v>13421041</v>
      </c>
      <c r="B1939">
        <v>4011459</v>
      </c>
      <c r="C1939" t="s">
        <v>1393</v>
      </c>
      <c r="D1939" t="s">
        <v>441</v>
      </c>
      <c r="F1939">
        <v>0</v>
      </c>
      <c r="G1939">
        <v>13.85</v>
      </c>
      <c r="H1939" t="s">
        <v>8588</v>
      </c>
      <c r="I1939">
        <v>16</v>
      </c>
      <c r="J1939" t="s">
        <v>462</v>
      </c>
      <c r="M1939">
        <v>7112</v>
      </c>
      <c r="N1939" t="s">
        <v>16047</v>
      </c>
    </row>
    <row r="1940" spans="1:14">
      <c r="A1940">
        <v>13421042</v>
      </c>
      <c r="B1940">
        <v>4011888</v>
      </c>
      <c r="C1940" t="s">
        <v>1394</v>
      </c>
      <c r="D1940" t="s">
        <v>441</v>
      </c>
      <c r="F1940">
        <v>0</v>
      </c>
      <c r="G1940">
        <v>17.05</v>
      </c>
      <c r="H1940" t="s">
        <v>8588</v>
      </c>
      <c r="I1940">
        <v>13</v>
      </c>
      <c r="J1940" t="s">
        <v>462</v>
      </c>
      <c r="M1940">
        <v>7112</v>
      </c>
      <c r="N1940" t="s">
        <v>16047</v>
      </c>
    </row>
    <row r="1941" spans="1:14">
      <c r="A1941">
        <v>13421044</v>
      </c>
      <c r="B1941">
        <v>4011780</v>
      </c>
      <c r="C1941" t="s">
        <v>9399</v>
      </c>
      <c r="D1941" t="s">
        <v>441</v>
      </c>
      <c r="F1941">
        <v>0</v>
      </c>
      <c r="G1941">
        <v>10.17</v>
      </c>
      <c r="H1941" t="s">
        <v>8588</v>
      </c>
      <c r="I1941">
        <v>11</v>
      </c>
      <c r="J1941" t="s">
        <v>462</v>
      </c>
      <c r="K1941" t="s">
        <v>446</v>
      </c>
      <c r="M1941">
        <v>2612</v>
      </c>
    </row>
    <row r="1942" spans="1:14">
      <c r="A1942">
        <v>13421045</v>
      </c>
      <c r="B1942">
        <v>4011923</v>
      </c>
      <c r="C1942" t="s">
        <v>9400</v>
      </c>
      <c r="D1942" t="s">
        <v>441</v>
      </c>
      <c r="F1942">
        <v>0</v>
      </c>
      <c r="G1942">
        <v>10.66</v>
      </c>
      <c r="H1942" t="s">
        <v>8588</v>
      </c>
      <c r="I1942">
        <v>16</v>
      </c>
      <c r="J1942" t="s">
        <v>462</v>
      </c>
      <c r="K1942" t="s">
        <v>446</v>
      </c>
      <c r="M1942">
        <v>2612</v>
      </c>
    </row>
    <row r="1943" spans="1:14">
      <c r="A1943">
        <v>13421046</v>
      </c>
      <c r="B1943">
        <v>4012784</v>
      </c>
      <c r="C1943" t="s">
        <v>9401</v>
      </c>
      <c r="D1943" t="s">
        <v>441</v>
      </c>
      <c r="F1943">
        <v>0</v>
      </c>
      <c r="G1943">
        <v>11.9</v>
      </c>
      <c r="H1943" t="s">
        <v>8588</v>
      </c>
      <c r="I1943">
        <v>13</v>
      </c>
      <c r="J1943" t="s">
        <v>462</v>
      </c>
      <c r="K1943" t="s">
        <v>446</v>
      </c>
      <c r="M1943">
        <v>2612</v>
      </c>
      <c r="N1943" t="s">
        <v>16047</v>
      </c>
    </row>
    <row r="1944" spans="1:14">
      <c r="A1944">
        <v>13421047</v>
      </c>
      <c r="B1944">
        <v>4029485</v>
      </c>
      <c r="C1944" t="s">
        <v>15257</v>
      </c>
      <c r="D1944" t="s">
        <v>441</v>
      </c>
      <c r="F1944">
        <v>0</v>
      </c>
      <c r="G1944">
        <v>13.6</v>
      </c>
      <c r="H1944" t="s">
        <v>8588</v>
      </c>
      <c r="I1944">
        <v>14</v>
      </c>
      <c r="J1944" t="s">
        <v>462</v>
      </c>
      <c r="M1944">
        <v>7112</v>
      </c>
      <c r="N1944" t="s">
        <v>16047</v>
      </c>
    </row>
    <row r="1945" spans="1:14">
      <c r="A1945">
        <v>13421048</v>
      </c>
      <c r="B1945">
        <v>4013699</v>
      </c>
      <c r="C1945" t="s">
        <v>9402</v>
      </c>
      <c r="D1945" t="s">
        <v>441</v>
      </c>
      <c r="F1945">
        <v>0</v>
      </c>
      <c r="G1945">
        <v>9.42</v>
      </c>
      <c r="H1945" t="s">
        <v>8588</v>
      </c>
      <c r="I1945">
        <v>16</v>
      </c>
      <c r="J1945" t="s">
        <v>462</v>
      </c>
      <c r="K1945" t="s">
        <v>446</v>
      </c>
      <c r="M1945">
        <v>2612</v>
      </c>
      <c r="N1945" t="s">
        <v>16047</v>
      </c>
    </row>
    <row r="1946" spans="1:14">
      <c r="A1946">
        <v>13421049</v>
      </c>
      <c r="B1946">
        <v>4013890</v>
      </c>
      <c r="C1946" t="s">
        <v>16053</v>
      </c>
      <c r="D1946" t="s">
        <v>441</v>
      </c>
      <c r="F1946">
        <v>0</v>
      </c>
      <c r="G1946">
        <v>11.71</v>
      </c>
      <c r="H1946" t="s">
        <v>8588</v>
      </c>
      <c r="I1946">
        <v>16</v>
      </c>
      <c r="J1946" t="s">
        <v>462</v>
      </c>
      <c r="M1946">
        <v>2612</v>
      </c>
      <c r="N1946" t="s">
        <v>16047</v>
      </c>
    </row>
    <row r="1947" spans="1:14">
      <c r="A1947">
        <v>13421050</v>
      </c>
      <c r="B1947">
        <v>4011986</v>
      </c>
      <c r="C1947" t="s">
        <v>1395</v>
      </c>
      <c r="D1947" t="s">
        <v>441</v>
      </c>
      <c r="F1947">
        <v>0</v>
      </c>
      <c r="G1947">
        <v>10.119999999999999</v>
      </c>
      <c r="H1947" t="s">
        <v>8588</v>
      </c>
      <c r="I1947">
        <v>11</v>
      </c>
      <c r="J1947" t="s">
        <v>462</v>
      </c>
      <c r="K1947" t="s">
        <v>446</v>
      </c>
      <c r="M1947">
        <v>2612</v>
      </c>
    </row>
    <row r="1948" spans="1:14">
      <c r="A1948">
        <v>13421055</v>
      </c>
      <c r="B1948">
        <v>4011867</v>
      </c>
      <c r="C1948" t="s">
        <v>9403</v>
      </c>
      <c r="D1948" t="s">
        <v>441</v>
      </c>
      <c r="F1948">
        <v>0</v>
      </c>
      <c r="G1948">
        <v>9.51</v>
      </c>
      <c r="H1948" t="s">
        <v>8588</v>
      </c>
      <c r="I1948">
        <v>16</v>
      </c>
      <c r="J1948" t="s">
        <v>462</v>
      </c>
      <c r="K1948" t="s">
        <v>446</v>
      </c>
      <c r="M1948">
        <v>2612</v>
      </c>
    </row>
    <row r="1949" spans="1:14">
      <c r="A1949">
        <v>13421056</v>
      </c>
      <c r="B1949">
        <v>4016683</v>
      </c>
      <c r="C1949" t="s">
        <v>17390</v>
      </c>
      <c r="D1949" t="s">
        <v>441</v>
      </c>
      <c r="F1949">
        <v>0</v>
      </c>
      <c r="G1949">
        <v>11.61</v>
      </c>
      <c r="H1949" t="s">
        <v>8588</v>
      </c>
      <c r="I1949">
        <v>9</v>
      </c>
      <c r="J1949" t="s">
        <v>462</v>
      </c>
      <c r="M1949">
        <v>7112</v>
      </c>
      <c r="N1949" t="s">
        <v>16047</v>
      </c>
    </row>
    <row r="1950" spans="1:14">
      <c r="A1950">
        <v>13421057</v>
      </c>
      <c r="B1950">
        <v>4012636</v>
      </c>
      <c r="C1950" t="s">
        <v>9404</v>
      </c>
      <c r="D1950" t="s">
        <v>441</v>
      </c>
      <c r="F1950">
        <v>0</v>
      </c>
      <c r="G1950">
        <v>11.82</v>
      </c>
      <c r="H1950" t="s">
        <v>8588</v>
      </c>
      <c r="I1950">
        <v>13</v>
      </c>
      <c r="J1950" t="s">
        <v>462</v>
      </c>
      <c r="K1950" t="s">
        <v>446</v>
      </c>
      <c r="M1950">
        <v>2612</v>
      </c>
      <c r="N1950" t="s">
        <v>16047</v>
      </c>
    </row>
    <row r="1951" spans="1:14">
      <c r="A1951">
        <v>13421061</v>
      </c>
      <c r="B1951">
        <v>4017689</v>
      </c>
      <c r="C1951" t="s">
        <v>9405</v>
      </c>
      <c r="D1951" t="s">
        <v>441</v>
      </c>
      <c r="F1951">
        <v>0</v>
      </c>
      <c r="G1951">
        <v>11.69</v>
      </c>
      <c r="H1951" t="s">
        <v>8588</v>
      </c>
      <c r="I1951">
        <v>9</v>
      </c>
      <c r="J1951" t="s">
        <v>462</v>
      </c>
      <c r="K1951" t="s">
        <v>446</v>
      </c>
      <c r="M1951">
        <v>0</v>
      </c>
      <c r="N1951" t="s">
        <v>16047</v>
      </c>
    </row>
    <row r="1952" spans="1:14">
      <c r="A1952">
        <v>13421063</v>
      </c>
      <c r="B1952">
        <v>4029633</v>
      </c>
      <c r="C1952" t="s">
        <v>15402</v>
      </c>
      <c r="D1952" t="s">
        <v>441</v>
      </c>
      <c r="F1952">
        <v>0</v>
      </c>
      <c r="G1952">
        <v>13.56</v>
      </c>
      <c r="H1952" t="s">
        <v>8588</v>
      </c>
      <c r="I1952">
        <v>16</v>
      </c>
      <c r="J1952" t="s">
        <v>462</v>
      </c>
      <c r="M1952">
        <v>7112</v>
      </c>
      <c r="N1952" t="s">
        <v>16047</v>
      </c>
    </row>
    <row r="1953" spans="1:14">
      <c r="A1953">
        <v>13421065</v>
      </c>
      <c r="B1953">
        <v>4019893</v>
      </c>
      <c r="C1953" t="s">
        <v>9406</v>
      </c>
      <c r="D1953" t="s">
        <v>441</v>
      </c>
      <c r="F1953">
        <v>0</v>
      </c>
      <c r="G1953">
        <v>11.56</v>
      </c>
      <c r="H1953" t="s">
        <v>8588</v>
      </c>
      <c r="I1953">
        <v>15</v>
      </c>
      <c r="J1953" t="s">
        <v>462</v>
      </c>
      <c r="K1953" t="s">
        <v>446</v>
      </c>
      <c r="M1953">
        <v>2641</v>
      </c>
      <c r="N1953" t="s">
        <v>16047</v>
      </c>
    </row>
    <row r="1954" spans="1:14">
      <c r="A1954">
        <v>13421066</v>
      </c>
      <c r="B1954">
        <v>4027811</v>
      </c>
      <c r="C1954" t="s">
        <v>1396</v>
      </c>
      <c r="D1954" t="s">
        <v>441</v>
      </c>
      <c r="F1954">
        <v>0</v>
      </c>
      <c r="G1954">
        <v>13.33</v>
      </c>
      <c r="H1954" t="s">
        <v>8588</v>
      </c>
      <c r="I1954">
        <v>16</v>
      </c>
      <c r="J1954" t="s">
        <v>462</v>
      </c>
      <c r="M1954">
        <v>7112</v>
      </c>
      <c r="N1954" t="s">
        <v>16047</v>
      </c>
    </row>
    <row r="1955" spans="1:14">
      <c r="A1955">
        <v>13421076</v>
      </c>
      <c r="B1955">
        <v>4012028</v>
      </c>
      <c r="C1955" t="s">
        <v>9407</v>
      </c>
      <c r="D1955" t="s">
        <v>441</v>
      </c>
      <c r="F1955">
        <v>0</v>
      </c>
      <c r="G1955">
        <v>11.43</v>
      </c>
      <c r="H1955" t="s">
        <v>8588</v>
      </c>
      <c r="I1955">
        <v>6</v>
      </c>
      <c r="J1955" t="s">
        <v>462</v>
      </c>
      <c r="K1955" t="s">
        <v>446</v>
      </c>
      <c r="M1955">
        <v>2641</v>
      </c>
      <c r="N1955" t="s">
        <v>16047</v>
      </c>
    </row>
    <row r="1956" spans="1:14">
      <c r="A1956">
        <v>13421077</v>
      </c>
      <c r="B1956">
        <v>4013223</v>
      </c>
      <c r="C1956" t="s">
        <v>9408</v>
      </c>
      <c r="D1956" t="s">
        <v>441</v>
      </c>
      <c r="F1956">
        <v>0</v>
      </c>
      <c r="G1956">
        <v>11.43</v>
      </c>
      <c r="H1956" t="s">
        <v>8588</v>
      </c>
      <c r="I1956">
        <v>6</v>
      </c>
      <c r="J1956" t="s">
        <v>462</v>
      </c>
      <c r="K1956" t="s">
        <v>446</v>
      </c>
      <c r="M1956">
        <v>2641</v>
      </c>
      <c r="N1956" t="s">
        <v>16047</v>
      </c>
    </row>
    <row r="1957" spans="1:14">
      <c r="A1957">
        <v>13421078</v>
      </c>
      <c r="B1957">
        <v>4029558</v>
      </c>
      <c r="C1957" t="s">
        <v>15307</v>
      </c>
      <c r="D1957" t="s">
        <v>441</v>
      </c>
      <c r="F1957">
        <v>0</v>
      </c>
      <c r="G1957">
        <v>12.95</v>
      </c>
      <c r="H1957" t="s">
        <v>8588</v>
      </c>
      <c r="I1957">
        <v>6</v>
      </c>
      <c r="J1957" t="s">
        <v>462</v>
      </c>
      <c r="L1957">
        <v>2630910</v>
      </c>
      <c r="M1957">
        <v>7112</v>
      </c>
      <c r="N1957" t="s">
        <v>16047</v>
      </c>
    </row>
    <row r="1958" spans="1:14">
      <c r="A1958">
        <v>13421079</v>
      </c>
      <c r="B1958">
        <v>4030393</v>
      </c>
      <c r="C1958" t="s">
        <v>17391</v>
      </c>
      <c r="D1958" t="s">
        <v>441</v>
      </c>
      <c r="F1958">
        <v>0</v>
      </c>
      <c r="G1958">
        <v>17.649999999999999</v>
      </c>
      <c r="H1958" t="s">
        <v>8588</v>
      </c>
      <c r="I1958">
        <v>540</v>
      </c>
      <c r="J1958" t="s">
        <v>462</v>
      </c>
      <c r="M1958">
        <v>7111</v>
      </c>
      <c r="N1958" t="s">
        <v>16047</v>
      </c>
    </row>
    <row r="1959" spans="1:14">
      <c r="A1959">
        <v>13421519</v>
      </c>
      <c r="B1959">
        <v>3017483</v>
      </c>
      <c r="C1959" t="s">
        <v>9409</v>
      </c>
      <c r="D1959" t="s">
        <v>441</v>
      </c>
      <c r="F1959">
        <v>0</v>
      </c>
      <c r="G1959">
        <v>9.61</v>
      </c>
      <c r="I1959">
        <v>6</v>
      </c>
      <c r="J1959" t="s">
        <v>445</v>
      </c>
      <c r="K1959" t="s">
        <v>446</v>
      </c>
      <c r="M1959">
        <v>2641</v>
      </c>
    </row>
    <row r="1960" spans="1:14">
      <c r="A1960">
        <v>13421528</v>
      </c>
      <c r="B1960">
        <v>3017430</v>
      </c>
      <c r="C1960" t="s">
        <v>9410</v>
      </c>
      <c r="D1960" t="s">
        <v>441</v>
      </c>
      <c r="F1960">
        <v>0</v>
      </c>
      <c r="G1960">
        <v>9.89</v>
      </c>
      <c r="H1960" t="s">
        <v>8580</v>
      </c>
      <c r="I1960">
        <v>6</v>
      </c>
      <c r="J1960" t="s">
        <v>445</v>
      </c>
      <c r="K1960" t="s">
        <v>446</v>
      </c>
      <c r="M1960">
        <v>2641</v>
      </c>
    </row>
    <row r="1961" spans="1:14">
      <c r="A1961">
        <v>13421579</v>
      </c>
      <c r="B1961">
        <v>3045856</v>
      </c>
      <c r="C1961" t="s">
        <v>17392</v>
      </c>
      <c r="D1961" t="s">
        <v>441</v>
      </c>
      <c r="F1961">
        <v>0</v>
      </c>
      <c r="G1961">
        <v>17.18</v>
      </c>
      <c r="H1961" t="s">
        <v>8588</v>
      </c>
      <c r="I1961">
        <v>5</v>
      </c>
      <c r="J1961" t="s">
        <v>445</v>
      </c>
      <c r="M1961">
        <v>2502</v>
      </c>
      <c r="N1961" t="s">
        <v>16047</v>
      </c>
    </row>
    <row r="1962" spans="1:14">
      <c r="A1962">
        <v>13426000</v>
      </c>
      <c r="B1962">
        <v>3009219</v>
      </c>
      <c r="C1962" t="s">
        <v>1397</v>
      </c>
      <c r="D1962" t="s">
        <v>441</v>
      </c>
      <c r="F1962">
        <v>0</v>
      </c>
      <c r="G1962">
        <v>9.68</v>
      </c>
      <c r="H1962" t="s">
        <v>8580</v>
      </c>
      <c r="I1962">
        <v>6</v>
      </c>
      <c r="J1962" t="s">
        <v>445</v>
      </c>
      <c r="K1962" t="s">
        <v>446</v>
      </c>
      <c r="M1962">
        <v>2390</v>
      </c>
    </row>
    <row r="1963" spans="1:14">
      <c r="A1963">
        <v>13440000</v>
      </c>
      <c r="B1963">
        <v>3007573</v>
      </c>
      <c r="C1963" t="s">
        <v>1398</v>
      </c>
      <c r="D1963" t="s">
        <v>441</v>
      </c>
      <c r="F1963">
        <v>0</v>
      </c>
      <c r="G1963">
        <v>10.07</v>
      </c>
      <c r="H1963" t="s">
        <v>8580</v>
      </c>
      <c r="I1963">
        <v>5</v>
      </c>
      <c r="J1963" t="s">
        <v>445</v>
      </c>
      <c r="K1963" t="s">
        <v>446</v>
      </c>
      <c r="M1963">
        <v>2390</v>
      </c>
    </row>
    <row r="1964" spans="1:14">
      <c r="A1964">
        <v>13440031</v>
      </c>
      <c r="B1964">
        <v>4003795</v>
      </c>
      <c r="C1964" t="s">
        <v>9411</v>
      </c>
      <c r="D1964" t="s">
        <v>441</v>
      </c>
      <c r="F1964">
        <v>0</v>
      </c>
      <c r="G1964">
        <v>9.86</v>
      </c>
      <c r="H1964" t="s">
        <v>8588</v>
      </c>
      <c r="I1964">
        <v>12</v>
      </c>
      <c r="J1964" t="s">
        <v>462</v>
      </c>
      <c r="K1964" t="s">
        <v>446</v>
      </c>
      <c r="L1964">
        <v>2984150</v>
      </c>
      <c r="M1964">
        <v>2611</v>
      </c>
      <c r="N1964" t="s">
        <v>16047</v>
      </c>
    </row>
    <row r="1965" spans="1:14">
      <c r="A1965">
        <v>13440032</v>
      </c>
      <c r="B1965">
        <v>4003796</v>
      </c>
      <c r="C1965" t="s">
        <v>9412</v>
      </c>
      <c r="D1965" t="s">
        <v>441</v>
      </c>
      <c r="F1965">
        <v>0</v>
      </c>
      <c r="G1965">
        <v>11.28</v>
      </c>
      <c r="H1965" t="s">
        <v>8588</v>
      </c>
      <c r="I1965">
        <v>9</v>
      </c>
      <c r="J1965" t="s">
        <v>462</v>
      </c>
      <c r="K1965" t="s">
        <v>446</v>
      </c>
      <c r="M1965">
        <v>2611</v>
      </c>
    </row>
    <row r="1966" spans="1:14">
      <c r="A1966">
        <v>13440033</v>
      </c>
      <c r="B1966">
        <v>4003797</v>
      </c>
      <c r="C1966" t="s">
        <v>9413</v>
      </c>
      <c r="D1966" t="s">
        <v>441</v>
      </c>
      <c r="F1966">
        <v>0</v>
      </c>
      <c r="G1966">
        <v>10.76</v>
      </c>
      <c r="H1966" t="s">
        <v>8588</v>
      </c>
      <c r="I1966">
        <v>12</v>
      </c>
      <c r="J1966" t="s">
        <v>462</v>
      </c>
      <c r="K1966" t="s">
        <v>446</v>
      </c>
      <c r="M1966">
        <v>2611</v>
      </c>
      <c r="N1966" t="s">
        <v>16047</v>
      </c>
    </row>
    <row r="1967" spans="1:14">
      <c r="A1967">
        <v>13440034</v>
      </c>
      <c r="B1967">
        <v>4005492</v>
      </c>
      <c r="C1967" t="s">
        <v>9414</v>
      </c>
      <c r="D1967" t="s">
        <v>441</v>
      </c>
      <c r="F1967">
        <v>0</v>
      </c>
      <c r="G1967">
        <v>11.7</v>
      </c>
      <c r="H1967" t="s">
        <v>8588</v>
      </c>
      <c r="I1967">
        <v>12</v>
      </c>
      <c r="J1967" t="s">
        <v>462</v>
      </c>
      <c r="K1967" t="s">
        <v>446</v>
      </c>
      <c r="M1967">
        <v>2611</v>
      </c>
      <c r="N1967" t="s">
        <v>16047</v>
      </c>
    </row>
    <row r="1968" spans="1:14">
      <c r="A1968">
        <v>13440035</v>
      </c>
      <c r="B1968">
        <v>4006176</v>
      </c>
      <c r="C1968" t="s">
        <v>9415</v>
      </c>
      <c r="D1968" t="s">
        <v>441</v>
      </c>
      <c r="F1968">
        <v>0</v>
      </c>
      <c r="G1968">
        <v>12.21</v>
      </c>
      <c r="H1968" t="s">
        <v>8588</v>
      </c>
      <c r="I1968">
        <v>12</v>
      </c>
      <c r="J1968" t="s">
        <v>462</v>
      </c>
      <c r="K1968" t="s">
        <v>446</v>
      </c>
      <c r="M1968">
        <v>2611</v>
      </c>
    </row>
    <row r="1969" spans="1:14">
      <c r="A1969">
        <v>13440036</v>
      </c>
      <c r="B1969">
        <v>4013388</v>
      </c>
      <c r="C1969" t="s">
        <v>9416</v>
      </c>
      <c r="D1969" t="s">
        <v>441</v>
      </c>
      <c r="F1969">
        <v>0</v>
      </c>
      <c r="G1969">
        <v>11.91</v>
      </c>
      <c r="H1969" t="s">
        <v>8588</v>
      </c>
      <c r="I1969">
        <v>12</v>
      </c>
      <c r="J1969" t="s">
        <v>462</v>
      </c>
      <c r="K1969" t="s">
        <v>446</v>
      </c>
      <c r="M1969">
        <v>2611</v>
      </c>
      <c r="N1969" t="s">
        <v>16049</v>
      </c>
    </row>
    <row r="1970" spans="1:14">
      <c r="A1970">
        <v>13440037</v>
      </c>
      <c r="B1970">
        <v>4016973</v>
      </c>
      <c r="C1970" t="s">
        <v>9417</v>
      </c>
      <c r="D1970" t="s">
        <v>441</v>
      </c>
      <c r="F1970">
        <v>0</v>
      </c>
      <c r="G1970">
        <v>10.76</v>
      </c>
      <c r="H1970" t="s">
        <v>8588</v>
      </c>
      <c r="I1970">
        <v>12</v>
      </c>
      <c r="J1970" t="s">
        <v>462</v>
      </c>
      <c r="K1970" t="s">
        <v>446</v>
      </c>
      <c r="M1970">
        <v>2611</v>
      </c>
      <c r="N1970" t="s">
        <v>16047</v>
      </c>
    </row>
    <row r="1971" spans="1:14">
      <c r="A1971">
        <v>13440040</v>
      </c>
      <c r="B1971">
        <v>4008820</v>
      </c>
      <c r="C1971" t="s">
        <v>9418</v>
      </c>
      <c r="D1971" t="s">
        <v>441</v>
      </c>
      <c r="F1971">
        <v>0</v>
      </c>
      <c r="G1971">
        <v>10.43</v>
      </c>
      <c r="H1971" t="s">
        <v>8588</v>
      </c>
      <c r="I1971">
        <v>11</v>
      </c>
      <c r="J1971" t="s">
        <v>462</v>
      </c>
      <c r="K1971" t="s">
        <v>446</v>
      </c>
      <c r="M1971">
        <v>2612</v>
      </c>
    </row>
    <row r="1972" spans="1:14">
      <c r="A1972">
        <v>13440041</v>
      </c>
      <c r="B1972">
        <v>4009868</v>
      </c>
      <c r="C1972" t="s">
        <v>9419</v>
      </c>
      <c r="D1972" t="s">
        <v>441</v>
      </c>
      <c r="F1972">
        <v>0</v>
      </c>
      <c r="G1972">
        <v>10.44</v>
      </c>
      <c r="H1972" t="s">
        <v>8588</v>
      </c>
      <c r="I1972">
        <v>11</v>
      </c>
      <c r="J1972" t="s">
        <v>462</v>
      </c>
      <c r="K1972" t="s">
        <v>446</v>
      </c>
      <c r="M1972">
        <v>2612</v>
      </c>
    </row>
    <row r="1973" spans="1:14">
      <c r="A1973">
        <v>13440042</v>
      </c>
      <c r="B1973">
        <v>4011129</v>
      </c>
      <c r="C1973" t="s">
        <v>9420</v>
      </c>
      <c r="D1973" t="s">
        <v>441</v>
      </c>
      <c r="F1973">
        <v>0</v>
      </c>
      <c r="G1973">
        <v>10.82</v>
      </c>
      <c r="H1973" t="s">
        <v>8588</v>
      </c>
      <c r="I1973">
        <v>10</v>
      </c>
      <c r="J1973" t="s">
        <v>462</v>
      </c>
      <c r="K1973" t="s">
        <v>446</v>
      </c>
      <c r="M1973">
        <v>2612</v>
      </c>
      <c r="N1973" t="s">
        <v>16049</v>
      </c>
    </row>
    <row r="1974" spans="1:14">
      <c r="A1974">
        <v>13440050</v>
      </c>
      <c r="B1974">
        <v>4011131</v>
      </c>
      <c r="C1974" t="s">
        <v>9421</v>
      </c>
      <c r="D1974" t="s">
        <v>441</v>
      </c>
      <c r="F1974">
        <v>0</v>
      </c>
      <c r="G1974">
        <v>14.3</v>
      </c>
      <c r="H1974" t="s">
        <v>8588</v>
      </c>
      <c r="I1974">
        <v>10</v>
      </c>
      <c r="J1974" t="s">
        <v>462</v>
      </c>
      <c r="K1974" t="s">
        <v>446</v>
      </c>
      <c r="M1974">
        <v>2612</v>
      </c>
      <c r="N1974" t="s">
        <v>16049</v>
      </c>
    </row>
    <row r="1975" spans="1:14">
      <c r="A1975">
        <v>13440051</v>
      </c>
      <c r="B1975">
        <v>4011130</v>
      </c>
      <c r="C1975" t="s">
        <v>9422</v>
      </c>
      <c r="D1975" t="s">
        <v>441</v>
      </c>
      <c r="F1975">
        <v>0</v>
      </c>
      <c r="G1975">
        <v>14.3</v>
      </c>
      <c r="H1975" t="s">
        <v>8588</v>
      </c>
      <c r="I1975">
        <v>10</v>
      </c>
      <c r="J1975" t="s">
        <v>462</v>
      </c>
      <c r="K1975" t="s">
        <v>446</v>
      </c>
      <c r="M1975">
        <v>2612</v>
      </c>
      <c r="N1975" t="s">
        <v>16049</v>
      </c>
    </row>
    <row r="1976" spans="1:14">
      <c r="A1976">
        <v>13440100</v>
      </c>
      <c r="B1976">
        <v>3016186</v>
      </c>
      <c r="C1976" t="s">
        <v>1399</v>
      </c>
      <c r="D1976" t="s">
        <v>441</v>
      </c>
      <c r="F1976">
        <v>0</v>
      </c>
      <c r="H1976" t="s">
        <v>8588</v>
      </c>
      <c r="I1976">
        <v>6</v>
      </c>
      <c r="J1976" t="s">
        <v>445</v>
      </c>
      <c r="M1976">
        <v>7161</v>
      </c>
      <c r="N1976" t="s">
        <v>16049</v>
      </c>
    </row>
    <row r="1977" spans="1:14">
      <c r="A1977">
        <v>13440120</v>
      </c>
      <c r="B1977">
        <v>3005544</v>
      </c>
      <c r="C1977" t="s">
        <v>9423</v>
      </c>
      <c r="D1977" t="s">
        <v>441</v>
      </c>
      <c r="F1977">
        <v>0</v>
      </c>
      <c r="H1977" t="s">
        <v>8588</v>
      </c>
      <c r="I1977">
        <v>6</v>
      </c>
      <c r="J1977" t="s">
        <v>445</v>
      </c>
      <c r="K1977" t="s">
        <v>446</v>
      </c>
      <c r="M1977">
        <v>2391</v>
      </c>
    </row>
    <row r="1978" spans="1:14">
      <c r="A1978">
        <v>13440130</v>
      </c>
      <c r="B1978">
        <v>3015081</v>
      </c>
      <c r="C1978" t="s">
        <v>9424</v>
      </c>
      <c r="D1978" t="s">
        <v>441</v>
      </c>
      <c r="F1978">
        <v>0</v>
      </c>
      <c r="H1978" t="s">
        <v>8588</v>
      </c>
      <c r="I1978">
        <v>6</v>
      </c>
      <c r="J1978" t="s">
        <v>445</v>
      </c>
      <c r="K1978" t="s">
        <v>446</v>
      </c>
      <c r="M1978">
        <v>3741</v>
      </c>
    </row>
    <row r="1979" spans="1:14">
      <c r="A1979">
        <v>13441032</v>
      </c>
      <c r="B1979">
        <v>4011595</v>
      </c>
      <c r="C1979" t="s">
        <v>9425</v>
      </c>
      <c r="D1979" t="s">
        <v>441</v>
      </c>
      <c r="F1979">
        <v>0</v>
      </c>
      <c r="G1979">
        <v>11.28</v>
      </c>
      <c r="H1979" t="s">
        <v>8588</v>
      </c>
      <c r="I1979">
        <v>9</v>
      </c>
      <c r="J1979" t="s">
        <v>462</v>
      </c>
      <c r="K1979" t="s">
        <v>446</v>
      </c>
      <c r="M1979">
        <v>2611</v>
      </c>
    </row>
    <row r="1980" spans="1:14">
      <c r="A1980">
        <v>13441033</v>
      </c>
      <c r="B1980">
        <v>4011596</v>
      </c>
      <c r="C1980" t="s">
        <v>9426</v>
      </c>
      <c r="D1980" t="s">
        <v>441</v>
      </c>
      <c r="F1980">
        <v>0</v>
      </c>
      <c r="G1980">
        <v>12.93</v>
      </c>
      <c r="H1980" t="s">
        <v>8588</v>
      </c>
      <c r="I1980">
        <v>12</v>
      </c>
      <c r="J1980" t="s">
        <v>462</v>
      </c>
      <c r="K1980" t="s">
        <v>446</v>
      </c>
      <c r="M1980">
        <v>2611</v>
      </c>
      <c r="N1980" t="s">
        <v>16047</v>
      </c>
    </row>
    <row r="1981" spans="1:14">
      <c r="A1981">
        <v>13441034</v>
      </c>
      <c r="B1981">
        <v>4011629</v>
      </c>
      <c r="C1981" t="s">
        <v>9427</v>
      </c>
      <c r="D1981" t="s">
        <v>441</v>
      </c>
      <c r="F1981">
        <v>0</v>
      </c>
      <c r="G1981">
        <v>11.53</v>
      </c>
      <c r="H1981" t="s">
        <v>8588</v>
      </c>
      <c r="I1981">
        <v>12</v>
      </c>
      <c r="J1981" t="s">
        <v>462</v>
      </c>
      <c r="K1981" t="s">
        <v>446</v>
      </c>
      <c r="M1981">
        <v>2611</v>
      </c>
      <c r="N1981" t="s">
        <v>16047</v>
      </c>
    </row>
    <row r="1982" spans="1:14">
      <c r="A1982">
        <v>13441035</v>
      </c>
      <c r="B1982">
        <v>4011646</v>
      </c>
      <c r="C1982" t="s">
        <v>9428</v>
      </c>
      <c r="D1982" t="s">
        <v>441</v>
      </c>
      <c r="F1982">
        <v>0</v>
      </c>
      <c r="G1982">
        <v>16.170000000000002</v>
      </c>
      <c r="H1982" t="s">
        <v>8588</v>
      </c>
      <c r="I1982">
        <v>12</v>
      </c>
      <c r="J1982" t="s">
        <v>462</v>
      </c>
      <c r="K1982" t="s">
        <v>446</v>
      </c>
      <c r="M1982">
        <v>2611</v>
      </c>
      <c r="N1982" t="s">
        <v>16049</v>
      </c>
    </row>
    <row r="1983" spans="1:14">
      <c r="A1983">
        <v>13441036</v>
      </c>
      <c r="B1983">
        <v>4013391</v>
      </c>
      <c r="C1983" t="s">
        <v>9429</v>
      </c>
      <c r="D1983" t="s">
        <v>441</v>
      </c>
      <c r="F1983">
        <v>0</v>
      </c>
      <c r="G1983">
        <v>11.65</v>
      </c>
      <c r="H1983" t="s">
        <v>8588</v>
      </c>
      <c r="I1983">
        <v>12</v>
      </c>
      <c r="J1983" t="s">
        <v>462</v>
      </c>
      <c r="K1983" t="s">
        <v>446</v>
      </c>
      <c r="M1983">
        <v>2611</v>
      </c>
      <c r="N1983" t="s">
        <v>16049</v>
      </c>
    </row>
    <row r="1984" spans="1:14">
      <c r="A1984">
        <v>13441040</v>
      </c>
      <c r="B1984">
        <v>4011849</v>
      </c>
      <c r="C1984" t="s">
        <v>9430</v>
      </c>
      <c r="D1984" t="s">
        <v>441</v>
      </c>
      <c r="F1984">
        <v>0</v>
      </c>
      <c r="G1984">
        <v>10.43</v>
      </c>
      <c r="H1984" t="s">
        <v>8588</v>
      </c>
      <c r="I1984">
        <v>11</v>
      </c>
      <c r="J1984" t="s">
        <v>462</v>
      </c>
      <c r="K1984" t="s">
        <v>446</v>
      </c>
      <c r="M1984">
        <v>2612</v>
      </c>
    </row>
    <row r="1985" spans="1:14">
      <c r="A1985">
        <v>13441041</v>
      </c>
      <c r="B1985">
        <v>4011980</v>
      </c>
      <c r="C1985" t="s">
        <v>9431</v>
      </c>
      <c r="D1985" t="s">
        <v>441</v>
      </c>
      <c r="F1985">
        <v>0</v>
      </c>
      <c r="G1985">
        <v>10.44</v>
      </c>
      <c r="H1985" t="s">
        <v>8588</v>
      </c>
      <c r="I1985">
        <v>11</v>
      </c>
      <c r="J1985" t="s">
        <v>462</v>
      </c>
      <c r="K1985" t="s">
        <v>446</v>
      </c>
      <c r="M1985">
        <v>2612</v>
      </c>
    </row>
    <row r="1986" spans="1:14">
      <c r="A1986">
        <v>13441042</v>
      </c>
      <c r="B1986">
        <v>4012166</v>
      </c>
      <c r="C1986" t="s">
        <v>9432</v>
      </c>
      <c r="D1986" t="s">
        <v>441</v>
      </c>
      <c r="F1986">
        <v>0</v>
      </c>
      <c r="G1986">
        <v>10.82</v>
      </c>
      <c r="H1986" t="s">
        <v>8588</v>
      </c>
      <c r="I1986">
        <v>10</v>
      </c>
      <c r="J1986" t="s">
        <v>462</v>
      </c>
      <c r="K1986" t="s">
        <v>446</v>
      </c>
      <c r="M1986">
        <v>2612</v>
      </c>
      <c r="N1986" t="s">
        <v>16049</v>
      </c>
    </row>
    <row r="1987" spans="1:14">
      <c r="A1987">
        <v>13441050</v>
      </c>
      <c r="B1987">
        <v>4012168</v>
      </c>
      <c r="C1987" t="s">
        <v>1400</v>
      </c>
      <c r="D1987" t="s">
        <v>441</v>
      </c>
      <c r="F1987">
        <v>0</v>
      </c>
      <c r="G1987">
        <v>14.43</v>
      </c>
      <c r="H1987" t="s">
        <v>8588</v>
      </c>
      <c r="I1987">
        <v>10</v>
      </c>
      <c r="J1987" t="s">
        <v>462</v>
      </c>
      <c r="K1987" t="s">
        <v>446</v>
      </c>
      <c r="M1987">
        <v>2612</v>
      </c>
      <c r="N1987" t="s">
        <v>16049</v>
      </c>
    </row>
    <row r="1988" spans="1:14">
      <c r="A1988">
        <v>13441051</v>
      </c>
      <c r="B1988">
        <v>4012167</v>
      </c>
      <c r="C1988" t="s">
        <v>9433</v>
      </c>
      <c r="D1988" t="s">
        <v>441</v>
      </c>
      <c r="F1988">
        <v>0</v>
      </c>
      <c r="G1988">
        <v>14.33</v>
      </c>
      <c r="H1988" t="s">
        <v>8588</v>
      </c>
      <c r="I1988">
        <v>10</v>
      </c>
      <c r="J1988" t="s">
        <v>462</v>
      </c>
      <c r="K1988" t="s">
        <v>446</v>
      </c>
      <c r="M1988">
        <v>2612</v>
      </c>
      <c r="N1988" t="s">
        <v>16049</v>
      </c>
    </row>
    <row r="1989" spans="1:14">
      <c r="A1989">
        <v>13442100</v>
      </c>
      <c r="B1989">
        <v>3017817</v>
      </c>
      <c r="C1989" t="s">
        <v>1401</v>
      </c>
      <c r="D1989" t="s">
        <v>441</v>
      </c>
      <c r="F1989">
        <v>0</v>
      </c>
      <c r="G1989">
        <v>10.35</v>
      </c>
      <c r="H1989" t="s">
        <v>8588</v>
      </c>
      <c r="I1989">
        <v>6</v>
      </c>
      <c r="J1989" t="s">
        <v>445</v>
      </c>
      <c r="M1989">
        <v>3741</v>
      </c>
      <c r="N1989" t="s">
        <v>16049</v>
      </c>
    </row>
    <row r="1990" spans="1:14">
      <c r="A1990">
        <v>13450000</v>
      </c>
      <c r="B1990">
        <v>3012376</v>
      </c>
      <c r="C1990" t="s">
        <v>9434</v>
      </c>
      <c r="D1990" t="s">
        <v>441</v>
      </c>
      <c r="F1990">
        <v>0</v>
      </c>
      <c r="G1990">
        <v>8.3699999999999992</v>
      </c>
      <c r="H1990" t="s">
        <v>8580</v>
      </c>
      <c r="I1990">
        <v>6</v>
      </c>
      <c r="J1990" t="s">
        <v>445</v>
      </c>
      <c r="K1990" t="s">
        <v>446</v>
      </c>
      <c r="M1990">
        <v>2312</v>
      </c>
    </row>
    <row r="1991" spans="1:14">
      <c r="A1991">
        <v>13451000</v>
      </c>
      <c r="B1991">
        <v>3017527</v>
      </c>
      <c r="C1991" t="s">
        <v>9435</v>
      </c>
      <c r="D1991" t="s">
        <v>441</v>
      </c>
      <c r="F1991">
        <v>0</v>
      </c>
      <c r="G1991">
        <v>8.7100000000000009</v>
      </c>
      <c r="I1991">
        <v>6</v>
      </c>
      <c r="J1991" t="s">
        <v>445</v>
      </c>
      <c r="K1991" t="s">
        <v>446</v>
      </c>
      <c r="M1991">
        <v>2312</v>
      </c>
    </row>
    <row r="1992" spans="1:14">
      <c r="A1992">
        <v>13460000</v>
      </c>
      <c r="B1992">
        <v>3008909</v>
      </c>
      <c r="C1992" t="s">
        <v>9436</v>
      </c>
      <c r="D1992" t="s">
        <v>441</v>
      </c>
      <c r="F1992">
        <v>0</v>
      </c>
      <c r="G1992">
        <v>12.44</v>
      </c>
      <c r="H1992" t="s">
        <v>8580</v>
      </c>
      <c r="I1992">
        <v>6</v>
      </c>
      <c r="J1992" t="s">
        <v>445</v>
      </c>
      <c r="K1992" t="s">
        <v>446</v>
      </c>
      <c r="M1992">
        <v>0</v>
      </c>
    </row>
    <row r="1993" spans="1:14">
      <c r="A1993">
        <v>13460002</v>
      </c>
      <c r="B1993">
        <v>3016421</v>
      </c>
      <c r="C1993" t="s">
        <v>1402</v>
      </c>
      <c r="D1993" t="s">
        <v>441</v>
      </c>
      <c r="F1993">
        <v>0</v>
      </c>
      <c r="G1993">
        <v>16.61</v>
      </c>
      <c r="H1993" t="s">
        <v>8588</v>
      </c>
      <c r="I1993">
        <v>365</v>
      </c>
      <c r="J1993" t="s">
        <v>445</v>
      </c>
      <c r="K1993" t="s">
        <v>446</v>
      </c>
      <c r="M1993">
        <v>2501</v>
      </c>
      <c r="N1993" t="s">
        <v>16054</v>
      </c>
    </row>
    <row r="1994" spans="1:14">
      <c r="A1994">
        <v>13460041</v>
      </c>
      <c r="B1994">
        <v>4009137</v>
      </c>
      <c r="C1994" t="s">
        <v>9437</v>
      </c>
      <c r="D1994" t="s">
        <v>441</v>
      </c>
      <c r="F1994">
        <v>0</v>
      </c>
      <c r="G1994">
        <v>12.22</v>
      </c>
      <c r="H1994" t="s">
        <v>8588</v>
      </c>
      <c r="I1994">
        <v>16</v>
      </c>
      <c r="J1994" t="s">
        <v>462</v>
      </c>
      <c r="K1994" t="s">
        <v>446</v>
      </c>
      <c r="M1994">
        <v>2612</v>
      </c>
    </row>
    <row r="1995" spans="1:14">
      <c r="A1995">
        <v>13460050</v>
      </c>
      <c r="B1995">
        <v>4010950</v>
      </c>
      <c r="C1995" t="s">
        <v>9438</v>
      </c>
      <c r="D1995" t="s">
        <v>441</v>
      </c>
      <c r="F1995">
        <v>0</v>
      </c>
      <c r="G1995">
        <v>12.34</v>
      </c>
      <c r="H1995" t="s">
        <v>8588</v>
      </c>
      <c r="I1995">
        <v>16</v>
      </c>
      <c r="J1995" t="s">
        <v>462</v>
      </c>
      <c r="K1995" t="s">
        <v>446</v>
      </c>
      <c r="M1995">
        <v>2612</v>
      </c>
    </row>
    <row r="1996" spans="1:14">
      <c r="A1996">
        <v>13460051</v>
      </c>
      <c r="B1996">
        <v>4008888</v>
      </c>
      <c r="C1996" t="s">
        <v>1403</v>
      </c>
      <c r="D1996" t="s">
        <v>441</v>
      </c>
      <c r="F1996">
        <v>0</v>
      </c>
      <c r="G1996">
        <v>12.23</v>
      </c>
      <c r="H1996" t="s">
        <v>8588</v>
      </c>
      <c r="I1996">
        <v>16</v>
      </c>
      <c r="J1996" t="s">
        <v>462</v>
      </c>
      <c r="K1996" t="s">
        <v>446</v>
      </c>
      <c r="M1996">
        <v>2612</v>
      </c>
    </row>
    <row r="1997" spans="1:14">
      <c r="A1997">
        <v>13460502</v>
      </c>
      <c r="B1997">
        <v>3016420</v>
      </c>
      <c r="C1997" t="s">
        <v>1404</v>
      </c>
      <c r="D1997" t="s">
        <v>441</v>
      </c>
      <c r="F1997">
        <v>0</v>
      </c>
      <c r="G1997">
        <v>16.29</v>
      </c>
      <c r="H1997" t="s">
        <v>8580</v>
      </c>
      <c r="I1997">
        <v>365</v>
      </c>
      <c r="J1997" t="s">
        <v>445</v>
      </c>
      <c r="K1997" t="s">
        <v>446</v>
      </c>
      <c r="M1997">
        <v>2641</v>
      </c>
      <c r="N1997" t="s">
        <v>16054</v>
      </c>
    </row>
    <row r="1998" spans="1:14">
      <c r="A1998">
        <v>13460602</v>
      </c>
      <c r="B1998">
        <v>3016279</v>
      </c>
      <c r="C1998" t="s">
        <v>1405</v>
      </c>
      <c r="D1998" t="s">
        <v>441</v>
      </c>
      <c r="F1998">
        <v>0</v>
      </c>
      <c r="G1998">
        <v>17.100000000000001</v>
      </c>
      <c r="H1998" t="s">
        <v>8588</v>
      </c>
      <c r="I1998">
        <v>4</v>
      </c>
      <c r="J1998" t="s">
        <v>445</v>
      </c>
      <c r="K1998" t="s">
        <v>446</v>
      </c>
      <c r="M1998">
        <v>2511</v>
      </c>
      <c r="N1998" t="s">
        <v>16054</v>
      </c>
    </row>
    <row r="1999" spans="1:14">
      <c r="A1999">
        <v>13460902</v>
      </c>
      <c r="B1999">
        <v>3020241</v>
      </c>
      <c r="C1999" t="s">
        <v>1406</v>
      </c>
      <c r="D1999" t="s">
        <v>441</v>
      </c>
      <c r="F1999">
        <v>0</v>
      </c>
      <c r="G1999">
        <v>11.71</v>
      </c>
      <c r="H1999" t="s">
        <v>8634</v>
      </c>
      <c r="I1999">
        <v>4</v>
      </c>
      <c r="J1999" t="s">
        <v>445</v>
      </c>
      <c r="M1999">
        <v>6666</v>
      </c>
      <c r="N1999" t="s">
        <v>16054</v>
      </c>
    </row>
    <row r="2000" spans="1:14">
      <c r="A2000">
        <v>13466000</v>
      </c>
      <c r="B2000">
        <v>3009616</v>
      </c>
      <c r="C2000" t="s">
        <v>1407</v>
      </c>
      <c r="D2000" t="s">
        <v>441</v>
      </c>
      <c r="F2000">
        <v>0</v>
      </c>
      <c r="G2000">
        <v>11.29</v>
      </c>
      <c r="I2000">
        <v>6</v>
      </c>
      <c r="J2000" t="s">
        <v>445</v>
      </c>
      <c r="K2000" t="s">
        <v>446</v>
      </c>
      <c r="M2000">
        <v>2390</v>
      </c>
    </row>
    <row r="2001" spans="1:14">
      <c r="A2001">
        <v>13470000</v>
      </c>
      <c r="B2001">
        <v>3007575</v>
      </c>
      <c r="C2001" t="s">
        <v>1408</v>
      </c>
      <c r="D2001" t="s">
        <v>441</v>
      </c>
      <c r="F2001">
        <v>0</v>
      </c>
      <c r="G2001">
        <v>8.9700000000000006</v>
      </c>
      <c r="I2001">
        <v>6</v>
      </c>
      <c r="J2001" t="s">
        <v>445</v>
      </c>
      <c r="M2001">
        <v>2391</v>
      </c>
      <c r="N2001" t="s">
        <v>16055</v>
      </c>
    </row>
    <row r="2002" spans="1:14">
      <c r="A2002">
        <v>13470002</v>
      </c>
      <c r="B2002">
        <v>3007576</v>
      </c>
      <c r="C2002" t="s">
        <v>1409</v>
      </c>
      <c r="D2002" t="s">
        <v>441</v>
      </c>
      <c r="F2002">
        <v>0</v>
      </c>
      <c r="G2002">
        <v>14.02</v>
      </c>
      <c r="I2002">
        <v>365</v>
      </c>
      <c r="J2002" t="s">
        <v>445</v>
      </c>
      <c r="K2002" t="s">
        <v>446</v>
      </c>
      <c r="M2002">
        <v>2501</v>
      </c>
      <c r="N2002" t="s">
        <v>16055</v>
      </c>
    </row>
    <row r="2003" spans="1:14">
      <c r="A2003">
        <v>13470100</v>
      </c>
      <c r="B2003">
        <v>3007577</v>
      </c>
      <c r="C2003" t="s">
        <v>1410</v>
      </c>
      <c r="D2003" t="s">
        <v>441</v>
      </c>
      <c r="F2003">
        <v>0</v>
      </c>
      <c r="I2003">
        <v>0</v>
      </c>
      <c r="J2003" t="s">
        <v>445</v>
      </c>
      <c r="M2003">
        <v>7161</v>
      </c>
      <c r="N2003" t="s">
        <v>16055</v>
      </c>
    </row>
    <row r="2004" spans="1:14">
      <c r="A2004">
        <v>13470102</v>
      </c>
      <c r="B2004">
        <v>3007578</v>
      </c>
      <c r="C2004" t="s">
        <v>1411</v>
      </c>
      <c r="D2004" t="s">
        <v>441</v>
      </c>
      <c r="F2004">
        <v>0</v>
      </c>
      <c r="I2004">
        <v>9</v>
      </c>
      <c r="J2004" t="s">
        <v>445</v>
      </c>
      <c r="K2004" t="s">
        <v>446</v>
      </c>
      <c r="M2004">
        <v>0</v>
      </c>
      <c r="N2004" t="s">
        <v>16055</v>
      </c>
    </row>
    <row r="2005" spans="1:14">
      <c r="A2005">
        <v>13470502</v>
      </c>
      <c r="B2005">
        <v>3007579</v>
      </c>
      <c r="C2005" t="s">
        <v>1412</v>
      </c>
      <c r="D2005" t="s">
        <v>441</v>
      </c>
      <c r="F2005">
        <v>0</v>
      </c>
      <c r="G2005">
        <v>13.73</v>
      </c>
      <c r="I2005">
        <v>6</v>
      </c>
      <c r="J2005" t="s">
        <v>445</v>
      </c>
      <c r="K2005" t="s">
        <v>446</v>
      </c>
      <c r="M2005">
        <v>2641</v>
      </c>
      <c r="N2005" t="s">
        <v>16055</v>
      </c>
    </row>
    <row r="2006" spans="1:14">
      <c r="A2006">
        <v>13470602</v>
      </c>
      <c r="B2006">
        <v>3007580</v>
      </c>
      <c r="C2006" t="s">
        <v>1413</v>
      </c>
      <c r="D2006" t="s">
        <v>441</v>
      </c>
      <c r="F2006">
        <v>0</v>
      </c>
      <c r="G2006">
        <v>14.48</v>
      </c>
      <c r="H2006" t="s">
        <v>8588</v>
      </c>
      <c r="I2006">
        <v>4</v>
      </c>
      <c r="J2006" t="s">
        <v>445</v>
      </c>
      <c r="K2006" t="s">
        <v>446</v>
      </c>
      <c r="M2006">
        <v>2511</v>
      </c>
      <c r="N2006" t="s">
        <v>16055</v>
      </c>
    </row>
    <row r="2007" spans="1:14">
      <c r="A2007">
        <v>13470902</v>
      </c>
      <c r="B2007">
        <v>3020242</v>
      </c>
      <c r="C2007" t="s">
        <v>1414</v>
      </c>
      <c r="D2007" t="s">
        <v>441</v>
      </c>
      <c r="F2007">
        <v>0</v>
      </c>
      <c r="G2007">
        <v>9.67</v>
      </c>
      <c r="H2007" t="s">
        <v>8634</v>
      </c>
      <c r="I2007">
        <v>4</v>
      </c>
      <c r="J2007" t="s">
        <v>445</v>
      </c>
      <c r="K2007" t="s">
        <v>446</v>
      </c>
      <c r="M2007">
        <v>6666</v>
      </c>
      <c r="N2007" t="s">
        <v>16055</v>
      </c>
    </row>
    <row r="2008" spans="1:14">
      <c r="A2008">
        <v>13480000</v>
      </c>
      <c r="B2008">
        <v>3007581</v>
      </c>
      <c r="C2008" t="s">
        <v>1415</v>
      </c>
      <c r="D2008" t="s">
        <v>441</v>
      </c>
      <c r="F2008">
        <v>0</v>
      </c>
      <c r="G2008">
        <v>6.55</v>
      </c>
      <c r="I2008">
        <v>5</v>
      </c>
      <c r="J2008" t="s">
        <v>445</v>
      </c>
      <c r="K2008" t="s">
        <v>446</v>
      </c>
      <c r="M2008">
        <v>2390</v>
      </c>
    </row>
    <row r="2009" spans="1:14">
      <c r="A2009">
        <v>13480020</v>
      </c>
      <c r="B2009">
        <v>4003798</v>
      </c>
      <c r="C2009" t="s">
        <v>1416</v>
      </c>
      <c r="D2009" t="s">
        <v>441</v>
      </c>
      <c r="F2009">
        <v>0</v>
      </c>
      <c r="G2009">
        <v>6.88</v>
      </c>
      <c r="H2009" t="s">
        <v>8588</v>
      </c>
      <c r="I2009">
        <v>6</v>
      </c>
      <c r="J2009" t="s">
        <v>462</v>
      </c>
      <c r="K2009" t="s">
        <v>446</v>
      </c>
      <c r="M2009">
        <v>2641</v>
      </c>
    </row>
    <row r="2010" spans="1:14">
      <c r="A2010">
        <v>13480021</v>
      </c>
      <c r="B2010">
        <v>4008811</v>
      </c>
      <c r="C2010" t="s">
        <v>1417</v>
      </c>
      <c r="D2010" t="s">
        <v>441</v>
      </c>
      <c r="F2010">
        <v>0</v>
      </c>
      <c r="G2010">
        <v>7</v>
      </c>
      <c r="H2010" t="s">
        <v>8588</v>
      </c>
      <c r="I2010">
        <v>6</v>
      </c>
      <c r="J2010" t="s">
        <v>462</v>
      </c>
      <c r="K2010" t="s">
        <v>446</v>
      </c>
      <c r="M2010">
        <v>2641</v>
      </c>
    </row>
    <row r="2011" spans="1:14">
      <c r="A2011">
        <v>13480022</v>
      </c>
      <c r="B2011">
        <v>4008257</v>
      </c>
      <c r="C2011" t="s">
        <v>9439</v>
      </c>
      <c r="D2011" t="s">
        <v>441</v>
      </c>
      <c r="F2011">
        <v>0</v>
      </c>
      <c r="G2011">
        <v>6.86</v>
      </c>
      <c r="H2011" t="s">
        <v>8588</v>
      </c>
      <c r="I2011">
        <v>6</v>
      </c>
      <c r="J2011" t="s">
        <v>462</v>
      </c>
      <c r="K2011" t="s">
        <v>446</v>
      </c>
      <c r="M2011">
        <v>2612</v>
      </c>
    </row>
    <row r="2012" spans="1:14">
      <c r="A2012">
        <v>13490000</v>
      </c>
      <c r="B2012">
        <v>3011279</v>
      </c>
      <c r="C2012" t="s">
        <v>1418</v>
      </c>
      <c r="D2012" t="s">
        <v>441</v>
      </c>
      <c r="F2012">
        <v>0</v>
      </c>
      <c r="G2012">
        <v>0</v>
      </c>
      <c r="H2012" t="s">
        <v>8549</v>
      </c>
      <c r="I2012">
        <v>6</v>
      </c>
      <c r="J2012" t="s">
        <v>445</v>
      </c>
      <c r="M2012">
        <v>2391</v>
      </c>
      <c r="N2012" t="s">
        <v>16056</v>
      </c>
    </row>
    <row r="2013" spans="1:14">
      <c r="A2013">
        <v>13490002</v>
      </c>
      <c r="B2013">
        <v>3041440</v>
      </c>
      <c r="C2013" t="s">
        <v>1419</v>
      </c>
      <c r="D2013" t="s">
        <v>441</v>
      </c>
      <c r="F2013">
        <v>0</v>
      </c>
      <c r="G2013">
        <v>7.23</v>
      </c>
      <c r="H2013" t="s">
        <v>8588</v>
      </c>
      <c r="I2013">
        <v>540</v>
      </c>
      <c r="J2013" t="s">
        <v>445</v>
      </c>
      <c r="M2013">
        <v>7111</v>
      </c>
      <c r="N2013" t="s">
        <v>16056</v>
      </c>
    </row>
    <row r="2014" spans="1:14">
      <c r="A2014">
        <v>13490019</v>
      </c>
      <c r="B2014">
        <v>3011841</v>
      </c>
      <c r="C2014" t="s">
        <v>1420</v>
      </c>
      <c r="D2014" t="s">
        <v>441</v>
      </c>
      <c r="F2014">
        <v>0</v>
      </c>
      <c r="G2014">
        <v>9.9700000000000006</v>
      </c>
      <c r="H2014" t="s">
        <v>8549</v>
      </c>
      <c r="I2014">
        <v>365</v>
      </c>
      <c r="J2014" t="s">
        <v>445</v>
      </c>
      <c r="K2014" t="s">
        <v>446</v>
      </c>
      <c r="M2014">
        <v>2501</v>
      </c>
    </row>
    <row r="2015" spans="1:14">
      <c r="A2015">
        <v>13490087</v>
      </c>
      <c r="B2015">
        <v>3011290</v>
      </c>
      <c r="C2015" t="s">
        <v>1421</v>
      </c>
      <c r="D2015" t="s">
        <v>441</v>
      </c>
      <c r="F2015">
        <v>0</v>
      </c>
      <c r="G2015">
        <v>6.91</v>
      </c>
      <c r="H2015" t="s">
        <v>8588</v>
      </c>
      <c r="I2015">
        <v>6</v>
      </c>
      <c r="J2015" t="s">
        <v>445</v>
      </c>
      <c r="M2015">
        <v>7112</v>
      </c>
      <c r="N2015" t="s">
        <v>16056</v>
      </c>
    </row>
    <row r="2016" spans="1:14">
      <c r="A2016">
        <v>13490502</v>
      </c>
      <c r="B2016">
        <v>3038950</v>
      </c>
      <c r="C2016" t="s">
        <v>1422</v>
      </c>
      <c r="D2016" t="s">
        <v>441</v>
      </c>
      <c r="F2016">
        <v>0</v>
      </c>
      <c r="G2016">
        <v>6.88</v>
      </c>
      <c r="H2016" t="s">
        <v>8580</v>
      </c>
      <c r="I2016">
        <v>5</v>
      </c>
      <c r="J2016" t="s">
        <v>445</v>
      </c>
      <c r="M2016">
        <v>2502</v>
      </c>
      <c r="N2016" t="s">
        <v>16056</v>
      </c>
    </row>
    <row r="2017" spans="1:14">
      <c r="A2017">
        <v>13490519</v>
      </c>
      <c r="B2017">
        <v>3011824</v>
      </c>
      <c r="C2017" t="s">
        <v>1423</v>
      </c>
      <c r="D2017" t="s">
        <v>441</v>
      </c>
      <c r="F2017">
        <v>0</v>
      </c>
      <c r="G2017">
        <v>9.6999999999999993</v>
      </c>
      <c r="I2017">
        <v>6</v>
      </c>
      <c r="J2017" t="s">
        <v>445</v>
      </c>
      <c r="K2017" t="s">
        <v>446</v>
      </c>
      <c r="M2017">
        <v>2641</v>
      </c>
    </row>
    <row r="2018" spans="1:14">
      <c r="A2018">
        <v>13490619</v>
      </c>
      <c r="B2018">
        <v>3011842</v>
      </c>
      <c r="C2018" t="s">
        <v>1424</v>
      </c>
      <c r="D2018" t="s">
        <v>441</v>
      </c>
      <c r="F2018">
        <v>0</v>
      </c>
      <c r="G2018">
        <v>10.25</v>
      </c>
      <c r="H2018" t="s">
        <v>8580</v>
      </c>
      <c r="I2018">
        <v>4</v>
      </c>
      <c r="J2018" t="s">
        <v>445</v>
      </c>
      <c r="K2018" t="s">
        <v>446</v>
      </c>
      <c r="M2018">
        <v>2511</v>
      </c>
    </row>
    <row r="2019" spans="1:14">
      <c r="A2019">
        <v>13491000</v>
      </c>
      <c r="B2019">
        <v>3035769</v>
      </c>
      <c r="C2019" t="s">
        <v>1425</v>
      </c>
      <c r="D2019" t="s">
        <v>441</v>
      </c>
      <c r="F2019">
        <v>0</v>
      </c>
      <c r="G2019">
        <v>1</v>
      </c>
      <c r="H2019" t="s">
        <v>8549</v>
      </c>
      <c r="I2019">
        <v>6</v>
      </c>
      <c r="J2019" t="s">
        <v>445</v>
      </c>
      <c r="M2019">
        <v>2391</v>
      </c>
      <c r="N2019" t="s">
        <v>16056</v>
      </c>
    </row>
    <row r="2020" spans="1:14">
      <c r="A2020">
        <v>13491519</v>
      </c>
      <c r="B2020">
        <v>3017481</v>
      </c>
      <c r="C2020" t="s">
        <v>1426</v>
      </c>
      <c r="D2020" t="s">
        <v>441</v>
      </c>
      <c r="F2020">
        <v>0</v>
      </c>
      <c r="G2020">
        <v>9.6999999999999993</v>
      </c>
      <c r="H2020" t="s">
        <v>8627</v>
      </c>
      <c r="I2020">
        <v>6</v>
      </c>
      <c r="J2020" t="s">
        <v>445</v>
      </c>
      <c r="K2020" t="s">
        <v>446</v>
      </c>
      <c r="M2020">
        <v>2641</v>
      </c>
    </row>
    <row r="2021" spans="1:14">
      <c r="A2021">
        <v>13493000</v>
      </c>
      <c r="B2021">
        <v>3011278</v>
      </c>
      <c r="C2021" t="s">
        <v>1427</v>
      </c>
      <c r="D2021" t="s">
        <v>441</v>
      </c>
      <c r="F2021">
        <v>0</v>
      </c>
      <c r="G2021">
        <v>6.8</v>
      </c>
      <c r="H2021" t="s">
        <v>8580</v>
      </c>
      <c r="I2021">
        <v>6</v>
      </c>
      <c r="J2021" t="s">
        <v>445</v>
      </c>
      <c r="M2021">
        <v>2391</v>
      </c>
      <c r="N2021" t="s">
        <v>16056</v>
      </c>
    </row>
    <row r="2022" spans="1:14">
      <c r="A2022">
        <v>13494000</v>
      </c>
      <c r="B2022">
        <v>3035851</v>
      </c>
      <c r="C2022" t="s">
        <v>1428</v>
      </c>
      <c r="D2022" t="s">
        <v>441</v>
      </c>
      <c r="F2022">
        <v>0</v>
      </c>
      <c r="G2022">
        <v>6.85</v>
      </c>
      <c r="H2022" t="s">
        <v>8549</v>
      </c>
      <c r="I2022">
        <v>6</v>
      </c>
      <c r="J2022" t="s">
        <v>445</v>
      </c>
      <c r="M2022">
        <v>2391</v>
      </c>
      <c r="N2022" t="s">
        <v>16056</v>
      </c>
    </row>
    <row r="2023" spans="1:14">
      <c r="A2023">
        <v>13494002</v>
      </c>
      <c r="B2023">
        <v>3041442</v>
      </c>
      <c r="C2023" t="s">
        <v>1429</v>
      </c>
      <c r="D2023" t="s">
        <v>441</v>
      </c>
      <c r="F2023">
        <v>0</v>
      </c>
      <c r="G2023">
        <v>7.53</v>
      </c>
      <c r="H2023" t="s">
        <v>8588</v>
      </c>
      <c r="I2023">
        <v>540</v>
      </c>
      <c r="J2023" t="s">
        <v>445</v>
      </c>
      <c r="M2023">
        <v>7111</v>
      </c>
      <c r="N2023" t="s">
        <v>16056</v>
      </c>
    </row>
    <row r="2024" spans="1:14">
      <c r="A2024">
        <v>13494087</v>
      </c>
      <c r="B2024">
        <v>3041436</v>
      </c>
      <c r="C2024" t="s">
        <v>1430</v>
      </c>
      <c r="D2024" t="s">
        <v>441</v>
      </c>
      <c r="F2024">
        <v>0</v>
      </c>
      <c r="G2024">
        <v>7.21</v>
      </c>
      <c r="H2024" t="s">
        <v>8588</v>
      </c>
      <c r="I2024">
        <v>6</v>
      </c>
      <c r="J2024" t="s">
        <v>445</v>
      </c>
      <c r="M2024">
        <v>7112</v>
      </c>
      <c r="N2024" t="s">
        <v>16056</v>
      </c>
    </row>
    <row r="2025" spans="1:14">
      <c r="A2025">
        <v>13494502</v>
      </c>
      <c r="B2025">
        <v>3039445</v>
      </c>
      <c r="C2025" t="s">
        <v>1431</v>
      </c>
      <c r="D2025" t="s">
        <v>441</v>
      </c>
      <c r="F2025">
        <v>0</v>
      </c>
      <c r="G2025">
        <v>7.19</v>
      </c>
      <c r="H2025" t="s">
        <v>8580</v>
      </c>
      <c r="I2025">
        <v>5</v>
      </c>
      <c r="J2025" t="s">
        <v>445</v>
      </c>
      <c r="M2025">
        <v>2502</v>
      </c>
      <c r="N2025" t="s">
        <v>16056</v>
      </c>
    </row>
    <row r="2026" spans="1:14">
      <c r="A2026">
        <v>13500000</v>
      </c>
      <c r="B2026">
        <v>3007582</v>
      </c>
      <c r="C2026" t="s">
        <v>1432</v>
      </c>
      <c r="D2026" t="s">
        <v>441</v>
      </c>
      <c r="F2026">
        <v>0</v>
      </c>
      <c r="G2026">
        <v>6.82</v>
      </c>
      <c r="H2026" t="s">
        <v>8580</v>
      </c>
      <c r="I2026">
        <v>6</v>
      </c>
      <c r="J2026" t="s">
        <v>445</v>
      </c>
      <c r="K2026" t="s">
        <v>446</v>
      </c>
      <c r="M2026">
        <v>0</v>
      </c>
    </row>
    <row r="2027" spans="1:14">
      <c r="A2027">
        <v>13510000</v>
      </c>
      <c r="B2027">
        <v>3014206</v>
      </c>
      <c r="C2027" t="s">
        <v>1433</v>
      </c>
      <c r="D2027" t="s">
        <v>441</v>
      </c>
      <c r="F2027">
        <v>0</v>
      </c>
      <c r="G2027">
        <v>6.71</v>
      </c>
      <c r="I2027">
        <v>6</v>
      </c>
      <c r="J2027" t="s">
        <v>445</v>
      </c>
      <c r="K2027" t="s">
        <v>446</v>
      </c>
      <c r="M2027">
        <v>2312</v>
      </c>
    </row>
    <row r="2028" spans="1:14">
      <c r="A2028">
        <v>13520000</v>
      </c>
      <c r="B2028">
        <v>3014205</v>
      </c>
      <c r="C2028" t="s">
        <v>1434</v>
      </c>
      <c r="D2028" t="s">
        <v>441</v>
      </c>
      <c r="F2028">
        <v>0</v>
      </c>
      <c r="G2028">
        <v>6.22</v>
      </c>
      <c r="I2028">
        <v>6</v>
      </c>
      <c r="J2028" t="s">
        <v>445</v>
      </c>
      <c r="K2028" t="s">
        <v>446</v>
      </c>
      <c r="M2028">
        <v>2312</v>
      </c>
    </row>
    <row r="2029" spans="1:14">
      <c r="A2029">
        <v>13521000</v>
      </c>
      <c r="B2029">
        <v>3017572</v>
      </c>
      <c r="C2029" t="s">
        <v>9440</v>
      </c>
      <c r="D2029" t="s">
        <v>441</v>
      </c>
      <c r="F2029">
        <v>0</v>
      </c>
      <c r="G2029">
        <v>6.22</v>
      </c>
      <c r="H2029" t="s">
        <v>8637</v>
      </c>
      <c r="I2029">
        <v>6</v>
      </c>
      <c r="J2029" t="s">
        <v>445</v>
      </c>
      <c r="K2029" t="s">
        <v>446</v>
      </c>
      <c r="M2029">
        <v>2312</v>
      </c>
    </row>
    <row r="2030" spans="1:14">
      <c r="A2030">
        <v>13590000</v>
      </c>
      <c r="B2030">
        <v>3012476</v>
      </c>
      <c r="C2030" t="s">
        <v>1435</v>
      </c>
      <c r="D2030" t="s">
        <v>441</v>
      </c>
      <c r="F2030">
        <v>0</v>
      </c>
      <c r="G2030">
        <v>12.19</v>
      </c>
      <c r="H2030" t="s">
        <v>8580</v>
      </c>
      <c r="I2030">
        <v>6</v>
      </c>
      <c r="J2030" t="s">
        <v>445</v>
      </c>
      <c r="K2030" t="s">
        <v>446</v>
      </c>
      <c r="M2030">
        <v>2312</v>
      </c>
    </row>
    <row r="2031" spans="1:14">
      <c r="A2031">
        <v>13600000</v>
      </c>
      <c r="B2031">
        <v>3007583</v>
      </c>
      <c r="C2031" t="s">
        <v>1436</v>
      </c>
      <c r="D2031" t="s">
        <v>441</v>
      </c>
      <c r="F2031">
        <v>0</v>
      </c>
      <c r="G2031">
        <v>10.43</v>
      </c>
      <c r="H2031" t="s">
        <v>8588</v>
      </c>
      <c r="I2031">
        <v>6</v>
      </c>
      <c r="J2031" t="s">
        <v>445</v>
      </c>
      <c r="M2031">
        <v>2391</v>
      </c>
      <c r="N2031" t="s">
        <v>16054</v>
      </c>
    </row>
    <row r="2032" spans="1:14">
      <c r="A2032">
        <v>13600007</v>
      </c>
      <c r="B2032">
        <v>3024891</v>
      </c>
      <c r="C2032" t="s">
        <v>1437</v>
      </c>
      <c r="D2032" t="s">
        <v>441</v>
      </c>
      <c r="F2032">
        <v>0</v>
      </c>
      <c r="G2032">
        <v>14.71</v>
      </c>
      <c r="I2032">
        <v>6</v>
      </c>
      <c r="J2032" t="s">
        <v>445</v>
      </c>
      <c r="K2032" t="s">
        <v>446</v>
      </c>
      <c r="M2032">
        <v>3111</v>
      </c>
      <c r="N2032" t="s">
        <v>16054</v>
      </c>
    </row>
    <row r="2033" spans="1:14">
      <c r="A2033">
        <v>13600900</v>
      </c>
      <c r="B2033">
        <v>3020243</v>
      </c>
      <c r="C2033" t="s">
        <v>1438</v>
      </c>
      <c r="D2033" t="s">
        <v>441</v>
      </c>
      <c r="F2033">
        <v>0</v>
      </c>
      <c r="G2033">
        <v>0</v>
      </c>
      <c r="H2033" t="s">
        <v>8634</v>
      </c>
      <c r="I2033">
        <v>6</v>
      </c>
      <c r="J2033" t="s">
        <v>445</v>
      </c>
      <c r="M2033">
        <v>6666</v>
      </c>
      <c r="N2033" t="s">
        <v>16054</v>
      </c>
    </row>
    <row r="2034" spans="1:14">
      <c r="A2034">
        <v>13600907</v>
      </c>
      <c r="B2034">
        <v>3025151</v>
      </c>
      <c r="C2034" t="s">
        <v>1439</v>
      </c>
      <c r="D2034" t="s">
        <v>441</v>
      </c>
      <c r="F2034">
        <v>0</v>
      </c>
      <c r="G2034">
        <v>0</v>
      </c>
      <c r="H2034" t="s">
        <v>8935</v>
      </c>
      <c r="I2034">
        <v>6</v>
      </c>
      <c r="J2034" t="s">
        <v>445</v>
      </c>
      <c r="K2034" t="s">
        <v>446</v>
      </c>
      <c r="M2034">
        <v>6666</v>
      </c>
      <c r="N2034" t="s">
        <v>16054</v>
      </c>
    </row>
    <row r="2035" spans="1:14">
      <c r="A2035">
        <v>13601000</v>
      </c>
      <c r="B2035">
        <v>3017377</v>
      </c>
      <c r="C2035" t="s">
        <v>1440</v>
      </c>
      <c r="D2035" t="s">
        <v>441</v>
      </c>
      <c r="F2035">
        <v>0</v>
      </c>
      <c r="G2035">
        <v>10.43</v>
      </c>
      <c r="H2035" t="s">
        <v>8588</v>
      </c>
      <c r="I2035">
        <v>6</v>
      </c>
      <c r="J2035" t="s">
        <v>445</v>
      </c>
      <c r="M2035">
        <v>2391</v>
      </c>
      <c r="N2035" t="s">
        <v>16054</v>
      </c>
    </row>
    <row r="2036" spans="1:14">
      <c r="A2036">
        <v>13601007</v>
      </c>
      <c r="B2036">
        <v>3024892</v>
      </c>
      <c r="C2036" t="s">
        <v>1441</v>
      </c>
      <c r="D2036" t="s">
        <v>441</v>
      </c>
      <c r="F2036">
        <v>0</v>
      </c>
      <c r="G2036">
        <v>16.28</v>
      </c>
      <c r="I2036">
        <v>6</v>
      </c>
      <c r="J2036" t="s">
        <v>445</v>
      </c>
      <c r="K2036" t="s">
        <v>446</v>
      </c>
      <c r="M2036">
        <v>3111</v>
      </c>
      <c r="N2036" t="s">
        <v>16054</v>
      </c>
    </row>
    <row r="2037" spans="1:14">
      <c r="A2037">
        <v>13601900</v>
      </c>
      <c r="B2037">
        <v>3020244</v>
      </c>
      <c r="C2037" t="s">
        <v>1442</v>
      </c>
      <c r="D2037" t="s">
        <v>441</v>
      </c>
      <c r="F2037">
        <v>0</v>
      </c>
      <c r="G2037">
        <v>0</v>
      </c>
      <c r="H2037" t="s">
        <v>8634</v>
      </c>
      <c r="I2037">
        <v>6</v>
      </c>
      <c r="J2037" t="s">
        <v>445</v>
      </c>
      <c r="M2037">
        <v>6666</v>
      </c>
      <c r="N2037" t="s">
        <v>16054</v>
      </c>
    </row>
    <row r="2038" spans="1:14">
      <c r="A2038">
        <v>13601907</v>
      </c>
      <c r="B2038">
        <v>3025152</v>
      </c>
      <c r="C2038" t="s">
        <v>1443</v>
      </c>
      <c r="D2038" t="s">
        <v>441</v>
      </c>
      <c r="F2038">
        <v>0</v>
      </c>
      <c r="G2038">
        <v>0</v>
      </c>
      <c r="H2038" t="s">
        <v>8935</v>
      </c>
      <c r="I2038">
        <v>6</v>
      </c>
      <c r="J2038" t="s">
        <v>445</v>
      </c>
      <c r="M2038">
        <v>6666</v>
      </c>
      <c r="N2038" t="s">
        <v>16054</v>
      </c>
    </row>
    <row r="2039" spans="1:14">
      <c r="A2039">
        <v>13630000</v>
      </c>
      <c r="B2039">
        <v>3027275</v>
      </c>
      <c r="C2039" t="s">
        <v>1444</v>
      </c>
      <c r="D2039" t="s">
        <v>441</v>
      </c>
      <c r="F2039">
        <v>0</v>
      </c>
      <c r="G2039">
        <v>8</v>
      </c>
      <c r="H2039" t="s">
        <v>8588</v>
      </c>
      <c r="I2039">
        <v>6</v>
      </c>
      <c r="J2039" t="s">
        <v>445</v>
      </c>
      <c r="M2039">
        <v>2391</v>
      </c>
      <c r="N2039" t="s">
        <v>16047</v>
      </c>
    </row>
    <row r="2040" spans="1:14">
      <c r="A2040">
        <v>13630007</v>
      </c>
      <c r="B2040">
        <v>3028139</v>
      </c>
      <c r="C2040" t="s">
        <v>1445</v>
      </c>
      <c r="D2040" t="s">
        <v>441</v>
      </c>
      <c r="F2040">
        <v>0</v>
      </c>
      <c r="G2040">
        <v>8.11</v>
      </c>
      <c r="H2040" t="s">
        <v>8588</v>
      </c>
      <c r="I2040">
        <v>6</v>
      </c>
      <c r="J2040" t="s">
        <v>445</v>
      </c>
      <c r="M2040">
        <v>2391</v>
      </c>
      <c r="N2040" t="s">
        <v>16047</v>
      </c>
    </row>
    <row r="2041" spans="1:14">
      <c r="A2041">
        <v>13630050</v>
      </c>
      <c r="B2041">
        <v>4019658</v>
      </c>
      <c r="C2041" t="s">
        <v>1446</v>
      </c>
      <c r="D2041" t="s">
        <v>441</v>
      </c>
      <c r="F2041">
        <v>0</v>
      </c>
      <c r="G2041">
        <v>8.92</v>
      </c>
      <c r="H2041" t="s">
        <v>8588</v>
      </c>
      <c r="I2041">
        <v>16</v>
      </c>
      <c r="J2041" t="s">
        <v>462</v>
      </c>
      <c r="M2041">
        <v>7112</v>
      </c>
      <c r="N2041" t="s">
        <v>16047</v>
      </c>
    </row>
    <row r="2042" spans="1:14">
      <c r="A2042">
        <v>13630075</v>
      </c>
      <c r="B2042">
        <v>3029287</v>
      </c>
      <c r="C2042" t="s">
        <v>1447</v>
      </c>
      <c r="D2042" t="s">
        <v>441</v>
      </c>
      <c r="F2042">
        <v>0</v>
      </c>
      <c r="G2042">
        <v>8.14</v>
      </c>
      <c r="H2042" t="s">
        <v>8588</v>
      </c>
      <c r="I2042">
        <v>6</v>
      </c>
      <c r="J2042" t="s">
        <v>445</v>
      </c>
      <c r="M2042">
        <v>7112</v>
      </c>
      <c r="N2042" t="s">
        <v>16047</v>
      </c>
    </row>
    <row r="2043" spans="1:14">
      <c r="A2043">
        <v>13640000</v>
      </c>
      <c r="B2043">
        <v>3027333</v>
      </c>
      <c r="C2043" t="s">
        <v>1448</v>
      </c>
      <c r="D2043" t="s">
        <v>441</v>
      </c>
      <c r="F2043">
        <v>0</v>
      </c>
      <c r="G2043">
        <v>8</v>
      </c>
      <c r="H2043" t="s">
        <v>8588</v>
      </c>
      <c r="I2043">
        <v>6</v>
      </c>
      <c r="J2043" t="s">
        <v>445</v>
      </c>
      <c r="M2043">
        <v>2391</v>
      </c>
      <c r="N2043" t="s">
        <v>16047</v>
      </c>
    </row>
    <row r="2044" spans="1:14">
      <c r="A2044">
        <v>13640007</v>
      </c>
      <c r="B2044">
        <v>3028076</v>
      </c>
      <c r="C2044" t="s">
        <v>1449</v>
      </c>
      <c r="D2044" t="s">
        <v>441</v>
      </c>
      <c r="F2044">
        <v>0</v>
      </c>
      <c r="G2044">
        <v>8.11</v>
      </c>
      <c r="H2044" t="s">
        <v>8588</v>
      </c>
      <c r="I2044">
        <v>6</v>
      </c>
      <c r="J2044" t="s">
        <v>445</v>
      </c>
      <c r="M2044">
        <v>2391</v>
      </c>
      <c r="N2044" t="s">
        <v>16047</v>
      </c>
    </row>
    <row r="2045" spans="1:14">
      <c r="A2045">
        <v>13640040</v>
      </c>
      <c r="B2045">
        <v>4018368</v>
      </c>
      <c r="C2045" t="s">
        <v>1450</v>
      </c>
      <c r="D2045" t="s">
        <v>441</v>
      </c>
      <c r="F2045">
        <v>0</v>
      </c>
      <c r="G2045">
        <v>8.73</v>
      </c>
      <c r="H2045" t="s">
        <v>8588</v>
      </c>
      <c r="I2045">
        <v>16</v>
      </c>
      <c r="J2045" t="s">
        <v>462</v>
      </c>
      <c r="M2045">
        <v>7112</v>
      </c>
      <c r="N2045" t="s">
        <v>16047</v>
      </c>
    </row>
    <row r="2046" spans="1:14">
      <c r="A2046">
        <v>13640041</v>
      </c>
      <c r="B2046">
        <v>4020258</v>
      </c>
      <c r="C2046" t="s">
        <v>9441</v>
      </c>
      <c r="D2046" t="s">
        <v>441</v>
      </c>
      <c r="F2046">
        <v>0</v>
      </c>
      <c r="G2046">
        <v>11.69</v>
      </c>
      <c r="H2046" t="s">
        <v>8588</v>
      </c>
      <c r="I2046">
        <v>16</v>
      </c>
      <c r="J2046" t="s">
        <v>462</v>
      </c>
      <c r="K2046" t="s">
        <v>446</v>
      </c>
      <c r="M2046">
        <v>2612</v>
      </c>
      <c r="N2046" t="s">
        <v>16047</v>
      </c>
    </row>
    <row r="2047" spans="1:14">
      <c r="A2047">
        <v>13640042</v>
      </c>
      <c r="B2047">
        <v>4023135</v>
      </c>
      <c r="C2047" t="s">
        <v>1451</v>
      </c>
      <c r="D2047" t="s">
        <v>441</v>
      </c>
      <c r="F2047">
        <v>0</v>
      </c>
      <c r="G2047">
        <v>8.9</v>
      </c>
      <c r="H2047" t="s">
        <v>8588</v>
      </c>
      <c r="I2047">
        <v>16</v>
      </c>
      <c r="J2047" t="s">
        <v>462</v>
      </c>
      <c r="M2047">
        <v>7112</v>
      </c>
      <c r="N2047" t="s">
        <v>16047</v>
      </c>
    </row>
    <row r="2048" spans="1:14">
      <c r="A2048">
        <v>13640043</v>
      </c>
      <c r="B2048">
        <v>4029682</v>
      </c>
      <c r="C2048" t="s">
        <v>15467</v>
      </c>
      <c r="D2048" t="s">
        <v>441</v>
      </c>
      <c r="F2048">
        <v>0</v>
      </c>
      <c r="G2048">
        <v>15.98</v>
      </c>
      <c r="H2048" t="s">
        <v>8588</v>
      </c>
      <c r="I2048">
        <v>16</v>
      </c>
      <c r="J2048" t="s">
        <v>462</v>
      </c>
      <c r="M2048">
        <v>7112</v>
      </c>
      <c r="N2048" t="s">
        <v>16047</v>
      </c>
    </row>
    <row r="2049" spans="1:14">
      <c r="A2049">
        <v>13640044</v>
      </c>
      <c r="B2049">
        <v>4029724</v>
      </c>
      <c r="C2049" t="s">
        <v>15468</v>
      </c>
      <c r="D2049" t="s">
        <v>441</v>
      </c>
      <c r="F2049">
        <v>0</v>
      </c>
      <c r="G2049">
        <v>16.12</v>
      </c>
      <c r="H2049" t="s">
        <v>8588</v>
      </c>
      <c r="I2049">
        <v>16</v>
      </c>
      <c r="J2049" t="s">
        <v>462</v>
      </c>
      <c r="M2049">
        <v>7112</v>
      </c>
      <c r="N2049" t="s">
        <v>16047</v>
      </c>
    </row>
    <row r="2050" spans="1:14">
      <c r="A2050">
        <v>13640100</v>
      </c>
      <c r="B2050">
        <v>3036796</v>
      </c>
      <c r="C2050" t="s">
        <v>1452</v>
      </c>
      <c r="D2050" t="s">
        <v>441</v>
      </c>
      <c r="F2050">
        <v>0</v>
      </c>
      <c r="H2050" t="s">
        <v>8588</v>
      </c>
      <c r="I2050">
        <v>6</v>
      </c>
      <c r="J2050" t="s">
        <v>445</v>
      </c>
      <c r="M2050">
        <v>7161</v>
      </c>
      <c r="N2050" t="s">
        <v>16047</v>
      </c>
    </row>
    <row r="2051" spans="1:14">
      <c r="A2051">
        <v>13641000</v>
      </c>
      <c r="B2051">
        <v>3044616</v>
      </c>
      <c r="C2051" t="s">
        <v>15258</v>
      </c>
      <c r="D2051" t="s">
        <v>441</v>
      </c>
      <c r="F2051">
        <v>0</v>
      </c>
      <c r="G2051">
        <v>12.77</v>
      </c>
      <c r="H2051" t="s">
        <v>8549</v>
      </c>
      <c r="I2051">
        <v>6</v>
      </c>
      <c r="J2051" t="s">
        <v>445</v>
      </c>
      <c r="M2051">
        <v>2391</v>
      </c>
      <c r="N2051" t="s">
        <v>16047</v>
      </c>
    </row>
    <row r="2052" spans="1:14">
      <c r="A2052">
        <v>13644000</v>
      </c>
      <c r="B2052">
        <v>3035446</v>
      </c>
      <c r="C2052" t="s">
        <v>1453</v>
      </c>
      <c r="D2052" t="s">
        <v>441</v>
      </c>
      <c r="F2052">
        <v>0</v>
      </c>
      <c r="G2052">
        <v>8</v>
      </c>
      <c r="H2052" t="s">
        <v>8549</v>
      </c>
      <c r="I2052">
        <v>6</v>
      </c>
      <c r="J2052" t="s">
        <v>445</v>
      </c>
      <c r="M2052">
        <v>2391</v>
      </c>
      <c r="N2052" t="s">
        <v>16047</v>
      </c>
    </row>
    <row r="2053" spans="1:14">
      <c r="A2053">
        <v>13644007</v>
      </c>
      <c r="B2053">
        <v>3035447</v>
      </c>
      <c r="C2053" t="s">
        <v>1454</v>
      </c>
      <c r="D2053" t="s">
        <v>441</v>
      </c>
      <c r="F2053">
        <v>0</v>
      </c>
      <c r="G2053">
        <v>8.11</v>
      </c>
      <c r="H2053" t="s">
        <v>8549</v>
      </c>
      <c r="I2053">
        <v>6</v>
      </c>
      <c r="J2053" t="s">
        <v>445</v>
      </c>
      <c r="M2053">
        <v>2391</v>
      </c>
      <c r="N2053" t="s">
        <v>16047</v>
      </c>
    </row>
    <row r="2054" spans="1:14">
      <c r="A2054">
        <v>13644043</v>
      </c>
      <c r="B2054">
        <v>4028656</v>
      </c>
      <c r="C2054" t="s">
        <v>1455</v>
      </c>
      <c r="D2054" t="s">
        <v>441</v>
      </c>
      <c r="F2054">
        <v>0</v>
      </c>
      <c r="G2054">
        <v>13.9</v>
      </c>
      <c r="H2054" t="s">
        <v>8588</v>
      </c>
      <c r="I2054">
        <v>16</v>
      </c>
      <c r="J2054" t="s">
        <v>462</v>
      </c>
      <c r="M2054">
        <v>7112</v>
      </c>
      <c r="N2054" t="s">
        <v>16047</v>
      </c>
    </row>
    <row r="2055" spans="1:14">
      <c r="A2055">
        <v>13644100</v>
      </c>
      <c r="B2055">
        <v>3036829</v>
      </c>
      <c r="C2055" t="s">
        <v>1456</v>
      </c>
      <c r="D2055" t="s">
        <v>441</v>
      </c>
      <c r="F2055">
        <v>0</v>
      </c>
      <c r="H2055" t="s">
        <v>8588</v>
      </c>
      <c r="I2055">
        <v>6</v>
      </c>
      <c r="J2055" t="s">
        <v>445</v>
      </c>
      <c r="M2055">
        <v>7161</v>
      </c>
      <c r="N2055" t="s">
        <v>16047</v>
      </c>
    </row>
    <row r="2056" spans="1:14">
      <c r="A2056">
        <v>13650000</v>
      </c>
      <c r="B2056">
        <v>3015921</v>
      </c>
      <c r="C2056" t="s">
        <v>1457</v>
      </c>
      <c r="D2056" t="s">
        <v>441</v>
      </c>
      <c r="F2056">
        <v>0</v>
      </c>
      <c r="G2056">
        <v>8</v>
      </c>
      <c r="H2056" t="s">
        <v>8549</v>
      </c>
      <c r="I2056">
        <v>6</v>
      </c>
      <c r="J2056" t="s">
        <v>445</v>
      </c>
      <c r="M2056">
        <v>2391</v>
      </c>
      <c r="N2056" t="s">
        <v>16047</v>
      </c>
    </row>
    <row r="2057" spans="1:14">
      <c r="A2057">
        <v>13650007</v>
      </c>
      <c r="B2057">
        <v>3024893</v>
      </c>
      <c r="C2057" t="s">
        <v>1458</v>
      </c>
      <c r="D2057" t="s">
        <v>441</v>
      </c>
      <c r="F2057">
        <v>0</v>
      </c>
      <c r="G2057">
        <v>8.11</v>
      </c>
      <c r="H2057" t="s">
        <v>8588</v>
      </c>
      <c r="I2057">
        <v>6</v>
      </c>
      <c r="J2057" t="s">
        <v>445</v>
      </c>
      <c r="M2057">
        <v>3113</v>
      </c>
      <c r="N2057" t="s">
        <v>16047</v>
      </c>
    </row>
    <row r="2058" spans="1:14">
      <c r="A2058">
        <v>13650020</v>
      </c>
      <c r="B2058">
        <v>4007982</v>
      </c>
      <c r="C2058" t="s">
        <v>1459</v>
      </c>
      <c r="D2058" t="s">
        <v>441</v>
      </c>
      <c r="F2058">
        <v>0</v>
      </c>
      <c r="G2058">
        <v>9.9700000000000006</v>
      </c>
      <c r="H2058" t="s">
        <v>8588</v>
      </c>
      <c r="I2058">
        <v>6</v>
      </c>
      <c r="J2058" t="s">
        <v>462</v>
      </c>
      <c r="K2058" t="s">
        <v>446</v>
      </c>
      <c r="M2058">
        <v>2641</v>
      </c>
    </row>
    <row r="2059" spans="1:14">
      <c r="A2059">
        <v>13650100</v>
      </c>
      <c r="B2059">
        <v>3012687</v>
      </c>
      <c r="C2059" t="s">
        <v>1460</v>
      </c>
      <c r="D2059" t="s">
        <v>441</v>
      </c>
      <c r="F2059">
        <v>0</v>
      </c>
      <c r="H2059" t="s">
        <v>8588</v>
      </c>
      <c r="I2059">
        <v>6</v>
      </c>
      <c r="J2059" t="s">
        <v>445</v>
      </c>
      <c r="M2059">
        <v>7161</v>
      </c>
      <c r="N2059" t="s">
        <v>16047</v>
      </c>
    </row>
    <row r="2060" spans="1:14">
      <c r="A2060">
        <v>13650110</v>
      </c>
      <c r="B2060">
        <v>3033492</v>
      </c>
      <c r="C2060" t="s">
        <v>1461</v>
      </c>
      <c r="D2060" t="s">
        <v>441</v>
      </c>
      <c r="F2060">
        <v>0</v>
      </c>
      <c r="H2060" t="s">
        <v>8588</v>
      </c>
      <c r="I2060">
        <v>6</v>
      </c>
      <c r="J2060" t="s">
        <v>445</v>
      </c>
      <c r="M2060">
        <v>7161</v>
      </c>
      <c r="N2060" t="s">
        <v>16047</v>
      </c>
    </row>
    <row r="2061" spans="1:14">
      <c r="A2061">
        <v>13650120</v>
      </c>
      <c r="B2061">
        <v>3012681</v>
      </c>
      <c r="C2061" t="s">
        <v>1462</v>
      </c>
      <c r="D2061" t="s">
        <v>441</v>
      </c>
      <c r="F2061">
        <v>0</v>
      </c>
      <c r="H2061" t="s">
        <v>8588</v>
      </c>
      <c r="I2061">
        <v>6</v>
      </c>
      <c r="J2061" t="s">
        <v>445</v>
      </c>
      <c r="M2061">
        <v>7161</v>
      </c>
      <c r="N2061" t="s">
        <v>16047</v>
      </c>
    </row>
    <row r="2062" spans="1:14">
      <c r="A2062">
        <v>13650130</v>
      </c>
      <c r="B2062">
        <v>3017585</v>
      </c>
      <c r="C2062" t="s">
        <v>1463</v>
      </c>
      <c r="D2062" t="s">
        <v>441</v>
      </c>
      <c r="F2062">
        <v>0</v>
      </c>
      <c r="H2062" t="s">
        <v>8588</v>
      </c>
      <c r="I2062">
        <v>6</v>
      </c>
      <c r="J2062" t="s">
        <v>445</v>
      </c>
      <c r="M2062">
        <v>7161</v>
      </c>
      <c r="N2062" t="s">
        <v>16047</v>
      </c>
    </row>
    <row r="2063" spans="1:14">
      <c r="A2063">
        <v>13650140</v>
      </c>
      <c r="B2063">
        <v>3014367</v>
      </c>
      <c r="C2063" t="s">
        <v>1464</v>
      </c>
      <c r="D2063" t="s">
        <v>441</v>
      </c>
      <c r="F2063">
        <v>0</v>
      </c>
      <c r="H2063" t="s">
        <v>8588</v>
      </c>
      <c r="I2063">
        <v>6</v>
      </c>
      <c r="J2063" t="s">
        <v>445</v>
      </c>
      <c r="M2063">
        <v>7161</v>
      </c>
      <c r="N2063" t="s">
        <v>16047</v>
      </c>
    </row>
    <row r="2064" spans="1:14">
      <c r="A2064">
        <v>13650150</v>
      </c>
      <c r="B2064">
        <v>3031682</v>
      </c>
      <c r="C2064" t="s">
        <v>1465</v>
      </c>
      <c r="D2064" t="s">
        <v>441</v>
      </c>
      <c r="F2064">
        <v>0</v>
      </c>
      <c r="H2064" t="s">
        <v>8588</v>
      </c>
      <c r="I2064">
        <v>6</v>
      </c>
      <c r="J2064" t="s">
        <v>445</v>
      </c>
      <c r="M2064">
        <v>7161</v>
      </c>
      <c r="N2064" t="s">
        <v>16047</v>
      </c>
    </row>
    <row r="2065" spans="1:14">
      <c r="A2065">
        <v>13650900</v>
      </c>
      <c r="B2065">
        <v>3020245</v>
      </c>
      <c r="C2065" t="s">
        <v>1466</v>
      </c>
      <c r="D2065" t="s">
        <v>441</v>
      </c>
      <c r="F2065">
        <v>0</v>
      </c>
      <c r="G2065">
        <v>0</v>
      </c>
      <c r="H2065" t="s">
        <v>8634</v>
      </c>
      <c r="I2065">
        <v>6</v>
      </c>
      <c r="J2065" t="s">
        <v>445</v>
      </c>
      <c r="M2065">
        <v>6666</v>
      </c>
      <c r="N2065" t="s">
        <v>16047</v>
      </c>
    </row>
    <row r="2066" spans="1:14">
      <c r="A2066">
        <v>13650907</v>
      </c>
      <c r="B2066">
        <v>3025153</v>
      </c>
      <c r="C2066" t="s">
        <v>1467</v>
      </c>
      <c r="D2066" t="s">
        <v>441</v>
      </c>
      <c r="F2066">
        <v>0</v>
      </c>
      <c r="G2066">
        <v>0</v>
      </c>
      <c r="H2066" t="s">
        <v>8935</v>
      </c>
      <c r="I2066">
        <v>6</v>
      </c>
      <c r="J2066" t="s">
        <v>445</v>
      </c>
      <c r="M2066">
        <v>6666</v>
      </c>
      <c r="N2066" t="s">
        <v>16047</v>
      </c>
    </row>
    <row r="2067" spans="1:14">
      <c r="A2067">
        <v>13651000</v>
      </c>
      <c r="B2067">
        <v>3017755</v>
      </c>
      <c r="C2067" t="s">
        <v>1468</v>
      </c>
      <c r="D2067" t="s">
        <v>441</v>
      </c>
      <c r="F2067">
        <v>0</v>
      </c>
      <c r="G2067">
        <v>8</v>
      </c>
      <c r="H2067" t="s">
        <v>8588</v>
      </c>
      <c r="I2067">
        <v>6</v>
      </c>
      <c r="J2067" t="s">
        <v>445</v>
      </c>
      <c r="M2067">
        <v>2391</v>
      </c>
      <c r="N2067" t="s">
        <v>16047</v>
      </c>
    </row>
    <row r="2068" spans="1:14">
      <c r="A2068">
        <v>13651007</v>
      </c>
      <c r="B2068">
        <v>3024894</v>
      </c>
      <c r="C2068" t="s">
        <v>1469</v>
      </c>
      <c r="D2068" t="s">
        <v>441</v>
      </c>
      <c r="F2068">
        <v>0</v>
      </c>
      <c r="G2068">
        <v>8.11</v>
      </c>
      <c r="H2068" t="s">
        <v>8580</v>
      </c>
      <c r="I2068">
        <v>6</v>
      </c>
      <c r="J2068" t="s">
        <v>445</v>
      </c>
      <c r="M2068">
        <v>3111</v>
      </c>
      <c r="N2068" t="s">
        <v>16047</v>
      </c>
    </row>
    <row r="2069" spans="1:14">
      <c r="A2069">
        <v>13651900</v>
      </c>
      <c r="B2069">
        <v>3020246</v>
      </c>
      <c r="C2069" t="s">
        <v>1470</v>
      </c>
      <c r="D2069" t="s">
        <v>441</v>
      </c>
      <c r="F2069">
        <v>0</v>
      </c>
      <c r="G2069">
        <v>0</v>
      </c>
      <c r="H2069" t="s">
        <v>8634</v>
      </c>
      <c r="I2069">
        <v>6</v>
      </c>
      <c r="J2069" t="s">
        <v>445</v>
      </c>
      <c r="M2069">
        <v>6666</v>
      </c>
      <c r="N2069" t="s">
        <v>16047</v>
      </c>
    </row>
    <row r="2070" spans="1:14">
      <c r="A2070">
        <v>13651907</v>
      </c>
      <c r="B2070">
        <v>3025154</v>
      </c>
      <c r="C2070" t="s">
        <v>1471</v>
      </c>
      <c r="D2070" t="s">
        <v>441</v>
      </c>
      <c r="F2070">
        <v>0</v>
      </c>
      <c r="G2070">
        <v>0</v>
      </c>
      <c r="H2070" t="s">
        <v>8935</v>
      </c>
      <c r="I2070">
        <v>6</v>
      </c>
      <c r="J2070" t="s">
        <v>445</v>
      </c>
      <c r="M2070">
        <v>6666</v>
      </c>
      <c r="N2070" t="s">
        <v>16047</v>
      </c>
    </row>
    <row r="2071" spans="1:14">
      <c r="A2071">
        <v>13654000</v>
      </c>
      <c r="B2071">
        <v>3035676</v>
      </c>
      <c r="C2071" t="s">
        <v>1472</v>
      </c>
      <c r="D2071" t="s">
        <v>441</v>
      </c>
      <c r="F2071">
        <v>0</v>
      </c>
      <c r="G2071">
        <v>8</v>
      </c>
      <c r="H2071" t="s">
        <v>8549</v>
      </c>
      <c r="I2071">
        <v>6</v>
      </c>
      <c r="J2071" t="s">
        <v>445</v>
      </c>
      <c r="M2071">
        <v>2391</v>
      </c>
      <c r="N2071" t="s">
        <v>16047</v>
      </c>
    </row>
    <row r="2072" spans="1:14">
      <c r="A2072">
        <v>13654007</v>
      </c>
      <c r="B2072">
        <v>3037619</v>
      </c>
      <c r="C2072" t="s">
        <v>393</v>
      </c>
      <c r="D2072" t="s">
        <v>441</v>
      </c>
      <c r="F2072">
        <v>0</v>
      </c>
      <c r="G2072">
        <v>8.11</v>
      </c>
      <c r="H2072" t="s">
        <v>8588</v>
      </c>
      <c r="I2072">
        <v>6</v>
      </c>
      <c r="J2072" t="s">
        <v>445</v>
      </c>
      <c r="M2072">
        <v>3111</v>
      </c>
      <c r="N2072" t="s">
        <v>16047</v>
      </c>
    </row>
    <row r="2073" spans="1:14">
      <c r="A2073">
        <v>13654907</v>
      </c>
      <c r="B2073">
        <v>3037781</v>
      </c>
      <c r="C2073" t="s">
        <v>1473</v>
      </c>
      <c r="D2073" t="s">
        <v>441</v>
      </c>
      <c r="F2073">
        <v>0</v>
      </c>
      <c r="H2073" t="s">
        <v>8584</v>
      </c>
      <c r="I2073">
        <v>6</v>
      </c>
      <c r="J2073" t="s">
        <v>445</v>
      </c>
      <c r="M2073">
        <v>6666</v>
      </c>
      <c r="N2073" t="s">
        <v>16047</v>
      </c>
    </row>
    <row r="2074" spans="1:14">
      <c r="A2074">
        <v>13656000</v>
      </c>
      <c r="B2074">
        <v>3023190</v>
      </c>
      <c r="C2074" t="s">
        <v>9442</v>
      </c>
      <c r="D2074" t="s">
        <v>441</v>
      </c>
      <c r="F2074">
        <v>0</v>
      </c>
      <c r="G2074">
        <v>10.029999999999999</v>
      </c>
      <c r="H2074" t="s">
        <v>8588</v>
      </c>
      <c r="I2074">
        <v>6</v>
      </c>
      <c r="J2074" t="s">
        <v>445</v>
      </c>
      <c r="K2074" t="s">
        <v>446</v>
      </c>
      <c r="M2074">
        <v>2312</v>
      </c>
      <c r="N2074" t="s">
        <v>16047</v>
      </c>
    </row>
    <row r="2075" spans="1:14">
      <c r="A2075">
        <v>13656900</v>
      </c>
      <c r="B2075">
        <v>3023117</v>
      </c>
      <c r="C2075" t="s">
        <v>9443</v>
      </c>
      <c r="D2075" t="s">
        <v>441</v>
      </c>
      <c r="F2075">
        <v>0</v>
      </c>
      <c r="G2075">
        <v>1</v>
      </c>
      <c r="H2075" t="s">
        <v>8580</v>
      </c>
      <c r="I2075">
        <v>6</v>
      </c>
      <c r="J2075" t="s">
        <v>445</v>
      </c>
      <c r="K2075" t="s">
        <v>446</v>
      </c>
      <c r="M2075">
        <v>6666</v>
      </c>
      <c r="N2075" t="s">
        <v>16047</v>
      </c>
    </row>
    <row r="2076" spans="1:14">
      <c r="A2076">
        <v>13657000</v>
      </c>
      <c r="B2076">
        <v>3019892</v>
      </c>
      <c r="C2076" t="s">
        <v>9444</v>
      </c>
      <c r="D2076" t="s">
        <v>441</v>
      </c>
      <c r="F2076">
        <v>0</v>
      </c>
      <c r="G2076">
        <v>10.1</v>
      </c>
      <c r="H2076" t="s">
        <v>8588</v>
      </c>
      <c r="I2076">
        <v>6</v>
      </c>
      <c r="J2076" t="s">
        <v>445</v>
      </c>
      <c r="K2076" t="s">
        <v>446</v>
      </c>
      <c r="M2076">
        <v>2312</v>
      </c>
    </row>
    <row r="2077" spans="1:14">
      <c r="A2077">
        <v>13657900</v>
      </c>
      <c r="B2077">
        <v>3020877</v>
      </c>
      <c r="C2077" t="s">
        <v>9445</v>
      </c>
      <c r="D2077" t="s">
        <v>441</v>
      </c>
      <c r="F2077">
        <v>0</v>
      </c>
      <c r="G2077">
        <v>8.17</v>
      </c>
      <c r="H2077" t="s">
        <v>8634</v>
      </c>
      <c r="I2077">
        <v>6</v>
      </c>
      <c r="J2077" t="s">
        <v>445</v>
      </c>
      <c r="K2077" t="s">
        <v>446</v>
      </c>
      <c r="M2077">
        <v>6666</v>
      </c>
    </row>
    <row r="2078" spans="1:14">
      <c r="A2078">
        <v>13658000</v>
      </c>
      <c r="B2078">
        <v>3019893</v>
      </c>
      <c r="C2078" t="s">
        <v>9446</v>
      </c>
      <c r="D2078" t="s">
        <v>441</v>
      </c>
      <c r="F2078">
        <v>0</v>
      </c>
      <c r="G2078">
        <v>10.1</v>
      </c>
      <c r="H2078" t="s">
        <v>8588</v>
      </c>
      <c r="I2078">
        <v>6</v>
      </c>
      <c r="J2078" t="s">
        <v>445</v>
      </c>
      <c r="K2078" t="s">
        <v>446</v>
      </c>
      <c r="M2078">
        <v>2312</v>
      </c>
    </row>
    <row r="2079" spans="1:14">
      <c r="A2079">
        <v>13658900</v>
      </c>
      <c r="B2079">
        <v>3020878</v>
      </c>
      <c r="C2079" t="s">
        <v>9447</v>
      </c>
      <c r="D2079" t="s">
        <v>441</v>
      </c>
      <c r="F2079">
        <v>0</v>
      </c>
      <c r="G2079">
        <v>8.17</v>
      </c>
      <c r="H2079" t="s">
        <v>8634</v>
      </c>
      <c r="I2079">
        <v>6</v>
      </c>
      <c r="J2079" t="s">
        <v>445</v>
      </c>
      <c r="K2079" t="s">
        <v>446</v>
      </c>
      <c r="M2079">
        <v>6666</v>
      </c>
    </row>
    <row r="2080" spans="1:14">
      <c r="A2080">
        <v>13659000</v>
      </c>
      <c r="B2080">
        <v>3019014</v>
      </c>
      <c r="C2080" t="s">
        <v>1474</v>
      </c>
      <c r="D2080" t="s">
        <v>441</v>
      </c>
      <c r="F2080">
        <v>0</v>
      </c>
      <c r="G2080">
        <v>8</v>
      </c>
      <c r="H2080" t="s">
        <v>8588</v>
      </c>
      <c r="I2080">
        <v>2</v>
      </c>
      <c r="J2080" t="s">
        <v>445</v>
      </c>
      <c r="M2080">
        <v>3111</v>
      </c>
      <c r="N2080" t="s">
        <v>16047</v>
      </c>
    </row>
    <row r="2081" spans="1:14">
      <c r="A2081">
        <v>13659900</v>
      </c>
      <c r="B2081">
        <v>3020247</v>
      </c>
      <c r="C2081" t="s">
        <v>1475</v>
      </c>
      <c r="D2081" t="s">
        <v>441</v>
      </c>
      <c r="F2081">
        <v>0</v>
      </c>
      <c r="H2081" t="s">
        <v>8634</v>
      </c>
      <c r="I2081">
        <v>2</v>
      </c>
      <c r="J2081" t="s">
        <v>445</v>
      </c>
      <c r="M2081">
        <v>6666</v>
      </c>
      <c r="N2081" t="s">
        <v>16047</v>
      </c>
    </row>
    <row r="2082" spans="1:14">
      <c r="A2082">
        <v>13660000</v>
      </c>
      <c r="B2082">
        <v>3004399</v>
      </c>
      <c r="C2082" t="s">
        <v>1476</v>
      </c>
      <c r="D2082" t="s">
        <v>441</v>
      </c>
      <c r="F2082">
        <v>0</v>
      </c>
      <c r="G2082">
        <v>9.52</v>
      </c>
      <c r="I2082">
        <v>6</v>
      </c>
      <c r="J2082" t="s">
        <v>445</v>
      </c>
      <c r="K2082" t="s">
        <v>446</v>
      </c>
      <c r="M2082">
        <v>0</v>
      </c>
    </row>
    <row r="2083" spans="1:14">
      <c r="A2083">
        <v>13661000</v>
      </c>
      <c r="B2083">
        <v>3009250</v>
      </c>
      <c r="C2083" t="s">
        <v>1477</v>
      </c>
      <c r="D2083" t="s">
        <v>441</v>
      </c>
      <c r="F2083">
        <v>0</v>
      </c>
      <c r="G2083">
        <v>9.52</v>
      </c>
      <c r="H2083" t="s">
        <v>8580</v>
      </c>
      <c r="I2083">
        <v>6</v>
      </c>
      <c r="J2083" t="s">
        <v>445</v>
      </c>
      <c r="K2083" t="s">
        <v>446</v>
      </c>
      <c r="M2083">
        <v>2312</v>
      </c>
    </row>
    <row r="2084" spans="1:14">
      <c r="A2084">
        <v>13670000</v>
      </c>
      <c r="B2084">
        <v>3004400</v>
      </c>
      <c r="C2084" t="s">
        <v>1478</v>
      </c>
      <c r="D2084" t="s">
        <v>441</v>
      </c>
      <c r="F2084">
        <v>0</v>
      </c>
      <c r="G2084">
        <v>8.49</v>
      </c>
      <c r="H2084" t="s">
        <v>8580</v>
      </c>
      <c r="I2084">
        <v>6</v>
      </c>
      <c r="J2084" t="s">
        <v>445</v>
      </c>
      <c r="K2084" t="s">
        <v>446</v>
      </c>
      <c r="M2084">
        <v>0</v>
      </c>
    </row>
    <row r="2085" spans="1:14">
      <c r="A2085">
        <v>13671000</v>
      </c>
      <c r="B2085">
        <v>3009247</v>
      </c>
      <c r="C2085" t="s">
        <v>1479</v>
      </c>
      <c r="D2085" t="s">
        <v>441</v>
      </c>
      <c r="F2085">
        <v>0</v>
      </c>
      <c r="G2085">
        <v>8.49</v>
      </c>
      <c r="I2085">
        <v>6</v>
      </c>
      <c r="J2085" t="s">
        <v>445</v>
      </c>
      <c r="K2085" t="s">
        <v>446</v>
      </c>
      <c r="M2085">
        <v>2312</v>
      </c>
    </row>
    <row r="2086" spans="1:14">
      <c r="A2086">
        <v>13690000</v>
      </c>
      <c r="B2086">
        <v>3004397</v>
      </c>
      <c r="C2086" t="s">
        <v>1480</v>
      </c>
      <c r="D2086" t="s">
        <v>441</v>
      </c>
      <c r="F2086">
        <v>0</v>
      </c>
      <c r="G2086">
        <v>9.59</v>
      </c>
      <c r="I2086">
        <v>6</v>
      </c>
      <c r="J2086" t="s">
        <v>445</v>
      </c>
      <c r="K2086" t="s">
        <v>446</v>
      </c>
      <c r="M2086">
        <v>0</v>
      </c>
    </row>
    <row r="2087" spans="1:14">
      <c r="A2087">
        <v>13691000</v>
      </c>
      <c r="B2087">
        <v>3009246</v>
      </c>
      <c r="C2087" t="s">
        <v>1481</v>
      </c>
      <c r="D2087" t="s">
        <v>441</v>
      </c>
      <c r="F2087">
        <v>0</v>
      </c>
      <c r="G2087">
        <v>9.59</v>
      </c>
      <c r="I2087">
        <v>6</v>
      </c>
      <c r="J2087" t="s">
        <v>445</v>
      </c>
      <c r="K2087" t="s">
        <v>446</v>
      </c>
      <c r="M2087">
        <v>2312</v>
      </c>
    </row>
    <row r="2088" spans="1:14">
      <c r="A2088">
        <v>13700000</v>
      </c>
      <c r="B2088">
        <v>3005992</v>
      </c>
      <c r="C2088" t="s">
        <v>1482</v>
      </c>
      <c r="D2088" t="s">
        <v>441</v>
      </c>
      <c r="F2088">
        <v>0</v>
      </c>
      <c r="G2088">
        <v>10.48</v>
      </c>
      <c r="H2088" t="s">
        <v>8584</v>
      </c>
      <c r="I2088">
        <v>6</v>
      </c>
      <c r="J2088" t="s">
        <v>445</v>
      </c>
      <c r="K2088" t="s">
        <v>446</v>
      </c>
      <c r="M2088">
        <v>0</v>
      </c>
    </row>
    <row r="2089" spans="1:14">
      <c r="A2089">
        <v>13720000</v>
      </c>
      <c r="B2089">
        <v>3005916</v>
      </c>
      <c r="C2089" t="s">
        <v>9448</v>
      </c>
      <c r="D2089" t="s">
        <v>441</v>
      </c>
      <c r="F2089">
        <v>0</v>
      </c>
      <c r="G2089">
        <v>13.59</v>
      </c>
      <c r="H2089" t="s">
        <v>8588</v>
      </c>
      <c r="I2089">
        <v>6</v>
      </c>
      <c r="J2089" t="s">
        <v>445</v>
      </c>
      <c r="K2089" t="s">
        <v>446</v>
      </c>
      <c r="M2089">
        <v>0</v>
      </c>
      <c r="N2089" t="s">
        <v>16057</v>
      </c>
    </row>
    <row r="2090" spans="1:14">
      <c r="A2090">
        <v>13720900</v>
      </c>
      <c r="B2090">
        <v>3020248</v>
      </c>
      <c r="C2090" t="s">
        <v>9449</v>
      </c>
      <c r="D2090" t="s">
        <v>441</v>
      </c>
      <c r="F2090">
        <v>0</v>
      </c>
      <c r="G2090">
        <v>9.84</v>
      </c>
      <c r="H2090" t="s">
        <v>8634</v>
      </c>
      <c r="I2090">
        <v>6</v>
      </c>
      <c r="J2090" t="s">
        <v>445</v>
      </c>
      <c r="K2090" t="s">
        <v>446</v>
      </c>
      <c r="M2090">
        <v>6666</v>
      </c>
      <c r="N2090" t="s">
        <v>16057</v>
      </c>
    </row>
    <row r="2091" spans="1:14">
      <c r="A2091">
        <v>13730000</v>
      </c>
      <c r="B2091">
        <v>3005959</v>
      </c>
      <c r="C2091" t="s">
        <v>1483</v>
      </c>
      <c r="D2091" t="s">
        <v>441</v>
      </c>
      <c r="F2091">
        <v>0</v>
      </c>
      <c r="G2091">
        <v>9.92</v>
      </c>
      <c r="H2091" t="s">
        <v>8580</v>
      </c>
      <c r="I2091">
        <v>6</v>
      </c>
      <c r="J2091" t="s">
        <v>445</v>
      </c>
      <c r="K2091" t="s">
        <v>446</v>
      </c>
      <c r="M2091">
        <v>0</v>
      </c>
    </row>
    <row r="2092" spans="1:14">
      <c r="A2092">
        <v>13740000</v>
      </c>
      <c r="B2092">
        <v>3008853</v>
      </c>
      <c r="C2092" t="s">
        <v>1484</v>
      </c>
      <c r="D2092" t="s">
        <v>441</v>
      </c>
      <c r="F2092">
        <v>0</v>
      </c>
      <c r="G2092">
        <v>8.61</v>
      </c>
      <c r="H2092" t="s">
        <v>8580</v>
      </c>
      <c r="I2092">
        <v>6</v>
      </c>
      <c r="J2092" t="s">
        <v>445</v>
      </c>
      <c r="K2092" t="s">
        <v>446</v>
      </c>
      <c r="M2092">
        <v>0</v>
      </c>
    </row>
    <row r="2093" spans="1:14">
      <c r="A2093">
        <v>13930000</v>
      </c>
      <c r="B2093">
        <v>3005934</v>
      </c>
      <c r="C2093" t="s">
        <v>1485</v>
      </c>
      <c r="D2093" t="s">
        <v>441</v>
      </c>
      <c r="F2093">
        <v>0</v>
      </c>
      <c r="G2093">
        <v>10.63</v>
      </c>
      <c r="H2093" t="s">
        <v>8584</v>
      </c>
      <c r="I2093">
        <v>6</v>
      </c>
      <c r="J2093" t="s">
        <v>445</v>
      </c>
      <c r="K2093" t="s">
        <v>446</v>
      </c>
      <c r="M2093">
        <v>2390</v>
      </c>
    </row>
    <row r="2094" spans="1:14">
      <c r="A2094">
        <v>13930002</v>
      </c>
      <c r="B2094">
        <v>3007586</v>
      </c>
      <c r="C2094" t="s">
        <v>1486</v>
      </c>
      <c r="D2094" t="s">
        <v>441</v>
      </c>
      <c r="F2094">
        <v>0</v>
      </c>
      <c r="G2094">
        <v>14.06</v>
      </c>
      <c r="H2094" t="s">
        <v>8580</v>
      </c>
      <c r="I2094">
        <v>365</v>
      </c>
      <c r="J2094" t="s">
        <v>445</v>
      </c>
      <c r="K2094" t="s">
        <v>446</v>
      </c>
      <c r="M2094">
        <v>2501</v>
      </c>
      <c r="N2094" t="s">
        <v>16057</v>
      </c>
    </row>
    <row r="2095" spans="1:14">
      <c r="A2095">
        <v>13930041</v>
      </c>
      <c r="B2095">
        <v>4009639</v>
      </c>
      <c r="C2095" t="s">
        <v>9450</v>
      </c>
      <c r="D2095" t="s">
        <v>441</v>
      </c>
      <c r="F2095">
        <v>0</v>
      </c>
      <c r="G2095">
        <v>1</v>
      </c>
      <c r="H2095" t="s">
        <v>8588</v>
      </c>
      <c r="I2095">
        <v>11</v>
      </c>
      <c r="J2095" t="s">
        <v>462</v>
      </c>
      <c r="K2095" t="s">
        <v>446</v>
      </c>
      <c r="M2095">
        <v>2612</v>
      </c>
    </row>
    <row r="2096" spans="1:14">
      <c r="A2096">
        <v>13930042</v>
      </c>
      <c r="B2096">
        <v>3011946</v>
      </c>
      <c r="C2096" t="s">
        <v>9451</v>
      </c>
      <c r="D2096" t="s">
        <v>441</v>
      </c>
      <c r="F2096">
        <v>0</v>
      </c>
      <c r="G2096">
        <v>14.07</v>
      </c>
      <c r="H2096" t="s">
        <v>8588</v>
      </c>
      <c r="I2096">
        <v>6</v>
      </c>
      <c r="J2096" t="s">
        <v>445</v>
      </c>
      <c r="K2096" t="s">
        <v>446</v>
      </c>
      <c r="M2096">
        <v>2612</v>
      </c>
      <c r="N2096" t="s">
        <v>16057</v>
      </c>
    </row>
    <row r="2097" spans="1:14">
      <c r="A2097">
        <v>13930100</v>
      </c>
      <c r="B2097">
        <v>3007587</v>
      </c>
      <c r="C2097" t="s">
        <v>1487</v>
      </c>
      <c r="D2097" t="s">
        <v>441</v>
      </c>
      <c r="F2097">
        <v>0</v>
      </c>
      <c r="H2097" t="s">
        <v>8580</v>
      </c>
      <c r="I2097">
        <v>0</v>
      </c>
      <c r="J2097" t="s">
        <v>445</v>
      </c>
      <c r="K2097" t="s">
        <v>446</v>
      </c>
      <c r="M2097">
        <v>0</v>
      </c>
      <c r="N2097" t="s">
        <v>16057</v>
      </c>
    </row>
    <row r="2098" spans="1:14">
      <c r="A2098">
        <v>13930102</v>
      </c>
      <c r="B2098">
        <v>3007588</v>
      </c>
      <c r="C2098" t="s">
        <v>1488</v>
      </c>
      <c r="D2098" t="s">
        <v>441</v>
      </c>
      <c r="F2098">
        <v>0</v>
      </c>
      <c r="H2098" t="s">
        <v>8580</v>
      </c>
      <c r="I2098">
        <v>9</v>
      </c>
      <c r="J2098" t="s">
        <v>445</v>
      </c>
      <c r="K2098" t="s">
        <v>446</v>
      </c>
      <c r="M2098">
        <v>0</v>
      </c>
      <c r="N2098" t="s">
        <v>16057</v>
      </c>
    </row>
    <row r="2099" spans="1:14">
      <c r="A2099">
        <v>13930120</v>
      </c>
      <c r="B2099">
        <v>3005548</v>
      </c>
      <c r="C2099" t="s">
        <v>1489</v>
      </c>
      <c r="D2099" t="s">
        <v>441</v>
      </c>
      <c r="F2099">
        <v>0</v>
      </c>
      <c r="H2099" t="s">
        <v>8588</v>
      </c>
      <c r="I2099">
        <v>6</v>
      </c>
      <c r="J2099" t="s">
        <v>445</v>
      </c>
      <c r="K2099" t="s">
        <v>446</v>
      </c>
      <c r="M2099">
        <v>7161</v>
      </c>
    </row>
    <row r="2100" spans="1:14">
      <c r="A2100">
        <v>13930130</v>
      </c>
      <c r="B2100">
        <v>3012617</v>
      </c>
      <c r="C2100" t="s">
        <v>1490</v>
      </c>
      <c r="D2100" t="s">
        <v>441</v>
      </c>
      <c r="F2100">
        <v>0</v>
      </c>
      <c r="H2100" t="s">
        <v>8588</v>
      </c>
      <c r="I2100">
        <v>6</v>
      </c>
      <c r="J2100" t="s">
        <v>445</v>
      </c>
      <c r="K2100" t="s">
        <v>446</v>
      </c>
      <c r="M2100">
        <v>3741</v>
      </c>
      <c r="N2100" t="s">
        <v>16057</v>
      </c>
    </row>
    <row r="2101" spans="1:14">
      <c r="A2101">
        <v>13930140</v>
      </c>
      <c r="B2101">
        <v>3017534</v>
      </c>
      <c r="C2101" t="s">
        <v>9452</v>
      </c>
      <c r="D2101" t="s">
        <v>441</v>
      </c>
      <c r="F2101">
        <v>0</v>
      </c>
      <c r="G2101">
        <v>10.050000000000001</v>
      </c>
      <c r="H2101" t="s">
        <v>8588</v>
      </c>
      <c r="I2101">
        <v>6</v>
      </c>
      <c r="J2101" t="s">
        <v>445</v>
      </c>
      <c r="K2101" t="s">
        <v>446</v>
      </c>
      <c r="M2101">
        <v>3741</v>
      </c>
      <c r="N2101" t="s">
        <v>16057</v>
      </c>
    </row>
    <row r="2102" spans="1:14">
      <c r="A2102">
        <v>13930502</v>
      </c>
      <c r="B2102">
        <v>3007590</v>
      </c>
      <c r="C2102" t="s">
        <v>1491</v>
      </c>
      <c r="D2102" t="s">
        <v>441</v>
      </c>
      <c r="F2102">
        <v>0</v>
      </c>
      <c r="G2102">
        <v>13.79</v>
      </c>
      <c r="H2102" t="s">
        <v>8580</v>
      </c>
      <c r="I2102">
        <v>6</v>
      </c>
      <c r="J2102" t="s">
        <v>445</v>
      </c>
      <c r="K2102" t="s">
        <v>446</v>
      </c>
      <c r="M2102">
        <v>2641</v>
      </c>
      <c r="N2102" t="s">
        <v>16057</v>
      </c>
    </row>
    <row r="2103" spans="1:14">
      <c r="A2103">
        <v>13930602</v>
      </c>
      <c r="B2103">
        <v>3007591</v>
      </c>
      <c r="C2103" t="s">
        <v>1492</v>
      </c>
      <c r="D2103" t="s">
        <v>441</v>
      </c>
      <c r="F2103">
        <v>0</v>
      </c>
      <c r="G2103">
        <v>14.91</v>
      </c>
      <c r="H2103" t="s">
        <v>8588</v>
      </c>
      <c r="I2103">
        <v>4</v>
      </c>
      <c r="J2103" t="s">
        <v>445</v>
      </c>
      <c r="K2103" t="s">
        <v>446</v>
      </c>
      <c r="M2103">
        <v>2511</v>
      </c>
      <c r="N2103" t="s">
        <v>16057</v>
      </c>
    </row>
    <row r="2104" spans="1:14">
      <c r="A2104">
        <v>13930902</v>
      </c>
      <c r="B2104">
        <v>3020249</v>
      </c>
      <c r="C2104" t="s">
        <v>1493</v>
      </c>
      <c r="D2104" t="s">
        <v>441</v>
      </c>
      <c r="F2104">
        <v>0</v>
      </c>
      <c r="G2104">
        <v>10.84</v>
      </c>
      <c r="H2104" t="s">
        <v>8634</v>
      </c>
      <c r="I2104">
        <v>4</v>
      </c>
      <c r="J2104" t="s">
        <v>445</v>
      </c>
      <c r="K2104" t="s">
        <v>446</v>
      </c>
      <c r="M2104">
        <v>6666</v>
      </c>
      <c r="N2104" t="s">
        <v>16057</v>
      </c>
    </row>
    <row r="2105" spans="1:14">
      <c r="A2105">
        <v>13931042</v>
      </c>
      <c r="B2105">
        <v>3017491</v>
      </c>
      <c r="C2105" t="s">
        <v>9453</v>
      </c>
      <c r="D2105" t="s">
        <v>441</v>
      </c>
      <c r="F2105">
        <v>0</v>
      </c>
      <c r="G2105">
        <v>10.58</v>
      </c>
      <c r="H2105" t="s">
        <v>8580</v>
      </c>
      <c r="I2105">
        <v>6</v>
      </c>
      <c r="J2105" t="s">
        <v>445</v>
      </c>
      <c r="K2105" t="s">
        <v>446</v>
      </c>
      <c r="M2105">
        <v>2612</v>
      </c>
    </row>
    <row r="2106" spans="1:14">
      <c r="A2106">
        <v>13940000</v>
      </c>
      <c r="B2106">
        <v>3007592</v>
      </c>
      <c r="C2106" t="s">
        <v>1494</v>
      </c>
      <c r="D2106" t="s">
        <v>441</v>
      </c>
      <c r="F2106">
        <v>0</v>
      </c>
      <c r="G2106">
        <v>9.3699999999999992</v>
      </c>
      <c r="H2106" t="s">
        <v>8580</v>
      </c>
      <c r="I2106">
        <v>6</v>
      </c>
      <c r="J2106" t="s">
        <v>445</v>
      </c>
      <c r="M2106">
        <v>2391</v>
      </c>
      <c r="N2106" t="s">
        <v>16049</v>
      </c>
    </row>
    <row r="2107" spans="1:14">
      <c r="A2107">
        <v>13940007</v>
      </c>
      <c r="B2107">
        <v>3024895</v>
      </c>
      <c r="C2107" t="s">
        <v>1495</v>
      </c>
      <c r="D2107" t="s">
        <v>441</v>
      </c>
      <c r="F2107">
        <v>0</v>
      </c>
      <c r="G2107">
        <v>9.49</v>
      </c>
      <c r="H2107" t="s">
        <v>8580</v>
      </c>
      <c r="I2107">
        <v>6</v>
      </c>
      <c r="J2107" t="s">
        <v>445</v>
      </c>
      <c r="M2107">
        <v>3111</v>
      </c>
      <c r="N2107" t="s">
        <v>16049</v>
      </c>
    </row>
    <row r="2108" spans="1:14">
      <c r="A2108">
        <v>13940907</v>
      </c>
      <c r="B2108">
        <v>3025155</v>
      </c>
      <c r="C2108" t="s">
        <v>1496</v>
      </c>
      <c r="D2108" t="s">
        <v>441</v>
      </c>
      <c r="F2108">
        <v>0</v>
      </c>
      <c r="G2108">
        <v>0</v>
      </c>
      <c r="H2108" t="s">
        <v>8935</v>
      </c>
      <c r="I2108">
        <v>6</v>
      </c>
      <c r="J2108" t="s">
        <v>445</v>
      </c>
      <c r="M2108">
        <v>6666</v>
      </c>
      <c r="N2108" t="s">
        <v>16049</v>
      </c>
    </row>
    <row r="2109" spans="1:14">
      <c r="A2109">
        <v>13941000</v>
      </c>
      <c r="B2109">
        <v>3017378</v>
      </c>
      <c r="C2109" t="s">
        <v>1497</v>
      </c>
      <c r="D2109" t="s">
        <v>441</v>
      </c>
      <c r="F2109">
        <v>0</v>
      </c>
      <c r="G2109">
        <v>9.3699999999999992</v>
      </c>
      <c r="H2109" t="s">
        <v>8580</v>
      </c>
      <c r="I2109">
        <v>6</v>
      </c>
      <c r="J2109" t="s">
        <v>445</v>
      </c>
      <c r="M2109">
        <v>2391</v>
      </c>
      <c r="N2109" t="s">
        <v>16049</v>
      </c>
    </row>
    <row r="2110" spans="1:14">
      <c r="A2110">
        <v>13941007</v>
      </c>
      <c r="B2110">
        <v>3024896</v>
      </c>
      <c r="C2110" t="s">
        <v>9454</v>
      </c>
      <c r="D2110" t="s">
        <v>441</v>
      </c>
      <c r="F2110">
        <v>0</v>
      </c>
      <c r="G2110">
        <v>13.77</v>
      </c>
      <c r="H2110" t="s">
        <v>8580</v>
      </c>
      <c r="I2110">
        <v>6</v>
      </c>
      <c r="J2110" t="s">
        <v>445</v>
      </c>
      <c r="K2110" t="s">
        <v>446</v>
      </c>
      <c r="M2110">
        <v>3111</v>
      </c>
      <c r="N2110" t="s">
        <v>16049</v>
      </c>
    </row>
    <row r="2111" spans="1:14">
      <c r="A2111">
        <v>13941907</v>
      </c>
      <c r="B2111">
        <v>3025156</v>
      </c>
      <c r="C2111" t="s">
        <v>9455</v>
      </c>
      <c r="D2111" t="s">
        <v>441</v>
      </c>
      <c r="F2111">
        <v>0</v>
      </c>
      <c r="G2111">
        <v>0</v>
      </c>
      <c r="H2111" t="s">
        <v>8935</v>
      </c>
      <c r="I2111">
        <v>6</v>
      </c>
      <c r="J2111" t="s">
        <v>445</v>
      </c>
      <c r="K2111" t="s">
        <v>446</v>
      </c>
      <c r="M2111">
        <v>6666</v>
      </c>
      <c r="N2111" t="s">
        <v>16049</v>
      </c>
    </row>
    <row r="2112" spans="1:14">
      <c r="A2112">
        <v>14240000</v>
      </c>
      <c r="B2112">
        <v>3012389</v>
      </c>
      <c r="C2112" t="s">
        <v>1498</v>
      </c>
      <c r="D2112" t="s">
        <v>441</v>
      </c>
      <c r="F2112">
        <v>0</v>
      </c>
      <c r="G2112">
        <v>10.15</v>
      </c>
      <c r="I2112">
        <v>6</v>
      </c>
      <c r="J2112" t="s">
        <v>445</v>
      </c>
      <c r="K2112" t="s">
        <v>446</v>
      </c>
      <c r="M2112">
        <v>2390</v>
      </c>
    </row>
    <row r="2113" spans="1:14">
      <c r="A2113">
        <v>14240050</v>
      </c>
      <c r="B2113">
        <v>4009996</v>
      </c>
      <c r="C2113" t="s">
        <v>15576</v>
      </c>
      <c r="D2113" t="s">
        <v>441</v>
      </c>
      <c r="F2113">
        <v>0</v>
      </c>
      <c r="G2113">
        <v>18.32</v>
      </c>
      <c r="H2113" t="s">
        <v>8588</v>
      </c>
      <c r="I2113">
        <v>16</v>
      </c>
      <c r="J2113" t="s">
        <v>462</v>
      </c>
      <c r="M2113">
        <v>7112</v>
      </c>
      <c r="N2113" t="s">
        <v>16058</v>
      </c>
    </row>
    <row r="2114" spans="1:14">
      <c r="A2114">
        <v>14240051</v>
      </c>
      <c r="B2114">
        <v>4010546</v>
      </c>
      <c r="C2114" t="s">
        <v>9456</v>
      </c>
      <c r="D2114" t="s">
        <v>441</v>
      </c>
      <c r="F2114">
        <v>0</v>
      </c>
      <c r="G2114">
        <v>12.74</v>
      </c>
      <c r="H2114" t="s">
        <v>8588</v>
      </c>
      <c r="I2114">
        <v>16</v>
      </c>
      <c r="J2114" t="s">
        <v>462</v>
      </c>
      <c r="K2114" t="s">
        <v>446</v>
      </c>
      <c r="M2114">
        <v>2612</v>
      </c>
    </row>
    <row r="2115" spans="1:14">
      <c r="A2115">
        <v>14241050</v>
      </c>
      <c r="B2115">
        <v>4012014</v>
      </c>
      <c r="C2115" t="s">
        <v>9457</v>
      </c>
      <c r="D2115" t="s">
        <v>441</v>
      </c>
      <c r="F2115">
        <v>0</v>
      </c>
      <c r="G2115">
        <v>11.56</v>
      </c>
      <c r="H2115" t="s">
        <v>8588</v>
      </c>
      <c r="I2115">
        <v>16</v>
      </c>
      <c r="J2115" t="s">
        <v>462</v>
      </c>
      <c r="K2115" t="s">
        <v>446</v>
      </c>
      <c r="M2115">
        <v>2612</v>
      </c>
    </row>
    <row r="2116" spans="1:14">
      <c r="A2116">
        <v>14250000</v>
      </c>
      <c r="B2116">
        <v>3004415</v>
      </c>
      <c r="C2116" t="s">
        <v>9458</v>
      </c>
      <c r="D2116" t="s">
        <v>441</v>
      </c>
      <c r="F2116">
        <v>0</v>
      </c>
      <c r="G2116">
        <v>8.4600000000000009</v>
      </c>
      <c r="I2116">
        <v>6</v>
      </c>
      <c r="J2116" t="s">
        <v>445</v>
      </c>
      <c r="K2116" t="s">
        <v>446</v>
      </c>
      <c r="M2116">
        <v>2390</v>
      </c>
    </row>
    <row r="2117" spans="1:14">
      <c r="A2117">
        <v>14250020</v>
      </c>
      <c r="B2117">
        <v>4010622</v>
      </c>
      <c r="C2117" t="s">
        <v>9459</v>
      </c>
      <c r="D2117" t="s">
        <v>441</v>
      </c>
      <c r="F2117">
        <v>0</v>
      </c>
      <c r="G2117">
        <v>8.48</v>
      </c>
      <c r="H2117" t="s">
        <v>8588</v>
      </c>
      <c r="I2117">
        <v>6</v>
      </c>
      <c r="J2117" t="s">
        <v>462</v>
      </c>
      <c r="K2117" t="s">
        <v>446</v>
      </c>
      <c r="M2117">
        <v>2641</v>
      </c>
      <c r="N2117" t="s">
        <v>16059</v>
      </c>
    </row>
    <row r="2118" spans="1:14">
      <c r="A2118">
        <v>14250037</v>
      </c>
      <c r="B2118">
        <v>4003803</v>
      </c>
      <c r="C2118" t="s">
        <v>9460</v>
      </c>
      <c r="D2118" t="s">
        <v>442</v>
      </c>
      <c r="E2118" t="s">
        <v>441</v>
      </c>
      <c r="F2118">
        <v>1</v>
      </c>
      <c r="G2118">
        <v>8.59</v>
      </c>
      <c r="H2118" t="s">
        <v>8588</v>
      </c>
      <c r="I2118">
        <v>12</v>
      </c>
      <c r="J2118" t="s">
        <v>462</v>
      </c>
      <c r="K2118" t="s">
        <v>446</v>
      </c>
      <c r="M2118">
        <v>2611</v>
      </c>
    </row>
    <row r="2119" spans="1:14">
      <c r="A2119">
        <v>14250075</v>
      </c>
      <c r="B2119">
        <v>4009898</v>
      </c>
      <c r="C2119" t="s">
        <v>9461</v>
      </c>
      <c r="D2119" t="s">
        <v>441</v>
      </c>
      <c r="F2119">
        <v>0</v>
      </c>
      <c r="G2119">
        <v>9.3000000000000007</v>
      </c>
      <c r="H2119" t="s">
        <v>8588</v>
      </c>
      <c r="I2119">
        <v>6</v>
      </c>
      <c r="J2119" t="s">
        <v>462</v>
      </c>
      <c r="M2119">
        <v>2641</v>
      </c>
    </row>
    <row r="2120" spans="1:14">
      <c r="A2120">
        <v>14251020</v>
      </c>
      <c r="B2120">
        <v>4012063</v>
      </c>
      <c r="C2120" t="s">
        <v>9462</v>
      </c>
      <c r="D2120" t="s">
        <v>441</v>
      </c>
      <c r="F2120">
        <v>0</v>
      </c>
      <c r="G2120">
        <v>11.39</v>
      </c>
      <c r="H2120" t="s">
        <v>8588</v>
      </c>
      <c r="I2120">
        <v>6</v>
      </c>
      <c r="J2120" t="s">
        <v>462</v>
      </c>
      <c r="K2120" t="s">
        <v>446</v>
      </c>
      <c r="M2120">
        <v>2641</v>
      </c>
      <c r="N2120" t="s">
        <v>16059</v>
      </c>
    </row>
    <row r="2121" spans="1:14">
      <c r="A2121">
        <v>14251021</v>
      </c>
      <c r="B2121">
        <v>4011989</v>
      </c>
      <c r="C2121" t="s">
        <v>9463</v>
      </c>
      <c r="D2121" t="s">
        <v>441</v>
      </c>
      <c r="F2121">
        <v>0</v>
      </c>
      <c r="G2121">
        <v>11.27</v>
      </c>
      <c r="H2121" t="s">
        <v>8588</v>
      </c>
      <c r="I2121">
        <v>6</v>
      </c>
      <c r="J2121" t="s">
        <v>462</v>
      </c>
      <c r="K2121" t="s">
        <v>446</v>
      </c>
      <c r="M2121">
        <v>2641</v>
      </c>
      <c r="N2121" t="s">
        <v>16059</v>
      </c>
    </row>
    <row r="2122" spans="1:14">
      <c r="A2122">
        <v>14260000</v>
      </c>
      <c r="B2122">
        <v>3007593</v>
      </c>
      <c r="C2122" t="s">
        <v>1499</v>
      </c>
      <c r="D2122" t="s">
        <v>441</v>
      </c>
      <c r="F2122">
        <v>0</v>
      </c>
      <c r="G2122">
        <v>12.94</v>
      </c>
      <c r="H2122" t="s">
        <v>8580</v>
      </c>
      <c r="I2122">
        <v>6</v>
      </c>
      <c r="J2122" t="s">
        <v>445</v>
      </c>
      <c r="K2122" t="s">
        <v>446</v>
      </c>
      <c r="M2122">
        <v>2611</v>
      </c>
      <c r="N2122" t="s">
        <v>16060</v>
      </c>
    </row>
    <row r="2123" spans="1:14">
      <c r="A2123">
        <v>14260031</v>
      </c>
      <c r="B2123">
        <v>4010974</v>
      </c>
      <c r="C2123" t="s">
        <v>9464</v>
      </c>
      <c r="D2123" t="s">
        <v>442</v>
      </c>
      <c r="E2123" t="s">
        <v>441</v>
      </c>
      <c r="F2123">
        <v>0.56000000000000005</v>
      </c>
      <c r="G2123">
        <v>9.18</v>
      </c>
      <c r="H2123" t="s">
        <v>8588</v>
      </c>
      <c r="I2123">
        <v>12</v>
      </c>
      <c r="J2123" t="s">
        <v>462</v>
      </c>
      <c r="K2123" t="s">
        <v>446</v>
      </c>
      <c r="M2123">
        <v>2611</v>
      </c>
      <c r="N2123" t="s">
        <v>16060</v>
      </c>
    </row>
    <row r="2124" spans="1:14">
      <c r="A2124">
        <v>14260032</v>
      </c>
      <c r="B2124">
        <v>4015742</v>
      </c>
      <c r="C2124" t="s">
        <v>9465</v>
      </c>
      <c r="D2124" t="s">
        <v>442</v>
      </c>
      <c r="E2124" t="s">
        <v>441</v>
      </c>
      <c r="F2124">
        <v>1</v>
      </c>
      <c r="G2124">
        <v>15.23</v>
      </c>
      <c r="H2124" t="s">
        <v>8588</v>
      </c>
      <c r="I2124">
        <v>12</v>
      </c>
      <c r="J2124" t="s">
        <v>462</v>
      </c>
      <c r="K2124" t="s">
        <v>446</v>
      </c>
      <c r="L2124" t="s">
        <v>9466</v>
      </c>
      <c r="M2124">
        <v>2611</v>
      </c>
      <c r="N2124" t="s">
        <v>16060</v>
      </c>
    </row>
    <row r="2125" spans="1:14">
      <c r="A2125">
        <v>14260033</v>
      </c>
      <c r="B2125">
        <v>4011103</v>
      </c>
      <c r="C2125" t="s">
        <v>9467</v>
      </c>
      <c r="D2125" t="s">
        <v>442</v>
      </c>
      <c r="E2125" t="s">
        <v>441</v>
      </c>
      <c r="F2125">
        <v>0.56000000000000005</v>
      </c>
      <c r="G2125">
        <v>6.23</v>
      </c>
      <c r="H2125" t="s">
        <v>8588</v>
      </c>
      <c r="I2125">
        <v>12</v>
      </c>
      <c r="J2125" t="s">
        <v>462</v>
      </c>
      <c r="K2125" t="s">
        <v>446</v>
      </c>
      <c r="M2125">
        <v>2611</v>
      </c>
    </row>
    <row r="2126" spans="1:14">
      <c r="A2126">
        <v>14260034</v>
      </c>
      <c r="B2126">
        <v>3023667</v>
      </c>
      <c r="C2126" t="s">
        <v>1500</v>
      </c>
      <c r="D2126" t="s">
        <v>441</v>
      </c>
      <c r="F2126">
        <v>0</v>
      </c>
      <c r="G2126">
        <v>13.2</v>
      </c>
      <c r="H2126" t="s">
        <v>8588</v>
      </c>
      <c r="I2126">
        <v>6</v>
      </c>
      <c r="J2126" t="s">
        <v>445</v>
      </c>
      <c r="K2126" t="s">
        <v>446</v>
      </c>
      <c r="M2126">
        <v>2641</v>
      </c>
      <c r="N2126" t="s">
        <v>16060</v>
      </c>
    </row>
    <row r="2127" spans="1:14">
      <c r="A2127">
        <v>14260035</v>
      </c>
      <c r="B2127">
        <v>4016900</v>
      </c>
      <c r="C2127" t="s">
        <v>9468</v>
      </c>
      <c r="D2127" t="s">
        <v>442</v>
      </c>
      <c r="E2127" t="s">
        <v>441</v>
      </c>
      <c r="F2127">
        <v>0.56000000000000005</v>
      </c>
      <c r="G2127">
        <v>9.6999999999999993</v>
      </c>
      <c r="H2127" t="s">
        <v>8588</v>
      </c>
      <c r="I2127">
        <v>12</v>
      </c>
      <c r="J2127" t="s">
        <v>462</v>
      </c>
      <c r="K2127" t="s">
        <v>446</v>
      </c>
      <c r="M2127">
        <v>2611</v>
      </c>
      <c r="N2127" t="s">
        <v>16060</v>
      </c>
    </row>
    <row r="2128" spans="1:14">
      <c r="A2128">
        <v>14260036</v>
      </c>
      <c r="B2128">
        <v>4003805</v>
      </c>
      <c r="C2128" t="s">
        <v>9469</v>
      </c>
      <c r="D2128" t="s">
        <v>442</v>
      </c>
      <c r="E2128" t="s">
        <v>441</v>
      </c>
      <c r="F2128">
        <v>0.56000000000000005</v>
      </c>
      <c r="G2128">
        <v>9.6999999999999993</v>
      </c>
      <c r="H2128" t="s">
        <v>8588</v>
      </c>
      <c r="I2128">
        <v>12</v>
      </c>
      <c r="J2128" t="s">
        <v>462</v>
      </c>
      <c r="K2128" t="s">
        <v>446</v>
      </c>
      <c r="M2128">
        <v>2611</v>
      </c>
      <c r="N2128" t="s">
        <v>16060</v>
      </c>
    </row>
    <row r="2129" spans="1:14">
      <c r="A2129">
        <v>14260038</v>
      </c>
      <c r="B2129">
        <v>4003806</v>
      </c>
      <c r="C2129" t="s">
        <v>9470</v>
      </c>
      <c r="D2129" t="s">
        <v>442</v>
      </c>
      <c r="E2129" t="s">
        <v>441</v>
      </c>
      <c r="F2129">
        <v>0.56000000000000005</v>
      </c>
      <c r="G2129">
        <v>9.14</v>
      </c>
      <c r="H2129" t="s">
        <v>8588</v>
      </c>
      <c r="I2129">
        <v>12</v>
      </c>
      <c r="J2129" t="s">
        <v>462</v>
      </c>
      <c r="K2129" t="s">
        <v>446</v>
      </c>
      <c r="M2129">
        <v>2611</v>
      </c>
      <c r="N2129" t="s">
        <v>16060</v>
      </c>
    </row>
    <row r="2130" spans="1:14">
      <c r="A2130">
        <v>14260039</v>
      </c>
      <c r="B2130">
        <v>4016775</v>
      </c>
      <c r="C2130" t="s">
        <v>9471</v>
      </c>
      <c r="D2130" t="s">
        <v>442</v>
      </c>
      <c r="E2130" t="s">
        <v>441</v>
      </c>
      <c r="F2130">
        <v>0.56000000000000005</v>
      </c>
      <c r="G2130">
        <v>9.61</v>
      </c>
      <c r="H2130" t="s">
        <v>8588</v>
      </c>
      <c r="I2130">
        <v>10</v>
      </c>
      <c r="J2130" t="s">
        <v>462</v>
      </c>
      <c r="K2130" t="s">
        <v>446</v>
      </c>
      <c r="M2130">
        <v>2611</v>
      </c>
      <c r="N2130" t="s">
        <v>16060</v>
      </c>
    </row>
    <row r="2131" spans="1:14">
      <c r="A2131">
        <v>14260050</v>
      </c>
      <c r="B2131">
        <v>4009968</v>
      </c>
      <c r="C2131" t="s">
        <v>9472</v>
      </c>
      <c r="D2131" t="s">
        <v>441</v>
      </c>
      <c r="F2131">
        <v>0</v>
      </c>
      <c r="G2131">
        <v>10.58</v>
      </c>
      <c r="H2131" t="s">
        <v>8922</v>
      </c>
      <c r="I2131">
        <v>16</v>
      </c>
      <c r="J2131" t="s">
        <v>462</v>
      </c>
      <c r="K2131" t="s">
        <v>446</v>
      </c>
      <c r="M2131">
        <v>2612</v>
      </c>
    </row>
    <row r="2132" spans="1:14">
      <c r="A2132">
        <v>14260239</v>
      </c>
      <c r="B2132">
        <v>3026319</v>
      </c>
      <c r="C2132" t="s">
        <v>9473</v>
      </c>
      <c r="D2132" t="s">
        <v>442</v>
      </c>
      <c r="E2132" t="s">
        <v>441</v>
      </c>
      <c r="F2132">
        <v>0.56000000000000005</v>
      </c>
      <c r="G2132">
        <v>8.65</v>
      </c>
      <c r="H2132" t="s">
        <v>8588</v>
      </c>
      <c r="I2132">
        <v>2</v>
      </c>
      <c r="J2132" t="s">
        <v>445</v>
      </c>
      <c r="K2132" t="s">
        <v>446</v>
      </c>
      <c r="M2132">
        <v>2641</v>
      </c>
      <c r="N2132" t="s">
        <v>16060</v>
      </c>
    </row>
    <row r="2133" spans="1:14">
      <c r="A2133">
        <v>14261000</v>
      </c>
      <c r="B2133">
        <v>3017379</v>
      </c>
      <c r="C2133" t="s">
        <v>9474</v>
      </c>
      <c r="D2133" t="s">
        <v>441</v>
      </c>
      <c r="F2133">
        <v>0</v>
      </c>
      <c r="G2133">
        <v>12.94</v>
      </c>
      <c r="H2133" t="s">
        <v>8935</v>
      </c>
      <c r="I2133">
        <v>6</v>
      </c>
      <c r="J2133" t="s">
        <v>445</v>
      </c>
      <c r="K2133" t="s">
        <v>446</v>
      </c>
      <c r="M2133">
        <v>2611</v>
      </c>
      <c r="N2133" t="s">
        <v>16060</v>
      </c>
    </row>
    <row r="2134" spans="1:14">
      <c r="A2134">
        <v>14261033</v>
      </c>
      <c r="B2134">
        <v>4012154</v>
      </c>
      <c r="C2134" t="s">
        <v>9475</v>
      </c>
      <c r="D2134" t="s">
        <v>442</v>
      </c>
      <c r="E2134" t="s">
        <v>441</v>
      </c>
      <c r="F2134">
        <v>0.56000000000000005</v>
      </c>
      <c r="G2134">
        <v>9.15</v>
      </c>
      <c r="H2134" t="s">
        <v>8588</v>
      </c>
      <c r="I2134">
        <v>12</v>
      </c>
      <c r="J2134" t="s">
        <v>462</v>
      </c>
      <c r="K2134" t="s">
        <v>446</v>
      </c>
      <c r="M2134">
        <v>2611</v>
      </c>
      <c r="N2134" t="s">
        <v>16060</v>
      </c>
    </row>
    <row r="2135" spans="1:14">
      <c r="A2135">
        <v>14261036</v>
      </c>
      <c r="B2135">
        <v>4011597</v>
      </c>
      <c r="C2135" t="s">
        <v>9476</v>
      </c>
      <c r="D2135" t="s">
        <v>442</v>
      </c>
      <c r="E2135" t="s">
        <v>441</v>
      </c>
      <c r="F2135">
        <v>0.56000000000000005</v>
      </c>
      <c r="G2135">
        <v>8.0500000000000007</v>
      </c>
      <c r="H2135" t="s">
        <v>8588</v>
      </c>
      <c r="I2135">
        <v>12</v>
      </c>
      <c r="J2135" t="s">
        <v>462</v>
      </c>
      <c r="K2135" t="s">
        <v>446</v>
      </c>
      <c r="M2135">
        <v>2611</v>
      </c>
      <c r="N2135" t="s">
        <v>16061</v>
      </c>
    </row>
    <row r="2136" spans="1:14">
      <c r="A2136">
        <v>14261038</v>
      </c>
      <c r="B2136">
        <v>4011598</v>
      </c>
      <c r="C2136" t="s">
        <v>9477</v>
      </c>
      <c r="D2136" t="s">
        <v>442</v>
      </c>
      <c r="E2136" t="s">
        <v>441</v>
      </c>
      <c r="F2136">
        <v>0.56000000000000005</v>
      </c>
      <c r="G2136">
        <v>9.1300000000000008</v>
      </c>
      <c r="H2136" t="s">
        <v>8588</v>
      </c>
      <c r="I2136">
        <v>12</v>
      </c>
      <c r="J2136" t="s">
        <v>462</v>
      </c>
      <c r="K2136" t="s">
        <v>446</v>
      </c>
      <c r="M2136">
        <v>2611</v>
      </c>
      <c r="N2136" t="s">
        <v>16060</v>
      </c>
    </row>
    <row r="2137" spans="1:14">
      <c r="A2137">
        <v>14261050</v>
      </c>
      <c r="B2137">
        <v>4012007</v>
      </c>
      <c r="C2137" t="s">
        <v>9478</v>
      </c>
      <c r="D2137" t="s">
        <v>441</v>
      </c>
      <c r="F2137">
        <v>0</v>
      </c>
      <c r="G2137">
        <v>10.58</v>
      </c>
      <c r="H2137" t="s">
        <v>8922</v>
      </c>
      <c r="I2137">
        <v>16</v>
      </c>
      <c r="J2137" t="s">
        <v>462</v>
      </c>
      <c r="K2137" t="s">
        <v>446</v>
      </c>
      <c r="M2137">
        <v>2612</v>
      </c>
    </row>
    <row r="2138" spans="1:14">
      <c r="A2138">
        <v>14264000</v>
      </c>
      <c r="B2138">
        <v>3007594</v>
      </c>
      <c r="C2138" t="s">
        <v>1501</v>
      </c>
      <c r="D2138" t="s">
        <v>441</v>
      </c>
      <c r="F2138">
        <v>0</v>
      </c>
      <c r="G2138">
        <v>11.76</v>
      </c>
      <c r="H2138" t="s">
        <v>8580</v>
      </c>
      <c r="I2138">
        <v>6</v>
      </c>
      <c r="J2138" t="s">
        <v>445</v>
      </c>
      <c r="K2138" t="s">
        <v>446</v>
      </c>
      <c r="M2138">
        <v>0</v>
      </c>
    </row>
    <row r="2139" spans="1:14">
      <c r="A2139">
        <v>14270000</v>
      </c>
      <c r="B2139">
        <v>3007595</v>
      </c>
      <c r="C2139" t="s">
        <v>1502</v>
      </c>
      <c r="D2139" t="s">
        <v>441</v>
      </c>
      <c r="F2139">
        <v>0</v>
      </c>
      <c r="G2139">
        <v>7.62</v>
      </c>
      <c r="H2139" t="s">
        <v>8580</v>
      </c>
      <c r="I2139">
        <v>6</v>
      </c>
      <c r="J2139" t="s">
        <v>445</v>
      </c>
      <c r="K2139" t="s">
        <v>446</v>
      </c>
      <c r="M2139">
        <v>2390</v>
      </c>
    </row>
    <row r="2140" spans="1:14">
      <c r="A2140">
        <v>14270002</v>
      </c>
      <c r="B2140">
        <v>3007596</v>
      </c>
      <c r="C2140" t="s">
        <v>1503</v>
      </c>
      <c r="D2140" t="s">
        <v>441</v>
      </c>
      <c r="F2140">
        <v>0</v>
      </c>
      <c r="G2140">
        <v>13.04</v>
      </c>
      <c r="H2140" t="s">
        <v>8580</v>
      </c>
      <c r="I2140">
        <v>540</v>
      </c>
      <c r="J2140" t="s">
        <v>445</v>
      </c>
      <c r="K2140" t="s">
        <v>446</v>
      </c>
      <c r="M2140">
        <v>2501</v>
      </c>
      <c r="N2140" t="s">
        <v>16058</v>
      </c>
    </row>
    <row r="2141" spans="1:14">
      <c r="A2141">
        <v>14270020</v>
      </c>
      <c r="B2141">
        <v>4003808</v>
      </c>
      <c r="C2141" t="s">
        <v>14253</v>
      </c>
      <c r="D2141" t="s">
        <v>441</v>
      </c>
      <c r="F2141">
        <v>0</v>
      </c>
      <c r="G2141">
        <v>18.559999999999999</v>
      </c>
      <c r="H2141" t="s">
        <v>8588</v>
      </c>
      <c r="I2141">
        <v>6</v>
      </c>
      <c r="J2141" t="s">
        <v>462</v>
      </c>
      <c r="L2141">
        <v>2831120</v>
      </c>
      <c r="M2141">
        <v>7112</v>
      </c>
      <c r="N2141" t="s">
        <v>16058</v>
      </c>
    </row>
    <row r="2142" spans="1:14">
      <c r="A2142">
        <v>14270021</v>
      </c>
      <c r="B2142">
        <v>4008789</v>
      </c>
      <c r="C2142" t="s">
        <v>1504</v>
      </c>
      <c r="D2142" t="s">
        <v>441</v>
      </c>
      <c r="F2142">
        <v>0</v>
      </c>
      <c r="G2142">
        <v>11.03</v>
      </c>
      <c r="H2142" t="s">
        <v>8588</v>
      </c>
      <c r="I2142">
        <v>6</v>
      </c>
      <c r="J2142" t="s">
        <v>462</v>
      </c>
      <c r="L2142">
        <v>2630510</v>
      </c>
      <c r="M2142">
        <v>7112</v>
      </c>
      <c r="N2142" t="s">
        <v>16058</v>
      </c>
    </row>
    <row r="2143" spans="1:14">
      <c r="A2143">
        <v>14270026</v>
      </c>
      <c r="B2143">
        <v>4012235</v>
      </c>
      <c r="C2143" t="s">
        <v>9479</v>
      </c>
      <c r="D2143" t="s">
        <v>441</v>
      </c>
      <c r="F2143">
        <v>0</v>
      </c>
      <c r="G2143">
        <v>15.02</v>
      </c>
      <c r="H2143" t="s">
        <v>8588</v>
      </c>
      <c r="I2143">
        <v>365</v>
      </c>
      <c r="J2143" t="s">
        <v>462</v>
      </c>
      <c r="K2143" t="s">
        <v>446</v>
      </c>
      <c r="L2143">
        <v>20162</v>
      </c>
      <c r="M2143">
        <v>2501</v>
      </c>
      <c r="N2143" t="s">
        <v>16058</v>
      </c>
    </row>
    <row r="2144" spans="1:14">
      <c r="A2144">
        <v>14270027</v>
      </c>
      <c r="B2144">
        <v>4011312</v>
      </c>
      <c r="C2144" t="s">
        <v>9480</v>
      </c>
      <c r="D2144" t="s">
        <v>441</v>
      </c>
      <c r="F2144">
        <v>0</v>
      </c>
      <c r="G2144">
        <v>15.02</v>
      </c>
      <c r="H2144" t="s">
        <v>8588</v>
      </c>
      <c r="I2144">
        <v>365</v>
      </c>
      <c r="J2144" t="s">
        <v>462</v>
      </c>
      <c r="K2144" t="s">
        <v>446</v>
      </c>
      <c r="M2144">
        <v>2501</v>
      </c>
      <c r="N2144" t="s">
        <v>16058</v>
      </c>
    </row>
    <row r="2145" spans="1:14">
      <c r="A2145">
        <v>14270028</v>
      </c>
      <c r="B2145">
        <v>4010914</v>
      </c>
      <c r="C2145" t="s">
        <v>9481</v>
      </c>
      <c r="D2145" t="s">
        <v>441</v>
      </c>
      <c r="F2145">
        <v>0</v>
      </c>
      <c r="G2145">
        <v>15</v>
      </c>
      <c r="H2145" t="s">
        <v>8588</v>
      </c>
      <c r="I2145">
        <v>365</v>
      </c>
      <c r="J2145" t="s">
        <v>462</v>
      </c>
      <c r="K2145" t="s">
        <v>446</v>
      </c>
      <c r="M2145">
        <v>2501</v>
      </c>
      <c r="N2145" t="s">
        <v>16058</v>
      </c>
    </row>
    <row r="2146" spans="1:14">
      <c r="A2146">
        <v>14270030</v>
      </c>
      <c r="B2146">
        <v>4005489</v>
      </c>
      <c r="C2146" t="s">
        <v>9482</v>
      </c>
      <c r="D2146" t="s">
        <v>441</v>
      </c>
      <c r="F2146">
        <v>0</v>
      </c>
      <c r="G2146">
        <v>13.6</v>
      </c>
      <c r="H2146" t="s">
        <v>8588</v>
      </c>
      <c r="I2146">
        <v>12</v>
      </c>
      <c r="J2146" t="s">
        <v>462</v>
      </c>
      <c r="K2146" t="s">
        <v>446</v>
      </c>
      <c r="M2146">
        <v>2611</v>
      </c>
    </row>
    <row r="2147" spans="1:14">
      <c r="A2147">
        <v>14270031</v>
      </c>
      <c r="B2147">
        <v>4009387</v>
      </c>
      <c r="C2147" t="s">
        <v>9483</v>
      </c>
      <c r="D2147" t="s">
        <v>441</v>
      </c>
      <c r="F2147">
        <v>0</v>
      </c>
      <c r="G2147">
        <v>15.02</v>
      </c>
      <c r="H2147" t="s">
        <v>8588</v>
      </c>
      <c r="I2147">
        <v>12</v>
      </c>
      <c r="J2147" t="s">
        <v>462</v>
      </c>
      <c r="K2147" t="s">
        <v>446</v>
      </c>
      <c r="M2147">
        <v>2611</v>
      </c>
      <c r="N2147" t="s">
        <v>16058</v>
      </c>
    </row>
    <row r="2148" spans="1:14">
      <c r="A2148">
        <v>14270032</v>
      </c>
      <c r="B2148">
        <v>4011406</v>
      </c>
      <c r="C2148" t="s">
        <v>1505</v>
      </c>
      <c r="D2148" t="s">
        <v>441</v>
      </c>
      <c r="F2148">
        <v>0</v>
      </c>
      <c r="G2148">
        <v>13.52</v>
      </c>
      <c r="H2148" t="s">
        <v>8588</v>
      </c>
      <c r="I2148">
        <v>12</v>
      </c>
      <c r="J2148" t="s">
        <v>462</v>
      </c>
      <c r="K2148" t="s">
        <v>446</v>
      </c>
      <c r="M2148">
        <v>2611</v>
      </c>
      <c r="N2148" t="s">
        <v>16058</v>
      </c>
    </row>
    <row r="2149" spans="1:14">
      <c r="A2149">
        <v>14270033</v>
      </c>
      <c r="B2149">
        <v>4024964</v>
      </c>
      <c r="C2149" t="s">
        <v>1506</v>
      </c>
      <c r="D2149" t="s">
        <v>441</v>
      </c>
      <c r="F2149">
        <v>0</v>
      </c>
      <c r="G2149">
        <v>11.52</v>
      </c>
      <c r="H2149" t="s">
        <v>8588</v>
      </c>
      <c r="I2149">
        <v>16</v>
      </c>
      <c r="J2149" t="s">
        <v>462</v>
      </c>
      <c r="M2149">
        <v>7112</v>
      </c>
      <c r="N2149" t="s">
        <v>16058</v>
      </c>
    </row>
    <row r="2150" spans="1:14">
      <c r="A2150">
        <v>14270034</v>
      </c>
      <c r="B2150">
        <v>4026724</v>
      </c>
      <c r="C2150" t="s">
        <v>1507</v>
      </c>
      <c r="D2150" t="s">
        <v>441</v>
      </c>
      <c r="F2150">
        <v>0</v>
      </c>
      <c r="G2150">
        <v>19.809999999999999</v>
      </c>
      <c r="H2150" t="s">
        <v>8588</v>
      </c>
      <c r="I2150">
        <v>14</v>
      </c>
      <c r="J2150" t="s">
        <v>462</v>
      </c>
      <c r="M2150">
        <v>7112</v>
      </c>
      <c r="N2150" t="s">
        <v>16058</v>
      </c>
    </row>
    <row r="2151" spans="1:14">
      <c r="A2151">
        <v>14270038</v>
      </c>
      <c r="B2151">
        <v>4003809</v>
      </c>
      <c r="C2151" t="s">
        <v>9484</v>
      </c>
      <c r="D2151" t="s">
        <v>442</v>
      </c>
      <c r="E2151" t="s">
        <v>441</v>
      </c>
      <c r="F2151">
        <v>1</v>
      </c>
      <c r="G2151">
        <v>14.9</v>
      </c>
      <c r="H2151" t="s">
        <v>8588</v>
      </c>
      <c r="I2151">
        <v>12</v>
      </c>
      <c r="J2151" t="s">
        <v>462</v>
      </c>
      <c r="K2151" t="s">
        <v>446</v>
      </c>
      <c r="M2151">
        <v>2611</v>
      </c>
      <c r="N2151" t="s">
        <v>16058</v>
      </c>
    </row>
    <row r="2152" spans="1:14">
      <c r="A2152">
        <v>14270040</v>
      </c>
      <c r="B2152">
        <v>4008826</v>
      </c>
      <c r="C2152" t="s">
        <v>9485</v>
      </c>
      <c r="D2152" t="s">
        <v>441</v>
      </c>
      <c r="F2152">
        <v>0</v>
      </c>
      <c r="G2152">
        <v>9.85</v>
      </c>
      <c r="H2152" t="s">
        <v>8588</v>
      </c>
      <c r="I2152">
        <v>11</v>
      </c>
      <c r="J2152" t="s">
        <v>462</v>
      </c>
      <c r="K2152" t="s">
        <v>446</v>
      </c>
      <c r="M2152">
        <v>2641</v>
      </c>
    </row>
    <row r="2153" spans="1:14">
      <c r="A2153">
        <v>14270041</v>
      </c>
      <c r="B2153">
        <v>4029740</v>
      </c>
      <c r="C2153" t="s">
        <v>15469</v>
      </c>
      <c r="D2153" t="s">
        <v>441</v>
      </c>
      <c r="F2153">
        <v>0</v>
      </c>
      <c r="G2153">
        <v>18.260000000000002</v>
      </c>
      <c r="H2153" t="s">
        <v>8588</v>
      </c>
      <c r="I2153">
        <v>16</v>
      </c>
      <c r="J2153" t="s">
        <v>462</v>
      </c>
      <c r="M2153">
        <v>7112</v>
      </c>
      <c r="N2153" t="s">
        <v>16058</v>
      </c>
    </row>
    <row r="2154" spans="1:14">
      <c r="A2154">
        <v>14270042</v>
      </c>
      <c r="B2154">
        <v>4008162</v>
      </c>
      <c r="C2154" t="s">
        <v>9486</v>
      </c>
      <c r="D2154" t="s">
        <v>441</v>
      </c>
      <c r="F2154">
        <v>0</v>
      </c>
      <c r="G2154">
        <v>13.34</v>
      </c>
      <c r="H2154" t="s">
        <v>8588</v>
      </c>
      <c r="I2154">
        <v>12</v>
      </c>
      <c r="J2154" t="s">
        <v>462</v>
      </c>
      <c r="K2154" t="s">
        <v>446</v>
      </c>
      <c r="M2154">
        <v>2612</v>
      </c>
      <c r="N2154" t="s">
        <v>16058</v>
      </c>
    </row>
    <row r="2155" spans="1:14">
      <c r="A2155">
        <v>14270043</v>
      </c>
      <c r="B2155">
        <v>4003810</v>
      </c>
      <c r="C2155" t="s">
        <v>9487</v>
      </c>
      <c r="D2155" t="s">
        <v>441</v>
      </c>
      <c r="F2155">
        <v>0</v>
      </c>
      <c r="G2155">
        <v>9.5</v>
      </c>
      <c r="H2155" t="s">
        <v>8588</v>
      </c>
      <c r="I2155">
        <v>11</v>
      </c>
      <c r="J2155" t="s">
        <v>462</v>
      </c>
      <c r="K2155" t="s">
        <v>446</v>
      </c>
      <c r="M2155">
        <v>2612</v>
      </c>
    </row>
    <row r="2156" spans="1:14">
      <c r="A2156">
        <v>14270044</v>
      </c>
      <c r="B2156">
        <v>4008175</v>
      </c>
      <c r="C2156" t="s">
        <v>1508</v>
      </c>
      <c r="D2156" t="s">
        <v>441</v>
      </c>
      <c r="F2156">
        <v>0</v>
      </c>
      <c r="G2156">
        <v>11.41</v>
      </c>
      <c r="H2156" t="s">
        <v>8588</v>
      </c>
      <c r="I2156">
        <v>16</v>
      </c>
      <c r="J2156" t="s">
        <v>462</v>
      </c>
      <c r="M2156">
        <v>7112</v>
      </c>
      <c r="N2156" t="s">
        <v>16058</v>
      </c>
    </row>
    <row r="2157" spans="1:14">
      <c r="A2157">
        <v>14270045</v>
      </c>
      <c r="B2157">
        <v>4011070</v>
      </c>
      <c r="C2157" t="s">
        <v>9488</v>
      </c>
      <c r="D2157" t="s">
        <v>441</v>
      </c>
      <c r="F2157">
        <v>0</v>
      </c>
      <c r="G2157">
        <v>8.31</v>
      </c>
      <c r="H2157" t="s">
        <v>8588</v>
      </c>
      <c r="I2157">
        <v>16</v>
      </c>
      <c r="J2157" t="s">
        <v>462</v>
      </c>
      <c r="K2157" t="s">
        <v>446</v>
      </c>
      <c r="M2157">
        <v>2612</v>
      </c>
    </row>
    <row r="2158" spans="1:14">
      <c r="A2158">
        <v>14270046</v>
      </c>
      <c r="B2158">
        <v>4016466</v>
      </c>
      <c r="C2158" t="s">
        <v>1509</v>
      </c>
      <c r="D2158" t="s">
        <v>441</v>
      </c>
      <c r="F2158">
        <v>0</v>
      </c>
      <c r="G2158">
        <v>17.46</v>
      </c>
      <c r="H2158" t="s">
        <v>8588</v>
      </c>
      <c r="I2158">
        <v>16</v>
      </c>
      <c r="J2158" t="s">
        <v>462</v>
      </c>
      <c r="M2158">
        <v>7112</v>
      </c>
      <c r="N2158" t="s">
        <v>16058</v>
      </c>
    </row>
    <row r="2159" spans="1:14">
      <c r="A2159">
        <v>14270047</v>
      </c>
      <c r="B2159">
        <v>4006841</v>
      </c>
      <c r="C2159" t="s">
        <v>9489</v>
      </c>
      <c r="D2159" t="s">
        <v>441</v>
      </c>
      <c r="F2159">
        <v>0</v>
      </c>
      <c r="G2159">
        <v>9.57</v>
      </c>
      <c r="H2159" t="s">
        <v>8588</v>
      </c>
      <c r="I2159">
        <v>11</v>
      </c>
      <c r="J2159" t="s">
        <v>462</v>
      </c>
      <c r="K2159" t="s">
        <v>446</v>
      </c>
      <c r="M2159">
        <v>2612</v>
      </c>
    </row>
    <row r="2160" spans="1:14">
      <c r="A2160">
        <v>14270048</v>
      </c>
      <c r="B2160">
        <v>4008305</v>
      </c>
      <c r="C2160" t="s">
        <v>9490</v>
      </c>
      <c r="D2160" t="s">
        <v>441</v>
      </c>
      <c r="F2160">
        <v>0</v>
      </c>
      <c r="G2160">
        <v>12.18</v>
      </c>
      <c r="H2160" t="s">
        <v>8588</v>
      </c>
      <c r="I2160">
        <v>11</v>
      </c>
      <c r="J2160" t="s">
        <v>462</v>
      </c>
      <c r="K2160" t="s">
        <v>446</v>
      </c>
      <c r="M2160">
        <v>2612</v>
      </c>
    </row>
    <row r="2161" spans="1:14">
      <c r="A2161">
        <v>14270049</v>
      </c>
      <c r="B2161">
        <v>4011121</v>
      </c>
      <c r="C2161" t="s">
        <v>9491</v>
      </c>
      <c r="D2161" t="s">
        <v>441</v>
      </c>
      <c r="F2161">
        <v>0</v>
      </c>
      <c r="G2161">
        <v>11.7</v>
      </c>
      <c r="H2161" t="s">
        <v>8588</v>
      </c>
      <c r="I2161">
        <v>10</v>
      </c>
      <c r="J2161" t="s">
        <v>462</v>
      </c>
      <c r="K2161" t="s">
        <v>446</v>
      </c>
      <c r="M2161">
        <v>2612</v>
      </c>
      <c r="N2161" t="s">
        <v>16058</v>
      </c>
    </row>
    <row r="2162" spans="1:14">
      <c r="A2162">
        <v>14270050</v>
      </c>
      <c r="B2162">
        <v>4017711</v>
      </c>
      <c r="C2162" t="s">
        <v>9492</v>
      </c>
      <c r="D2162" t="s">
        <v>441</v>
      </c>
      <c r="F2162">
        <v>0</v>
      </c>
      <c r="G2162">
        <v>13.27</v>
      </c>
      <c r="H2162" t="s">
        <v>8588</v>
      </c>
      <c r="I2162">
        <v>13</v>
      </c>
      <c r="J2162" t="s">
        <v>462</v>
      </c>
      <c r="K2162" t="s">
        <v>446</v>
      </c>
      <c r="M2162">
        <v>2612</v>
      </c>
      <c r="N2162" t="s">
        <v>16060</v>
      </c>
    </row>
    <row r="2163" spans="1:14">
      <c r="A2163">
        <v>14270051</v>
      </c>
      <c r="B2163">
        <v>4007398</v>
      </c>
      <c r="C2163" t="s">
        <v>1510</v>
      </c>
      <c r="D2163" t="s">
        <v>441</v>
      </c>
      <c r="F2163">
        <v>0</v>
      </c>
      <c r="G2163">
        <v>11.33</v>
      </c>
      <c r="H2163" t="s">
        <v>8588</v>
      </c>
      <c r="I2163">
        <v>16</v>
      </c>
      <c r="J2163" t="s">
        <v>462</v>
      </c>
      <c r="M2163">
        <v>7112</v>
      </c>
      <c r="N2163" t="s">
        <v>16058</v>
      </c>
    </row>
    <row r="2164" spans="1:14">
      <c r="A2164">
        <v>14270052</v>
      </c>
      <c r="B2164">
        <v>4011123</v>
      </c>
      <c r="C2164" t="s">
        <v>9493</v>
      </c>
      <c r="D2164" t="s">
        <v>441</v>
      </c>
      <c r="F2164">
        <v>0</v>
      </c>
      <c r="G2164">
        <v>15.01</v>
      </c>
      <c r="H2164" t="s">
        <v>8588</v>
      </c>
      <c r="I2164">
        <v>10</v>
      </c>
      <c r="J2164" t="s">
        <v>462</v>
      </c>
      <c r="K2164" t="s">
        <v>446</v>
      </c>
      <c r="M2164">
        <v>2612</v>
      </c>
      <c r="N2164" t="s">
        <v>16058</v>
      </c>
    </row>
    <row r="2165" spans="1:14">
      <c r="A2165">
        <v>14270053</v>
      </c>
      <c r="B2165">
        <v>4011122</v>
      </c>
      <c r="C2165" t="s">
        <v>9494</v>
      </c>
      <c r="D2165" t="s">
        <v>441</v>
      </c>
      <c r="F2165">
        <v>0</v>
      </c>
      <c r="G2165">
        <v>15.09</v>
      </c>
      <c r="H2165" t="s">
        <v>8588</v>
      </c>
      <c r="I2165">
        <v>10</v>
      </c>
      <c r="J2165" t="s">
        <v>462</v>
      </c>
      <c r="K2165" t="s">
        <v>446</v>
      </c>
      <c r="M2165">
        <v>2612</v>
      </c>
      <c r="N2165" t="s">
        <v>16058</v>
      </c>
    </row>
    <row r="2166" spans="1:14">
      <c r="A2166">
        <v>14270054</v>
      </c>
      <c r="B2166">
        <v>4015772</v>
      </c>
      <c r="C2166" t="s">
        <v>9495</v>
      </c>
      <c r="D2166" t="s">
        <v>441</v>
      </c>
      <c r="F2166">
        <v>0</v>
      </c>
      <c r="G2166">
        <v>16.75</v>
      </c>
      <c r="H2166" t="s">
        <v>8588</v>
      </c>
      <c r="I2166">
        <v>16</v>
      </c>
      <c r="J2166" t="s">
        <v>462</v>
      </c>
      <c r="K2166" t="s">
        <v>446</v>
      </c>
      <c r="L2166">
        <v>2615080</v>
      </c>
      <c r="M2166">
        <v>2612</v>
      </c>
      <c r="N2166" t="s">
        <v>16058</v>
      </c>
    </row>
    <row r="2167" spans="1:14">
      <c r="A2167">
        <v>14270055</v>
      </c>
      <c r="B2167">
        <v>4015794</v>
      </c>
      <c r="C2167" t="s">
        <v>9496</v>
      </c>
      <c r="D2167" t="s">
        <v>441</v>
      </c>
      <c r="F2167">
        <v>0</v>
      </c>
      <c r="G2167">
        <v>10.5</v>
      </c>
      <c r="H2167" t="s">
        <v>8588</v>
      </c>
      <c r="I2167">
        <v>16</v>
      </c>
      <c r="J2167" t="s">
        <v>462</v>
      </c>
      <c r="K2167" t="s">
        <v>446</v>
      </c>
      <c r="M2167">
        <v>2612</v>
      </c>
      <c r="N2167" t="s">
        <v>16058</v>
      </c>
    </row>
    <row r="2168" spans="1:14">
      <c r="A2168">
        <v>14270056</v>
      </c>
      <c r="B2168">
        <v>4016208</v>
      </c>
      <c r="C2168" t="s">
        <v>9497</v>
      </c>
      <c r="D2168" t="s">
        <v>441</v>
      </c>
      <c r="F2168">
        <v>0</v>
      </c>
      <c r="G2168">
        <v>10.91</v>
      </c>
      <c r="H2168" t="s">
        <v>8588</v>
      </c>
      <c r="I2168">
        <v>16</v>
      </c>
      <c r="J2168" t="s">
        <v>462</v>
      </c>
      <c r="K2168" t="s">
        <v>446</v>
      </c>
      <c r="M2168">
        <v>2612</v>
      </c>
      <c r="N2168" t="s">
        <v>16058</v>
      </c>
    </row>
    <row r="2169" spans="1:14">
      <c r="A2169">
        <v>14270057</v>
      </c>
      <c r="B2169">
        <v>4016686</v>
      </c>
      <c r="C2169" t="s">
        <v>1511</v>
      </c>
      <c r="D2169" t="s">
        <v>441</v>
      </c>
      <c r="F2169">
        <v>0</v>
      </c>
      <c r="G2169">
        <v>17.78</v>
      </c>
      <c r="H2169" t="s">
        <v>8588</v>
      </c>
      <c r="I2169">
        <v>10</v>
      </c>
      <c r="J2169" t="s">
        <v>462</v>
      </c>
      <c r="L2169">
        <v>70483</v>
      </c>
      <c r="M2169">
        <v>7112</v>
      </c>
      <c r="N2169" t="s">
        <v>16060</v>
      </c>
    </row>
    <row r="2170" spans="1:14">
      <c r="A2170">
        <v>14270058</v>
      </c>
      <c r="B2170">
        <v>4019536</v>
      </c>
      <c r="C2170" t="s">
        <v>1512</v>
      </c>
      <c r="D2170" t="s">
        <v>441</v>
      </c>
      <c r="F2170">
        <v>0</v>
      </c>
      <c r="G2170">
        <v>11.47</v>
      </c>
      <c r="H2170" t="s">
        <v>8588</v>
      </c>
      <c r="I2170">
        <v>16</v>
      </c>
      <c r="J2170" t="s">
        <v>462</v>
      </c>
      <c r="M2170">
        <v>7112</v>
      </c>
      <c r="N2170" t="s">
        <v>16058</v>
      </c>
    </row>
    <row r="2171" spans="1:14">
      <c r="A2171">
        <v>14270059</v>
      </c>
      <c r="B2171">
        <v>4019616</v>
      </c>
      <c r="C2171" t="s">
        <v>1513</v>
      </c>
      <c r="D2171" t="s">
        <v>441</v>
      </c>
      <c r="F2171">
        <v>0</v>
      </c>
      <c r="G2171">
        <v>11.42</v>
      </c>
      <c r="H2171" t="s">
        <v>8588</v>
      </c>
      <c r="I2171">
        <v>14</v>
      </c>
      <c r="J2171" t="s">
        <v>462</v>
      </c>
      <c r="M2171">
        <v>7112</v>
      </c>
      <c r="N2171" t="s">
        <v>16058</v>
      </c>
    </row>
    <row r="2172" spans="1:14">
      <c r="A2172">
        <v>14270060</v>
      </c>
      <c r="B2172">
        <v>4013655</v>
      </c>
      <c r="C2172" t="s">
        <v>1514</v>
      </c>
      <c r="D2172" t="s">
        <v>441</v>
      </c>
      <c r="F2172">
        <v>0</v>
      </c>
      <c r="G2172">
        <v>18.96</v>
      </c>
      <c r="H2172" t="s">
        <v>8588</v>
      </c>
      <c r="I2172">
        <v>14</v>
      </c>
      <c r="J2172" t="s">
        <v>462</v>
      </c>
      <c r="L2172">
        <v>2997440</v>
      </c>
      <c r="M2172">
        <v>7112</v>
      </c>
      <c r="N2172" t="s">
        <v>16058</v>
      </c>
    </row>
    <row r="2173" spans="1:14">
      <c r="A2173">
        <v>14270061</v>
      </c>
      <c r="B2173">
        <v>3009028</v>
      </c>
      <c r="C2173" t="s">
        <v>1515</v>
      </c>
      <c r="D2173" t="s">
        <v>441</v>
      </c>
      <c r="F2173">
        <v>0</v>
      </c>
      <c r="G2173">
        <v>10.75</v>
      </c>
      <c r="H2173" t="s">
        <v>8588</v>
      </c>
      <c r="I2173">
        <v>365</v>
      </c>
      <c r="J2173" t="s">
        <v>445</v>
      </c>
      <c r="K2173" t="s">
        <v>446</v>
      </c>
      <c r="M2173">
        <v>2501</v>
      </c>
      <c r="N2173" t="s">
        <v>16058</v>
      </c>
    </row>
    <row r="2174" spans="1:14">
      <c r="A2174">
        <v>14270062</v>
      </c>
      <c r="B2174">
        <v>4008448</v>
      </c>
      <c r="C2174" t="s">
        <v>1516</v>
      </c>
      <c r="D2174" t="s">
        <v>441</v>
      </c>
      <c r="F2174">
        <v>0</v>
      </c>
      <c r="G2174">
        <v>18.329999999999998</v>
      </c>
      <c r="H2174" t="s">
        <v>8588</v>
      </c>
      <c r="I2174">
        <v>540</v>
      </c>
      <c r="J2174" t="s">
        <v>462</v>
      </c>
      <c r="M2174">
        <v>7111</v>
      </c>
      <c r="N2174" t="s">
        <v>16058</v>
      </c>
    </row>
    <row r="2175" spans="1:14">
      <c r="A2175">
        <v>14270063</v>
      </c>
      <c r="B2175">
        <v>4011297</v>
      </c>
      <c r="C2175" t="s">
        <v>9498</v>
      </c>
      <c r="D2175" t="s">
        <v>441</v>
      </c>
      <c r="F2175">
        <v>0</v>
      </c>
      <c r="G2175">
        <v>9.98</v>
      </c>
      <c r="H2175" t="s">
        <v>8588</v>
      </c>
      <c r="I2175">
        <v>11</v>
      </c>
      <c r="J2175" t="s">
        <v>462</v>
      </c>
      <c r="K2175" t="s">
        <v>446</v>
      </c>
      <c r="M2175">
        <v>2612</v>
      </c>
    </row>
    <row r="2176" spans="1:14">
      <c r="A2176">
        <v>14270064</v>
      </c>
      <c r="B2176">
        <v>4012638</v>
      </c>
      <c r="C2176" t="s">
        <v>1517</v>
      </c>
      <c r="D2176" t="s">
        <v>441</v>
      </c>
      <c r="F2176">
        <v>0</v>
      </c>
      <c r="G2176">
        <v>11.02</v>
      </c>
      <c r="H2176" t="s">
        <v>8588</v>
      </c>
      <c r="I2176">
        <v>16</v>
      </c>
      <c r="J2176" t="s">
        <v>462</v>
      </c>
      <c r="M2176">
        <v>7112</v>
      </c>
      <c r="N2176" t="s">
        <v>16058</v>
      </c>
    </row>
    <row r="2177" spans="1:14">
      <c r="A2177">
        <v>14270065</v>
      </c>
      <c r="B2177">
        <v>4008007</v>
      </c>
      <c r="C2177" t="s">
        <v>9499</v>
      </c>
      <c r="D2177" t="s">
        <v>442</v>
      </c>
      <c r="E2177" t="s">
        <v>441</v>
      </c>
      <c r="F2177">
        <v>4</v>
      </c>
      <c r="G2177">
        <v>42.26</v>
      </c>
      <c r="H2177" t="s">
        <v>8588</v>
      </c>
      <c r="I2177">
        <v>12</v>
      </c>
      <c r="J2177" t="s">
        <v>462</v>
      </c>
      <c r="K2177" t="s">
        <v>446</v>
      </c>
      <c r="M2177">
        <v>2611</v>
      </c>
    </row>
    <row r="2178" spans="1:14">
      <c r="A2178">
        <v>14270066</v>
      </c>
      <c r="B2178">
        <v>4013694</v>
      </c>
      <c r="C2178" t="s">
        <v>9500</v>
      </c>
      <c r="D2178" t="s">
        <v>441</v>
      </c>
      <c r="F2178">
        <v>0</v>
      </c>
      <c r="G2178">
        <v>13.24</v>
      </c>
      <c r="H2178" t="s">
        <v>8588</v>
      </c>
      <c r="I2178">
        <v>16</v>
      </c>
      <c r="J2178" t="s">
        <v>462</v>
      </c>
      <c r="K2178" t="s">
        <v>446</v>
      </c>
      <c r="M2178">
        <v>2612</v>
      </c>
      <c r="N2178" t="s">
        <v>16058</v>
      </c>
    </row>
    <row r="2179" spans="1:14">
      <c r="A2179">
        <v>14270068</v>
      </c>
      <c r="B2179">
        <v>4015388</v>
      </c>
      <c r="C2179" t="s">
        <v>9501</v>
      </c>
      <c r="D2179" t="s">
        <v>441</v>
      </c>
      <c r="F2179">
        <v>0</v>
      </c>
      <c r="G2179">
        <v>14.98</v>
      </c>
      <c r="H2179" t="s">
        <v>8588</v>
      </c>
      <c r="I2179">
        <v>16</v>
      </c>
      <c r="J2179" t="s">
        <v>462</v>
      </c>
      <c r="K2179" t="s">
        <v>446</v>
      </c>
      <c r="M2179">
        <v>2612</v>
      </c>
      <c r="N2179" t="s">
        <v>16058</v>
      </c>
    </row>
    <row r="2180" spans="1:14">
      <c r="A2180">
        <v>14270069</v>
      </c>
      <c r="B2180">
        <v>4018021</v>
      </c>
      <c r="C2180" t="s">
        <v>1518</v>
      </c>
      <c r="D2180" t="s">
        <v>441</v>
      </c>
      <c r="F2180">
        <v>0</v>
      </c>
      <c r="G2180">
        <v>11.37</v>
      </c>
      <c r="H2180" t="s">
        <v>8588</v>
      </c>
      <c r="I2180">
        <v>16</v>
      </c>
      <c r="J2180" t="s">
        <v>462</v>
      </c>
      <c r="M2180">
        <v>7112</v>
      </c>
      <c r="N2180" t="s">
        <v>16058</v>
      </c>
    </row>
    <row r="2181" spans="1:14">
      <c r="A2181">
        <v>14270070</v>
      </c>
      <c r="B2181">
        <v>4020757</v>
      </c>
      <c r="C2181" t="s">
        <v>1519</v>
      </c>
      <c r="D2181" t="s">
        <v>441</v>
      </c>
      <c r="F2181">
        <v>0</v>
      </c>
      <c r="G2181">
        <v>11.36</v>
      </c>
      <c r="H2181" t="s">
        <v>8588</v>
      </c>
      <c r="I2181">
        <v>10</v>
      </c>
      <c r="J2181" t="s">
        <v>462</v>
      </c>
      <c r="M2181">
        <v>7112</v>
      </c>
      <c r="N2181" t="s">
        <v>16058</v>
      </c>
    </row>
    <row r="2182" spans="1:14">
      <c r="A2182">
        <v>14270071</v>
      </c>
      <c r="B2182">
        <v>4020864</v>
      </c>
      <c r="C2182" t="s">
        <v>1520</v>
      </c>
      <c r="D2182" t="s">
        <v>441</v>
      </c>
      <c r="F2182">
        <v>0</v>
      </c>
      <c r="G2182">
        <v>18.350000000000001</v>
      </c>
      <c r="H2182" t="s">
        <v>8588</v>
      </c>
      <c r="I2182">
        <v>540</v>
      </c>
      <c r="J2182" t="s">
        <v>462</v>
      </c>
      <c r="M2182">
        <v>7111</v>
      </c>
      <c r="N2182" t="s">
        <v>16058</v>
      </c>
    </row>
    <row r="2183" spans="1:14">
      <c r="A2183">
        <v>14270072</v>
      </c>
      <c r="B2183">
        <v>4021861</v>
      </c>
      <c r="C2183" t="s">
        <v>1521</v>
      </c>
      <c r="D2183" t="s">
        <v>441</v>
      </c>
      <c r="F2183">
        <v>0</v>
      </c>
      <c r="G2183">
        <v>11.37</v>
      </c>
      <c r="H2183" t="s">
        <v>8588</v>
      </c>
      <c r="I2183">
        <v>16</v>
      </c>
      <c r="J2183" t="s">
        <v>462</v>
      </c>
      <c r="M2183">
        <v>7112</v>
      </c>
      <c r="N2183" t="s">
        <v>16058</v>
      </c>
    </row>
    <row r="2184" spans="1:14">
      <c r="A2184">
        <v>14270073</v>
      </c>
      <c r="B2184">
        <v>4022276</v>
      </c>
      <c r="C2184" t="s">
        <v>1522</v>
      </c>
      <c r="D2184" t="s">
        <v>441</v>
      </c>
      <c r="F2184">
        <v>0</v>
      </c>
      <c r="G2184">
        <v>11.22</v>
      </c>
      <c r="H2184" t="s">
        <v>8588</v>
      </c>
      <c r="I2184">
        <v>16</v>
      </c>
      <c r="J2184" t="s">
        <v>462</v>
      </c>
      <c r="M2184">
        <v>7112</v>
      </c>
      <c r="N2184" t="s">
        <v>16058</v>
      </c>
    </row>
    <row r="2185" spans="1:14">
      <c r="A2185">
        <v>14270074</v>
      </c>
      <c r="B2185">
        <v>4024496</v>
      </c>
      <c r="C2185" t="s">
        <v>1523</v>
      </c>
      <c r="D2185" t="s">
        <v>441</v>
      </c>
      <c r="F2185">
        <v>0</v>
      </c>
      <c r="G2185">
        <v>11.43</v>
      </c>
      <c r="H2185" t="s">
        <v>8588</v>
      </c>
      <c r="I2185">
        <v>16</v>
      </c>
      <c r="J2185" t="s">
        <v>462</v>
      </c>
      <c r="M2185">
        <v>7112</v>
      </c>
      <c r="N2185" t="s">
        <v>16058</v>
      </c>
    </row>
    <row r="2186" spans="1:14">
      <c r="A2186">
        <v>14270075</v>
      </c>
      <c r="B2186">
        <v>3016063</v>
      </c>
      <c r="C2186" t="s">
        <v>1524</v>
      </c>
      <c r="D2186" t="s">
        <v>441</v>
      </c>
      <c r="F2186">
        <v>0</v>
      </c>
      <c r="G2186">
        <v>10.77</v>
      </c>
      <c r="H2186" t="s">
        <v>8588</v>
      </c>
      <c r="I2186">
        <v>6</v>
      </c>
      <c r="J2186" t="s">
        <v>445</v>
      </c>
      <c r="L2186">
        <v>2092014</v>
      </c>
      <c r="M2186">
        <v>7112</v>
      </c>
      <c r="N2186" t="s">
        <v>16058</v>
      </c>
    </row>
    <row r="2187" spans="1:14">
      <c r="A2187">
        <v>14270076</v>
      </c>
      <c r="B2187">
        <v>3027052</v>
      </c>
      <c r="C2187" t="s">
        <v>1525</v>
      </c>
      <c r="D2187" t="s">
        <v>441</v>
      </c>
      <c r="F2187">
        <v>0</v>
      </c>
      <c r="G2187">
        <v>10.84</v>
      </c>
      <c r="H2187" t="s">
        <v>8588</v>
      </c>
      <c r="I2187">
        <v>6</v>
      </c>
      <c r="J2187" t="s">
        <v>445</v>
      </c>
      <c r="M2187">
        <v>7112</v>
      </c>
      <c r="N2187" t="s">
        <v>16058</v>
      </c>
    </row>
    <row r="2188" spans="1:14">
      <c r="A2188">
        <v>14270078</v>
      </c>
      <c r="B2188">
        <v>4022078</v>
      </c>
      <c r="C2188" t="s">
        <v>1526</v>
      </c>
      <c r="D2188" t="s">
        <v>441</v>
      </c>
      <c r="F2188">
        <v>0</v>
      </c>
      <c r="G2188">
        <v>10.87</v>
      </c>
      <c r="H2188" t="s">
        <v>8588</v>
      </c>
      <c r="I2188">
        <v>6</v>
      </c>
      <c r="J2188" t="s">
        <v>462</v>
      </c>
      <c r="L2188">
        <v>2630510</v>
      </c>
      <c r="M2188">
        <v>7112</v>
      </c>
      <c r="N2188" t="s">
        <v>16058</v>
      </c>
    </row>
    <row r="2189" spans="1:14">
      <c r="A2189">
        <v>14270079</v>
      </c>
      <c r="B2189">
        <v>4023145</v>
      </c>
      <c r="C2189" t="s">
        <v>1527</v>
      </c>
      <c r="D2189" t="s">
        <v>441</v>
      </c>
      <c r="F2189">
        <v>0</v>
      </c>
      <c r="G2189">
        <v>11.57</v>
      </c>
      <c r="H2189" t="s">
        <v>8588</v>
      </c>
      <c r="I2189">
        <v>16</v>
      </c>
      <c r="J2189" t="s">
        <v>462</v>
      </c>
      <c r="M2189">
        <v>7112</v>
      </c>
      <c r="N2189" t="s">
        <v>16058</v>
      </c>
    </row>
    <row r="2190" spans="1:14">
      <c r="A2190">
        <v>14270080</v>
      </c>
      <c r="B2190">
        <v>4030313</v>
      </c>
      <c r="C2190" t="s">
        <v>16062</v>
      </c>
      <c r="D2190" t="s">
        <v>441</v>
      </c>
      <c r="F2190">
        <v>0</v>
      </c>
      <c r="G2190">
        <v>19.850000000000001</v>
      </c>
      <c r="H2190" t="s">
        <v>8588</v>
      </c>
      <c r="I2190">
        <v>16</v>
      </c>
      <c r="J2190" t="s">
        <v>462</v>
      </c>
      <c r="M2190">
        <v>7112</v>
      </c>
      <c r="N2190" t="s">
        <v>16058</v>
      </c>
    </row>
    <row r="2191" spans="1:14">
      <c r="A2191">
        <v>14270081</v>
      </c>
      <c r="B2191">
        <v>4030316</v>
      </c>
      <c r="C2191" t="s">
        <v>16063</v>
      </c>
      <c r="D2191" t="s">
        <v>441</v>
      </c>
      <c r="F2191">
        <v>0</v>
      </c>
      <c r="G2191">
        <v>19.760000000000002</v>
      </c>
      <c r="H2191" t="s">
        <v>8588</v>
      </c>
      <c r="I2191">
        <v>16</v>
      </c>
      <c r="J2191" t="s">
        <v>462</v>
      </c>
      <c r="M2191">
        <v>7112</v>
      </c>
      <c r="N2191" t="s">
        <v>16058</v>
      </c>
    </row>
    <row r="2192" spans="1:14">
      <c r="A2192">
        <v>14270082</v>
      </c>
      <c r="B2192">
        <v>4030477</v>
      </c>
      <c r="C2192" t="s">
        <v>17393</v>
      </c>
      <c r="D2192" t="s">
        <v>441</v>
      </c>
      <c r="F2192">
        <v>0</v>
      </c>
      <c r="G2192">
        <v>20.350000000000001</v>
      </c>
      <c r="H2192" t="s">
        <v>8588</v>
      </c>
      <c r="I2192">
        <v>16</v>
      </c>
      <c r="J2192" t="s">
        <v>462</v>
      </c>
      <c r="M2192">
        <v>7112</v>
      </c>
      <c r="N2192" t="s">
        <v>16058</v>
      </c>
    </row>
    <row r="2193" spans="1:14">
      <c r="A2193">
        <v>14270087</v>
      </c>
      <c r="B2193">
        <v>3028140</v>
      </c>
      <c r="C2193" t="s">
        <v>9502</v>
      </c>
      <c r="D2193" t="s">
        <v>441</v>
      </c>
      <c r="F2193">
        <v>0</v>
      </c>
      <c r="G2193">
        <v>14.45</v>
      </c>
      <c r="H2193" t="s">
        <v>8588</v>
      </c>
      <c r="I2193">
        <v>6</v>
      </c>
      <c r="J2193" t="s">
        <v>445</v>
      </c>
      <c r="K2193" t="s">
        <v>446</v>
      </c>
      <c r="M2193">
        <v>2641</v>
      </c>
      <c r="N2193" t="s">
        <v>16058</v>
      </c>
    </row>
    <row r="2194" spans="1:14">
      <c r="A2194">
        <v>14270097</v>
      </c>
      <c r="B2194">
        <v>4006178</v>
      </c>
      <c r="C2194" t="s">
        <v>9503</v>
      </c>
      <c r="D2194" t="s">
        <v>442</v>
      </c>
      <c r="E2194" t="s">
        <v>441</v>
      </c>
      <c r="F2194">
        <v>1</v>
      </c>
      <c r="G2194">
        <v>12.07</v>
      </c>
      <c r="H2194" t="s">
        <v>8588</v>
      </c>
      <c r="I2194">
        <v>12</v>
      </c>
      <c r="J2194" t="s">
        <v>462</v>
      </c>
      <c r="K2194" t="s">
        <v>446</v>
      </c>
      <c r="M2194">
        <v>2611</v>
      </c>
    </row>
    <row r="2195" spans="1:14">
      <c r="A2195">
        <v>14270100</v>
      </c>
      <c r="B2195">
        <v>3003313</v>
      </c>
      <c r="C2195" t="s">
        <v>9504</v>
      </c>
      <c r="D2195" t="s">
        <v>441</v>
      </c>
      <c r="F2195">
        <v>0</v>
      </c>
      <c r="H2195" t="s">
        <v>8588</v>
      </c>
      <c r="I2195">
        <v>6</v>
      </c>
      <c r="J2195" t="s">
        <v>445</v>
      </c>
      <c r="K2195" t="s">
        <v>446</v>
      </c>
      <c r="M2195">
        <v>2391</v>
      </c>
    </row>
    <row r="2196" spans="1:14">
      <c r="A2196">
        <v>14270102</v>
      </c>
      <c r="B2196">
        <v>3004422</v>
      </c>
      <c r="C2196" t="s">
        <v>9505</v>
      </c>
      <c r="D2196" t="s">
        <v>441</v>
      </c>
      <c r="F2196">
        <v>0</v>
      </c>
      <c r="H2196" t="s">
        <v>8549</v>
      </c>
      <c r="I2196">
        <v>365</v>
      </c>
      <c r="J2196" t="s">
        <v>445</v>
      </c>
      <c r="K2196" t="s">
        <v>446</v>
      </c>
      <c r="M2196">
        <v>7113</v>
      </c>
    </row>
    <row r="2197" spans="1:14">
      <c r="A2197">
        <v>14270104</v>
      </c>
      <c r="B2197">
        <v>3009483</v>
      </c>
      <c r="C2197" t="s">
        <v>1528</v>
      </c>
      <c r="D2197" t="s">
        <v>441</v>
      </c>
      <c r="F2197">
        <v>0</v>
      </c>
      <c r="G2197">
        <v>13.18</v>
      </c>
      <c r="H2197" t="s">
        <v>8588</v>
      </c>
      <c r="I2197">
        <v>365</v>
      </c>
      <c r="J2197" t="s">
        <v>445</v>
      </c>
      <c r="K2197" t="s">
        <v>446</v>
      </c>
      <c r="M2197">
        <v>2391</v>
      </c>
    </row>
    <row r="2198" spans="1:14">
      <c r="A2198">
        <v>14270106</v>
      </c>
      <c r="B2198">
        <v>4008066</v>
      </c>
      <c r="C2198" t="s">
        <v>9506</v>
      </c>
      <c r="D2198" t="s">
        <v>441</v>
      </c>
      <c r="F2198">
        <v>0</v>
      </c>
      <c r="G2198">
        <v>15.68</v>
      </c>
      <c r="H2198" t="s">
        <v>8588</v>
      </c>
      <c r="I2198">
        <v>365</v>
      </c>
      <c r="J2198" t="s">
        <v>462</v>
      </c>
      <c r="K2198" t="s">
        <v>446</v>
      </c>
      <c r="M2198">
        <v>7161</v>
      </c>
    </row>
    <row r="2199" spans="1:14">
      <c r="A2199">
        <v>14270110</v>
      </c>
      <c r="B2199">
        <v>3031618</v>
      </c>
      <c r="C2199" t="s">
        <v>1529</v>
      </c>
      <c r="D2199" t="s">
        <v>441</v>
      </c>
      <c r="F2199">
        <v>0</v>
      </c>
      <c r="H2199" t="s">
        <v>8588</v>
      </c>
      <c r="I2199">
        <v>0</v>
      </c>
      <c r="J2199" t="s">
        <v>445</v>
      </c>
      <c r="K2199" t="s">
        <v>446</v>
      </c>
      <c r="M2199">
        <v>0</v>
      </c>
      <c r="N2199" t="s">
        <v>16058</v>
      </c>
    </row>
    <row r="2200" spans="1:14">
      <c r="A2200">
        <v>14270120</v>
      </c>
      <c r="B2200">
        <v>4003431</v>
      </c>
      <c r="C2200" t="s">
        <v>1530</v>
      </c>
      <c r="D2200" t="s">
        <v>441</v>
      </c>
      <c r="F2200">
        <v>0</v>
      </c>
      <c r="G2200">
        <v>16</v>
      </c>
      <c r="H2200" t="s">
        <v>8588</v>
      </c>
      <c r="I2200">
        <v>6</v>
      </c>
      <c r="J2200" t="s">
        <v>462</v>
      </c>
      <c r="M2200">
        <v>7112</v>
      </c>
      <c r="N2200" t="s">
        <v>16058</v>
      </c>
    </row>
    <row r="2201" spans="1:14">
      <c r="A2201">
        <v>14270121</v>
      </c>
      <c r="B2201">
        <v>3005584</v>
      </c>
      <c r="C2201" t="s">
        <v>9507</v>
      </c>
      <c r="D2201" t="s">
        <v>441</v>
      </c>
      <c r="F2201">
        <v>0</v>
      </c>
      <c r="G2201">
        <v>12.84</v>
      </c>
      <c r="H2201" t="s">
        <v>8588</v>
      </c>
      <c r="I2201">
        <v>6</v>
      </c>
      <c r="J2201" t="s">
        <v>445</v>
      </c>
      <c r="K2201" t="s">
        <v>446</v>
      </c>
      <c r="M2201">
        <v>7161</v>
      </c>
    </row>
    <row r="2202" spans="1:14">
      <c r="A2202">
        <v>14270122</v>
      </c>
      <c r="B2202">
        <v>4007526</v>
      </c>
      <c r="C2202" t="s">
        <v>1531</v>
      </c>
      <c r="D2202" t="s">
        <v>441</v>
      </c>
      <c r="F2202">
        <v>0</v>
      </c>
      <c r="G2202">
        <v>16.07</v>
      </c>
      <c r="H2202" t="s">
        <v>8588</v>
      </c>
      <c r="I2202">
        <v>6</v>
      </c>
      <c r="J2202" t="s">
        <v>462</v>
      </c>
      <c r="M2202">
        <v>6666</v>
      </c>
      <c r="N2202" t="s">
        <v>16061</v>
      </c>
    </row>
    <row r="2203" spans="1:14">
      <c r="A2203">
        <v>14270130</v>
      </c>
      <c r="B2203">
        <v>3011176</v>
      </c>
      <c r="C2203" t="s">
        <v>9508</v>
      </c>
      <c r="D2203" t="s">
        <v>441</v>
      </c>
      <c r="F2203">
        <v>0</v>
      </c>
      <c r="H2203" t="s">
        <v>8588</v>
      </c>
      <c r="I2203">
        <v>6</v>
      </c>
      <c r="J2203" t="s">
        <v>445</v>
      </c>
      <c r="K2203" t="s">
        <v>446</v>
      </c>
      <c r="M2203">
        <v>2391</v>
      </c>
    </row>
    <row r="2204" spans="1:14">
      <c r="A2204">
        <v>14270140</v>
      </c>
      <c r="B2204">
        <v>3014808</v>
      </c>
      <c r="C2204" t="s">
        <v>1532</v>
      </c>
      <c r="D2204" t="s">
        <v>441</v>
      </c>
      <c r="F2204">
        <v>0</v>
      </c>
      <c r="H2204" t="s">
        <v>8588</v>
      </c>
      <c r="I2204">
        <v>540</v>
      </c>
      <c r="J2204" t="s">
        <v>445</v>
      </c>
      <c r="M2204">
        <v>7161</v>
      </c>
      <c r="N2204" t="s">
        <v>16058</v>
      </c>
    </row>
    <row r="2205" spans="1:14">
      <c r="A2205">
        <v>14270150</v>
      </c>
      <c r="B2205">
        <v>3014815</v>
      </c>
      <c r="C2205" t="s">
        <v>1533</v>
      </c>
      <c r="D2205" t="s">
        <v>441</v>
      </c>
      <c r="F2205">
        <v>0</v>
      </c>
      <c r="H2205" t="s">
        <v>8588</v>
      </c>
      <c r="I2205">
        <v>540</v>
      </c>
      <c r="J2205" t="s">
        <v>445</v>
      </c>
      <c r="M2205">
        <v>7161</v>
      </c>
      <c r="N2205" t="s">
        <v>16058</v>
      </c>
    </row>
    <row r="2206" spans="1:14">
      <c r="A2206">
        <v>14270152</v>
      </c>
      <c r="B2206">
        <v>3012027</v>
      </c>
      <c r="C2206" t="s">
        <v>1534</v>
      </c>
      <c r="D2206" t="s">
        <v>441</v>
      </c>
      <c r="F2206">
        <v>0</v>
      </c>
      <c r="H2206" t="s">
        <v>8588</v>
      </c>
      <c r="I2206">
        <v>540</v>
      </c>
      <c r="J2206" t="s">
        <v>445</v>
      </c>
      <c r="M2206">
        <v>7113</v>
      </c>
      <c r="N2206" t="s">
        <v>16058</v>
      </c>
    </row>
    <row r="2207" spans="1:14">
      <c r="A2207">
        <v>14270161</v>
      </c>
      <c r="B2207">
        <v>3009306</v>
      </c>
      <c r="C2207" t="s">
        <v>9509</v>
      </c>
      <c r="D2207" t="s">
        <v>441</v>
      </c>
      <c r="F2207">
        <v>0</v>
      </c>
      <c r="G2207">
        <v>12.81</v>
      </c>
      <c r="H2207" t="s">
        <v>8588</v>
      </c>
      <c r="I2207">
        <v>365</v>
      </c>
      <c r="J2207" t="s">
        <v>445</v>
      </c>
      <c r="K2207" t="s">
        <v>446</v>
      </c>
      <c r="M2207">
        <v>7161</v>
      </c>
    </row>
    <row r="2208" spans="1:14">
      <c r="A2208">
        <v>14270502</v>
      </c>
      <c r="B2208">
        <v>3007599</v>
      </c>
      <c r="C2208" t="s">
        <v>1535</v>
      </c>
      <c r="D2208" t="s">
        <v>441</v>
      </c>
      <c r="F2208">
        <v>0</v>
      </c>
      <c r="G2208">
        <v>12.75</v>
      </c>
      <c r="H2208" t="s">
        <v>8580</v>
      </c>
      <c r="I2208">
        <v>6</v>
      </c>
      <c r="J2208" t="s">
        <v>445</v>
      </c>
      <c r="K2208" t="s">
        <v>446</v>
      </c>
      <c r="M2208">
        <v>2641</v>
      </c>
      <c r="N2208" t="s">
        <v>16058</v>
      </c>
    </row>
    <row r="2209" spans="1:14">
      <c r="A2209">
        <v>14270526</v>
      </c>
      <c r="B2209">
        <v>3017894</v>
      </c>
      <c r="C2209" t="s">
        <v>9510</v>
      </c>
      <c r="D2209" t="s">
        <v>441</v>
      </c>
      <c r="F2209">
        <v>0</v>
      </c>
      <c r="G2209">
        <v>14.83</v>
      </c>
      <c r="H2209" t="s">
        <v>8580</v>
      </c>
      <c r="I2209">
        <v>365</v>
      </c>
      <c r="J2209" t="s">
        <v>445</v>
      </c>
      <c r="K2209" t="s">
        <v>446</v>
      </c>
      <c r="L2209">
        <v>20162</v>
      </c>
      <c r="M2209">
        <v>2641</v>
      </c>
      <c r="N2209" t="s">
        <v>16058</v>
      </c>
    </row>
    <row r="2210" spans="1:14">
      <c r="A2210">
        <v>14270527</v>
      </c>
      <c r="B2210">
        <v>3017085</v>
      </c>
      <c r="C2210" t="s">
        <v>1536</v>
      </c>
      <c r="D2210" t="s">
        <v>441</v>
      </c>
      <c r="F2210">
        <v>0</v>
      </c>
      <c r="G2210">
        <v>14.84</v>
      </c>
      <c r="H2210" t="s">
        <v>8637</v>
      </c>
      <c r="I2210">
        <v>365</v>
      </c>
      <c r="J2210" t="s">
        <v>445</v>
      </c>
      <c r="K2210" t="s">
        <v>446</v>
      </c>
      <c r="M2210">
        <v>2641</v>
      </c>
      <c r="N2210" t="s">
        <v>16058</v>
      </c>
    </row>
    <row r="2211" spans="1:14">
      <c r="A2211">
        <v>14270528</v>
      </c>
      <c r="B2211">
        <v>3014962</v>
      </c>
      <c r="C2211" t="s">
        <v>9511</v>
      </c>
      <c r="D2211" t="s">
        <v>441</v>
      </c>
      <c r="F2211">
        <v>0</v>
      </c>
      <c r="G2211">
        <v>14.82</v>
      </c>
      <c r="I2211">
        <v>365</v>
      </c>
      <c r="J2211" t="s">
        <v>445</v>
      </c>
      <c r="K2211" t="s">
        <v>446</v>
      </c>
      <c r="M2211">
        <v>2641</v>
      </c>
      <c r="N2211" t="s">
        <v>16058</v>
      </c>
    </row>
    <row r="2212" spans="1:14">
      <c r="A2212">
        <v>14270541</v>
      </c>
      <c r="B2212">
        <v>3009009</v>
      </c>
      <c r="C2212" t="s">
        <v>9512</v>
      </c>
      <c r="D2212" t="s">
        <v>441</v>
      </c>
      <c r="F2212">
        <v>0</v>
      </c>
      <c r="G2212">
        <v>10.47</v>
      </c>
      <c r="H2212" t="s">
        <v>8580</v>
      </c>
      <c r="I2212">
        <v>11</v>
      </c>
      <c r="J2212" t="s">
        <v>445</v>
      </c>
      <c r="K2212" t="s">
        <v>446</v>
      </c>
      <c r="M2212">
        <v>2612</v>
      </c>
      <c r="N2212" t="s">
        <v>16058</v>
      </c>
    </row>
    <row r="2213" spans="1:14">
      <c r="A2213">
        <v>14270561</v>
      </c>
      <c r="B2213">
        <v>3009022</v>
      </c>
      <c r="C2213" t="s">
        <v>9513</v>
      </c>
      <c r="D2213" t="s">
        <v>441</v>
      </c>
      <c r="F2213">
        <v>0</v>
      </c>
      <c r="G2213">
        <v>10.53</v>
      </c>
      <c r="I2213">
        <v>11</v>
      </c>
      <c r="J2213" t="s">
        <v>445</v>
      </c>
      <c r="K2213" t="s">
        <v>446</v>
      </c>
      <c r="M2213">
        <v>2612</v>
      </c>
      <c r="N2213" t="s">
        <v>16058</v>
      </c>
    </row>
    <row r="2214" spans="1:14">
      <c r="A2214">
        <v>14270562</v>
      </c>
      <c r="B2214">
        <v>3009138</v>
      </c>
      <c r="C2214" t="s">
        <v>1537</v>
      </c>
      <c r="D2214" t="s">
        <v>441</v>
      </c>
      <c r="F2214">
        <v>0</v>
      </c>
      <c r="G2214">
        <v>11.39</v>
      </c>
      <c r="I2214">
        <v>540</v>
      </c>
      <c r="J2214" t="s">
        <v>445</v>
      </c>
      <c r="M2214">
        <v>2502</v>
      </c>
      <c r="N2214" t="s">
        <v>16058</v>
      </c>
    </row>
    <row r="2215" spans="1:14">
      <c r="A2215">
        <v>14270571</v>
      </c>
      <c r="B2215">
        <v>3031220</v>
      </c>
      <c r="C2215" t="s">
        <v>1538</v>
      </c>
      <c r="D2215" t="s">
        <v>441</v>
      </c>
      <c r="F2215">
        <v>0</v>
      </c>
      <c r="G2215">
        <v>11.4</v>
      </c>
      <c r="H2215" t="s">
        <v>8634</v>
      </c>
      <c r="I2215">
        <v>540</v>
      </c>
      <c r="J2215" t="s">
        <v>445</v>
      </c>
      <c r="M2215">
        <v>2502</v>
      </c>
      <c r="N2215" t="s">
        <v>16058</v>
      </c>
    </row>
    <row r="2216" spans="1:14">
      <c r="A2216">
        <v>14270602</v>
      </c>
      <c r="B2216">
        <v>3007600</v>
      </c>
      <c r="C2216" t="s">
        <v>1539</v>
      </c>
      <c r="D2216" t="s">
        <v>441</v>
      </c>
      <c r="F2216">
        <v>0</v>
      </c>
      <c r="G2216">
        <v>13.4</v>
      </c>
      <c r="H2216" t="s">
        <v>8588</v>
      </c>
      <c r="I2216">
        <v>4</v>
      </c>
      <c r="J2216" t="s">
        <v>445</v>
      </c>
      <c r="K2216" t="s">
        <v>446</v>
      </c>
      <c r="M2216">
        <v>2511</v>
      </c>
      <c r="N2216" t="s">
        <v>16058</v>
      </c>
    </row>
    <row r="2217" spans="1:14">
      <c r="A2217">
        <v>14270606</v>
      </c>
      <c r="B2217">
        <v>3010012</v>
      </c>
      <c r="C2217" t="s">
        <v>1540</v>
      </c>
      <c r="D2217" t="s">
        <v>441</v>
      </c>
      <c r="F2217">
        <v>0</v>
      </c>
      <c r="G2217">
        <v>15.97</v>
      </c>
      <c r="H2217" t="s">
        <v>8580</v>
      </c>
      <c r="I2217">
        <v>4</v>
      </c>
      <c r="J2217" t="s">
        <v>445</v>
      </c>
      <c r="K2217" t="s">
        <v>446</v>
      </c>
      <c r="M2217">
        <v>2511</v>
      </c>
    </row>
    <row r="2218" spans="1:14">
      <c r="A2218">
        <v>14270620</v>
      </c>
      <c r="B2218">
        <v>3009677</v>
      </c>
      <c r="C2218" t="s">
        <v>1541</v>
      </c>
      <c r="D2218" t="s">
        <v>441</v>
      </c>
      <c r="F2218">
        <v>0</v>
      </c>
      <c r="G2218">
        <v>14.15</v>
      </c>
      <c r="H2218" t="s">
        <v>8580</v>
      </c>
      <c r="I2218">
        <v>4</v>
      </c>
      <c r="J2218" t="s">
        <v>445</v>
      </c>
      <c r="K2218" t="s">
        <v>446</v>
      </c>
      <c r="M2218">
        <v>2511</v>
      </c>
    </row>
    <row r="2219" spans="1:14">
      <c r="A2219">
        <v>14270641</v>
      </c>
      <c r="B2219">
        <v>3009008</v>
      </c>
      <c r="C2219" t="s">
        <v>1542</v>
      </c>
      <c r="D2219" t="s">
        <v>441</v>
      </c>
      <c r="F2219">
        <v>0</v>
      </c>
      <c r="G2219">
        <v>10.9</v>
      </c>
      <c r="H2219" t="s">
        <v>8580</v>
      </c>
      <c r="I2219">
        <v>4</v>
      </c>
      <c r="J2219" t="s">
        <v>445</v>
      </c>
      <c r="K2219" t="s">
        <v>446</v>
      </c>
      <c r="M2219">
        <v>2511</v>
      </c>
      <c r="N2219" t="s">
        <v>16058</v>
      </c>
    </row>
    <row r="2220" spans="1:14">
      <c r="A2220">
        <v>14270652</v>
      </c>
      <c r="B2220">
        <v>3012040</v>
      </c>
      <c r="C2220" t="s">
        <v>1543</v>
      </c>
      <c r="D2220" t="s">
        <v>441</v>
      </c>
      <c r="F2220">
        <v>0</v>
      </c>
      <c r="G2220">
        <v>13.54</v>
      </c>
      <c r="H2220" t="s">
        <v>8584</v>
      </c>
      <c r="I2220">
        <v>4</v>
      </c>
      <c r="J2220" t="s">
        <v>445</v>
      </c>
      <c r="K2220" t="s">
        <v>446</v>
      </c>
      <c r="M2220">
        <v>2511</v>
      </c>
    </row>
    <row r="2221" spans="1:14">
      <c r="A2221">
        <v>14270661</v>
      </c>
      <c r="B2221">
        <v>3009023</v>
      </c>
      <c r="C2221" t="s">
        <v>1544</v>
      </c>
      <c r="D2221" t="s">
        <v>441</v>
      </c>
      <c r="F2221">
        <v>0</v>
      </c>
      <c r="G2221">
        <v>8.17</v>
      </c>
      <c r="I2221">
        <v>4</v>
      </c>
      <c r="J2221" t="s">
        <v>445</v>
      </c>
      <c r="K2221" t="s">
        <v>446</v>
      </c>
      <c r="M2221">
        <v>2511</v>
      </c>
    </row>
    <row r="2222" spans="1:14">
      <c r="A2222">
        <v>14270662</v>
      </c>
      <c r="B2222">
        <v>3010026</v>
      </c>
      <c r="C2222" t="s">
        <v>1545</v>
      </c>
      <c r="D2222" t="s">
        <v>441</v>
      </c>
      <c r="F2222">
        <v>0</v>
      </c>
      <c r="G2222">
        <v>8.41</v>
      </c>
      <c r="H2222" t="s">
        <v>8580</v>
      </c>
      <c r="I2222">
        <v>4</v>
      </c>
      <c r="J2222" t="s">
        <v>445</v>
      </c>
      <c r="K2222" t="s">
        <v>446</v>
      </c>
      <c r="M2222">
        <v>2511</v>
      </c>
    </row>
    <row r="2223" spans="1:14">
      <c r="A2223">
        <v>14270902</v>
      </c>
      <c r="B2223">
        <v>3020250</v>
      </c>
      <c r="C2223" t="s">
        <v>1546</v>
      </c>
      <c r="D2223" t="s">
        <v>441</v>
      </c>
      <c r="F2223">
        <v>0</v>
      </c>
      <c r="H2223" t="s">
        <v>8634</v>
      </c>
      <c r="I2223">
        <v>4</v>
      </c>
      <c r="J2223" t="s">
        <v>445</v>
      </c>
      <c r="K2223" t="s">
        <v>446</v>
      </c>
      <c r="M2223">
        <v>6666</v>
      </c>
      <c r="N2223" t="s">
        <v>16058</v>
      </c>
    </row>
    <row r="2224" spans="1:14">
      <c r="A2224">
        <v>14271020</v>
      </c>
      <c r="B2224">
        <v>4011599</v>
      </c>
      <c r="C2224" t="s">
        <v>14254</v>
      </c>
      <c r="D2224" t="s">
        <v>441</v>
      </c>
      <c r="F2224">
        <v>0</v>
      </c>
      <c r="G2224">
        <v>19.350000000000001</v>
      </c>
      <c r="H2224" t="s">
        <v>8588</v>
      </c>
      <c r="I2224">
        <v>6</v>
      </c>
      <c r="J2224" t="s">
        <v>462</v>
      </c>
      <c r="L2224">
        <v>2831120</v>
      </c>
      <c r="M2224">
        <v>7112</v>
      </c>
      <c r="N2224" t="s">
        <v>16058</v>
      </c>
    </row>
    <row r="2225" spans="1:14">
      <c r="A2225">
        <v>14271021</v>
      </c>
      <c r="B2225">
        <v>4011837</v>
      </c>
      <c r="C2225" t="s">
        <v>9514</v>
      </c>
      <c r="D2225" t="s">
        <v>441</v>
      </c>
      <c r="F2225">
        <v>0</v>
      </c>
      <c r="G2225">
        <v>10.35</v>
      </c>
      <c r="H2225" t="s">
        <v>8588</v>
      </c>
      <c r="I2225">
        <v>6</v>
      </c>
      <c r="J2225" t="s">
        <v>462</v>
      </c>
      <c r="K2225" t="s">
        <v>446</v>
      </c>
      <c r="M2225">
        <v>2641</v>
      </c>
      <c r="N2225" t="s">
        <v>16058</v>
      </c>
    </row>
    <row r="2226" spans="1:14">
      <c r="A2226">
        <v>14271026</v>
      </c>
      <c r="B2226">
        <v>4012236</v>
      </c>
      <c r="C2226" t="s">
        <v>9515</v>
      </c>
      <c r="D2226" t="s">
        <v>441</v>
      </c>
      <c r="F2226">
        <v>0</v>
      </c>
      <c r="G2226">
        <v>15.02</v>
      </c>
      <c r="H2226" t="s">
        <v>8588</v>
      </c>
      <c r="I2226">
        <v>365</v>
      </c>
      <c r="J2226" t="s">
        <v>462</v>
      </c>
      <c r="K2226" t="s">
        <v>446</v>
      </c>
      <c r="M2226">
        <v>2501</v>
      </c>
      <c r="N2226" t="s">
        <v>16058</v>
      </c>
    </row>
    <row r="2227" spans="1:14">
      <c r="A2227">
        <v>14271027</v>
      </c>
      <c r="B2227">
        <v>4012182</v>
      </c>
      <c r="C2227" t="s">
        <v>9516</v>
      </c>
      <c r="D2227" t="s">
        <v>441</v>
      </c>
      <c r="F2227">
        <v>0</v>
      </c>
      <c r="G2227">
        <v>15.02</v>
      </c>
      <c r="H2227" t="s">
        <v>8588</v>
      </c>
      <c r="I2227">
        <v>365</v>
      </c>
      <c r="J2227" t="s">
        <v>462</v>
      </c>
      <c r="K2227" t="s">
        <v>446</v>
      </c>
      <c r="M2227">
        <v>2501</v>
      </c>
      <c r="N2227" t="s">
        <v>16058</v>
      </c>
    </row>
    <row r="2228" spans="1:14">
      <c r="A2228">
        <v>14271028</v>
      </c>
      <c r="B2228">
        <v>4012126</v>
      </c>
      <c r="C2228" t="s">
        <v>9517</v>
      </c>
      <c r="D2228" t="s">
        <v>441</v>
      </c>
      <c r="F2228">
        <v>0</v>
      </c>
      <c r="G2228">
        <v>15</v>
      </c>
      <c r="H2228" t="s">
        <v>8588</v>
      </c>
      <c r="I2228">
        <v>365</v>
      </c>
      <c r="J2228" t="s">
        <v>462</v>
      </c>
      <c r="K2228" t="s">
        <v>446</v>
      </c>
      <c r="M2228">
        <v>2501</v>
      </c>
      <c r="N2228" t="s">
        <v>16058</v>
      </c>
    </row>
    <row r="2229" spans="1:14">
      <c r="A2229">
        <v>14271030</v>
      </c>
      <c r="B2229">
        <v>4011628</v>
      </c>
      <c r="C2229" t="s">
        <v>9518</v>
      </c>
      <c r="D2229" t="s">
        <v>441</v>
      </c>
      <c r="F2229">
        <v>0</v>
      </c>
      <c r="G2229">
        <v>13.5</v>
      </c>
      <c r="H2229" t="s">
        <v>8588</v>
      </c>
      <c r="I2229">
        <v>12</v>
      </c>
      <c r="J2229" t="s">
        <v>462</v>
      </c>
      <c r="K2229" t="s">
        <v>446</v>
      </c>
      <c r="M2229">
        <v>2611</v>
      </c>
    </row>
    <row r="2230" spans="1:14">
      <c r="A2230">
        <v>14271038</v>
      </c>
      <c r="B2230">
        <v>4011600</v>
      </c>
      <c r="C2230" t="s">
        <v>9519</v>
      </c>
      <c r="D2230" t="s">
        <v>442</v>
      </c>
      <c r="E2230" t="s">
        <v>441</v>
      </c>
      <c r="F2230">
        <v>1</v>
      </c>
      <c r="G2230">
        <v>13.59</v>
      </c>
      <c r="H2230" t="s">
        <v>8588</v>
      </c>
      <c r="I2230">
        <v>12</v>
      </c>
      <c r="J2230" t="s">
        <v>462</v>
      </c>
      <c r="K2230" t="s">
        <v>446</v>
      </c>
      <c r="M2230">
        <v>2611</v>
      </c>
      <c r="N2230" t="s">
        <v>16061</v>
      </c>
    </row>
    <row r="2231" spans="1:14">
      <c r="A2231">
        <v>14271040</v>
      </c>
      <c r="B2231">
        <v>4011851</v>
      </c>
      <c r="C2231" t="s">
        <v>9520</v>
      </c>
      <c r="D2231" t="s">
        <v>441</v>
      </c>
      <c r="F2231">
        <v>0</v>
      </c>
      <c r="G2231">
        <v>11.34</v>
      </c>
      <c r="H2231" t="s">
        <v>8588</v>
      </c>
      <c r="I2231">
        <v>11</v>
      </c>
      <c r="J2231" t="s">
        <v>462</v>
      </c>
      <c r="K2231" t="s">
        <v>446</v>
      </c>
      <c r="M2231">
        <v>2641</v>
      </c>
      <c r="N2231" t="s">
        <v>16058</v>
      </c>
    </row>
    <row r="2232" spans="1:14">
      <c r="A2232">
        <v>14271041</v>
      </c>
      <c r="B2232">
        <v>4011460</v>
      </c>
      <c r="C2232" t="s">
        <v>9521</v>
      </c>
      <c r="D2232" t="s">
        <v>441</v>
      </c>
      <c r="F2232">
        <v>0</v>
      </c>
      <c r="G2232">
        <v>11.91</v>
      </c>
      <c r="H2232" t="s">
        <v>8588</v>
      </c>
      <c r="I2232">
        <v>11</v>
      </c>
      <c r="J2232" t="s">
        <v>462</v>
      </c>
      <c r="K2232" t="s">
        <v>446</v>
      </c>
      <c r="M2232">
        <v>2612</v>
      </c>
    </row>
    <row r="2233" spans="1:14">
      <c r="A2233">
        <v>14271042</v>
      </c>
      <c r="B2233">
        <v>4011772</v>
      </c>
      <c r="C2233" t="s">
        <v>9522</v>
      </c>
      <c r="D2233" t="s">
        <v>441</v>
      </c>
      <c r="F2233">
        <v>0</v>
      </c>
      <c r="G2233">
        <v>13.37</v>
      </c>
      <c r="H2233" t="s">
        <v>8588</v>
      </c>
      <c r="I2233">
        <v>12</v>
      </c>
      <c r="J2233" t="s">
        <v>462</v>
      </c>
      <c r="K2233" t="s">
        <v>446</v>
      </c>
      <c r="M2233">
        <v>2612</v>
      </c>
      <c r="N2233" t="s">
        <v>16058</v>
      </c>
    </row>
    <row r="2234" spans="1:14">
      <c r="A2234">
        <v>14271043</v>
      </c>
      <c r="B2234">
        <v>4011601</v>
      </c>
      <c r="C2234" t="s">
        <v>9523</v>
      </c>
      <c r="D2234" t="s">
        <v>441</v>
      </c>
      <c r="F2234">
        <v>0</v>
      </c>
      <c r="G2234">
        <v>9.5</v>
      </c>
      <c r="H2234" t="s">
        <v>8588</v>
      </c>
      <c r="I2234">
        <v>11</v>
      </c>
      <c r="J2234" t="s">
        <v>462</v>
      </c>
      <c r="K2234" t="s">
        <v>446</v>
      </c>
      <c r="M2234">
        <v>2612</v>
      </c>
    </row>
    <row r="2235" spans="1:14">
      <c r="A2235">
        <v>14271044</v>
      </c>
      <c r="B2235">
        <v>4011773</v>
      </c>
      <c r="C2235" t="s">
        <v>9524</v>
      </c>
      <c r="D2235" t="s">
        <v>441</v>
      </c>
      <c r="F2235">
        <v>0</v>
      </c>
      <c r="G2235">
        <v>9.5</v>
      </c>
      <c r="H2235" t="s">
        <v>8588</v>
      </c>
      <c r="I2235">
        <v>11</v>
      </c>
      <c r="J2235" t="s">
        <v>462</v>
      </c>
      <c r="K2235" t="s">
        <v>446</v>
      </c>
      <c r="M2235">
        <v>2612</v>
      </c>
    </row>
    <row r="2236" spans="1:14">
      <c r="A2236">
        <v>14271046</v>
      </c>
      <c r="B2236">
        <v>4016468</v>
      </c>
      <c r="C2236" t="s">
        <v>1547</v>
      </c>
      <c r="D2236" t="s">
        <v>441</v>
      </c>
      <c r="F2236">
        <v>0</v>
      </c>
      <c r="G2236">
        <v>19.350000000000001</v>
      </c>
      <c r="H2236" t="s">
        <v>8588</v>
      </c>
      <c r="I2236">
        <v>16</v>
      </c>
      <c r="J2236" t="s">
        <v>462</v>
      </c>
      <c r="M2236">
        <v>7112</v>
      </c>
      <c r="N2236" t="s">
        <v>16058</v>
      </c>
    </row>
    <row r="2237" spans="1:14">
      <c r="A2237">
        <v>14271047</v>
      </c>
      <c r="B2237">
        <v>4011672</v>
      </c>
      <c r="C2237" t="s">
        <v>9525</v>
      </c>
      <c r="D2237" t="s">
        <v>441</v>
      </c>
      <c r="F2237">
        <v>0</v>
      </c>
      <c r="G2237">
        <v>9.57</v>
      </c>
      <c r="H2237" t="s">
        <v>8588</v>
      </c>
      <c r="I2237">
        <v>11</v>
      </c>
      <c r="J2237" t="s">
        <v>462</v>
      </c>
      <c r="K2237" t="s">
        <v>446</v>
      </c>
      <c r="M2237">
        <v>2612</v>
      </c>
    </row>
    <row r="2238" spans="1:14">
      <c r="A2238">
        <v>14271048</v>
      </c>
      <c r="B2238">
        <v>4011779</v>
      </c>
      <c r="C2238" t="s">
        <v>9526</v>
      </c>
      <c r="D2238" t="s">
        <v>441</v>
      </c>
      <c r="F2238">
        <v>0</v>
      </c>
      <c r="G2238">
        <v>12.18</v>
      </c>
      <c r="H2238" t="s">
        <v>8588</v>
      </c>
      <c r="I2238">
        <v>11</v>
      </c>
      <c r="J2238" t="s">
        <v>462</v>
      </c>
      <c r="K2238" t="s">
        <v>446</v>
      </c>
      <c r="M2238">
        <v>2612</v>
      </c>
    </row>
    <row r="2239" spans="1:14">
      <c r="A2239">
        <v>14271049</v>
      </c>
      <c r="B2239">
        <v>4012161</v>
      </c>
      <c r="C2239" t="s">
        <v>9527</v>
      </c>
      <c r="D2239" t="s">
        <v>441</v>
      </c>
      <c r="F2239">
        <v>0</v>
      </c>
      <c r="G2239">
        <v>11.7</v>
      </c>
      <c r="H2239" t="s">
        <v>8588</v>
      </c>
      <c r="I2239">
        <v>10</v>
      </c>
      <c r="J2239" t="s">
        <v>462</v>
      </c>
      <c r="K2239" t="s">
        <v>446</v>
      </c>
      <c r="M2239">
        <v>2612</v>
      </c>
      <c r="N2239" t="s">
        <v>16058</v>
      </c>
    </row>
    <row r="2240" spans="1:14">
      <c r="A2240">
        <v>14271050</v>
      </c>
      <c r="B2240">
        <v>4017712</v>
      </c>
      <c r="C2240" t="s">
        <v>9528</v>
      </c>
      <c r="D2240" t="s">
        <v>441</v>
      </c>
      <c r="F2240">
        <v>0</v>
      </c>
      <c r="G2240">
        <v>15.11</v>
      </c>
      <c r="H2240" t="s">
        <v>8588</v>
      </c>
      <c r="I2240">
        <v>9</v>
      </c>
      <c r="J2240" t="s">
        <v>462</v>
      </c>
      <c r="K2240" t="s">
        <v>446</v>
      </c>
      <c r="M2240">
        <v>2612</v>
      </c>
      <c r="N2240" t="s">
        <v>16060</v>
      </c>
    </row>
    <row r="2241" spans="1:14">
      <c r="A2241">
        <v>14271051</v>
      </c>
      <c r="B2241">
        <v>4011729</v>
      </c>
      <c r="C2241" t="s">
        <v>9529</v>
      </c>
      <c r="D2241" t="s">
        <v>441</v>
      </c>
      <c r="F2241">
        <v>0</v>
      </c>
      <c r="G2241">
        <v>9.5399999999999991</v>
      </c>
      <c r="H2241" t="s">
        <v>8588</v>
      </c>
      <c r="I2241">
        <v>11</v>
      </c>
      <c r="J2241" t="s">
        <v>462</v>
      </c>
      <c r="K2241" t="s">
        <v>446</v>
      </c>
      <c r="M2241">
        <v>2612</v>
      </c>
    </row>
    <row r="2242" spans="1:14">
      <c r="A2242">
        <v>14271052</v>
      </c>
      <c r="B2242">
        <v>4012163</v>
      </c>
      <c r="C2242" t="s">
        <v>9530</v>
      </c>
      <c r="D2242" t="s">
        <v>441</v>
      </c>
      <c r="F2242">
        <v>0</v>
      </c>
      <c r="G2242">
        <v>15.01</v>
      </c>
      <c r="H2242" t="s">
        <v>8588</v>
      </c>
      <c r="I2242">
        <v>10</v>
      </c>
      <c r="J2242" t="s">
        <v>462</v>
      </c>
      <c r="K2242" t="s">
        <v>446</v>
      </c>
      <c r="M2242">
        <v>2612</v>
      </c>
      <c r="N2242" t="s">
        <v>16058</v>
      </c>
    </row>
    <row r="2243" spans="1:14">
      <c r="A2243">
        <v>14271053</v>
      </c>
      <c r="B2243">
        <v>4012162</v>
      </c>
      <c r="C2243" t="s">
        <v>9531</v>
      </c>
      <c r="D2243" t="s">
        <v>441</v>
      </c>
      <c r="F2243">
        <v>0</v>
      </c>
      <c r="G2243">
        <v>15.12</v>
      </c>
      <c r="H2243" t="s">
        <v>8588</v>
      </c>
      <c r="I2243">
        <v>10</v>
      </c>
      <c r="J2243" t="s">
        <v>462</v>
      </c>
      <c r="K2243" t="s">
        <v>446</v>
      </c>
      <c r="M2243">
        <v>2612</v>
      </c>
      <c r="N2243" t="s">
        <v>16058</v>
      </c>
    </row>
    <row r="2244" spans="1:14">
      <c r="A2244">
        <v>14271057</v>
      </c>
      <c r="B2244">
        <v>4016687</v>
      </c>
      <c r="C2244" t="s">
        <v>17394</v>
      </c>
      <c r="D2244" t="s">
        <v>441</v>
      </c>
      <c r="F2244">
        <v>0</v>
      </c>
      <c r="G2244">
        <v>21.15</v>
      </c>
      <c r="H2244" t="s">
        <v>8588</v>
      </c>
      <c r="I2244">
        <v>9</v>
      </c>
      <c r="J2244" t="s">
        <v>462</v>
      </c>
      <c r="M2244">
        <v>2612</v>
      </c>
      <c r="N2244" t="s">
        <v>16060</v>
      </c>
    </row>
    <row r="2245" spans="1:14">
      <c r="A2245">
        <v>14271060</v>
      </c>
      <c r="B2245">
        <v>4029566</v>
      </c>
      <c r="C2245" t="s">
        <v>15308</v>
      </c>
      <c r="D2245" t="s">
        <v>441</v>
      </c>
      <c r="F2245">
        <v>0</v>
      </c>
      <c r="G2245">
        <v>17.309999999999999</v>
      </c>
      <c r="H2245" t="s">
        <v>8588</v>
      </c>
      <c r="I2245">
        <v>14</v>
      </c>
      <c r="J2245" t="s">
        <v>462</v>
      </c>
      <c r="M2245">
        <v>7112</v>
      </c>
      <c r="N2245" t="s">
        <v>16058</v>
      </c>
    </row>
    <row r="2246" spans="1:14">
      <c r="A2246">
        <v>14271062</v>
      </c>
      <c r="B2246">
        <v>4011784</v>
      </c>
      <c r="C2246" t="s">
        <v>9532</v>
      </c>
      <c r="D2246" t="s">
        <v>441</v>
      </c>
      <c r="F2246">
        <v>0</v>
      </c>
      <c r="G2246">
        <v>11.13</v>
      </c>
      <c r="H2246" t="s">
        <v>8588</v>
      </c>
      <c r="I2246">
        <v>365</v>
      </c>
      <c r="J2246" t="s">
        <v>462</v>
      </c>
      <c r="K2246" t="s">
        <v>446</v>
      </c>
      <c r="M2246">
        <v>2501</v>
      </c>
      <c r="N2246" t="s">
        <v>16058</v>
      </c>
    </row>
    <row r="2247" spans="1:14">
      <c r="A2247">
        <v>14271063</v>
      </c>
      <c r="B2247">
        <v>4012181</v>
      </c>
      <c r="C2247" t="s">
        <v>9533</v>
      </c>
      <c r="D2247" t="s">
        <v>441</v>
      </c>
      <c r="F2247">
        <v>0</v>
      </c>
      <c r="G2247">
        <v>9.98</v>
      </c>
      <c r="H2247" t="s">
        <v>8588</v>
      </c>
      <c r="I2247">
        <v>11</v>
      </c>
      <c r="J2247" t="s">
        <v>462</v>
      </c>
      <c r="K2247" t="s">
        <v>446</v>
      </c>
      <c r="M2247">
        <v>2612</v>
      </c>
    </row>
    <row r="2248" spans="1:14">
      <c r="A2248">
        <v>14271064</v>
      </c>
      <c r="B2248">
        <v>4012637</v>
      </c>
      <c r="C2248" t="s">
        <v>1548</v>
      </c>
      <c r="D2248" t="s">
        <v>441</v>
      </c>
      <c r="F2248">
        <v>0</v>
      </c>
      <c r="G2248">
        <v>10.94</v>
      </c>
      <c r="H2248" t="s">
        <v>8588</v>
      </c>
      <c r="I2248">
        <v>16</v>
      </c>
      <c r="J2248" t="s">
        <v>462</v>
      </c>
      <c r="M2248">
        <v>7112</v>
      </c>
      <c r="N2248" t="s">
        <v>16058</v>
      </c>
    </row>
    <row r="2249" spans="1:14">
      <c r="A2249">
        <v>14271065</v>
      </c>
      <c r="B2249">
        <v>4011762</v>
      </c>
      <c r="C2249" t="s">
        <v>9534</v>
      </c>
      <c r="D2249" t="s">
        <v>442</v>
      </c>
      <c r="E2249" t="s">
        <v>441</v>
      </c>
      <c r="F2249">
        <v>4</v>
      </c>
      <c r="G2249">
        <v>42.26</v>
      </c>
      <c r="H2249" t="s">
        <v>8588</v>
      </c>
      <c r="I2249">
        <v>12</v>
      </c>
      <c r="J2249" t="s">
        <v>462</v>
      </c>
      <c r="K2249" t="s">
        <v>446</v>
      </c>
      <c r="M2249">
        <v>2611</v>
      </c>
    </row>
    <row r="2250" spans="1:14">
      <c r="A2250">
        <v>14271066</v>
      </c>
      <c r="B2250">
        <v>4013695</v>
      </c>
      <c r="C2250" t="s">
        <v>9535</v>
      </c>
      <c r="D2250" t="s">
        <v>441</v>
      </c>
      <c r="F2250">
        <v>0</v>
      </c>
      <c r="G2250">
        <v>15.03</v>
      </c>
      <c r="H2250" t="s">
        <v>8588</v>
      </c>
      <c r="I2250">
        <v>16</v>
      </c>
      <c r="J2250" t="s">
        <v>462</v>
      </c>
      <c r="K2250" t="s">
        <v>446</v>
      </c>
      <c r="M2250">
        <v>2612</v>
      </c>
      <c r="N2250" t="s">
        <v>16058</v>
      </c>
    </row>
    <row r="2251" spans="1:14">
      <c r="A2251">
        <v>14271069</v>
      </c>
      <c r="B2251">
        <v>4029634</v>
      </c>
      <c r="C2251" t="s">
        <v>15403</v>
      </c>
      <c r="D2251" t="s">
        <v>441</v>
      </c>
      <c r="F2251">
        <v>0</v>
      </c>
      <c r="G2251">
        <v>17.510000000000002</v>
      </c>
      <c r="H2251" t="s">
        <v>8588</v>
      </c>
      <c r="I2251">
        <v>16</v>
      </c>
      <c r="J2251" t="s">
        <v>462</v>
      </c>
      <c r="M2251">
        <v>7112</v>
      </c>
      <c r="N2251" t="s">
        <v>16058</v>
      </c>
    </row>
    <row r="2252" spans="1:14">
      <c r="A2252">
        <v>14271070</v>
      </c>
      <c r="B2252">
        <v>4024474</v>
      </c>
      <c r="C2252" t="s">
        <v>1549</v>
      </c>
      <c r="D2252" t="s">
        <v>441</v>
      </c>
      <c r="F2252">
        <v>0</v>
      </c>
      <c r="G2252">
        <v>11.38</v>
      </c>
      <c r="H2252" t="s">
        <v>8588</v>
      </c>
      <c r="I2252">
        <v>10</v>
      </c>
      <c r="J2252" t="s">
        <v>462</v>
      </c>
      <c r="M2252">
        <v>7112</v>
      </c>
      <c r="N2252" t="s">
        <v>16058</v>
      </c>
    </row>
    <row r="2253" spans="1:14">
      <c r="A2253">
        <v>14271073</v>
      </c>
      <c r="B2253">
        <v>4030262</v>
      </c>
      <c r="C2253" t="s">
        <v>16064</v>
      </c>
      <c r="D2253" t="s">
        <v>441</v>
      </c>
      <c r="F2253">
        <v>0</v>
      </c>
      <c r="G2253">
        <v>19.559999999999999</v>
      </c>
      <c r="H2253" t="s">
        <v>8588</v>
      </c>
      <c r="I2253">
        <v>16</v>
      </c>
      <c r="J2253" t="s">
        <v>462</v>
      </c>
      <c r="M2253">
        <v>7112</v>
      </c>
      <c r="N2253" t="s">
        <v>16058</v>
      </c>
    </row>
    <row r="2254" spans="1:14">
      <c r="A2254">
        <v>14271075</v>
      </c>
      <c r="B2254">
        <v>3045735</v>
      </c>
      <c r="C2254" t="s">
        <v>16065</v>
      </c>
      <c r="D2254" t="s">
        <v>441</v>
      </c>
      <c r="F2254">
        <v>0</v>
      </c>
      <c r="G2254">
        <v>19.09</v>
      </c>
      <c r="H2254" t="s">
        <v>8588</v>
      </c>
      <c r="I2254">
        <v>6</v>
      </c>
      <c r="J2254" t="s">
        <v>445</v>
      </c>
      <c r="L2254">
        <v>2092014</v>
      </c>
      <c r="M2254">
        <v>7112</v>
      </c>
      <c r="N2254" t="s">
        <v>16058</v>
      </c>
    </row>
    <row r="2255" spans="1:14">
      <c r="A2255">
        <v>14271078</v>
      </c>
      <c r="B2255">
        <v>4029535</v>
      </c>
      <c r="C2255" t="s">
        <v>15309</v>
      </c>
      <c r="D2255" t="s">
        <v>441</v>
      </c>
      <c r="F2255">
        <v>0</v>
      </c>
      <c r="G2255">
        <v>16.86</v>
      </c>
      <c r="H2255" t="s">
        <v>8588</v>
      </c>
      <c r="I2255">
        <v>6</v>
      </c>
      <c r="J2255" t="s">
        <v>462</v>
      </c>
      <c r="L2255">
        <v>2630510</v>
      </c>
      <c r="M2255">
        <v>7112</v>
      </c>
      <c r="N2255" t="s">
        <v>16058</v>
      </c>
    </row>
    <row r="2256" spans="1:14">
      <c r="A2256">
        <v>14271097</v>
      </c>
      <c r="B2256">
        <v>4011648</v>
      </c>
      <c r="C2256" t="s">
        <v>9536</v>
      </c>
      <c r="D2256" t="s">
        <v>442</v>
      </c>
      <c r="E2256" t="s">
        <v>441</v>
      </c>
      <c r="F2256">
        <v>1</v>
      </c>
      <c r="G2256">
        <v>12.07</v>
      </c>
      <c r="H2256" t="s">
        <v>8588</v>
      </c>
      <c r="I2256">
        <v>12</v>
      </c>
      <c r="J2256" t="s">
        <v>462</v>
      </c>
      <c r="K2256" t="s">
        <v>446</v>
      </c>
      <c r="M2256">
        <v>2611</v>
      </c>
    </row>
    <row r="2257" spans="1:14">
      <c r="A2257">
        <v>14271526</v>
      </c>
      <c r="B2257">
        <v>3017895</v>
      </c>
      <c r="C2257" t="s">
        <v>9537</v>
      </c>
      <c r="D2257" t="s">
        <v>441</v>
      </c>
      <c r="F2257">
        <v>0</v>
      </c>
      <c r="G2257">
        <v>14.83</v>
      </c>
      <c r="H2257" t="s">
        <v>8580</v>
      </c>
      <c r="I2257">
        <v>365</v>
      </c>
      <c r="J2257" t="s">
        <v>445</v>
      </c>
      <c r="K2257" t="s">
        <v>446</v>
      </c>
      <c r="M2257">
        <v>2641</v>
      </c>
      <c r="N2257" t="s">
        <v>16058</v>
      </c>
    </row>
    <row r="2258" spans="1:14">
      <c r="A2258">
        <v>14271527</v>
      </c>
      <c r="B2258">
        <v>3017844</v>
      </c>
      <c r="C2258" t="s">
        <v>9538</v>
      </c>
      <c r="D2258" t="s">
        <v>441</v>
      </c>
      <c r="F2258">
        <v>0</v>
      </c>
      <c r="G2258">
        <v>14.84</v>
      </c>
      <c r="H2258" t="s">
        <v>8935</v>
      </c>
      <c r="I2258">
        <v>365</v>
      </c>
      <c r="J2258" t="s">
        <v>445</v>
      </c>
      <c r="K2258" t="s">
        <v>446</v>
      </c>
      <c r="M2258">
        <v>2641</v>
      </c>
      <c r="N2258" t="s">
        <v>16058</v>
      </c>
    </row>
    <row r="2259" spans="1:14">
      <c r="A2259">
        <v>14271528</v>
      </c>
      <c r="B2259">
        <v>3017636</v>
      </c>
      <c r="C2259" t="s">
        <v>9539</v>
      </c>
      <c r="D2259" t="s">
        <v>441</v>
      </c>
      <c r="F2259">
        <v>0</v>
      </c>
      <c r="G2259">
        <v>14.82</v>
      </c>
      <c r="H2259" t="s">
        <v>8622</v>
      </c>
      <c r="I2259">
        <v>365</v>
      </c>
      <c r="J2259" t="s">
        <v>445</v>
      </c>
      <c r="K2259" t="s">
        <v>446</v>
      </c>
      <c r="M2259">
        <v>2641</v>
      </c>
      <c r="N2259" t="s">
        <v>16058</v>
      </c>
    </row>
    <row r="2260" spans="1:14">
      <c r="A2260">
        <v>14271541</v>
      </c>
      <c r="B2260">
        <v>3017433</v>
      </c>
      <c r="C2260" t="s">
        <v>9540</v>
      </c>
      <c r="D2260" t="s">
        <v>441</v>
      </c>
      <c r="F2260">
        <v>0</v>
      </c>
      <c r="G2260">
        <v>12.23</v>
      </c>
      <c r="H2260" t="s">
        <v>8624</v>
      </c>
      <c r="I2260">
        <v>11</v>
      </c>
      <c r="J2260" t="s">
        <v>445</v>
      </c>
      <c r="K2260" t="s">
        <v>446</v>
      </c>
      <c r="M2260">
        <v>2612</v>
      </c>
    </row>
    <row r="2261" spans="1:14">
      <c r="A2261">
        <v>14271561</v>
      </c>
      <c r="B2261">
        <v>3017438</v>
      </c>
      <c r="C2261" t="s">
        <v>9541</v>
      </c>
      <c r="D2261" t="s">
        <v>441</v>
      </c>
      <c r="F2261">
        <v>0</v>
      </c>
      <c r="G2261">
        <v>10.53</v>
      </c>
      <c r="H2261" t="s">
        <v>8637</v>
      </c>
      <c r="I2261">
        <v>11</v>
      </c>
      <c r="J2261" t="s">
        <v>445</v>
      </c>
      <c r="K2261" t="s">
        <v>446</v>
      </c>
      <c r="M2261">
        <v>2612</v>
      </c>
      <c r="N2261" t="s">
        <v>16058</v>
      </c>
    </row>
    <row r="2262" spans="1:14">
      <c r="A2262">
        <v>14271562</v>
      </c>
      <c r="B2262">
        <v>3017445</v>
      </c>
      <c r="C2262" t="s">
        <v>9542</v>
      </c>
      <c r="D2262" t="s">
        <v>441</v>
      </c>
      <c r="F2262">
        <v>0</v>
      </c>
      <c r="G2262">
        <v>10.92</v>
      </c>
      <c r="H2262" t="s">
        <v>8584</v>
      </c>
      <c r="I2262">
        <v>365</v>
      </c>
      <c r="J2262" t="s">
        <v>445</v>
      </c>
      <c r="K2262" t="s">
        <v>446</v>
      </c>
      <c r="M2262">
        <v>2612</v>
      </c>
      <c r="N2262" t="s">
        <v>16058</v>
      </c>
    </row>
    <row r="2263" spans="1:14">
      <c r="A2263">
        <v>14274075</v>
      </c>
      <c r="B2263">
        <v>3035562</v>
      </c>
      <c r="C2263" t="s">
        <v>1550</v>
      </c>
      <c r="D2263" t="s">
        <v>441</v>
      </c>
      <c r="F2263">
        <v>0</v>
      </c>
      <c r="G2263">
        <v>10.77</v>
      </c>
      <c r="H2263" t="s">
        <v>8588</v>
      </c>
      <c r="I2263">
        <v>6</v>
      </c>
      <c r="J2263" t="s">
        <v>445</v>
      </c>
      <c r="L2263">
        <v>2092014</v>
      </c>
      <c r="M2263">
        <v>7112</v>
      </c>
      <c r="N2263" t="s">
        <v>16058</v>
      </c>
    </row>
    <row r="2264" spans="1:14">
      <c r="A2264">
        <v>14275020</v>
      </c>
      <c r="B2264">
        <v>4023880</v>
      </c>
      <c r="C2264" t="s">
        <v>14255</v>
      </c>
      <c r="D2264" t="s">
        <v>441</v>
      </c>
      <c r="F2264">
        <v>0</v>
      </c>
      <c r="G2264">
        <v>18.5</v>
      </c>
      <c r="H2264" t="s">
        <v>8588</v>
      </c>
      <c r="I2264">
        <v>6</v>
      </c>
      <c r="J2264" t="s">
        <v>462</v>
      </c>
      <c r="L2264">
        <v>2831120</v>
      </c>
      <c r="M2264">
        <v>7112</v>
      </c>
      <c r="N2264" t="s">
        <v>16058</v>
      </c>
    </row>
    <row r="2265" spans="1:14">
      <c r="A2265">
        <v>14275046</v>
      </c>
      <c r="B2265">
        <v>4023874</v>
      </c>
      <c r="C2265" t="s">
        <v>1551</v>
      </c>
      <c r="D2265" t="s">
        <v>441</v>
      </c>
      <c r="F2265">
        <v>0</v>
      </c>
      <c r="G2265">
        <v>17.54</v>
      </c>
      <c r="H2265" t="s">
        <v>8588</v>
      </c>
      <c r="I2265">
        <v>16</v>
      </c>
      <c r="J2265" t="s">
        <v>462</v>
      </c>
      <c r="M2265">
        <v>7112</v>
      </c>
      <c r="N2265" t="s">
        <v>16058</v>
      </c>
    </row>
    <row r="2266" spans="1:14">
      <c r="A2266">
        <v>14276000</v>
      </c>
      <c r="B2266">
        <v>3009137</v>
      </c>
      <c r="C2266" t="s">
        <v>1552</v>
      </c>
      <c r="D2266" t="s">
        <v>441</v>
      </c>
      <c r="F2266">
        <v>0</v>
      </c>
      <c r="G2266">
        <v>11.29</v>
      </c>
      <c r="I2266">
        <v>6</v>
      </c>
      <c r="J2266" t="s">
        <v>445</v>
      </c>
      <c r="K2266" t="s">
        <v>446</v>
      </c>
      <c r="M2266">
        <v>2390</v>
      </c>
    </row>
    <row r="2267" spans="1:14">
      <c r="A2267">
        <v>14279000</v>
      </c>
      <c r="B2267">
        <v>3021350</v>
      </c>
      <c r="C2267" t="s">
        <v>1553</v>
      </c>
      <c r="D2267" t="s">
        <v>441</v>
      </c>
      <c r="F2267">
        <v>0</v>
      </c>
      <c r="G2267">
        <v>10.65</v>
      </c>
      <c r="H2267" t="s">
        <v>8588</v>
      </c>
      <c r="I2267">
        <v>2</v>
      </c>
      <c r="J2267" t="s">
        <v>445</v>
      </c>
      <c r="M2267">
        <v>3111</v>
      </c>
      <c r="N2267" t="s">
        <v>16058</v>
      </c>
    </row>
    <row r="2268" spans="1:14">
      <c r="A2268">
        <v>14279900</v>
      </c>
      <c r="B2268">
        <v>3021361</v>
      </c>
      <c r="C2268" t="s">
        <v>1554</v>
      </c>
      <c r="D2268" t="s">
        <v>441</v>
      </c>
      <c r="F2268">
        <v>0</v>
      </c>
      <c r="H2268" t="s">
        <v>8580</v>
      </c>
      <c r="I2268">
        <v>2</v>
      </c>
      <c r="J2268" t="s">
        <v>445</v>
      </c>
      <c r="M2268">
        <v>6666</v>
      </c>
      <c r="N2268" t="s">
        <v>16058</v>
      </c>
    </row>
    <row r="2269" spans="1:14">
      <c r="A2269">
        <v>14280000</v>
      </c>
      <c r="B2269">
        <v>3014171</v>
      </c>
      <c r="C2269" t="s">
        <v>9543</v>
      </c>
      <c r="D2269" t="s">
        <v>441</v>
      </c>
      <c r="F2269">
        <v>0</v>
      </c>
      <c r="G2269">
        <v>15.16</v>
      </c>
      <c r="H2269" t="s">
        <v>8584</v>
      </c>
      <c r="I2269">
        <v>5</v>
      </c>
      <c r="J2269" t="s">
        <v>445</v>
      </c>
      <c r="K2269" t="s">
        <v>446</v>
      </c>
      <c r="M2269">
        <v>0</v>
      </c>
      <c r="N2269" t="s">
        <v>16061</v>
      </c>
    </row>
    <row r="2270" spans="1:14">
      <c r="A2270">
        <v>14281000</v>
      </c>
      <c r="B2270">
        <v>3017569</v>
      </c>
      <c r="C2270" t="s">
        <v>9544</v>
      </c>
      <c r="D2270" t="s">
        <v>441</v>
      </c>
      <c r="F2270">
        <v>0</v>
      </c>
      <c r="G2270">
        <v>15.29</v>
      </c>
      <c r="I2270">
        <v>5</v>
      </c>
      <c r="J2270" t="s">
        <v>445</v>
      </c>
      <c r="K2270" t="s">
        <v>446</v>
      </c>
      <c r="M2270">
        <v>0</v>
      </c>
      <c r="N2270" t="s">
        <v>16061</v>
      </c>
    </row>
    <row r="2271" spans="1:14">
      <c r="A2271">
        <v>14282000</v>
      </c>
      <c r="B2271">
        <v>3018140</v>
      </c>
      <c r="C2271" t="s">
        <v>1555</v>
      </c>
      <c r="D2271" t="s">
        <v>441</v>
      </c>
      <c r="F2271">
        <v>0</v>
      </c>
      <c r="G2271">
        <v>15.76</v>
      </c>
      <c r="H2271" t="s">
        <v>8584</v>
      </c>
      <c r="I2271">
        <v>5</v>
      </c>
      <c r="J2271" t="s">
        <v>445</v>
      </c>
      <c r="K2271" t="s">
        <v>446</v>
      </c>
      <c r="M2271">
        <v>2616</v>
      </c>
      <c r="N2271" t="s">
        <v>16061</v>
      </c>
    </row>
    <row r="2272" spans="1:14">
      <c r="A2272">
        <v>14290019</v>
      </c>
      <c r="B2272">
        <v>4009673</v>
      </c>
      <c r="C2272" t="s">
        <v>1556</v>
      </c>
      <c r="D2272" t="s">
        <v>441</v>
      </c>
      <c r="F2272">
        <v>0</v>
      </c>
      <c r="G2272">
        <v>10.95</v>
      </c>
      <c r="H2272" t="s">
        <v>8588</v>
      </c>
      <c r="I2272">
        <v>365</v>
      </c>
      <c r="J2272" t="s">
        <v>462</v>
      </c>
      <c r="K2272" t="s">
        <v>446</v>
      </c>
      <c r="M2272">
        <v>2501</v>
      </c>
    </row>
    <row r="2273" spans="1:13">
      <c r="A2273">
        <v>14290028</v>
      </c>
      <c r="B2273">
        <v>4006533</v>
      </c>
      <c r="C2273" t="s">
        <v>9545</v>
      </c>
      <c r="D2273" t="s">
        <v>441</v>
      </c>
      <c r="F2273">
        <v>0</v>
      </c>
      <c r="G2273">
        <v>11.4</v>
      </c>
      <c r="H2273" t="s">
        <v>8588</v>
      </c>
      <c r="I2273">
        <v>365</v>
      </c>
      <c r="J2273" t="s">
        <v>462</v>
      </c>
      <c r="K2273" t="s">
        <v>446</v>
      </c>
      <c r="M2273">
        <v>2501</v>
      </c>
    </row>
    <row r="2274" spans="1:13">
      <c r="A2274">
        <v>14290041</v>
      </c>
      <c r="B2274">
        <v>4009136</v>
      </c>
      <c r="C2274" t="s">
        <v>1557</v>
      </c>
      <c r="D2274" t="s">
        <v>441</v>
      </c>
      <c r="F2274">
        <v>0</v>
      </c>
      <c r="G2274">
        <v>11.23</v>
      </c>
      <c r="H2274" t="s">
        <v>8588</v>
      </c>
      <c r="I2274">
        <v>21</v>
      </c>
      <c r="J2274" t="s">
        <v>462</v>
      </c>
      <c r="K2274" t="s">
        <v>446</v>
      </c>
      <c r="M2274">
        <v>2612</v>
      </c>
    </row>
    <row r="2275" spans="1:13">
      <c r="A2275">
        <v>14290042</v>
      </c>
      <c r="B2275">
        <v>4009456</v>
      </c>
      <c r="C2275" t="s">
        <v>1558</v>
      </c>
      <c r="D2275" t="s">
        <v>441</v>
      </c>
      <c r="F2275">
        <v>0</v>
      </c>
      <c r="G2275">
        <v>11.72</v>
      </c>
      <c r="H2275" t="s">
        <v>8588</v>
      </c>
      <c r="I2275">
        <v>21</v>
      </c>
      <c r="J2275" t="s">
        <v>462</v>
      </c>
      <c r="K2275" t="s">
        <v>446</v>
      </c>
      <c r="M2275">
        <v>2612</v>
      </c>
    </row>
    <row r="2276" spans="1:13">
      <c r="A2276">
        <v>14290052</v>
      </c>
      <c r="B2276">
        <v>4008885</v>
      </c>
      <c r="C2276" t="s">
        <v>1559</v>
      </c>
      <c r="D2276" t="s">
        <v>441</v>
      </c>
      <c r="F2276">
        <v>0</v>
      </c>
      <c r="G2276">
        <v>11.23</v>
      </c>
      <c r="H2276" t="s">
        <v>8588</v>
      </c>
      <c r="I2276">
        <v>21</v>
      </c>
      <c r="J2276" t="s">
        <v>462</v>
      </c>
      <c r="K2276" t="s">
        <v>446</v>
      </c>
      <c r="M2276">
        <v>2612</v>
      </c>
    </row>
    <row r="2277" spans="1:13">
      <c r="A2277">
        <v>14290519</v>
      </c>
      <c r="B2277">
        <v>3011996</v>
      </c>
      <c r="C2277" t="s">
        <v>1560</v>
      </c>
      <c r="D2277" t="s">
        <v>441</v>
      </c>
      <c r="F2277">
        <v>0</v>
      </c>
      <c r="G2277">
        <v>10.67</v>
      </c>
      <c r="I2277">
        <v>6</v>
      </c>
      <c r="J2277" t="s">
        <v>445</v>
      </c>
      <c r="K2277" t="s">
        <v>446</v>
      </c>
      <c r="M2277">
        <v>2641</v>
      </c>
    </row>
    <row r="2278" spans="1:13">
      <c r="A2278">
        <v>14290527</v>
      </c>
      <c r="B2278">
        <v>3007601</v>
      </c>
      <c r="C2278" t="s">
        <v>1561</v>
      </c>
      <c r="D2278" t="s">
        <v>441</v>
      </c>
      <c r="F2278">
        <v>0</v>
      </c>
      <c r="G2278">
        <v>11.11</v>
      </c>
      <c r="H2278" t="s">
        <v>8580</v>
      </c>
      <c r="I2278">
        <v>6</v>
      </c>
      <c r="J2278" t="s">
        <v>445</v>
      </c>
      <c r="K2278" t="s">
        <v>446</v>
      </c>
      <c r="M2278">
        <v>2641</v>
      </c>
    </row>
    <row r="2279" spans="1:13">
      <c r="A2279">
        <v>14290528</v>
      </c>
      <c r="B2279">
        <v>3007602</v>
      </c>
      <c r="C2279" t="s">
        <v>1562</v>
      </c>
      <c r="D2279" t="s">
        <v>441</v>
      </c>
      <c r="F2279">
        <v>0</v>
      </c>
      <c r="G2279">
        <v>11.12</v>
      </c>
      <c r="H2279" t="s">
        <v>8580</v>
      </c>
      <c r="I2279">
        <v>6</v>
      </c>
      <c r="J2279" t="s">
        <v>445</v>
      </c>
      <c r="K2279" t="s">
        <v>446</v>
      </c>
      <c r="M2279">
        <v>2641</v>
      </c>
    </row>
    <row r="2280" spans="1:13">
      <c r="A2280">
        <v>14290619</v>
      </c>
      <c r="B2280">
        <v>3012000</v>
      </c>
      <c r="C2280" t="s">
        <v>1563</v>
      </c>
      <c r="D2280" t="s">
        <v>441</v>
      </c>
      <c r="F2280">
        <v>0</v>
      </c>
      <c r="G2280">
        <v>11.66</v>
      </c>
      <c r="H2280" t="s">
        <v>8584</v>
      </c>
      <c r="I2280">
        <v>4</v>
      </c>
      <c r="J2280" t="s">
        <v>445</v>
      </c>
      <c r="K2280" t="s">
        <v>446</v>
      </c>
      <c r="M2280">
        <v>2511</v>
      </c>
    </row>
    <row r="2281" spans="1:13">
      <c r="A2281">
        <v>14290628</v>
      </c>
      <c r="B2281">
        <v>3014419</v>
      </c>
      <c r="C2281" t="s">
        <v>9546</v>
      </c>
      <c r="D2281" t="s">
        <v>441</v>
      </c>
      <c r="F2281">
        <v>0</v>
      </c>
      <c r="G2281">
        <v>12.14</v>
      </c>
      <c r="H2281" t="s">
        <v>8580</v>
      </c>
      <c r="I2281">
        <v>4</v>
      </c>
      <c r="J2281" t="s">
        <v>445</v>
      </c>
      <c r="K2281" t="s">
        <v>446</v>
      </c>
      <c r="M2281">
        <v>2511</v>
      </c>
    </row>
    <row r="2282" spans="1:13">
      <c r="A2282">
        <v>14291000</v>
      </c>
      <c r="B2282">
        <v>3009063</v>
      </c>
      <c r="C2282" t="s">
        <v>1564</v>
      </c>
      <c r="D2282" t="s">
        <v>441</v>
      </c>
      <c r="F2282">
        <v>0</v>
      </c>
      <c r="G2282">
        <v>10.5</v>
      </c>
      <c r="I2282">
        <v>6</v>
      </c>
      <c r="J2282" t="s">
        <v>445</v>
      </c>
      <c r="K2282" t="s">
        <v>446</v>
      </c>
      <c r="M2282">
        <v>2312</v>
      </c>
    </row>
    <row r="2283" spans="1:13">
      <c r="A2283">
        <v>14296000</v>
      </c>
      <c r="B2283">
        <v>3009062</v>
      </c>
      <c r="C2283" t="s">
        <v>1565</v>
      </c>
      <c r="D2283" t="s">
        <v>441</v>
      </c>
      <c r="F2283">
        <v>0</v>
      </c>
      <c r="G2283">
        <v>10.5</v>
      </c>
      <c r="H2283" t="s">
        <v>8580</v>
      </c>
      <c r="I2283">
        <v>6</v>
      </c>
      <c r="J2283" t="s">
        <v>445</v>
      </c>
      <c r="K2283" t="s">
        <v>446</v>
      </c>
      <c r="M2283">
        <v>2390</v>
      </c>
    </row>
    <row r="2284" spans="1:13">
      <c r="A2284">
        <v>14300000</v>
      </c>
      <c r="B2284">
        <v>3007603</v>
      </c>
      <c r="C2284" t="s">
        <v>1566</v>
      </c>
      <c r="D2284" t="s">
        <v>441</v>
      </c>
      <c r="F2284">
        <v>0</v>
      </c>
      <c r="G2284">
        <v>17.11</v>
      </c>
      <c r="H2284" t="s">
        <v>8580</v>
      </c>
      <c r="I2284">
        <v>6</v>
      </c>
      <c r="J2284" t="s">
        <v>445</v>
      </c>
      <c r="K2284" t="s">
        <v>446</v>
      </c>
      <c r="M2284">
        <v>2390</v>
      </c>
    </row>
    <row r="2285" spans="1:13">
      <c r="A2285">
        <v>14300002</v>
      </c>
      <c r="B2285">
        <v>3007604</v>
      </c>
      <c r="C2285" t="s">
        <v>1567</v>
      </c>
      <c r="D2285" t="s">
        <v>441</v>
      </c>
      <c r="F2285">
        <v>0</v>
      </c>
      <c r="G2285">
        <v>17.920000000000002</v>
      </c>
      <c r="I2285">
        <v>365</v>
      </c>
      <c r="J2285" t="s">
        <v>445</v>
      </c>
      <c r="K2285" t="s">
        <v>446</v>
      </c>
      <c r="M2285">
        <v>2501</v>
      </c>
    </row>
    <row r="2286" spans="1:13">
      <c r="A2286">
        <v>14300502</v>
      </c>
      <c r="B2286">
        <v>3007605</v>
      </c>
      <c r="C2286" t="s">
        <v>1568</v>
      </c>
      <c r="D2286" t="s">
        <v>441</v>
      </c>
      <c r="F2286">
        <v>0</v>
      </c>
      <c r="G2286">
        <v>17.47</v>
      </c>
      <c r="H2286" t="s">
        <v>8580</v>
      </c>
      <c r="I2286">
        <v>6</v>
      </c>
      <c r="J2286" t="s">
        <v>445</v>
      </c>
      <c r="K2286" t="s">
        <v>446</v>
      </c>
      <c r="M2286">
        <v>2641</v>
      </c>
    </row>
    <row r="2287" spans="1:13">
      <c r="A2287">
        <v>14300602</v>
      </c>
      <c r="B2287">
        <v>3007606</v>
      </c>
      <c r="C2287" t="s">
        <v>1569</v>
      </c>
      <c r="D2287" t="s">
        <v>441</v>
      </c>
      <c r="F2287">
        <v>0</v>
      </c>
      <c r="G2287">
        <v>18.96</v>
      </c>
      <c r="I2287">
        <v>4</v>
      </c>
      <c r="J2287" t="s">
        <v>445</v>
      </c>
      <c r="K2287" t="s">
        <v>446</v>
      </c>
      <c r="M2287">
        <v>2511</v>
      </c>
    </row>
    <row r="2288" spans="1:13">
      <c r="A2288">
        <v>14310000</v>
      </c>
      <c r="B2288">
        <v>3007607</v>
      </c>
      <c r="C2288" t="s">
        <v>1570</v>
      </c>
      <c r="D2288" t="s">
        <v>441</v>
      </c>
      <c r="F2288">
        <v>0</v>
      </c>
      <c r="G2288">
        <v>8.74</v>
      </c>
      <c r="H2288" t="s">
        <v>8584</v>
      </c>
      <c r="I2288">
        <v>6</v>
      </c>
      <c r="J2288" t="s">
        <v>445</v>
      </c>
      <c r="K2288" t="s">
        <v>446</v>
      </c>
      <c r="M2288">
        <v>2390</v>
      </c>
    </row>
    <row r="2289" spans="1:14">
      <c r="A2289">
        <v>14310020</v>
      </c>
      <c r="B2289">
        <v>4001784</v>
      </c>
      <c r="C2289" t="s">
        <v>1571</v>
      </c>
      <c r="D2289" t="s">
        <v>441</v>
      </c>
      <c r="F2289">
        <v>0</v>
      </c>
      <c r="G2289">
        <v>8.66</v>
      </c>
      <c r="H2289" t="s">
        <v>8588</v>
      </c>
      <c r="I2289">
        <v>6</v>
      </c>
      <c r="J2289" t="s">
        <v>462</v>
      </c>
      <c r="L2289">
        <v>2082204</v>
      </c>
      <c r="M2289">
        <v>7112</v>
      </c>
      <c r="N2289" t="s">
        <v>16059</v>
      </c>
    </row>
    <row r="2290" spans="1:14">
      <c r="A2290">
        <v>14310021</v>
      </c>
      <c r="B2290">
        <v>4008800</v>
      </c>
      <c r="C2290" t="s">
        <v>9547</v>
      </c>
      <c r="D2290" t="s">
        <v>441</v>
      </c>
      <c r="F2290">
        <v>0</v>
      </c>
      <c r="G2290">
        <v>8.31</v>
      </c>
      <c r="H2290" t="s">
        <v>8588</v>
      </c>
      <c r="I2290">
        <v>6</v>
      </c>
      <c r="J2290" t="s">
        <v>462</v>
      </c>
      <c r="K2290" t="s">
        <v>446</v>
      </c>
      <c r="M2290">
        <v>2641</v>
      </c>
      <c r="N2290" t="s">
        <v>16059</v>
      </c>
    </row>
    <row r="2291" spans="1:14">
      <c r="A2291">
        <v>14310022</v>
      </c>
      <c r="B2291">
        <v>4008247</v>
      </c>
      <c r="C2291" t="s">
        <v>9548</v>
      </c>
      <c r="D2291" t="s">
        <v>441</v>
      </c>
      <c r="F2291">
        <v>0</v>
      </c>
      <c r="G2291">
        <v>11.37</v>
      </c>
      <c r="H2291" t="s">
        <v>8588</v>
      </c>
      <c r="I2291">
        <v>6</v>
      </c>
      <c r="J2291" t="s">
        <v>462</v>
      </c>
      <c r="K2291" t="s">
        <v>446</v>
      </c>
      <c r="M2291">
        <v>2612</v>
      </c>
      <c r="N2291" t="s">
        <v>16059</v>
      </c>
    </row>
    <row r="2292" spans="1:14">
      <c r="A2292">
        <v>14310023</v>
      </c>
      <c r="B2292">
        <v>4017669</v>
      </c>
      <c r="C2292" t="s">
        <v>9549</v>
      </c>
      <c r="D2292" t="s">
        <v>441</v>
      </c>
      <c r="F2292">
        <v>0</v>
      </c>
      <c r="G2292">
        <v>8.41</v>
      </c>
      <c r="H2292" t="s">
        <v>8588</v>
      </c>
      <c r="I2292">
        <v>365</v>
      </c>
      <c r="J2292" t="s">
        <v>462</v>
      </c>
      <c r="K2292" t="s">
        <v>446</v>
      </c>
      <c r="M2292">
        <v>2501</v>
      </c>
      <c r="N2292" t="s">
        <v>16059</v>
      </c>
    </row>
    <row r="2293" spans="1:14">
      <c r="A2293">
        <v>14310025</v>
      </c>
      <c r="B2293">
        <v>4024899</v>
      </c>
      <c r="C2293" t="s">
        <v>1572</v>
      </c>
      <c r="D2293" t="s">
        <v>441</v>
      </c>
      <c r="F2293">
        <v>0</v>
      </c>
      <c r="G2293">
        <v>14.15</v>
      </c>
      <c r="H2293" t="s">
        <v>8588</v>
      </c>
      <c r="I2293">
        <v>540</v>
      </c>
      <c r="J2293" t="s">
        <v>462</v>
      </c>
      <c r="M2293">
        <v>7111</v>
      </c>
      <c r="N2293" t="s">
        <v>16059</v>
      </c>
    </row>
    <row r="2294" spans="1:14">
      <c r="A2294">
        <v>14310033</v>
      </c>
      <c r="B2294">
        <v>4005995</v>
      </c>
      <c r="C2294" t="s">
        <v>9550</v>
      </c>
      <c r="D2294" t="s">
        <v>441</v>
      </c>
      <c r="F2294">
        <v>0</v>
      </c>
      <c r="G2294">
        <v>8.43</v>
      </c>
      <c r="H2294" t="s">
        <v>8588</v>
      </c>
      <c r="I2294">
        <v>12</v>
      </c>
      <c r="J2294" t="s">
        <v>462</v>
      </c>
      <c r="K2294" t="s">
        <v>446</v>
      </c>
      <c r="M2294">
        <v>2611</v>
      </c>
    </row>
    <row r="2295" spans="1:14">
      <c r="A2295">
        <v>14310051</v>
      </c>
      <c r="B2295">
        <v>4012642</v>
      </c>
      <c r="C2295" t="s">
        <v>9551</v>
      </c>
      <c r="D2295" t="s">
        <v>441</v>
      </c>
      <c r="F2295">
        <v>0</v>
      </c>
      <c r="G2295">
        <v>6.19</v>
      </c>
      <c r="H2295" t="s">
        <v>8588</v>
      </c>
      <c r="I2295">
        <v>10</v>
      </c>
      <c r="J2295" t="s">
        <v>462</v>
      </c>
      <c r="K2295" t="s">
        <v>446</v>
      </c>
      <c r="M2295">
        <v>2612</v>
      </c>
    </row>
    <row r="2296" spans="1:14">
      <c r="A2296">
        <v>14310075</v>
      </c>
      <c r="B2296">
        <v>3026951</v>
      </c>
      <c r="C2296" t="s">
        <v>9552</v>
      </c>
      <c r="D2296" t="s">
        <v>441</v>
      </c>
      <c r="F2296">
        <v>0</v>
      </c>
      <c r="G2296">
        <v>11.39</v>
      </c>
      <c r="H2296" t="s">
        <v>8588</v>
      </c>
      <c r="I2296">
        <v>6</v>
      </c>
      <c r="J2296" t="s">
        <v>445</v>
      </c>
      <c r="K2296" t="s">
        <v>446</v>
      </c>
      <c r="M2296">
        <v>2621</v>
      </c>
      <c r="N2296" t="s">
        <v>16059</v>
      </c>
    </row>
    <row r="2297" spans="1:14">
      <c r="A2297">
        <v>14310080</v>
      </c>
      <c r="B2297">
        <v>4024725</v>
      </c>
      <c r="C2297" t="s">
        <v>1573</v>
      </c>
      <c r="D2297" t="s">
        <v>441</v>
      </c>
      <c r="F2297">
        <v>0</v>
      </c>
      <c r="G2297">
        <v>8.4700000000000006</v>
      </c>
      <c r="H2297" t="s">
        <v>8588</v>
      </c>
      <c r="I2297">
        <v>6</v>
      </c>
      <c r="J2297" t="s">
        <v>462</v>
      </c>
      <c r="L2297" t="s">
        <v>9553</v>
      </c>
      <c r="M2297">
        <v>7112</v>
      </c>
      <c r="N2297" t="s">
        <v>16059</v>
      </c>
    </row>
    <row r="2298" spans="1:14">
      <c r="A2298">
        <v>14310523</v>
      </c>
      <c r="B2298">
        <v>3026621</v>
      </c>
      <c r="C2298" t="s">
        <v>1574</v>
      </c>
      <c r="D2298" t="s">
        <v>441</v>
      </c>
      <c r="F2298">
        <v>0</v>
      </c>
      <c r="G2298">
        <v>8.19</v>
      </c>
      <c r="H2298" t="s">
        <v>8580</v>
      </c>
      <c r="I2298">
        <v>6</v>
      </c>
      <c r="J2298" t="s">
        <v>445</v>
      </c>
      <c r="K2298" t="s">
        <v>446</v>
      </c>
      <c r="M2298">
        <v>2612</v>
      </c>
      <c r="N2298" t="s">
        <v>16059</v>
      </c>
    </row>
    <row r="2299" spans="1:14">
      <c r="A2299">
        <v>14310525</v>
      </c>
      <c r="B2299">
        <v>3036802</v>
      </c>
      <c r="C2299" t="s">
        <v>1575</v>
      </c>
      <c r="D2299" t="s">
        <v>441</v>
      </c>
      <c r="F2299">
        <v>0</v>
      </c>
      <c r="G2299">
        <v>8.64</v>
      </c>
      <c r="H2299" t="s">
        <v>8588</v>
      </c>
      <c r="I2299">
        <v>540</v>
      </c>
      <c r="J2299" t="s">
        <v>445</v>
      </c>
      <c r="M2299">
        <v>2502</v>
      </c>
      <c r="N2299" t="s">
        <v>16059</v>
      </c>
    </row>
    <row r="2300" spans="1:14">
      <c r="A2300">
        <v>14311020</v>
      </c>
      <c r="B2300">
        <v>4011461</v>
      </c>
      <c r="C2300" t="s">
        <v>9554</v>
      </c>
      <c r="D2300" t="s">
        <v>441</v>
      </c>
      <c r="F2300">
        <v>0</v>
      </c>
      <c r="G2300">
        <v>9.02</v>
      </c>
      <c r="H2300" t="s">
        <v>8588</v>
      </c>
      <c r="I2300">
        <v>6</v>
      </c>
      <c r="J2300" t="s">
        <v>462</v>
      </c>
      <c r="K2300" t="s">
        <v>446</v>
      </c>
      <c r="M2300">
        <v>2641</v>
      </c>
    </row>
    <row r="2301" spans="1:14">
      <c r="A2301">
        <v>14311021</v>
      </c>
      <c r="B2301">
        <v>4011841</v>
      </c>
      <c r="C2301" t="s">
        <v>9555</v>
      </c>
      <c r="D2301" t="s">
        <v>441</v>
      </c>
      <c r="F2301">
        <v>0</v>
      </c>
      <c r="G2301">
        <v>8.31</v>
      </c>
      <c r="H2301" t="s">
        <v>8588</v>
      </c>
      <c r="I2301">
        <v>6</v>
      </c>
      <c r="J2301" t="s">
        <v>462</v>
      </c>
      <c r="K2301" t="s">
        <v>446</v>
      </c>
      <c r="M2301">
        <v>2641</v>
      </c>
      <c r="N2301" t="s">
        <v>16059</v>
      </c>
    </row>
    <row r="2302" spans="1:14">
      <c r="A2302">
        <v>14311022</v>
      </c>
      <c r="B2302">
        <v>4011775</v>
      </c>
      <c r="C2302" t="s">
        <v>9556</v>
      </c>
      <c r="D2302" t="s">
        <v>441</v>
      </c>
      <c r="F2302">
        <v>0</v>
      </c>
      <c r="G2302">
        <v>11.37</v>
      </c>
      <c r="H2302" t="s">
        <v>8588</v>
      </c>
      <c r="I2302">
        <v>6</v>
      </c>
      <c r="J2302" t="s">
        <v>462</v>
      </c>
      <c r="K2302" t="s">
        <v>446</v>
      </c>
      <c r="M2302">
        <v>2612</v>
      </c>
      <c r="N2302" t="s">
        <v>16059</v>
      </c>
    </row>
    <row r="2303" spans="1:14">
      <c r="A2303">
        <v>14311033</v>
      </c>
      <c r="B2303">
        <v>4011637</v>
      </c>
      <c r="C2303" t="s">
        <v>9557</v>
      </c>
      <c r="D2303" t="s">
        <v>441</v>
      </c>
      <c r="F2303">
        <v>0</v>
      </c>
      <c r="G2303">
        <v>8.43</v>
      </c>
      <c r="H2303" t="s">
        <v>8588</v>
      </c>
      <c r="I2303">
        <v>12</v>
      </c>
      <c r="J2303" t="s">
        <v>462</v>
      </c>
      <c r="K2303" t="s">
        <v>446</v>
      </c>
      <c r="M2303">
        <v>2611</v>
      </c>
    </row>
    <row r="2304" spans="1:14">
      <c r="A2304">
        <v>14311051</v>
      </c>
      <c r="B2304">
        <v>4012643</v>
      </c>
      <c r="C2304" t="s">
        <v>9558</v>
      </c>
      <c r="D2304" t="s">
        <v>441</v>
      </c>
      <c r="F2304">
        <v>0</v>
      </c>
      <c r="G2304">
        <v>8.3000000000000007</v>
      </c>
      <c r="H2304" t="s">
        <v>8588</v>
      </c>
      <c r="I2304">
        <v>10</v>
      </c>
      <c r="J2304" t="s">
        <v>462</v>
      </c>
      <c r="K2304" t="s">
        <v>446</v>
      </c>
      <c r="M2304">
        <v>2612</v>
      </c>
      <c r="N2304" t="s">
        <v>16059</v>
      </c>
    </row>
    <row r="2305" spans="1:14">
      <c r="A2305">
        <v>14320000</v>
      </c>
      <c r="B2305">
        <v>3007608</v>
      </c>
      <c r="C2305" t="s">
        <v>1576</v>
      </c>
      <c r="D2305" t="s">
        <v>441</v>
      </c>
      <c r="F2305">
        <v>0</v>
      </c>
      <c r="G2305">
        <v>12.29</v>
      </c>
      <c r="H2305" t="s">
        <v>8584</v>
      </c>
      <c r="I2305">
        <v>6</v>
      </c>
      <c r="J2305" t="s">
        <v>445</v>
      </c>
      <c r="K2305" t="s">
        <v>446</v>
      </c>
      <c r="M2305">
        <v>2390</v>
      </c>
    </row>
    <row r="2306" spans="1:14">
      <c r="A2306">
        <v>14320018</v>
      </c>
      <c r="B2306">
        <v>3044305</v>
      </c>
      <c r="C2306" t="s">
        <v>14256</v>
      </c>
      <c r="D2306" t="s">
        <v>441</v>
      </c>
      <c r="F2306">
        <v>0</v>
      </c>
      <c r="G2306">
        <v>20.05</v>
      </c>
      <c r="H2306" t="s">
        <v>8549</v>
      </c>
      <c r="I2306">
        <v>540</v>
      </c>
      <c r="J2306" t="s">
        <v>445</v>
      </c>
      <c r="M2306">
        <v>2391</v>
      </c>
      <c r="N2306" t="s">
        <v>16066</v>
      </c>
    </row>
    <row r="2307" spans="1:14">
      <c r="A2307">
        <v>14320020</v>
      </c>
      <c r="B2307">
        <v>4003814</v>
      </c>
      <c r="C2307" t="s">
        <v>1577</v>
      </c>
      <c r="D2307" t="s">
        <v>441</v>
      </c>
      <c r="F2307">
        <v>0</v>
      </c>
      <c r="G2307">
        <v>11.7</v>
      </c>
      <c r="H2307" t="s">
        <v>8588</v>
      </c>
      <c r="I2307">
        <v>6</v>
      </c>
      <c r="J2307" t="s">
        <v>462</v>
      </c>
      <c r="L2307">
        <v>2831130</v>
      </c>
      <c r="M2307">
        <v>7112</v>
      </c>
      <c r="N2307" t="s">
        <v>16066</v>
      </c>
    </row>
    <row r="2308" spans="1:14">
      <c r="A2308">
        <v>14320027</v>
      </c>
      <c r="B2308">
        <v>4013264</v>
      </c>
      <c r="C2308" t="s">
        <v>9559</v>
      </c>
      <c r="D2308" t="s">
        <v>441</v>
      </c>
      <c r="F2308">
        <v>0</v>
      </c>
      <c r="G2308">
        <v>15.75</v>
      </c>
      <c r="H2308" t="s">
        <v>8588</v>
      </c>
      <c r="I2308">
        <v>365</v>
      </c>
      <c r="J2308" t="s">
        <v>462</v>
      </c>
      <c r="K2308" t="s">
        <v>446</v>
      </c>
      <c r="M2308">
        <v>2501</v>
      </c>
      <c r="N2308" t="s">
        <v>16066</v>
      </c>
    </row>
    <row r="2309" spans="1:14">
      <c r="A2309">
        <v>14320028</v>
      </c>
      <c r="B2309">
        <v>4008150</v>
      </c>
      <c r="C2309" t="s">
        <v>9560</v>
      </c>
      <c r="D2309" t="s">
        <v>441</v>
      </c>
      <c r="F2309">
        <v>0</v>
      </c>
      <c r="G2309">
        <v>15.76</v>
      </c>
      <c r="H2309" t="s">
        <v>8588</v>
      </c>
      <c r="I2309">
        <v>365</v>
      </c>
      <c r="J2309" t="s">
        <v>462</v>
      </c>
      <c r="K2309" t="s">
        <v>446</v>
      </c>
      <c r="M2309">
        <v>2501</v>
      </c>
      <c r="N2309" t="s">
        <v>16066</v>
      </c>
    </row>
    <row r="2310" spans="1:14">
      <c r="A2310">
        <v>14320029</v>
      </c>
      <c r="B2310">
        <v>4013471</v>
      </c>
      <c r="C2310" t="s">
        <v>1578</v>
      </c>
      <c r="D2310" t="s">
        <v>441</v>
      </c>
      <c r="F2310">
        <v>0</v>
      </c>
      <c r="G2310">
        <v>19.28</v>
      </c>
      <c r="H2310" t="s">
        <v>8588</v>
      </c>
      <c r="I2310">
        <v>540</v>
      </c>
      <c r="J2310" t="s">
        <v>462</v>
      </c>
      <c r="M2310">
        <v>7112</v>
      </c>
      <c r="N2310" t="s">
        <v>16066</v>
      </c>
    </row>
    <row r="2311" spans="1:14">
      <c r="A2311">
        <v>14320030</v>
      </c>
      <c r="B2311">
        <v>4006603</v>
      </c>
      <c r="C2311" t="s">
        <v>9561</v>
      </c>
      <c r="D2311" t="s">
        <v>441</v>
      </c>
      <c r="F2311">
        <v>0</v>
      </c>
      <c r="G2311">
        <v>10.58</v>
      </c>
      <c r="H2311" t="s">
        <v>8587</v>
      </c>
      <c r="I2311">
        <v>9</v>
      </c>
      <c r="J2311" t="s">
        <v>462</v>
      </c>
      <c r="K2311" t="s">
        <v>446</v>
      </c>
      <c r="M2311">
        <v>2611</v>
      </c>
    </row>
    <row r="2312" spans="1:14">
      <c r="A2312">
        <v>14320031</v>
      </c>
      <c r="B2312">
        <v>4013385</v>
      </c>
      <c r="C2312" t="s">
        <v>9562</v>
      </c>
      <c r="D2312" t="s">
        <v>441</v>
      </c>
      <c r="F2312">
        <v>0</v>
      </c>
      <c r="G2312">
        <v>16.739999999999998</v>
      </c>
      <c r="H2312" t="s">
        <v>8588</v>
      </c>
      <c r="I2312">
        <v>12</v>
      </c>
      <c r="J2312" t="s">
        <v>462</v>
      </c>
      <c r="K2312" t="s">
        <v>446</v>
      </c>
      <c r="M2312">
        <v>2611</v>
      </c>
      <c r="N2312" t="s">
        <v>16066</v>
      </c>
    </row>
    <row r="2313" spans="1:14">
      <c r="A2313">
        <v>14320033</v>
      </c>
      <c r="B2313">
        <v>4017002</v>
      </c>
      <c r="C2313" t="s">
        <v>9563</v>
      </c>
      <c r="D2313" t="s">
        <v>441</v>
      </c>
      <c r="F2313">
        <v>0</v>
      </c>
      <c r="G2313">
        <v>15.52</v>
      </c>
      <c r="H2313" t="s">
        <v>8588</v>
      </c>
      <c r="I2313">
        <v>12</v>
      </c>
      <c r="J2313" t="s">
        <v>462</v>
      </c>
      <c r="K2313" t="s">
        <v>446</v>
      </c>
      <c r="M2313">
        <v>2611</v>
      </c>
      <c r="N2313" t="s">
        <v>16066</v>
      </c>
    </row>
    <row r="2314" spans="1:14">
      <c r="A2314">
        <v>14320040</v>
      </c>
      <c r="B2314">
        <v>4012205</v>
      </c>
      <c r="C2314" t="s">
        <v>9564</v>
      </c>
      <c r="D2314" t="s">
        <v>441</v>
      </c>
      <c r="F2314">
        <v>0</v>
      </c>
      <c r="G2314">
        <v>11.77</v>
      </c>
      <c r="H2314" t="s">
        <v>8588</v>
      </c>
      <c r="I2314">
        <v>13</v>
      </c>
      <c r="J2314" t="s">
        <v>462</v>
      </c>
      <c r="K2314" t="s">
        <v>446</v>
      </c>
      <c r="M2314">
        <v>2641</v>
      </c>
      <c r="N2314" t="s">
        <v>16066</v>
      </c>
    </row>
    <row r="2315" spans="1:14">
      <c r="A2315">
        <v>14320041</v>
      </c>
      <c r="B2315">
        <v>4008380</v>
      </c>
      <c r="C2315" t="s">
        <v>1579</v>
      </c>
      <c r="D2315" t="s">
        <v>441</v>
      </c>
      <c r="F2315">
        <v>0</v>
      </c>
      <c r="G2315">
        <v>18.75</v>
      </c>
      <c r="H2315" t="s">
        <v>8587</v>
      </c>
      <c r="I2315">
        <v>16</v>
      </c>
      <c r="J2315" t="s">
        <v>462</v>
      </c>
      <c r="M2315">
        <v>7112</v>
      </c>
      <c r="N2315" t="s">
        <v>16066</v>
      </c>
    </row>
    <row r="2316" spans="1:14">
      <c r="A2316">
        <v>14320042</v>
      </c>
      <c r="B2316">
        <v>4012639</v>
      </c>
      <c r="C2316" t="s">
        <v>9564</v>
      </c>
      <c r="D2316" t="s">
        <v>441</v>
      </c>
      <c r="F2316">
        <v>0</v>
      </c>
      <c r="G2316">
        <v>15.93</v>
      </c>
      <c r="H2316" t="s">
        <v>8587</v>
      </c>
      <c r="I2316">
        <v>12</v>
      </c>
      <c r="J2316" t="s">
        <v>462</v>
      </c>
      <c r="K2316" t="s">
        <v>446</v>
      </c>
      <c r="M2316">
        <v>2612</v>
      </c>
      <c r="N2316" t="s">
        <v>16066</v>
      </c>
    </row>
    <row r="2317" spans="1:14">
      <c r="A2317">
        <v>14320043</v>
      </c>
      <c r="B2317">
        <v>4012808</v>
      </c>
      <c r="C2317" t="s">
        <v>1580</v>
      </c>
      <c r="D2317" t="s">
        <v>441</v>
      </c>
      <c r="F2317">
        <v>0</v>
      </c>
      <c r="G2317">
        <v>19.97</v>
      </c>
      <c r="H2317" t="s">
        <v>8588</v>
      </c>
      <c r="I2317">
        <v>16</v>
      </c>
      <c r="J2317" t="s">
        <v>462</v>
      </c>
      <c r="M2317">
        <v>7112</v>
      </c>
      <c r="N2317" t="s">
        <v>16066</v>
      </c>
    </row>
    <row r="2318" spans="1:14">
      <c r="A2318">
        <v>14320044</v>
      </c>
      <c r="B2318">
        <v>4013888</v>
      </c>
      <c r="C2318" t="s">
        <v>1581</v>
      </c>
      <c r="D2318" t="s">
        <v>441</v>
      </c>
      <c r="F2318">
        <v>0</v>
      </c>
      <c r="G2318">
        <v>11.99</v>
      </c>
      <c r="H2318" t="s">
        <v>8588</v>
      </c>
      <c r="I2318">
        <v>16</v>
      </c>
      <c r="J2318" t="s">
        <v>462</v>
      </c>
      <c r="L2318">
        <v>2291660</v>
      </c>
      <c r="M2318">
        <v>7112</v>
      </c>
      <c r="N2318" t="s">
        <v>16066</v>
      </c>
    </row>
    <row r="2319" spans="1:14">
      <c r="A2319">
        <v>14320045</v>
      </c>
      <c r="B2319">
        <v>4015389</v>
      </c>
      <c r="C2319" t="s">
        <v>9565</v>
      </c>
      <c r="D2319" t="s">
        <v>441</v>
      </c>
      <c r="F2319">
        <v>0</v>
      </c>
      <c r="G2319">
        <v>15.94</v>
      </c>
      <c r="H2319" t="s">
        <v>8587</v>
      </c>
      <c r="I2319">
        <v>16</v>
      </c>
      <c r="J2319" t="s">
        <v>462</v>
      </c>
      <c r="K2319" t="s">
        <v>446</v>
      </c>
      <c r="M2319">
        <v>2612</v>
      </c>
      <c r="N2319" t="s">
        <v>16066</v>
      </c>
    </row>
    <row r="2320" spans="1:14">
      <c r="A2320">
        <v>14320046</v>
      </c>
      <c r="B2320">
        <v>4017606</v>
      </c>
      <c r="C2320" t="s">
        <v>9566</v>
      </c>
      <c r="D2320" t="s">
        <v>441</v>
      </c>
      <c r="F2320">
        <v>0</v>
      </c>
      <c r="G2320">
        <v>11.39</v>
      </c>
      <c r="H2320" t="s">
        <v>8587</v>
      </c>
      <c r="I2320">
        <v>16</v>
      </c>
      <c r="J2320" t="s">
        <v>462</v>
      </c>
      <c r="K2320" t="s">
        <v>446</v>
      </c>
      <c r="M2320">
        <v>0</v>
      </c>
      <c r="N2320" t="s">
        <v>16066</v>
      </c>
    </row>
    <row r="2321" spans="1:14">
      <c r="A2321">
        <v>14320047</v>
      </c>
      <c r="B2321">
        <v>4029727</v>
      </c>
      <c r="C2321" t="s">
        <v>15470</v>
      </c>
      <c r="D2321" t="s">
        <v>441</v>
      </c>
      <c r="F2321">
        <v>0</v>
      </c>
      <c r="G2321">
        <v>18.91</v>
      </c>
      <c r="H2321" t="s">
        <v>8588</v>
      </c>
      <c r="I2321">
        <v>16</v>
      </c>
      <c r="J2321" t="s">
        <v>462</v>
      </c>
      <c r="M2321">
        <v>7112</v>
      </c>
      <c r="N2321" t="s">
        <v>16066</v>
      </c>
    </row>
    <row r="2322" spans="1:14">
      <c r="A2322">
        <v>14320048</v>
      </c>
      <c r="B2322">
        <v>4029726</v>
      </c>
      <c r="C2322" t="s">
        <v>15924</v>
      </c>
      <c r="D2322" t="s">
        <v>441</v>
      </c>
      <c r="F2322">
        <v>0</v>
      </c>
      <c r="G2322">
        <v>20.86</v>
      </c>
      <c r="H2322" t="s">
        <v>8588</v>
      </c>
      <c r="I2322">
        <v>16</v>
      </c>
      <c r="J2322" t="s">
        <v>462</v>
      </c>
      <c r="M2322">
        <v>7112</v>
      </c>
      <c r="N2322" t="s">
        <v>16066</v>
      </c>
    </row>
    <row r="2323" spans="1:14">
      <c r="A2323">
        <v>14320050</v>
      </c>
      <c r="B2323">
        <v>4012647</v>
      </c>
      <c r="C2323" t="s">
        <v>9567</v>
      </c>
      <c r="D2323" t="s">
        <v>441</v>
      </c>
      <c r="F2323">
        <v>0</v>
      </c>
      <c r="G2323">
        <v>12.45</v>
      </c>
      <c r="H2323" t="s">
        <v>8587</v>
      </c>
      <c r="I2323">
        <v>13</v>
      </c>
      <c r="J2323" t="s">
        <v>462</v>
      </c>
      <c r="K2323" t="s">
        <v>446</v>
      </c>
      <c r="M2323">
        <v>2612</v>
      </c>
      <c r="N2323" t="s">
        <v>16066</v>
      </c>
    </row>
    <row r="2324" spans="1:14">
      <c r="A2324">
        <v>14320058</v>
      </c>
      <c r="B2324">
        <v>4019535</v>
      </c>
      <c r="C2324" t="s">
        <v>17395</v>
      </c>
      <c r="D2324" t="s">
        <v>441</v>
      </c>
      <c r="F2324">
        <v>0</v>
      </c>
      <c r="G2324">
        <v>21.42</v>
      </c>
      <c r="H2324" t="s">
        <v>8587</v>
      </c>
      <c r="I2324">
        <v>16</v>
      </c>
      <c r="J2324" t="s">
        <v>462</v>
      </c>
      <c r="M2324">
        <v>7112</v>
      </c>
      <c r="N2324" t="s">
        <v>16066</v>
      </c>
    </row>
    <row r="2325" spans="1:14">
      <c r="A2325">
        <v>14320059</v>
      </c>
      <c r="B2325">
        <v>4026586</v>
      </c>
      <c r="C2325" t="s">
        <v>1582</v>
      </c>
      <c r="D2325" t="s">
        <v>441</v>
      </c>
      <c r="F2325">
        <v>0</v>
      </c>
      <c r="G2325">
        <v>12.07</v>
      </c>
      <c r="H2325" t="s">
        <v>8587</v>
      </c>
      <c r="I2325">
        <v>16</v>
      </c>
      <c r="J2325" t="s">
        <v>462</v>
      </c>
      <c r="M2325">
        <v>7112</v>
      </c>
      <c r="N2325" t="s">
        <v>16066</v>
      </c>
    </row>
    <row r="2326" spans="1:14">
      <c r="A2326">
        <v>14320061</v>
      </c>
      <c r="B2326">
        <v>4013339</v>
      </c>
      <c r="C2326" t="s">
        <v>9568</v>
      </c>
      <c r="D2326" t="s">
        <v>441</v>
      </c>
      <c r="F2326">
        <v>0</v>
      </c>
      <c r="G2326">
        <v>16.079999999999998</v>
      </c>
      <c r="H2326" t="s">
        <v>8588</v>
      </c>
      <c r="I2326">
        <v>365</v>
      </c>
      <c r="J2326" t="s">
        <v>462</v>
      </c>
      <c r="K2326" t="s">
        <v>446</v>
      </c>
      <c r="M2326">
        <v>2641</v>
      </c>
      <c r="N2326" t="s">
        <v>16066</v>
      </c>
    </row>
    <row r="2327" spans="1:14">
      <c r="A2327">
        <v>14320068</v>
      </c>
      <c r="B2327">
        <v>4006600</v>
      </c>
      <c r="C2327" t="s">
        <v>9569</v>
      </c>
      <c r="D2327" t="s">
        <v>441</v>
      </c>
      <c r="F2327">
        <v>0</v>
      </c>
      <c r="G2327">
        <v>11.46</v>
      </c>
      <c r="H2327" t="s">
        <v>8587</v>
      </c>
      <c r="I2327">
        <v>9</v>
      </c>
      <c r="J2327" t="s">
        <v>462</v>
      </c>
      <c r="K2327" t="s">
        <v>446</v>
      </c>
      <c r="M2327">
        <v>2611</v>
      </c>
    </row>
    <row r="2328" spans="1:14">
      <c r="A2328">
        <v>14320069</v>
      </c>
      <c r="B2328">
        <v>4006602</v>
      </c>
      <c r="C2328" t="s">
        <v>9570</v>
      </c>
      <c r="D2328" t="s">
        <v>441</v>
      </c>
      <c r="F2328">
        <v>0</v>
      </c>
      <c r="G2328">
        <v>11.91</v>
      </c>
      <c r="H2328" t="s">
        <v>8587</v>
      </c>
      <c r="I2328">
        <v>9</v>
      </c>
      <c r="J2328" t="s">
        <v>462</v>
      </c>
      <c r="K2328" t="s">
        <v>446</v>
      </c>
      <c r="M2328">
        <v>2611</v>
      </c>
    </row>
    <row r="2329" spans="1:14">
      <c r="A2329">
        <v>14320076</v>
      </c>
      <c r="B2329">
        <v>3026050</v>
      </c>
      <c r="C2329" t="s">
        <v>1583</v>
      </c>
      <c r="D2329" t="s">
        <v>441</v>
      </c>
      <c r="F2329">
        <v>0</v>
      </c>
      <c r="G2329">
        <v>11.43</v>
      </c>
      <c r="H2329" t="s">
        <v>8588</v>
      </c>
      <c r="I2329">
        <v>6</v>
      </c>
      <c r="J2329" t="s">
        <v>445</v>
      </c>
      <c r="L2329">
        <v>2092019</v>
      </c>
      <c r="M2329">
        <v>7112</v>
      </c>
      <c r="N2329" t="s">
        <v>16066</v>
      </c>
    </row>
    <row r="2330" spans="1:14">
      <c r="A2330">
        <v>14320100</v>
      </c>
      <c r="B2330">
        <v>3000094</v>
      </c>
      <c r="C2330" t="s">
        <v>9571</v>
      </c>
      <c r="D2330" t="s">
        <v>441</v>
      </c>
      <c r="F2330">
        <v>0</v>
      </c>
      <c r="H2330" t="s">
        <v>8549</v>
      </c>
      <c r="I2330">
        <v>6</v>
      </c>
      <c r="J2330" t="s">
        <v>445</v>
      </c>
      <c r="K2330" t="s">
        <v>446</v>
      </c>
      <c r="M2330">
        <v>2391</v>
      </c>
    </row>
    <row r="2331" spans="1:14">
      <c r="A2331">
        <v>14320102</v>
      </c>
      <c r="B2331">
        <v>3007610</v>
      </c>
      <c r="C2331" t="s">
        <v>1584</v>
      </c>
      <c r="D2331" t="s">
        <v>441</v>
      </c>
      <c r="F2331">
        <v>0</v>
      </c>
      <c r="I2331">
        <v>9</v>
      </c>
      <c r="J2331" t="s">
        <v>445</v>
      </c>
      <c r="K2331" t="s">
        <v>446</v>
      </c>
      <c r="M2331">
        <v>0</v>
      </c>
      <c r="N2331" t="s">
        <v>16066</v>
      </c>
    </row>
    <row r="2332" spans="1:14">
      <c r="A2332">
        <v>14320120</v>
      </c>
      <c r="B2332">
        <v>3003321</v>
      </c>
      <c r="C2332" t="s">
        <v>9572</v>
      </c>
      <c r="D2332" t="s">
        <v>441</v>
      </c>
      <c r="F2332">
        <v>0</v>
      </c>
      <c r="H2332" t="s">
        <v>8588</v>
      </c>
      <c r="I2332">
        <v>6</v>
      </c>
      <c r="J2332" t="s">
        <v>445</v>
      </c>
      <c r="K2332" t="s">
        <v>446</v>
      </c>
      <c r="M2332">
        <v>2391</v>
      </c>
    </row>
    <row r="2333" spans="1:14">
      <c r="A2333">
        <v>14320130</v>
      </c>
      <c r="B2333">
        <v>3011126</v>
      </c>
      <c r="C2333" t="s">
        <v>9573</v>
      </c>
      <c r="D2333" t="s">
        <v>441</v>
      </c>
      <c r="F2333">
        <v>0</v>
      </c>
      <c r="H2333" t="s">
        <v>8588</v>
      </c>
      <c r="I2333">
        <v>6</v>
      </c>
      <c r="J2333" t="s">
        <v>445</v>
      </c>
      <c r="K2333" t="s">
        <v>446</v>
      </c>
      <c r="M2333">
        <v>2391</v>
      </c>
    </row>
    <row r="2334" spans="1:14">
      <c r="A2334">
        <v>14320527</v>
      </c>
      <c r="B2334">
        <v>3019097</v>
      </c>
      <c r="C2334" t="s">
        <v>9574</v>
      </c>
      <c r="D2334" t="s">
        <v>441</v>
      </c>
      <c r="F2334">
        <v>0</v>
      </c>
      <c r="G2334">
        <v>15.56</v>
      </c>
      <c r="I2334">
        <v>365</v>
      </c>
      <c r="J2334" t="s">
        <v>445</v>
      </c>
      <c r="K2334" t="s">
        <v>446</v>
      </c>
      <c r="M2334">
        <v>2641</v>
      </c>
      <c r="N2334" t="s">
        <v>16066</v>
      </c>
    </row>
    <row r="2335" spans="1:14">
      <c r="A2335">
        <v>14320528</v>
      </c>
      <c r="B2335">
        <v>3009122</v>
      </c>
      <c r="C2335" t="s">
        <v>9575</v>
      </c>
      <c r="D2335" t="s">
        <v>441</v>
      </c>
      <c r="F2335">
        <v>0</v>
      </c>
      <c r="G2335">
        <v>15.58</v>
      </c>
      <c r="H2335" t="s">
        <v>8580</v>
      </c>
      <c r="I2335">
        <v>365</v>
      </c>
      <c r="J2335" t="s">
        <v>445</v>
      </c>
      <c r="K2335" t="s">
        <v>446</v>
      </c>
      <c r="M2335">
        <v>2641</v>
      </c>
      <c r="N2335" t="s">
        <v>16066</v>
      </c>
    </row>
    <row r="2336" spans="1:14">
      <c r="A2336">
        <v>14320529</v>
      </c>
      <c r="B2336">
        <v>3019955</v>
      </c>
      <c r="C2336" t="s">
        <v>1585</v>
      </c>
      <c r="D2336" t="s">
        <v>441</v>
      </c>
      <c r="F2336">
        <v>0</v>
      </c>
      <c r="G2336">
        <v>11.87</v>
      </c>
      <c r="I2336">
        <v>540</v>
      </c>
      <c r="J2336" t="s">
        <v>445</v>
      </c>
      <c r="M2336">
        <v>2502</v>
      </c>
      <c r="N2336" t="s">
        <v>16066</v>
      </c>
    </row>
    <row r="2337" spans="1:14">
      <c r="A2337">
        <v>14320561</v>
      </c>
      <c r="B2337">
        <v>3019152</v>
      </c>
      <c r="C2337" t="s">
        <v>1586</v>
      </c>
      <c r="D2337" t="s">
        <v>441</v>
      </c>
      <c r="F2337">
        <v>0</v>
      </c>
      <c r="G2337">
        <v>15.87</v>
      </c>
      <c r="H2337" t="s">
        <v>8583</v>
      </c>
      <c r="I2337">
        <v>540</v>
      </c>
      <c r="J2337" t="s">
        <v>445</v>
      </c>
      <c r="K2337" t="s">
        <v>446</v>
      </c>
      <c r="M2337">
        <v>2612</v>
      </c>
      <c r="N2337" t="s">
        <v>16066</v>
      </c>
    </row>
    <row r="2338" spans="1:14">
      <c r="A2338">
        <v>14320628</v>
      </c>
      <c r="B2338">
        <v>3011860</v>
      </c>
      <c r="C2338" t="s">
        <v>1587</v>
      </c>
      <c r="D2338" t="s">
        <v>441</v>
      </c>
      <c r="F2338">
        <v>0</v>
      </c>
      <c r="G2338">
        <v>8.57</v>
      </c>
      <c r="I2338">
        <v>4</v>
      </c>
      <c r="J2338" t="s">
        <v>445</v>
      </c>
      <c r="K2338" t="s">
        <v>446</v>
      </c>
      <c r="M2338">
        <v>2511</v>
      </c>
    </row>
    <row r="2339" spans="1:14">
      <c r="A2339">
        <v>14321020</v>
      </c>
      <c r="B2339">
        <v>4011602</v>
      </c>
      <c r="C2339" t="s">
        <v>9576</v>
      </c>
      <c r="D2339" t="s">
        <v>441</v>
      </c>
      <c r="F2339">
        <v>0</v>
      </c>
      <c r="G2339">
        <v>15.5</v>
      </c>
      <c r="H2339" t="s">
        <v>8588</v>
      </c>
      <c r="I2339">
        <v>6</v>
      </c>
      <c r="J2339" t="s">
        <v>462</v>
      </c>
      <c r="K2339" t="s">
        <v>446</v>
      </c>
      <c r="M2339">
        <v>2641</v>
      </c>
      <c r="N2339" t="s">
        <v>16066</v>
      </c>
    </row>
    <row r="2340" spans="1:14">
      <c r="A2340">
        <v>14321027</v>
      </c>
      <c r="B2340">
        <v>4013265</v>
      </c>
      <c r="C2340" t="s">
        <v>9577</v>
      </c>
      <c r="D2340" t="s">
        <v>441</v>
      </c>
      <c r="F2340">
        <v>0</v>
      </c>
      <c r="G2340">
        <v>15.75</v>
      </c>
      <c r="H2340" t="s">
        <v>8588</v>
      </c>
      <c r="I2340">
        <v>365</v>
      </c>
      <c r="J2340" t="s">
        <v>462</v>
      </c>
      <c r="K2340" t="s">
        <v>446</v>
      </c>
      <c r="M2340">
        <v>2501</v>
      </c>
      <c r="N2340" t="s">
        <v>16066</v>
      </c>
    </row>
    <row r="2341" spans="1:14">
      <c r="A2341">
        <v>14321028</v>
      </c>
      <c r="B2341">
        <v>4011768</v>
      </c>
      <c r="C2341" t="s">
        <v>9578</v>
      </c>
      <c r="D2341" t="s">
        <v>441</v>
      </c>
      <c r="F2341">
        <v>0</v>
      </c>
      <c r="G2341">
        <v>10.77</v>
      </c>
      <c r="H2341" t="s">
        <v>8588</v>
      </c>
      <c r="I2341">
        <v>365</v>
      </c>
      <c r="J2341" t="s">
        <v>462</v>
      </c>
      <c r="K2341" t="s">
        <v>446</v>
      </c>
      <c r="M2341">
        <v>2501</v>
      </c>
      <c r="N2341" t="s">
        <v>16066</v>
      </c>
    </row>
    <row r="2342" spans="1:14">
      <c r="A2342">
        <v>14321029</v>
      </c>
      <c r="B2342">
        <v>4013472</v>
      </c>
      <c r="C2342" t="s">
        <v>1588</v>
      </c>
      <c r="D2342" t="s">
        <v>441</v>
      </c>
      <c r="F2342">
        <v>0</v>
      </c>
      <c r="G2342">
        <v>19.27</v>
      </c>
      <c r="H2342" t="s">
        <v>8588</v>
      </c>
      <c r="I2342">
        <v>540</v>
      </c>
      <c r="J2342" t="s">
        <v>462</v>
      </c>
      <c r="M2342">
        <v>7111</v>
      </c>
      <c r="N2342" t="s">
        <v>16066</v>
      </c>
    </row>
    <row r="2343" spans="1:14">
      <c r="A2343">
        <v>14321030</v>
      </c>
      <c r="B2343">
        <v>4011664</v>
      </c>
      <c r="C2343" t="s">
        <v>9579</v>
      </c>
      <c r="D2343" t="s">
        <v>441</v>
      </c>
      <c r="F2343">
        <v>0</v>
      </c>
      <c r="G2343">
        <v>10.58</v>
      </c>
      <c r="H2343" t="s">
        <v>8587</v>
      </c>
      <c r="I2343">
        <v>9</v>
      </c>
      <c r="J2343" t="s">
        <v>462</v>
      </c>
      <c r="K2343" t="s">
        <v>446</v>
      </c>
      <c r="M2343">
        <v>2611</v>
      </c>
    </row>
    <row r="2344" spans="1:14">
      <c r="A2344">
        <v>14321031</v>
      </c>
      <c r="B2344">
        <v>4013387</v>
      </c>
      <c r="C2344" t="s">
        <v>9580</v>
      </c>
      <c r="D2344" t="s">
        <v>441</v>
      </c>
      <c r="F2344">
        <v>0</v>
      </c>
      <c r="G2344">
        <v>16.71</v>
      </c>
      <c r="H2344" t="s">
        <v>8588</v>
      </c>
      <c r="I2344">
        <v>12</v>
      </c>
      <c r="J2344" t="s">
        <v>462</v>
      </c>
      <c r="K2344" t="s">
        <v>446</v>
      </c>
      <c r="M2344">
        <v>2611</v>
      </c>
      <c r="N2344" t="s">
        <v>16066</v>
      </c>
    </row>
    <row r="2345" spans="1:14">
      <c r="A2345">
        <v>14321040</v>
      </c>
      <c r="B2345">
        <v>4012204</v>
      </c>
      <c r="C2345" t="s">
        <v>9581</v>
      </c>
      <c r="D2345" t="s">
        <v>441</v>
      </c>
      <c r="F2345">
        <v>0</v>
      </c>
      <c r="G2345">
        <v>11.77</v>
      </c>
      <c r="H2345" t="s">
        <v>8588</v>
      </c>
      <c r="I2345">
        <v>13</v>
      </c>
      <c r="J2345" t="s">
        <v>462</v>
      </c>
      <c r="K2345" t="s">
        <v>446</v>
      </c>
      <c r="M2345">
        <v>2641</v>
      </c>
      <c r="N2345" t="s">
        <v>16066</v>
      </c>
    </row>
    <row r="2346" spans="1:14">
      <c r="A2346">
        <v>14321041</v>
      </c>
      <c r="B2346">
        <v>4011781</v>
      </c>
      <c r="C2346" t="s">
        <v>9581</v>
      </c>
      <c r="D2346" t="s">
        <v>441</v>
      </c>
      <c r="F2346">
        <v>0</v>
      </c>
      <c r="G2346">
        <v>15.94</v>
      </c>
      <c r="H2346" t="s">
        <v>8587</v>
      </c>
      <c r="I2346">
        <v>16</v>
      </c>
      <c r="J2346" t="s">
        <v>462</v>
      </c>
      <c r="K2346" t="s">
        <v>446</v>
      </c>
      <c r="M2346">
        <v>2612</v>
      </c>
      <c r="N2346" t="s">
        <v>16066</v>
      </c>
    </row>
    <row r="2347" spans="1:14">
      <c r="A2347">
        <v>14321042</v>
      </c>
      <c r="B2347">
        <v>4012640</v>
      </c>
      <c r="C2347" t="s">
        <v>9581</v>
      </c>
      <c r="D2347" t="s">
        <v>441</v>
      </c>
      <c r="F2347">
        <v>0</v>
      </c>
      <c r="G2347">
        <v>15.93</v>
      </c>
      <c r="H2347" t="s">
        <v>8588</v>
      </c>
      <c r="I2347">
        <v>9</v>
      </c>
      <c r="J2347" t="s">
        <v>462</v>
      </c>
      <c r="K2347" t="s">
        <v>446</v>
      </c>
      <c r="M2347">
        <v>2612</v>
      </c>
      <c r="N2347" t="s">
        <v>16066</v>
      </c>
    </row>
    <row r="2348" spans="1:14">
      <c r="A2348">
        <v>14321043</v>
      </c>
      <c r="B2348">
        <v>4012809</v>
      </c>
      <c r="C2348" t="s">
        <v>1589</v>
      </c>
      <c r="D2348" t="s">
        <v>441</v>
      </c>
      <c r="F2348">
        <v>0</v>
      </c>
      <c r="G2348">
        <v>20.68</v>
      </c>
      <c r="H2348" t="s">
        <v>8587</v>
      </c>
      <c r="I2348">
        <v>16</v>
      </c>
      <c r="J2348" t="s">
        <v>462</v>
      </c>
      <c r="M2348">
        <v>7112</v>
      </c>
      <c r="N2348" t="s">
        <v>16066</v>
      </c>
    </row>
    <row r="2349" spans="1:14">
      <c r="A2349">
        <v>14321044</v>
      </c>
      <c r="B2349">
        <v>4013887</v>
      </c>
      <c r="C2349" t="s">
        <v>9582</v>
      </c>
      <c r="D2349" t="s">
        <v>441</v>
      </c>
      <c r="F2349">
        <v>0</v>
      </c>
      <c r="G2349">
        <v>15.87</v>
      </c>
      <c r="H2349" t="s">
        <v>8588</v>
      </c>
      <c r="I2349">
        <v>9</v>
      </c>
      <c r="J2349" t="s">
        <v>462</v>
      </c>
      <c r="K2349" t="s">
        <v>446</v>
      </c>
      <c r="M2349">
        <v>2612</v>
      </c>
      <c r="N2349" t="s">
        <v>16066</v>
      </c>
    </row>
    <row r="2350" spans="1:14">
      <c r="A2350">
        <v>14321046</v>
      </c>
      <c r="B2350">
        <v>4017607</v>
      </c>
      <c r="C2350" t="s">
        <v>9583</v>
      </c>
      <c r="D2350" t="s">
        <v>441</v>
      </c>
      <c r="F2350">
        <v>0</v>
      </c>
      <c r="G2350">
        <v>11.39</v>
      </c>
      <c r="H2350" t="s">
        <v>8587</v>
      </c>
      <c r="I2350">
        <v>16</v>
      </c>
      <c r="J2350" t="s">
        <v>462</v>
      </c>
      <c r="K2350" t="s">
        <v>446</v>
      </c>
      <c r="M2350">
        <v>2612</v>
      </c>
      <c r="N2350" t="s">
        <v>16066</v>
      </c>
    </row>
    <row r="2351" spans="1:14">
      <c r="A2351">
        <v>14321050</v>
      </c>
      <c r="B2351">
        <v>4012648</v>
      </c>
      <c r="C2351" t="s">
        <v>9584</v>
      </c>
      <c r="D2351" t="s">
        <v>441</v>
      </c>
      <c r="F2351">
        <v>0</v>
      </c>
      <c r="G2351">
        <v>12.45</v>
      </c>
      <c r="H2351" t="s">
        <v>8587</v>
      </c>
      <c r="I2351">
        <v>13</v>
      </c>
      <c r="J2351" t="s">
        <v>462</v>
      </c>
      <c r="K2351" t="s">
        <v>446</v>
      </c>
      <c r="M2351">
        <v>2612</v>
      </c>
      <c r="N2351" t="s">
        <v>16066</v>
      </c>
    </row>
    <row r="2352" spans="1:14">
      <c r="A2352">
        <v>14321061</v>
      </c>
      <c r="B2352">
        <v>4013353</v>
      </c>
      <c r="C2352" t="s">
        <v>9585</v>
      </c>
      <c r="D2352" t="s">
        <v>441</v>
      </c>
      <c r="F2352">
        <v>0</v>
      </c>
      <c r="G2352">
        <v>16.09</v>
      </c>
      <c r="H2352" t="s">
        <v>8588</v>
      </c>
      <c r="I2352">
        <v>365</v>
      </c>
      <c r="J2352" t="s">
        <v>462</v>
      </c>
      <c r="K2352" t="s">
        <v>446</v>
      </c>
      <c r="M2352">
        <v>2641</v>
      </c>
      <c r="N2352" t="s">
        <v>16066</v>
      </c>
    </row>
    <row r="2353" spans="1:14">
      <c r="A2353">
        <v>14321068</v>
      </c>
      <c r="B2353">
        <v>4011662</v>
      </c>
      <c r="C2353" t="s">
        <v>9586</v>
      </c>
      <c r="D2353" t="s">
        <v>441</v>
      </c>
      <c r="F2353">
        <v>0</v>
      </c>
      <c r="G2353">
        <v>11.46</v>
      </c>
      <c r="H2353" t="s">
        <v>8587</v>
      </c>
      <c r="I2353">
        <v>9</v>
      </c>
      <c r="J2353" t="s">
        <v>462</v>
      </c>
      <c r="K2353" t="s">
        <v>446</v>
      </c>
      <c r="M2353">
        <v>2611</v>
      </c>
    </row>
    <row r="2354" spans="1:14">
      <c r="A2354">
        <v>14321069</v>
      </c>
      <c r="B2354">
        <v>4011663</v>
      </c>
      <c r="C2354" t="s">
        <v>9587</v>
      </c>
      <c r="D2354" t="s">
        <v>441</v>
      </c>
      <c r="F2354">
        <v>0</v>
      </c>
      <c r="G2354">
        <v>11.91</v>
      </c>
      <c r="H2354" t="s">
        <v>8587</v>
      </c>
      <c r="I2354">
        <v>9</v>
      </c>
      <c r="J2354" t="s">
        <v>462</v>
      </c>
      <c r="K2354" t="s">
        <v>446</v>
      </c>
      <c r="M2354">
        <v>2611</v>
      </c>
    </row>
    <row r="2355" spans="1:14">
      <c r="A2355">
        <v>14321527</v>
      </c>
      <c r="B2355">
        <v>3019098</v>
      </c>
      <c r="C2355" t="s">
        <v>9588</v>
      </c>
      <c r="D2355" t="s">
        <v>441</v>
      </c>
      <c r="F2355">
        <v>0</v>
      </c>
      <c r="G2355">
        <v>15.56</v>
      </c>
      <c r="H2355" t="s">
        <v>8580</v>
      </c>
      <c r="I2355">
        <v>365</v>
      </c>
      <c r="J2355" t="s">
        <v>445</v>
      </c>
      <c r="K2355" t="s">
        <v>446</v>
      </c>
      <c r="M2355">
        <v>2641</v>
      </c>
      <c r="N2355" t="s">
        <v>16066</v>
      </c>
    </row>
    <row r="2356" spans="1:14">
      <c r="A2356">
        <v>14321528</v>
      </c>
      <c r="B2356">
        <v>3017440</v>
      </c>
      <c r="C2356" t="s">
        <v>9589</v>
      </c>
      <c r="D2356" t="s">
        <v>441</v>
      </c>
      <c r="F2356">
        <v>0</v>
      </c>
      <c r="G2356">
        <v>10.56</v>
      </c>
      <c r="H2356" t="s">
        <v>8584</v>
      </c>
      <c r="I2356">
        <v>365</v>
      </c>
      <c r="J2356" t="s">
        <v>445</v>
      </c>
      <c r="K2356" t="s">
        <v>446</v>
      </c>
      <c r="M2356">
        <v>2641</v>
      </c>
      <c r="N2356" t="s">
        <v>16066</v>
      </c>
    </row>
    <row r="2357" spans="1:14">
      <c r="A2357">
        <v>14321529</v>
      </c>
      <c r="B2357">
        <v>3019956</v>
      </c>
      <c r="C2357" t="s">
        <v>1590</v>
      </c>
      <c r="D2357" t="s">
        <v>441</v>
      </c>
      <c r="F2357">
        <v>0</v>
      </c>
      <c r="G2357">
        <v>11.86</v>
      </c>
      <c r="H2357" t="s">
        <v>8580</v>
      </c>
      <c r="I2357">
        <v>365</v>
      </c>
      <c r="J2357" t="s">
        <v>445</v>
      </c>
      <c r="M2357">
        <v>2502</v>
      </c>
      <c r="N2357" t="s">
        <v>16066</v>
      </c>
    </row>
    <row r="2358" spans="1:14">
      <c r="A2358">
        <v>14321561</v>
      </c>
      <c r="B2358">
        <v>3019158</v>
      </c>
      <c r="C2358" t="s">
        <v>1591</v>
      </c>
      <c r="D2358" t="s">
        <v>441</v>
      </c>
      <c r="F2358">
        <v>0</v>
      </c>
      <c r="G2358">
        <v>15.89</v>
      </c>
      <c r="I2358">
        <v>540</v>
      </c>
      <c r="J2358" t="s">
        <v>445</v>
      </c>
      <c r="K2358" t="s">
        <v>446</v>
      </c>
      <c r="M2358">
        <v>2612</v>
      </c>
      <c r="N2358" t="s">
        <v>16066</v>
      </c>
    </row>
    <row r="2359" spans="1:14">
      <c r="A2359">
        <v>14326000</v>
      </c>
      <c r="B2359">
        <v>3009235</v>
      </c>
      <c r="C2359" t="s">
        <v>1592</v>
      </c>
      <c r="D2359" t="s">
        <v>441</v>
      </c>
      <c r="F2359">
        <v>0</v>
      </c>
      <c r="G2359">
        <v>11.06</v>
      </c>
      <c r="H2359" t="s">
        <v>8580</v>
      </c>
      <c r="I2359">
        <v>6</v>
      </c>
      <c r="J2359" t="s">
        <v>445</v>
      </c>
      <c r="K2359" t="s">
        <v>446</v>
      </c>
      <c r="M2359">
        <v>2390</v>
      </c>
    </row>
    <row r="2360" spans="1:14">
      <c r="A2360">
        <v>14330000</v>
      </c>
      <c r="B2360">
        <v>3018918</v>
      </c>
      <c r="C2360" t="s">
        <v>1593</v>
      </c>
      <c r="D2360" t="s">
        <v>441</v>
      </c>
      <c r="F2360">
        <v>0</v>
      </c>
      <c r="G2360">
        <v>10.77</v>
      </c>
      <c r="H2360" t="s">
        <v>8588</v>
      </c>
      <c r="I2360">
        <v>6</v>
      </c>
      <c r="J2360" t="s">
        <v>445</v>
      </c>
      <c r="M2360">
        <v>2391</v>
      </c>
      <c r="N2360" t="s">
        <v>16060</v>
      </c>
    </row>
    <row r="2361" spans="1:14">
      <c r="A2361">
        <v>14330007</v>
      </c>
      <c r="B2361">
        <v>3024897</v>
      </c>
      <c r="C2361" t="s">
        <v>1594</v>
      </c>
      <c r="D2361" t="s">
        <v>441</v>
      </c>
      <c r="F2361">
        <v>0</v>
      </c>
      <c r="G2361">
        <v>10.89</v>
      </c>
      <c r="H2361" t="s">
        <v>8588</v>
      </c>
      <c r="I2361">
        <v>6</v>
      </c>
      <c r="J2361" t="s">
        <v>445</v>
      </c>
      <c r="M2361">
        <v>3111</v>
      </c>
      <c r="N2361" t="s">
        <v>16060</v>
      </c>
    </row>
    <row r="2362" spans="1:14">
      <c r="A2362">
        <v>14330020</v>
      </c>
      <c r="B2362">
        <v>4015665</v>
      </c>
      <c r="C2362" t="s">
        <v>9590</v>
      </c>
      <c r="D2362" t="s">
        <v>441</v>
      </c>
      <c r="F2362">
        <v>0</v>
      </c>
      <c r="G2362">
        <v>14.76</v>
      </c>
      <c r="H2362" t="s">
        <v>8588</v>
      </c>
      <c r="I2362">
        <v>5</v>
      </c>
      <c r="J2362" t="s">
        <v>462</v>
      </c>
      <c r="K2362" t="s">
        <v>446</v>
      </c>
      <c r="M2362">
        <v>2641</v>
      </c>
      <c r="N2362" t="s">
        <v>16060</v>
      </c>
    </row>
    <row r="2363" spans="1:14">
      <c r="A2363">
        <v>14330028</v>
      </c>
      <c r="B2363">
        <v>4021260</v>
      </c>
      <c r="C2363" t="s">
        <v>9591</v>
      </c>
      <c r="D2363" t="s">
        <v>442</v>
      </c>
      <c r="E2363" t="s">
        <v>441</v>
      </c>
      <c r="F2363">
        <v>25</v>
      </c>
      <c r="G2363">
        <v>399.14</v>
      </c>
      <c r="H2363" t="s">
        <v>8588</v>
      </c>
      <c r="I2363">
        <v>540</v>
      </c>
      <c r="J2363" t="s">
        <v>462</v>
      </c>
      <c r="K2363" t="s">
        <v>446</v>
      </c>
      <c r="M2363">
        <v>2501</v>
      </c>
      <c r="N2363" t="s">
        <v>16060</v>
      </c>
    </row>
    <row r="2364" spans="1:14">
      <c r="A2364">
        <v>14330030</v>
      </c>
      <c r="B2364">
        <v>4013181</v>
      </c>
      <c r="C2364" t="s">
        <v>1595</v>
      </c>
      <c r="D2364" t="s">
        <v>441</v>
      </c>
      <c r="F2364">
        <v>0</v>
      </c>
      <c r="G2364">
        <v>18.98</v>
      </c>
      <c r="H2364" t="s">
        <v>8587</v>
      </c>
      <c r="I2364">
        <v>7</v>
      </c>
      <c r="J2364" t="s">
        <v>462</v>
      </c>
      <c r="L2364">
        <v>100050</v>
      </c>
      <c r="M2364">
        <v>7112</v>
      </c>
      <c r="N2364" t="s">
        <v>16060</v>
      </c>
    </row>
    <row r="2365" spans="1:14">
      <c r="A2365">
        <v>14330040</v>
      </c>
      <c r="B2365">
        <v>4014878</v>
      </c>
      <c r="C2365" t="s">
        <v>9592</v>
      </c>
      <c r="D2365" t="s">
        <v>441</v>
      </c>
      <c r="F2365">
        <v>0</v>
      </c>
      <c r="G2365">
        <v>13.52</v>
      </c>
      <c r="H2365" t="s">
        <v>8588</v>
      </c>
      <c r="I2365">
        <v>7</v>
      </c>
      <c r="J2365" t="s">
        <v>462</v>
      </c>
      <c r="M2365">
        <v>2612</v>
      </c>
      <c r="N2365" t="s">
        <v>16060</v>
      </c>
    </row>
    <row r="2366" spans="1:14">
      <c r="A2366">
        <v>14330041</v>
      </c>
      <c r="B2366">
        <v>4015479</v>
      </c>
      <c r="C2366" t="s">
        <v>1596</v>
      </c>
      <c r="D2366" t="s">
        <v>441</v>
      </c>
      <c r="F2366">
        <v>0</v>
      </c>
      <c r="G2366">
        <v>11.42</v>
      </c>
      <c r="H2366" t="s">
        <v>8588</v>
      </c>
      <c r="I2366">
        <v>16</v>
      </c>
      <c r="J2366" t="s">
        <v>462</v>
      </c>
      <c r="L2366">
        <v>2886550</v>
      </c>
      <c r="M2366">
        <v>7112</v>
      </c>
      <c r="N2366" t="s">
        <v>16058</v>
      </c>
    </row>
    <row r="2367" spans="1:14">
      <c r="A2367">
        <v>14330042</v>
      </c>
      <c r="B2367">
        <v>4016952</v>
      </c>
      <c r="C2367" t="s">
        <v>1597</v>
      </c>
      <c r="D2367" t="s">
        <v>441</v>
      </c>
      <c r="F2367">
        <v>0</v>
      </c>
      <c r="G2367">
        <v>11.42</v>
      </c>
      <c r="H2367" t="s">
        <v>8588</v>
      </c>
      <c r="I2367">
        <v>16</v>
      </c>
      <c r="J2367" t="s">
        <v>462</v>
      </c>
      <c r="M2367">
        <v>7112</v>
      </c>
      <c r="N2367" t="s">
        <v>16058</v>
      </c>
    </row>
    <row r="2368" spans="1:14">
      <c r="A2368">
        <v>14330043</v>
      </c>
      <c r="B2368">
        <v>4017759</v>
      </c>
      <c r="C2368" t="s">
        <v>1598</v>
      </c>
      <c r="D2368" t="s">
        <v>441</v>
      </c>
      <c r="F2368">
        <v>0</v>
      </c>
      <c r="G2368">
        <v>11.44</v>
      </c>
      <c r="H2368" t="s">
        <v>8588</v>
      </c>
      <c r="I2368">
        <v>16</v>
      </c>
      <c r="J2368" t="s">
        <v>462</v>
      </c>
      <c r="M2368">
        <v>7112</v>
      </c>
      <c r="N2368" t="s">
        <v>16058</v>
      </c>
    </row>
    <row r="2369" spans="1:14">
      <c r="A2369">
        <v>14330044</v>
      </c>
      <c r="B2369">
        <v>4020653</v>
      </c>
      <c r="C2369" t="s">
        <v>9593</v>
      </c>
      <c r="D2369" t="s">
        <v>441</v>
      </c>
      <c r="F2369">
        <v>0</v>
      </c>
      <c r="G2369">
        <v>13.42</v>
      </c>
      <c r="H2369" t="s">
        <v>8588</v>
      </c>
      <c r="I2369">
        <v>16</v>
      </c>
      <c r="J2369" t="s">
        <v>462</v>
      </c>
      <c r="K2369" t="s">
        <v>446</v>
      </c>
      <c r="M2369">
        <v>2612</v>
      </c>
      <c r="N2369" t="s">
        <v>16060</v>
      </c>
    </row>
    <row r="2370" spans="1:14">
      <c r="A2370">
        <v>14330045</v>
      </c>
      <c r="B2370">
        <v>4024364</v>
      </c>
      <c r="C2370" t="s">
        <v>1599</v>
      </c>
      <c r="D2370" t="s">
        <v>441</v>
      </c>
      <c r="F2370">
        <v>0</v>
      </c>
      <c r="G2370">
        <v>11.42</v>
      </c>
      <c r="H2370" t="s">
        <v>8588</v>
      </c>
      <c r="I2370">
        <v>16</v>
      </c>
      <c r="J2370" t="s">
        <v>462</v>
      </c>
      <c r="M2370">
        <v>7112</v>
      </c>
      <c r="N2370" t="s">
        <v>16058</v>
      </c>
    </row>
    <row r="2371" spans="1:14">
      <c r="A2371">
        <v>14330046</v>
      </c>
      <c r="B2371">
        <v>4024663</v>
      </c>
      <c r="C2371" t="s">
        <v>1600</v>
      </c>
      <c r="D2371" t="s">
        <v>441</v>
      </c>
      <c r="F2371">
        <v>0</v>
      </c>
      <c r="G2371">
        <v>19.68</v>
      </c>
      <c r="H2371" t="s">
        <v>8587</v>
      </c>
      <c r="I2371">
        <v>10</v>
      </c>
      <c r="J2371" t="s">
        <v>462</v>
      </c>
      <c r="M2371">
        <v>7112</v>
      </c>
      <c r="N2371" t="s">
        <v>16060</v>
      </c>
    </row>
    <row r="2372" spans="1:14">
      <c r="A2372">
        <v>14330047</v>
      </c>
      <c r="B2372">
        <v>4029914</v>
      </c>
      <c r="C2372" t="s">
        <v>15631</v>
      </c>
      <c r="D2372" t="s">
        <v>441</v>
      </c>
      <c r="F2372">
        <v>0</v>
      </c>
      <c r="G2372">
        <v>19.53</v>
      </c>
      <c r="H2372" t="s">
        <v>8588</v>
      </c>
      <c r="I2372">
        <v>16</v>
      </c>
      <c r="J2372" t="s">
        <v>462</v>
      </c>
      <c r="M2372">
        <v>7112</v>
      </c>
      <c r="N2372" t="s">
        <v>16060</v>
      </c>
    </row>
    <row r="2373" spans="1:14">
      <c r="A2373">
        <v>14330048</v>
      </c>
      <c r="B2373">
        <v>4030210</v>
      </c>
      <c r="C2373" t="s">
        <v>16067</v>
      </c>
      <c r="D2373" t="s">
        <v>441</v>
      </c>
      <c r="F2373">
        <v>0</v>
      </c>
      <c r="G2373">
        <v>20.059999999999999</v>
      </c>
      <c r="H2373" t="s">
        <v>8588</v>
      </c>
      <c r="I2373">
        <v>16</v>
      </c>
      <c r="J2373" t="s">
        <v>462</v>
      </c>
      <c r="M2373">
        <v>7112</v>
      </c>
      <c r="N2373" t="s">
        <v>16060</v>
      </c>
    </row>
    <row r="2374" spans="1:14">
      <c r="A2374">
        <v>14330060</v>
      </c>
      <c r="B2374">
        <v>4029542</v>
      </c>
      <c r="C2374" t="s">
        <v>15259</v>
      </c>
      <c r="D2374" t="s">
        <v>441</v>
      </c>
      <c r="F2374">
        <v>0</v>
      </c>
      <c r="G2374">
        <v>18.07</v>
      </c>
      <c r="H2374" t="s">
        <v>8588</v>
      </c>
      <c r="I2374">
        <v>540</v>
      </c>
      <c r="J2374" t="s">
        <v>462</v>
      </c>
      <c r="M2374">
        <v>7111</v>
      </c>
      <c r="N2374" t="s">
        <v>16060</v>
      </c>
    </row>
    <row r="2375" spans="1:14">
      <c r="A2375">
        <v>14330075</v>
      </c>
      <c r="B2375">
        <v>4025409</v>
      </c>
      <c r="C2375" t="s">
        <v>1601</v>
      </c>
      <c r="D2375" t="s">
        <v>441</v>
      </c>
      <c r="F2375">
        <v>0</v>
      </c>
      <c r="G2375">
        <v>10.89</v>
      </c>
      <c r="H2375" t="s">
        <v>8588</v>
      </c>
      <c r="I2375">
        <v>6</v>
      </c>
      <c r="J2375" t="s">
        <v>462</v>
      </c>
      <c r="M2375">
        <v>7112</v>
      </c>
      <c r="N2375" t="s">
        <v>16060</v>
      </c>
    </row>
    <row r="2376" spans="1:14">
      <c r="A2376">
        <v>14330087</v>
      </c>
      <c r="B2376">
        <v>3030581</v>
      </c>
      <c r="C2376" t="s">
        <v>1602</v>
      </c>
      <c r="D2376" t="s">
        <v>441</v>
      </c>
      <c r="F2376">
        <v>0</v>
      </c>
      <c r="G2376">
        <v>10.89</v>
      </c>
      <c r="H2376" t="s">
        <v>8588</v>
      </c>
      <c r="I2376">
        <v>6</v>
      </c>
      <c r="J2376" t="s">
        <v>445</v>
      </c>
      <c r="M2376">
        <v>7112</v>
      </c>
      <c r="N2376" t="s">
        <v>16060</v>
      </c>
    </row>
    <row r="2377" spans="1:14">
      <c r="A2377">
        <v>14330100</v>
      </c>
      <c r="B2377">
        <v>3022015</v>
      </c>
      <c r="C2377" t="s">
        <v>1603</v>
      </c>
      <c r="D2377" t="s">
        <v>441</v>
      </c>
      <c r="F2377">
        <v>0</v>
      </c>
      <c r="H2377" t="s">
        <v>8549</v>
      </c>
      <c r="I2377">
        <v>6</v>
      </c>
      <c r="J2377" t="s">
        <v>445</v>
      </c>
      <c r="M2377">
        <v>0</v>
      </c>
      <c r="N2377" t="s">
        <v>16058</v>
      </c>
    </row>
    <row r="2378" spans="1:14">
      <c r="A2378">
        <v>14330112</v>
      </c>
      <c r="B2378">
        <v>3034109</v>
      </c>
      <c r="C2378" t="s">
        <v>9594</v>
      </c>
      <c r="D2378" t="s">
        <v>441</v>
      </c>
      <c r="F2378">
        <v>0</v>
      </c>
      <c r="H2378" t="s">
        <v>8588</v>
      </c>
      <c r="I2378">
        <v>729</v>
      </c>
      <c r="J2378" t="s">
        <v>445</v>
      </c>
      <c r="K2378" t="s">
        <v>446</v>
      </c>
      <c r="M2378">
        <v>0</v>
      </c>
      <c r="N2378" t="s">
        <v>16060</v>
      </c>
    </row>
    <row r="2379" spans="1:14">
      <c r="A2379">
        <v>14330528</v>
      </c>
      <c r="B2379">
        <v>3031882</v>
      </c>
      <c r="C2379" t="s">
        <v>9595</v>
      </c>
      <c r="D2379" t="s">
        <v>442</v>
      </c>
      <c r="E2379" t="s">
        <v>441</v>
      </c>
      <c r="F2379">
        <v>25</v>
      </c>
      <c r="G2379">
        <v>394.49</v>
      </c>
      <c r="H2379" t="s">
        <v>8588</v>
      </c>
      <c r="I2379">
        <v>540</v>
      </c>
      <c r="J2379" t="s">
        <v>445</v>
      </c>
      <c r="K2379" t="s">
        <v>446</v>
      </c>
      <c r="M2379">
        <v>2641</v>
      </c>
      <c r="N2379" t="s">
        <v>16060</v>
      </c>
    </row>
    <row r="2380" spans="1:14">
      <c r="A2380">
        <v>14330560</v>
      </c>
      <c r="B2380">
        <v>3044623</v>
      </c>
      <c r="C2380" t="s">
        <v>15260</v>
      </c>
      <c r="D2380" t="s">
        <v>441</v>
      </c>
      <c r="F2380">
        <v>0</v>
      </c>
      <c r="G2380">
        <v>17.59</v>
      </c>
      <c r="H2380" t="s">
        <v>8588</v>
      </c>
      <c r="I2380">
        <v>6</v>
      </c>
      <c r="J2380" t="s">
        <v>445</v>
      </c>
      <c r="M2380">
        <v>2502</v>
      </c>
      <c r="N2380" t="s">
        <v>16060</v>
      </c>
    </row>
    <row r="2381" spans="1:14">
      <c r="A2381">
        <v>14330612</v>
      </c>
      <c r="B2381">
        <v>3034106</v>
      </c>
      <c r="C2381" t="s">
        <v>9596</v>
      </c>
      <c r="D2381" t="s">
        <v>441</v>
      </c>
      <c r="F2381">
        <v>0</v>
      </c>
      <c r="G2381">
        <v>14.18</v>
      </c>
      <c r="H2381" t="s">
        <v>8549</v>
      </c>
      <c r="I2381">
        <v>4</v>
      </c>
      <c r="J2381" t="s">
        <v>445</v>
      </c>
      <c r="K2381" t="s">
        <v>446</v>
      </c>
      <c r="M2381">
        <v>2511</v>
      </c>
      <c r="N2381" t="s">
        <v>16060</v>
      </c>
    </row>
    <row r="2382" spans="1:14">
      <c r="A2382">
        <v>14330900</v>
      </c>
      <c r="B2382">
        <v>3020909</v>
      </c>
      <c r="C2382" t="s">
        <v>1604</v>
      </c>
      <c r="D2382" t="s">
        <v>441</v>
      </c>
      <c r="F2382">
        <v>0</v>
      </c>
      <c r="G2382">
        <v>0</v>
      </c>
      <c r="H2382" t="s">
        <v>8580</v>
      </c>
      <c r="I2382">
        <v>6</v>
      </c>
      <c r="J2382" t="s">
        <v>445</v>
      </c>
      <c r="M2382">
        <v>6666</v>
      </c>
      <c r="N2382" t="s">
        <v>16060</v>
      </c>
    </row>
    <row r="2383" spans="1:14">
      <c r="A2383">
        <v>14330907</v>
      </c>
      <c r="B2383">
        <v>3025157</v>
      </c>
      <c r="C2383" t="s">
        <v>1605</v>
      </c>
      <c r="D2383" t="s">
        <v>441</v>
      </c>
      <c r="F2383">
        <v>0</v>
      </c>
      <c r="G2383">
        <v>0</v>
      </c>
      <c r="H2383" t="s">
        <v>8935</v>
      </c>
      <c r="I2383">
        <v>6</v>
      </c>
      <c r="J2383" t="s">
        <v>445</v>
      </c>
      <c r="M2383">
        <v>6666</v>
      </c>
      <c r="N2383" t="s">
        <v>16060</v>
      </c>
    </row>
    <row r="2384" spans="1:14">
      <c r="A2384">
        <v>14330912</v>
      </c>
      <c r="B2384">
        <v>3034107</v>
      </c>
      <c r="C2384" t="s">
        <v>9597</v>
      </c>
      <c r="D2384" t="s">
        <v>441</v>
      </c>
      <c r="F2384">
        <v>0</v>
      </c>
      <c r="G2384">
        <v>1</v>
      </c>
      <c r="H2384" t="s">
        <v>8634</v>
      </c>
      <c r="I2384">
        <v>4</v>
      </c>
      <c r="J2384" t="s">
        <v>445</v>
      </c>
      <c r="K2384" t="s">
        <v>446</v>
      </c>
      <c r="M2384">
        <v>6666</v>
      </c>
      <c r="N2384" t="s">
        <v>16060</v>
      </c>
    </row>
    <row r="2385" spans="1:14">
      <c r="A2385">
        <v>14331000</v>
      </c>
      <c r="B2385">
        <v>3018919</v>
      </c>
      <c r="C2385" t="s">
        <v>1606</v>
      </c>
      <c r="D2385" t="s">
        <v>441</v>
      </c>
      <c r="F2385">
        <v>0</v>
      </c>
      <c r="G2385">
        <v>10.76</v>
      </c>
      <c r="H2385" t="s">
        <v>8580</v>
      </c>
      <c r="I2385">
        <v>6</v>
      </c>
      <c r="J2385" t="s">
        <v>445</v>
      </c>
      <c r="M2385">
        <v>2391</v>
      </c>
      <c r="N2385" t="s">
        <v>16060</v>
      </c>
    </row>
    <row r="2386" spans="1:14">
      <c r="A2386">
        <v>14331007</v>
      </c>
      <c r="B2386">
        <v>3024898</v>
      </c>
      <c r="C2386" t="s">
        <v>9598</v>
      </c>
      <c r="D2386" t="s">
        <v>441</v>
      </c>
      <c r="F2386">
        <v>0</v>
      </c>
      <c r="G2386">
        <v>12.82</v>
      </c>
      <c r="H2386" t="s">
        <v>8580</v>
      </c>
      <c r="I2386">
        <v>6</v>
      </c>
      <c r="J2386" t="s">
        <v>445</v>
      </c>
      <c r="K2386" t="s">
        <v>446</v>
      </c>
      <c r="M2386">
        <v>3111</v>
      </c>
      <c r="N2386" t="s">
        <v>16060</v>
      </c>
    </row>
    <row r="2387" spans="1:14">
      <c r="A2387">
        <v>14331030</v>
      </c>
      <c r="B2387">
        <v>4013182</v>
      </c>
      <c r="C2387" t="s">
        <v>9599</v>
      </c>
      <c r="D2387" t="s">
        <v>441</v>
      </c>
      <c r="F2387">
        <v>0</v>
      </c>
      <c r="G2387">
        <v>14.94</v>
      </c>
      <c r="H2387" t="s">
        <v>8587</v>
      </c>
      <c r="I2387">
        <v>7</v>
      </c>
      <c r="J2387" t="s">
        <v>462</v>
      </c>
      <c r="K2387" t="s">
        <v>446</v>
      </c>
      <c r="M2387">
        <v>2612</v>
      </c>
      <c r="N2387" t="s">
        <v>16060</v>
      </c>
    </row>
    <row r="2388" spans="1:14">
      <c r="A2388">
        <v>14331040</v>
      </c>
      <c r="B2388">
        <v>4014879</v>
      </c>
      <c r="C2388" t="s">
        <v>9600</v>
      </c>
      <c r="D2388" t="s">
        <v>441</v>
      </c>
      <c r="F2388">
        <v>0</v>
      </c>
      <c r="G2388">
        <v>13.54</v>
      </c>
      <c r="H2388" t="s">
        <v>8588</v>
      </c>
      <c r="I2388">
        <v>7</v>
      </c>
      <c r="J2388" t="s">
        <v>462</v>
      </c>
      <c r="K2388" t="s">
        <v>446</v>
      </c>
      <c r="M2388">
        <v>2612</v>
      </c>
      <c r="N2388" t="s">
        <v>16060</v>
      </c>
    </row>
    <row r="2389" spans="1:14">
      <c r="A2389">
        <v>14331060</v>
      </c>
      <c r="B2389">
        <v>4029540</v>
      </c>
      <c r="C2389" t="s">
        <v>15261</v>
      </c>
      <c r="D2389" t="s">
        <v>441</v>
      </c>
      <c r="F2389">
        <v>0</v>
      </c>
      <c r="G2389">
        <v>18.07</v>
      </c>
      <c r="H2389" t="s">
        <v>8588</v>
      </c>
      <c r="I2389">
        <v>540</v>
      </c>
      <c r="J2389" t="s">
        <v>462</v>
      </c>
      <c r="M2389">
        <v>7111</v>
      </c>
      <c r="N2389" t="s">
        <v>16060</v>
      </c>
    </row>
    <row r="2390" spans="1:14">
      <c r="A2390">
        <v>14331075</v>
      </c>
      <c r="B2390">
        <v>4026352</v>
      </c>
      <c r="C2390" t="s">
        <v>1607</v>
      </c>
      <c r="D2390" t="s">
        <v>441</v>
      </c>
      <c r="F2390">
        <v>0</v>
      </c>
      <c r="G2390">
        <v>10.89</v>
      </c>
      <c r="H2390" t="s">
        <v>8588</v>
      </c>
      <c r="I2390">
        <v>6</v>
      </c>
      <c r="J2390" t="s">
        <v>462</v>
      </c>
      <c r="M2390">
        <v>7112</v>
      </c>
      <c r="N2390" t="s">
        <v>16060</v>
      </c>
    </row>
    <row r="2391" spans="1:14">
      <c r="A2391">
        <v>14331087</v>
      </c>
      <c r="B2391">
        <v>3030582</v>
      </c>
      <c r="C2391" t="s">
        <v>1608</v>
      </c>
      <c r="D2391" t="s">
        <v>441</v>
      </c>
      <c r="F2391">
        <v>0</v>
      </c>
      <c r="G2391">
        <v>10.89</v>
      </c>
      <c r="H2391" t="s">
        <v>8588</v>
      </c>
      <c r="I2391">
        <v>6</v>
      </c>
      <c r="J2391" t="s">
        <v>445</v>
      </c>
      <c r="M2391">
        <v>7112</v>
      </c>
      <c r="N2391" t="s">
        <v>16060</v>
      </c>
    </row>
    <row r="2392" spans="1:14">
      <c r="A2392">
        <v>14331560</v>
      </c>
      <c r="B2392">
        <v>3044617</v>
      </c>
      <c r="C2392" t="s">
        <v>15262</v>
      </c>
      <c r="D2392" t="s">
        <v>441</v>
      </c>
      <c r="F2392">
        <v>0</v>
      </c>
      <c r="G2392">
        <v>17.579999999999998</v>
      </c>
      <c r="H2392" t="s">
        <v>8588</v>
      </c>
      <c r="I2392">
        <v>6</v>
      </c>
      <c r="J2392" t="s">
        <v>445</v>
      </c>
      <c r="M2392">
        <v>2502</v>
      </c>
      <c r="N2392" t="s">
        <v>16060</v>
      </c>
    </row>
    <row r="2393" spans="1:14">
      <c r="A2393">
        <v>14331900</v>
      </c>
      <c r="B2393">
        <v>3022138</v>
      </c>
      <c r="C2393" t="s">
        <v>1609</v>
      </c>
      <c r="D2393" t="s">
        <v>441</v>
      </c>
      <c r="F2393">
        <v>0</v>
      </c>
      <c r="G2393">
        <v>0</v>
      </c>
      <c r="H2393" t="s">
        <v>8580</v>
      </c>
      <c r="I2393">
        <v>6</v>
      </c>
      <c r="J2393" t="s">
        <v>445</v>
      </c>
      <c r="M2393">
        <v>6666</v>
      </c>
      <c r="N2393" t="s">
        <v>16060</v>
      </c>
    </row>
    <row r="2394" spans="1:14">
      <c r="A2394">
        <v>14331907</v>
      </c>
      <c r="B2394">
        <v>3025158</v>
      </c>
      <c r="C2394" t="s">
        <v>9601</v>
      </c>
      <c r="D2394" t="s">
        <v>441</v>
      </c>
      <c r="F2394">
        <v>0</v>
      </c>
      <c r="G2394">
        <v>0</v>
      </c>
      <c r="H2394" t="s">
        <v>8584</v>
      </c>
      <c r="I2394">
        <v>6</v>
      </c>
      <c r="J2394" t="s">
        <v>445</v>
      </c>
      <c r="K2394" t="s">
        <v>446</v>
      </c>
      <c r="M2394">
        <v>6666</v>
      </c>
      <c r="N2394" t="s">
        <v>16060</v>
      </c>
    </row>
    <row r="2395" spans="1:14">
      <c r="A2395">
        <v>14340000</v>
      </c>
      <c r="B2395">
        <v>3027371</v>
      </c>
      <c r="C2395" t="s">
        <v>1610</v>
      </c>
      <c r="D2395" t="s">
        <v>441</v>
      </c>
      <c r="F2395">
        <v>0</v>
      </c>
      <c r="G2395">
        <v>10.77</v>
      </c>
      <c r="H2395" t="s">
        <v>8588</v>
      </c>
      <c r="I2395">
        <v>6</v>
      </c>
      <c r="J2395" t="s">
        <v>445</v>
      </c>
      <c r="M2395">
        <v>2391</v>
      </c>
      <c r="N2395" t="s">
        <v>16060</v>
      </c>
    </row>
    <row r="2396" spans="1:14">
      <c r="A2396">
        <v>14340007</v>
      </c>
      <c r="B2396">
        <v>3028048</v>
      </c>
      <c r="C2396" t="s">
        <v>1611</v>
      </c>
      <c r="D2396" t="s">
        <v>441</v>
      </c>
      <c r="F2396">
        <v>0</v>
      </c>
      <c r="G2396">
        <v>10.89</v>
      </c>
      <c r="H2396" t="s">
        <v>8549</v>
      </c>
      <c r="I2396">
        <v>6</v>
      </c>
      <c r="J2396" t="s">
        <v>445</v>
      </c>
      <c r="M2396">
        <v>2391</v>
      </c>
      <c r="N2396" t="s">
        <v>16060</v>
      </c>
    </row>
    <row r="2397" spans="1:14">
      <c r="A2397">
        <v>14340050</v>
      </c>
      <c r="B2397">
        <v>4019684</v>
      </c>
      <c r="C2397" t="s">
        <v>1612</v>
      </c>
      <c r="D2397" t="s">
        <v>441</v>
      </c>
      <c r="F2397">
        <v>0</v>
      </c>
      <c r="G2397">
        <v>11.69</v>
      </c>
      <c r="H2397" t="s">
        <v>8588</v>
      </c>
      <c r="I2397">
        <v>16</v>
      </c>
      <c r="J2397" t="s">
        <v>462</v>
      </c>
      <c r="M2397">
        <v>7112</v>
      </c>
      <c r="N2397" t="s">
        <v>16060</v>
      </c>
    </row>
    <row r="2398" spans="1:14">
      <c r="A2398">
        <v>14344000</v>
      </c>
      <c r="B2398">
        <v>3043505</v>
      </c>
      <c r="C2398" t="s">
        <v>1613</v>
      </c>
      <c r="D2398" t="s">
        <v>441</v>
      </c>
      <c r="F2398">
        <v>0</v>
      </c>
      <c r="G2398">
        <v>17.36</v>
      </c>
      <c r="H2398" t="s">
        <v>8588</v>
      </c>
      <c r="I2398">
        <v>6</v>
      </c>
      <c r="J2398" t="s">
        <v>445</v>
      </c>
      <c r="M2398">
        <v>2391</v>
      </c>
      <c r="N2398" t="s">
        <v>16060</v>
      </c>
    </row>
    <row r="2399" spans="1:14">
      <c r="A2399">
        <v>14344043</v>
      </c>
      <c r="B2399">
        <v>4028655</v>
      </c>
      <c r="C2399" t="s">
        <v>1614</v>
      </c>
      <c r="D2399" t="s">
        <v>441</v>
      </c>
      <c r="F2399">
        <v>0</v>
      </c>
      <c r="G2399">
        <v>18.05</v>
      </c>
      <c r="H2399" t="s">
        <v>8588</v>
      </c>
      <c r="I2399">
        <v>16</v>
      </c>
      <c r="J2399" t="s">
        <v>462</v>
      </c>
      <c r="M2399">
        <v>7112</v>
      </c>
      <c r="N2399" t="s">
        <v>16060</v>
      </c>
    </row>
    <row r="2400" spans="1:14">
      <c r="A2400">
        <v>14350000</v>
      </c>
      <c r="B2400">
        <v>3027653</v>
      </c>
      <c r="C2400" t="s">
        <v>1615</v>
      </c>
      <c r="D2400" t="s">
        <v>441</v>
      </c>
      <c r="F2400">
        <v>0</v>
      </c>
      <c r="G2400">
        <v>11.31</v>
      </c>
      <c r="H2400" t="s">
        <v>8588</v>
      </c>
      <c r="I2400">
        <v>6</v>
      </c>
      <c r="J2400" t="s">
        <v>445</v>
      </c>
      <c r="M2400">
        <v>2391</v>
      </c>
      <c r="N2400" t="s">
        <v>16066</v>
      </c>
    </row>
    <row r="2401" spans="1:14">
      <c r="A2401">
        <v>14350007</v>
      </c>
      <c r="B2401">
        <v>3028049</v>
      </c>
      <c r="C2401" t="s">
        <v>1616</v>
      </c>
      <c r="D2401" t="s">
        <v>441</v>
      </c>
      <c r="F2401">
        <v>0</v>
      </c>
      <c r="G2401">
        <v>11.43</v>
      </c>
      <c r="H2401" t="s">
        <v>8588</v>
      </c>
      <c r="I2401">
        <v>6</v>
      </c>
      <c r="J2401" t="s">
        <v>445</v>
      </c>
      <c r="M2401">
        <v>2391</v>
      </c>
      <c r="N2401" t="s">
        <v>16066</v>
      </c>
    </row>
    <row r="2402" spans="1:14">
      <c r="A2402">
        <v>14350040</v>
      </c>
      <c r="B2402">
        <v>4018366</v>
      </c>
      <c r="C2402" t="s">
        <v>1617</v>
      </c>
      <c r="D2402" t="s">
        <v>441</v>
      </c>
      <c r="F2402">
        <v>0</v>
      </c>
      <c r="G2402">
        <v>12.16</v>
      </c>
      <c r="H2402" t="s">
        <v>8588</v>
      </c>
      <c r="I2402">
        <v>16</v>
      </c>
      <c r="J2402" t="s">
        <v>462</v>
      </c>
      <c r="M2402">
        <v>7112</v>
      </c>
      <c r="N2402" t="s">
        <v>16066</v>
      </c>
    </row>
    <row r="2403" spans="1:14">
      <c r="A2403">
        <v>14360000</v>
      </c>
      <c r="B2403">
        <v>3033152</v>
      </c>
      <c r="C2403" t="s">
        <v>1618</v>
      </c>
      <c r="D2403" t="s">
        <v>441</v>
      </c>
      <c r="F2403">
        <v>0</v>
      </c>
      <c r="G2403">
        <v>11.31</v>
      </c>
      <c r="H2403" t="s">
        <v>8549</v>
      </c>
      <c r="I2403">
        <v>6</v>
      </c>
      <c r="J2403" t="s">
        <v>445</v>
      </c>
      <c r="M2403">
        <v>2391</v>
      </c>
      <c r="N2403" t="s">
        <v>16068</v>
      </c>
    </row>
    <row r="2404" spans="1:14">
      <c r="A2404">
        <v>14360007</v>
      </c>
      <c r="B2404">
        <v>3033986</v>
      </c>
      <c r="C2404" t="s">
        <v>1619</v>
      </c>
      <c r="D2404" t="s">
        <v>441</v>
      </c>
      <c r="F2404">
        <v>0</v>
      </c>
      <c r="G2404">
        <v>11.43</v>
      </c>
      <c r="H2404" t="s">
        <v>8588</v>
      </c>
      <c r="I2404">
        <v>6</v>
      </c>
      <c r="J2404" t="s">
        <v>445</v>
      </c>
      <c r="M2404">
        <v>2391</v>
      </c>
      <c r="N2404" t="s">
        <v>16068</v>
      </c>
    </row>
    <row r="2405" spans="1:14">
      <c r="A2405">
        <v>14360028</v>
      </c>
      <c r="B2405">
        <v>4022772</v>
      </c>
      <c r="C2405" t="s">
        <v>1620</v>
      </c>
      <c r="D2405" t="s">
        <v>442</v>
      </c>
      <c r="E2405" t="s">
        <v>441</v>
      </c>
      <c r="F2405">
        <v>25</v>
      </c>
      <c r="G2405">
        <v>509.63</v>
      </c>
      <c r="H2405" t="s">
        <v>8588</v>
      </c>
      <c r="I2405">
        <v>540</v>
      </c>
      <c r="J2405" t="s">
        <v>462</v>
      </c>
      <c r="M2405">
        <v>7111</v>
      </c>
      <c r="N2405" t="s">
        <v>16068</v>
      </c>
    </row>
    <row r="2406" spans="1:14">
      <c r="A2406">
        <v>14360528</v>
      </c>
      <c r="B2406">
        <v>3033988</v>
      </c>
      <c r="C2406" t="s">
        <v>1621</v>
      </c>
      <c r="D2406" t="s">
        <v>442</v>
      </c>
      <c r="E2406" t="s">
        <v>441</v>
      </c>
      <c r="F2406">
        <v>25</v>
      </c>
      <c r="G2406">
        <v>315.62</v>
      </c>
      <c r="H2406" t="s">
        <v>8588</v>
      </c>
      <c r="I2406">
        <v>540</v>
      </c>
      <c r="J2406" t="s">
        <v>445</v>
      </c>
      <c r="M2406">
        <v>2502</v>
      </c>
      <c r="N2406" t="s">
        <v>16068</v>
      </c>
    </row>
    <row r="2407" spans="1:14">
      <c r="A2407">
        <v>14361000</v>
      </c>
      <c r="B2407">
        <v>3033271</v>
      </c>
      <c r="C2407" t="s">
        <v>1622</v>
      </c>
      <c r="D2407" t="s">
        <v>441</v>
      </c>
      <c r="F2407">
        <v>0</v>
      </c>
      <c r="G2407">
        <v>11.3</v>
      </c>
      <c r="H2407" t="s">
        <v>8549</v>
      </c>
      <c r="I2407">
        <v>6</v>
      </c>
      <c r="J2407" t="s">
        <v>445</v>
      </c>
      <c r="M2407">
        <v>2391</v>
      </c>
      <c r="N2407" t="s">
        <v>16068</v>
      </c>
    </row>
    <row r="2408" spans="1:14">
      <c r="A2408">
        <v>14361007</v>
      </c>
      <c r="B2408">
        <v>3033985</v>
      </c>
      <c r="C2408" t="s">
        <v>1623</v>
      </c>
      <c r="D2408" t="s">
        <v>441</v>
      </c>
      <c r="F2408">
        <v>0</v>
      </c>
      <c r="G2408">
        <v>11.43</v>
      </c>
      <c r="H2408" t="s">
        <v>8588</v>
      </c>
      <c r="I2408">
        <v>6</v>
      </c>
      <c r="J2408" t="s">
        <v>445</v>
      </c>
      <c r="M2408">
        <v>2391</v>
      </c>
      <c r="N2408" t="s">
        <v>16068</v>
      </c>
    </row>
    <row r="2409" spans="1:14">
      <c r="A2409">
        <v>14361028</v>
      </c>
      <c r="B2409">
        <v>4022768</v>
      </c>
      <c r="C2409" t="s">
        <v>1624</v>
      </c>
      <c r="D2409" t="s">
        <v>442</v>
      </c>
      <c r="E2409" t="s">
        <v>441</v>
      </c>
      <c r="F2409">
        <v>25</v>
      </c>
      <c r="G2409">
        <v>509.38</v>
      </c>
      <c r="H2409" t="s">
        <v>8588</v>
      </c>
      <c r="I2409">
        <v>540</v>
      </c>
      <c r="J2409" t="s">
        <v>462</v>
      </c>
      <c r="M2409">
        <v>7111</v>
      </c>
      <c r="N2409" t="s">
        <v>16068</v>
      </c>
    </row>
    <row r="2410" spans="1:14">
      <c r="A2410">
        <v>14361528</v>
      </c>
      <c r="B2410">
        <v>3034002</v>
      </c>
      <c r="C2410" t="s">
        <v>1625</v>
      </c>
      <c r="D2410" t="s">
        <v>442</v>
      </c>
      <c r="E2410" t="s">
        <v>441</v>
      </c>
      <c r="F2410">
        <v>25</v>
      </c>
      <c r="G2410">
        <v>315.39</v>
      </c>
      <c r="H2410" t="s">
        <v>8588</v>
      </c>
      <c r="I2410">
        <v>540</v>
      </c>
      <c r="J2410" t="s">
        <v>445</v>
      </c>
      <c r="M2410">
        <v>2502</v>
      </c>
      <c r="N2410" t="s">
        <v>16068</v>
      </c>
    </row>
    <row r="2411" spans="1:14">
      <c r="A2411">
        <v>14370000</v>
      </c>
      <c r="B2411">
        <v>3007611</v>
      </c>
      <c r="C2411" t="s">
        <v>9602</v>
      </c>
      <c r="D2411" t="s">
        <v>441</v>
      </c>
      <c r="F2411">
        <v>0</v>
      </c>
      <c r="G2411">
        <v>14.59</v>
      </c>
      <c r="I2411">
        <v>6</v>
      </c>
      <c r="J2411" t="s">
        <v>445</v>
      </c>
      <c r="K2411" t="s">
        <v>446</v>
      </c>
      <c r="M2411">
        <v>2611</v>
      </c>
      <c r="N2411" t="s">
        <v>16066</v>
      </c>
    </row>
    <row r="2412" spans="1:14">
      <c r="A2412">
        <v>14370032</v>
      </c>
      <c r="B2412">
        <v>4003821</v>
      </c>
      <c r="C2412" t="s">
        <v>9603</v>
      </c>
      <c r="D2412" t="s">
        <v>442</v>
      </c>
      <c r="E2412" t="s">
        <v>441</v>
      </c>
      <c r="F2412">
        <v>0.56000000000000005</v>
      </c>
      <c r="G2412">
        <v>9.01</v>
      </c>
      <c r="H2412" t="s">
        <v>8588</v>
      </c>
      <c r="I2412">
        <v>12</v>
      </c>
      <c r="J2412" t="s">
        <v>462</v>
      </c>
      <c r="K2412" t="s">
        <v>446</v>
      </c>
      <c r="L2412" t="s">
        <v>9604</v>
      </c>
      <c r="M2412">
        <v>2611</v>
      </c>
      <c r="N2412" t="s">
        <v>16060</v>
      </c>
    </row>
    <row r="2413" spans="1:14">
      <c r="A2413">
        <v>14370037</v>
      </c>
      <c r="B2413">
        <v>4003822</v>
      </c>
      <c r="C2413" t="s">
        <v>9605</v>
      </c>
      <c r="D2413" t="s">
        <v>442</v>
      </c>
      <c r="E2413" t="s">
        <v>441</v>
      </c>
      <c r="F2413">
        <v>0.56000000000000005</v>
      </c>
      <c r="G2413">
        <v>7.49</v>
      </c>
      <c r="H2413" t="s">
        <v>8588</v>
      </c>
      <c r="I2413">
        <v>12</v>
      </c>
      <c r="J2413" t="s">
        <v>462</v>
      </c>
      <c r="K2413" t="s">
        <v>446</v>
      </c>
      <c r="M2413">
        <v>2611</v>
      </c>
    </row>
    <row r="2414" spans="1:14">
      <c r="A2414">
        <v>14370038</v>
      </c>
      <c r="B2414">
        <v>4003823</v>
      </c>
      <c r="C2414" t="s">
        <v>9606</v>
      </c>
      <c r="D2414" t="s">
        <v>442</v>
      </c>
      <c r="E2414" t="s">
        <v>441</v>
      </c>
      <c r="F2414">
        <v>0.56000000000000005</v>
      </c>
      <c r="G2414">
        <v>7.73</v>
      </c>
      <c r="H2414" t="s">
        <v>8588</v>
      </c>
      <c r="I2414">
        <v>12</v>
      </c>
      <c r="J2414" t="s">
        <v>462</v>
      </c>
      <c r="K2414" t="s">
        <v>446</v>
      </c>
      <c r="M2414">
        <v>2611</v>
      </c>
    </row>
    <row r="2415" spans="1:14">
      <c r="A2415">
        <v>14370065</v>
      </c>
      <c r="B2415">
        <v>4008009</v>
      </c>
      <c r="C2415" t="s">
        <v>9607</v>
      </c>
      <c r="D2415" t="s">
        <v>442</v>
      </c>
      <c r="E2415" t="s">
        <v>441</v>
      </c>
      <c r="F2415">
        <v>4.4800000000000004</v>
      </c>
      <c r="G2415">
        <v>89.78</v>
      </c>
      <c r="H2415" t="s">
        <v>8588</v>
      </c>
      <c r="I2415">
        <v>12</v>
      </c>
      <c r="J2415" t="s">
        <v>462</v>
      </c>
      <c r="K2415" t="s">
        <v>446</v>
      </c>
      <c r="M2415">
        <v>2611</v>
      </c>
    </row>
    <row r="2416" spans="1:14">
      <c r="A2416">
        <v>14371000</v>
      </c>
      <c r="B2416">
        <v>3017380</v>
      </c>
      <c r="C2416" t="s">
        <v>9608</v>
      </c>
      <c r="D2416" t="s">
        <v>441</v>
      </c>
      <c r="F2416">
        <v>0</v>
      </c>
      <c r="G2416">
        <v>15.3</v>
      </c>
      <c r="H2416" t="s">
        <v>8935</v>
      </c>
      <c r="I2416">
        <v>6</v>
      </c>
      <c r="J2416" t="s">
        <v>445</v>
      </c>
      <c r="K2416" t="s">
        <v>446</v>
      </c>
      <c r="M2416">
        <v>2611</v>
      </c>
      <c r="N2416" t="s">
        <v>16066</v>
      </c>
    </row>
    <row r="2417" spans="1:13">
      <c r="A2417">
        <v>14371037</v>
      </c>
      <c r="B2417">
        <v>4011603</v>
      </c>
      <c r="C2417" t="s">
        <v>9609</v>
      </c>
      <c r="D2417" t="s">
        <v>442</v>
      </c>
      <c r="E2417" t="s">
        <v>441</v>
      </c>
      <c r="F2417">
        <v>0.56000000000000005</v>
      </c>
      <c r="G2417">
        <v>7.49</v>
      </c>
      <c r="H2417" t="s">
        <v>8588</v>
      </c>
      <c r="I2417">
        <v>12</v>
      </c>
      <c r="J2417" t="s">
        <v>462</v>
      </c>
      <c r="K2417" t="s">
        <v>446</v>
      </c>
      <c r="M2417">
        <v>2611</v>
      </c>
    </row>
    <row r="2418" spans="1:13">
      <c r="A2418">
        <v>14371038</v>
      </c>
      <c r="B2418">
        <v>4011604</v>
      </c>
      <c r="C2418" t="s">
        <v>9610</v>
      </c>
      <c r="D2418" t="s">
        <v>442</v>
      </c>
      <c r="E2418" t="s">
        <v>441</v>
      </c>
      <c r="F2418">
        <v>0.56000000000000005</v>
      </c>
      <c r="G2418">
        <v>7.73</v>
      </c>
      <c r="H2418" t="s">
        <v>8588</v>
      </c>
      <c r="I2418">
        <v>12</v>
      </c>
      <c r="J2418" t="s">
        <v>462</v>
      </c>
      <c r="K2418" t="s">
        <v>446</v>
      </c>
      <c r="M2418">
        <v>2611</v>
      </c>
    </row>
    <row r="2419" spans="1:13">
      <c r="A2419">
        <v>14374000</v>
      </c>
      <c r="B2419">
        <v>3007612</v>
      </c>
      <c r="C2419" t="s">
        <v>1626</v>
      </c>
      <c r="D2419" t="s">
        <v>441</v>
      </c>
      <c r="F2419">
        <v>0</v>
      </c>
      <c r="G2419">
        <v>11.44</v>
      </c>
      <c r="I2419">
        <v>6</v>
      </c>
      <c r="J2419" t="s">
        <v>445</v>
      </c>
      <c r="K2419" t="s">
        <v>446</v>
      </c>
      <c r="M2419">
        <v>0</v>
      </c>
    </row>
    <row r="2420" spans="1:13">
      <c r="A2420">
        <v>14380028</v>
      </c>
      <c r="B2420">
        <v>4009801</v>
      </c>
      <c r="C2420" t="s">
        <v>1627</v>
      </c>
      <c r="D2420" t="s">
        <v>441</v>
      </c>
      <c r="F2420">
        <v>0</v>
      </c>
      <c r="G2420">
        <v>16.59</v>
      </c>
      <c r="H2420" t="s">
        <v>8588</v>
      </c>
      <c r="I2420">
        <v>365</v>
      </c>
      <c r="J2420" t="s">
        <v>462</v>
      </c>
      <c r="K2420" t="s">
        <v>446</v>
      </c>
      <c r="M2420">
        <v>2501</v>
      </c>
    </row>
    <row r="2421" spans="1:13">
      <c r="A2421">
        <v>14380528</v>
      </c>
      <c r="B2421">
        <v>3012186</v>
      </c>
      <c r="C2421" t="s">
        <v>1628</v>
      </c>
      <c r="D2421" t="s">
        <v>441</v>
      </c>
      <c r="F2421">
        <v>0</v>
      </c>
      <c r="G2421">
        <v>16.309999999999999</v>
      </c>
      <c r="H2421" t="s">
        <v>8580</v>
      </c>
      <c r="I2421">
        <v>365</v>
      </c>
      <c r="J2421" t="s">
        <v>445</v>
      </c>
      <c r="K2421" t="s">
        <v>446</v>
      </c>
      <c r="M2421">
        <v>2641</v>
      </c>
    </row>
    <row r="2422" spans="1:13">
      <c r="A2422">
        <v>14386000</v>
      </c>
      <c r="B2422">
        <v>3012234</v>
      </c>
      <c r="C2422" t="s">
        <v>1629</v>
      </c>
      <c r="D2422" t="s">
        <v>441</v>
      </c>
      <c r="F2422">
        <v>0</v>
      </c>
      <c r="G2422">
        <v>15.28</v>
      </c>
      <c r="H2422" t="s">
        <v>8580</v>
      </c>
      <c r="I2422">
        <v>6</v>
      </c>
      <c r="J2422" t="s">
        <v>445</v>
      </c>
      <c r="K2422" t="s">
        <v>446</v>
      </c>
      <c r="M2422">
        <v>2390</v>
      </c>
    </row>
    <row r="2423" spans="1:13">
      <c r="A2423">
        <v>14390028</v>
      </c>
      <c r="B2423">
        <v>4009802</v>
      </c>
      <c r="C2423" t="s">
        <v>1630</v>
      </c>
      <c r="D2423" t="s">
        <v>441</v>
      </c>
      <c r="F2423">
        <v>0</v>
      </c>
      <c r="G2423">
        <v>16.5</v>
      </c>
      <c r="H2423" t="s">
        <v>8588</v>
      </c>
      <c r="I2423">
        <v>365</v>
      </c>
      <c r="J2423" t="s">
        <v>462</v>
      </c>
      <c r="K2423" t="s">
        <v>446</v>
      </c>
      <c r="M2423">
        <v>2501</v>
      </c>
    </row>
    <row r="2424" spans="1:13">
      <c r="A2424">
        <v>14390528</v>
      </c>
      <c r="B2424">
        <v>3012188</v>
      </c>
      <c r="C2424" t="s">
        <v>1631</v>
      </c>
      <c r="D2424" t="s">
        <v>441</v>
      </c>
      <c r="F2424">
        <v>0</v>
      </c>
      <c r="G2424">
        <v>16.22</v>
      </c>
      <c r="H2424" t="s">
        <v>8580</v>
      </c>
      <c r="I2424">
        <v>365</v>
      </c>
      <c r="J2424" t="s">
        <v>445</v>
      </c>
      <c r="K2424" t="s">
        <v>446</v>
      </c>
      <c r="M2424">
        <v>2641</v>
      </c>
    </row>
    <row r="2425" spans="1:13">
      <c r="A2425">
        <v>14396000</v>
      </c>
      <c r="B2425">
        <v>3012232</v>
      </c>
      <c r="C2425" t="s">
        <v>1632</v>
      </c>
      <c r="D2425" t="s">
        <v>441</v>
      </c>
      <c r="F2425">
        <v>0</v>
      </c>
      <c r="G2425">
        <v>15.28</v>
      </c>
      <c r="H2425" t="s">
        <v>8580</v>
      </c>
      <c r="I2425">
        <v>6</v>
      </c>
      <c r="J2425" t="s">
        <v>445</v>
      </c>
      <c r="K2425" t="s">
        <v>446</v>
      </c>
      <c r="M2425">
        <v>2390</v>
      </c>
    </row>
    <row r="2426" spans="1:13">
      <c r="A2426">
        <v>14500000</v>
      </c>
      <c r="B2426">
        <v>3007613</v>
      </c>
      <c r="C2426" t="s">
        <v>1633</v>
      </c>
      <c r="D2426" t="s">
        <v>441</v>
      </c>
      <c r="F2426">
        <v>0</v>
      </c>
      <c r="G2426">
        <v>17.350000000000001</v>
      </c>
      <c r="H2426" t="s">
        <v>8580</v>
      </c>
      <c r="I2426">
        <v>5</v>
      </c>
      <c r="J2426" t="s">
        <v>445</v>
      </c>
      <c r="K2426" t="s">
        <v>446</v>
      </c>
      <c r="M2426">
        <v>0</v>
      </c>
    </row>
    <row r="2427" spans="1:13">
      <c r="A2427">
        <v>14500002</v>
      </c>
      <c r="B2427">
        <v>3007614</v>
      </c>
      <c r="C2427" t="s">
        <v>1634</v>
      </c>
      <c r="D2427" t="s">
        <v>441</v>
      </c>
      <c r="F2427">
        <v>0</v>
      </c>
      <c r="G2427">
        <v>17.920000000000002</v>
      </c>
      <c r="H2427" t="s">
        <v>8580</v>
      </c>
      <c r="I2427">
        <v>365</v>
      </c>
      <c r="J2427" t="s">
        <v>445</v>
      </c>
      <c r="K2427" t="s">
        <v>446</v>
      </c>
      <c r="M2427">
        <v>2501</v>
      </c>
    </row>
    <row r="2428" spans="1:13">
      <c r="A2428">
        <v>14500502</v>
      </c>
      <c r="B2428">
        <v>3007615</v>
      </c>
      <c r="C2428" t="s">
        <v>1635</v>
      </c>
      <c r="D2428" t="s">
        <v>441</v>
      </c>
      <c r="F2428">
        <v>0</v>
      </c>
      <c r="G2428">
        <v>17.47</v>
      </c>
      <c r="H2428" t="s">
        <v>8580</v>
      </c>
      <c r="I2428">
        <v>6</v>
      </c>
      <c r="J2428" t="s">
        <v>445</v>
      </c>
      <c r="K2428" t="s">
        <v>446</v>
      </c>
      <c r="M2428">
        <v>2641</v>
      </c>
    </row>
    <row r="2429" spans="1:13">
      <c r="A2429">
        <v>14510000</v>
      </c>
      <c r="B2429">
        <v>3007616</v>
      </c>
      <c r="C2429" t="s">
        <v>1636</v>
      </c>
      <c r="D2429" t="s">
        <v>441</v>
      </c>
      <c r="F2429">
        <v>0</v>
      </c>
      <c r="G2429">
        <v>16.64</v>
      </c>
      <c r="H2429" t="s">
        <v>8627</v>
      </c>
      <c r="I2429">
        <v>5</v>
      </c>
      <c r="J2429" t="s">
        <v>445</v>
      </c>
      <c r="K2429" t="s">
        <v>446</v>
      </c>
      <c r="M2429">
        <v>0</v>
      </c>
    </row>
    <row r="2430" spans="1:13">
      <c r="A2430">
        <v>14510002</v>
      </c>
      <c r="B2430">
        <v>3007617</v>
      </c>
      <c r="C2430" t="s">
        <v>1637</v>
      </c>
      <c r="D2430" t="s">
        <v>441</v>
      </c>
      <c r="F2430">
        <v>0</v>
      </c>
      <c r="G2430">
        <v>17.79</v>
      </c>
      <c r="H2430" t="s">
        <v>8580</v>
      </c>
      <c r="I2430">
        <v>365</v>
      </c>
      <c r="J2430" t="s">
        <v>445</v>
      </c>
      <c r="K2430" t="s">
        <v>446</v>
      </c>
      <c r="M2430">
        <v>2501</v>
      </c>
    </row>
    <row r="2431" spans="1:13">
      <c r="A2431">
        <v>14510502</v>
      </c>
      <c r="B2431">
        <v>3007618</v>
      </c>
      <c r="C2431" t="s">
        <v>1638</v>
      </c>
      <c r="D2431" t="s">
        <v>441</v>
      </c>
      <c r="F2431">
        <v>0</v>
      </c>
      <c r="G2431">
        <v>17.34</v>
      </c>
      <c r="H2431" t="s">
        <v>8580</v>
      </c>
      <c r="I2431">
        <v>6</v>
      </c>
      <c r="J2431" t="s">
        <v>445</v>
      </c>
      <c r="K2431" t="s">
        <v>446</v>
      </c>
      <c r="M2431">
        <v>2641</v>
      </c>
    </row>
    <row r="2432" spans="1:13">
      <c r="A2432">
        <v>14520000</v>
      </c>
      <c r="B2432">
        <v>3007619</v>
      </c>
      <c r="C2432" t="s">
        <v>1639</v>
      </c>
      <c r="D2432" t="s">
        <v>441</v>
      </c>
      <c r="F2432">
        <v>0</v>
      </c>
      <c r="G2432">
        <v>14.75</v>
      </c>
      <c r="H2432" t="s">
        <v>8580</v>
      </c>
      <c r="I2432">
        <v>5</v>
      </c>
      <c r="J2432" t="s">
        <v>445</v>
      </c>
      <c r="K2432" t="s">
        <v>446</v>
      </c>
      <c r="M2432">
        <v>0</v>
      </c>
    </row>
    <row r="2433" spans="1:14">
      <c r="A2433">
        <v>14530000</v>
      </c>
      <c r="B2433">
        <v>3007620</v>
      </c>
      <c r="C2433" t="s">
        <v>1640</v>
      </c>
      <c r="D2433" t="s">
        <v>441</v>
      </c>
      <c r="F2433">
        <v>0</v>
      </c>
      <c r="G2433">
        <v>16.940000000000001</v>
      </c>
      <c r="H2433" t="s">
        <v>8580</v>
      </c>
      <c r="I2433">
        <v>6</v>
      </c>
      <c r="J2433" t="s">
        <v>445</v>
      </c>
      <c r="K2433" t="s">
        <v>446</v>
      </c>
      <c r="M2433">
        <v>0</v>
      </c>
    </row>
    <row r="2434" spans="1:14">
      <c r="A2434">
        <v>14530002</v>
      </c>
      <c r="B2434">
        <v>3007621</v>
      </c>
      <c r="C2434" t="s">
        <v>1641</v>
      </c>
      <c r="D2434" t="s">
        <v>441</v>
      </c>
      <c r="F2434">
        <v>0</v>
      </c>
      <c r="G2434">
        <v>17.79</v>
      </c>
      <c r="H2434" t="s">
        <v>8580</v>
      </c>
      <c r="I2434">
        <v>365</v>
      </c>
      <c r="J2434" t="s">
        <v>445</v>
      </c>
      <c r="K2434" t="s">
        <v>446</v>
      </c>
      <c r="M2434">
        <v>2501</v>
      </c>
    </row>
    <row r="2435" spans="1:14">
      <c r="A2435">
        <v>14530502</v>
      </c>
      <c r="B2435">
        <v>3007622</v>
      </c>
      <c r="C2435" t="s">
        <v>1642</v>
      </c>
      <c r="D2435" t="s">
        <v>441</v>
      </c>
      <c r="F2435">
        <v>0</v>
      </c>
      <c r="G2435">
        <v>17.34</v>
      </c>
      <c r="H2435" t="s">
        <v>8580</v>
      </c>
      <c r="I2435">
        <v>6</v>
      </c>
      <c r="J2435" t="s">
        <v>445</v>
      </c>
      <c r="K2435" t="s">
        <v>446</v>
      </c>
      <c r="M2435">
        <v>2641</v>
      </c>
    </row>
    <row r="2436" spans="1:14">
      <c r="A2436">
        <v>14550000</v>
      </c>
      <c r="B2436">
        <v>3007623</v>
      </c>
      <c r="C2436" t="s">
        <v>1643</v>
      </c>
      <c r="D2436" t="s">
        <v>441</v>
      </c>
      <c r="F2436">
        <v>0</v>
      </c>
      <c r="G2436">
        <v>11.31</v>
      </c>
      <c r="H2436" t="s">
        <v>8588</v>
      </c>
      <c r="I2436">
        <v>6</v>
      </c>
      <c r="J2436" t="s">
        <v>445</v>
      </c>
      <c r="M2436">
        <v>2391</v>
      </c>
      <c r="N2436" t="s">
        <v>16066</v>
      </c>
    </row>
    <row r="2437" spans="1:14">
      <c r="A2437">
        <v>14550002</v>
      </c>
      <c r="B2437">
        <v>3007624</v>
      </c>
      <c r="C2437" t="s">
        <v>1644</v>
      </c>
      <c r="D2437" t="s">
        <v>441</v>
      </c>
      <c r="F2437">
        <v>0</v>
      </c>
      <c r="G2437">
        <v>12.68</v>
      </c>
      <c r="H2437" t="s">
        <v>8584</v>
      </c>
      <c r="I2437">
        <v>365</v>
      </c>
      <c r="J2437" t="s">
        <v>445</v>
      </c>
      <c r="K2437" t="s">
        <v>446</v>
      </c>
      <c r="M2437">
        <v>2501</v>
      </c>
    </row>
    <row r="2438" spans="1:14">
      <c r="A2438">
        <v>14550007</v>
      </c>
      <c r="B2438">
        <v>3015105</v>
      </c>
      <c r="C2438" t="s">
        <v>1645</v>
      </c>
      <c r="D2438" t="s">
        <v>441</v>
      </c>
      <c r="F2438">
        <v>0</v>
      </c>
      <c r="G2438">
        <v>13.36</v>
      </c>
      <c r="H2438" t="s">
        <v>8588</v>
      </c>
      <c r="I2438">
        <v>6</v>
      </c>
      <c r="J2438" t="s">
        <v>445</v>
      </c>
      <c r="K2438" t="s">
        <v>446</v>
      </c>
      <c r="M2438">
        <v>2641</v>
      </c>
      <c r="N2438" t="s">
        <v>16066</v>
      </c>
    </row>
    <row r="2439" spans="1:14">
      <c r="A2439">
        <v>14550087</v>
      </c>
      <c r="B2439">
        <v>3029091</v>
      </c>
      <c r="C2439" t="s">
        <v>9611</v>
      </c>
      <c r="D2439" t="s">
        <v>441</v>
      </c>
      <c r="F2439">
        <v>0</v>
      </c>
      <c r="G2439">
        <v>15.36</v>
      </c>
      <c r="H2439" t="s">
        <v>8588</v>
      </c>
      <c r="I2439">
        <v>6</v>
      </c>
      <c r="J2439" t="s">
        <v>445</v>
      </c>
      <c r="K2439" t="s">
        <v>446</v>
      </c>
      <c r="M2439">
        <v>2641</v>
      </c>
      <c r="N2439" t="s">
        <v>16066</v>
      </c>
    </row>
    <row r="2440" spans="1:14">
      <c r="A2440">
        <v>14550100</v>
      </c>
      <c r="B2440">
        <v>3026545</v>
      </c>
      <c r="C2440" t="s">
        <v>1646</v>
      </c>
      <c r="D2440" t="s">
        <v>441</v>
      </c>
      <c r="F2440">
        <v>0</v>
      </c>
      <c r="H2440" t="s">
        <v>8588</v>
      </c>
      <c r="I2440">
        <v>1</v>
      </c>
      <c r="J2440" t="s">
        <v>445</v>
      </c>
      <c r="M2440">
        <v>7161</v>
      </c>
      <c r="N2440" t="s">
        <v>16066</v>
      </c>
    </row>
    <row r="2441" spans="1:14">
      <c r="A2441">
        <v>14550502</v>
      </c>
      <c r="B2441">
        <v>3007625</v>
      </c>
      <c r="C2441" t="s">
        <v>1647</v>
      </c>
      <c r="D2441" t="s">
        <v>441</v>
      </c>
      <c r="F2441">
        <v>0</v>
      </c>
      <c r="G2441">
        <v>12.31</v>
      </c>
      <c r="H2441" t="s">
        <v>8580</v>
      </c>
      <c r="I2441">
        <v>6</v>
      </c>
      <c r="J2441" t="s">
        <v>445</v>
      </c>
      <c r="K2441" t="s">
        <v>446</v>
      </c>
      <c r="M2441">
        <v>2641</v>
      </c>
    </row>
    <row r="2442" spans="1:14">
      <c r="A2442">
        <v>14550900</v>
      </c>
      <c r="B2442">
        <v>3020251</v>
      </c>
      <c r="C2442" t="s">
        <v>1648</v>
      </c>
      <c r="D2442" t="s">
        <v>441</v>
      </c>
      <c r="F2442">
        <v>0</v>
      </c>
      <c r="G2442">
        <v>0</v>
      </c>
      <c r="H2442" t="s">
        <v>8634</v>
      </c>
      <c r="I2442">
        <v>6</v>
      </c>
      <c r="J2442" t="s">
        <v>445</v>
      </c>
      <c r="M2442">
        <v>6666</v>
      </c>
      <c r="N2442" t="s">
        <v>16066</v>
      </c>
    </row>
    <row r="2443" spans="1:14">
      <c r="A2443">
        <v>14550907</v>
      </c>
      <c r="B2443">
        <v>3020532</v>
      </c>
      <c r="C2443" t="s">
        <v>1649</v>
      </c>
      <c r="D2443" t="s">
        <v>441</v>
      </c>
      <c r="F2443">
        <v>0</v>
      </c>
      <c r="G2443">
        <v>0</v>
      </c>
      <c r="H2443" t="s">
        <v>8584</v>
      </c>
      <c r="I2443">
        <v>6</v>
      </c>
      <c r="J2443" t="s">
        <v>445</v>
      </c>
      <c r="K2443" t="s">
        <v>446</v>
      </c>
      <c r="M2443">
        <v>6666</v>
      </c>
      <c r="N2443" t="s">
        <v>16066</v>
      </c>
    </row>
    <row r="2444" spans="1:14">
      <c r="A2444">
        <v>14551000</v>
      </c>
      <c r="B2444">
        <v>3017381</v>
      </c>
      <c r="C2444" t="s">
        <v>1650</v>
      </c>
      <c r="D2444" t="s">
        <v>441</v>
      </c>
      <c r="F2444">
        <v>0</v>
      </c>
      <c r="G2444">
        <v>11.3</v>
      </c>
      <c r="H2444" t="s">
        <v>8935</v>
      </c>
      <c r="I2444">
        <v>6</v>
      </c>
      <c r="J2444" t="s">
        <v>445</v>
      </c>
      <c r="M2444">
        <v>2391</v>
      </c>
      <c r="N2444" t="s">
        <v>16066</v>
      </c>
    </row>
    <row r="2445" spans="1:14">
      <c r="A2445">
        <v>14551007</v>
      </c>
      <c r="B2445">
        <v>3017686</v>
      </c>
      <c r="C2445" t="s">
        <v>1651</v>
      </c>
      <c r="D2445" t="s">
        <v>441</v>
      </c>
      <c r="F2445">
        <v>0</v>
      </c>
      <c r="G2445">
        <v>15.36</v>
      </c>
      <c r="H2445" t="s">
        <v>8588</v>
      </c>
      <c r="I2445">
        <v>6</v>
      </c>
      <c r="J2445" t="s">
        <v>445</v>
      </c>
      <c r="K2445" t="s">
        <v>446</v>
      </c>
      <c r="M2445">
        <v>2641</v>
      </c>
      <c r="N2445" t="s">
        <v>16066</v>
      </c>
    </row>
    <row r="2446" spans="1:14">
      <c r="A2446">
        <v>14551907</v>
      </c>
      <c r="B2446">
        <v>3020535</v>
      </c>
      <c r="C2446" t="s">
        <v>1652</v>
      </c>
      <c r="D2446" t="s">
        <v>441</v>
      </c>
      <c r="F2446">
        <v>0</v>
      </c>
      <c r="G2446">
        <v>12.88</v>
      </c>
      <c r="H2446" t="s">
        <v>8580</v>
      </c>
      <c r="I2446">
        <v>6</v>
      </c>
      <c r="J2446" t="s">
        <v>445</v>
      </c>
      <c r="M2446">
        <v>6666</v>
      </c>
      <c r="N2446" t="s">
        <v>16066</v>
      </c>
    </row>
    <row r="2447" spans="1:14">
      <c r="A2447">
        <v>14560000</v>
      </c>
      <c r="B2447">
        <v>3007626</v>
      </c>
      <c r="C2447" t="s">
        <v>1653</v>
      </c>
      <c r="D2447" t="s">
        <v>441</v>
      </c>
      <c r="F2447">
        <v>0</v>
      </c>
      <c r="G2447">
        <v>10.65</v>
      </c>
      <c r="H2447" t="s">
        <v>8580</v>
      </c>
      <c r="I2447">
        <v>6</v>
      </c>
      <c r="J2447" t="s">
        <v>445</v>
      </c>
      <c r="K2447" t="s">
        <v>446</v>
      </c>
      <c r="M2447">
        <v>0</v>
      </c>
    </row>
    <row r="2448" spans="1:14">
      <c r="A2448">
        <v>14561000</v>
      </c>
      <c r="B2448">
        <v>3009228</v>
      </c>
      <c r="C2448" t="s">
        <v>1654</v>
      </c>
      <c r="D2448" t="s">
        <v>441</v>
      </c>
      <c r="F2448">
        <v>0</v>
      </c>
      <c r="G2448">
        <v>10.65</v>
      </c>
      <c r="H2448" t="s">
        <v>8580</v>
      </c>
      <c r="I2448">
        <v>6</v>
      </c>
      <c r="J2448" t="s">
        <v>445</v>
      </c>
      <c r="K2448" t="s">
        <v>446</v>
      </c>
      <c r="M2448">
        <v>2312</v>
      </c>
    </row>
    <row r="2449" spans="1:14">
      <c r="A2449">
        <v>14570000</v>
      </c>
      <c r="B2449">
        <v>3007627</v>
      </c>
      <c r="C2449" t="s">
        <v>1655</v>
      </c>
      <c r="D2449" t="s">
        <v>441</v>
      </c>
      <c r="F2449">
        <v>0</v>
      </c>
      <c r="G2449">
        <v>9.23</v>
      </c>
      <c r="H2449" t="s">
        <v>8580</v>
      </c>
      <c r="I2449">
        <v>6</v>
      </c>
      <c r="J2449" t="s">
        <v>445</v>
      </c>
      <c r="K2449" t="s">
        <v>446</v>
      </c>
      <c r="M2449">
        <v>0</v>
      </c>
    </row>
    <row r="2450" spans="1:14">
      <c r="A2450">
        <v>14590000</v>
      </c>
      <c r="B2450">
        <v>3007628</v>
      </c>
      <c r="C2450" t="s">
        <v>1656</v>
      </c>
      <c r="D2450" t="s">
        <v>441</v>
      </c>
      <c r="F2450">
        <v>0</v>
      </c>
      <c r="G2450">
        <v>11.06</v>
      </c>
      <c r="H2450" t="s">
        <v>8580</v>
      </c>
      <c r="I2450">
        <v>6</v>
      </c>
      <c r="J2450" t="s">
        <v>445</v>
      </c>
      <c r="K2450" t="s">
        <v>446</v>
      </c>
      <c r="M2450">
        <v>0</v>
      </c>
    </row>
    <row r="2451" spans="1:14">
      <c r="A2451">
        <v>14591000</v>
      </c>
      <c r="B2451">
        <v>3009237</v>
      </c>
      <c r="C2451" t="s">
        <v>1657</v>
      </c>
      <c r="D2451" t="s">
        <v>441</v>
      </c>
      <c r="F2451">
        <v>0</v>
      </c>
      <c r="G2451">
        <v>11.06</v>
      </c>
      <c r="H2451" t="s">
        <v>8580</v>
      </c>
      <c r="I2451">
        <v>6</v>
      </c>
      <c r="J2451" t="s">
        <v>445</v>
      </c>
      <c r="K2451" t="s">
        <v>446</v>
      </c>
      <c r="M2451">
        <v>2312</v>
      </c>
    </row>
    <row r="2452" spans="1:14">
      <c r="A2452">
        <v>14650000</v>
      </c>
      <c r="B2452">
        <v>3007629</v>
      </c>
      <c r="C2452" t="s">
        <v>9612</v>
      </c>
      <c r="D2452" t="s">
        <v>441</v>
      </c>
      <c r="F2452">
        <v>0</v>
      </c>
      <c r="G2452">
        <v>0</v>
      </c>
      <c r="I2452">
        <v>6</v>
      </c>
      <c r="J2452" t="s">
        <v>445</v>
      </c>
      <c r="K2452" t="s">
        <v>446</v>
      </c>
      <c r="M2452">
        <v>0</v>
      </c>
    </row>
    <row r="2453" spans="1:14">
      <c r="A2453">
        <v>14651000</v>
      </c>
      <c r="B2453">
        <v>3017334</v>
      </c>
      <c r="C2453" t="s">
        <v>1658</v>
      </c>
      <c r="D2453" t="s">
        <v>441</v>
      </c>
      <c r="F2453">
        <v>0</v>
      </c>
      <c r="H2453" t="s">
        <v>8935</v>
      </c>
      <c r="I2453">
        <v>6</v>
      </c>
      <c r="J2453" t="s">
        <v>445</v>
      </c>
      <c r="K2453" t="s">
        <v>446</v>
      </c>
      <c r="M2453">
        <v>0</v>
      </c>
    </row>
    <row r="2454" spans="1:14">
      <c r="A2454">
        <v>14660000</v>
      </c>
      <c r="B2454">
        <v>3007630</v>
      </c>
      <c r="C2454" t="s">
        <v>1659</v>
      </c>
      <c r="D2454" t="s">
        <v>441</v>
      </c>
      <c r="F2454">
        <v>0</v>
      </c>
      <c r="G2454">
        <v>7.8</v>
      </c>
      <c r="H2454" t="s">
        <v>8584</v>
      </c>
      <c r="I2454">
        <v>6</v>
      </c>
      <c r="J2454" t="s">
        <v>445</v>
      </c>
      <c r="K2454" t="s">
        <v>446</v>
      </c>
      <c r="M2454">
        <v>0</v>
      </c>
    </row>
    <row r="2455" spans="1:14">
      <c r="A2455">
        <v>14690000</v>
      </c>
      <c r="B2455">
        <v>3007631</v>
      </c>
      <c r="C2455" t="s">
        <v>1660</v>
      </c>
      <c r="D2455" t="s">
        <v>441</v>
      </c>
      <c r="F2455">
        <v>0</v>
      </c>
      <c r="G2455">
        <v>8</v>
      </c>
      <c r="H2455" t="s">
        <v>8580</v>
      </c>
      <c r="I2455">
        <v>6</v>
      </c>
      <c r="J2455" t="s">
        <v>445</v>
      </c>
      <c r="K2455" t="s">
        <v>446</v>
      </c>
      <c r="M2455">
        <v>0</v>
      </c>
    </row>
    <row r="2456" spans="1:14">
      <c r="A2456">
        <v>14701000</v>
      </c>
      <c r="B2456">
        <v>3012187</v>
      </c>
      <c r="C2456" t="s">
        <v>1661</v>
      </c>
      <c r="D2456" t="s">
        <v>441</v>
      </c>
      <c r="F2456">
        <v>0</v>
      </c>
      <c r="G2456">
        <v>15.16</v>
      </c>
      <c r="H2456" t="s">
        <v>8580</v>
      </c>
      <c r="I2456">
        <v>6</v>
      </c>
      <c r="J2456" t="s">
        <v>445</v>
      </c>
      <c r="K2456" t="s">
        <v>446</v>
      </c>
      <c r="M2456">
        <v>2312</v>
      </c>
    </row>
    <row r="2457" spans="1:14">
      <c r="A2457">
        <v>14711000</v>
      </c>
      <c r="B2457">
        <v>3012238</v>
      </c>
      <c r="C2457" t="s">
        <v>1662</v>
      </c>
      <c r="D2457" t="s">
        <v>441</v>
      </c>
      <c r="F2457">
        <v>0</v>
      </c>
      <c r="G2457">
        <v>15.37</v>
      </c>
      <c r="I2457">
        <v>6</v>
      </c>
      <c r="J2457" t="s">
        <v>445</v>
      </c>
      <c r="K2457" t="s">
        <v>446</v>
      </c>
      <c r="M2457">
        <v>2312</v>
      </c>
    </row>
    <row r="2458" spans="1:14">
      <c r="A2458">
        <v>14731000</v>
      </c>
      <c r="B2458">
        <v>3012230</v>
      </c>
      <c r="C2458" t="s">
        <v>1663</v>
      </c>
      <c r="D2458" t="s">
        <v>441</v>
      </c>
      <c r="F2458">
        <v>0</v>
      </c>
      <c r="G2458">
        <v>15.16</v>
      </c>
      <c r="H2458" t="s">
        <v>8580</v>
      </c>
      <c r="I2458">
        <v>6</v>
      </c>
      <c r="J2458" t="s">
        <v>445</v>
      </c>
      <c r="K2458" t="s">
        <v>446</v>
      </c>
      <c r="M2458">
        <v>2312</v>
      </c>
    </row>
    <row r="2459" spans="1:14">
      <c r="A2459">
        <v>14741000</v>
      </c>
      <c r="B2459">
        <v>3012236</v>
      </c>
      <c r="C2459" t="s">
        <v>1664</v>
      </c>
      <c r="D2459" t="s">
        <v>441</v>
      </c>
      <c r="F2459">
        <v>0</v>
      </c>
      <c r="G2459">
        <v>15.37</v>
      </c>
      <c r="H2459" t="s">
        <v>8580</v>
      </c>
      <c r="I2459">
        <v>6</v>
      </c>
      <c r="J2459" t="s">
        <v>445</v>
      </c>
      <c r="K2459" t="s">
        <v>446</v>
      </c>
      <c r="M2459">
        <v>2312</v>
      </c>
    </row>
    <row r="2460" spans="1:14">
      <c r="A2460">
        <v>14750000</v>
      </c>
      <c r="B2460">
        <v>3012401</v>
      </c>
      <c r="C2460" t="s">
        <v>1665</v>
      </c>
      <c r="D2460" t="s">
        <v>441</v>
      </c>
      <c r="F2460">
        <v>0</v>
      </c>
      <c r="G2460">
        <v>10.43</v>
      </c>
      <c r="I2460">
        <v>6</v>
      </c>
      <c r="J2460" t="s">
        <v>445</v>
      </c>
      <c r="K2460" t="s">
        <v>446</v>
      </c>
      <c r="M2460">
        <v>2312</v>
      </c>
    </row>
    <row r="2461" spans="1:14">
      <c r="A2461">
        <v>14760000</v>
      </c>
      <c r="B2461">
        <v>3012400</v>
      </c>
      <c r="C2461" t="s">
        <v>1666</v>
      </c>
      <c r="D2461" t="s">
        <v>441</v>
      </c>
      <c r="F2461">
        <v>0</v>
      </c>
      <c r="G2461">
        <v>11.3</v>
      </c>
      <c r="I2461">
        <v>6</v>
      </c>
      <c r="J2461" t="s">
        <v>445</v>
      </c>
      <c r="K2461" t="s">
        <v>446</v>
      </c>
      <c r="M2461">
        <v>2312</v>
      </c>
    </row>
    <row r="2462" spans="1:14">
      <c r="A2462">
        <v>14800000</v>
      </c>
      <c r="B2462">
        <v>3027140</v>
      </c>
      <c r="C2462" t="s">
        <v>1667</v>
      </c>
      <c r="D2462" t="s">
        <v>441</v>
      </c>
      <c r="F2462">
        <v>0</v>
      </c>
      <c r="G2462">
        <v>10.65</v>
      </c>
      <c r="H2462" t="s">
        <v>8588</v>
      </c>
      <c r="I2462">
        <v>6</v>
      </c>
      <c r="J2462" t="s">
        <v>445</v>
      </c>
      <c r="M2462">
        <v>2391</v>
      </c>
      <c r="N2462" t="s">
        <v>16058</v>
      </c>
    </row>
    <row r="2463" spans="1:14">
      <c r="A2463">
        <v>14800002</v>
      </c>
      <c r="B2463">
        <v>3041424</v>
      </c>
      <c r="C2463" t="s">
        <v>1668</v>
      </c>
      <c r="D2463" t="s">
        <v>441</v>
      </c>
      <c r="F2463">
        <v>0</v>
      </c>
      <c r="G2463">
        <v>11.13</v>
      </c>
      <c r="I2463">
        <v>540</v>
      </c>
      <c r="J2463" t="s">
        <v>445</v>
      </c>
      <c r="M2463">
        <v>7111</v>
      </c>
      <c r="N2463" t="s">
        <v>16058</v>
      </c>
    </row>
    <row r="2464" spans="1:14">
      <c r="A2464">
        <v>14800007</v>
      </c>
      <c r="B2464">
        <v>3027158</v>
      </c>
      <c r="C2464" t="s">
        <v>1669</v>
      </c>
      <c r="D2464" t="s">
        <v>441</v>
      </c>
      <c r="F2464">
        <v>0</v>
      </c>
      <c r="G2464">
        <v>10.77</v>
      </c>
      <c r="H2464" t="s">
        <v>8588</v>
      </c>
      <c r="I2464">
        <v>6</v>
      </c>
      <c r="J2464" t="s">
        <v>445</v>
      </c>
      <c r="M2464">
        <v>3111</v>
      </c>
      <c r="N2464" t="s">
        <v>16058</v>
      </c>
    </row>
    <row r="2465" spans="1:14">
      <c r="A2465">
        <v>14800040</v>
      </c>
      <c r="B2465">
        <v>4020256</v>
      </c>
      <c r="C2465" t="s">
        <v>1670</v>
      </c>
      <c r="D2465" t="s">
        <v>441</v>
      </c>
      <c r="F2465">
        <v>0</v>
      </c>
      <c r="G2465">
        <v>11.43</v>
      </c>
      <c r="H2465" t="s">
        <v>8588</v>
      </c>
      <c r="I2465">
        <v>16</v>
      </c>
      <c r="J2465" t="s">
        <v>462</v>
      </c>
      <c r="M2465">
        <v>7112</v>
      </c>
      <c r="N2465" t="s">
        <v>16058</v>
      </c>
    </row>
    <row r="2466" spans="1:14">
      <c r="A2466">
        <v>14800041</v>
      </c>
      <c r="B2466">
        <v>4028149</v>
      </c>
      <c r="C2466" t="s">
        <v>15632</v>
      </c>
      <c r="D2466" t="s">
        <v>441</v>
      </c>
      <c r="F2466">
        <v>0</v>
      </c>
      <c r="G2466">
        <v>19.739999999999998</v>
      </c>
      <c r="H2466" t="s">
        <v>8588</v>
      </c>
      <c r="I2466">
        <v>16</v>
      </c>
      <c r="J2466" t="s">
        <v>462</v>
      </c>
      <c r="M2466">
        <v>7112</v>
      </c>
      <c r="N2466" t="s">
        <v>16058</v>
      </c>
    </row>
    <row r="2467" spans="1:14">
      <c r="A2467">
        <v>14800042</v>
      </c>
      <c r="B2467">
        <v>4029680</v>
      </c>
      <c r="C2467" t="s">
        <v>15471</v>
      </c>
      <c r="D2467" t="s">
        <v>441</v>
      </c>
      <c r="F2467">
        <v>0</v>
      </c>
      <c r="G2467">
        <v>18.32</v>
      </c>
      <c r="H2467" t="s">
        <v>8588</v>
      </c>
      <c r="I2467">
        <v>16</v>
      </c>
      <c r="J2467" t="s">
        <v>462</v>
      </c>
      <c r="M2467">
        <v>7112</v>
      </c>
      <c r="N2467" t="s">
        <v>16058</v>
      </c>
    </row>
    <row r="2468" spans="1:14">
      <c r="A2468">
        <v>14800100</v>
      </c>
      <c r="B2468">
        <v>3036797</v>
      </c>
      <c r="C2468" t="s">
        <v>1671</v>
      </c>
      <c r="D2468" t="s">
        <v>441</v>
      </c>
      <c r="F2468">
        <v>0</v>
      </c>
      <c r="H2468" t="s">
        <v>8588</v>
      </c>
      <c r="I2468">
        <v>6</v>
      </c>
      <c r="J2468" t="s">
        <v>445</v>
      </c>
      <c r="M2468">
        <v>7161</v>
      </c>
      <c r="N2468" t="s">
        <v>16058</v>
      </c>
    </row>
    <row r="2469" spans="1:14">
      <c r="A2469">
        <v>14800502</v>
      </c>
      <c r="B2469">
        <v>3041423</v>
      </c>
      <c r="C2469" t="s">
        <v>1672</v>
      </c>
      <c r="D2469" t="s">
        <v>441</v>
      </c>
      <c r="F2469">
        <v>0</v>
      </c>
      <c r="G2469">
        <v>10.75</v>
      </c>
      <c r="H2469" t="s">
        <v>8549</v>
      </c>
      <c r="I2469">
        <v>540</v>
      </c>
      <c r="J2469" t="s">
        <v>445</v>
      </c>
      <c r="M2469">
        <v>2502</v>
      </c>
      <c r="N2469" t="s">
        <v>16058</v>
      </c>
    </row>
    <row r="2470" spans="1:14">
      <c r="A2470">
        <v>14800602</v>
      </c>
      <c r="B2470">
        <v>3041425</v>
      </c>
      <c r="C2470" t="s">
        <v>1673</v>
      </c>
      <c r="D2470" t="s">
        <v>441</v>
      </c>
      <c r="F2470">
        <v>0</v>
      </c>
      <c r="G2470">
        <v>11.44</v>
      </c>
      <c r="I2470">
        <v>4</v>
      </c>
      <c r="J2470" t="s">
        <v>445</v>
      </c>
      <c r="M2470">
        <v>2510</v>
      </c>
      <c r="N2470" t="s">
        <v>16058</v>
      </c>
    </row>
    <row r="2471" spans="1:14">
      <c r="A2471">
        <v>14800902</v>
      </c>
      <c r="B2471">
        <v>3041431</v>
      </c>
      <c r="C2471" t="s">
        <v>1674</v>
      </c>
      <c r="D2471" t="s">
        <v>441</v>
      </c>
      <c r="F2471">
        <v>0</v>
      </c>
      <c r="G2471">
        <v>1</v>
      </c>
      <c r="H2471" t="s">
        <v>8580</v>
      </c>
      <c r="I2471">
        <v>4</v>
      </c>
      <c r="J2471" t="s">
        <v>445</v>
      </c>
      <c r="M2471">
        <v>6666</v>
      </c>
      <c r="N2471" t="s">
        <v>16058</v>
      </c>
    </row>
    <row r="2472" spans="1:14">
      <c r="A2472">
        <v>14800907</v>
      </c>
      <c r="B2472">
        <v>3027172</v>
      </c>
      <c r="C2472" t="s">
        <v>244</v>
      </c>
      <c r="D2472" t="s">
        <v>441</v>
      </c>
      <c r="F2472">
        <v>0</v>
      </c>
      <c r="H2472" t="s">
        <v>8584</v>
      </c>
      <c r="I2472">
        <v>6</v>
      </c>
      <c r="J2472" t="s">
        <v>445</v>
      </c>
      <c r="M2472">
        <v>6666</v>
      </c>
      <c r="N2472" t="s">
        <v>16058</v>
      </c>
    </row>
    <row r="2473" spans="1:14">
      <c r="A2473">
        <v>14801000</v>
      </c>
      <c r="B2473">
        <v>3044684</v>
      </c>
      <c r="C2473" t="s">
        <v>15310</v>
      </c>
      <c r="D2473" t="s">
        <v>441</v>
      </c>
      <c r="F2473">
        <v>0</v>
      </c>
      <c r="G2473">
        <v>16.45</v>
      </c>
      <c r="H2473" t="s">
        <v>8588</v>
      </c>
      <c r="I2473">
        <v>6</v>
      </c>
      <c r="J2473" t="s">
        <v>445</v>
      </c>
      <c r="M2473">
        <v>2391</v>
      </c>
      <c r="N2473" t="s">
        <v>16058</v>
      </c>
    </row>
    <row r="2474" spans="1:14">
      <c r="A2474">
        <v>14804000</v>
      </c>
      <c r="B2474">
        <v>3035449</v>
      </c>
      <c r="C2474" t="s">
        <v>1675</v>
      </c>
      <c r="D2474" t="s">
        <v>441</v>
      </c>
      <c r="F2474">
        <v>0</v>
      </c>
      <c r="G2474">
        <v>10.65</v>
      </c>
      <c r="H2474" t="s">
        <v>8549</v>
      </c>
      <c r="I2474">
        <v>6</v>
      </c>
      <c r="J2474" t="s">
        <v>445</v>
      </c>
      <c r="M2474">
        <v>2391</v>
      </c>
      <c r="N2474" t="s">
        <v>16058</v>
      </c>
    </row>
    <row r="2475" spans="1:14">
      <c r="A2475">
        <v>14804002</v>
      </c>
      <c r="B2475">
        <v>3041434</v>
      </c>
      <c r="C2475" t="s">
        <v>1676</v>
      </c>
      <c r="D2475" t="s">
        <v>441</v>
      </c>
      <c r="F2475">
        <v>0</v>
      </c>
      <c r="G2475">
        <v>11.13</v>
      </c>
      <c r="H2475" t="s">
        <v>8588</v>
      </c>
      <c r="I2475">
        <v>540</v>
      </c>
      <c r="J2475" t="s">
        <v>445</v>
      </c>
      <c r="M2475">
        <v>7111</v>
      </c>
      <c r="N2475" t="s">
        <v>16058</v>
      </c>
    </row>
    <row r="2476" spans="1:14">
      <c r="A2476">
        <v>14804007</v>
      </c>
      <c r="B2476">
        <v>3035450</v>
      </c>
      <c r="C2476" t="s">
        <v>1677</v>
      </c>
      <c r="D2476" t="s">
        <v>441</v>
      </c>
      <c r="F2476">
        <v>0</v>
      </c>
      <c r="G2476">
        <v>10.77</v>
      </c>
      <c r="H2476" t="s">
        <v>8549</v>
      </c>
      <c r="I2476">
        <v>6</v>
      </c>
      <c r="J2476" t="s">
        <v>445</v>
      </c>
      <c r="M2476">
        <v>3111</v>
      </c>
      <c r="N2476" t="s">
        <v>16058</v>
      </c>
    </row>
    <row r="2477" spans="1:14">
      <c r="A2477">
        <v>14804100</v>
      </c>
      <c r="B2477">
        <v>3036828</v>
      </c>
      <c r="C2477" t="s">
        <v>1678</v>
      </c>
      <c r="D2477" t="s">
        <v>441</v>
      </c>
      <c r="F2477">
        <v>0</v>
      </c>
      <c r="H2477" t="s">
        <v>8588</v>
      </c>
      <c r="I2477">
        <v>6</v>
      </c>
      <c r="J2477" t="s">
        <v>445</v>
      </c>
      <c r="M2477">
        <v>7161</v>
      </c>
      <c r="N2477" t="s">
        <v>16058</v>
      </c>
    </row>
    <row r="2478" spans="1:14">
      <c r="A2478">
        <v>14804502</v>
      </c>
      <c r="B2478">
        <v>3041435</v>
      </c>
      <c r="C2478" t="s">
        <v>1679</v>
      </c>
      <c r="D2478" t="s">
        <v>441</v>
      </c>
      <c r="F2478">
        <v>0</v>
      </c>
      <c r="G2478">
        <v>10.75</v>
      </c>
      <c r="H2478" t="s">
        <v>8549</v>
      </c>
      <c r="I2478">
        <v>540</v>
      </c>
      <c r="J2478" t="s">
        <v>445</v>
      </c>
      <c r="M2478">
        <v>2502</v>
      </c>
      <c r="N2478" t="s">
        <v>16058</v>
      </c>
    </row>
    <row r="2479" spans="1:14">
      <c r="A2479">
        <v>14804602</v>
      </c>
      <c r="B2479">
        <v>3041433</v>
      </c>
      <c r="C2479" t="s">
        <v>1680</v>
      </c>
      <c r="D2479" t="s">
        <v>441</v>
      </c>
      <c r="F2479">
        <v>0</v>
      </c>
      <c r="G2479">
        <v>11.44</v>
      </c>
      <c r="H2479" t="s">
        <v>8549</v>
      </c>
      <c r="I2479">
        <v>4</v>
      </c>
      <c r="J2479" t="s">
        <v>445</v>
      </c>
      <c r="M2479">
        <v>2510</v>
      </c>
      <c r="N2479" t="s">
        <v>16058</v>
      </c>
    </row>
    <row r="2480" spans="1:14">
      <c r="A2480">
        <v>14804902</v>
      </c>
      <c r="B2480">
        <v>3041439</v>
      </c>
      <c r="C2480" t="s">
        <v>1681</v>
      </c>
      <c r="D2480" t="s">
        <v>441</v>
      </c>
      <c r="F2480">
        <v>0</v>
      </c>
      <c r="G2480">
        <v>1</v>
      </c>
      <c r="H2480" t="s">
        <v>8549</v>
      </c>
      <c r="I2480">
        <v>4</v>
      </c>
      <c r="J2480" t="s">
        <v>445</v>
      </c>
      <c r="M2480">
        <v>6666</v>
      </c>
      <c r="N2480" t="s">
        <v>16058</v>
      </c>
    </row>
    <row r="2481" spans="1:14">
      <c r="A2481">
        <v>14804907</v>
      </c>
      <c r="B2481">
        <v>3041287</v>
      </c>
      <c r="C2481" t="s">
        <v>1682</v>
      </c>
      <c r="D2481" t="s">
        <v>441</v>
      </c>
      <c r="F2481">
        <v>0</v>
      </c>
      <c r="G2481">
        <v>10.51</v>
      </c>
      <c r="H2481" t="s">
        <v>8549</v>
      </c>
      <c r="I2481">
        <v>6</v>
      </c>
      <c r="J2481" t="s">
        <v>445</v>
      </c>
      <c r="M2481">
        <v>6666</v>
      </c>
      <c r="N2481" t="s">
        <v>16058</v>
      </c>
    </row>
    <row r="2482" spans="1:14">
      <c r="A2482">
        <v>14810000</v>
      </c>
      <c r="B2482">
        <v>3015925</v>
      </c>
      <c r="C2482" t="s">
        <v>1683</v>
      </c>
      <c r="D2482" t="s">
        <v>441</v>
      </c>
      <c r="F2482">
        <v>0</v>
      </c>
      <c r="G2482">
        <v>10.65</v>
      </c>
      <c r="H2482" t="s">
        <v>8588</v>
      </c>
      <c r="I2482">
        <v>6</v>
      </c>
      <c r="J2482" t="s">
        <v>445</v>
      </c>
      <c r="M2482">
        <v>2391</v>
      </c>
      <c r="N2482" t="s">
        <v>16058</v>
      </c>
    </row>
    <row r="2483" spans="1:14">
      <c r="A2483">
        <v>14810002</v>
      </c>
      <c r="B2483">
        <v>3007632</v>
      </c>
      <c r="C2483" t="s">
        <v>1684</v>
      </c>
      <c r="D2483" t="s">
        <v>441</v>
      </c>
      <c r="F2483">
        <v>0</v>
      </c>
      <c r="G2483">
        <v>11.13</v>
      </c>
      <c r="H2483" t="s">
        <v>8588</v>
      </c>
      <c r="I2483">
        <v>540</v>
      </c>
      <c r="J2483" t="s">
        <v>445</v>
      </c>
      <c r="M2483">
        <v>7111</v>
      </c>
      <c r="N2483" t="s">
        <v>16058</v>
      </c>
    </row>
    <row r="2484" spans="1:14">
      <c r="A2484">
        <v>14810007</v>
      </c>
      <c r="B2484">
        <v>3015096</v>
      </c>
      <c r="C2484" t="s">
        <v>1685</v>
      </c>
      <c r="D2484" t="s">
        <v>441</v>
      </c>
      <c r="F2484">
        <v>0</v>
      </c>
      <c r="G2484">
        <v>10.77</v>
      </c>
      <c r="H2484" t="s">
        <v>8588</v>
      </c>
      <c r="I2484">
        <v>6</v>
      </c>
      <c r="J2484" t="s">
        <v>445</v>
      </c>
      <c r="M2484">
        <v>3111</v>
      </c>
      <c r="N2484" t="s">
        <v>16058</v>
      </c>
    </row>
    <row r="2485" spans="1:14">
      <c r="A2485">
        <v>14810100</v>
      </c>
      <c r="B2485">
        <v>3015097</v>
      </c>
      <c r="C2485" t="s">
        <v>1686</v>
      </c>
      <c r="D2485" t="s">
        <v>441</v>
      </c>
      <c r="F2485">
        <v>0</v>
      </c>
      <c r="H2485" t="s">
        <v>8588</v>
      </c>
      <c r="I2485">
        <v>6</v>
      </c>
      <c r="J2485" t="s">
        <v>445</v>
      </c>
      <c r="M2485">
        <v>7161</v>
      </c>
      <c r="N2485" t="s">
        <v>16058</v>
      </c>
    </row>
    <row r="2486" spans="1:14">
      <c r="A2486">
        <v>14810112</v>
      </c>
      <c r="B2486">
        <v>3024270</v>
      </c>
      <c r="C2486" t="s">
        <v>1687</v>
      </c>
      <c r="D2486" t="s">
        <v>441</v>
      </c>
      <c r="F2486">
        <v>0</v>
      </c>
      <c r="H2486" t="s">
        <v>8588</v>
      </c>
      <c r="I2486">
        <v>540</v>
      </c>
      <c r="J2486" t="s">
        <v>445</v>
      </c>
      <c r="M2486">
        <v>7113</v>
      </c>
      <c r="N2486" t="s">
        <v>16058</v>
      </c>
    </row>
    <row r="2487" spans="1:14">
      <c r="A2487">
        <v>14810113</v>
      </c>
      <c r="B2487">
        <v>3026893</v>
      </c>
      <c r="C2487" t="s">
        <v>1688</v>
      </c>
      <c r="D2487" t="s">
        <v>441</v>
      </c>
      <c r="F2487">
        <v>0</v>
      </c>
      <c r="G2487">
        <v>10.65</v>
      </c>
      <c r="H2487" t="s">
        <v>8588</v>
      </c>
      <c r="I2487">
        <v>365</v>
      </c>
      <c r="J2487" t="s">
        <v>445</v>
      </c>
      <c r="M2487">
        <v>0</v>
      </c>
      <c r="N2487" t="s">
        <v>16058</v>
      </c>
    </row>
    <row r="2488" spans="1:14">
      <c r="A2488">
        <v>14810120</v>
      </c>
      <c r="B2488">
        <v>3021024</v>
      </c>
      <c r="C2488" t="s">
        <v>1689</v>
      </c>
      <c r="D2488" t="s">
        <v>441</v>
      </c>
      <c r="F2488">
        <v>0</v>
      </c>
      <c r="G2488">
        <v>0</v>
      </c>
      <c r="H2488" t="s">
        <v>8549</v>
      </c>
      <c r="I2488">
        <v>6</v>
      </c>
      <c r="J2488" t="s">
        <v>445</v>
      </c>
      <c r="M2488">
        <v>7161</v>
      </c>
      <c r="N2488" t="s">
        <v>16058</v>
      </c>
    </row>
    <row r="2489" spans="1:14">
      <c r="A2489">
        <v>14810130</v>
      </c>
      <c r="B2489">
        <v>3026505</v>
      </c>
      <c r="C2489" t="s">
        <v>1690</v>
      </c>
      <c r="D2489" t="s">
        <v>441</v>
      </c>
      <c r="F2489">
        <v>0</v>
      </c>
      <c r="H2489" t="s">
        <v>8588</v>
      </c>
      <c r="I2489">
        <v>1</v>
      </c>
      <c r="J2489" t="s">
        <v>445</v>
      </c>
      <c r="M2489">
        <v>7161</v>
      </c>
      <c r="N2489" t="s">
        <v>16058</v>
      </c>
    </row>
    <row r="2490" spans="1:14">
      <c r="A2490">
        <v>14810140</v>
      </c>
      <c r="B2490">
        <v>3033516</v>
      </c>
      <c r="C2490" t="s">
        <v>1691</v>
      </c>
      <c r="D2490" t="s">
        <v>441</v>
      </c>
      <c r="F2490">
        <v>0</v>
      </c>
      <c r="H2490" t="s">
        <v>8588</v>
      </c>
      <c r="I2490">
        <v>6</v>
      </c>
      <c r="J2490" t="s">
        <v>445</v>
      </c>
      <c r="M2490">
        <v>7161</v>
      </c>
      <c r="N2490" t="s">
        <v>16058</v>
      </c>
    </row>
    <row r="2491" spans="1:14">
      <c r="A2491">
        <v>14810150</v>
      </c>
      <c r="B2491">
        <v>3036133</v>
      </c>
      <c r="C2491" t="s">
        <v>1692</v>
      </c>
      <c r="D2491" t="s">
        <v>441</v>
      </c>
      <c r="F2491">
        <v>0</v>
      </c>
      <c r="H2491" t="s">
        <v>8549</v>
      </c>
      <c r="I2491">
        <v>6</v>
      </c>
      <c r="J2491" t="s">
        <v>445</v>
      </c>
      <c r="M2491">
        <v>7161</v>
      </c>
      <c r="N2491" t="s">
        <v>16058</v>
      </c>
    </row>
    <row r="2492" spans="1:14">
      <c r="A2492">
        <v>14810502</v>
      </c>
      <c r="B2492">
        <v>3007633</v>
      </c>
      <c r="C2492" t="s">
        <v>1693</v>
      </c>
      <c r="D2492" t="s">
        <v>441</v>
      </c>
      <c r="F2492">
        <v>0</v>
      </c>
      <c r="G2492">
        <v>10.75</v>
      </c>
      <c r="H2492" t="s">
        <v>8580</v>
      </c>
      <c r="I2492">
        <v>6</v>
      </c>
      <c r="J2492" t="s">
        <v>445</v>
      </c>
      <c r="M2492">
        <v>2502</v>
      </c>
      <c r="N2492" t="s">
        <v>16058</v>
      </c>
    </row>
    <row r="2493" spans="1:14">
      <c r="A2493">
        <v>14810602</v>
      </c>
      <c r="B2493">
        <v>3025532</v>
      </c>
      <c r="C2493" t="s">
        <v>1694</v>
      </c>
      <c r="D2493" t="s">
        <v>441</v>
      </c>
      <c r="F2493">
        <v>0</v>
      </c>
      <c r="G2493">
        <v>11.44</v>
      </c>
      <c r="H2493" t="s">
        <v>8950</v>
      </c>
      <c r="I2493">
        <v>5</v>
      </c>
      <c r="J2493" t="s">
        <v>445</v>
      </c>
      <c r="M2493">
        <v>2510</v>
      </c>
      <c r="N2493" t="s">
        <v>16058</v>
      </c>
    </row>
    <row r="2494" spans="1:14">
      <c r="A2494">
        <v>14810900</v>
      </c>
      <c r="B2494">
        <v>3020252</v>
      </c>
      <c r="C2494" t="s">
        <v>1695</v>
      </c>
      <c r="D2494" t="s">
        <v>441</v>
      </c>
      <c r="F2494">
        <v>0</v>
      </c>
      <c r="G2494">
        <v>0</v>
      </c>
      <c r="H2494" t="s">
        <v>8584</v>
      </c>
      <c r="I2494">
        <v>6</v>
      </c>
      <c r="J2494" t="s">
        <v>445</v>
      </c>
      <c r="M2494">
        <v>6666</v>
      </c>
      <c r="N2494" t="s">
        <v>16058</v>
      </c>
    </row>
    <row r="2495" spans="1:14">
      <c r="A2495">
        <v>14810902</v>
      </c>
      <c r="B2495">
        <v>3036317</v>
      </c>
      <c r="C2495" t="s">
        <v>1696</v>
      </c>
      <c r="D2495" t="s">
        <v>441</v>
      </c>
      <c r="F2495">
        <v>0</v>
      </c>
      <c r="I2495">
        <v>5</v>
      </c>
      <c r="J2495" t="s">
        <v>445</v>
      </c>
      <c r="M2495">
        <v>6666</v>
      </c>
      <c r="N2495" t="s">
        <v>16058</v>
      </c>
    </row>
    <row r="2496" spans="1:14">
      <c r="A2496">
        <v>14810907</v>
      </c>
      <c r="B2496">
        <v>3020525</v>
      </c>
      <c r="C2496" t="s">
        <v>1697</v>
      </c>
      <c r="D2496" t="s">
        <v>441</v>
      </c>
      <c r="F2496">
        <v>0</v>
      </c>
      <c r="G2496">
        <v>0</v>
      </c>
      <c r="H2496" t="s">
        <v>8584</v>
      </c>
      <c r="I2496">
        <v>6</v>
      </c>
      <c r="J2496" t="s">
        <v>445</v>
      </c>
      <c r="M2496">
        <v>6666</v>
      </c>
      <c r="N2496" t="s">
        <v>16058</v>
      </c>
    </row>
    <row r="2497" spans="1:14">
      <c r="A2497">
        <v>14811000</v>
      </c>
      <c r="B2497">
        <v>3017762</v>
      </c>
      <c r="C2497" t="s">
        <v>1698</v>
      </c>
      <c r="D2497" t="s">
        <v>441</v>
      </c>
      <c r="F2497">
        <v>0</v>
      </c>
      <c r="G2497">
        <v>10.64</v>
      </c>
      <c r="H2497" t="s">
        <v>8588</v>
      </c>
      <c r="I2497">
        <v>6</v>
      </c>
      <c r="J2497" t="s">
        <v>445</v>
      </c>
      <c r="M2497">
        <v>2391</v>
      </c>
      <c r="N2497" t="s">
        <v>16058</v>
      </c>
    </row>
    <row r="2498" spans="1:14">
      <c r="A2498">
        <v>14811007</v>
      </c>
      <c r="B2498">
        <v>3017681</v>
      </c>
      <c r="C2498" t="s">
        <v>1699</v>
      </c>
      <c r="D2498" t="s">
        <v>441</v>
      </c>
      <c r="F2498">
        <v>0</v>
      </c>
      <c r="G2498">
        <v>14.45</v>
      </c>
      <c r="H2498" t="s">
        <v>8588</v>
      </c>
      <c r="I2498">
        <v>6</v>
      </c>
      <c r="J2498" t="s">
        <v>445</v>
      </c>
      <c r="K2498" t="s">
        <v>446</v>
      </c>
      <c r="M2498">
        <v>2641</v>
      </c>
      <c r="N2498" t="s">
        <v>16058</v>
      </c>
    </row>
    <row r="2499" spans="1:14">
      <c r="A2499">
        <v>14811900</v>
      </c>
      <c r="B2499">
        <v>3020253</v>
      </c>
      <c r="C2499" t="s">
        <v>1700</v>
      </c>
      <c r="D2499" t="s">
        <v>441</v>
      </c>
      <c r="F2499">
        <v>0</v>
      </c>
      <c r="G2499">
        <v>0</v>
      </c>
      <c r="H2499" t="s">
        <v>8584</v>
      </c>
      <c r="I2499">
        <v>6</v>
      </c>
      <c r="J2499" t="s">
        <v>445</v>
      </c>
      <c r="M2499">
        <v>6666</v>
      </c>
      <c r="N2499" t="s">
        <v>16058</v>
      </c>
    </row>
    <row r="2500" spans="1:14">
      <c r="A2500">
        <v>14811907</v>
      </c>
      <c r="B2500">
        <v>3020531</v>
      </c>
      <c r="C2500" t="s">
        <v>1701</v>
      </c>
      <c r="D2500" t="s">
        <v>441</v>
      </c>
      <c r="F2500">
        <v>0</v>
      </c>
      <c r="G2500">
        <v>12.13</v>
      </c>
      <c r="H2500" t="s">
        <v>8580</v>
      </c>
      <c r="I2500">
        <v>6</v>
      </c>
      <c r="J2500" t="s">
        <v>445</v>
      </c>
      <c r="M2500">
        <v>6666</v>
      </c>
      <c r="N2500" t="s">
        <v>16058</v>
      </c>
    </row>
    <row r="2501" spans="1:14">
      <c r="A2501">
        <v>14814000</v>
      </c>
      <c r="B2501">
        <v>3025343</v>
      </c>
      <c r="C2501" t="s">
        <v>1702</v>
      </c>
      <c r="D2501" t="s">
        <v>441</v>
      </c>
      <c r="F2501">
        <v>0</v>
      </c>
      <c r="G2501">
        <v>16.27</v>
      </c>
      <c r="H2501" t="s">
        <v>8588</v>
      </c>
      <c r="I2501">
        <v>6</v>
      </c>
      <c r="J2501" t="s">
        <v>445</v>
      </c>
      <c r="M2501">
        <v>2391</v>
      </c>
      <c r="N2501" t="s">
        <v>16058</v>
      </c>
    </row>
    <row r="2502" spans="1:14">
      <c r="A2502">
        <v>14814002</v>
      </c>
      <c r="B2502">
        <v>3036703</v>
      </c>
      <c r="C2502" t="s">
        <v>1703</v>
      </c>
      <c r="D2502" t="s">
        <v>441</v>
      </c>
      <c r="F2502">
        <v>0</v>
      </c>
      <c r="G2502">
        <v>11.13</v>
      </c>
      <c r="H2502" t="s">
        <v>8549</v>
      </c>
      <c r="I2502">
        <v>540</v>
      </c>
      <c r="J2502" t="s">
        <v>445</v>
      </c>
      <c r="M2502">
        <v>7111</v>
      </c>
      <c r="N2502" t="s">
        <v>16058</v>
      </c>
    </row>
    <row r="2503" spans="1:14">
      <c r="A2503">
        <v>14814502</v>
      </c>
      <c r="B2503">
        <v>3036704</v>
      </c>
      <c r="C2503" t="s">
        <v>1704</v>
      </c>
      <c r="D2503" t="s">
        <v>441</v>
      </c>
      <c r="F2503">
        <v>0</v>
      </c>
      <c r="G2503">
        <v>10.75</v>
      </c>
      <c r="H2503" t="s">
        <v>8549</v>
      </c>
      <c r="I2503">
        <v>540</v>
      </c>
      <c r="J2503" t="s">
        <v>445</v>
      </c>
      <c r="M2503">
        <v>2502</v>
      </c>
      <c r="N2503" t="s">
        <v>16058</v>
      </c>
    </row>
    <row r="2504" spans="1:14">
      <c r="A2504">
        <v>14815000</v>
      </c>
      <c r="B2504">
        <v>3025344</v>
      </c>
      <c r="C2504" t="s">
        <v>1705</v>
      </c>
      <c r="D2504" t="s">
        <v>441</v>
      </c>
      <c r="F2504">
        <v>0</v>
      </c>
      <c r="G2504">
        <v>10.64</v>
      </c>
      <c r="H2504" t="s">
        <v>8588</v>
      </c>
      <c r="I2504">
        <v>6</v>
      </c>
      <c r="J2504" t="s">
        <v>445</v>
      </c>
      <c r="M2504">
        <v>2391</v>
      </c>
      <c r="N2504" t="s">
        <v>16058</v>
      </c>
    </row>
    <row r="2505" spans="1:14">
      <c r="A2505">
        <v>14820000</v>
      </c>
      <c r="B2505">
        <v>3042732</v>
      </c>
      <c r="C2505" t="s">
        <v>1706</v>
      </c>
      <c r="D2505" t="s">
        <v>441</v>
      </c>
      <c r="F2505">
        <v>0</v>
      </c>
      <c r="G2505">
        <v>9.65</v>
      </c>
      <c r="H2505" t="s">
        <v>8588</v>
      </c>
      <c r="I2505">
        <v>6</v>
      </c>
      <c r="J2505" t="s">
        <v>445</v>
      </c>
      <c r="M2505">
        <v>2391</v>
      </c>
      <c r="N2505" t="s">
        <v>16069</v>
      </c>
    </row>
    <row r="2506" spans="1:14">
      <c r="A2506">
        <v>14820002</v>
      </c>
      <c r="B2506">
        <v>3007634</v>
      </c>
      <c r="C2506" t="s">
        <v>1707</v>
      </c>
      <c r="D2506" t="s">
        <v>441</v>
      </c>
      <c r="F2506">
        <v>0</v>
      </c>
      <c r="G2506">
        <v>10.92</v>
      </c>
      <c r="H2506" t="s">
        <v>8584</v>
      </c>
      <c r="I2506">
        <v>365</v>
      </c>
      <c r="J2506" t="s">
        <v>445</v>
      </c>
      <c r="K2506" t="s">
        <v>446</v>
      </c>
      <c r="M2506">
        <v>2501</v>
      </c>
    </row>
    <row r="2507" spans="1:14">
      <c r="A2507">
        <v>14820007</v>
      </c>
      <c r="B2507">
        <v>3042760</v>
      </c>
      <c r="C2507" t="s">
        <v>1708</v>
      </c>
      <c r="D2507" t="s">
        <v>441</v>
      </c>
      <c r="F2507">
        <v>0</v>
      </c>
      <c r="G2507">
        <v>9.7799999999999994</v>
      </c>
      <c r="H2507" t="s">
        <v>8588</v>
      </c>
      <c r="I2507">
        <v>6</v>
      </c>
      <c r="J2507" t="s">
        <v>445</v>
      </c>
      <c r="M2507">
        <v>3111</v>
      </c>
      <c r="N2507" t="s">
        <v>16069</v>
      </c>
    </row>
    <row r="2508" spans="1:14">
      <c r="A2508">
        <v>14820087</v>
      </c>
      <c r="B2508">
        <v>3042779</v>
      </c>
      <c r="C2508" t="s">
        <v>1709</v>
      </c>
      <c r="D2508" t="s">
        <v>441</v>
      </c>
      <c r="F2508">
        <v>0</v>
      </c>
      <c r="G2508">
        <v>9.7799999999999994</v>
      </c>
      <c r="H2508" t="s">
        <v>8588</v>
      </c>
      <c r="I2508">
        <v>6</v>
      </c>
      <c r="J2508" t="s">
        <v>445</v>
      </c>
      <c r="M2508">
        <v>7112</v>
      </c>
      <c r="N2508" t="s">
        <v>16069</v>
      </c>
    </row>
    <row r="2509" spans="1:14">
      <c r="A2509">
        <v>14820502</v>
      </c>
      <c r="B2509">
        <v>3007635</v>
      </c>
      <c r="C2509" t="s">
        <v>1710</v>
      </c>
      <c r="D2509" t="s">
        <v>441</v>
      </c>
      <c r="F2509">
        <v>0</v>
      </c>
      <c r="G2509">
        <v>10.53</v>
      </c>
      <c r="H2509" t="s">
        <v>8580</v>
      </c>
      <c r="I2509">
        <v>6</v>
      </c>
      <c r="J2509" t="s">
        <v>445</v>
      </c>
      <c r="K2509" t="s">
        <v>446</v>
      </c>
      <c r="M2509">
        <v>2641</v>
      </c>
    </row>
    <row r="2510" spans="1:14">
      <c r="A2510">
        <v>14820907</v>
      </c>
      <c r="B2510">
        <v>3042882</v>
      </c>
      <c r="C2510" t="s">
        <v>1711</v>
      </c>
      <c r="D2510" t="s">
        <v>441</v>
      </c>
      <c r="F2510">
        <v>0</v>
      </c>
      <c r="G2510">
        <v>1</v>
      </c>
      <c r="H2510" t="s">
        <v>8588</v>
      </c>
      <c r="I2510">
        <v>6</v>
      </c>
      <c r="J2510" t="s">
        <v>445</v>
      </c>
      <c r="M2510">
        <v>6666</v>
      </c>
      <c r="N2510" t="s">
        <v>16069</v>
      </c>
    </row>
    <row r="2511" spans="1:14">
      <c r="A2511">
        <v>14821000</v>
      </c>
      <c r="B2511">
        <v>3009100</v>
      </c>
      <c r="C2511" t="s">
        <v>1712</v>
      </c>
      <c r="D2511" t="s">
        <v>441</v>
      </c>
      <c r="F2511">
        <v>0</v>
      </c>
      <c r="G2511">
        <v>10.27</v>
      </c>
      <c r="I2511">
        <v>6</v>
      </c>
      <c r="J2511" t="s">
        <v>445</v>
      </c>
      <c r="K2511" t="s">
        <v>446</v>
      </c>
      <c r="M2511">
        <v>2312</v>
      </c>
    </row>
    <row r="2512" spans="1:14">
      <c r="A2512">
        <v>14824000</v>
      </c>
      <c r="B2512">
        <v>3042745</v>
      </c>
      <c r="C2512" t="s">
        <v>1713</v>
      </c>
      <c r="D2512" t="s">
        <v>441</v>
      </c>
      <c r="F2512">
        <v>0</v>
      </c>
      <c r="G2512">
        <v>6.03</v>
      </c>
      <c r="H2512" t="s">
        <v>8588</v>
      </c>
      <c r="I2512">
        <v>6</v>
      </c>
      <c r="J2512" t="s">
        <v>445</v>
      </c>
      <c r="M2512">
        <v>2391</v>
      </c>
      <c r="N2512" t="s">
        <v>16069</v>
      </c>
    </row>
    <row r="2513" spans="1:14">
      <c r="A2513">
        <v>14824007</v>
      </c>
      <c r="B2513">
        <v>3042761</v>
      </c>
      <c r="C2513" t="s">
        <v>1714</v>
      </c>
      <c r="D2513" t="s">
        <v>441</v>
      </c>
      <c r="F2513">
        <v>0</v>
      </c>
      <c r="G2513">
        <v>6.14</v>
      </c>
      <c r="H2513" t="s">
        <v>8588</v>
      </c>
      <c r="I2513">
        <v>6</v>
      </c>
      <c r="J2513" t="s">
        <v>445</v>
      </c>
      <c r="M2513">
        <v>3111</v>
      </c>
      <c r="N2513" t="s">
        <v>16069</v>
      </c>
    </row>
    <row r="2514" spans="1:14">
      <c r="A2514">
        <v>14824087</v>
      </c>
      <c r="B2514">
        <v>3042821</v>
      </c>
      <c r="C2514" t="s">
        <v>1715</v>
      </c>
      <c r="D2514" t="s">
        <v>441</v>
      </c>
      <c r="F2514">
        <v>0</v>
      </c>
      <c r="G2514">
        <v>6.14</v>
      </c>
      <c r="H2514" t="s">
        <v>8588</v>
      </c>
      <c r="I2514">
        <v>6</v>
      </c>
      <c r="J2514" t="s">
        <v>445</v>
      </c>
      <c r="M2514">
        <v>7112</v>
      </c>
      <c r="N2514" t="s">
        <v>16069</v>
      </c>
    </row>
    <row r="2515" spans="1:14">
      <c r="A2515">
        <v>14824088</v>
      </c>
      <c r="B2515">
        <v>3044658</v>
      </c>
      <c r="C2515" t="s">
        <v>15311</v>
      </c>
      <c r="D2515" t="s">
        <v>441</v>
      </c>
      <c r="F2515">
        <v>0</v>
      </c>
      <c r="G2515">
        <v>15.27</v>
      </c>
      <c r="H2515" t="s">
        <v>8588</v>
      </c>
      <c r="I2515">
        <v>6</v>
      </c>
      <c r="J2515" t="s">
        <v>445</v>
      </c>
      <c r="M2515">
        <v>7112</v>
      </c>
      <c r="N2515" t="s">
        <v>16069</v>
      </c>
    </row>
    <row r="2516" spans="1:14">
      <c r="A2516">
        <v>14824907</v>
      </c>
      <c r="B2516">
        <v>3042917</v>
      </c>
      <c r="C2516" t="s">
        <v>1716</v>
      </c>
      <c r="D2516" t="s">
        <v>441</v>
      </c>
      <c r="F2516">
        <v>0</v>
      </c>
      <c r="G2516">
        <v>1</v>
      </c>
      <c r="H2516" t="s">
        <v>8588</v>
      </c>
      <c r="I2516">
        <v>6</v>
      </c>
      <c r="J2516" t="s">
        <v>445</v>
      </c>
      <c r="M2516">
        <v>6666</v>
      </c>
      <c r="N2516" t="s">
        <v>16069</v>
      </c>
    </row>
    <row r="2517" spans="1:14">
      <c r="A2517">
        <v>14830000</v>
      </c>
      <c r="B2517">
        <v>3004419</v>
      </c>
      <c r="C2517" t="s">
        <v>9613</v>
      </c>
      <c r="D2517" t="s">
        <v>441</v>
      </c>
      <c r="F2517">
        <v>0</v>
      </c>
      <c r="G2517">
        <v>9.08</v>
      </c>
      <c r="H2517" t="s">
        <v>8580</v>
      </c>
      <c r="I2517">
        <v>6</v>
      </c>
      <c r="J2517" t="s">
        <v>445</v>
      </c>
      <c r="K2517" t="s">
        <v>446</v>
      </c>
      <c r="M2517">
        <v>0</v>
      </c>
    </row>
    <row r="2518" spans="1:14">
      <c r="A2518">
        <v>14831000</v>
      </c>
      <c r="B2518">
        <v>3009101</v>
      </c>
      <c r="C2518" t="s">
        <v>1717</v>
      </c>
      <c r="D2518" t="s">
        <v>441</v>
      </c>
      <c r="F2518">
        <v>0</v>
      </c>
      <c r="G2518">
        <v>9.08</v>
      </c>
      <c r="H2518" t="s">
        <v>8580</v>
      </c>
      <c r="I2518">
        <v>6</v>
      </c>
      <c r="J2518" t="s">
        <v>445</v>
      </c>
      <c r="K2518" t="s">
        <v>446</v>
      </c>
      <c r="M2518">
        <v>2312</v>
      </c>
    </row>
    <row r="2519" spans="1:14">
      <c r="A2519">
        <v>14840000</v>
      </c>
      <c r="B2519">
        <v>3015923</v>
      </c>
      <c r="C2519" t="s">
        <v>1718</v>
      </c>
      <c r="D2519" t="s">
        <v>441</v>
      </c>
      <c r="F2519">
        <v>0</v>
      </c>
      <c r="G2519">
        <v>8.2799999999999994</v>
      </c>
      <c r="H2519" t="s">
        <v>8549</v>
      </c>
      <c r="I2519">
        <v>6</v>
      </c>
      <c r="J2519" t="s">
        <v>445</v>
      </c>
      <c r="M2519">
        <v>2391</v>
      </c>
      <c r="N2519" t="s">
        <v>16059</v>
      </c>
    </row>
    <row r="2520" spans="1:14">
      <c r="A2520">
        <v>14840007</v>
      </c>
      <c r="B2520">
        <v>3024899</v>
      </c>
      <c r="C2520" t="s">
        <v>9614</v>
      </c>
      <c r="D2520" t="s">
        <v>441</v>
      </c>
      <c r="F2520">
        <v>0</v>
      </c>
      <c r="G2520">
        <v>10.02</v>
      </c>
      <c r="H2520" t="s">
        <v>8580</v>
      </c>
      <c r="I2520">
        <v>6</v>
      </c>
      <c r="J2520" t="s">
        <v>445</v>
      </c>
      <c r="K2520" t="s">
        <v>446</v>
      </c>
      <c r="M2520">
        <v>3111</v>
      </c>
      <c r="N2520" t="s">
        <v>16059</v>
      </c>
    </row>
    <row r="2521" spans="1:14">
      <c r="A2521">
        <v>14841000</v>
      </c>
      <c r="B2521">
        <v>3017758</v>
      </c>
      <c r="C2521" t="s">
        <v>1719</v>
      </c>
      <c r="D2521" t="s">
        <v>441</v>
      </c>
      <c r="F2521">
        <v>0</v>
      </c>
      <c r="G2521">
        <v>8.2799999999999994</v>
      </c>
      <c r="H2521" t="s">
        <v>8549</v>
      </c>
      <c r="I2521">
        <v>6</v>
      </c>
      <c r="J2521" t="s">
        <v>445</v>
      </c>
      <c r="M2521">
        <v>2391</v>
      </c>
      <c r="N2521" t="s">
        <v>16059</v>
      </c>
    </row>
    <row r="2522" spans="1:14">
      <c r="A2522">
        <v>14841007</v>
      </c>
      <c r="B2522">
        <v>3024900</v>
      </c>
      <c r="C2522" t="s">
        <v>9615</v>
      </c>
      <c r="D2522" t="s">
        <v>441</v>
      </c>
      <c r="F2522">
        <v>0</v>
      </c>
      <c r="G2522">
        <v>11.24</v>
      </c>
      <c r="H2522" t="s">
        <v>8580</v>
      </c>
      <c r="I2522">
        <v>6</v>
      </c>
      <c r="J2522" t="s">
        <v>445</v>
      </c>
      <c r="K2522" t="s">
        <v>446</v>
      </c>
      <c r="M2522">
        <v>3111</v>
      </c>
      <c r="N2522" t="s">
        <v>16059</v>
      </c>
    </row>
    <row r="2523" spans="1:14">
      <c r="A2523">
        <v>14844000</v>
      </c>
      <c r="B2523">
        <v>3035456</v>
      </c>
      <c r="C2523" t="s">
        <v>1720</v>
      </c>
      <c r="D2523" t="s">
        <v>441</v>
      </c>
      <c r="F2523">
        <v>0</v>
      </c>
      <c r="G2523">
        <v>8.2799999999999994</v>
      </c>
      <c r="H2523" t="s">
        <v>8549</v>
      </c>
      <c r="I2523">
        <v>6</v>
      </c>
      <c r="J2523" t="s">
        <v>445</v>
      </c>
      <c r="M2523">
        <v>2391</v>
      </c>
      <c r="N2523" t="s">
        <v>16059</v>
      </c>
    </row>
    <row r="2524" spans="1:14">
      <c r="A2524">
        <v>14850000</v>
      </c>
      <c r="B2524">
        <v>3004413</v>
      </c>
      <c r="C2524" t="s">
        <v>9616</v>
      </c>
      <c r="D2524" t="s">
        <v>441</v>
      </c>
      <c r="F2524">
        <v>0</v>
      </c>
      <c r="G2524">
        <v>7.69</v>
      </c>
      <c r="H2524" t="s">
        <v>8549</v>
      </c>
      <c r="I2524">
        <v>6</v>
      </c>
      <c r="J2524" t="s">
        <v>445</v>
      </c>
      <c r="K2524" t="s">
        <v>446</v>
      </c>
      <c r="M2524">
        <v>0</v>
      </c>
    </row>
    <row r="2525" spans="1:14">
      <c r="A2525">
        <v>14860000</v>
      </c>
      <c r="B2525">
        <v>3004411</v>
      </c>
      <c r="C2525" t="s">
        <v>9617</v>
      </c>
      <c r="D2525" t="s">
        <v>441</v>
      </c>
      <c r="F2525">
        <v>0</v>
      </c>
      <c r="G2525">
        <v>7.88</v>
      </c>
      <c r="H2525" t="s">
        <v>8549</v>
      </c>
      <c r="I2525">
        <v>6</v>
      </c>
      <c r="J2525" t="s">
        <v>445</v>
      </c>
      <c r="K2525" t="s">
        <v>446</v>
      </c>
      <c r="M2525">
        <v>0</v>
      </c>
    </row>
    <row r="2526" spans="1:14">
      <c r="A2526">
        <v>14870000</v>
      </c>
      <c r="B2526">
        <v>3004416</v>
      </c>
      <c r="C2526" t="s">
        <v>9618</v>
      </c>
      <c r="D2526" t="s">
        <v>441</v>
      </c>
      <c r="F2526">
        <v>0</v>
      </c>
      <c r="G2526">
        <v>10.43</v>
      </c>
      <c r="H2526" t="s">
        <v>8584</v>
      </c>
      <c r="I2526">
        <v>6</v>
      </c>
      <c r="J2526" t="s">
        <v>445</v>
      </c>
      <c r="K2526" t="s">
        <v>446</v>
      </c>
      <c r="M2526">
        <v>0</v>
      </c>
    </row>
    <row r="2527" spans="1:14">
      <c r="A2527">
        <v>14871000</v>
      </c>
      <c r="B2527">
        <v>3009102</v>
      </c>
      <c r="C2527" t="s">
        <v>1721</v>
      </c>
      <c r="D2527" t="s">
        <v>441</v>
      </c>
      <c r="F2527">
        <v>0</v>
      </c>
      <c r="G2527">
        <v>10.43</v>
      </c>
      <c r="H2527" t="s">
        <v>8580</v>
      </c>
      <c r="I2527">
        <v>6</v>
      </c>
      <c r="J2527" t="s">
        <v>445</v>
      </c>
      <c r="K2527" t="s">
        <v>446</v>
      </c>
      <c r="M2527">
        <v>2312</v>
      </c>
    </row>
    <row r="2528" spans="1:14">
      <c r="A2528">
        <v>14880000</v>
      </c>
      <c r="B2528">
        <v>3005043</v>
      </c>
      <c r="C2528" t="s">
        <v>9619</v>
      </c>
      <c r="D2528" t="s">
        <v>441</v>
      </c>
      <c r="F2528">
        <v>0</v>
      </c>
      <c r="G2528">
        <v>6.75</v>
      </c>
      <c r="H2528" t="s">
        <v>8549</v>
      </c>
      <c r="I2528">
        <v>6</v>
      </c>
      <c r="J2528" t="s">
        <v>445</v>
      </c>
      <c r="K2528" t="s">
        <v>446</v>
      </c>
      <c r="M2528">
        <v>0</v>
      </c>
    </row>
    <row r="2529" spans="1:14">
      <c r="A2529">
        <v>14920031</v>
      </c>
      <c r="B2529">
        <v>4005539</v>
      </c>
      <c r="C2529" t="s">
        <v>9620</v>
      </c>
      <c r="D2529" t="s">
        <v>442</v>
      </c>
      <c r="E2529" t="s">
        <v>441</v>
      </c>
      <c r="F2529">
        <v>0.8</v>
      </c>
      <c r="G2529">
        <v>10.46</v>
      </c>
      <c r="H2529" t="s">
        <v>8588</v>
      </c>
      <c r="I2529">
        <v>12</v>
      </c>
      <c r="J2529" t="s">
        <v>462</v>
      </c>
      <c r="K2529" t="s">
        <v>446</v>
      </c>
      <c r="M2529">
        <v>2611</v>
      </c>
    </row>
    <row r="2530" spans="1:14">
      <c r="A2530">
        <v>14960031</v>
      </c>
      <c r="B2530">
        <v>4005574</v>
      </c>
      <c r="C2530" t="s">
        <v>9621</v>
      </c>
      <c r="D2530" t="s">
        <v>441</v>
      </c>
      <c r="F2530">
        <v>0</v>
      </c>
      <c r="G2530">
        <v>9.34</v>
      </c>
      <c r="H2530" t="s">
        <v>8588</v>
      </c>
      <c r="I2530">
        <v>12</v>
      </c>
      <c r="J2530" t="s">
        <v>462</v>
      </c>
      <c r="K2530" t="s">
        <v>446</v>
      </c>
      <c r="M2530">
        <v>2611</v>
      </c>
    </row>
    <row r="2531" spans="1:14">
      <c r="A2531">
        <v>15000000</v>
      </c>
      <c r="B2531">
        <v>3018453</v>
      </c>
      <c r="C2531" t="s">
        <v>1722</v>
      </c>
      <c r="D2531" t="s">
        <v>441</v>
      </c>
      <c r="F2531">
        <v>0</v>
      </c>
      <c r="G2531">
        <v>1</v>
      </c>
      <c r="H2531" t="s">
        <v>8935</v>
      </c>
      <c r="I2531">
        <v>6</v>
      </c>
      <c r="J2531" t="s">
        <v>445</v>
      </c>
      <c r="K2531" t="s">
        <v>446</v>
      </c>
      <c r="M2531">
        <v>2211</v>
      </c>
    </row>
    <row r="2532" spans="1:14">
      <c r="A2532">
        <v>15010000</v>
      </c>
      <c r="B2532">
        <v>3014302</v>
      </c>
      <c r="C2532" t="s">
        <v>1723</v>
      </c>
      <c r="D2532" t="s">
        <v>441</v>
      </c>
      <c r="F2532">
        <v>0</v>
      </c>
      <c r="G2532">
        <v>11.62</v>
      </c>
      <c r="I2532">
        <v>6</v>
      </c>
      <c r="J2532" t="s">
        <v>445</v>
      </c>
      <c r="K2532" t="s">
        <v>446</v>
      </c>
      <c r="M2532">
        <v>2390</v>
      </c>
    </row>
    <row r="2533" spans="1:14">
      <c r="A2533">
        <v>15010050</v>
      </c>
      <c r="B2533">
        <v>4010532</v>
      </c>
      <c r="C2533" t="s">
        <v>9622</v>
      </c>
      <c r="D2533" t="s">
        <v>441</v>
      </c>
      <c r="F2533">
        <v>0</v>
      </c>
      <c r="G2533">
        <v>12.95</v>
      </c>
      <c r="H2533" t="s">
        <v>8588</v>
      </c>
      <c r="I2533">
        <v>16</v>
      </c>
      <c r="J2533" t="s">
        <v>462</v>
      </c>
      <c r="K2533" t="s">
        <v>446</v>
      </c>
      <c r="M2533">
        <v>2612</v>
      </c>
    </row>
    <row r="2534" spans="1:14">
      <c r="A2534">
        <v>15011050</v>
      </c>
      <c r="B2534">
        <v>4012043</v>
      </c>
      <c r="C2534" t="s">
        <v>9623</v>
      </c>
      <c r="D2534" t="s">
        <v>441</v>
      </c>
      <c r="F2534">
        <v>0</v>
      </c>
      <c r="G2534">
        <v>12.95</v>
      </c>
      <c r="H2534" t="s">
        <v>8588</v>
      </c>
      <c r="I2534">
        <v>16</v>
      </c>
      <c r="J2534" t="s">
        <v>462</v>
      </c>
      <c r="K2534" t="s">
        <v>446</v>
      </c>
      <c r="M2534">
        <v>2612</v>
      </c>
    </row>
    <row r="2535" spans="1:14">
      <c r="A2535">
        <v>15020000</v>
      </c>
      <c r="B2535">
        <v>3012405</v>
      </c>
      <c r="C2535" t="s">
        <v>1724</v>
      </c>
      <c r="D2535" t="s">
        <v>441</v>
      </c>
      <c r="F2535">
        <v>0</v>
      </c>
      <c r="G2535">
        <v>8.31</v>
      </c>
      <c r="H2535" t="s">
        <v>8580</v>
      </c>
      <c r="I2535">
        <v>6</v>
      </c>
      <c r="J2535" t="s">
        <v>445</v>
      </c>
      <c r="K2535" t="s">
        <v>446</v>
      </c>
      <c r="M2535">
        <v>2390</v>
      </c>
    </row>
    <row r="2536" spans="1:14">
      <c r="A2536">
        <v>15020050</v>
      </c>
      <c r="B2536">
        <v>4009998</v>
      </c>
      <c r="C2536" t="s">
        <v>9624</v>
      </c>
      <c r="D2536" t="s">
        <v>441</v>
      </c>
      <c r="F2536">
        <v>0</v>
      </c>
      <c r="G2536">
        <v>13.07</v>
      </c>
      <c r="H2536" t="s">
        <v>8588</v>
      </c>
      <c r="I2536">
        <v>16</v>
      </c>
      <c r="J2536" t="s">
        <v>462</v>
      </c>
      <c r="K2536" t="s">
        <v>446</v>
      </c>
      <c r="M2536">
        <v>2612</v>
      </c>
      <c r="N2536" t="s">
        <v>16070</v>
      </c>
    </row>
    <row r="2537" spans="1:14">
      <c r="A2537">
        <v>15020051</v>
      </c>
      <c r="B2537">
        <v>4010535</v>
      </c>
      <c r="C2537" t="s">
        <v>9625</v>
      </c>
      <c r="D2537" t="s">
        <v>441</v>
      </c>
      <c r="F2537">
        <v>0</v>
      </c>
      <c r="G2537">
        <v>11.42</v>
      </c>
      <c r="H2537" t="s">
        <v>8588</v>
      </c>
      <c r="I2537">
        <v>16</v>
      </c>
      <c r="J2537" t="s">
        <v>462</v>
      </c>
      <c r="K2537" t="s">
        <v>446</v>
      </c>
      <c r="M2537">
        <v>2612</v>
      </c>
    </row>
    <row r="2538" spans="1:14">
      <c r="A2538">
        <v>15020052</v>
      </c>
      <c r="B2538">
        <v>4015776</v>
      </c>
      <c r="C2538" t="s">
        <v>9626</v>
      </c>
      <c r="D2538" t="s">
        <v>441</v>
      </c>
      <c r="F2538">
        <v>0</v>
      </c>
      <c r="G2538">
        <v>17.39</v>
      </c>
      <c r="H2538" t="s">
        <v>8588</v>
      </c>
      <c r="I2538">
        <v>16</v>
      </c>
      <c r="J2538" t="s">
        <v>462</v>
      </c>
      <c r="K2538" t="s">
        <v>446</v>
      </c>
      <c r="L2538">
        <v>2624860</v>
      </c>
      <c r="M2538">
        <v>2612</v>
      </c>
      <c r="N2538" t="s">
        <v>16070</v>
      </c>
    </row>
    <row r="2539" spans="1:14">
      <c r="A2539">
        <v>15021050</v>
      </c>
      <c r="B2539">
        <v>4012015</v>
      </c>
      <c r="C2539" t="s">
        <v>9627</v>
      </c>
      <c r="D2539" t="s">
        <v>441</v>
      </c>
      <c r="F2539">
        <v>0</v>
      </c>
      <c r="G2539">
        <v>10.16</v>
      </c>
      <c r="H2539" t="s">
        <v>8588</v>
      </c>
      <c r="I2539">
        <v>16</v>
      </c>
      <c r="J2539" t="s">
        <v>462</v>
      </c>
      <c r="K2539" t="s">
        <v>446</v>
      </c>
      <c r="M2539">
        <v>2612</v>
      </c>
    </row>
    <row r="2540" spans="1:14">
      <c r="A2540">
        <v>15021051</v>
      </c>
      <c r="B2540">
        <v>4012044</v>
      </c>
      <c r="C2540" t="s">
        <v>9628</v>
      </c>
      <c r="D2540" t="s">
        <v>441</v>
      </c>
      <c r="F2540">
        <v>0</v>
      </c>
      <c r="G2540">
        <v>10.65</v>
      </c>
      <c r="H2540" t="s">
        <v>8588</v>
      </c>
      <c r="I2540">
        <v>16</v>
      </c>
      <c r="J2540" t="s">
        <v>462</v>
      </c>
      <c r="K2540" t="s">
        <v>446</v>
      </c>
      <c r="M2540">
        <v>2612</v>
      </c>
    </row>
    <row r="2541" spans="1:14">
      <c r="A2541">
        <v>15030000</v>
      </c>
      <c r="B2541">
        <v>3007636</v>
      </c>
      <c r="C2541" t="s">
        <v>1725</v>
      </c>
      <c r="D2541" t="s">
        <v>441</v>
      </c>
      <c r="F2541">
        <v>0</v>
      </c>
      <c r="G2541">
        <v>10.23</v>
      </c>
      <c r="H2541" t="s">
        <v>8588</v>
      </c>
      <c r="I2541">
        <v>6</v>
      </c>
      <c r="J2541" t="s">
        <v>445</v>
      </c>
      <c r="K2541" t="s">
        <v>446</v>
      </c>
      <c r="M2541">
        <v>0</v>
      </c>
      <c r="N2541" t="s">
        <v>16071</v>
      </c>
    </row>
    <row r="2542" spans="1:14">
      <c r="A2542">
        <v>15030007</v>
      </c>
      <c r="B2542">
        <v>3024901</v>
      </c>
      <c r="C2542" t="s">
        <v>1726</v>
      </c>
      <c r="D2542" t="s">
        <v>441</v>
      </c>
      <c r="F2542">
        <v>0</v>
      </c>
      <c r="G2542">
        <v>12.73</v>
      </c>
      <c r="H2542" t="s">
        <v>8580</v>
      </c>
      <c r="I2542">
        <v>6</v>
      </c>
      <c r="J2542" t="s">
        <v>445</v>
      </c>
      <c r="K2542" t="s">
        <v>446</v>
      </c>
      <c r="M2542">
        <v>3111</v>
      </c>
      <c r="N2542" t="s">
        <v>16071</v>
      </c>
    </row>
    <row r="2543" spans="1:14">
      <c r="A2543">
        <v>15030090</v>
      </c>
      <c r="B2543">
        <v>3027640</v>
      </c>
      <c r="C2543" t="s">
        <v>1727</v>
      </c>
      <c r="D2543" t="s">
        <v>441</v>
      </c>
      <c r="F2543">
        <v>0</v>
      </c>
      <c r="H2543" t="s">
        <v>8588</v>
      </c>
      <c r="I2543">
        <v>6</v>
      </c>
      <c r="J2543" t="s">
        <v>445</v>
      </c>
      <c r="M2543">
        <v>7161</v>
      </c>
      <c r="N2543" t="s">
        <v>16072</v>
      </c>
    </row>
    <row r="2544" spans="1:14">
      <c r="A2544">
        <v>15030900</v>
      </c>
      <c r="B2544">
        <v>3020254</v>
      </c>
      <c r="C2544" t="s">
        <v>1728</v>
      </c>
      <c r="D2544" t="s">
        <v>441</v>
      </c>
      <c r="F2544">
        <v>0</v>
      </c>
      <c r="G2544">
        <v>0</v>
      </c>
      <c r="H2544" t="s">
        <v>8584</v>
      </c>
      <c r="I2544">
        <v>6</v>
      </c>
      <c r="J2544" t="s">
        <v>445</v>
      </c>
      <c r="K2544" t="s">
        <v>446</v>
      </c>
      <c r="M2544">
        <v>6666</v>
      </c>
      <c r="N2544" t="s">
        <v>16071</v>
      </c>
    </row>
    <row r="2545" spans="1:14">
      <c r="A2545">
        <v>15030907</v>
      </c>
      <c r="B2545">
        <v>3025161</v>
      </c>
      <c r="C2545" t="s">
        <v>1729</v>
      </c>
      <c r="D2545" t="s">
        <v>441</v>
      </c>
      <c r="F2545">
        <v>0</v>
      </c>
      <c r="G2545">
        <v>0</v>
      </c>
      <c r="H2545" t="s">
        <v>8580</v>
      </c>
      <c r="I2545">
        <v>6</v>
      </c>
      <c r="J2545" t="s">
        <v>445</v>
      </c>
      <c r="K2545" t="s">
        <v>446</v>
      </c>
      <c r="M2545">
        <v>6666</v>
      </c>
      <c r="N2545" t="s">
        <v>16071</v>
      </c>
    </row>
    <row r="2546" spans="1:14">
      <c r="A2546">
        <v>15040000</v>
      </c>
      <c r="B2546">
        <v>3012403</v>
      </c>
      <c r="C2546" t="s">
        <v>1730</v>
      </c>
      <c r="D2546" t="s">
        <v>441</v>
      </c>
      <c r="F2546">
        <v>0</v>
      </c>
      <c r="G2546">
        <v>7.39</v>
      </c>
      <c r="I2546">
        <v>6</v>
      </c>
      <c r="J2546" t="s">
        <v>445</v>
      </c>
      <c r="K2546" t="s">
        <v>446</v>
      </c>
      <c r="M2546">
        <v>2390</v>
      </c>
    </row>
    <row r="2547" spans="1:14">
      <c r="A2547">
        <v>15040050</v>
      </c>
      <c r="B2547">
        <v>4009995</v>
      </c>
      <c r="C2547" t="s">
        <v>14693</v>
      </c>
      <c r="D2547" t="s">
        <v>441</v>
      </c>
      <c r="F2547">
        <v>0</v>
      </c>
      <c r="G2547">
        <v>14</v>
      </c>
      <c r="H2547" t="s">
        <v>8588</v>
      </c>
      <c r="I2547">
        <v>12</v>
      </c>
      <c r="J2547" t="s">
        <v>462</v>
      </c>
      <c r="M2547">
        <v>7112</v>
      </c>
      <c r="N2547" t="s">
        <v>16073</v>
      </c>
    </row>
    <row r="2548" spans="1:14">
      <c r="A2548">
        <v>15040051</v>
      </c>
      <c r="B2548">
        <v>4025032</v>
      </c>
      <c r="C2548" t="s">
        <v>14694</v>
      </c>
      <c r="D2548" t="s">
        <v>441</v>
      </c>
      <c r="F2548">
        <v>0</v>
      </c>
      <c r="G2548">
        <v>14.07</v>
      </c>
      <c r="H2548" t="s">
        <v>8588</v>
      </c>
      <c r="I2548">
        <v>12</v>
      </c>
      <c r="J2548" t="s">
        <v>462</v>
      </c>
      <c r="M2548">
        <v>7112</v>
      </c>
      <c r="N2548" t="s">
        <v>16073</v>
      </c>
    </row>
    <row r="2549" spans="1:14">
      <c r="A2549">
        <v>15040052</v>
      </c>
      <c r="B2549">
        <v>4025259</v>
      </c>
      <c r="C2549" t="s">
        <v>14695</v>
      </c>
      <c r="D2549" t="s">
        <v>441</v>
      </c>
      <c r="F2549">
        <v>0</v>
      </c>
      <c r="G2549">
        <v>13.83</v>
      </c>
      <c r="H2549" t="s">
        <v>8588</v>
      </c>
      <c r="I2549">
        <v>12</v>
      </c>
      <c r="J2549" t="s">
        <v>462</v>
      </c>
      <c r="M2549">
        <v>7112</v>
      </c>
      <c r="N2549" t="s">
        <v>16073</v>
      </c>
    </row>
    <row r="2550" spans="1:14">
      <c r="A2550">
        <v>15050000</v>
      </c>
      <c r="B2550">
        <v>3008850</v>
      </c>
      <c r="C2550" t="s">
        <v>1731</v>
      </c>
      <c r="D2550" t="s">
        <v>441</v>
      </c>
      <c r="F2550">
        <v>0</v>
      </c>
      <c r="G2550">
        <v>9.8800000000000008</v>
      </c>
      <c r="H2550" t="s">
        <v>8549</v>
      </c>
      <c r="I2550">
        <v>6</v>
      </c>
      <c r="J2550" t="s">
        <v>445</v>
      </c>
      <c r="K2550" t="s">
        <v>446</v>
      </c>
      <c r="M2550">
        <v>0</v>
      </c>
    </row>
    <row r="2551" spans="1:14">
      <c r="A2551">
        <v>15060000</v>
      </c>
      <c r="B2551">
        <v>3004462</v>
      </c>
      <c r="C2551" t="s">
        <v>1732</v>
      </c>
      <c r="D2551" t="s">
        <v>441</v>
      </c>
      <c r="F2551">
        <v>0</v>
      </c>
      <c r="G2551">
        <v>6.85</v>
      </c>
      <c r="H2551" t="s">
        <v>8584</v>
      </c>
      <c r="I2551">
        <v>6</v>
      </c>
      <c r="J2551" t="s">
        <v>445</v>
      </c>
      <c r="K2551" t="s">
        <v>446</v>
      </c>
      <c r="M2551">
        <v>2390</v>
      </c>
    </row>
    <row r="2552" spans="1:14">
      <c r="A2552">
        <v>15060080</v>
      </c>
      <c r="B2552">
        <v>4009928</v>
      </c>
      <c r="C2552" t="s">
        <v>1733</v>
      </c>
      <c r="D2552" t="s">
        <v>441</v>
      </c>
      <c r="F2552">
        <v>0</v>
      </c>
      <c r="G2552">
        <v>7.13</v>
      </c>
      <c r="H2552" t="s">
        <v>8588</v>
      </c>
      <c r="I2552">
        <v>6</v>
      </c>
      <c r="J2552" t="s">
        <v>462</v>
      </c>
      <c r="K2552" t="s">
        <v>446</v>
      </c>
      <c r="M2552">
        <v>2641</v>
      </c>
    </row>
    <row r="2553" spans="1:14">
      <c r="A2553">
        <v>15070000</v>
      </c>
      <c r="B2553">
        <v>3009490</v>
      </c>
      <c r="C2553" t="s">
        <v>1734</v>
      </c>
      <c r="D2553" t="s">
        <v>441</v>
      </c>
      <c r="F2553">
        <v>0</v>
      </c>
      <c r="G2553">
        <v>10.78</v>
      </c>
      <c r="H2553" t="s">
        <v>8584</v>
      </c>
      <c r="I2553">
        <v>6</v>
      </c>
      <c r="J2553" t="s">
        <v>445</v>
      </c>
      <c r="K2553" t="s">
        <v>446</v>
      </c>
      <c r="M2553">
        <v>2390</v>
      </c>
    </row>
    <row r="2554" spans="1:14">
      <c r="A2554">
        <v>15070019</v>
      </c>
      <c r="B2554">
        <v>3013569</v>
      </c>
      <c r="C2554" t="s">
        <v>9629</v>
      </c>
      <c r="D2554" t="s">
        <v>441</v>
      </c>
      <c r="F2554">
        <v>0</v>
      </c>
      <c r="G2554">
        <v>11.34</v>
      </c>
      <c r="H2554" t="s">
        <v>8588</v>
      </c>
      <c r="I2554">
        <v>365</v>
      </c>
      <c r="J2554" t="s">
        <v>445</v>
      </c>
      <c r="K2554" t="s">
        <v>446</v>
      </c>
      <c r="M2554">
        <v>2501</v>
      </c>
      <c r="N2554" t="s">
        <v>15977</v>
      </c>
    </row>
    <row r="2555" spans="1:14">
      <c r="A2555">
        <v>15070075</v>
      </c>
      <c r="B2555">
        <v>4012351</v>
      </c>
      <c r="C2555" t="s">
        <v>9630</v>
      </c>
      <c r="D2555" t="s">
        <v>441</v>
      </c>
      <c r="F2555">
        <v>0</v>
      </c>
      <c r="G2555">
        <v>11.14</v>
      </c>
      <c r="H2555" t="s">
        <v>8588</v>
      </c>
      <c r="I2555">
        <v>6</v>
      </c>
      <c r="J2555" t="s">
        <v>462</v>
      </c>
      <c r="K2555" t="s">
        <v>446</v>
      </c>
      <c r="M2555">
        <v>2641</v>
      </c>
      <c r="N2555" t="s">
        <v>15977</v>
      </c>
    </row>
    <row r="2556" spans="1:14">
      <c r="A2556">
        <v>15070100</v>
      </c>
      <c r="B2556">
        <v>3014631</v>
      </c>
      <c r="C2556" t="s">
        <v>1735</v>
      </c>
      <c r="D2556" t="s">
        <v>441</v>
      </c>
      <c r="F2556">
        <v>0</v>
      </c>
      <c r="G2556">
        <v>12.82</v>
      </c>
      <c r="H2556" t="s">
        <v>8588</v>
      </c>
      <c r="I2556">
        <v>265</v>
      </c>
      <c r="J2556" t="s">
        <v>445</v>
      </c>
      <c r="K2556" t="s">
        <v>446</v>
      </c>
      <c r="M2556">
        <v>7161</v>
      </c>
    </row>
    <row r="2557" spans="1:14">
      <c r="A2557">
        <v>15070102</v>
      </c>
      <c r="B2557">
        <v>3014638</v>
      </c>
      <c r="C2557" t="s">
        <v>9631</v>
      </c>
      <c r="D2557" t="s">
        <v>441</v>
      </c>
      <c r="F2557">
        <v>0</v>
      </c>
      <c r="H2557" t="s">
        <v>8588</v>
      </c>
      <c r="I2557">
        <v>265</v>
      </c>
      <c r="J2557" t="s">
        <v>445</v>
      </c>
      <c r="K2557" t="s">
        <v>446</v>
      </c>
      <c r="M2557">
        <v>3741</v>
      </c>
      <c r="N2557" t="s">
        <v>15977</v>
      </c>
    </row>
    <row r="2558" spans="1:14">
      <c r="A2558">
        <v>15070519</v>
      </c>
      <c r="B2558">
        <v>3013566</v>
      </c>
      <c r="C2558" t="s">
        <v>9632</v>
      </c>
      <c r="D2558" t="s">
        <v>441</v>
      </c>
      <c r="F2558">
        <v>0</v>
      </c>
      <c r="G2558">
        <v>11.07</v>
      </c>
      <c r="H2558" t="s">
        <v>8584</v>
      </c>
      <c r="I2558">
        <v>365</v>
      </c>
      <c r="J2558" t="s">
        <v>445</v>
      </c>
      <c r="K2558" t="s">
        <v>446</v>
      </c>
      <c r="M2558">
        <v>2641</v>
      </c>
      <c r="N2558" t="s">
        <v>15977</v>
      </c>
    </row>
    <row r="2559" spans="1:14">
      <c r="A2559">
        <v>15070619</v>
      </c>
      <c r="B2559">
        <v>3013567</v>
      </c>
      <c r="C2559" t="s">
        <v>1736</v>
      </c>
      <c r="D2559" t="s">
        <v>441</v>
      </c>
      <c r="F2559">
        <v>0</v>
      </c>
      <c r="G2559">
        <v>11.75</v>
      </c>
      <c r="H2559" t="s">
        <v>8588</v>
      </c>
      <c r="I2559">
        <v>4</v>
      </c>
      <c r="J2559" t="s">
        <v>445</v>
      </c>
      <c r="K2559" t="s">
        <v>446</v>
      </c>
      <c r="M2559">
        <v>2511</v>
      </c>
      <c r="N2559" t="s">
        <v>15977</v>
      </c>
    </row>
    <row r="2560" spans="1:14">
      <c r="A2560">
        <v>15070919</v>
      </c>
      <c r="B2560">
        <v>3020255</v>
      </c>
      <c r="C2560" t="s">
        <v>1737</v>
      </c>
      <c r="D2560" t="s">
        <v>441</v>
      </c>
      <c r="F2560">
        <v>0</v>
      </c>
      <c r="G2560">
        <v>7.82</v>
      </c>
      <c r="H2560" t="s">
        <v>8584</v>
      </c>
      <c r="I2560">
        <v>4</v>
      </c>
      <c r="J2560" t="s">
        <v>445</v>
      </c>
      <c r="K2560" t="s">
        <v>446</v>
      </c>
      <c r="M2560">
        <v>6666</v>
      </c>
      <c r="N2560" t="s">
        <v>15977</v>
      </c>
    </row>
    <row r="2561" spans="1:14">
      <c r="A2561">
        <v>15071019</v>
      </c>
      <c r="B2561">
        <v>3017559</v>
      </c>
      <c r="C2561" t="s">
        <v>9633</v>
      </c>
      <c r="D2561" t="s">
        <v>441</v>
      </c>
      <c r="F2561">
        <v>0</v>
      </c>
      <c r="G2561">
        <v>11.34</v>
      </c>
      <c r="H2561" t="s">
        <v>8580</v>
      </c>
      <c r="I2561">
        <v>365</v>
      </c>
      <c r="J2561" t="s">
        <v>445</v>
      </c>
      <c r="K2561" t="s">
        <v>446</v>
      </c>
      <c r="M2561">
        <v>2501</v>
      </c>
      <c r="N2561" t="s">
        <v>15977</v>
      </c>
    </row>
    <row r="2562" spans="1:14">
      <c r="A2562">
        <v>15071075</v>
      </c>
      <c r="B2562">
        <v>4012340</v>
      </c>
      <c r="C2562" t="s">
        <v>9634</v>
      </c>
      <c r="D2562" t="s">
        <v>441</v>
      </c>
      <c r="F2562">
        <v>0</v>
      </c>
      <c r="G2562">
        <v>11.08</v>
      </c>
      <c r="H2562" t="s">
        <v>8588</v>
      </c>
      <c r="I2562">
        <v>6</v>
      </c>
      <c r="J2562" t="s">
        <v>462</v>
      </c>
      <c r="K2562" t="s">
        <v>446</v>
      </c>
      <c r="M2562">
        <v>2641</v>
      </c>
      <c r="N2562" t="s">
        <v>15977</v>
      </c>
    </row>
    <row r="2563" spans="1:14">
      <c r="A2563">
        <v>15071519</v>
      </c>
      <c r="B2563">
        <v>3017558</v>
      </c>
      <c r="C2563" t="s">
        <v>9635</v>
      </c>
      <c r="D2563" t="s">
        <v>441</v>
      </c>
      <c r="F2563">
        <v>0</v>
      </c>
      <c r="G2563">
        <v>11.06</v>
      </c>
      <c r="H2563" t="s">
        <v>8580</v>
      </c>
      <c r="I2563">
        <v>365</v>
      </c>
      <c r="J2563" t="s">
        <v>445</v>
      </c>
      <c r="K2563" t="s">
        <v>446</v>
      </c>
      <c r="M2563">
        <v>2641</v>
      </c>
      <c r="N2563" t="s">
        <v>15977</v>
      </c>
    </row>
    <row r="2564" spans="1:14">
      <c r="A2564">
        <v>15080000</v>
      </c>
      <c r="B2564">
        <v>3013487</v>
      </c>
      <c r="C2564" t="s">
        <v>1738</v>
      </c>
      <c r="D2564" t="s">
        <v>441</v>
      </c>
      <c r="F2564">
        <v>0</v>
      </c>
      <c r="G2564">
        <v>7.65</v>
      </c>
      <c r="H2564" t="s">
        <v>8580</v>
      </c>
      <c r="I2564">
        <v>6</v>
      </c>
      <c r="J2564" t="s">
        <v>445</v>
      </c>
      <c r="K2564" t="s">
        <v>446</v>
      </c>
      <c r="M2564">
        <v>2390</v>
      </c>
    </row>
    <row r="2565" spans="1:14">
      <c r="A2565">
        <v>15080028</v>
      </c>
      <c r="B2565">
        <v>4010076</v>
      </c>
      <c r="C2565" t="s">
        <v>9636</v>
      </c>
      <c r="D2565" t="s">
        <v>441</v>
      </c>
      <c r="F2565">
        <v>0</v>
      </c>
      <c r="G2565">
        <v>11.07</v>
      </c>
      <c r="H2565" t="s">
        <v>8588</v>
      </c>
      <c r="I2565">
        <v>365</v>
      </c>
      <c r="J2565" t="s">
        <v>462</v>
      </c>
      <c r="K2565" t="s">
        <v>446</v>
      </c>
      <c r="L2565" t="s">
        <v>9637</v>
      </c>
      <c r="M2565">
        <v>2501</v>
      </c>
      <c r="N2565" t="s">
        <v>16074</v>
      </c>
    </row>
    <row r="2566" spans="1:14">
      <c r="A2566">
        <v>15080528</v>
      </c>
      <c r="B2566">
        <v>3013490</v>
      </c>
      <c r="C2566" t="s">
        <v>9638</v>
      </c>
      <c r="D2566" t="s">
        <v>441</v>
      </c>
      <c r="F2566">
        <v>0</v>
      </c>
      <c r="G2566">
        <v>10.89</v>
      </c>
      <c r="H2566" t="s">
        <v>8584</v>
      </c>
      <c r="I2566">
        <v>365</v>
      </c>
      <c r="J2566" t="s">
        <v>445</v>
      </c>
      <c r="K2566" t="s">
        <v>446</v>
      </c>
      <c r="M2566">
        <v>2641</v>
      </c>
      <c r="N2566" t="s">
        <v>16074</v>
      </c>
    </row>
    <row r="2567" spans="1:14">
      <c r="A2567">
        <v>15081028</v>
      </c>
      <c r="B2567">
        <v>4012023</v>
      </c>
      <c r="C2567" t="s">
        <v>9639</v>
      </c>
      <c r="D2567" t="s">
        <v>441</v>
      </c>
      <c r="F2567">
        <v>0</v>
      </c>
      <c r="G2567">
        <v>11.07</v>
      </c>
      <c r="H2567" t="s">
        <v>8588</v>
      </c>
      <c r="I2567">
        <v>365</v>
      </c>
      <c r="J2567" t="s">
        <v>462</v>
      </c>
      <c r="K2567" t="s">
        <v>446</v>
      </c>
      <c r="M2567">
        <v>2501</v>
      </c>
      <c r="N2567" t="s">
        <v>16074</v>
      </c>
    </row>
    <row r="2568" spans="1:14">
      <c r="A2568">
        <v>15081528</v>
      </c>
      <c r="B2568">
        <v>3017554</v>
      </c>
      <c r="C2568" t="s">
        <v>9640</v>
      </c>
      <c r="D2568" t="s">
        <v>441</v>
      </c>
      <c r="F2568">
        <v>0</v>
      </c>
      <c r="G2568">
        <v>10.89</v>
      </c>
      <c r="H2568" t="s">
        <v>8627</v>
      </c>
      <c r="I2568">
        <v>365</v>
      </c>
      <c r="J2568" t="s">
        <v>445</v>
      </c>
      <c r="K2568" t="s">
        <v>446</v>
      </c>
      <c r="M2568">
        <v>2641</v>
      </c>
      <c r="N2568" t="s">
        <v>16074</v>
      </c>
    </row>
    <row r="2569" spans="1:14">
      <c r="A2569">
        <v>15090000</v>
      </c>
      <c r="B2569">
        <v>3008801</v>
      </c>
      <c r="C2569" t="s">
        <v>1739</v>
      </c>
      <c r="D2569" t="s">
        <v>441</v>
      </c>
      <c r="F2569">
        <v>0</v>
      </c>
      <c r="G2569">
        <v>10.18</v>
      </c>
      <c r="H2569" t="s">
        <v>8580</v>
      </c>
      <c r="I2569">
        <v>6</v>
      </c>
      <c r="J2569" t="s">
        <v>445</v>
      </c>
      <c r="K2569" t="s">
        <v>446</v>
      </c>
      <c r="M2569">
        <v>2390</v>
      </c>
    </row>
    <row r="2570" spans="1:14">
      <c r="A2570">
        <v>15090002</v>
      </c>
      <c r="B2570">
        <v>3009011</v>
      </c>
      <c r="C2570" t="s">
        <v>9641</v>
      </c>
      <c r="D2570" t="s">
        <v>441</v>
      </c>
      <c r="F2570">
        <v>0</v>
      </c>
      <c r="G2570">
        <v>10.58</v>
      </c>
      <c r="H2570" t="s">
        <v>8580</v>
      </c>
      <c r="I2570">
        <v>540</v>
      </c>
      <c r="J2570" t="s">
        <v>445</v>
      </c>
      <c r="K2570" t="s">
        <v>446</v>
      </c>
      <c r="M2570">
        <v>2501</v>
      </c>
    </row>
    <row r="2571" spans="1:14">
      <c r="A2571">
        <v>15090502</v>
      </c>
      <c r="B2571">
        <v>3009015</v>
      </c>
      <c r="C2571" t="s">
        <v>1740</v>
      </c>
      <c r="D2571" t="s">
        <v>441</v>
      </c>
      <c r="F2571">
        <v>0</v>
      </c>
      <c r="G2571">
        <v>10.34</v>
      </c>
      <c r="H2571" t="s">
        <v>8580</v>
      </c>
      <c r="I2571">
        <v>6</v>
      </c>
      <c r="J2571" t="s">
        <v>445</v>
      </c>
      <c r="K2571" t="s">
        <v>446</v>
      </c>
      <c r="M2571">
        <v>2641</v>
      </c>
    </row>
    <row r="2572" spans="1:14">
      <c r="A2572">
        <v>15090602</v>
      </c>
      <c r="B2572">
        <v>3009016</v>
      </c>
      <c r="C2572" t="s">
        <v>1741</v>
      </c>
      <c r="D2572" t="s">
        <v>441</v>
      </c>
      <c r="F2572">
        <v>0</v>
      </c>
      <c r="G2572">
        <v>11.26</v>
      </c>
      <c r="H2572" t="s">
        <v>8580</v>
      </c>
      <c r="I2572">
        <v>4</v>
      </c>
      <c r="J2572" t="s">
        <v>445</v>
      </c>
      <c r="K2572" t="s">
        <v>446</v>
      </c>
      <c r="M2572">
        <v>2511</v>
      </c>
    </row>
    <row r="2573" spans="1:14">
      <c r="A2573">
        <v>15091002</v>
      </c>
      <c r="B2573">
        <v>3017435</v>
      </c>
      <c r="C2573" t="s">
        <v>9642</v>
      </c>
      <c r="D2573" t="s">
        <v>441</v>
      </c>
      <c r="F2573">
        <v>0</v>
      </c>
      <c r="G2573">
        <v>9.5299999999999994</v>
      </c>
      <c r="H2573" t="s">
        <v>8624</v>
      </c>
      <c r="I2573">
        <v>365</v>
      </c>
      <c r="J2573" t="s">
        <v>445</v>
      </c>
      <c r="K2573" t="s">
        <v>446</v>
      </c>
      <c r="M2573">
        <v>2501</v>
      </c>
    </row>
    <row r="2574" spans="1:14">
      <c r="A2574">
        <v>15091502</v>
      </c>
      <c r="B2574">
        <v>3017437</v>
      </c>
      <c r="C2574" t="s">
        <v>9643</v>
      </c>
      <c r="D2574" t="s">
        <v>441</v>
      </c>
      <c r="F2574">
        <v>0</v>
      </c>
      <c r="G2574">
        <v>9.27</v>
      </c>
      <c r="H2574" t="s">
        <v>8624</v>
      </c>
      <c r="I2574">
        <v>6</v>
      </c>
      <c r="J2574" t="s">
        <v>445</v>
      </c>
      <c r="K2574" t="s">
        <v>446</v>
      </c>
      <c r="M2574">
        <v>2641</v>
      </c>
    </row>
    <row r="2575" spans="1:14">
      <c r="A2575">
        <v>15100000</v>
      </c>
      <c r="B2575">
        <v>3014425</v>
      </c>
      <c r="C2575" t="s">
        <v>1742</v>
      </c>
      <c r="D2575" t="s">
        <v>441</v>
      </c>
      <c r="F2575">
        <v>0</v>
      </c>
      <c r="G2575">
        <v>8.99</v>
      </c>
      <c r="H2575" t="s">
        <v>8580</v>
      </c>
      <c r="I2575">
        <v>6</v>
      </c>
      <c r="J2575" t="s">
        <v>445</v>
      </c>
      <c r="K2575" t="s">
        <v>446</v>
      </c>
      <c r="M2575">
        <v>2390</v>
      </c>
    </row>
    <row r="2576" spans="1:14">
      <c r="A2576">
        <v>15100002</v>
      </c>
      <c r="B2576">
        <v>3014465</v>
      </c>
      <c r="C2576" t="s">
        <v>1743</v>
      </c>
      <c r="D2576" t="s">
        <v>441</v>
      </c>
      <c r="F2576">
        <v>0</v>
      </c>
      <c r="G2576">
        <v>11.17</v>
      </c>
      <c r="H2576" t="s">
        <v>8588</v>
      </c>
      <c r="I2576">
        <v>540</v>
      </c>
      <c r="J2576" t="s">
        <v>445</v>
      </c>
      <c r="K2576" t="s">
        <v>446</v>
      </c>
      <c r="M2576">
        <v>2501</v>
      </c>
      <c r="N2576" t="s">
        <v>15976</v>
      </c>
    </row>
    <row r="2577" spans="1:14">
      <c r="A2577">
        <v>15100502</v>
      </c>
      <c r="B2577">
        <v>3014487</v>
      </c>
      <c r="C2577" t="s">
        <v>1744</v>
      </c>
      <c r="D2577" t="s">
        <v>441</v>
      </c>
      <c r="F2577">
        <v>0</v>
      </c>
      <c r="G2577">
        <v>10.9</v>
      </c>
      <c r="I2577">
        <v>540</v>
      </c>
      <c r="J2577" t="s">
        <v>445</v>
      </c>
      <c r="K2577" t="s">
        <v>446</v>
      </c>
      <c r="M2577">
        <v>2641</v>
      </c>
      <c r="N2577" t="s">
        <v>15976</v>
      </c>
    </row>
    <row r="2578" spans="1:14">
      <c r="A2578">
        <v>15100602</v>
      </c>
      <c r="B2578">
        <v>3014464</v>
      </c>
      <c r="C2578" t="s">
        <v>1745</v>
      </c>
      <c r="D2578" t="s">
        <v>441</v>
      </c>
      <c r="F2578">
        <v>0</v>
      </c>
      <c r="G2578">
        <v>11.51</v>
      </c>
      <c r="H2578" t="s">
        <v>8588</v>
      </c>
      <c r="I2578">
        <v>4</v>
      </c>
      <c r="J2578" t="s">
        <v>445</v>
      </c>
      <c r="K2578" t="s">
        <v>446</v>
      </c>
      <c r="M2578">
        <v>2511</v>
      </c>
      <c r="N2578" t="s">
        <v>15976</v>
      </c>
    </row>
    <row r="2579" spans="1:14">
      <c r="A2579">
        <v>15100902</v>
      </c>
      <c r="B2579">
        <v>3020256</v>
      </c>
      <c r="C2579" t="s">
        <v>1746</v>
      </c>
      <c r="D2579" t="s">
        <v>441</v>
      </c>
      <c r="F2579">
        <v>0</v>
      </c>
      <c r="H2579" t="s">
        <v>8584</v>
      </c>
      <c r="I2579">
        <v>4</v>
      </c>
      <c r="J2579" t="s">
        <v>445</v>
      </c>
      <c r="K2579" t="s">
        <v>446</v>
      </c>
      <c r="M2579">
        <v>6666</v>
      </c>
      <c r="N2579" t="s">
        <v>15976</v>
      </c>
    </row>
    <row r="2580" spans="1:14">
      <c r="A2580">
        <v>15105000</v>
      </c>
      <c r="B2580">
        <v>3014714</v>
      </c>
      <c r="C2580" t="s">
        <v>1747</v>
      </c>
      <c r="D2580" t="s">
        <v>441</v>
      </c>
      <c r="F2580">
        <v>0</v>
      </c>
      <c r="G2580">
        <v>7.53</v>
      </c>
      <c r="I2580">
        <v>6</v>
      </c>
      <c r="J2580" t="s">
        <v>445</v>
      </c>
      <c r="K2580" t="s">
        <v>446</v>
      </c>
      <c r="M2580">
        <v>2390</v>
      </c>
    </row>
    <row r="2581" spans="1:14">
      <c r="A2581">
        <v>15110000</v>
      </c>
      <c r="B2581">
        <v>3015880</v>
      </c>
      <c r="C2581" t="s">
        <v>1748</v>
      </c>
      <c r="D2581" t="s">
        <v>441</v>
      </c>
      <c r="F2581">
        <v>0</v>
      </c>
      <c r="G2581">
        <v>10.3</v>
      </c>
      <c r="H2581" t="s">
        <v>8549</v>
      </c>
      <c r="I2581">
        <v>6</v>
      </c>
      <c r="J2581" t="s">
        <v>445</v>
      </c>
      <c r="M2581">
        <v>2391</v>
      </c>
      <c r="N2581" t="s">
        <v>16075</v>
      </c>
    </row>
    <row r="2582" spans="1:14">
      <c r="A2582">
        <v>15110025</v>
      </c>
      <c r="B2582">
        <v>4028396</v>
      </c>
      <c r="C2582" t="s">
        <v>1749</v>
      </c>
      <c r="D2582" t="s">
        <v>441</v>
      </c>
      <c r="F2582">
        <v>0</v>
      </c>
      <c r="G2582">
        <v>11.26</v>
      </c>
      <c r="H2582" t="s">
        <v>8588</v>
      </c>
      <c r="I2582">
        <v>540</v>
      </c>
      <c r="J2582" t="s">
        <v>462</v>
      </c>
      <c r="M2582">
        <v>7111</v>
      </c>
      <c r="N2582" t="s">
        <v>16075</v>
      </c>
    </row>
    <row r="2583" spans="1:14">
      <c r="A2583">
        <v>15110028</v>
      </c>
      <c r="B2583">
        <v>4008810</v>
      </c>
      <c r="C2583" t="s">
        <v>1750</v>
      </c>
      <c r="D2583" t="s">
        <v>441</v>
      </c>
      <c r="F2583">
        <v>0</v>
      </c>
      <c r="G2583">
        <v>5.78</v>
      </c>
      <c r="H2583" t="s">
        <v>8588</v>
      </c>
      <c r="I2583">
        <v>365</v>
      </c>
      <c r="J2583" t="s">
        <v>462</v>
      </c>
      <c r="K2583" t="s">
        <v>446</v>
      </c>
      <c r="M2583">
        <v>2501</v>
      </c>
    </row>
    <row r="2584" spans="1:14">
      <c r="A2584">
        <v>15110076</v>
      </c>
      <c r="B2584">
        <v>4022647</v>
      </c>
      <c r="C2584" t="s">
        <v>14696</v>
      </c>
      <c r="D2584" t="s">
        <v>441</v>
      </c>
      <c r="F2584">
        <v>0</v>
      </c>
      <c r="G2584">
        <v>10.48</v>
      </c>
      <c r="H2584" t="s">
        <v>8588</v>
      </c>
      <c r="I2584">
        <v>6</v>
      </c>
      <c r="J2584" t="s">
        <v>462</v>
      </c>
      <c r="M2584">
        <v>7112</v>
      </c>
      <c r="N2584" t="s">
        <v>16075</v>
      </c>
    </row>
    <row r="2585" spans="1:14">
      <c r="A2585">
        <v>15110080</v>
      </c>
      <c r="B2585">
        <v>3020981</v>
      </c>
      <c r="C2585" t="s">
        <v>1751</v>
      </c>
      <c r="D2585" t="s">
        <v>441</v>
      </c>
      <c r="F2585">
        <v>0</v>
      </c>
      <c r="G2585">
        <v>8.99</v>
      </c>
      <c r="H2585" t="s">
        <v>8588</v>
      </c>
      <c r="I2585">
        <v>6</v>
      </c>
      <c r="J2585" t="s">
        <v>445</v>
      </c>
      <c r="K2585" t="s">
        <v>446</v>
      </c>
      <c r="M2585">
        <v>2641</v>
      </c>
      <c r="N2585" t="s">
        <v>16076</v>
      </c>
    </row>
    <row r="2586" spans="1:14">
      <c r="A2586">
        <v>15110081</v>
      </c>
      <c r="B2586">
        <v>4029085</v>
      </c>
      <c r="C2586" t="s">
        <v>14697</v>
      </c>
      <c r="D2586" t="s">
        <v>441</v>
      </c>
      <c r="F2586">
        <v>0</v>
      </c>
      <c r="G2586">
        <v>10.5</v>
      </c>
      <c r="H2586" t="s">
        <v>8588</v>
      </c>
      <c r="I2586">
        <v>6</v>
      </c>
      <c r="J2586" t="s">
        <v>462</v>
      </c>
      <c r="M2586">
        <v>7112</v>
      </c>
      <c r="N2586" t="s">
        <v>16075</v>
      </c>
    </row>
    <row r="2587" spans="1:14">
      <c r="A2587">
        <v>15110100</v>
      </c>
      <c r="B2587">
        <v>3033901</v>
      </c>
      <c r="C2587" t="s">
        <v>1752</v>
      </c>
      <c r="D2587" t="s">
        <v>441</v>
      </c>
      <c r="F2587">
        <v>0</v>
      </c>
      <c r="H2587" t="s">
        <v>8588</v>
      </c>
      <c r="I2587">
        <v>6</v>
      </c>
      <c r="J2587" t="s">
        <v>445</v>
      </c>
      <c r="K2587" t="s">
        <v>446</v>
      </c>
      <c r="M2587">
        <v>0</v>
      </c>
      <c r="N2587" t="s">
        <v>16076</v>
      </c>
    </row>
    <row r="2588" spans="1:14">
      <c r="A2588">
        <v>15110110</v>
      </c>
      <c r="B2588">
        <v>3038563</v>
      </c>
      <c r="C2588" t="s">
        <v>1753</v>
      </c>
      <c r="D2588" t="s">
        <v>441</v>
      </c>
      <c r="F2588">
        <v>0</v>
      </c>
      <c r="G2588">
        <v>7.23</v>
      </c>
      <c r="H2588" t="s">
        <v>8549</v>
      </c>
      <c r="I2588">
        <v>6</v>
      </c>
      <c r="J2588" t="s">
        <v>445</v>
      </c>
      <c r="M2588">
        <v>7161</v>
      </c>
      <c r="N2588" t="s">
        <v>16075</v>
      </c>
    </row>
    <row r="2589" spans="1:14">
      <c r="A2589">
        <v>15110525</v>
      </c>
      <c r="B2589">
        <v>3043167</v>
      </c>
      <c r="C2589" t="s">
        <v>1754</v>
      </c>
      <c r="D2589" t="s">
        <v>441</v>
      </c>
      <c r="F2589">
        <v>0</v>
      </c>
      <c r="G2589">
        <v>10.78</v>
      </c>
      <c r="H2589" t="s">
        <v>8588</v>
      </c>
      <c r="I2589">
        <v>540</v>
      </c>
      <c r="J2589" t="s">
        <v>445</v>
      </c>
      <c r="M2589">
        <v>2502</v>
      </c>
      <c r="N2589" t="s">
        <v>16075</v>
      </c>
    </row>
    <row r="2590" spans="1:14">
      <c r="A2590">
        <v>15110528</v>
      </c>
      <c r="B2590">
        <v>3009561</v>
      </c>
      <c r="C2590" t="s">
        <v>9644</v>
      </c>
      <c r="D2590" t="s">
        <v>441</v>
      </c>
      <c r="F2590">
        <v>0</v>
      </c>
      <c r="G2590">
        <v>5.53</v>
      </c>
      <c r="I2590">
        <v>6</v>
      </c>
      <c r="J2590" t="s">
        <v>445</v>
      </c>
      <c r="K2590" t="s">
        <v>446</v>
      </c>
      <c r="M2590">
        <v>2641</v>
      </c>
    </row>
    <row r="2591" spans="1:14">
      <c r="A2591">
        <v>15111000</v>
      </c>
      <c r="B2591">
        <v>3009298</v>
      </c>
      <c r="C2591" t="s">
        <v>1755</v>
      </c>
      <c r="D2591" t="s">
        <v>441</v>
      </c>
      <c r="F2591">
        <v>0</v>
      </c>
      <c r="G2591">
        <v>5.42</v>
      </c>
      <c r="H2591" t="s">
        <v>8925</v>
      </c>
      <c r="I2591">
        <v>6</v>
      </c>
      <c r="J2591" t="s">
        <v>445</v>
      </c>
      <c r="K2591" t="s">
        <v>446</v>
      </c>
      <c r="M2591">
        <v>2314</v>
      </c>
    </row>
    <row r="2592" spans="1:14">
      <c r="A2592">
        <v>15111528</v>
      </c>
      <c r="B2592">
        <v>3017451</v>
      </c>
      <c r="C2592" t="s">
        <v>9645</v>
      </c>
      <c r="D2592" t="s">
        <v>441</v>
      </c>
      <c r="F2592">
        <v>0</v>
      </c>
      <c r="G2592">
        <v>6.75</v>
      </c>
      <c r="H2592" t="s">
        <v>8580</v>
      </c>
      <c r="I2592">
        <v>6</v>
      </c>
      <c r="J2592" t="s">
        <v>445</v>
      </c>
      <c r="K2592" t="s">
        <v>446</v>
      </c>
      <c r="M2592">
        <v>2641</v>
      </c>
      <c r="N2592" t="s">
        <v>16076</v>
      </c>
    </row>
    <row r="2593" spans="1:14">
      <c r="A2593">
        <v>15116000</v>
      </c>
      <c r="B2593">
        <v>3009570</v>
      </c>
      <c r="C2593" t="s">
        <v>1756</v>
      </c>
      <c r="D2593" t="s">
        <v>441</v>
      </c>
      <c r="F2593">
        <v>0</v>
      </c>
      <c r="G2593">
        <v>5.43</v>
      </c>
      <c r="H2593" t="s">
        <v>8627</v>
      </c>
      <c r="I2593">
        <v>6</v>
      </c>
      <c r="J2593" t="s">
        <v>445</v>
      </c>
      <c r="K2593" t="s">
        <v>446</v>
      </c>
      <c r="M2593">
        <v>2390</v>
      </c>
    </row>
    <row r="2594" spans="1:14">
      <c r="A2594">
        <v>15117000</v>
      </c>
      <c r="B2594">
        <v>3012267</v>
      </c>
      <c r="C2594" t="s">
        <v>1757</v>
      </c>
      <c r="D2594" t="s">
        <v>441</v>
      </c>
      <c r="F2594">
        <v>0</v>
      </c>
      <c r="G2594">
        <v>5.28</v>
      </c>
      <c r="H2594" t="s">
        <v>8925</v>
      </c>
      <c r="I2594">
        <v>6</v>
      </c>
      <c r="J2594" t="s">
        <v>445</v>
      </c>
      <c r="K2594" t="s">
        <v>446</v>
      </c>
      <c r="M2594">
        <v>2390</v>
      </c>
    </row>
    <row r="2595" spans="1:14">
      <c r="A2595">
        <v>15120000</v>
      </c>
      <c r="B2595">
        <v>3004234</v>
      </c>
      <c r="C2595" t="s">
        <v>1758</v>
      </c>
      <c r="D2595" t="s">
        <v>441</v>
      </c>
      <c r="F2595">
        <v>0</v>
      </c>
      <c r="G2595">
        <v>5.32</v>
      </c>
      <c r="H2595" t="s">
        <v>8925</v>
      </c>
      <c r="I2595">
        <v>6</v>
      </c>
      <c r="J2595" t="s">
        <v>445</v>
      </c>
      <c r="K2595" t="s">
        <v>446</v>
      </c>
      <c r="M2595">
        <v>0</v>
      </c>
    </row>
    <row r="2596" spans="1:14">
      <c r="A2596">
        <v>15121000</v>
      </c>
      <c r="B2596">
        <v>3009324</v>
      </c>
      <c r="C2596" t="s">
        <v>1759</v>
      </c>
      <c r="D2596" t="s">
        <v>441</v>
      </c>
      <c r="F2596">
        <v>0</v>
      </c>
      <c r="G2596">
        <v>5.58</v>
      </c>
      <c r="H2596" t="s">
        <v>8925</v>
      </c>
      <c r="I2596">
        <v>6</v>
      </c>
      <c r="J2596" t="s">
        <v>445</v>
      </c>
      <c r="K2596" t="s">
        <v>446</v>
      </c>
      <c r="M2596">
        <v>2314</v>
      </c>
    </row>
    <row r="2597" spans="1:14">
      <c r="A2597">
        <v>15127000</v>
      </c>
      <c r="B2597">
        <v>3012268</v>
      </c>
      <c r="C2597" t="s">
        <v>1760</v>
      </c>
      <c r="D2597" t="s">
        <v>441</v>
      </c>
      <c r="F2597">
        <v>0</v>
      </c>
      <c r="G2597">
        <v>5.41</v>
      </c>
      <c r="H2597" t="s">
        <v>8925</v>
      </c>
      <c r="I2597">
        <v>6</v>
      </c>
      <c r="J2597" t="s">
        <v>445</v>
      </c>
      <c r="K2597" t="s">
        <v>446</v>
      </c>
      <c r="M2597">
        <v>2390</v>
      </c>
    </row>
    <row r="2598" spans="1:14">
      <c r="A2598">
        <v>15130000</v>
      </c>
      <c r="B2598">
        <v>3004236</v>
      </c>
      <c r="C2598" t="s">
        <v>1761</v>
      </c>
      <c r="D2598" t="s">
        <v>441</v>
      </c>
      <c r="F2598">
        <v>0</v>
      </c>
      <c r="G2598">
        <v>4.8</v>
      </c>
      <c r="H2598" t="s">
        <v>8925</v>
      </c>
      <c r="I2598">
        <v>6</v>
      </c>
      <c r="J2598" t="s">
        <v>445</v>
      </c>
      <c r="K2598" t="s">
        <v>446</v>
      </c>
      <c r="M2598">
        <v>0</v>
      </c>
    </row>
    <row r="2599" spans="1:14">
      <c r="A2599">
        <v>15131000</v>
      </c>
      <c r="B2599">
        <v>3009323</v>
      </c>
      <c r="C2599" t="s">
        <v>1762</v>
      </c>
      <c r="D2599" t="s">
        <v>441</v>
      </c>
      <c r="F2599">
        <v>0</v>
      </c>
      <c r="G2599">
        <v>4.8</v>
      </c>
      <c r="H2599" t="s">
        <v>8925</v>
      </c>
      <c r="I2599">
        <v>6</v>
      </c>
      <c r="J2599" t="s">
        <v>445</v>
      </c>
      <c r="K2599" t="s">
        <v>446</v>
      </c>
      <c r="M2599">
        <v>2314</v>
      </c>
    </row>
    <row r="2600" spans="1:14">
      <c r="A2600">
        <v>15137000</v>
      </c>
      <c r="B2600">
        <v>3012280</v>
      </c>
      <c r="C2600" t="s">
        <v>1763</v>
      </c>
      <c r="D2600" t="s">
        <v>441</v>
      </c>
      <c r="F2600">
        <v>0</v>
      </c>
      <c r="G2600">
        <v>4.8899999999999997</v>
      </c>
      <c r="H2600" t="s">
        <v>8925</v>
      </c>
      <c r="I2600">
        <v>6</v>
      </c>
      <c r="J2600" t="s">
        <v>445</v>
      </c>
      <c r="K2600" t="s">
        <v>446</v>
      </c>
      <c r="M2600">
        <v>2390</v>
      </c>
    </row>
    <row r="2601" spans="1:14">
      <c r="A2601">
        <v>15140000</v>
      </c>
      <c r="B2601">
        <v>3014430</v>
      </c>
      <c r="C2601" t="s">
        <v>1764</v>
      </c>
      <c r="D2601" t="s">
        <v>441</v>
      </c>
      <c r="F2601">
        <v>0</v>
      </c>
      <c r="G2601">
        <v>8.18</v>
      </c>
      <c r="H2601" t="s">
        <v>8580</v>
      </c>
      <c r="I2601">
        <v>5</v>
      </c>
      <c r="J2601" t="s">
        <v>445</v>
      </c>
      <c r="K2601" t="s">
        <v>446</v>
      </c>
      <c r="M2601">
        <v>2390</v>
      </c>
    </row>
    <row r="2602" spans="1:14">
      <c r="A2602">
        <v>15140002</v>
      </c>
      <c r="B2602">
        <v>3014729</v>
      </c>
      <c r="C2602" t="s">
        <v>1765</v>
      </c>
      <c r="D2602" t="s">
        <v>441</v>
      </c>
      <c r="F2602">
        <v>0</v>
      </c>
      <c r="G2602">
        <v>8.59</v>
      </c>
      <c r="H2602" t="s">
        <v>8588</v>
      </c>
      <c r="I2602">
        <v>365</v>
      </c>
      <c r="J2602" t="s">
        <v>445</v>
      </c>
      <c r="K2602" t="s">
        <v>446</v>
      </c>
      <c r="M2602">
        <v>2501</v>
      </c>
    </row>
    <row r="2603" spans="1:14">
      <c r="A2603">
        <v>15140502</v>
      </c>
      <c r="B2603">
        <v>3014741</v>
      </c>
      <c r="C2603" t="s">
        <v>1766</v>
      </c>
      <c r="D2603" t="s">
        <v>441</v>
      </c>
      <c r="F2603">
        <v>0</v>
      </c>
      <c r="G2603">
        <v>8.32</v>
      </c>
      <c r="H2603" t="s">
        <v>8584</v>
      </c>
      <c r="I2603">
        <v>365</v>
      </c>
      <c r="J2603" t="s">
        <v>445</v>
      </c>
      <c r="K2603" t="s">
        <v>446</v>
      </c>
      <c r="M2603">
        <v>2641</v>
      </c>
    </row>
    <row r="2604" spans="1:14">
      <c r="A2604">
        <v>15140602</v>
      </c>
      <c r="B2604">
        <v>3014740</v>
      </c>
      <c r="C2604" t="s">
        <v>1767</v>
      </c>
      <c r="D2604" t="s">
        <v>441</v>
      </c>
      <c r="F2604">
        <v>0</v>
      </c>
      <c r="G2604">
        <v>9.14</v>
      </c>
      <c r="H2604" t="s">
        <v>8580</v>
      </c>
      <c r="I2604">
        <v>4</v>
      </c>
      <c r="J2604" t="s">
        <v>445</v>
      </c>
      <c r="K2604" t="s">
        <v>446</v>
      </c>
      <c r="M2604">
        <v>2511</v>
      </c>
    </row>
    <row r="2605" spans="1:14">
      <c r="A2605">
        <v>15150000</v>
      </c>
      <c r="B2605">
        <v>3020030</v>
      </c>
      <c r="C2605" t="s">
        <v>14698</v>
      </c>
      <c r="D2605" t="s">
        <v>441</v>
      </c>
      <c r="F2605">
        <v>0</v>
      </c>
      <c r="G2605">
        <v>14.79</v>
      </c>
      <c r="H2605" t="s">
        <v>8549</v>
      </c>
      <c r="I2605">
        <v>6</v>
      </c>
      <c r="J2605" t="s">
        <v>445</v>
      </c>
      <c r="M2605">
        <v>2391</v>
      </c>
      <c r="N2605" t="s">
        <v>16077</v>
      </c>
    </row>
    <row r="2606" spans="1:14">
      <c r="A2606">
        <v>15150007</v>
      </c>
      <c r="B2606">
        <v>3024902</v>
      </c>
      <c r="C2606" t="s">
        <v>9646</v>
      </c>
      <c r="D2606" t="s">
        <v>441</v>
      </c>
      <c r="F2606">
        <v>0</v>
      </c>
      <c r="G2606">
        <v>12.27</v>
      </c>
      <c r="H2606" t="s">
        <v>8584</v>
      </c>
      <c r="I2606">
        <v>6</v>
      </c>
      <c r="J2606" t="s">
        <v>445</v>
      </c>
      <c r="K2606" t="s">
        <v>446</v>
      </c>
      <c r="M2606">
        <v>3111</v>
      </c>
      <c r="N2606" t="s">
        <v>16078</v>
      </c>
    </row>
    <row r="2607" spans="1:14">
      <c r="A2607">
        <v>15150020</v>
      </c>
      <c r="B2607">
        <v>4014790</v>
      </c>
      <c r="C2607" t="s">
        <v>9647</v>
      </c>
      <c r="D2607" t="s">
        <v>441</v>
      </c>
      <c r="F2607">
        <v>0</v>
      </c>
      <c r="G2607">
        <v>11.7</v>
      </c>
      <c r="H2607" t="s">
        <v>8588</v>
      </c>
      <c r="I2607">
        <v>6</v>
      </c>
      <c r="J2607" t="s">
        <v>462</v>
      </c>
      <c r="K2607" t="s">
        <v>446</v>
      </c>
      <c r="M2607">
        <v>2641</v>
      </c>
      <c r="N2607" t="s">
        <v>16078</v>
      </c>
    </row>
    <row r="2608" spans="1:14">
      <c r="A2608">
        <v>15150087</v>
      </c>
      <c r="B2608">
        <v>3021419</v>
      </c>
      <c r="C2608" t="s">
        <v>1768</v>
      </c>
      <c r="D2608" t="s">
        <v>441</v>
      </c>
      <c r="F2608">
        <v>0</v>
      </c>
      <c r="G2608">
        <v>12.27</v>
      </c>
      <c r="H2608" t="s">
        <v>8588</v>
      </c>
      <c r="I2608">
        <v>6</v>
      </c>
      <c r="J2608" t="s">
        <v>445</v>
      </c>
      <c r="K2608" t="s">
        <v>446</v>
      </c>
      <c r="M2608">
        <v>2641</v>
      </c>
      <c r="N2608" t="s">
        <v>16078</v>
      </c>
    </row>
    <row r="2609" spans="1:14">
      <c r="A2609">
        <v>15150100</v>
      </c>
      <c r="B2609">
        <v>3021491</v>
      </c>
      <c r="C2609" t="s">
        <v>14699</v>
      </c>
      <c r="D2609" t="s">
        <v>441</v>
      </c>
      <c r="F2609">
        <v>0</v>
      </c>
      <c r="H2609" t="s">
        <v>8549</v>
      </c>
      <c r="I2609">
        <v>540</v>
      </c>
      <c r="J2609" t="s">
        <v>445</v>
      </c>
      <c r="M2609">
        <v>7161</v>
      </c>
      <c r="N2609" t="s">
        <v>16077</v>
      </c>
    </row>
    <row r="2610" spans="1:14">
      <c r="A2610">
        <v>15150602</v>
      </c>
      <c r="B2610">
        <v>3025458</v>
      </c>
      <c r="C2610" t="s">
        <v>14700</v>
      </c>
      <c r="D2610" t="s">
        <v>441</v>
      </c>
      <c r="F2610">
        <v>0</v>
      </c>
      <c r="G2610">
        <v>14.42</v>
      </c>
      <c r="H2610" t="s">
        <v>8588</v>
      </c>
      <c r="I2610">
        <v>365</v>
      </c>
      <c r="J2610" t="s">
        <v>445</v>
      </c>
      <c r="M2610">
        <v>2510</v>
      </c>
      <c r="N2610" t="s">
        <v>16077</v>
      </c>
    </row>
    <row r="2611" spans="1:14">
      <c r="A2611">
        <v>15150900</v>
      </c>
      <c r="B2611">
        <v>3022034</v>
      </c>
      <c r="C2611" t="s">
        <v>14701</v>
      </c>
      <c r="D2611" t="s">
        <v>441</v>
      </c>
      <c r="F2611">
        <v>0</v>
      </c>
      <c r="G2611">
        <v>0</v>
      </c>
      <c r="H2611" t="s">
        <v>8580</v>
      </c>
      <c r="I2611">
        <v>6</v>
      </c>
      <c r="J2611" t="s">
        <v>445</v>
      </c>
      <c r="K2611" t="s">
        <v>446</v>
      </c>
      <c r="M2611">
        <v>6666</v>
      </c>
      <c r="N2611" t="s">
        <v>16077</v>
      </c>
    </row>
    <row r="2612" spans="1:14">
      <c r="A2612">
        <v>15150902</v>
      </c>
      <c r="B2612">
        <v>3025460</v>
      </c>
      <c r="C2612" t="s">
        <v>14702</v>
      </c>
      <c r="D2612" t="s">
        <v>441</v>
      </c>
      <c r="F2612">
        <v>0</v>
      </c>
      <c r="H2612" t="s">
        <v>8580</v>
      </c>
      <c r="I2612">
        <v>365</v>
      </c>
      <c r="J2612" t="s">
        <v>445</v>
      </c>
      <c r="M2612">
        <v>6666</v>
      </c>
      <c r="N2612" t="s">
        <v>16077</v>
      </c>
    </row>
    <row r="2613" spans="1:14">
      <c r="A2613">
        <v>15150907</v>
      </c>
      <c r="B2613">
        <v>3025162</v>
      </c>
      <c r="C2613" t="s">
        <v>9648</v>
      </c>
      <c r="D2613" t="s">
        <v>441</v>
      </c>
      <c r="F2613">
        <v>0</v>
      </c>
      <c r="G2613">
        <v>0</v>
      </c>
      <c r="I2613">
        <v>6</v>
      </c>
      <c r="J2613" t="s">
        <v>445</v>
      </c>
      <c r="K2613" t="s">
        <v>446</v>
      </c>
      <c r="M2613">
        <v>6666</v>
      </c>
      <c r="N2613" t="s">
        <v>16078</v>
      </c>
    </row>
    <row r="2614" spans="1:14">
      <c r="A2614">
        <v>15151000</v>
      </c>
      <c r="B2614">
        <v>3021417</v>
      </c>
      <c r="C2614" t="s">
        <v>14703</v>
      </c>
      <c r="D2614" t="s">
        <v>441</v>
      </c>
      <c r="F2614">
        <v>0</v>
      </c>
      <c r="G2614">
        <v>14.79</v>
      </c>
      <c r="H2614" t="s">
        <v>8588</v>
      </c>
      <c r="I2614">
        <v>6</v>
      </c>
      <c r="J2614" t="s">
        <v>445</v>
      </c>
      <c r="K2614" t="s">
        <v>446</v>
      </c>
      <c r="M2614">
        <v>2391</v>
      </c>
      <c r="N2614" t="s">
        <v>16077</v>
      </c>
    </row>
    <row r="2615" spans="1:14">
      <c r="A2615">
        <v>15151007</v>
      </c>
      <c r="B2615">
        <v>3024903</v>
      </c>
      <c r="C2615" t="s">
        <v>9649</v>
      </c>
      <c r="D2615" t="s">
        <v>441</v>
      </c>
      <c r="F2615">
        <v>0</v>
      </c>
      <c r="G2615">
        <v>11.52</v>
      </c>
      <c r="H2615" t="s">
        <v>8584</v>
      </c>
      <c r="I2615">
        <v>6</v>
      </c>
      <c r="J2615" t="s">
        <v>445</v>
      </c>
      <c r="K2615" t="s">
        <v>446</v>
      </c>
      <c r="M2615">
        <v>3111</v>
      </c>
      <c r="N2615" t="s">
        <v>16078</v>
      </c>
    </row>
    <row r="2616" spans="1:14">
      <c r="A2616">
        <v>15151020</v>
      </c>
      <c r="B2616">
        <v>4014795</v>
      </c>
      <c r="C2616" t="s">
        <v>9650</v>
      </c>
      <c r="D2616" t="s">
        <v>441</v>
      </c>
      <c r="F2616">
        <v>0</v>
      </c>
      <c r="G2616">
        <v>11.7</v>
      </c>
      <c r="H2616" t="s">
        <v>8588</v>
      </c>
      <c r="I2616">
        <v>6</v>
      </c>
      <c r="J2616" t="s">
        <v>462</v>
      </c>
      <c r="K2616" t="s">
        <v>446</v>
      </c>
      <c r="M2616">
        <v>2641</v>
      </c>
      <c r="N2616" t="s">
        <v>16078</v>
      </c>
    </row>
    <row r="2617" spans="1:14">
      <c r="A2617">
        <v>15151900</v>
      </c>
      <c r="B2617">
        <v>3022035</v>
      </c>
      <c r="C2617" t="s">
        <v>14704</v>
      </c>
      <c r="D2617" t="s">
        <v>441</v>
      </c>
      <c r="F2617">
        <v>0</v>
      </c>
      <c r="G2617">
        <v>0</v>
      </c>
      <c r="H2617" t="s">
        <v>8580</v>
      </c>
      <c r="I2617">
        <v>6</v>
      </c>
      <c r="J2617" t="s">
        <v>445</v>
      </c>
      <c r="K2617" t="s">
        <v>446</v>
      </c>
      <c r="M2617">
        <v>6666</v>
      </c>
      <c r="N2617" t="s">
        <v>16077</v>
      </c>
    </row>
    <row r="2618" spans="1:14">
      <c r="A2618">
        <v>15151907</v>
      </c>
      <c r="B2618">
        <v>3025163</v>
      </c>
      <c r="C2618" t="s">
        <v>9651</v>
      </c>
      <c r="D2618" t="s">
        <v>441</v>
      </c>
      <c r="F2618">
        <v>0</v>
      </c>
      <c r="G2618">
        <v>0</v>
      </c>
      <c r="H2618" t="s">
        <v>8580</v>
      </c>
      <c r="I2618">
        <v>6</v>
      </c>
      <c r="J2618" t="s">
        <v>445</v>
      </c>
      <c r="K2618" t="s">
        <v>446</v>
      </c>
      <c r="M2618">
        <v>6666</v>
      </c>
      <c r="N2618" t="s">
        <v>16078</v>
      </c>
    </row>
    <row r="2619" spans="1:14">
      <c r="A2619">
        <v>15160000</v>
      </c>
      <c r="B2619">
        <v>3007117</v>
      </c>
      <c r="C2619" t="s">
        <v>1769</v>
      </c>
      <c r="D2619" t="s">
        <v>441</v>
      </c>
      <c r="F2619">
        <v>0</v>
      </c>
      <c r="G2619">
        <v>10.08</v>
      </c>
      <c r="H2619" t="s">
        <v>8580</v>
      </c>
      <c r="I2619">
        <v>6</v>
      </c>
      <c r="J2619" t="s">
        <v>445</v>
      </c>
      <c r="K2619" t="s">
        <v>446</v>
      </c>
      <c r="M2619">
        <v>2314</v>
      </c>
      <c r="N2619" t="s">
        <v>16079</v>
      </c>
    </row>
    <row r="2620" spans="1:14">
      <c r="A2620">
        <v>15160007</v>
      </c>
      <c r="B2620">
        <v>3024904</v>
      </c>
      <c r="C2620" t="s">
        <v>1770</v>
      </c>
      <c r="D2620" t="s">
        <v>441</v>
      </c>
      <c r="F2620">
        <v>0</v>
      </c>
      <c r="G2620">
        <v>10.19</v>
      </c>
      <c r="I2620">
        <v>6</v>
      </c>
      <c r="J2620" t="s">
        <v>445</v>
      </c>
      <c r="K2620" t="s">
        <v>446</v>
      </c>
      <c r="M2620">
        <v>3111</v>
      </c>
      <c r="N2620" t="s">
        <v>16079</v>
      </c>
    </row>
    <row r="2621" spans="1:14">
      <c r="A2621">
        <v>15160900</v>
      </c>
      <c r="B2621">
        <v>3023320</v>
      </c>
      <c r="C2621" t="s">
        <v>1771</v>
      </c>
      <c r="D2621" t="s">
        <v>441</v>
      </c>
      <c r="F2621">
        <v>0</v>
      </c>
      <c r="G2621">
        <v>1</v>
      </c>
      <c r="H2621" t="s">
        <v>8580</v>
      </c>
      <c r="I2621">
        <v>6</v>
      </c>
      <c r="J2621" t="s">
        <v>445</v>
      </c>
      <c r="K2621" t="s">
        <v>446</v>
      </c>
      <c r="M2621">
        <v>6666</v>
      </c>
      <c r="N2621" t="s">
        <v>16079</v>
      </c>
    </row>
    <row r="2622" spans="1:14">
      <c r="A2622">
        <v>15160907</v>
      </c>
      <c r="B2622">
        <v>3025164</v>
      </c>
      <c r="C2622" t="s">
        <v>1772</v>
      </c>
      <c r="D2622" t="s">
        <v>441</v>
      </c>
      <c r="F2622">
        <v>0</v>
      </c>
      <c r="G2622">
        <v>0</v>
      </c>
      <c r="I2622">
        <v>6</v>
      </c>
      <c r="J2622" t="s">
        <v>445</v>
      </c>
      <c r="K2622" t="s">
        <v>446</v>
      </c>
      <c r="M2622">
        <v>6666</v>
      </c>
      <c r="N2622" t="s">
        <v>16079</v>
      </c>
    </row>
    <row r="2623" spans="1:14">
      <c r="A2623">
        <v>15170000</v>
      </c>
      <c r="B2623">
        <v>3015933</v>
      </c>
      <c r="C2623" t="s">
        <v>14705</v>
      </c>
      <c r="D2623" t="s">
        <v>441</v>
      </c>
      <c r="F2623">
        <v>0</v>
      </c>
      <c r="G2623">
        <v>11.1</v>
      </c>
      <c r="I2623">
        <v>6</v>
      </c>
      <c r="J2623" t="s">
        <v>445</v>
      </c>
      <c r="K2623" t="s">
        <v>446</v>
      </c>
      <c r="M2623">
        <v>2391</v>
      </c>
      <c r="N2623" t="s">
        <v>16080</v>
      </c>
    </row>
    <row r="2624" spans="1:14">
      <c r="A2624">
        <v>15170007</v>
      </c>
      <c r="B2624">
        <v>3025836</v>
      </c>
      <c r="C2624" t="s">
        <v>9652</v>
      </c>
      <c r="D2624" t="s">
        <v>441</v>
      </c>
      <c r="F2624">
        <v>0</v>
      </c>
      <c r="G2624">
        <v>9.2799999999999994</v>
      </c>
      <c r="H2624" t="s">
        <v>8588</v>
      </c>
      <c r="I2624">
        <v>6</v>
      </c>
      <c r="J2624" t="s">
        <v>445</v>
      </c>
      <c r="K2624" t="s">
        <v>446</v>
      </c>
      <c r="M2624">
        <v>3111</v>
      </c>
      <c r="N2624" t="s">
        <v>15976</v>
      </c>
    </row>
    <row r="2625" spans="1:14">
      <c r="A2625">
        <v>15170907</v>
      </c>
      <c r="B2625">
        <v>3025924</v>
      </c>
      <c r="C2625" t="s">
        <v>9653</v>
      </c>
      <c r="D2625" t="s">
        <v>441</v>
      </c>
      <c r="F2625">
        <v>0</v>
      </c>
      <c r="I2625">
        <v>6</v>
      </c>
      <c r="J2625" t="s">
        <v>445</v>
      </c>
      <c r="K2625" t="s">
        <v>446</v>
      </c>
      <c r="M2625">
        <v>6666</v>
      </c>
      <c r="N2625" t="s">
        <v>15976</v>
      </c>
    </row>
    <row r="2626" spans="1:14">
      <c r="A2626">
        <v>15171000</v>
      </c>
      <c r="B2626">
        <v>3017768</v>
      </c>
      <c r="C2626" t="s">
        <v>14706</v>
      </c>
      <c r="D2626" t="s">
        <v>441</v>
      </c>
      <c r="F2626">
        <v>0</v>
      </c>
      <c r="G2626">
        <v>11.1</v>
      </c>
      <c r="H2626" t="s">
        <v>8634</v>
      </c>
      <c r="I2626">
        <v>6</v>
      </c>
      <c r="J2626" t="s">
        <v>445</v>
      </c>
      <c r="K2626" t="s">
        <v>446</v>
      </c>
      <c r="M2626">
        <v>2391</v>
      </c>
      <c r="N2626" t="s">
        <v>16080</v>
      </c>
    </row>
    <row r="2627" spans="1:14">
      <c r="A2627">
        <v>15171007</v>
      </c>
      <c r="B2627">
        <v>3025837</v>
      </c>
      <c r="C2627" t="s">
        <v>9654</v>
      </c>
      <c r="D2627" t="s">
        <v>441</v>
      </c>
      <c r="F2627">
        <v>0</v>
      </c>
      <c r="G2627">
        <v>9.2799999999999994</v>
      </c>
      <c r="H2627" t="s">
        <v>8588</v>
      </c>
      <c r="I2627">
        <v>6</v>
      </c>
      <c r="J2627" t="s">
        <v>445</v>
      </c>
      <c r="K2627" t="s">
        <v>446</v>
      </c>
      <c r="M2627">
        <v>3111</v>
      </c>
      <c r="N2627" t="s">
        <v>15976</v>
      </c>
    </row>
    <row r="2628" spans="1:14">
      <c r="A2628">
        <v>15171907</v>
      </c>
      <c r="B2628">
        <v>3025925</v>
      </c>
      <c r="C2628" t="s">
        <v>9655</v>
      </c>
      <c r="D2628" t="s">
        <v>441</v>
      </c>
      <c r="F2628">
        <v>0</v>
      </c>
      <c r="H2628" t="s">
        <v>8580</v>
      </c>
      <c r="I2628">
        <v>6</v>
      </c>
      <c r="J2628" t="s">
        <v>445</v>
      </c>
      <c r="K2628" t="s">
        <v>446</v>
      </c>
      <c r="M2628">
        <v>6666</v>
      </c>
      <c r="N2628" t="s">
        <v>15976</v>
      </c>
    </row>
    <row r="2629" spans="1:14">
      <c r="A2629">
        <v>15180000</v>
      </c>
      <c r="B2629">
        <v>3036733</v>
      </c>
      <c r="C2629" t="s">
        <v>14707</v>
      </c>
      <c r="D2629" t="s">
        <v>441</v>
      </c>
      <c r="F2629">
        <v>0</v>
      </c>
      <c r="G2629">
        <v>11.71</v>
      </c>
      <c r="H2629" t="s">
        <v>8549</v>
      </c>
      <c r="I2629">
        <v>6</v>
      </c>
      <c r="J2629" t="s">
        <v>445</v>
      </c>
      <c r="M2629">
        <v>2391</v>
      </c>
      <c r="N2629" t="s">
        <v>16081</v>
      </c>
    </row>
    <row r="2630" spans="1:14">
      <c r="A2630">
        <v>15180007</v>
      </c>
      <c r="B2630">
        <v>3040010</v>
      </c>
      <c r="C2630" t="s">
        <v>14708</v>
      </c>
      <c r="D2630" t="s">
        <v>441</v>
      </c>
      <c r="F2630">
        <v>0</v>
      </c>
      <c r="G2630">
        <v>11.85</v>
      </c>
      <c r="H2630" t="s">
        <v>8588</v>
      </c>
      <c r="I2630">
        <v>6</v>
      </c>
      <c r="J2630" t="s">
        <v>445</v>
      </c>
      <c r="M2630">
        <v>2391</v>
      </c>
      <c r="N2630" t="s">
        <v>16081</v>
      </c>
    </row>
    <row r="2631" spans="1:14">
      <c r="A2631">
        <v>15180100</v>
      </c>
      <c r="B2631">
        <v>3037265</v>
      </c>
      <c r="C2631" t="s">
        <v>16082</v>
      </c>
      <c r="D2631" t="s">
        <v>441</v>
      </c>
      <c r="F2631">
        <v>0</v>
      </c>
      <c r="G2631">
        <v>12.68</v>
      </c>
      <c r="H2631" t="s">
        <v>8588</v>
      </c>
      <c r="I2631">
        <v>6</v>
      </c>
      <c r="J2631" t="s">
        <v>445</v>
      </c>
      <c r="M2631">
        <v>0</v>
      </c>
      <c r="N2631" t="s">
        <v>16081</v>
      </c>
    </row>
    <row r="2632" spans="1:14">
      <c r="A2632">
        <v>15180907</v>
      </c>
      <c r="B2632">
        <v>3043489</v>
      </c>
      <c r="C2632" t="s">
        <v>14709</v>
      </c>
      <c r="D2632" t="s">
        <v>441</v>
      </c>
      <c r="F2632">
        <v>0</v>
      </c>
      <c r="G2632">
        <v>11.65</v>
      </c>
      <c r="H2632" t="s">
        <v>8588</v>
      </c>
      <c r="I2632">
        <v>6</v>
      </c>
      <c r="J2632" t="s">
        <v>445</v>
      </c>
      <c r="M2632">
        <v>6666</v>
      </c>
      <c r="N2632" t="s">
        <v>16081</v>
      </c>
    </row>
    <row r="2633" spans="1:14">
      <c r="A2633">
        <v>15190000</v>
      </c>
      <c r="B2633">
        <v>3014426</v>
      </c>
      <c r="C2633" t="s">
        <v>1773</v>
      </c>
      <c r="D2633" t="s">
        <v>441</v>
      </c>
      <c r="F2633">
        <v>0</v>
      </c>
      <c r="G2633">
        <v>8.02</v>
      </c>
      <c r="H2633" t="s">
        <v>8584</v>
      </c>
      <c r="I2633">
        <v>6</v>
      </c>
      <c r="J2633" t="s">
        <v>445</v>
      </c>
      <c r="K2633" t="s">
        <v>446</v>
      </c>
      <c r="M2633">
        <v>2314</v>
      </c>
    </row>
    <row r="2634" spans="1:14">
      <c r="A2634">
        <v>15200000</v>
      </c>
      <c r="B2634">
        <v>3004445</v>
      </c>
      <c r="C2634" t="s">
        <v>1774</v>
      </c>
      <c r="D2634" t="s">
        <v>441</v>
      </c>
      <c r="F2634">
        <v>0</v>
      </c>
      <c r="G2634">
        <v>8.48</v>
      </c>
      <c r="H2634" t="s">
        <v>8580</v>
      </c>
      <c r="I2634">
        <v>6</v>
      </c>
      <c r="J2634" t="s">
        <v>445</v>
      </c>
      <c r="K2634" t="s">
        <v>446</v>
      </c>
      <c r="M2634">
        <v>2390</v>
      </c>
    </row>
    <row r="2635" spans="1:14">
      <c r="A2635">
        <v>15200020</v>
      </c>
      <c r="B2635">
        <v>4001787</v>
      </c>
      <c r="C2635" t="s">
        <v>14710</v>
      </c>
      <c r="D2635" t="s">
        <v>441</v>
      </c>
      <c r="F2635">
        <v>0</v>
      </c>
      <c r="G2635">
        <v>13.61</v>
      </c>
      <c r="H2635" t="s">
        <v>8588</v>
      </c>
      <c r="I2635">
        <v>6</v>
      </c>
      <c r="J2635" t="s">
        <v>462</v>
      </c>
      <c r="M2635">
        <v>7112</v>
      </c>
      <c r="N2635" t="s">
        <v>16073</v>
      </c>
    </row>
    <row r="2636" spans="1:14">
      <c r="A2636">
        <v>15200021</v>
      </c>
      <c r="B2636">
        <v>4008746</v>
      </c>
      <c r="C2636" t="s">
        <v>9656</v>
      </c>
      <c r="D2636" t="s">
        <v>441</v>
      </c>
      <c r="F2636">
        <v>0</v>
      </c>
      <c r="G2636">
        <v>9.4</v>
      </c>
      <c r="H2636" t="s">
        <v>8588</v>
      </c>
      <c r="I2636">
        <v>6</v>
      </c>
      <c r="J2636" t="s">
        <v>462</v>
      </c>
      <c r="K2636" t="s">
        <v>446</v>
      </c>
      <c r="L2636">
        <v>2905050</v>
      </c>
      <c r="M2636">
        <v>2641</v>
      </c>
      <c r="N2636" t="s">
        <v>16083</v>
      </c>
    </row>
    <row r="2637" spans="1:14">
      <c r="A2637">
        <v>15200022</v>
      </c>
      <c r="B2637">
        <v>4008097</v>
      </c>
      <c r="C2637" t="s">
        <v>9657</v>
      </c>
      <c r="D2637" t="s">
        <v>441</v>
      </c>
      <c r="F2637">
        <v>0</v>
      </c>
      <c r="G2637">
        <v>10.050000000000001</v>
      </c>
      <c r="H2637" t="s">
        <v>8588</v>
      </c>
      <c r="I2637">
        <v>6</v>
      </c>
      <c r="J2637" t="s">
        <v>462</v>
      </c>
      <c r="K2637" t="s">
        <v>446</v>
      </c>
      <c r="M2637">
        <v>2641</v>
      </c>
      <c r="N2637" t="s">
        <v>16083</v>
      </c>
    </row>
    <row r="2638" spans="1:14">
      <c r="A2638">
        <v>15200023</v>
      </c>
      <c r="B2638">
        <v>4008246</v>
      </c>
      <c r="C2638" t="s">
        <v>9658</v>
      </c>
      <c r="D2638" t="s">
        <v>441</v>
      </c>
      <c r="F2638">
        <v>0</v>
      </c>
      <c r="G2638">
        <v>10.050000000000001</v>
      </c>
      <c r="H2638" t="s">
        <v>8588</v>
      </c>
      <c r="I2638">
        <v>6</v>
      </c>
      <c r="J2638" t="s">
        <v>462</v>
      </c>
      <c r="K2638" t="s">
        <v>446</v>
      </c>
      <c r="M2638">
        <v>2641</v>
      </c>
      <c r="N2638" t="s">
        <v>16083</v>
      </c>
    </row>
    <row r="2639" spans="1:14">
      <c r="A2639">
        <v>15200030</v>
      </c>
      <c r="B2639">
        <v>4013456</v>
      </c>
      <c r="C2639" t="s">
        <v>15472</v>
      </c>
      <c r="D2639" t="s">
        <v>441</v>
      </c>
      <c r="F2639">
        <v>0</v>
      </c>
      <c r="G2639">
        <v>13.55</v>
      </c>
      <c r="H2639" t="s">
        <v>8588</v>
      </c>
      <c r="I2639">
        <v>8</v>
      </c>
      <c r="J2639" t="s">
        <v>462</v>
      </c>
      <c r="L2639">
        <v>100062</v>
      </c>
      <c r="M2639">
        <v>7112</v>
      </c>
      <c r="N2639" t="s">
        <v>16073</v>
      </c>
    </row>
    <row r="2640" spans="1:14">
      <c r="A2640">
        <v>15200031</v>
      </c>
      <c r="B2640">
        <v>4019633</v>
      </c>
      <c r="C2640" t="s">
        <v>9659</v>
      </c>
      <c r="D2640" t="s">
        <v>441</v>
      </c>
      <c r="F2640">
        <v>0</v>
      </c>
      <c r="G2640">
        <v>11.12</v>
      </c>
      <c r="H2640" t="s">
        <v>8588</v>
      </c>
      <c r="I2640">
        <v>10</v>
      </c>
      <c r="J2640" t="s">
        <v>462</v>
      </c>
      <c r="K2640" t="s">
        <v>446</v>
      </c>
      <c r="M2640">
        <v>2612</v>
      </c>
      <c r="N2640" t="s">
        <v>16083</v>
      </c>
    </row>
    <row r="2641" spans="1:14">
      <c r="A2641">
        <v>15200050</v>
      </c>
      <c r="B2641">
        <v>4011096</v>
      </c>
      <c r="C2641" t="s">
        <v>14711</v>
      </c>
      <c r="D2641" t="s">
        <v>441</v>
      </c>
      <c r="F2641">
        <v>0</v>
      </c>
      <c r="G2641">
        <v>13.75</v>
      </c>
      <c r="H2641" t="s">
        <v>8588</v>
      </c>
      <c r="I2641">
        <v>12</v>
      </c>
      <c r="J2641" t="s">
        <v>462</v>
      </c>
      <c r="M2641">
        <v>7112</v>
      </c>
      <c r="N2641" t="s">
        <v>16073</v>
      </c>
    </row>
    <row r="2642" spans="1:14">
      <c r="A2642">
        <v>15200052</v>
      </c>
      <c r="B2642">
        <v>4012625</v>
      </c>
      <c r="C2642" t="s">
        <v>9660</v>
      </c>
      <c r="D2642" t="s">
        <v>441</v>
      </c>
      <c r="F2642">
        <v>0</v>
      </c>
      <c r="G2642">
        <v>8.09</v>
      </c>
      <c r="H2642" t="s">
        <v>8588</v>
      </c>
      <c r="I2642">
        <v>10</v>
      </c>
      <c r="J2642" t="s">
        <v>462</v>
      </c>
      <c r="K2642" t="s">
        <v>446</v>
      </c>
      <c r="M2642">
        <v>2612</v>
      </c>
      <c r="N2642" t="s">
        <v>16083</v>
      </c>
    </row>
    <row r="2643" spans="1:14">
      <c r="A2643">
        <v>15200077</v>
      </c>
      <c r="B2643">
        <v>4007400</v>
      </c>
      <c r="C2643" t="s">
        <v>9661</v>
      </c>
      <c r="D2643" t="s">
        <v>441</v>
      </c>
      <c r="F2643">
        <v>0</v>
      </c>
      <c r="G2643">
        <v>9.9499999999999993</v>
      </c>
      <c r="H2643" t="s">
        <v>8588</v>
      </c>
      <c r="I2643">
        <v>6</v>
      </c>
      <c r="J2643" t="s">
        <v>462</v>
      </c>
      <c r="K2643" t="s">
        <v>446</v>
      </c>
      <c r="L2643">
        <v>11181</v>
      </c>
      <c r="M2643">
        <v>2641</v>
      </c>
      <c r="N2643" t="s">
        <v>16083</v>
      </c>
    </row>
    <row r="2644" spans="1:14">
      <c r="A2644">
        <v>15201020</v>
      </c>
      <c r="B2644">
        <v>4011462</v>
      </c>
      <c r="C2644" t="s">
        <v>9662</v>
      </c>
      <c r="D2644" t="s">
        <v>441</v>
      </c>
      <c r="F2644">
        <v>0</v>
      </c>
      <c r="G2644">
        <v>7.53</v>
      </c>
      <c r="H2644" t="s">
        <v>8588</v>
      </c>
      <c r="I2644">
        <v>6</v>
      </c>
      <c r="J2644" t="s">
        <v>462</v>
      </c>
      <c r="K2644" t="s">
        <v>446</v>
      </c>
      <c r="M2644">
        <v>2641</v>
      </c>
    </row>
    <row r="2645" spans="1:14">
      <c r="A2645">
        <v>15201021</v>
      </c>
      <c r="B2645">
        <v>4011817</v>
      </c>
      <c r="C2645" t="s">
        <v>9663</v>
      </c>
      <c r="D2645" t="s">
        <v>441</v>
      </c>
      <c r="F2645">
        <v>0</v>
      </c>
      <c r="G2645">
        <v>9.4</v>
      </c>
      <c r="H2645" t="s">
        <v>8588</v>
      </c>
      <c r="I2645">
        <v>6</v>
      </c>
      <c r="J2645" t="s">
        <v>462</v>
      </c>
      <c r="K2645" t="s">
        <v>446</v>
      </c>
      <c r="L2645">
        <v>2905050</v>
      </c>
      <c r="M2645">
        <v>2641</v>
      </c>
      <c r="N2645" t="s">
        <v>16083</v>
      </c>
    </row>
    <row r="2646" spans="1:14">
      <c r="A2646">
        <v>15201022</v>
      </c>
      <c r="B2646">
        <v>4011766</v>
      </c>
      <c r="C2646" t="s">
        <v>9664</v>
      </c>
      <c r="D2646" t="s">
        <v>441</v>
      </c>
      <c r="F2646">
        <v>0</v>
      </c>
      <c r="G2646">
        <v>10.050000000000001</v>
      </c>
      <c r="H2646" t="s">
        <v>8588</v>
      </c>
      <c r="I2646">
        <v>6</v>
      </c>
      <c r="J2646" t="s">
        <v>462</v>
      </c>
      <c r="K2646" t="s">
        <v>446</v>
      </c>
      <c r="M2646">
        <v>2641</v>
      </c>
      <c r="N2646" t="s">
        <v>16083</v>
      </c>
    </row>
    <row r="2647" spans="1:14">
      <c r="A2647">
        <v>15201023</v>
      </c>
      <c r="B2647">
        <v>4011774</v>
      </c>
      <c r="C2647" t="s">
        <v>9665</v>
      </c>
      <c r="D2647" t="s">
        <v>441</v>
      </c>
      <c r="F2647">
        <v>0</v>
      </c>
      <c r="G2647">
        <v>10.050000000000001</v>
      </c>
      <c r="H2647" t="s">
        <v>8588</v>
      </c>
      <c r="I2647">
        <v>6</v>
      </c>
      <c r="J2647" t="s">
        <v>462</v>
      </c>
      <c r="K2647" t="s">
        <v>446</v>
      </c>
      <c r="M2647">
        <v>2641</v>
      </c>
      <c r="N2647" t="s">
        <v>16083</v>
      </c>
    </row>
    <row r="2648" spans="1:14">
      <c r="A2648">
        <v>15201030</v>
      </c>
      <c r="B2648">
        <v>4013484</v>
      </c>
      <c r="C2648" t="s">
        <v>9666</v>
      </c>
      <c r="D2648" t="s">
        <v>441</v>
      </c>
      <c r="F2648">
        <v>0</v>
      </c>
      <c r="G2648">
        <v>10.32</v>
      </c>
      <c r="H2648" t="s">
        <v>8588</v>
      </c>
      <c r="I2648">
        <v>7</v>
      </c>
      <c r="J2648" t="s">
        <v>462</v>
      </c>
      <c r="K2648" t="s">
        <v>446</v>
      </c>
      <c r="M2648">
        <v>2612</v>
      </c>
      <c r="N2648" t="s">
        <v>16083</v>
      </c>
    </row>
    <row r="2649" spans="1:14">
      <c r="A2649">
        <v>15201050</v>
      </c>
      <c r="B2649">
        <v>4012151</v>
      </c>
      <c r="C2649" t="s">
        <v>9667</v>
      </c>
      <c r="D2649" t="s">
        <v>441</v>
      </c>
      <c r="F2649">
        <v>0</v>
      </c>
      <c r="G2649">
        <v>10.42</v>
      </c>
      <c r="H2649" t="s">
        <v>8588</v>
      </c>
      <c r="I2649">
        <v>10</v>
      </c>
      <c r="J2649" t="s">
        <v>462</v>
      </c>
      <c r="K2649" t="s">
        <v>446</v>
      </c>
      <c r="M2649">
        <v>2612</v>
      </c>
      <c r="N2649" t="s">
        <v>16083</v>
      </c>
    </row>
    <row r="2650" spans="1:14">
      <c r="A2650">
        <v>15201052</v>
      </c>
      <c r="B2650">
        <v>4012626</v>
      </c>
      <c r="C2650" t="s">
        <v>9668</v>
      </c>
      <c r="D2650" t="s">
        <v>441</v>
      </c>
      <c r="F2650">
        <v>0</v>
      </c>
      <c r="G2650">
        <v>8.09</v>
      </c>
      <c r="H2650" t="s">
        <v>8588</v>
      </c>
      <c r="I2650">
        <v>10</v>
      </c>
      <c r="J2650" t="s">
        <v>462</v>
      </c>
      <c r="K2650" t="s">
        <v>446</v>
      </c>
      <c r="M2650">
        <v>2612</v>
      </c>
      <c r="N2650" t="s">
        <v>16083</v>
      </c>
    </row>
    <row r="2651" spans="1:14">
      <c r="A2651">
        <v>15201077</v>
      </c>
      <c r="B2651">
        <v>4011730</v>
      </c>
      <c r="C2651" t="s">
        <v>9669</v>
      </c>
      <c r="D2651" t="s">
        <v>441</v>
      </c>
      <c r="F2651">
        <v>0</v>
      </c>
      <c r="G2651">
        <v>9.9499999999999993</v>
      </c>
      <c r="H2651" t="s">
        <v>8588</v>
      </c>
      <c r="I2651">
        <v>6</v>
      </c>
      <c r="J2651" t="s">
        <v>462</v>
      </c>
      <c r="K2651" t="s">
        <v>446</v>
      </c>
      <c r="M2651">
        <v>2641</v>
      </c>
      <c r="N2651" t="s">
        <v>16083</v>
      </c>
    </row>
    <row r="2652" spans="1:14">
      <c r="A2652">
        <v>15210000</v>
      </c>
      <c r="B2652">
        <v>3008889</v>
      </c>
      <c r="C2652" t="s">
        <v>1775</v>
      </c>
      <c r="D2652" t="s">
        <v>441</v>
      </c>
      <c r="F2652">
        <v>0</v>
      </c>
      <c r="G2652">
        <v>10.1</v>
      </c>
      <c r="H2652" t="s">
        <v>8580</v>
      </c>
      <c r="I2652">
        <v>5</v>
      </c>
      <c r="J2652" t="s">
        <v>445</v>
      </c>
      <c r="K2652" t="s">
        <v>446</v>
      </c>
      <c r="M2652">
        <v>2390</v>
      </c>
    </row>
    <row r="2653" spans="1:14">
      <c r="A2653">
        <v>15220000</v>
      </c>
      <c r="B2653">
        <v>3004473</v>
      </c>
      <c r="C2653" t="s">
        <v>9670</v>
      </c>
      <c r="D2653" t="s">
        <v>441</v>
      </c>
      <c r="F2653">
        <v>0</v>
      </c>
      <c r="G2653">
        <v>10.15</v>
      </c>
      <c r="H2653" t="s">
        <v>8580</v>
      </c>
      <c r="I2653">
        <v>6</v>
      </c>
      <c r="J2653" t="s">
        <v>445</v>
      </c>
      <c r="K2653" t="s">
        <v>446</v>
      </c>
      <c r="M2653">
        <v>2390</v>
      </c>
    </row>
    <row r="2654" spans="1:14">
      <c r="A2654">
        <v>15220027</v>
      </c>
      <c r="B2654">
        <v>4001788</v>
      </c>
      <c r="C2654" t="s">
        <v>9671</v>
      </c>
      <c r="D2654" t="s">
        <v>441</v>
      </c>
      <c r="F2654">
        <v>0</v>
      </c>
      <c r="G2654">
        <v>9.57</v>
      </c>
      <c r="H2654" t="s">
        <v>8588</v>
      </c>
      <c r="I2654">
        <v>365</v>
      </c>
      <c r="J2654" t="s">
        <v>462</v>
      </c>
      <c r="K2654" t="s">
        <v>446</v>
      </c>
      <c r="M2654">
        <v>2501</v>
      </c>
    </row>
    <row r="2655" spans="1:14">
      <c r="A2655">
        <v>15220028</v>
      </c>
      <c r="B2655">
        <v>4001789</v>
      </c>
      <c r="C2655" t="s">
        <v>9672</v>
      </c>
      <c r="D2655" t="s">
        <v>441</v>
      </c>
      <c r="F2655">
        <v>0</v>
      </c>
      <c r="G2655">
        <v>9.57</v>
      </c>
      <c r="H2655" t="s">
        <v>8588</v>
      </c>
      <c r="I2655">
        <v>365</v>
      </c>
      <c r="J2655" t="s">
        <v>462</v>
      </c>
      <c r="K2655" t="s">
        <v>446</v>
      </c>
      <c r="M2655">
        <v>2501</v>
      </c>
    </row>
    <row r="2656" spans="1:14">
      <c r="A2656">
        <v>15220029</v>
      </c>
      <c r="B2656">
        <v>4007582</v>
      </c>
      <c r="C2656" t="s">
        <v>9673</v>
      </c>
      <c r="D2656" t="s">
        <v>441</v>
      </c>
      <c r="F2656">
        <v>0</v>
      </c>
      <c r="G2656">
        <v>9.49</v>
      </c>
      <c r="H2656" t="s">
        <v>8588</v>
      </c>
      <c r="I2656">
        <v>365</v>
      </c>
      <c r="J2656" t="s">
        <v>462</v>
      </c>
      <c r="K2656" t="s">
        <v>446</v>
      </c>
      <c r="M2656">
        <v>2501</v>
      </c>
    </row>
    <row r="2657" spans="1:13">
      <c r="A2657">
        <v>15220527</v>
      </c>
      <c r="B2657">
        <v>3007637</v>
      </c>
      <c r="C2657" t="s">
        <v>9674</v>
      </c>
      <c r="D2657" t="s">
        <v>441</v>
      </c>
      <c r="F2657">
        <v>0</v>
      </c>
      <c r="G2657">
        <v>9.33</v>
      </c>
      <c r="H2657" t="s">
        <v>8580</v>
      </c>
      <c r="I2657">
        <v>6</v>
      </c>
      <c r="J2657" t="s">
        <v>445</v>
      </c>
      <c r="K2657" t="s">
        <v>446</v>
      </c>
      <c r="M2657">
        <v>2641</v>
      </c>
    </row>
    <row r="2658" spans="1:13">
      <c r="A2658">
        <v>15220528</v>
      </c>
      <c r="B2658">
        <v>3007638</v>
      </c>
      <c r="C2658" t="s">
        <v>9675</v>
      </c>
      <c r="D2658" t="s">
        <v>441</v>
      </c>
      <c r="F2658">
        <v>0</v>
      </c>
      <c r="G2658">
        <v>9.33</v>
      </c>
      <c r="H2658" t="s">
        <v>8583</v>
      </c>
      <c r="I2658">
        <v>6</v>
      </c>
      <c r="J2658" t="s">
        <v>445</v>
      </c>
      <c r="K2658" t="s">
        <v>446</v>
      </c>
      <c r="M2658">
        <v>2641</v>
      </c>
    </row>
    <row r="2659" spans="1:13">
      <c r="A2659">
        <v>15220529</v>
      </c>
      <c r="B2659">
        <v>3007639</v>
      </c>
      <c r="C2659" t="s">
        <v>9676</v>
      </c>
      <c r="D2659" t="s">
        <v>441</v>
      </c>
      <c r="F2659">
        <v>0</v>
      </c>
      <c r="G2659">
        <v>9.25</v>
      </c>
      <c r="I2659">
        <v>6</v>
      </c>
      <c r="J2659" t="s">
        <v>445</v>
      </c>
      <c r="K2659" t="s">
        <v>446</v>
      </c>
      <c r="M2659">
        <v>2641</v>
      </c>
    </row>
    <row r="2660" spans="1:13">
      <c r="A2660">
        <v>15220627</v>
      </c>
      <c r="B2660">
        <v>3014141</v>
      </c>
      <c r="C2660" t="s">
        <v>1776</v>
      </c>
      <c r="D2660" t="s">
        <v>441</v>
      </c>
      <c r="F2660">
        <v>0</v>
      </c>
      <c r="G2660">
        <v>10.220000000000001</v>
      </c>
      <c r="H2660" t="s">
        <v>8634</v>
      </c>
      <c r="I2660">
        <v>4</v>
      </c>
      <c r="J2660" t="s">
        <v>445</v>
      </c>
      <c r="K2660" t="s">
        <v>446</v>
      </c>
      <c r="M2660">
        <v>2511</v>
      </c>
    </row>
    <row r="2661" spans="1:13">
      <c r="A2661">
        <v>15221000</v>
      </c>
      <c r="B2661">
        <v>3009061</v>
      </c>
      <c r="C2661" t="s">
        <v>1777</v>
      </c>
      <c r="D2661" t="s">
        <v>441</v>
      </c>
      <c r="F2661">
        <v>0</v>
      </c>
      <c r="G2661">
        <v>9.23</v>
      </c>
      <c r="H2661" t="s">
        <v>8549</v>
      </c>
      <c r="I2661">
        <v>6</v>
      </c>
      <c r="J2661" t="s">
        <v>445</v>
      </c>
      <c r="K2661" t="s">
        <v>446</v>
      </c>
      <c r="M2661">
        <v>0</v>
      </c>
    </row>
    <row r="2662" spans="1:13">
      <c r="A2662">
        <v>15221027</v>
      </c>
      <c r="B2662">
        <v>4011463</v>
      </c>
      <c r="C2662" t="s">
        <v>9677</v>
      </c>
      <c r="D2662" t="s">
        <v>441</v>
      </c>
      <c r="F2662">
        <v>0</v>
      </c>
      <c r="G2662">
        <v>9.57</v>
      </c>
      <c r="H2662" t="s">
        <v>8588</v>
      </c>
      <c r="I2662">
        <v>365</v>
      </c>
      <c r="J2662" t="s">
        <v>462</v>
      </c>
      <c r="K2662" t="s">
        <v>446</v>
      </c>
      <c r="M2662">
        <v>2501</v>
      </c>
    </row>
    <row r="2663" spans="1:13">
      <c r="A2663">
        <v>15221028</v>
      </c>
      <c r="B2663">
        <v>4011464</v>
      </c>
      <c r="C2663" t="s">
        <v>9678</v>
      </c>
      <c r="D2663" t="s">
        <v>441</v>
      </c>
      <c r="F2663">
        <v>0</v>
      </c>
      <c r="G2663">
        <v>9.57</v>
      </c>
      <c r="H2663" t="s">
        <v>8588</v>
      </c>
      <c r="I2663">
        <v>365</v>
      </c>
      <c r="J2663" t="s">
        <v>462</v>
      </c>
      <c r="K2663" t="s">
        <v>446</v>
      </c>
      <c r="M2663">
        <v>2501</v>
      </c>
    </row>
    <row r="2664" spans="1:13">
      <c r="A2664">
        <v>15221029</v>
      </c>
      <c r="B2664">
        <v>4011749</v>
      </c>
      <c r="C2664" t="s">
        <v>9679</v>
      </c>
      <c r="D2664" t="s">
        <v>441</v>
      </c>
      <c r="F2664">
        <v>0</v>
      </c>
      <c r="G2664">
        <v>9.49</v>
      </c>
      <c r="H2664" t="s">
        <v>8588</v>
      </c>
      <c r="I2664">
        <v>365</v>
      </c>
      <c r="J2664" t="s">
        <v>462</v>
      </c>
      <c r="K2664" t="s">
        <v>446</v>
      </c>
      <c r="M2664">
        <v>2501</v>
      </c>
    </row>
    <row r="2665" spans="1:13">
      <c r="A2665">
        <v>15221527</v>
      </c>
      <c r="B2665">
        <v>3017383</v>
      </c>
      <c r="C2665" t="s">
        <v>9680</v>
      </c>
      <c r="D2665" t="s">
        <v>441</v>
      </c>
      <c r="F2665">
        <v>0</v>
      </c>
      <c r="G2665">
        <v>9.33</v>
      </c>
      <c r="H2665" t="s">
        <v>8935</v>
      </c>
      <c r="I2665">
        <v>6</v>
      </c>
      <c r="J2665" t="s">
        <v>445</v>
      </c>
      <c r="K2665" t="s">
        <v>446</v>
      </c>
      <c r="M2665">
        <v>2641</v>
      </c>
    </row>
    <row r="2666" spans="1:13">
      <c r="A2666">
        <v>15221528</v>
      </c>
      <c r="B2666">
        <v>3017384</v>
      </c>
      <c r="C2666" t="s">
        <v>9681</v>
      </c>
      <c r="D2666" t="s">
        <v>441</v>
      </c>
      <c r="F2666">
        <v>0</v>
      </c>
      <c r="G2666">
        <v>9.33</v>
      </c>
      <c r="H2666" t="s">
        <v>8935</v>
      </c>
      <c r="I2666">
        <v>6</v>
      </c>
      <c r="J2666" t="s">
        <v>445</v>
      </c>
      <c r="K2666" t="s">
        <v>446</v>
      </c>
      <c r="M2666">
        <v>2641</v>
      </c>
    </row>
    <row r="2667" spans="1:13">
      <c r="A2667">
        <v>15221529</v>
      </c>
      <c r="B2667">
        <v>3017385</v>
      </c>
      <c r="C2667" t="s">
        <v>9682</v>
      </c>
      <c r="D2667" t="s">
        <v>441</v>
      </c>
      <c r="F2667">
        <v>0</v>
      </c>
      <c r="G2667">
        <v>9.25</v>
      </c>
      <c r="H2667" t="s">
        <v>8935</v>
      </c>
      <c r="I2667">
        <v>6</v>
      </c>
      <c r="J2667" t="s">
        <v>445</v>
      </c>
      <c r="K2667" t="s">
        <v>446</v>
      </c>
      <c r="M2667">
        <v>2641</v>
      </c>
    </row>
    <row r="2668" spans="1:13">
      <c r="A2668">
        <v>15226000</v>
      </c>
      <c r="B2668">
        <v>3009060</v>
      </c>
      <c r="C2668" t="s">
        <v>1778</v>
      </c>
      <c r="D2668" t="s">
        <v>441</v>
      </c>
      <c r="F2668">
        <v>0</v>
      </c>
      <c r="G2668">
        <v>9.24</v>
      </c>
      <c r="H2668" t="s">
        <v>8580</v>
      </c>
      <c r="I2668">
        <v>6</v>
      </c>
      <c r="J2668" t="s">
        <v>445</v>
      </c>
      <c r="K2668" t="s">
        <v>446</v>
      </c>
      <c r="M2668">
        <v>2390</v>
      </c>
    </row>
    <row r="2669" spans="1:13">
      <c r="A2669">
        <v>15230000</v>
      </c>
      <c r="B2669">
        <v>3015937</v>
      </c>
      <c r="C2669" t="s">
        <v>9683</v>
      </c>
      <c r="D2669" t="s">
        <v>441</v>
      </c>
      <c r="F2669">
        <v>0</v>
      </c>
      <c r="G2669">
        <v>8.75</v>
      </c>
      <c r="H2669" t="s">
        <v>8580</v>
      </c>
      <c r="I2669">
        <v>6</v>
      </c>
      <c r="J2669" t="s">
        <v>445</v>
      </c>
      <c r="K2669" t="s">
        <v>446</v>
      </c>
      <c r="M2669">
        <v>0</v>
      </c>
    </row>
    <row r="2670" spans="1:13">
      <c r="A2670">
        <v>15231000</v>
      </c>
      <c r="B2670">
        <v>3017773</v>
      </c>
      <c r="C2670" t="s">
        <v>9684</v>
      </c>
      <c r="D2670" t="s">
        <v>441</v>
      </c>
      <c r="F2670">
        <v>0</v>
      </c>
      <c r="G2670">
        <v>8.77</v>
      </c>
      <c r="H2670" t="s">
        <v>8634</v>
      </c>
      <c r="I2670">
        <v>6</v>
      </c>
      <c r="J2670" t="s">
        <v>445</v>
      </c>
      <c r="K2670" t="s">
        <v>446</v>
      </c>
      <c r="M2670">
        <v>0</v>
      </c>
    </row>
    <row r="2671" spans="1:13">
      <c r="A2671">
        <v>15236000</v>
      </c>
      <c r="B2671">
        <v>3009299</v>
      </c>
      <c r="C2671" t="s">
        <v>1779</v>
      </c>
      <c r="D2671" t="s">
        <v>441</v>
      </c>
      <c r="F2671">
        <v>0</v>
      </c>
      <c r="G2671">
        <v>9.24</v>
      </c>
      <c r="H2671" t="s">
        <v>8624</v>
      </c>
      <c r="I2671">
        <v>6</v>
      </c>
      <c r="J2671" t="s">
        <v>445</v>
      </c>
      <c r="K2671" t="s">
        <v>446</v>
      </c>
      <c r="M2671">
        <v>2390</v>
      </c>
    </row>
    <row r="2672" spans="1:13">
      <c r="A2672">
        <v>15240000</v>
      </c>
      <c r="B2672">
        <v>3004474</v>
      </c>
      <c r="C2672" t="s">
        <v>1780</v>
      </c>
      <c r="D2672" t="s">
        <v>441</v>
      </c>
      <c r="F2672">
        <v>0</v>
      </c>
      <c r="G2672">
        <v>9.0500000000000007</v>
      </c>
      <c r="H2672" t="s">
        <v>8584</v>
      </c>
      <c r="I2672">
        <v>6</v>
      </c>
      <c r="J2672" t="s">
        <v>445</v>
      </c>
      <c r="K2672" t="s">
        <v>446</v>
      </c>
      <c r="M2672">
        <v>0</v>
      </c>
    </row>
    <row r="2673" spans="1:14">
      <c r="A2673">
        <v>15250000</v>
      </c>
      <c r="B2673">
        <v>3014476</v>
      </c>
      <c r="C2673" t="s">
        <v>1781</v>
      </c>
      <c r="D2673" t="s">
        <v>441</v>
      </c>
      <c r="F2673">
        <v>0</v>
      </c>
      <c r="G2673">
        <v>8.32</v>
      </c>
      <c r="I2673">
        <v>6</v>
      </c>
      <c r="J2673" t="s">
        <v>445</v>
      </c>
      <c r="K2673" t="s">
        <v>446</v>
      </c>
      <c r="M2673">
        <v>2390</v>
      </c>
    </row>
    <row r="2674" spans="1:14">
      <c r="A2674">
        <v>15260000</v>
      </c>
      <c r="B2674">
        <v>3007640</v>
      </c>
      <c r="C2674" t="s">
        <v>1782</v>
      </c>
      <c r="D2674" t="s">
        <v>441</v>
      </c>
      <c r="F2674">
        <v>0</v>
      </c>
      <c r="G2674">
        <v>10.09</v>
      </c>
      <c r="H2674" t="s">
        <v>8627</v>
      </c>
      <c r="I2674">
        <v>6</v>
      </c>
      <c r="J2674" t="s">
        <v>445</v>
      </c>
      <c r="K2674" t="s">
        <v>446</v>
      </c>
      <c r="M2674">
        <v>2390</v>
      </c>
    </row>
    <row r="2675" spans="1:14">
      <c r="A2675">
        <v>15260100</v>
      </c>
      <c r="B2675">
        <v>3007641</v>
      </c>
      <c r="C2675" t="s">
        <v>1783</v>
      </c>
      <c r="D2675" t="s">
        <v>441</v>
      </c>
      <c r="F2675">
        <v>0</v>
      </c>
      <c r="H2675" t="s">
        <v>8584</v>
      </c>
      <c r="I2675">
        <v>9</v>
      </c>
      <c r="J2675" t="s">
        <v>445</v>
      </c>
      <c r="K2675" t="s">
        <v>446</v>
      </c>
      <c r="M2675">
        <v>0</v>
      </c>
    </row>
    <row r="2676" spans="1:14">
      <c r="A2676">
        <v>15270000</v>
      </c>
      <c r="B2676">
        <v>3007642</v>
      </c>
      <c r="C2676" t="s">
        <v>1784</v>
      </c>
      <c r="D2676" t="s">
        <v>441</v>
      </c>
      <c r="F2676">
        <v>0</v>
      </c>
      <c r="G2676">
        <v>10.11</v>
      </c>
      <c r="H2676" t="s">
        <v>8584</v>
      </c>
      <c r="I2676">
        <v>6</v>
      </c>
      <c r="J2676" t="s">
        <v>445</v>
      </c>
      <c r="K2676" t="s">
        <v>446</v>
      </c>
      <c r="M2676">
        <v>0</v>
      </c>
    </row>
    <row r="2677" spans="1:14">
      <c r="A2677">
        <v>15280000</v>
      </c>
      <c r="B2677">
        <v>3007643</v>
      </c>
      <c r="C2677" t="s">
        <v>1785</v>
      </c>
      <c r="D2677" t="s">
        <v>441</v>
      </c>
      <c r="F2677">
        <v>0</v>
      </c>
      <c r="G2677">
        <v>10.08</v>
      </c>
      <c r="I2677">
        <v>6</v>
      </c>
      <c r="J2677" t="s">
        <v>445</v>
      </c>
      <c r="K2677" t="s">
        <v>446</v>
      </c>
      <c r="M2677">
        <v>0</v>
      </c>
    </row>
    <row r="2678" spans="1:14">
      <c r="A2678">
        <v>15280002</v>
      </c>
      <c r="B2678">
        <v>3007644</v>
      </c>
      <c r="C2678" t="s">
        <v>1786</v>
      </c>
      <c r="D2678" t="s">
        <v>441</v>
      </c>
      <c r="F2678">
        <v>0</v>
      </c>
      <c r="G2678">
        <v>10.61</v>
      </c>
      <c r="H2678" t="s">
        <v>8935</v>
      </c>
      <c r="I2678">
        <v>365</v>
      </c>
      <c r="J2678" t="s">
        <v>445</v>
      </c>
      <c r="K2678" t="s">
        <v>446</v>
      </c>
      <c r="M2678">
        <v>2501</v>
      </c>
    </row>
    <row r="2679" spans="1:14">
      <c r="A2679">
        <v>15280502</v>
      </c>
      <c r="B2679">
        <v>3007645</v>
      </c>
      <c r="C2679" t="s">
        <v>1787</v>
      </c>
      <c r="D2679" t="s">
        <v>441</v>
      </c>
      <c r="F2679">
        <v>0</v>
      </c>
      <c r="G2679">
        <v>10.24</v>
      </c>
      <c r="H2679" t="s">
        <v>8627</v>
      </c>
      <c r="I2679">
        <v>6</v>
      </c>
      <c r="J2679" t="s">
        <v>445</v>
      </c>
      <c r="K2679" t="s">
        <v>446</v>
      </c>
      <c r="M2679">
        <v>2641</v>
      </c>
    </row>
    <row r="2680" spans="1:14">
      <c r="A2680">
        <v>15290000</v>
      </c>
      <c r="B2680">
        <v>3007646</v>
      </c>
      <c r="C2680" t="s">
        <v>1788</v>
      </c>
      <c r="D2680" t="s">
        <v>441</v>
      </c>
      <c r="F2680">
        <v>0</v>
      </c>
      <c r="G2680">
        <v>9.4700000000000006</v>
      </c>
      <c r="H2680" t="s">
        <v>8935</v>
      </c>
      <c r="I2680">
        <v>6</v>
      </c>
      <c r="J2680" t="s">
        <v>445</v>
      </c>
      <c r="K2680" t="s">
        <v>446</v>
      </c>
      <c r="M2680">
        <v>0</v>
      </c>
    </row>
    <row r="2681" spans="1:14">
      <c r="A2681">
        <v>15300000</v>
      </c>
      <c r="B2681">
        <v>3014478</v>
      </c>
      <c r="C2681" t="s">
        <v>1789</v>
      </c>
      <c r="D2681" t="s">
        <v>441</v>
      </c>
      <c r="F2681">
        <v>0</v>
      </c>
      <c r="G2681">
        <v>8.19</v>
      </c>
      <c r="I2681">
        <v>6</v>
      </c>
      <c r="J2681" t="s">
        <v>445</v>
      </c>
      <c r="K2681" t="s">
        <v>446</v>
      </c>
      <c r="M2681">
        <v>2390</v>
      </c>
    </row>
    <row r="2682" spans="1:14">
      <c r="A2682">
        <v>15300214</v>
      </c>
      <c r="B2682">
        <v>3017917</v>
      </c>
      <c r="C2682" t="s">
        <v>9685</v>
      </c>
      <c r="D2682" t="s">
        <v>441</v>
      </c>
      <c r="F2682">
        <v>0</v>
      </c>
      <c r="H2682" t="s">
        <v>9295</v>
      </c>
      <c r="I2682">
        <v>209</v>
      </c>
      <c r="J2682" t="s">
        <v>445</v>
      </c>
      <c r="M2682">
        <v>7161</v>
      </c>
      <c r="N2682" t="s">
        <v>16084</v>
      </c>
    </row>
    <row r="2683" spans="1:14">
      <c r="A2683">
        <v>15310000</v>
      </c>
      <c r="B2683">
        <v>3019132</v>
      </c>
      <c r="C2683" t="s">
        <v>9686</v>
      </c>
      <c r="D2683" t="s">
        <v>441</v>
      </c>
      <c r="F2683">
        <v>0</v>
      </c>
      <c r="G2683">
        <v>11.18</v>
      </c>
      <c r="H2683" t="s">
        <v>8634</v>
      </c>
      <c r="I2683">
        <v>5</v>
      </c>
      <c r="J2683" t="s">
        <v>445</v>
      </c>
      <c r="K2683" t="s">
        <v>446</v>
      </c>
      <c r="M2683">
        <v>2616</v>
      </c>
      <c r="N2683" t="s">
        <v>15976</v>
      </c>
    </row>
    <row r="2684" spans="1:14">
      <c r="A2684">
        <v>15310030</v>
      </c>
      <c r="B2684">
        <v>4010651</v>
      </c>
      <c r="C2684" t="s">
        <v>9687</v>
      </c>
      <c r="D2684" t="s">
        <v>442</v>
      </c>
      <c r="E2684" t="s">
        <v>441</v>
      </c>
      <c r="F2684">
        <v>0.36</v>
      </c>
      <c r="G2684">
        <v>3.93</v>
      </c>
      <c r="H2684" t="s">
        <v>8588</v>
      </c>
      <c r="I2684">
        <v>12</v>
      </c>
      <c r="J2684" t="s">
        <v>462</v>
      </c>
      <c r="K2684" t="s">
        <v>446</v>
      </c>
      <c r="M2684">
        <v>2611</v>
      </c>
    </row>
    <row r="2685" spans="1:14">
      <c r="A2685">
        <v>15310031</v>
      </c>
      <c r="B2685">
        <v>4010972</v>
      </c>
      <c r="C2685" t="s">
        <v>9688</v>
      </c>
      <c r="D2685" t="s">
        <v>442</v>
      </c>
      <c r="E2685" t="s">
        <v>441</v>
      </c>
      <c r="F2685">
        <v>0.36</v>
      </c>
      <c r="G2685">
        <v>4.99</v>
      </c>
      <c r="H2685" t="s">
        <v>8588</v>
      </c>
      <c r="I2685">
        <v>12</v>
      </c>
      <c r="J2685" t="s">
        <v>462</v>
      </c>
      <c r="K2685" t="s">
        <v>446</v>
      </c>
      <c r="M2685">
        <v>2611</v>
      </c>
      <c r="N2685" t="s">
        <v>15976</v>
      </c>
    </row>
    <row r="2686" spans="1:14">
      <c r="A2686">
        <v>15310032</v>
      </c>
      <c r="B2686">
        <v>4011106</v>
      </c>
      <c r="C2686" t="s">
        <v>9689</v>
      </c>
      <c r="D2686" t="s">
        <v>442</v>
      </c>
      <c r="E2686" t="s">
        <v>441</v>
      </c>
      <c r="F2686">
        <v>0.36</v>
      </c>
      <c r="G2686">
        <v>4.43</v>
      </c>
      <c r="H2686" t="s">
        <v>8588</v>
      </c>
      <c r="I2686">
        <v>12</v>
      </c>
      <c r="J2686" t="s">
        <v>462</v>
      </c>
      <c r="K2686" t="s">
        <v>446</v>
      </c>
      <c r="M2686">
        <v>2611</v>
      </c>
    </row>
    <row r="2687" spans="1:14">
      <c r="A2687">
        <v>15310033</v>
      </c>
      <c r="B2687">
        <v>4011203</v>
      </c>
      <c r="C2687" t="s">
        <v>9690</v>
      </c>
      <c r="D2687" t="s">
        <v>442</v>
      </c>
      <c r="E2687" t="s">
        <v>441</v>
      </c>
      <c r="F2687">
        <v>0.36</v>
      </c>
      <c r="G2687">
        <v>5.01</v>
      </c>
      <c r="H2687" t="s">
        <v>8588</v>
      </c>
      <c r="I2687">
        <v>12</v>
      </c>
      <c r="J2687" t="s">
        <v>462</v>
      </c>
      <c r="K2687" t="s">
        <v>446</v>
      </c>
      <c r="M2687">
        <v>2611</v>
      </c>
      <c r="N2687" t="s">
        <v>15976</v>
      </c>
    </row>
    <row r="2688" spans="1:14">
      <c r="A2688">
        <v>15310034</v>
      </c>
      <c r="B2688">
        <v>4015211</v>
      </c>
      <c r="C2688" t="s">
        <v>9691</v>
      </c>
      <c r="D2688" t="s">
        <v>442</v>
      </c>
      <c r="E2688" t="s">
        <v>441</v>
      </c>
      <c r="F2688">
        <v>0.36</v>
      </c>
      <c r="G2688">
        <v>5.07</v>
      </c>
      <c r="H2688" t="s">
        <v>8588</v>
      </c>
      <c r="I2688">
        <v>12</v>
      </c>
      <c r="J2688" t="s">
        <v>462</v>
      </c>
      <c r="K2688" t="s">
        <v>446</v>
      </c>
      <c r="M2688">
        <v>0</v>
      </c>
      <c r="N2688" t="s">
        <v>15976</v>
      </c>
    </row>
    <row r="2689" spans="1:14">
      <c r="A2689">
        <v>15310035</v>
      </c>
      <c r="B2689">
        <v>4015543</v>
      </c>
      <c r="C2689" t="s">
        <v>9692</v>
      </c>
      <c r="D2689" t="s">
        <v>442</v>
      </c>
      <c r="E2689" t="s">
        <v>441</v>
      </c>
      <c r="F2689">
        <v>0.4</v>
      </c>
      <c r="G2689">
        <v>5.0599999999999996</v>
      </c>
      <c r="H2689" t="s">
        <v>8588</v>
      </c>
      <c r="I2689">
        <v>12</v>
      </c>
      <c r="J2689" t="s">
        <v>462</v>
      </c>
      <c r="K2689" t="s">
        <v>446</v>
      </c>
      <c r="M2689">
        <v>2611</v>
      </c>
      <c r="N2689" t="s">
        <v>15976</v>
      </c>
    </row>
    <row r="2690" spans="1:14">
      <c r="A2690">
        <v>15310036</v>
      </c>
      <c r="B2690">
        <v>4016917</v>
      </c>
      <c r="C2690" t="s">
        <v>9693</v>
      </c>
      <c r="D2690" t="s">
        <v>442</v>
      </c>
      <c r="E2690" t="s">
        <v>441</v>
      </c>
      <c r="F2690">
        <v>0.4</v>
      </c>
      <c r="G2690">
        <v>6</v>
      </c>
      <c r="H2690" t="s">
        <v>8588</v>
      </c>
      <c r="I2690">
        <v>12</v>
      </c>
      <c r="J2690" t="s">
        <v>462</v>
      </c>
      <c r="K2690" t="s">
        <v>446</v>
      </c>
      <c r="M2690">
        <v>2611</v>
      </c>
      <c r="N2690" t="s">
        <v>15976</v>
      </c>
    </row>
    <row r="2691" spans="1:14">
      <c r="A2691">
        <v>15310050</v>
      </c>
      <c r="B2691">
        <v>4013886</v>
      </c>
      <c r="C2691" t="s">
        <v>9694</v>
      </c>
      <c r="D2691" t="s">
        <v>441</v>
      </c>
      <c r="F2691">
        <v>0</v>
      </c>
      <c r="G2691">
        <v>10.62</v>
      </c>
      <c r="H2691" t="s">
        <v>8588</v>
      </c>
      <c r="I2691">
        <v>9</v>
      </c>
      <c r="J2691" t="s">
        <v>462</v>
      </c>
      <c r="K2691" t="s">
        <v>446</v>
      </c>
      <c r="M2691">
        <v>2612</v>
      </c>
      <c r="N2691" t="s">
        <v>15976</v>
      </c>
    </row>
    <row r="2692" spans="1:14">
      <c r="A2692">
        <v>15310051</v>
      </c>
      <c r="B2692">
        <v>4016103</v>
      </c>
      <c r="C2692" t="s">
        <v>9695</v>
      </c>
      <c r="D2692" t="s">
        <v>441</v>
      </c>
      <c r="F2692">
        <v>0</v>
      </c>
      <c r="G2692">
        <v>10.7</v>
      </c>
      <c r="H2692" t="s">
        <v>8588</v>
      </c>
      <c r="I2692">
        <v>16</v>
      </c>
      <c r="J2692" t="s">
        <v>462</v>
      </c>
      <c r="K2692" t="s">
        <v>446</v>
      </c>
      <c r="M2692">
        <v>2612</v>
      </c>
      <c r="N2692" t="s">
        <v>15976</v>
      </c>
    </row>
    <row r="2693" spans="1:14">
      <c r="A2693">
        <v>15310077</v>
      </c>
      <c r="B2693">
        <v>4007403</v>
      </c>
      <c r="C2693" t="s">
        <v>9696</v>
      </c>
      <c r="D2693" t="s">
        <v>441</v>
      </c>
      <c r="F2693">
        <v>0</v>
      </c>
      <c r="G2693">
        <v>10.23</v>
      </c>
      <c r="H2693" t="s">
        <v>8588</v>
      </c>
      <c r="I2693">
        <v>6</v>
      </c>
      <c r="J2693" t="s">
        <v>462</v>
      </c>
      <c r="K2693" t="s">
        <v>446</v>
      </c>
      <c r="L2693">
        <v>11191</v>
      </c>
      <c r="M2693">
        <v>2641</v>
      </c>
      <c r="N2693" t="s">
        <v>15976</v>
      </c>
    </row>
    <row r="2694" spans="1:14">
      <c r="A2694">
        <v>15310087</v>
      </c>
      <c r="B2694">
        <v>3018630</v>
      </c>
      <c r="C2694" t="s">
        <v>1790</v>
      </c>
      <c r="D2694" t="s">
        <v>441</v>
      </c>
      <c r="F2694">
        <v>0</v>
      </c>
      <c r="G2694">
        <v>10.220000000000001</v>
      </c>
      <c r="H2694" t="s">
        <v>8588</v>
      </c>
      <c r="I2694">
        <v>6</v>
      </c>
      <c r="J2694" t="s">
        <v>445</v>
      </c>
      <c r="K2694" t="s">
        <v>446</v>
      </c>
      <c r="M2694">
        <v>2641</v>
      </c>
      <c r="N2694" t="s">
        <v>15976</v>
      </c>
    </row>
    <row r="2695" spans="1:14">
      <c r="A2695">
        <v>15311000</v>
      </c>
      <c r="B2695">
        <v>3019128</v>
      </c>
      <c r="C2695" t="s">
        <v>9697</v>
      </c>
      <c r="D2695" t="s">
        <v>441</v>
      </c>
      <c r="F2695">
        <v>0</v>
      </c>
      <c r="G2695">
        <v>11.18</v>
      </c>
      <c r="H2695" t="s">
        <v>8634</v>
      </c>
      <c r="I2695">
        <v>5</v>
      </c>
      <c r="J2695" t="s">
        <v>445</v>
      </c>
      <c r="K2695" t="s">
        <v>446</v>
      </c>
      <c r="M2695">
        <v>2616</v>
      </c>
      <c r="N2695" t="s">
        <v>15976</v>
      </c>
    </row>
    <row r="2696" spans="1:14">
      <c r="A2696">
        <v>15311032</v>
      </c>
      <c r="B2696">
        <v>4012156</v>
      </c>
      <c r="C2696" t="s">
        <v>9698</v>
      </c>
      <c r="D2696" t="s">
        <v>442</v>
      </c>
      <c r="E2696" t="s">
        <v>441</v>
      </c>
      <c r="F2696">
        <v>0.36</v>
      </c>
      <c r="G2696">
        <v>4.3899999999999997</v>
      </c>
      <c r="H2696" t="s">
        <v>8588</v>
      </c>
      <c r="I2696">
        <v>12</v>
      </c>
      <c r="J2696" t="s">
        <v>462</v>
      </c>
      <c r="K2696" t="s">
        <v>446</v>
      </c>
      <c r="M2696">
        <v>2611</v>
      </c>
    </row>
    <row r="2697" spans="1:14">
      <c r="A2697">
        <v>15311033</v>
      </c>
      <c r="B2697">
        <v>4012173</v>
      </c>
      <c r="C2697" t="s">
        <v>9699</v>
      </c>
      <c r="D2697" t="s">
        <v>442</v>
      </c>
      <c r="E2697" t="s">
        <v>441</v>
      </c>
      <c r="F2697">
        <v>0.36</v>
      </c>
      <c r="G2697">
        <v>4</v>
      </c>
      <c r="H2697" t="s">
        <v>8588</v>
      </c>
      <c r="I2697">
        <v>12</v>
      </c>
      <c r="J2697" t="s">
        <v>462</v>
      </c>
      <c r="K2697" t="s">
        <v>446</v>
      </c>
      <c r="M2697">
        <v>2611</v>
      </c>
    </row>
    <row r="2698" spans="1:14">
      <c r="A2698">
        <v>15311050</v>
      </c>
      <c r="B2698">
        <v>4013885</v>
      </c>
      <c r="C2698" t="s">
        <v>9700</v>
      </c>
      <c r="D2698" t="s">
        <v>441</v>
      </c>
      <c r="F2698">
        <v>0</v>
      </c>
      <c r="G2698">
        <v>10.62</v>
      </c>
      <c r="H2698" t="s">
        <v>8588</v>
      </c>
      <c r="I2698">
        <v>9</v>
      </c>
      <c r="J2698" t="s">
        <v>462</v>
      </c>
      <c r="K2698" t="s">
        <v>446</v>
      </c>
      <c r="M2698">
        <v>2612</v>
      </c>
      <c r="N2698" t="s">
        <v>15976</v>
      </c>
    </row>
    <row r="2699" spans="1:14">
      <c r="A2699">
        <v>15311077</v>
      </c>
      <c r="B2699">
        <v>4011731</v>
      </c>
      <c r="C2699" t="s">
        <v>9701</v>
      </c>
      <c r="D2699" t="s">
        <v>441</v>
      </c>
      <c r="F2699">
        <v>0</v>
      </c>
      <c r="G2699">
        <v>10.23</v>
      </c>
      <c r="H2699" t="s">
        <v>8588</v>
      </c>
      <c r="I2699">
        <v>6</v>
      </c>
      <c r="J2699" t="s">
        <v>462</v>
      </c>
      <c r="K2699" t="s">
        <v>446</v>
      </c>
      <c r="M2699">
        <v>2641</v>
      </c>
      <c r="N2699" t="s">
        <v>15976</v>
      </c>
    </row>
    <row r="2700" spans="1:14">
      <c r="A2700">
        <v>15320000</v>
      </c>
      <c r="B2700">
        <v>3008803</v>
      </c>
      <c r="C2700" t="s">
        <v>1791</v>
      </c>
      <c r="D2700" t="s">
        <v>441</v>
      </c>
      <c r="F2700">
        <v>0</v>
      </c>
      <c r="G2700">
        <v>7.3</v>
      </c>
      <c r="H2700" t="s">
        <v>8580</v>
      </c>
      <c r="I2700">
        <v>5</v>
      </c>
      <c r="J2700" t="s">
        <v>445</v>
      </c>
      <c r="K2700" t="s">
        <v>446</v>
      </c>
      <c r="M2700">
        <v>2390</v>
      </c>
    </row>
    <row r="2701" spans="1:14">
      <c r="A2701">
        <v>15320002</v>
      </c>
      <c r="B2701">
        <v>3007647</v>
      </c>
      <c r="C2701" t="s">
        <v>1792</v>
      </c>
      <c r="D2701" t="s">
        <v>441</v>
      </c>
      <c r="F2701">
        <v>0</v>
      </c>
      <c r="G2701">
        <v>7.79</v>
      </c>
      <c r="H2701" t="s">
        <v>8584</v>
      </c>
      <c r="I2701">
        <v>365</v>
      </c>
      <c r="J2701" t="s">
        <v>445</v>
      </c>
      <c r="K2701" t="s">
        <v>446</v>
      </c>
      <c r="M2701">
        <v>2501</v>
      </c>
    </row>
    <row r="2702" spans="1:14">
      <c r="A2702">
        <v>15320502</v>
      </c>
      <c r="B2702">
        <v>3007648</v>
      </c>
      <c r="C2702" t="s">
        <v>1793</v>
      </c>
      <c r="D2702" t="s">
        <v>441</v>
      </c>
      <c r="F2702">
        <v>0</v>
      </c>
      <c r="G2702">
        <v>7.43</v>
      </c>
      <c r="H2702" t="s">
        <v>8580</v>
      </c>
      <c r="I2702">
        <v>6</v>
      </c>
      <c r="J2702" t="s">
        <v>445</v>
      </c>
      <c r="K2702" t="s">
        <v>446</v>
      </c>
      <c r="M2702">
        <v>2641</v>
      </c>
    </row>
    <row r="2703" spans="1:14">
      <c r="A2703">
        <v>15320602</v>
      </c>
      <c r="B2703">
        <v>3007649</v>
      </c>
      <c r="C2703" t="s">
        <v>1794</v>
      </c>
      <c r="D2703" t="s">
        <v>441</v>
      </c>
      <c r="F2703">
        <v>0</v>
      </c>
      <c r="G2703">
        <v>8.33</v>
      </c>
      <c r="H2703" t="s">
        <v>8580</v>
      </c>
      <c r="I2703">
        <v>4</v>
      </c>
      <c r="J2703" t="s">
        <v>445</v>
      </c>
      <c r="K2703" t="s">
        <v>446</v>
      </c>
      <c r="M2703">
        <v>2511</v>
      </c>
    </row>
    <row r="2704" spans="1:14">
      <c r="A2704">
        <v>15330000</v>
      </c>
      <c r="B2704">
        <v>3014479</v>
      </c>
      <c r="C2704" t="s">
        <v>1795</v>
      </c>
      <c r="D2704" t="s">
        <v>441</v>
      </c>
      <c r="F2704">
        <v>0</v>
      </c>
      <c r="G2704">
        <v>5.3</v>
      </c>
      <c r="I2704">
        <v>6</v>
      </c>
      <c r="J2704" t="s">
        <v>445</v>
      </c>
      <c r="K2704" t="s">
        <v>446</v>
      </c>
      <c r="M2704">
        <v>2390</v>
      </c>
    </row>
    <row r="2705" spans="1:14">
      <c r="A2705">
        <v>15330002</v>
      </c>
      <c r="B2705">
        <v>3014512</v>
      </c>
      <c r="C2705" t="s">
        <v>14712</v>
      </c>
      <c r="D2705" t="s">
        <v>441</v>
      </c>
      <c r="F2705">
        <v>0</v>
      </c>
      <c r="G2705">
        <v>11.89</v>
      </c>
      <c r="H2705" t="s">
        <v>8588</v>
      </c>
      <c r="I2705">
        <v>540</v>
      </c>
      <c r="J2705" t="s">
        <v>445</v>
      </c>
      <c r="M2705">
        <v>7111</v>
      </c>
      <c r="N2705" t="s">
        <v>16080</v>
      </c>
    </row>
    <row r="2706" spans="1:14">
      <c r="A2706">
        <v>15330100</v>
      </c>
      <c r="B2706">
        <v>3016084</v>
      </c>
      <c r="C2706" t="s">
        <v>1796</v>
      </c>
      <c r="D2706" t="s">
        <v>441</v>
      </c>
      <c r="F2706">
        <v>0</v>
      </c>
      <c r="H2706" t="s">
        <v>8588</v>
      </c>
      <c r="I2706">
        <v>6</v>
      </c>
      <c r="J2706" t="s">
        <v>445</v>
      </c>
      <c r="M2706">
        <v>3741</v>
      </c>
      <c r="N2706" t="s">
        <v>15976</v>
      </c>
    </row>
    <row r="2707" spans="1:14">
      <c r="A2707">
        <v>15330102</v>
      </c>
      <c r="B2707">
        <v>3017994</v>
      </c>
      <c r="C2707" t="s">
        <v>9702</v>
      </c>
      <c r="D2707" t="s">
        <v>441</v>
      </c>
      <c r="F2707">
        <v>0</v>
      </c>
      <c r="G2707">
        <v>6.09</v>
      </c>
      <c r="H2707" t="s">
        <v>8588</v>
      </c>
      <c r="I2707">
        <v>365</v>
      </c>
      <c r="J2707" t="s">
        <v>445</v>
      </c>
      <c r="K2707" t="s">
        <v>446</v>
      </c>
      <c r="M2707">
        <v>3741</v>
      </c>
    </row>
    <row r="2708" spans="1:14">
      <c r="A2708">
        <v>15330110</v>
      </c>
      <c r="B2708">
        <v>3004458</v>
      </c>
      <c r="C2708" t="s">
        <v>1797</v>
      </c>
      <c r="D2708" t="s">
        <v>441</v>
      </c>
      <c r="F2708">
        <v>0</v>
      </c>
      <c r="H2708" t="s">
        <v>8549</v>
      </c>
      <c r="I2708">
        <v>6</v>
      </c>
      <c r="J2708" t="s">
        <v>445</v>
      </c>
      <c r="K2708" t="s">
        <v>446</v>
      </c>
      <c r="M2708">
        <v>3741</v>
      </c>
    </row>
    <row r="2709" spans="1:14">
      <c r="A2709">
        <v>15330112</v>
      </c>
      <c r="B2709">
        <v>3027198</v>
      </c>
      <c r="C2709" t="s">
        <v>14713</v>
      </c>
      <c r="D2709" t="s">
        <v>441</v>
      </c>
      <c r="F2709">
        <v>0</v>
      </c>
      <c r="H2709" t="s">
        <v>8588</v>
      </c>
      <c r="I2709">
        <v>540</v>
      </c>
      <c r="J2709" t="s">
        <v>445</v>
      </c>
      <c r="M2709">
        <v>7113</v>
      </c>
      <c r="N2709" t="s">
        <v>16081</v>
      </c>
    </row>
    <row r="2710" spans="1:14">
      <c r="A2710">
        <v>15330120</v>
      </c>
      <c r="B2710">
        <v>3015125</v>
      </c>
      <c r="C2710" t="s">
        <v>14714</v>
      </c>
      <c r="D2710" t="s">
        <v>441</v>
      </c>
      <c r="F2710">
        <v>0</v>
      </c>
      <c r="H2710" t="s">
        <v>8588</v>
      </c>
      <c r="I2710">
        <v>6</v>
      </c>
      <c r="J2710" t="s">
        <v>445</v>
      </c>
      <c r="M2710">
        <v>3741</v>
      </c>
      <c r="N2710" t="s">
        <v>16080</v>
      </c>
    </row>
    <row r="2711" spans="1:14">
      <c r="A2711">
        <v>15330502</v>
      </c>
      <c r="B2711">
        <v>3014509</v>
      </c>
      <c r="C2711" t="s">
        <v>14715</v>
      </c>
      <c r="D2711" t="s">
        <v>441</v>
      </c>
      <c r="F2711">
        <v>0</v>
      </c>
      <c r="G2711">
        <v>11.31</v>
      </c>
      <c r="H2711" t="s">
        <v>8580</v>
      </c>
      <c r="I2711">
        <v>540</v>
      </c>
      <c r="J2711" t="s">
        <v>445</v>
      </c>
      <c r="M2711">
        <v>2502</v>
      </c>
      <c r="N2711" t="s">
        <v>16080</v>
      </c>
    </row>
    <row r="2712" spans="1:14">
      <c r="A2712">
        <v>15330602</v>
      </c>
      <c r="B2712">
        <v>3014511</v>
      </c>
      <c r="C2712" t="s">
        <v>14716</v>
      </c>
      <c r="D2712" t="s">
        <v>441</v>
      </c>
      <c r="F2712">
        <v>0</v>
      </c>
      <c r="G2712">
        <v>12.24</v>
      </c>
      <c r="H2712" t="s">
        <v>8588</v>
      </c>
      <c r="I2712">
        <v>4</v>
      </c>
      <c r="J2712" t="s">
        <v>445</v>
      </c>
      <c r="M2712">
        <v>2510</v>
      </c>
      <c r="N2712" t="s">
        <v>16080</v>
      </c>
    </row>
    <row r="2713" spans="1:14">
      <c r="A2713">
        <v>15330612</v>
      </c>
      <c r="B2713">
        <v>3027199</v>
      </c>
      <c r="C2713" t="s">
        <v>14717</v>
      </c>
      <c r="D2713" t="s">
        <v>441</v>
      </c>
      <c r="F2713">
        <v>0</v>
      </c>
      <c r="G2713">
        <v>10.15</v>
      </c>
      <c r="H2713" t="s">
        <v>8549</v>
      </c>
      <c r="I2713">
        <v>5</v>
      </c>
      <c r="J2713" t="s">
        <v>445</v>
      </c>
      <c r="M2713">
        <v>2510</v>
      </c>
      <c r="N2713" t="s">
        <v>16081</v>
      </c>
    </row>
    <row r="2714" spans="1:14">
      <c r="A2714">
        <v>15330902</v>
      </c>
      <c r="B2714">
        <v>3020257</v>
      </c>
      <c r="C2714" t="s">
        <v>14718</v>
      </c>
      <c r="D2714" t="s">
        <v>441</v>
      </c>
      <c r="F2714">
        <v>0</v>
      </c>
      <c r="H2714" t="s">
        <v>8584</v>
      </c>
      <c r="I2714">
        <v>4</v>
      </c>
      <c r="J2714" t="s">
        <v>445</v>
      </c>
      <c r="M2714">
        <v>6666</v>
      </c>
      <c r="N2714" t="s">
        <v>16080</v>
      </c>
    </row>
    <row r="2715" spans="1:14">
      <c r="A2715">
        <v>15331100</v>
      </c>
      <c r="B2715">
        <v>3017813</v>
      </c>
      <c r="C2715" t="s">
        <v>1798</v>
      </c>
      <c r="D2715" t="s">
        <v>441</v>
      </c>
      <c r="F2715">
        <v>0</v>
      </c>
      <c r="G2715">
        <v>5.57</v>
      </c>
      <c r="H2715" t="s">
        <v>8588</v>
      </c>
      <c r="I2715">
        <v>6</v>
      </c>
      <c r="J2715" t="s">
        <v>445</v>
      </c>
      <c r="K2715" t="s">
        <v>446</v>
      </c>
      <c r="M2715">
        <v>3741</v>
      </c>
    </row>
    <row r="2716" spans="1:14">
      <c r="A2716">
        <v>15332100</v>
      </c>
      <c r="B2716">
        <v>3017812</v>
      </c>
      <c r="C2716" t="s">
        <v>1799</v>
      </c>
      <c r="D2716" t="s">
        <v>441</v>
      </c>
      <c r="F2716">
        <v>0</v>
      </c>
      <c r="G2716">
        <v>5.57</v>
      </c>
      <c r="H2716" t="s">
        <v>8588</v>
      </c>
      <c r="I2716">
        <v>6</v>
      </c>
      <c r="J2716" t="s">
        <v>445</v>
      </c>
      <c r="M2716">
        <v>3741</v>
      </c>
      <c r="N2716" t="s">
        <v>15976</v>
      </c>
    </row>
    <row r="2717" spans="1:14">
      <c r="A2717">
        <v>15340000</v>
      </c>
      <c r="B2717">
        <v>3014497</v>
      </c>
      <c r="C2717" t="s">
        <v>9703</v>
      </c>
      <c r="D2717" t="s">
        <v>441</v>
      </c>
      <c r="F2717">
        <v>0</v>
      </c>
      <c r="G2717">
        <v>8.31</v>
      </c>
      <c r="I2717">
        <v>6</v>
      </c>
      <c r="J2717" t="s">
        <v>445</v>
      </c>
      <c r="K2717" t="s">
        <v>446</v>
      </c>
      <c r="M2717">
        <v>2390</v>
      </c>
    </row>
    <row r="2718" spans="1:14">
      <c r="A2718">
        <v>15340020</v>
      </c>
      <c r="B2718">
        <v>4013897</v>
      </c>
      <c r="C2718" t="s">
        <v>9704</v>
      </c>
      <c r="D2718" t="s">
        <v>441</v>
      </c>
      <c r="F2718">
        <v>0</v>
      </c>
      <c r="G2718">
        <v>11.05</v>
      </c>
      <c r="H2718" t="s">
        <v>8588</v>
      </c>
      <c r="I2718">
        <v>6</v>
      </c>
      <c r="J2718" t="s">
        <v>462</v>
      </c>
      <c r="K2718" t="s">
        <v>446</v>
      </c>
      <c r="M2718">
        <v>2641</v>
      </c>
      <c r="N2718" t="s">
        <v>15976</v>
      </c>
    </row>
    <row r="2719" spans="1:14">
      <c r="A2719">
        <v>15340026</v>
      </c>
      <c r="B2719">
        <v>4010668</v>
      </c>
      <c r="C2719" t="s">
        <v>14719</v>
      </c>
      <c r="D2719" t="s">
        <v>441</v>
      </c>
      <c r="F2719">
        <v>0</v>
      </c>
      <c r="G2719">
        <v>14.15</v>
      </c>
      <c r="H2719" t="s">
        <v>8588</v>
      </c>
      <c r="I2719">
        <v>540</v>
      </c>
      <c r="J2719" t="s">
        <v>462</v>
      </c>
      <c r="M2719">
        <v>7111</v>
      </c>
      <c r="N2719" t="s">
        <v>16080</v>
      </c>
    </row>
    <row r="2720" spans="1:14">
      <c r="A2720">
        <v>15340027</v>
      </c>
      <c r="B2720">
        <v>4010669</v>
      </c>
      <c r="C2720" t="s">
        <v>9705</v>
      </c>
      <c r="D2720" t="s">
        <v>441</v>
      </c>
      <c r="F2720">
        <v>0</v>
      </c>
      <c r="G2720">
        <v>7.4</v>
      </c>
      <c r="H2720" t="s">
        <v>8588</v>
      </c>
      <c r="I2720">
        <v>365</v>
      </c>
      <c r="J2720" t="s">
        <v>462</v>
      </c>
      <c r="K2720" t="s">
        <v>446</v>
      </c>
      <c r="M2720">
        <v>2501</v>
      </c>
    </row>
    <row r="2721" spans="1:14">
      <c r="A2721">
        <v>15340028</v>
      </c>
      <c r="B2721">
        <v>4010665</v>
      </c>
      <c r="C2721" t="s">
        <v>9706</v>
      </c>
      <c r="D2721" t="s">
        <v>441</v>
      </c>
      <c r="F2721">
        <v>0</v>
      </c>
      <c r="G2721">
        <v>7.4</v>
      </c>
      <c r="H2721" t="s">
        <v>8588</v>
      </c>
      <c r="I2721">
        <v>365</v>
      </c>
      <c r="J2721" t="s">
        <v>462</v>
      </c>
      <c r="K2721" t="s">
        <v>446</v>
      </c>
      <c r="M2721">
        <v>2501</v>
      </c>
    </row>
    <row r="2722" spans="1:14">
      <c r="A2722">
        <v>15340050</v>
      </c>
      <c r="B2722">
        <v>4012760</v>
      </c>
      <c r="C2722" t="s">
        <v>9707</v>
      </c>
      <c r="D2722" t="s">
        <v>441</v>
      </c>
      <c r="F2722">
        <v>0</v>
      </c>
      <c r="G2722">
        <v>8.64</v>
      </c>
      <c r="H2722" t="s">
        <v>8588</v>
      </c>
      <c r="I2722">
        <v>365</v>
      </c>
      <c r="J2722" t="s">
        <v>462</v>
      </c>
      <c r="K2722" t="s">
        <v>446</v>
      </c>
      <c r="M2722">
        <v>2501</v>
      </c>
      <c r="N2722" t="s">
        <v>15976</v>
      </c>
    </row>
    <row r="2723" spans="1:14">
      <c r="A2723">
        <v>15340080</v>
      </c>
      <c r="B2723">
        <v>4012902</v>
      </c>
      <c r="C2723" t="s">
        <v>9708</v>
      </c>
      <c r="D2723" t="s">
        <v>441</v>
      </c>
      <c r="F2723">
        <v>0</v>
      </c>
      <c r="G2723">
        <v>10.24</v>
      </c>
      <c r="H2723" t="s">
        <v>8588</v>
      </c>
      <c r="I2723">
        <v>6</v>
      </c>
      <c r="J2723" t="s">
        <v>462</v>
      </c>
      <c r="K2723" t="s">
        <v>446</v>
      </c>
      <c r="M2723">
        <v>2641</v>
      </c>
      <c r="N2723" t="s">
        <v>15976</v>
      </c>
    </row>
    <row r="2724" spans="1:14">
      <c r="A2724">
        <v>15340526</v>
      </c>
      <c r="B2724">
        <v>3014504</v>
      </c>
      <c r="C2724" t="s">
        <v>14720</v>
      </c>
      <c r="D2724" t="s">
        <v>441</v>
      </c>
      <c r="F2724">
        <v>0</v>
      </c>
      <c r="G2724">
        <v>13.67</v>
      </c>
      <c r="H2724" t="s">
        <v>8580</v>
      </c>
      <c r="I2724">
        <v>540</v>
      </c>
      <c r="J2724" t="s">
        <v>445</v>
      </c>
      <c r="K2724" t="s">
        <v>446</v>
      </c>
      <c r="M2724">
        <v>2502</v>
      </c>
      <c r="N2724" t="s">
        <v>16080</v>
      </c>
    </row>
    <row r="2725" spans="1:14">
      <c r="A2725">
        <v>15340527</v>
      </c>
      <c r="B2725">
        <v>3014505</v>
      </c>
      <c r="C2725" t="s">
        <v>9709</v>
      </c>
      <c r="D2725" t="s">
        <v>441</v>
      </c>
      <c r="F2725">
        <v>0</v>
      </c>
      <c r="G2725">
        <v>7.15</v>
      </c>
      <c r="H2725" t="s">
        <v>8580</v>
      </c>
      <c r="I2725">
        <v>365</v>
      </c>
      <c r="J2725" t="s">
        <v>445</v>
      </c>
      <c r="K2725" t="s">
        <v>446</v>
      </c>
      <c r="M2725">
        <v>2641</v>
      </c>
    </row>
    <row r="2726" spans="1:14">
      <c r="A2726">
        <v>15340528</v>
      </c>
      <c r="B2726">
        <v>3014501</v>
      </c>
      <c r="C2726" t="s">
        <v>9710</v>
      </c>
      <c r="D2726" t="s">
        <v>441</v>
      </c>
      <c r="F2726">
        <v>0</v>
      </c>
      <c r="G2726">
        <v>7.15</v>
      </c>
      <c r="I2726">
        <v>365</v>
      </c>
      <c r="J2726" t="s">
        <v>445</v>
      </c>
      <c r="K2726" t="s">
        <v>446</v>
      </c>
      <c r="M2726">
        <v>2641</v>
      </c>
    </row>
    <row r="2727" spans="1:14">
      <c r="A2727">
        <v>15340550</v>
      </c>
      <c r="B2727">
        <v>3018438</v>
      </c>
      <c r="C2727" t="s">
        <v>9711</v>
      </c>
      <c r="D2727" t="s">
        <v>441</v>
      </c>
      <c r="F2727">
        <v>0</v>
      </c>
      <c r="G2727">
        <v>8.43</v>
      </c>
      <c r="H2727" t="s">
        <v>8935</v>
      </c>
      <c r="I2727">
        <v>365</v>
      </c>
      <c r="J2727" t="s">
        <v>445</v>
      </c>
      <c r="K2727" t="s">
        <v>446</v>
      </c>
      <c r="M2727">
        <v>2612</v>
      </c>
      <c r="N2727" t="s">
        <v>15976</v>
      </c>
    </row>
    <row r="2728" spans="1:14">
      <c r="A2728">
        <v>15341020</v>
      </c>
      <c r="B2728">
        <v>4013896</v>
      </c>
      <c r="C2728" t="s">
        <v>9712</v>
      </c>
      <c r="D2728" t="s">
        <v>441</v>
      </c>
      <c r="F2728">
        <v>0</v>
      </c>
      <c r="G2728">
        <v>10.27</v>
      </c>
      <c r="H2728" t="s">
        <v>8588</v>
      </c>
      <c r="I2728">
        <v>6</v>
      </c>
      <c r="J2728" t="s">
        <v>462</v>
      </c>
      <c r="K2728" t="s">
        <v>446</v>
      </c>
      <c r="M2728">
        <v>2641</v>
      </c>
      <c r="N2728" t="s">
        <v>15976</v>
      </c>
    </row>
    <row r="2729" spans="1:14">
      <c r="A2729">
        <v>15341026</v>
      </c>
      <c r="B2729">
        <v>4012065</v>
      </c>
      <c r="C2729" t="s">
        <v>9713</v>
      </c>
      <c r="D2729" t="s">
        <v>441</v>
      </c>
      <c r="F2729">
        <v>0</v>
      </c>
      <c r="G2729">
        <v>10.59</v>
      </c>
      <c r="H2729" t="s">
        <v>8588</v>
      </c>
      <c r="I2729">
        <v>365</v>
      </c>
      <c r="J2729" t="s">
        <v>462</v>
      </c>
      <c r="K2729" t="s">
        <v>446</v>
      </c>
      <c r="M2729">
        <v>2501</v>
      </c>
      <c r="N2729" t="s">
        <v>15976</v>
      </c>
    </row>
    <row r="2730" spans="1:14">
      <c r="A2730">
        <v>15341027</v>
      </c>
      <c r="B2730">
        <v>4012066</v>
      </c>
      <c r="C2730" t="s">
        <v>9714</v>
      </c>
      <c r="D2730" t="s">
        <v>441</v>
      </c>
      <c r="F2730">
        <v>0</v>
      </c>
      <c r="G2730">
        <v>7.4</v>
      </c>
      <c r="H2730" t="s">
        <v>8588</v>
      </c>
      <c r="I2730">
        <v>365</v>
      </c>
      <c r="J2730" t="s">
        <v>462</v>
      </c>
      <c r="K2730" t="s">
        <v>446</v>
      </c>
      <c r="M2730">
        <v>2501</v>
      </c>
    </row>
    <row r="2731" spans="1:14">
      <c r="A2731">
        <v>15341028</v>
      </c>
      <c r="B2731">
        <v>4012064</v>
      </c>
      <c r="C2731" t="s">
        <v>9715</v>
      </c>
      <c r="D2731" t="s">
        <v>441</v>
      </c>
      <c r="F2731">
        <v>0</v>
      </c>
      <c r="G2731">
        <v>7.4</v>
      </c>
      <c r="H2731" t="s">
        <v>8588</v>
      </c>
      <c r="I2731">
        <v>365</v>
      </c>
      <c r="J2731" t="s">
        <v>462</v>
      </c>
      <c r="K2731" t="s">
        <v>446</v>
      </c>
      <c r="M2731">
        <v>2501</v>
      </c>
    </row>
    <row r="2732" spans="1:14">
      <c r="A2732">
        <v>15341050</v>
      </c>
      <c r="B2732">
        <v>4012749</v>
      </c>
      <c r="C2732" t="s">
        <v>9716</v>
      </c>
      <c r="D2732" t="s">
        <v>441</v>
      </c>
      <c r="F2732">
        <v>0</v>
      </c>
      <c r="G2732">
        <v>8.3699999999999992</v>
      </c>
      <c r="H2732" t="s">
        <v>8588</v>
      </c>
      <c r="I2732">
        <v>365</v>
      </c>
      <c r="J2732" t="s">
        <v>462</v>
      </c>
      <c r="K2732" t="s">
        <v>446</v>
      </c>
      <c r="M2732">
        <v>2501</v>
      </c>
    </row>
    <row r="2733" spans="1:14">
      <c r="A2733">
        <v>15341080</v>
      </c>
      <c r="B2733">
        <v>4012905</v>
      </c>
      <c r="C2733" t="s">
        <v>9717</v>
      </c>
      <c r="D2733" t="s">
        <v>441</v>
      </c>
      <c r="F2733">
        <v>0</v>
      </c>
      <c r="G2733">
        <v>10.14</v>
      </c>
      <c r="H2733" t="s">
        <v>8588</v>
      </c>
      <c r="I2733">
        <v>6</v>
      </c>
      <c r="J2733" t="s">
        <v>462</v>
      </c>
      <c r="K2733" t="s">
        <v>446</v>
      </c>
      <c r="M2733">
        <v>2641</v>
      </c>
      <c r="N2733" t="s">
        <v>15976</v>
      </c>
    </row>
    <row r="2734" spans="1:14">
      <c r="A2734">
        <v>15341526</v>
      </c>
      <c r="B2734">
        <v>3017595</v>
      </c>
      <c r="C2734" t="s">
        <v>9718</v>
      </c>
      <c r="D2734" t="s">
        <v>441</v>
      </c>
      <c r="F2734">
        <v>0</v>
      </c>
      <c r="G2734">
        <v>10.4</v>
      </c>
      <c r="H2734" t="s">
        <v>8583</v>
      </c>
      <c r="I2734">
        <v>365</v>
      </c>
      <c r="J2734" t="s">
        <v>445</v>
      </c>
      <c r="K2734" t="s">
        <v>446</v>
      </c>
      <c r="M2734">
        <v>2641</v>
      </c>
      <c r="N2734" t="s">
        <v>15976</v>
      </c>
    </row>
    <row r="2735" spans="1:14">
      <c r="A2735">
        <v>15341527</v>
      </c>
      <c r="B2735">
        <v>3017596</v>
      </c>
      <c r="C2735" t="s">
        <v>9719</v>
      </c>
      <c r="D2735" t="s">
        <v>441</v>
      </c>
      <c r="F2735">
        <v>0</v>
      </c>
      <c r="G2735">
        <v>7.15</v>
      </c>
      <c r="H2735" t="s">
        <v>8580</v>
      </c>
      <c r="I2735">
        <v>365</v>
      </c>
      <c r="J2735" t="s">
        <v>445</v>
      </c>
      <c r="K2735" t="s">
        <v>446</v>
      </c>
      <c r="M2735">
        <v>2641</v>
      </c>
    </row>
    <row r="2736" spans="1:14">
      <c r="A2736">
        <v>15341528</v>
      </c>
      <c r="B2736">
        <v>3017594</v>
      </c>
      <c r="C2736" t="s">
        <v>9720</v>
      </c>
      <c r="D2736" t="s">
        <v>441</v>
      </c>
      <c r="F2736">
        <v>0</v>
      </c>
      <c r="G2736">
        <v>7.15</v>
      </c>
      <c r="H2736" t="s">
        <v>8634</v>
      </c>
      <c r="I2736">
        <v>365</v>
      </c>
      <c r="J2736" t="s">
        <v>445</v>
      </c>
      <c r="K2736" t="s">
        <v>446</v>
      </c>
      <c r="M2736">
        <v>2641</v>
      </c>
    </row>
    <row r="2737" spans="1:14">
      <c r="A2737">
        <v>15341550</v>
      </c>
      <c r="B2737">
        <v>3018439</v>
      </c>
      <c r="C2737" t="s">
        <v>9721</v>
      </c>
      <c r="D2737" t="s">
        <v>441</v>
      </c>
      <c r="F2737">
        <v>0</v>
      </c>
      <c r="G2737">
        <v>7.76</v>
      </c>
      <c r="H2737" t="s">
        <v>8935</v>
      </c>
      <c r="I2737">
        <v>365</v>
      </c>
      <c r="J2737" t="s">
        <v>445</v>
      </c>
      <c r="K2737" t="s">
        <v>446</v>
      </c>
      <c r="M2737">
        <v>2612</v>
      </c>
    </row>
    <row r="2738" spans="1:14">
      <c r="A2738">
        <v>15350000</v>
      </c>
      <c r="B2738">
        <v>3008804</v>
      </c>
      <c r="C2738" t="s">
        <v>1800</v>
      </c>
      <c r="D2738" t="s">
        <v>441</v>
      </c>
      <c r="F2738">
        <v>0</v>
      </c>
      <c r="G2738">
        <v>10.27</v>
      </c>
      <c r="H2738" t="s">
        <v>8580</v>
      </c>
      <c r="I2738">
        <v>5</v>
      </c>
      <c r="J2738" t="s">
        <v>445</v>
      </c>
      <c r="K2738" t="s">
        <v>446</v>
      </c>
      <c r="M2738">
        <v>2390</v>
      </c>
    </row>
    <row r="2739" spans="1:14">
      <c r="A2739">
        <v>15350020</v>
      </c>
      <c r="B2739">
        <v>3008687</v>
      </c>
      <c r="C2739" t="s">
        <v>9722</v>
      </c>
      <c r="D2739" t="s">
        <v>441</v>
      </c>
      <c r="F2739">
        <v>0</v>
      </c>
      <c r="G2739">
        <v>10.69</v>
      </c>
      <c r="H2739" t="s">
        <v>8588</v>
      </c>
      <c r="I2739">
        <v>6</v>
      </c>
      <c r="J2739" t="s">
        <v>445</v>
      </c>
      <c r="K2739" t="s">
        <v>446</v>
      </c>
      <c r="M2739">
        <v>2641</v>
      </c>
    </row>
    <row r="2740" spans="1:14">
      <c r="A2740">
        <v>15360020</v>
      </c>
      <c r="B2740">
        <v>4010592</v>
      </c>
      <c r="C2740" t="s">
        <v>9723</v>
      </c>
      <c r="D2740" t="s">
        <v>441</v>
      </c>
      <c r="F2740">
        <v>0</v>
      </c>
      <c r="G2740">
        <v>6.91</v>
      </c>
      <c r="H2740" t="s">
        <v>8588</v>
      </c>
      <c r="I2740">
        <v>6</v>
      </c>
      <c r="J2740" t="s">
        <v>462</v>
      </c>
      <c r="K2740" t="s">
        <v>446</v>
      </c>
      <c r="M2740">
        <v>2641</v>
      </c>
    </row>
    <row r="2741" spans="1:14">
      <c r="A2741">
        <v>15360028</v>
      </c>
      <c r="B2741">
        <v>4009571</v>
      </c>
      <c r="C2741" t="s">
        <v>9724</v>
      </c>
      <c r="D2741" t="s">
        <v>441</v>
      </c>
      <c r="F2741">
        <v>0</v>
      </c>
      <c r="G2741">
        <v>7.25</v>
      </c>
      <c r="H2741" t="s">
        <v>8588</v>
      </c>
      <c r="I2741">
        <v>365</v>
      </c>
      <c r="J2741" t="s">
        <v>462</v>
      </c>
      <c r="K2741" t="s">
        <v>446</v>
      </c>
      <c r="M2741">
        <v>2641</v>
      </c>
    </row>
    <row r="2742" spans="1:14">
      <c r="A2742">
        <v>15360076</v>
      </c>
      <c r="B2742">
        <v>4011081</v>
      </c>
      <c r="C2742" t="s">
        <v>9725</v>
      </c>
      <c r="D2742" t="s">
        <v>441</v>
      </c>
      <c r="F2742">
        <v>0</v>
      </c>
      <c r="G2742">
        <v>9.02</v>
      </c>
      <c r="H2742" t="s">
        <v>8588</v>
      </c>
      <c r="I2742">
        <v>6</v>
      </c>
      <c r="J2742" t="s">
        <v>462</v>
      </c>
      <c r="K2742" t="s">
        <v>446</v>
      </c>
      <c r="M2742">
        <v>2641</v>
      </c>
      <c r="N2742" t="s">
        <v>16076</v>
      </c>
    </row>
    <row r="2743" spans="1:14">
      <c r="A2743">
        <v>15360080</v>
      </c>
      <c r="B2743">
        <v>4009848</v>
      </c>
      <c r="C2743" t="s">
        <v>9726</v>
      </c>
      <c r="D2743" t="s">
        <v>441</v>
      </c>
      <c r="F2743">
        <v>0</v>
      </c>
      <c r="G2743">
        <v>9.08</v>
      </c>
      <c r="H2743" t="s">
        <v>8588</v>
      </c>
      <c r="I2743">
        <v>6</v>
      </c>
      <c r="J2743" t="s">
        <v>462</v>
      </c>
      <c r="K2743" t="s">
        <v>446</v>
      </c>
      <c r="M2743">
        <v>2641</v>
      </c>
      <c r="N2743" t="s">
        <v>16076</v>
      </c>
    </row>
    <row r="2744" spans="1:14">
      <c r="A2744">
        <v>15360528</v>
      </c>
      <c r="B2744">
        <v>3011850</v>
      </c>
      <c r="C2744" t="s">
        <v>9727</v>
      </c>
      <c r="D2744" t="s">
        <v>441</v>
      </c>
      <c r="F2744">
        <v>0</v>
      </c>
      <c r="G2744">
        <v>7.56</v>
      </c>
      <c r="I2744">
        <v>6</v>
      </c>
      <c r="J2744" t="s">
        <v>445</v>
      </c>
      <c r="K2744" t="s">
        <v>446</v>
      </c>
      <c r="M2744">
        <v>2641</v>
      </c>
    </row>
    <row r="2745" spans="1:14">
      <c r="A2745">
        <v>15360628</v>
      </c>
      <c r="B2745">
        <v>3013524</v>
      </c>
      <c r="C2745" t="s">
        <v>1801</v>
      </c>
      <c r="D2745" t="s">
        <v>441</v>
      </c>
      <c r="F2745">
        <v>0</v>
      </c>
      <c r="G2745">
        <v>7.48</v>
      </c>
      <c r="H2745" t="s">
        <v>8584</v>
      </c>
      <c r="I2745">
        <v>4</v>
      </c>
      <c r="J2745" t="s">
        <v>445</v>
      </c>
      <c r="K2745" t="s">
        <v>446</v>
      </c>
      <c r="M2745">
        <v>2511</v>
      </c>
    </row>
    <row r="2746" spans="1:14">
      <c r="A2746">
        <v>15361020</v>
      </c>
      <c r="B2746">
        <v>4012060</v>
      </c>
      <c r="C2746" t="s">
        <v>1802</v>
      </c>
      <c r="D2746" t="s">
        <v>441</v>
      </c>
      <c r="F2746">
        <v>0</v>
      </c>
      <c r="G2746">
        <v>6.91</v>
      </c>
      <c r="H2746" t="s">
        <v>8588</v>
      </c>
      <c r="I2746">
        <v>6</v>
      </c>
      <c r="J2746" t="s">
        <v>462</v>
      </c>
      <c r="K2746" t="s">
        <v>446</v>
      </c>
      <c r="M2746">
        <v>2641</v>
      </c>
    </row>
    <row r="2747" spans="1:14">
      <c r="A2747">
        <v>15361028</v>
      </c>
      <c r="B2747">
        <v>4011950</v>
      </c>
      <c r="C2747" t="s">
        <v>9728</v>
      </c>
      <c r="D2747" t="s">
        <v>441</v>
      </c>
      <c r="F2747">
        <v>0</v>
      </c>
      <c r="G2747">
        <v>7.25</v>
      </c>
      <c r="H2747" t="s">
        <v>8588</v>
      </c>
      <c r="I2747">
        <v>365</v>
      </c>
      <c r="J2747" t="s">
        <v>462</v>
      </c>
      <c r="K2747" t="s">
        <v>446</v>
      </c>
      <c r="M2747">
        <v>2641</v>
      </c>
    </row>
    <row r="2748" spans="1:14">
      <c r="A2748">
        <v>15361076</v>
      </c>
      <c r="B2748">
        <v>4012145</v>
      </c>
      <c r="C2748" t="s">
        <v>9729</v>
      </c>
      <c r="D2748" t="s">
        <v>441</v>
      </c>
      <c r="F2748">
        <v>0</v>
      </c>
      <c r="G2748">
        <v>9.02</v>
      </c>
      <c r="H2748" t="s">
        <v>8588</v>
      </c>
      <c r="I2748">
        <v>6</v>
      </c>
      <c r="J2748" t="s">
        <v>462</v>
      </c>
      <c r="K2748" t="s">
        <v>446</v>
      </c>
      <c r="M2748">
        <v>2641</v>
      </c>
      <c r="N2748" t="s">
        <v>16076</v>
      </c>
    </row>
    <row r="2749" spans="1:14">
      <c r="A2749">
        <v>15361080</v>
      </c>
      <c r="B2749">
        <v>4011975</v>
      </c>
      <c r="C2749" t="s">
        <v>9730</v>
      </c>
      <c r="D2749" t="s">
        <v>441</v>
      </c>
      <c r="F2749">
        <v>0</v>
      </c>
      <c r="G2749">
        <v>9.0500000000000007</v>
      </c>
      <c r="H2749" t="s">
        <v>8588</v>
      </c>
      <c r="I2749">
        <v>6</v>
      </c>
      <c r="J2749" t="s">
        <v>462</v>
      </c>
      <c r="K2749" t="s">
        <v>446</v>
      </c>
      <c r="M2749">
        <v>2641</v>
      </c>
      <c r="N2749" t="s">
        <v>16076</v>
      </c>
    </row>
    <row r="2750" spans="1:14">
      <c r="A2750">
        <v>15361528</v>
      </c>
      <c r="B2750">
        <v>3017484</v>
      </c>
      <c r="C2750" t="s">
        <v>9731</v>
      </c>
      <c r="D2750" t="s">
        <v>441</v>
      </c>
      <c r="F2750">
        <v>0</v>
      </c>
      <c r="G2750">
        <v>7.56</v>
      </c>
      <c r="I2750">
        <v>6</v>
      </c>
      <c r="J2750" t="s">
        <v>445</v>
      </c>
      <c r="K2750" t="s">
        <v>446</v>
      </c>
      <c r="M2750">
        <v>2641</v>
      </c>
    </row>
    <row r="2751" spans="1:14">
      <c r="A2751">
        <v>15366000</v>
      </c>
      <c r="B2751">
        <v>3011852</v>
      </c>
      <c r="C2751" t="s">
        <v>1803</v>
      </c>
      <c r="D2751" t="s">
        <v>441</v>
      </c>
      <c r="F2751">
        <v>0</v>
      </c>
      <c r="G2751">
        <v>6.72</v>
      </c>
      <c r="H2751" t="s">
        <v>8583</v>
      </c>
      <c r="I2751">
        <v>6</v>
      </c>
      <c r="J2751" t="s">
        <v>445</v>
      </c>
      <c r="K2751" t="s">
        <v>446</v>
      </c>
      <c r="M2751">
        <v>2390</v>
      </c>
    </row>
    <row r="2752" spans="1:14">
      <c r="A2752">
        <v>15368000</v>
      </c>
      <c r="B2752">
        <v>3012300</v>
      </c>
      <c r="C2752" t="s">
        <v>1804</v>
      </c>
      <c r="D2752" t="s">
        <v>441</v>
      </c>
      <c r="F2752">
        <v>0</v>
      </c>
      <c r="G2752">
        <v>7.22</v>
      </c>
      <c r="I2752">
        <v>6</v>
      </c>
      <c r="J2752" t="s">
        <v>445</v>
      </c>
      <c r="K2752" t="s">
        <v>446</v>
      </c>
      <c r="M2752">
        <v>2390</v>
      </c>
    </row>
    <row r="2753" spans="1:14">
      <c r="A2753">
        <v>15370000</v>
      </c>
      <c r="B2753">
        <v>3012203</v>
      </c>
      <c r="C2753" t="s">
        <v>1805</v>
      </c>
      <c r="D2753" t="s">
        <v>441</v>
      </c>
      <c r="F2753">
        <v>0</v>
      </c>
      <c r="G2753">
        <v>5.0599999999999996</v>
      </c>
      <c r="H2753" t="s">
        <v>8580</v>
      </c>
      <c r="I2753">
        <v>6</v>
      </c>
      <c r="J2753" t="s">
        <v>445</v>
      </c>
      <c r="K2753" t="s">
        <v>446</v>
      </c>
      <c r="M2753">
        <v>2390</v>
      </c>
    </row>
    <row r="2754" spans="1:14">
      <c r="A2754">
        <v>15370028</v>
      </c>
      <c r="B2754">
        <v>4009570</v>
      </c>
      <c r="C2754" t="s">
        <v>9732</v>
      </c>
      <c r="D2754" t="s">
        <v>441</v>
      </c>
      <c r="F2754">
        <v>0</v>
      </c>
      <c r="G2754">
        <v>7.28</v>
      </c>
      <c r="H2754" t="s">
        <v>8588</v>
      </c>
      <c r="I2754">
        <v>365</v>
      </c>
      <c r="J2754" t="s">
        <v>462</v>
      </c>
      <c r="K2754" t="s">
        <v>446</v>
      </c>
      <c r="M2754">
        <v>2641</v>
      </c>
    </row>
    <row r="2755" spans="1:14">
      <c r="A2755">
        <v>15370076</v>
      </c>
      <c r="B2755">
        <v>4011078</v>
      </c>
      <c r="C2755" t="s">
        <v>9733</v>
      </c>
      <c r="D2755" t="s">
        <v>441</v>
      </c>
      <c r="F2755">
        <v>0</v>
      </c>
      <c r="G2755">
        <v>8.36</v>
      </c>
      <c r="H2755" t="s">
        <v>8588</v>
      </c>
      <c r="I2755">
        <v>6</v>
      </c>
      <c r="J2755" t="s">
        <v>462</v>
      </c>
      <c r="K2755" t="s">
        <v>446</v>
      </c>
      <c r="M2755">
        <v>2641</v>
      </c>
      <c r="N2755" t="s">
        <v>16076</v>
      </c>
    </row>
    <row r="2756" spans="1:14">
      <c r="A2756">
        <v>15370080</v>
      </c>
      <c r="B2756">
        <v>4009818</v>
      </c>
      <c r="C2756" t="s">
        <v>9734</v>
      </c>
      <c r="D2756" t="s">
        <v>441</v>
      </c>
      <c r="F2756">
        <v>0</v>
      </c>
      <c r="G2756">
        <v>8.35</v>
      </c>
      <c r="H2756" t="s">
        <v>8588</v>
      </c>
      <c r="I2756">
        <v>6</v>
      </c>
      <c r="J2756" t="s">
        <v>462</v>
      </c>
      <c r="K2756" t="s">
        <v>446</v>
      </c>
      <c r="M2756">
        <v>2641</v>
      </c>
      <c r="N2756" t="s">
        <v>16076</v>
      </c>
    </row>
    <row r="2757" spans="1:14">
      <c r="A2757">
        <v>15370528</v>
      </c>
      <c r="B2757">
        <v>3011857</v>
      </c>
      <c r="C2757" t="s">
        <v>9735</v>
      </c>
      <c r="D2757" t="s">
        <v>441</v>
      </c>
      <c r="F2757">
        <v>0</v>
      </c>
      <c r="G2757">
        <v>7.6</v>
      </c>
      <c r="H2757" t="s">
        <v>8580</v>
      </c>
      <c r="I2757">
        <v>6</v>
      </c>
      <c r="J2757" t="s">
        <v>445</v>
      </c>
      <c r="K2757" t="s">
        <v>446</v>
      </c>
      <c r="M2757">
        <v>2641</v>
      </c>
    </row>
    <row r="2758" spans="1:14">
      <c r="A2758">
        <v>15370628</v>
      </c>
      <c r="B2758">
        <v>3013603</v>
      </c>
      <c r="C2758" t="s">
        <v>1806</v>
      </c>
      <c r="D2758" t="s">
        <v>441</v>
      </c>
      <c r="F2758">
        <v>0</v>
      </c>
      <c r="G2758">
        <v>7.52</v>
      </c>
      <c r="H2758" t="s">
        <v>8584</v>
      </c>
      <c r="I2758">
        <v>4</v>
      </c>
      <c r="J2758" t="s">
        <v>445</v>
      </c>
      <c r="K2758" t="s">
        <v>446</v>
      </c>
      <c r="M2758">
        <v>2511</v>
      </c>
    </row>
    <row r="2759" spans="1:14">
      <c r="A2759">
        <v>15371028</v>
      </c>
      <c r="B2759">
        <v>4011949</v>
      </c>
      <c r="C2759" t="s">
        <v>9736</v>
      </c>
      <c r="D2759" t="s">
        <v>441</v>
      </c>
      <c r="F2759">
        <v>0</v>
      </c>
      <c r="G2759">
        <v>7.28</v>
      </c>
      <c r="H2759" t="s">
        <v>8588</v>
      </c>
      <c r="I2759">
        <v>365</v>
      </c>
      <c r="J2759" t="s">
        <v>462</v>
      </c>
      <c r="K2759" t="s">
        <v>446</v>
      </c>
      <c r="M2759">
        <v>2641</v>
      </c>
    </row>
    <row r="2760" spans="1:14">
      <c r="A2760">
        <v>15371076</v>
      </c>
      <c r="B2760">
        <v>4012143</v>
      </c>
      <c r="C2760" t="s">
        <v>9737</v>
      </c>
      <c r="D2760" t="s">
        <v>441</v>
      </c>
      <c r="F2760">
        <v>0</v>
      </c>
      <c r="G2760">
        <v>8.36</v>
      </c>
      <c r="H2760" t="s">
        <v>8588</v>
      </c>
      <c r="I2760">
        <v>6</v>
      </c>
      <c r="J2760" t="s">
        <v>462</v>
      </c>
      <c r="K2760" t="s">
        <v>446</v>
      </c>
      <c r="M2760">
        <v>2641</v>
      </c>
      <c r="N2760" t="s">
        <v>16076</v>
      </c>
    </row>
    <row r="2761" spans="1:14">
      <c r="A2761">
        <v>15371080</v>
      </c>
      <c r="B2761">
        <v>4011969</v>
      </c>
      <c r="C2761" t="s">
        <v>9738</v>
      </c>
      <c r="D2761" t="s">
        <v>441</v>
      </c>
      <c r="F2761">
        <v>0</v>
      </c>
      <c r="G2761">
        <v>8.35</v>
      </c>
      <c r="H2761" t="s">
        <v>8588</v>
      </c>
      <c r="I2761">
        <v>6</v>
      </c>
      <c r="J2761" t="s">
        <v>462</v>
      </c>
      <c r="K2761" t="s">
        <v>446</v>
      </c>
      <c r="M2761">
        <v>2641</v>
      </c>
      <c r="N2761" t="s">
        <v>16076</v>
      </c>
    </row>
    <row r="2762" spans="1:14">
      <c r="A2762">
        <v>15371528</v>
      </c>
      <c r="B2762">
        <v>3017487</v>
      </c>
      <c r="C2762" t="s">
        <v>9739</v>
      </c>
      <c r="D2762" t="s">
        <v>441</v>
      </c>
      <c r="F2762">
        <v>0</v>
      </c>
      <c r="G2762">
        <v>7.6</v>
      </c>
      <c r="H2762" t="s">
        <v>8580</v>
      </c>
      <c r="I2762">
        <v>6</v>
      </c>
      <c r="J2762" t="s">
        <v>445</v>
      </c>
      <c r="K2762" t="s">
        <v>446</v>
      </c>
      <c r="M2762">
        <v>2641</v>
      </c>
    </row>
    <row r="2763" spans="1:14">
      <c r="A2763">
        <v>15376000</v>
      </c>
      <c r="B2763">
        <v>3011856</v>
      </c>
      <c r="C2763" t="s">
        <v>1807</v>
      </c>
      <c r="D2763" t="s">
        <v>441</v>
      </c>
      <c r="F2763">
        <v>0</v>
      </c>
      <c r="G2763">
        <v>5.35</v>
      </c>
      <c r="H2763" t="s">
        <v>8580</v>
      </c>
      <c r="I2763">
        <v>6</v>
      </c>
      <c r="J2763" t="s">
        <v>445</v>
      </c>
      <c r="K2763" t="s">
        <v>446</v>
      </c>
      <c r="M2763">
        <v>2390</v>
      </c>
    </row>
    <row r="2764" spans="1:14">
      <c r="A2764">
        <v>15378000</v>
      </c>
      <c r="B2764">
        <v>3012269</v>
      </c>
      <c r="C2764" t="s">
        <v>1808</v>
      </c>
      <c r="D2764" t="s">
        <v>441</v>
      </c>
      <c r="F2764">
        <v>0</v>
      </c>
      <c r="G2764">
        <v>5.16</v>
      </c>
      <c r="H2764" t="s">
        <v>8580</v>
      </c>
      <c r="I2764">
        <v>6</v>
      </c>
      <c r="J2764" t="s">
        <v>445</v>
      </c>
      <c r="K2764" t="s">
        <v>446</v>
      </c>
      <c r="M2764">
        <v>2390</v>
      </c>
    </row>
    <row r="2765" spans="1:14">
      <c r="A2765">
        <v>15380000</v>
      </c>
      <c r="B2765">
        <v>3012088</v>
      </c>
      <c r="C2765" t="s">
        <v>1809</v>
      </c>
      <c r="D2765" t="s">
        <v>441</v>
      </c>
      <c r="F2765">
        <v>0</v>
      </c>
      <c r="G2765">
        <v>9.51</v>
      </c>
      <c r="H2765" t="s">
        <v>8583</v>
      </c>
      <c r="I2765">
        <v>6</v>
      </c>
      <c r="J2765" t="s">
        <v>445</v>
      </c>
      <c r="K2765" t="s">
        <v>446</v>
      </c>
      <c r="M2765">
        <v>2314</v>
      </c>
    </row>
    <row r="2766" spans="1:14">
      <c r="A2766">
        <v>15390000</v>
      </c>
      <c r="B2766">
        <v>3012087</v>
      </c>
      <c r="C2766" t="s">
        <v>1810</v>
      </c>
      <c r="D2766" t="s">
        <v>441</v>
      </c>
      <c r="F2766">
        <v>0</v>
      </c>
      <c r="G2766">
        <v>8.58</v>
      </c>
      <c r="H2766" t="s">
        <v>8580</v>
      </c>
      <c r="I2766">
        <v>6</v>
      </c>
      <c r="J2766" t="s">
        <v>445</v>
      </c>
      <c r="K2766" t="s">
        <v>446</v>
      </c>
      <c r="M2766">
        <v>2314</v>
      </c>
    </row>
    <row r="2767" spans="1:14">
      <c r="A2767">
        <v>15400000</v>
      </c>
      <c r="B2767">
        <v>3012073</v>
      </c>
      <c r="C2767" t="s">
        <v>1811</v>
      </c>
      <c r="D2767" t="s">
        <v>441</v>
      </c>
      <c r="F2767">
        <v>0</v>
      </c>
      <c r="G2767">
        <v>8.59</v>
      </c>
      <c r="H2767" t="s">
        <v>8580</v>
      </c>
      <c r="I2767">
        <v>6</v>
      </c>
      <c r="J2767" t="s">
        <v>445</v>
      </c>
      <c r="K2767" t="s">
        <v>446</v>
      </c>
      <c r="M2767">
        <v>2390</v>
      </c>
    </row>
    <row r="2768" spans="1:14">
      <c r="A2768">
        <v>15400075</v>
      </c>
      <c r="B2768">
        <v>3012074</v>
      </c>
      <c r="C2768" t="s">
        <v>1812</v>
      </c>
      <c r="D2768" t="s">
        <v>441</v>
      </c>
      <c r="F2768">
        <v>0</v>
      </c>
      <c r="G2768">
        <v>8.76</v>
      </c>
      <c r="H2768" t="s">
        <v>8588</v>
      </c>
      <c r="I2768">
        <v>6</v>
      </c>
      <c r="J2768" t="s">
        <v>445</v>
      </c>
      <c r="K2768" t="s">
        <v>446</v>
      </c>
      <c r="M2768">
        <v>2641</v>
      </c>
    </row>
    <row r="2769" spans="1:14">
      <c r="A2769">
        <v>15400080</v>
      </c>
      <c r="B2769">
        <v>3012075</v>
      </c>
      <c r="C2769" t="s">
        <v>1813</v>
      </c>
      <c r="D2769" t="s">
        <v>441</v>
      </c>
      <c r="F2769">
        <v>0</v>
      </c>
      <c r="G2769">
        <v>8.76</v>
      </c>
      <c r="H2769" t="s">
        <v>8588</v>
      </c>
      <c r="I2769">
        <v>6</v>
      </c>
      <c r="J2769" t="s">
        <v>445</v>
      </c>
      <c r="K2769" t="s">
        <v>446</v>
      </c>
      <c r="M2769">
        <v>2641</v>
      </c>
    </row>
    <row r="2770" spans="1:14">
      <c r="A2770">
        <v>15400087</v>
      </c>
      <c r="B2770">
        <v>3012323</v>
      </c>
      <c r="C2770" t="s">
        <v>1814</v>
      </c>
      <c r="D2770" t="s">
        <v>441</v>
      </c>
      <c r="F2770">
        <v>0</v>
      </c>
      <c r="G2770">
        <v>8.73</v>
      </c>
      <c r="H2770" t="s">
        <v>8588</v>
      </c>
      <c r="I2770">
        <v>6</v>
      </c>
      <c r="J2770" t="s">
        <v>445</v>
      </c>
      <c r="K2770" t="s">
        <v>446</v>
      </c>
      <c r="M2770">
        <v>2641</v>
      </c>
    </row>
    <row r="2771" spans="1:14">
      <c r="A2771">
        <v>15410000</v>
      </c>
      <c r="B2771">
        <v>3007650</v>
      </c>
      <c r="C2771" t="s">
        <v>1815</v>
      </c>
      <c r="D2771" t="s">
        <v>441</v>
      </c>
      <c r="F2771">
        <v>0</v>
      </c>
      <c r="G2771">
        <v>7.33</v>
      </c>
      <c r="H2771" t="s">
        <v>8935</v>
      </c>
      <c r="I2771">
        <v>5</v>
      </c>
      <c r="J2771" t="s">
        <v>445</v>
      </c>
      <c r="K2771" t="s">
        <v>446</v>
      </c>
      <c r="M2771">
        <v>2390</v>
      </c>
      <c r="N2771" t="s">
        <v>16085</v>
      </c>
    </row>
    <row r="2772" spans="1:14">
      <c r="A2772">
        <v>15410002</v>
      </c>
      <c r="B2772">
        <v>3007651</v>
      </c>
      <c r="C2772" t="s">
        <v>1816</v>
      </c>
      <c r="D2772" t="s">
        <v>441</v>
      </c>
      <c r="F2772">
        <v>0</v>
      </c>
      <c r="G2772">
        <v>12.73</v>
      </c>
      <c r="H2772" t="s">
        <v>8588</v>
      </c>
      <c r="I2772">
        <v>365</v>
      </c>
      <c r="J2772" t="s">
        <v>445</v>
      </c>
      <c r="K2772" t="s">
        <v>446</v>
      </c>
      <c r="M2772">
        <v>2501</v>
      </c>
      <c r="N2772" t="s">
        <v>16070</v>
      </c>
    </row>
    <row r="2773" spans="1:14">
      <c r="A2773">
        <v>15410019</v>
      </c>
      <c r="B2773">
        <v>4008146</v>
      </c>
      <c r="C2773" t="s">
        <v>9740</v>
      </c>
      <c r="D2773" t="s">
        <v>441</v>
      </c>
      <c r="F2773">
        <v>0</v>
      </c>
      <c r="G2773">
        <v>8.49</v>
      </c>
      <c r="H2773" t="s">
        <v>8588</v>
      </c>
      <c r="I2773">
        <v>365</v>
      </c>
      <c r="J2773" t="s">
        <v>462</v>
      </c>
      <c r="K2773" t="s">
        <v>446</v>
      </c>
      <c r="M2773">
        <v>2501</v>
      </c>
    </row>
    <row r="2774" spans="1:14">
      <c r="A2774">
        <v>15410020</v>
      </c>
      <c r="B2774">
        <v>4003842</v>
      </c>
      <c r="C2774" t="s">
        <v>9741</v>
      </c>
      <c r="D2774" t="s">
        <v>441</v>
      </c>
      <c r="F2774">
        <v>0</v>
      </c>
      <c r="G2774">
        <v>12.59</v>
      </c>
      <c r="H2774" t="s">
        <v>8588</v>
      </c>
      <c r="I2774">
        <v>6</v>
      </c>
      <c r="J2774" t="s">
        <v>462</v>
      </c>
      <c r="K2774" t="s">
        <v>446</v>
      </c>
      <c r="M2774">
        <v>2641</v>
      </c>
      <c r="N2774" t="s">
        <v>16070</v>
      </c>
    </row>
    <row r="2775" spans="1:14">
      <c r="A2775">
        <v>15410041</v>
      </c>
      <c r="B2775">
        <v>4003845</v>
      </c>
      <c r="C2775" t="s">
        <v>9742</v>
      </c>
      <c r="D2775" t="s">
        <v>441</v>
      </c>
      <c r="F2775">
        <v>0</v>
      </c>
      <c r="G2775">
        <v>10.16</v>
      </c>
      <c r="H2775" t="s">
        <v>8588</v>
      </c>
      <c r="I2775">
        <v>16</v>
      </c>
      <c r="J2775" t="s">
        <v>462</v>
      </c>
      <c r="K2775" t="s">
        <v>446</v>
      </c>
      <c r="M2775">
        <v>2612</v>
      </c>
      <c r="N2775" t="s">
        <v>16070</v>
      </c>
    </row>
    <row r="2776" spans="1:14">
      <c r="A2776">
        <v>15410042</v>
      </c>
      <c r="B2776">
        <v>4012208</v>
      </c>
      <c r="C2776" t="s">
        <v>9743</v>
      </c>
      <c r="D2776" t="s">
        <v>441</v>
      </c>
      <c r="F2776">
        <v>0</v>
      </c>
      <c r="G2776">
        <v>10.37</v>
      </c>
      <c r="H2776" t="s">
        <v>8588</v>
      </c>
      <c r="I2776">
        <v>10</v>
      </c>
      <c r="J2776" t="s">
        <v>462</v>
      </c>
      <c r="K2776" t="s">
        <v>446</v>
      </c>
      <c r="M2776">
        <v>2612</v>
      </c>
      <c r="N2776" t="s">
        <v>16070</v>
      </c>
    </row>
    <row r="2777" spans="1:14">
      <c r="A2777">
        <v>15410050</v>
      </c>
      <c r="B2777">
        <v>4011134</v>
      </c>
      <c r="C2777" t="s">
        <v>9744</v>
      </c>
      <c r="D2777" t="s">
        <v>441</v>
      </c>
      <c r="F2777">
        <v>0</v>
      </c>
      <c r="G2777">
        <v>12.89</v>
      </c>
      <c r="H2777" t="s">
        <v>8588</v>
      </c>
      <c r="I2777">
        <v>10</v>
      </c>
      <c r="J2777" t="s">
        <v>462</v>
      </c>
      <c r="K2777" t="s">
        <v>446</v>
      </c>
      <c r="M2777">
        <v>2612</v>
      </c>
      <c r="N2777" t="s">
        <v>16070</v>
      </c>
    </row>
    <row r="2778" spans="1:14">
      <c r="A2778">
        <v>15410051</v>
      </c>
      <c r="B2778">
        <v>4009466</v>
      </c>
      <c r="C2778" t="s">
        <v>9745</v>
      </c>
      <c r="D2778" t="s">
        <v>441</v>
      </c>
      <c r="F2778">
        <v>0</v>
      </c>
      <c r="G2778">
        <v>8.89</v>
      </c>
      <c r="H2778" t="s">
        <v>8588</v>
      </c>
      <c r="I2778">
        <v>21</v>
      </c>
      <c r="J2778" t="s">
        <v>462</v>
      </c>
      <c r="K2778" t="s">
        <v>446</v>
      </c>
      <c r="M2778">
        <v>2612</v>
      </c>
    </row>
    <row r="2779" spans="1:14">
      <c r="A2779">
        <v>15410052</v>
      </c>
      <c r="B2779">
        <v>4009988</v>
      </c>
      <c r="C2779" t="s">
        <v>9746</v>
      </c>
      <c r="D2779" t="s">
        <v>441</v>
      </c>
      <c r="F2779">
        <v>0</v>
      </c>
      <c r="G2779">
        <v>10.19</v>
      </c>
      <c r="H2779" t="s">
        <v>8588</v>
      </c>
      <c r="I2779">
        <v>11</v>
      </c>
      <c r="J2779" t="s">
        <v>462</v>
      </c>
      <c r="K2779" t="s">
        <v>446</v>
      </c>
      <c r="M2779">
        <v>2612</v>
      </c>
      <c r="N2779" t="s">
        <v>16070</v>
      </c>
    </row>
    <row r="2780" spans="1:14">
      <c r="A2780">
        <v>15410053</v>
      </c>
      <c r="B2780">
        <v>4011135</v>
      </c>
      <c r="C2780" t="s">
        <v>9747</v>
      </c>
      <c r="D2780" t="s">
        <v>441</v>
      </c>
      <c r="F2780">
        <v>0</v>
      </c>
      <c r="G2780">
        <v>13.07</v>
      </c>
      <c r="H2780" t="s">
        <v>8588</v>
      </c>
      <c r="I2780">
        <v>10</v>
      </c>
      <c r="J2780" t="s">
        <v>462</v>
      </c>
      <c r="K2780" t="s">
        <v>446</v>
      </c>
      <c r="M2780">
        <v>2612</v>
      </c>
      <c r="N2780" t="s">
        <v>16070</v>
      </c>
    </row>
    <row r="2781" spans="1:14">
      <c r="A2781">
        <v>15410054</v>
      </c>
      <c r="B2781">
        <v>4011127</v>
      </c>
      <c r="C2781" t="s">
        <v>9748</v>
      </c>
      <c r="D2781" t="s">
        <v>441</v>
      </c>
      <c r="F2781">
        <v>0</v>
      </c>
      <c r="G2781">
        <v>10.24</v>
      </c>
      <c r="H2781" t="s">
        <v>8588</v>
      </c>
      <c r="I2781">
        <v>10</v>
      </c>
      <c r="J2781" t="s">
        <v>462</v>
      </c>
      <c r="K2781" t="s">
        <v>446</v>
      </c>
      <c r="M2781">
        <v>2612</v>
      </c>
      <c r="N2781" t="s">
        <v>16070</v>
      </c>
    </row>
    <row r="2782" spans="1:14">
      <c r="A2782">
        <v>15410055</v>
      </c>
      <c r="B2782">
        <v>4011251</v>
      </c>
      <c r="C2782" t="s">
        <v>9749</v>
      </c>
      <c r="D2782" t="s">
        <v>441</v>
      </c>
      <c r="F2782">
        <v>0</v>
      </c>
      <c r="G2782">
        <v>11.69</v>
      </c>
      <c r="H2782" t="s">
        <v>8588</v>
      </c>
      <c r="I2782">
        <v>16</v>
      </c>
      <c r="J2782" t="s">
        <v>462</v>
      </c>
      <c r="K2782" t="s">
        <v>446</v>
      </c>
      <c r="M2782">
        <v>2612</v>
      </c>
      <c r="N2782" t="s">
        <v>16085</v>
      </c>
    </row>
    <row r="2783" spans="1:14">
      <c r="A2783">
        <v>15410056</v>
      </c>
      <c r="B2783">
        <v>4012679</v>
      </c>
      <c r="C2783" t="s">
        <v>9750</v>
      </c>
      <c r="D2783" t="s">
        <v>441</v>
      </c>
      <c r="F2783">
        <v>0</v>
      </c>
      <c r="G2783">
        <v>10.11</v>
      </c>
      <c r="H2783" t="s">
        <v>8588</v>
      </c>
      <c r="I2783">
        <v>13</v>
      </c>
      <c r="J2783" t="s">
        <v>462</v>
      </c>
      <c r="K2783" t="s">
        <v>446</v>
      </c>
      <c r="M2783">
        <v>2612</v>
      </c>
      <c r="N2783" t="s">
        <v>16070</v>
      </c>
    </row>
    <row r="2784" spans="1:14">
      <c r="A2784">
        <v>15410061</v>
      </c>
      <c r="B2784">
        <v>4009987</v>
      </c>
      <c r="C2784" t="s">
        <v>9751</v>
      </c>
      <c r="D2784" t="s">
        <v>441</v>
      </c>
      <c r="F2784">
        <v>0</v>
      </c>
      <c r="G2784">
        <v>9.0399999999999991</v>
      </c>
      <c r="H2784" t="s">
        <v>8588</v>
      </c>
      <c r="I2784">
        <v>365</v>
      </c>
      <c r="J2784" t="s">
        <v>462</v>
      </c>
      <c r="K2784" t="s">
        <v>446</v>
      </c>
      <c r="M2784">
        <v>2501</v>
      </c>
    </row>
    <row r="2785" spans="1:14">
      <c r="A2785">
        <v>15410075</v>
      </c>
      <c r="B2785">
        <v>3000107</v>
      </c>
      <c r="C2785" t="s">
        <v>9752</v>
      </c>
      <c r="D2785" t="s">
        <v>441</v>
      </c>
      <c r="F2785">
        <v>0</v>
      </c>
      <c r="G2785">
        <v>8.15</v>
      </c>
      <c r="H2785" t="s">
        <v>8588</v>
      </c>
      <c r="I2785">
        <v>6</v>
      </c>
      <c r="J2785" t="s">
        <v>445</v>
      </c>
      <c r="K2785" t="s">
        <v>446</v>
      </c>
      <c r="M2785">
        <v>2641</v>
      </c>
    </row>
    <row r="2786" spans="1:14">
      <c r="A2786">
        <v>15410100</v>
      </c>
      <c r="B2786">
        <v>3007652</v>
      </c>
      <c r="C2786" t="s">
        <v>14721</v>
      </c>
      <c r="D2786" t="s">
        <v>441</v>
      </c>
      <c r="F2786">
        <v>0</v>
      </c>
      <c r="H2786" t="s">
        <v>8935</v>
      </c>
      <c r="I2786">
        <v>9</v>
      </c>
      <c r="J2786" t="s">
        <v>445</v>
      </c>
      <c r="K2786" t="s">
        <v>446</v>
      </c>
      <c r="M2786">
        <v>7161</v>
      </c>
      <c r="N2786" t="s">
        <v>16086</v>
      </c>
    </row>
    <row r="2787" spans="1:14">
      <c r="A2787">
        <v>15410102</v>
      </c>
      <c r="B2787">
        <v>3007653</v>
      </c>
      <c r="C2787" t="s">
        <v>14722</v>
      </c>
      <c r="D2787" t="s">
        <v>441</v>
      </c>
      <c r="F2787">
        <v>0</v>
      </c>
      <c r="I2787">
        <v>9</v>
      </c>
      <c r="J2787" t="s">
        <v>445</v>
      </c>
      <c r="K2787" t="s">
        <v>446</v>
      </c>
      <c r="M2787">
        <v>7113</v>
      </c>
      <c r="N2787" t="s">
        <v>16086</v>
      </c>
    </row>
    <row r="2788" spans="1:14">
      <c r="A2788">
        <v>15410120</v>
      </c>
      <c r="B2788">
        <v>4009113</v>
      </c>
      <c r="C2788" t="s">
        <v>1817</v>
      </c>
      <c r="D2788" t="s">
        <v>441</v>
      </c>
      <c r="F2788">
        <v>0</v>
      </c>
      <c r="G2788">
        <v>11.24</v>
      </c>
      <c r="H2788" t="s">
        <v>8588</v>
      </c>
      <c r="I2788">
        <v>6</v>
      </c>
      <c r="J2788" t="s">
        <v>462</v>
      </c>
      <c r="K2788" t="s">
        <v>446</v>
      </c>
      <c r="M2788">
        <v>7161</v>
      </c>
    </row>
    <row r="2789" spans="1:14">
      <c r="A2789">
        <v>15410502</v>
      </c>
      <c r="B2789">
        <v>3007654</v>
      </c>
      <c r="C2789" t="s">
        <v>1818</v>
      </c>
      <c r="D2789" t="s">
        <v>441</v>
      </c>
      <c r="F2789">
        <v>0</v>
      </c>
      <c r="G2789">
        <v>12.44</v>
      </c>
      <c r="I2789">
        <v>6</v>
      </c>
      <c r="J2789" t="s">
        <v>445</v>
      </c>
      <c r="K2789" t="s">
        <v>446</v>
      </c>
      <c r="M2789">
        <v>2641</v>
      </c>
      <c r="N2789" t="s">
        <v>16070</v>
      </c>
    </row>
    <row r="2790" spans="1:14">
      <c r="A2790">
        <v>15410519</v>
      </c>
      <c r="B2790">
        <v>3008961</v>
      </c>
      <c r="C2790" t="s">
        <v>9753</v>
      </c>
      <c r="D2790" t="s">
        <v>441</v>
      </c>
      <c r="F2790">
        <v>0</v>
      </c>
      <c r="G2790">
        <v>8.98</v>
      </c>
      <c r="H2790" t="s">
        <v>8580</v>
      </c>
      <c r="I2790">
        <v>6</v>
      </c>
      <c r="J2790" t="s">
        <v>445</v>
      </c>
      <c r="K2790" t="s">
        <v>446</v>
      </c>
      <c r="M2790">
        <v>2641</v>
      </c>
    </row>
    <row r="2791" spans="1:14">
      <c r="A2791">
        <v>15410561</v>
      </c>
      <c r="B2791">
        <v>3012448</v>
      </c>
      <c r="C2791" t="s">
        <v>9754</v>
      </c>
      <c r="D2791" t="s">
        <v>441</v>
      </c>
      <c r="F2791">
        <v>0</v>
      </c>
      <c r="G2791">
        <v>9.5</v>
      </c>
      <c r="I2791">
        <v>365</v>
      </c>
      <c r="J2791" t="s">
        <v>445</v>
      </c>
      <c r="K2791" t="s">
        <v>446</v>
      </c>
      <c r="M2791">
        <v>2612</v>
      </c>
    </row>
    <row r="2792" spans="1:14">
      <c r="A2792">
        <v>15410602</v>
      </c>
      <c r="B2792">
        <v>3007655</v>
      </c>
      <c r="C2792" t="s">
        <v>1819</v>
      </c>
      <c r="D2792" t="s">
        <v>441</v>
      </c>
      <c r="F2792">
        <v>0</v>
      </c>
      <c r="G2792">
        <v>13.16</v>
      </c>
      <c r="H2792" t="s">
        <v>8588</v>
      </c>
      <c r="I2792">
        <v>4</v>
      </c>
      <c r="J2792" t="s">
        <v>445</v>
      </c>
      <c r="K2792" t="s">
        <v>446</v>
      </c>
      <c r="M2792">
        <v>2511</v>
      </c>
      <c r="N2792" t="s">
        <v>16070</v>
      </c>
    </row>
    <row r="2793" spans="1:14">
      <c r="A2793">
        <v>15410619</v>
      </c>
      <c r="B2793">
        <v>3012002</v>
      </c>
      <c r="C2793" t="s">
        <v>1820</v>
      </c>
      <c r="D2793" t="s">
        <v>441</v>
      </c>
      <c r="F2793">
        <v>0</v>
      </c>
      <c r="G2793">
        <v>9.06</v>
      </c>
      <c r="H2793" t="s">
        <v>8584</v>
      </c>
      <c r="I2793">
        <v>4</v>
      </c>
      <c r="J2793" t="s">
        <v>445</v>
      </c>
      <c r="K2793" t="s">
        <v>446</v>
      </c>
      <c r="M2793">
        <v>2511</v>
      </c>
    </row>
    <row r="2794" spans="1:14">
      <c r="A2794">
        <v>15410902</v>
      </c>
      <c r="B2794">
        <v>3020258</v>
      </c>
      <c r="C2794" t="s">
        <v>1821</v>
      </c>
      <c r="D2794" t="s">
        <v>441</v>
      </c>
      <c r="F2794">
        <v>0</v>
      </c>
      <c r="G2794">
        <v>8.69</v>
      </c>
      <c r="H2794" t="s">
        <v>8584</v>
      </c>
      <c r="I2794">
        <v>4</v>
      </c>
      <c r="J2794" t="s">
        <v>445</v>
      </c>
      <c r="K2794" t="s">
        <v>446</v>
      </c>
      <c r="M2794">
        <v>6666</v>
      </c>
      <c r="N2794" t="s">
        <v>16070</v>
      </c>
    </row>
    <row r="2795" spans="1:14">
      <c r="A2795">
        <v>15411019</v>
      </c>
      <c r="B2795">
        <v>4011767</v>
      </c>
      <c r="C2795" t="s">
        <v>9755</v>
      </c>
      <c r="D2795" t="s">
        <v>441</v>
      </c>
      <c r="F2795">
        <v>0</v>
      </c>
      <c r="G2795">
        <v>8.49</v>
      </c>
      <c r="H2795" t="s">
        <v>8588</v>
      </c>
      <c r="I2795">
        <v>365</v>
      </c>
      <c r="J2795" t="s">
        <v>462</v>
      </c>
      <c r="K2795" t="s">
        <v>446</v>
      </c>
      <c r="M2795">
        <v>2501</v>
      </c>
    </row>
    <row r="2796" spans="1:14">
      <c r="A2796">
        <v>15411020</v>
      </c>
      <c r="B2796">
        <v>4011605</v>
      </c>
      <c r="C2796" t="s">
        <v>9756</v>
      </c>
      <c r="D2796" t="s">
        <v>441</v>
      </c>
      <c r="F2796">
        <v>0</v>
      </c>
      <c r="G2796">
        <v>12.59</v>
      </c>
      <c r="H2796" t="s">
        <v>8588</v>
      </c>
      <c r="I2796">
        <v>6</v>
      </c>
      <c r="J2796" t="s">
        <v>462</v>
      </c>
      <c r="K2796" t="s">
        <v>446</v>
      </c>
      <c r="M2796">
        <v>2641</v>
      </c>
      <c r="N2796" t="s">
        <v>16070</v>
      </c>
    </row>
    <row r="2797" spans="1:14">
      <c r="A2797">
        <v>15411041</v>
      </c>
      <c r="B2797">
        <v>4011606</v>
      </c>
      <c r="C2797" t="s">
        <v>9757</v>
      </c>
      <c r="D2797" t="s">
        <v>441</v>
      </c>
      <c r="F2797">
        <v>0</v>
      </c>
      <c r="G2797">
        <v>11.62</v>
      </c>
      <c r="H2797" t="s">
        <v>8588</v>
      </c>
      <c r="I2797">
        <v>16</v>
      </c>
      <c r="J2797" t="s">
        <v>462</v>
      </c>
      <c r="K2797" t="s">
        <v>446</v>
      </c>
      <c r="M2797">
        <v>2612</v>
      </c>
      <c r="N2797" t="s">
        <v>16085</v>
      </c>
    </row>
    <row r="2798" spans="1:14">
      <c r="A2798">
        <v>15411042</v>
      </c>
      <c r="B2798">
        <v>4012207</v>
      </c>
      <c r="C2798" t="s">
        <v>9758</v>
      </c>
      <c r="D2798" t="s">
        <v>441</v>
      </c>
      <c r="F2798">
        <v>0</v>
      </c>
      <c r="G2798">
        <v>10.37</v>
      </c>
      <c r="H2798" t="s">
        <v>8588</v>
      </c>
      <c r="I2798">
        <v>10</v>
      </c>
      <c r="J2798" t="s">
        <v>462</v>
      </c>
      <c r="K2798" t="s">
        <v>446</v>
      </c>
      <c r="M2798">
        <v>2612</v>
      </c>
      <c r="N2798" t="s">
        <v>16070</v>
      </c>
    </row>
    <row r="2799" spans="1:14">
      <c r="A2799">
        <v>15411050</v>
      </c>
      <c r="B2799">
        <v>4012171</v>
      </c>
      <c r="C2799" t="s">
        <v>9759</v>
      </c>
      <c r="D2799" t="s">
        <v>441</v>
      </c>
      <c r="F2799">
        <v>0</v>
      </c>
      <c r="G2799">
        <v>12.89</v>
      </c>
      <c r="H2799" t="s">
        <v>8588</v>
      </c>
      <c r="I2799">
        <v>10</v>
      </c>
      <c r="J2799" t="s">
        <v>462</v>
      </c>
      <c r="K2799" t="s">
        <v>446</v>
      </c>
      <c r="M2799">
        <v>2612</v>
      </c>
      <c r="N2799" t="s">
        <v>16070</v>
      </c>
    </row>
    <row r="2800" spans="1:14">
      <c r="A2800">
        <v>15411051</v>
      </c>
      <c r="B2800">
        <v>4011924</v>
      </c>
      <c r="C2800" t="s">
        <v>9760</v>
      </c>
      <c r="D2800" t="s">
        <v>441</v>
      </c>
      <c r="F2800">
        <v>0</v>
      </c>
      <c r="G2800">
        <v>8.89</v>
      </c>
      <c r="H2800" t="s">
        <v>8588</v>
      </c>
      <c r="I2800">
        <v>21</v>
      </c>
      <c r="J2800" t="s">
        <v>462</v>
      </c>
      <c r="K2800" t="s">
        <v>446</v>
      </c>
      <c r="M2800">
        <v>2612</v>
      </c>
    </row>
    <row r="2801" spans="1:14">
      <c r="A2801">
        <v>15411052</v>
      </c>
      <c r="B2801">
        <v>4012013</v>
      </c>
      <c r="C2801" t="s">
        <v>1822</v>
      </c>
      <c r="D2801" t="s">
        <v>441</v>
      </c>
      <c r="F2801">
        <v>0</v>
      </c>
      <c r="G2801">
        <v>8.7899999999999991</v>
      </c>
      <c r="H2801" t="s">
        <v>8588</v>
      </c>
      <c r="I2801">
        <v>11</v>
      </c>
      <c r="J2801" t="s">
        <v>462</v>
      </c>
      <c r="K2801" t="s">
        <v>446</v>
      </c>
      <c r="M2801">
        <v>2612</v>
      </c>
    </row>
    <row r="2802" spans="1:14">
      <c r="A2802">
        <v>15411053</v>
      </c>
      <c r="B2802">
        <v>4012172</v>
      </c>
      <c r="C2802" t="s">
        <v>9761</v>
      </c>
      <c r="D2802" t="s">
        <v>441</v>
      </c>
      <c r="F2802">
        <v>0</v>
      </c>
      <c r="G2802">
        <v>13.07</v>
      </c>
      <c r="H2802" t="s">
        <v>8588</v>
      </c>
      <c r="I2802">
        <v>10</v>
      </c>
      <c r="J2802" t="s">
        <v>462</v>
      </c>
      <c r="K2802" t="s">
        <v>446</v>
      </c>
      <c r="M2802">
        <v>2612</v>
      </c>
      <c r="N2802" t="s">
        <v>16070</v>
      </c>
    </row>
    <row r="2803" spans="1:14">
      <c r="A2803">
        <v>15411054</v>
      </c>
      <c r="B2803">
        <v>4012164</v>
      </c>
      <c r="C2803" t="s">
        <v>9762</v>
      </c>
      <c r="D2803" t="s">
        <v>441</v>
      </c>
      <c r="F2803">
        <v>0</v>
      </c>
      <c r="G2803">
        <v>10.210000000000001</v>
      </c>
      <c r="H2803" t="s">
        <v>8588</v>
      </c>
      <c r="I2803">
        <v>10</v>
      </c>
      <c r="J2803" t="s">
        <v>462</v>
      </c>
      <c r="K2803" t="s">
        <v>446</v>
      </c>
      <c r="M2803">
        <v>2612</v>
      </c>
      <c r="N2803" t="s">
        <v>16070</v>
      </c>
    </row>
    <row r="2804" spans="1:14">
      <c r="A2804">
        <v>15411055</v>
      </c>
      <c r="B2804">
        <v>4012175</v>
      </c>
      <c r="C2804" t="s">
        <v>9763</v>
      </c>
      <c r="D2804" t="s">
        <v>441</v>
      </c>
      <c r="F2804">
        <v>0</v>
      </c>
      <c r="G2804">
        <v>13.99</v>
      </c>
      <c r="H2804" t="s">
        <v>8588</v>
      </c>
      <c r="I2804">
        <v>16</v>
      </c>
      <c r="J2804" t="s">
        <v>462</v>
      </c>
      <c r="M2804">
        <v>2612</v>
      </c>
      <c r="N2804" t="s">
        <v>16070</v>
      </c>
    </row>
    <row r="2805" spans="1:14">
      <c r="A2805">
        <v>15411056</v>
      </c>
      <c r="B2805">
        <v>4012680</v>
      </c>
      <c r="C2805" t="s">
        <v>9764</v>
      </c>
      <c r="D2805" t="s">
        <v>441</v>
      </c>
      <c r="F2805">
        <v>0</v>
      </c>
      <c r="G2805">
        <v>10.11</v>
      </c>
      <c r="H2805" t="s">
        <v>8588</v>
      </c>
      <c r="I2805">
        <v>13</v>
      </c>
      <c r="J2805" t="s">
        <v>462</v>
      </c>
      <c r="K2805" t="s">
        <v>446</v>
      </c>
      <c r="M2805">
        <v>2612</v>
      </c>
      <c r="N2805" t="s">
        <v>16070</v>
      </c>
    </row>
    <row r="2806" spans="1:14">
      <c r="A2806">
        <v>15411061</v>
      </c>
      <c r="B2806">
        <v>4012012</v>
      </c>
      <c r="C2806" t="s">
        <v>1823</v>
      </c>
      <c r="D2806" t="s">
        <v>441</v>
      </c>
      <c r="F2806">
        <v>0</v>
      </c>
      <c r="G2806">
        <v>9.0399999999999991</v>
      </c>
      <c r="H2806" t="s">
        <v>8588</v>
      </c>
      <c r="I2806">
        <v>365</v>
      </c>
      <c r="J2806" t="s">
        <v>462</v>
      </c>
      <c r="K2806" t="s">
        <v>446</v>
      </c>
      <c r="M2806">
        <v>2501</v>
      </c>
    </row>
    <row r="2807" spans="1:14">
      <c r="A2807">
        <v>15411519</v>
      </c>
      <c r="B2807">
        <v>3017431</v>
      </c>
      <c r="C2807" t="s">
        <v>9765</v>
      </c>
      <c r="D2807" t="s">
        <v>441</v>
      </c>
      <c r="F2807">
        <v>0</v>
      </c>
      <c r="G2807">
        <v>8.98</v>
      </c>
      <c r="H2807" t="s">
        <v>8580</v>
      </c>
      <c r="I2807">
        <v>6</v>
      </c>
      <c r="J2807" t="s">
        <v>445</v>
      </c>
      <c r="K2807" t="s">
        <v>446</v>
      </c>
      <c r="M2807">
        <v>2641</v>
      </c>
    </row>
    <row r="2808" spans="1:14">
      <c r="A2808">
        <v>15411561</v>
      </c>
      <c r="B2808">
        <v>3017528</v>
      </c>
      <c r="C2808" t="s">
        <v>9766</v>
      </c>
      <c r="D2808" t="s">
        <v>441</v>
      </c>
      <c r="F2808">
        <v>0</v>
      </c>
      <c r="G2808">
        <v>9.5</v>
      </c>
      <c r="H2808" t="s">
        <v>8580</v>
      </c>
      <c r="I2808">
        <v>365</v>
      </c>
      <c r="J2808" t="s">
        <v>445</v>
      </c>
      <c r="K2808" t="s">
        <v>446</v>
      </c>
      <c r="M2808">
        <v>2612</v>
      </c>
    </row>
    <row r="2809" spans="1:14">
      <c r="A2809">
        <v>15416000</v>
      </c>
      <c r="B2809">
        <v>3011369</v>
      </c>
      <c r="C2809" t="s">
        <v>1824</v>
      </c>
      <c r="D2809" t="s">
        <v>441</v>
      </c>
      <c r="F2809">
        <v>0</v>
      </c>
      <c r="G2809">
        <v>8.85</v>
      </c>
      <c r="H2809" t="s">
        <v>8580</v>
      </c>
      <c r="I2809">
        <v>6</v>
      </c>
      <c r="J2809" t="s">
        <v>445</v>
      </c>
      <c r="K2809" t="s">
        <v>446</v>
      </c>
      <c r="M2809">
        <v>2390</v>
      </c>
    </row>
    <row r="2810" spans="1:14">
      <c r="A2810">
        <v>15420000</v>
      </c>
      <c r="B2810">
        <v>3014694</v>
      </c>
      <c r="C2810" t="s">
        <v>1825</v>
      </c>
      <c r="D2810" t="s">
        <v>441</v>
      </c>
      <c r="F2810">
        <v>0</v>
      </c>
      <c r="G2810">
        <v>5.0199999999999996</v>
      </c>
      <c r="H2810" t="s">
        <v>8580</v>
      </c>
      <c r="I2810">
        <v>6</v>
      </c>
      <c r="J2810" t="s">
        <v>445</v>
      </c>
      <c r="K2810" t="s">
        <v>446</v>
      </c>
      <c r="M2810">
        <v>2390</v>
      </c>
    </row>
    <row r="2811" spans="1:14">
      <c r="A2811">
        <v>15420076</v>
      </c>
      <c r="B2811">
        <v>4011080</v>
      </c>
      <c r="C2811" t="s">
        <v>9767</v>
      </c>
      <c r="D2811" t="s">
        <v>441</v>
      </c>
      <c r="F2811">
        <v>0</v>
      </c>
      <c r="G2811">
        <v>7.92</v>
      </c>
      <c r="H2811" t="s">
        <v>8588</v>
      </c>
      <c r="I2811">
        <v>6</v>
      </c>
      <c r="J2811" t="s">
        <v>462</v>
      </c>
      <c r="K2811" t="s">
        <v>446</v>
      </c>
      <c r="M2811">
        <v>2641</v>
      </c>
      <c r="N2811" t="s">
        <v>16087</v>
      </c>
    </row>
    <row r="2812" spans="1:14">
      <c r="A2812">
        <v>15420080</v>
      </c>
      <c r="B2812">
        <v>4010846</v>
      </c>
      <c r="C2812" t="s">
        <v>9768</v>
      </c>
      <c r="D2812" t="s">
        <v>441</v>
      </c>
      <c r="F2812">
        <v>0</v>
      </c>
      <c r="G2812">
        <v>7.92</v>
      </c>
      <c r="H2812" t="s">
        <v>8588</v>
      </c>
      <c r="I2812">
        <v>6</v>
      </c>
      <c r="J2812" t="s">
        <v>462</v>
      </c>
      <c r="K2812" t="s">
        <v>446</v>
      </c>
      <c r="M2812">
        <v>2641</v>
      </c>
      <c r="N2812" t="s">
        <v>16087</v>
      </c>
    </row>
    <row r="2813" spans="1:14">
      <c r="A2813">
        <v>15421076</v>
      </c>
      <c r="B2813">
        <v>4012144</v>
      </c>
      <c r="C2813" t="s">
        <v>9769</v>
      </c>
      <c r="D2813" t="s">
        <v>441</v>
      </c>
      <c r="F2813">
        <v>0</v>
      </c>
      <c r="G2813">
        <v>7.93</v>
      </c>
      <c r="H2813" t="s">
        <v>8588</v>
      </c>
      <c r="I2813">
        <v>6</v>
      </c>
      <c r="J2813" t="s">
        <v>462</v>
      </c>
      <c r="K2813" t="s">
        <v>446</v>
      </c>
      <c r="M2813">
        <v>2641</v>
      </c>
      <c r="N2813" t="s">
        <v>16087</v>
      </c>
    </row>
    <row r="2814" spans="1:14">
      <c r="A2814">
        <v>15421080</v>
      </c>
      <c r="B2814">
        <v>4012107</v>
      </c>
      <c r="C2814" t="s">
        <v>9770</v>
      </c>
      <c r="D2814" t="s">
        <v>441</v>
      </c>
      <c r="F2814">
        <v>0</v>
      </c>
      <c r="G2814">
        <v>7.91</v>
      </c>
      <c r="H2814" t="s">
        <v>8588</v>
      </c>
      <c r="I2814">
        <v>6</v>
      </c>
      <c r="J2814" t="s">
        <v>462</v>
      </c>
      <c r="K2814" t="s">
        <v>446</v>
      </c>
      <c r="M2814">
        <v>2641</v>
      </c>
      <c r="N2814" t="s">
        <v>16087</v>
      </c>
    </row>
    <row r="2815" spans="1:14">
      <c r="A2815">
        <v>15430000</v>
      </c>
      <c r="B2815">
        <v>3014718</v>
      </c>
      <c r="C2815" t="s">
        <v>1826</v>
      </c>
      <c r="D2815" t="s">
        <v>441</v>
      </c>
      <c r="F2815">
        <v>0</v>
      </c>
      <c r="G2815">
        <v>7.85</v>
      </c>
      <c r="H2815" t="s">
        <v>8580</v>
      </c>
      <c r="I2815">
        <v>6</v>
      </c>
      <c r="J2815" t="s">
        <v>445</v>
      </c>
      <c r="K2815" t="s">
        <v>446</v>
      </c>
      <c r="M2815">
        <v>2390</v>
      </c>
    </row>
    <row r="2816" spans="1:14">
      <c r="A2816">
        <v>15430025</v>
      </c>
      <c r="B2816">
        <v>4015662</v>
      </c>
      <c r="C2816" t="s">
        <v>9771</v>
      </c>
      <c r="D2816" t="s">
        <v>441</v>
      </c>
      <c r="F2816">
        <v>0</v>
      </c>
      <c r="G2816">
        <v>10.32</v>
      </c>
      <c r="H2816" t="s">
        <v>8588</v>
      </c>
      <c r="I2816">
        <v>365</v>
      </c>
      <c r="J2816" t="s">
        <v>462</v>
      </c>
      <c r="K2816" t="s">
        <v>446</v>
      </c>
      <c r="M2816">
        <v>2501</v>
      </c>
      <c r="N2816" t="s">
        <v>16088</v>
      </c>
    </row>
    <row r="2817" spans="1:14">
      <c r="A2817">
        <v>15430028</v>
      </c>
      <c r="B2817">
        <v>4011003</v>
      </c>
      <c r="C2817" t="s">
        <v>14723</v>
      </c>
      <c r="D2817" t="s">
        <v>441</v>
      </c>
      <c r="F2817">
        <v>0</v>
      </c>
      <c r="G2817">
        <v>14.12</v>
      </c>
      <c r="H2817" t="s">
        <v>8588</v>
      </c>
      <c r="I2817">
        <v>540</v>
      </c>
      <c r="J2817" t="s">
        <v>462</v>
      </c>
      <c r="L2817" t="s">
        <v>9772</v>
      </c>
      <c r="M2817">
        <v>7111</v>
      </c>
      <c r="N2817" t="s">
        <v>16089</v>
      </c>
    </row>
    <row r="2818" spans="1:14">
      <c r="A2818">
        <v>15430029</v>
      </c>
      <c r="B2818">
        <v>3026802</v>
      </c>
      <c r="C2818" t="s">
        <v>9773</v>
      </c>
      <c r="D2818" t="s">
        <v>441</v>
      </c>
      <c r="F2818">
        <v>0</v>
      </c>
      <c r="G2818">
        <v>8.6199999999999992</v>
      </c>
      <c r="H2818" t="s">
        <v>8588</v>
      </c>
      <c r="I2818">
        <v>540</v>
      </c>
      <c r="J2818" t="s">
        <v>445</v>
      </c>
      <c r="K2818" t="s">
        <v>446</v>
      </c>
      <c r="M2818">
        <v>2501</v>
      </c>
      <c r="N2818" t="s">
        <v>16088</v>
      </c>
    </row>
    <row r="2819" spans="1:14">
      <c r="A2819">
        <v>15430075</v>
      </c>
      <c r="B2819">
        <v>4027224</v>
      </c>
      <c r="C2819" t="s">
        <v>14724</v>
      </c>
      <c r="D2819" t="s">
        <v>441</v>
      </c>
      <c r="F2819">
        <v>0</v>
      </c>
      <c r="G2819">
        <v>13.5</v>
      </c>
      <c r="H2819" t="s">
        <v>8588</v>
      </c>
      <c r="I2819">
        <v>6</v>
      </c>
      <c r="J2819" t="s">
        <v>462</v>
      </c>
      <c r="M2819">
        <v>7112</v>
      </c>
      <c r="N2819" t="s">
        <v>16089</v>
      </c>
    </row>
    <row r="2820" spans="1:14">
      <c r="A2820">
        <v>15430076</v>
      </c>
      <c r="B2820">
        <v>4014844</v>
      </c>
      <c r="C2820" t="s">
        <v>14725</v>
      </c>
      <c r="D2820" t="s">
        <v>441</v>
      </c>
      <c r="F2820">
        <v>0</v>
      </c>
      <c r="G2820">
        <v>13.39</v>
      </c>
      <c r="H2820" t="s">
        <v>8588</v>
      </c>
      <c r="I2820">
        <v>6</v>
      </c>
      <c r="J2820" t="s">
        <v>462</v>
      </c>
      <c r="M2820">
        <v>7112</v>
      </c>
      <c r="N2820" t="s">
        <v>16089</v>
      </c>
    </row>
    <row r="2821" spans="1:14">
      <c r="A2821">
        <v>15430080</v>
      </c>
      <c r="B2821">
        <v>4025540</v>
      </c>
      <c r="C2821" t="s">
        <v>14726</v>
      </c>
      <c r="D2821" t="s">
        <v>441</v>
      </c>
      <c r="F2821">
        <v>0</v>
      </c>
      <c r="G2821">
        <v>13.43</v>
      </c>
      <c r="H2821" t="s">
        <v>8588</v>
      </c>
      <c r="I2821">
        <v>6</v>
      </c>
      <c r="J2821" t="s">
        <v>462</v>
      </c>
      <c r="M2821">
        <v>7112</v>
      </c>
      <c r="N2821" t="s">
        <v>16089</v>
      </c>
    </row>
    <row r="2822" spans="1:14">
      <c r="A2822">
        <v>15430525</v>
      </c>
      <c r="B2822">
        <v>3023587</v>
      </c>
      <c r="C2822" t="s">
        <v>9774</v>
      </c>
      <c r="D2822" t="s">
        <v>441</v>
      </c>
      <c r="F2822">
        <v>0</v>
      </c>
      <c r="G2822">
        <v>10.14</v>
      </c>
      <c r="H2822" t="s">
        <v>8588</v>
      </c>
      <c r="I2822">
        <v>6</v>
      </c>
      <c r="J2822" t="s">
        <v>445</v>
      </c>
      <c r="K2822" t="s">
        <v>446</v>
      </c>
      <c r="M2822">
        <v>2641</v>
      </c>
      <c r="N2822" t="s">
        <v>16088</v>
      </c>
    </row>
    <row r="2823" spans="1:14">
      <c r="A2823">
        <v>15430528</v>
      </c>
      <c r="B2823">
        <v>3016133</v>
      </c>
      <c r="C2823" t="s">
        <v>14727</v>
      </c>
      <c r="D2823" t="s">
        <v>441</v>
      </c>
      <c r="F2823">
        <v>0</v>
      </c>
      <c r="G2823">
        <v>13.64</v>
      </c>
      <c r="H2823" t="s">
        <v>8580</v>
      </c>
      <c r="I2823">
        <v>540</v>
      </c>
      <c r="J2823" t="s">
        <v>445</v>
      </c>
      <c r="M2823">
        <v>2502</v>
      </c>
      <c r="N2823" t="s">
        <v>16089</v>
      </c>
    </row>
    <row r="2824" spans="1:14">
      <c r="A2824">
        <v>15431028</v>
      </c>
      <c r="B2824">
        <v>4012141</v>
      </c>
      <c r="C2824" t="s">
        <v>9775</v>
      </c>
      <c r="D2824" t="s">
        <v>441</v>
      </c>
      <c r="F2824">
        <v>0</v>
      </c>
      <c r="G2824">
        <v>10.42</v>
      </c>
      <c r="H2824" t="s">
        <v>8588</v>
      </c>
      <c r="I2824">
        <v>365</v>
      </c>
      <c r="J2824" t="s">
        <v>462</v>
      </c>
      <c r="K2824" t="s">
        <v>446</v>
      </c>
      <c r="M2824">
        <v>2501</v>
      </c>
      <c r="N2824" t="s">
        <v>16088</v>
      </c>
    </row>
    <row r="2825" spans="1:14">
      <c r="A2825">
        <v>15431076</v>
      </c>
      <c r="B2825">
        <v>4014845</v>
      </c>
      <c r="C2825" t="s">
        <v>9776</v>
      </c>
      <c r="D2825" t="s">
        <v>441</v>
      </c>
      <c r="F2825">
        <v>0</v>
      </c>
      <c r="G2825">
        <v>10</v>
      </c>
      <c r="H2825" t="s">
        <v>8588</v>
      </c>
      <c r="I2825">
        <v>6</v>
      </c>
      <c r="J2825" t="s">
        <v>462</v>
      </c>
      <c r="K2825" t="s">
        <v>446</v>
      </c>
      <c r="M2825">
        <v>2641</v>
      </c>
      <c r="N2825" t="s">
        <v>16088</v>
      </c>
    </row>
    <row r="2826" spans="1:14">
      <c r="A2826">
        <v>15431528</v>
      </c>
      <c r="B2826">
        <v>3018620</v>
      </c>
      <c r="C2826" t="s">
        <v>9777</v>
      </c>
      <c r="D2826" t="s">
        <v>441</v>
      </c>
      <c r="F2826">
        <v>0</v>
      </c>
      <c r="G2826">
        <v>10.24</v>
      </c>
      <c r="H2826" t="s">
        <v>8580</v>
      </c>
      <c r="I2826">
        <v>365</v>
      </c>
      <c r="J2826" t="s">
        <v>445</v>
      </c>
      <c r="K2826" t="s">
        <v>446</v>
      </c>
      <c r="M2826">
        <v>2641</v>
      </c>
      <c r="N2826" t="s">
        <v>16088</v>
      </c>
    </row>
    <row r="2827" spans="1:14">
      <c r="A2827">
        <v>15443000</v>
      </c>
      <c r="B2827">
        <v>3021260</v>
      </c>
      <c r="C2827" t="s">
        <v>14728</v>
      </c>
      <c r="D2827" t="s">
        <v>441</v>
      </c>
      <c r="F2827">
        <v>0</v>
      </c>
      <c r="G2827">
        <v>12.82</v>
      </c>
      <c r="I2827">
        <v>6</v>
      </c>
      <c r="J2827" t="s">
        <v>445</v>
      </c>
      <c r="K2827" t="s">
        <v>446</v>
      </c>
      <c r="M2827">
        <v>2391</v>
      </c>
      <c r="N2827" t="s">
        <v>16089</v>
      </c>
    </row>
    <row r="2828" spans="1:14">
      <c r="A2828">
        <v>15450000</v>
      </c>
      <c r="B2828">
        <v>3009191</v>
      </c>
      <c r="C2828" t="s">
        <v>1827</v>
      </c>
      <c r="D2828" t="s">
        <v>441</v>
      </c>
      <c r="F2828">
        <v>0</v>
      </c>
      <c r="G2828">
        <v>8.64</v>
      </c>
      <c r="I2828">
        <v>6</v>
      </c>
      <c r="J2828" t="s">
        <v>445</v>
      </c>
      <c r="K2828" t="s">
        <v>446</v>
      </c>
      <c r="M2828">
        <v>2390</v>
      </c>
    </row>
    <row r="2829" spans="1:14">
      <c r="A2829">
        <v>15450002</v>
      </c>
      <c r="B2829">
        <v>3009188</v>
      </c>
      <c r="C2829" t="s">
        <v>1828</v>
      </c>
      <c r="D2829" t="s">
        <v>441</v>
      </c>
      <c r="F2829">
        <v>0</v>
      </c>
      <c r="G2829">
        <v>9.06</v>
      </c>
      <c r="H2829" t="s">
        <v>8588</v>
      </c>
      <c r="I2829">
        <v>365</v>
      </c>
      <c r="J2829" t="s">
        <v>445</v>
      </c>
      <c r="K2829" t="s">
        <v>446</v>
      </c>
      <c r="M2829">
        <v>2501</v>
      </c>
    </row>
    <row r="2830" spans="1:14">
      <c r="A2830">
        <v>15450502</v>
      </c>
      <c r="B2830">
        <v>3009186</v>
      </c>
      <c r="C2830" t="s">
        <v>1829</v>
      </c>
      <c r="D2830" t="s">
        <v>441</v>
      </c>
      <c r="F2830">
        <v>0</v>
      </c>
      <c r="G2830">
        <v>8.7799999999999994</v>
      </c>
      <c r="H2830" t="s">
        <v>8580</v>
      </c>
      <c r="I2830">
        <v>6</v>
      </c>
      <c r="J2830" t="s">
        <v>445</v>
      </c>
      <c r="K2830" t="s">
        <v>446</v>
      </c>
      <c r="M2830">
        <v>2641</v>
      </c>
    </row>
    <row r="2831" spans="1:14">
      <c r="A2831">
        <v>15450602</v>
      </c>
      <c r="B2831">
        <v>3009185</v>
      </c>
      <c r="C2831" t="s">
        <v>1830</v>
      </c>
      <c r="D2831" t="s">
        <v>441</v>
      </c>
      <c r="F2831">
        <v>0</v>
      </c>
      <c r="G2831">
        <v>9.19</v>
      </c>
      <c r="H2831" t="s">
        <v>8580</v>
      </c>
      <c r="I2831">
        <v>4</v>
      </c>
      <c r="J2831" t="s">
        <v>445</v>
      </c>
      <c r="K2831" t="s">
        <v>446</v>
      </c>
      <c r="M2831">
        <v>2511</v>
      </c>
    </row>
    <row r="2832" spans="1:14">
      <c r="A2832">
        <v>15460000</v>
      </c>
      <c r="B2832">
        <v>3009187</v>
      </c>
      <c r="C2832" t="s">
        <v>1831</v>
      </c>
      <c r="D2832" t="s">
        <v>441</v>
      </c>
      <c r="F2832">
        <v>0</v>
      </c>
      <c r="G2832">
        <v>8.7899999999999991</v>
      </c>
      <c r="I2832">
        <v>6</v>
      </c>
      <c r="J2832" t="s">
        <v>445</v>
      </c>
      <c r="K2832" t="s">
        <v>446</v>
      </c>
      <c r="M2832">
        <v>2314</v>
      </c>
    </row>
    <row r="2833" spans="1:14">
      <c r="A2833">
        <v>15470000</v>
      </c>
      <c r="B2833">
        <v>3009193</v>
      </c>
      <c r="C2833" t="s">
        <v>1832</v>
      </c>
      <c r="D2833" t="s">
        <v>441</v>
      </c>
      <c r="F2833">
        <v>0</v>
      </c>
      <c r="G2833">
        <v>8.6300000000000008</v>
      </c>
      <c r="I2833">
        <v>6</v>
      </c>
      <c r="J2833" t="s">
        <v>445</v>
      </c>
      <c r="K2833" t="s">
        <v>446</v>
      </c>
      <c r="M2833">
        <v>2314</v>
      </c>
    </row>
    <row r="2834" spans="1:14">
      <c r="A2834">
        <v>15480000</v>
      </c>
      <c r="B2834">
        <v>3014693</v>
      </c>
      <c r="C2834" t="s">
        <v>1833</v>
      </c>
      <c r="D2834" t="s">
        <v>441</v>
      </c>
      <c r="F2834">
        <v>0</v>
      </c>
      <c r="G2834">
        <v>5.29</v>
      </c>
      <c r="H2834" t="s">
        <v>8580</v>
      </c>
      <c r="I2834">
        <v>6</v>
      </c>
      <c r="J2834" t="s">
        <v>445</v>
      </c>
      <c r="K2834" t="s">
        <v>446</v>
      </c>
      <c r="M2834">
        <v>2314</v>
      </c>
    </row>
    <row r="2835" spans="1:14">
      <c r="A2835">
        <v>15490000</v>
      </c>
      <c r="B2835">
        <v>3016189</v>
      </c>
      <c r="C2835" t="s">
        <v>9778</v>
      </c>
      <c r="D2835" t="s">
        <v>441</v>
      </c>
      <c r="F2835">
        <v>0</v>
      </c>
      <c r="G2835">
        <v>7.73</v>
      </c>
      <c r="H2835" t="s">
        <v>8580</v>
      </c>
      <c r="I2835">
        <v>6</v>
      </c>
      <c r="J2835" t="s">
        <v>445</v>
      </c>
      <c r="K2835" t="s">
        <v>446</v>
      </c>
      <c r="M2835">
        <v>2314</v>
      </c>
      <c r="N2835" t="s">
        <v>16087</v>
      </c>
    </row>
    <row r="2836" spans="1:14">
      <c r="A2836">
        <v>15491000</v>
      </c>
      <c r="B2836">
        <v>3017820</v>
      </c>
      <c r="C2836" t="s">
        <v>9779</v>
      </c>
      <c r="D2836" t="s">
        <v>441</v>
      </c>
      <c r="F2836">
        <v>0</v>
      </c>
      <c r="G2836">
        <v>7.73</v>
      </c>
      <c r="I2836">
        <v>6</v>
      </c>
      <c r="J2836" t="s">
        <v>445</v>
      </c>
      <c r="K2836" t="s">
        <v>446</v>
      </c>
      <c r="M2836">
        <v>2314</v>
      </c>
      <c r="N2836" t="s">
        <v>16087</v>
      </c>
    </row>
    <row r="2837" spans="1:14">
      <c r="A2837">
        <v>15500000</v>
      </c>
      <c r="B2837">
        <v>3018787</v>
      </c>
      <c r="C2837" t="s">
        <v>14729</v>
      </c>
      <c r="D2837" t="s">
        <v>441</v>
      </c>
      <c r="F2837">
        <v>0</v>
      </c>
      <c r="G2837">
        <v>13.33</v>
      </c>
      <c r="H2837" t="s">
        <v>8588</v>
      </c>
      <c r="I2837">
        <v>6</v>
      </c>
      <c r="J2837" t="s">
        <v>445</v>
      </c>
      <c r="K2837" t="s">
        <v>446</v>
      </c>
      <c r="M2837">
        <v>2391</v>
      </c>
      <c r="N2837" t="s">
        <v>16080</v>
      </c>
    </row>
    <row r="2838" spans="1:14">
      <c r="A2838">
        <v>15500002</v>
      </c>
      <c r="B2838">
        <v>3018858</v>
      </c>
      <c r="C2838" t="s">
        <v>1834</v>
      </c>
      <c r="D2838" t="s">
        <v>441</v>
      </c>
      <c r="F2838">
        <v>0</v>
      </c>
      <c r="G2838">
        <v>10.49</v>
      </c>
      <c r="H2838" t="s">
        <v>8634</v>
      </c>
      <c r="I2838">
        <v>365</v>
      </c>
      <c r="J2838" t="s">
        <v>445</v>
      </c>
      <c r="K2838" t="s">
        <v>446</v>
      </c>
      <c r="M2838">
        <v>2501</v>
      </c>
      <c r="N2838" t="s">
        <v>15976</v>
      </c>
    </row>
    <row r="2839" spans="1:14">
      <c r="A2839">
        <v>15500020</v>
      </c>
      <c r="B2839">
        <v>4013262</v>
      </c>
      <c r="C2839" t="s">
        <v>9780</v>
      </c>
      <c r="D2839" t="s">
        <v>441</v>
      </c>
      <c r="F2839">
        <v>0</v>
      </c>
      <c r="G2839">
        <v>10.48</v>
      </c>
      <c r="H2839" t="s">
        <v>8588</v>
      </c>
      <c r="I2839">
        <v>6</v>
      </c>
      <c r="J2839" t="s">
        <v>462</v>
      </c>
      <c r="K2839" t="s">
        <v>446</v>
      </c>
      <c r="M2839">
        <v>2641</v>
      </c>
      <c r="N2839" t="s">
        <v>16090</v>
      </c>
    </row>
    <row r="2840" spans="1:14">
      <c r="A2840">
        <v>15500075</v>
      </c>
      <c r="B2840">
        <v>4013164</v>
      </c>
      <c r="C2840" t="s">
        <v>9781</v>
      </c>
      <c r="D2840" t="s">
        <v>441</v>
      </c>
      <c r="F2840">
        <v>0</v>
      </c>
      <c r="G2840">
        <v>10.98</v>
      </c>
      <c r="H2840" t="s">
        <v>8588</v>
      </c>
      <c r="I2840">
        <v>6</v>
      </c>
      <c r="J2840" t="s">
        <v>462</v>
      </c>
      <c r="K2840" t="s">
        <v>446</v>
      </c>
      <c r="L2840">
        <v>2800403</v>
      </c>
      <c r="M2840">
        <v>2641</v>
      </c>
      <c r="N2840" t="s">
        <v>15976</v>
      </c>
    </row>
    <row r="2841" spans="1:14">
      <c r="A2841">
        <v>15500502</v>
      </c>
      <c r="B2841">
        <v>3018857</v>
      </c>
      <c r="C2841" t="s">
        <v>1835</v>
      </c>
      <c r="D2841" t="s">
        <v>441</v>
      </c>
      <c r="F2841">
        <v>0</v>
      </c>
      <c r="G2841">
        <v>10.220000000000001</v>
      </c>
      <c r="H2841" t="s">
        <v>8634</v>
      </c>
      <c r="I2841">
        <v>365</v>
      </c>
      <c r="J2841" t="s">
        <v>445</v>
      </c>
      <c r="K2841" t="s">
        <v>446</v>
      </c>
      <c r="M2841">
        <v>2641</v>
      </c>
      <c r="N2841" t="s">
        <v>15976</v>
      </c>
    </row>
    <row r="2842" spans="1:14">
      <c r="A2842">
        <v>15500602</v>
      </c>
      <c r="B2842">
        <v>3018859</v>
      </c>
      <c r="C2842" t="s">
        <v>1836</v>
      </c>
      <c r="D2842" t="s">
        <v>441</v>
      </c>
      <c r="F2842">
        <v>0</v>
      </c>
      <c r="G2842">
        <v>10.88</v>
      </c>
      <c r="H2842" t="s">
        <v>8588</v>
      </c>
      <c r="I2842">
        <v>4</v>
      </c>
      <c r="J2842" t="s">
        <v>445</v>
      </c>
      <c r="K2842" t="s">
        <v>446</v>
      </c>
      <c r="M2842">
        <v>2511</v>
      </c>
      <c r="N2842" t="s">
        <v>15976</v>
      </c>
    </row>
    <row r="2843" spans="1:14">
      <c r="A2843">
        <v>15500900</v>
      </c>
      <c r="B2843">
        <v>3020259</v>
      </c>
      <c r="C2843" t="s">
        <v>14730</v>
      </c>
      <c r="D2843" t="s">
        <v>441</v>
      </c>
      <c r="F2843">
        <v>0</v>
      </c>
      <c r="H2843" t="s">
        <v>8580</v>
      </c>
      <c r="I2843">
        <v>6</v>
      </c>
      <c r="J2843" t="s">
        <v>445</v>
      </c>
      <c r="K2843" t="s">
        <v>446</v>
      </c>
      <c r="M2843">
        <v>6666</v>
      </c>
      <c r="N2843" t="s">
        <v>16080</v>
      </c>
    </row>
    <row r="2844" spans="1:14">
      <c r="A2844">
        <v>15500902</v>
      </c>
      <c r="B2844">
        <v>3020902</v>
      </c>
      <c r="C2844" t="s">
        <v>1837</v>
      </c>
      <c r="D2844" t="s">
        <v>441</v>
      </c>
      <c r="F2844">
        <v>0</v>
      </c>
      <c r="G2844">
        <v>6.59</v>
      </c>
      <c r="H2844" t="s">
        <v>8580</v>
      </c>
      <c r="I2844">
        <v>4</v>
      </c>
      <c r="J2844" t="s">
        <v>445</v>
      </c>
      <c r="K2844" t="s">
        <v>446</v>
      </c>
      <c r="M2844">
        <v>6666</v>
      </c>
      <c r="N2844" t="s">
        <v>15976</v>
      </c>
    </row>
    <row r="2845" spans="1:14">
      <c r="A2845">
        <v>15501000</v>
      </c>
      <c r="B2845">
        <v>3018788</v>
      </c>
      <c r="C2845" t="s">
        <v>14731</v>
      </c>
      <c r="D2845" t="s">
        <v>441</v>
      </c>
      <c r="F2845">
        <v>0</v>
      </c>
      <c r="G2845">
        <v>13.33</v>
      </c>
      <c r="H2845" t="s">
        <v>8935</v>
      </c>
      <c r="I2845">
        <v>6</v>
      </c>
      <c r="J2845" t="s">
        <v>445</v>
      </c>
      <c r="K2845" t="s">
        <v>446</v>
      </c>
      <c r="M2845">
        <v>2391</v>
      </c>
      <c r="N2845" t="s">
        <v>16080</v>
      </c>
    </row>
    <row r="2846" spans="1:14">
      <c r="A2846">
        <v>15501020</v>
      </c>
      <c r="B2846">
        <v>4013263</v>
      </c>
      <c r="C2846" t="s">
        <v>9782</v>
      </c>
      <c r="D2846" t="s">
        <v>441</v>
      </c>
      <c r="F2846">
        <v>0</v>
      </c>
      <c r="G2846">
        <v>10.48</v>
      </c>
      <c r="H2846" t="s">
        <v>8588</v>
      </c>
      <c r="I2846">
        <v>6</v>
      </c>
      <c r="J2846" t="s">
        <v>462</v>
      </c>
      <c r="K2846" t="s">
        <v>446</v>
      </c>
      <c r="M2846">
        <v>2641</v>
      </c>
      <c r="N2846" t="s">
        <v>16090</v>
      </c>
    </row>
    <row r="2847" spans="1:14">
      <c r="A2847">
        <v>15501075</v>
      </c>
      <c r="B2847">
        <v>4013163</v>
      </c>
      <c r="C2847" t="s">
        <v>9783</v>
      </c>
      <c r="D2847" t="s">
        <v>441</v>
      </c>
      <c r="F2847">
        <v>0</v>
      </c>
      <c r="G2847">
        <v>10.24</v>
      </c>
      <c r="H2847" t="s">
        <v>8588</v>
      </c>
      <c r="I2847">
        <v>6</v>
      </c>
      <c r="J2847" t="s">
        <v>462</v>
      </c>
      <c r="K2847" t="s">
        <v>446</v>
      </c>
      <c r="M2847">
        <v>2641</v>
      </c>
      <c r="N2847" t="s">
        <v>15976</v>
      </c>
    </row>
    <row r="2848" spans="1:14">
      <c r="A2848">
        <v>15501900</v>
      </c>
      <c r="B2848">
        <v>3021280</v>
      </c>
      <c r="C2848" t="s">
        <v>14732</v>
      </c>
      <c r="D2848" t="s">
        <v>441</v>
      </c>
      <c r="F2848">
        <v>0</v>
      </c>
      <c r="H2848" t="s">
        <v>8580</v>
      </c>
      <c r="I2848">
        <v>6</v>
      </c>
      <c r="J2848" t="s">
        <v>445</v>
      </c>
      <c r="K2848" t="s">
        <v>446</v>
      </c>
      <c r="M2848">
        <v>6666</v>
      </c>
      <c r="N2848" t="s">
        <v>16080</v>
      </c>
    </row>
    <row r="2849" spans="1:14">
      <c r="A2849">
        <v>15510000</v>
      </c>
      <c r="B2849">
        <v>3012584</v>
      </c>
      <c r="C2849" t="s">
        <v>14733</v>
      </c>
      <c r="D2849" t="s">
        <v>441</v>
      </c>
      <c r="F2849">
        <v>0</v>
      </c>
      <c r="G2849">
        <v>13.31</v>
      </c>
      <c r="H2849" t="s">
        <v>8580</v>
      </c>
      <c r="I2849">
        <v>6</v>
      </c>
      <c r="J2849" t="s">
        <v>445</v>
      </c>
      <c r="M2849">
        <v>2391</v>
      </c>
      <c r="N2849" t="s">
        <v>16089</v>
      </c>
    </row>
    <row r="2850" spans="1:14">
      <c r="A2850">
        <v>15510007</v>
      </c>
      <c r="B2850">
        <v>3025952</v>
      </c>
      <c r="C2850" t="s">
        <v>9784</v>
      </c>
      <c r="D2850" t="s">
        <v>441</v>
      </c>
      <c r="F2850">
        <v>0</v>
      </c>
      <c r="G2850">
        <v>10.18</v>
      </c>
      <c r="H2850" t="s">
        <v>8588</v>
      </c>
      <c r="I2850">
        <v>6</v>
      </c>
      <c r="J2850" t="s">
        <v>445</v>
      </c>
      <c r="K2850" t="s">
        <v>446</v>
      </c>
      <c r="M2850">
        <v>3111</v>
      </c>
      <c r="N2850" t="s">
        <v>16088</v>
      </c>
    </row>
    <row r="2851" spans="1:14">
      <c r="A2851">
        <v>15510025</v>
      </c>
      <c r="B2851">
        <v>4018767</v>
      </c>
      <c r="C2851" t="s">
        <v>9785</v>
      </c>
      <c r="D2851" t="s">
        <v>441</v>
      </c>
      <c r="F2851">
        <v>0</v>
      </c>
      <c r="G2851">
        <v>11.2</v>
      </c>
      <c r="H2851" t="s">
        <v>8588</v>
      </c>
      <c r="I2851">
        <v>540</v>
      </c>
      <c r="J2851" t="s">
        <v>462</v>
      </c>
      <c r="K2851" t="s">
        <v>446</v>
      </c>
      <c r="M2851">
        <v>2501</v>
      </c>
      <c r="N2851" t="s">
        <v>16088</v>
      </c>
    </row>
    <row r="2852" spans="1:14">
      <c r="A2852">
        <v>15510030</v>
      </c>
      <c r="B2852">
        <v>4017000</v>
      </c>
      <c r="C2852" t="s">
        <v>9786</v>
      </c>
      <c r="D2852" t="s">
        <v>442</v>
      </c>
      <c r="E2852" t="s">
        <v>441</v>
      </c>
      <c r="F2852">
        <v>0.4</v>
      </c>
      <c r="G2852">
        <v>5.0199999999999996</v>
      </c>
      <c r="H2852" t="s">
        <v>8588</v>
      </c>
      <c r="I2852">
        <v>12</v>
      </c>
      <c r="J2852" t="s">
        <v>462</v>
      </c>
      <c r="K2852" t="s">
        <v>446</v>
      </c>
      <c r="M2852">
        <v>2611</v>
      </c>
      <c r="N2852" t="s">
        <v>16088</v>
      </c>
    </row>
    <row r="2853" spans="1:14">
      <c r="A2853">
        <v>15510041</v>
      </c>
      <c r="B2853">
        <v>4016283</v>
      </c>
      <c r="C2853" t="s">
        <v>14734</v>
      </c>
      <c r="D2853" t="s">
        <v>441</v>
      </c>
      <c r="F2853">
        <v>0</v>
      </c>
      <c r="G2853">
        <v>13.93</v>
      </c>
      <c r="H2853" t="s">
        <v>8588</v>
      </c>
      <c r="I2853">
        <v>16</v>
      </c>
      <c r="J2853" t="s">
        <v>462</v>
      </c>
      <c r="M2853">
        <v>7112</v>
      </c>
      <c r="N2853" t="s">
        <v>16089</v>
      </c>
    </row>
    <row r="2854" spans="1:14">
      <c r="A2854">
        <v>15510042</v>
      </c>
      <c r="B2854">
        <v>4016512</v>
      </c>
      <c r="C2854" t="s">
        <v>9787</v>
      </c>
      <c r="D2854" t="s">
        <v>441</v>
      </c>
      <c r="F2854">
        <v>0</v>
      </c>
      <c r="G2854">
        <v>10.55</v>
      </c>
      <c r="H2854" t="s">
        <v>8588</v>
      </c>
      <c r="I2854">
        <v>13</v>
      </c>
      <c r="J2854" t="s">
        <v>462</v>
      </c>
      <c r="K2854" t="s">
        <v>446</v>
      </c>
      <c r="M2854">
        <v>0</v>
      </c>
      <c r="N2854" t="s">
        <v>16088</v>
      </c>
    </row>
    <row r="2855" spans="1:14">
      <c r="A2855">
        <v>15510076</v>
      </c>
      <c r="B2855">
        <v>3026051</v>
      </c>
      <c r="C2855" t="s">
        <v>9788</v>
      </c>
      <c r="D2855" t="s">
        <v>441</v>
      </c>
      <c r="F2855">
        <v>0</v>
      </c>
      <c r="G2855">
        <v>10.94</v>
      </c>
      <c r="H2855" t="s">
        <v>8588</v>
      </c>
      <c r="I2855">
        <v>6</v>
      </c>
      <c r="J2855" t="s">
        <v>445</v>
      </c>
      <c r="K2855" t="s">
        <v>446</v>
      </c>
      <c r="M2855">
        <v>2641</v>
      </c>
      <c r="N2855" t="s">
        <v>16088</v>
      </c>
    </row>
    <row r="2856" spans="1:14">
      <c r="A2856">
        <v>15510525</v>
      </c>
      <c r="B2856">
        <v>3028401</v>
      </c>
      <c r="C2856" t="s">
        <v>9789</v>
      </c>
      <c r="D2856" t="s">
        <v>441</v>
      </c>
      <c r="F2856">
        <v>0</v>
      </c>
      <c r="G2856">
        <v>11.01</v>
      </c>
      <c r="H2856" t="s">
        <v>8588</v>
      </c>
      <c r="I2856">
        <v>540</v>
      </c>
      <c r="J2856" t="s">
        <v>445</v>
      </c>
      <c r="K2856" t="s">
        <v>446</v>
      </c>
      <c r="M2856">
        <v>2641</v>
      </c>
      <c r="N2856" t="s">
        <v>16088</v>
      </c>
    </row>
    <row r="2857" spans="1:14">
      <c r="A2857">
        <v>15510907</v>
      </c>
      <c r="B2857">
        <v>3025971</v>
      </c>
      <c r="C2857" t="s">
        <v>1838</v>
      </c>
      <c r="D2857" t="s">
        <v>441</v>
      </c>
      <c r="F2857">
        <v>0</v>
      </c>
      <c r="G2857">
        <v>12.31</v>
      </c>
      <c r="H2857" t="s">
        <v>8580</v>
      </c>
      <c r="I2857">
        <v>6</v>
      </c>
      <c r="J2857" t="s">
        <v>445</v>
      </c>
      <c r="K2857" t="s">
        <v>446</v>
      </c>
      <c r="M2857">
        <v>6666</v>
      </c>
      <c r="N2857" t="s">
        <v>16088</v>
      </c>
    </row>
    <row r="2858" spans="1:14">
      <c r="A2858">
        <v>15511000</v>
      </c>
      <c r="B2858">
        <v>3017531</v>
      </c>
      <c r="C2858" t="s">
        <v>14735</v>
      </c>
      <c r="D2858" t="s">
        <v>441</v>
      </c>
      <c r="F2858">
        <v>0</v>
      </c>
      <c r="G2858">
        <v>13.31</v>
      </c>
      <c r="H2858" t="s">
        <v>8588</v>
      </c>
      <c r="I2858">
        <v>6</v>
      </c>
      <c r="J2858" t="s">
        <v>445</v>
      </c>
      <c r="K2858" t="s">
        <v>446</v>
      </c>
      <c r="M2858">
        <v>2391</v>
      </c>
      <c r="N2858" t="s">
        <v>16089</v>
      </c>
    </row>
    <row r="2859" spans="1:14">
      <c r="A2859">
        <v>15511041</v>
      </c>
      <c r="B2859">
        <v>4016284</v>
      </c>
      <c r="C2859" t="s">
        <v>9790</v>
      </c>
      <c r="D2859" t="s">
        <v>441</v>
      </c>
      <c r="F2859">
        <v>0</v>
      </c>
      <c r="G2859">
        <v>10.47</v>
      </c>
      <c r="H2859" t="s">
        <v>8588</v>
      </c>
      <c r="I2859">
        <v>9</v>
      </c>
      <c r="J2859" t="s">
        <v>462</v>
      </c>
      <c r="K2859" t="s">
        <v>446</v>
      </c>
      <c r="M2859">
        <v>2612</v>
      </c>
      <c r="N2859" t="s">
        <v>16088</v>
      </c>
    </row>
    <row r="2860" spans="1:14">
      <c r="A2860">
        <v>15513000</v>
      </c>
      <c r="B2860">
        <v>3021258</v>
      </c>
      <c r="C2860" t="s">
        <v>1839</v>
      </c>
      <c r="D2860" t="s">
        <v>441</v>
      </c>
      <c r="F2860">
        <v>0</v>
      </c>
      <c r="G2860">
        <v>8.27</v>
      </c>
      <c r="H2860" t="s">
        <v>8580</v>
      </c>
      <c r="I2860">
        <v>6</v>
      </c>
      <c r="J2860" t="s">
        <v>445</v>
      </c>
      <c r="K2860" t="s">
        <v>446</v>
      </c>
      <c r="M2860">
        <v>2390</v>
      </c>
      <c r="N2860" t="s">
        <v>16088</v>
      </c>
    </row>
    <row r="2861" spans="1:14">
      <c r="A2861">
        <v>15514000</v>
      </c>
      <c r="B2861">
        <v>3025984</v>
      </c>
      <c r="C2861" t="s">
        <v>9791</v>
      </c>
      <c r="D2861" t="s">
        <v>441</v>
      </c>
      <c r="F2861">
        <v>0</v>
      </c>
      <c r="G2861">
        <v>10.88</v>
      </c>
      <c r="H2861" t="s">
        <v>8549</v>
      </c>
      <c r="I2861">
        <v>6</v>
      </c>
      <c r="J2861" t="s">
        <v>445</v>
      </c>
      <c r="K2861" t="s">
        <v>446</v>
      </c>
      <c r="M2861">
        <v>2311</v>
      </c>
      <c r="N2861" t="s">
        <v>16088</v>
      </c>
    </row>
    <row r="2862" spans="1:14">
      <c r="A2862">
        <v>15520000</v>
      </c>
      <c r="B2862">
        <v>3013485</v>
      </c>
      <c r="C2862" t="s">
        <v>9792</v>
      </c>
      <c r="D2862" t="s">
        <v>441</v>
      </c>
      <c r="F2862">
        <v>0</v>
      </c>
      <c r="G2862">
        <v>8.64</v>
      </c>
      <c r="H2862" t="s">
        <v>8580</v>
      </c>
      <c r="I2862">
        <v>6</v>
      </c>
      <c r="J2862" t="s">
        <v>445</v>
      </c>
      <c r="K2862" t="s">
        <v>446</v>
      </c>
      <c r="M2862">
        <v>2314</v>
      </c>
      <c r="N2862" t="s">
        <v>16074</v>
      </c>
    </row>
    <row r="2863" spans="1:14">
      <c r="A2863">
        <v>15521000</v>
      </c>
      <c r="B2863">
        <v>3017898</v>
      </c>
      <c r="C2863" t="s">
        <v>9793</v>
      </c>
      <c r="D2863" t="s">
        <v>441</v>
      </c>
      <c r="F2863">
        <v>0</v>
      </c>
      <c r="G2863">
        <v>8.64</v>
      </c>
      <c r="I2863">
        <v>6</v>
      </c>
      <c r="J2863" t="s">
        <v>445</v>
      </c>
      <c r="K2863" t="s">
        <v>446</v>
      </c>
      <c r="M2863">
        <v>2314</v>
      </c>
      <c r="N2863" t="s">
        <v>16074</v>
      </c>
    </row>
    <row r="2864" spans="1:14">
      <c r="A2864">
        <v>15530000</v>
      </c>
      <c r="B2864">
        <v>3007656</v>
      </c>
      <c r="C2864" t="s">
        <v>1840</v>
      </c>
      <c r="D2864" t="s">
        <v>441</v>
      </c>
      <c r="F2864">
        <v>0</v>
      </c>
      <c r="G2864">
        <v>10.18</v>
      </c>
      <c r="I2864">
        <v>6</v>
      </c>
      <c r="J2864" t="s">
        <v>445</v>
      </c>
      <c r="K2864" t="s">
        <v>446</v>
      </c>
      <c r="M2864">
        <v>0</v>
      </c>
    </row>
    <row r="2865" spans="1:14">
      <c r="A2865">
        <v>15530002</v>
      </c>
      <c r="B2865">
        <v>3007657</v>
      </c>
      <c r="C2865" t="s">
        <v>1841</v>
      </c>
      <c r="D2865" t="s">
        <v>441</v>
      </c>
      <c r="F2865">
        <v>0</v>
      </c>
      <c r="G2865">
        <v>10.67</v>
      </c>
      <c r="I2865">
        <v>540</v>
      </c>
      <c r="J2865" t="s">
        <v>445</v>
      </c>
      <c r="K2865" t="s">
        <v>446</v>
      </c>
      <c r="M2865">
        <v>2501</v>
      </c>
    </row>
    <row r="2866" spans="1:14">
      <c r="A2866">
        <v>15530502</v>
      </c>
      <c r="B2866">
        <v>3007658</v>
      </c>
      <c r="C2866" t="s">
        <v>1842</v>
      </c>
      <c r="D2866" t="s">
        <v>441</v>
      </c>
      <c r="F2866">
        <v>0</v>
      </c>
      <c r="G2866">
        <v>10.32</v>
      </c>
      <c r="I2866">
        <v>6</v>
      </c>
      <c r="J2866" t="s">
        <v>445</v>
      </c>
      <c r="K2866" t="s">
        <v>446</v>
      </c>
      <c r="M2866">
        <v>2641</v>
      </c>
    </row>
    <row r="2867" spans="1:14">
      <c r="A2867">
        <v>15530602</v>
      </c>
      <c r="B2867">
        <v>3007659</v>
      </c>
      <c r="C2867" t="s">
        <v>1843</v>
      </c>
      <c r="D2867" t="s">
        <v>441</v>
      </c>
      <c r="F2867">
        <v>0</v>
      </c>
      <c r="G2867">
        <v>11.35</v>
      </c>
      <c r="I2867">
        <v>4</v>
      </c>
      <c r="J2867" t="s">
        <v>445</v>
      </c>
      <c r="K2867" t="s">
        <v>446</v>
      </c>
      <c r="M2867">
        <v>2511</v>
      </c>
    </row>
    <row r="2868" spans="1:14">
      <c r="A2868">
        <v>15540900</v>
      </c>
      <c r="B2868">
        <v>3024209</v>
      </c>
      <c r="C2868" t="s">
        <v>14737</v>
      </c>
      <c r="D2868" t="s">
        <v>441</v>
      </c>
      <c r="F2868">
        <v>0</v>
      </c>
      <c r="H2868" t="s">
        <v>8580</v>
      </c>
      <c r="I2868">
        <v>6</v>
      </c>
      <c r="J2868" t="s">
        <v>445</v>
      </c>
      <c r="K2868" t="s">
        <v>446</v>
      </c>
      <c r="M2868">
        <v>6666</v>
      </c>
      <c r="N2868" t="s">
        <v>16091</v>
      </c>
    </row>
    <row r="2869" spans="1:14">
      <c r="A2869">
        <v>15541000</v>
      </c>
      <c r="B2869">
        <v>3024152</v>
      </c>
      <c r="C2869" t="s">
        <v>14738</v>
      </c>
      <c r="D2869" t="s">
        <v>441</v>
      </c>
      <c r="F2869">
        <v>0</v>
      </c>
      <c r="G2869">
        <v>12.19</v>
      </c>
      <c r="H2869" t="s">
        <v>8549</v>
      </c>
      <c r="I2869">
        <v>6</v>
      </c>
      <c r="J2869" t="s">
        <v>445</v>
      </c>
      <c r="K2869" t="s">
        <v>446</v>
      </c>
      <c r="M2869">
        <v>2391</v>
      </c>
      <c r="N2869" t="s">
        <v>16091</v>
      </c>
    </row>
    <row r="2870" spans="1:14">
      <c r="A2870">
        <v>15541900</v>
      </c>
      <c r="B2870">
        <v>3024220</v>
      </c>
      <c r="C2870" t="s">
        <v>14739</v>
      </c>
      <c r="D2870" t="s">
        <v>441</v>
      </c>
      <c r="F2870">
        <v>0</v>
      </c>
      <c r="H2870" t="s">
        <v>8634</v>
      </c>
      <c r="I2870">
        <v>6</v>
      </c>
      <c r="J2870" t="s">
        <v>445</v>
      </c>
      <c r="K2870" t="s">
        <v>446</v>
      </c>
      <c r="M2870">
        <v>6666</v>
      </c>
      <c r="N2870" t="s">
        <v>16091</v>
      </c>
    </row>
    <row r="2871" spans="1:14">
      <c r="A2871">
        <v>15550000</v>
      </c>
      <c r="B2871">
        <v>3024034</v>
      </c>
      <c r="C2871" t="s">
        <v>14740</v>
      </c>
      <c r="D2871" t="s">
        <v>441</v>
      </c>
      <c r="F2871">
        <v>0</v>
      </c>
      <c r="G2871">
        <v>13.29</v>
      </c>
      <c r="H2871" t="s">
        <v>8580</v>
      </c>
      <c r="I2871">
        <v>6</v>
      </c>
      <c r="J2871" t="s">
        <v>445</v>
      </c>
      <c r="K2871" t="s">
        <v>446</v>
      </c>
      <c r="M2871">
        <v>2391</v>
      </c>
      <c r="N2871" t="s">
        <v>16080</v>
      </c>
    </row>
    <row r="2872" spans="1:14">
      <c r="A2872">
        <v>15550087</v>
      </c>
      <c r="B2872">
        <v>3024179</v>
      </c>
      <c r="C2872" t="s">
        <v>9794</v>
      </c>
      <c r="D2872" t="s">
        <v>441</v>
      </c>
      <c r="F2872">
        <v>0</v>
      </c>
      <c r="G2872">
        <v>10.9</v>
      </c>
      <c r="H2872" t="s">
        <v>8588</v>
      </c>
      <c r="I2872">
        <v>6</v>
      </c>
      <c r="J2872" t="s">
        <v>445</v>
      </c>
      <c r="K2872" t="s">
        <v>446</v>
      </c>
      <c r="M2872">
        <v>2641</v>
      </c>
      <c r="N2872" t="s">
        <v>15976</v>
      </c>
    </row>
    <row r="2873" spans="1:14">
      <c r="A2873">
        <v>15560000</v>
      </c>
      <c r="B2873">
        <v>3007661</v>
      </c>
      <c r="C2873" t="s">
        <v>9795</v>
      </c>
      <c r="D2873" t="s">
        <v>441</v>
      </c>
      <c r="F2873">
        <v>0</v>
      </c>
      <c r="G2873">
        <v>8.0500000000000007</v>
      </c>
      <c r="H2873" t="s">
        <v>8580</v>
      </c>
      <c r="I2873">
        <v>6</v>
      </c>
      <c r="J2873" t="s">
        <v>445</v>
      </c>
      <c r="K2873" t="s">
        <v>446</v>
      </c>
      <c r="M2873">
        <v>0</v>
      </c>
    </row>
    <row r="2874" spans="1:14">
      <c r="A2874">
        <v>15560002</v>
      </c>
      <c r="B2874">
        <v>3007662</v>
      </c>
      <c r="C2874" t="s">
        <v>1844</v>
      </c>
      <c r="D2874" t="s">
        <v>441</v>
      </c>
      <c r="F2874">
        <v>0</v>
      </c>
      <c r="G2874">
        <v>8.57</v>
      </c>
      <c r="H2874" t="s">
        <v>8580</v>
      </c>
      <c r="I2874">
        <v>365</v>
      </c>
      <c r="J2874" t="s">
        <v>445</v>
      </c>
      <c r="K2874" t="s">
        <v>446</v>
      </c>
      <c r="M2874">
        <v>2501</v>
      </c>
    </row>
    <row r="2875" spans="1:14">
      <c r="A2875">
        <v>15560019</v>
      </c>
      <c r="B2875">
        <v>4003848</v>
      </c>
      <c r="C2875" t="s">
        <v>1845</v>
      </c>
      <c r="D2875" t="s">
        <v>441</v>
      </c>
      <c r="F2875">
        <v>0</v>
      </c>
      <c r="G2875">
        <v>8.4</v>
      </c>
      <c r="H2875" t="s">
        <v>8588</v>
      </c>
      <c r="I2875">
        <v>365</v>
      </c>
      <c r="J2875" t="s">
        <v>462</v>
      </c>
      <c r="K2875" t="s">
        <v>446</v>
      </c>
      <c r="M2875">
        <v>2501</v>
      </c>
    </row>
    <row r="2876" spans="1:14">
      <c r="A2876">
        <v>15560502</v>
      </c>
      <c r="B2876">
        <v>3007663</v>
      </c>
      <c r="C2876" t="s">
        <v>1846</v>
      </c>
      <c r="D2876" t="s">
        <v>441</v>
      </c>
      <c r="F2876">
        <v>0</v>
      </c>
      <c r="G2876">
        <v>8.24</v>
      </c>
      <c r="H2876" t="s">
        <v>8580</v>
      </c>
      <c r="I2876">
        <v>6</v>
      </c>
      <c r="J2876" t="s">
        <v>445</v>
      </c>
      <c r="K2876" t="s">
        <v>446</v>
      </c>
      <c r="M2876">
        <v>2641</v>
      </c>
    </row>
    <row r="2877" spans="1:14">
      <c r="A2877">
        <v>15560519</v>
      </c>
      <c r="B2877">
        <v>3007664</v>
      </c>
      <c r="C2877" t="s">
        <v>1847</v>
      </c>
      <c r="D2877" t="s">
        <v>441</v>
      </c>
      <c r="F2877">
        <v>0</v>
      </c>
      <c r="G2877">
        <v>8.15</v>
      </c>
      <c r="H2877" t="s">
        <v>8580</v>
      </c>
      <c r="I2877">
        <v>6</v>
      </c>
      <c r="J2877" t="s">
        <v>445</v>
      </c>
      <c r="K2877" t="s">
        <v>446</v>
      </c>
      <c r="M2877">
        <v>2641</v>
      </c>
    </row>
    <row r="2878" spans="1:14">
      <c r="A2878">
        <v>15561000</v>
      </c>
      <c r="B2878">
        <v>3017386</v>
      </c>
      <c r="C2878" t="s">
        <v>9796</v>
      </c>
      <c r="D2878" t="s">
        <v>441</v>
      </c>
      <c r="F2878">
        <v>0</v>
      </c>
      <c r="G2878">
        <v>8.66</v>
      </c>
      <c r="I2878">
        <v>6</v>
      </c>
      <c r="J2878" t="s">
        <v>445</v>
      </c>
      <c r="K2878" t="s">
        <v>446</v>
      </c>
      <c r="M2878">
        <v>0</v>
      </c>
    </row>
    <row r="2879" spans="1:14">
      <c r="A2879">
        <v>15570000</v>
      </c>
      <c r="B2879">
        <v>3007665</v>
      </c>
      <c r="C2879" t="s">
        <v>1848</v>
      </c>
      <c r="D2879" t="s">
        <v>441</v>
      </c>
      <c r="F2879">
        <v>0</v>
      </c>
      <c r="G2879">
        <v>8.57</v>
      </c>
      <c r="H2879" t="s">
        <v>8580</v>
      </c>
      <c r="I2879">
        <v>6</v>
      </c>
      <c r="J2879" t="s">
        <v>445</v>
      </c>
      <c r="K2879" t="s">
        <v>446</v>
      </c>
      <c r="M2879">
        <v>0</v>
      </c>
    </row>
    <row r="2880" spans="1:14">
      <c r="A2880">
        <v>15580000</v>
      </c>
      <c r="B2880">
        <v>3018267</v>
      </c>
      <c r="C2880" t="s">
        <v>14741</v>
      </c>
      <c r="D2880" t="s">
        <v>441</v>
      </c>
      <c r="F2880">
        <v>0</v>
      </c>
      <c r="G2880">
        <v>15.1</v>
      </c>
      <c r="I2880">
        <v>6</v>
      </c>
      <c r="J2880" t="s">
        <v>445</v>
      </c>
      <c r="K2880" t="s">
        <v>446</v>
      </c>
      <c r="M2880">
        <v>2391</v>
      </c>
      <c r="N2880" t="s">
        <v>16092</v>
      </c>
    </row>
    <row r="2881" spans="1:14">
      <c r="A2881">
        <v>15580019</v>
      </c>
      <c r="B2881">
        <v>4012541</v>
      </c>
      <c r="C2881" t="s">
        <v>1849</v>
      </c>
      <c r="D2881" t="s">
        <v>441</v>
      </c>
      <c r="F2881">
        <v>0</v>
      </c>
      <c r="G2881">
        <v>11.73</v>
      </c>
      <c r="H2881" t="s">
        <v>8588</v>
      </c>
      <c r="I2881">
        <v>365</v>
      </c>
      <c r="J2881" t="s">
        <v>462</v>
      </c>
      <c r="K2881" t="s">
        <v>446</v>
      </c>
      <c r="M2881">
        <v>2501</v>
      </c>
      <c r="N2881" t="s">
        <v>16092</v>
      </c>
    </row>
    <row r="2882" spans="1:14">
      <c r="A2882">
        <v>15580020</v>
      </c>
      <c r="B2882">
        <v>4012556</v>
      </c>
      <c r="C2882" t="s">
        <v>1850</v>
      </c>
      <c r="D2882" t="s">
        <v>441</v>
      </c>
      <c r="F2882">
        <v>0</v>
      </c>
      <c r="G2882">
        <v>11.57</v>
      </c>
      <c r="H2882" t="s">
        <v>8588</v>
      </c>
      <c r="I2882">
        <v>6</v>
      </c>
      <c r="J2882" t="s">
        <v>462</v>
      </c>
      <c r="K2882" t="s">
        <v>446</v>
      </c>
      <c r="M2882">
        <v>2641</v>
      </c>
      <c r="N2882" t="s">
        <v>16092</v>
      </c>
    </row>
    <row r="2883" spans="1:14">
      <c r="A2883">
        <v>15580519</v>
      </c>
      <c r="B2883">
        <v>3018268</v>
      </c>
      <c r="C2883" t="s">
        <v>1851</v>
      </c>
      <c r="D2883" t="s">
        <v>441</v>
      </c>
      <c r="F2883">
        <v>0</v>
      </c>
      <c r="G2883">
        <v>11.55</v>
      </c>
      <c r="H2883" t="s">
        <v>8580</v>
      </c>
      <c r="I2883">
        <v>365</v>
      </c>
      <c r="J2883" t="s">
        <v>445</v>
      </c>
      <c r="K2883" t="s">
        <v>446</v>
      </c>
      <c r="M2883">
        <v>2641</v>
      </c>
      <c r="N2883" t="s">
        <v>16092</v>
      </c>
    </row>
    <row r="2884" spans="1:14">
      <c r="A2884">
        <v>15581000</v>
      </c>
      <c r="B2884">
        <v>3021277</v>
      </c>
      <c r="C2884" t="s">
        <v>14742</v>
      </c>
      <c r="D2884" t="s">
        <v>441</v>
      </c>
      <c r="F2884">
        <v>0</v>
      </c>
      <c r="G2884">
        <v>15.1</v>
      </c>
      <c r="H2884" t="s">
        <v>8588</v>
      </c>
      <c r="I2884">
        <v>6</v>
      </c>
      <c r="J2884" t="s">
        <v>445</v>
      </c>
      <c r="K2884" t="s">
        <v>446</v>
      </c>
      <c r="M2884">
        <v>2391</v>
      </c>
      <c r="N2884" t="s">
        <v>16092</v>
      </c>
    </row>
    <row r="2885" spans="1:14">
      <c r="A2885">
        <v>15583000</v>
      </c>
      <c r="B2885">
        <v>3021289</v>
      </c>
      <c r="C2885" t="s">
        <v>14743</v>
      </c>
      <c r="D2885" t="s">
        <v>441</v>
      </c>
      <c r="F2885">
        <v>0</v>
      </c>
      <c r="G2885">
        <v>14.24</v>
      </c>
      <c r="H2885" t="s">
        <v>8588</v>
      </c>
      <c r="I2885">
        <v>6</v>
      </c>
      <c r="J2885" t="s">
        <v>445</v>
      </c>
      <c r="K2885" t="s">
        <v>446</v>
      </c>
      <c r="M2885">
        <v>2391</v>
      </c>
      <c r="N2885" t="s">
        <v>16092</v>
      </c>
    </row>
    <row r="2886" spans="1:14">
      <c r="A2886">
        <v>15583007</v>
      </c>
      <c r="B2886">
        <v>3024905</v>
      </c>
      <c r="C2886" t="s">
        <v>9797</v>
      </c>
      <c r="D2886" t="s">
        <v>441</v>
      </c>
      <c r="F2886">
        <v>0</v>
      </c>
      <c r="G2886">
        <v>12.17</v>
      </c>
      <c r="H2886" t="s">
        <v>8584</v>
      </c>
      <c r="I2886">
        <v>6</v>
      </c>
      <c r="J2886" t="s">
        <v>445</v>
      </c>
      <c r="K2886" t="s">
        <v>446</v>
      </c>
      <c r="M2886">
        <v>3111</v>
      </c>
      <c r="N2886" t="s">
        <v>16092</v>
      </c>
    </row>
    <row r="2887" spans="1:14">
      <c r="A2887">
        <v>15590000</v>
      </c>
      <c r="B2887">
        <v>3018836</v>
      </c>
      <c r="C2887" t="s">
        <v>14744</v>
      </c>
      <c r="D2887" t="s">
        <v>441</v>
      </c>
      <c r="F2887">
        <v>0</v>
      </c>
      <c r="G2887">
        <v>11.1</v>
      </c>
      <c r="H2887" t="s">
        <v>8588</v>
      </c>
      <c r="I2887">
        <v>6</v>
      </c>
      <c r="J2887" t="s">
        <v>445</v>
      </c>
      <c r="M2887">
        <v>2391</v>
      </c>
      <c r="N2887" t="s">
        <v>16080</v>
      </c>
    </row>
    <row r="2888" spans="1:14">
      <c r="A2888">
        <v>15590002</v>
      </c>
      <c r="B2888">
        <v>3033889</v>
      </c>
      <c r="C2888" t="s">
        <v>14745</v>
      </c>
      <c r="D2888" t="s">
        <v>441</v>
      </c>
      <c r="F2888">
        <v>0</v>
      </c>
      <c r="G2888">
        <v>11.89</v>
      </c>
      <c r="H2888" t="s">
        <v>8549</v>
      </c>
      <c r="I2888">
        <v>540</v>
      </c>
      <c r="J2888" t="s">
        <v>445</v>
      </c>
      <c r="M2888">
        <v>7111</v>
      </c>
      <c r="N2888" t="s">
        <v>16080</v>
      </c>
    </row>
    <row r="2889" spans="1:14">
      <c r="A2889">
        <v>15590007</v>
      </c>
      <c r="B2889">
        <v>3024906</v>
      </c>
      <c r="C2889" t="s">
        <v>14680</v>
      </c>
      <c r="D2889" t="s">
        <v>441</v>
      </c>
      <c r="F2889">
        <v>0</v>
      </c>
      <c r="G2889">
        <v>11.23</v>
      </c>
      <c r="H2889" t="s">
        <v>8588</v>
      </c>
      <c r="I2889">
        <v>6</v>
      </c>
      <c r="J2889" t="s">
        <v>445</v>
      </c>
      <c r="M2889">
        <v>3111</v>
      </c>
      <c r="N2889" t="s">
        <v>16080</v>
      </c>
    </row>
    <row r="2890" spans="1:14">
      <c r="A2890">
        <v>15590018</v>
      </c>
      <c r="B2890">
        <v>3044022</v>
      </c>
      <c r="C2890" t="s">
        <v>14746</v>
      </c>
      <c r="D2890" t="s">
        <v>441</v>
      </c>
      <c r="F2890">
        <v>0</v>
      </c>
      <c r="G2890">
        <v>11.85</v>
      </c>
      <c r="H2890" t="s">
        <v>8588</v>
      </c>
      <c r="I2890">
        <v>540</v>
      </c>
      <c r="J2890" t="s">
        <v>445</v>
      </c>
      <c r="M2890">
        <v>7111</v>
      </c>
      <c r="N2890" t="s">
        <v>16080</v>
      </c>
    </row>
    <row r="2891" spans="1:14">
      <c r="A2891">
        <v>15590080</v>
      </c>
      <c r="B2891">
        <v>4013106</v>
      </c>
      <c r="C2891" t="s">
        <v>14747</v>
      </c>
      <c r="D2891" t="s">
        <v>441</v>
      </c>
      <c r="F2891">
        <v>0</v>
      </c>
      <c r="G2891">
        <v>11.3</v>
      </c>
      <c r="H2891" t="s">
        <v>8588</v>
      </c>
      <c r="I2891">
        <v>6</v>
      </c>
      <c r="J2891" t="s">
        <v>462</v>
      </c>
      <c r="M2891">
        <v>7112</v>
      </c>
      <c r="N2891" t="s">
        <v>16080</v>
      </c>
    </row>
    <row r="2892" spans="1:14">
      <c r="A2892">
        <v>15590100</v>
      </c>
      <c r="B2892">
        <v>3039554</v>
      </c>
      <c r="C2892" t="s">
        <v>14748</v>
      </c>
      <c r="D2892" t="s">
        <v>441</v>
      </c>
      <c r="F2892">
        <v>0</v>
      </c>
      <c r="H2892" t="s">
        <v>8588</v>
      </c>
      <c r="I2892">
        <v>6</v>
      </c>
      <c r="J2892" t="s">
        <v>445</v>
      </c>
      <c r="M2892">
        <v>7161</v>
      </c>
      <c r="N2892" t="s">
        <v>16080</v>
      </c>
    </row>
    <row r="2893" spans="1:14">
      <c r="A2893">
        <v>15590502</v>
      </c>
      <c r="B2893">
        <v>3033888</v>
      </c>
      <c r="C2893" t="s">
        <v>14749</v>
      </c>
      <c r="D2893" t="s">
        <v>441</v>
      </c>
      <c r="F2893">
        <v>0</v>
      </c>
      <c r="G2893">
        <v>11.31</v>
      </c>
      <c r="H2893" t="s">
        <v>8549</v>
      </c>
      <c r="I2893">
        <v>6</v>
      </c>
      <c r="J2893" t="s">
        <v>445</v>
      </c>
      <c r="M2893">
        <v>2502</v>
      </c>
      <c r="N2893" t="s">
        <v>16080</v>
      </c>
    </row>
    <row r="2894" spans="1:14">
      <c r="A2894">
        <v>15590518</v>
      </c>
      <c r="B2894">
        <v>3044023</v>
      </c>
      <c r="C2894" t="s">
        <v>14750</v>
      </c>
      <c r="D2894" t="s">
        <v>441</v>
      </c>
      <c r="F2894">
        <v>0</v>
      </c>
      <c r="G2894">
        <v>11.31</v>
      </c>
      <c r="H2894" t="s">
        <v>8588</v>
      </c>
      <c r="I2894">
        <v>6</v>
      </c>
      <c r="J2894" t="s">
        <v>445</v>
      </c>
      <c r="M2894">
        <v>2502</v>
      </c>
      <c r="N2894" t="s">
        <v>16080</v>
      </c>
    </row>
    <row r="2895" spans="1:14">
      <c r="A2895">
        <v>15590602</v>
      </c>
      <c r="B2895">
        <v>3033887</v>
      </c>
      <c r="C2895" t="s">
        <v>14751</v>
      </c>
      <c r="D2895" t="s">
        <v>441</v>
      </c>
      <c r="F2895">
        <v>0</v>
      </c>
      <c r="G2895">
        <v>12.24</v>
      </c>
      <c r="H2895" t="s">
        <v>8549</v>
      </c>
      <c r="I2895">
        <v>4</v>
      </c>
      <c r="J2895" t="s">
        <v>445</v>
      </c>
      <c r="M2895">
        <v>2510</v>
      </c>
      <c r="N2895" t="s">
        <v>16080</v>
      </c>
    </row>
    <row r="2896" spans="1:14">
      <c r="A2896">
        <v>15590900</v>
      </c>
      <c r="B2896">
        <v>3020896</v>
      </c>
      <c r="C2896" t="s">
        <v>14752</v>
      </c>
      <c r="D2896" t="s">
        <v>441</v>
      </c>
      <c r="F2896">
        <v>0</v>
      </c>
      <c r="G2896">
        <v>0</v>
      </c>
      <c r="H2896" t="s">
        <v>8580</v>
      </c>
      <c r="I2896">
        <v>6</v>
      </c>
      <c r="J2896" t="s">
        <v>445</v>
      </c>
      <c r="M2896">
        <v>6666</v>
      </c>
      <c r="N2896" t="s">
        <v>16080</v>
      </c>
    </row>
    <row r="2897" spans="1:14">
      <c r="A2897">
        <v>15590902</v>
      </c>
      <c r="B2897">
        <v>3033893</v>
      </c>
      <c r="C2897" t="s">
        <v>14753</v>
      </c>
      <c r="D2897" t="s">
        <v>441</v>
      </c>
      <c r="F2897">
        <v>0</v>
      </c>
      <c r="H2897" t="s">
        <v>8622</v>
      </c>
      <c r="I2897">
        <v>4</v>
      </c>
      <c r="J2897" t="s">
        <v>445</v>
      </c>
      <c r="M2897">
        <v>6666</v>
      </c>
      <c r="N2897" t="s">
        <v>16080</v>
      </c>
    </row>
    <row r="2898" spans="1:14">
      <c r="A2898">
        <v>15590907</v>
      </c>
      <c r="B2898">
        <v>3025166</v>
      </c>
      <c r="C2898" t="s">
        <v>14754</v>
      </c>
      <c r="D2898" t="s">
        <v>441</v>
      </c>
      <c r="F2898">
        <v>0</v>
      </c>
      <c r="G2898">
        <v>0</v>
      </c>
      <c r="I2898">
        <v>6</v>
      </c>
      <c r="J2898" t="s">
        <v>445</v>
      </c>
      <c r="M2898">
        <v>6666</v>
      </c>
      <c r="N2898" t="s">
        <v>16080</v>
      </c>
    </row>
    <row r="2899" spans="1:14">
      <c r="A2899">
        <v>15599000</v>
      </c>
      <c r="B2899">
        <v>3029648</v>
      </c>
      <c r="C2899" t="s">
        <v>14755</v>
      </c>
      <c r="D2899" t="s">
        <v>441</v>
      </c>
      <c r="F2899">
        <v>0</v>
      </c>
      <c r="G2899">
        <v>11.1</v>
      </c>
      <c r="H2899" t="s">
        <v>8588</v>
      </c>
      <c r="I2899">
        <v>2</v>
      </c>
      <c r="J2899" t="s">
        <v>445</v>
      </c>
      <c r="M2899">
        <v>3111</v>
      </c>
      <c r="N2899" t="s">
        <v>16080</v>
      </c>
    </row>
    <row r="2900" spans="1:14">
      <c r="A2900">
        <v>15599900</v>
      </c>
      <c r="B2900">
        <v>3029670</v>
      </c>
      <c r="C2900" t="s">
        <v>14756</v>
      </c>
      <c r="D2900" t="s">
        <v>441</v>
      </c>
      <c r="F2900">
        <v>0</v>
      </c>
      <c r="H2900" t="s">
        <v>8580</v>
      </c>
      <c r="I2900">
        <v>2</v>
      </c>
      <c r="J2900" t="s">
        <v>445</v>
      </c>
      <c r="M2900">
        <v>6666</v>
      </c>
      <c r="N2900" t="s">
        <v>16080</v>
      </c>
    </row>
    <row r="2901" spans="1:14">
      <c r="A2901">
        <v>15600000</v>
      </c>
      <c r="B2901">
        <v>3007666</v>
      </c>
      <c r="C2901" t="s">
        <v>1852</v>
      </c>
      <c r="D2901" t="s">
        <v>441</v>
      </c>
      <c r="F2901">
        <v>0</v>
      </c>
      <c r="G2901">
        <v>8.52</v>
      </c>
      <c r="H2901" t="s">
        <v>8580</v>
      </c>
      <c r="I2901">
        <v>6</v>
      </c>
      <c r="J2901" t="s">
        <v>445</v>
      </c>
      <c r="K2901" t="s">
        <v>446</v>
      </c>
      <c r="M2901">
        <v>0</v>
      </c>
    </row>
    <row r="2902" spans="1:14">
      <c r="A2902">
        <v>15610000</v>
      </c>
      <c r="B2902">
        <v>3014301</v>
      </c>
      <c r="C2902" t="s">
        <v>9798</v>
      </c>
      <c r="D2902" t="s">
        <v>441</v>
      </c>
      <c r="F2902">
        <v>0</v>
      </c>
      <c r="G2902">
        <v>11.61</v>
      </c>
      <c r="H2902" t="s">
        <v>8925</v>
      </c>
      <c r="I2902">
        <v>6</v>
      </c>
      <c r="J2902" t="s">
        <v>445</v>
      </c>
      <c r="K2902" t="s">
        <v>446</v>
      </c>
      <c r="M2902">
        <v>2314</v>
      </c>
    </row>
    <row r="2903" spans="1:14">
      <c r="A2903">
        <v>15620000</v>
      </c>
      <c r="B2903">
        <v>3021275</v>
      </c>
      <c r="C2903" t="s">
        <v>14757</v>
      </c>
      <c r="D2903" t="s">
        <v>441</v>
      </c>
      <c r="F2903">
        <v>0</v>
      </c>
      <c r="G2903">
        <v>12.23</v>
      </c>
      <c r="H2903" t="s">
        <v>8588</v>
      </c>
      <c r="I2903">
        <v>6</v>
      </c>
      <c r="J2903" t="s">
        <v>445</v>
      </c>
      <c r="K2903" t="s">
        <v>446</v>
      </c>
      <c r="M2903">
        <v>2391</v>
      </c>
      <c r="N2903" t="s">
        <v>16092</v>
      </c>
    </row>
    <row r="2904" spans="1:14">
      <c r="A2904">
        <v>15621000</v>
      </c>
      <c r="B2904">
        <v>3021276</v>
      </c>
      <c r="C2904" t="s">
        <v>14758</v>
      </c>
      <c r="D2904" t="s">
        <v>441</v>
      </c>
      <c r="F2904">
        <v>0</v>
      </c>
      <c r="G2904">
        <v>12.23</v>
      </c>
      <c r="H2904" t="s">
        <v>8588</v>
      </c>
      <c r="I2904">
        <v>6</v>
      </c>
      <c r="J2904" t="s">
        <v>445</v>
      </c>
      <c r="K2904" t="s">
        <v>446</v>
      </c>
      <c r="M2904">
        <v>2391</v>
      </c>
      <c r="N2904" t="s">
        <v>16092</v>
      </c>
    </row>
    <row r="2905" spans="1:14">
      <c r="A2905">
        <v>15633000</v>
      </c>
      <c r="B2905">
        <v>3021290</v>
      </c>
      <c r="C2905" t="s">
        <v>14759</v>
      </c>
      <c r="D2905" t="s">
        <v>441</v>
      </c>
      <c r="F2905">
        <v>0</v>
      </c>
      <c r="G2905">
        <v>14.24</v>
      </c>
      <c r="H2905" t="s">
        <v>8588</v>
      </c>
      <c r="I2905">
        <v>6</v>
      </c>
      <c r="J2905" t="s">
        <v>445</v>
      </c>
      <c r="K2905" t="s">
        <v>446</v>
      </c>
      <c r="M2905">
        <v>2391</v>
      </c>
      <c r="N2905" t="s">
        <v>16092</v>
      </c>
    </row>
    <row r="2906" spans="1:14">
      <c r="A2906">
        <v>15640000</v>
      </c>
      <c r="B2906">
        <v>3007667</v>
      </c>
      <c r="C2906" t="s">
        <v>1853</v>
      </c>
      <c r="D2906" t="s">
        <v>441</v>
      </c>
      <c r="F2906">
        <v>0</v>
      </c>
      <c r="G2906">
        <v>8.6999999999999993</v>
      </c>
      <c r="H2906" t="s">
        <v>8580</v>
      </c>
      <c r="I2906">
        <v>6</v>
      </c>
      <c r="J2906" t="s">
        <v>445</v>
      </c>
      <c r="K2906" t="s">
        <v>446</v>
      </c>
      <c r="M2906">
        <v>0</v>
      </c>
    </row>
    <row r="2907" spans="1:14">
      <c r="A2907">
        <v>15640002</v>
      </c>
      <c r="B2907">
        <v>3007668</v>
      </c>
      <c r="C2907" t="s">
        <v>1854</v>
      </c>
      <c r="D2907" t="s">
        <v>441</v>
      </c>
      <c r="F2907">
        <v>0</v>
      </c>
      <c r="G2907">
        <v>9.19</v>
      </c>
      <c r="H2907" t="s">
        <v>8580</v>
      </c>
      <c r="I2907">
        <v>365</v>
      </c>
      <c r="J2907" t="s">
        <v>445</v>
      </c>
      <c r="K2907" t="s">
        <v>446</v>
      </c>
      <c r="M2907">
        <v>2501</v>
      </c>
    </row>
    <row r="2908" spans="1:14">
      <c r="A2908">
        <v>15640019</v>
      </c>
      <c r="B2908">
        <v>3002580</v>
      </c>
      <c r="C2908" t="s">
        <v>1855</v>
      </c>
      <c r="D2908" t="s">
        <v>441</v>
      </c>
      <c r="F2908">
        <v>0</v>
      </c>
      <c r="G2908">
        <v>9.1</v>
      </c>
      <c r="H2908" t="s">
        <v>8588</v>
      </c>
      <c r="I2908">
        <v>365</v>
      </c>
      <c r="J2908" t="s">
        <v>445</v>
      </c>
      <c r="K2908" t="s">
        <v>446</v>
      </c>
      <c r="M2908">
        <v>2501</v>
      </c>
    </row>
    <row r="2909" spans="1:14">
      <c r="A2909">
        <v>15640502</v>
      </c>
      <c r="B2909">
        <v>3007669</v>
      </c>
      <c r="C2909" t="s">
        <v>1856</v>
      </c>
      <c r="D2909" t="s">
        <v>441</v>
      </c>
      <c r="F2909">
        <v>0</v>
      </c>
      <c r="G2909">
        <v>8.85</v>
      </c>
      <c r="H2909" t="s">
        <v>8580</v>
      </c>
      <c r="I2909">
        <v>6</v>
      </c>
      <c r="J2909" t="s">
        <v>445</v>
      </c>
      <c r="K2909" t="s">
        <v>446</v>
      </c>
      <c r="M2909">
        <v>2641</v>
      </c>
    </row>
    <row r="2910" spans="1:14">
      <c r="A2910">
        <v>15640519</v>
      </c>
      <c r="B2910">
        <v>3007670</v>
      </c>
      <c r="C2910" t="s">
        <v>1857</v>
      </c>
      <c r="D2910" t="s">
        <v>441</v>
      </c>
      <c r="F2910">
        <v>0</v>
      </c>
      <c r="G2910">
        <v>8.85</v>
      </c>
      <c r="I2910">
        <v>6</v>
      </c>
      <c r="J2910" t="s">
        <v>445</v>
      </c>
      <c r="K2910" t="s">
        <v>446</v>
      </c>
      <c r="M2910">
        <v>2641</v>
      </c>
    </row>
    <row r="2911" spans="1:14">
      <c r="A2911">
        <v>15641000</v>
      </c>
      <c r="B2911">
        <v>3011368</v>
      </c>
      <c r="C2911" t="s">
        <v>1858</v>
      </c>
      <c r="D2911" t="s">
        <v>441</v>
      </c>
      <c r="F2911">
        <v>0</v>
      </c>
      <c r="G2911">
        <v>8.6999999999999993</v>
      </c>
      <c r="I2911">
        <v>6</v>
      </c>
      <c r="J2911" t="s">
        <v>445</v>
      </c>
      <c r="K2911" t="s">
        <v>446</v>
      </c>
      <c r="M2911">
        <v>2314</v>
      </c>
    </row>
    <row r="2912" spans="1:14">
      <c r="A2912">
        <v>15650000</v>
      </c>
      <c r="B2912">
        <v>3012406</v>
      </c>
      <c r="C2912" t="s">
        <v>1859</v>
      </c>
      <c r="D2912" t="s">
        <v>441</v>
      </c>
      <c r="F2912">
        <v>0</v>
      </c>
      <c r="G2912">
        <v>8.3000000000000007</v>
      </c>
      <c r="H2912" t="s">
        <v>8925</v>
      </c>
      <c r="I2912">
        <v>6</v>
      </c>
      <c r="J2912" t="s">
        <v>445</v>
      </c>
      <c r="K2912" t="s">
        <v>446</v>
      </c>
      <c r="M2912">
        <v>2314</v>
      </c>
    </row>
    <row r="2913" spans="1:14">
      <c r="A2913">
        <v>15660000</v>
      </c>
      <c r="B2913">
        <v>3008852</v>
      </c>
      <c r="C2913" t="s">
        <v>1852</v>
      </c>
      <c r="D2913" t="s">
        <v>441</v>
      </c>
      <c r="F2913">
        <v>0</v>
      </c>
      <c r="G2913">
        <v>6.65</v>
      </c>
      <c r="H2913" t="s">
        <v>8580</v>
      </c>
      <c r="I2913">
        <v>6</v>
      </c>
      <c r="J2913" t="s">
        <v>445</v>
      </c>
      <c r="K2913" t="s">
        <v>446</v>
      </c>
      <c r="M2913">
        <v>0</v>
      </c>
    </row>
    <row r="2914" spans="1:14">
      <c r="A2914">
        <v>15670000</v>
      </c>
      <c r="B2914">
        <v>3007671</v>
      </c>
      <c r="C2914" t="s">
        <v>1860</v>
      </c>
      <c r="D2914" t="s">
        <v>441</v>
      </c>
      <c r="F2914">
        <v>0</v>
      </c>
      <c r="G2914">
        <v>7.42</v>
      </c>
      <c r="I2914">
        <v>6</v>
      </c>
      <c r="J2914" t="s">
        <v>445</v>
      </c>
      <c r="K2914" t="s">
        <v>446</v>
      </c>
      <c r="M2914">
        <v>0</v>
      </c>
    </row>
    <row r="2915" spans="1:14">
      <c r="A2915">
        <v>15680000</v>
      </c>
      <c r="B2915">
        <v>3007672</v>
      </c>
      <c r="C2915" t="s">
        <v>1861</v>
      </c>
      <c r="D2915" t="s">
        <v>441</v>
      </c>
      <c r="F2915">
        <v>0</v>
      </c>
      <c r="G2915">
        <v>6.79</v>
      </c>
      <c r="I2915">
        <v>6</v>
      </c>
      <c r="J2915" t="s">
        <v>445</v>
      </c>
      <c r="K2915" t="s">
        <v>446</v>
      </c>
      <c r="M2915">
        <v>0</v>
      </c>
    </row>
    <row r="2916" spans="1:14">
      <c r="A2916">
        <v>15690000</v>
      </c>
      <c r="B2916">
        <v>3021254</v>
      </c>
      <c r="C2916" t="s">
        <v>14760</v>
      </c>
      <c r="D2916" t="s">
        <v>441</v>
      </c>
      <c r="F2916">
        <v>0</v>
      </c>
      <c r="G2916">
        <v>16.09</v>
      </c>
      <c r="H2916" t="s">
        <v>8588</v>
      </c>
      <c r="I2916">
        <v>6</v>
      </c>
      <c r="J2916" t="s">
        <v>445</v>
      </c>
      <c r="M2916">
        <v>2391</v>
      </c>
      <c r="N2916" t="s">
        <v>16086</v>
      </c>
    </row>
    <row r="2917" spans="1:14">
      <c r="A2917">
        <v>15690007</v>
      </c>
      <c r="B2917">
        <v>3024907</v>
      </c>
      <c r="C2917" t="s">
        <v>14761</v>
      </c>
      <c r="D2917" t="s">
        <v>441</v>
      </c>
      <c r="F2917">
        <v>0</v>
      </c>
      <c r="G2917">
        <v>16.25</v>
      </c>
      <c r="H2917" t="s">
        <v>8584</v>
      </c>
      <c r="I2917">
        <v>6</v>
      </c>
      <c r="J2917" t="s">
        <v>445</v>
      </c>
      <c r="M2917">
        <v>3111</v>
      </c>
      <c r="N2917" t="s">
        <v>16086</v>
      </c>
    </row>
    <row r="2918" spans="1:14">
      <c r="A2918">
        <v>15690075</v>
      </c>
      <c r="B2918">
        <v>3021333</v>
      </c>
      <c r="C2918" t="s">
        <v>1862</v>
      </c>
      <c r="D2918" t="s">
        <v>441</v>
      </c>
      <c r="F2918">
        <v>0</v>
      </c>
      <c r="G2918">
        <v>13.5</v>
      </c>
      <c r="H2918" t="s">
        <v>8588</v>
      </c>
      <c r="I2918">
        <v>6</v>
      </c>
      <c r="J2918" t="s">
        <v>445</v>
      </c>
      <c r="K2918" t="s">
        <v>446</v>
      </c>
      <c r="M2918">
        <v>2641</v>
      </c>
      <c r="N2918" t="s">
        <v>16070</v>
      </c>
    </row>
    <row r="2919" spans="1:14">
      <c r="A2919">
        <v>15690100</v>
      </c>
      <c r="B2919">
        <v>3021367</v>
      </c>
      <c r="C2919" t="s">
        <v>14762</v>
      </c>
      <c r="D2919" t="s">
        <v>441</v>
      </c>
      <c r="F2919">
        <v>0</v>
      </c>
      <c r="H2919" t="s">
        <v>8588</v>
      </c>
      <c r="I2919">
        <v>6</v>
      </c>
      <c r="J2919" t="s">
        <v>445</v>
      </c>
      <c r="M2919">
        <v>7161</v>
      </c>
      <c r="N2919" t="s">
        <v>16086</v>
      </c>
    </row>
    <row r="2920" spans="1:14">
      <c r="A2920">
        <v>15690110</v>
      </c>
      <c r="B2920">
        <v>3020031</v>
      </c>
      <c r="C2920" t="s">
        <v>14763</v>
      </c>
      <c r="D2920" t="s">
        <v>441</v>
      </c>
      <c r="F2920">
        <v>0</v>
      </c>
      <c r="H2920" t="s">
        <v>8588</v>
      </c>
      <c r="I2920">
        <v>6</v>
      </c>
      <c r="J2920" t="s">
        <v>445</v>
      </c>
      <c r="K2920" t="s">
        <v>446</v>
      </c>
      <c r="M2920">
        <v>7161</v>
      </c>
      <c r="N2920" t="s">
        <v>16077</v>
      </c>
    </row>
    <row r="2921" spans="1:14">
      <c r="A2921">
        <v>15690900</v>
      </c>
      <c r="B2921">
        <v>3021384</v>
      </c>
      <c r="C2921" t="s">
        <v>14764</v>
      </c>
      <c r="D2921" t="s">
        <v>441</v>
      </c>
      <c r="F2921">
        <v>0</v>
      </c>
      <c r="G2921">
        <v>0</v>
      </c>
      <c r="H2921" t="s">
        <v>8580</v>
      </c>
      <c r="I2921">
        <v>6</v>
      </c>
      <c r="J2921" t="s">
        <v>445</v>
      </c>
      <c r="M2921">
        <v>6666</v>
      </c>
      <c r="N2921" t="s">
        <v>16086</v>
      </c>
    </row>
    <row r="2922" spans="1:14">
      <c r="A2922">
        <v>15690907</v>
      </c>
      <c r="B2922">
        <v>3025167</v>
      </c>
      <c r="C2922" t="s">
        <v>14765</v>
      </c>
      <c r="D2922" t="s">
        <v>441</v>
      </c>
      <c r="F2922">
        <v>0</v>
      </c>
      <c r="G2922">
        <v>0</v>
      </c>
      <c r="H2922" t="s">
        <v>8580</v>
      </c>
      <c r="I2922">
        <v>6</v>
      </c>
      <c r="J2922" t="s">
        <v>445</v>
      </c>
      <c r="M2922">
        <v>6666</v>
      </c>
      <c r="N2922" t="s">
        <v>16086</v>
      </c>
    </row>
    <row r="2923" spans="1:14">
      <c r="A2923">
        <v>15691000</v>
      </c>
      <c r="B2923">
        <v>3021255</v>
      </c>
      <c r="C2923" t="s">
        <v>14766</v>
      </c>
      <c r="D2923" t="s">
        <v>441</v>
      </c>
      <c r="F2923">
        <v>0</v>
      </c>
      <c r="G2923">
        <v>16.100000000000001</v>
      </c>
      <c r="H2923" t="s">
        <v>8588</v>
      </c>
      <c r="I2923">
        <v>6</v>
      </c>
      <c r="J2923" t="s">
        <v>445</v>
      </c>
      <c r="M2923">
        <v>2391</v>
      </c>
      <c r="N2923" t="s">
        <v>16086</v>
      </c>
    </row>
    <row r="2924" spans="1:14">
      <c r="A2924">
        <v>15691007</v>
      </c>
      <c r="B2924">
        <v>3024908</v>
      </c>
      <c r="C2924" t="s">
        <v>9799</v>
      </c>
      <c r="D2924" t="s">
        <v>441</v>
      </c>
      <c r="F2924">
        <v>0</v>
      </c>
      <c r="G2924">
        <v>12.43</v>
      </c>
      <c r="I2924">
        <v>6</v>
      </c>
      <c r="J2924" t="s">
        <v>445</v>
      </c>
      <c r="K2924" t="s">
        <v>446</v>
      </c>
      <c r="M2924">
        <v>3111</v>
      </c>
      <c r="N2924" t="s">
        <v>16070</v>
      </c>
    </row>
    <row r="2925" spans="1:14">
      <c r="A2925">
        <v>15691900</v>
      </c>
      <c r="B2925">
        <v>3021385</v>
      </c>
      <c r="C2925" t="s">
        <v>14767</v>
      </c>
      <c r="D2925" t="s">
        <v>441</v>
      </c>
      <c r="F2925">
        <v>0</v>
      </c>
      <c r="G2925">
        <v>0</v>
      </c>
      <c r="H2925" t="s">
        <v>8580</v>
      </c>
      <c r="I2925">
        <v>6</v>
      </c>
      <c r="J2925" t="s">
        <v>445</v>
      </c>
      <c r="M2925">
        <v>6666</v>
      </c>
      <c r="N2925" t="s">
        <v>16086</v>
      </c>
    </row>
    <row r="2926" spans="1:14">
      <c r="A2926">
        <v>15691907</v>
      </c>
      <c r="B2926">
        <v>3025168</v>
      </c>
      <c r="C2926" t="s">
        <v>9800</v>
      </c>
      <c r="D2926" t="s">
        <v>441</v>
      </c>
      <c r="F2926">
        <v>0</v>
      </c>
      <c r="G2926">
        <v>0</v>
      </c>
      <c r="I2926">
        <v>6</v>
      </c>
      <c r="J2926" t="s">
        <v>445</v>
      </c>
      <c r="K2926" t="s">
        <v>446</v>
      </c>
      <c r="M2926">
        <v>6666</v>
      </c>
      <c r="N2926" t="s">
        <v>16070</v>
      </c>
    </row>
    <row r="2927" spans="1:14">
      <c r="A2927">
        <v>15700000</v>
      </c>
      <c r="B2927">
        <v>3007673</v>
      </c>
      <c r="C2927" t="s">
        <v>14729</v>
      </c>
      <c r="D2927" t="s">
        <v>441</v>
      </c>
      <c r="F2927">
        <v>0</v>
      </c>
      <c r="G2927">
        <v>13.33</v>
      </c>
      <c r="H2927" t="s">
        <v>8588</v>
      </c>
      <c r="I2927">
        <v>6</v>
      </c>
      <c r="J2927" t="s">
        <v>445</v>
      </c>
      <c r="K2927" t="s">
        <v>446</v>
      </c>
      <c r="M2927">
        <v>2391</v>
      </c>
      <c r="N2927" t="s">
        <v>16080</v>
      </c>
    </row>
    <row r="2928" spans="1:14">
      <c r="A2928">
        <v>15700002</v>
      </c>
      <c r="B2928">
        <v>3022862</v>
      </c>
      <c r="C2928" t="s">
        <v>1863</v>
      </c>
      <c r="D2928" t="s">
        <v>441</v>
      </c>
      <c r="F2928">
        <v>0</v>
      </c>
      <c r="G2928">
        <v>10.44</v>
      </c>
      <c r="H2928" t="s">
        <v>8588</v>
      </c>
      <c r="I2928">
        <v>365</v>
      </c>
      <c r="J2928" t="s">
        <v>445</v>
      </c>
      <c r="K2928" t="s">
        <v>446</v>
      </c>
      <c r="M2928">
        <v>2501</v>
      </c>
      <c r="N2928" t="s">
        <v>15976</v>
      </c>
    </row>
    <row r="2929" spans="1:14">
      <c r="A2929">
        <v>15700007</v>
      </c>
      <c r="B2929">
        <v>3024909</v>
      </c>
      <c r="C2929" t="s">
        <v>9801</v>
      </c>
      <c r="D2929" t="s">
        <v>441</v>
      </c>
      <c r="F2929">
        <v>0</v>
      </c>
      <c r="G2929">
        <v>10.210000000000001</v>
      </c>
      <c r="H2929" t="s">
        <v>8637</v>
      </c>
      <c r="I2929">
        <v>6</v>
      </c>
      <c r="J2929" t="s">
        <v>445</v>
      </c>
      <c r="K2929" t="s">
        <v>446</v>
      </c>
      <c r="M2929">
        <v>3111</v>
      </c>
      <c r="N2929" t="s">
        <v>15976</v>
      </c>
    </row>
    <row r="2930" spans="1:14">
      <c r="A2930">
        <v>15700040</v>
      </c>
      <c r="B2930">
        <v>4016539</v>
      </c>
      <c r="C2930" t="s">
        <v>9802</v>
      </c>
      <c r="D2930" t="s">
        <v>441</v>
      </c>
      <c r="F2930">
        <v>0</v>
      </c>
      <c r="G2930">
        <v>10.57</v>
      </c>
      <c r="H2930" t="s">
        <v>8588</v>
      </c>
      <c r="I2930">
        <v>13</v>
      </c>
      <c r="J2930" t="s">
        <v>462</v>
      </c>
      <c r="K2930" t="s">
        <v>446</v>
      </c>
      <c r="M2930">
        <v>2641</v>
      </c>
      <c r="N2930" t="s">
        <v>15976</v>
      </c>
    </row>
    <row r="2931" spans="1:14">
      <c r="A2931">
        <v>15700120</v>
      </c>
      <c r="B2931">
        <v>3021484</v>
      </c>
      <c r="C2931" t="s">
        <v>14768</v>
      </c>
      <c r="D2931" t="s">
        <v>441</v>
      </c>
      <c r="F2931">
        <v>0</v>
      </c>
      <c r="H2931" t="s">
        <v>8588</v>
      </c>
      <c r="I2931">
        <v>6</v>
      </c>
      <c r="J2931" t="s">
        <v>445</v>
      </c>
      <c r="K2931" t="s">
        <v>446</v>
      </c>
      <c r="M2931">
        <v>7161</v>
      </c>
      <c r="N2931" t="s">
        <v>16077</v>
      </c>
    </row>
    <row r="2932" spans="1:14">
      <c r="A2932">
        <v>15700502</v>
      </c>
      <c r="B2932">
        <v>3022842</v>
      </c>
      <c r="C2932" t="s">
        <v>9803</v>
      </c>
      <c r="D2932" t="s">
        <v>441</v>
      </c>
      <c r="F2932">
        <v>0</v>
      </c>
      <c r="G2932">
        <v>10.17</v>
      </c>
      <c r="H2932" t="s">
        <v>8588</v>
      </c>
      <c r="I2932">
        <v>6</v>
      </c>
      <c r="J2932" t="s">
        <v>445</v>
      </c>
      <c r="K2932" t="s">
        <v>446</v>
      </c>
      <c r="M2932">
        <v>2641</v>
      </c>
      <c r="N2932" t="s">
        <v>15976</v>
      </c>
    </row>
    <row r="2933" spans="1:14">
      <c r="A2933">
        <v>15700602</v>
      </c>
      <c r="B2933">
        <v>3022861</v>
      </c>
      <c r="C2933" t="s">
        <v>9804</v>
      </c>
      <c r="D2933" t="s">
        <v>441</v>
      </c>
      <c r="F2933">
        <v>0</v>
      </c>
      <c r="G2933">
        <v>10.84</v>
      </c>
      <c r="H2933" t="s">
        <v>8588</v>
      </c>
      <c r="I2933">
        <v>4</v>
      </c>
      <c r="J2933" t="s">
        <v>445</v>
      </c>
      <c r="K2933" t="s">
        <v>446</v>
      </c>
      <c r="M2933">
        <v>2511</v>
      </c>
      <c r="N2933" t="s">
        <v>15976</v>
      </c>
    </row>
    <row r="2934" spans="1:14">
      <c r="A2934">
        <v>15700900</v>
      </c>
      <c r="B2934">
        <v>3020887</v>
      </c>
      <c r="C2934" t="s">
        <v>14730</v>
      </c>
      <c r="D2934" t="s">
        <v>441</v>
      </c>
      <c r="F2934">
        <v>0</v>
      </c>
      <c r="G2934">
        <v>0</v>
      </c>
      <c r="H2934" t="s">
        <v>8634</v>
      </c>
      <c r="I2934">
        <v>6</v>
      </c>
      <c r="J2934" t="s">
        <v>445</v>
      </c>
      <c r="K2934" t="s">
        <v>446</v>
      </c>
      <c r="M2934">
        <v>6666</v>
      </c>
      <c r="N2934" t="s">
        <v>16080</v>
      </c>
    </row>
    <row r="2935" spans="1:14">
      <c r="A2935">
        <v>15700902</v>
      </c>
      <c r="B2935">
        <v>3022776</v>
      </c>
      <c r="C2935" t="s">
        <v>9805</v>
      </c>
      <c r="D2935" t="s">
        <v>441</v>
      </c>
      <c r="F2935">
        <v>0</v>
      </c>
      <c r="G2935">
        <v>11.03</v>
      </c>
      <c r="H2935" t="s">
        <v>8580</v>
      </c>
      <c r="I2935">
        <v>4</v>
      </c>
      <c r="J2935" t="s">
        <v>445</v>
      </c>
      <c r="K2935" t="s">
        <v>446</v>
      </c>
      <c r="M2935">
        <v>6666</v>
      </c>
      <c r="N2935" t="s">
        <v>15976</v>
      </c>
    </row>
    <row r="2936" spans="1:14">
      <c r="A2936">
        <v>15700907</v>
      </c>
      <c r="B2936">
        <v>3025169</v>
      </c>
      <c r="C2936" t="s">
        <v>9806</v>
      </c>
      <c r="D2936" t="s">
        <v>441</v>
      </c>
      <c r="F2936">
        <v>0</v>
      </c>
      <c r="G2936">
        <v>0</v>
      </c>
      <c r="H2936" t="s">
        <v>8580</v>
      </c>
      <c r="I2936">
        <v>6</v>
      </c>
      <c r="J2936" t="s">
        <v>445</v>
      </c>
      <c r="K2936" t="s">
        <v>446</v>
      </c>
      <c r="M2936">
        <v>6666</v>
      </c>
      <c r="N2936" t="s">
        <v>15976</v>
      </c>
    </row>
    <row r="2937" spans="1:14">
      <c r="A2937">
        <v>15701000</v>
      </c>
      <c r="B2937">
        <v>3017387</v>
      </c>
      <c r="C2937" t="s">
        <v>14731</v>
      </c>
      <c r="D2937" t="s">
        <v>441</v>
      </c>
      <c r="F2937">
        <v>0</v>
      </c>
      <c r="G2937">
        <v>13.33</v>
      </c>
      <c r="H2937" t="s">
        <v>8588</v>
      </c>
      <c r="I2937">
        <v>6</v>
      </c>
      <c r="J2937" t="s">
        <v>445</v>
      </c>
      <c r="K2937" t="s">
        <v>446</v>
      </c>
      <c r="M2937">
        <v>2391</v>
      </c>
      <c r="N2937" t="s">
        <v>16080</v>
      </c>
    </row>
    <row r="2938" spans="1:14">
      <c r="A2938">
        <v>15701007</v>
      </c>
      <c r="B2938">
        <v>3024910</v>
      </c>
      <c r="C2938" t="s">
        <v>9807</v>
      </c>
      <c r="D2938" t="s">
        <v>441</v>
      </c>
      <c r="F2938">
        <v>0</v>
      </c>
      <c r="G2938">
        <v>10.210000000000001</v>
      </c>
      <c r="H2938" t="s">
        <v>8584</v>
      </c>
      <c r="I2938">
        <v>6</v>
      </c>
      <c r="J2938" t="s">
        <v>445</v>
      </c>
      <c r="K2938" t="s">
        <v>446</v>
      </c>
      <c r="M2938">
        <v>3111</v>
      </c>
      <c r="N2938" t="s">
        <v>15976</v>
      </c>
    </row>
    <row r="2939" spans="1:14">
      <c r="A2939">
        <v>15701900</v>
      </c>
      <c r="B2939">
        <v>3020889</v>
      </c>
      <c r="C2939" t="s">
        <v>14732</v>
      </c>
      <c r="D2939" t="s">
        <v>441</v>
      </c>
      <c r="F2939">
        <v>0</v>
      </c>
      <c r="G2939">
        <v>0</v>
      </c>
      <c r="H2939" t="s">
        <v>8637</v>
      </c>
      <c r="I2939">
        <v>6</v>
      </c>
      <c r="J2939" t="s">
        <v>445</v>
      </c>
      <c r="K2939" t="s">
        <v>446</v>
      </c>
      <c r="M2939">
        <v>6666</v>
      </c>
      <c r="N2939" t="s">
        <v>16080</v>
      </c>
    </row>
    <row r="2940" spans="1:14">
      <c r="A2940">
        <v>15701907</v>
      </c>
      <c r="B2940">
        <v>3025170</v>
      </c>
      <c r="C2940" t="s">
        <v>9808</v>
      </c>
      <c r="D2940" t="s">
        <v>441</v>
      </c>
      <c r="F2940">
        <v>0</v>
      </c>
      <c r="G2940">
        <v>0</v>
      </c>
      <c r="H2940" t="s">
        <v>8584</v>
      </c>
      <c r="I2940">
        <v>6</v>
      </c>
      <c r="J2940" t="s">
        <v>445</v>
      </c>
      <c r="K2940" t="s">
        <v>446</v>
      </c>
      <c r="M2940">
        <v>6666</v>
      </c>
      <c r="N2940" t="s">
        <v>15976</v>
      </c>
    </row>
    <row r="2941" spans="1:14">
      <c r="A2941">
        <v>15710000</v>
      </c>
      <c r="B2941">
        <v>3024101</v>
      </c>
      <c r="C2941" t="s">
        <v>14769</v>
      </c>
      <c r="D2941" t="s">
        <v>441</v>
      </c>
      <c r="F2941">
        <v>0</v>
      </c>
      <c r="G2941">
        <v>12.22</v>
      </c>
      <c r="H2941" t="s">
        <v>8549</v>
      </c>
      <c r="I2941">
        <v>6</v>
      </c>
      <c r="J2941" t="s">
        <v>445</v>
      </c>
      <c r="K2941" t="s">
        <v>446</v>
      </c>
      <c r="M2941">
        <v>2391</v>
      </c>
      <c r="N2941" t="s">
        <v>16091</v>
      </c>
    </row>
    <row r="2942" spans="1:14">
      <c r="A2942">
        <v>15711000</v>
      </c>
      <c r="B2942">
        <v>3024100</v>
      </c>
      <c r="C2942" t="s">
        <v>14770</v>
      </c>
      <c r="D2942" t="s">
        <v>441</v>
      </c>
      <c r="F2942">
        <v>0</v>
      </c>
      <c r="G2942">
        <v>12.22</v>
      </c>
      <c r="H2942" t="s">
        <v>8549</v>
      </c>
      <c r="I2942">
        <v>6</v>
      </c>
      <c r="J2942" t="s">
        <v>445</v>
      </c>
      <c r="K2942" t="s">
        <v>446</v>
      </c>
      <c r="M2942">
        <v>2391</v>
      </c>
      <c r="N2942" t="s">
        <v>16091</v>
      </c>
    </row>
    <row r="2943" spans="1:14">
      <c r="A2943">
        <v>15720000</v>
      </c>
      <c r="B2943">
        <v>3024098</v>
      </c>
      <c r="C2943" t="s">
        <v>14771</v>
      </c>
      <c r="D2943" t="s">
        <v>441</v>
      </c>
      <c r="F2943">
        <v>0</v>
      </c>
      <c r="G2943">
        <v>10.55</v>
      </c>
      <c r="H2943" t="s">
        <v>8549</v>
      </c>
      <c r="I2943">
        <v>6</v>
      </c>
      <c r="J2943" t="s">
        <v>445</v>
      </c>
      <c r="K2943" t="s">
        <v>446</v>
      </c>
      <c r="M2943">
        <v>2391</v>
      </c>
      <c r="N2943" t="s">
        <v>16091</v>
      </c>
    </row>
    <row r="2944" spans="1:14">
      <c r="A2944">
        <v>15721000</v>
      </c>
      <c r="B2944">
        <v>3024099</v>
      </c>
      <c r="C2944" t="s">
        <v>14772</v>
      </c>
      <c r="D2944" t="s">
        <v>441</v>
      </c>
      <c r="F2944">
        <v>0</v>
      </c>
      <c r="G2944">
        <v>10.55</v>
      </c>
      <c r="H2944" t="s">
        <v>8549</v>
      </c>
      <c r="I2944">
        <v>6</v>
      </c>
      <c r="J2944" t="s">
        <v>445</v>
      </c>
      <c r="K2944" t="s">
        <v>446</v>
      </c>
      <c r="M2944">
        <v>2391</v>
      </c>
      <c r="N2944" t="s">
        <v>16091</v>
      </c>
    </row>
    <row r="2945" spans="1:14">
      <c r="A2945">
        <v>15723000</v>
      </c>
      <c r="B2945">
        <v>3024173</v>
      </c>
      <c r="C2945" t="s">
        <v>14773</v>
      </c>
      <c r="D2945" t="s">
        <v>441</v>
      </c>
      <c r="F2945">
        <v>0</v>
      </c>
      <c r="G2945">
        <v>11.96</v>
      </c>
      <c r="H2945" t="s">
        <v>8588</v>
      </c>
      <c r="I2945">
        <v>6</v>
      </c>
      <c r="J2945" t="s">
        <v>445</v>
      </c>
      <c r="K2945" t="s">
        <v>446</v>
      </c>
      <c r="M2945">
        <v>2391</v>
      </c>
      <c r="N2945" t="s">
        <v>16091</v>
      </c>
    </row>
    <row r="2946" spans="1:14">
      <c r="A2946">
        <v>15723007</v>
      </c>
      <c r="B2946">
        <v>3024911</v>
      </c>
      <c r="C2946" t="s">
        <v>9809</v>
      </c>
      <c r="D2946" t="s">
        <v>441</v>
      </c>
      <c r="F2946">
        <v>0</v>
      </c>
      <c r="G2946">
        <v>9.0299999999999994</v>
      </c>
      <c r="H2946" t="s">
        <v>8580</v>
      </c>
      <c r="I2946">
        <v>6</v>
      </c>
      <c r="J2946" t="s">
        <v>445</v>
      </c>
      <c r="K2946" t="s">
        <v>446</v>
      </c>
      <c r="M2946">
        <v>3111</v>
      </c>
      <c r="N2946" t="s">
        <v>16093</v>
      </c>
    </row>
    <row r="2947" spans="1:14">
      <c r="A2947">
        <v>15730000</v>
      </c>
      <c r="B2947">
        <v>3014717</v>
      </c>
      <c r="C2947" t="s">
        <v>14774</v>
      </c>
      <c r="D2947" t="s">
        <v>441</v>
      </c>
      <c r="F2947">
        <v>0</v>
      </c>
      <c r="G2947">
        <v>13.31</v>
      </c>
      <c r="H2947" t="s">
        <v>8584</v>
      </c>
      <c r="I2947">
        <v>6</v>
      </c>
      <c r="J2947" t="s">
        <v>445</v>
      </c>
      <c r="K2947" t="s">
        <v>446</v>
      </c>
      <c r="M2947">
        <v>2391</v>
      </c>
      <c r="N2947" t="s">
        <v>16089</v>
      </c>
    </row>
    <row r="2948" spans="1:14">
      <c r="A2948">
        <v>15731000</v>
      </c>
      <c r="B2948">
        <v>3017602</v>
      </c>
      <c r="C2948" t="s">
        <v>14775</v>
      </c>
      <c r="D2948" t="s">
        <v>441</v>
      </c>
      <c r="F2948">
        <v>0</v>
      </c>
      <c r="G2948">
        <v>13.31</v>
      </c>
      <c r="H2948" t="s">
        <v>8580</v>
      </c>
      <c r="I2948">
        <v>6</v>
      </c>
      <c r="J2948" t="s">
        <v>445</v>
      </c>
      <c r="K2948" t="s">
        <v>446</v>
      </c>
      <c r="M2948">
        <v>2391</v>
      </c>
      <c r="N2948" t="s">
        <v>16089</v>
      </c>
    </row>
    <row r="2949" spans="1:14">
      <c r="A2949">
        <v>15733000</v>
      </c>
      <c r="B2949">
        <v>3021285</v>
      </c>
      <c r="C2949" t="s">
        <v>9810</v>
      </c>
      <c r="D2949" t="s">
        <v>441</v>
      </c>
      <c r="F2949">
        <v>0</v>
      </c>
      <c r="G2949">
        <v>6.84</v>
      </c>
      <c r="H2949" t="s">
        <v>8588</v>
      </c>
      <c r="I2949">
        <v>6</v>
      </c>
      <c r="J2949" t="s">
        <v>445</v>
      </c>
      <c r="K2949" t="s">
        <v>446</v>
      </c>
      <c r="M2949">
        <v>2390</v>
      </c>
    </row>
    <row r="2950" spans="1:14">
      <c r="A2950">
        <v>15740019</v>
      </c>
      <c r="B2950">
        <v>4021418</v>
      </c>
      <c r="C2950" t="s">
        <v>14776</v>
      </c>
      <c r="D2950" t="s">
        <v>441</v>
      </c>
      <c r="F2950">
        <v>0</v>
      </c>
      <c r="G2950">
        <v>12.88</v>
      </c>
      <c r="H2950" t="s">
        <v>8588</v>
      </c>
      <c r="I2950">
        <v>540</v>
      </c>
      <c r="J2950" t="s">
        <v>462</v>
      </c>
      <c r="M2950">
        <v>7111</v>
      </c>
      <c r="N2950" t="s">
        <v>16091</v>
      </c>
    </row>
    <row r="2951" spans="1:14">
      <c r="A2951">
        <v>15740028</v>
      </c>
      <c r="B2951">
        <v>4015976</v>
      </c>
      <c r="C2951" t="s">
        <v>14777</v>
      </c>
      <c r="D2951" t="s">
        <v>441</v>
      </c>
      <c r="F2951">
        <v>0</v>
      </c>
      <c r="G2951">
        <v>12.94</v>
      </c>
      <c r="H2951" t="s">
        <v>8588</v>
      </c>
      <c r="I2951">
        <v>540</v>
      </c>
      <c r="J2951" t="s">
        <v>462</v>
      </c>
      <c r="M2951">
        <v>7111</v>
      </c>
      <c r="N2951" t="s">
        <v>16091</v>
      </c>
    </row>
    <row r="2952" spans="1:14">
      <c r="A2952">
        <v>15740029</v>
      </c>
      <c r="B2952">
        <v>3026803</v>
      </c>
      <c r="C2952" t="s">
        <v>14778</v>
      </c>
      <c r="D2952" t="s">
        <v>441</v>
      </c>
      <c r="F2952">
        <v>0</v>
      </c>
      <c r="G2952">
        <v>12.94</v>
      </c>
      <c r="H2952" t="s">
        <v>8588</v>
      </c>
      <c r="I2952">
        <v>540</v>
      </c>
      <c r="J2952" t="s">
        <v>445</v>
      </c>
      <c r="K2952" t="s">
        <v>446</v>
      </c>
      <c r="M2952">
        <v>7111</v>
      </c>
      <c r="N2952" t="s">
        <v>16091</v>
      </c>
    </row>
    <row r="2953" spans="1:14">
      <c r="A2953">
        <v>15740519</v>
      </c>
      <c r="B2953">
        <v>3032173</v>
      </c>
      <c r="C2953" t="s">
        <v>14779</v>
      </c>
      <c r="D2953" t="s">
        <v>441</v>
      </c>
      <c r="F2953">
        <v>0</v>
      </c>
      <c r="G2953">
        <v>12.34</v>
      </c>
      <c r="H2953" t="s">
        <v>8549</v>
      </c>
      <c r="I2953">
        <v>540</v>
      </c>
      <c r="J2953" t="s">
        <v>445</v>
      </c>
      <c r="K2953" t="s">
        <v>446</v>
      </c>
      <c r="M2953">
        <v>2502</v>
      </c>
      <c r="N2953" t="s">
        <v>16091</v>
      </c>
    </row>
    <row r="2954" spans="1:14">
      <c r="A2954">
        <v>15740528</v>
      </c>
      <c r="B2954">
        <v>3024111</v>
      </c>
      <c r="C2954" t="s">
        <v>14780</v>
      </c>
      <c r="D2954" t="s">
        <v>441</v>
      </c>
      <c r="F2954">
        <v>0</v>
      </c>
      <c r="G2954">
        <v>12.46</v>
      </c>
      <c r="H2954" t="s">
        <v>8588</v>
      </c>
      <c r="I2954">
        <v>540</v>
      </c>
      <c r="J2954" t="s">
        <v>445</v>
      </c>
      <c r="K2954" t="s">
        <v>446</v>
      </c>
      <c r="M2954">
        <v>2502</v>
      </c>
      <c r="N2954" t="s">
        <v>16091</v>
      </c>
    </row>
    <row r="2955" spans="1:14">
      <c r="A2955">
        <v>15740628</v>
      </c>
      <c r="B2955">
        <v>3026806</v>
      </c>
      <c r="C2955" t="s">
        <v>9811</v>
      </c>
      <c r="D2955" t="s">
        <v>441</v>
      </c>
      <c r="F2955">
        <v>0</v>
      </c>
      <c r="G2955">
        <v>7.64</v>
      </c>
      <c r="H2955" t="s">
        <v>8588</v>
      </c>
      <c r="I2955">
        <v>4</v>
      </c>
      <c r="J2955" t="s">
        <v>445</v>
      </c>
      <c r="K2955" t="s">
        <v>446</v>
      </c>
      <c r="M2955">
        <v>2511</v>
      </c>
      <c r="N2955" t="s">
        <v>16093</v>
      </c>
    </row>
    <row r="2956" spans="1:14">
      <c r="A2956">
        <v>15740928</v>
      </c>
      <c r="B2956">
        <v>3026822</v>
      </c>
      <c r="C2956" t="s">
        <v>9812</v>
      </c>
      <c r="D2956" t="s">
        <v>441</v>
      </c>
      <c r="F2956">
        <v>0</v>
      </c>
      <c r="H2956" t="s">
        <v>8584</v>
      </c>
      <c r="I2956">
        <v>4</v>
      </c>
      <c r="J2956" t="s">
        <v>445</v>
      </c>
      <c r="K2956" t="s">
        <v>446</v>
      </c>
      <c r="M2956">
        <v>6666</v>
      </c>
      <c r="N2956" t="s">
        <v>16093</v>
      </c>
    </row>
    <row r="2957" spans="1:14">
      <c r="A2957">
        <v>15741028</v>
      </c>
      <c r="B2957">
        <v>4016032</v>
      </c>
      <c r="C2957" t="s">
        <v>9813</v>
      </c>
      <c r="D2957" t="s">
        <v>441</v>
      </c>
      <c r="F2957">
        <v>0</v>
      </c>
      <c r="G2957">
        <v>9.4700000000000006</v>
      </c>
      <c r="H2957" t="s">
        <v>8588</v>
      </c>
      <c r="I2957">
        <v>365</v>
      </c>
      <c r="J2957" t="s">
        <v>462</v>
      </c>
      <c r="K2957" t="s">
        <v>446</v>
      </c>
      <c r="M2957">
        <v>0</v>
      </c>
      <c r="N2957" t="s">
        <v>16093</v>
      </c>
    </row>
    <row r="2958" spans="1:14">
      <c r="A2958">
        <v>15741528</v>
      </c>
      <c r="B2958">
        <v>3024174</v>
      </c>
      <c r="C2958" t="s">
        <v>9814</v>
      </c>
      <c r="D2958" t="s">
        <v>441</v>
      </c>
      <c r="F2958">
        <v>0</v>
      </c>
      <c r="G2958">
        <v>9.24</v>
      </c>
      <c r="H2958" t="s">
        <v>8588</v>
      </c>
      <c r="I2958">
        <v>365</v>
      </c>
      <c r="J2958" t="s">
        <v>445</v>
      </c>
      <c r="K2958" t="s">
        <v>446</v>
      </c>
      <c r="M2958">
        <v>2641</v>
      </c>
      <c r="N2958" t="s">
        <v>16093</v>
      </c>
    </row>
    <row r="2959" spans="1:14">
      <c r="A2959">
        <v>15743000</v>
      </c>
      <c r="B2959">
        <v>3024025</v>
      </c>
      <c r="C2959" t="s">
        <v>14781</v>
      </c>
      <c r="D2959" t="s">
        <v>441</v>
      </c>
      <c r="F2959">
        <v>0</v>
      </c>
      <c r="G2959">
        <v>12.13</v>
      </c>
      <c r="H2959" t="s">
        <v>8588</v>
      </c>
      <c r="I2959">
        <v>6</v>
      </c>
      <c r="J2959" t="s">
        <v>445</v>
      </c>
      <c r="K2959" t="s">
        <v>446</v>
      </c>
      <c r="M2959">
        <v>2391</v>
      </c>
      <c r="N2959" t="s">
        <v>16091</v>
      </c>
    </row>
    <row r="2960" spans="1:14">
      <c r="A2960">
        <v>15743007</v>
      </c>
      <c r="B2960">
        <v>3024912</v>
      </c>
      <c r="C2960" t="s">
        <v>14782</v>
      </c>
      <c r="D2960" t="s">
        <v>441</v>
      </c>
      <c r="F2960">
        <v>0</v>
      </c>
      <c r="G2960">
        <v>12.27</v>
      </c>
      <c r="H2960" t="s">
        <v>9815</v>
      </c>
      <c r="I2960">
        <v>6</v>
      </c>
      <c r="J2960" t="s">
        <v>445</v>
      </c>
      <c r="K2960" t="s">
        <v>446</v>
      </c>
      <c r="M2960">
        <v>3111</v>
      </c>
      <c r="N2960" t="s">
        <v>16091</v>
      </c>
    </row>
    <row r="2961" spans="1:14">
      <c r="A2961">
        <v>15743907</v>
      </c>
      <c r="B2961">
        <v>3027161</v>
      </c>
      <c r="C2961" t="s">
        <v>14783</v>
      </c>
      <c r="D2961" t="s">
        <v>441</v>
      </c>
      <c r="F2961">
        <v>0</v>
      </c>
      <c r="H2961" t="s">
        <v>8584</v>
      </c>
      <c r="I2961">
        <v>6</v>
      </c>
      <c r="J2961" t="s">
        <v>445</v>
      </c>
      <c r="K2961" t="s">
        <v>446</v>
      </c>
      <c r="M2961">
        <v>6666</v>
      </c>
      <c r="N2961" t="s">
        <v>16091</v>
      </c>
    </row>
    <row r="2962" spans="1:14">
      <c r="A2962">
        <v>15750000</v>
      </c>
      <c r="B2962">
        <v>3007676</v>
      </c>
      <c r="C2962" t="s">
        <v>1785</v>
      </c>
      <c r="D2962" t="s">
        <v>441</v>
      </c>
      <c r="F2962">
        <v>0</v>
      </c>
      <c r="G2962">
        <v>10.18</v>
      </c>
      <c r="I2962">
        <v>6</v>
      </c>
      <c r="J2962" t="s">
        <v>445</v>
      </c>
      <c r="K2962" t="s">
        <v>446</v>
      </c>
      <c r="M2962">
        <v>0</v>
      </c>
    </row>
    <row r="2963" spans="1:14">
      <c r="A2963">
        <v>15760000</v>
      </c>
      <c r="B2963">
        <v>3007677</v>
      </c>
      <c r="C2963" t="s">
        <v>1788</v>
      </c>
      <c r="D2963" t="s">
        <v>441</v>
      </c>
      <c r="F2963">
        <v>0</v>
      </c>
      <c r="G2963">
        <v>9.44</v>
      </c>
      <c r="I2963">
        <v>5</v>
      </c>
      <c r="J2963" t="s">
        <v>445</v>
      </c>
      <c r="K2963" t="s">
        <v>446</v>
      </c>
      <c r="M2963">
        <v>0</v>
      </c>
    </row>
    <row r="2964" spans="1:14">
      <c r="A2964">
        <v>15770000</v>
      </c>
      <c r="B2964">
        <v>3014428</v>
      </c>
      <c r="C2964" t="s">
        <v>1864</v>
      </c>
      <c r="D2964" t="s">
        <v>441</v>
      </c>
      <c r="F2964">
        <v>0</v>
      </c>
      <c r="G2964">
        <v>8.3800000000000008</v>
      </c>
      <c r="I2964">
        <v>6</v>
      </c>
      <c r="J2964" t="s">
        <v>445</v>
      </c>
      <c r="K2964" t="s">
        <v>446</v>
      </c>
      <c r="M2964">
        <v>2314</v>
      </c>
    </row>
    <row r="2965" spans="1:14">
      <c r="A2965">
        <v>15780000</v>
      </c>
      <c r="B2965">
        <v>3014427</v>
      </c>
      <c r="C2965" t="s">
        <v>9816</v>
      </c>
      <c r="D2965" t="s">
        <v>441</v>
      </c>
      <c r="F2965">
        <v>0</v>
      </c>
      <c r="G2965">
        <v>7.3</v>
      </c>
      <c r="I2965">
        <v>6</v>
      </c>
      <c r="J2965" t="s">
        <v>445</v>
      </c>
      <c r="K2965" t="s">
        <v>446</v>
      </c>
      <c r="M2965">
        <v>2314</v>
      </c>
    </row>
    <row r="2966" spans="1:14">
      <c r="A2966">
        <v>15780900</v>
      </c>
      <c r="B2966">
        <v>3019210</v>
      </c>
      <c r="C2966" t="s">
        <v>9817</v>
      </c>
      <c r="D2966" t="s">
        <v>441</v>
      </c>
      <c r="F2966">
        <v>0</v>
      </c>
      <c r="G2966">
        <v>7.3</v>
      </c>
      <c r="H2966" t="s">
        <v>8634</v>
      </c>
      <c r="I2966">
        <v>6</v>
      </c>
      <c r="J2966" t="s">
        <v>445</v>
      </c>
      <c r="K2966" t="s">
        <v>446</v>
      </c>
      <c r="M2966">
        <v>6666</v>
      </c>
    </row>
    <row r="2967" spans="1:14">
      <c r="A2967">
        <v>15781000</v>
      </c>
      <c r="B2967">
        <v>3017587</v>
      </c>
      <c r="C2967" t="s">
        <v>9818</v>
      </c>
      <c r="D2967" t="s">
        <v>441</v>
      </c>
      <c r="F2967">
        <v>0</v>
      </c>
      <c r="H2967" t="s">
        <v>8584</v>
      </c>
      <c r="I2967">
        <v>6</v>
      </c>
      <c r="J2967" t="s">
        <v>445</v>
      </c>
      <c r="K2967" t="s">
        <v>446</v>
      </c>
      <c r="M2967">
        <v>2314</v>
      </c>
    </row>
    <row r="2968" spans="1:14">
      <c r="A2968">
        <v>15782000</v>
      </c>
      <c r="B2968">
        <v>3014715</v>
      </c>
      <c r="C2968" t="s">
        <v>1865</v>
      </c>
      <c r="D2968" t="s">
        <v>441</v>
      </c>
      <c r="F2968">
        <v>0</v>
      </c>
      <c r="G2968">
        <v>7.52</v>
      </c>
      <c r="H2968" t="s">
        <v>8580</v>
      </c>
      <c r="I2968">
        <v>6</v>
      </c>
      <c r="J2968" t="s">
        <v>445</v>
      </c>
      <c r="K2968" t="s">
        <v>446</v>
      </c>
      <c r="M2968">
        <v>2314</v>
      </c>
    </row>
    <row r="2969" spans="1:14">
      <c r="A2969">
        <v>15790000</v>
      </c>
      <c r="B2969">
        <v>3030501</v>
      </c>
      <c r="C2969" t="s">
        <v>14784</v>
      </c>
      <c r="D2969" t="s">
        <v>441</v>
      </c>
      <c r="F2969">
        <v>0</v>
      </c>
      <c r="G2969">
        <v>12.8</v>
      </c>
      <c r="H2969" t="s">
        <v>8588</v>
      </c>
      <c r="I2969">
        <v>6</v>
      </c>
      <c r="J2969" t="s">
        <v>445</v>
      </c>
      <c r="M2969">
        <v>2391</v>
      </c>
      <c r="N2969" t="s">
        <v>16080</v>
      </c>
    </row>
    <row r="2970" spans="1:14">
      <c r="A2970">
        <v>15790007</v>
      </c>
      <c r="B2970">
        <v>3024913</v>
      </c>
      <c r="C2970" t="s">
        <v>14785</v>
      </c>
      <c r="D2970" t="s">
        <v>441</v>
      </c>
      <c r="F2970">
        <v>0</v>
      </c>
      <c r="G2970">
        <v>13.48</v>
      </c>
      <c r="H2970" t="s">
        <v>8584</v>
      </c>
      <c r="I2970">
        <v>6</v>
      </c>
      <c r="J2970" t="s">
        <v>445</v>
      </c>
      <c r="M2970">
        <v>3111</v>
      </c>
      <c r="N2970" t="s">
        <v>16080</v>
      </c>
    </row>
    <row r="2971" spans="1:14">
      <c r="A2971">
        <v>15790040</v>
      </c>
      <c r="B2971">
        <v>4017730</v>
      </c>
      <c r="C2971" t="s">
        <v>14786</v>
      </c>
      <c r="D2971" t="s">
        <v>441</v>
      </c>
      <c r="F2971">
        <v>0</v>
      </c>
      <c r="G2971">
        <v>14.22</v>
      </c>
      <c r="H2971" t="s">
        <v>8588</v>
      </c>
      <c r="I2971">
        <v>16</v>
      </c>
      <c r="J2971" t="s">
        <v>462</v>
      </c>
      <c r="M2971">
        <v>7112</v>
      </c>
      <c r="N2971" t="s">
        <v>16080</v>
      </c>
    </row>
    <row r="2972" spans="1:14">
      <c r="A2972">
        <v>15790041</v>
      </c>
      <c r="B2972">
        <v>4018939</v>
      </c>
      <c r="C2972" t="s">
        <v>14787</v>
      </c>
      <c r="D2972" t="s">
        <v>441</v>
      </c>
      <c r="F2972">
        <v>0</v>
      </c>
      <c r="G2972">
        <v>14.28</v>
      </c>
      <c r="H2972" t="s">
        <v>8588</v>
      </c>
      <c r="I2972">
        <v>16</v>
      </c>
      <c r="J2972" t="s">
        <v>462</v>
      </c>
      <c r="M2972">
        <v>7112</v>
      </c>
      <c r="N2972" t="s">
        <v>16080</v>
      </c>
    </row>
    <row r="2973" spans="1:14">
      <c r="A2973">
        <v>15790042</v>
      </c>
      <c r="B2973">
        <v>4024420</v>
      </c>
      <c r="C2973" t="s">
        <v>14788</v>
      </c>
      <c r="D2973" t="s">
        <v>441</v>
      </c>
      <c r="F2973">
        <v>0</v>
      </c>
      <c r="G2973">
        <v>14.2</v>
      </c>
      <c r="H2973" t="s">
        <v>8588</v>
      </c>
      <c r="I2973">
        <v>16</v>
      </c>
      <c r="J2973" t="s">
        <v>462</v>
      </c>
      <c r="M2973">
        <v>7112</v>
      </c>
      <c r="N2973" t="s">
        <v>16080</v>
      </c>
    </row>
    <row r="2974" spans="1:14">
      <c r="A2974">
        <v>15790043</v>
      </c>
      <c r="B2974">
        <v>4026758</v>
      </c>
      <c r="C2974" t="s">
        <v>14789</v>
      </c>
      <c r="D2974" t="s">
        <v>441</v>
      </c>
      <c r="F2974">
        <v>0</v>
      </c>
      <c r="G2974">
        <v>14.3</v>
      </c>
      <c r="H2974" t="s">
        <v>8588</v>
      </c>
      <c r="I2974">
        <v>16</v>
      </c>
      <c r="J2974" t="s">
        <v>462</v>
      </c>
      <c r="M2974">
        <v>7112</v>
      </c>
      <c r="N2974" t="s">
        <v>16080</v>
      </c>
    </row>
    <row r="2975" spans="1:14">
      <c r="A2975">
        <v>15790070</v>
      </c>
      <c r="B2975">
        <v>4019598</v>
      </c>
      <c r="C2975" t="s">
        <v>14790</v>
      </c>
      <c r="D2975" t="s">
        <v>441</v>
      </c>
      <c r="F2975">
        <v>0</v>
      </c>
      <c r="G2975">
        <v>13.59</v>
      </c>
      <c r="H2975" t="s">
        <v>8588</v>
      </c>
      <c r="I2975">
        <v>6</v>
      </c>
      <c r="J2975" t="s">
        <v>462</v>
      </c>
      <c r="M2975">
        <v>7112</v>
      </c>
      <c r="N2975" t="s">
        <v>16080</v>
      </c>
    </row>
    <row r="2976" spans="1:14">
      <c r="A2976">
        <v>15790075</v>
      </c>
      <c r="B2976">
        <v>3029934</v>
      </c>
      <c r="C2976" t="s">
        <v>14791</v>
      </c>
      <c r="D2976" t="s">
        <v>441</v>
      </c>
      <c r="F2976">
        <v>0</v>
      </c>
      <c r="G2976">
        <v>13.55</v>
      </c>
      <c r="H2976" t="s">
        <v>8588</v>
      </c>
      <c r="I2976">
        <v>6</v>
      </c>
      <c r="J2976" t="s">
        <v>445</v>
      </c>
      <c r="M2976">
        <v>7112</v>
      </c>
      <c r="N2976" t="s">
        <v>16080</v>
      </c>
    </row>
    <row r="2977" spans="1:14">
      <c r="A2977">
        <v>15790080</v>
      </c>
      <c r="B2977">
        <v>4021731</v>
      </c>
      <c r="C2977" t="s">
        <v>14792</v>
      </c>
      <c r="D2977" t="s">
        <v>441</v>
      </c>
      <c r="F2977">
        <v>0</v>
      </c>
      <c r="G2977">
        <v>13.54</v>
      </c>
      <c r="H2977" t="s">
        <v>8588</v>
      </c>
      <c r="I2977">
        <v>6</v>
      </c>
      <c r="J2977" t="s">
        <v>462</v>
      </c>
      <c r="M2977">
        <v>7112</v>
      </c>
      <c r="N2977" t="s">
        <v>16080</v>
      </c>
    </row>
    <row r="2978" spans="1:14">
      <c r="A2978">
        <v>15790100</v>
      </c>
      <c r="B2978">
        <v>3031688</v>
      </c>
      <c r="C2978" t="s">
        <v>1866</v>
      </c>
      <c r="D2978" t="s">
        <v>441</v>
      </c>
      <c r="F2978">
        <v>0</v>
      </c>
      <c r="H2978" t="s">
        <v>8588</v>
      </c>
      <c r="I2978">
        <v>6</v>
      </c>
      <c r="J2978" t="s">
        <v>445</v>
      </c>
      <c r="K2978" t="s">
        <v>446</v>
      </c>
      <c r="M2978">
        <v>0</v>
      </c>
      <c r="N2978" t="s">
        <v>15976</v>
      </c>
    </row>
    <row r="2979" spans="1:14">
      <c r="A2979">
        <v>15790900</v>
      </c>
      <c r="B2979">
        <v>3021306</v>
      </c>
      <c r="C2979" t="s">
        <v>14730</v>
      </c>
      <c r="D2979" t="s">
        <v>441</v>
      </c>
      <c r="F2979">
        <v>0</v>
      </c>
      <c r="G2979">
        <v>0</v>
      </c>
      <c r="H2979" t="s">
        <v>8634</v>
      </c>
      <c r="I2979">
        <v>6</v>
      </c>
      <c r="J2979" t="s">
        <v>445</v>
      </c>
      <c r="K2979" t="s">
        <v>446</v>
      </c>
      <c r="M2979">
        <v>6666</v>
      </c>
      <c r="N2979" t="s">
        <v>16080</v>
      </c>
    </row>
    <row r="2980" spans="1:14">
      <c r="A2980">
        <v>15790907</v>
      </c>
      <c r="B2980">
        <v>3025173</v>
      </c>
      <c r="C2980" t="s">
        <v>14793</v>
      </c>
      <c r="D2980" t="s">
        <v>441</v>
      </c>
      <c r="F2980">
        <v>0</v>
      </c>
      <c r="G2980">
        <v>0</v>
      </c>
      <c r="H2980" t="s">
        <v>8580</v>
      </c>
      <c r="I2980">
        <v>6</v>
      </c>
      <c r="J2980" t="s">
        <v>445</v>
      </c>
      <c r="M2980">
        <v>6666</v>
      </c>
      <c r="N2980" t="s">
        <v>16080</v>
      </c>
    </row>
    <row r="2981" spans="1:14">
      <c r="A2981">
        <v>15791000</v>
      </c>
      <c r="B2981">
        <v>3021271</v>
      </c>
      <c r="C2981" t="s">
        <v>14731</v>
      </c>
      <c r="D2981" t="s">
        <v>441</v>
      </c>
      <c r="F2981">
        <v>0</v>
      </c>
      <c r="G2981">
        <v>13.33</v>
      </c>
      <c r="H2981" t="s">
        <v>8588</v>
      </c>
      <c r="I2981">
        <v>6</v>
      </c>
      <c r="J2981" t="s">
        <v>445</v>
      </c>
      <c r="K2981" t="s">
        <v>446</v>
      </c>
      <c r="M2981">
        <v>2391</v>
      </c>
      <c r="N2981" t="s">
        <v>16080</v>
      </c>
    </row>
    <row r="2982" spans="1:14">
      <c r="A2982">
        <v>15791007</v>
      </c>
      <c r="B2982">
        <v>3024914</v>
      </c>
      <c r="C2982" t="s">
        <v>9819</v>
      </c>
      <c r="D2982" t="s">
        <v>441</v>
      </c>
      <c r="F2982">
        <v>0</v>
      </c>
      <c r="G2982">
        <v>10.210000000000001</v>
      </c>
      <c r="H2982" t="s">
        <v>8580</v>
      </c>
      <c r="I2982">
        <v>6</v>
      </c>
      <c r="J2982" t="s">
        <v>445</v>
      </c>
      <c r="K2982" t="s">
        <v>446</v>
      </c>
      <c r="M2982">
        <v>3111</v>
      </c>
      <c r="N2982" t="s">
        <v>15976</v>
      </c>
    </row>
    <row r="2983" spans="1:14">
      <c r="A2983">
        <v>15791900</v>
      </c>
      <c r="B2983">
        <v>3021307</v>
      </c>
      <c r="C2983" t="s">
        <v>14732</v>
      </c>
      <c r="D2983" t="s">
        <v>441</v>
      </c>
      <c r="F2983">
        <v>0</v>
      </c>
      <c r="G2983">
        <v>0</v>
      </c>
      <c r="H2983" t="s">
        <v>8634</v>
      </c>
      <c r="I2983">
        <v>6</v>
      </c>
      <c r="J2983" t="s">
        <v>445</v>
      </c>
      <c r="K2983" t="s">
        <v>446</v>
      </c>
      <c r="M2983">
        <v>6666</v>
      </c>
      <c r="N2983" t="s">
        <v>16080</v>
      </c>
    </row>
    <row r="2984" spans="1:14">
      <c r="A2984">
        <v>15791907</v>
      </c>
      <c r="B2984">
        <v>3025174</v>
      </c>
      <c r="C2984" t="s">
        <v>9820</v>
      </c>
      <c r="D2984" t="s">
        <v>441</v>
      </c>
      <c r="F2984">
        <v>0</v>
      </c>
      <c r="G2984">
        <v>0</v>
      </c>
      <c r="H2984" t="s">
        <v>8580</v>
      </c>
      <c r="I2984">
        <v>6</v>
      </c>
      <c r="J2984" t="s">
        <v>445</v>
      </c>
      <c r="K2984" t="s">
        <v>446</v>
      </c>
      <c r="M2984">
        <v>6666</v>
      </c>
      <c r="N2984" t="s">
        <v>15976</v>
      </c>
    </row>
    <row r="2985" spans="1:14">
      <c r="A2985">
        <v>15800000</v>
      </c>
      <c r="B2985">
        <v>3007678</v>
      </c>
      <c r="C2985" t="s">
        <v>1867</v>
      </c>
      <c r="D2985" t="s">
        <v>441</v>
      </c>
      <c r="F2985">
        <v>0</v>
      </c>
      <c r="G2985">
        <v>10.83</v>
      </c>
      <c r="I2985">
        <v>6</v>
      </c>
      <c r="J2985" t="s">
        <v>445</v>
      </c>
      <c r="K2985" t="s">
        <v>446</v>
      </c>
      <c r="M2985">
        <v>0</v>
      </c>
    </row>
    <row r="2986" spans="1:14">
      <c r="A2986">
        <v>15800002</v>
      </c>
      <c r="B2986">
        <v>3007679</v>
      </c>
      <c r="C2986" t="s">
        <v>1868</v>
      </c>
      <c r="D2986" t="s">
        <v>441</v>
      </c>
      <c r="F2986">
        <v>0</v>
      </c>
      <c r="G2986">
        <v>11.37</v>
      </c>
      <c r="I2986">
        <v>365</v>
      </c>
      <c r="J2986" t="s">
        <v>445</v>
      </c>
      <c r="K2986" t="s">
        <v>446</v>
      </c>
      <c r="M2986">
        <v>2501</v>
      </c>
    </row>
    <row r="2987" spans="1:14">
      <c r="A2987">
        <v>15800502</v>
      </c>
      <c r="B2987">
        <v>3007680</v>
      </c>
      <c r="C2987" t="s">
        <v>1869</v>
      </c>
      <c r="D2987" t="s">
        <v>441</v>
      </c>
      <c r="F2987">
        <v>0</v>
      </c>
      <c r="G2987">
        <v>11</v>
      </c>
      <c r="I2987">
        <v>6</v>
      </c>
      <c r="J2987" t="s">
        <v>445</v>
      </c>
      <c r="K2987" t="s">
        <v>446</v>
      </c>
      <c r="M2987">
        <v>2641</v>
      </c>
    </row>
    <row r="2988" spans="1:14">
      <c r="A2988">
        <v>15800602</v>
      </c>
      <c r="B2988">
        <v>3007681</v>
      </c>
      <c r="C2988" t="s">
        <v>1870</v>
      </c>
      <c r="D2988" t="s">
        <v>441</v>
      </c>
      <c r="F2988">
        <v>0</v>
      </c>
      <c r="G2988">
        <v>12.07</v>
      </c>
      <c r="I2988">
        <v>4</v>
      </c>
      <c r="J2988" t="s">
        <v>445</v>
      </c>
      <c r="K2988" t="s">
        <v>446</v>
      </c>
      <c r="M2988">
        <v>2511</v>
      </c>
    </row>
    <row r="2989" spans="1:14">
      <c r="A2989">
        <v>15810000</v>
      </c>
      <c r="B2989">
        <v>3007682</v>
      </c>
      <c r="C2989" t="s">
        <v>1871</v>
      </c>
      <c r="D2989" t="s">
        <v>441</v>
      </c>
      <c r="F2989">
        <v>0</v>
      </c>
      <c r="G2989">
        <v>11.71</v>
      </c>
      <c r="I2989">
        <v>5</v>
      </c>
      <c r="J2989" t="s">
        <v>445</v>
      </c>
      <c r="K2989" t="s">
        <v>446</v>
      </c>
      <c r="M2989">
        <v>0</v>
      </c>
    </row>
    <row r="2990" spans="1:14">
      <c r="A2990">
        <v>15820000</v>
      </c>
      <c r="B2990">
        <v>3007683</v>
      </c>
      <c r="C2990" t="s">
        <v>1872</v>
      </c>
      <c r="D2990" t="s">
        <v>441</v>
      </c>
      <c r="F2990">
        <v>0</v>
      </c>
      <c r="G2990">
        <v>8.15</v>
      </c>
      <c r="I2990">
        <v>6</v>
      </c>
      <c r="J2990" t="s">
        <v>445</v>
      </c>
      <c r="K2990" t="s">
        <v>446</v>
      </c>
      <c r="M2990">
        <v>0</v>
      </c>
    </row>
    <row r="2991" spans="1:14">
      <c r="A2991">
        <v>15830000</v>
      </c>
      <c r="B2991">
        <v>3014474</v>
      </c>
      <c r="C2991" t="s">
        <v>1873</v>
      </c>
      <c r="D2991" t="s">
        <v>441</v>
      </c>
      <c r="F2991">
        <v>0</v>
      </c>
      <c r="G2991">
        <v>8.3800000000000008</v>
      </c>
      <c r="H2991" t="s">
        <v>8584</v>
      </c>
      <c r="I2991">
        <v>6</v>
      </c>
      <c r="J2991" t="s">
        <v>445</v>
      </c>
      <c r="K2991" t="s">
        <v>446</v>
      </c>
      <c r="M2991">
        <v>2314</v>
      </c>
    </row>
    <row r="2992" spans="1:14">
      <c r="A2992">
        <v>15840000</v>
      </c>
      <c r="B2992">
        <v>3014475</v>
      </c>
      <c r="C2992" t="s">
        <v>1874</v>
      </c>
      <c r="D2992" t="s">
        <v>441</v>
      </c>
      <c r="F2992">
        <v>0</v>
      </c>
      <c r="G2992">
        <v>7.97</v>
      </c>
      <c r="I2992">
        <v>6</v>
      </c>
      <c r="J2992" t="s">
        <v>445</v>
      </c>
      <c r="K2992" t="s">
        <v>446</v>
      </c>
      <c r="M2992">
        <v>2314</v>
      </c>
    </row>
    <row r="2993" spans="1:14">
      <c r="A2993">
        <v>15850000</v>
      </c>
      <c r="B2993">
        <v>3014466</v>
      </c>
      <c r="C2993" t="s">
        <v>1875</v>
      </c>
      <c r="D2993" t="s">
        <v>441</v>
      </c>
      <c r="F2993">
        <v>0</v>
      </c>
      <c r="G2993">
        <v>8.18</v>
      </c>
      <c r="I2993">
        <v>6</v>
      </c>
      <c r="J2993" t="s">
        <v>445</v>
      </c>
      <c r="K2993" t="s">
        <v>446</v>
      </c>
      <c r="M2993">
        <v>2314</v>
      </c>
    </row>
    <row r="2994" spans="1:14">
      <c r="A2994">
        <v>15860000</v>
      </c>
      <c r="B2994">
        <v>3022598</v>
      </c>
      <c r="C2994" t="s">
        <v>9821</v>
      </c>
      <c r="D2994" t="s">
        <v>441</v>
      </c>
      <c r="F2994">
        <v>0</v>
      </c>
      <c r="G2994">
        <v>10.7</v>
      </c>
      <c r="I2994">
        <v>6</v>
      </c>
      <c r="J2994" t="s">
        <v>445</v>
      </c>
      <c r="K2994" t="s">
        <v>446</v>
      </c>
      <c r="M2994">
        <v>2611</v>
      </c>
      <c r="N2994" t="s">
        <v>15976</v>
      </c>
    </row>
    <row r="2995" spans="1:14">
      <c r="A2995">
        <v>15863000</v>
      </c>
      <c r="B2995">
        <v>3021286</v>
      </c>
      <c r="C2995" t="s">
        <v>9822</v>
      </c>
      <c r="D2995" t="s">
        <v>441</v>
      </c>
      <c r="F2995">
        <v>0</v>
      </c>
      <c r="G2995">
        <v>6.84</v>
      </c>
      <c r="H2995" t="s">
        <v>8588</v>
      </c>
      <c r="I2995">
        <v>6</v>
      </c>
      <c r="J2995" t="s">
        <v>445</v>
      </c>
      <c r="K2995" t="s">
        <v>446</v>
      </c>
      <c r="M2995">
        <v>2390</v>
      </c>
    </row>
    <row r="2996" spans="1:14">
      <c r="A2996">
        <v>15870000</v>
      </c>
      <c r="B2996">
        <v>3019105</v>
      </c>
      <c r="C2996" t="s">
        <v>14794</v>
      </c>
      <c r="D2996" t="s">
        <v>441</v>
      </c>
      <c r="F2996">
        <v>0</v>
      </c>
      <c r="G2996">
        <v>13.27</v>
      </c>
      <c r="H2996" t="s">
        <v>8584</v>
      </c>
      <c r="I2996">
        <v>6</v>
      </c>
      <c r="J2996" t="s">
        <v>445</v>
      </c>
      <c r="M2996">
        <v>2391</v>
      </c>
      <c r="N2996" t="s">
        <v>16089</v>
      </c>
    </row>
    <row r="2997" spans="1:14">
      <c r="A2997">
        <v>15871000</v>
      </c>
      <c r="B2997">
        <v>3022007</v>
      </c>
      <c r="C2997" t="s">
        <v>14795</v>
      </c>
      <c r="D2997" t="s">
        <v>441</v>
      </c>
      <c r="F2997">
        <v>0</v>
      </c>
      <c r="G2997">
        <v>13.27</v>
      </c>
      <c r="H2997" t="s">
        <v>8580</v>
      </c>
      <c r="I2997">
        <v>6</v>
      </c>
      <c r="J2997" t="s">
        <v>445</v>
      </c>
      <c r="K2997" t="s">
        <v>446</v>
      </c>
      <c r="M2997">
        <v>2391</v>
      </c>
      <c r="N2997" t="s">
        <v>16089</v>
      </c>
    </row>
    <row r="2998" spans="1:14">
      <c r="A2998">
        <v>15873000</v>
      </c>
      <c r="B2998">
        <v>3022292</v>
      </c>
      <c r="C2998" t="s">
        <v>14796</v>
      </c>
      <c r="D2998" t="s">
        <v>441</v>
      </c>
      <c r="F2998">
        <v>0</v>
      </c>
      <c r="G2998">
        <v>13.19</v>
      </c>
      <c r="H2998" t="s">
        <v>8588</v>
      </c>
      <c r="I2998">
        <v>6</v>
      </c>
      <c r="J2998" t="s">
        <v>445</v>
      </c>
      <c r="M2998">
        <v>2391</v>
      </c>
      <c r="N2998" t="s">
        <v>16089</v>
      </c>
    </row>
    <row r="2999" spans="1:14">
      <c r="A2999">
        <v>15873007</v>
      </c>
      <c r="B2999">
        <v>3024915</v>
      </c>
      <c r="C2999" t="s">
        <v>14797</v>
      </c>
      <c r="D2999" t="s">
        <v>441</v>
      </c>
      <c r="F2999">
        <v>0</v>
      </c>
      <c r="G2999">
        <v>13.33</v>
      </c>
      <c r="H2999" t="s">
        <v>8580</v>
      </c>
      <c r="I2999">
        <v>6</v>
      </c>
      <c r="J2999" t="s">
        <v>445</v>
      </c>
      <c r="K2999" t="s">
        <v>446</v>
      </c>
      <c r="M2999">
        <v>2391</v>
      </c>
      <c r="N2999" t="s">
        <v>16089</v>
      </c>
    </row>
    <row r="3000" spans="1:14">
      <c r="A3000">
        <v>15880000</v>
      </c>
      <c r="B3000">
        <v>3007684</v>
      </c>
      <c r="C3000" t="s">
        <v>1876</v>
      </c>
      <c r="D3000" t="s">
        <v>441</v>
      </c>
      <c r="F3000">
        <v>0</v>
      </c>
      <c r="G3000">
        <v>11.44</v>
      </c>
      <c r="I3000">
        <v>6</v>
      </c>
      <c r="J3000" t="s">
        <v>445</v>
      </c>
      <c r="K3000" t="s">
        <v>446</v>
      </c>
      <c r="M3000">
        <v>2616</v>
      </c>
      <c r="N3000" t="s">
        <v>15977</v>
      </c>
    </row>
    <row r="3001" spans="1:14">
      <c r="A3001">
        <v>15882000</v>
      </c>
      <c r="B3001">
        <v>3017388</v>
      </c>
      <c r="C3001" t="s">
        <v>1877</v>
      </c>
      <c r="D3001" t="s">
        <v>441</v>
      </c>
      <c r="F3001">
        <v>0</v>
      </c>
      <c r="G3001">
        <v>11.69</v>
      </c>
      <c r="I3001">
        <v>6</v>
      </c>
      <c r="J3001" t="s">
        <v>445</v>
      </c>
      <c r="K3001" t="s">
        <v>446</v>
      </c>
      <c r="M3001">
        <v>2616</v>
      </c>
      <c r="N3001" t="s">
        <v>15977</v>
      </c>
    </row>
    <row r="3002" spans="1:14">
      <c r="A3002">
        <v>15884000</v>
      </c>
      <c r="B3002">
        <v>3007685</v>
      </c>
      <c r="C3002" t="s">
        <v>1878</v>
      </c>
      <c r="D3002" t="s">
        <v>441</v>
      </c>
      <c r="F3002">
        <v>0</v>
      </c>
      <c r="G3002">
        <v>10.53</v>
      </c>
      <c r="I3002">
        <v>6</v>
      </c>
      <c r="J3002" t="s">
        <v>445</v>
      </c>
      <c r="K3002" t="s">
        <v>446</v>
      </c>
      <c r="M3002">
        <v>0</v>
      </c>
    </row>
    <row r="3003" spans="1:14">
      <c r="A3003">
        <v>15890000</v>
      </c>
      <c r="B3003">
        <v>3014472</v>
      </c>
      <c r="C3003" t="s">
        <v>14705</v>
      </c>
      <c r="D3003" t="s">
        <v>441</v>
      </c>
      <c r="F3003">
        <v>0</v>
      </c>
      <c r="G3003">
        <v>11.1</v>
      </c>
      <c r="H3003" t="s">
        <v>8549</v>
      </c>
      <c r="I3003">
        <v>6</v>
      </c>
      <c r="J3003" t="s">
        <v>445</v>
      </c>
      <c r="K3003" t="s">
        <v>446</v>
      </c>
      <c r="M3003">
        <v>2391</v>
      </c>
      <c r="N3003" t="s">
        <v>16080</v>
      </c>
    </row>
    <row r="3004" spans="1:14">
      <c r="A3004">
        <v>15890007</v>
      </c>
      <c r="B3004">
        <v>3036579</v>
      </c>
      <c r="C3004" t="s">
        <v>14798</v>
      </c>
      <c r="D3004" t="s">
        <v>441</v>
      </c>
      <c r="F3004">
        <v>0</v>
      </c>
      <c r="G3004">
        <v>11.23</v>
      </c>
      <c r="H3004" t="s">
        <v>8588</v>
      </c>
      <c r="I3004">
        <v>6</v>
      </c>
      <c r="J3004" t="s">
        <v>445</v>
      </c>
      <c r="K3004" t="s">
        <v>446</v>
      </c>
      <c r="M3004">
        <v>3111</v>
      </c>
      <c r="N3004" t="s">
        <v>16080</v>
      </c>
    </row>
    <row r="3005" spans="1:14">
      <c r="A3005">
        <v>15890100</v>
      </c>
      <c r="B3005">
        <v>3018234</v>
      </c>
      <c r="C3005" t="s">
        <v>1879</v>
      </c>
      <c r="D3005" t="s">
        <v>441</v>
      </c>
      <c r="F3005">
        <v>0</v>
      </c>
      <c r="G3005">
        <v>5.68</v>
      </c>
      <c r="H3005" t="s">
        <v>8588</v>
      </c>
      <c r="I3005">
        <v>365</v>
      </c>
      <c r="J3005" t="s">
        <v>445</v>
      </c>
      <c r="K3005" t="s">
        <v>446</v>
      </c>
      <c r="M3005">
        <v>3741</v>
      </c>
    </row>
    <row r="3006" spans="1:14">
      <c r="A3006">
        <v>15890120</v>
      </c>
      <c r="B3006">
        <v>3018232</v>
      </c>
      <c r="C3006" t="s">
        <v>1880</v>
      </c>
      <c r="D3006" t="s">
        <v>441</v>
      </c>
      <c r="F3006">
        <v>0</v>
      </c>
      <c r="H3006" t="s">
        <v>8588</v>
      </c>
      <c r="I3006">
        <v>540</v>
      </c>
      <c r="J3006" t="s">
        <v>445</v>
      </c>
      <c r="M3006">
        <v>3741</v>
      </c>
      <c r="N3006" t="s">
        <v>15976</v>
      </c>
    </row>
    <row r="3007" spans="1:14">
      <c r="A3007">
        <v>15890900</v>
      </c>
      <c r="B3007">
        <v>3019211</v>
      </c>
      <c r="C3007" t="s">
        <v>9823</v>
      </c>
      <c r="D3007" t="s">
        <v>441</v>
      </c>
      <c r="F3007">
        <v>0</v>
      </c>
      <c r="G3007">
        <v>3.47</v>
      </c>
      <c r="H3007" t="s">
        <v>8634</v>
      </c>
      <c r="I3007">
        <v>6</v>
      </c>
      <c r="J3007" t="s">
        <v>445</v>
      </c>
      <c r="K3007" t="s">
        <v>446</v>
      </c>
      <c r="M3007">
        <v>6666</v>
      </c>
    </row>
    <row r="3008" spans="1:14">
      <c r="A3008">
        <v>15890907</v>
      </c>
      <c r="B3008">
        <v>3036567</v>
      </c>
      <c r="C3008" t="s">
        <v>14799</v>
      </c>
      <c r="D3008" t="s">
        <v>441</v>
      </c>
      <c r="F3008">
        <v>0</v>
      </c>
      <c r="H3008" t="s">
        <v>8584</v>
      </c>
      <c r="I3008">
        <v>6</v>
      </c>
      <c r="J3008" t="s">
        <v>445</v>
      </c>
      <c r="K3008" t="s">
        <v>446</v>
      </c>
      <c r="M3008">
        <v>6666</v>
      </c>
      <c r="N3008" t="s">
        <v>16080</v>
      </c>
    </row>
    <row r="3009" spans="1:14">
      <c r="A3009">
        <v>15900000</v>
      </c>
      <c r="B3009">
        <v>3008851</v>
      </c>
      <c r="C3009" t="s">
        <v>1881</v>
      </c>
      <c r="D3009" t="s">
        <v>441</v>
      </c>
      <c r="F3009">
        <v>0</v>
      </c>
      <c r="G3009">
        <v>10.26</v>
      </c>
      <c r="H3009" t="s">
        <v>8549</v>
      </c>
      <c r="I3009">
        <v>6</v>
      </c>
      <c r="J3009" t="s">
        <v>445</v>
      </c>
      <c r="K3009" t="s">
        <v>446</v>
      </c>
      <c r="M3009">
        <v>0</v>
      </c>
    </row>
    <row r="3010" spans="1:14">
      <c r="A3010">
        <v>15910000</v>
      </c>
      <c r="B3010">
        <v>3014477</v>
      </c>
      <c r="C3010" t="s">
        <v>1882</v>
      </c>
      <c r="D3010" t="s">
        <v>441</v>
      </c>
      <c r="F3010">
        <v>0</v>
      </c>
      <c r="G3010">
        <v>5.65</v>
      </c>
      <c r="I3010">
        <v>6</v>
      </c>
      <c r="J3010" t="s">
        <v>445</v>
      </c>
      <c r="K3010" t="s">
        <v>446</v>
      </c>
      <c r="M3010">
        <v>2314</v>
      </c>
    </row>
    <row r="3011" spans="1:14">
      <c r="A3011">
        <v>15920000</v>
      </c>
      <c r="B3011">
        <v>3014473</v>
      </c>
      <c r="C3011" t="s">
        <v>1883</v>
      </c>
      <c r="D3011" t="s">
        <v>441</v>
      </c>
      <c r="F3011">
        <v>0</v>
      </c>
      <c r="G3011">
        <v>5.2</v>
      </c>
      <c r="H3011" t="s">
        <v>8580</v>
      </c>
      <c r="I3011">
        <v>6</v>
      </c>
      <c r="J3011" t="s">
        <v>445</v>
      </c>
      <c r="K3011" t="s">
        <v>446</v>
      </c>
      <c r="M3011">
        <v>2314</v>
      </c>
    </row>
    <row r="3012" spans="1:14">
      <c r="A3012">
        <v>15930000</v>
      </c>
      <c r="B3012">
        <v>3015929</v>
      </c>
      <c r="C3012" t="s">
        <v>14800</v>
      </c>
      <c r="D3012" t="s">
        <v>441</v>
      </c>
      <c r="F3012">
        <v>0</v>
      </c>
      <c r="G3012">
        <v>13.13</v>
      </c>
      <c r="I3012">
        <v>6</v>
      </c>
      <c r="J3012" t="s">
        <v>445</v>
      </c>
      <c r="M3012">
        <v>2391</v>
      </c>
      <c r="N3012" t="s">
        <v>16073</v>
      </c>
    </row>
    <row r="3013" spans="1:14">
      <c r="A3013">
        <v>15930007</v>
      </c>
      <c r="B3013">
        <v>3024916</v>
      </c>
      <c r="C3013" t="s">
        <v>14801</v>
      </c>
      <c r="D3013" t="s">
        <v>441</v>
      </c>
      <c r="F3013">
        <v>0</v>
      </c>
      <c r="G3013">
        <v>13.27</v>
      </c>
      <c r="H3013" t="s">
        <v>8584</v>
      </c>
      <c r="I3013">
        <v>6</v>
      </c>
      <c r="J3013" t="s">
        <v>445</v>
      </c>
      <c r="M3013">
        <v>2391</v>
      </c>
      <c r="N3013" t="s">
        <v>16073</v>
      </c>
    </row>
    <row r="3014" spans="1:14">
      <c r="A3014">
        <v>15930028</v>
      </c>
      <c r="B3014">
        <v>4001792</v>
      </c>
      <c r="C3014" t="s">
        <v>1884</v>
      </c>
      <c r="D3014" t="s">
        <v>441</v>
      </c>
      <c r="F3014">
        <v>0</v>
      </c>
      <c r="G3014">
        <v>7.69</v>
      </c>
      <c r="H3014" t="s">
        <v>8588</v>
      </c>
      <c r="I3014">
        <v>365</v>
      </c>
      <c r="J3014" t="s">
        <v>462</v>
      </c>
      <c r="K3014" t="s">
        <v>446</v>
      </c>
      <c r="M3014">
        <v>2501</v>
      </c>
    </row>
    <row r="3015" spans="1:14">
      <c r="A3015">
        <v>15930029</v>
      </c>
      <c r="B3015">
        <v>4015393</v>
      </c>
      <c r="C3015" t="s">
        <v>9824</v>
      </c>
      <c r="D3015" t="s">
        <v>441</v>
      </c>
      <c r="F3015">
        <v>0</v>
      </c>
      <c r="G3015">
        <v>10.35</v>
      </c>
      <c r="H3015" t="s">
        <v>8588</v>
      </c>
      <c r="I3015">
        <v>365</v>
      </c>
      <c r="J3015" t="s">
        <v>462</v>
      </c>
      <c r="K3015" t="s">
        <v>446</v>
      </c>
      <c r="M3015">
        <v>2501</v>
      </c>
      <c r="N3015" t="s">
        <v>16083</v>
      </c>
    </row>
    <row r="3016" spans="1:14">
      <c r="A3016">
        <v>15930030</v>
      </c>
      <c r="B3016">
        <v>4016901</v>
      </c>
      <c r="C3016" t="s">
        <v>9825</v>
      </c>
      <c r="D3016" t="s">
        <v>441</v>
      </c>
      <c r="F3016">
        <v>0</v>
      </c>
      <c r="G3016">
        <v>11.78</v>
      </c>
      <c r="H3016" t="s">
        <v>8588</v>
      </c>
      <c r="I3016">
        <v>12</v>
      </c>
      <c r="J3016" t="s">
        <v>462</v>
      </c>
      <c r="K3016" t="s">
        <v>446</v>
      </c>
      <c r="M3016">
        <v>2611</v>
      </c>
      <c r="N3016" t="s">
        <v>16083</v>
      </c>
    </row>
    <row r="3017" spans="1:14">
      <c r="A3017">
        <v>15930528</v>
      </c>
      <c r="B3017">
        <v>3007686</v>
      </c>
      <c r="C3017" t="s">
        <v>1885</v>
      </c>
      <c r="D3017" t="s">
        <v>441</v>
      </c>
      <c r="F3017">
        <v>0</v>
      </c>
      <c r="G3017">
        <v>10.18</v>
      </c>
      <c r="I3017">
        <v>6</v>
      </c>
      <c r="J3017" t="s">
        <v>445</v>
      </c>
      <c r="K3017" t="s">
        <v>446</v>
      </c>
      <c r="M3017">
        <v>2641</v>
      </c>
      <c r="N3017" t="s">
        <v>16083</v>
      </c>
    </row>
    <row r="3018" spans="1:14">
      <c r="A3018">
        <v>15930529</v>
      </c>
      <c r="B3018">
        <v>3023280</v>
      </c>
      <c r="C3018" t="s">
        <v>9826</v>
      </c>
      <c r="D3018" t="s">
        <v>441</v>
      </c>
      <c r="F3018">
        <v>0</v>
      </c>
      <c r="G3018">
        <v>10.17</v>
      </c>
      <c r="H3018" t="s">
        <v>8588</v>
      </c>
      <c r="I3018">
        <v>6</v>
      </c>
      <c r="J3018" t="s">
        <v>445</v>
      </c>
      <c r="K3018" t="s">
        <v>446</v>
      </c>
      <c r="M3018">
        <v>2641</v>
      </c>
      <c r="N3018" t="s">
        <v>16083</v>
      </c>
    </row>
    <row r="3019" spans="1:14">
      <c r="A3019">
        <v>15931000</v>
      </c>
      <c r="B3019">
        <v>3017765</v>
      </c>
      <c r="C3019" t="s">
        <v>14802</v>
      </c>
      <c r="D3019" t="s">
        <v>441</v>
      </c>
      <c r="F3019">
        <v>0</v>
      </c>
      <c r="G3019">
        <v>13.13</v>
      </c>
      <c r="H3019" t="s">
        <v>8634</v>
      </c>
      <c r="I3019">
        <v>6</v>
      </c>
      <c r="J3019" t="s">
        <v>445</v>
      </c>
      <c r="M3019">
        <v>2391</v>
      </c>
      <c r="N3019" t="s">
        <v>16073</v>
      </c>
    </row>
    <row r="3020" spans="1:14">
      <c r="A3020">
        <v>15931007</v>
      </c>
      <c r="B3020">
        <v>3024917</v>
      </c>
      <c r="C3020" t="s">
        <v>9827</v>
      </c>
      <c r="D3020" t="s">
        <v>441</v>
      </c>
      <c r="F3020">
        <v>0</v>
      </c>
      <c r="G3020">
        <v>9.93</v>
      </c>
      <c r="H3020" t="s">
        <v>8580</v>
      </c>
      <c r="I3020">
        <v>6</v>
      </c>
      <c r="J3020" t="s">
        <v>445</v>
      </c>
      <c r="K3020" t="s">
        <v>446</v>
      </c>
      <c r="M3020">
        <v>3111</v>
      </c>
      <c r="N3020" t="s">
        <v>16083</v>
      </c>
    </row>
    <row r="3021" spans="1:14">
      <c r="A3021">
        <v>15931029</v>
      </c>
      <c r="B3021">
        <v>4015381</v>
      </c>
      <c r="C3021" t="s">
        <v>9828</v>
      </c>
      <c r="D3021" t="s">
        <v>441</v>
      </c>
      <c r="F3021">
        <v>0</v>
      </c>
      <c r="G3021">
        <v>10.35</v>
      </c>
      <c r="H3021" t="s">
        <v>8588</v>
      </c>
      <c r="I3021">
        <v>365</v>
      </c>
      <c r="J3021" t="s">
        <v>462</v>
      </c>
      <c r="K3021" t="s">
        <v>446</v>
      </c>
      <c r="M3021">
        <v>2501</v>
      </c>
      <c r="N3021" t="s">
        <v>16083</v>
      </c>
    </row>
    <row r="3022" spans="1:14">
      <c r="A3022">
        <v>15931529</v>
      </c>
      <c r="B3022">
        <v>3023281</v>
      </c>
      <c r="C3022" t="s">
        <v>9829</v>
      </c>
      <c r="D3022" t="s">
        <v>441</v>
      </c>
      <c r="F3022">
        <v>0</v>
      </c>
      <c r="G3022">
        <v>10.16</v>
      </c>
      <c r="H3022" t="s">
        <v>8588</v>
      </c>
      <c r="I3022">
        <v>6</v>
      </c>
      <c r="J3022" t="s">
        <v>445</v>
      </c>
      <c r="K3022" t="s">
        <v>446</v>
      </c>
      <c r="M3022">
        <v>2641</v>
      </c>
      <c r="N3022" t="s">
        <v>16083</v>
      </c>
    </row>
    <row r="3023" spans="1:14">
      <c r="A3023">
        <v>15934000</v>
      </c>
      <c r="B3023">
        <v>3025862</v>
      </c>
      <c r="C3023" t="s">
        <v>9830</v>
      </c>
      <c r="D3023" t="s">
        <v>441</v>
      </c>
      <c r="F3023">
        <v>0</v>
      </c>
      <c r="G3023">
        <v>10.85</v>
      </c>
      <c r="H3023" t="s">
        <v>8588</v>
      </c>
      <c r="I3023">
        <v>6</v>
      </c>
      <c r="J3023" t="s">
        <v>445</v>
      </c>
      <c r="K3023" t="s">
        <v>446</v>
      </c>
      <c r="M3023">
        <v>2311</v>
      </c>
      <c r="N3023" t="s">
        <v>16083</v>
      </c>
    </row>
    <row r="3024" spans="1:14">
      <c r="A3024">
        <v>15940000</v>
      </c>
      <c r="B3024">
        <v>3004442</v>
      </c>
      <c r="C3024" t="s">
        <v>1886</v>
      </c>
      <c r="D3024" t="s">
        <v>441</v>
      </c>
      <c r="F3024">
        <v>0</v>
      </c>
      <c r="G3024">
        <v>7.34</v>
      </c>
      <c r="H3024" t="s">
        <v>8580</v>
      </c>
      <c r="I3024">
        <v>6</v>
      </c>
      <c r="J3024" t="s">
        <v>445</v>
      </c>
      <c r="K3024" t="s">
        <v>446</v>
      </c>
      <c r="M3024">
        <v>0</v>
      </c>
    </row>
    <row r="3025" spans="1:14">
      <c r="A3025">
        <v>15950000</v>
      </c>
      <c r="B3025">
        <v>3007687</v>
      </c>
      <c r="C3025" t="s">
        <v>1887</v>
      </c>
      <c r="D3025" t="s">
        <v>441</v>
      </c>
      <c r="F3025">
        <v>0</v>
      </c>
      <c r="G3025">
        <v>0.2</v>
      </c>
      <c r="I3025">
        <v>6</v>
      </c>
      <c r="J3025" t="s">
        <v>445</v>
      </c>
      <c r="K3025" t="s">
        <v>446</v>
      </c>
      <c r="M3025">
        <v>0</v>
      </c>
    </row>
    <row r="3026" spans="1:14">
      <c r="A3026">
        <v>15950028</v>
      </c>
      <c r="B3026">
        <v>4003849</v>
      </c>
      <c r="C3026" t="s">
        <v>9831</v>
      </c>
      <c r="D3026" t="s">
        <v>441</v>
      </c>
      <c r="F3026">
        <v>0</v>
      </c>
      <c r="G3026">
        <v>0.54</v>
      </c>
      <c r="H3026" t="s">
        <v>8588</v>
      </c>
      <c r="I3026">
        <v>365</v>
      </c>
      <c r="J3026" t="s">
        <v>462</v>
      </c>
      <c r="K3026" t="s">
        <v>446</v>
      </c>
      <c r="M3026">
        <v>2501</v>
      </c>
    </row>
    <row r="3027" spans="1:14">
      <c r="A3027">
        <v>15950528</v>
      </c>
      <c r="B3027">
        <v>3007688</v>
      </c>
      <c r="C3027" t="s">
        <v>1888</v>
      </c>
      <c r="D3027" t="s">
        <v>441</v>
      </c>
      <c r="F3027">
        <v>0</v>
      </c>
      <c r="G3027">
        <v>0.28000000000000003</v>
      </c>
      <c r="I3027">
        <v>6</v>
      </c>
      <c r="J3027" t="s">
        <v>445</v>
      </c>
      <c r="K3027" t="s">
        <v>446</v>
      </c>
      <c r="M3027">
        <v>2641</v>
      </c>
    </row>
    <row r="3028" spans="1:14">
      <c r="A3028">
        <v>15960000</v>
      </c>
      <c r="B3028">
        <v>3016188</v>
      </c>
      <c r="C3028" t="s">
        <v>14803</v>
      </c>
      <c r="D3028" t="s">
        <v>441</v>
      </c>
      <c r="F3028">
        <v>0</v>
      </c>
      <c r="G3028">
        <v>11.29</v>
      </c>
      <c r="H3028" t="s">
        <v>8580</v>
      </c>
      <c r="I3028">
        <v>6</v>
      </c>
      <c r="J3028" t="s">
        <v>445</v>
      </c>
      <c r="K3028" t="s">
        <v>446</v>
      </c>
      <c r="M3028">
        <v>2391</v>
      </c>
      <c r="N3028" t="s">
        <v>16073</v>
      </c>
    </row>
    <row r="3029" spans="1:14">
      <c r="A3029">
        <v>15961000</v>
      </c>
      <c r="B3029">
        <v>3017819</v>
      </c>
      <c r="C3029" t="s">
        <v>14804</v>
      </c>
      <c r="D3029" t="s">
        <v>441</v>
      </c>
      <c r="F3029">
        <v>0</v>
      </c>
      <c r="G3029">
        <v>11.3</v>
      </c>
      <c r="I3029">
        <v>6</v>
      </c>
      <c r="J3029" t="s">
        <v>445</v>
      </c>
      <c r="K3029" t="s">
        <v>446</v>
      </c>
      <c r="M3029">
        <v>2391</v>
      </c>
      <c r="N3029" t="s">
        <v>16073</v>
      </c>
    </row>
    <row r="3030" spans="1:14">
      <c r="A3030">
        <v>15970000</v>
      </c>
      <c r="B3030">
        <v>3007689</v>
      </c>
      <c r="C3030" t="s">
        <v>1889</v>
      </c>
      <c r="D3030" t="s">
        <v>441</v>
      </c>
      <c r="F3030">
        <v>0</v>
      </c>
      <c r="G3030">
        <v>7.42</v>
      </c>
      <c r="I3030">
        <v>6</v>
      </c>
      <c r="J3030" t="s">
        <v>445</v>
      </c>
      <c r="K3030" t="s">
        <v>446</v>
      </c>
      <c r="M3030">
        <v>0</v>
      </c>
    </row>
    <row r="3031" spans="1:14">
      <c r="A3031">
        <v>15970028</v>
      </c>
      <c r="B3031">
        <v>4005420</v>
      </c>
      <c r="C3031" t="s">
        <v>9832</v>
      </c>
      <c r="D3031" t="s">
        <v>441</v>
      </c>
      <c r="F3031">
        <v>0</v>
      </c>
      <c r="G3031">
        <v>7.82</v>
      </c>
      <c r="H3031" t="s">
        <v>8588</v>
      </c>
      <c r="I3031">
        <v>365</v>
      </c>
      <c r="J3031" t="s">
        <v>462</v>
      </c>
      <c r="K3031" t="s">
        <v>446</v>
      </c>
      <c r="M3031">
        <v>2501</v>
      </c>
    </row>
    <row r="3032" spans="1:14">
      <c r="A3032">
        <v>15970528</v>
      </c>
      <c r="B3032">
        <v>3007690</v>
      </c>
      <c r="C3032" t="s">
        <v>1890</v>
      </c>
      <c r="D3032" t="s">
        <v>441</v>
      </c>
      <c r="F3032">
        <v>0</v>
      </c>
      <c r="G3032">
        <v>7.57</v>
      </c>
      <c r="I3032">
        <v>6</v>
      </c>
      <c r="J3032" t="s">
        <v>445</v>
      </c>
      <c r="K3032" t="s">
        <v>446</v>
      </c>
      <c r="M3032">
        <v>2641</v>
      </c>
    </row>
    <row r="3033" spans="1:14">
      <c r="A3033">
        <v>15980000</v>
      </c>
      <c r="B3033">
        <v>3012404</v>
      </c>
      <c r="C3033" t="s">
        <v>1891</v>
      </c>
      <c r="D3033" t="s">
        <v>441</v>
      </c>
      <c r="F3033">
        <v>0</v>
      </c>
      <c r="G3033">
        <v>7.38</v>
      </c>
      <c r="H3033" t="s">
        <v>8925</v>
      </c>
      <c r="I3033">
        <v>6</v>
      </c>
      <c r="J3033" t="s">
        <v>445</v>
      </c>
      <c r="K3033" t="s">
        <v>446</v>
      </c>
      <c r="M3033">
        <v>2314</v>
      </c>
    </row>
    <row r="3034" spans="1:14">
      <c r="A3034">
        <v>15990000</v>
      </c>
      <c r="B3034">
        <v>3021256</v>
      </c>
      <c r="C3034" t="s">
        <v>14805</v>
      </c>
      <c r="D3034" t="s">
        <v>441</v>
      </c>
      <c r="F3034">
        <v>0</v>
      </c>
      <c r="G3034">
        <v>11.17</v>
      </c>
      <c r="H3034" t="s">
        <v>8580</v>
      </c>
      <c r="I3034">
        <v>6</v>
      </c>
      <c r="J3034" t="s">
        <v>445</v>
      </c>
      <c r="M3034">
        <v>2391</v>
      </c>
      <c r="N3034" t="s">
        <v>16089</v>
      </c>
    </row>
    <row r="3035" spans="1:14">
      <c r="A3035">
        <v>15990076</v>
      </c>
      <c r="B3035">
        <v>4015259</v>
      </c>
      <c r="C3035" t="s">
        <v>9833</v>
      </c>
      <c r="D3035" t="s">
        <v>441</v>
      </c>
      <c r="F3035">
        <v>0</v>
      </c>
      <c r="G3035">
        <v>7</v>
      </c>
      <c r="H3035" t="s">
        <v>8588</v>
      </c>
      <c r="I3035">
        <v>6</v>
      </c>
      <c r="J3035" t="s">
        <v>462</v>
      </c>
      <c r="K3035" t="s">
        <v>446</v>
      </c>
      <c r="M3035">
        <v>2641</v>
      </c>
      <c r="N3035" t="s">
        <v>16088</v>
      </c>
    </row>
    <row r="3036" spans="1:14">
      <c r="A3036">
        <v>15991000</v>
      </c>
      <c r="B3036">
        <v>3021257</v>
      </c>
      <c r="C3036" t="s">
        <v>14806</v>
      </c>
      <c r="D3036" t="s">
        <v>441</v>
      </c>
      <c r="F3036">
        <v>0</v>
      </c>
      <c r="G3036">
        <v>10.050000000000001</v>
      </c>
      <c r="H3036" t="s">
        <v>8580</v>
      </c>
      <c r="I3036">
        <v>6</v>
      </c>
      <c r="J3036" t="s">
        <v>445</v>
      </c>
      <c r="K3036" t="s">
        <v>446</v>
      </c>
      <c r="M3036">
        <v>2391</v>
      </c>
      <c r="N3036" t="s">
        <v>16089</v>
      </c>
    </row>
    <row r="3037" spans="1:14">
      <c r="A3037">
        <v>16000000</v>
      </c>
      <c r="B3037">
        <v>3015955</v>
      </c>
      <c r="C3037" t="s">
        <v>1892</v>
      </c>
      <c r="D3037" t="s">
        <v>441</v>
      </c>
      <c r="F3037">
        <v>0</v>
      </c>
      <c r="G3037">
        <v>0</v>
      </c>
      <c r="H3037" t="s">
        <v>8580</v>
      </c>
      <c r="I3037">
        <v>6</v>
      </c>
      <c r="J3037" t="s">
        <v>445</v>
      </c>
      <c r="M3037">
        <v>2391</v>
      </c>
      <c r="N3037" t="s">
        <v>16094</v>
      </c>
    </row>
    <row r="3038" spans="1:14">
      <c r="A3038">
        <v>16000020</v>
      </c>
      <c r="B3038">
        <v>4012203</v>
      </c>
      <c r="C3038" t="s">
        <v>9834</v>
      </c>
      <c r="D3038" t="s">
        <v>441</v>
      </c>
      <c r="F3038">
        <v>0</v>
      </c>
      <c r="G3038">
        <v>7.83</v>
      </c>
      <c r="H3038" t="s">
        <v>8588</v>
      </c>
      <c r="I3038">
        <v>6</v>
      </c>
      <c r="J3038" t="s">
        <v>462</v>
      </c>
      <c r="K3038" t="s">
        <v>446</v>
      </c>
      <c r="M3038">
        <v>2641</v>
      </c>
      <c r="N3038" t="s">
        <v>16094</v>
      </c>
    </row>
    <row r="3039" spans="1:14">
      <c r="A3039">
        <v>16000027</v>
      </c>
      <c r="B3039">
        <v>4005526</v>
      </c>
      <c r="C3039" t="s">
        <v>9835</v>
      </c>
      <c r="D3039" t="s">
        <v>441</v>
      </c>
      <c r="F3039">
        <v>0</v>
      </c>
      <c r="G3039">
        <v>8.49</v>
      </c>
      <c r="H3039" t="s">
        <v>8588</v>
      </c>
      <c r="I3039">
        <v>365</v>
      </c>
      <c r="J3039" t="s">
        <v>462</v>
      </c>
      <c r="K3039" t="s">
        <v>446</v>
      </c>
      <c r="M3039">
        <v>2501</v>
      </c>
    </row>
    <row r="3040" spans="1:14">
      <c r="A3040">
        <v>16000028</v>
      </c>
      <c r="B3040">
        <v>4001794</v>
      </c>
      <c r="C3040" t="s">
        <v>9836</v>
      </c>
      <c r="D3040" t="s">
        <v>441</v>
      </c>
      <c r="F3040">
        <v>0</v>
      </c>
      <c r="G3040">
        <v>8.5399999999999991</v>
      </c>
      <c r="H3040" t="s">
        <v>8588</v>
      </c>
      <c r="I3040">
        <v>365</v>
      </c>
      <c r="J3040" t="s">
        <v>462</v>
      </c>
      <c r="K3040" t="s">
        <v>446</v>
      </c>
      <c r="M3040">
        <v>2501</v>
      </c>
      <c r="N3040" t="s">
        <v>16094</v>
      </c>
    </row>
    <row r="3041" spans="1:14">
      <c r="A3041">
        <v>16000029</v>
      </c>
      <c r="B3041">
        <v>4007583</v>
      </c>
      <c r="C3041" t="s">
        <v>9837</v>
      </c>
      <c r="D3041" t="s">
        <v>441</v>
      </c>
      <c r="F3041">
        <v>0</v>
      </c>
      <c r="G3041">
        <v>8.64</v>
      </c>
      <c r="H3041" t="s">
        <v>8588</v>
      </c>
      <c r="I3041">
        <v>365</v>
      </c>
      <c r="J3041" t="s">
        <v>462</v>
      </c>
      <c r="K3041" t="s">
        <v>446</v>
      </c>
      <c r="M3041">
        <v>2501</v>
      </c>
    </row>
    <row r="3042" spans="1:14">
      <c r="A3042">
        <v>16000030</v>
      </c>
      <c r="B3042">
        <v>4015462</v>
      </c>
      <c r="C3042" t="s">
        <v>9838</v>
      </c>
      <c r="D3042" t="s">
        <v>441</v>
      </c>
      <c r="F3042">
        <v>0</v>
      </c>
      <c r="G3042">
        <v>8.2200000000000006</v>
      </c>
      <c r="H3042" t="s">
        <v>8588</v>
      </c>
      <c r="I3042">
        <v>12</v>
      </c>
      <c r="J3042" t="s">
        <v>462</v>
      </c>
      <c r="K3042" t="s">
        <v>446</v>
      </c>
      <c r="M3042">
        <v>2612</v>
      </c>
      <c r="N3042" t="s">
        <v>16094</v>
      </c>
    </row>
    <row r="3043" spans="1:14">
      <c r="A3043">
        <v>16000031</v>
      </c>
      <c r="B3043">
        <v>4018216</v>
      </c>
      <c r="C3043" t="s">
        <v>9839</v>
      </c>
      <c r="D3043" t="s">
        <v>441</v>
      </c>
      <c r="F3043">
        <v>0</v>
      </c>
      <c r="G3043">
        <v>7.53</v>
      </c>
      <c r="H3043" t="s">
        <v>8588</v>
      </c>
      <c r="I3043">
        <v>10</v>
      </c>
      <c r="J3043" t="s">
        <v>462</v>
      </c>
      <c r="K3043" t="s">
        <v>446</v>
      </c>
      <c r="M3043">
        <v>2612</v>
      </c>
    </row>
    <row r="3044" spans="1:14">
      <c r="A3044">
        <v>16000527</v>
      </c>
      <c r="B3044">
        <v>3007691</v>
      </c>
      <c r="C3044" t="s">
        <v>9840</v>
      </c>
      <c r="D3044" t="s">
        <v>441</v>
      </c>
      <c r="F3044">
        <v>0</v>
      </c>
      <c r="G3044">
        <v>8.7799999999999994</v>
      </c>
      <c r="H3044" t="s">
        <v>8580</v>
      </c>
      <c r="I3044">
        <v>6</v>
      </c>
      <c r="J3044" t="s">
        <v>445</v>
      </c>
      <c r="K3044" t="s">
        <v>446</v>
      </c>
      <c r="M3044">
        <v>2641</v>
      </c>
    </row>
    <row r="3045" spans="1:14">
      <c r="A3045">
        <v>16000528</v>
      </c>
      <c r="B3045">
        <v>3007692</v>
      </c>
      <c r="C3045" t="s">
        <v>9841</v>
      </c>
      <c r="D3045" t="s">
        <v>441</v>
      </c>
      <c r="F3045">
        <v>0</v>
      </c>
      <c r="G3045">
        <v>8.36</v>
      </c>
      <c r="H3045" t="s">
        <v>8580</v>
      </c>
      <c r="I3045">
        <v>6</v>
      </c>
      <c r="J3045" t="s">
        <v>445</v>
      </c>
      <c r="K3045" t="s">
        <v>446</v>
      </c>
      <c r="M3045">
        <v>2641</v>
      </c>
      <c r="N3045" t="s">
        <v>16094</v>
      </c>
    </row>
    <row r="3046" spans="1:14">
      <c r="A3046">
        <v>16000529</v>
      </c>
      <c r="B3046">
        <v>3007693</v>
      </c>
      <c r="C3046" t="s">
        <v>9842</v>
      </c>
      <c r="D3046" t="s">
        <v>441</v>
      </c>
      <c r="F3046">
        <v>0</v>
      </c>
      <c r="G3046">
        <v>8.9499999999999993</v>
      </c>
      <c r="H3046" t="s">
        <v>8580</v>
      </c>
      <c r="I3046">
        <v>6</v>
      </c>
      <c r="J3046" t="s">
        <v>445</v>
      </c>
      <c r="K3046" t="s">
        <v>446</v>
      </c>
      <c r="M3046">
        <v>2641</v>
      </c>
    </row>
    <row r="3047" spans="1:14">
      <c r="A3047">
        <v>16000629</v>
      </c>
      <c r="B3047">
        <v>3010587</v>
      </c>
      <c r="C3047" t="s">
        <v>1893</v>
      </c>
      <c r="D3047" t="s">
        <v>441</v>
      </c>
      <c r="F3047">
        <v>0</v>
      </c>
      <c r="G3047">
        <v>8.85</v>
      </c>
      <c r="H3047" t="s">
        <v>8580</v>
      </c>
      <c r="I3047">
        <v>4</v>
      </c>
      <c r="J3047" t="s">
        <v>445</v>
      </c>
      <c r="K3047" t="s">
        <v>446</v>
      </c>
      <c r="M3047">
        <v>2511</v>
      </c>
    </row>
    <row r="3048" spans="1:14">
      <c r="A3048">
        <v>16000929</v>
      </c>
      <c r="B3048">
        <v>3023224</v>
      </c>
      <c r="C3048" t="s">
        <v>1894</v>
      </c>
      <c r="D3048" t="s">
        <v>441</v>
      </c>
      <c r="F3048">
        <v>0</v>
      </c>
      <c r="G3048">
        <v>8.85</v>
      </c>
      <c r="I3048">
        <v>4</v>
      </c>
      <c r="J3048" t="s">
        <v>445</v>
      </c>
      <c r="K3048" t="s">
        <v>446</v>
      </c>
      <c r="M3048">
        <v>6666</v>
      </c>
    </row>
    <row r="3049" spans="1:14">
      <c r="A3049">
        <v>16001000</v>
      </c>
      <c r="B3049">
        <v>3017787</v>
      </c>
      <c r="C3049" t="s">
        <v>1895</v>
      </c>
      <c r="D3049" t="s">
        <v>441</v>
      </c>
      <c r="F3049">
        <v>0</v>
      </c>
      <c r="G3049">
        <v>0</v>
      </c>
      <c r="H3049" t="s">
        <v>8549</v>
      </c>
      <c r="I3049">
        <v>6</v>
      </c>
      <c r="J3049" t="s">
        <v>445</v>
      </c>
      <c r="M3049">
        <v>2391</v>
      </c>
      <c r="N3049" t="s">
        <v>16094</v>
      </c>
    </row>
    <row r="3050" spans="1:14">
      <c r="A3050">
        <v>16001020</v>
      </c>
      <c r="B3050">
        <v>4012210</v>
      </c>
      <c r="C3050" t="s">
        <v>9843</v>
      </c>
      <c r="D3050" t="s">
        <v>441</v>
      </c>
      <c r="F3050">
        <v>0</v>
      </c>
      <c r="G3050">
        <v>7.83</v>
      </c>
      <c r="H3050" t="s">
        <v>8588</v>
      </c>
      <c r="I3050">
        <v>6</v>
      </c>
      <c r="J3050" t="s">
        <v>462</v>
      </c>
      <c r="K3050" t="s">
        <v>446</v>
      </c>
      <c r="M3050">
        <v>2641</v>
      </c>
      <c r="N3050" t="s">
        <v>16094</v>
      </c>
    </row>
    <row r="3051" spans="1:14">
      <c r="A3051">
        <v>16001027</v>
      </c>
      <c r="B3051">
        <v>4011631</v>
      </c>
      <c r="C3051" t="s">
        <v>9844</v>
      </c>
      <c r="D3051" t="s">
        <v>441</v>
      </c>
      <c r="F3051">
        <v>0</v>
      </c>
      <c r="G3051">
        <v>8.49</v>
      </c>
      <c r="H3051" t="s">
        <v>8588</v>
      </c>
      <c r="I3051">
        <v>365</v>
      </c>
      <c r="J3051" t="s">
        <v>462</v>
      </c>
      <c r="K3051" t="s">
        <v>446</v>
      </c>
      <c r="M3051">
        <v>2501</v>
      </c>
    </row>
    <row r="3052" spans="1:14">
      <c r="A3052">
        <v>16001028</v>
      </c>
      <c r="B3052">
        <v>4011465</v>
      </c>
      <c r="C3052" t="s">
        <v>9845</v>
      </c>
      <c r="D3052" t="s">
        <v>441</v>
      </c>
      <c r="F3052">
        <v>0</v>
      </c>
      <c r="G3052">
        <v>8.5399999999999991</v>
      </c>
      <c r="H3052" t="s">
        <v>8588</v>
      </c>
      <c r="I3052">
        <v>365</v>
      </c>
      <c r="J3052" t="s">
        <v>462</v>
      </c>
      <c r="K3052" t="s">
        <v>446</v>
      </c>
      <c r="M3052">
        <v>2501</v>
      </c>
      <c r="N3052" t="s">
        <v>16094</v>
      </c>
    </row>
    <row r="3053" spans="1:14">
      <c r="A3053">
        <v>16001029</v>
      </c>
      <c r="B3053">
        <v>4011750</v>
      </c>
      <c r="C3053" t="s">
        <v>9846</v>
      </c>
      <c r="D3053" t="s">
        <v>441</v>
      </c>
      <c r="F3053">
        <v>0</v>
      </c>
      <c r="G3053">
        <v>8.64</v>
      </c>
      <c r="H3053" t="s">
        <v>8588</v>
      </c>
      <c r="I3053">
        <v>365</v>
      </c>
      <c r="J3053" t="s">
        <v>462</v>
      </c>
      <c r="K3053" t="s">
        <v>446</v>
      </c>
      <c r="M3053">
        <v>2501</v>
      </c>
    </row>
    <row r="3054" spans="1:14">
      <c r="A3054">
        <v>16001527</v>
      </c>
      <c r="B3054">
        <v>3017389</v>
      </c>
      <c r="C3054" t="s">
        <v>9847</v>
      </c>
      <c r="D3054" t="s">
        <v>441</v>
      </c>
      <c r="F3054">
        <v>0</v>
      </c>
      <c r="G3054">
        <v>8.7799999999999994</v>
      </c>
      <c r="H3054" t="s">
        <v>8580</v>
      </c>
      <c r="I3054">
        <v>6</v>
      </c>
      <c r="J3054" t="s">
        <v>445</v>
      </c>
      <c r="K3054" t="s">
        <v>446</v>
      </c>
      <c r="M3054">
        <v>2641</v>
      </c>
    </row>
    <row r="3055" spans="1:14">
      <c r="A3055">
        <v>16001528</v>
      </c>
      <c r="B3055">
        <v>3017390</v>
      </c>
      <c r="C3055" t="s">
        <v>9848</v>
      </c>
      <c r="D3055" t="s">
        <v>441</v>
      </c>
      <c r="F3055">
        <v>0</v>
      </c>
      <c r="G3055">
        <v>8.36</v>
      </c>
      <c r="H3055" t="s">
        <v>8584</v>
      </c>
      <c r="I3055">
        <v>6</v>
      </c>
      <c r="J3055" t="s">
        <v>445</v>
      </c>
      <c r="K3055" t="s">
        <v>446</v>
      </c>
      <c r="M3055">
        <v>2641</v>
      </c>
      <c r="N3055" t="s">
        <v>16094</v>
      </c>
    </row>
    <row r="3056" spans="1:14">
      <c r="A3056">
        <v>16001529</v>
      </c>
      <c r="B3056">
        <v>3017391</v>
      </c>
      <c r="C3056" t="s">
        <v>9849</v>
      </c>
      <c r="D3056" t="s">
        <v>441</v>
      </c>
      <c r="F3056">
        <v>0</v>
      </c>
      <c r="G3056">
        <v>8.9499999999999993</v>
      </c>
      <c r="H3056" t="s">
        <v>8584</v>
      </c>
      <c r="I3056">
        <v>6</v>
      </c>
      <c r="J3056" t="s">
        <v>445</v>
      </c>
      <c r="K3056" t="s">
        <v>446</v>
      </c>
      <c r="M3056">
        <v>2641</v>
      </c>
    </row>
    <row r="3057" spans="1:14">
      <c r="A3057">
        <v>16003000</v>
      </c>
      <c r="B3057">
        <v>3005076</v>
      </c>
      <c r="C3057" t="s">
        <v>1896</v>
      </c>
      <c r="D3057" t="s">
        <v>441</v>
      </c>
      <c r="F3057">
        <v>0</v>
      </c>
      <c r="G3057">
        <v>7.1</v>
      </c>
      <c r="H3057" t="s">
        <v>8584</v>
      </c>
      <c r="I3057">
        <v>6</v>
      </c>
      <c r="J3057" t="s">
        <v>445</v>
      </c>
      <c r="K3057" t="s">
        <v>446</v>
      </c>
      <c r="M3057">
        <v>2390</v>
      </c>
    </row>
    <row r="3058" spans="1:14">
      <c r="A3058">
        <v>16004000</v>
      </c>
      <c r="B3058">
        <v>3035909</v>
      </c>
      <c r="C3058" t="s">
        <v>1897</v>
      </c>
      <c r="D3058" t="s">
        <v>441</v>
      </c>
      <c r="F3058">
        <v>0</v>
      </c>
      <c r="G3058">
        <v>9.8000000000000007</v>
      </c>
      <c r="H3058" t="s">
        <v>8549</v>
      </c>
      <c r="I3058">
        <v>6</v>
      </c>
      <c r="J3058" t="s">
        <v>445</v>
      </c>
      <c r="M3058">
        <v>2391</v>
      </c>
      <c r="N3058" t="s">
        <v>16094</v>
      </c>
    </row>
    <row r="3059" spans="1:14">
      <c r="A3059">
        <v>16004021</v>
      </c>
      <c r="B3059">
        <v>4028324</v>
      </c>
      <c r="C3059" t="s">
        <v>1898</v>
      </c>
      <c r="D3059" t="s">
        <v>441</v>
      </c>
      <c r="F3059">
        <v>0</v>
      </c>
      <c r="G3059">
        <v>12.6</v>
      </c>
      <c r="H3059" t="s">
        <v>8588</v>
      </c>
      <c r="I3059">
        <v>6</v>
      </c>
      <c r="J3059" t="s">
        <v>462</v>
      </c>
      <c r="M3059">
        <v>7112</v>
      </c>
      <c r="N3059" t="s">
        <v>16094</v>
      </c>
    </row>
    <row r="3060" spans="1:14">
      <c r="A3060">
        <v>16004030</v>
      </c>
      <c r="B3060">
        <v>4029319</v>
      </c>
      <c r="C3060" t="s">
        <v>14257</v>
      </c>
      <c r="D3060" t="s">
        <v>441</v>
      </c>
      <c r="F3060">
        <v>0</v>
      </c>
      <c r="G3060">
        <v>11.84</v>
      </c>
      <c r="H3060" t="s">
        <v>8588</v>
      </c>
      <c r="I3060">
        <v>10</v>
      </c>
      <c r="J3060" t="s">
        <v>462</v>
      </c>
      <c r="M3060">
        <v>7112</v>
      </c>
      <c r="N3060" t="s">
        <v>16094</v>
      </c>
    </row>
    <row r="3061" spans="1:14">
      <c r="A3061">
        <v>16005000</v>
      </c>
      <c r="B3061">
        <v>3035230</v>
      </c>
      <c r="C3061" t="s">
        <v>1899</v>
      </c>
      <c r="D3061" t="s">
        <v>441</v>
      </c>
      <c r="F3061">
        <v>0</v>
      </c>
      <c r="G3061">
        <v>9.8000000000000007</v>
      </c>
      <c r="H3061" t="s">
        <v>8549</v>
      </c>
      <c r="I3061">
        <v>6</v>
      </c>
      <c r="J3061" t="s">
        <v>445</v>
      </c>
      <c r="M3061">
        <v>2391</v>
      </c>
      <c r="N3061" t="s">
        <v>16094</v>
      </c>
    </row>
    <row r="3062" spans="1:14">
      <c r="A3062">
        <v>16006000</v>
      </c>
      <c r="B3062">
        <v>3009058</v>
      </c>
      <c r="C3062" t="s">
        <v>1900</v>
      </c>
      <c r="D3062" t="s">
        <v>441</v>
      </c>
      <c r="F3062">
        <v>0</v>
      </c>
      <c r="G3062">
        <v>6.12</v>
      </c>
      <c r="H3062" t="s">
        <v>8580</v>
      </c>
      <c r="I3062">
        <v>6</v>
      </c>
      <c r="J3062" t="s">
        <v>445</v>
      </c>
      <c r="K3062" t="s">
        <v>446</v>
      </c>
      <c r="M3062">
        <v>2390</v>
      </c>
    </row>
    <row r="3063" spans="1:14">
      <c r="A3063">
        <v>16010000</v>
      </c>
      <c r="B3063">
        <v>3034740</v>
      </c>
      <c r="C3063" t="s">
        <v>1901</v>
      </c>
      <c r="D3063" t="s">
        <v>441</v>
      </c>
      <c r="F3063">
        <v>0</v>
      </c>
      <c r="G3063">
        <v>10.14</v>
      </c>
      <c r="H3063" t="s">
        <v>8549</v>
      </c>
      <c r="I3063">
        <v>6</v>
      </c>
      <c r="J3063" t="s">
        <v>445</v>
      </c>
      <c r="M3063">
        <v>2391</v>
      </c>
      <c r="N3063" t="s">
        <v>16094</v>
      </c>
    </row>
    <row r="3064" spans="1:14">
      <c r="A3064">
        <v>16010002</v>
      </c>
      <c r="B3064">
        <v>3007694</v>
      </c>
      <c r="C3064" t="s">
        <v>1902</v>
      </c>
      <c r="D3064" t="s">
        <v>441</v>
      </c>
      <c r="F3064">
        <v>0</v>
      </c>
      <c r="G3064">
        <v>10.61</v>
      </c>
      <c r="H3064" t="s">
        <v>8580</v>
      </c>
      <c r="I3064">
        <v>365</v>
      </c>
      <c r="J3064" t="s">
        <v>445</v>
      </c>
      <c r="M3064">
        <v>7111</v>
      </c>
      <c r="N3064" t="s">
        <v>16094</v>
      </c>
    </row>
    <row r="3065" spans="1:14">
      <c r="A3065">
        <v>16010007</v>
      </c>
      <c r="B3065">
        <v>3034741</v>
      </c>
      <c r="C3065" t="s">
        <v>1903</v>
      </c>
      <c r="D3065" t="s">
        <v>441</v>
      </c>
      <c r="F3065">
        <v>0</v>
      </c>
      <c r="G3065">
        <v>10.25</v>
      </c>
      <c r="H3065" t="s">
        <v>8549</v>
      </c>
      <c r="I3065">
        <v>6</v>
      </c>
      <c r="J3065" t="s">
        <v>445</v>
      </c>
      <c r="M3065">
        <v>3111</v>
      </c>
      <c r="N3065" t="s">
        <v>16094</v>
      </c>
    </row>
    <row r="3066" spans="1:14">
      <c r="A3066">
        <v>16010502</v>
      </c>
      <c r="B3066">
        <v>3007695</v>
      </c>
      <c r="C3066" t="s">
        <v>1904</v>
      </c>
      <c r="D3066" t="s">
        <v>441</v>
      </c>
      <c r="F3066">
        <v>0</v>
      </c>
      <c r="G3066">
        <v>10.24</v>
      </c>
      <c r="H3066" t="s">
        <v>8935</v>
      </c>
      <c r="I3066">
        <v>6</v>
      </c>
      <c r="J3066" t="s">
        <v>445</v>
      </c>
      <c r="M3066">
        <v>2502</v>
      </c>
      <c r="N3066" t="s">
        <v>16094</v>
      </c>
    </row>
    <row r="3067" spans="1:14">
      <c r="A3067">
        <v>16010602</v>
      </c>
      <c r="B3067">
        <v>3007696</v>
      </c>
      <c r="C3067" t="s">
        <v>1905</v>
      </c>
      <c r="D3067" t="s">
        <v>441</v>
      </c>
      <c r="F3067">
        <v>0</v>
      </c>
      <c r="G3067">
        <v>10.81</v>
      </c>
      <c r="H3067" t="s">
        <v>8580</v>
      </c>
      <c r="I3067">
        <v>4</v>
      </c>
      <c r="J3067" t="s">
        <v>445</v>
      </c>
      <c r="M3067">
        <v>2510</v>
      </c>
      <c r="N3067" t="s">
        <v>16094</v>
      </c>
    </row>
    <row r="3068" spans="1:14">
      <c r="A3068">
        <v>16010902</v>
      </c>
      <c r="B3068">
        <v>3034854</v>
      </c>
      <c r="C3068" t="s">
        <v>1906</v>
      </c>
      <c r="D3068" t="s">
        <v>441</v>
      </c>
      <c r="F3068">
        <v>0</v>
      </c>
      <c r="H3068" t="s">
        <v>8584</v>
      </c>
      <c r="I3068">
        <v>4</v>
      </c>
      <c r="J3068" t="s">
        <v>445</v>
      </c>
      <c r="M3068">
        <v>6666</v>
      </c>
      <c r="N3068" t="s">
        <v>16094</v>
      </c>
    </row>
    <row r="3069" spans="1:14">
      <c r="A3069">
        <v>16010907</v>
      </c>
      <c r="B3069">
        <v>3034724</v>
      </c>
      <c r="C3069" t="s">
        <v>1907</v>
      </c>
      <c r="D3069" t="s">
        <v>441</v>
      </c>
      <c r="F3069">
        <v>0</v>
      </c>
      <c r="H3069" t="s">
        <v>8584</v>
      </c>
      <c r="I3069">
        <v>6</v>
      </c>
      <c r="J3069" t="s">
        <v>445</v>
      </c>
      <c r="M3069">
        <v>6666</v>
      </c>
      <c r="N3069" t="s">
        <v>16094</v>
      </c>
    </row>
    <row r="3070" spans="1:14">
      <c r="A3070">
        <v>16013000</v>
      </c>
      <c r="B3070">
        <v>3008867</v>
      </c>
      <c r="C3070" t="s">
        <v>1908</v>
      </c>
      <c r="D3070" t="s">
        <v>441</v>
      </c>
      <c r="F3070">
        <v>0</v>
      </c>
      <c r="G3070">
        <v>6.11</v>
      </c>
      <c r="H3070" t="s">
        <v>8580</v>
      </c>
      <c r="I3070">
        <v>6</v>
      </c>
      <c r="J3070" t="s">
        <v>445</v>
      </c>
      <c r="K3070" t="s">
        <v>446</v>
      </c>
      <c r="M3070">
        <v>2390</v>
      </c>
    </row>
    <row r="3071" spans="1:14">
      <c r="A3071">
        <v>16020000</v>
      </c>
      <c r="B3071">
        <v>3015953</v>
      </c>
      <c r="C3071" t="s">
        <v>1909</v>
      </c>
      <c r="D3071" t="s">
        <v>441</v>
      </c>
      <c r="F3071">
        <v>0</v>
      </c>
      <c r="G3071">
        <v>0</v>
      </c>
      <c r="H3071" t="s">
        <v>8549</v>
      </c>
      <c r="I3071">
        <v>6</v>
      </c>
      <c r="J3071" t="s">
        <v>445</v>
      </c>
      <c r="M3071">
        <v>2391</v>
      </c>
      <c r="N3071" t="s">
        <v>16095</v>
      </c>
    </row>
    <row r="3072" spans="1:14">
      <c r="A3072">
        <v>16020002</v>
      </c>
      <c r="B3072">
        <v>3018355</v>
      </c>
      <c r="C3072" t="s">
        <v>1910</v>
      </c>
      <c r="D3072" t="s">
        <v>441</v>
      </c>
      <c r="F3072">
        <v>0</v>
      </c>
      <c r="G3072">
        <v>12.19</v>
      </c>
      <c r="H3072" t="s">
        <v>8580</v>
      </c>
      <c r="I3072">
        <v>365</v>
      </c>
      <c r="J3072" t="s">
        <v>445</v>
      </c>
      <c r="K3072" t="s">
        <v>446</v>
      </c>
      <c r="M3072">
        <v>2501</v>
      </c>
      <c r="N3072" t="s">
        <v>16096</v>
      </c>
    </row>
    <row r="3073" spans="1:14">
      <c r="A3073">
        <v>16020007</v>
      </c>
      <c r="B3073">
        <v>3015146</v>
      </c>
      <c r="C3073" t="s">
        <v>1911</v>
      </c>
      <c r="D3073" t="s">
        <v>441</v>
      </c>
      <c r="F3073">
        <v>0</v>
      </c>
      <c r="G3073">
        <v>13.41</v>
      </c>
      <c r="H3073" t="s">
        <v>8588</v>
      </c>
      <c r="I3073">
        <v>6</v>
      </c>
      <c r="J3073" t="s">
        <v>445</v>
      </c>
      <c r="K3073" t="s">
        <v>446</v>
      </c>
      <c r="M3073">
        <v>3111</v>
      </c>
      <c r="N3073" t="s">
        <v>16096</v>
      </c>
    </row>
    <row r="3074" spans="1:14">
      <c r="A3074">
        <v>16020020</v>
      </c>
      <c r="B3074">
        <v>4001795</v>
      </c>
      <c r="C3074" t="s">
        <v>9850</v>
      </c>
      <c r="D3074" t="s">
        <v>441</v>
      </c>
      <c r="F3074">
        <v>0</v>
      </c>
      <c r="G3074">
        <v>12.08</v>
      </c>
      <c r="H3074" t="s">
        <v>8588</v>
      </c>
      <c r="I3074">
        <v>6</v>
      </c>
      <c r="J3074" t="s">
        <v>462</v>
      </c>
      <c r="K3074" t="s">
        <v>446</v>
      </c>
      <c r="M3074">
        <v>2641</v>
      </c>
      <c r="N3074" t="s">
        <v>16096</v>
      </c>
    </row>
    <row r="3075" spans="1:14">
      <c r="A3075">
        <v>16020025</v>
      </c>
      <c r="B3075">
        <v>4001796</v>
      </c>
      <c r="C3075" t="s">
        <v>9851</v>
      </c>
      <c r="D3075" t="s">
        <v>441</v>
      </c>
      <c r="F3075">
        <v>0</v>
      </c>
      <c r="G3075">
        <v>11.89</v>
      </c>
      <c r="H3075" t="s">
        <v>8588</v>
      </c>
      <c r="I3075">
        <v>365</v>
      </c>
      <c r="J3075" t="s">
        <v>462</v>
      </c>
      <c r="K3075" t="s">
        <v>446</v>
      </c>
      <c r="M3075">
        <v>2501</v>
      </c>
    </row>
    <row r="3076" spans="1:14">
      <c r="A3076">
        <v>16020075</v>
      </c>
      <c r="B3076">
        <v>3029393</v>
      </c>
      <c r="C3076" t="s">
        <v>1912</v>
      </c>
      <c r="D3076" t="s">
        <v>441</v>
      </c>
      <c r="F3076">
        <v>0</v>
      </c>
      <c r="G3076">
        <v>16.04</v>
      </c>
      <c r="H3076" t="s">
        <v>8588</v>
      </c>
      <c r="I3076">
        <v>6</v>
      </c>
      <c r="J3076" t="s">
        <v>445</v>
      </c>
      <c r="M3076">
        <v>7112</v>
      </c>
      <c r="N3076" t="s">
        <v>16095</v>
      </c>
    </row>
    <row r="3077" spans="1:14">
      <c r="A3077">
        <v>16020100</v>
      </c>
      <c r="B3077">
        <v>3007697</v>
      </c>
      <c r="C3077" t="s">
        <v>1913</v>
      </c>
      <c r="D3077" t="s">
        <v>441</v>
      </c>
      <c r="F3077">
        <v>0</v>
      </c>
      <c r="H3077" t="s">
        <v>8580</v>
      </c>
      <c r="I3077">
        <v>9</v>
      </c>
      <c r="J3077" t="s">
        <v>445</v>
      </c>
      <c r="M3077">
        <v>7161</v>
      </c>
      <c r="N3077" t="s">
        <v>16096</v>
      </c>
    </row>
    <row r="3078" spans="1:14">
      <c r="A3078">
        <v>16020102</v>
      </c>
      <c r="B3078">
        <v>3014841</v>
      </c>
      <c r="C3078" t="s">
        <v>1914</v>
      </c>
      <c r="D3078" t="s">
        <v>441</v>
      </c>
      <c r="F3078">
        <v>0</v>
      </c>
      <c r="G3078">
        <v>12.21</v>
      </c>
      <c r="H3078" t="s">
        <v>8549</v>
      </c>
      <c r="I3078">
        <v>365</v>
      </c>
      <c r="J3078" t="s">
        <v>445</v>
      </c>
      <c r="K3078" t="s">
        <v>446</v>
      </c>
      <c r="M3078">
        <v>3741</v>
      </c>
    </row>
    <row r="3079" spans="1:14">
      <c r="A3079">
        <v>16020120</v>
      </c>
      <c r="B3079">
        <v>3016956</v>
      </c>
      <c r="C3079" t="s">
        <v>1915</v>
      </c>
      <c r="D3079" t="s">
        <v>441</v>
      </c>
      <c r="F3079">
        <v>0</v>
      </c>
      <c r="G3079">
        <v>11.31</v>
      </c>
      <c r="H3079" t="s">
        <v>8588</v>
      </c>
      <c r="I3079">
        <v>6</v>
      </c>
      <c r="J3079" t="s">
        <v>445</v>
      </c>
      <c r="K3079" t="s">
        <v>446</v>
      </c>
      <c r="M3079">
        <v>3741</v>
      </c>
    </row>
    <row r="3080" spans="1:14">
      <c r="A3080">
        <v>16020502</v>
      </c>
      <c r="B3080">
        <v>3018345</v>
      </c>
      <c r="C3080" t="s">
        <v>1916</v>
      </c>
      <c r="D3080" t="s">
        <v>441</v>
      </c>
      <c r="F3080">
        <v>0</v>
      </c>
      <c r="G3080">
        <v>11.91</v>
      </c>
      <c r="I3080">
        <v>365</v>
      </c>
      <c r="J3080" t="s">
        <v>445</v>
      </c>
      <c r="K3080" t="s">
        <v>446</v>
      </c>
      <c r="M3080">
        <v>2641</v>
      </c>
      <c r="N3080" t="s">
        <v>16096</v>
      </c>
    </row>
    <row r="3081" spans="1:14">
      <c r="A3081">
        <v>16020525</v>
      </c>
      <c r="B3081">
        <v>3007698</v>
      </c>
      <c r="C3081" t="s">
        <v>9852</v>
      </c>
      <c r="D3081" t="s">
        <v>441</v>
      </c>
      <c r="F3081">
        <v>0</v>
      </c>
      <c r="G3081">
        <v>12.11</v>
      </c>
      <c r="H3081" t="s">
        <v>8580</v>
      </c>
      <c r="I3081">
        <v>6</v>
      </c>
      <c r="J3081" t="s">
        <v>445</v>
      </c>
      <c r="K3081" t="s">
        <v>446</v>
      </c>
      <c r="M3081">
        <v>2641</v>
      </c>
      <c r="N3081" t="s">
        <v>16096</v>
      </c>
    </row>
    <row r="3082" spans="1:14">
      <c r="A3082">
        <v>16020602</v>
      </c>
      <c r="B3082">
        <v>3018346</v>
      </c>
      <c r="C3082" t="s">
        <v>1917</v>
      </c>
      <c r="D3082" t="s">
        <v>441</v>
      </c>
      <c r="F3082">
        <v>0</v>
      </c>
      <c r="G3082">
        <v>12.49</v>
      </c>
      <c r="H3082" t="s">
        <v>8588</v>
      </c>
      <c r="I3082">
        <v>4</v>
      </c>
      <c r="J3082" t="s">
        <v>445</v>
      </c>
      <c r="K3082" t="s">
        <v>446</v>
      </c>
      <c r="M3082">
        <v>2511</v>
      </c>
      <c r="N3082" t="s">
        <v>16096</v>
      </c>
    </row>
    <row r="3083" spans="1:14">
      <c r="A3083">
        <v>16020900</v>
      </c>
      <c r="B3083">
        <v>3020260</v>
      </c>
      <c r="C3083" t="s">
        <v>1918</v>
      </c>
      <c r="D3083" t="s">
        <v>441</v>
      </c>
      <c r="F3083">
        <v>0</v>
      </c>
      <c r="G3083">
        <v>0</v>
      </c>
      <c r="H3083" t="s">
        <v>8580</v>
      </c>
      <c r="I3083">
        <v>6</v>
      </c>
      <c r="J3083" t="s">
        <v>445</v>
      </c>
      <c r="M3083">
        <v>6666</v>
      </c>
      <c r="N3083" t="s">
        <v>16095</v>
      </c>
    </row>
    <row r="3084" spans="1:14">
      <c r="A3084">
        <v>16020902</v>
      </c>
      <c r="B3084">
        <v>3020261</v>
      </c>
      <c r="C3084" t="s">
        <v>1919</v>
      </c>
      <c r="D3084" t="s">
        <v>441</v>
      </c>
      <c r="F3084">
        <v>0</v>
      </c>
      <c r="H3084" t="s">
        <v>8580</v>
      </c>
      <c r="I3084">
        <v>4</v>
      </c>
      <c r="J3084" t="s">
        <v>445</v>
      </c>
      <c r="K3084" t="s">
        <v>446</v>
      </c>
      <c r="M3084">
        <v>6666</v>
      </c>
      <c r="N3084" t="s">
        <v>16096</v>
      </c>
    </row>
    <row r="3085" spans="1:14">
      <c r="A3085">
        <v>16020907</v>
      </c>
      <c r="B3085">
        <v>3020552</v>
      </c>
      <c r="C3085" t="s">
        <v>1920</v>
      </c>
      <c r="D3085" t="s">
        <v>441</v>
      </c>
      <c r="F3085">
        <v>0</v>
      </c>
      <c r="G3085">
        <v>0</v>
      </c>
      <c r="H3085" t="s">
        <v>8584</v>
      </c>
      <c r="I3085">
        <v>6</v>
      </c>
      <c r="J3085" t="s">
        <v>445</v>
      </c>
      <c r="K3085" t="s">
        <v>446</v>
      </c>
      <c r="M3085">
        <v>6666</v>
      </c>
      <c r="N3085" t="s">
        <v>16096</v>
      </c>
    </row>
    <row r="3086" spans="1:14">
      <c r="A3086">
        <v>16021000</v>
      </c>
      <c r="B3086">
        <v>3017785</v>
      </c>
      <c r="C3086" t="s">
        <v>1921</v>
      </c>
      <c r="D3086" t="s">
        <v>441</v>
      </c>
      <c r="F3086">
        <v>0</v>
      </c>
      <c r="G3086">
        <v>0</v>
      </c>
      <c r="H3086" t="s">
        <v>8549</v>
      </c>
      <c r="I3086">
        <v>6</v>
      </c>
      <c r="J3086" t="s">
        <v>445</v>
      </c>
      <c r="M3086">
        <v>2391</v>
      </c>
      <c r="N3086" t="s">
        <v>16095</v>
      </c>
    </row>
    <row r="3087" spans="1:14">
      <c r="A3087">
        <v>16021007</v>
      </c>
      <c r="B3087">
        <v>3018084</v>
      </c>
      <c r="C3087" t="s">
        <v>1922</v>
      </c>
      <c r="D3087" t="s">
        <v>441</v>
      </c>
      <c r="F3087">
        <v>0</v>
      </c>
      <c r="G3087">
        <v>11.9</v>
      </c>
      <c r="H3087" t="s">
        <v>8588</v>
      </c>
      <c r="I3087">
        <v>6</v>
      </c>
      <c r="J3087" t="s">
        <v>445</v>
      </c>
      <c r="K3087" t="s">
        <v>446</v>
      </c>
      <c r="M3087">
        <v>2641</v>
      </c>
      <c r="N3087" t="s">
        <v>16096</v>
      </c>
    </row>
    <row r="3088" spans="1:14">
      <c r="A3088">
        <v>16021020</v>
      </c>
      <c r="B3088">
        <v>4011466</v>
      </c>
      <c r="C3088" t="s">
        <v>9853</v>
      </c>
      <c r="D3088" t="s">
        <v>441</v>
      </c>
      <c r="F3088">
        <v>0</v>
      </c>
      <c r="G3088">
        <v>12.08</v>
      </c>
      <c r="H3088" t="s">
        <v>8588</v>
      </c>
      <c r="I3088">
        <v>6</v>
      </c>
      <c r="J3088" t="s">
        <v>462</v>
      </c>
      <c r="K3088" t="s">
        <v>446</v>
      </c>
      <c r="M3088">
        <v>2641</v>
      </c>
      <c r="N3088" t="s">
        <v>16096</v>
      </c>
    </row>
    <row r="3089" spans="1:14">
      <c r="A3089">
        <v>16021025</v>
      </c>
      <c r="B3089">
        <v>4011467</v>
      </c>
      <c r="C3089" t="s">
        <v>9854</v>
      </c>
      <c r="D3089" t="s">
        <v>441</v>
      </c>
      <c r="F3089">
        <v>0</v>
      </c>
      <c r="G3089">
        <v>11.89</v>
      </c>
      <c r="H3089" t="s">
        <v>8588</v>
      </c>
      <c r="I3089">
        <v>365</v>
      </c>
      <c r="J3089" t="s">
        <v>462</v>
      </c>
      <c r="K3089" t="s">
        <v>446</v>
      </c>
      <c r="M3089">
        <v>2501</v>
      </c>
    </row>
    <row r="3090" spans="1:14">
      <c r="A3090">
        <v>16021525</v>
      </c>
      <c r="B3090">
        <v>3017392</v>
      </c>
      <c r="C3090" t="s">
        <v>9855</v>
      </c>
      <c r="D3090" t="s">
        <v>441</v>
      </c>
      <c r="F3090">
        <v>0</v>
      </c>
      <c r="G3090">
        <v>9.09</v>
      </c>
      <c r="H3090" t="s">
        <v>8584</v>
      </c>
      <c r="I3090">
        <v>6</v>
      </c>
      <c r="J3090" t="s">
        <v>445</v>
      </c>
      <c r="K3090" t="s">
        <v>446</v>
      </c>
      <c r="M3090">
        <v>2641</v>
      </c>
    </row>
    <row r="3091" spans="1:14">
      <c r="A3091">
        <v>16021907</v>
      </c>
      <c r="B3091">
        <v>3020555</v>
      </c>
      <c r="C3091" t="s">
        <v>1923</v>
      </c>
      <c r="D3091" t="s">
        <v>441</v>
      </c>
      <c r="F3091">
        <v>0</v>
      </c>
      <c r="H3091" t="s">
        <v>8584</v>
      </c>
      <c r="I3091">
        <v>6</v>
      </c>
      <c r="J3091" t="s">
        <v>445</v>
      </c>
      <c r="M3091">
        <v>6666</v>
      </c>
      <c r="N3091" t="s">
        <v>16096</v>
      </c>
    </row>
    <row r="3092" spans="1:14">
      <c r="A3092">
        <v>16023000</v>
      </c>
      <c r="B3092">
        <v>3005072</v>
      </c>
      <c r="C3092" t="s">
        <v>1924</v>
      </c>
      <c r="D3092" t="s">
        <v>441</v>
      </c>
      <c r="F3092">
        <v>0</v>
      </c>
      <c r="G3092">
        <v>10.8</v>
      </c>
      <c r="H3092" t="s">
        <v>8583</v>
      </c>
      <c r="I3092">
        <v>6</v>
      </c>
      <c r="J3092" t="s">
        <v>445</v>
      </c>
      <c r="K3092" t="s">
        <v>446</v>
      </c>
      <c r="M3092">
        <v>2390</v>
      </c>
    </row>
    <row r="3093" spans="1:14">
      <c r="A3093">
        <v>16025000</v>
      </c>
      <c r="B3093">
        <v>3035231</v>
      </c>
      <c r="C3093" t="s">
        <v>1925</v>
      </c>
      <c r="D3093" t="s">
        <v>441</v>
      </c>
      <c r="F3093">
        <v>0</v>
      </c>
      <c r="G3093">
        <v>16.3</v>
      </c>
      <c r="H3093" t="s">
        <v>8549</v>
      </c>
      <c r="I3093">
        <v>6</v>
      </c>
      <c r="J3093" t="s">
        <v>445</v>
      </c>
      <c r="M3093">
        <v>2391</v>
      </c>
      <c r="N3093" t="s">
        <v>16095</v>
      </c>
    </row>
    <row r="3094" spans="1:14">
      <c r="A3094">
        <v>16030000</v>
      </c>
      <c r="B3094">
        <v>3015950</v>
      </c>
      <c r="C3094" t="s">
        <v>1926</v>
      </c>
      <c r="D3094" t="s">
        <v>441</v>
      </c>
      <c r="F3094">
        <v>0</v>
      </c>
      <c r="G3094">
        <v>10.5</v>
      </c>
      <c r="H3094" t="s">
        <v>8588</v>
      </c>
      <c r="I3094">
        <v>6</v>
      </c>
      <c r="J3094" t="s">
        <v>445</v>
      </c>
      <c r="M3094">
        <v>0</v>
      </c>
      <c r="N3094" t="s">
        <v>16097</v>
      </c>
    </row>
    <row r="3095" spans="1:14">
      <c r="A3095">
        <v>16030002</v>
      </c>
      <c r="B3095">
        <v>3007699</v>
      </c>
      <c r="C3095" t="s">
        <v>1927</v>
      </c>
      <c r="D3095" t="s">
        <v>441</v>
      </c>
      <c r="F3095">
        <v>0</v>
      </c>
      <c r="G3095">
        <v>9.93</v>
      </c>
      <c r="H3095" t="s">
        <v>8588</v>
      </c>
      <c r="I3095">
        <v>365</v>
      </c>
      <c r="J3095" t="s">
        <v>445</v>
      </c>
      <c r="K3095" t="s">
        <v>446</v>
      </c>
      <c r="M3095">
        <v>2501</v>
      </c>
    </row>
    <row r="3096" spans="1:14">
      <c r="A3096">
        <v>16030020</v>
      </c>
      <c r="B3096">
        <v>4003851</v>
      </c>
      <c r="C3096" t="s">
        <v>9856</v>
      </c>
      <c r="D3096" t="s">
        <v>441</v>
      </c>
      <c r="F3096">
        <v>0</v>
      </c>
      <c r="G3096">
        <v>11.51</v>
      </c>
      <c r="H3096" t="s">
        <v>8588</v>
      </c>
      <c r="I3096">
        <v>6</v>
      </c>
      <c r="J3096" t="s">
        <v>462</v>
      </c>
      <c r="K3096" t="s">
        <v>446</v>
      </c>
      <c r="M3096">
        <v>2641</v>
      </c>
    </row>
    <row r="3097" spans="1:14">
      <c r="A3097">
        <v>16030021</v>
      </c>
      <c r="B3097">
        <v>4008748</v>
      </c>
      <c r="C3097" t="s">
        <v>9857</v>
      </c>
      <c r="D3097" t="s">
        <v>441</v>
      </c>
      <c r="F3097">
        <v>0</v>
      </c>
      <c r="G3097">
        <v>8.5500000000000007</v>
      </c>
      <c r="H3097" t="s">
        <v>8588</v>
      </c>
      <c r="I3097">
        <v>6</v>
      </c>
      <c r="J3097" t="s">
        <v>462</v>
      </c>
      <c r="K3097" t="s">
        <v>446</v>
      </c>
      <c r="M3097">
        <v>2612</v>
      </c>
    </row>
    <row r="3098" spans="1:14">
      <c r="A3098">
        <v>16030030</v>
      </c>
      <c r="B3098">
        <v>4009772</v>
      </c>
      <c r="C3098" t="s">
        <v>9858</v>
      </c>
      <c r="D3098" t="s">
        <v>441</v>
      </c>
      <c r="F3098">
        <v>0</v>
      </c>
      <c r="G3098">
        <v>11.57</v>
      </c>
      <c r="H3098" t="s">
        <v>8588</v>
      </c>
      <c r="I3098">
        <v>12</v>
      </c>
      <c r="J3098" t="s">
        <v>462</v>
      </c>
      <c r="K3098" t="s">
        <v>446</v>
      </c>
      <c r="M3098">
        <v>2611</v>
      </c>
    </row>
    <row r="3099" spans="1:14">
      <c r="A3099">
        <v>16030036</v>
      </c>
      <c r="B3099">
        <v>4003855</v>
      </c>
      <c r="C3099" t="s">
        <v>9859</v>
      </c>
      <c r="D3099" t="s">
        <v>441</v>
      </c>
      <c r="F3099">
        <v>0</v>
      </c>
      <c r="G3099">
        <v>12.2</v>
      </c>
      <c r="H3099" t="s">
        <v>8588</v>
      </c>
      <c r="I3099">
        <v>12</v>
      </c>
      <c r="J3099" t="s">
        <v>462</v>
      </c>
      <c r="K3099" t="s">
        <v>446</v>
      </c>
      <c r="M3099">
        <v>2611</v>
      </c>
    </row>
    <row r="3100" spans="1:14">
      <c r="A3100">
        <v>16030050</v>
      </c>
      <c r="B3100">
        <v>4009999</v>
      </c>
      <c r="C3100" t="s">
        <v>9860</v>
      </c>
      <c r="D3100" t="s">
        <v>441</v>
      </c>
      <c r="F3100">
        <v>0</v>
      </c>
      <c r="G3100">
        <v>16.690000000000001</v>
      </c>
      <c r="H3100" t="s">
        <v>8588</v>
      </c>
      <c r="I3100">
        <v>12</v>
      </c>
      <c r="J3100" t="s">
        <v>462</v>
      </c>
      <c r="K3100" t="s">
        <v>446</v>
      </c>
      <c r="M3100">
        <v>2612</v>
      </c>
    </row>
    <row r="3101" spans="1:14">
      <c r="A3101">
        <v>16030051</v>
      </c>
      <c r="B3101">
        <v>4010533</v>
      </c>
      <c r="C3101" t="s">
        <v>9861</v>
      </c>
      <c r="D3101" t="s">
        <v>441</v>
      </c>
      <c r="F3101">
        <v>0</v>
      </c>
      <c r="G3101">
        <v>13.3</v>
      </c>
      <c r="H3101" t="s">
        <v>8588</v>
      </c>
      <c r="I3101">
        <v>12</v>
      </c>
      <c r="J3101" t="s">
        <v>462</v>
      </c>
      <c r="K3101" t="s">
        <v>446</v>
      </c>
      <c r="M3101">
        <v>2612</v>
      </c>
    </row>
    <row r="3102" spans="1:14">
      <c r="A3102">
        <v>16030052</v>
      </c>
      <c r="B3102">
        <v>4012693</v>
      </c>
      <c r="C3102" t="s">
        <v>9862</v>
      </c>
      <c r="D3102" t="s">
        <v>441</v>
      </c>
      <c r="F3102">
        <v>0</v>
      </c>
      <c r="G3102">
        <v>15.57</v>
      </c>
      <c r="H3102" t="s">
        <v>8588</v>
      </c>
      <c r="I3102">
        <v>10</v>
      </c>
      <c r="J3102" t="s">
        <v>462</v>
      </c>
      <c r="K3102" t="s">
        <v>446</v>
      </c>
      <c r="M3102">
        <v>2612</v>
      </c>
    </row>
    <row r="3103" spans="1:14">
      <c r="A3103">
        <v>16030053</v>
      </c>
      <c r="B3103">
        <v>4012789</v>
      </c>
      <c r="C3103" t="s">
        <v>9863</v>
      </c>
      <c r="D3103" t="s">
        <v>441</v>
      </c>
      <c r="F3103">
        <v>0</v>
      </c>
      <c r="G3103">
        <v>12.44</v>
      </c>
      <c r="H3103" t="s">
        <v>8588</v>
      </c>
      <c r="I3103">
        <v>10</v>
      </c>
      <c r="J3103" t="s">
        <v>462</v>
      </c>
      <c r="K3103" t="s">
        <v>446</v>
      </c>
      <c r="M3103">
        <v>2612</v>
      </c>
    </row>
    <row r="3104" spans="1:14">
      <c r="A3104">
        <v>16030064</v>
      </c>
      <c r="B3104">
        <v>3026440</v>
      </c>
      <c r="C3104" t="s">
        <v>1928</v>
      </c>
      <c r="D3104" t="s">
        <v>441</v>
      </c>
      <c r="F3104">
        <v>0</v>
      </c>
      <c r="G3104">
        <v>14.1</v>
      </c>
      <c r="H3104" t="s">
        <v>8549</v>
      </c>
      <c r="I3104">
        <v>6</v>
      </c>
      <c r="J3104" t="s">
        <v>445</v>
      </c>
      <c r="M3104">
        <v>0</v>
      </c>
    </row>
    <row r="3105" spans="1:14">
      <c r="A3105">
        <v>16030502</v>
      </c>
      <c r="B3105">
        <v>3007700</v>
      </c>
      <c r="C3105" t="s">
        <v>1929</v>
      </c>
      <c r="D3105" t="s">
        <v>441</v>
      </c>
      <c r="F3105">
        <v>0</v>
      </c>
      <c r="G3105">
        <v>9.61</v>
      </c>
      <c r="H3105" t="s">
        <v>8580</v>
      </c>
      <c r="I3105">
        <v>6</v>
      </c>
      <c r="J3105" t="s">
        <v>445</v>
      </c>
      <c r="K3105" t="s">
        <v>446</v>
      </c>
      <c r="M3105">
        <v>2641</v>
      </c>
    </row>
    <row r="3106" spans="1:14">
      <c r="A3106">
        <v>16030602</v>
      </c>
      <c r="B3106">
        <v>3007701</v>
      </c>
      <c r="C3106" t="s">
        <v>1930</v>
      </c>
      <c r="D3106" t="s">
        <v>441</v>
      </c>
      <c r="F3106">
        <v>0</v>
      </c>
      <c r="G3106">
        <v>10.25</v>
      </c>
      <c r="H3106" t="s">
        <v>8580</v>
      </c>
      <c r="I3106">
        <v>4</v>
      </c>
      <c r="J3106" t="s">
        <v>445</v>
      </c>
      <c r="K3106" t="s">
        <v>446</v>
      </c>
      <c r="M3106">
        <v>2511</v>
      </c>
    </row>
    <row r="3107" spans="1:14">
      <c r="A3107">
        <v>16030900</v>
      </c>
      <c r="B3107">
        <v>3020262</v>
      </c>
      <c r="C3107" t="s">
        <v>9864</v>
      </c>
      <c r="D3107" t="s">
        <v>441</v>
      </c>
      <c r="F3107">
        <v>0</v>
      </c>
      <c r="G3107">
        <v>11.5</v>
      </c>
      <c r="H3107" t="s">
        <v>8584</v>
      </c>
      <c r="I3107">
        <v>6</v>
      </c>
      <c r="J3107" t="s">
        <v>445</v>
      </c>
      <c r="K3107" t="s">
        <v>446</v>
      </c>
      <c r="M3107">
        <v>6666</v>
      </c>
      <c r="N3107" t="s">
        <v>16097</v>
      </c>
    </row>
    <row r="3108" spans="1:14">
      <c r="A3108">
        <v>16031000</v>
      </c>
      <c r="B3108">
        <v>3017783</v>
      </c>
      <c r="C3108" t="s">
        <v>1931</v>
      </c>
      <c r="D3108" t="s">
        <v>441</v>
      </c>
      <c r="F3108">
        <v>0</v>
      </c>
      <c r="G3108">
        <v>10.5</v>
      </c>
      <c r="H3108" t="s">
        <v>8634</v>
      </c>
      <c r="I3108">
        <v>6</v>
      </c>
      <c r="J3108" t="s">
        <v>445</v>
      </c>
      <c r="M3108">
        <v>0</v>
      </c>
      <c r="N3108" t="s">
        <v>16097</v>
      </c>
    </row>
    <row r="3109" spans="1:14">
      <c r="A3109">
        <v>16031020</v>
      </c>
      <c r="B3109">
        <v>4011607</v>
      </c>
      <c r="C3109" t="s">
        <v>9865</v>
      </c>
      <c r="D3109" t="s">
        <v>441</v>
      </c>
      <c r="F3109">
        <v>0</v>
      </c>
      <c r="G3109">
        <v>8.7200000000000006</v>
      </c>
      <c r="H3109" t="s">
        <v>8588</v>
      </c>
      <c r="I3109">
        <v>6</v>
      </c>
      <c r="J3109" t="s">
        <v>462</v>
      </c>
      <c r="K3109" t="s">
        <v>446</v>
      </c>
      <c r="M3109">
        <v>2641</v>
      </c>
    </row>
    <row r="3110" spans="1:14">
      <c r="A3110">
        <v>16031021</v>
      </c>
      <c r="B3110">
        <v>4011819</v>
      </c>
      <c r="C3110" t="s">
        <v>9866</v>
      </c>
      <c r="D3110" t="s">
        <v>441</v>
      </c>
      <c r="F3110">
        <v>0</v>
      </c>
      <c r="G3110">
        <v>10.52</v>
      </c>
      <c r="H3110" t="s">
        <v>8588</v>
      </c>
      <c r="I3110">
        <v>6</v>
      </c>
      <c r="J3110" t="s">
        <v>462</v>
      </c>
      <c r="K3110" t="s">
        <v>446</v>
      </c>
      <c r="M3110">
        <v>2612</v>
      </c>
    </row>
    <row r="3111" spans="1:14">
      <c r="A3111">
        <v>16031036</v>
      </c>
      <c r="B3111">
        <v>4011608</v>
      </c>
      <c r="C3111" t="s">
        <v>9867</v>
      </c>
      <c r="D3111" t="s">
        <v>441</v>
      </c>
      <c r="F3111">
        <v>0</v>
      </c>
      <c r="G3111">
        <v>12.16</v>
      </c>
      <c r="H3111" t="s">
        <v>8588</v>
      </c>
      <c r="I3111">
        <v>12</v>
      </c>
      <c r="J3111" t="s">
        <v>462</v>
      </c>
      <c r="K3111" t="s">
        <v>446</v>
      </c>
      <c r="M3111">
        <v>2611</v>
      </c>
    </row>
    <row r="3112" spans="1:14">
      <c r="A3112">
        <v>16031052</v>
      </c>
      <c r="B3112">
        <v>4012689</v>
      </c>
      <c r="C3112" t="s">
        <v>9868</v>
      </c>
      <c r="D3112" t="s">
        <v>441</v>
      </c>
      <c r="F3112">
        <v>0</v>
      </c>
      <c r="G3112">
        <v>10.54</v>
      </c>
      <c r="H3112" t="s">
        <v>8588</v>
      </c>
      <c r="I3112">
        <v>10</v>
      </c>
      <c r="J3112" t="s">
        <v>462</v>
      </c>
      <c r="K3112" t="s">
        <v>446</v>
      </c>
      <c r="M3112">
        <v>2612</v>
      </c>
    </row>
    <row r="3113" spans="1:14">
      <c r="A3113">
        <v>16031053</v>
      </c>
      <c r="B3113">
        <v>4012820</v>
      </c>
      <c r="C3113" t="s">
        <v>9869</v>
      </c>
      <c r="D3113" t="s">
        <v>441</v>
      </c>
      <c r="F3113">
        <v>0</v>
      </c>
      <c r="G3113">
        <v>13.04</v>
      </c>
      <c r="H3113" t="s">
        <v>8588</v>
      </c>
      <c r="I3113">
        <v>10</v>
      </c>
      <c r="J3113" t="s">
        <v>462</v>
      </c>
      <c r="M3113">
        <v>2612</v>
      </c>
    </row>
    <row r="3114" spans="1:14">
      <c r="A3114">
        <v>16033000</v>
      </c>
      <c r="B3114">
        <v>3005067</v>
      </c>
      <c r="C3114" t="s">
        <v>1932</v>
      </c>
      <c r="D3114" t="s">
        <v>441</v>
      </c>
      <c r="F3114">
        <v>0</v>
      </c>
      <c r="G3114">
        <v>10.5</v>
      </c>
      <c r="H3114" t="s">
        <v>8584</v>
      </c>
      <c r="I3114">
        <v>6</v>
      </c>
      <c r="J3114" t="s">
        <v>445</v>
      </c>
      <c r="K3114" t="s">
        <v>446</v>
      </c>
      <c r="M3114">
        <v>2390</v>
      </c>
    </row>
    <row r="3115" spans="1:14">
      <c r="A3115">
        <v>16040000</v>
      </c>
      <c r="B3115">
        <v>3016878</v>
      </c>
      <c r="C3115" t="s">
        <v>1933</v>
      </c>
      <c r="D3115" t="s">
        <v>441</v>
      </c>
      <c r="F3115">
        <v>0</v>
      </c>
      <c r="G3115">
        <v>8.8000000000000007</v>
      </c>
      <c r="H3115" t="s">
        <v>8935</v>
      </c>
      <c r="I3115">
        <v>6</v>
      </c>
      <c r="J3115" t="s">
        <v>445</v>
      </c>
      <c r="K3115" t="s">
        <v>446</v>
      </c>
      <c r="M3115">
        <v>2314</v>
      </c>
    </row>
    <row r="3116" spans="1:14">
      <c r="A3116">
        <v>16043000</v>
      </c>
      <c r="B3116">
        <v>3016879</v>
      </c>
      <c r="C3116" t="s">
        <v>1934</v>
      </c>
      <c r="D3116" t="s">
        <v>441</v>
      </c>
      <c r="F3116">
        <v>0</v>
      </c>
      <c r="G3116">
        <v>8.8000000000000007</v>
      </c>
      <c r="H3116" t="s">
        <v>8935</v>
      </c>
      <c r="I3116">
        <v>6</v>
      </c>
      <c r="J3116" t="s">
        <v>445</v>
      </c>
      <c r="K3116" t="s">
        <v>446</v>
      </c>
      <c r="M3116">
        <v>2390</v>
      </c>
    </row>
    <row r="3117" spans="1:14">
      <c r="A3117">
        <v>16050000</v>
      </c>
      <c r="B3117">
        <v>3008805</v>
      </c>
      <c r="C3117" t="s">
        <v>1935</v>
      </c>
      <c r="D3117" t="s">
        <v>441</v>
      </c>
      <c r="F3117">
        <v>0</v>
      </c>
      <c r="G3117">
        <v>8.14</v>
      </c>
      <c r="H3117" t="s">
        <v>8580</v>
      </c>
      <c r="I3117">
        <v>5</v>
      </c>
      <c r="J3117" t="s">
        <v>445</v>
      </c>
      <c r="K3117" t="s">
        <v>446</v>
      </c>
      <c r="M3117">
        <v>0</v>
      </c>
    </row>
    <row r="3118" spans="1:14">
      <c r="A3118">
        <v>16050002</v>
      </c>
      <c r="B3118">
        <v>3009660</v>
      </c>
      <c r="C3118" t="s">
        <v>1936</v>
      </c>
      <c r="D3118" t="s">
        <v>441</v>
      </c>
      <c r="F3118">
        <v>0</v>
      </c>
      <c r="G3118">
        <v>8.5500000000000007</v>
      </c>
      <c r="I3118">
        <v>365</v>
      </c>
      <c r="J3118" t="s">
        <v>445</v>
      </c>
      <c r="K3118" t="s">
        <v>446</v>
      </c>
      <c r="M3118">
        <v>2501</v>
      </c>
    </row>
    <row r="3119" spans="1:14">
      <c r="A3119">
        <v>16050502</v>
      </c>
      <c r="B3119">
        <v>3009661</v>
      </c>
      <c r="C3119" t="s">
        <v>1937</v>
      </c>
      <c r="D3119" t="s">
        <v>441</v>
      </c>
      <c r="F3119">
        <v>0</v>
      </c>
      <c r="G3119">
        <v>8.2899999999999991</v>
      </c>
      <c r="H3119" t="s">
        <v>8580</v>
      </c>
      <c r="I3119">
        <v>6</v>
      </c>
      <c r="J3119" t="s">
        <v>445</v>
      </c>
      <c r="K3119" t="s">
        <v>446</v>
      </c>
      <c r="M3119">
        <v>2641</v>
      </c>
    </row>
    <row r="3120" spans="1:14">
      <c r="A3120">
        <v>16050602</v>
      </c>
      <c r="B3120">
        <v>3009659</v>
      </c>
      <c r="C3120" t="s">
        <v>1938</v>
      </c>
      <c r="D3120" t="s">
        <v>441</v>
      </c>
      <c r="F3120">
        <v>0</v>
      </c>
      <c r="G3120">
        <v>8.65</v>
      </c>
      <c r="I3120">
        <v>4</v>
      </c>
      <c r="J3120" t="s">
        <v>445</v>
      </c>
      <c r="K3120" t="s">
        <v>446</v>
      </c>
      <c r="M3120">
        <v>2511</v>
      </c>
    </row>
    <row r="3121" spans="1:14">
      <c r="A3121">
        <v>16053000</v>
      </c>
      <c r="B3121">
        <v>3009611</v>
      </c>
      <c r="C3121" t="s">
        <v>1939</v>
      </c>
      <c r="D3121" t="s">
        <v>441</v>
      </c>
      <c r="F3121">
        <v>0</v>
      </c>
      <c r="G3121">
        <v>8.15</v>
      </c>
      <c r="I3121">
        <v>6</v>
      </c>
      <c r="J3121" t="s">
        <v>445</v>
      </c>
      <c r="K3121" t="s">
        <v>446</v>
      </c>
      <c r="M3121">
        <v>2390</v>
      </c>
    </row>
    <row r="3122" spans="1:14">
      <c r="A3122">
        <v>16060002</v>
      </c>
      <c r="B3122">
        <v>3007702</v>
      </c>
      <c r="C3122" t="s">
        <v>1940</v>
      </c>
      <c r="D3122" t="s">
        <v>441</v>
      </c>
      <c r="F3122">
        <v>0</v>
      </c>
      <c r="G3122">
        <v>12.2</v>
      </c>
      <c r="H3122" t="s">
        <v>8580</v>
      </c>
      <c r="I3122">
        <v>365</v>
      </c>
      <c r="J3122" t="s">
        <v>445</v>
      </c>
      <c r="K3122" t="s">
        <v>446</v>
      </c>
      <c r="M3122">
        <v>2501</v>
      </c>
      <c r="N3122" t="s">
        <v>16096</v>
      </c>
    </row>
    <row r="3123" spans="1:14">
      <c r="A3123">
        <v>16060020</v>
      </c>
      <c r="B3123">
        <v>4005535</v>
      </c>
      <c r="C3123" t="s">
        <v>9870</v>
      </c>
      <c r="D3123" t="s">
        <v>441</v>
      </c>
      <c r="F3123">
        <v>0</v>
      </c>
      <c r="G3123">
        <v>15.11</v>
      </c>
      <c r="H3123" t="s">
        <v>8588</v>
      </c>
      <c r="I3123">
        <v>6</v>
      </c>
      <c r="J3123" t="s">
        <v>462</v>
      </c>
      <c r="M3123">
        <v>2641</v>
      </c>
    </row>
    <row r="3124" spans="1:14">
      <c r="A3124">
        <v>16060027</v>
      </c>
      <c r="B3124">
        <v>4007584</v>
      </c>
      <c r="C3124" t="s">
        <v>9871</v>
      </c>
      <c r="D3124" t="s">
        <v>441</v>
      </c>
      <c r="F3124">
        <v>0</v>
      </c>
      <c r="G3124">
        <v>12.42</v>
      </c>
      <c r="H3124" t="s">
        <v>8588</v>
      </c>
      <c r="I3124">
        <v>365</v>
      </c>
      <c r="J3124" t="s">
        <v>462</v>
      </c>
      <c r="K3124" t="s">
        <v>446</v>
      </c>
      <c r="L3124">
        <v>20170</v>
      </c>
      <c r="M3124">
        <v>2501</v>
      </c>
      <c r="N3124" t="s">
        <v>16096</v>
      </c>
    </row>
    <row r="3125" spans="1:14">
      <c r="A3125">
        <v>16060028</v>
      </c>
      <c r="B3125">
        <v>4001797</v>
      </c>
      <c r="C3125" t="s">
        <v>9872</v>
      </c>
      <c r="D3125" t="s">
        <v>441</v>
      </c>
      <c r="F3125">
        <v>0</v>
      </c>
      <c r="G3125">
        <v>12.44</v>
      </c>
      <c r="H3125" t="s">
        <v>8588</v>
      </c>
      <c r="I3125">
        <v>365</v>
      </c>
      <c r="J3125" t="s">
        <v>462</v>
      </c>
      <c r="K3125" t="s">
        <v>446</v>
      </c>
      <c r="M3125">
        <v>2501</v>
      </c>
      <c r="N3125" t="s">
        <v>16096</v>
      </c>
    </row>
    <row r="3126" spans="1:14">
      <c r="A3126">
        <v>16060029</v>
      </c>
      <c r="B3126">
        <v>4010177</v>
      </c>
      <c r="C3126" t="s">
        <v>9873</v>
      </c>
      <c r="D3126" t="s">
        <v>441</v>
      </c>
      <c r="F3126">
        <v>0</v>
      </c>
      <c r="G3126">
        <v>12.5</v>
      </c>
      <c r="H3126" t="s">
        <v>8588</v>
      </c>
      <c r="I3126">
        <v>365</v>
      </c>
      <c r="J3126" t="s">
        <v>462</v>
      </c>
      <c r="K3126" t="s">
        <v>446</v>
      </c>
      <c r="L3126">
        <v>20132</v>
      </c>
      <c r="M3126">
        <v>2501</v>
      </c>
      <c r="N3126" t="s">
        <v>16096</v>
      </c>
    </row>
    <row r="3127" spans="1:14">
      <c r="A3127">
        <v>16060075</v>
      </c>
      <c r="B3127">
        <v>4011280</v>
      </c>
      <c r="C3127" t="s">
        <v>9874</v>
      </c>
      <c r="D3127" t="s">
        <v>441</v>
      </c>
      <c r="F3127">
        <v>0</v>
      </c>
      <c r="G3127">
        <v>11.92</v>
      </c>
      <c r="H3127" t="s">
        <v>8588</v>
      </c>
      <c r="I3127">
        <v>6</v>
      </c>
      <c r="J3127" t="s">
        <v>462</v>
      </c>
      <c r="K3127" t="s">
        <v>446</v>
      </c>
      <c r="M3127">
        <v>2641</v>
      </c>
      <c r="N3127" t="s">
        <v>16096</v>
      </c>
    </row>
    <row r="3128" spans="1:14">
      <c r="A3128">
        <v>16060502</v>
      </c>
      <c r="B3128">
        <v>3007703</v>
      </c>
      <c r="C3128" t="s">
        <v>1941</v>
      </c>
      <c r="D3128" t="s">
        <v>441</v>
      </c>
      <c r="F3128">
        <v>0</v>
      </c>
      <c r="G3128">
        <v>11.91</v>
      </c>
      <c r="H3128" t="s">
        <v>8580</v>
      </c>
      <c r="I3128">
        <v>6</v>
      </c>
      <c r="J3128" t="s">
        <v>445</v>
      </c>
      <c r="K3128" t="s">
        <v>446</v>
      </c>
      <c r="M3128">
        <v>2641</v>
      </c>
      <c r="N3128" t="s">
        <v>16096</v>
      </c>
    </row>
    <row r="3129" spans="1:14">
      <c r="A3129">
        <v>16060527</v>
      </c>
      <c r="B3129">
        <v>3007704</v>
      </c>
      <c r="C3129" t="s">
        <v>9875</v>
      </c>
      <c r="D3129" t="s">
        <v>441</v>
      </c>
      <c r="F3129">
        <v>0</v>
      </c>
      <c r="G3129">
        <v>12.23</v>
      </c>
      <c r="H3129" t="s">
        <v>8580</v>
      </c>
      <c r="I3129">
        <v>6</v>
      </c>
      <c r="J3129" t="s">
        <v>445</v>
      </c>
      <c r="K3129" t="s">
        <v>446</v>
      </c>
      <c r="M3129">
        <v>2641</v>
      </c>
      <c r="N3129" t="s">
        <v>16096</v>
      </c>
    </row>
    <row r="3130" spans="1:14">
      <c r="A3130">
        <v>16060528</v>
      </c>
      <c r="B3130">
        <v>3007705</v>
      </c>
      <c r="C3130" t="s">
        <v>9876</v>
      </c>
      <c r="D3130" t="s">
        <v>441</v>
      </c>
      <c r="F3130">
        <v>0</v>
      </c>
      <c r="G3130">
        <v>12.26</v>
      </c>
      <c r="H3130" t="s">
        <v>8580</v>
      </c>
      <c r="I3130">
        <v>6</v>
      </c>
      <c r="J3130" t="s">
        <v>445</v>
      </c>
      <c r="K3130" t="s">
        <v>446</v>
      </c>
      <c r="M3130">
        <v>2641</v>
      </c>
      <c r="N3130" t="s">
        <v>16096</v>
      </c>
    </row>
    <row r="3131" spans="1:14">
      <c r="A3131">
        <v>16060529</v>
      </c>
      <c r="B3131">
        <v>3014199</v>
      </c>
      <c r="C3131" t="s">
        <v>9877</v>
      </c>
      <c r="D3131" t="s">
        <v>441</v>
      </c>
      <c r="F3131">
        <v>0</v>
      </c>
      <c r="G3131">
        <v>12.31</v>
      </c>
      <c r="I3131">
        <v>365</v>
      </c>
      <c r="J3131" t="s">
        <v>445</v>
      </c>
      <c r="K3131" t="s">
        <v>446</v>
      </c>
      <c r="M3131">
        <v>2641</v>
      </c>
      <c r="N3131" t="s">
        <v>16096</v>
      </c>
    </row>
    <row r="3132" spans="1:14">
      <c r="A3132">
        <v>16060602</v>
      </c>
      <c r="B3132">
        <v>3007706</v>
      </c>
      <c r="C3132" t="s">
        <v>1942</v>
      </c>
      <c r="D3132" t="s">
        <v>441</v>
      </c>
      <c r="F3132">
        <v>0</v>
      </c>
      <c r="G3132">
        <v>12.49</v>
      </c>
      <c r="H3132" t="s">
        <v>8580</v>
      </c>
      <c r="I3132">
        <v>4</v>
      </c>
      <c r="J3132" t="s">
        <v>445</v>
      </c>
      <c r="K3132" t="s">
        <v>446</v>
      </c>
      <c r="M3132">
        <v>2511</v>
      </c>
      <c r="N3132" t="s">
        <v>16096</v>
      </c>
    </row>
    <row r="3133" spans="1:14">
      <c r="A3133">
        <v>16060902</v>
      </c>
      <c r="B3133">
        <v>3023882</v>
      </c>
      <c r="C3133" t="s">
        <v>1943</v>
      </c>
      <c r="D3133" t="s">
        <v>441</v>
      </c>
      <c r="F3133">
        <v>0</v>
      </c>
      <c r="H3133" t="s">
        <v>8935</v>
      </c>
      <c r="I3133">
        <v>4</v>
      </c>
      <c r="J3133" t="s">
        <v>445</v>
      </c>
      <c r="K3133" t="s">
        <v>446</v>
      </c>
      <c r="M3133">
        <v>6666</v>
      </c>
      <c r="N3133" t="s">
        <v>16096</v>
      </c>
    </row>
    <row r="3134" spans="1:14">
      <c r="A3134">
        <v>16061000</v>
      </c>
      <c r="B3134">
        <v>3009057</v>
      </c>
      <c r="C3134" t="s">
        <v>1944</v>
      </c>
      <c r="D3134" t="s">
        <v>441</v>
      </c>
      <c r="F3134">
        <v>0</v>
      </c>
      <c r="G3134">
        <v>10.35</v>
      </c>
      <c r="I3134">
        <v>6</v>
      </c>
      <c r="J3134" t="s">
        <v>445</v>
      </c>
      <c r="K3134" t="s">
        <v>446</v>
      </c>
      <c r="M3134">
        <v>0</v>
      </c>
    </row>
    <row r="3135" spans="1:14">
      <c r="A3135">
        <v>16061020</v>
      </c>
      <c r="B3135">
        <v>4011632</v>
      </c>
      <c r="C3135" t="s">
        <v>9878</v>
      </c>
      <c r="D3135" t="s">
        <v>441</v>
      </c>
      <c r="F3135">
        <v>0</v>
      </c>
      <c r="G3135">
        <v>11.59</v>
      </c>
      <c r="H3135" t="s">
        <v>8588</v>
      </c>
      <c r="I3135">
        <v>6</v>
      </c>
      <c r="J3135" t="s">
        <v>462</v>
      </c>
      <c r="K3135" t="s">
        <v>446</v>
      </c>
      <c r="M3135">
        <v>2641</v>
      </c>
    </row>
    <row r="3136" spans="1:14">
      <c r="A3136">
        <v>16061027</v>
      </c>
      <c r="B3136">
        <v>4011751</v>
      </c>
      <c r="C3136" t="s">
        <v>9879</v>
      </c>
      <c r="D3136" t="s">
        <v>441</v>
      </c>
      <c r="F3136">
        <v>0</v>
      </c>
      <c r="G3136">
        <v>12.42</v>
      </c>
      <c r="H3136" t="s">
        <v>8588</v>
      </c>
      <c r="I3136">
        <v>365</v>
      </c>
      <c r="J3136" t="s">
        <v>462</v>
      </c>
      <c r="K3136" t="s">
        <v>446</v>
      </c>
      <c r="L3136">
        <v>20170</v>
      </c>
      <c r="M3136">
        <v>2501</v>
      </c>
      <c r="N3136" t="s">
        <v>16096</v>
      </c>
    </row>
    <row r="3137" spans="1:14">
      <c r="A3137">
        <v>16061028</v>
      </c>
      <c r="B3137">
        <v>4011468</v>
      </c>
      <c r="C3137" t="s">
        <v>9880</v>
      </c>
      <c r="D3137" t="s">
        <v>441</v>
      </c>
      <c r="F3137">
        <v>0</v>
      </c>
      <c r="G3137">
        <v>12.44</v>
      </c>
      <c r="H3137" t="s">
        <v>8588</v>
      </c>
      <c r="I3137">
        <v>365</v>
      </c>
      <c r="J3137" t="s">
        <v>462</v>
      </c>
      <c r="K3137" t="s">
        <v>446</v>
      </c>
      <c r="M3137">
        <v>2501</v>
      </c>
      <c r="N3137" t="s">
        <v>16096</v>
      </c>
    </row>
    <row r="3138" spans="1:14">
      <c r="A3138">
        <v>16061029</v>
      </c>
      <c r="B3138">
        <v>4012038</v>
      </c>
      <c r="C3138" t="s">
        <v>9881</v>
      </c>
      <c r="D3138" t="s">
        <v>441</v>
      </c>
      <c r="F3138">
        <v>0</v>
      </c>
      <c r="G3138">
        <v>12.5</v>
      </c>
      <c r="H3138" t="s">
        <v>8588</v>
      </c>
      <c r="I3138">
        <v>365</v>
      </c>
      <c r="J3138" t="s">
        <v>462</v>
      </c>
      <c r="K3138" t="s">
        <v>446</v>
      </c>
      <c r="M3138">
        <v>2501</v>
      </c>
      <c r="N3138" t="s">
        <v>16096</v>
      </c>
    </row>
    <row r="3139" spans="1:14">
      <c r="A3139">
        <v>16061075</v>
      </c>
      <c r="B3139">
        <v>4012178</v>
      </c>
      <c r="C3139" t="s">
        <v>9882</v>
      </c>
      <c r="D3139" t="s">
        <v>441</v>
      </c>
      <c r="F3139">
        <v>0</v>
      </c>
      <c r="G3139">
        <v>11.92</v>
      </c>
      <c r="H3139" t="s">
        <v>8588</v>
      </c>
      <c r="I3139">
        <v>6</v>
      </c>
      <c r="J3139" t="s">
        <v>462</v>
      </c>
      <c r="K3139" t="s">
        <v>446</v>
      </c>
      <c r="M3139">
        <v>2641</v>
      </c>
      <c r="N3139" t="s">
        <v>16096</v>
      </c>
    </row>
    <row r="3140" spans="1:14">
      <c r="A3140">
        <v>16061527</v>
      </c>
      <c r="B3140">
        <v>3017393</v>
      </c>
      <c r="C3140" t="s">
        <v>9883</v>
      </c>
      <c r="D3140" t="s">
        <v>441</v>
      </c>
      <c r="F3140">
        <v>0</v>
      </c>
      <c r="G3140">
        <v>12.23</v>
      </c>
      <c r="H3140" t="s">
        <v>9884</v>
      </c>
      <c r="I3140">
        <v>6</v>
      </c>
      <c r="J3140" t="s">
        <v>445</v>
      </c>
      <c r="K3140" t="s">
        <v>446</v>
      </c>
      <c r="M3140">
        <v>2641</v>
      </c>
      <c r="N3140" t="s">
        <v>16096</v>
      </c>
    </row>
    <row r="3141" spans="1:14">
      <c r="A3141">
        <v>16061528</v>
      </c>
      <c r="B3141">
        <v>3017394</v>
      </c>
      <c r="C3141" t="s">
        <v>9885</v>
      </c>
      <c r="D3141" t="s">
        <v>441</v>
      </c>
      <c r="F3141">
        <v>0</v>
      </c>
      <c r="G3141">
        <v>12.26</v>
      </c>
      <c r="H3141" t="s">
        <v>8580</v>
      </c>
      <c r="I3141">
        <v>6</v>
      </c>
      <c r="J3141" t="s">
        <v>445</v>
      </c>
      <c r="K3141" t="s">
        <v>446</v>
      </c>
      <c r="M3141">
        <v>2641</v>
      </c>
      <c r="N3141" t="s">
        <v>16096</v>
      </c>
    </row>
    <row r="3142" spans="1:14">
      <c r="A3142">
        <v>16061529</v>
      </c>
      <c r="B3142">
        <v>3017570</v>
      </c>
      <c r="C3142" t="s">
        <v>9886</v>
      </c>
      <c r="D3142" t="s">
        <v>441</v>
      </c>
      <c r="F3142">
        <v>0</v>
      </c>
      <c r="G3142">
        <v>12.31</v>
      </c>
      <c r="H3142" t="s">
        <v>8580</v>
      </c>
      <c r="I3142">
        <v>365</v>
      </c>
      <c r="J3142" t="s">
        <v>445</v>
      </c>
      <c r="K3142" t="s">
        <v>446</v>
      </c>
      <c r="M3142">
        <v>2641</v>
      </c>
      <c r="N3142" t="s">
        <v>16096</v>
      </c>
    </row>
    <row r="3143" spans="1:14">
      <c r="A3143">
        <v>16063000</v>
      </c>
      <c r="B3143">
        <v>3007707</v>
      </c>
      <c r="C3143" t="s">
        <v>1945</v>
      </c>
      <c r="D3143" t="s">
        <v>441</v>
      </c>
      <c r="F3143">
        <v>0</v>
      </c>
      <c r="G3143">
        <v>10.8</v>
      </c>
      <c r="H3143" t="s">
        <v>8580</v>
      </c>
      <c r="I3143">
        <v>6</v>
      </c>
      <c r="J3143" t="s">
        <v>445</v>
      </c>
      <c r="K3143" t="s">
        <v>446</v>
      </c>
      <c r="M3143">
        <v>2390</v>
      </c>
    </row>
    <row r="3144" spans="1:14">
      <c r="A3144">
        <v>16066000</v>
      </c>
      <c r="B3144">
        <v>3009056</v>
      </c>
      <c r="C3144" t="s">
        <v>1946</v>
      </c>
      <c r="D3144" t="s">
        <v>441</v>
      </c>
      <c r="F3144">
        <v>0</v>
      </c>
      <c r="G3144">
        <v>10.36</v>
      </c>
      <c r="I3144">
        <v>6</v>
      </c>
      <c r="J3144" t="s">
        <v>445</v>
      </c>
      <c r="K3144" t="s">
        <v>446</v>
      </c>
      <c r="M3144">
        <v>2390</v>
      </c>
    </row>
    <row r="3145" spans="1:14">
      <c r="A3145">
        <v>16070000</v>
      </c>
      <c r="B3145">
        <v>3018700</v>
      </c>
      <c r="C3145" t="s">
        <v>1947</v>
      </c>
      <c r="D3145" t="s">
        <v>441</v>
      </c>
      <c r="F3145">
        <v>0</v>
      </c>
      <c r="G3145">
        <v>3</v>
      </c>
      <c r="H3145" t="s">
        <v>8950</v>
      </c>
      <c r="I3145">
        <v>6</v>
      </c>
      <c r="J3145" t="s">
        <v>445</v>
      </c>
      <c r="M3145">
        <v>2391</v>
      </c>
      <c r="N3145" t="s">
        <v>16098</v>
      </c>
    </row>
    <row r="3146" spans="1:14">
      <c r="A3146">
        <v>16070007</v>
      </c>
      <c r="B3146">
        <v>3024919</v>
      </c>
      <c r="C3146" t="s">
        <v>1948</v>
      </c>
      <c r="D3146" t="s">
        <v>441</v>
      </c>
      <c r="F3146">
        <v>0</v>
      </c>
      <c r="G3146">
        <v>3.08</v>
      </c>
      <c r="H3146" t="s">
        <v>8584</v>
      </c>
      <c r="I3146">
        <v>6</v>
      </c>
      <c r="J3146" t="s">
        <v>445</v>
      </c>
      <c r="M3146">
        <v>2391</v>
      </c>
      <c r="N3146" t="s">
        <v>16098</v>
      </c>
    </row>
    <row r="3147" spans="1:14">
      <c r="A3147">
        <v>16070020</v>
      </c>
      <c r="B3147">
        <v>4016988</v>
      </c>
      <c r="C3147" t="s">
        <v>9887</v>
      </c>
      <c r="D3147" t="s">
        <v>441</v>
      </c>
      <c r="F3147">
        <v>0</v>
      </c>
      <c r="G3147">
        <v>5.19</v>
      </c>
      <c r="H3147" t="s">
        <v>9888</v>
      </c>
      <c r="I3147">
        <v>6</v>
      </c>
      <c r="J3147" t="s">
        <v>462</v>
      </c>
      <c r="K3147" t="s">
        <v>446</v>
      </c>
      <c r="M3147">
        <v>0</v>
      </c>
      <c r="N3147" t="s">
        <v>16098</v>
      </c>
    </row>
    <row r="3148" spans="1:14">
      <c r="A3148">
        <v>16070021</v>
      </c>
      <c r="B3148">
        <v>4019840</v>
      </c>
      <c r="C3148" t="s">
        <v>9889</v>
      </c>
      <c r="D3148" t="s">
        <v>441</v>
      </c>
      <c r="F3148">
        <v>0</v>
      </c>
      <c r="G3148">
        <v>5.46</v>
      </c>
      <c r="H3148" t="s">
        <v>9888</v>
      </c>
      <c r="I3148">
        <v>6</v>
      </c>
      <c r="J3148" t="s">
        <v>462</v>
      </c>
      <c r="K3148" t="s">
        <v>446</v>
      </c>
      <c r="M3148">
        <v>2641</v>
      </c>
      <c r="N3148" t="s">
        <v>16098</v>
      </c>
    </row>
    <row r="3149" spans="1:14">
      <c r="A3149">
        <v>16070025</v>
      </c>
      <c r="B3149">
        <v>4019788</v>
      </c>
      <c r="C3149" t="s">
        <v>14258</v>
      </c>
      <c r="D3149" t="s">
        <v>441</v>
      </c>
      <c r="F3149">
        <v>0</v>
      </c>
      <c r="G3149">
        <v>7.42</v>
      </c>
      <c r="H3149" t="s">
        <v>8588</v>
      </c>
      <c r="I3149">
        <v>540</v>
      </c>
      <c r="J3149" t="s">
        <v>462</v>
      </c>
      <c r="M3149">
        <v>7111</v>
      </c>
      <c r="N3149" t="s">
        <v>16098</v>
      </c>
    </row>
    <row r="3150" spans="1:14">
      <c r="A3150">
        <v>16070027</v>
      </c>
      <c r="B3150">
        <v>4013105</v>
      </c>
      <c r="C3150" t="s">
        <v>9890</v>
      </c>
      <c r="D3150" t="s">
        <v>441</v>
      </c>
      <c r="F3150">
        <v>0</v>
      </c>
      <c r="G3150">
        <v>5.34</v>
      </c>
      <c r="H3150" t="s">
        <v>8588</v>
      </c>
      <c r="I3150">
        <v>365</v>
      </c>
      <c r="J3150" t="s">
        <v>462</v>
      </c>
      <c r="K3150" t="s">
        <v>446</v>
      </c>
      <c r="M3150">
        <v>2501</v>
      </c>
      <c r="N3150" t="s">
        <v>16098</v>
      </c>
    </row>
    <row r="3151" spans="1:14">
      <c r="A3151">
        <v>16070028</v>
      </c>
      <c r="B3151">
        <v>4013013</v>
      </c>
      <c r="C3151" t="s">
        <v>14259</v>
      </c>
      <c r="D3151" t="s">
        <v>441</v>
      </c>
      <c r="F3151">
        <v>0</v>
      </c>
      <c r="G3151">
        <v>7.42</v>
      </c>
      <c r="H3151" t="s">
        <v>8588</v>
      </c>
      <c r="I3151">
        <v>540</v>
      </c>
      <c r="J3151" t="s">
        <v>462</v>
      </c>
      <c r="L3151" t="s">
        <v>1949</v>
      </c>
      <c r="M3151">
        <v>7111</v>
      </c>
      <c r="N3151" t="s">
        <v>16098</v>
      </c>
    </row>
    <row r="3152" spans="1:14">
      <c r="A3152">
        <v>16070075</v>
      </c>
      <c r="B3152">
        <v>4019878</v>
      </c>
      <c r="C3152" t="s">
        <v>3000</v>
      </c>
      <c r="D3152" t="s">
        <v>441</v>
      </c>
      <c r="F3152">
        <v>0</v>
      </c>
      <c r="G3152">
        <v>6.01</v>
      </c>
      <c r="H3152" t="s">
        <v>8588</v>
      </c>
      <c r="I3152">
        <v>6</v>
      </c>
      <c r="J3152" t="s">
        <v>462</v>
      </c>
      <c r="M3152">
        <v>7112</v>
      </c>
      <c r="N3152" t="s">
        <v>16098</v>
      </c>
    </row>
    <row r="3153" spans="1:14">
      <c r="A3153">
        <v>16070525</v>
      </c>
      <c r="B3153">
        <v>3029702</v>
      </c>
      <c r="C3153" t="s">
        <v>1950</v>
      </c>
      <c r="D3153" t="s">
        <v>441</v>
      </c>
      <c r="F3153">
        <v>0</v>
      </c>
      <c r="G3153">
        <v>3.92</v>
      </c>
      <c r="I3153">
        <v>540</v>
      </c>
      <c r="J3153" t="s">
        <v>445</v>
      </c>
      <c r="M3153">
        <v>2502</v>
      </c>
      <c r="N3153" t="s">
        <v>16098</v>
      </c>
    </row>
    <row r="3154" spans="1:14">
      <c r="A3154">
        <v>16070527</v>
      </c>
      <c r="B3154">
        <v>3018832</v>
      </c>
      <c r="C3154" t="s">
        <v>9891</v>
      </c>
      <c r="D3154" t="s">
        <v>441</v>
      </c>
      <c r="F3154">
        <v>0</v>
      </c>
      <c r="G3154">
        <v>5.16</v>
      </c>
      <c r="H3154" t="s">
        <v>8580</v>
      </c>
      <c r="I3154">
        <v>365</v>
      </c>
      <c r="J3154" t="s">
        <v>445</v>
      </c>
      <c r="K3154" t="s">
        <v>446</v>
      </c>
      <c r="M3154">
        <v>2641</v>
      </c>
      <c r="N3154" t="s">
        <v>16098</v>
      </c>
    </row>
    <row r="3155" spans="1:14">
      <c r="A3155">
        <v>16070528</v>
      </c>
      <c r="B3155">
        <v>3018702</v>
      </c>
      <c r="C3155" t="s">
        <v>14260</v>
      </c>
      <c r="D3155" t="s">
        <v>441</v>
      </c>
      <c r="F3155">
        <v>0</v>
      </c>
      <c r="G3155">
        <v>6.94</v>
      </c>
      <c r="H3155" t="s">
        <v>8950</v>
      </c>
      <c r="I3155">
        <v>540</v>
      </c>
      <c r="J3155" t="s">
        <v>445</v>
      </c>
      <c r="M3155">
        <v>2502</v>
      </c>
      <c r="N3155" t="s">
        <v>16098</v>
      </c>
    </row>
    <row r="3156" spans="1:14">
      <c r="A3156">
        <v>16071000</v>
      </c>
      <c r="B3156">
        <v>3018701</v>
      </c>
      <c r="C3156" t="s">
        <v>1951</v>
      </c>
      <c r="D3156" t="s">
        <v>441</v>
      </c>
      <c r="F3156">
        <v>0</v>
      </c>
      <c r="G3156">
        <v>3</v>
      </c>
      <c r="H3156" t="s">
        <v>8950</v>
      </c>
      <c r="I3156">
        <v>6</v>
      </c>
      <c r="J3156" t="s">
        <v>445</v>
      </c>
      <c r="M3156">
        <v>2391</v>
      </c>
      <c r="N3156" t="s">
        <v>16098</v>
      </c>
    </row>
    <row r="3157" spans="1:14">
      <c r="A3157">
        <v>16071007</v>
      </c>
      <c r="B3157">
        <v>3024920</v>
      </c>
      <c r="C3157" t="s">
        <v>9892</v>
      </c>
      <c r="D3157" t="s">
        <v>441</v>
      </c>
      <c r="F3157">
        <v>0</v>
      </c>
      <c r="G3157">
        <v>4.87</v>
      </c>
      <c r="H3157" t="s">
        <v>8584</v>
      </c>
      <c r="I3157">
        <v>6</v>
      </c>
      <c r="J3157" t="s">
        <v>445</v>
      </c>
      <c r="K3157" t="s">
        <v>446</v>
      </c>
      <c r="M3157">
        <v>3111</v>
      </c>
      <c r="N3157" t="s">
        <v>16098</v>
      </c>
    </row>
    <row r="3158" spans="1:14">
      <c r="A3158">
        <v>16071027</v>
      </c>
      <c r="B3158">
        <v>4013104</v>
      </c>
      <c r="C3158" t="s">
        <v>9893</v>
      </c>
      <c r="D3158" t="s">
        <v>441</v>
      </c>
      <c r="F3158">
        <v>0</v>
      </c>
      <c r="G3158">
        <v>5.34</v>
      </c>
      <c r="H3158" t="s">
        <v>8588</v>
      </c>
      <c r="I3158">
        <v>365</v>
      </c>
      <c r="J3158" t="s">
        <v>462</v>
      </c>
      <c r="K3158" t="s">
        <v>446</v>
      </c>
      <c r="M3158">
        <v>2501</v>
      </c>
      <c r="N3158" t="s">
        <v>16098</v>
      </c>
    </row>
    <row r="3159" spans="1:14">
      <c r="A3159">
        <v>16071028</v>
      </c>
      <c r="B3159">
        <v>4013014</v>
      </c>
      <c r="C3159" t="s">
        <v>1952</v>
      </c>
      <c r="D3159" t="s">
        <v>441</v>
      </c>
      <c r="F3159">
        <v>0</v>
      </c>
      <c r="G3159">
        <v>4.45</v>
      </c>
      <c r="H3159" t="s">
        <v>8588</v>
      </c>
      <c r="I3159">
        <v>540</v>
      </c>
      <c r="J3159" t="s">
        <v>462</v>
      </c>
      <c r="L3159" t="s">
        <v>1949</v>
      </c>
      <c r="M3159">
        <v>7111</v>
      </c>
      <c r="N3159" t="s">
        <v>16098</v>
      </c>
    </row>
    <row r="3160" spans="1:14">
      <c r="A3160">
        <v>16071527</v>
      </c>
      <c r="B3160">
        <v>3018831</v>
      </c>
      <c r="C3160" t="s">
        <v>9894</v>
      </c>
      <c r="D3160" t="s">
        <v>441</v>
      </c>
      <c r="F3160">
        <v>0</v>
      </c>
      <c r="G3160">
        <v>5.16</v>
      </c>
      <c r="H3160" t="s">
        <v>8580</v>
      </c>
      <c r="I3160">
        <v>365</v>
      </c>
      <c r="J3160" t="s">
        <v>445</v>
      </c>
      <c r="K3160" t="s">
        <v>446</v>
      </c>
      <c r="M3160">
        <v>2641</v>
      </c>
      <c r="N3160" t="s">
        <v>16098</v>
      </c>
    </row>
    <row r="3161" spans="1:14">
      <c r="A3161">
        <v>16071528</v>
      </c>
      <c r="B3161">
        <v>3018703</v>
      </c>
      <c r="C3161" t="s">
        <v>1953</v>
      </c>
      <c r="D3161" t="s">
        <v>441</v>
      </c>
      <c r="F3161">
        <v>0</v>
      </c>
      <c r="G3161">
        <v>3.92</v>
      </c>
      <c r="H3161" t="s">
        <v>8950</v>
      </c>
      <c r="I3161">
        <v>540</v>
      </c>
      <c r="J3161" t="s">
        <v>445</v>
      </c>
      <c r="M3161">
        <v>2502</v>
      </c>
      <c r="N3161" t="s">
        <v>16098</v>
      </c>
    </row>
    <row r="3162" spans="1:14">
      <c r="A3162">
        <v>16080000</v>
      </c>
      <c r="B3162">
        <v>3012701</v>
      </c>
      <c r="C3162" t="s">
        <v>1954</v>
      </c>
      <c r="D3162" t="s">
        <v>441</v>
      </c>
      <c r="F3162">
        <v>0</v>
      </c>
      <c r="G3162">
        <v>18.61</v>
      </c>
      <c r="H3162" t="s">
        <v>8588</v>
      </c>
      <c r="I3162">
        <v>6</v>
      </c>
      <c r="J3162" t="s">
        <v>445</v>
      </c>
      <c r="M3162">
        <v>2391</v>
      </c>
      <c r="N3162" t="s">
        <v>16099</v>
      </c>
    </row>
    <row r="3163" spans="1:14">
      <c r="A3163">
        <v>16080002</v>
      </c>
      <c r="B3163">
        <v>3021993</v>
      </c>
      <c r="C3163" t="s">
        <v>1955</v>
      </c>
      <c r="D3163" t="s">
        <v>441</v>
      </c>
      <c r="F3163">
        <v>0</v>
      </c>
      <c r="G3163">
        <v>19.29</v>
      </c>
      <c r="H3163" t="s">
        <v>8549</v>
      </c>
      <c r="I3163">
        <v>540</v>
      </c>
      <c r="J3163" t="s">
        <v>445</v>
      </c>
      <c r="M3163">
        <v>7111</v>
      </c>
      <c r="N3163" t="s">
        <v>16099</v>
      </c>
    </row>
    <row r="3164" spans="1:14">
      <c r="A3164">
        <v>16080007</v>
      </c>
      <c r="B3164">
        <v>3024921</v>
      </c>
      <c r="C3164" t="s">
        <v>14261</v>
      </c>
      <c r="D3164" t="s">
        <v>441</v>
      </c>
      <c r="F3164">
        <v>0</v>
      </c>
      <c r="G3164">
        <v>19.88</v>
      </c>
      <c r="H3164" t="s">
        <v>8580</v>
      </c>
      <c r="I3164">
        <v>6</v>
      </c>
      <c r="J3164" t="s">
        <v>445</v>
      </c>
      <c r="M3164">
        <v>3111</v>
      </c>
      <c r="N3164" t="s">
        <v>16099</v>
      </c>
    </row>
    <row r="3165" spans="1:14">
      <c r="A3165">
        <v>16080020</v>
      </c>
      <c r="B3165">
        <v>4017250</v>
      </c>
      <c r="C3165" t="s">
        <v>1956</v>
      </c>
      <c r="D3165" t="s">
        <v>441</v>
      </c>
      <c r="F3165">
        <v>0</v>
      </c>
      <c r="G3165">
        <v>19.04</v>
      </c>
      <c r="H3165" t="s">
        <v>9888</v>
      </c>
      <c r="I3165">
        <v>6</v>
      </c>
      <c r="J3165" t="s">
        <v>462</v>
      </c>
      <c r="L3165">
        <v>2062394</v>
      </c>
      <c r="M3165">
        <v>7112</v>
      </c>
      <c r="N3165" t="s">
        <v>16099</v>
      </c>
    </row>
    <row r="3166" spans="1:14">
      <c r="A3166">
        <v>16080021</v>
      </c>
      <c r="B3166">
        <v>4017605</v>
      </c>
      <c r="C3166" t="s">
        <v>9895</v>
      </c>
      <c r="D3166" t="s">
        <v>441</v>
      </c>
      <c r="F3166">
        <v>0</v>
      </c>
      <c r="G3166">
        <v>11.76</v>
      </c>
      <c r="H3166" t="s">
        <v>9888</v>
      </c>
      <c r="I3166">
        <v>6</v>
      </c>
      <c r="J3166" t="s">
        <v>462</v>
      </c>
      <c r="K3166" t="s">
        <v>446</v>
      </c>
      <c r="M3166">
        <v>2641</v>
      </c>
      <c r="N3166" t="s">
        <v>16099</v>
      </c>
    </row>
    <row r="3167" spans="1:14">
      <c r="A3167">
        <v>16080028</v>
      </c>
      <c r="B3167">
        <v>4013021</v>
      </c>
      <c r="C3167" t="s">
        <v>1957</v>
      </c>
      <c r="D3167" t="s">
        <v>441</v>
      </c>
      <c r="F3167">
        <v>0</v>
      </c>
      <c r="G3167">
        <v>24.52</v>
      </c>
      <c r="H3167" t="s">
        <v>8588</v>
      </c>
      <c r="I3167">
        <v>540</v>
      </c>
      <c r="J3167" t="s">
        <v>462</v>
      </c>
      <c r="M3167">
        <v>7111</v>
      </c>
      <c r="N3167" t="s">
        <v>16099</v>
      </c>
    </row>
    <row r="3168" spans="1:14">
      <c r="A3168">
        <v>16080030</v>
      </c>
      <c r="B3168">
        <v>4017515</v>
      </c>
      <c r="C3168" t="s">
        <v>9896</v>
      </c>
      <c r="D3168" t="s">
        <v>441</v>
      </c>
      <c r="F3168">
        <v>0</v>
      </c>
      <c r="G3168">
        <v>12.36</v>
      </c>
      <c r="H3168" t="s">
        <v>8588</v>
      </c>
      <c r="I3168">
        <v>12</v>
      </c>
      <c r="J3168" t="s">
        <v>462</v>
      </c>
      <c r="K3168" t="s">
        <v>446</v>
      </c>
      <c r="M3168">
        <v>2612</v>
      </c>
      <c r="N3168" t="s">
        <v>16099</v>
      </c>
    </row>
    <row r="3169" spans="1:14">
      <c r="A3169">
        <v>16080031</v>
      </c>
      <c r="B3169">
        <v>4017514</v>
      </c>
      <c r="C3169" t="s">
        <v>9897</v>
      </c>
      <c r="D3169" t="s">
        <v>441</v>
      </c>
      <c r="F3169">
        <v>0</v>
      </c>
      <c r="G3169">
        <v>8.82</v>
      </c>
      <c r="H3169" t="s">
        <v>8588</v>
      </c>
      <c r="I3169">
        <v>8</v>
      </c>
      <c r="J3169" t="s">
        <v>462</v>
      </c>
      <c r="K3169" t="s">
        <v>446</v>
      </c>
      <c r="M3169">
        <v>2612</v>
      </c>
    </row>
    <row r="3170" spans="1:14">
      <c r="A3170">
        <v>16080032</v>
      </c>
      <c r="B3170">
        <v>4017618</v>
      </c>
      <c r="C3170" t="s">
        <v>9898</v>
      </c>
      <c r="D3170" t="s">
        <v>441</v>
      </c>
      <c r="F3170">
        <v>0</v>
      </c>
      <c r="G3170">
        <v>8.75</v>
      </c>
      <c r="H3170" t="s">
        <v>8588</v>
      </c>
      <c r="I3170">
        <v>8</v>
      </c>
      <c r="J3170" t="s">
        <v>462</v>
      </c>
      <c r="K3170" t="s">
        <v>446</v>
      </c>
      <c r="M3170">
        <v>0</v>
      </c>
    </row>
    <row r="3171" spans="1:14">
      <c r="A3171">
        <v>16080033</v>
      </c>
      <c r="B3171">
        <v>4017617</v>
      </c>
      <c r="C3171" t="s">
        <v>15473</v>
      </c>
      <c r="D3171" t="s">
        <v>441</v>
      </c>
      <c r="F3171">
        <v>0</v>
      </c>
      <c r="G3171">
        <v>20.99</v>
      </c>
      <c r="H3171" t="s">
        <v>8588</v>
      </c>
      <c r="I3171">
        <v>10</v>
      </c>
      <c r="J3171" t="s">
        <v>462</v>
      </c>
      <c r="M3171">
        <v>7112</v>
      </c>
      <c r="N3171" t="s">
        <v>16099</v>
      </c>
    </row>
    <row r="3172" spans="1:14">
      <c r="A3172">
        <v>16080034</v>
      </c>
      <c r="B3172">
        <v>4017654</v>
      </c>
      <c r="C3172" t="s">
        <v>1958</v>
      </c>
      <c r="D3172" t="s">
        <v>441</v>
      </c>
      <c r="F3172">
        <v>0</v>
      </c>
      <c r="G3172">
        <v>19.329999999999998</v>
      </c>
      <c r="H3172" t="s">
        <v>8588</v>
      </c>
      <c r="I3172">
        <v>12</v>
      </c>
      <c r="J3172" t="s">
        <v>462</v>
      </c>
      <c r="M3172">
        <v>7112</v>
      </c>
      <c r="N3172" t="s">
        <v>16099</v>
      </c>
    </row>
    <row r="3173" spans="1:14">
      <c r="A3173">
        <v>16080035</v>
      </c>
      <c r="B3173">
        <v>4018027</v>
      </c>
      <c r="C3173" t="s">
        <v>15474</v>
      </c>
      <c r="D3173" t="s">
        <v>441</v>
      </c>
      <c r="F3173">
        <v>0</v>
      </c>
      <c r="G3173">
        <v>20.64</v>
      </c>
      <c r="H3173" t="s">
        <v>8588</v>
      </c>
      <c r="I3173">
        <v>12</v>
      </c>
      <c r="J3173" t="s">
        <v>462</v>
      </c>
      <c r="M3173">
        <v>7112</v>
      </c>
      <c r="N3173" t="s">
        <v>16099</v>
      </c>
    </row>
    <row r="3174" spans="1:14">
      <c r="A3174">
        <v>16080075</v>
      </c>
      <c r="B3174">
        <v>3023402</v>
      </c>
      <c r="C3174" t="s">
        <v>9899</v>
      </c>
      <c r="D3174" t="s">
        <v>441</v>
      </c>
      <c r="F3174">
        <v>0</v>
      </c>
      <c r="G3174">
        <v>14.91</v>
      </c>
      <c r="H3174" t="s">
        <v>8588</v>
      </c>
      <c r="I3174">
        <v>6</v>
      </c>
      <c r="J3174" t="s">
        <v>445</v>
      </c>
      <c r="K3174" t="s">
        <v>446</v>
      </c>
      <c r="M3174">
        <v>2501</v>
      </c>
      <c r="N3174" t="s">
        <v>16099</v>
      </c>
    </row>
    <row r="3175" spans="1:14">
      <c r="A3175">
        <v>16080502</v>
      </c>
      <c r="B3175">
        <v>3021937</v>
      </c>
      <c r="C3175" t="s">
        <v>1959</v>
      </c>
      <c r="D3175" t="s">
        <v>441</v>
      </c>
      <c r="F3175">
        <v>0</v>
      </c>
      <c r="G3175">
        <v>18.850000000000001</v>
      </c>
      <c r="H3175" t="s">
        <v>8549</v>
      </c>
      <c r="I3175">
        <v>6</v>
      </c>
      <c r="J3175" t="s">
        <v>445</v>
      </c>
      <c r="M3175">
        <v>2502</v>
      </c>
      <c r="N3175" t="s">
        <v>16099</v>
      </c>
    </row>
    <row r="3176" spans="1:14">
      <c r="A3176">
        <v>16080528</v>
      </c>
      <c r="B3176">
        <v>3018719</v>
      </c>
      <c r="C3176" t="s">
        <v>1960</v>
      </c>
      <c r="D3176" t="s">
        <v>441</v>
      </c>
      <c r="F3176">
        <v>0</v>
      </c>
      <c r="G3176">
        <v>19.510000000000002</v>
      </c>
      <c r="H3176" t="s">
        <v>8580</v>
      </c>
      <c r="I3176">
        <v>540</v>
      </c>
      <c r="J3176" t="s">
        <v>445</v>
      </c>
      <c r="L3176">
        <v>20182</v>
      </c>
      <c r="M3176">
        <v>2502</v>
      </c>
      <c r="N3176" t="s">
        <v>16099</v>
      </c>
    </row>
    <row r="3177" spans="1:14">
      <c r="A3177">
        <v>16080602</v>
      </c>
      <c r="B3177">
        <v>3021994</v>
      </c>
      <c r="C3177" t="s">
        <v>1961</v>
      </c>
      <c r="D3177" t="s">
        <v>441</v>
      </c>
      <c r="F3177">
        <v>0</v>
      </c>
      <c r="G3177">
        <v>19.53</v>
      </c>
      <c r="H3177" t="s">
        <v>8549</v>
      </c>
      <c r="I3177">
        <v>4</v>
      </c>
      <c r="J3177" t="s">
        <v>445</v>
      </c>
      <c r="M3177">
        <v>2510</v>
      </c>
      <c r="N3177" t="s">
        <v>16099</v>
      </c>
    </row>
    <row r="3178" spans="1:14">
      <c r="A3178">
        <v>16080900</v>
      </c>
      <c r="B3178">
        <v>3020959</v>
      </c>
      <c r="C3178" t="s">
        <v>1962</v>
      </c>
      <c r="D3178" t="s">
        <v>441</v>
      </c>
      <c r="F3178">
        <v>0</v>
      </c>
      <c r="G3178">
        <v>0</v>
      </c>
      <c r="H3178" t="s">
        <v>8586</v>
      </c>
      <c r="I3178">
        <v>6</v>
      </c>
      <c r="J3178" t="s">
        <v>445</v>
      </c>
      <c r="M3178">
        <v>6666</v>
      </c>
      <c r="N3178" t="s">
        <v>16099</v>
      </c>
    </row>
    <row r="3179" spans="1:14">
      <c r="A3179">
        <v>16080902</v>
      </c>
      <c r="B3179">
        <v>3021995</v>
      </c>
      <c r="C3179" t="s">
        <v>1963</v>
      </c>
      <c r="D3179" t="s">
        <v>441</v>
      </c>
      <c r="F3179">
        <v>0</v>
      </c>
      <c r="I3179">
        <v>4</v>
      </c>
      <c r="J3179" t="s">
        <v>445</v>
      </c>
      <c r="M3179">
        <v>6666</v>
      </c>
      <c r="N3179" t="s">
        <v>16099</v>
      </c>
    </row>
    <row r="3180" spans="1:14">
      <c r="A3180">
        <v>16080907</v>
      </c>
      <c r="B3180">
        <v>3025181</v>
      </c>
      <c r="C3180" t="s">
        <v>14262</v>
      </c>
      <c r="D3180" t="s">
        <v>441</v>
      </c>
      <c r="F3180">
        <v>0</v>
      </c>
      <c r="G3180">
        <v>0</v>
      </c>
      <c r="H3180" t="s">
        <v>8584</v>
      </c>
      <c r="I3180">
        <v>6</v>
      </c>
      <c r="J3180" t="s">
        <v>445</v>
      </c>
      <c r="M3180">
        <v>6666</v>
      </c>
      <c r="N3180" t="s">
        <v>16099</v>
      </c>
    </row>
    <row r="3181" spans="1:14">
      <c r="A3181">
        <v>16081000</v>
      </c>
      <c r="B3181">
        <v>3018043</v>
      </c>
      <c r="C3181" t="s">
        <v>1964</v>
      </c>
      <c r="D3181" t="s">
        <v>441</v>
      </c>
      <c r="F3181">
        <v>0</v>
      </c>
      <c r="G3181">
        <v>18.61</v>
      </c>
      <c r="H3181" t="s">
        <v>8588</v>
      </c>
      <c r="I3181">
        <v>6</v>
      </c>
      <c r="J3181" t="s">
        <v>445</v>
      </c>
      <c r="M3181">
        <v>2391</v>
      </c>
      <c r="N3181" t="s">
        <v>16099</v>
      </c>
    </row>
    <row r="3182" spans="1:14">
      <c r="A3182">
        <v>16081007</v>
      </c>
      <c r="B3182">
        <v>3024922</v>
      </c>
      <c r="C3182" t="s">
        <v>9900</v>
      </c>
      <c r="D3182" t="s">
        <v>441</v>
      </c>
      <c r="F3182">
        <v>0</v>
      </c>
      <c r="G3182">
        <v>11.69</v>
      </c>
      <c r="H3182" t="s">
        <v>8580</v>
      </c>
      <c r="I3182">
        <v>6</v>
      </c>
      <c r="J3182" t="s">
        <v>445</v>
      </c>
      <c r="K3182" t="s">
        <v>446</v>
      </c>
      <c r="M3182">
        <v>3111</v>
      </c>
      <c r="N3182" t="s">
        <v>16099</v>
      </c>
    </row>
    <row r="3183" spans="1:14">
      <c r="A3183">
        <v>16081028</v>
      </c>
      <c r="B3183">
        <v>4013020</v>
      </c>
      <c r="C3183" t="s">
        <v>1965</v>
      </c>
      <c r="D3183" t="s">
        <v>441</v>
      </c>
      <c r="F3183">
        <v>0</v>
      </c>
      <c r="G3183">
        <v>24.52</v>
      </c>
      <c r="H3183" t="s">
        <v>8588</v>
      </c>
      <c r="I3183">
        <v>540</v>
      </c>
      <c r="J3183" t="s">
        <v>462</v>
      </c>
      <c r="M3183">
        <v>7111</v>
      </c>
      <c r="N3183" t="s">
        <v>16099</v>
      </c>
    </row>
    <row r="3184" spans="1:14">
      <c r="A3184">
        <v>16081030</v>
      </c>
      <c r="B3184">
        <v>4017546</v>
      </c>
      <c r="C3184" t="s">
        <v>9901</v>
      </c>
      <c r="D3184" t="s">
        <v>441</v>
      </c>
      <c r="F3184">
        <v>0</v>
      </c>
      <c r="G3184">
        <v>12.36</v>
      </c>
      <c r="H3184" t="s">
        <v>8588</v>
      </c>
      <c r="I3184">
        <v>9</v>
      </c>
      <c r="J3184" t="s">
        <v>462</v>
      </c>
      <c r="K3184" t="s">
        <v>446</v>
      </c>
      <c r="M3184">
        <v>2612</v>
      </c>
      <c r="N3184" t="s">
        <v>16099</v>
      </c>
    </row>
    <row r="3185" spans="1:14">
      <c r="A3185">
        <v>16081031</v>
      </c>
      <c r="B3185">
        <v>4017545</v>
      </c>
      <c r="C3185" t="s">
        <v>9902</v>
      </c>
      <c r="D3185" t="s">
        <v>441</v>
      </c>
      <c r="F3185">
        <v>0</v>
      </c>
      <c r="G3185">
        <v>8.82</v>
      </c>
      <c r="H3185" t="s">
        <v>8588</v>
      </c>
      <c r="I3185">
        <v>8</v>
      </c>
      <c r="J3185" t="s">
        <v>462</v>
      </c>
      <c r="K3185" t="s">
        <v>446</v>
      </c>
      <c r="M3185">
        <v>2612</v>
      </c>
    </row>
    <row r="3186" spans="1:14">
      <c r="A3186">
        <v>16081032</v>
      </c>
      <c r="B3186">
        <v>4017619</v>
      </c>
      <c r="C3186" t="s">
        <v>9903</v>
      </c>
      <c r="D3186" t="s">
        <v>441</v>
      </c>
      <c r="F3186">
        <v>0</v>
      </c>
      <c r="G3186">
        <v>8.65</v>
      </c>
      <c r="H3186" t="s">
        <v>8588</v>
      </c>
      <c r="I3186">
        <v>8</v>
      </c>
      <c r="J3186" t="s">
        <v>462</v>
      </c>
      <c r="K3186" t="s">
        <v>446</v>
      </c>
      <c r="M3186">
        <v>0</v>
      </c>
    </row>
    <row r="3187" spans="1:14">
      <c r="A3187">
        <v>16081033</v>
      </c>
      <c r="B3187">
        <v>4017616</v>
      </c>
      <c r="C3187" t="s">
        <v>9904</v>
      </c>
      <c r="D3187" t="s">
        <v>441</v>
      </c>
      <c r="F3187">
        <v>0</v>
      </c>
      <c r="G3187">
        <v>12.38</v>
      </c>
      <c r="H3187" t="s">
        <v>8588</v>
      </c>
      <c r="I3187">
        <v>10</v>
      </c>
      <c r="J3187" t="s">
        <v>462</v>
      </c>
      <c r="K3187" t="s">
        <v>446</v>
      </c>
      <c r="M3187">
        <v>0</v>
      </c>
      <c r="N3187" t="s">
        <v>16099</v>
      </c>
    </row>
    <row r="3188" spans="1:14">
      <c r="A3188">
        <v>16081034</v>
      </c>
      <c r="B3188">
        <v>4017655</v>
      </c>
      <c r="C3188" t="s">
        <v>1966</v>
      </c>
      <c r="D3188" t="s">
        <v>441</v>
      </c>
      <c r="F3188">
        <v>0</v>
      </c>
      <c r="G3188">
        <v>12.43</v>
      </c>
      <c r="H3188" t="s">
        <v>8588</v>
      </c>
      <c r="I3188">
        <v>12</v>
      </c>
      <c r="J3188" t="s">
        <v>462</v>
      </c>
      <c r="K3188" t="s">
        <v>446</v>
      </c>
      <c r="M3188">
        <v>0</v>
      </c>
      <c r="N3188" t="s">
        <v>16099</v>
      </c>
    </row>
    <row r="3189" spans="1:14">
      <c r="A3189">
        <v>16081528</v>
      </c>
      <c r="B3189">
        <v>3018718</v>
      </c>
      <c r="C3189" t="s">
        <v>1967</v>
      </c>
      <c r="D3189" t="s">
        <v>441</v>
      </c>
      <c r="F3189">
        <v>0</v>
      </c>
      <c r="G3189">
        <v>19.510000000000002</v>
      </c>
      <c r="H3189" t="s">
        <v>8583</v>
      </c>
      <c r="I3189">
        <v>540</v>
      </c>
      <c r="J3189" t="s">
        <v>445</v>
      </c>
      <c r="L3189">
        <v>20182</v>
      </c>
      <c r="M3189">
        <v>2502</v>
      </c>
      <c r="N3189" t="s">
        <v>16099</v>
      </c>
    </row>
    <row r="3190" spans="1:14">
      <c r="A3190">
        <v>16081900</v>
      </c>
      <c r="B3190">
        <v>3020970</v>
      </c>
      <c r="C3190" t="s">
        <v>1968</v>
      </c>
      <c r="D3190" t="s">
        <v>441</v>
      </c>
      <c r="F3190">
        <v>0</v>
      </c>
      <c r="G3190">
        <v>0</v>
      </c>
      <c r="H3190" t="s">
        <v>8584</v>
      </c>
      <c r="I3190">
        <v>6</v>
      </c>
      <c r="J3190" t="s">
        <v>445</v>
      </c>
      <c r="M3190">
        <v>6666</v>
      </c>
      <c r="N3190" t="s">
        <v>16099</v>
      </c>
    </row>
    <row r="3191" spans="1:14">
      <c r="A3191">
        <v>16081907</v>
      </c>
      <c r="B3191">
        <v>3025182</v>
      </c>
      <c r="C3191" t="s">
        <v>9905</v>
      </c>
      <c r="D3191" t="s">
        <v>441</v>
      </c>
      <c r="F3191">
        <v>0</v>
      </c>
      <c r="G3191">
        <v>0</v>
      </c>
      <c r="H3191" t="s">
        <v>8619</v>
      </c>
      <c r="I3191">
        <v>6</v>
      </c>
      <c r="J3191" t="s">
        <v>445</v>
      </c>
      <c r="K3191" t="s">
        <v>446</v>
      </c>
      <c r="M3191">
        <v>6666</v>
      </c>
      <c r="N3191" t="s">
        <v>16099</v>
      </c>
    </row>
    <row r="3192" spans="1:14">
      <c r="A3192">
        <v>16090000</v>
      </c>
      <c r="B3192">
        <v>3008807</v>
      </c>
      <c r="C3192" t="s">
        <v>9906</v>
      </c>
      <c r="D3192" t="s">
        <v>441</v>
      </c>
      <c r="F3192">
        <v>0</v>
      </c>
      <c r="G3192">
        <v>11.13</v>
      </c>
      <c r="H3192" t="s">
        <v>8580</v>
      </c>
      <c r="I3192">
        <v>6</v>
      </c>
      <c r="J3192" t="s">
        <v>445</v>
      </c>
      <c r="K3192" t="s">
        <v>446</v>
      </c>
      <c r="M3192">
        <v>0</v>
      </c>
    </row>
    <row r="3193" spans="1:14">
      <c r="A3193">
        <v>16091000</v>
      </c>
      <c r="B3193">
        <v>3017424</v>
      </c>
      <c r="C3193" t="s">
        <v>9907</v>
      </c>
      <c r="D3193" t="s">
        <v>441</v>
      </c>
      <c r="F3193">
        <v>0</v>
      </c>
      <c r="G3193">
        <v>11.13</v>
      </c>
      <c r="H3193" t="s">
        <v>8580</v>
      </c>
      <c r="I3193">
        <v>6</v>
      </c>
      <c r="J3193" t="s">
        <v>445</v>
      </c>
      <c r="K3193" t="s">
        <v>446</v>
      </c>
      <c r="M3193">
        <v>0</v>
      </c>
    </row>
    <row r="3194" spans="1:14">
      <c r="A3194">
        <v>16100000</v>
      </c>
      <c r="B3194">
        <v>3008808</v>
      </c>
      <c r="C3194" t="s">
        <v>9908</v>
      </c>
      <c r="D3194" t="s">
        <v>441</v>
      </c>
      <c r="F3194">
        <v>0</v>
      </c>
      <c r="G3194">
        <v>6.1</v>
      </c>
      <c r="H3194" t="s">
        <v>8580</v>
      </c>
      <c r="I3194">
        <v>6</v>
      </c>
      <c r="J3194" t="s">
        <v>445</v>
      </c>
      <c r="K3194" t="s">
        <v>446</v>
      </c>
      <c r="M3194">
        <v>0</v>
      </c>
    </row>
    <row r="3195" spans="1:14">
      <c r="A3195">
        <v>16100002</v>
      </c>
      <c r="B3195">
        <v>3007708</v>
      </c>
      <c r="C3195" t="s">
        <v>1969</v>
      </c>
      <c r="D3195" t="s">
        <v>441</v>
      </c>
      <c r="F3195">
        <v>0</v>
      </c>
      <c r="G3195">
        <v>6.48</v>
      </c>
      <c r="H3195" t="s">
        <v>8580</v>
      </c>
      <c r="I3195">
        <v>365</v>
      </c>
      <c r="J3195" t="s">
        <v>445</v>
      </c>
      <c r="K3195" t="s">
        <v>446</v>
      </c>
      <c r="M3195">
        <v>2501</v>
      </c>
    </row>
    <row r="3196" spans="1:14">
      <c r="A3196">
        <v>16100502</v>
      </c>
      <c r="B3196">
        <v>3007709</v>
      </c>
      <c r="C3196" t="s">
        <v>9909</v>
      </c>
      <c r="D3196" t="s">
        <v>441</v>
      </c>
      <c r="F3196">
        <v>0</v>
      </c>
      <c r="G3196">
        <v>6.16</v>
      </c>
      <c r="H3196" t="s">
        <v>8580</v>
      </c>
      <c r="I3196">
        <v>6</v>
      </c>
      <c r="J3196" t="s">
        <v>445</v>
      </c>
      <c r="K3196" t="s">
        <v>446</v>
      </c>
      <c r="M3196">
        <v>2641</v>
      </c>
    </row>
    <row r="3197" spans="1:14">
      <c r="A3197">
        <v>16100602</v>
      </c>
      <c r="B3197">
        <v>3007710</v>
      </c>
      <c r="C3197" t="s">
        <v>1970</v>
      </c>
      <c r="D3197" t="s">
        <v>441</v>
      </c>
      <c r="F3197">
        <v>0</v>
      </c>
      <c r="G3197">
        <v>6.65</v>
      </c>
      <c r="H3197" t="s">
        <v>8580</v>
      </c>
      <c r="I3197">
        <v>4</v>
      </c>
      <c r="J3197" t="s">
        <v>445</v>
      </c>
      <c r="K3197" t="s">
        <v>446</v>
      </c>
      <c r="M3197">
        <v>2511</v>
      </c>
    </row>
    <row r="3198" spans="1:14">
      <c r="A3198">
        <v>16110000</v>
      </c>
      <c r="B3198">
        <v>3006058</v>
      </c>
      <c r="C3198" t="s">
        <v>14807</v>
      </c>
      <c r="D3198" t="s">
        <v>441</v>
      </c>
      <c r="F3198">
        <v>0</v>
      </c>
      <c r="G3198">
        <v>14.3</v>
      </c>
      <c r="H3198" t="s">
        <v>8584</v>
      </c>
      <c r="I3198">
        <v>6</v>
      </c>
      <c r="J3198" t="s">
        <v>445</v>
      </c>
      <c r="M3198">
        <v>2391</v>
      </c>
      <c r="N3198" t="s">
        <v>16100</v>
      </c>
    </row>
    <row r="3199" spans="1:14">
      <c r="A3199">
        <v>16110007</v>
      </c>
      <c r="B3199">
        <v>3024923</v>
      </c>
      <c r="C3199" t="s">
        <v>9910</v>
      </c>
      <c r="D3199" t="s">
        <v>441</v>
      </c>
      <c r="F3199">
        <v>0</v>
      </c>
      <c r="G3199">
        <v>11.09</v>
      </c>
      <c r="H3199" t="s">
        <v>8580</v>
      </c>
      <c r="I3199">
        <v>6</v>
      </c>
      <c r="J3199" t="s">
        <v>445</v>
      </c>
      <c r="K3199" t="s">
        <v>446</v>
      </c>
      <c r="M3199">
        <v>3111</v>
      </c>
      <c r="N3199" t="s">
        <v>16100</v>
      </c>
    </row>
    <row r="3200" spans="1:14">
      <c r="A3200">
        <v>16110020</v>
      </c>
      <c r="B3200">
        <v>4014295</v>
      </c>
      <c r="C3200" t="s">
        <v>9911</v>
      </c>
      <c r="D3200" t="s">
        <v>441</v>
      </c>
      <c r="F3200">
        <v>0</v>
      </c>
      <c r="G3200">
        <v>11.25</v>
      </c>
      <c r="H3200" t="s">
        <v>8588</v>
      </c>
      <c r="I3200">
        <v>6</v>
      </c>
      <c r="J3200" t="s">
        <v>462</v>
      </c>
      <c r="K3200" t="s">
        <v>446</v>
      </c>
      <c r="M3200">
        <v>2641</v>
      </c>
      <c r="N3200" t="s">
        <v>16100</v>
      </c>
    </row>
    <row r="3201" spans="1:14">
      <c r="A3201">
        <v>16110053</v>
      </c>
      <c r="B3201">
        <v>4014296</v>
      </c>
      <c r="C3201" t="s">
        <v>1971</v>
      </c>
      <c r="D3201" t="s">
        <v>441</v>
      </c>
      <c r="F3201">
        <v>0</v>
      </c>
      <c r="G3201">
        <v>9.5399999999999991</v>
      </c>
      <c r="H3201" t="s">
        <v>8588</v>
      </c>
      <c r="I3201">
        <v>10</v>
      </c>
      <c r="J3201" t="s">
        <v>462</v>
      </c>
      <c r="K3201" t="s">
        <v>446</v>
      </c>
      <c r="M3201">
        <v>2612</v>
      </c>
      <c r="N3201" t="s">
        <v>16100</v>
      </c>
    </row>
    <row r="3202" spans="1:14">
      <c r="A3202">
        <v>16111000</v>
      </c>
      <c r="B3202">
        <v>3017346</v>
      </c>
      <c r="C3202" t="s">
        <v>14808</v>
      </c>
      <c r="D3202" t="s">
        <v>441</v>
      </c>
      <c r="F3202">
        <v>0</v>
      </c>
      <c r="G3202">
        <v>14.31</v>
      </c>
      <c r="H3202" t="s">
        <v>8935</v>
      </c>
      <c r="I3202">
        <v>6</v>
      </c>
      <c r="J3202" t="s">
        <v>445</v>
      </c>
      <c r="M3202">
        <v>2391</v>
      </c>
      <c r="N3202" t="s">
        <v>16100</v>
      </c>
    </row>
    <row r="3203" spans="1:14">
      <c r="A3203">
        <v>16111007</v>
      </c>
      <c r="B3203">
        <v>3024924</v>
      </c>
      <c r="C3203" t="s">
        <v>9912</v>
      </c>
      <c r="D3203" t="s">
        <v>441</v>
      </c>
      <c r="F3203">
        <v>0</v>
      </c>
      <c r="G3203">
        <v>11.09</v>
      </c>
      <c r="H3203" t="s">
        <v>8580</v>
      </c>
      <c r="I3203">
        <v>6</v>
      </c>
      <c r="J3203" t="s">
        <v>445</v>
      </c>
      <c r="K3203" t="s">
        <v>446</v>
      </c>
      <c r="M3203">
        <v>3111</v>
      </c>
      <c r="N3203" t="s">
        <v>16100</v>
      </c>
    </row>
    <row r="3204" spans="1:14">
      <c r="A3204">
        <v>16111020</v>
      </c>
      <c r="B3204">
        <v>4014297</v>
      </c>
      <c r="C3204" t="s">
        <v>9913</v>
      </c>
      <c r="D3204" t="s">
        <v>441</v>
      </c>
      <c r="F3204">
        <v>0</v>
      </c>
      <c r="G3204">
        <v>11.26</v>
      </c>
      <c r="H3204" t="s">
        <v>8588</v>
      </c>
      <c r="I3204">
        <v>6</v>
      </c>
      <c r="J3204" t="s">
        <v>462</v>
      </c>
      <c r="K3204" t="s">
        <v>446</v>
      </c>
      <c r="M3204">
        <v>2641</v>
      </c>
      <c r="N3204" t="s">
        <v>16100</v>
      </c>
    </row>
    <row r="3205" spans="1:14">
      <c r="A3205">
        <v>16111053</v>
      </c>
      <c r="B3205">
        <v>4014298</v>
      </c>
      <c r="C3205" t="s">
        <v>1972</v>
      </c>
      <c r="D3205" t="s">
        <v>441</v>
      </c>
      <c r="F3205">
        <v>0</v>
      </c>
      <c r="G3205">
        <v>13.04</v>
      </c>
      <c r="H3205" t="s">
        <v>8588</v>
      </c>
      <c r="I3205">
        <v>10</v>
      </c>
      <c r="J3205" t="s">
        <v>462</v>
      </c>
      <c r="M3205">
        <v>2612</v>
      </c>
      <c r="N3205" t="s">
        <v>16100</v>
      </c>
    </row>
    <row r="3206" spans="1:14">
      <c r="A3206">
        <v>16120000</v>
      </c>
      <c r="B3206">
        <v>3008809</v>
      </c>
      <c r="C3206" t="s">
        <v>1973</v>
      </c>
      <c r="D3206" t="s">
        <v>441</v>
      </c>
      <c r="F3206">
        <v>0</v>
      </c>
      <c r="G3206">
        <v>6.84</v>
      </c>
      <c r="H3206" t="s">
        <v>8580</v>
      </c>
      <c r="I3206">
        <v>6</v>
      </c>
      <c r="J3206" t="s">
        <v>445</v>
      </c>
      <c r="K3206" t="s">
        <v>446</v>
      </c>
      <c r="M3206">
        <v>0</v>
      </c>
    </row>
    <row r="3207" spans="1:14">
      <c r="A3207">
        <v>16120028</v>
      </c>
      <c r="B3207">
        <v>4001800</v>
      </c>
      <c r="C3207" t="s">
        <v>9914</v>
      </c>
      <c r="D3207" t="s">
        <v>441</v>
      </c>
      <c r="F3207">
        <v>0</v>
      </c>
      <c r="G3207">
        <v>7.61</v>
      </c>
      <c r="H3207" t="s">
        <v>8588</v>
      </c>
      <c r="I3207">
        <v>365</v>
      </c>
      <c r="J3207" t="s">
        <v>462</v>
      </c>
      <c r="K3207" t="s">
        <v>446</v>
      </c>
      <c r="M3207">
        <v>2501</v>
      </c>
    </row>
    <row r="3208" spans="1:14">
      <c r="A3208">
        <v>16120528</v>
      </c>
      <c r="B3208">
        <v>3007711</v>
      </c>
      <c r="C3208" t="s">
        <v>1974</v>
      </c>
      <c r="D3208" t="s">
        <v>441</v>
      </c>
      <c r="F3208">
        <v>0</v>
      </c>
      <c r="G3208">
        <v>7.34</v>
      </c>
      <c r="H3208" t="s">
        <v>8580</v>
      </c>
      <c r="I3208">
        <v>6</v>
      </c>
      <c r="J3208" t="s">
        <v>445</v>
      </c>
      <c r="K3208" t="s">
        <v>446</v>
      </c>
      <c r="M3208">
        <v>2641</v>
      </c>
    </row>
    <row r="3209" spans="1:14">
      <c r="A3209">
        <v>16130000</v>
      </c>
      <c r="B3209">
        <v>3022982</v>
      </c>
      <c r="C3209" t="s">
        <v>1975</v>
      </c>
      <c r="D3209" t="s">
        <v>441</v>
      </c>
      <c r="F3209">
        <v>0</v>
      </c>
      <c r="G3209">
        <v>15.77</v>
      </c>
      <c r="H3209" t="s">
        <v>8588</v>
      </c>
      <c r="I3209">
        <v>6</v>
      </c>
      <c r="J3209" t="s">
        <v>445</v>
      </c>
      <c r="M3209">
        <v>2391</v>
      </c>
      <c r="N3209" t="s">
        <v>16101</v>
      </c>
    </row>
    <row r="3210" spans="1:14">
      <c r="A3210">
        <v>16130002</v>
      </c>
      <c r="B3210">
        <v>3025545</v>
      </c>
      <c r="C3210" t="s">
        <v>9915</v>
      </c>
      <c r="D3210" t="s">
        <v>441</v>
      </c>
      <c r="F3210">
        <v>0</v>
      </c>
      <c r="G3210">
        <v>11.07</v>
      </c>
      <c r="H3210" t="s">
        <v>8588</v>
      </c>
      <c r="I3210">
        <v>365</v>
      </c>
      <c r="J3210" t="s">
        <v>445</v>
      </c>
      <c r="K3210" t="s">
        <v>446</v>
      </c>
      <c r="M3210">
        <v>2501</v>
      </c>
      <c r="N3210" t="s">
        <v>16102</v>
      </c>
    </row>
    <row r="3211" spans="1:14">
      <c r="A3211">
        <v>16130007</v>
      </c>
      <c r="B3211">
        <v>3024925</v>
      </c>
      <c r="C3211" t="s">
        <v>9916</v>
      </c>
      <c r="D3211" t="s">
        <v>441</v>
      </c>
      <c r="F3211">
        <v>0</v>
      </c>
      <c r="G3211">
        <v>10.83</v>
      </c>
      <c r="H3211" t="s">
        <v>8580</v>
      </c>
      <c r="I3211">
        <v>6</v>
      </c>
      <c r="J3211" t="s">
        <v>445</v>
      </c>
      <c r="K3211" t="s">
        <v>446</v>
      </c>
      <c r="M3211">
        <v>3111</v>
      </c>
      <c r="N3211" t="s">
        <v>16102</v>
      </c>
    </row>
    <row r="3212" spans="1:14">
      <c r="A3212">
        <v>16130028</v>
      </c>
      <c r="B3212">
        <v>4015151</v>
      </c>
      <c r="C3212" t="s">
        <v>9917</v>
      </c>
      <c r="D3212" t="s">
        <v>441</v>
      </c>
      <c r="F3212">
        <v>0</v>
      </c>
      <c r="G3212">
        <v>11.43</v>
      </c>
      <c r="H3212" t="s">
        <v>8588</v>
      </c>
      <c r="I3212">
        <v>365</v>
      </c>
      <c r="J3212" t="s">
        <v>462</v>
      </c>
      <c r="K3212" t="s">
        <v>446</v>
      </c>
      <c r="M3212">
        <v>2501</v>
      </c>
      <c r="N3212" t="s">
        <v>16102</v>
      </c>
    </row>
    <row r="3213" spans="1:14">
      <c r="A3213">
        <v>16130029</v>
      </c>
      <c r="B3213">
        <v>3026804</v>
      </c>
      <c r="C3213" t="s">
        <v>9918</v>
      </c>
      <c r="D3213" t="s">
        <v>441</v>
      </c>
      <c r="F3213">
        <v>0</v>
      </c>
      <c r="G3213">
        <v>9.31</v>
      </c>
      <c r="H3213" t="s">
        <v>8588</v>
      </c>
      <c r="I3213">
        <v>365</v>
      </c>
      <c r="J3213" t="s">
        <v>445</v>
      </c>
      <c r="K3213" t="s">
        <v>446</v>
      </c>
      <c r="M3213">
        <v>2501</v>
      </c>
    </row>
    <row r="3214" spans="1:14">
      <c r="A3214">
        <v>16130100</v>
      </c>
      <c r="B3214">
        <v>3022618</v>
      </c>
      <c r="C3214" t="s">
        <v>1976</v>
      </c>
      <c r="D3214" t="s">
        <v>441</v>
      </c>
      <c r="F3214">
        <v>0</v>
      </c>
      <c r="H3214" t="s">
        <v>8588</v>
      </c>
      <c r="I3214">
        <v>6</v>
      </c>
      <c r="J3214" t="s">
        <v>445</v>
      </c>
      <c r="M3214">
        <v>7161</v>
      </c>
      <c r="N3214" t="s">
        <v>16103</v>
      </c>
    </row>
    <row r="3215" spans="1:14">
      <c r="A3215">
        <v>16130502</v>
      </c>
      <c r="B3215">
        <v>3023917</v>
      </c>
      <c r="C3215" t="s">
        <v>1977</v>
      </c>
      <c r="D3215" t="s">
        <v>441</v>
      </c>
      <c r="F3215">
        <v>0</v>
      </c>
      <c r="G3215">
        <v>10.79</v>
      </c>
      <c r="H3215" t="s">
        <v>8588</v>
      </c>
      <c r="I3215">
        <v>6</v>
      </c>
      <c r="J3215" t="s">
        <v>445</v>
      </c>
      <c r="K3215" t="s">
        <v>446</v>
      </c>
      <c r="M3215">
        <v>2641</v>
      </c>
      <c r="N3215" t="s">
        <v>16102</v>
      </c>
    </row>
    <row r="3216" spans="1:14">
      <c r="A3216">
        <v>16130528</v>
      </c>
      <c r="B3216">
        <v>3022983</v>
      </c>
      <c r="C3216" t="s">
        <v>9919</v>
      </c>
      <c r="D3216" t="s">
        <v>441</v>
      </c>
      <c r="F3216">
        <v>0</v>
      </c>
      <c r="G3216">
        <v>11.24</v>
      </c>
      <c r="H3216" t="s">
        <v>8588</v>
      </c>
      <c r="I3216">
        <v>6</v>
      </c>
      <c r="J3216" t="s">
        <v>445</v>
      </c>
      <c r="K3216" t="s">
        <v>446</v>
      </c>
      <c r="M3216">
        <v>2641</v>
      </c>
      <c r="N3216" t="s">
        <v>16102</v>
      </c>
    </row>
    <row r="3217" spans="1:14">
      <c r="A3217">
        <v>16130907</v>
      </c>
      <c r="B3217">
        <v>3025185</v>
      </c>
      <c r="C3217" t="s">
        <v>9920</v>
      </c>
      <c r="D3217" t="s">
        <v>441</v>
      </c>
      <c r="F3217">
        <v>0</v>
      </c>
      <c r="G3217">
        <v>0</v>
      </c>
      <c r="H3217" t="s">
        <v>8624</v>
      </c>
      <c r="I3217">
        <v>6</v>
      </c>
      <c r="J3217" t="s">
        <v>445</v>
      </c>
      <c r="K3217" t="s">
        <v>446</v>
      </c>
      <c r="M3217">
        <v>6666</v>
      </c>
      <c r="N3217" t="s">
        <v>16102</v>
      </c>
    </row>
    <row r="3218" spans="1:14">
      <c r="A3218">
        <v>16140000</v>
      </c>
      <c r="B3218">
        <v>3022984</v>
      </c>
      <c r="C3218" t="s">
        <v>1978</v>
      </c>
      <c r="D3218" t="s">
        <v>441</v>
      </c>
      <c r="F3218">
        <v>0</v>
      </c>
      <c r="G3218">
        <v>15.77</v>
      </c>
      <c r="H3218" t="s">
        <v>8588</v>
      </c>
      <c r="I3218">
        <v>6</v>
      </c>
      <c r="J3218" t="s">
        <v>445</v>
      </c>
      <c r="M3218">
        <v>2391</v>
      </c>
      <c r="N3218" t="s">
        <v>16101</v>
      </c>
    </row>
    <row r="3219" spans="1:14">
      <c r="A3219">
        <v>16140028</v>
      </c>
      <c r="B3219">
        <v>4015152</v>
      </c>
      <c r="C3219" t="s">
        <v>9921</v>
      </c>
      <c r="D3219" t="s">
        <v>441</v>
      </c>
      <c r="F3219">
        <v>0</v>
      </c>
      <c r="G3219">
        <v>11.43</v>
      </c>
      <c r="H3219" t="s">
        <v>8588</v>
      </c>
      <c r="I3219">
        <v>365</v>
      </c>
      <c r="J3219" t="s">
        <v>462</v>
      </c>
      <c r="K3219" t="s">
        <v>446</v>
      </c>
      <c r="M3219">
        <v>2501</v>
      </c>
      <c r="N3219" t="s">
        <v>16102</v>
      </c>
    </row>
    <row r="3220" spans="1:14">
      <c r="A3220">
        <v>16140029</v>
      </c>
      <c r="B3220">
        <v>3026805</v>
      </c>
      <c r="C3220" t="s">
        <v>9922</v>
      </c>
      <c r="D3220" t="s">
        <v>441</v>
      </c>
      <c r="F3220">
        <v>0</v>
      </c>
      <c r="G3220">
        <v>9.31</v>
      </c>
      <c r="H3220" t="s">
        <v>8588</v>
      </c>
      <c r="I3220">
        <v>365</v>
      </c>
      <c r="J3220" t="s">
        <v>445</v>
      </c>
      <c r="K3220" t="s">
        <v>446</v>
      </c>
      <c r="M3220">
        <v>2501</v>
      </c>
    </row>
    <row r="3221" spans="1:14">
      <c r="A3221">
        <v>16140528</v>
      </c>
      <c r="B3221">
        <v>3022985</v>
      </c>
      <c r="C3221" t="s">
        <v>9923</v>
      </c>
      <c r="D3221" t="s">
        <v>441</v>
      </c>
      <c r="F3221">
        <v>0</v>
      </c>
      <c r="G3221">
        <v>11.24</v>
      </c>
      <c r="H3221" t="s">
        <v>8588</v>
      </c>
      <c r="I3221">
        <v>6</v>
      </c>
      <c r="J3221" t="s">
        <v>445</v>
      </c>
      <c r="K3221" t="s">
        <v>446</v>
      </c>
      <c r="M3221">
        <v>2641</v>
      </c>
      <c r="N3221" t="s">
        <v>16102</v>
      </c>
    </row>
    <row r="3222" spans="1:14">
      <c r="A3222">
        <v>16150000</v>
      </c>
      <c r="B3222">
        <v>3007712</v>
      </c>
      <c r="C3222" t="s">
        <v>1979</v>
      </c>
      <c r="D3222" t="s">
        <v>441</v>
      </c>
      <c r="F3222">
        <v>0</v>
      </c>
      <c r="G3222">
        <v>6.31</v>
      </c>
      <c r="H3222" t="s">
        <v>8580</v>
      </c>
      <c r="I3222">
        <v>6</v>
      </c>
      <c r="J3222" t="s">
        <v>445</v>
      </c>
      <c r="M3222">
        <v>2391</v>
      </c>
      <c r="N3222" t="s">
        <v>16104</v>
      </c>
    </row>
    <row r="3223" spans="1:14">
      <c r="A3223">
        <v>16150007</v>
      </c>
      <c r="B3223">
        <v>3024926</v>
      </c>
      <c r="C3223" t="s">
        <v>1980</v>
      </c>
      <c r="D3223" t="s">
        <v>441</v>
      </c>
      <c r="F3223">
        <v>0</v>
      </c>
      <c r="G3223">
        <v>6.41</v>
      </c>
      <c r="H3223" t="s">
        <v>8588</v>
      </c>
      <c r="I3223">
        <v>6</v>
      </c>
      <c r="J3223" t="s">
        <v>445</v>
      </c>
      <c r="M3223">
        <v>2391</v>
      </c>
      <c r="N3223" t="s">
        <v>16104</v>
      </c>
    </row>
    <row r="3224" spans="1:14">
      <c r="A3224">
        <v>16150020</v>
      </c>
      <c r="B3224">
        <v>4001801</v>
      </c>
      <c r="C3224" t="s">
        <v>14263</v>
      </c>
      <c r="D3224" t="s">
        <v>441</v>
      </c>
      <c r="F3224">
        <v>0</v>
      </c>
      <c r="G3224">
        <v>9.7899999999999991</v>
      </c>
      <c r="H3224" t="s">
        <v>8588</v>
      </c>
      <c r="I3224">
        <v>6</v>
      </c>
      <c r="J3224" t="s">
        <v>462</v>
      </c>
      <c r="L3224">
        <v>2082214</v>
      </c>
      <c r="M3224">
        <v>7112</v>
      </c>
      <c r="N3224" t="s">
        <v>16104</v>
      </c>
    </row>
    <row r="3225" spans="1:14">
      <c r="A3225">
        <v>16150021</v>
      </c>
      <c r="B3225">
        <v>4009884</v>
      </c>
      <c r="C3225" t="s">
        <v>9924</v>
      </c>
      <c r="D3225" t="s">
        <v>441</v>
      </c>
      <c r="F3225">
        <v>0</v>
      </c>
      <c r="G3225">
        <v>6.82</v>
      </c>
      <c r="H3225" t="s">
        <v>8588</v>
      </c>
      <c r="I3225">
        <v>6</v>
      </c>
      <c r="J3225" t="s">
        <v>462</v>
      </c>
      <c r="K3225" t="s">
        <v>446</v>
      </c>
      <c r="M3225">
        <v>2612</v>
      </c>
    </row>
    <row r="3226" spans="1:14">
      <c r="A3226">
        <v>16150022</v>
      </c>
      <c r="B3226">
        <v>4010892</v>
      </c>
      <c r="C3226" t="s">
        <v>9925</v>
      </c>
      <c r="D3226" t="s">
        <v>441</v>
      </c>
      <c r="F3226">
        <v>0</v>
      </c>
      <c r="G3226">
        <v>8.19</v>
      </c>
      <c r="H3226" t="s">
        <v>8588</v>
      </c>
      <c r="I3226">
        <v>6</v>
      </c>
      <c r="J3226" t="s">
        <v>462</v>
      </c>
      <c r="K3226" t="s">
        <v>446</v>
      </c>
      <c r="L3226">
        <v>2800461</v>
      </c>
      <c r="M3226">
        <v>2641</v>
      </c>
      <c r="N3226" t="s">
        <v>16104</v>
      </c>
    </row>
    <row r="3227" spans="1:14">
      <c r="A3227">
        <v>16150023</v>
      </c>
      <c r="B3227">
        <v>4012631</v>
      </c>
      <c r="C3227" t="s">
        <v>9926</v>
      </c>
      <c r="D3227" t="s">
        <v>441</v>
      </c>
      <c r="F3227">
        <v>0</v>
      </c>
      <c r="G3227">
        <v>7.85</v>
      </c>
      <c r="H3227" t="s">
        <v>8588</v>
      </c>
      <c r="I3227">
        <v>6</v>
      </c>
      <c r="J3227" t="s">
        <v>462</v>
      </c>
      <c r="K3227" t="s">
        <v>446</v>
      </c>
      <c r="M3227">
        <v>2641</v>
      </c>
      <c r="N3227" t="s">
        <v>16104</v>
      </c>
    </row>
    <row r="3228" spans="1:14">
      <c r="A3228">
        <v>16150025</v>
      </c>
      <c r="B3228">
        <v>4012860</v>
      </c>
      <c r="C3228" t="s">
        <v>9927</v>
      </c>
      <c r="D3228" t="s">
        <v>441</v>
      </c>
      <c r="F3228">
        <v>0</v>
      </c>
      <c r="G3228">
        <v>8.08</v>
      </c>
      <c r="H3228" t="s">
        <v>8588</v>
      </c>
      <c r="I3228">
        <v>365</v>
      </c>
      <c r="J3228" t="s">
        <v>462</v>
      </c>
      <c r="K3228" t="s">
        <v>446</v>
      </c>
      <c r="M3228">
        <v>2501</v>
      </c>
      <c r="N3228" t="s">
        <v>16104</v>
      </c>
    </row>
    <row r="3229" spans="1:14">
      <c r="A3229">
        <v>16150030</v>
      </c>
      <c r="B3229">
        <v>4015471</v>
      </c>
      <c r="C3229" t="s">
        <v>15404</v>
      </c>
      <c r="D3229" t="s">
        <v>441</v>
      </c>
      <c r="F3229">
        <v>0</v>
      </c>
      <c r="G3229">
        <v>10.130000000000001</v>
      </c>
      <c r="H3229" t="s">
        <v>8588</v>
      </c>
      <c r="I3229">
        <v>11</v>
      </c>
      <c r="J3229" t="s">
        <v>462</v>
      </c>
      <c r="M3229">
        <v>7112</v>
      </c>
      <c r="N3229" t="s">
        <v>16104</v>
      </c>
    </row>
    <row r="3230" spans="1:14">
      <c r="A3230">
        <v>16150031</v>
      </c>
      <c r="B3230">
        <v>4015638</v>
      </c>
      <c r="C3230" t="s">
        <v>15405</v>
      </c>
      <c r="D3230" t="s">
        <v>441</v>
      </c>
      <c r="F3230">
        <v>0</v>
      </c>
      <c r="G3230">
        <v>10.11</v>
      </c>
      <c r="H3230" t="s">
        <v>8588</v>
      </c>
      <c r="I3230">
        <v>10</v>
      </c>
      <c r="J3230" t="s">
        <v>462</v>
      </c>
      <c r="M3230">
        <v>7112</v>
      </c>
      <c r="N3230" t="s">
        <v>16104</v>
      </c>
    </row>
    <row r="3231" spans="1:14">
      <c r="A3231">
        <v>16150032</v>
      </c>
      <c r="B3231">
        <v>4016008</v>
      </c>
      <c r="C3231" t="s">
        <v>9928</v>
      </c>
      <c r="D3231" t="s">
        <v>441</v>
      </c>
      <c r="F3231">
        <v>0</v>
      </c>
      <c r="G3231">
        <v>8.33</v>
      </c>
      <c r="H3231" t="s">
        <v>8588</v>
      </c>
      <c r="I3231">
        <v>12</v>
      </c>
      <c r="J3231" t="s">
        <v>462</v>
      </c>
      <c r="K3231" t="s">
        <v>446</v>
      </c>
      <c r="M3231">
        <v>2612</v>
      </c>
      <c r="N3231" t="s">
        <v>16104</v>
      </c>
    </row>
    <row r="3232" spans="1:14">
      <c r="A3232">
        <v>16150033</v>
      </c>
      <c r="B3232">
        <v>4016009</v>
      </c>
      <c r="C3232" t="s">
        <v>15475</v>
      </c>
      <c r="D3232" t="s">
        <v>441</v>
      </c>
      <c r="F3232">
        <v>0</v>
      </c>
      <c r="G3232">
        <v>12.74</v>
      </c>
      <c r="H3232" t="s">
        <v>8588</v>
      </c>
      <c r="I3232">
        <v>10</v>
      </c>
      <c r="J3232" t="s">
        <v>462</v>
      </c>
      <c r="M3232">
        <v>7112</v>
      </c>
      <c r="N3232" t="s">
        <v>16104</v>
      </c>
    </row>
    <row r="3233" spans="1:14">
      <c r="A3233">
        <v>16150034</v>
      </c>
      <c r="B3233">
        <v>4018028</v>
      </c>
      <c r="C3233" t="s">
        <v>15476</v>
      </c>
      <c r="D3233" t="s">
        <v>441</v>
      </c>
      <c r="F3233">
        <v>0</v>
      </c>
      <c r="G3233">
        <v>12.8</v>
      </c>
      <c r="H3233" t="s">
        <v>8588</v>
      </c>
      <c r="I3233">
        <v>12</v>
      </c>
      <c r="J3233" t="s">
        <v>462</v>
      </c>
      <c r="M3233">
        <v>7112</v>
      </c>
      <c r="N3233" t="s">
        <v>16104</v>
      </c>
    </row>
    <row r="3234" spans="1:14">
      <c r="A3234">
        <v>16150035</v>
      </c>
      <c r="B3234">
        <v>4018498</v>
      </c>
      <c r="C3234" t="s">
        <v>15577</v>
      </c>
      <c r="D3234" t="s">
        <v>441</v>
      </c>
      <c r="F3234">
        <v>0</v>
      </c>
      <c r="G3234">
        <v>12.49</v>
      </c>
      <c r="H3234" t="s">
        <v>8588</v>
      </c>
      <c r="I3234">
        <v>7</v>
      </c>
      <c r="J3234" t="s">
        <v>462</v>
      </c>
      <c r="L3234">
        <v>100220</v>
      </c>
      <c r="M3234">
        <v>7112</v>
      </c>
      <c r="N3234" t="s">
        <v>16104</v>
      </c>
    </row>
    <row r="3235" spans="1:14">
      <c r="A3235">
        <v>16150036</v>
      </c>
      <c r="B3235">
        <v>4020379</v>
      </c>
      <c r="C3235" t="s">
        <v>9929</v>
      </c>
      <c r="D3235" t="s">
        <v>441</v>
      </c>
      <c r="F3235">
        <v>0</v>
      </c>
      <c r="G3235">
        <v>8.34</v>
      </c>
      <c r="H3235" t="s">
        <v>8588</v>
      </c>
      <c r="I3235">
        <v>7</v>
      </c>
      <c r="J3235" t="s">
        <v>462</v>
      </c>
      <c r="K3235" t="s">
        <v>446</v>
      </c>
      <c r="L3235">
        <v>100248</v>
      </c>
      <c r="M3235">
        <v>2612</v>
      </c>
      <c r="N3235" t="s">
        <v>16104</v>
      </c>
    </row>
    <row r="3236" spans="1:14">
      <c r="A3236">
        <v>16150037</v>
      </c>
      <c r="B3236">
        <v>4025020</v>
      </c>
      <c r="C3236" t="s">
        <v>15406</v>
      </c>
      <c r="D3236" t="s">
        <v>441</v>
      </c>
      <c r="F3236">
        <v>0</v>
      </c>
      <c r="G3236">
        <v>10.19</v>
      </c>
      <c r="H3236" t="s">
        <v>8588</v>
      </c>
      <c r="I3236">
        <v>10</v>
      </c>
      <c r="J3236" t="s">
        <v>462</v>
      </c>
      <c r="M3236">
        <v>7112</v>
      </c>
      <c r="N3236" t="s">
        <v>16104</v>
      </c>
    </row>
    <row r="3237" spans="1:14">
      <c r="A3237">
        <v>16150040</v>
      </c>
      <c r="B3237">
        <v>4011088</v>
      </c>
      <c r="C3237" t="s">
        <v>9930</v>
      </c>
      <c r="D3237" t="s">
        <v>441</v>
      </c>
      <c r="F3237">
        <v>0</v>
      </c>
      <c r="G3237">
        <v>7.47</v>
      </c>
      <c r="H3237" t="s">
        <v>8588</v>
      </c>
      <c r="I3237">
        <v>10</v>
      </c>
      <c r="J3237" t="s">
        <v>462</v>
      </c>
      <c r="K3237" t="s">
        <v>446</v>
      </c>
      <c r="M3237">
        <v>2612</v>
      </c>
    </row>
    <row r="3238" spans="1:14">
      <c r="A3238">
        <v>16150041</v>
      </c>
      <c r="B3238">
        <v>4014888</v>
      </c>
      <c r="C3238" t="s">
        <v>9931</v>
      </c>
      <c r="D3238" t="s">
        <v>441</v>
      </c>
      <c r="F3238">
        <v>0</v>
      </c>
      <c r="G3238">
        <v>8.19</v>
      </c>
      <c r="H3238" t="s">
        <v>8588</v>
      </c>
      <c r="I3238">
        <v>9</v>
      </c>
      <c r="J3238" t="s">
        <v>462</v>
      </c>
      <c r="K3238" t="s">
        <v>446</v>
      </c>
      <c r="M3238">
        <v>2612</v>
      </c>
      <c r="N3238" t="s">
        <v>16104</v>
      </c>
    </row>
    <row r="3239" spans="1:14">
      <c r="A3239">
        <v>16150050</v>
      </c>
      <c r="B3239">
        <v>4012652</v>
      </c>
      <c r="C3239" t="s">
        <v>9932</v>
      </c>
      <c r="D3239" t="s">
        <v>441</v>
      </c>
      <c r="F3239">
        <v>0</v>
      </c>
      <c r="G3239">
        <v>6.24</v>
      </c>
      <c r="H3239" t="s">
        <v>8588</v>
      </c>
      <c r="I3239">
        <v>10</v>
      </c>
      <c r="J3239" t="s">
        <v>462</v>
      </c>
      <c r="K3239" t="s">
        <v>446</v>
      </c>
      <c r="M3239">
        <v>2612</v>
      </c>
    </row>
    <row r="3240" spans="1:14">
      <c r="A3240">
        <v>16150525</v>
      </c>
      <c r="B3240">
        <v>3018529</v>
      </c>
      <c r="C3240" t="s">
        <v>9933</v>
      </c>
      <c r="D3240" t="s">
        <v>441</v>
      </c>
      <c r="F3240">
        <v>0</v>
      </c>
      <c r="G3240">
        <v>7.89</v>
      </c>
      <c r="H3240" t="s">
        <v>8583</v>
      </c>
      <c r="I3240">
        <v>365</v>
      </c>
      <c r="J3240" t="s">
        <v>445</v>
      </c>
      <c r="K3240" t="s">
        <v>446</v>
      </c>
      <c r="M3240">
        <v>2641</v>
      </c>
      <c r="N3240" t="s">
        <v>16104</v>
      </c>
    </row>
    <row r="3241" spans="1:14">
      <c r="A3241">
        <v>16151000</v>
      </c>
      <c r="B3241">
        <v>3017395</v>
      </c>
      <c r="C3241" t="s">
        <v>1981</v>
      </c>
      <c r="D3241" t="s">
        <v>441</v>
      </c>
      <c r="F3241">
        <v>0</v>
      </c>
      <c r="G3241">
        <v>6.31</v>
      </c>
      <c r="I3241">
        <v>6</v>
      </c>
      <c r="J3241" t="s">
        <v>445</v>
      </c>
      <c r="M3241">
        <v>2391</v>
      </c>
      <c r="N3241" t="s">
        <v>16104</v>
      </c>
    </row>
    <row r="3242" spans="1:14">
      <c r="A3242">
        <v>16151007</v>
      </c>
      <c r="B3242">
        <v>3024927</v>
      </c>
      <c r="C3242" t="s">
        <v>1982</v>
      </c>
      <c r="D3242" t="s">
        <v>441</v>
      </c>
      <c r="F3242">
        <v>0</v>
      </c>
      <c r="G3242">
        <v>9.74</v>
      </c>
      <c r="H3242" t="s">
        <v>8588</v>
      </c>
      <c r="I3242">
        <v>6</v>
      </c>
      <c r="J3242" t="s">
        <v>445</v>
      </c>
      <c r="M3242">
        <v>3111</v>
      </c>
      <c r="N3242" t="s">
        <v>16104</v>
      </c>
    </row>
    <row r="3243" spans="1:14">
      <c r="A3243">
        <v>16151020</v>
      </c>
      <c r="B3243">
        <v>4011469</v>
      </c>
      <c r="C3243" t="s">
        <v>14264</v>
      </c>
      <c r="D3243" t="s">
        <v>441</v>
      </c>
      <c r="F3243">
        <v>0</v>
      </c>
      <c r="G3243">
        <v>9.7899999999999991</v>
      </c>
      <c r="H3243" t="s">
        <v>8588</v>
      </c>
      <c r="I3243">
        <v>6</v>
      </c>
      <c r="J3243" t="s">
        <v>462</v>
      </c>
      <c r="L3243">
        <v>2082214</v>
      </c>
      <c r="M3243">
        <v>7112</v>
      </c>
      <c r="N3243" t="s">
        <v>16104</v>
      </c>
    </row>
    <row r="3244" spans="1:14">
      <c r="A3244">
        <v>16151021</v>
      </c>
      <c r="B3244">
        <v>4011984</v>
      </c>
      <c r="C3244" t="s">
        <v>9934</v>
      </c>
      <c r="D3244" t="s">
        <v>441</v>
      </c>
      <c r="F3244">
        <v>0</v>
      </c>
      <c r="G3244">
        <v>6.23</v>
      </c>
      <c r="H3244" t="s">
        <v>8588</v>
      </c>
      <c r="I3244">
        <v>6</v>
      </c>
      <c r="J3244" t="s">
        <v>462</v>
      </c>
      <c r="K3244" t="s">
        <v>446</v>
      </c>
      <c r="M3244">
        <v>2612</v>
      </c>
    </row>
    <row r="3245" spans="1:14">
      <c r="A3245">
        <v>16151022</v>
      </c>
      <c r="B3245">
        <v>4012125</v>
      </c>
      <c r="C3245" t="s">
        <v>9935</v>
      </c>
      <c r="D3245" t="s">
        <v>441</v>
      </c>
      <c r="F3245">
        <v>0</v>
      </c>
      <c r="G3245">
        <v>7.45</v>
      </c>
      <c r="H3245" t="s">
        <v>8588</v>
      </c>
      <c r="I3245">
        <v>6</v>
      </c>
      <c r="J3245" t="s">
        <v>462</v>
      </c>
      <c r="M3245">
        <v>2641</v>
      </c>
    </row>
    <row r="3246" spans="1:14">
      <c r="A3246">
        <v>16151023</v>
      </c>
      <c r="B3246">
        <v>4012632</v>
      </c>
      <c r="C3246" t="s">
        <v>9936</v>
      </c>
      <c r="D3246" t="s">
        <v>441</v>
      </c>
      <c r="F3246">
        <v>0</v>
      </c>
      <c r="G3246">
        <v>6.44</v>
      </c>
      <c r="H3246" t="s">
        <v>8588</v>
      </c>
      <c r="I3246">
        <v>6</v>
      </c>
      <c r="J3246" t="s">
        <v>462</v>
      </c>
      <c r="K3246" t="s">
        <v>446</v>
      </c>
      <c r="M3246">
        <v>2641</v>
      </c>
    </row>
    <row r="3247" spans="1:14">
      <c r="A3247">
        <v>16151031</v>
      </c>
      <c r="B3247">
        <v>4015639</v>
      </c>
      <c r="C3247" t="s">
        <v>15407</v>
      </c>
      <c r="D3247" t="s">
        <v>441</v>
      </c>
      <c r="F3247">
        <v>0</v>
      </c>
      <c r="G3247">
        <v>10.11</v>
      </c>
      <c r="H3247" t="s">
        <v>8588</v>
      </c>
      <c r="I3247">
        <v>10</v>
      </c>
      <c r="J3247" t="s">
        <v>462</v>
      </c>
      <c r="M3247">
        <v>7112</v>
      </c>
      <c r="N3247" t="s">
        <v>16104</v>
      </c>
    </row>
    <row r="3248" spans="1:14">
      <c r="A3248">
        <v>16151036</v>
      </c>
      <c r="B3248">
        <v>4020420</v>
      </c>
      <c r="C3248" t="s">
        <v>9937</v>
      </c>
      <c r="D3248" t="s">
        <v>441</v>
      </c>
      <c r="F3248">
        <v>0</v>
      </c>
      <c r="G3248">
        <v>8.34</v>
      </c>
      <c r="H3248" t="s">
        <v>8588</v>
      </c>
      <c r="I3248">
        <v>7</v>
      </c>
      <c r="J3248" t="s">
        <v>462</v>
      </c>
      <c r="K3248" t="s">
        <v>446</v>
      </c>
      <c r="L3248">
        <v>100248</v>
      </c>
      <c r="M3248">
        <v>2612</v>
      </c>
      <c r="N3248" t="s">
        <v>16104</v>
      </c>
    </row>
    <row r="3249" spans="1:14">
      <c r="A3249">
        <v>16151040</v>
      </c>
      <c r="B3249">
        <v>4012146</v>
      </c>
      <c r="C3249" t="s">
        <v>9938</v>
      </c>
      <c r="D3249" t="s">
        <v>441</v>
      </c>
      <c r="F3249">
        <v>0</v>
      </c>
      <c r="G3249">
        <v>7.46</v>
      </c>
      <c r="H3249" t="s">
        <v>8588</v>
      </c>
      <c r="I3249">
        <v>10</v>
      </c>
      <c r="J3249" t="s">
        <v>462</v>
      </c>
      <c r="K3249" t="s">
        <v>446</v>
      </c>
      <c r="M3249">
        <v>2612</v>
      </c>
    </row>
    <row r="3250" spans="1:14">
      <c r="A3250">
        <v>16151041</v>
      </c>
      <c r="B3250">
        <v>4014889</v>
      </c>
      <c r="C3250" t="s">
        <v>9939</v>
      </c>
      <c r="D3250" t="s">
        <v>441</v>
      </c>
      <c r="F3250">
        <v>0</v>
      </c>
      <c r="G3250">
        <v>8.1999999999999993</v>
      </c>
      <c r="H3250" t="s">
        <v>8588</v>
      </c>
      <c r="I3250">
        <v>10</v>
      </c>
      <c r="J3250" t="s">
        <v>462</v>
      </c>
      <c r="K3250" t="s">
        <v>446</v>
      </c>
      <c r="M3250">
        <v>2612</v>
      </c>
      <c r="N3250" t="s">
        <v>16104</v>
      </c>
    </row>
    <row r="3251" spans="1:14">
      <c r="A3251">
        <v>16151050</v>
      </c>
      <c r="B3251">
        <v>4012653</v>
      </c>
      <c r="C3251" t="s">
        <v>9940</v>
      </c>
      <c r="D3251" t="s">
        <v>441</v>
      </c>
      <c r="F3251">
        <v>0</v>
      </c>
      <c r="G3251">
        <v>6.24</v>
      </c>
      <c r="H3251" t="s">
        <v>8588</v>
      </c>
      <c r="I3251">
        <v>10</v>
      </c>
      <c r="J3251" t="s">
        <v>462</v>
      </c>
      <c r="K3251" t="s">
        <v>446</v>
      </c>
      <c r="M3251">
        <v>2612</v>
      </c>
    </row>
    <row r="3252" spans="1:14">
      <c r="A3252">
        <v>16153000</v>
      </c>
      <c r="B3252">
        <v>3007713</v>
      </c>
      <c r="C3252" t="s">
        <v>9941</v>
      </c>
      <c r="D3252" t="s">
        <v>441</v>
      </c>
      <c r="F3252">
        <v>0</v>
      </c>
      <c r="G3252">
        <v>6.6</v>
      </c>
      <c r="H3252" t="s">
        <v>8580</v>
      </c>
      <c r="I3252">
        <v>6</v>
      </c>
      <c r="J3252" t="s">
        <v>445</v>
      </c>
      <c r="K3252" t="s">
        <v>446</v>
      </c>
      <c r="M3252">
        <v>2390</v>
      </c>
    </row>
    <row r="3253" spans="1:14">
      <c r="A3253">
        <v>16154000</v>
      </c>
      <c r="B3253">
        <v>3035866</v>
      </c>
      <c r="C3253" t="s">
        <v>1983</v>
      </c>
      <c r="D3253" t="s">
        <v>441</v>
      </c>
      <c r="F3253">
        <v>0</v>
      </c>
      <c r="G3253">
        <v>6.31</v>
      </c>
      <c r="H3253" t="s">
        <v>8549</v>
      </c>
      <c r="I3253">
        <v>6</v>
      </c>
      <c r="J3253" t="s">
        <v>445</v>
      </c>
      <c r="M3253">
        <v>2391</v>
      </c>
      <c r="N3253" t="s">
        <v>16104</v>
      </c>
    </row>
    <row r="3254" spans="1:14">
      <c r="A3254">
        <v>16154007</v>
      </c>
      <c r="B3254">
        <v>3035859</v>
      </c>
      <c r="C3254" t="s">
        <v>1984</v>
      </c>
      <c r="D3254" t="s">
        <v>441</v>
      </c>
      <c r="F3254">
        <v>0</v>
      </c>
      <c r="G3254">
        <v>6.41</v>
      </c>
      <c r="H3254" t="s">
        <v>8549</v>
      </c>
      <c r="I3254">
        <v>6</v>
      </c>
      <c r="J3254" t="s">
        <v>445</v>
      </c>
      <c r="M3254">
        <v>2391</v>
      </c>
      <c r="N3254" t="s">
        <v>16104</v>
      </c>
    </row>
    <row r="3255" spans="1:14">
      <c r="A3255">
        <v>16155000</v>
      </c>
      <c r="B3255">
        <v>3035220</v>
      </c>
      <c r="C3255" t="s">
        <v>1985</v>
      </c>
      <c r="D3255" t="s">
        <v>441</v>
      </c>
      <c r="F3255">
        <v>0</v>
      </c>
      <c r="G3255">
        <v>6.31</v>
      </c>
      <c r="H3255" t="s">
        <v>8637</v>
      </c>
      <c r="I3255">
        <v>6</v>
      </c>
      <c r="J3255" t="s">
        <v>445</v>
      </c>
      <c r="M3255">
        <v>2391</v>
      </c>
      <c r="N3255" t="s">
        <v>16104</v>
      </c>
    </row>
    <row r="3256" spans="1:14">
      <c r="A3256">
        <v>16155020</v>
      </c>
      <c r="B3256">
        <v>4023852</v>
      </c>
      <c r="C3256" t="s">
        <v>14265</v>
      </c>
      <c r="D3256" t="s">
        <v>441</v>
      </c>
      <c r="F3256">
        <v>0</v>
      </c>
      <c r="G3256">
        <v>9.74</v>
      </c>
      <c r="H3256" t="s">
        <v>8588</v>
      </c>
      <c r="I3256">
        <v>6</v>
      </c>
      <c r="J3256" t="s">
        <v>462</v>
      </c>
      <c r="L3256">
        <v>2082214</v>
      </c>
      <c r="M3256">
        <v>7112</v>
      </c>
      <c r="N3256" t="s">
        <v>16104</v>
      </c>
    </row>
    <row r="3257" spans="1:14">
      <c r="A3257">
        <v>16160000</v>
      </c>
      <c r="B3257">
        <v>3022986</v>
      </c>
      <c r="C3257" t="s">
        <v>1986</v>
      </c>
      <c r="D3257" t="s">
        <v>441</v>
      </c>
      <c r="F3257">
        <v>0</v>
      </c>
      <c r="G3257">
        <v>15.77</v>
      </c>
      <c r="H3257" t="s">
        <v>8588</v>
      </c>
      <c r="I3257">
        <v>6</v>
      </c>
      <c r="J3257" t="s">
        <v>445</v>
      </c>
      <c r="M3257">
        <v>2391</v>
      </c>
      <c r="N3257" t="s">
        <v>16101</v>
      </c>
    </row>
    <row r="3258" spans="1:14">
      <c r="A3258">
        <v>16160028</v>
      </c>
      <c r="B3258">
        <v>4015153</v>
      </c>
      <c r="C3258" t="s">
        <v>9942</v>
      </c>
      <c r="D3258" t="s">
        <v>441</v>
      </c>
      <c r="F3258">
        <v>0</v>
      </c>
      <c r="G3258">
        <v>11.43</v>
      </c>
      <c r="H3258" t="s">
        <v>8588</v>
      </c>
      <c r="I3258">
        <v>365</v>
      </c>
      <c r="J3258" t="s">
        <v>462</v>
      </c>
      <c r="K3258" t="s">
        <v>446</v>
      </c>
      <c r="M3258">
        <v>2501</v>
      </c>
      <c r="N3258" t="s">
        <v>16102</v>
      </c>
    </row>
    <row r="3259" spans="1:14">
      <c r="A3259">
        <v>16160528</v>
      </c>
      <c r="B3259">
        <v>3022987</v>
      </c>
      <c r="C3259" t="s">
        <v>9943</v>
      </c>
      <c r="D3259" t="s">
        <v>441</v>
      </c>
      <c r="F3259">
        <v>0</v>
      </c>
      <c r="G3259">
        <v>11.24</v>
      </c>
      <c r="H3259" t="s">
        <v>8588</v>
      </c>
      <c r="I3259">
        <v>6</v>
      </c>
      <c r="J3259" t="s">
        <v>445</v>
      </c>
      <c r="K3259" t="s">
        <v>446</v>
      </c>
      <c r="M3259">
        <v>2641</v>
      </c>
      <c r="N3259" t="s">
        <v>16102</v>
      </c>
    </row>
    <row r="3260" spans="1:14">
      <c r="A3260">
        <v>16170000</v>
      </c>
      <c r="B3260">
        <v>3007716</v>
      </c>
      <c r="C3260" t="s">
        <v>1987</v>
      </c>
      <c r="D3260" t="s">
        <v>441</v>
      </c>
      <c r="F3260">
        <v>0</v>
      </c>
      <c r="G3260">
        <v>6.63</v>
      </c>
      <c r="H3260" t="s">
        <v>8637</v>
      </c>
      <c r="I3260">
        <v>6</v>
      </c>
      <c r="J3260" t="s">
        <v>445</v>
      </c>
      <c r="K3260" t="s">
        <v>446</v>
      </c>
      <c r="M3260">
        <v>0</v>
      </c>
    </row>
    <row r="3261" spans="1:14">
      <c r="A3261">
        <v>16170002</v>
      </c>
      <c r="B3261">
        <v>3009108</v>
      </c>
      <c r="C3261" t="s">
        <v>9944</v>
      </c>
      <c r="D3261" t="s">
        <v>441</v>
      </c>
      <c r="F3261">
        <v>0</v>
      </c>
      <c r="G3261">
        <v>7.89</v>
      </c>
      <c r="H3261" t="s">
        <v>8588</v>
      </c>
      <c r="I3261">
        <v>365</v>
      </c>
      <c r="J3261" t="s">
        <v>445</v>
      </c>
      <c r="K3261" t="s">
        <v>446</v>
      </c>
      <c r="M3261">
        <v>7113</v>
      </c>
    </row>
    <row r="3262" spans="1:14">
      <c r="A3262">
        <v>16170502</v>
      </c>
      <c r="B3262">
        <v>3009107</v>
      </c>
      <c r="C3262" t="s">
        <v>9945</v>
      </c>
      <c r="D3262" t="s">
        <v>441</v>
      </c>
      <c r="F3262">
        <v>0</v>
      </c>
      <c r="G3262">
        <v>6.72</v>
      </c>
      <c r="H3262" t="s">
        <v>8580</v>
      </c>
      <c r="I3262">
        <v>6</v>
      </c>
      <c r="J3262" t="s">
        <v>445</v>
      </c>
      <c r="K3262" t="s">
        <v>446</v>
      </c>
      <c r="M3262">
        <v>2501</v>
      </c>
    </row>
    <row r="3263" spans="1:14">
      <c r="A3263">
        <v>16170602</v>
      </c>
      <c r="B3263">
        <v>3009371</v>
      </c>
      <c r="C3263" t="s">
        <v>9946</v>
      </c>
      <c r="D3263" t="s">
        <v>441</v>
      </c>
      <c r="F3263">
        <v>0</v>
      </c>
      <c r="G3263">
        <v>8.01</v>
      </c>
      <c r="I3263">
        <v>4</v>
      </c>
      <c r="J3263" t="s">
        <v>445</v>
      </c>
      <c r="K3263" t="s">
        <v>446</v>
      </c>
      <c r="M3263">
        <v>2511</v>
      </c>
    </row>
    <row r="3264" spans="1:14">
      <c r="A3264">
        <v>16173000</v>
      </c>
      <c r="B3264">
        <v>3007717</v>
      </c>
      <c r="C3264" t="s">
        <v>1988</v>
      </c>
      <c r="D3264" t="s">
        <v>441</v>
      </c>
      <c r="F3264">
        <v>0</v>
      </c>
      <c r="G3264">
        <v>7.11</v>
      </c>
      <c r="I3264">
        <v>6</v>
      </c>
      <c r="J3264" t="s">
        <v>445</v>
      </c>
      <c r="K3264" t="s">
        <v>446</v>
      </c>
      <c r="M3264">
        <v>2390</v>
      </c>
    </row>
    <row r="3265" spans="1:14">
      <c r="A3265">
        <v>16180000</v>
      </c>
      <c r="B3265">
        <v>3023174</v>
      </c>
      <c r="C3265" t="s">
        <v>1989</v>
      </c>
      <c r="D3265" t="s">
        <v>441</v>
      </c>
      <c r="F3265">
        <v>0</v>
      </c>
      <c r="G3265">
        <v>15.77</v>
      </c>
      <c r="H3265" t="s">
        <v>8588</v>
      </c>
      <c r="I3265">
        <v>6</v>
      </c>
      <c r="J3265" t="s">
        <v>445</v>
      </c>
      <c r="M3265">
        <v>2391</v>
      </c>
      <c r="N3265" t="s">
        <v>16101</v>
      </c>
    </row>
    <row r="3266" spans="1:14">
      <c r="A3266">
        <v>16180007</v>
      </c>
      <c r="B3266">
        <v>3024928</v>
      </c>
      <c r="C3266" t="s">
        <v>14266</v>
      </c>
      <c r="D3266" t="s">
        <v>441</v>
      </c>
      <c r="F3266">
        <v>0</v>
      </c>
      <c r="G3266">
        <v>15.93</v>
      </c>
      <c r="H3266" t="s">
        <v>8584</v>
      </c>
      <c r="I3266">
        <v>6</v>
      </c>
      <c r="J3266" t="s">
        <v>445</v>
      </c>
      <c r="M3266">
        <v>3111</v>
      </c>
      <c r="N3266" t="s">
        <v>16101</v>
      </c>
    </row>
    <row r="3267" spans="1:14">
      <c r="A3267">
        <v>16180028</v>
      </c>
      <c r="B3267">
        <v>4015289</v>
      </c>
      <c r="C3267" t="s">
        <v>9947</v>
      </c>
      <c r="D3267" t="s">
        <v>441</v>
      </c>
      <c r="F3267">
        <v>0</v>
      </c>
      <c r="G3267">
        <v>11.43</v>
      </c>
      <c r="H3267" t="s">
        <v>8588</v>
      </c>
      <c r="I3267">
        <v>365</v>
      </c>
      <c r="J3267" t="s">
        <v>462</v>
      </c>
      <c r="K3267" t="s">
        <v>446</v>
      </c>
      <c r="M3267">
        <v>2501</v>
      </c>
      <c r="N3267" t="s">
        <v>16102</v>
      </c>
    </row>
    <row r="3268" spans="1:14">
      <c r="A3268">
        <v>16180030</v>
      </c>
      <c r="B3268">
        <v>4016218</v>
      </c>
      <c r="C3268" t="s">
        <v>15477</v>
      </c>
      <c r="D3268" t="s">
        <v>441</v>
      </c>
      <c r="F3268">
        <v>0</v>
      </c>
      <c r="G3268">
        <v>17.3</v>
      </c>
      <c r="H3268" t="s">
        <v>8588</v>
      </c>
      <c r="I3268">
        <v>10</v>
      </c>
      <c r="J3268" t="s">
        <v>462</v>
      </c>
      <c r="M3268">
        <v>7112</v>
      </c>
      <c r="N3268" t="s">
        <v>16103</v>
      </c>
    </row>
    <row r="3269" spans="1:14">
      <c r="A3269">
        <v>16180040</v>
      </c>
      <c r="B3269">
        <v>4020383</v>
      </c>
      <c r="C3269" t="s">
        <v>9948</v>
      </c>
      <c r="D3269" t="s">
        <v>441</v>
      </c>
      <c r="F3269">
        <v>0</v>
      </c>
      <c r="G3269">
        <v>12.53</v>
      </c>
      <c r="H3269" t="s">
        <v>8588</v>
      </c>
      <c r="I3269">
        <v>13</v>
      </c>
      <c r="J3269" t="s">
        <v>462</v>
      </c>
      <c r="K3269" t="s">
        <v>446</v>
      </c>
      <c r="M3269">
        <v>2612</v>
      </c>
      <c r="N3269" t="s">
        <v>16102</v>
      </c>
    </row>
    <row r="3270" spans="1:14">
      <c r="A3270">
        <v>16180041</v>
      </c>
      <c r="B3270">
        <v>4020443</v>
      </c>
      <c r="C3270" t="s">
        <v>9949</v>
      </c>
      <c r="D3270" t="s">
        <v>441</v>
      </c>
      <c r="F3270">
        <v>0</v>
      </c>
      <c r="G3270">
        <v>12.55</v>
      </c>
      <c r="H3270" t="s">
        <v>8588</v>
      </c>
      <c r="I3270">
        <v>12</v>
      </c>
      <c r="J3270" t="s">
        <v>462</v>
      </c>
      <c r="K3270" t="s">
        <v>446</v>
      </c>
      <c r="M3270">
        <v>2612</v>
      </c>
      <c r="N3270" t="s">
        <v>16102</v>
      </c>
    </row>
    <row r="3271" spans="1:14">
      <c r="A3271">
        <v>16180042</v>
      </c>
      <c r="B3271">
        <v>4020444</v>
      </c>
      <c r="C3271" t="s">
        <v>1990</v>
      </c>
      <c r="D3271" t="s">
        <v>441</v>
      </c>
      <c r="F3271">
        <v>0</v>
      </c>
      <c r="G3271">
        <v>12.6</v>
      </c>
      <c r="H3271" t="s">
        <v>8588</v>
      </c>
      <c r="I3271">
        <v>12</v>
      </c>
      <c r="J3271" t="s">
        <v>462</v>
      </c>
      <c r="K3271" t="s">
        <v>446</v>
      </c>
      <c r="M3271">
        <v>2612</v>
      </c>
      <c r="N3271" t="s">
        <v>16102</v>
      </c>
    </row>
    <row r="3272" spans="1:14">
      <c r="A3272">
        <v>16180043</v>
      </c>
      <c r="B3272">
        <v>4020810</v>
      </c>
      <c r="C3272" t="s">
        <v>9950</v>
      </c>
      <c r="D3272" t="s">
        <v>441</v>
      </c>
      <c r="F3272">
        <v>0</v>
      </c>
      <c r="G3272">
        <v>12.56</v>
      </c>
      <c r="H3272" t="s">
        <v>8588</v>
      </c>
      <c r="I3272">
        <v>13</v>
      </c>
      <c r="J3272" t="s">
        <v>462</v>
      </c>
      <c r="K3272" t="s">
        <v>446</v>
      </c>
      <c r="M3272">
        <v>2612</v>
      </c>
      <c r="N3272" t="s">
        <v>16102</v>
      </c>
    </row>
    <row r="3273" spans="1:14">
      <c r="A3273">
        <v>16180050</v>
      </c>
      <c r="B3273">
        <v>4017434</v>
      </c>
      <c r="C3273" t="s">
        <v>9951</v>
      </c>
      <c r="D3273" t="s">
        <v>441</v>
      </c>
      <c r="F3273">
        <v>0</v>
      </c>
      <c r="G3273">
        <v>13.17</v>
      </c>
      <c r="H3273" t="s">
        <v>8588</v>
      </c>
      <c r="I3273">
        <v>12</v>
      </c>
      <c r="J3273" t="s">
        <v>462</v>
      </c>
      <c r="K3273" t="s">
        <v>446</v>
      </c>
      <c r="M3273">
        <v>2612</v>
      </c>
      <c r="N3273" t="s">
        <v>16102</v>
      </c>
    </row>
    <row r="3274" spans="1:14">
      <c r="A3274">
        <v>16180054</v>
      </c>
      <c r="B3274">
        <v>4015481</v>
      </c>
      <c r="C3274" t="s">
        <v>9952</v>
      </c>
      <c r="D3274" t="s">
        <v>441</v>
      </c>
      <c r="F3274">
        <v>0</v>
      </c>
      <c r="G3274">
        <v>10.98</v>
      </c>
      <c r="H3274" t="s">
        <v>8588</v>
      </c>
      <c r="I3274">
        <v>10</v>
      </c>
      <c r="J3274" t="s">
        <v>462</v>
      </c>
      <c r="K3274" t="s">
        <v>446</v>
      </c>
      <c r="M3274">
        <v>2612</v>
      </c>
      <c r="N3274" t="s">
        <v>16103</v>
      </c>
    </row>
    <row r="3275" spans="1:14">
      <c r="A3275">
        <v>16180055</v>
      </c>
      <c r="B3275">
        <v>4015775</v>
      </c>
      <c r="C3275" t="s">
        <v>9953</v>
      </c>
      <c r="D3275" t="s">
        <v>441</v>
      </c>
      <c r="F3275">
        <v>0</v>
      </c>
      <c r="G3275">
        <v>13.38</v>
      </c>
      <c r="H3275" t="s">
        <v>8588</v>
      </c>
      <c r="I3275">
        <v>10</v>
      </c>
      <c r="J3275" t="s">
        <v>462</v>
      </c>
      <c r="K3275" t="s">
        <v>446</v>
      </c>
      <c r="L3275">
        <v>2615000</v>
      </c>
      <c r="M3275">
        <v>2612</v>
      </c>
      <c r="N3275" t="s">
        <v>16103</v>
      </c>
    </row>
    <row r="3276" spans="1:14">
      <c r="A3276">
        <v>16180056</v>
      </c>
      <c r="B3276">
        <v>4018957</v>
      </c>
      <c r="C3276" t="s">
        <v>9954</v>
      </c>
      <c r="D3276" t="s">
        <v>441</v>
      </c>
      <c r="F3276">
        <v>0</v>
      </c>
      <c r="G3276">
        <v>13.03</v>
      </c>
      <c r="H3276" t="s">
        <v>8588</v>
      </c>
      <c r="I3276">
        <v>540</v>
      </c>
      <c r="J3276" t="s">
        <v>462</v>
      </c>
      <c r="K3276" t="s">
        <v>446</v>
      </c>
      <c r="M3276">
        <v>2501</v>
      </c>
      <c r="N3276" t="s">
        <v>16102</v>
      </c>
    </row>
    <row r="3277" spans="1:14">
      <c r="A3277">
        <v>16180057</v>
      </c>
      <c r="B3277">
        <v>4018970</v>
      </c>
      <c r="C3277" t="s">
        <v>9955</v>
      </c>
      <c r="D3277" t="s">
        <v>441</v>
      </c>
      <c r="F3277">
        <v>0</v>
      </c>
      <c r="G3277">
        <v>12.56</v>
      </c>
      <c r="H3277" t="s">
        <v>8588</v>
      </c>
      <c r="I3277">
        <v>12</v>
      </c>
      <c r="J3277" t="s">
        <v>462</v>
      </c>
      <c r="K3277" t="s">
        <v>446</v>
      </c>
      <c r="M3277">
        <v>2612</v>
      </c>
      <c r="N3277" t="s">
        <v>16102</v>
      </c>
    </row>
    <row r="3278" spans="1:14">
      <c r="A3278">
        <v>16180058</v>
      </c>
      <c r="B3278">
        <v>4019257</v>
      </c>
      <c r="C3278" t="s">
        <v>1991</v>
      </c>
      <c r="D3278" t="s">
        <v>441</v>
      </c>
      <c r="F3278">
        <v>0</v>
      </c>
      <c r="G3278">
        <v>10.69</v>
      </c>
      <c r="H3278" t="s">
        <v>8588</v>
      </c>
      <c r="I3278">
        <v>12</v>
      </c>
      <c r="J3278" t="s">
        <v>462</v>
      </c>
      <c r="K3278" t="s">
        <v>446</v>
      </c>
      <c r="M3278">
        <v>2612</v>
      </c>
    </row>
    <row r="3279" spans="1:14">
      <c r="A3279">
        <v>16180059</v>
      </c>
      <c r="B3279">
        <v>4019324</v>
      </c>
      <c r="C3279" t="s">
        <v>9956</v>
      </c>
      <c r="D3279" t="s">
        <v>441</v>
      </c>
      <c r="F3279">
        <v>0</v>
      </c>
      <c r="G3279">
        <v>12.51</v>
      </c>
      <c r="H3279" t="s">
        <v>8588</v>
      </c>
      <c r="I3279">
        <v>12</v>
      </c>
      <c r="J3279" t="s">
        <v>462</v>
      </c>
      <c r="K3279" t="s">
        <v>446</v>
      </c>
      <c r="M3279">
        <v>2612</v>
      </c>
      <c r="N3279" t="s">
        <v>16102</v>
      </c>
    </row>
    <row r="3280" spans="1:14">
      <c r="A3280">
        <v>16180075</v>
      </c>
      <c r="B3280">
        <v>3026500</v>
      </c>
      <c r="C3280" t="s">
        <v>1992</v>
      </c>
      <c r="D3280" t="s">
        <v>441</v>
      </c>
      <c r="F3280">
        <v>0</v>
      </c>
      <c r="G3280">
        <v>16.02</v>
      </c>
      <c r="H3280" t="s">
        <v>8549</v>
      </c>
      <c r="I3280">
        <v>6</v>
      </c>
      <c r="J3280" t="s">
        <v>445</v>
      </c>
      <c r="M3280">
        <v>7112</v>
      </c>
      <c r="N3280" t="s">
        <v>16101</v>
      </c>
    </row>
    <row r="3281" spans="1:14">
      <c r="A3281">
        <v>16180100</v>
      </c>
      <c r="B3281">
        <v>3026473</v>
      </c>
      <c r="C3281" t="s">
        <v>1993</v>
      </c>
      <c r="D3281" t="s">
        <v>441</v>
      </c>
      <c r="F3281">
        <v>0</v>
      </c>
      <c r="H3281" t="s">
        <v>8588</v>
      </c>
      <c r="I3281">
        <v>6</v>
      </c>
      <c r="J3281" t="s">
        <v>445</v>
      </c>
      <c r="M3281">
        <v>7161</v>
      </c>
      <c r="N3281" t="s">
        <v>16101</v>
      </c>
    </row>
    <row r="3282" spans="1:14">
      <c r="A3282">
        <v>16180110</v>
      </c>
      <c r="B3282">
        <v>3031568</v>
      </c>
      <c r="C3282" t="s">
        <v>1994</v>
      </c>
      <c r="D3282" t="s">
        <v>441</v>
      </c>
      <c r="F3282">
        <v>0</v>
      </c>
      <c r="H3282" t="s">
        <v>8549</v>
      </c>
      <c r="I3282">
        <v>6</v>
      </c>
      <c r="J3282" t="s">
        <v>445</v>
      </c>
      <c r="M3282">
        <v>7161</v>
      </c>
      <c r="N3282" t="s">
        <v>16101</v>
      </c>
    </row>
    <row r="3283" spans="1:14">
      <c r="A3283">
        <v>16180120</v>
      </c>
      <c r="B3283">
        <v>3031837</v>
      </c>
      <c r="C3283" t="s">
        <v>1995</v>
      </c>
      <c r="D3283" t="s">
        <v>441</v>
      </c>
      <c r="F3283">
        <v>0</v>
      </c>
      <c r="H3283" t="s">
        <v>8588</v>
      </c>
      <c r="I3283">
        <v>6</v>
      </c>
      <c r="J3283" t="s">
        <v>445</v>
      </c>
      <c r="K3283" t="s">
        <v>446</v>
      </c>
      <c r="M3283">
        <v>0</v>
      </c>
      <c r="N3283" t="s">
        <v>16102</v>
      </c>
    </row>
    <row r="3284" spans="1:14">
      <c r="A3284">
        <v>16180528</v>
      </c>
      <c r="B3284">
        <v>3023175</v>
      </c>
      <c r="C3284" t="s">
        <v>9957</v>
      </c>
      <c r="D3284" t="s">
        <v>441</v>
      </c>
      <c r="F3284">
        <v>0</v>
      </c>
      <c r="G3284">
        <v>11.24</v>
      </c>
      <c r="H3284" t="s">
        <v>8588</v>
      </c>
      <c r="I3284">
        <v>6</v>
      </c>
      <c r="J3284" t="s">
        <v>445</v>
      </c>
      <c r="K3284" t="s">
        <v>446</v>
      </c>
      <c r="M3284">
        <v>2641</v>
      </c>
      <c r="N3284" t="s">
        <v>16102</v>
      </c>
    </row>
    <row r="3285" spans="1:14">
      <c r="A3285">
        <v>16180556</v>
      </c>
      <c r="B3285">
        <v>3028566</v>
      </c>
      <c r="C3285" t="s">
        <v>1996</v>
      </c>
      <c r="D3285" t="s">
        <v>441</v>
      </c>
      <c r="F3285">
        <v>0</v>
      </c>
      <c r="G3285">
        <v>12.77</v>
      </c>
      <c r="H3285" t="s">
        <v>8588</v>
      </c>
      <c r="I3285">
        <v>540</v>
      </c>
      <c r="J3285" t="s">
        <v>445</v>
      </c>
      <c r="K3285" t="s">
        <v>446</v>
      </c>
      <c r="M3285">
        <v>2612</v>
      </c>
      <c r="N3285" t="s">
        <v>16102</v>
      </c>
    </row>
    <row r="3286" spans="1:14">
      <c r="A3286">
        <v>16180907</v>
      </c>
      <c r="B3286">
        <v>3025188</v>
      </c>
      <c r="C3286" t="s">
        <v>14267</v>
      </c>
      <c r="D3286" t="s">
        <v>441</v>
      </c>
      <c r="F3286">
        <v>0</v>
      </c>
      <c r="G3286">
        <v>0</v>
      </c>
      <c r="H3286" t="s">
        <v>8584</v>
      </c>
      <c r="I3286">
        <v>6</v>
      </c>
      <c r="J3286" t="s">
        <v>445</v>
      </c>
      <c r="M3286">
        <v>6666</v>
      </c>
      <c r="N3286" t="s">
        <v>16101</v>
      </c>
    </row>
    <row r="3287" spans="1:14">
      <c r="A3287">
        <v>16181040</v>
      </c>
      <c r="B3287">
        <v>4020339</v>
      </c>
      <c r="C3287" t="s">
        <v>9958</v>
      </c>
      <c r="D3287" t="s">
        <v>441</v>
      </c>
      <c r="F3287">
        <v>0</v>
      </c>
      <c r="G3287">
        <v>14.49</v>
      </c>
      <c r="H3287" t="s">
        <v>8588</v>
      </c>
      <c r="I3287">
        <v>12</v>
      </c>
      <c r="J3287" t="s">
        <v>462</v>
      </c>
      <c r="K3287" t="s">
        <v>446</v>
      </c>
      <c r="M3287">
        <v>2612</v>
      </c>
      <c r="N3287" t="s">
        <v>16102</v>
      </c>
    </row>
    <row r="3288" spans="1:14">
      <c r="A3288">
        <v>16189000</v>
      </c>
      <c r="B3288">
        <v>3028894</v>
      </c>
      <c r="C3288" t="s">
        <v>1997</v>
      </c>
      <c r="D3288" t="s">
        <v>441</v>
      </c>
      <c r="F3288">
        <v>0</v>
      </c>
      <c r="G3288">
        <v>15.77</v>
      </c>
      <c r="H3288" t="s">
        <v>8588</v>
      </c>
      <c r="I3288">
        <v>2</v>
      </c>
      <c r="J3288" t="s">
        <v>445</v>
      </c>
      <c r="M3288">
        <v>3111</v>
      </c>
      <c r="N3288" t="s">
        <v>16101</v>
      </c>
    </row>
    <row r="3289" spans="1:14">
      <c r="A3289">
        <v>16189900</v>
      </c>
      <c r="B3289">
        <v>3028897</v>
      </c>
      <c r="C3289" t="s">
        <v>1998</v>
      </c>
      <c r="D3289" t="s">
        <v>441</v>
      </c>
      <c r="F3289">
        <v>0</v>
      </c>
      <c r="I3289">
        <v>2</v>
      </c>
      <c r="J3289" t="s">
        <v>445</v>
      </c>
      <c r="M3289">
        <v>6666</v>
      </c>
      <c r="N3289" t="s">
        <v>16101</v>
      </c>
    </row>
    <row r="3290" spans="1:14">
      <c r="A3290">
        <v>16190000</v>
      </c>
      <c r="B3290">
        <v>3024307</v>
      </c>
      <c r="C3290" t="s">
        <v>1999</v>
      </c>
      <c r="D3290" t="s">
        <v>441</v>
      </c>
      <c r="F3290">
        <v>0</v>
      </c>
      <c r="G3290">
        <v>15.77</v>
      </c>
      <c r="H3290" t="s">
        <v>8588</v>
      </c>
      <c r="I3290">
        <v>6</v>
      </c>
      <c r="J3290" t="s">
        <v>445</v>
      </c>
      <c r="M3290">
        <v>2391</v>
      </c>
      <c r="N3290" t="s">
        <v>16101</v>
      </c>
    </row>
    <row r="3291" spans="1:14">
      <c r="A3291">
        <v>16190028</v>
      </c>
      <c r="B3291">
        <v>4016117</v>
      </c>
      <c r="C3291" t="s">
        <v>9959</v>
      </c>
      <c r="D3291" t="s">
        <v>441</v>
      </c>
      <c r="F3291">
        <v>0</v>
      </c>
      <c r="G3291">
        <v>11.43</v>
      </c>
      <c r="H3291" t="s">
        <v>8588</v>
      </c>
      <c r="I3291">
        <v>365</v>
      </c>
      <c r="J3291" t="s">
        <v>462</v>
      </c>
      <c r="K3291" t="s">
        <v>446</v>
      </c>
      <c r="M3291">
        <v>0</v>
      </c>
      <c r="N3291" t="s">
        <v>16102</v>
      </c>
    </row>
    <row r="3292" spans="1:14">
      <c r="A3292">
        <v>16190528</v>
      </c>
      <c r="B3292">
        <v>3024306</v>
      </c>
      <c r="C3292" t="s">
        <v>9960</v>
      </c>
      <c r="D3292" t="s">
        <v>441</v>
      </c>
      <c r="F3292">
        <v>0</v>
      </c>
      <c r="G3292">
        <v>11.24</v>
      </c>
      <c r="H3292" t="s">
        <v>8588</v>
      </c>
      <c r="I3292">
        <v>365</v>
      </c>
      <c r="J3292" t="s">
        <v>445</v>
      </c>
      <c r="K3292" t="s">
        <v>446</v>
      </c>
      <c r="M3292">
        <v>2641</v>
      </c>
      <c r="N3292" t="s">
        <v>16102</v>
      </c>
    </row>
    <row r="3293" spans="1:14">
      <c r="A3293">
        <v>16200000</v>
      </c>
      <c r="B3293">
        <v>3007718</v>
      </c>
      <c r="C3293" t="s">
        <v>2000</v>
      </c>
      <c r="D3293" t="s">
        <v>441</v>
      </c>
      <c r="F3293">
        <v>0</v>
      </c>
      <c r="G3293">
        <v>10.29</v>
      </c>
      <c r="H3293" t="s">
        <v>8584</v>
      </c>
      <c r="I3293">
        <v>6</v>
      </c>
      <c r="J3293" t="s">
        <v>445</v>
      </c>
      <c r="M3293">
        <v>2391</v>
      </c>
      <c r="N3293" t="s">
        <v>16105</v>
      </c>
    </row>
    <row r="3294" spans="1:14">
      <c r="A3294">
        <v>16200007</v>
      </c>
      <c r="B3294">
        <v>3024929</v>
      </c>
      <c r="C3294" t="s">
        <v>14268</v>
      </c>
      <c r="D3294" t="s">
        <v>441</v>
      </c>
      <c r="F3294">
        <v>0</v>
      </c>
      <c r="G3294">
        <v>12.51</v>
      </c>
      <c r="H3294" t="s">
        <v>8584</v>
      </c>
      <c r="I3294">
        <v>6</v>
      </c>
      <c r="J3294" t="s">
        <v>445</v>
      </c>
      <c r="M3294">
        <v>3111</v>
      </c>
      <c r="N3294" t="s">
        <v>16105</v>
      </c>
    </row>
    <row r="3295" spans="1:14">
      <c r="A3295">
        <v>16200020</v>
      </c>
      <c r="B3295">
        <v>4001803</v>
      </c>
      <c r="C3295" t="s">
        <v>14269</v>
      </c>
      <c r="D3295" t="s">
        <v>441</v>
      </c>
      <c r="F3295">
        <v>0</v>
      </c>
      <c r="G3295">
        <v>12.88</v>
      </c>
      <c r="H3295" t="s">
        <v>8588</v>
      </c>
      <c r="I3295">
        <v>6</v>
      </c>
      <c r="J3295" t="s">
        <v>462</v>
      </c>
      <c r="M3295">
        <v>7112</v>
      </c>
      <c r="N3295" t="s">
        <v>16105</v>
      </c>
    </row>
    <row r="3296" spans="1:14">
      <c r="A3296">
        <v>16200021</v>
      </c>
      <c r="B3296">
        <v>4007462</v>
      </c>
      <c r="C3296" t="s">
        <v>9961</v>
      </c>
      <c r="D3296" t="s">
        <v>441</v>
      </c>
      <c r="F3296">
        <v>0</v>
      </c>
      <c r="G3296">
        <v>8.2200000000000006</v>
      </c>
      <c r="H3296" t="s">
        <v>8588</v>
      </c>
      <c r="I3296">
        <v>6</v>
      </c>
      <c r="J3296" t="s">
        <v>462</v>
      </c>
      <c r="K3296" t="s">
        <v>446</v>
      </c>
      <c r="M3296">
        <v>2612</v>
      </c>
    </row>
    <row r="3297" spans="1:14">
      <c r="A3297">
        <v>16200022</v>
      </c>
      <c r="B3297">
        <v>4012703</v>
      </c>
      <c r="C3297" t="s">
        <v>9962</v>
      </c>
      <c r="D3297" t="s">
        <v>441</v>
      </c>
      <c r="F3297">
        <v>0</v>
      </c>
      <c r="G3297">
        <v>7.51</v>
      </c>
      <c r="H3297" t="s">
        <v>8588</v>
      </c>
      <c r="I3297">
        <v>6</v>
      </c>
      <c r="J3297" t="s">
        <v>462</v>
      </c>
      <c r="K3297" t="s">
        <v>446</v>
      </c>
      <c r="M3297">
        <v>2612</v>
      </c>
    </row>
    <row r="3298" spans="1:14">
      <c r="A3298">
        <v>16200028</v>
      </c>
      <c r="B3298">
        <v>4012725</v>
      </c>
      <c r="C3298" t="s">
        <v>9963</v>
      </c>
      <c r="D3298" t="s">
        <v>441</v>
      </c>
      <c r="F3298">
        <v>0</v>
      </c>
      <c r="G3298">
        <v>8.68</v>
      </c>
      <c r="H3298" t="s">
        <v>8588</v>
      </c>
      <c r="I3298">
        <v>365</v>
      </c>
      <c r="J3298" t="s">
        <v>462</v>
      </c>
      <c r="K3298" t="s">
        <v>446</v>
      </c>
      <c r="L3298">
        <v>20171</v>
      </c>
      <c r="M3298">
        <v>2501</v>
      </c>
      <c r="N3298" t="s">
        <v>16105</v>
      </c>
    </row>
    <row r="3299" spans="1:14">
      <c r="A3299">
        <v>16200030</v>
      </c>
      <c r="B3299">
        <v>4018298</v>
      </c>
      <c r="C3299" t="s">
        <v>15478</v>
      </c>
      <c r="D3299" t="s">
        <v>441</v>
      </c>
      <c r="F3299">
        <v>0</v>
      </c>
      <c r="G3299">
        <v>13.36</v>
      </c>
      <c r="H3299" t="s">
        <v>8588</v>
      </c>
      <c r="I3299">
        <v>10</v>
      </c>
      <c r="J3299" t="s">
        <v>462</v>
      </c>
      <c r="M3299">
        <v>7112</v>
      </c>
      <c r="N3299" t="s">
        <v>16105</v>
      </c>
    </row>
    <row r="3300" spans="1:14">
      <c r="A3300">
        <v>16200075</v>
      </c>
      <c r="B3300">
        <v>3039590</v>
      </c>
      <c r="C3300" t="s">
        <v>2001</v>
      </c>
      <c r="D3300" t="s">
        <v>441</v>
      </c>
      <c r="F3300">
        <v>0</v>
      </c>
      <c r="G3300">
        <v>10.76</v>
      </c>
      <c r="H3300" t="s">
        <v>8588</v>
      </c>
      <c r="I3300">
        <v>6</v>
      </c>
      <c r="J3300" t="s">
        <v>445</v>
      </c>
      <c r="M3300">
        <v>7112</v>
      </c>
      <c r="N3300" t="s">
        <v>16105</v>
      </c>
    </row>
    <row r="3301" spans="1:14">
      <c r="A3301">
        <v>16200077</v>
      </c>
      <c r="B3301">
        <v>4007404</v>
      </c>
      <c r="C3301" t="s">
        <v>9964</v>
      </c>
      <c r="D3301" t="s">
        <v>441</v>
      </c>
      <c r="F3301">
        <v>0</v>
      </c>
      <c r="G3301">
        <v>8.1999999999999993</v>
      </c>
      <c r="H3301" t="s">
        <v>8588</v>
      </c>
      <c r="I3301">
        <v>6</v>
      </c>
      <c r="J3301" t="s">
        <v>462</v>
      </c>
      <c r="K3301" t="s">
        <v>446</v>
      </c>
      <c r="M3301">
        <v>2641</v>
      </c>
      <c r="N3301" t="s">
        <v>16105</v>
      </c>
    </row>
    <row r="3302" spans="1:14">
      <c r="A3302">
        <v>16200080</v>
      </c>
      <c r="B3302">
        <v>4020337</v>
      </c>
      <c r="C3302" t="s">
        <v>2002</v>
      </c>
      <c r="D3302" t="s">
        <v>441</v>
      </c>
      <c r="F3302">
        <v>0</v>
      </c>
      <c r="G3302">
        <v>10.49</v>
      </c>
      <c r="H3302" t="s">
        <v>8588</v>
      </c>
      <c r="I3302">
        <v>6</v>
      </c>
      <c r="J3302" t="s">
        <v>462</v>
      </c>
      <c r="M3302">
        <v>7112</v>
      </c>
      <c r="N3302" t="s">
        <v>16105</v>
      </c>
    </row>
    <row r="3303" spans="1:14">
      <c r="A3303">
        <v>16200100</v>
      </c>
      <c r="B3303">
        <v>3026237</v>
      </c>
      <c r="C3303" t="s">
        <v>2003</v>
      </c>
      <c r="D3303" t="s">
        <v>441</v>
      </c>
      <c r="F3303">
        <v>0</v>
      </c>
      <c r="H3303" t="s">
        <v>8588</v>
      </c>
      <c r="I3303">
        <v>6</v>
      </c>
      <c r="J3303" t="s">
        <v>445</v>
      </c>
      <c r="M3303">
        <v>7161</v>
      </c>
      <c r="N3303" t="s">
        <v>16105</v>
      </c>
    </row>
    <row r="3304" spans="1:14">
      <c r="A3304">
        <v>16200528</v>
      </c>
      <c r="B3304">
        <v>3018410</v>
      </c>
      <c r="C3304" t="s">
        <v>9965</v>
      </c>
      <c r="D3304" t="s">
        <v>441</v>
      </c>
      <c r="F3304">
        <v>0</v>
      </c>
      <c r="G3304">
        <v>8.5</v>
      </c>
      <c r="H3304" t="s">
        <v>8584</v>
      </c>
      <c r="I3304">
        <v>365</v>
      </c>
      <c r="J3304" t="s">
        <v>445</v>
      </c>
      <c r="K3304" t="s">
        <v>446</v>
      </c>
      <c r="M3304">
        <v>2641</v>
      </c>
      <c r="N3304" t="s">
        <v>16105</v>
      </c>
    </row>
    <row r="3305" spans="1:14">
      <c r="A3305">
        <v>16200907</v>
      </c>
      <c r="B3305">
        <v>3030013</v>
      </c>
      <c r="C3305" t="s">
        <v>14270</v>
      </c>
      <c r="D3305" t="s">
        <v>441</v>
      </c>
      <c r="F3305">
        <v>0</v>
      </c>
      <c r="I3305">
        <v>6</v>
      </c>
      <c r="J3305" t="s">
        <v>445</v>
      </c>
      <c r="M3305">
        <v>6666</v>
      </c>
      <c r="N3305" t="s">
        <v>16105</v>
      </c>
    </row>
    <row r="3306" spans="1:14">
      <c r="A3306">
        <v>16201000</v>
      </c>
      <c r="B3306">
        <v>3017397</v>
      </c>
      <c r="C3306" t="s">
        <v>2004</v>
      </c>
      <c r="D3306" t="s">
        <v>441</v>
      </c>
      <c r="F3306">
        <v>0</v>
      </c>
      <c r="G3306">
        <v>10.29</v>
      </c>
      <c r="H3306" t="s">
        <v>8580</v>
      </c>
      <c r="I3306">
        <v>6</v>
      </c>
      <c r="J3306" t="s">
        <v>445</v>
      </c>
      <c r="M3306">
        <v>2391</v>
      </c>
      <c r="N3306" t="s">
        <v>16105</v>
      </c>
    </row>
    <row r="3307" spans="1:14">
      <c r="A3307">
        <v>16201007</v>
      </c>
      <c r="B3307">
        <v>3024930</v>
      </c>
      <c r="C3307" t="s">
        <v>2005</v>
      </c>
      <c r="D3307" t="s">
        <v>441</v>
      </c>
      <c r="F3307">
        <v>0</v>
      </c>
      <c r="G3307">
        <v>7.76</v>
      </c>
      <c r="H3307" t="s">
        <v>8580</v>
      </c>
      <c r="I3307">
        <v>6</v>
      </c>
      <c r="J3307" t="s">
        <v>445</v>
      </c>
      <c r="M3307">
        <v>3111</v>
      </c>
      <c r="N3307" t="s">
        <v>16105</v>
      </c>
    </row>
    <row r="3308" spans="1:14">
      <c r="A3308">
        <v>16201020</v>
      </c>
      <c r="B3308">
        <v>4011470</v>
      </c>
      <c r="C3308" t="s">
        <v>9966</v>
      </c>
      <c r="D3308" t="s">
        <v>441</v>
      </c>
      <c r="F3308">
        <v>0</v>
      </c>
      <c r="G3308">
        <v>7.88</v>
      </c>
      <c r="H3308" t="s">
        <v>8588</v>
      </c>
      <c r="I3308">
        <v>6</v>
      </c>
      <c r="J3308" t="s">
        <v>462</v>
      </c>
      <c r="K3308" t="s">
        <v>446</v>
      </c>
      <c r="M3308">
        <v>2641</v>
      </c>
    </row>
    <row r="3309" spans="1:14">
      <c r="A3309">
        <v>16201021</v>
      </c>
      <c r="B3309">
        <v>4011737</v>
      </c>
      <c r="C3309" t="s">
        <v>9967</v>
      </c>
      <c r="D3309" t="s">
        <v>441</v>
      </c>
      <c r="F3309">
        <v>0</v>
      </c>
      <c r="G3309">
        <v>7.42</v>
      </c>
      <c r="H3309" t="s">
        <v>8588</v>
      </c>
      <c r="I3309">
        <v>6</v>
      </c>
      <c r="J3309" t="s">
        <v>462</v>
      </c>
      <c r="K3309" t="s">
        <v>446</v>
      </c>
      <c r="M3309">
        <v>2612</v>
      </c>
    </row>
    <row r="3310" spans="1:14">
      <c r="A3310">
        <v>16201022</v>
      </c>
      <c r="B3310">
        <v>4012704</v>
      </c>
      <c r="C3310" t="s">
        <v>9968</v>
      </c>
      <c r="D3310" t="s">
        <v>441</v>
      </c>
      <c r="F3310">
        <v>0</v>
      </c>
      <c r="G3310">
        <v>7.51</v>
      </c>
      <c r="H3310" t="s">
        <v>8588</v>
      </c>
      <c r="I3310">
        <v>6</v>
      </c>
      <c r="J3310" t="s">
        <v>462</v>
      </c>
      <c r="K3310" t="s">
        <v>446</v>
      </c>
      <c r="M3310">
        <v>2612</v>
      </c>
    </row>
    <row r="3311" spans="1:14">
      <c r="A3311">
        <v>16201028</v>
      </c>
      <c r="B3311">
        <v>4012726</v>
      </c>
      <c r="C3311" t="s">
        <v>9969</v>
      </c>
      <c r="D3311" t="s">
        <v>441</v>
      </c>
      <c r="F3311">
        <v>0</v>
      </c>
      <c r="G3311">
        <v>8.68</v>
      </c>
      <c r="H3311" t="s">
        <v>8588</v>
      </c>
      <c r="I3311">
        <v>365</v>
      </c>
      <c r="J3311" t="s">
        <v>462</v>
      </c>
      <c r="K3311" t="s">
        <v>446</v>
      </c>
      <c r="L3311">
        <v>20171</v>
      </c>
      <c r="M3311">
        <v>2501</v>
      </c>
      <c r="N3311" t="s">
        <v>16105</v>
      </c>
    </row>
    <row r="3312" spans="1:14">
      <c r="A3312">
        <v>16201077</v>
      </c>
      <c r="B3312">
        <v>4011732</v>
      </c>
      <c r="C3312" t="s">
        <v>9970</v>
      </c>
      <c r="D3312" t="s">
        <v>441</v>
      </c>
      <c r="F3312">
        <v>0</v>
      </c>
      <c r="G3312">
        <v>8.1999999999999993</v>
      </c>
      <c r="H3312" t="s">
        <v>8588</v>
      </c>
      <c r="I3312">
        <v>6</v>
      </c>
      <c r="J3312" t="s">
        <v>462</v>
      </c>
      <c r="K3312" t="s">
        <v>446</v>
      </c>
      <c r="M3312">
        <v>2641</v>
      </c>
      <c r="N3312" t="s">
        <v>16105</v>
      </c>
    </row>
    <row r="3313" spans="1:14">
      <c r="A3313">
        <v>16201080</v>
      </c>
      <c r="B3313">
        <v>4020338</v>
      </c>
      <c r="C3313" t="s">
        <v>9971</v>
      </c>
      <c r="D3313" t="s">
        <v>441</v>
      </c>
      <c r="F3313">
        <v>0</v>
      </c>
      <c r="G3313">
        <v>8.3000000000000007</v>
      </c>
      <c r="H3313" t="s">
        <v>8588</v>
      </c>
      <c r="I3313">
        <v>6</v>
      </c>
      <c r="J3313" t="s">
        <v>462</v>
      </c>
      <c r="K3313" t="s">
        <v>446</v>
      </c>
      <c r="M3313">
        <v>2641</v>
      </c>
      <c r="N3313" t="s">
        <v>16105</v>
      </c>
    </row>
    <row r="3314" spans="1:14">
      <c r="A3314">
        <v>16201528</v>
      </c>
      <c r="B3314">
        <v>3018411</v>
      </c>
      <c r="C3314" t="s">
        <v>9972</v>
      </c>
      <c r="D3314" t="s">
        <v>441</v>
      </c>
      <c r="F3314">
        <v>0</v>
      </c>
      <c r="G3314">
        <v>8.5</v>
      </c>
      <c r="I3314">
        <v>365</v>
      </c>
      <c r="J3314" t="s">
        <v>445</v>
      </c>
      <c r="K3314" t="s">
        <v>446</v>
      </c>
      <c r="M3314">
        <v>2641</v>
      </c>
      <c r="N3314" t="s">
        <v>16105</v>
      </c>
    </row>
    <row r="3315" spans="1:14">
      <c r="A3315">
        <v>16203000</v>
      </c>
      <c r="B3315">
        <v>3007720</v>
      </c>
      <c r="C3315" t="s">
        <v>2006</v>
      </c>
      <c r="D3315" t="s">
        <v>441</v>
      </c>
      <c r="F3315">
        <v>0</v>
      </c>
      <c r="G3315">
        <v>7.1</v>
      </c>
      <c r="H3315" t="s">
        <v>8584</v>
      </c>
      <c r="I3315">
        <v>6</v>
      </c>
      <c r="J3315" t="s">
        <v>445</v>
      </c>
      <c r="K3315" t="s">
        <v>446</v>
      </c>
      <c r="M3315">
        <v>2390</v>
      </c>
    </row>
    <row r="3316" spans="1:14">
      <c r="A3316">
        <v>16205000</v>
      </c>
      <c r="B3316">
        <v>3035261</v>
      </c>
      <c r="C3316" t="s">
        <v>2007</v>
      </c>
      <c r="D3316" t="s">
        <v>441</v>
      </c>
      <c r="F3316">
        <v>0</v>
      </c>
      <c r="G3316">
        <v>10.29</v>
      </c>
      <c r="H3316" t="s">
        <v>8549</v>
      </c>
      <c r="I3316">
        <v>6</v>
      </c>
      <c r="J3316" t="s">
        <v>445</v>
      </c>
      <c r="M3316">
        <v>2391</v>
      </c>
      <c r="N3316" t="s">
        <v>16105</v>
      </c>
    </row>
    <row r="3317" spans="1:14">
      <c r="A3317">
        <v>16210000</v>
      </c>
      <c r="B3317">
        <v>3012708</v>
      </c>
      <c r="C3317" t="s">
        <v>2008</v>
      </c>
      <c r="D3317" t="s">
        <v>441</v>
      </c>
      <c r="F3317">
        <v>0</v>
      </c>
      <c r="G3317">
        <v>10.56</v>
      </c>
      <c r="H3317" t="s">
        <v>8549</v>
      </c>
      <c r="I3317">
        <v>6</v>
      </c>
      <c r="J3317" t="s">
        <v>445</v>
      </c>
      <c r="M3317">
        <v>2391</v>
      </c>
      <c r="N3317" t="s">
        <v>16105</v>
      </c>
    </row>
    <row r="3318" spans="1:14">
      <c r="A3318">
        <v>16210007</v>
      </c>
      <c r="B3318">
        <v>3024931</v>
      </c>
      <c r="C3318" t="s">
        <v>9973</v>
      </c>
      <c r="D3318" t="s">
        <v>441</v>
      </c>
      <c r="F3318">
        <v>0</v>
      </c>
      <c r="G3318">
        <v>8.39</v>
      </c>
      <c r="H3318" t="s">
        <v>8580</v>
      </c>
      <c r="I3318">
        <v>6</v>
      </c>
      <c r="J3318" t="s">
        <v>445</v>
      </c>
      <c r="K3318" t="s">
        <v>446</v>
      </c>
      <c r="M3318">
        <v>3111</v>
      </c>
      <c r="N3318" t="s">
        <v>16105</v>
      </c>
    </row>
    <row r="3319" spans="1:14">
      <c r="A3319">
        <v>16210020</v>
      </c>
      <c r="B3319">
        <v>4018950</v>
      </c>
      <c r="C3319" t="s">
        <v>14271</v>
      </c>
      <c r="D3319" t="s">
        <v>441</v>
      </c>
      <c r="F3319">
        <v>0</v>
      </c>
      <c r="G3319">
        <v>13.19</v>
      </c>
      <c r="H3319" t="s">
        <v>9888</v>
      </c>
      <c r="I3319">
        <v>6</v>
      </c>
      <c r="J3319" t="s">
        <v>462</v>
      </c>
      <c r="L3319">
        <v>2062714</v>
      </c>
      <c r="M3319">
        <v>7112</v>
      </c>
      <c r="N3319" t="s">
        <v>16105</v>
      </c>
    </row>
    <row r="3320" spans="1:14">
      <c r="A3320">
        <v>16210030</v>
      </c>
      <c r="B3320">
        <v>4018920</v>
      </c>
      <c r="C3320" t="s">
        <v>2009</v>
      </c>
      <c r="D3320" t="s">
        <v>441</v>
      </c>
      <c r="F3320">
        <v>0</v>
      </c>
      <c r="G3320">
        <v>11.31</v>
      </c>
      <c r="H3320" t="s">
        <v>8588</v>
      </c>
      <c r="I3320">
        <v>12</v>
      </c>
      <c r="J3320" t="s">
        <v>462</v>
      </c>
      <c r="M3320">
        <v>7112</v>
      </c>
      <c r="N3320" t="s">
        <v>16105</v>
      </c>
    </row>
    <row r="3321" spans="1:14">
      <c r="A3321">
        <v>16211000</v>
      </c>
      <c r="B3321">
        <v>3017550</v>
      </c>
      <c r="C3321" t="s">
        <v>2010</v>
      </c>
      <c r="D3321" t="s">
        <v>441</v>
      </c>
      <c r="F3321">
        <v>0</v>
      </c>
      <c r="G3321">
        <v>10.56</v>
      </c>
      <c r="I3321">
        <v>6</v>
      </c>
      <c r="J3321" t="s">
        <v>445</v>
      </c>
      <c r="M3321">
        <v>2391</v>
      </c>
      <c r="N3321" t="s">
        <v>16105</v>
      </c>
    </row>
    <row r="3322" spans="1:14">
      <c r="A3322">
        <v>16211007</v>
      </c>
      <c r="B3322">
        <v>3024932</v>
      </c>
      <c r="C3322" t="s">
        <v>9974</v>
      </c>
      <c r="D3322" t="s">
        <v>441</v>
      </c>
      <c r="F3322">
        <v>0</v>
      </c>
      <c r="G3322">
        <v>8.4499999999999993</v>
      </c>
      <c r="H3322" t="s">
        <v>8580</v>
      </c>
      <c r="I3322">
        <v>6</v>
      </c>
      <c r="J3322" t="s">
        <v>445</v>
      </c>
      <c r="K3322" t="s">
        <v>446</v>
      </c>
      <c r="M3322">
        <v>3111</v>
      </c>
      <c r="N3322" t="s">
        <v>16105</v>
      </c>
    </row>
    <row r="3323" spans="1:14">
      <c r="A3323">
        <v>16213000</v>
      </c>
      <c r="B3323">
        <v>3012581</v>
      </c>
      <c r="C3323" t="s">
        <v>2011</v>
      </c>
      <c r="D3323" t="s">
        <v>441</v>
      </c>
      <c r="F3323">
        <v>0</v>
      </c>
      <c r="G3323">
        <v>10.56</v>
      </c>
      <c r="I3323">
        <v>6</v>
      </c>
      <c r="J3323" t="s">
        <v>445</v>
      </c>
      <c r="M3323">
        <v>2391</v>
      </c>
      <c r="N3323" t="s">
        <v>16105</v>
      </c>
    </row>
    <row r="3324" spans="1:14">
      <c r="A3324">
        <v>16220023</v>
      </c>
      <c r="B3324">
        <v>4018294</v>
      </c>
      <c r="C3324" t="s">
        <v>9975</v>
      </c>
      <c r="D3324" t="s">
        <v>442</v>
      </c>
      <c r="E3324" t="s">
        <v>441</v>
      </c>
      <c r="F3324">
        <v>10</v>
      </c>
      <c r="G3324">
        <v>87.46</v>
      </c>
      <c r="H3324" t="s">
        <v>8588</v>
      </c>
      <c r="I3324">
        <v>365</v>
      </c>
      <c r="J3324" t="s">
        <v>462</v>
      </c>
      <c r="K3324" t="s">
        <v>446</v>
      </c>
      <c r="M3324">
        <v>2501</v>
      </c>
      <c r="N3324" t="s">
        <v>16105</v>
      </c>
    </row>
    <row r="3325" spans="1:14">
      <c r="A3325">
        <v>16220024</v>
      </c>
      <c r="B3325">
        <v>4018267</v>
      </c>
      <c r="C3325" t="s">
        <v>9976</v>
      </c>
      <c r="D3325" t="s">
        <v>442</v>
      </c>
      <c r="E3325" t="s">
        <v>441</v>
      </c>
      <c r="F3325">
        <v>10</v>
      </c>
      <c r="G3325">
        <v>87.4</v>
      </c>
      <c r="H3325" t="s">
        <v>8588</v>
      </c>
      <c r="I3325">
        <v>365</v>
      </c>
      <c r="J3325" t="s">
        <v>462</v>
      </c>
      <c r="K3325" t="s">
        <v>446</v>
      </c>
      <c r="M3325">
        <v>2501</v>
      </c>
      <c r="N3325" t="s">
        <v>16105</v>
      </c>
    </row>
    <row r="3326" spans="1:14">
      <c r="A3326">
        <v>16220025</v>
      </c>
      <c r="B3326">
        <v>3026814</v>
      </c>
      <c r="C3326" t="s">
        <v>9977</v>
      </c>
      <c r="D3326" t="s">
        <v>441</v>
      </c>
      <c r="F3326">
        <v>0</v>
      </c>
      <c r="G3326">
        <v>8.14</v>
      </c>
      <c r="H3326" t="s">
        <v>8549</v>
      </c>
      <c r="I3326">
        <v>365</v>
      </c>
      <c r="J3326" t="s">
        <v>445</v>
      </c>
      <c r="K3326" t="s">
        <v>446</v>
      </c>
      <c r="M3326">
        <v>2501</v>
      </c>
    </row>
    <row r="3327" spans="1:14">
      <c r="A3327">
        <v>16220026</v>
      </c>
      <c r="B3327">
        <v>3026832</v>
      </c>
      <c r="C3327" t="s">
        <v>9978</v>
      </c>
      <c r="D3327" t="s">
        <v>441</v>
      </c>
      <c r="F3327">
        <v>0</v>
      </c>
      <c r="G3327">
        <v>8.08</v>
      </c>
      <c r="H3327" t="s">
        <v>8549</v>
      </c>
      <c r="I3327">
        <v>365</v>
      </c>
      <c r="J3327" t="s">
        <v>445</v>
      </c>
      <c r="K3327" t="s">
        <v>446</v>
      </c>
      <c r="M3327">
        <v>2501</v>
      </c>
    </row>
    <row r="3328" spans="1:14">
      <c r="A3328">
        <v>16220027</v>
      </c>
      <c r="B3328">
        <v>4014211</v>
      </c>
      <c r="C3328" t="s">
        <v>2012</v>
      </c>
      <c r="D3328" t="s">
        <v>441</v>
      </c>
      <c r="F3328">
        <v>0</v>
      </c>
      <c r="G3328">
        <v>11.22</v>
      </c>
      <c r="H3328" t="s">
        <v>8588</v>
      </c>
      <c r="I3328">
        <v>540</v>
      </c>
      <c r="J3328" t="s">
        <v>462</v>
      </c>
      <c r="L3328">
        <v>20200</v>
      </c>
      <c r="M3328">
        <v>7111</v>
      </c>
      <c r="N3328" t="s">
        <v>16105</v>
      </c>
    </row>
    <row r="3329" spans="1:14">
      <c r="A3329">
        <v>16220028</v>
      </c>
      <c r="B3329">
        <v>4010084</v>
      </c>
      <c r="C3329" t="s">
        <v>9979</v>
      </c>
      <c r="D3329" t="s">
        <v>441</v>
      </c>
      <c r="F3329">
        <v>0</v>
      </c>
      <c r="G3329">
        <v>8.76</v>
      </c>
      <c r="H3329" t="s">
        <v>8588</v>
      </c>
      <c r="I3329">
        <v>365</v>
      </c>
      <c r="J3329" t="s">
        <v>462</v>
      </c>
      <c r="K3329" t="s">
        <v>446</v>
      </c>
      <c r="L3329">
        <v>20120</v>
      </c>
      <c r="M3329">
        <v>2501</v>
      </c>
      <c r="N3329" t="s">
        <v>16105</v>
      </c>
    </row>
    <row r="3330" spans="1:14">
      <c r="A3330">
        <v>16220029</v>
      </c>
      <c r="B3330">
        <v>4010542</v>
      </c>
      <c r="C3330" t="s">
        <v>2013</v>
      </c>
      <c r="D3330" t="s">
        <v>441</v>
      </c>
      <c r="F3330">
        <v>0</v>
      </c>
      <c r="G3330">
        <v>11.19</v>
      </c>
      <c r="H3330" t="s">
        <v>8588</v>
      </c>
      <c r="I3330">
        <v>540</v>
      </c>
      <c r="J3330" t="s">
        <v>462</v>
      </c>
      <c r="L3330">
        <v>20123</v>
      </c>
      <c r="M3330">
        <v>7111</v>
      </c>
      <c r="N3330" t="s">
        <v>16105</v>
      </c>
    </row>
    <row r="3331" spans="1:14">
      <c r="A3331">
        <v>16220523</v>
      </c>
      <c r="B3331">
        <v>3027601</v>
      </c>
      <c r="C3331" t="s">
        <v>9980</v>
      </c>
      <c r="D3331" t="s">
        <v>442</v>
      </c>
      <c r="E3331" t="s">
        <v>441</v>
      </c>
      <c r="F3331">
        <v>10</v>
      </c>
      <c r="G3331">
        <v>85.93</v>
      </c>
      <c r="H3331" t="s">
        <v>8549</v>
      </c>
      <c r="I3331">
        <v>6</v>
      </c>
      <c r="J3331" t="s">
        <v>445</v>
      </c>
      <c r="K3331" t="s">
        <v>446</v>
      </c>
      <c r="M3331">
        <v>2641</v>
      </c>
      <c r="N3331" t="s">
        <v>16105</v>
      </c>
    </row>
    <row r="3332" spans="1:14">
      <c r="A3332">
        <v>16220524</v>
      </c>
      <c r="B3332">
        <v>3027594</v>
      </c>
      <c r="C3332" t="s">
        <v>9981</v>
      </c>
      <c r="D3332" t="s">
        <v>442</v>
      </c>
      <c r="E3332" t="s">
        <v>441</v>
      </c>
      <c r="F3332">
        <v>10</v>
      </c>
      <c r="G3332">
        <v>85.87</v>
      </c>
      <c r="H3332" t="s">
        <v>8549</v>
      </c>
      <c r="I3332">
        <v>6</v>
      </c>
      <c r="J3332" t="s">
        <v>445</v>
      </c>
      <c r="K3332" t="s">
        <v>446</v>
      </c>
      <c r="M3332">
        <v>2641</v>
      </c>
      <c r="N3332" t="s">
        <v>16105</v>
      </c>
    </row>
    <row r="3333" spans="1:14">
      <c r="A3333">
        <v>16220527</v>
      </c>
      <c r="B3333">
        <v>3021914</v>
      </c>
      <c r="C3333" t="s">
        <v>2014</v>
      </c>
      <c r="D3333" t="s">
        <v>441</v>
      </c>
      <c r="F3333">
        <v>0</v>
      </c>
      <c r="G3333">
        <v>10.93</v>
      </c>
      <c r="H3333" t="s">
        <v>8588</v>
      </c>
      <c r="I3333">
        <v>6</v>
      </c>
      <c r="J3333" t="s">
        <v>445</v>
      </c>
      <c r="M3333">
        <v>2502</v>
      </c>
      <c r="N3333" t="s">
        <v>16105</v>
      </c>
    </row>
    <row r="3334" spans="1:14">
      <c r="A3334">
        <v>16220528</v>
      </c>
      <c r="B3334">
        <v>3012717</v>
      </c>
      <c r="C3334" t="s">
        <v>9982</v>
      </c>
      <c r="D3334" t="s">
        <v>441</v>
      </c>
      <c r="F3334">
        <v>0</v>
      </c>
      <c r="G3334">
        <v>8.58</v>
      </c>
      <c r="H3334" t="s">
        <v>8580</v>
      </c>
      <c r="I3334">
        <v>365</v>
      </c>
      <c r="J3334" t="s">
        <v>445</v>
      </c>
      <c r="K3334" t="s">
        <v>446</v>
      </c>
      <c r="M3334">
        <v>2641</v>
      </c>
      <c r="N3334" t="s">
        <v>16105</v>
      </c>
    </row>
    <row r="3335" spans="1:14">
      <c r="A3335">
        <v>16220529</v>
      </c>
      <c r="B3335">
        <v>3014323</v>
      </c>
      <c r="C3335" t="s">
        <v>2015</v>
      </c>
      <c r="D3335" t="s">
        <v>441</v>
      </c>
      <c r="F3335">
        <v>0</v>
      </c>
      <c r="G3335">
        <v>10.91</v>
      </c>
      <c r="H3335" t="s">
        <v>8627</v>
      </c>
      <c r="I3335">
        <v>540</v>
      </c>
      <c r="J3335" t="s">
        <v>445</v>
      </c>
      <c r="M3335">
        <v>2502</v>
      </c>
      <c r="N3335" t="s">
        <v>16105</v>
      </c>
    </row>
    <row r="3336" spans="1:14">
      <c r="A3336">
        <v>16220629</v>
      </c>
      <c r="B3336">
        <v>3026845</v>
      </c>
      <c r="C3336" t="s">
        <v>9983</v>
      </c>
      <c r="D3336" t="s">
        <v>441</v>
      </c>
      <c r="F3336">
        <v>0</v>
      </c>
      <c r="G3336">
        <v>7.1</v>
      </c>
      <c r="H3336" t="s">
        <v>8588</v>
      </c>
      <c r="I3336">
        <v>4</v>
      </c>
      <c r="J3336" t="s">
        <v>445</v>
      </c>
      <c r="K3336" t="s">
        <v>446</v>
      </c>
      <c r="M3336">
        <v>2511</v>
      </c>
    </row>
    <row r="3337" spans="1:14">
      <c r="A3337">
        <v>16220929</v>
      </c>
      <c r="B3337">
        <v>3026724</v>
      </c>
      <c r="C3337" t="s">
        <v>9984</v>
      </c>
      <c r="D3337" t="s">
        <v>441</v>
      </c>
      <c r="F3337">
        <v>0</v>
      </c>
      <c r="G3337">
        <v>1</v>
      </c>
      <c r="H3337" t="s">
        <v>8584</v>
      </c>
      <c r="I3337">
        <v>4</v>
      </c>
      <c r="J3337" t="s">
        <v>445</v>
      </c>
      <c r="K3337" t="s">
        <v>446</v>
      </c>
      <c r="M3337">
        <v>6666</v>
      </c>
    </row>
    <row r="3338" spans="1:14">
      <c r="A3338">
        <v>16221027</v>
      </c>
      <c r="B3338">
        <v>4014210</v>
      </c>
      <c r="C3338" t="s">
        <v>2016</v>
      </c>
      <c r="D3338" t="s">
        <v>441</v>
      </c>
      <c r="F3338">
        <v>0</v>
      </c>
      <c r="G3338">
        <v>13.41</v>
      </c>
      <c r="H3338" t="s">
        <v>8588</v>
      </c>
      <c r="I3338">
        <v>540</v>
      </c>
      <c r="J3338" t="s">
        <v>462</v>
      </c>
      <c r="L3338">
        <v>20200</v>
      </c>
      <c r="M3338">
        <v>7111</v>
      </c>
      <c r="N3338" t="s">
        <v>16105</v>
      </c>
    </row>
    <row r="3339" spans="1:14">
      <c r="A3339">
        <v>16221028</v>
      </c>
      <c r="B3339">
        <v>4012024</v>
      </c>
      <c r="C3339" t="s">
        <v>9985</v>
      </c>
      <c r="D3339" t="s">
        <v>441</v>
      </c>
      <c r="F3339">
        <v>0</v>
      </c>
      <c r="G3339">
        <v>8.76</v>
      </c>
      <c r="H3339" t="s">
        <v>8588</v>
      </c>
      <c r="I3339">
        <v>365</v>
      </c>
      <c r="J3339" t="s">
        <v>462</v>
      </c>
      <c r="K3339" t="s">
        <v>446</v>
      </c>
      <c r="M3339">
        <v>2501</v>
      </c>
      <c r="N3339" t="s">
        <v>16105</v>
      </c>
    </row>
    <row r="3340" spans="1:14">
      <c r="A3340">
        <v>16221029</v>
      </c>
      <c r="B3340">
        <v>4012050</v>
      </c>
      <c r="C3340" t="s">
        <v>2017</v>
      </c>
      <c r="D3340" t="s">
        <v>441</v>
      </c>
      <c r="F3340">
        <v>0</v>
      </c>
      <c r="G3340">
        <v>13.4</v>
      </c>
      <c r="H3340" t="s">
        <v>8588</v>
      </c>
      <c r="I3340">
        <v>540</v>
      </c>
      <c r="J3340" t="s">
        <v>462</v>
      </c>
      <c r="L3340">
        <v>20123</v>
      </c>
      <c r="M3340">
        <v>7111</v>
      </c>
      <c r="N3340" t="s">
        <v>16105</v>
      </c>
    </row>
    <row r="3341" spans="1:14">
      <c r="A3341">
        <v>16221527</v>
      </c>
      <c r="B3341">
        <v>3021915</v>
      </c>
      <c r="C3341" t="s">
        <v>2018</v>
      </c>
      <c r="D3341" t="s">
        <v>441</v>
      </c>
      <c r="F3341">
        <v>0</v>
      </c>
      <c r="G3341">
        <v>10.91</v>
      </c>
      <c r="H3341" t="s">
        <v>8588</v>
      </c>
      <c r="I3341">
        <v>6</v>
      </c>
      <c r="J3341" t="s">
        <v>445</v>
      </c>
      <c r="M3341">
        <v>2502</v>
      </c>
      <c r="N3341" t="s">
        <v>16105</v>
      </c>
    </row>
    <row r="3342" spans="1:14">
      <c r="A3342">
        <v>16221528</v>
      </c>
      <c r="B3342">
        <v>3017551</v>
      </c>
      <c r="C3342" t="s">
        <v>9986</v>
      </c>
      <c r="D3342" t="s">
        <v>441</v>
      </c>
      <c r="F3342">
        <v>0</v>
      </c>
      <c r="G3342">
        <v>8.58</v>
      </c>
      <c r="I3342">
        <v>365</v>
      </c>
      <c r="J3342" t="s">
        <v>445</v>
      </c>
      <c r="K3342" t="s">
        <v>446</v>
      </c>
      <c r="M3342">
        <v>2641</v>
      </c>
      <c r="N3342" t="s">
        <v>16105</v>
      </c>
    </row>
    <row r="3343" spans="1:14">
      <c r="A3343">
        <v>16221529</v>
      </c>
      <c r="B3343">
        <v>3017573</v>
      </c>
      <c r="C3343" t="s">
        <v>2019</v>
      </c>
      <c r="D3343" t="s">
        <v>441</v>
      </c>
      <c r="F3343">
        <v>0</v>
      </c>
      <c r="G3343">
        <v>10.89</v>
      </c>
      <c r="H3343" t="s">
        <v>8580</v>
      </c>
      <c r="I3343">
        <v>540</v>
      </c>
      <c r="J3343" t="s">
        <v>445</v>
      </c>
      <c r="M3343">
        <v>2502</v>
      </c>
      <c r="N3343" t="s">
        <v>16105</v>
      </c>
    </row>
    <row r="3344" spans="1:14">
      <c r="A3344">
        <v>16223000</v>
      </c>
      <c r="B3344">
        <v>3007722</v>
      </c>
      <c r="C3344" t="s">
        <v>9987</v>
      </c>
      <c r="D3344" t="s">
        <v>441</v>
      </c>
      <c r="F3344">
        <v>0</v>
      </c>
      <c r="G3344">
        <v>7.62</v>
      </c>
      <c r="H3344" t="s">
        <v>8584</v>
      </c>
      <c r="I3344">
        <v>6</v>
      </c>
      <c r="J3344" t="s">
        <v>445</v>
      </c>
      <c r="K3344" t="s">
        <v>446</v>
      </c>
      <c r="M3344">
        <v>2390</v>
      </c>
    </row>
    <row r="3345" spans="1:14">
      <c r="A3345">
        <v>16225027</v>
      </c>
      <c r="B3345">
        <v>4023900</v>
      </c>
      <c r="C3345" t="s">
        <v>2020</v>
      </c>
      <c r="D3345" t="s">
        <v>441</v>
      </c>
      <c r="F3345">
        <v>0</v>
      </c>
      <c r="G3345">
        <v>11.21</v>
      </c>
      <c r="H3345" t="s">
        <v>8588</v>
      </c>
      <c r="I3345">
        <v>540</v>
      </c>
      <c r="J3345" t="s">
        <v>462</v>
      </c>
      <c r="L3345">
        <v>20200</v>
      </c>
      <c r="M3345">
        <v>7111</v>
      </c>
      <c r="N3345" t="s">
        <v>16105</v>
      </c>
    </row>
    <row r="3346" spans="1:14">
      <c r="A3346">
        <v>16225527</v>
      </c>
      <c r="B3346">
        <v>3035262</v>
      </c>
      <c r="C3346" t="s">
        <v>2021</v>
      </c>
      <c r="D3346" t="s">
        <v>441</v>
      </c>
      <c r="F3346">
        <v>0</v>
      </c>
      <c r="G3346">
        <v>10.92</v>
      </c>
      <c r="H3346" t="s">
        <v>8588</v>
      </c>
      <c r="I3346">
        <v>6</v>
      </c>
      <c r="J3346" t="s">
        <v>445</v>
      </c>
      <c r="M3346">
        <v>2502</v>
      </c>
      <c r="N3346" t="s">
        <v>16105</v>
      </c>
    </row>
    <row r="3347" spans="1:14">
      <c r="A3347">
        <v>16230000</v>
      </c>
      <c r="B3347">
        <v>3009683</v>
      </c>
      <c r="C3347" t="s">
        <v>2022</v>
      </c>
      <c r="D3347" t="s">
        <v>441</v>
      </c>
      <c r="F3347">
        <v>0</v>
      </c>
      <c r="G3347">
        <v>11.37</v>
      </c>
      <c r="H3347" t="s">
        <v>8580</v>
      </c>
      <c r="I3347">
        <v>6</v>
      </c>
      <c r="J3347" t="s">
        <v>445</v>
      </c>
      <c r="K3347" t="s">
        <v>446</v>
      </c>
      <c r="M3347">
        <v>2311</v>
      </c>
    </row>
    <row r="3348" spans="1:14">
      <c r="A3348">
        <v>16240000</v>
      </c>
      <c r="B3348">
        <v>3009682</v>
      </c>
      <c r="C3348" t="s">
        <v>2023</v>
      </c>
      <c r="D3348" t="s">
        <v>441</v>
      </c>
      <c r="F3348">
        <v>0</v>
      </c>
      <c r="G3348">
        <v>8.5500000000000007</v>
      </c>
      <c r="H3348" t="s">
        <v>8588</v>
      </c>
      <c r="I3348">
        <v>6</v>
      </c>
      <c r="J3348" t="s">
        <v>445</v>
      </c>
      <c r="M3348">
        <v>2391</v>
      </c>
      <c r="N3348" t="s">
        <v>16033</v>
      </c>
    </row>
    <row r="3349" spans="1:14">
      <c r="A3349">
        <v>16240002</v>
      </c>
      <c r="B3349">
        <v>3042846</v>
      </c>
      <c r="C3349" t="s">
        <v>17396</v>
      </c>
      <c r="D3349" t="s">
        <v>441</v>
      </c>
      <c r="F3349">
        <v>0</v>
      </c>
      <c r="G3349">
        <v>18.29</v>
      </c>
      <c r="H3349" t="s">
        <v>8588</v>
      </c>
      <c r="I3349">
        <v>540</v>
      </c>
      <c r="J3349" t="s">
        <v>445</v>
      </c>
      <c r="M3349">
        <v>7111</v>
      </c>
      <c r="N3349" t="s">
        <v>16033</v>
      </c>
    </row>
    <row r="3350" spans="1:14">
      <c r="A3350">
        <v>16240007</v>
      </c>
      <c r="B3350">
        <v>3024933</v>
      </c>
      <c r="C3350" t="s">
        <v>374</v>
      </c>
      <c r="D3350" t="s">
        <v>441</v>
      </c>
      <c r="F3350">
        <v>0</v>
      </c>
      <c r="G3350">
        <v>8.67</v>
      </c>
      <c r="H3350" t="s">
        <v>8588</v>
      </c>
      <c r="I3350">
        <v>6</v>
      </c>
      <c r="J3350" t="s">
        <v>445</v>
      </c>
      <c r="M3350">
        <v>3113</v>
      </c>
      <c r="N3350" t="s">
        <v>16033</v>
      </c>
    </row>
    <row r="3351" spans="1:14">
      <c r="A3351">
        <v>16240502</v>
      </c>
      <c r="B3351">
        <v>3037888</v>
      </c>
      <c r="C3351" t="s">
        <v>2024</v>
      </c>
      <c r="D3351" t="s">
        <v>441</v>
      </c>
      <c r="F3351">
        <v>0</v>
      </c>
      <c r="G3351">
        <v>17.47</v>
      </c>
      <c r="H3351" t="s">
        <v>8634</v>
      </c>
      <c r="I3351">
        <v>5</v>
      </c>
      <c r="J3351" t="s">
        <v>445</v>
      </c>
      <c r="M3351">
        <v>2502</v>
      </c>
      <c r="N3351" t="s">
        <v>16033</v>
      </c>
    </row>
    <row r="3352" spans="1:14">
      <c r="A3352">
        <v>16240602</v>
      </c>
      <c r="B3352">
        <v>3042843</v>
      </c>
      <c r="C3352" t="s">
        <v>2025</v>
      </c>
      <c r="D3352" t="s">
        <v>441</v>
      </c>
      <c r="F3352">
        <v>0</v>
      </c>
      <c r="G3352">
        <v>18.37</v>
      </c>
      <c r="H3352" t="s">
        <v>8588</v>
      </c>
      <c r="I3352">
        <v>4</v>
      </c>
      <c r="J3352" t="s">
        <v>445</v>
      </c>
      <c r="M3352">
        <v>2391</v>
      </c>
      <c r="N3352" t="s">
        <v>16033</v>
      </c>
    </row>
    <row r="3353" spans="1:14">
      <c r="A3353">
        <v>16240900</v>
      </c>
      <c r="B3353">
        <v>3020263</v>
      </c>
      <c r="C3353" t="s">
        <v>2026</v>
      </c>
      <c r="D3353" t="s">
        <v>441</v>
      </c>
      <c r="F3353">
        <v>0</v>
      </c>
      <c r="G3353">
        <v>0</v>
      </c>
      <c r="H3353" t="s">
        <v>8584</v>
      </c>
      <c r="I3353">
        <v>6</v>
      </c>
      <c r="J3353" t="s">
        <v>445</v>
      </c>
      <c r="M3353">
        <v>6666</v>
      </c>
      <c r="N3353" t="s">
        <v>16033</v>
      </c>
    </row>
    <row r="3354" spans="1:14">
      <c r="A3354">
        <v>16240902</v>
      </c>
      <c r="B3354">
        <v>3042876</v>
      </c>
      <c r="C3354" t="s">
        <v>2027</v>
      </c>
      <c r="D3354" t="s">
        <v>441</v>
      </c>
      <c r="F3354">
        <v>0</v>
      </c>
      <c r="G3354">
        <v>1</v>
      </c>
      <c r="H3354" t="s">
        <v>8588</v>
      </c>
      <c r="I3354">
        <v>4</v>
      </c>
      <c r="J3354" t="s">
        <v>445</v>
      </c>
      <c r="M3354">
        <v>6666</v>
      </c>
      <c r="N3354" t="s">
        <v>16033</v>
      </c>
    </row>
    <row r="3355" spans="1:14">
      <c r="A3355">
        <v>16240907</v>
      </c>
      <c r="B3355">
        <v>3025193</v>
      </c>
      <c r="C3355" t="s">
        <v>196</v>
      </c>
      <c r="D3355" t="s">
        <v>441</v>
      </c>
      <c r="F3355">
        <v>0</v>
      </c>
      <c r="G3355">
        <v>0</v>
      </c>
      <c r="H3355" t="s">
        <v>8580</v>
      </c>
      <c r="I3355">
        <v>6</v>
      </c>
      <c r="J3355" t="s">
        <v>445</v>
      </c>
      <c r="M3355">
        <v>6666</v>
      </c>
      <c r="N3355" t="s">
        <v>16033</v>
      </c>
    </row>
    <row r="3356" spans="1:14">
      <c r="A3356">
        <v>16241000</v>
      </c>
      <c r="B3356">
        <v>3017453</v>
      </c>
      <c r="C3356" t="s">
        <v>2028</v>
      </c>
      <c r="D3356" t="s">
        <v>441</v>
      </c>
      <c r="F3356">
        <v>0</v>
      </c>
      <c r="G3356">
        <v>8.5500000000000007</v>
      </c>
      <c r="H3356" t="s">
        <v>8588</v>
      </c>
      <c r="I3356">
        <v>6</v>
      </c>
      <c r="J3356" t="s">
        <v>445</v>
      </c>
      <c r="M3356">
        <v>2391</v>
      </c>
      <c r="N3356" t="s">
        <v>16033</v>
      </c>
    </row>
    <row r="3357" spans="1:14">
      <c r="A3357">
        <v>16241002</v>
      </c>
      <c r="B3357">
        <v>3044595</v>
      </c>
      <c r="C3357" t="s">
        <v>15263</v>
      </c>
      <c r="D3357" t="s">
        <v>441</v>
      </c>
      <c r="F3357">
        <v>0</v>
      </c>
      <c r="G3357">
        <v>15.38</v>
      </c>
      <c r="H3357" t="s">
        <v>8588</v>
      </c>
      <c r="I3357">
        <v>540</v>
      </c>
      <c r="J3357" t="s">
        <v>445</v>
      </c>
      <c r="M3357">
        <v>7111</v>
      </c>
      <c r="N3357" t="s">
        <v>16033</v>
      </c>
    </row>
    <row r="3358" spans="1:14">
      <c r="A3358">
        <v>16241007</v>
      </c>
      <c r="B3358">
        <v>3024934</v>
      </c>
      <c r="C3358" t="s">
        <v>9988</v>
      </c>
      <c r="D3358" t="s">
        <v>441</v>
      </c>
      <c r="F3358">
        <v>0</v>
      </c>
      <c r="G3358">
        <v>13.34</v>
      </c>
      <c r="H3358" t="s">
        <v>8580</v>
      </c>
      <c r="I3358">
        <v>6</v>
      </c>
      <c r="J3358" t="s">
        <v>445</v>
      </c>
      <c r="K3358" t="s">
        <v>446</v>
      </c>
      <c r="M3358">
        <v>3111</v>
      </c>
      <c r="N3358" t="s">
        <v>16033</v>
      </c>
    </row>
    <row r="3359" spans="1:14">
      <c r="A3359">
        <v>16241087</v>
      </c>
      <c r="B3359">
        <v>3042970</v>
      </c>
      <c r="C3359" t="s">
        <v>2029</v>
      </c>
      <c r="D3359" t="s">
        <v>441</v>
      </c>
      <c r="F3359">
        <v>0</v>
      </c>
      <c r="G3359">
        <v>17.5</v>
      </c>
      <c r="H3359" t="s">
        <v>8588</v>
      </c>
      <c r="I3359">
        <v>6</v>
      </c>
      <c r="J3359" t="s">
        <v>445</v>
      </c>
      <c r="M3359">
        <v>7112</v>
      </c>
      <c r="N3359" t="s">
        <v>16033</v>
      </c>
    </row>
    <row r="3360" spans="1:14">
      <c r="A3360">
        <v>16241502</v>
      </c>
      <c r="B3360">
        <v>3044594</v>
      </c>
      <c r="C3360" t="s">
        <v>15264</v>
      </c>
      <c r="D3360" t="s">
        <v>441</v>
      </c>
      <c r="F3360">
        <v>0</v>
      </c>
      <c r="G3360">
        <v>14.77</v>
      </c>
      <c r="H3360" t="s">
        <v>8588</v>
      </c>
      <c r="I3360">
        <v>540</v>
      </c>
      <c r="J3360" t="s">
        <v>445</v>
      </c>
      <c r="M3360">
        <v>2502</v>
      </c>
      <c r="N3360" t="s">
        <v>16033</v>
      </c>
    </row>
    <row r="3361" spans="1:14">
      <c r="A3361">
        <v>16241900</v>
      </c>
      <c r="B3361">
        <v>3020264</v>
      </c>
      <c r="C3361" t="s">
        <v>2030</v>
      </c>
      <c r="D3361" t="s">
        <v>441</v>
      </c>
      <c r="F3361">
        <v>0</v>
      </c>
      <c r="G3361">
        <v>0</v>
      </c>
      <c r="H3361" t="s">
        <v>8584</v>
      </c>
      <c r="I3361">
        <v>6</v>
      </c>
      <c r="J3361" t="s">
        <v>445</v>
      </c>
      <c r="M3361">
        <v>6666</v>
      </c>
      <c r="N3361" t="s">
        <v>16033</v>
      </c>
    </row>
    <row r="3362" spans="1:14">
      <c r="A3362">
        <v>16241907</v>
      </c>
      <c r="B3362">
        <v>3025194</v>
      </c>
      <c r="C3362" t="s">
        <v>9989</v>
      </c>
      <c r="D3362" t="s">
        <v>441</v>
      </c>
      <c r="F3362">
        <v>0</v>
      </c>
      <c r="G3362">
        <v>0</v>
      </c>
      <c r="H3362" t="s">
        <v>8584</v>
      </c>
      <c r="I3362">
        <v>6</v>
      </c>
      <c r="J3362" t="s">
        <v>445</v>
      </c>
      <c r="K3362" t="s">
        <v>446</v>
      </c>
      <c r="M3362">
        <v>6666</v>
      </c>
      <c r="N3362" t="s">
        <v>16033</v>
      </c>
    </row>
    <row r="3363" spans="1:14">
      <c r="A3363">
        <v>16244000</v>
      </c>
      <c r="B3363">
        <v>3039221</v>
      </c>
      <c r="C3363" t="s">
        <v>2031</v>
      </c>
      <c r="D3363" t="s">
        <v>441</v>
      </c>
      <c r="F3363">
        <v>0</v>
      </c>
      <c r="G3363">
        <v>8.5500000000000007</v>
      </c>
      <c r="H3363" t="s">
        <v>8580</v>
      </c>
      <c r="I3363">
        <v>6</v>
      </c>
      <c r="J3363" t="s">
        <v>445</v>
      </c>
      <c r="M3363">
        <v>2391</v>
      </c>
      <c r="N3363" t="s">
        <v>16033</v>
      </c>
    </row>
    <row r="3364" spans="1:14">
      <c r="A3364">
        <v>16244007</v>
      </c>
      <c r="B3364">
        <v>3039360</v>
      </c>
      <c r="C3364" t="s">
        <v>2032</v>
      </c>
      <c r="D3364" t="s">
        <v>441</v>
      </c>
      <c r="F3364">
        <v>0</v>
      </c>
      <c r="G3364">
        <v>8.67</v>
      </c>
      <c r="H3364" t="s">
        <v>8588</v>
      </c>
      <c r="I3364">
        <v>6</v>
      </c>
      <c r="J3364" t="s">
        <v>445</v>
      </c>
      <c r="M3364">
        <v>3111</v>
      </c>
      <c r="N3364" t="s">
        <v>16033</v>
      </c>
    </row>
    <row r="3365" spans="1:14">
      <c r="A3365">
        <v>16244907</v>
      </c>
      <c r="B3365">
        <v>3041101</v>
      </c>
      <c r="C3365" t="s">
        <v>2033</v>
      </c>
      <c r="D3365" t="s">
        <v>441</v>
      </c>
      <c r="F3365">
        <v>0</v>
      </c>
      <c r="G3365">
        <v>9.16</v>
      </c>
      <c r="I3365">
        <v>6</v>
      </c>
      <c r="J3365" t="s">
        <v>445</v>
      </c>
      <c r="M3365">
        <v>6666</v>
      </c>
      <c r="N3365" t="s">
        <v>16033</v>
      </c>
    </row>
    <row r="3366" spans="1:14">
      <c r="A3366">
        <v>16249000</v>
      </c>
      <c r="B3366">
        <v>3037940</v>
      </c>
      <c r="C3366" t="s">
        <v>2034</v>
      </c>
      <c r="D3366" t="s">
        <v>441</v>
      </c>
      <c r="F3366">
        <v>0</v>
      </c>
      <c r="G3366">
        <v>8.5500000000000007</v>
      </c>
      <c r="H3366" t="s">
        <v>8549</v>
      </c>
      <c r="I3366">
        <v>6</v>
      </c>
      <c r="J3366" t="s">
        <v>445</v>
      </c>
      <c r="M3366">
        <v>3111</v>
      </c>
      <c r="N3366" t="s">
        <v>16033</v>
      </c>
    </row>
    <row r="3367" spans="1:14">
      <c r="A3367">
        <v>16249900</v>
      </c>
      <c r="B3367">
        <v>3037941</v>
      </c>
      <c r="C3367" t="s">
        <v>2035</v>
      </c>
      <c r="D3367" t="s">
        <v>441</v>
      </c>
      <c r="F3367">
        <v>0</v>
      </c>
      <c r="H3367" t="s">
        <v>8584</v>
      </c>
      <c r="I3367">
        <v>6</v>
      </c>
      <c r="J3367" t="s">
        <v>445</v>
      </c>
      <c r="M3367">
        <v>6666</v>
      </c>
      <c r="N3367" t="s">
        <v>16033</v>
      </c>
    </row>
    <row r="3368" spans="1:14">
      <c r="A3368">
        <v>16250000</v>
      </c>
      <c r="B3368">
        <v>3046027</v>
      </c>
      <c r="C3368" t="s">
        <v>17397</v>
      </c>
      <c r="D3368" t="s">
        <v>441</v>
      </c>
      <c r="F3368">
        <v>0</v>
      </c>
      <c r="G3368">
        <v>19.690000000000001</v>
      </c>
      <c r="H3368" t="s">
        <v>8549</v>
      </c>
      <c r="I3368">
        <v>6</v>
      </c>
      <c r="J3368" t="s">
        <v>445</v>
      </c>
      <c r="M3368">
        <v>2391</v>
      </c>
      <c r="N3368" t="s">
        <v>16106</v>
      </c>
    </row>
    <row r="3369" spans="1:14">
      <c r="A3369">
        <v>16250075</v>
      </c>
      <c r="B3369">
        <v>3046028</v>
      </c>
      <c r="C3369" t="s">
        <v>17398</v>
      </c>
      <c r="D3369" t="s">
        <v>441</v>
      </c>
      <c r="F3369">
        <v>0</v>
      </c>
      <c r="G3369">
        <v>20.04</v>
      </c>
      <c r="H3369" t="s">
        <v>8588</v>
      </c>
      <c r="I3369">
        <v>6</v>
      </c>
      <c r="J3369" t="s">
        <v>445</v>
      </c>
      <c r="M3369">
        <v>7112</v>
      </c>
      <c r="N3369" t="s">
        <v>16106</v>
      </c>
    </row>
    <row r="3370" spans="1:14">
      <c r="A3370">
        <v>16260000</v>
      </c>
      <c r="B3370">
        <v>3023810</v>
      </c>
      <c r="C3370" t="s">
        <v>2036</v>
      </c>
      <c r="D3370" t="s">
        <v>441</v>
      </c>
      <c r="F3370">
        <v>0</v>
      </c>
      <c r="G3370">
        <v>17.71</v>
      </c>
      <c r="H3370" t="s">
        <v>8588</v>
      </c>
      <c r="I3370">
        <v>6</v>
      </c>
      <c r="J3370" t="s">
        <v>445</v>
      </c>
      <c r="M3370">
        <v>2391</v>
      </c>
      <c r="N3370" t="s">
        <v>16106</v>
      </c>
    </row>
    <row r="3371" spans="1:14">
      <c r="A3371">
        <v>16260028</v>
      </c>
      <c r="B3371">
        <v>4015926</v>
      </c>
      <c r="C3371" t="s">
        <v>2037</v>
      </c>
      <c r="D3371" t="s">
        <v>441</v>
      </c>
      <c r="F3371">
        <v>0</v>
      </c>
      <c r="G3371">
        <v>22.71</v>
      </c>
      <c r="H3371" t="s">
        <v>8588</v>
      </c>
      <c r="I3371">
        <v>540</v>
      </c>
      <c r="J3371" t="s">
        <v>462</v>
      </c>
      <c r="L3371" t="s">
        <v>9990</v>
      </c>
      <c r="M3371">
        <v>7111</v>
      </c>
      <c r="N3371" t="s">
        <v>16106</v>
      </c>
    </row>
    <row r="3372" spans="1:14">
      <c r="A3372">
        <v>16260528</v>
      </c>
      <c r="B3372">
        <v>3023965</v>
      </c>
      <c r="C3372" t="s">
        <v>2038</v>
      </c>
      <c r="D3372" t="s">
        <v>441</v>
      </c>
      <c r="F3372">
        <v>0</v>
      </c>
      <c r="G3372">
        <v>18.559999999999999</v>
      </c>
      <c r="H3372" t="s">
        <v>8588</v>
      </c>
      <c r="I3372">
        <v>6</v>
      </c>
      <c r="J3372" t="s">
        <v>445</v>
      </c>
      <c r="M3372">
        <v>2502</v>
      </c>
      <c r="N3372" t="s">
        <v>16106</v>
      </c>
    </row>
    <row r="3373" spans="1:14">
      <c r="A3373">
        <v>16261000</v>
      </c>
      <c r="B3373">
        <v>3023813</v>
      </c>
      <c r="C3373" t="s">
        <v>2039</v>
      </c>
      <c r="D3373" t="s">
        <v>441</v>
      </c>
      <c r="F3373">
        <v>0</v>
      </c>
      <c r="G3373">
        <v>17.71</v>
      </c>
      <c r="H3373" t="s">
        <v>8588</v>
      </c>
      <c r="I3373">
        <v>6</v>
      </c>
      <c r="J3373" t="s">
        <v>445</v>
      </c>
      <c r="M3373">
        <v>2391</v>
      </c>
      <c r="N3373" t="s">
        <v>16106</v>
      </c>
    </row>
    <row r="3374" spans="1:14">
      <c r="A3374">
        <v>16261028</v>
      </c>
      <c r="B3374">
        <v>4015927</v>
      </c>
      <c r="C3374" t="s">
        <v>9991</v>
      </c>
      <c r="D3374" t="s">
        <v>441</v>
      </c>
      <c r="F3374">
        <v>0</v>
      </c>
      <c r="G3374">
        <v>13.82</v>
      </c>
      <c r="H3374" t="s">
        <v>8588</v>
      </c>
      <c r="I3374">
        <v>365</v>
      </c>
      <c r="J3374" t="s">
        <v>462</v>
      </c>
      <c r="K3374" t="s">
        <v>446</v>
      </c>
      <c r="L3374" t="s">
        <v>9990</v>
      </c>
      <c r="M3374">
        <v>2501</v>
      </c>
      <c r="N3374" t="s">
        <v>16106</v>
      </c>
    </row>
    <row r="3375" spans="1:14">
      <c r="A3375">
        <v>16261528</v>
      </c>
      <c r="B3375">
        <v>3023967</v>
      </c>
      <c r="C3375" t="s">
        <v>2040</v>
      </c>
      <c r="D3375" t="s">
        <v>441</v>
      </c>
      <c r="F3375">
        <v>0</v>
      </c>
      <c r="G3375">
        <v>13.64</v>
      </c>
      <c r="H3375" t="s">
        <v>8588</v>
      </c>
      <c r="I3375">
        <v>6</v>
      </c>
      <c r="J3375" t="s">
        <v>445</v>
      </c>
      <c r="K3375" t="s">
        <v>446</v>
      </c>
      <c r="M3375">
        <v>2641</v>
      </c>
      <c r="N3375" t="s">
        <v>16106</v>
      </c>
    </row>
    <row r="3376" spans="1:14">
      <c r="A3376">
        <v>16270000</v>
      </c>
      <c r="B3376">
        <v>3023814</v>
      </c>
      <c r="C3376" t="s">
        <v>2041</v>
      </c>
      <c r="D3376" t="s">
        <v>441</v>
      </c>
      <c r="F3376">
        <v>0</v>
      </c>
      <c r="G3376">
        <v>17.71</v>
      </c>
      <c r="H3376" t="s">
        <v>8588</v>
      </c>
      <c r="I3376">
        <v>6</v>
      </c>
      <c r="J3376" t="s">
        <v>445</v>
      </c>
      <c r="M3376">
        <v>2391</v>
      </c>
      <c r="N3376" t="s">
        <v>16106</v>
      </c>
    </row>
    <row r="3377" spans="1:14">
      <c r="A3377">
        <v>16270028</v>
      </c>
      <c r="B3377">
        <v>4015928</v>
      </c>
      <c r="C3377" t="s">
        <v>2042</v>
      </c>
      <c r="D3377" t="s">
        <v>441</v>
      </c>
      <c r="F3377">
        <v>0</v>
      </c>
      <c r="G3377">
        <v>22.71</v>
      </c>
      <c r="H3377" t="s">
        <v>8588</v>
      </c>
      <c r="I3377">
        <v>540</v>
      </c>
      <c r="J3377" t="s">
        <v>462</v>
      </c>
      <c r="L3377" t="s">
        <v>9992</v>
      </c>
      <c r="M3377">
        <v>7111</v>
      </c>
      <c r="N3377" t="s">
        <v>16106</v>
      </c>
    </row>
    <row r="3378" spans="1:14">
      <c r="A3378">
        <v>16270029</v>
      </c>
      <c r="B3378">
        <v>3026815</v>
      </c>
      <c r="C3378" t="s">
        <v>9993</v>
      </c>
      <c r="D3378" t="s">
        <v>441</v>
      </c>
      <c r="F3378">
        <v>0</v>
      </c>
      <c r="G3378">
        <v>13.93</v>
      </c>
      <c r="H3378" t="s">
        <v>8588</v>
      </c>
      <c r="I3378">
        <v>365</v>
      </c>
      <c r="J3378" t="s">
        <v>445</v>
      </c>
      <c r="K3378" t="s">
        <v>446</v>
      </c>
      <c r="M3378">
        <v>2501</v>
      </c>
    </row>
    <row r="3379" spans="1:14">
      <c r="A3379">
        <v>16270030</v>
      </c>
      <c r="B3379">
        <v>4018873</v>
      </c>
      <c r="C3379" t="s">
        <v>16107</v>
      </c>
      <c r="D3379" t="s">
        <v>441</v>
      </c>
      <c r="F3379">
        <v>0</v>
      </c>
      <c r="G3379">
        <v>20.91</v>
      </c>
      <c r="H3379" t="s">
        <v>8588</v>
      </c>
      <c r="I3379">
        <v>12</v>
      </c>
      <c r="J3379" t="s">
        <v>462</v>
      </c>
      <c r="M3379">
        <v>7112</v>
      </c>
      <c r="N3379" t="s">
        <v>16106</v>
      </c>
    </row>
    <row r="3380" spans="1:14">
      <c r="A3380">
        <v>16270075</v>
      </c>
      <c r="B3380">
        <v>3026497</v>
      </c>
      <c r="C3380" t="s">
        <v>2043</v>
      </c>
      <c r="D3380" t="s">
        <v>441</v>
      </c>
      <c r="F3380">
        <v>0</v>
      </c>
      <c r="G3380">
        <v>13.27</v>
      </c>
      <c r="H3380" t="s">
        <v>8549</v>
      </c>
      <c r="I3380">
        <v>6</v>
      </c>
      <c r="J3380" t="s">
        <v>445</v>
      </c>
      <c r="K3380" t="s">
        <v>446</v>
      </c>
      <c r="M3380">
        <v>2641</v>
      </c>
      <c r="N3380" t="s">
        <v>16106</v>
      </c>
    </row>
    <row r="3381" spans="1:14">
      <c r="A3381">
        <v>16270528</v>
      </c>
      <c r="B3381">
        <v>3023968</v>
      </c>
      <c r="C3381" t="s">
        <v>2044</v>
      </c>
      <c r="D3381" t="s">
        <v>441</v>
      </c>
      <c r="F3381">
        <v>0</v>
      </c>
      <c r="G3381">
        <v>18.55</v>
      </c>
      <c r="H3381" t="s">
        <v>8588</v>
      </c>
      <c r="I3381">
        <v>6</v>
      </c>
      <c r="J3381" t="s">
        <v>445</v>
      </c>
      <c r="M3381">
        <v>2502</v>
      </c>
      <c r="N3381" t="s">
        <v>16106</v>
      </c>
    </row>
    <row r="3382" spans="1:14">
      <c r="A3382">
        <v>16271000</v>
      </c>
      <c r="B3382">
        <v>3023804</v>
      </c>
      <c r="C3382" t="s">
        <v>2045</v>
      </c>
      <c r="D3382" t="s">
        <v>441</v>
      </c>
      <c r="F3382">
        <v>0</v>
      </c>
      <c r="G3382">
        <v>17.71</v>
      </c>
      <c r="H3382" t="s">
        <v>8588</v>
      </c>
      <c r="I3382">
        <v>6</v>
      </c>
      <c r="J3382" t="s">
        <v>445</v>
      </c>
      <c r="M3382">
        <v>2391</v>
      </c>
      <c r="N3382" t="s">
        <v>16106</v>
      </c>
    </row>
    <row r="3383" spans="1:14">
      <c r="A3383">
        <v>16271028</v>
      </c>
      <c r="B3383">
        <v>4015929</v>
      </c>
      <c r="C3383" t="s">
        <v>9994</v>
      </c>
      <c r="D3383" t="s">
        <v>441</v>
      </c>
      <c r="F3383">
        <v>0</v>
      </c>
      <c r="G3383">
        <v>13.81</v>
      </c>
      <c r="H3383" t="s">
        <v>8588</v>
      </c>
      <c r="I3383">
        <v>365</v>
      </c>
      <c r="J3383" t="s">
        <v>462</v>
      </c>
      <c r="K3383" t="s">
        <v>446</v>
      </c>
      <c r="L3383" t="s">
        <v>9992</v>
      </c>
      <c r="M3383">
        <v>2501</v>
      </c>
      <c r="N3383" t="s">
        <v>16106</v>
      </c>
    </row>
    <row r="3384" spans="1:14">
      <c r="A3384">
        <v>16271075</v>
      </c>
      <c r="B3384">
        <v>3026498</v>
      </c>
      <c r="C3384" t="s">
        <v>9995</v>
      </c>
      <c r="D3384" t="s">
        <v>441</v>
      </c>
      <c r="F3384">
        <v>0</v>
      </c>
      <c r="G3384">
        <v>13.27</v>
      </c>
      <c r="H3384" t="s">
        <v>8549</v>
      </c>
      <c r="I3384">
        <v>6</v>
      </c>
      <c r="J3384" t="s">
        <v>445</v>
      </c>
      <c r="K3384" t="s">
        <v>446</v>
      </c>
      <c r="M3384">
        <v>2641</v>
      </c>
      <c r="N3384" t="s">
        <v>16106</v>
      </c>
    </row>
    <row r="3385" spans="1:14">
      <c r="A3385">
        <v>16271528</v>
      </c>
      <c r="B3385">
        <v>3023969</v>
      </c>
      <c r="C3385" t="s">
        <v>2046</v>
      </c>
      <c r="D3385" t="s">
        <v>441</v>
      </c>
      <c r="F3385">
        <v>0</v>
      </c>
      <c r="G3385">
        <v>13.63</v>
      </c>
      <c r="H3385" t="s">
        <v>8588</v>
      </c>
      <c r="I3385">
        <v>6</v>
      </c>
      <c r="J3385" t="s">
        <v>445</v>
      </c>
      <c r="K3385" t="s">
        <v>446</v>
      </c>
      <c r="M3385">
        <v>2641</v>
      </c>
      <c r="N3385" t="s">
        <v>16106</v>
      </c>
    </row>
    <row r="3386" spans="1:14">
      <c r="A3386">
        <v>16280000</v>
      </c>
      <c r="B3386">
        <v>3023802</v>
      </c>
      <c r="C3386" t="s">
        <v>2047</v>
      </c>
      <c r="D3386" t="s">
        <v>441</v>
      </c>
      <c r="F3386">
        <v>0</v>
      </c>
      <c r="G3386">
        <v>17.71</v>
      </c>
      <c r="H3386" t="s">
        <v>8588</v>
      </c>
      <c r="I3386">
        <v>6</v>
      </c>
      <c r="J3386" t="s">
        <v>445</v>
      </c>
      <c r="M3386">
        <v>2391</v>
      </c>
      <c r="N3386" t="s">
        <v>16106</v>
      </c>
    </row>
    <row r="3387" spans="1:14">
      <c r="A3387">
        <v>16280028</v>
      </c>
      <c r="B3387">
        <v>4015930</v>
      </c>
      <c r="C3387" t="s">
        <v>2048</v>
      </c>
      <c r="D3387" t="s">
        <v>441</v>
      </c>
      <c r="F3387">
        <v>0</v>
      </c>
      <c r="G3387">
        <v>22.7</v>
      </c>
      <c r="H3387" t="s">
        <v>8588</v>
      </c>
      <c r="I3387">
        <v>540</v>
      </c>
      <c r="J3387" t="s">
        <v>462</v>
      </c>
      <c r="L3387" t="s">
        <v>9996</v>
      </c>
      <c r="M3387">
        <v>7111</v>
      </c>
      <c r="N3387" t="s">
        <v>16106</v>
      </c>
    </row>
    <row r="3388" spans="1:14">
      <c r="A3388">
        <v>16280029</v>
      </c>
      <c r="B3388">
        <v>3026773</v>
      </c>
      <c r="C3388" t="s">
        <v>9997</v>
      </c>
      <c r="D3388" t="s">
        <v>441</v>
      </c>
      <c r="F3388">
        <v>0</v>
      </c>
      <c r="G3388">
        <v>13.92</v>
      </c>
      <c r="H3388" t="s">
        <v>8588</v>
      </c>
      <c r="I3388">
        <v>365</v>
      </c>
      <c r="J3388" t="s">
        <v>445</v>
      </c>
      <c r="K3388" t="s">
        <v>446</v>
      </c>
      <c r="M3388">
        <v>2501</v>
      </c>
    </row>
    <row r="3389" spans="1:14">
      <c r="A3389">
        <v>16280528</v>
      </c>
      <c r="B3389">
        <v>3023970</v>
      </c>
      <c r="C3389" t="s">
        <v>2049</v>
      </c>
      <c r="D3389" t="s">
        <v>441</v>
      </c>
      <c r="F3389">
        <v>0</v>
      </c>
      <c r="G3389">
        <v>18.54</v>
      </c>
      <c r="H3389" t="s">
        <v>8588</v>
      </c>
      <c r="I3389">
        <v>6</v>
      </c>
      <c r="J3389" t="s">
        <v>445</v>
      </c>
      <c r="M3389">
        <v>2502</v>
      </c>
      <c r="N3389" t="s">
        <v>16106</v>
      </c>
    </row>
    <row r="3390" spans="1:14">
      <c r="A3390">
        <v>16280628</v>
      </c>
      <c r="B3390">
        <v>3033089</v>
      </c>
      <c r="C3390" t="s">
        <v>9998</v>
      </c>
      <c r="D3390" t="s">
        <v>441</v>
      </c>
      <c r="F3390">
        <v>0</v>
      </c>
      <c r="G3390">
        <v>16.37</v>
      </c>
      <c r="H3390" t="s">
        <v>8588</v>
      </c>
      <c r="I3390">
        <v>4</v>
      </c>
      <c r="J3390" t="s">
        <v>445</v>
      </c>
      <c r="K3390" t="s">
        <v>446</v>
      </c>
      <c r="M3390">
        <v>2511</v>
      </c>
      <c r="N3390" t="s">
        <v>16106</v>
      </c>
    </row>
    <row r="3391" spans="1:14">
      <c r="A3391">
        <v>16280928</v>
      </c>
      <c r="B3391">
        <v>3033124</v>
      </c>
      <c r="C3391" t="s">
        <v>9999</v>
      </c>
      <c r="D3391" t="s">
        <v>441</v>
      </c>
      <c r="F3391">
        <v>0</v>
      </c>
      <c r="H3391" t="s">
        <v>8580</v>
      </c>
      <c r="I3391">
        <v>4</v>
      </c>
      <c r="J3391" t="s">
        <v>445</v>
      </c>
      <c r="K3391" t="s">
        <v>446</v>
      </c>
      <c r="M3391">
        <v>6666</v>
      </c>
      <c r="N3391" t="s">
        <v>16106</v>
      </c>
    </row>
    <row r="3392" spans="1:14">
      <c r="A3392">
        <v>16281000</v>
      </c>
      <c r="B3392">
        <v>3023800</v>
      </c>
      <c r="C3392" t="s">
        <v>2050</v>
      </c>
      <c r="D3392" t="s">
        <v>441</v>
      </c>
      <c r="F3392">
        <v>0</v>
      </c>
      <c r="G3392">
        <v>17.71</v>
      </c>
      <c r="H3392" t="s">
        <v>8588</v>
      </c>
      <c r="I3392">
        <v>6</v>
      </c>
      <c r="J3392" t="s">
        <v>445</v>
      </c>
      <c r="M3392">
        <v>2391</v>
      </c>
      <c r="N3392" t="s">
        <v>16106</v>
      </c>
    </row>
    <row r="3393" spans="1:14">
      <c r="A3393">
        <v>16281028</v>
      </c>
      <c r="B3393">
        <v>4015931</v>
      </c>
      <c r="C3393" t="s">
        <v>10000</v>
      </c>
      <c r="D3393" t="s">
        <v>441</v>
      </c>
      <c r="F3393">
        <v>0</v>
      </c>
      <c r="G3393">
        <v>13.8</v>
      </c>
      <c r="H3393" t="s">
        <v>8588</v>
      </c>
      <c r="I3393">
        <v>365</v>
      </c>
      <c r="J3393" t="s">
        <v>462</v>
      </c>
      <c r="K3393" t="s">
        <v>446</v>
      </c>
      <c r="L3393" t="s">
        <v>9996</v>
      </c>
      <c r="M3393">
        <v>2501</v>
      </c>
      <c r="N3393" t="s">
        <v>16106</v>
      </c>
    </row>
    <row r="3394" spans="1:14">
      <c r="A3394">
        <v>16281528</v>
      </c>
      <c r="B3394">
        <v>3023971</v>
      </c>
      <c r="C3394" t="s">
        <v>2051</v>
      </c>
      <c r="D3394" t="s">
        <v>441</v>
      </c>
      <c r="F3394">
        <v>0</v>
      </c>
      <c r="G3394">
        <v>13.61</v>
      </c>
      <c r="H3394" t="s">
        <v>8588</v>
      </c>
      <c r="I3394">
        <v>6</v>
      </c>
      <c r="J3394" t="s">
        <v>445</v>
      </c>
      <c r="K3394" t="s">
        <v>446</v>
      </c>
      <c r="M3394">
        <v>2641</v>
      </c>
      <c r="N3394" t="s">
        <v>16106</v>
      </c>
    </row>
    <row r="3395" spans="1:14">
      <c r="A3395">
        <v>16290000</v>
      </c>
      <c r="B3395">
        <v>3007723</v>
      </c>
      <c r="C3395" t="s">
        <v>2052</v>
      </c>
      <c r="D3395" t="s">
        <v>441</v>
      </c>
      <c r="F3395">
        <v>0</v>
      </c>
      <c r="G3395">
        <v>9.5</v>
      </c>
      <c r="I3395">
        <v>6</v>
      </c>
      <c r="J3395" t="s">
        <v>445</v>
      </c>
      <c r="K3395" t="s">
        <v>446</v>
      </c>
      <c r="M3395">
        <v>0</v>
      </c>
    </row>
    <row r="3396" spans="1:14">
      <c r="A3396">
        <v>16290002</v>
      </c>
      <c r="B3396">
        <v>3009010</v>
      </c>
      <c r="C3396" t="s">
        <v>10001</v>
      </c>
      <c r="D3396" t="s">
        <v>441</v>
      </c>
      <c r="F3396">
        <v>0</v>
      </c>
      <c r="G3396">
        <v>9.9</v>
      </c>
      <c r="H3396" t="s">
        <v>8580</v>
      </c>
      <c r="I3396">
        <v>365</v>
      </c>
      <c r="J3396" t="s">
        <v>445</v>
      </c>
      <c r="K3396" t="s">
        <v>446</v>
      </c>
      <c r="M3396">
        <v>2501</v>
      </c>
    </row>
    <row r="3397" spans="1:14">
      <c r="A3397">
        <v>16290502</v>
      </c>
      <c r="B3397">
        <v>3009012</v>
      </c>
      <c r="C3397" t="s">
        <v>10002</v>
      </c>
      <c r="D3397" t="s">
        <v>441</v>
      </c>
      <c r="F3397">
        <v>0</v>
      </c>
      <c r="G3397">
        <v>9.61</v>
      </c>
      <c r="H3397" t="s">
        <v>8580</v>
      </c>
      <c r="I3397">
        <v>6</v>
      </c>
      <c r="J3397" t="s">
        <v>445</v>
      </c>
      <c r="K3397" t="s">
        <v>446</v>
      </c>
      <c r="M3397">
        <v>2641</v>
      </c>
    </row>
    <row r="3398" spans="1:14">
      <c r="A3398">
        <v>16290602</v>
      </c>
      <c r="B3398">
        <v>3009014</v>
      </c>
      <c r="C3398" t="s">
        <v>2053</v>
      </c>
      <c r="D3398" t="s">
        <v>441</v>
      </c>
      <c r="F3398">
        <v>0</v>
      </c>
      <c r="G3398">
        <v>10.220000000000001</v>
      </c>
      <c r="H3398" t="s">
        <v>8588</v>
      </c>
      <c r="I3398">
        <v>4</v>
      </c>
      <c r="J3398" t="s">
        <v>445</v>
      </c>
      <c r="K3398" t="s">
        <v>446</v>
      </c>
      <c r="M3398">
        <v>2511</v>
      </c>
    </row>
    <row r="3399" spans="1:14">
      <c r="A3399">
        <v>16290902</v>
      </c>
      <c r="B3399">
        <v>3020265</v>
      </c>
      <c r="C3399" t="s">
        <v>2054</v>
      </c>
      <c r="D3399" t="s">
        <v>441</v>
      </c>
      <c r="F3399">
        <v>0</v>
      </c>
      <c r="G3399">
        <v>12.12</v>
      </c>
      <c r="H3399" t="s">
        <v>8584</v>
      </c>
      <c r="I3399">
        <v>4</v>
      </c>
      <c r="J3399" t="s">
        <v>445</v>
      </c>
      <c r="K3399" t="s">
        <v>446</v>
      </c>
      <c r="M3399">
        <v>6666</v>
      </c>
    </row>
    <row r="3400" spans="1:14">
      <c r="A3400">
        <v>16291000</v>
      </c>
      <c r="B3400">
        <v>3017398</v>
      </c>
      <c r="C3400" t="s">
        <v>10003</v>
      </c>
      <c r="D3400" t="s">
        <v>441</v>
      </c>
      <c r="F3400">
        <v>0</v>
      </c>
      <c r="G3400">
        <v>9.5</v>
      </c>
      <c r="I3400">
        <v>6</v>
      </c>
      <c r="J3400" t="s">
        <v>445</v>
      </c>
      <c r="K3400" t="s">
        <v>446</v>
      </c>
      <c r="M3400">
        <v>0</v>
      </c>
    </row>
    <row r="3401" spans="1:14">
      <c r="A3401">
        <v>16291002</v>
      </c>
      <c r="B3401">
        <v>3017434</v>
      </c>
      <c r="C3401" t="s">
        <v>2055</v>
      </c>
      <c r="D3401" t="s">
        <v>441</v>
      </c>
      <c r="F3401">
        <v>0</v>
      </c>
      <c r="G3401">
        <v>10.9</v>
      </c>
      <c r="H3401" t="s">
        <v>8624</v>
      </c>
      <c r="I3401">
        <v>365</v>
      </c>
      <c r="J3401" t="s">
        <v>445</v>
      </c>
      <c r="K3401" t="s">
        <v>446</v>
      </c>
      <c r="M3401">
        <v>2501</v>
      </c>
    </row>
    <row r="3402" spans="1:14">
      <c r="A3402">
        <v>16291502</v>
      </c>
      <c r="B3402">
        <v>3017436</v>
      </c>
      <c r="C3402" t="s">
        <v>2056</v>
      </c>
      <c r="D3402" t="s">
        <v>441</v>
      </c>
      <c r="F3402">
        <v>0</v>
      </c>
      <c r="G3402">
        <v>10.65</v>
      </c>
      <c r="H3402" t="s">
        <v>8624</v>
      </c>
      <c r="I3402">
        <v>6</v>
      </c>
      <c r="J3402" t="s">
        <v>445</v>
      </c>
      <c r="K3402" t="s">
        <v>446</v>
      </c>
      <c r="M3402">
        <v>2641</v>
      </c>
    </row>
    <row r="3403" spans="1:14">
      <c r="A3403">
        <v>16293000</v>
      </c>
      <c r="B3403">
        <v>3007724</v>
      </c>
      <c r="C3403" t="s">
        <v>2057</v>
      </c>
      <c r="D3403" t="s">
        <v>441</v>
      </c>
      <c r="F3403">
        <v>0</v>
      </c>
      <c r="G3403">
        <v>10.3</v>
      </c>
      <c r="I3403">
        <v>6</v>
      </c>
      <c r="J3403" t="s">
        <v>445</v>
      </c>
      <c r="K3403" t="s">
        <v>446</v>
      </c>
      <c r="M3403">
        <v>2390</v>
      </c>
    </row>
    <row r="3404" spans="1:14">
      <c r="A3404">
        <v>16300000</v>
      </c>
      <c r="B3404">
        <v>3023304</v>
      </c>
      <c r="C3404" t="s">
        <v>2058</v>
      </c>
      <c r="D3404" t="s">
        <v>441</v>
      </c>
      <c r="F3404">
        <v>0</v>
      </c>
      <c r="G3404">
        <v>0</v>
      </c>
      <c r="H3404" t="s">
        <v>8588</v>
      </c>
      <c r="I3404">
        <v>6</v>
      </c>
      <c r="J3404" t="s">
        <v>445</v>
      </c>
      <c r="K3404" t="s">
        <v>446</v>
      </c>
      <c r="M3404">
        <v>2314</v>
      </c>
      <c r="N3404" t="s">
        <v>16103</v>
      </c>
    </row>
    <row r="3405" spans="1:14">
      <c r="A3405">
        <v>16301000</v>
      </c>
      <c r="B3405">
        <v>3023305</v>
      </c>
      <c r="C3405" t="s">
        <v>2059</v>
      </c>
      <c r="D3405" t="s">
        <v>441</v>
      </c>
      <c r="F3405">
        <v>0</v>
      </c>
      <c r="G3405">
        <v>0</v>
      </c>
      <c r="H3405" t="s">
        <v>8588</v>
      </c>
      <c r="I3405">
        <v>6</v>
      </c>
      <c r="J3405" t="s">
        <v>445</v>
      </c>
      <c r="K3405" t="s">
        <v>446</v>
      </c>
      <c r="M3405">
        <v>2314</v>
      </c>
      <c r="N3405" t="s">
        <v>16103</v>
      </c>
    </row>
    <row r="3406" spans="1:14">
      <c r="A3406">
        <v>16310000</v>
      </c>
      <c r="B3406">
        <v>3025459</v>
      </c>
      <c r="C3406" t="s">
        <v>2060</v>
      </c>
      <c r="D3406" t="s">
        <v>441</v>
      </c>
      <c r="F3406">
        <v>0</v>
      </c>
      <c r="G3406">
        <v>14.9</v>
      </c>
      <c r="H3406" t="s">
        <v>8588</v>
      </c>
      <c r="I3406">
        <v>6</v>
      </c>
      <c r="J3406" t="s">
        <v>445</v>
      </c>
      <c r="M3406">
        <v>2391</v>
      </c>
      <c r="N3406" t="s">
        <v>16103</v>
      </c>
    </row>
    <row r="3407" spans="1:14">
      <c r="A3407">
        <v>16310002</v>
      </c>
      <c r="B3407">
        <v>3044353</v>
      </c>
      <c r="C3407" t="s">
        <v>14272</v>
      </c>
      <c r="D3407" t="s">
        <v>441</v>
      </c>
      <c r="F3407">
        <v>0</v>
      </c>
      <c r="G3407">
        <v>15.28</v>
      </c>
      <c r="H3407" t="s">
        <v>8549</v>
      </c>
      <c r="I3407">
        <v>540</v>
      </c>
      <c r="J3407" t="s">
        <v>445</v>
      </c>
      <c r="M3407">
        <v>7111</v>
      </c>
      <c r="N3407" t="s">
        <v>16103</v>
      </c>
    </row>
    <row r="3408" spans="1:14">
      <c r="A3408">
        <v>16310020</v>
      </c>
      <c r="B3408">
        <v>4020853</v>
      </c>
      <c r="C3408" t="s">
        <v>2061</v>
      </c>
      <c r="D3408" t="s">
        <v>441</v>
      </c>
      <c r="F3408">
        <v>0</v>
      </c>
      <c r="G3408">
        <v>15.34</v>
      </c>
      <c r="H3408" t="s">
        <v>9888</v>
      </c>
      <c r="I3408">
        <v>6</v>
      </c>
      <c r="J3408" t="s">
        <v>462</v>
      </c>
      <c r="M3408">
        <v>7112</v>
      </c>
      <c r="N3408" t="s">
        <v>16103</v>
      </c>
    </row>
    <row r="3409" spans="1:14">
      <c r="A3409">
        <v>16310025</v>
      </c>
      <c r="B3409">
        <v>4016613</v>
      </c>
      <c r="C3409" t="s">
        <v>10004</v>
      </c>
      <c r="D3409" t="s">
        <v>441</v>
      </c>
      <c r="F3409">
        <v>0</v>
      </c>
      <c r="G3409">
        <v>10.4</v>
      </c>
      <c r="H3409" t="s">
        <v>8588</v>
      </c>
      <c r="I3409">
        <v>365</v>
      </c>
      <c r="J3409" t="s">
        <v>462</v>
      </c>
      <c r="K3409" t="s">
        <v>446</v>
      </c>
      <c r="M3409">
        <v>2501</v>
      </c>
      <c r="N3409" t="s">
        <v>16103</v>
      </c>
    </row>
    <row r="3410" spans="1:14">
      <c r="A3410">
        <v>16310502</v>
      </c>
      <c r="B3410">
        <v>3044352</v>
      </c>
      <c r="C3410" t="s">
        <v>14273</v>
      </c>
      <c r="D3410" t="s">
        <v>441</v>
      </c>
      <c r="F3410">
        <v>0</v>
      </c>
      <c r="G3410">
        <v>14.68</v>
      </c>
      <c r="H3410" t="s">
        <v>8549</v>
      </c>
      <c r="I3410">
        <v>6</v>
      </c>
      <c r="J3410" t="s">
        <v>445</v>
      </c>
      <c r="M3410">
        <v>2502</v>
      </c>
      <c r="N3410" t="s">
        <v>16103</v>
      </c>
    </row>
    <row r="3411" spans="1:14">
      <c r="A3411">
        <v>16310525</v>
      </c>
      <c r="B3411">
        <v>3025538</v>
      </c>
      <c r="C3411" t="s">
        <v>10005</v>
      </c>
      <c r="D3411" t="s">
        <v>441</v>
      </c>
      <c r="F3411">
        <v>0</v>
      </c>
      <c r="G3411">
        <v>10.220000000000001</v>
      </c>
      <c r="H3411" t="s">
        <v>8549</v>
      </c>
      <c r="I3411">
        <v>6</v>
      </c>
      <c r="J3411" t="s">
        <v>445</v>
      </c>
      <c r="K3411" t="s">
        <v>446</v>
      </c>
      <c r="M3411">
        <v>2641</v>
      </c>
      <c r="N3411" t="s">
        <v>16103</v>
      </c>
    </row>
    <row r="3412" spans="1:14">
      <c r="A3412">
        <v>16320000</v>
      </c>
      <c r="B3412">
        <v>3027403</v>
      </c>
      <c r="C3412" t="s">
        <v>2062</v>
      </c>
      <c r="D3412" t="s">
        <v>441</v>
      </c>
      <c r="F3412">
        <v>0</v>
      </c>
      <c r="G3412">
        <v>17.23</v>
      </c>
      <c r="H3412" t="s">
        <v>8549</v>
      </c>
      <c r="I3412">
        <v>6</v>
      </c>
      <c r="J3412" t="s">
        <v>445</v>
      </c>
      <c r="M3412">
        <v>2391</v>
      </c>
      <c r="N3412" t="s">
        <v>16108</v>
      </c>
    </row>
    <row r="3413" spans="1:14">
      <c r="A3413">
        <v>16320007</v>
      </c>
      <c r="B3413">
        <v>3027438</v>
      </c>
      <c r="C3413" t="s">
        <v>14274</v>
      </c>
      <c r="D3413" t="s">
        <v>441</v>
      </c>
      <c r="F3413">
        <v>0</v>
      </c>
      <c r="G3413">
        <v>21.01</v>
      </c>
      <c r="H3413" t="s">
        <v>8588</v>
      </c>
      <c r="I3413">
        <v>6</v>
      </c>
      <c r="J3413" t="s">
        <v>445</v>
      </c>
      <c r="M3413">
        <v>3111</v>
      </c>
      <c r="N3413" t="s">
        <v>16108</v>
      </c>
    </row>
    <row r="3414" spans="1:14">
      <c r="A3414">
        <v>16320907</v>
      </c>
      <c r="B3414">
        <v>3027428</v>
      </c>
      <c r="C3414" t="s">
        <v>14275</v>
      </c>
      <c r="D3414" t="s">
        <v>441</v>
      </c>
      <c r="F3414">
        <v>0</v>
      </c>
      <c r="H3414" t="s">
        <v>8583</v>
      </c>
      <c r="I3414">
        <v>6</v>
      </c>
      <c r="J3414" t="s">
        <v>445</v>
      </c>
      <c r="M3414">
        <v>6666</v>
      </c>
      <c r="N3414" t="s">
        <v>16108</v>
      </c>
    </row>
    <row r="3415" spans="1:14">
      <c r="A3415">
        <v>16330000</v>
      </c>
      <c r="B3415">
        <v>3027774</v>
      </c>
      <c r="C3415" t="s">
        <v>2063</v>
      </c>
      <c r="D3415" t="s">
        <v>441</v>
      </c>
      <c r="F3415">
        <v>0</v>
      </c>
      <c r="G3415">
        <v>18.61</v>
      </c>
      <c r="H3415" t="s">
        <v>8588</v>
      </c>
      <c r="I3415">
        <v>6</v>
      </c>
      <c r="J3415" t="s">
        <v>445</v>
      </c>
      <c r="M3415">
        <v>2391</v>
      </c>
      <c r="N3415" t="s">
        <v>16099</v>
      </c>
    </row>
    <row r="3416" spans="1:14">
      <c r="A3416">
        <v>16330007</v>
      </c>
      <c r="B3416">
        <v>3027780</v>
      </c>
      <c r="C3416" t="s">
        <v>14276</v>
      </c>
      <c r="D3416" t="s">
        <v>441</v>
      </c>
      <c r="F3416">
        <v>0</v>
      </c>
      <c r="G3416">
        <v>19.88</v>
      </c>
      <c r="H3416" t="s">
        <v>8588</v>
      </c>
      <c r="I3416">
        <v>6</v>
      </c>
      <c r="J3416" t="s">
        <v>445</v>
      </c>
      <c r="M3416">
        <v>3111</v>
      </c>
      <c r="N3416" t="s">
        <v>16099</v>
      </c>
    </row>
    <row r="3417" spans="1:14">
      <c r="A3417">
        <v>16330907</v>
      </c>
      <c r="B3417">
        <v>3027782</v>
      </c>
      <c r="C3417" t="s">
        <v>14277</v>
      </c>
      <c r="D3417" t="s">
        <v>441</v>
      </c>
      <c r="F3417">
        <v>0</v>
      </c>
      <c r="H3417" t="s">
        <v>8950</v>
      </c>
      <c r="I3417">
        <v>6</v>
      </c>
      <c r="J3417" t="s">
        <v>445</v>
      </c>
      <c r="M3417">
        <v>6666</v>
      </c>
      <c r="N3417" t="s">
        <v>16099</v>
      </c>
    </row>
    <row r="3418" spans="1:14">
      <c r="A3418">
        <v>16340000</v>
      </c>
      <c r="B3418">
        <v>3015983</v>
      </c>
      <c r="C3418" t="s">
        <v>2064</v>
      </c>
      <c r="D3418" t="s">
        <v>441</v>
      </c>
      <c r="F3418">
        <v>0</v>
      </c>
      <c r="G3418">
        <v>5.76</v>
      </c>
      <c r="H3418" t="s">
        <v>8580</v>
      </c>
      <c r="I3418">
        <v>6</v>
      </c>
      <c r="J3418" t="s">
        <v>445</v>
      </c>
      <c r="M3418">
        <v>2391</v>
      </c>
      <c r="N3418" t="s">
        <v>16109</v>
      </c>
    </row>
    <row r="3419" spans="1:14">
      <c r="A3419">
        <v>16340007</v>
      </c>
      <c r="B3419">
        <v>3015207</v>
      </c>
      <c r="C3419" t="s">
        <v>2065</v>
      </c>
      <c r="D3419" t="s">
        <v>441</v>
      </c>
      <c r="F3419">
        <v>0</v>
      </c>
      <c r="G3419">
        <v>5.86</v>
      </c>
      <c r="H3419" t="s">
        <v>8588</v>
      </c>
      <c r="I3419">
        <v>6</v>
      </c>
      <c r="J3419" t="s">
        <v>445</v>
      </c>
      <c r="M3419">
        <v>3111</v>
      </c>
      <c r="N3419" t="s">
        <v>16109</v>
      </c>
    </row>
    <row r="3420" spans="1:14">
      <c r="A3420">
        <v>16340019</v>
      </c>
      <c r="B3420">
        <v>3028390</v>
      </c>
      <c r="C3420" t="s">
        <v>2066</v>
      </c>
      <c r="D3420" t="s">
        <v>441</v>
      </c>
      <c r="F3420">
        <v>0</v>
      </c>
      <c r="G3420">
        <v>6.18</v>
      </c>
      <c r="H3420" t="s">
        <v>8588</v>
      </c>
      <c r="I3420">
        <v>540</v>
      </c>
      <c r="J3420" t="s">
        <v>445</v>
      </c>
      <c r="M3420">
        <v>7111</v>
      </c>
      <c r="N3420" t="s">
        <v>16109</v>
      </c>
    </row>
    <row r="3421" spans="1:14">
      <c r="A3421">
        <v>16340026</v>
      </c>
      <c r="B3421">
        <v>4018593</v>
      </c>
      <c r="C3421" t="s">
        <v>2067</v>
      </c>
      <c r="D3421" t="s">
        <v>442</v>
      </c>
      <c r="E3421" t="s">
        <v>441</v>
      </c>
      <c r="F3421">
        <v>10</v>
      </c>
      <c r="G3421">
        <v>66.5</v>
      </c>
      <c r="H3421" t="s">
        <v>8588</v>
      </c>
      <c r="I3421">
        <v>540</v>
      </c>
      <c r="J3421" t="s">
        <v>462</v>
      </c>
      <c r="M3421">
        <v>7111</v>
      </c>
      <c r="N3421" t="s">
        <v>16109</v>
      </c>
    </row>
    <row r="3422" spans="1:14">
      <c r="A3422">
        <v>16340076</v>
      </c>
      <c r="B3422">
        <v>3028209</v>
      </c>
      <c r="C3422" t="s">
        <v>2068</v>
      </c>
      <c r="D3422" t="s">
        <v>441</v>
      </c>
      <c r="F3422">
        <v>0</v>
      </c>
      <c r="G3422">
        <v>5.97</v>
      </c>
      <c r="H3422" t="s">
        <v>8588</v>
      </c>
      <c r="I3422">
        <v>6</v>
      </c>
      <c r="J3422" t="s">
        <v>445</v>
      </c>
      <c r="M3422">
        <v>7112</v>
      </c>
      <c r="N3422" t="s">
        <v>16109</v>
      </c>
    </row>
    <row r="3423" spans="1:14">
      <c r="A3423">
        <v>16340519</v>
      </c>
      <c r="B3423">
        <v>3028391</v>
      </c>
      <c r="C3423" t="s">
        <v>2069</v>
      </c>
      <c r="D3423" t="s">
        <v>441</v>
      </c>
      <c r="F3423">
        <v>0</v>
      </c>
      <c r="G3423">
        <v>5.84</v>
      </c>
      <c r="H3423" t="s">
        <v>8588</v>
      </c>
      <c r="I3423">
        <v>540</v>
      </c>
      <c r="J3423" t="s">
        <v>445</v>
      </c>
      <c r="M3423">
        <v>2502</v>
      </c>
      <c r="N3423" t="s">
        <v>16109</v>
      </c>
    </row>
    <row r="3424" spans="1:14">
      <c r="A3424">
        <v>16340526</v>
      </c>
      <c r="B3424">
        <v>3027479</v>
      </c>
      <c r="C3424" t="s">
        <v>2070</v>
      </c>
      <c r="D3424" t="s">
        <v>442</v>
      </c>
      <c r="E3424" t="s">
        <v>441</v>
      </c>
      <c r="F3424">
        <v>10</v>
      </c>
      <c r="G3424">
        <v>63.86</v>
      </c>
      <c r="H3424" t="s">
        <v>10006</v>
      </c>
      <c r="I3424">
        <v>6</v>
      </c>
      <c r="J3424" t="s">
        <v>445</v>
      </c>
      <c r="M3424">
        <v>2502</v>
      </c>
      <c r="N3424" t="s">
        <v>16109</v>
      </c>
    </row>
    <row r="3425" spans="1:14">
      <c r="A3425">
        <v>16340619</v>
      </c>
      <c r="B3425">
        <v>3030838</v>
      </c>
      <c r="C3425" t="s">
        <v>2071</v>
      </c>
      <c r="D3425" t="s">
        <v>441</v>
      </c>
      <c r="F3425">
        <v>0</v>
      </c>
      <c r="G3425">
        <v>6.35</v>
      </c>
      <c r="H3425" t="s">
        <v>8549</v>
      </c>
      <c r="I3425">
        <v>4</v>
      </c>
      <c r="J3425" t="s">
        <v>445</v>
      </c>
      <c r="M3425">
        <v>2510</v>
      </c>
      <c r="N3425" t="s">
        <v>16109</v>
      </c>
    </row>
    <row r="3426" spans="1:14">
      <c r="A3426">
        <v>16340907</v>
      </c>
      <c r="B3426">
        <v>3020576</v>
      </c>
      <c r="C3426" t="s">
        <v>2072</v>
      </c>
      <c r="D3426" t="s">
        <v>441</v>
      </c>
      <c r="F3426">
        <v>0</v>
      </c>
      <c r="H3426" t="s">
        <v>8584</v>
      </c>
      <c r="I3426">
        <v>6</v>
      </c>
      <c r="J3426" t="s">
        <v>445</v>
      </c>
      <c r="M3426">
        <v>6666</v>
      </c>
      <c r="N3426" t="s">
        <v>16109</v>
      </c>
    </row>
    <row r="3427" spans="1:14">
      <c r="A3427">
        <v>16340919</v>
      </c>
      <c r="B3427">
        <v>3030841</v>
      </c>
      <c r="C3427" t="s">
        <v>2073</v>
      </c>
      <c r="D3427" t="s">
        <v>441</v>
      </c>
      <c r="F3427">
        <v>0</v>
      </c>
      <c r="I3427">
        <v>4</v>
      </c>
      <c r="J3427" t="s">
        <v>445</v>
      </c>
      <c r="M3427">
        <v>6666</v>
      </c>
      <c r="N3427" t="s">
        <v>16109</v>
      </c>
    </row>
    <row r="3428" spans="1:14">
      <c r="A3428">
        <v>16341007</v>
      </c>
      <c r="B3428">
        <v>3035790</v>
      </c>
      <c r="C3428" t="s">
        <v>15479</v>
      </c>
      <c r="D3428" t="s">
        <v>441</v>
      </c>
      <c r="F3428">
        <v>0</v>
      </c>
      <c r="G3428">
        <v>9.18</v>
      </c>
      <c r="H3428" t="s">
        <v>8588</v>
      </c>
      <c r="I3428">
        <v>6</v>
      </c>
      <c r="J3428" t="s">
        <v>445</v>
      </c>
      <c r="M3428">
        <v>3111</v>
      </c>
      <c r="N3428" t="s">
        <v>16109</v>
      </c>
    </row>
    <row r="3429" spans="1:14">
      <c r="A3429">
        <v>16341019</v>
      </c>
      <c r="B3429">
        <v>3044789</v>
      </c>
      <c r="C3429" t="s">
        <v>15408</v>
      </c>
      <c r="D3429" t="s">
        <v>441</v>
      </c>
      <c r="F3429">
        <v>0</v>
      </c>
      <c r="G3429">
        <v>7.94</v>
      </c>
      <c r="H3429" t="s">
        <v>8588</v>
      </c>
      <c r="I3429">
        <v>540</v>
      </c>
      <c r="J3429" t="s">
        <v>445</v>
      </c>
      <c r="M3429">
        <v>7111</v>
      </c>
      <c r="N3429" t="s">
        <v>16109</v>
      </c>
    </row>
    <row r="3430" spans="1:14">
      <c r="A3430">
        <v>16341519</v>
      </c>
      <c r="B3430">
        <v>3044788</v>
      </c>
      <c r="C3430" t="s">
        <v>15409</v>
      </c>
      <c r="D3430" t="s">
        <v>441</v>
      </c>
      <c r="F3430">
        <v>0</v>
      </c>
      <c r="G3430">
        <v>7.35</v>
      </c>
      <c r="H3430" t="s">
        <v>8588</v>
      </c>
      <c r="I3430">
        <v>540</v>
      </c>
      <c r="J3430" t="s">
        <v>445</v>
      </c>
      <c r="M3430">
        <v>2502</v>
      </c>
      <c r="N3430" t="s">
        <v>16109</v>
      </c>
    </row>
    <row r="3431" spans="1:14">
      <c r="A3431">
        <v>16350000</v>
      </c>
      <c r="B3431">
        <v>3007725</v>
      </c>
      <c r="C3431" t="s">
        <v>2074</v>
      </c>
      <c r="D3431" t="s">
        <v>441</v>
      </c>
      <c r="F3431">
        <v>0</v>
      </c>
      <c r="G3431">
        <v>11.7</v>
      </c>
      <c r="I3431">
        <v>6</v>
      </c>
      <c r="J3431" t="s">
        <v>445</v>
      </c>
      <c r="K3431" t="s">
        <v>446</v>
      </c>
      <c r="M3431">
        <v>0</v>
      </c>
    </row>
    <row r="3432" spans="1:14">
      <c r="A3432">
        <v>16360000</v>
      </c>
      <c r="B3432">
        <v>3007726</v>
      </c>
      <c r="C3432" t="s">
        <v>2075</v>
      </c>
      <c r="D3432" t="s">
        <v>441</v>
      </c>
      <c r="F3432">
        <v>0</v>
      </c>
      <c r="G3432">
        <v>8.1999999999999993</v>
      </c>
      <c r="H3432" t="s">
        <v>8588</v>
      </c>
      <c r="I3432">
        <v>6</v>
      </c>
      <c r="J3432" t="s">
        <v>445</v>
      </c>
      <c r="M3432">
        <v>2391</v>
      </c>
      <c r="N3432" t="s">
        <v>16110</v>
      </c>
    </row>
    <row r="3433" spans="1:14">
      <c r="A3433">
        <v>16360007</v>
      </c>
      <c r="B3433">
        <v>3024935</v>
      </c>
      <c r="C3433" t="s">
        <v>231</v>
      </c>
      <c r="D3433" t="s">
        <v>441</v>
      </c>
      <c r="F3433">
        <v>0</v>
      </c>
      <c r="G3433">
        <v>8.3000000000000007</v>
      </c>
      <c r="H3433" t="s">
        <v>8588</v>
      </c>
      <c r="I3433">
        <v>6</v>
      </c>
      <c r="J3433" t="s">
        <v>445</v>
      </c>
      <c r="M3433">
        <v>3111</v>
      </c>
      <c r="N3433" t="s">
        <v>16110</v>
      </c>
    </row>
    <row r="3434" spans="1:14">
      <c r="A3434">
        <v>16360900</v>
      </c>
      <c r="B3434">
        <v>3020266</v>
      </c>
      <c r="C3434" t="s">
        <v>2076</v>
      </c>
      <c r="D3434" t="s">
        <v>441</v>
      </c>
      <c r="F3434">
        <v>0</v>
      </c>
      <c r="G3434">
        <v>0</v>
      </c>
      <c r="H3434" t="s">
        <v>8584</v>
      </c>
      <c r="I3434">
        <v>6</v>
      </c>
      <c r="J3434" t="s">
        <v>445</v>
      </c>
      <c r="M3434">
        <v>6666</v>
      </c>
      <c r="N3434" t="s">
        <v>16110</v>
      </c>
    </row>
    <row r="3435" spans="1:14">
      <c r="A3435">
        <v>16360907</v>
      </c>
      <c r="B3435">
        <v>3025195</v>
      </c>
      <c r="C3435" t="s">
        <v>2077</v>
      </c>
      <c r="D3435" t="s">
        <v>441</v>
      </c>
      <c r="F3435">
        <v>0</v>
      </c>
      <c r="G3435">
        <v>0</v>
      </c>
      <c r="H3435" t="s">
        <v>8584</v>
      </c>
      <c r="I3435">
        <v>6</v>
      </c>
      <c r="J3435" t="s">
        <v>445</v>
      </c>
      <c r="M3435">
        <v>6666</v>
      </c>
      <c r="N3435" t="s">
        <v>16110</v>
      </c>
    </row>
    <row r="3436" spans="1:14">
      <c r="A3436">
        <v>16370000</v>
      </c>
      <c r="B3436">
        <v>3007727</v>
      </c>
      <c r="C3436" t="s">
        <v>2078</v>
      </c>
      <c r="D3436" t="s">
        <v>441</v>
      </c>
      <c r="F3436">
        <v>0</v>
      </c>
      <c r="G3436">
        <v>10.01</v>
      </c>
      <c r="I3436">
        <v>6</v>
      </c>
      <c r="J3436" t="s">
        <v>445</v>
      </c>
      <c r="K3436" t="s">
        <v>446</v>
      </c>
      <c r="M3436">
        <v>0</v>
      </c>
    </row>
    <row r="3437" spans="1:14">
      <c r="A3437">
        <v>16380000</v>
      </c>
      <c r="B3437">
        <v>3030178</v>
      </c>
      <c r="C3437" t="s">
        <v>2079</v>
      </c>
      <c r="D3437" t="s">
        <v>441</v>
      </c>
      <c r="F3437">
        <v>0</v>
      </c>
      <c r="G3437">
        <v>20.64</v>
      </c>
      <c r="H3437" t="s">
        <v>8549</v>
      </c>
      <c r="I3437">
        <v>6</v>
      </c>
      <c r="J3437" t="s">
        <v>445</v>
      </c>
      <c r="M3437">
        <v>2391</v>
      </c>
      <c r="N3437" t="s">
        <v>16111</v>
      </c>
    </row>
    <row r="3438" spans="1:14">
      <c r="A3438">
        <v>16380007</v>
      </c>
      <c r="B3438">
        <v>3030180</v>
      </c>
      <c r="C3438" t="s">
        <v>14278</v>
      </c>
      <c r="D3438" t="s">
        <v>441</v>
      </c>
      <c r="F3438">
        <v>0</v>
      </c>
      <c r="G3438">
        <v>25.28</v>
      </c>
      <c r="H3438" t="s">
        <v>8588</v>
      </c>
      <c r="I3438">
        <v>6</v>
      </c>
      <c r="J3438" t="s">
        <v>445</v>
      </c>
      <c r="M3438">
        <v>3111</v>
      </c>
      <c r="N3438" t="s">
        <v>16111</v>
      </c>
    </row>
    <row r="3439" spans="1:14">
      <c r="A3439">
        <v>16380907</v>
      </c>
      <c r="B3439">
        <v>3030183</v>
      </c>
      <c r="C3439" t="s">
        <v>14279</v>
      </c>
      <c r="D3439" t="s">
        <v>441</v>
      </c>
      <c r="F3439">
        <v>0</v>
      </c>
      <c r="H3439" t="s">
        <v>8580</v>
      </c>
      <c r="I3439">
        <v>6</v>
      </c>
      <c r="J3439" t="s">
        <v>445</v>
      </c>
      <c r="M3439">
        <v>6666</v>
      </c>
      <c r="N3439" t="s">
        <v>16111</v>
      </c>
    </row>
    <row r="3440" spans="1:14">
      <c r="A3440">
        <v>16390000</v>
      </c>
      <c r="B3440">
        <v>3007728</v>
      </c>
      <c r="C3440" t="s">
        <v>2080</v>
      </c>
      <c r="D3440" t="s">
        <v>441</v>
      </c>
      <c r="F3440">
        <v>0</v>
      </c>
      <c r="G3440">
        <v>7.85</v>
      </c>
      <c r="I3440">
        <v>6</v>
      </c>
      <c r="J3440" t="s">
        <v>445</v>
      </c>
      <c r="K3440" t="s">
        <v>446</v>
      </c>
      <c r="M3440">
        <v>2390</v>
      </c>
    </row>
    <row r="3441" spans="1:14">
      <c r="A3441">
        <v>16390002</v>
      </c>
      <c r="B3441">
        <v>3007729</v>
      </c>
      <c r="C3441" t="s">
        <v>2081</v>
      </c>
      <c r="D3441" t="s">
        <v>441</v>
      </c>
      <c r="F3441">
        <v>0</v>
      </c>
      <c r="G3441">
        <v>8.66</v>
      </c>
      <c r="I3441">
        <v>540</v>
      </c>
      <c r="J3441" t="s">
        <v>445</v>
      </c>
      <c r="M3441">
        <v>7111</v>
      </c>
      <c r="N3441" t="s">
        <v>16110</v>
      </c>
    </row>
    <row r="3442" spans="1:14">
      <c r="A3442">
        <v>16390075</v>
      </c>
      <c r="B3442">
        <v>3007730</v>
      </c>
      <c r="C3442" t="s">
        <v>2082</v>
      </c>
      <c r="D3442" t="s">
        <v>441</v>
      </c>
      <c r="F3442">
        <v>0</v>
      </c>
      <c r="G3442">
        <v>12.56</v>
      </c>
      <c r="H3442" t="s">
        <v>8588</v>
      </c>
      <c r="I3442">
        <v>6</v>
      </c>
      <c r="J3442" t="s">
        <v>445</v>
      </c>
      <c r="K3442" t="s">
        <v>446</v>
      </c>
      <c r="M3442">
        <v>2641</v>
      </c>
    </row>
    <row r="3443" spans="1:14">
      <c r="A3443">
        <v>16390076</v>
      </c>
      <c r="B3443">
        <v>3012598</v>
      </c>
      <c r="C3443" t="s">
        <v>2082</v>
      </c>
      <c r="D3443" t="s">
        <v>441</v>
      </c>
      <c r="F3443">
        <v>0</v>
      </c>
      <c r="G3443">
        <v>12.48</v>
      </c>
      <c r="H3443" t="s">
        <v>8588</v>
      </c>
      <c r="I3443">
        <v>6</v>
      </c>
      <c r="J3443" t="s">
        <v>445</v>
      </c>
      <c r="K3443" t="s">
        <v>446</v>
      </c>
      <c r="M3443">
        <v>2641</v>
      </c>
      <c r="N3443" t="s">
        <v>16110</v>
      </c>
    </row>
    <row r="3444" spans="1:14">
      <c r="A3444">
        <v>16390080</v>
      </c>
      <c r="B3444">
        <v>3009721</v>
      </c>
      <c r="C3444" t="s">
        <v>2083</v>
      </c>
      <c r="D3444" t="s">
        <v>441</v>
      </c>
      <c r="F3444">
        <v>0</v>
      </c>
      <c r="G3444">
        <v>9.49</v>
      </c>
      <c r="H3444" t="s">
        <v>8588</v>
      </c>
      <c r="I3444">
        <v>6</v>
      </c>
      <c r="J3444" t="s">
        <v>445</v>
      </c>
      <c r="K3444" t="s">
        <v>446</v>
      </c>
      <c r="M3444">
        <v>2641</v>
      </c>
    </row>
    <row r="3445" spans="1:14">
      <c r="A3445">
        <v>16390502</v>
      </c>
      <c r="B3445">
        <v>3007731</v>
      </c>
      <c r="C3445" t="s">
        <v>2084</v>
      </c>
      <c r="D3445" t="s">
        <v>441</v>
      </c>
      <c r="F3445">
        <v>0</v>
      </c>
      <c r="G3445">
        <v>8.31</v>
      </c>
      <c r="H3445" t="s">
        <v>8580</v>
      </c>
      <c r="I3445">
        <v>6</v>
      </c>
      <c r="J3445" t="s">
        <v>445</v>
      </c>
      <c r="M3445">
        <v>2502</v>
      </c>
      <c r="N3445" t="s">
        <v>16110</v>
      </c>
    </row>
    <row r="3446" spans="1:14">
      <c r="A3446">
        <v>16390602</v>
      </c>
      <c r="B3446">
        <v>3007732</v>
      </c>
      <c r="C3446" t="s">
        <v>2085</v>
      </c>
      <c r="D3446" t="s">
        <v>441</v>
      </c>
      <c r="F3446">
        <v>0</v>
      </c>
      <c r="G3446">
        <v>8.94</v>
      </c>
      <c r="H3446" t="s">
        <v>8588</v>
      </c>
      <c r="I3446">
        <v>4</v>
      </c>
      <c r="J3446" t="s">
        <v>445</v>
      </c>
      <c r="M3446">
        <v>2510</v>
      </c>
      <c r="N3446" t="s">
        <v>16110</v>
      </c>
    </row>
    <row r="3447" spans="1:14">
      <c r="A3447">
        <v>16390902</v>
      </c>
      <c r="B3447">
        <v>3020267</v>
      </c>
      <c r="C3447" t="s">
        <v>2086</v>
      </c>
      <c r="D3447" t="s">
        <v>441</v>
      </c>
      <c r="F3447">
        <v>0</v>
      </c>
      <c r="H3447" t="s">
        <v>8584</v>
      </c>
      <c r="I3447">
        <v>4</v>
      </c>
      <c r="J3447" t="s">
        <v>445</v>
      </c>
      <c r="M3447">
        <v>6666</v>
      </c>
      <c r="N3447" t="s">
        <v>16110</v>
      </c>
    </row>
    <row r="3448" spans="1:14">
      <c r="A3448">
        <v>16400000</v>
      </c>
      <c r="B3448">
        <v>3030179</v>
      </c>
      <c r="C3448" t="s">
        <v>2087</v>
      </c>
      <c r="D3448" t="s">
        <v>441</v>
      </c>
      <c r="F3448">
        <v>0</v>
      </c>
      <c r="G3448">
        <v>23.34</v>
      </c>
      <c r="H3448" t="s">
        <v>8549</v>
      </c>
      <c r="I3448">
        <v>6</v>
      </c>
      <c r="J3448" t="s">
        <v>445</v>
      </c>
      <c r="M3448">
        <v>2391</v>
      </c>
      <c r="N3448" t="s">
        <v>16112</v>
      </c>
    </row>
    <row r="3449" spans="1:14">
      <c r="A3449">
        <v>16400007</v>
      </c>
      <c r="B3449">
        <v>3030181</v>
      </c>
      <c r="C3449" t="s">
        <v>14280</v>
      </c>
      <c r="D3449" t="s">
        <v>441</v>
      </c>
      <c r="F3449">
        <v>0</v>
      </c>
      <c r="G3449">
        <v>24.08</v>
      </c>
      <c r="H3449" t="s">
        <v>8588</v>
      </c>
      <c r="I3449">
        <v>6</v>
      </c>
      <c r="J3449" t="s">
        <v>445</v>
      </c>
      <c r="M3449">
        <v>3111</v>
      </c>
      <c r="N3449" t="s">
        <v>16112</v>
      </c>
    </row>
    <row r="3450" spans="1:14">
      <c r="A3450">
        <v>16400907</v>
      </c>
      <c r="B3450">
        <v>3030184</v>
      </c>
      <c r="C3450" t="s">
        <v>14281</v>
      </c>
      <c r="D3450" t="s">
        <v>441</v>
      </c>
      <c r="F3450">
        <v>0</v>
      </c>
      <c r="H3450" t="s">
        <v>8580</v>
      </c>
      <c r="I3450">
        <v>6</v>
      </c>
      <c r="J3450" t="s">
        <v>445</v>
      </c>
      <c r="M3450">
        <v>6666</v>
      </c>
      <c r="N3450" t="s">
        <v>16112</v>
      </c>
    </row>
    <row r="3451" spans="1:14">
      <c r="A3451">
        <v>16410000</v>
      </c>
      <c r="B3451">
        <v>3030450</v>
      </c>
      <c r="C3451" t="s">
        <v>2088</v>
      </c>
      <c r="D3451" t="s">
        <v>441</v>
      </c>
      <c r="F3451">
        <v>0</v>
      </c>
      <c r="G3451">
        <v>21.38</v>
      </c>
      <c r="H3451" t="s">
        <v>8588</v>
      </c>
      <c r="I3451">
        <v>6</v>
      </c>
      <c r="J3451" t="s">
        <v>445</v>
      </c>
      <c r="M3451">
        <v>2391</v>
      </c>
      <c r="N3451" t="s">
        <v>16113</v>
      </c>
    </row>
    <row r="3452" spans="1:14">
      <c r="A3452">
        <v>16410075</v>
      </c>
      <c r="B3452">
        <v>3030451</v>
      </c>
      <c r="C3452" t="s">
        <v>2089</v>
      </c>
      <c r="D3452" t="s">
        <v>441</v>
      </c>
      <c r="F3452">
        <v>0</v>
      </c>
      <c r="G3452">
        <v>21.66</v>
      </c>
      <c r="H3452" t="s">
        <v>8549</v>
      </c>
      <c r="I3452">
        <v>6</v>
      </c>
      <c r="J3452" t="s">
        <v>445</v>
      </c>
      <c r="M3452">
        <v>7112</v>
      </c>
      <c r="N3452" t="s">
        <v>16113</v>
      </c>
    </row>
    <row r="3453" spans="1:14">
      <c r="A3453">
        <v>16410100</v>
      </c>
      <c r="B3453">
        <v>3007733</v>
      </c>
      <c r="C3453" t="s">
        <v>2090</v>
      </c>
      <c r="D3453" t="s">
        <v>441</v>
      </c>
      <c r="F3453">
        <v>0</v>
      </c>
      <c r="H3453" t="s">
        <v>8580</v>
      </c>
      <c r="I3453">
        <v>9</v>
      </c>
      <c r="J3453" t="s">
        <v>445</v>
      </c>
      <c r="K3453" t="s">
        <v>446</v>
      </c>
      <c r="M3453">
        <v>0</v>
      </c>
    </row>
    <row r="3454" spans="1:14">
      <c r="A3454">
        <v>16420000</v>
      </c>
      <c r="B3454">
        <v>3023693</v>
      </c>
      <c r="C3454" t="s">
        <v>2091</v>
      </c>
      <c r="D3454" t="s">
        <v>441</v>
      </c>
      <c r="F3454">
        <v>0</v>
      </c>
      <c r="G3454">
        <v>13.21</v>
      </c>
      <c r="H3454" t="s">
        <v>8549</v>
      </c>
      <c r="I3454">
        <v>6</v>
      </c>
      <c r="J3454" t="s">
        <v>445</v>
      </c>
      <c r="M3454">
        <v>2391</v>
      </c>
      <c r="N3454" t="s">
        <v>16114</v>
      </c>
    </row>
    <row r="3455" spans="1:14">
      <c r="A3455">
        <v>16420007</v>
      </c>
      <c r="B3455">
        <v>3023659</v>
      </c>
      <c r="C3455" t="s">
        <v>2092</v>
      </c>
      <c r="D3455" t="s">
        <v>441</v>
      </c>
      <c r="F3455">
        <v>0</v>
      </c>
      <c r="G3455">
        <v>14.37</v>
      </c>
      <c r="H3455" t="s">
        <v>8588</v>
      </c>
      <c r="I3455">
        <v>6</v>
      </c>
      <c r="J3455" t="s">
        <v>445</v>
      </c>
      <c r="K3455" t="s">
        <v>446</v>
      </c>
      <c r="M3455">
        <v>2641</v>
      </c>
      <c r="N3455" t="s">
        <v>16114</v>
      </c>
    </row>
    <row r="3456" spans="1:14">
      <c r="A3456">
        <v>16420020</v>
      </c>
      <c r="B3456">
        <v>4013218</v>
      </c>
      <c r="C3456" t="s">
        <v>2093</v>
      </c>
      <c r="D3456" t="s">
        <v>441</v>
      </c>
      <c r="F3456">
        <v>0</v>
      </c>
      <c r="G3456">
        <v>13.63</v>
      </c>
      <c r="H3456" t="s">
        <v>8588</v>
      </c>
      <c r="I3456">
        <v>6</v>
      </c>
      <c r="J3456" t="s">
        <v>462</v>
      </c>
      <c r="M3456">
        <v>7112</v>
      </c>
      <c r="N3456" t="s">
        <v>16114</v>
      </c>
    </row>
    <row r="3457" spans="1:14">
      <c r="A3457">
        <v>16420040</v>
      </c>
      <c r="B3457">
        <v>4013220</v>
      </c>
      <c r="C3457" t="s">
        <v>2094</v>
      </c>
      <c r="D3457" t="s">
        <v>441</v>
      </c>
      <c r="F3457">
        <v>0</v>
      </c>
      <c r="G3457">
        <v>16.21</v>
      </c>
      <c r="H3457" t="s">
        <v>8588</v>
      </c>
      <c r="I3457">
        <v>17</v>
      </c>
      <c r="J3457" t="s">
        <v>462</v>
      </c>
      <c r="M3457">
        <v>7112</v>
      </c>
      <c r="N3457" t="s">
        <v>16114</v>
      </c>
    </row>
    <row r="3458" spans="1:14">
      <c r="A3458">
        <v>16420061</v>
      </c>
      <c r="B3458">
        <v>4020306</v>
      </c>
      <c r="C3458" t="s">
        <v>2095</v>
      </c>
      <c r="D3458" t="s">
        <v>441</v>
      </c>
      <c r="F3458">
        <v>0</v>
      </c>
      <c r="G3458">
        <v>16.809999999999999</v>
      </c>
      <c r="H3458" t="s">
        <v>8588</v>
      </c>
      <c r="I3458">
        <v>540</v>
      </c>
      <c r="J3458" t="s">
        <v>462</v>
      </c>
      <c r="M3458">
        <v>7111</v>
      </c>
      <c r="N3458" t="s">
        <v>16114</v>
      </c>
    </row>
    <row r="3459" spans="1:14">
      <c r="A3459">
        <v>16420075</v>
      </c>
      <c r="B3459">
        <v>3032475</v>
      </c>
      <c r="C3459" t="s">
        <v>10007</v>
      </c>
      <c r="D3459" t="s">
        <v>441</v>
      </c>
      <c r="F3459">
        <v>0</v>
      </c>
      <c r="G3459">
        <v>12.92</v>
      </c>
      <c r="H3459" t="s">
        <v>8588</v>
      </c>
      <c r="I3459">
        <v>6</v>
      </c>
      <c r="J3459" t="s">
        <v>445</v>
      </c>
      <c r="K3459" t="s">
        <v>446</v>
      </c>
      <c r="M3459">
        <v>2641</v>
      </c>
      <c r="N3459" t="s">
        <v>16114</v>
      </c>
    </row>
    <row r="3460" spans="1:14">
      <c r="A3460">
        <v>16420561</v>
      </c>
      <c r="B3460">
        <v>3030380</v>
      </c>
      <c r="C3460" t="s">
        <v>2096</v>
      </c>
      <c r="D3460" t="s">
        <v>441</v>
      </c>
      <c r="F3460">
        <v>0</v>
      </c>
      <c r="G3460">
        <v>14.2</v>
      </c>
      <c r="H3460" t="s">
        <v>8588</v>
      </c>
      <c r="I3460">
        <v>6</v>
      </c>
      <c r="J3460" t="s">
        <v>445</v>
      </c>
      <c r="M3460">
        <v>2502</v>
      </c>
      <c r="N3460" t="s">
        <v>16114</v>
      </c>
    </row>
    <row r="3461" spans="1:14">
      <c r="A3461">
        <v>16420907</v>
      </c>
      <c r="B3461">
        <v>3023609</v>
      </c>
      <c r="C3461" t="s">
        <v>2097</v>
      </c>
      <c r="D3461" t="s">
        <v>441</v>
      </c>
      <c r="F3461">
        <v>0</v>
      </c>
      <c r="G3461">
        <v>15.42</v>
      </c>
      <c r="H3461" t="s">
        <v>8580</v>
      </c>
      <c r="I3461">
        <v>6</v>
      </c>
      <c r="J3461" t="s">
        <v>445</v>
      </c>
      <c r="K3461" t="s">
        <v>446</v>
      </c>
      <c r="M3461">
        <v>6666</v>
      </c>
      <c r="N3461" t="s">
        <v>16114</v>
      </c>
    </row>
    <row r="3462" spans="1:14">
      <c r="A3462">
        <v>16421000</v>
      </c>
      <c r="B3462">
        <v>3018979</v>
      </c>
      <c r="C3462" t="s">
        <v>2098</v>
      </c>
      <c r="D3462" t="s">
        <v>441</v>
      </c>
      <c r="F3462">
        <v>0</v>
      </c>
      <c r="G3462">
        <v>13.21</v>
      </c>
      <c r="I3462">
        <v>6</v>
      </c>
      <c r="J3462" t="s">
        <v>445</v>
      </c>
      <c r="M3462">
        <v>2391</v>
      </c>
      <c r="N3462" t="s">
        <v>16114</v>
      </c>
    </row>
    <row r="3463" spans="1:14">
      <c r="A3463">
        <v>16421007</v>
      </c>
      <c r="B3463">
        <v>3023699</v>
      </c>
      <c r="C3463" t="s">
        <v>2099</v>
      </c>
      <c r="D3463" t="s">
        <v>441</v>
      </c>
      <c r="F3463">
        <v>0</v>
      </c>
      <c r="G3463">
        <v>14.37</v>
      </c>
      <c r="H3463" t="s">
        <v>8588</v>
      </c>
      <c r="I3463">
        <v>6</v>
      </c>
      <c r="J3463" t="s">
        <v>445</v>
      </c>
      <c r="K3463" t="s">
        <v>446</v>
      </c>
      <c r="M3463">
        <v>2641</v>
      </c>
      <c r="N3463" t="s">
        <v>16114</v>
      </c>
    </row>
    <row r="3464" spans="1:14">
      <c r="A3464">
        <v>16421020</v>
      </c>
      <c r="B3464">
        <v>4013219</v>
      </c>
      <c r="C3464" t="s">
        <v>10008</v>
      </c>
      <c r="D3464" t="s">
        <v>441</v>
      </c>
      <c r="F3464">
        <v>0</v>
      </c>
      <c r="G3464">
        <v>14.55</v>
      </c>
      <c r="H3464" t="s">
        <v>8588</v>
      </c>
      <c r="I3464">
        <v>6</v>
      </c>
      <c r="J3464" t="s">
        <v>462</v>
      </c>
      <c r="K3464" t="s">
        <v>446</v>
      </c>
      <c r="M3464">
        <v>2641</v>
      </c>
      <c r="N3464" t="s">
        <v>16114</v>
      </c>
    </row>
    <row r="3465" spans="1:14">
      <c r="A3465">
        <v>16421040</v>
      </c>
      <c r="B3465">
        <v>4013221</v>
      </c>
      <c r="C3465" t="s">
        <v>10009</v>
      </c>
      <c r="D3465" t="s">
        <v>441</v>
      </c>
      <c r="F3465">
        <v>0</v>
      </c>
      <c r="G3465">
        <v>14.97</v>
      </c>
      <c r="H3465" t="s">
        <v>8588</v>
      </c>
      <c r="I3465">
        <v>17</v>
      </c>
      <c r="J3465" t="s">
        <v>462</v>
      </c>
      <c r="K3465" t="s">
        <v>446</v>
      </c>
      <c r="M3465">
        <v>2612</v>
      </c>
      <c r="N3465" t="s">
        <v>16114</v>
      </c>
    </row>
    <row r="3466" spans="1:14">
      <c r="A3466">
        <v>16421061</v>
      </c>
      <c r="B3466">
        <v>4020307</v>
      </c>
      <c r="C3466" t="s">
        <v>10010</v>
      </c>
      <c r="D3466" t="s">
        <v>441</v>
      </c>
      <c r="F3466">
        <v>0</v>
      </c>
      <c r="G3466">
        <v>15.26</v>
      </c>
      <c r="H3466" t="s">
        <v>8588</v>
      </c>
      <c r="I3466">
        <v>365</v>
      </c>
      <c r="J3466" t="s">
        <v>462</v>
      </c>
      <c r="K3466" t="s">
        <v>446</v>
      </c>
      <c r="M3466">
        <v>2501</v>
      </c>
      <c r="N3466" t="s">
        <v>16114</v>
      </c>
    </row>
    <row r="3467" spans="1:14">
      <c r="A3467">
        <v>16421561</v>
      </c>
      <c r="B3467">
        <v>3030394</v>
      </c>
      <c r="C3467" t="s">
        <v>10011</v>
      </c>
      <c r="D3467" t="s">
        <v>441</v>
      </c>
      <c r="F3467">
        <v>0</v>
      </c>
      <c r="G3467">
        <v>15.06</v>
      </c>
      <c r="H3467" t="s">
        <v>8580</v>
      </c>
      <c r="I3467">
        <v>365</v>
      </c>
      <c r="J3467" t="s">
        <v>445</v>
      </c>
      <c r="K3467" t="s">
        <v>446</v>
      </c>
      <c r="M3467">
        <v>2612</v>
      </c>
      <c r="N3467" t="s">
        <v>16114</v>
      </c>
    </row>
    <row r="3468" spans="1:14">
      <c r="A3468">
        <v>16421907</v>
      </c>
      <c r="B3468">
        <v>3023727</v>
      </c>
      <c r="C3468" t="s">
        <v>2100</v>
      </c>
      <c r="D3468" t="s">
        <v>441</v>
      </c>
      <c r="F3468">
        <v>0</v>
      </c>
      <c r="G3468">
        <v>15.42</v>
      </c>
      <c r="I3468">
        <v>6</v>
      </c>
      <c r="J3468" t="s">
        <v>445</v>
      </c>
      <c r="M3468">
        <v>6666</v>
      </c>
      <c r="N3468" t="s">
        <v>16114</v>
      </c>
    </row>
    <row r="3469" spans="1:14">
      <c r="A3469">
        <v>16430000</v>
      </c>
      <c r="B3469">
        <v>3030725</v>
      </c>
      <c r="C3469" t="s">
        <v>15925</v>
      </c>
      <c r="D3469" t="s">
        <v>441</v>
      </c>
      <c r="F3469">
        <v>0</v>
      </c>
      <c r="G3469">
        <v>17.600000000000001</v>
      </c>
      <c r="H3469" t="s">
        <v>8588</v>
      </c>
      <c r="I3469">
        <v>6</v>
      </c>
      <c r="J3469" t="s">
        <v>445</v>
      </c>
      <c r="M3469">
        <v>2391</v>
      </c>
      <c r="N3469" t="s">
        <v>16115</v>
      </c>
    </row>
    <row r="3470" spans="1:14">
      <c r="A3470">
        <v>16430028</v>
      </c>
      <c r="B3470">
        <v>4020537</v>
      </c>
      <c r="C3470" t="s">
        <v>2101</v>
      </c>
      <c r="D3470" t="s">
        <v>441</v>
      </c>
      <c r="F3470">
        <v>0</v>
      </c>
      <c r="G3470">
        <v>20.11</v>
      </c>
      <c r="H3470" t="s">
        <v>8588</v>
      </c>
      <c r="I3470">
        <v>540</v>
      </c>
      <c r="J3470" t="s">
        <v>462</v>
      </c>
      <c r="M3470">
        <v>7111</v>
      </c>
      <c r="N3470" t="s">
        <v>16115</v>
      </c>
    </row>
    <row r="3471" spans="1:14">
      <c r="A3471">
        <v>16430528</v>
      </c>
      <c r="B3471">
        <v>3030726</v>
      </c>
      <c r="C3471" t="s">
        <v>15926</v>
      </c>
      <c r="D3471" t="s">
        <v>441</v>
      </c>
      <c r="F3471">
        <v>0</v>
      </c>
      <c r="G3471">
        <v>18.760000000000002</v>
      </c>
      <c r="H3471" t="s">
        <v>8588</v>
      </c>
      <c r="I3471">
        <v>540</v>
      </c>
      <c r="J3471" t="s">
        <v>445</v>
      </c>
      <c r="M3471">
        <v>2502</v>
      </c>
      <c r="N3471" t="s">
        <v>16115</v>
      </c>
    </row>
    <row r="3472" spans="1:14">
      <c r="A3472">
        <v>16440000</v>
      </c>
      <c r="B3472">
        <v>3008810</v>
      </c>
      <c r="C3472" t="s">
        <v>2102</v>
      </c>
      <c r="D3472" t="s">
        <v>441</v>
      </c>
      <c r="F3472">
        <v>0</v>
      </c>
      <c r="G3472">
        <v>15.57</v>
      </c>
      <c r="H3472" t="s">
        <v>8580</v>
      </c>
      <c r="I3472">
        <v>6</v>
      </c>
      <c r="J3472" t="s">
        <v>445</v>
      </c>
      <c r="M3472">
        <v>2391</v>
      </c>
      <c r="N3472" t="s">
        <v>16116</v>
      </c>
    </row>
    <row r="3473" spans="1:14">
      <c r="A3473">
        <v>16440040</v>
      </c>
      <c r="B3473">
        <v>4010022</v>
      </c>
      <c r="C3473" t="s">
        <v>10012</v>
      </c>
      <c r="D3473" t="s">
        <v>441</v>
      </c>
      <c r="F3473">
        <v>0</v>
      </c>
      <c r="G3473">
        <v>19.16</v>
      </c>
      <c r="H3473" t="s">
        <v>8588</v>
      </c>
      <c r="I3473">
        <v>19</v>
      </c>
      <c r="J3473" t="s">
        <v>462</v>
      </c>
      <c r="K3473" t="s">
        <v>446</v>
      </c>
      <c r="M3473">
        <v>2612</v>
      </c>
    </row>
    <row r="3474" spans="1:14">
      <c r="A3474">
        <v>16440041</v>
      </c>
      <c r="B3474">
        <v>4001804</v>
      </c>
      <c r="C3474" t="s">
        <v>10013</v>
      </c>
      <c r="D3474" t="s">
        <v>441</v>
      </c>
      <c r="F3474">
        <v>0</v>
      </c>
      <c r="G3474">
        <v>20.66</v>
      </c>
      <c r="H3474" t="s">
        <v>8588</v>
      </c>
      <c r="I3474">
        <v>19</v>
      </c>
      <c r="J3474" t="s">
        <v>462</v>
      </c>
      <c r="K3474" t="s">
        <v>446</v>
      </c>
      <c r="M3474">
        <v>2612</v>
      </c>
    </row>
    <row r="3475" spans="1:14">
      <c r="A3475">
        <v>16440042</v>
      </c>
      <c r="B3475">
        <v>4001805</v>
      </c>
      <c r="C3475" t="s">
        <v>10014</v>
      </c>
      <c r="D3475" t="s">
        <v>441</v>
      </c>
      <c r="F3475">
        <v>0</v>
      </c>
      <c r="G3475">
        <v>19.72</v>
      </c>
      <c r="H3475" t="s">
        <v>8588</v>
      </c>
      <c r="I3475">
        <v>19</v>
      </c>
      <c r="J3475" t="s">
        <v>462</v>
      </c>
      <c r="K3475" t="s">
        <v>446</v>
      </c>
      <c r="M3475">
        <v>2612</v>
      </c>
    </row>
    <row r="3476" spans="1:14">
      <c r="A3476">
        <v>16440043</v>
      </c>
      <c r="B3476">
        <v>4009160</v>
      </c>
      <c r="C3476" t="s">
        <v>10015</v>
      </c>
      <c r="D3476" t="s">
        <v>441</v>
      </c>
      <c r="F3476">
        <v>0</v>
      </c>
      <c r="G3476">
        <v>19.489999999999998</v>
      </c>
      <c r="H3476" t="s">
        <v>8588</v>
      </c>
      <c r="I3476">
        <v>19</v>
      </c>
      <c r="J3476" t="s">
        <v>462</v>
      </c>
      <c r="K3476" t="s">
        <v>446</v>
      </c>
      <c r="M3476">
        <v>2612</v>
      </c>
      <c r="N3476" t="s">
        <v>16116</v>
      </c>
    </row>
    <row r="3477" spans="1:14">
      <c r="A3477">
        <v>16440044</v>
      </c>
      <c r="B3477">
        <v>4009383</v>
      </c>
      <c r="C3477" t="s">
        <v>10016</v>
      </c>
      <c r="D3477" t="s">
        <v>441</v>
      </c>
      <c r="F3477">
        <v>0</v>
      </c>
      <c r="G3477">
        <v>20.97</v>
      </c>
      <c r="H3477" t="s">
        <v>8588</v>
      </c>
      <c r="I3477">
        <v>24</v>
      </c>
      <c r="J3477" t="s">
        <v>462</v>
      </c>
      <c r="K3477" t="s">
        <v>446</v>
      </c>
      <c r="M3477">
        <v>2612</v>
      </c>
    </row>
    <row r="3478" spans="1:14">
      <c r="A3478">
        <v>16440061</v>
      </c>
      <c r="B3478">
        <v>4001806</v>
      </c>
      <c r="C3478" t="s">
        <v>10017</v>
      </c>
      <c r="D3478" t="s">
        <v>441</v>
      </c>
      <c r="F3478">
        <v>0</v>
      </c>
      <c r="G3478">
        <v>21.74</v>
      </c>
      <c r="H3478" t="s">
        <v>8588</v>
      </c>
      <c r="I3478">
        <v>365</v>
      </c>
      <c r="J3478" t="s">
        <v>462</v>
      </c>
      <c r="K3478" t="s">
        <v>446</v>
      </c>
      <c r="M3478">
        <v>2501</v>
      </c>
    </row>
    <row r="3479" spans="1:14">
      <c r="A3479">
        <v>16440100</v>
      </c>
      <c r="B3479">
        <v>3015157</v>
      </c>
      <c r="C3479" t="s">
        <v>2103</v>
      </c>
      <c r="D3479" t="s">
        <v>441</v>
      </c>
      <c r="F3479">
        <v>0</v>
      </c>
      <c r="H3479" t="s">
        <v>8588</v>
      </c>
      <c r="I3479">
        <v>6</v>
      </c>
      <c r="J3479" t="s">
        <v>445</v>
      </c>
      <c r="M3479">
        <v>7161</v>
      </c>
      <c r="N3479" t="s">
        <v>16116</v>
      </c>
    </row>
    <row r="3480" spans="1:14">
      <c r="A3480">
        <v>16440561</v>
      </c>
      <c r="B3480">
        <v>3007734</v>
      </c>
      <c r="C3480" t="s">
        <v>10018</v>
      </c>
      <c r="D3480" t="s">
        <v>441</v>
      </c>
      <c r="F3480">
        <v>0</v>
      </c>
      <c r="G3480">
        <v>21.49</v>
      </c>
      <c r="H3480" t="s">
        <v>8580</v>
      </c>
      <c r="I3480">
        <v>6</v>
      </c>
      <c r="J3480" t="s">
        <v>445</v>
      </c>
      <c r="K3480" t="s">
        <v>446</v>
      </c>
      <c r="M3480">
        <v>2612</v>
      </c>
    </row>
    <row r="3481" spans="1:14">
      <c r="A3481">
        <v>16441040</v>
      </c>
      <c r="B3481">
        <v>4012020</v>
      </c>
      <c r="C3481" t="s">
        <v>10019</v>
      </c>
      <c r="D3481" t="s">
        <v>441</v>
      </c>
      <c r="F3481">
        <v>0</v>
      </c>
      <c r="G3481">
        <v>19.2</v>
      </c>
      <c r="H3481" t="s">
        <v>8588</v>
      </c>
      <c r="I3481">
        <v>19</v>
      </c>
      <c r="J3481" t="s">
        <v>462</v>
      </c>
      <c r="K3481" t="s">
        <v>446</v>
      </c>
      <c r="M3481">
        <v>2612</v>
      </c>
    </row>
    <row r="3482" spans="1:14">
      <c r="A3482">
        <v>16441041</v>
      </c>
      <c r="B3482">
        <v>4011471</v>
      </c>
      <c r="C3482" t="s">
        <v>10020</v>
      </c>
      <c r="D3482" t="s">
        <v>441</v>
      </c>
      <c r="F3482">
        <v>0</v>
      </c>
      <c r="G3482">
        <v>20.63</v>
      </c>
      <c r="H3482" t="s">
        <v>8588</v>
      </c>
      <c r="I3482">
        <v>19</v>
      </c>
      <c r="J3482" t="s">
        <v>462</v>
      </c>
      <c r="K3482" t="s">
        <v>446</v>
      </c>
      <c r="M3482">
        <v>2612</v>
      </c>
    </row>
    <row r="3483" spans="1:14">
      <c r="A3483">
        <v>16441042</v>
      </c>
      <c r="B3483">
        <v>4011472</v>
      </c>
      <c r="C3483" t="s">
        <v>10021</v>
      </c>
      <c r="D3483" t="s">
        <v>441</v>
      </c>
      <c r="F3483">
        <v>0</v>
      </c>
      <c r="G3483">
        <v>19.72</v>
      </c>
      <c r="H3483" t="s">
        <v>8588</v>
      </c>
      <c r="I3483">
        <v>19</v>
      </c>
      <c r="J3483" t="s">
        <v>462</v>
      </c>
      <c r="K3483" t="s">
        <v>446</v>
      </c>
      <c r="M3483">
        <v>2612</v>
      </c>
    </row>
    <row r="3484" spans="1:14">
      <c r="A3484">
        <v>16441043</v>
      </c>
      <c r="B3484">
        <v>4011891</v>
      </c>
      <c r="C3484" t="s">
        <v>10022</v>
      </c>
      <c r="D3484" t="s">
        <v>441</v>
      </c>
      <c r="F3484">
        <v>0</v>
      </c>
      <c r="G3484">
        <v>19.489999999999998</v>
      </c>
      <c r="H3484" t="s">
        <v>8588</v>
      </c>
      <c r="I3484">
        <v>19</v>
      </c>
      <c r="J3484" t="s">
        <v>462</v>
      </c>
      <c r="K3484" t="s">
        <v>446</v>
      </c>
      <c r="M3484">
        <v>2612</v>
      </c>
      <c r="N3484" t="s">
        <v>16116</v>
      </c>
    </row>
    <row r="3485" spans="1:14">
      <c r="A3485">
        <v>16441044</v>
      </c>
      <c r="B3485">
        <v>4011916</v>
      </c>
      <c r="C3485" t="s">
        <v>10023</v>
      </c>
      <c r="D3485" t="s">
        <v>441</v>
      </c>
      <c r="F3485">
        <v>0</v>
      </c>
      <c r="G3485">
        <v>20.97</v>
      </c>
      <c r="H3485" t="s">
        <v>8588</v>
      </c>
      <c r="I3485">
        <v>24</v>
      </c>
      <c r="J3485" t="s">
        <v>462</v>
      </c>
      <c r="K3485" t="s">
        <v>446</v>
      </c>
      <c r="M3485">
        <v>2612</v>
      </c>
    </row>
    <row r="3486" spans="1:14">
      <c r="A3486">
        <v>16441061</v>
      </c>
      <c r="B3486">
        <v>4011473</v>
      </c>
      <c r="C3486" t="s">
        <v>10024</v>
      </c>
      <c r="D3486" t="s">
        <v>441</v>
      </c>
      <c r="F3486">
        <v>0</v>
      </c>
      <c r="G3486">
        <v>21.33</v>
      </c>
      <c r="H3486" t="s">
        <v>8588</v>
      </c>
      <c r="I3486">
        <v>365</v>
      </c>
      <c r="J3486" t="s">
        <v>462</v>
      </c>
      <c r="K3486" t="s">
        <v>446</v>
      </c>
      <c r="M3486">
        <v>2501</v>
      </c>
    </row>
    <row r="3487" spans="1:14">
      <c r="A3487">
        <v>16441561</v>
      </c>
      <c r="B3487">
        <v>3017399</v>
      </c>
      <c r="C3487" t="s">
        <v>10025</v>
      </c>
      <c r="D3487" t="s">
        <v>441</v>
      </c>
      <c r="F3487">
        <v>0</v>
      </c>
      <c r="G3487">
        <v>21.49</v>
      </c>
      <c r="H3487" t="s">
        <v>8580</v>
      </c>
      <c r="I3487">
        <v>6</v>
      </c>
      <c r="J3487" t="s">
        <v>445</v>
      </c>
      <c r="K3487" t="s">
        <v>446</v>
      </c>
      <c r="M3487">
        <v>2612</v>
      </c>
    </row>
    <row r="3488" spans="1:14">
      <c r="A3488">
        <v>16446000</v>
      </c>
      <c r="B3488">
        <v>3010823</v>
      </c>
      <c r="C3488" t="s">
        <v>10026</v>
      </c>
      <c r="D3488" t="s">
        <v>441</v>
      </c>
      <c r="F3488">
        <v>0</v>
      </c>
      <c r="G3488">
        <v>19.43</v>
      </c>
      <c r="H3488" t="s">
        <v>8549</v>
      </c>
      <c r="I3488">
        <v>6</v>
      </c>
      <c r="J3488" t="s">
        <v>445</v>
      </c>
      <c r="K3488" t="s">
        <v>446</v>
      </c>
      <c r="M3488">
        <v>2390</v>
      </c>
    </row>
    <row r="3489" spans="1:14">
      <c r="A3489">
        <v>16450000</v>
      </c>
      <c r="B3489">
        <v>3030620</v>
      </c>
      <c r="C3489" t="s">
        <v>2104</v>
      </c>
      <c r="D3489" t="s">
        <v>441</v>
      </c>
      <c r="F3489">
        <v>0</v>
      </c>
      <c r="G3489">
        <v>12.4</v>
      </c>
      <c r="H3489" t="s">
        <v>8549</v>
      </c>
      <c r="I3489">
        <v>6</v>
      </c>
      <c r="J3489" t="s">
        <v>445</v>
      </c>
      <c r="M3489">
        <v>2391</v>
      </c>
      <c r="N3489" t="s">
        <v>16117</v>
      </c>
    </row>
    <row r="3490" spans="1:14">
      <c r="A3490">
        <v>16450020</v>
      </c>
      <c r="B3490">
        <v>4026461</v>
      </c>
      <c r="C3490" t="s">
        <v>2105</v>
      </c>
      <c r="D3490" t="s">
        <v>441</v>
      </c>
      <c r="F3490">
        <v>0</v>
      </c>
      <c r="G3490">
        <v>12.8</v>
      </c>
      <c r="H3490" t="s">
        <v>8588</v>
      </c>
      <c r="I3490">
        <v>6</v>
      </c>
      <c r="J3490" t="s">
        <v>462</v>
      </c>
      <c r="L3490">
        <v>2052388</v>
      </c>
      <c r="M3490">
        <v>7112</v>
      </c>
      <c r="N3490" t="s">
        <v>16117</v>
      </c>
    </row>
    <row r="3491" spans="1:14">
      <c r="A3491">
        <v>16450022</v>
      </c>
      <c r="B3491">
        <v>4029451</v>
      </c>
      <c r="C3491" t="s">
        <v>14809</v>
      </c>
      <c r="D3491" t="s">
        <v>441</v>
      </c>
      <c r="F3491">
        <v>0</v>
      </c>
      <c r="G3491">
        <v>18.940000000000001</v>
      </c>
      <c r="H3491" t="s">
        <v>8588</v>
      </c>
      <c r="I3491">
        <v>6</v>
      </c>
      <c r="J3491" t="s">
        <v>462</v>
      </c>
      <c r="L3491">
        <v>2134190</v>
      </c>
      <c r="M3491">
        <v>7112</v>
      </c>
      <c r="N3491" t="s">
        <v>16117</v>
      </c>
    </row>
    <row r="3492" spans="1:14">
      <c r="A3492">
        <v>16450025</v>
      </c>
      <c r="B3492">
        <v>4028844</v>
      </c>
      <c r="C3492" t="s">
        <v>10027</v>
      </c>
      <c r="D3492" t="s">
        <v>441</v>
      </c>
      <c r="F3492">
        <v>0</v>
      </c>
      <c r="G3492">
        <v>19.53</v>
      </c>
      <c r="H3492" t="s">
        <v>8588</v>
      </c>
      <c r="I3492">
        <v>540</v>
      </c>
      <c r="J3492" t="s">
        <v>462</v>
      </c>
      <c r="M3492">
        <v>7111</v>
      </c>
      <c r="N3492" t="s">
        <v>16117</v>
      </c>
    </row>
    <row r="3493" spans="1:14">
      <c r="A3493">
        <v>16450030</v>
      </c>
      <c r="B3493">
        <v>4026463</v>
      </c>
      <c r="C3493" t="s">
        <v>2106</v>
      </c>
      <c r="D3493" t="s">
        <v>441</v>
      </c>
      <c r="F3493">
        <v>0</v>
      </c>
      <c r="G3493">
        <v>18.559999999999999</v>
      </c>
      <c r="H3493" t="s">
        <v>8588</v>
      </c>
      <c r="I3493">
        <v>12</v>
      </c>
      <c r="J3493" t="s">
        <v>462</v>
      </c>
      <c r="M3493">
        <v>7112</v>
      </c>
      <c r="N3493" t="s">
        <v>16117</v>
      </c>
    </row>
    <row r="3494" spans="1:14">
      <c r="A3494">
        <v>16450031</v>
      </c>
      <c r="B3494">
        <v>4026444</v>
      </c>
      <c r="C3494" t="s">
        <v>2107</v>
      </c>
      <c r="D3494" t="s">
        <v>441</v>
      </c>
      <c r="F3494">
        <v>0</v>
      </c>
      <c r="G3494">
        <v>18.37</v>
      </c>
      <c r="H3494" t="s">
        <v>8588</v>
      </c>
      <c r="I3494">
        <v>12</v>
      </c>
      <c r="J3494" t="s">
        <v>462</v>
      </c>
      <c r="M3494">
        <v>7112</v>
      </c>
      <c r="N3494" t="s">
        <v>16117</v>
      </c>
    </row>
    <row r="3495" spans="1:14">
      <c r="A3495">
        <v>16450032</v>
      </c>
      <c r="B3495">
        <v>4026733</v>
      </c>
      <c r="C3495" t="s">
        <v>2108</v>
      </c>
      <c r="D3495" t="s">
        <v>441</v>
      </c>
      <c r="F3495">
        <v>0</v>
      </c>
      <c r="G3495">
        <v>13.12</v>
      </c>
      <c r="H3495" t="s">
        <v>8588</v>
      </c>
      <c r="I3495">
        <v>10</v>
      </c>
      <c r="J3495" t="s">
        <v>462</v>
      </c>
      <c r="M3495">
        <v>7112</v>
      </c>
      <c r="N3495" t="s">
        <v>16117</v>
      </c>
    </row>
    <row r="3496" spans="1:14">
      <c r="A3496">
        <v>16450033</v>
      </c>
      <c r="B3496">
        <v>4028944</v>
      </c>
      <c r="C3496" t="s">
        <v>14282</v>
      </c>
      <c r="D3496" t="s">
        <v>441</v>
      </c>
      <c r="F3496">
        <v>0</v>
      </c>
      <c r="G3496">
        <v>18.75</v>
      </c>
      <c r="H3496" t="s">
        <v>8588</v>
      </c>
      <c r="I3496">
        <v>12</v>
      </c>
      <c r="J3496" t="s">
        <v>462</v>
      </c>
      <c r="M3496">
        <v>7112</v>
      </c>
      <c r="N3496" t="s">
        <v>16117</v>
      </c>
    </row>
    <row r="3497" spans="1:14">
      <c r="A3497">
        <v>16450035</v>
      </c>
      <c r="B3497">
        <v>4029132</v>
      </c>
      <c r="C3497" t="s">
        <v>14283</v>
      </c>
      <c r="D3497" t="s">
        <v>441</v>
      </c>
      <c r="F3497">
        <v>0</v>
      </c>
      <c r="G3497">
        <v>18.75</v>
      </c>
      <c r="H3497" t="s">
        <v>8588</v>
      </c>
      <c r="I3497">
        <v>12</v>
      </c>
      <c r="J3497" t="s">
        <v>462</v>
      </c>
      <c r="M3497">
        <v>7112</v>
      </c>
      <c r="N3497" t="s">
        <v>16117</v>
      </c>
    </row>
    <row r="3498" spans="1:14">
      <c r="A3498">
        <v>16450036</v>
      </c>
      <c r="B3498">
        <v>4029167</v>
      </c>
      <c r="C3498" t="s">
        <v>16118</v>
      </c>
      <c r="D3498" t="s">
        <v>441</v>
      </c>
      <c r="F3498">
        <v>0</v>
      </c>
      <c r="G3498">
        <v>20.239999999999998</v>
      </c>
      <c r="H3498" t="s">
        <v>8588</v>
      </c>
      <c r="I3498">
        <v>12</v>
      </c>
      <c r="J3498" t="s">
        <v>462</v>
      </c>
      <c r="M3498">
        <v>7112</v>
      </c>
      <c r="N3498" t="s">
        <v>16117</v>
      </c>
    </row>
    <row r="3499" spans="1:14">
      <c r="A3499">
        <v>16450037</v>
      </c>
      <c r="B3499">
        <v>4029452</v>
      </c>
      <c r="C3499" t="s">
        <v>14810</v>
      </c>
      <c r="D3499" t="s">
        <v>441</v>
      </c>
      <c r="F3499">
        <v>0</v>
      </c>
      <c r="G3499">
        <v>18.93</v>
      </c>
      <c r="H3499" t="s">
        <v>8588</v>
      </c>
      <c r="I3499">
        <v>12</v>
      </c>
      <c r="J3499" t="s">
        <v>462</v>
      </c>
      <c r="M3499">
        <v>7112</v>
      </c>
      <c r="N3499" t="s">
        <v>16117</v>
      </c>
    </row>
    <row r="3500" spans="1:14">
      <c r="A3500">
        <v>16450075</v>
      </c>
      <c r="B3500">
        <v>4029805</v>
      </c>
      <c r="C3500" t="s">
        <v>15578</v>
      </c>
      <c r="D3500" t="s">
        <v>441</v>
      </c>
      <c r="F3500">
        <v>0</v>
      </c>
      <c r="G3500">
        <v>17.71</v>
      </c>
      <c r="H3500" t="s">
        <v>8588</v>
      </c>
      <c r="I3500">
        <v>6</v>
      </c>
      <c r="J3500" t="s">
        <v>462</v>
      </c>
      <c r="L3500">
        <v>2052620</v>
      </c>
      <c r="M3500">
        <v>7112</v>
      </c>
      <c r="N3500" t="s">
        <v>16117</v>
      </c>
    </row>
    <row r="3501" spans="1:14">
      <c r="A3501">
        <v>16450525</v>
      </c>
      <c r="B3501">
        <v>3043815</v>
      </c>
      <c r="C3501" t="s">
        <v>10028</v>
      </c>
      <c r="D3501" t="s">
        <v>441</v>
      </c>
      <c r="F3501">
        <v>0</v>
      </c>
      <c r="G3501">
        <v>19.11</v>
      </c>
      <c r="H3501" t="s">
        <v>8588</v>
      </c>
      <c r="I3501">
        <v>540</v>
      </c>
      <c r="J3501" t="s">
        <v>445</v>
      </c>
      <c r="M3501">
        <v>2502</v>
      </c>
      <c r="N3501" t="s">
        <v>16117</v>
      </c>
    </row>
    <row r="3502" spans="1:14">
      <c r="A3502">
        <v>16451000</v>
      </c>
      <c r="B3502">
        <v>3035635</v>
      </c>
      <c r="C3502" t="s">
        <v>2109</v>
      </c>
      <c r="D3502" t="s">
        <v>441</v>
      </c>
      <c r="F3502">
        <v>0</v>
      </c>
      <c r="G3502">
        <v>12.4</v>
      </c>
      <c r="H3502" t="s">
        <v>8549</v>
      </c>
      <c r="I3502">
        <v>6</v>
      </c>
      <c r="J3502" t="s">
        <v>445</v>
      </c>
      <c r="M3502">
        <v>2391</v>
      </c>
      <c r="N3502" t="s">
        <v>16117</v>
      </c>
    </row>
    <row r="3503" spans="1:14">
      <c r="A3503">
        <v>16451020</v>
      </c>
      <c r="B3503">
        <v>4026462</v>
      </c>
      <c r="C3503" t="s">
        <v>2110</v>
      </c>
      <c r="D3503" t="s">
        <v>441</v>
      </c>
      <c r="F3503">
        <v>0</v>
      </c>
      <c r="G3503">
        <v>12.8</v>
      </c>
      <c r="H3503" t="s">
        <v>8588</v>
      </c>
      <c r="I3503">
        <v>6</v>
      </c>
      <c r="J3503" t="s">
        <v>462</v>
      </c>
      <c r="L3503">
        <v>2052388</v>
      </c>
      <c r="M3503">
        <v>7112</v>
      </c>
      <c r="N3503" t="s">
        <v>16117</v>
      </c>
    </row>
    <row r="3504" spans="1:14">
      <c r="A3504">
        <v>16451030</v>
      </c>
      <c r="B3504">
        <v>4026464</v>
      </c>
      <c r="C3504" t="s">
        <v>2111</v>
      </c>
      <c r="D3504" t="s">
        <v>441</v>
      </c>
      <c r="F3504">
        <v>0</v>
      </c>
      <c r="G3504">
        <v>18.54</v>
      </c>
      <c r="H3504" t="s">
        <v>8588</v>
      </c>
      <c r="I3504">
        <v>12</v>
      </c>
      <c r="J3504" t="s">
        <v>462</v>
      </c>
      <c r="M3504">
        <v>7112</v>
      </c>
      <c r="N3504" t="s">
        <v>16117</v>
      </c>
    </row>
    <row r="3505" spans="1:14">
      <c r="A3505">
        <v>16451031</v>
      </c>
      <c r="B3505">
        <v>4026445</v>
      </c>
      <c r="C3505" t="s">
        <v>2112</v>
      </c>
      <c r="D3505" t="s">
        <v>441</v>
      </c>
      <c r="F3505">
        <v>0</v>
      </c>
      <c r="G3505">
        <v>18.350000000000001</v>
      </c>
      <c r="H3505" t="s">
        <v>8588</v>
      </c>
      <c r="I3505">
        <v>12</v>
      </c>
      <c r="J3505" t="s">
        <v>462</v>
      </c>
      <c r="M3505">
        <v>7112</v>
      </c>
      <c r="N3505" t="s">
        <v>16117</v>
      </c>
    </row>
    <row r="3506" spans="1:14">
      <c r="A3506">
        <v>16454000</v>
      </c>
      <c r="B3506">
        <v>3044147</v>
      </c>
      <c r="C3506" t="s">
        <v>14284</v>
      </c>
      <c r="D3506" t="s">
        <v>441</v>
      </c>
      <c r="F3506">
        <v>0</v>
      </c>
      <c r="G3506">
        <v>16.28</v>
      </c>
      <c r="H3506" t="s">
        <v>8549</v>
      </c>
      <c r="I3506">
        <v>6</v>
      </c>
      <c r="J3506" t="s">
        <v>445</v>
      </c>
      <c r="M3506">
        <v>2391</v>
      </c>
      <c r="N3506" t="s">
        <v>16117</v>
      </c>
    </row>
    <row r="3507" spans="1:14">
      <c r="A3507">
        <v>16454021</v>
      </c>
      <c r="B3507">
        <v>4029345</v>
      </c>
      <c r="C3507" t="s">
        <v>14811</v>
      </c>
      <c r="D3507" t="s">
        <v>441</v>
      </c>
      <c r="F3507">
        <v>0</v>
      </c>
      <c r="G3507">
        <v>17.93</v>
      </c>
      <c r="H3507" t="s">
        <v>8588</v>
      </c>
      <c r="I3507">
        <v>5</v>
      </c>
      <c r="J3507" t="s">
        <v>462</v>
      </c>
      <c r="M3507">
        <v>7112</v>
      </c>
      <c r="N3507" t="s">
        <v>16117</v>
      </c>
    </row>
    <row r="3508" spans="1:14">
      <c r="A3508">
        <v>16454034</v>
      </c>
      <c r="B3508">
        <v>4029093</v>
      </c>
      <c r="C3508" t="s">
        <v>14285</v>
      </c>
      <c r="D3508" t="s">
        <v>441</v>
      </c>
      <c r="F3508">
        <v>0</v>
      </c>
      <c r="G3508">
        <v>18.47</v>
      </c>
      <c r="H3508" t="s">
        <v>8588</v>
      </c>
      <c r="I3508">
        <v>8</v>
      </c>
      <c r="J3508" t="s">
        <v>462</v>
      </c>
      <c r="M3508">
        <v>7112</v>
      </c>
      <c r="N3508" t="s">
        <v>16117</v>
      </c>
    </row>
    <row r="3509" spans="1:14">
      <c r="A3509">
        <v>16460000</v>
      </c>
      <c r="B3509">
        <v>3015165</v>
      </c>
      <c r="C3509" t="s">
        <v>10029</v>
      </c>
      <c r="D3509" t="s">
        <v>441</v>
      </c>
      <c r="F3509">
        <v>0</v>
      </c>
      <c r="G3509">
        <v>20.350000000000001</v>
      </c>
      <c r="I3509">
        <v>6</v>
      </c>
      <c r="J3509" t="s">
        <v>445</v>
      </c>
      <c r="K3509" t="s">
        <v>446</v>
      </c>
      <c r="M3509">
        <v>2390</v>
      </c>
    </row>
    <row r="3510" spans="1:14">
      <c r="A3510">
        <v>16460020</v>
      </c>
      <c r="B3510">
        <v>4003859</v>
      </c>
      <c r="C3510" t="s">
        <v>2113</v>
      </c>
      <c r="D3510" t="s">
        <v>441</v>
      </c>
      <c r="F3510">
        <v>0</v>
      </c>
      <c r="G3510">
        <v>15.98</v>
      </c>
      <c r="H3510" t="s">
        <v>8588</v>
      </c>
      <c r="I3510">
        <v>6</v>
      </c>
      <c r="J3510" t="s">
        <v>462</v>
      </c>
      <c r="M3510">
        <v>7112</v>
      </c>
      <c r="N3510" t="s">
        <v>16116</v>
      </c>
    </row>
    <row r="3511" spans="1:14">
      <c r="A3511">
        <v>16460021</v>
      </c>
      <c r="B3511">
        <v>4008747</v>
      </c>
      <c r="C3511" t="s">
        <v>10030</v>
      </c>
      <c r="D3511" t="s">
        <v>441</v>
      </c>
      <c r="F3511">
        <v>0</v>
      </c>
      <c r="G3511">
        <v>16.61</v>
      </c>
      <c r="H3511" t="s">
        <v>8588</v>
      </c>
      <c r="I3511">
        <v>6</v>
      </c>
      <c r="J3511" t="s">
        <v>462</v>
      </c>
      <c r="K3511" t="s">
        <v>446</v>
      </c>
      <c r="M3511">
        <v>2641</v>
      </c>
      <c r="N3511" t="s">
        <v>16116</v>
      </c>
    </row>
    <row r="3512" spans="1:14">
      <c r="A3512">
        <v>16460030</v>
      </c>
      <c r="B3512">
        <v>4011104</v>
      </c>
      <c r="C3512" t="s">
        <v>10031</v>
      </c>
      <c r="D3512" t="s">
        <v>441</v>
      </c>
      <c r="F3512">
        <v>0</v>
      </c>
      <c r="G3512">
        <v>20.190000000000001</v>
      </c>
      <c r="H3512" t="s">
        <v>8588</v>
      </c>
      <c r="I3512">
        <v>12</v>
      </c>
      <c r="J3512" t="s">
        <v>462</v>
      </c>
      <c r="K3512" t="s">
        <v>446</v>
      </c>
      <c r="M3512">
        <v>2611</v>
      </c>
    </row>
    <row r="3513" spans="1:14">
      <c r="A3513">
        <v>16460031</v>
      </c>
      <c r="B3513">
        <v>4003860</v>
      </c>
      <c r="C3513" t="s">
        <v>10032</v>
      </c>
      <c r="D3513" t="s">
        <v>441</v>
      </c>
      <c r="F3513">
        <v>0</v>
      </c>
      <c r="G3513">
        <v>18.489999999999998</v>
      </c>
      <c r="H3513" t="s">
        <v>8588</v>
      </c>
      <c r="I3513">
        <v>12</v>
      </c>
      <c r="J3513" t="s">
        <v>462</v>
      </c>
      <c r="K3513" t="s">
        <v>446</v>
      </c>
      <c r="L3513">
        <v>2983030</v>
      </c>
      <c r="M3513">
        <v>2611</v>
      </c>
      <c r="N3513" t="s">
        <v>16116</v>
      </c>
    </row>
    <row r="3514" spans="1:14">
      <c r="A3514">
        <v>16460032</v>
      </c>
      <c r="B3514">
        <v>4003861</v>
      </c>
      <c r="C3514" t="s">
        <v>10033</v>
      </c>
      <c r="D3514" t="s">
        <v>441</v>
      </c>
      <c r="F3514">
        <v>0</v>
      </c>
      <c r="G3514">
        <v>20.3</v>
      </c>
      <c r="H3514" t="s">
        <v>8588</v>
      </c>
      <c r="I3514">
        <v>12</v>
      </c>
      <c r="J3514" t="s">
        <v>462</v>
      </c>
      <c r="K3514" t="s">
        <v>446</v>
      </c>
      <c r="M3514">
        <v>2611</v>
      </c>
    </row>
    <row r="3515" spans="1:14">
      <c r="A3515">
        <v>16460035</v>
      </c>
      <c r="B3515">
        <v>4003864</v>
      </c>
      <c r="C3515" t="s">
        <v>10034</v>
      </c>
      <c r="D3515" t="s">
        <v>441</v>
      </c>
      <c r="F3515">
        <v>0</v>
      </c>
      <c r="G3515">
        <v>18.37</v>
      </c>
      <c r="H3515" t="s">
        <v>8588</v>
      </c>
      <c r="I3515">
        <v>12</v>
      </c>
      <c r="J3515" t="s">
        <v>462</v>
      </c>
      <c r="K3515" t="s">
        <v>446</v>
      </c>
      <c r="M3515">
        <v>2611</v>
      </c>
      <c r="N3515" t="s">
        <v>16116</v>
      </c>
    </row>
    <row r="3516" spans="1:14">
      <c r="A3516">
        <v>16460036</v>
      </c>
      <c r="B3516">
        <v>4012389</v>
      </c>
      <c r="C3516" t="s">
        <v>10035</v>
      </c>
      <c r="D3516" t="s">
        <v>441</v>
      </c>
      <c r="F3516">
        <v>0</v>
      </c>
      <c r="G3516">
        <v>22.71</v>
      </c>
      <c r="H3516" t="s">
        <v>8588</v>
      </c>
      <c r="I3516">
        <v>12</v>
      </c>
      <c r="J3516" t="s">
        <v>462</v>
      </c>
      <c r="K3516" t="s">
        <v>446</v>
      </c>
      <c r="M3516">
        <v>2611</v>
      </c>
      <c r="N3516" t="s">
        <v>16116</v>
      </c>
    </row>
    <row r="3517" spans="1:14">
      <c r="A3517">
        <v>16460037</v>
      </c>
      <c r="B3517">
        <v>4012618</v>
      </c>
      <c r="C3517" t="s">
        <v>10036</v>
      </c>
      <c r="D3517" t="s">
        <v>441</v>
      </c>
      <c r="F3517">
        <v>0</v>
      </c>
      <c r="G3517">
        <v>18.41</v>
      </c>
      <c r="H3517" t="s">
        <v>8588</v>
      </c>
      <c r="I3517">
        <v>12</v>
      </c>
      <c r="J3517" t="s">
        <v>462</v>
      </c>
      <c r="K3517" t="s">
        <v>446</v>
      </c>
      <c r="M3517">
        <v>2611</v>
      </c>
      <c r="N3517" t="s">
        <v>16116</v>
      </c>
    </row>
    <row r="3518" spans="1:14">
      <c r="A3518">
        <v>16460038</v>
      </c>
      <c r="B3518">
        <v>4013236</v>
      </c>
      <c r="C3518" t="s">
        <v>10037</v>
      </c>
      <c r="D3518" t="s">
        <v>441</v>
      </c>
      <c r="F3518">
        <v>0</v>
      </c>
      <c r="G3518">
        <v>20.18</v>
      </c>
      <c r="H3518" t="s">
        <v>8588</v>
      </c>
      <c r="I3518">
        <v>12</v>
      </c>
      <c r="J3518" t="s">
        <v>462</v>
      </c>
      <c r="K3518" t="s">
        <v>446</v>
      </c>
      <c r="M3518">
        <v>2611</v>
      </c>
      <c r="N3518" t="s">
        <v>16116</v>
      </c>
    </row>
    <row r="3519" spans="1:14">
      <c r="A3519">
        <v>16460039</v>
      </c>
      <c r="B3519">
        <v>4014291</v>
      </c>
      <c r="C3519" t="s">
        <v>10038</v>
      </c>
      <c r="D3519" t="s">
        <v>441</v>
      </c>
      <c r="F3519">
        <v>0</v>
      </c>
      <c r="G3519">
        <v>17.89</v>
      </c>
      <c r="H3519" t="s">
        <v>8588</v>
      </c>
      <c r="I3519">
        <v>12</v>
      </c>
      <c r="J3519" t="s">
        <v>462</v>
      </c>
      <c r="K3519" t="s">
        <v>446</v>
      </c>
      <c r="M3519">
        <v>2611</v>
      </c>
      <c r="N3519" t="s">
        <v>16116</v>
      </c>
    </row>
    <row r="3520" spans="1:14">
      <c r="A3520">
        <v>16460040</v>
      </c>
      <c r="B3520">
        <v>4011101</v>
      </c>
      <c r="C3520" t="s">
        <v>10039</v>
      </c>
      <c r="D3520" t="s">
        <v>441</v>
      </c>
      <c r="F3520">
        <v>0</v>
      </c>
      <c r="G3520">
        <v>17.53</v>
      </c>
      <c r="H3520" t="s">
        <v>8588</v>
      </c>
      <c r="I3520">
        <v>10</v>
      </c>
      <c r="J3520" t="s">
        <v>462</v>
      </c>
      <c r="K3520" t="s">
        <v>446</v>
      </c>
      <c r="M3520">
        <v>2612</v>
      </c>
      <c r="N3520" t="s">
        <v>16116</v>
      </c>
    </row>
    <row r="3521" spans="1:14">
      <c r="A3521">
        <v>16460041</v>
      </c>
      <c r="B3521">
        <v>4003865</v>
      </c>
      <c r="C3521" t="s">
        <v>2114</v>
      </c>
      <c r="D3521" t="s">
        <v>441</v>
      </c>
      <c r="F3521">
        <v>0</v>
      </c>
      <c r="G3521">
        <v>23.09</v>
      </c>
      <c r="H3521" t="s">
        <v>8588</v>
      </c>
      <c r="I3521">
        <v>9</v>
      </c>
      <c r="J3521" t="s">
        <v>462</v>
      </c>
      <c r="L3521">
        <v>100700</v>
      </c>
      <c r="M3521">
        <v>7112</v>
      </c>
      <c r="N3521" t="s">
        <v>16116</v>
      </c>
    </row>
    <row r="3522" spans="1:14">
      <c r="A3522">
        <v>16460042</v>
      </c>
      <c r="B3522">
        <v>4003866</v>
      </c>
      <c r="C3522" t="s">
        <v>2115</v>
      </c>
      <c r="D3522" t="s">
        <v>441</v>
      </c>
      <c r="F3522">
        <v>0</v>
      </c>
      <c r="G3522">
        <v>16.72</v>
      </c>
      <c r="H3522" t="s">
        <v>8588</v>
      </c>
      <c r="I3522">
        <v>17</v>
      </c>
      <c r="J3522" t="s">
        <v>462</v>
      </c>
      <c r="M3522">
        <v>7112</v>
      </c>
      <c r="N3522" t="s">
        <v>16116</v>
      </c>
    </row>
    <row r="3523" spans="1:14">
      <c r="A3523">
        <v>16460043</v>
      </c>
      <c r="B3523">
        <v>4009883</v>
      </c>
      <c r="C3523" t="s">
        <v>10040</v>
      </c>
      <c r="D3523" t="s">
        <v>441</v>
      </c>
      <c r="F3523">
        <v>0</v>
      </c>
      <c r="G3523">
        <v>17.62</v>
      </c>
      <c r="H3523" t="s">
        <v>8588</v>
      </c>
      <c r="I3523">
        <v>17</v>
      </c>
      <c r="J3523" t="s">
        <v>462</v>
      </c>
      <c r="K3523" t="s">
        <v>446</v>
      </c>
      <c r="M3523">
        <v>2612</v>
      </c>
      <c r="N3523" t="s">
        <v>16116</v>
      </c>
    </row>
    <row r="3524" spans="1:14">
      <c r="A3524">
        <v>16460044</v>
      </c>
      <c r="B3524">
        <v>4006842</v>
      </c>
      <c r="C3524" t="s">
        <v>10041</v>
      </c>
      <c r="D3524" t="s">
        <v>441</v>
      </c>
      <c r="F3524">
        <v>0</v>
      </c>
      <c r="G3524">
        <v>17.73</v>
      </c>
      <c r="H3524" t="s">
        <v>8588</v>
      </c>
      <c r="I3524">
        <v>17</v>
      </c>
      <c r="J3524" t="s">
        <v>462</v>
      </c>
      <c r="K3524" t="s">
        <v>446</v>
      </c>
      <c r="M3524">
        <v>2612</v>
      </c>
    </row>
    <row r="3525" spans="1:14">
      <c r="A3525">
        <v>16460045</v>
      </c>
      <c r="B3525">
        <v>4007812</v>
      </c>
      <c r="C3525" t="s">
        <v>2116</v>
      </c>
      <c r="D3525" t="s">
        <v>441</v>
      </c>
      <c r="F3525">
        <v>0</v>
      </c>
      <c r="G3525">
        <v>21.05</v>
      </c>
      <c r="H3525" t="s">
        <v>8588</v>
      </c>
      <c r="I3525">
        <v>17</v>
      </c>
      <c r="J3525" t="s">
        <v>462</v>
      </c>
      <c r="M3525">
        <v>7112</v>
      </c>
      <c r="N3525" t="s">
        <v>16116</v>
      </c>
    </row>
    <row r="3526" spans="1:14">
      <c r="A3526">
        <v>16460046</v>
      </c>
      <c r="B3526">
        <v>4009997</v>
      </c>
      <c r="C3526" t="s">
        <v>10042</v>
      </c>
      <c r="D3526" t="s">
        <v>441</v>
      </c>
      <c r="F3526">
        <v>0</v>
      </c>
      <c r="G3526">
        <v>17.22</v>
      </c>
      <c r="H3526" t="s">
        <v>8588</v>
      </c>
      <c r="I3526">
        <v>17</v>
      </c>
      <c r="J3526" t="s">
        <v>462</v>
      </c>
      <c r="K3526" t="s">
        <v>446</v>
      </c>
      <c r="M3526">
        <v>2612</v>
      </c>
    </row>
    <row r="3527" spans="1:14">
      <c r="A3527">
        <v>16460047</v>
      </c>
      <c r="B3527">
        <v>4011249</v>
      </c>
      <c r="C3527" t="s">
        <v>10043</v>
      </c>
      <c r="D3527" t="s">
        <v>441</v>
      </c>
      <c r="F3527">
        <v>0</v>
      </c>
      <c r="G3527">
        <v>19.739999999999998</v>
      </c>
      <c r="H3527" t="s">
        <v>8588</v>
      </c>
      <c r="I3527">
        <v>19</v>
      </c>
      <c r="J3527" t="s">
        <v>462</v>
      </c>
      <c r="K3527" t="s">
        <v>446</v>
      </c>
      <c r="M3527">
        <v>2612</v>
      </c>
      <c r="N3527" t="s">
        <v>16116</v>
      </c>
    </row>
    <row r="3528" spans="1:14">
      <c r="A3528">
        <v>16460048</v>
      </c>
      <c r="B3528">
        <v>4012633</v>
      </c>
      <c r="C3528" t="s">
        <v>10044</v>
      </c>
      <c r="D3528" t="s">
        <v>441</v>
      </c>
      <c r="F3528">
        <v>0</v>
      </c>
      <c r="G3528">
        <v>19.88</v>
      </c>
      <c r="H3528" t="s">
        <v>8588</v>
      </c>
      <c r="I3528">
        <v>12</v>
      </c>
      <c r="J3528" t="s">
        <v>462</v>
      </c>
      <c r="K3528" t="s">
        <v>446</v>
      </c>
      <c r="M3528">
        <v>2612</v>
      </c>
      <c r="N3528" t="s">
        <v>16116</v>
      </c>
    </row>
    <row r="3529" spans="1:14">
      <c r="A3529">
        <v>16460049</v>
      </c>
      <c r="B3529">
        <v>4012787</v>
      </c>
      <c r="C3529" t="s">
        <v>2117</v>
      </c>
      <c r="D3529" t="s">
        <v>441</v>
      </c>
      <c r="F3529">
        <v>0</v>
      </c>
      <c r="G3529">
        <v>24.26</v>
      </c>
      <c r="H3529" t="s">
        <v>8588</v>
      </c>
      <c r="I3529">
        <v>16</v>
      </c>
      <c r="J3529" t="s">
        <v>462</v>
      </c>
      <c r="M3529">
        <v>7112</v>
      </c>
      <c r="N3529" t="s">
        <v>16116</v>
      </c>
    </row>
    <row r="3530" spans="1:14">
      <c r="A3530">
        <v>16460050</v>
      </c>
      <c r="B3530">
        <v>4017608</v>
      </c>
      <c r="C3530" t="s">
        <v>10045</v>
      </c>
      <c r="D3530" t="s">
        <v>441</v>
      </c>
      <c r="F3530">
        <v>0</v>
      </c>
      <c r="G3530">
        <v>19.59</v>
      </c>
      <c r="H3530" t="s">
        <v>8588</v>
      </c>
      <c r="I3530">
        <v>16</v>
      </c>
      <c r="J3530" t="s">
        <v>462</v>
      </c>
      <c r="K3530" t="s">
        <v>446</v>
      </c>
      <c r="M3530">
        <v>2612</v>
      </c>
      <c r="N3530" t="s">
        <v>16116</v>
      </c>
    </row>
    <row r="3531" spans="1:14">
      <c r="A3531">
        <v>16460051</v>
      </c>
      <c r="B3531">
        <v>4022100</v>
      </c>
      <c r="C3531" t="s">
        <v>2118</v>
      </c>
      <c r="D3531" t="s">
        <v>441</v>
      </c>
      <c r="F3531">
        <v>0</v>
      </c>
      <c r="G3531">
        <v>16.21</v>
      </c>
      <c r="H3531" t="s">
        <v>8588</v>
      </c>
      <c r="I3531">
        <v>17</v>
      </c>
      <c r="J3531" t="s">
        <v>462</v>
      </c>
      <c r="M3531">
        <v>7112</v>
      </c>
      <c r="N3531" t="s">
        <v>16116</v>
      </c>
    </row>
    <row r="3532" spans="1:14">
      <c r="A3532">
        <v>16460052</v>
      </c>
      <c r="B3532">
        <v>4007407</v>
      </c>
      <c r="C3532" t="s">
        <v>10046</v>
      </c>
      <c r="D3532" t="s">
        <v>441</v>
      </c>
      <c r="F3532">
        <v>0</v>
      </c>
      <c r="G3532">
        <v>18.809999999999999</v>
      </c>
      <c r="H3532" t="s">
        <v>8588</v>
      </c>
      <c r="I3532">
        <v>17</v>
      </c>
      <c r="J3532" t="s">
        <v>462</v>
      </c>
      <c r="K3532" t="s">
        <v>446</v>
      </c>
      <c r="M3532">
        <v>2612</v>
      </c>
    </row>
    <row r="3533" spans="1:14">
      <c r="A3533">
        <v>16460053</v>
      </c>
      <c r="B3533">
        <v>4016067</v>
      </c>
      <c r="C3533" t="s">
        <v>10047</v>
      </c>
      <c r="D3533" t="s">
        <v>441</v>
      </c>
      <c r="F3533">
        <v>0</v>
      </c>
      <c r="G3533">
        <v>1</v>
      </c>
      <c r="H3533" t="s">
        <v>8588</v>
      </c>
      <c r="I3533">
        <v>16</v>
      </c>
      <c r="J3533" t="s">
        <v>462</v>
      </c>
      <c r="K3533" t="s">
        <v>446</v>
      </c>
      <c r="M3533">
        <v>2612</v>
      </c>
      <c r="N3533" t="s">
        <v>16116</v>
      </c>
    </row>
    <row r="3534" spans="1:14">
      <c r="A3534">
        <v>16460054</v>
      </c>
      <c r="B3534">
        <v>4019544</v>
      </c>
      <c r="C3534" t="s">
        <v>2119</v>
      </c>
      <c r="D3534" t="s">
        <v>441</v>
      </c>
      <c r="F3534">
        <v>0</v>
      </c>
      <c r="G3534">
        <v>19.739999999999998</v>
      </c>
      <c r="H3534" t="s">
        <v>8588</v>
      </c>
      <c r="I3534">
        <v>16</v>
      </c>
      <c r="J3534" t="s">
        <v>462</v>
      </c>
      <c r="K3534" t="s">
        <v>446</v>
      </c>
      <c r="M3534">
        <v>2612</v>
      </c>
      <c r="N3534" t="s">
        <v>16116</v>
      </c>
    </row>
    <row r="3535" spans="1:14">
      <c r="A3535">
        <v>16460055</v>
      </c>
      <c r="B3535">
        <v>4019604</v>
      </c>
      <c r="C3535" t="s">
        <v>2120</v>
      </c>
      <c r="D3535" t="s">
        <v>441</v>
      </c>
      <c r="F3535">
        <v>0</v>
      </c>
      <c r="G3535">
        <v>16.489999999999998</v>
      </c>
      <c r="H3535" t="s">
        <v>8588</v>
      </c>
      <c r="I3535">
        <v>14</v>
      </c>
      <c r="J3535" t="s">
        <v>462</v>
      </c>
      <c r="M3535">
        <v>7112</v>
      </c>
      <c r="N3535" t="s">
        <v>16116</v>
      </c>
    </row>
    <row r="3536" spans="1:14">
      <c r="A3536">
        <v>16460056</v>
      </c>
      <c r="B3536">
        <v>4024636</v>
      </c>
      <c r="C3536" t="s">
        <v>10048</v>
      </c>
      <c r="D3536" t="s">
        <v>441</v>
      </c>
      <c r="F3536">
        <v>0</v>
      </c>
      <c r="G3536">
        <v>28.25</v>
      </c>
      <c r="H3536" t="s">
        <v>8588</v>
      </c>
      <c r="I3536">
        <v>10</v>
      </c>
      <c r="J3536" t="s">
        <v>462</v>
      </c>
      <c r="M3536">
        <v>7112</v>
      </c>
      <c r="N3536" t="s">
        <v>16116</v>
      </c>
    </row>
    <row r="3537" spans="1:14">
      <c r="A3537">
        <v>16460057</v>
      </c>
      <c r="B3537">
        <v>4025017</v>
      </c>
      <c r="C3537" t="s">
        <v>15579</v>
      </c>
      <c r="D3537" t="s">
        <v>441</v>
      </c>
      <c r="F3537">
        <v>0</v>
      </c>
      <c r="G3537">
        <v>24.38</v>
      </c>
      <c r="H3537" t="s">
        <v>8588</v>
      </c>
      <c r="I3537">
        <v>17</v>
      </c>
      <c r="J3537" t="s">
        <v>462</v>
      </c>
      <c r="M3537">
        <v>7112</v>
      </c>
      <c r="N3537" t="s">
        <v>16116</v>
      </c>
    </row>
    <row r="3538" spans="1:14">
      <c r="A3538">
        <v>16460058</v>
      </c>
      <c r="B3538">
        <v>4026396</v>
      </c>
      <c r="C3538" t="s">
        <v>2121</v>
      </c>
      <c r="D3538" t="s">
        <v>441</v>
      </c>
      <c r="F3538">
        <v>0</v>
      </c>
      <c r="G3538">
        <v>16.03</v>
      </c>
      <c r="H3538" t="s">
        <v>8588</v>
      </c>
      <c r="I3538">
        <v>17</v>
      </c>
      <c r="J3538" t="s">
        <v>462</v>
      </c>
      <c r="M3538">
        <v>7112</v>
      </c>
      <c r="N3538" t="s">
        <v>16116</v>
      </c>
    </row>
    <row r="3539" spans="1:14">
      <c r="A3539">
        <v>16460059</v>
      </c>
      <c r="B3539">
        <v>4026589</v>
      </c>
      <c r="C3539" t="s">
        <v>2122</v>
      </c>
      <c r="D3539" t="s">
        <v>441</v>
      </c>
      <c r="F3539">
        <v>0</v>
      </c>
      <c r="G3539">
        <v>16.420000000000002</v>
      </c>
      <c r="H3539" t="s">
        <v>8588</v>
      </c>
      <c r="I3539">
        <v>17</v>
      </c>
      <c r="J3539" t="s">
        <v>462</v>
      </c>
      <c r="M3539">
        <v>7112</v>
      </c>
      <c r="N3539" t="s">
        <v>16116</v>
      </c>
    </row>
    <row r="3540" spans="1:14">
      <c r="A3540">
        <v>16460060</v>
      </c>
      <c r="B3540">
        <v>4013880</v>
      </c>
      <c r="C3540" t="s">
        <v>2123</v>
      </c>
      <c r="D3540" t="s">
        <v>441</v>
      </c>
      <c r="F3540">
        <v>0</v>
      </c>
      <c r="G3540">
        <v>16.27</v>
      </c>
      <c r="H3540" t="s">
        <v>8588</v>
      </c>
      <c r="I3540">
        <v>17</v>
      </c>
      <c r="J3540" t="s">
        <v>462</v>
      </c>
      <c r="M3540">
        <v>7112</v>
      </c>
      <c r="N3540" t="s">
        <v>16116</v>
      </c>
    </row>
    <row r="3541" spans="1:14">
      <c r="A3541">
        <v>16460061</v>
      </c>
      <c r="B3541">
        <v>4015049</v>
      </c>
      <c r="C3541" t="s">
        <v>2124</v>
      </c>
      <c r="D3541" t="s">
        <v>441</v>
      </c>
      <c r="F3541">
        <v>0</v>
      </c>
      <c r="G3541">
        <v>16.23</v>
      </c>
      <c r="H3541" t="s">
        <v>8588</v>
      </c>
      <c r="I3541">
        <v>10</v>
      </c>
      <c r="J3541" t="s">
        <v>462</v>
      </c>
      <c r="M3541">
        <v>7112</v>
      </c>
      <c r="N3541" t="s">
        <v>16116</v>
      </c>
    </row>
    <row r="3542" spans="1:14">
      <c r="A3542">
        <v>16460062</v>
      </c>
      <c r="B3542">
        <v>4007504</v>
      </c>
      <c r="C3542" t="s">
        <v>10049</v>
      </c>
      <c r="D3542" t="s">
        <v>441</v>
      </c>
      <c r="F3542">
        <v>0</v>
      </c>
      <c r="G3542">
        <v>18.989999999999998</v>
      </c>
      <c r="H3542" t="s">
        <v>8588</v>
      </c>
      <c r="I3542">
        <v>365</v>
      </c>
      <c r="J3542" t="s">
        <v>462</v>
      </c>
      <c r="K3542" t="s">
        <v>446</v>
      </c>
      <c r="M3542">
        <v>2501</v>
      </c>
      <c r="N3542" t="s">
        <v>16116</v>
      </c>
    </row>
    <row r="3543" spans="1:14">
      <c r="A3543">
        <v>16460063</v>
      </c>
      <c r="B3543">
        <v>4015450</v>
      </c>
      <c r="C3543" t="s">
        <v>2125</v>
      </c>
      <c r="D3543" t="s">
        <v>441</v>
      </c>
      <c r="F3543">
        <v>0</v>
      </c>
      <c r="G3543">
        <v>16.66</v>
      </c>
      <c r="H3543" t="s">
        <v>8588</v>
      </c>
      <c r="I3543">
        <v>16</v>
      </c>
      <c r="J3543" t="s">
        <v>462</v>
      </c>
      <c r="M3543">
        <v>7112</v>
      </c>
      <c r="N3543" t="s">
        <v>16116</v>
      </c>
    </row>
    <row r="3544" spans="1:14">
      <c r="A3544">
        <v>16460064</v>
      </c>
      <c r="B3544">
        <v>4018071</v>
      </c>
      <c r="C3544" t="s">
        <v>10050</v>
      </c>
      <c r="D3544" t="s">
        <v>441</v>
      </c>
      <c r="F3544">
        <v>0</v>
      </c>
      <c r="G3544">
        <v>16.57</v>
      </c>
      <c r="H3544" t="s">
        <v>8588</v>
      </c>
      <c r="I3544">
        <v>19</v>
      </c>
      <c r="J3544" t="s">
        <v>462</v>
      </c>
      <c r="K3544" t="s">
        <v>446</v>
      </c>
      <c r="M3544">
        <v>2612</v>
      </c>
      <c r="N3544" t="s">
        <v>16116</v>
      </c>
    </row>
    <row r="3545" spans="1:14">
      <c r="A3545">
        <v>16460065</v>
      </c>
      <c r="B3545">
        <v>4021195</v>
      </c>
      <c r="C3545" t="s">
        <v>2126</v>
      </c>
      <c r="D3545" t="s">
        <v>441</v>
      </c>
      <c r="F3545">
        <v>0</v>
      </c>
      <c r="G3545">
        <v>21.82</v>
      </c>
      <c r="H3545" t="s">
        <v>8588</v>
      </c>
      <c r="I3545">
        <v>540</v>
      </c>
      <c r="J3545" t="s">
        <v>462</v>
      </c>
      <c r="M3545">
        <v>7111</v>
      </c>
      <c r="N3545" t="s">
        <v>16116</v>
      </c>
    </row>
    <row r="3546" spans="1:14">
      <c r="A3546">
        <v>16460066</v>
      </c>
      <c r="B3546">
        <v>3044271</v>
      </c>
      <c r="C3546" t="s">
        <v>14286</v>
      </c>
      <c r="D3546" t="s">
        <v>441</v>
      </c>
      <c r="F3546">
        <v>0</v>
      </c>
      <c r="G3546">
        <v>24.76</v>
      </c>
      <c r="H3546" t="s">
        <v>8588</v>
      </c>
      <c r="I3546">
        <v>540</v>
      </c>
      <c r="J3546" t="s">
        <v>445</v>
      </c>
      <c r="M3546">
        <v>7111</v>
      </c>
      <c r="N3546" t="s">
        <v>16116</v>
      </c>
    </row>
    <row r="3547" spans="1:14">
      <c r="A3547">
        <v>16460067</v>
      </c>
      <c r="B3547">
        <v>4030256</v>
      </c>
      <c r="C3547" t="s">
        <v>16119</v>
      </c>
      <c r="D3547" t="s">
        <v>441</v>
      </c>
      <c r="F3547">
        <v>0</v>
      </c>
      <c r="G3547">
        <v>26.41</v>
      </c>
      <c r="H3547" t="s">
        <v>8588</v>
      </c>
      <c r="I3547">
        <v>17</v>
      </c>
      <c r="J3547" t="s">
        <v>462</v>
      </c>
      <c r="M3547">
        <v>7112</v>
      </c>
      <c r="N3547" t="s">
        <v>16116</v>
      </c>
    </row>
    <row r="3548" spans="1:14">
      <c r="A3548">
        <v>16460071</v>
      </c>
      <c r="B3548">
        <v>4017025</v>
      </c>
      <c r="C3548" t="s">
        <v>10051</v>
      </c>
      <c r="D3548" t="s">
        <v>441</v>
      </c>
      <c r="F3548">
        <v>0</v>
      </c>
      <c r="G3548">
        <v>18.37</v>
      </c>
      <c r="H3548" t="s">
        <v>8588</v>
      </c>
      <c r="I3548">
        <v>12</v>
      </c>
      <c r="J3548" t="s">
        <v>462</v>
      </c>
      <c r="K3548" t="s">
        <v>446</v>
      </c>
      <c r="M3548">
        <v>2611</v>
      </c>
      <c r="N3548" t="s">
        <v>16116</v>
      </c>
    </row>
    <row r="3549" spans="1:14">
      <c r="A3549">
        <v>16460074</v>
      </c>
      <c r="B3549">
        <v>4025609</v>
      </c>
      <c r="C3549" t="s">
        <v>2127</v>
      </c>
      <c r="D3549" t="s">
        <v>441</v>
      </c>
      <c r="F3549">
        <v>0</v>
      </c>
      <c r="G3549">
        <v>15.79</v>
      </c>
      <c r="H3549" t="s">
        <v>8588</v>
      </c>
      <c r="I3549">
        <v>6</v>
      </c>
      <c r="J3549" t="s">
        <v>462</v>
      </c>
      <c r="L3549">
        <v>2052270</v>
      </c>
      <c r="M3549">
        <v>7112</v>
      </c>
      <c r="N3549" t="s">
        <v>16116</v>
      </c>
    </row>
    <row r="3550" spans="1:14">
      <c r="A3550">
        <v>16460075</v>
      </c>
      <c r="B3550">
        <v>4007408</v>
      </c>
      <c r="C3550" t="s">
        <v>10052</v>
      </c>
      <c r="D3550" t="s">
        <v>441</v>
      </c>
      <c r="F3550">
        <v>0</v>
      </c>
      <c r="G3550">
        <v>19.100000000000001</v>
      </c>
      <c r="H3550" t="s">
        <v>8588</v>
      </c>
      <c r="I3550">
        <v>6</v>
      </c>
      <c r="J3550" t="s">
        <v>462</v>
      </c>
      <c r="K3550" t="s">
        <v>446</v>
      </c>
      <c r="M3550">
        <v>2641</v>
      </c>
      <c r="N3550" t="s">
        <v>16116</v>
      </c>
    </row>
    <row r="3551" spans="1:14">
      <c r="A3551">
        <v>16460076</v>
      </c>
      <c r="B3551">
        <v>3025850</v>
      </c>
      <c r="C3551" t="s">
        <v>2128</v>
      </c>
      <c r="D3551" t="s">
        <v>441</v>
      </c>
      <c r="F3551">
        <v>0</v>
      </c>
      <c r="G3551">
        <v>15.81</v>
      </c>
      <c r="H3551" t="s">
        <v>8588</v>
      </c>
      <c r="I3551">
        <v>6</v>
      </c>
      <c r="J3551" t="s">
        <v>445</v>
      </c>
      <c r="L3551">
        <v>2092015</v>
      </c>
      <c r="M3551">
        <v>7112</v>
      </c>
      <c r="N3551" t="s">
        <v>16116</v>
      </c>
    </row>
    <row r="3552" spans="1:14">
      <c r="A3552">
        <v>16460077</v>
      </c>
      <c r="B3552">
        <v>4007406</v>
      </c>
      <c r="C3552" t="s">
        <v>10053</v>
      </c>
      <c r="D3552" t="s">
        <v>441</v>
      </c>
      <c r="F3552">
        <v>0</v>
      </c>
      <c r="G3552">
        <v>19.100000000000001</v>
      </c>
      <c r="H3552" t="s">
        <v>8588</v>
      </c>
      <c r="I3552">
        <v>6</v>
      </c>
      <c r="J3552" t="s">
        <v>462</v>
      </c>
      <c r="K3552" t="s">
        <v>446</v>
      </c>
      <c r="L3552">
        <v>11211</v>
      </c>
      <c r="M3552">
        <v>2641</v>
      </c>
      <c r="N3552" t="s">
        <v>16116</v>
      </c>
    </row>
    <row r="3553" spans="1:14">
      <c r="A3553">
        <v>16460078</v>
      </c>
      <c r="B3553">
        <v>3027054</v>
      </c>
      <c r="C3553" t="s">
        <v>2129</v>
      </c>
      <c r="D3553" t="s">
        <v>441</v>
      </c>
      <c r="F3553">
        <v>0</v>
      </c>
      <c r="G3553">
        <v>15.79</v>
      </c>
      <c r="H3553" t="s">
        <v>8588</v>
      </c>
      <c r="I3553">
        <v>6</v>
      </c>
      <c r="J3553" t="s">
        <v>445</v>
      </c>
      <c r="M3553">
        <v>7112</v>
      </c>
      <c r="N3553" t="s">
        <v>16116</v>
      </c>
    </row>
    <row r="3554" spans="1:14">
      <c r="A3554">
        <v>16460079</v>
      </c>
      <c r="B3554">
        <v>3039089</v>
      </c>
      <c r="C3554" t="s">
        <v>2130</v>
      </c>
      <c r="D3554" t="s">
        <v>441</v>
      </c>
      <c r="F3554">
        <v>0</v>
      </c>
      <c r="G3554">
        <v>15.79</v>
      </c>
      <c r="H3554" t="s">
        <v>8588</v>
      </c>
      <c r="I3554">
        <v>6</v>
      </c>
      <c r="J3554" t="s">
        <v>445</v>
      </c>
      <c r="M3554">
        <v>7112</v>
      </c>
      <c r="N3554" t="s">
        <v>16116</v>
      </c>
    </row>
    <row r="3555" spans="1:14">
      <c r="A3555">
        <v>16460094</v>
      </c>
      <c r="B3555">
        <v>4015744</v>
      </c>
      <c r="C3555" t="s">
        <v>10054</v>
      </c>
      <c r="D3555" t="s">
        <v>441</v>
      </c>
      <c r="F3555">
        <v>0</v>
      </c>
      <c r="G3555">
        <v>20.079999999999998</v>
      </c>
      <c r="H3555" t="s">
        <v>8588</v>
      </c>
      <c r="I3555">
        <v>12</v>
      </c>
      <c r="J3555" t="s">
        <v>462</v>
      </c>
      <c r="K3555" t="s">
        <v>446</v>
      </c>
      <c r="L3555">
        <v>2615230</v>
      </c>
      <c r="M3555">
        <v>2611</v>
      </c>
      <c r="N3555" t="s">
        <v>16116</v>
      </c>
    </row>
    <row r="3556" spans="1:14">
      <c r="A3556">
        <v>16460095</v>
      </c>
      <c r="B3556">
        <v>4016717</v>
      </c>
      <c r="C3556" t="s">
        <v>10055</v>
      </c>
      <c r="D3556" t="s">
        <v>441</v>
      </c>
      <c r="F3556">
        <v>0</v>
      </c>
      <c r="G3556">
        <v>18.600000000000001</v>
      </c>
      <c r="H3556" t="s">
        <v>8588</v>
      </c>
      <c r="I3556">
        <v>10</v>
      </c>
      <c r="J3556" t="s">
        <v>462</v>
      </c>
      <c r="K3556" t="s">
        <v>446</v>
      </c>
      <c r="M3556">
        <v>2611</v>
      </c>
      <c r="N3556" t="s">
        <v>16116</v>
      </c>
    </row>
    <row r="3557" spans="1:14">
      <c r="A3557">
        <v>16460100</v>
      </c>
      <c r="B3557">
        <v>3003351</v>
      </c>
      <c r="C3557" t="s">
        <v>10056</v>
      </c>
      <c r="D3557" t="s">
        <v>441</v>
      </c>
      <c r="F3557">
        <v>0</v>
      </c>
      <c r="H3557" t="s">
        <v>8588</v>
      </c>
      <c r="I3557">
        <v>6</v>
      </c>
      <c r="J3557" t="s">
        <v>445</v>
      </c>
      <c r="K3557" t="s">
        <v>446</v>
      </c>
      <c r="M3557">
        <v>2391</v>
      </c>
    </row>
    <row r="3558" spans="1:14">
      <c r="A3558">
        <v>16460120</v>
      </c>
      <c r="B3558">
        <v>3009169</v>
      </c>
      <c r="C3558" t="s">
        <v>2131</v>
      </c>
      <c r="D3558" t="s">
        <v>441</v>
      </c>
      <c r="F3558">
        <v>0</v>
      </c>
      <c r="H3558" t="s">
        <v>8588</v>
      </c>
      <c r="I3558">
        <v>6</v>
      </c>
      <c r="J3558" t="s">
        <v>445</v>
      </c>
      <c r="M3558">
        <v>7161</v>
      </c>
      <c r="N3558" t="s">
        <v>16116</v>
      </c>
    </row>
    <row r="3559" spans="1:14">
      <c r="A3559">
        <v>16460130</v>
      </c>
      <c r="B3559">
        <v>3011110</v>
      </c>
      <c r="C3559" t="s">
        <v>2132</v>
      </c>
      <c r="D3559" t="s">
        <v>441</v>
      </c>
      <c r="F3559">
        <v>0</v>
      </c>
      <c r="H3559" t="s">
        <v>8588</v>
      </c>
      <c r="I3559">
        <v>6</v>
      </c>
      <c r="J3559" t="s">
        <v>445</v>
      </c>
      <c r="K3559" t="s">
        <v>446</v>
      </c>
      <c r="M3559">
        <v>2391</v>
      </c>
    </row>
    <row r="3560" spans="1:14">
      <c r="A3560">
        <v>16460295</v>
      </c>
      <c r="B3560">
        <v>3026317</v>
      </c>
      <c r="C3560" t="s">
        <v>10057</v>
      </c>
      <c r="D3560" t="s">
        <v>441</v>
      </c>
      <c r="F3560">
        <v>0</v>
      </c>
      <c r="G3560">
        <v>17.32</v>
      </c>
      <c r="H3560" t="s">
        <v>8588</v>
      </c>
      <c r="I3560">
        <v>2</v>
      </c>
      <c r="J3560" t="s">
        <v>445</v>
      </c>
      <c r="K3560" t="s">
        <v>446</v>
      </c>
      <c r="M3560">
        <v>2611</v>
      </c>
      <c r="N3560" t="s">
        <v>16116</v>
      </c>
    </row>
    <row r="3561" spans="1:14">
      <c r="A3561">
        <v>16460562</v>
      </c>
      <c r="B3561">
        <v>3007735</v>
      </c>
      <c r="C3561" t="s">
        <v>10058</v>
      </c>
      <c r="D3561" t="s">
        <v>441</v>
      </c>
      <c r="F3561">
        <v>0</v>
      </c>
      <c r="G3561">
        <v>18.78</v>
      </c>
      <c r="H3561" t="s">
        <v>8580</v>
      </c>
      <c r="I3561">
        <v>365</v>
      </c>
      <c r="J3561" t="s">
        <v>445</v>
      </c>
      <c r="K3561" t="s">
        <v>446</v>
      </c>
      <c r="M3561">
        <v>2612</v>
      </c>
      <c r="N3561" t="s">
        <v>16116</v>
      </c>
    </row>
    <row r="3562" spans="1:14">
      <c r="A3562">
        <v>16460565</v>
      </c>
      <c r="B3562">
        <v>3031726</v>
      </c>
      <c r="C3562" t="s">
        <v>2133</v>
      </c>
      <c r="D3562" t="s">
        <v>441</v>
      </c>
      <c r="F3562">
        <v>0</v>
      </c>
      <c r="G3562">
        <v>16.46</v>
      </c>
      <c r="H3562" t="s">
        <v>8588</v>
      </c>
      <c r="I3562">
        <v>6</v>
      </c>
      <c r="J3562" t="s">
        <v>445</v>
      </c>
      <c r="M3562">
        <v>2502</v>
      </c>
      <c r="N3562" t="s">
        <v>16116</v>
      </c>
    </row>
    <row r="3563" spans="1:14">
      <c r="A3563">
        <v>16460566</v>
      </c>
      <c r="B3563">
        <v>3044270</v>
      </c>
      <c r="C3563" t="s">
        <v>14287</v>
      </c>
      <c r="D3563" t="s">
        <v>441</v>
      </c>
      <c r="F3563">
        <v>0</v>
      </c>
      <c r="G3563">
        <v>24.28</v>
      </c>
      <c r="H3563" t="s">
        <v>8588</v>
      </c>
      <c r="I3563">
        <v>6</v>
      </c>
      <c r="J3563" t="s">
        <v>445</v>
      </c>
      <c r="M3563">
        <v>2502</v>
      </c>
      <c r="N3563" t="s">
        <v>16116</v>
      </c>
    </row>
    <row r="3564" spans="1:14">
      <c r="A3564">
        <v>16461020</v>
      </c>
      <c r="B3564">
        <v>4011609</v>
      </c>
      <c r="C3564" t="s">
        <v>2134</v>
      </c>
      <c r="D3564" t="s">
        <v>441</v>
      </c>
      <c r="F3564">
        <v>0</v>
      </c>
      <c r="G3564">
        <v>15.98</v>
      </c>
      <c r="H3564" t="s">
        <v>8588</v>
      </c>
      <c r="I3564">
        <v>6</v>
      </c>
      <c r="J3564" t="s">
        <v>462</v>
      </c>
      <c r="M3564">
        <v>7112</v>
      </c>
      <c r="N3564" t="s">
        <v>16116</v>
      </c>
    </row>
    <row r="3565" spans="1:14">
      <c r="A3565">
        <v>16461021</v>
      </c>
      <c r="B3565">
        <v>4011818</v>
      </c>
      <c r="C3565" t="s">
        <v>10059</v>
      </c>
      <c r="D3565" t="s">
        <v>441</v>
      </c>
      <c r="F3565">
        <v>0</v>
      </c>
      <c r="G3565">
        <v>16.61</v>
      </c>
      <c r="H3565" t="s">
        <v>8588</v>
      </c>
      <c r="I3565">
        <v>6</v>
      </c>
      <c r="J3565" t="s">
        <v>462</v>
      </c>
      <c r="K3565" t="s">
        <v>446</v>
      </c>
      <c r="M3565">
        <v>2641</v>
      </c>
      <c r="N3565" t="s">
        <v>16116</v>
      </c>
    </row>
    <row r="3566" spans="1:14">
      <c r="A3566">
        <v>16461030</v>
      </c>
      <c r="B3566">
        <v>4012155</v>
      </c>
      <c r="C3566" t="s">
        <v>10060</v>
      </c>
      <c r="D3566" t="s">
        <v>441</v>
      </c>
      <c r="F3566">
        <v>0</v>
      </c>
      <c r="G3566">
        <v>20.04</v>
      </c>
      <c r="H3566" t="s">
        <v>8588</v>
      </c>
      <c r="I3566">
        <v>12</v>
      </c>
      <c r="J3566" t="s">
        <v>462</v>
      </c>
      <c r="K3566" t="s">
        <v>446</v>
      </c>
      <c r="M3566">
        <v>2611</v>
      </c>
    </row>
    <row r="3567" spans="1:14">
      <c r="A3567">
        <v>16461032</v>
      </c>
      <c r="B3567">
        <v>4011610</v>
      </c>
      <c r="C3567" t="s">
        <v>10061</v>
      </c>
      <c r="D3567" t="s">
        <v>441</v>
      </c>
      <c r="F3567">
        <v>0</v>
      </c>
      <c r="G3567">
        <v>20.3</v>
      </c>
      <c r="H3567" t="s">
        <v>8588</v>
      </c>
      <c r="I3567">
        <v>12</v>
      </c>
      <c r="J3567" t="s">
        <v>462</v>
      </c>
      <c r="K3567" t="s">
        <v>446</v>
      </c>
      <c r="M3567">
        <v>2611</v>
      </c>
    </row>
    <row r="3568" spans="1:14">
      <c r="A3568">
        <v>16461035</v>
      </c>
      <c r="B3568">
        <v>4011611</v>
      </c>
      <c r="C3568" t="s">
        <v>10062</v>
      </c>
      <c r="D3568" t="s">
        <v>441</v>
      </c>
      <c r="F3568">
        <v>0</v>
      </c>
      <c r="G3568">
        <v>22.26</v>
      </c>
      <c r="H3568" t="s">
        <v>8588</v>
      </c>
      <c r="I3568">
        <v>12</v>
      </c>
      <c r="J3568" t="s">
        <v>462</v>
      </c>
      <c r="K3568" t="s">
        <v>446</v>
      </c>
      <c r="M3568">
        <v>2611</v>
      </c>
      <c r="N3568" t="s">
        <v>16116</v>
      </c>
    </row>
    <row r="3569" spans="1:14">
      <c r="A3569">
        <v>16461036</v>
      </c>
      <c r="B3569">
        <v>4012421</v>
      </c>
      <c r="C3569" t="s">
        <v>10063</v>
      </c>
      <c r="D3569" t="s">
        <v>441</v>
      </c>
      <c r="F3569">
        <v>0</v>
      </c>
      <c r="G3569">
        <v>21.39</v>
      </c>
      <c r="H3569" t="s">
        <v>8588</v>
      </c>
      <c r="I3569">
        <v>12</v>
      </c>
      <c r="J3569" t="s">
        <v>462</v>
      </c>
      <c r="K3569" t="s">
        <v>446</v>
      </c>
      <c r="M3569">
        <v>2611</v>
      </c>
    </row>
    <row r="3570" spans="1:14">
      <c r="A3570">
        <v>16461039</v>
      </c>
      <c r="B3570">
        <v>4014292</v>
      </c>
      <c r="C3570" t="s">
        <v>10064</v>
      </c>
      <c r="D3570" t="s">
        <v>441</v>
      </c>
      <c r="F3570">
        <v>0</v>
      </c>
      <c r="G3570">
        <v>17.88</v>
      </c>
      <c r="H3570" t="s">
        <v>8588</v>
      </c>
      <c r="I3570">
        <v>12</v>
      </c>
      <c r="J3570" t="s">
        <v>462</v>
      </c>
      <c r="K3570" t="s">
        <v>446</v>
      </c>
      <c r="M3570">
        <v>2611</v>
      </c>
      <c r="N3570" t="s">
        <v>16116</v>
      </c>
    </row>
    <row r="3571" spans="1:14">
      <c r="A3571">
        <v>16461040</v>
      </c>
      <c r="B3571">
        <v>4012152</v>
      </c>
      <c r="C3571" t="s">
        <v>10065</v>
      </c>
      <c r="D3571" t="s">
        <v>441</v>
      </c>
      <c r="F3571">
        <v>0</v>
      </c>
      <c r="G3571">
        <v>17.489999999999998</v>
      </c>
      <c r="H3571" t="s">
        <v>8588</v>
      </c>
      <c r="I3571">
        <v>10</v>
      </c>
      <c r="J3571" t="s">
        <v>462</v>
      </c>
      <c r="K3571" t="s">
        <v>446</v>
      </c>
      <c r="M3571">
        <v>2612</v>
      </c>
      <c r="N3571" t="s">
        <v>16116</v>
      </c>
    </row>
    <row r="3572" spans="1:14">
      <c r="A3572">
        <v>16461041</v>
      </c>
      <c r="B3572">
        <v>4013166</v>
      </c>
      <c r="C3572" t="s">
        <v>10066</v>
      </c>
      <c r="D3572" t="s">
        <v>441</v>
      </c>
      <c r="F3572">
        <v>0</v>
      </c>
      <c r="G3572">
        <v>19.78</v>
      </c>
      <c r="H3572" t="s">
        <v>8588</v>
      </c>
      <c r="I3572">
        <v>7</v>
      </c>
      <c r="J3572" t="s">
        <v>462</v>
      </c>
      <c r="K3572" t="s">
        <v>446</v>
      </c>
      <c r="M3572">
        <v>2612</v>
      </c>
      <c r="N3572" t="s">
        <v>16116</v>
      </c>
    </row>
    <row r="3573" spans="1:14">
      <c r="A3573">
        <v>16461042</v>
      </c>
      <c r="B3573">
        <v>4011612</v>
      </c>
      <c r="C3573" t="s">
        <v>10067</v>
      </c>
      <c r="D3573" t="s">
        <v>441</v>
      </c>
      <c r="F3573">
        <v>0</v>
      </c>
      <c r="G3573">
        <v>17.02</v>
      </c>
      <c r="H3573" t="s">
        <v>8588</v>
      </c>
      <c r="I3573">
        <v>12</v>
      </c>
      <c r="J3573" t="s">
        <v>462</v>
      </c>
      <c r="K3573" t="s">
        <v>446</v>
      </c>
      <c r="M3573">
        <v>2612</v>
      </c>
      <c r="N3573" t="s">
        <v>16116</v>
      </c>
    </row>
    <row r="3574" spans="1:14">
      <c r="A3574">
        <v>16461043</v>
      </c>
      <c r="B3574">
        <v>4011983</v>
      </c>
      <c r="C3574" t="s">
        <v>10068</v>
      </c>
      <c r="D3574" t="s">
        <v>441</v>
      </c>
      <c r="F3574">
        <v>0</v>
      </c>
      <c r="G3574">
        <v>17.62</v>
      </c>
      <c r="H3574" t="s">
        <v>8588</v>
      </c>
      <c r="I3574">
        <v>17</v>
      </c>
      <c r="J3574" t="s">
        <v>462</v>
      </c>
      <c r="K3574" t="s">
        <v>446</v>
      </c>
      <c r="M3574">
        <v>2612</v>
      </c>
      <c r="N3574" t="s">
        <v>16116</v>
      </c>
    </row>
    <row r="3575" spans="1:14">
      <c r="A3575">
        <v>16461044</v>
      </c>
      <c r="B3575">
        <v>4011673</v>
      </c>
      <c r="C3575" t="s">
        <v>10069</v>
      </c>
      <c r="D3575" t="s">
        <v>441</v>
      </c>
      <c r="F3575">
        <v>0</v>
      </c>
      <c r="G3575">
        <v>17.71</v>
      </c>
      <c r="H3575" t="s">
        <v>8588</v>
      </c>
      <c r="I3575">
        <v>17</v>
      </c>
      <c r="J3575" t="s">
        <v>462</v>
      </c>
      <c r="K3575" t="s">
        <v>446</v>
      </c>
      <c r="M3575">
        <v>2612</v>
      </c>
    </row>
    <row r="3576" spans="1:14">
      <c r="A3576">
        <v>16461045</v>
      </c>
      <c r="B3576">
        <v>4011756</v>
      </c>
      <c r="C3576" t="s">
        <v>2135</v>
      </c>
      <c r="D3576" t="s">
        <v>441</v>
      </c>
      <c r="F3576">
        <v>0</v>
      </c>
      <c r="G3576">
        <v>21.04</v>
      </c>
      <c r="H3576" t="s">
        <v>8588</v>
      </c>
      <c r="I3576">
        <v>17</v>
      </c>
      <c r="J3576" t="s">
        <v>462</v>
      </c>
      <c r="M3576">
        <v>7112</v>
      </c>
      <c r="N3576" t="s">
        <v>16116</v>
      </c>
    </row>
    <row r="3577" spans="1:14">
      <c r="A3577">
        <v>16461047</v>
      </c>
      <c r="B3577">
        <v>4012174</v>
      </c>
      <c r="C3577" t="s">
        <v>10070</v>
      </c>
      <c r="D3577" t="s">
        <v>441</v>
      </c>
      <c r="F3577">
        <v>0</v>
      </c>
      <c r="G3577">
        <v>18.14</v>
      </c>
      <c r="H3577" t="s">
        <v>8588</v>
      </c>
      <c r="I3577">
        <v>17</v>
      </c>
      <c r="J3577" t="s">
        <v>462</v>
      </c>
      <c r="K3577" t="s">
        <v>446</v>
      </c>
      <c r="M3577">
        <v>2612</v>
      </c>
      <c r="N3577" t="s">
        <v>16116</v>
      </c>
    </row>
    <row r="3578" spans="1:14">
      <c r="A3578">
        <v>16461048</v>
      </c>
      <c r="B3578">
        <v>4012634</v>
      </c>
      <c r="C3578" t="s">
        <v>10071</v>
      </c>
      <c r="D3578" t="s">
        <v>441</v>
      </c>
      <c r="F3578">
        <v>0</v>
      </c>
      <c r="G3578">
        <v>16.98</v>
      </c>
      <c r="H3578" t="s">
        <v>8588</v>
      </c>
      <c r="I3578">
        <v>13</v>
      </c>
      <c r="J3578" t="s">
        <v>462</v>
      </c>
      <c r="K3578" t="s">
        <v>446</v>
      </c>
      <c r="M3578">
        <v>2612</v>
      </c>
      <c r="N3578" t="s">
        <v>16116</v>
      </c>
    </row>
    <row r="3579" spans="1:14">
      <c r="A3579">
        <v>16461049</v>
      </c>
      <c r="B3579">
        <v>4012788</v>
      </c>
      <c r="C3579" t="s">
        <v>2136</v>
      </c>
      <c r="D3579" t="s">
        <v>441</v>
      </c>
      <c r="F3579">
        <v>0</v>
      </c>
      <c r="G3579">
        <v>24.26</v>
      </c>
      <c r="H3579" t="s">
        <v>8588</v>
      </c>
      <c r="I3579">
        <v>16</v>
      </c>
      <c r="J3579" t="s">
        <v>462</v>
      </c>
      <c r="M3579">
        <v>7112</v>
      </c>
      <c r="N3579" t="s">
        <v>16116</v>
      </c>
    </row>
    <row r="3580" spans="1:14">
      <c r="A3580">
        <v>16461050</v>
      </c>
      <c r="B3580">
        <v>4017609</v>
      </c>
      <c r="C3580" t="s">
        <v>10072</v>
      </c>
      <c r="D3580" t="s">
        <v>441</v>
      </c>
      <c r="F3580">
        <v>0</v>
      </c>
      <c r="G3580">
        <v>19.59</v>
      </c>
      <c r="H3580" t="s">
        <v>8588</v>
      </c>
      <c r="I3580">
        <v>16</v>
      </c>
      <c r="J3580" t="s">
        <v>462</v>
      </c>
      <c r="K3580" t="s">
        <v>446</v>
      </c>
      <c r="M3580">
        <v>2612</v>
      </c>
      <c r="N3580" t="s">
        <v>16116</v>
      </c>
    </row>
    <row r="3581" spans="1:14">
      <c r="A3581">
        <v>16461052</v>
      </c>
      <c r="B3581">
        <v>4011734</v>
      </c>
      <c r="C3581" t="s">
        <v>10073</v>
      </c>
      <c r="D3581" t="s">
        <v>441</v>
      </c>
      <c r="F3581">
        <v>0</v>
      </c>
      <c r="G3581">
        <v>18.809999999999999</v>
      </c>
      <c r="H3581" t="s">
        <v>8588</v>
      </c>
      <c r="I3581">
        <v>17</v>
      </c>
      <c r="J3581" t="s">
        <v>462</v>
      </c>
      <c r="K3581" t="s">
        <v>446</v>
      </c>
      <c r="M3581">
        <v>2612</v>
      </c>
    </row>
    <row r="3582" spans="1:14">
      <c r="A3582">
        <v>16461060</v>
      </c>
      <c r="B3582">
        <v>4013881</v>
      </c>
      <c r="C3582" t="s">
        <v>10074</v>
      </c>
      <c r="D3582" t="s">
        <v>441</v>
      </c>
      <c r="F3582">
        <v>0</v>
      </c>
      <c r="G3582">
        <v>19.54</v>
      </c>
      <c r="H3582" t="s">
        <v>8588</v>
      </c>
      <c r="I3582">
        <v>9</v>
      </c>
      <c r="J3582" t="s">
        <v>462</v>
      </c>
      <c r="K3582" t="s">
        <v>446</v>
      </c>
      <c r="M3582">
        <v>2612</v>
      </c>
      <c r="N3582" t="s">
        <v>16116</v>
      </c>
    </row>
    <row r="3583" spans="1:14">
      <c r="A3583">
        <v>16461061</v>
      </c>
      <c r="B3583">
        <v>4015048</v>
      </c>
      <c r="C3583" t="s">
        <v>2137</v>
      </c>
      <c r="D3583" t="s">
        <v>441</v>
      </c>
      <c r="F3583">
        <v>0</v>
      </c>
      <c r="G3583">
        <v>16.100000000000001</v>
      </c>
      <c r="H3583" t="s">
        <v>8588</v>
      </c>
      <c r="I3583">
        <v>10</v>
      </c>
      <c r="J3583" t="s">
        <v>462</v>
      </c>
      <c r="M3583">
        <v>7112</v>
      </c>
      <c r="N3583" t="s">
        <v>16116</v>
      </c>
    </row>
    <row r="3584" spans="1:14">
      <c r="A3584">
        <v>16461062</v>
      </c>
      <c r="B3584">
        <v>4011738</v>
      </c>
      <c r="C3584" t="s">
        <v>10075</v>
      </c>
      <c r="D3584" t="s">
        <v>441</v>
      </c>
      <c r="F3584">
        <v>0</v>
      </c>
      <c r="G3584">
        <v>18.54</v>
      </c>
      <c r="H3584" t="s">
        <v>8588</v>
      </c>
      <c r="I3584">
        <v>365</v>
      </c>
      <c r="J3584" t="s">
        <v>462</v>
      </c>
      <c r="K3584" t="s">
        <v>446</v>
      </c>
      <c r="M3584">
        <v>2501</v>
      </c>
      <c r="N3584" t="s">
        <v>16116</v>
      </c>
    </row>
    <row r="3585" spans="1:14">
      <c r="A3585">
        <v>16461075</v>
      </c>
      <c r="B3585">
        <v>4011735</v>
      </c>
      <c r="C3585" t="s">
        <v>10076</v>
      </c>
      <c r="D3585" t="s">
        <v>441</v>
      </c>
      <c r="F3585">
        <v>0</v>
      </c>
      <c r="G3585">
        <v>19.100000000000001</v>
      </c>
      <c r="H3585" t="s">
        <v>8588</v>
      </c>
      <c r="I3585">
        <v>6</v>
      </c>
      <c r="J3585" t="s">
        <v>462</v>
      </c>
      <c r="K3585" t="s">
        <v>446</v>
      </c>
      <c r="M3585">
        <v>2641</v>
      </c>
      <c r="N3585" t="s">
        <v>16116</v>
      </c>
    </row>
    <row r="3586" spans="1:14">
      <c r="A3586">
        <v>16461076</v>
      </c>
      <c r="B3586">
        <v>3036435</v>
      </c>
      <c r="C3586" t="s">
        <v>2138</v>
      </c>
      <c r="D3586" t="s">
        <v>441</v>
      </c>
      <c r="F3586">
        <v>0</v>
      </c>
      <c r="G3586">
        <v>15.81</v>
      </c>
      <c r="H3586" t="s">
        <v>8588</v>
      </c>
      <c r="I3586">
        <v>6</v>
      </c>
      <c r="J3586" t="s">
        <v>445</v>
      </c>
      <c r="L3586">
        <v>2092015</v>
      </c>
      <c r="M3586">
        <v>7112</v>
      </c>
      <c r="N3586" t="s">
        <v>16116</v>
      </c>
    </row>
    <row r="3587" spans="1:14">
      <c r="A3587">
        <v>16461077</v>
      </c>
      <c r="B3587">
        <v>4011733</v>
      </c>
      <c r="C3587" t="s">
        <v>10077</v>
      </c>
      <c r="D3587" t="s">
        <v>441</v>
      </c>
      <c r="F3587">
        <v>0</v>
      </c>
      <c r="G3587">
        <v>19.100000000000001</v>
      </c>
      <c r="H3587" t="s">
        <v>8588</v>
      </c>
      <c r="I3587">
        <v>6</v>
      </c>
      <c r="J3587" t="s">
        <v>462</v>
      </c>
      <c r="K3587" t="s">
        <v>446</v>
      </c>
      <c r="M3587">
        <v>2641</v>
      </c>
      <c r="N3587" t="s">
        <v>16116</v>
      </c>
    </row>
    <row r="3588" spans="1:14">
      <c r="A3588">
        <v>16461562</v>
      </c>
      <c r="B3588">
        <v>3017400</v>
      </c>
      <c r="C3588" t="s">
        <v>10078</v>
      </c>
      <c r="D3588" t="s">
        <v>441</v>
      </c>
      <c r="F3588">
        <v>0</v>
      </c>
      <c r="G3588">
        <v>18.32</v>
      </c>
      <c r="I3588">
        <v>365</v>
      </c>
      <c r="J3588" t="s">
        <v>445</v>
      </c>
      <c r="K3588" t="s">
        <v>446</v>
      </c>
      <c r="M3588">
        <v>2612</v>
      </c>
      <c r="N3588" t="s">
        <v>16116</v>
      </c>
    </row>
    <row r="3589" spans="1:14">
      <c r="A3589">
        <v>16464076</v>
      </c>
      <c r="B3589">
        <v>3035905</v>
      </c>
      <c r="C3589" t="s">
        <v>2139</v>
      </c>
      <c r="D3589" t="s">
        <v>441</v>
      </c>
      <c r="F3589">
        <v>0</v>
      </c>
      <c r="G3589">
        <v>15.81</v>
      </c>
      <c r="H3589" t="s">
        <v>8549</v>
      </c>
      <c r="I3589">
        <v>6</v>
      </c>
      <c r="J3589" t="s">
        <v>445</v>
      </c>
      <c r="L3589">
        <v>2092015</v>
      </c>
      <c r="M3589">
        <v>7112</v>
      </c>
      <c r="N3589" t="s">
        <v>16116</v>
      </c>
    </row>
    <row r="3590" spans="1:14">
      <c r="A3590">
        <v>16464079</v>
      </c>
      <c r="B3590">
        <v>3039087</v>
      </c>
      <c r="C3590" t="s">
        <v>2140</v>
      </c>
      <c r="D3590" t="s">
        <v>441</v>
      </c>
      <c r="F3590">
        <v>0</v>
      </c>
      <c r="G3590">
        <v>15.79</v>
      </c>
      <c r="H3590" t="s">
        <v>8588</v>
      </c>
      <c r="I3590">
        <v>6</v>
      </c>
      <c r="J3590" t="s">
        <v>445</v>
      </c>
      <c r="M3590">
        <v>7112</v>
      </c>
      <c r="N3590" t="s">
        <v>16116</v>
      </c>
    </row>
    <row r="3591" spans="1:14">
      <c r="A3591">
        <v>16464120</v>
      </c>
      <c r="B3591">
        <v>3038463</v>
      </c>
      <c r="C3591" t="s">
        <v>2141</v>
      </c>
      <c r="D3591" t="s">
        <v>441</v>
      </c>
      <c r="F3591">
        <v>0</v>
      </c>
      <c r="G3591">
        <v>13.64</v>
      </c>
      <c r="H3591" t="s">
        <v>8588</v>
      </c>
      <c r="I3591">
        <v>5</v>
      </c>
      <c r="J3591" t="s">
        <v>445</v>
      </c>
      <c r="M3591">
        <v>7161</v>
      </c>
      <c r="N3591" t="s">
        <v>16116</v>
      </c>
    </row>
    <row r="3592" spans="1:14">
      <c r="A3592">
        <v>16464130</v>
      </c>
      <c r="B3592">
        <v>3035954</v>
      </c>
      <c r="C3592" t="s">
        <v>2142</v>
      </c>
      <c r="D3592" t="s">
        <v>441</v>
      </c>
      <c r="F3592">
        <v>0</v>
      </c>
      <c r="G3592">
        <v>13.58</v>
      </c>
      <c r="H3592" t="s">
        <v>8588</v>
      </c>
      <c r="I3592">
        <v>6</v>
      </c>
      <c r="J3592" t="s">
        <v>445</v>
      </c>
      <c r="M3592">
        <v>7161</v>
      </c>
      <c r="N3592" t="s">
        <v>16116</v>
      </c>
    </row>
    <row r="3593" spans="1:14">
      <c r="A3593">
        <v>16465045</v>
      </c>
      <c r="B3593">
        <v>4023881</v>
      </c>
      <c r="C3593" t="s">
        <v>2143</v>
      </c>
      <c r="D3593" t="s">
        <v>441</v>
      </c>
      <c r="F3593">
        <v>0</v>
      </c>
      <c r="G3593">
        <v>21.04</v>
      </c>
      <c r="H3593" t="s">
        <v>8588</v>
      </c>
      <c r="I3593">
        <v>17</v>
      </c>
      <c r="J3593" t="s">
        <v>462</v>
      </c>
      <c r="M3593">
        <v>7112</v>
      </c>
      <c r="N3593" t="s">
        <v>16116</v>
      </c>
    </row>
    <row r="3594" spans="1:14">
      <c r="A3594">
        <v>16470000</v>
      </c>
      <c r="B3594">
        <v>3017361</v>
      </c>
      <c r="C3594" t="s">
        <v>2144</v>
      </c>
      <c r="D3594" t="s">
        <v>441</v>
      </c>
      <c r="F3594">
        <v>0</v>
      </c>
      <c r="H3594" t="s">
        <v>8549</v>
      </c>
      <c r="I3594">
        <v>6</v>
      </c>
      <c r="J3594" t="s">
        <v>445</v>
      </c>
      <c r="M3594">
        <v>2391</v>
      </c>
      <c r="N3594" t="s">
        <v>16120</v>
      </c>
    </row>
    <row r="3595" spans="1:14">
      <c r="A3595">
        <v>16471000</v>
      </c>
      <c r="B3595">
        <v>3023691</v>
      </c>
      <c r="C3595" t="s">
        <v>10079</v>
      </c>
      <c r="D3595" t="s">
        <v>441</v>
      </c>
      <c r="F3595">
        <v>0</v>
      </c>
      <c r="G3595">
        <v>0.46</v>
      </c>
      <c r="H3595" t="s">
        <v>8549</v>
      </c>
      <c r="I3595">
        <v>6</v>
      </c>
      <c r="J3595" t="s">
        <v>445</v>
      </c>
      <c r="K3595" t="s">
        <v>446</v>
      </c>
      <c r="M3595">
        <v>2313</v>
      </c>
      <c r="N3595" t="s">
        <v>16121</v>
      </c>
    </row>
    <row r="3596" spans="1:14">
      <c r="A3596">
        <v>16480000</v>
      </c>
      <c r="B3596">
        <v>3015958</v>
      </c>
      <c r="C3596" t="s">
        <v>2145</v>
      </c>
      <c r="D3596" t="s">
        <v>441</v>
      </c>
      <c r="F3596">
        <v>0</v>
      </c>
      <c r="H3596" t="s">
        <v>8580</v>
      </c>
      <c r="I3596">
        <v>6</v>
      </c>
      <c r="J3596" t="s">
        <v>445</v>
      </c>
      <c r="M3596">
        <v>2391</v>
      </c>
      <c r="N3596" t="s">
        <v>16122</v>
      </c>
    </row>
    <row r="3597" spans="1:14">
      <c r="A3597">
        <v>16481000</v>
      </c>
      <c r="B3597">
        <v>3017791</v>
      </c>
      <c r="C3597" t="s">
        <v>2146</v>
      </c>
      <c r="D3597" t="s">
        <v>441</v>
      </c>
      <c r="F3597">
        <v>0</v>
      </c>
      <c r="H3597" t="s">
        <v>8549</v>
      </c>
      <c r="I3597">
        <v>6</v>
      </c>
      <c r="J3597" t="s">
        <v>445</v>
      </c>
      <c r="M3597">
        <v>2391</v>
      </c>
      <c r="N3597" t="s">
        <v>16122</v>
      </c>
    </row>
    <row r="3598" spans="1:14">
      <c r="A3598">
        <v>16483000</v>
      </c>
      <c r="B3598">
        <v>3005089</v>
      </c>
      <c r="C3598" t="s">
        <v>10080</v>
      </c>
      <c r="D3598" t="s">
        <v>441</v>
      </c>
      <c r="F3598">
        <v>0</v>
      </c>
      <c r="G3598">
        <v>10.75</v>
      </c>
      <c r="H3598" t="s">
        <v>8583</v>
      </c>
      <c r="I3598">
        <v>6</v>
      </c>
      <c r="J3598" t="s">
        <v>445</v>
      </c>
      <c r="K3598" t="s">
        <v>446</v>
      </c>
      <c r="M3598">
        <v>2390</v>
      </c>
    </row>
    <row r="3599" spans="1:14">
      <c r="A3599">
        <v>16490000</v>
      </c>
      <c r="B3599">
        <v>3040184</v>
      </c>
      <c r="C3599" t="s">
        <v>2147</v>
      </c>
      <c r="D3599" t="s">
        <v>441</v>
      </c>
      <c r="F3599">
        <v>0</v>
      </c>
      <c r="G3599">
        <v>9.1999999999999993</v>
      </c>
      <c r="H3599" t="s">
        <v>8549</v>
      </c>
      <c r="I3599">
        <v>6</v>
      </c>
      <c r="J3599" t="s">
        <v>445</v>
      </c>
      <c r="M3599">
        <v>2391</v>
      </c>
      <c r="N3599" t="s">
        <v>16003</v>
      </c>
    </row>
    <row r="3600" spans="1:14">
      <c r="A3600">
        <v>16490002</v>
      </c>
      <c r="B3600">
        <v>3040203</v>
      </c>
      <c r="C3600" t="s">
        <v>2148</v>
      </c>
      <c r="D3600" t="s">
        <v>441</v>
      </c>
      <c r="F3600">
        <v>0</v>
      </c>
      <c r="G3600">
        <v>9.73</v>
      </c>
      <c r="H3600" t="s">
        <v>8588</v>
      </c>
      <c r="I3600">
        <v>540</v>
      </c>
      <c r="J3600" t="s">
        <v>445</v>
      </c>
      <c r="M3600">
        <v>7111</v>
      </c>
      <c r="N3600" t="s">
        <v>16003</v>
      </c>
    </row>
    <row r="3601" spans="1:14">
      <c r="A3601">
        <v>16490076</v>
      </c>
      <c r="B3601">
        <v>3040191</v>
      </c>
      <c r="C3601" t="s">
        <v>2149</v>
      </c>
      <c r="D3601" t="s">
        <v>441</v>
      </c>
      <c r="F3601">
        <v>0</v>
      </c>
      <c r="G3601">
        <v>9.31</v>
      </c>
      <c r="H3601" t="s">
        <v>8588</v>
      </c>
      <c r="I3601">
        <v>6</v>
      </c>
      <c r="J3601" t="s">
        <v>445</v>
      </c>
      <c r="M3601">
        <v>7112</v>
      </c>
      <c r="N3601" t="s">
        <v>16003</v>
      </c>
    </row>
    <row r="3602" spans="1:14">
      <c r="A3602">
        <v>16490087</v>
      </c>
      <c r="B3602">
        <v>3040211</v>
      </c>
      <c r="C3602" t="s">
        <v>2150</v>
      </c>
      <c r="D3602" t="s">
        <v>441</v>
      </c>
      <c r="F3602">
        <v>0</v>
      </c>
      <c r="G3602">
        <v>9.31</v>
      </c>
      <c r="H3602" t="s">
        <v>8588</v>
      </c>
      <c r="I3602">
        <v>6</v>
      </c>
      <c r="J3602" t="s">
        <v>445</v>
      </c>
      <c r="M3602">
        <v>7112</v>
      </c>
      <c r="N3602" t="s">
        <v>16003</v>
      </c>
    </row>
    <row r="3603" spans="1:14">
      <c r="A3603">
        <v>16490502</v>
      </c>
      <c r="B3603">
        <v>3040202</v>
      </c>
      <c r="C3603" t="s">
        <v>2151</v>
      </c>
      <c r="D3603" t="s">
        <v>441</v>
      </c>
      <c r="F3603">
        <v>0</v>
      </c>
      <c r="G3603">
        <v>9.3699999999999992</v>
      </c>
      <c r="H3603" t="s">
        <v>8549</v>
      </c>
      <c r="I3603">
        <v>6</v>
      </c>
      <c r="J3603" t="s">
        <v>445</v>
      </c>
      <c r="M3603">
        <v>2502</v>
      </c>
      <c r="N3603" t="s">
        <v>16003</v>
      </c>
    </row>
    <row r="3604" spans="1:14">
      <c r="A3604">
        <v>16500000</v>
      </c>
      <c r="B3604">
        <v>3040369</v>
      </c>
      <c r="C3604" t="s">
        <v>2152</v>
      </c>
      <c r="D3604" t="s">
        <v>441</v>
      </c>
      <c r="F3604">
        <v>0</v>
      </c>
      <c r="G3604">
        <v>9.1999999999999993</v>
      </c>
      <c r="H3604" t="s">
        <v>8588</v>
      </c>
      <c r="I3604">
        <v>6</v>
      </c>
      <c r="J3604" t="s">
        <v>445</v>
      </c>
      <c r="M3604">
        <v>2391</v>
      </c>
      <c r="N3604" t="s">
        <v>16003</v>
      </c>
    </row>
    <row r="3605" spans="1:14">
      <c r="A3605">
        <v>16510000</v>
      </c>
      <c r="B3605">
        <v>3040582</v>
      </c>
      <c r="C3605" t="s">
        <v>2153</v>
      </c>
      <c r="D3605" t="s">
        <v>441</v>
      </c>
      <c r="F3605">
        <v>0</v>
      </c>
      <c r="G3605">
        <v>9.89</v>
      </c>
      <c r="H3605" t="s">
        <v>8549</v>
      </c>
      <c r="I3605">
        <v>6</v>
      </c>
      <c r="J3605" t="s">
        <v>445</v>
      </c>
      <c r="M3605">
        <v>2391</v>
      </c>
      <c r="N3605" t="s">
        <v>16123</v>
      </c>
    </row>
    <row r="3606" spans="1:14">
      <c r="A3606">
        <v>16510002</v>
      </c>
      <c r="B3606">
        <v>3040671</v>
      </c>
      <c r="C3606" t="s">
        <v>2154</v>
      </c>
      <c r="D3606" t="s">
        <v>441</v>
      </c>
      <c r="F3606">
        <v>0</v>
      </c>
      <c r="G3606">
        <v>10.43</v>
      </c>
      <c r="H3606" t="s">
        <v>8588</v>
      </c>
      <c r="I3606">
        <v>540</v>
      </c>
      <c r="J3606" t="s">
        <v>445</v>
      </c>
      <c r="M3606">
        <v>7111</v>
      </c>
      <c r="N3606" t="s">
        <v>16123</v>
      </c>
    </row>
    <row r="3607" spans="1:14">
      <c r="A3607">
        <v>16510075</v>
      </c>
      <c r="B3607">
        <v>3040635</v>
      </c>
      <c r="C3607" t="s">
        <v>2155</v>
      </c>
      <c r="D3607" t="s">
        <v>441</v>
      </c>
      <c r="F3607">
        <v>0</v>
      </c>
      <c r="G3607">
        <v>10.01</v>
      </c>
      <c r="H3607" t="s">
        <v>8588</v>
      </c>
      <c r="I3607">
        <v>6</v>
      </c>
      <c r="J3607" t="s">
        <v>445</v>
      </c>
      <c r="M3607">
        <v>7112</v>
      </c>
      <c r="N3607" t="s">
        <v>16123</v>
      </c>
    </row>
    <row r="3608" spans="1:14">
      <c r="A3608">
        <v>16510087</v>
      </c>
      <c r="B3608">
        <v>3040638</v>
      </c>
      <c r="C3608" t="s">
        <v>2156</v>
      </c>
      <c r="D3608" t="s">
        <v>441</v>
      </c>
      <c r="F3608">
        <v>0</v>
      </c>
      <c r="G3608">
        <v>10.01</v>
      </c>
      <c r="H3608" t="s">
        <v>8588</v>
      </c>
      <c r="I3608">
        <v>6</v>
      </c>
      <c r="J3608" t="s">
        <v>445</v>
      </c>
      <c r="M3608">
        <v>7112</v>
      </c>
      <c r="N3608" t="s">
        <v>16123</v>
      </c>
    </row>
    <row r="3609" spans="1:14">
      <c r="A3609">
        <v>16510502</v>
      </c>
      <c r="B3609">
        <v>3040611</v>
      </c>
      <c r="C3609" t="s">
        <v>2157</v>
      </c>
      <c r="D3609" t="s">
        <v>441</v>
      </c>
      <c r="F3609">
        <v>0</v>
      </c>
      <c r="G3609">
        <v>10.06</v>
      </c>
      <c r="H3609" t="s">
        <v>8588</v>
      </c>
      <c r="I3609">
        <v>6</v>
      </c>
      <c r="J3609" t="s">
        <v>445</v>
      </c>
      <c r="M3609">
        <v>2502</v>
      </c>
      <c r="N3609" t="s">
        <v>16123</v>
      </c>
    </row>
    <row r="3610" spans="1:14">
      <c r="A3610">
        <v>16511000</v>
      </c>
      <c r="B3610">
        <v>3040583</v>
      </c>
      <c r="C3610" t="s">
        <v>2158</v>
      </c>
      <c r="D3610" t="s">
        <v>441</v>
      </c>
      <c r="F3610">
        <v>0</v>
      </c>
      <c r="G3610">
        <v>9.89</v>
      </c>
      <c r="H3610" t="s">
        <v>8549</v>
      </c>
      <c r="I3610">
        <v>6</v>
      </c>
      <c r="J3610" t="s">
        <v>445</v>
      </c>
      <c r="M3610">
        <v>2391</v>
      </c>
      <c r="N3610" t="s">
        <v>16123</v>
      </c>
    </row>
    <row r="3611" spans="1:14">
      <c r="A3611">
        <v>16511075</v>
      </c>
      <c r="B3611">
        <v>3040637</v>
      </c>
      <c r="C3611" t="s">
        <v>2159</v>
      </c>
      <c r="D3611" t="s">
        <v>441</v>
      </c>
      <c r="F3611">
        <v>0</v>
      </c>
      <c r="G3611">
        <v>10.01</v>
      </c>
      <c r="H3611" t="s">
        <v>8588</v>
      </c>
      <c r="I3611">
        <v>6</v>
      </c>
      <c r="J3611" t="s">
        <v>445</v>
      </c>
      <c r="M3611">
        <v>7112</v>
      </c>
      <c r="N3611" t="s">
        <v>16123</v>
      </c>
    </row>
    <row r="3612" spans="1:14">
      <c r="A3612">
        <v>16511087</v>
      </c>
      <c r="B3612">
        <v>3040627</v>
      </c>
      <c r="C3612" t="s">
        <v>2160</v>
      </c>
      <c r="D3612" t="s">
        <v>441</v>
      </c>
      <c r="F3612">
        <v>0</v>
      </c>
      <c r="G3612">
        <v>10.01</v>
      </c>
      <c r="H3612" t="s">
        <v>8588</v>
      </c>
      <c r="I3612">
        <v>6</v>
      </c>
      <c r="J3612" t="s">
        <v>445</v>
      </c>
      <c r="M3612">
        <v>7112</v>
      </c>
      <c r="N3612" t="s">
        <v>16123</v>
      </c>
    </row>
    <row r="3613" spans="1:14">
      <c r="A3613">
        <v>16514000</v>
      </c>
      <c r="B3613">
        <v>3040584</v>
      </c>
      <c r="C3613" t="s">
        <v>2161</v>
      </c>
      <c r="D3613" t="s">
        <v>441</v>
      </c>
      <c r="F3613">
        <v>0</v>
      </c>
      <c r="G3613">
        <v>9.89</v>
      </c>
      <c r="H3613" t="s">
        <v>8549</v>
      </c>
      <c r="I3613">
        <v>6</v>
      </c>
      <c r="J3613" t="s">
        <v>445</v>
      </c>
      <c r="M3613">
        <v>2391</v>
      </c>
      <c r="N3613" t="s">
        <v>16123</v>
      </c>
    </row>
    <row r="3614" spans="1:14">
      <c r="A3614">
        <v>16514002</v>
      </c>
      <c r="B3614">
        <v>3040672</v>
      </c>
      <c r="C3614" t="s">
        <v>2162</v>
      </c>
      <c r="D3614" t="s">
        <v>441</v>
      </c>
      <c r="F3614">
        <v>0</v>
      </c>
      <c r="G3614">
        <v>10.43</v>
      </c>
      <c r="H3614" t="s">
        <v>8588</v>
      </c>
      <c r="I3614">
        <v>540</v>
      </c>
      <c r="J3614" t="s">
        <v>445</v>
      </c>
      <c r="M3614">
        <v>7111</v>
      </c>
      <c r="N3614" t="s">
        <v>16123</v>
      </c>
    </row>
    <row r="3615" spans="1:14">
      <c r="A3615">
        <v>16514075</v>
      </c>
      <c r="B3615">
        <v>3040636</v>
      </c>
      <c r="C3615" t="s">
        <v>2163</v>
      </c>
      <c r="D3615" t="s">
        <v>441</v>
      </c>
      <c r="F3615">
        <v>0</v>
      </c>
      <c r="G3615">
        <v>10.01</v>
      </c>
      <c r="H3615" t="s">
        <v>8588</v>
      </c>
      <c r="I3615">
        <v>6</v>
      </c>
      <c r="J3615" t="s">
        <v>445</v>
      </c>
      <c r="M3615">
        <v>7112</v>
      </c>
      <c r="N3615" t="s">
        <v>16123</v>
      </c>
    </row>
    <row r="3616" spans="1:14">
      <c r="A3616">
        <v>16514087</v>
      </c>
      <c r="B3616">
        <v>3040639</v>
      </c>
      <c r="C3616" t="s">
        <v>2164</v>
      </c>
      <c r="D3616" t="s">
        <v>441</v>
      </c>
      <c r="F3616">
        <v>0</v>
      </c>
      <c r="G3616">
        <v>10.01</v>
      </c>
      <c r="H3616" t="s">
        <v>8588</v>
      </c>
      <c r="I3616">
        <v>6</v>
      </c>
      <c r="J3616" t="s">
        <v>445</v>
      </c>
      <c r="M3616">
        <v>7112</v>
      </c>
      <c r="N3616" t="s">
        <v>16123</v>
      </c>
    </row>
    <row r="3617" spans="1:14">
      <c r="A3617">
        <v>16514502</v>
      </c>
      <c r="B3617">
        <v>3040613</v>
      </c>
      <c r="C3617" t="s">
        <v>2165</v>
      </c>
      <c r="D3617" t="s">
        <v>441</v>
      </c>
      <c r="F3617">
        <v>0</v>
      </c>
      <c r="G3617">
        <v>10.06</v>
      </c>
      <c r="H3617" t="s">
        <v>8588</v>
      </c>
      <c r="I3617">
        <v>6</v>
      </c>
      <c r="J3617" t="s">
        <v>445</v>
      </c>
      <c r="M3617">
        <v>2502</v>
      </c>
      <c r="N3617" t="s">
        <v>16123</v>
      </c>
    </row>
    <row r="3618" spans="1:14">
      <c r="A3618">
        <v>16570000</v>
      </c>
      <c r="B3618">
        <v>3008811</v>
      </c>
      <c r="C3618" t="s">
        <v>2166</v>
      </c>
      <c r="D3618" t="s">
        <v>441</v>
      </c>
      <c r="F3618">
        <v>0</v>
      </c>
      <c r="G3618">
        <v>18.53</v>
      </c>
      <c r="H3618" t="s">
        <v>8580</v>
      </c>
      <c r="I3618">
        <v>5</v>
      </c>
      <c r="J3618" t="s">
        <v>445</v>
      </c>
      <c r="M3618">
        <v>2391</v>
      </c>
      <c r="N3618" t="s">
        <v>16124</v>
      </c>
    </row>
    <row r="3619" spans="1:14">
      <c r="A3619">
        <v>16570040</v>
      </c>
      <c r="B3619">
        <v>4011263</v>
      </c>
      <c r="C3619" t="s">
        <v>10081</v>
      </c>
      <c r="D3619" t="s">
        <v>441</v>
      </c>
      <c r="F3619">
        <v>0</v>
      </c>
      <c r="G3619">
        <v>21.91</v>
      </c>
      <c r="H3619" t="s">
        <v>8588</v>
      </c>
      <c r="I3619">
        <v>19</v>
      </c>
      <c r="J3619" t="s">
        <v>462</v>
      </c>
      <c r="K3619" t="s">
        <v>446</v>
      </c>
      <c r="M3619">
        <v>2612</v>
      </c>
      <c r="N3619" t="s">
        <v>16124</v>
      </c>
    </row>
    <row r="3620" spans="1:14">
      <c r="A3620">
        <v>16570041</v>
      </c>
      <c r="B3620">
        <v>4006259</v>
      </c>
      <c r="C3620" t="s">
        <v>10082</v>
      </c>
      <c r="D3620" t="s">
        <v>441</v>
      </c>
      <c r="F3620">
        <v>0</v>
      </c>
      <c r="G3620">
        <v>20.329999999999998</v>
      </c>
      <c r="H3620" t="s">
        <v>8588</v>
      </c>
      <c r="I3620">
        <v>17</v>
      </c>
      <c r="J3620" t="s">
        <v>462</v>
      </c>
      <c r="K3620" t="s">
        <v>446</v>
      </c>
      <c r="M3620">
        <v>2612</v>
      </c>
    </row>
    <row r="3621" spans="1:14">
      <c r="A3621">
        <v>16570042</v>
      </c>
      <c r="B3621">
        <v>4009161</v>
      </c>
      <c r="C3621" t="s">
        <v>10083</v>
      </c>
      <c r="D3621" t="s">
        <v>441</v>
      </c>
      <c r="F3621">
        <v>0</v>
      </c>
      <c r="G3621">
        <v>18.47</v>
      </c>
      <c r="H3621" t="s">
        <v>8588</v>
      </c>
      <c r="I3621">
        <v>17</v>
      </c>
      <c r="J3621" t="s">
        <v>462</v>
      </c>
      <c r="K3621" t="s">
        <v>446</v>
      </c>
      <c r="M3621">
        <v>2612</v>
      </c>
      <c r="N3621" t="s">
        <v>16124</v>
      </c>
    </row>
    <row r="3622" spans="1:14">
      <c r="A3622">
        <v>16570052</v>
      </c>
      <c r="B3622">
        <v>4001807</v>
      </c>
      <c r="C3622" t="s">
        <v>10084</v>
      </c>
      <c r="D3622" t="s">
        <v>441</v>
      </c>
      <c r="F3622">
        <v>0</v>
      </c>
      <c r="G3622">
        <v>18.75</v>
      </c>
      <c r="H3622" t="s">
        <v>8588</v>
      </c>
      <c r="I3622">
        <v>17</v>
      </c>
      <c r="J3622" t="s">
        <v>462</v>
      </c>
      <c r="K3622" t="s">
        <v>446</v>
      </c>
      <c r="M3622">
        <v>2612</v>
      </c>
      <c r="N3622" t="s">
        <v>16124</v>
      </c>
    </row>
    <row r="3623" spans="1:14">
      <c r="A3623">
        <v>16571040</v>
      </c>
      <c r="B3623">
        <v>4012176</v>
      </c>
      <c r="C3623" t="s">
        <v>10085</v>
      </c>
      <c r="D3623" t="s">
        <v>441</v>
      </c>
      <c r="F3623">
        <v>0</v>
      </c>
      <c r="G3623">
        <v>21.91</v>
      </c>
      <c r="H3623" t="s">
        <v>8588</v>
      </c>
      <c r="I3623">
        <v>17</v>
      </c>
      <c r="J3623" t="s">
        <v>462</v>
      </c>
      <c r="K3623" t="s">
        <v>446</v>
      </c>
      <c r="M3623">
        <v>2612</v>
      </c>
      <c r="N3623" t="s">
        <v>16124</v>
      </c>
    </row>
    <row r="3624" spans="1:14">
      <c r="A3624">
        <v>16571041</v>
      </c>
      <c r="B3624">
        <v>4011650</v>
      </c>
      <c r="C3624" t="s">
        <v>10086</v>
      </c>
      <c r="D3624" t="s">
        <v>441</v>
      </c>
      <c r="F3624">
        <v>0</v>
      </c>
      <c r="G3624">
        <v>20.329999999999998</v>
      </c>
      <c r="H3624" t="s">
        <v>8588</v>
      </c>
      <c r="I3624">
        <v>17</v>
      </c>
      <c r="J3624" t="s">
        <v>462</v>
      </c>
      <c r="K3624" t="s">
        <v>446</v>
      </c>
      <c r="M3624">
        <v>2612</v>
      </c>
    </row>
    <row r="3625" spans="1:14">
      <c r="A3625">
        <v>16571042</v>
      </c>
      <c r="B3625">
        <v>4011892</v>
      </c>
      <c r="C3625" t="s">
        <v>10087</v>
      </c>
      <c r="D3625" t="s">
        <v>441</v>
      </c>
      <c r="F3625">
        <v>0</v>
      </c>
      <c r="G3625">
        <v>18.47</v>
      </c>
      <c r="H3625" t="s">
        <v>8588</v>
      </c>
      <c r="I3625">
        <v>17</v>
      </c>
      <c r="J3625" t="s">
        <v>462</v>
      </c>
      <c r="K3625" t="s">
        <v>446</v>
      </c>
      <c r="M3625">
        <v>2612</v>
      </c>
      <c r="N3625" t="s">
        <v>16124</v>
      </c>
    </row>
    <row r="3626" spans="1:14">
      <c r="A3626">
        <v>16571052</v>
      </c>
      <c r="B3626">
        <v>4011474</v>
      </c>
      <c r="C3626" t="s">
        <v>10088</v>
      </c>
      <c r="D3626" t="s">
        <v>441</v>
      </c>
      <c r="F3626">
        <v>0</v>
      </c>
      <c r="G3626">
        <v>18.57</v>
      </c>
      <c r="H3626" t="s">
        <v>8588</v>
      </c>
      <c r="I3626">
        <v>17</v>
      </c>
      <c r="J3626" t="s">
        <v>462</v>
      </c>
      <c r="K3626" t="s">
        <v>446</v>
      </c>
      <c r="M3626">
        <v>2612</v>
      </c>
      <c r="N3626" t="s">
        <v>16124</v>
      </c>
    </row>
    <row r="3627" spans="1:14">
      <c r="A3627">
        <v>16580000</v>
      </c>
      <c r="B3627">
        <v>3008812</v>
      </c>
      <c r="C3627" t="s">
        <v>2167</v>
      </c>
      <c r="D3627" t="s">
        <v>441</v>
      </c>
      <c r="F3627">
        <v>0</v>
      </c>
      <c r="G3627">
        <v>17.45</v>
      </c>
      <c r="H3627" t="s">
        <v>8580</v>
      </c>
      <c r="I3627">
        <v>6</v>
      </c>
      <c r="J3627" t="s">
        <v>445</v>
      </c>
      <c r="K3627" t="s">
        <v>446</v>
      </c>
      <c r="M3627">
        <v>2390</v>
      </c>
    </row>
    <row r="3628" spans="1:14">
      <c r="A3628">
        <v>16600000</v>
      </c>
      <c r="B3628">
        <v>3007736</v>
      </c>
      <c r="C3628" t="s">
        <v>2168</v>
      </c>
      <c r="D3628" t="s">
        <v>441</v>
      </c>
      <c r="F3628">
        <v>0</v>
      </c>
      <c r="G3628">
        <v>10.91</v>
      </c>
      <c r="H3628" t="s">
        <v>8580</v>
      </c>
      <c r="I3628">
        <v>6</v>
      </c>
      <c r="J3628" t="s">
        <v>445</v>
      </c>
      <c r="K3628" t="s">
        <v>446</v>
      </c>
      <c r="M3628">
        <v>0</v>
      </c>
    </row>
    <row r="3629" spans="1:14">
      <c r="A3629">
        <v>16600002</v>
      </c>
      <c r="B3629">
        <v>3007737</v>
      </c>
      <c r="C3629" t="s">
        <v>2169</v>
      </c>
      <c r="D3629" t="s">
        <v>441</v>
      </c>
      <c r="F3629">
        <v>0</v>
      </c>
      <c r="G3629">
        <v>11.46</v>
      </c>
      <c r="I3629">
        <v>365</v>
      </c>
      <c r="J3629" t="s">
        <v>445</v>
      </c>
      <c r="K3629" t="s">
        <v>446</v>
      </c>
      <c r="M3629">
        <v>2501</v>
      </c>
    </row>
    <row r="3630" spans="1:14">
      <c r="A3630">
        <v>16600502</v>
      </c>
      <c r="B3630">
        <v>3007738</v>
      </c>
      <c r="C3630" t="s">
        <v>2170</v>
      </c>
      <c r="D3630" t="s">
        <v>441</v>
      </c>
      <c r="F3630">
        <v>0</v>
      </c>
      <c r="G3630">
        <v>11.07</v>
      </c>
      <c r="I3630">
        <v>6</v>
      </c>
      <c r="J3630" t="s">
        <v>445</v>
      </c>
      <c r="K3630" t="s">
        <v>446</v>
      </c>
      <c r="M3630">
        <v>2641</v>
      </c>
    </row>
    <row r="3631" spans="1:14">
      <c r="A3631">
        <v>16600602</v>
      </c>
      <c r="B3631">
        <v>3007739</v>
      </c>
      <c r="C3631" t="s">
        <v>2171</v>
      </c>
      <c r="D3631" t="s">
        <v>441</v>
      </c>
      <c r="F3631">
        <v>0</v>
      </c>
      <c r="G3631">
        <v>12.2</v>
      </c>
      <c r="I3631">
        <v>4</v>
      </c>
      <c r="J3631" t="s">
        <v>445</v>
      </c>
      <c r="K3631" t="s">
        <v>446</v>
      </c>
      <c r="M3631">
        <v>2511</v>
      </c>
    </row>
    <row r="3632" spans="1:14">
      <c r="A3632">
        <v>16610000</v>
      </c>
      <c r="B3632">
        <v>3007740</v>
      </c>
      <c r="C3632" t="s">
        <v>2172</v>
      </c>
      <c r="D3632" t="s">
        <v>441</v>
      </c>
      <c r="F3632">
        <v>0</v>
      </c>
      <c r="G3632">
        <v>10.56</v>
      </c>
      <c r="I3632">
        <v>6</v>
      </c>
      <c r="J3632" t="s">
        <v>445</v>
      </c>
      <c r="K3632" t="s">
        <v>446</v>
      </c>
      <c r="M3632">
        <v>0</v>
      </c>
    </row>
    <row r="3633" spans="1:14">
      <c r="A3633">
        <v>16620000</v>
      </c>
      <c r="B3633">
        <v>3036527</v>
      </c>
      <c r="C3633" t="s">
        <v>2173</v>
      </c>
      <c r="D3633" t="s">
        <v>441</v>
      </c>
      <c r="F3633">
        <v>0</v>
      </c>
      <c r="G3633">
        <v>15.77</v>
      </c>
      <c r="H3633" t="s">
        <v>8549</v>
      </c>
      <c r="I3633">
        <v>6</v>
      </c>
      <c r="J3633" t="s">
        <v>445</v>
      </c>
      <c r="M3633">
        <v>2391</v>
      </c>
      <c r="N3633" t="s">
        <v>16101</v>
      </c>
    </row>
    <row r="3634" spans="1:14">
      <c r="A3634">
        <v>16620075</v>
      </c>
      <c r="B3634">
        <v>3036515</v>
      </c>
      <c r="C3634" t="s">
        <v>2174</v>
      </c>
      <c r="D3634" t="s">
        <v>441</v>
      </c>
      <c r="F3634">
        <v>0</v>
      </c>
      <c r="G3634">
        <v>16.010000000000002</v>
      </c>
      <c r="H3634" t="s">
        <v>8549</v>
      </c>
      <c r="I3634">
        <v>6</v>
      </c>
      <c r="J3634" t="s">
        <v>445</v>
      </c>
      <c r="M3634">
        <v>7112</v>
      </c>
      <c r="N3634" t="s">
        <v>16101</v>
      </c>
    </row>
    <row r="3635" spans="1:14">
      <c r="A3635">
        <v>16624000</v>
      </c>
      <c r="B3635">
        <v>3036510</v>
      </c>
      <c r="C3635" t="s">
        <v>2175</v>
      </c>
      <c r="D3635" t="s">
        <v>441</v>
      </c>
      <c r="F3635">
        <v>0</v>
      </c>
      <c r="G3635">
        <v>15.77</v>
      </c>
      <c r="H3635" t="s">
        <v>8549</v>
      </c>
      <c r="I3635">
        <v>6</v>
      </c>
      <c r="J3635" t="s">
        <v>445</v>
      </c>
      <c r="M3635">
        <v>2391</v>
      </c>
      <c r="N3635" t="s">
        <v>16101</v>
      </c>
    </row>
    <row r="3636" spans="1:14">
      <c r="A3636">
        <v>16624075</v>
      </c>
      <c r="B3636">
        <v>3036516</v>
      </c>
      <c r="C3636" t="s">
        <v>2176</v>
      </c>
      <c r="D3636" t="s">
        <v>441</v>
      </c>
      <c r="F3636">
        <v>0</v>
      </c>
      <c r="G3636">
        <v>16.010000000000002</v>
      </c>
      <c r="H3636" t="s">
        <v>8549</v>
      </c>
      <c r="I3636">
        <v>6</v>
      </c>
      <c r="J3636" t="s">
        <v>445</v>
      </c>
      <c r="M3636">
        <v>7112</v>
      </c>
      <c r="N3636" t="s">
        <v>16101</v>
      </c>
    </row>
    <row r="3637" spans="1:14">
      <c r="A3637">
        <v>16640000</v>
      </c>
      <c r="B3637">
        <v>3007741</v>
      </c>
      <c r="C3637" t="s">
        <v>2177</v>
      </c>
      <c r="D3637" t="s">
        <v>441</v>
      </c>
      <c r="F3637">
        <v>0</v>
      </c>
      <c r="G3637">
        <v>11.14</v>
      </c>
      <c r="I3637">
        <v>6</v>
      </c>
      <c r="J3637" t="s">
        <v>445</v>
      </c>
      <c r="K3637" t="s">
        <v>446</v>
      </c>
      <c r="M3637">
        <v>0</v>
      </c>
    </row>
    <row r="3638" spans="1:14">
      <c r="A3638">
        <v>16660000</v>
      </c>
      <c r="B3638">
        <v>3007742</v>
      </c>
      <c r="C3638" t="s">
        <v>2178</v>
      </c>
      <c r="D3638" t="s">
        <v>441</v>
      </c>
      <c r="F3638">
        <v>0</v>
      </c>
      <c r="G3638">
        <v>10.56</v>
      </c>
      <c r="I3638">
        <v>6</v>
      </c>
      <c r="J3638" t="s">
        <v>445</v>
      </c>
      <c r="K3638" t="s">
        <v>446</v>
      </c>
      <c r="M3638">
        <v>0</v>
      </c>
    </row>
    <row r="3639" spans="1:14">
      <c r="A3639">
        <v>16670000</v>
      </c>
      <c r="B3639">
        <v>3007743</v>
      </c>
      <c r="C3639" t="s">
        <v>2179</v>
      </c>
      <c r="D3639" t="s">
        <v>441</v>
      </c>
      <c r="F3639">
        <v>0</v>
      </c>
      <c r="G3639">
        <v>10.3</v>
      </c>
      <c r="H3639" t="s">
        <v>8580</v>
      </c>
      <c r="I3639">
        <v>6</v>
      </c>
      <c r="J3639" t="s">
        <v>445</v>
      </c>
      <c r="K3639" t="s">
        <v>446</v>
      </c>
      <c r="M3639">
        <v>0</v>
      </c>
    </row>
    <row r="3640" spans="1:14">
      <c r="A3640">
        <v>16700000</v>
      </c>
      <c r="B3640">
        <v>3007744</v>
      </c>
      <c r="C3640" t="s">
        <v>2180</v>
      </c>
      <c r="D3640" t="s">
        <v>441</v>
      </c>
      <c r="F3640">
        <v>0</v>
      </c>
      <c r="G3640">
        <v>10.67</v>
      </c>
      <c r="H3640" t="s">
        <v>8580</v>
      </c>
      <c r="I3640">
        <v>6</v>
      </c>
      <c r="J3640" t="s">
        <v>445</v>
      </c>
      <c r="K3640" t="s">
        <v>446</v>
      </c>
      <c r="M3640">
        <v>0</v>
      </c>
    </row>
    <row r="3641" spans="1:14">
      <c r="A3641">
        <v>16720000</v>
      </c>
      <c r="B3641">
        <v>3009350</v>
      </c>
      <c r="C3641" t="s">
        <v>2181</v>
      </c>
      <c r="D3641" t="s">
        <v>441</v>
      </c>
      <c r="F3641">
        <v>0</v>
      </c>
      <c r="G3641">
        <v>10.57</v>
      </c>
      <c r="H3641" t="s">
        <v>10089</v>
      </c>
      <c r="I3641">
        <v>6</v>
      </c>
      <c r="J3641" t="s">
        <v>445</v>
      </c>
      <c r="K3641" t="s">
        <v>446</v>
      </c>
      <c r="M3641">
        <v>2390</v>
      </c>
    </row>
    <row r="3642" spans="1:14">
      <c r="A3642">
        <v>16770000</v>
      </c>
      <c r="B3642">
        <v>3008983</v>
      </c>
      <c r="C3642" t="s">
        <v>14812</v>
      </c>
      <c r="D3642" t="s">
        <v>441</v>
      </c>
      <c r="F3642">
        <v>0</v>
      </c>
      <c r="G3642">
        <v>2.4</v>
      </c>
      <c r="H3642" t="s">
        <v>8549</v>
      </c>
      <c r="I3642">
        <v>6</v>
      </c>
      <c r="J3642" t="s">
        <v>445</v>
      </c>
      <c r="M3642">
        <v>2391</v>
      </c>
      <c r="N3642" t="s">
        <v>16125</v>
      </c>
    </row>
    <row r="3643" spans="1:14">
      <c r="A3643">
        <v>16770007</v>
      </c>
      <c r="B3643">
        <v>3040714</v>
      </c>
      <c r="C3643" t="s">
        <v>2182</v>
      </c>
      <c r="D3643" t="s">
        <v>441</v>
      </c>
      <c r="F3643">
        <v>0</v>
      </c>
      <c r="G3643">
        <v>1.17</v>
      </c>
      <c r="H3643" t="s">
        <v>8549</v>
      </c>
      <c r="I3643">
        <v>6</v>
      </c>
      <c r="J3643" t="s">
        <v>445</v>
      </c>
      <c r="M3643">
        <v>2391</v>
      </c>
      <c r="N3643" t="s">
        <v>16125</v>
      </c>
    </row>
    <row r="3644" spans="1:14">
      <c r="A3644">
        <v>16770020</v>
      </c>
      <c r="B3644">
        <v>4019645</v>
      </c>
      <c r="C3644" t="s">
        <v>10090</v>
      </c>
      <c r="D3644" t="s">
        <v>441</v>
      </c>
      <c r="F3644">
        <v>0</v>
      </c>
      <c r="G3644">
        <v>1.46</v>
      </c>
      <c r="H3644" t="s">
        <v>8588</v>
      </c>
      <c r="I3644">
        <v>6</v>
      </c>
      <c r="J3644" t="s">
        <v>462</v>
      </c>
      <c r="M3644">
        <v>7112</v>
      </c>
      <c r="N3644" t="s">
        <v>16125</v>
      </c>
    </row>
    <row r="3645" spans="1:14">
      <c r="A3645">
        <v>16770022</v>
      </c>
      <c r="B3645">
        <v>4010534</v>
      </c>
      <c r="C3645" t="s">
        <v>10091</v>
      </c>
      <c r="D3645" t="s">
        <v>441</v>
      </c>
      <c r="F3645">
        <v>0</v>
      </c>
      <c r="G3645">
        <v>3.65</v>
      </c>
      <c r="H3645" t="s">
        <v>8588</v>
      </c>
      <c r="I3645">
        <v>6</v>
      </c>
      <c r="J3645" t="s">
        <v>462</v>
      </c>
      <c r="K3645" t="s">
        <v>446</v>
      </c>
      <c r="M3645">
        <v>2612</v>
      </c>
    </row>
    <row r="3646" spans="1:14">
      <c r="A3646">
        <v>16770025</v>
      </c>
      <c r="B3646">
        <v>4019790</v>
      </c>
      <c r="C3646" t="s">
        <v>14813</v>
      </c>
      <c r="D3646" t="s">
        <v>442</v>
      </c>
      <c r="E3646" t="s">
        <v>441</v>
      </c>
      <c r="F3646">
        <v>10</v>
      </c>
      <c r="G3646">
        <v>34.85</v>
      </c>
      <c r="H3646" t="s">
        <v>8588</v>
      </c>
      <c r="I3646">
        <v>540</v>
      </c>
      <c r="J3646" t="s">
        <v>462</v>
      </c>
      <c r="M3646">
        <v>7111</v>
      </c>
      <c r="N3646" t="s">
        <v>16125</v>
      </c>
    </row>
    <row r="3647" spans="1:14">
      <c r="A3647">
        <v>16770026</v>
      </c>
      <c r="B3647">
        <v>4016370</v>
      </c>
      <c r="C3647" t="s">
        <v>14814</v>
      </c>
      <c r="D3647" t="s">
        <v>442</v>
      </c>
      <c r="E3647" t="s">
        <v>441</v>
      </c>
      <c r="F3647">
        <v>10</v>
      </c>
      <c r="G3647">
        <v>34.520000000000003</v>
      </c>
      <c r="H3647" t="s">
        <v>8588</v>
      </c>
      <c r="I3647">
        <v>540</v>
      </c>
      <c r="J3647" t="s">
        <v>462</v>
      </c>
      <c r="M3647">
        <v>7111</v>
      </c>
      <c r="N3647" t="s">
        <v>16125</v>
      </c>
    </row>
    <row r="3648" spans="1:14">
      <c r="A3648">
        <v>16770027</v>
      </c>
      <c r="B3648">
        <v>4007586</v>
      </c>
      <c r="C3648" t="s">
        <v>10092</v>
      </c>
      <c r="D3648" t="s">
        <v>441</v>
      </c>
      <c r="F3648">
        <v>0</v>
      </c>
      <c r="G3648">
        <v>1.75</v>
      </c>
      <c r="H3648" t="s">
        <v>8588</v>
      </c>
      <c r="I3648">
        <v>365</v>
      </c>
      <c r="J3648" t="s">
        <v>462</v>
      </c>
      <c r="K3648" t="s">
        <v>446</v>
      </c>
      <c r="M3648">
        <v>2501</v>
      </c>
    </row>
    <row r="3649" spans="1:14">
      <c r="A3649">
        <v>16770028</v>
      </c>
      <c r="B3649">
        <v>4001810</v>
      </c>
      <c r="C3649" t="s">
        <v>10093</v>
      </c>
      <c r="D3649" t="s">
        <v>441</v>
      </c>
      <c r="F3649">
        <v>0</v>
      </c>
      <c r="G3649">
        <v>3.89</v>
      </c>
      <c r="H3649" t="s">
        <v>8588</v>
      </c>
      <c r="I3649">
        <v>365</v>
      </c>
      <c r="J3649" t="s">
        <v>462</v>
      </c>
      <c r="K3649" t="s">
        <v>446</v>
      </c>
      <c r="M3649">
        <v>2501</v>
      </c>
    </row>
    <row r="3650" spans="1:14">
      <c r="A3650">
        <v>16770030</v>
      </c>
      <c r="B3650">
        <v>4015459</v>
      </c>
      <c r="C3650" t="s">
        <v>10094</v>
      </c>
      <c r="D3650" t="s">
        <v>441</v>
      </c>
      <c r="F3650">
        <v>0</v>
      </c>
      <c r="G3650">
        <v>3.97</v>
      </c>
      <c r="H3650" t="s">
        <v>8588</v>
      </c>
      <c r="I3650">
        <v>12</v>
      </c>
      <c r="J3650" t="s">
        <v>462</v>
      </c>
      <c r="K3650" t="s">
        <v>446</v>
      </c>
      <c r="M3650">
        <v>2612</v>
      </c>
    </row>
    <row r="3651" spans="1:14">
      <c r="A3651">
        <v>16770031</v>
      </c>
      <c r="B3651">
        <v>4018150</v>
      </c>
      <c r="C3651" t="s">
        <v>10095</v>
      </c>
      <c r="D3651" t="s">
        <v>441</v>
      </c>
      <c r="F3651">
        <v>0</v>
      </c>
      <c r="G3651">
        <v>2.75</v>
      </c>
      <c r="H3651" t="s">
        <v>8588</v>
      </c>
      <c r="I3651">
        <v>12</v>
      </c>
      <c r="J3651" t="s">
        <v>462</v>
      </c>
      <c r="K3651" t="s">
        <v>446</v>
      </c>
      <c r="M3651">
        <v>2612</v>
      </c>
    </row>
    <row r="3652" spans="1:14">
      <c r="A3652">
        <v>16770032</v>
      </c>
      <c r="B3652">
        <v>4019292</v>
      </c>
      <c r="C3652" t="s">
        <v>15480</v>
      </c>
      <c r="D3652" t="s">
        <v>441</v>
      </c>
      <c r="F3652">
        <v>0</v>
      </c>
      <c r="G3652">
        <v>3.47</v>
      </c>
      <c r="H3652" t="s">
        <v>8588</v>
      </c>
      <c r="I3652">
        <v>8</v>
      </c>
      <c r="J3652" t="s">
        <v>462</v>
      </c>
      <c r="M3652">
        <v>7112</v>
      </c>
      <c r="N3652" t="s">
        <v>16125</v>
      </c>
    </row>
    <row r="3653" spans="1:14">
      <c r="A3653">
        <v>16770033</v>
      </c>
      <c r="B3653">
        <v>4023505</v>
      </c>
      <c r="C3653" t="s">
        <v>14815</v>
      </c>
      <c r="D3653" t="s">
        <v>441</v>
      </c>
      <c r="F3653">
        <v>0</v>
      </c>
      <c r="G3653">
        <v>3.06</v>
      </c>
      <c r="H3653" t="s">
        <v>8588</v>
      </c>
      <c r="I3653">
        <v>10</v>
      </c>
      <c r="J3653" t="s">
        <v>462</v>
      </c>
      <c r="M3653">
        <v>7112</v>
      </c>
      <c r="N3653" t="s">
        <v>16125</v>
      </c>
    </row>
    <row r="3654" spans="1:14">
      <c r="A3654">
        <v>16770034</v>
      </c>
      <c r="B3654">
        <v>4024973</v>
      </c>
      <c r="C3654" t="s">
        <v>14816</v>
      </c>
      <c r="D3654" t="s">
        <v>441</v>
      </c>
      <c r="F3654">
        <v>0</v>
      </c>
      <c r="G3654">
        <v>2.87</v>
      </c>
      <c r="H3654" t="s">
        <v>8588</v>
      </c>
      <c r="I3654">
        <v>9</v>
      </c>
      <c r="J3654" t="s">
        <v>462</v>
      </c>
      <c r="M3654">
        <v>7112</v>
      </c>
      <c r="N3654" t="s">
        <v>16125</v>
      </c>
    </row>
    <row r="3655" spans="1:14">
      <c r="A3655">
        <v>16770035</v>
      </c>
      <c r="B3655">
        <v>4025435</v>
      </c>
      <c r="C3655" t="s">
        <v>14817</v>
      </c>
      <c r="D3655" t="s">
        <v>441</v>
      </c>
      <c r="F3655">
        <v>0</v>
      </c>
      <c r="G3655">
        <v>3.01</v>
      </c>
      <c r="H3655" t="s">
        <v>8588</v>
      </c>
      <c r="I3655">
        <v>8</v>
      </c>
      <c r="J3655" t="s">
        <v>462</v>
      </c>
      <c r="M3655">
        <v>7112</v>
      </c>
      <c r="N3655" t="s">
        <v>16125</v>
      </c>
    </row>
    <row r="3656" spans="1:14">
      <c r="A3656">
        <v>16770075</v>
      </c>
      <c r="B3656">
        <v>4024897</v>
      </c>
      <c r="C3656" t="s">
        <v>10096</v>
      </c>
      <c r="D3656" t="s">
        <v>441</v>
      </c>
      <c r="F3656">
        <v>0</v>
      </c>
      <c r="G3656">
        <v>1.28</v>
      </c>
      <c r="H3656" t="s">
        <v>8588</v>
      </c>
      <c r="I3656">
        <v>6</v>
      </c>
      <c r="J3656" t="s">
        <v>462</v>
      </c>
      <c r="L3656">
        <v>2615050</v>
      </c>
      <c r="M3656">
        <v>7112</v>
      </c>
      <c r="N3656" t="s">
        <v>16125</v>
      </c>
    </row>
    <row r="3657" spans="1:14">
      <c r="A3657">
        <v>16770525</v>
      </c>
      <c r="B3657">
        <v>3029684</v>
      </c>
      <c r="C3657" t="s">
        <v>14818</v>
      </c>
      <c r="D3657" t="s">
        <v>442</v>
      </c>
      <c r="E3657" t="s">
        <v>441</v>
      </c>
      <c r="F3657">
        <v>10</v>
      </c>
      <c r="G3657">
        <v>30.28</v>
      </c>
      <c r="H3657" t="s">
        <v>8588</v>
      </c>
      <c r="I3657">
        <v>540</v>
      </c>
      <c r="J3657" t="s">
        <v>445</v>
      </c>
      <c r="M3657">
        <v>2502</v>
      </c>
      <c r="N3657" t="s">
        <v>16125</v>
      </c>
    </row>
    <row r="3658" spans="1:14">
      <c r="A3658">
        <v>16770526</v>
      </c>
      <c r="B3658">
        <v>3024676</v>
      </c>
      <c r="C3658" t="s">
        <v>14819</v>
      </c>
      <c r="D3658" t="s">
        <v>442</v>
      </c>
      <c r="E3658" t="s">
        <v>441</v>
      </c>
      <c r="F3658">
        <v>10</v>
      </c>
      <c r="G3658">
        <v>29.96</v>
      </c>
      <c r="H3658" t="s">
        <v>8549</v>
      </c>
      <c r="I3658">
        <v>540</v>
      </c>
      <c r="J3658" t="s">
        <v>445</v>
      </c>
      <c r="M3658">
        <v>2502</v>
      </c>
      <c r="N3658" t="s">
        <v>16125</v>
      </c>
    </row>
    <row r="3659" spans="1:14">
      <c r="A3659">
        <v>16770527</v>
      </c>
      <c r="B3659">
        <v>3007745</v>
      </c>
      <c r="C3659" t="s">
        <v>10097</v>
      </c>
      <c r="D3659" t="s">
        <v>441</v>
      </c>
      <c r="F3659">
        <v>0</v>
      </c>
      <c r="G3659">
        <v>1.54</v>
      </c>
      <c r="H3659" t="s">
        <v>8580</v>
      </c>
      <c r="I3659">
        <v>6</v>
      </c>
      <c r="J3659" t="s">
        <v>445</v>
      </c>
      <c r="K3659" t="s">
        <v>446</v>
      </c>
      <c r="M3659">
        <v>2641</v>
      </c>
    </row>
    <row r="3660" spans="1:14">
      <c r="A3660">
        <v>16770528</v>
      </c>
      <c r="B3660">
        <v>3007746</v>
      </c>
      <c r="C3660" t="s">
        <v>10098</v>
      </c>
      <c r="D3660" t="s">
        <v>441</v>
      </c>
      <c r="F3660">
        <v>0</v>
      </c>
      <c r="G3660">
        <v>3.71</v>
      </c>
      <c r="H3660" t="s">
        <v>8580</v>
      </c>
      <c r="I3660">
        <v>6</v>
      </c>
      <c r="J3660" t="s">
        <v>445</v>
      </c>
      <c r="K3660" t="s">
        <v>446</v>
      </c>
      <c r="M3660">
        <v>2641</v>
      </c>
    </row>
    <row r="3661" spans="1:14">
      <c r="A3661">
        <v>16771000</v>
      </c>
      <c r="B3661">
        <v>3009055</v>
      </c>
      <c r="C3661" t="s">
        <v>14820</v>
      </c>
      <c r="D3661" t="s">
        <v>441</v>
      </c>
      <c r="F3661">
        <v>0</v>
      </c>
      <c r="G3661">
        <v>2.4</v>
      </c>
      <c r="H3661" t="s">
        <v>8549</v>
      </c>
      <c r="I3661">
        <v>6</v>
      </c>
      <c r="J3661" t="s">
        <v>445</v>
      </c>
      <c r="M3661">
        <v>2391</v>
      </c>
      <c r="N3661" t="s">
        <v>16125</v>
      </c>
    </row>
    <row r="3662" spans="1:14">
      <c r="A3662">
        <v>16771026</v>
      </c>
      <c r="B3662">
        <v>4016359</v>
      </c>
      <c r="C3662" t="s">
        <v>14821</v>
      </c>
      <c r="D3662" t="s">
        <v>442</v>
      </c>
      <c r="E3662" t="s">
        <v>441</v>
      </c>
      <c r="F3662">
        <v>10</v>
      </c>
      <c r="G3662">
        <v>34.520000000000003</v>
      </c>
      <c r="H3662" t="s">
        <v>8588</v>
      </c>
      <c r="I3662">
        <v>540</v>
      </c>
      <c r="J3662" t="s">
        <v>462</v>
      </c>
      <c r="M3662">
        <v>7111</v>
      </c>
      <c r="N3662" t="s">
        <v>16125</v>
      </c>
    </row>
    <row r="3663" spans="1:14">
      <c r="A3663">
        <v>16771526</v>
      </c>
      <c r="B3663">
        <v>3024807</v>
      </c>
      <c r="C3663" t="s">
        <v>14822</v>
      </c>
      <c r="D3663" t="s">
        <v>442</v>
      </c>
      <c r="E3663" t="s">
        <v>441</v>
      </c>
      <c r="F3663">
        <v>10</v>
      </c>
      <c r="G3663">
        <v>29.95</v>
      </c>
      <c r="H3663" t="s">
        <v>8549</v>
      </c>
      <c r="I3663">
        <v>540</v>
      </c>
      <c r="J3663" t="s">
        <v>445</v>
      </c>
      <c r="M3663">
        <v>2502</v>
      </c>
      <c r="N3663" t="s">
        <v>16125</v>
      </c>
    </row>
    <row r="3664" spans="1:14">
      <c r="A3664">
        <v>16773000</v>
      </c>
      <c r="B3664">
        <v>3008904</v>
      </c>
      <c r="C3664" t="s">
        <v>14823</v>
      </c>
      <c r="D3664" t="s">
        <v>441</v>
      </c>
      <c r="F3664">
        <v>0</v>
      </c>
      <c r="G3664">
        <v>2.4</v>
      </c>
      <c r="H3664" t="s">
        <v>8580</v>
      </c>
      <c r="I3664">
        <v>6</v>
      </c>
      <c r="J3664" t="s">
        <v>445</v>
      </c>
      <c r="M3664">
        <v>2391</v>
      </c>
      <c r="N3664" t="s">
        <v>16125</v>
      </c>
    </row>
    <row r="3665" spans="1:14">
      <c r="A3665">
        <v>16775000</v>
      </c>
      <c r="B3665">
        <v>3035217</v>
      </c>
      <c r="C3665" t="s">
        <v>10099</v>
      </c>
      <c r="D3665" t="s">
        <v>441</v>
      </c>
      <c r="F3665">
        <v>0</v>
      </c>
      <c r="G3665">
        <v>1.1000000000000001</v>
      </c>
      <c r="H3665" t="s">
        <v>8549</v>
      </c>
      <c r="I3665">
        <v>6</v>
      </c>
      <c r="J3665" t="s">
        <v>445</v>
      </c>
      <c r="M3665">
        <v>2391</v>
      </c>
      <c r="N3665" t="s">
        <v>16125</v>
      </c>
    </row>
    <row r="3666" spans="1:14">
      <c r="A3666">
        <v>16775026</v>
      </c>
      <c r="B3666">
        <v>4023875</v>
      </c>
      <c r="C3666" t="s">
        <v>10100</v>
      </c>
      <c r="D3666" t="s">
        <v>442</v>
      </c>
      <c r="E3666" t="s">
        <v>441</v>
      </c>
      <c r="F3666">
        <v>10</v>
      </c>
      <c r="G3666">
        <v>18.920000000000002</v>
      </c>
      <c r="H3666" t="s">
        <v>8588</v>
      </c>
      <c r="I3666">
        <v>540</v>
      </c>
      <c r="J3666" t="s">
        <v>462</v>
      </c>
      <c r="M3666">
        <v>7111</v>
      </c>
      <c r="N3666" t="s">
        <v>16125</v>
      </c>
    </row>
    <row r="3667" spans="1:14">
      <c r="A3667">
        <v>16775526</v>
      </c>
      <c r="B3667">
        <v>3035218</v>
      </c>
      <c r="C3667" t="s">
        <v>10101</v>
      </c>
      <c r="D3667" t="s">
        <v>442</v>
      </c>
      <c r="E3667" t="s">
        <v>441</v>
      </c>
      <c r="F3667">
        <v>10</v>
      </c>
      <c r="G3667">
        <v>16.28</v>
      </c>
      <c r="H3667" t="s">
        <v>8549</v>
      </c>
      <c r="I3667">
        <v>540</v>
      </c>
      <c r="J3667" t="s">
        <v>445</v>
      </c>
      <c r="M3667">
        <v>2502</v>
      </c>
      <c r="N3667" t="s">
        <v>16125</v>
      </c>
    </row>
    <row r="3668" spans="1:14">
      <c r="A3668">
        <v>16776000</v>
      </c>
      <c r="B3668">
        <v>3009054</v>
      </c>
      <c r="C3668" t="s">
        <v>10102</v>
      </c>
      <c r="D3668" t="s">
        <v>441</v>
      </c>
      <c r="F3668">
        <v>0</v>
      </c>
      <c r="G3668">
        <v>2.08</v>
      </c>
      <c r="I3668">
        <v>6</v>
      </c>
      <c r="J3668" t="s">
        <v>445</v>
      </c>
      <c r="K3668" t="s">
        <v>446</v>
      </c>
      <c r="M3668">
        <v>2390</v>
      </c>
    </row>
    <row r="3669" spans="1:14">
      <c r="A3669">
        <v>16780000</v>
      </c>
      <c r="B3669">
        <v>3016042</v>
      </c>
      <c r="C3669" t="s">
        <v>2183</v>
      </c>
      <c r="D3669" t="s">
        <v>441</v>
      </c>
      <c r="F3669">
        <v>0</v>
      </c>
      <c r="G3669">
        <v>9.34</v>
      </c>
      <c r="H3669" t="s">
        <v>8588</v>
      </c>
      <c r="I3669">
        <v>6</v>
      </c>
      <c r="J3669" t="s">
        <v>445</v>
      </c>
      <c r="M3669">
        <v>2391</v>
      </c>
      <c r="N3669" t="s">
        <v>15990</v>
      </c>
    </row>
    <row r="3670" spans="1:14">
      <c r="A3670">
        <v>16780007</v>
      </c>
      <c r="B3670">
        <v>3024936</v>
      </c>
      <c r="C3670" t="s">
        <v>2184</v>
      </c>
      <c r="D3670" t="s">
        <v>441</v>
      </c>
      <c r="F3670">
        <v>0</v>
      </c>
      <c r="G3670">
        <v>9.4499999999999993</v>
      </c>
      <c r="H3670" t="s">
        <v>8580</v>
      </c>
      <c r="I3670">
        <v>6</v>
      </c>
      <c r="J3670" t="s">
        <v>445</v>
      </c>
      <c r="M3670">
        <v>3111</v>
      </c>
      <c r="N3670" t="s">
        <v>15990</v>
      </c>
    </row>
    <row r="3671" spans="1:14">
      <c r="A3671">
        <v>16780100</v>
      </c>
      <c r="B3671">
        <v>3017303</v>
      </c>
      <c r="C3671" t="s">
        <v>2185</v>
      </c>
      <c r="D3671" t="s">
        <v>441</v>
      </c>
      <c r="F3671">
        <v>0</v>
      </c>
      <c r="H3671" t="s">
        <v>8588</v>
      </c>
      <c r="I3671">
        <v>6</v>
      </c>
      <c r="J3671" t="s">
        <v>445</v>
      </c>
      <c r="M3671">
        <v>3741</v>
      </c>
      <c r="N3671" t="s">
        <v>15983</v>
      </c>
    </row>
    <row r="3672" spans="1:14">
      <c r="A3672">
        <v>16780900</v>
      </c>
      <c r="B3672">
        <v>3020268</v>
      </c>
      <c r="C3672" t="s">
        <v>2186</v>
      </c>
      <c r="D3672" t="s">
        <v>441</v>
      </c>
      <c r="F3672">
        <v>0</v>
      </c>
      <c r="G3672">
        <v>0</v>
      </c>
      <c r="H3672" t="s">
        <v>8584</v>
      </c>
      <c r="I3672">
        <v>6</v>
      </c>
      <c r="J3672" t="s">
        <v>445</v>
      </c>
      <c r="M3672">
        <v>6666</v>
      </c>
      <c r="N3672" t="s">
        <v>15990</v>
      </c>
    </row>
    <row r="3673" spans="1:14">
      <c r="A3673">
        <v>16780907</v>
      </c>
      <c r="B3673">
        <v>3025196</v>
      </c>
      <c r="C3673" t="s">
        <v>2187</v>
      </c>
      <c r="D3673" t="s">
        <v>441</v>
      </c>
      <c r="F3673">
        <v>0</v>
      </c>
      <c r="G3673">
        <v>0</v>
      </c>
      <c r="I3673">
        <v>6</v>
      </c>
      <c r="J3673" t="s">
        <v>445</v>
      </c>
      <c r="M3673">
        <v>6666</v>
      </c>
      <c r="N3673" t="s">
        <v>15990</v>
      </c>
    </row>
    <row r="3674" spans="1:14">
      <c r="A3674">
        <v>16781000</v>
      </c>
      <c r="B3674">
        <v>3017808</v>
      </c>
      <c r="C3674" t="s">
        <v>2188</v>
      </c>
      <c r="D3674" t="s">
        <v>441</v>
      </c>
      <c r="F3674">
        <v>0</v>
      </c>
      <c r="G3674">
        <v>9.34</v>
      </c>
      <c r="I3674">
        <v>6</v>
      </c>
      <c r="J3674" t="s">
        <v>445</v>
      </c>
      <c r="M3674">
        <v>2391</v>
      </c>
      <c r="N3674" t="s">
        <v>15990</v>
      </c>
    </row>
    <row r="3675" spans="1:14">
      <c r="A3675">
        <v>16781007</v>
      </c>
      <c r="B3675">
        <v>3024937</v>
      </c>
      <c r="C3675" t="s">
        <v>10103</v>
      </c>
      <c r="D3675" t="s">
        <v>441</v>
      </c>
      <c r="F3675">
        <v>0</v>
      </c>
      <c r="G3675">
        <v>12.24</v>
      </c>
      <c r="H3675" t="s">
        <v>8580</v>
      </c>
      <c r="I3675">
        <v>6</v>
      </c>
      <c r="J3675" t="s">
        <v>445</v>
      </c>
      <c r="K3675" t="s">
        <v>446</v>
      </c>
      <c r="M3675">
        <v>3111</v>
      </c>
      <c r="N3675" t="s">
        <v>15990</v>
      </c>
    </row>
    <row r="3676" spans="1:14">
      <c r="A3676">
        <v>16781907</v>
      </c>
      <c r="B3676">
        <v>3025197</v>
      </c>
      <c r="C3676" t="s">
        <v>10104</v>
      </c>
      <c r="D3676" t="s">
        <v>441</v>
      </c>
      <c r="F3676">
        <v>0</v>
      </c>
      <c r="G3676">
        <v>0</v>
      </c>
      <c r="H3676" t="s">
        <v>8583</v>
      </c>
      <c r="I3676">
        <v>6</v>
      </c>
      <c r="J3676" t="s">
        <v>445</v>
      </c>
      <c r="K3676" t="s">
        <v>446</v>
      </c>
      <c r="M3676">
        <v>6666</v>
      </c>
      <c r="N3676" t="s">
        <v>15990</v>
      </c>
    </row>
    <row r="3677" spans="1:14">
      <c r="A3677">
        <v>16784000</v>
      </c>
      <c r="B3677">
        <v>3035576</v>
      </c>
      <c r="C3677" t="s">
        <v>2189</v>
      </c>
      <c r="D3677" t="s">
        <v>441</v>
      </c>
      <c r="F3677">
        <v>0</v>
      </c>
      <c r="G3677">
        <v>9.34</v>
      </c>
      <c r="H3677" t="s">
        <v>8588</v>
      </c>
      <c r="I3677">
        <v>6</v>
      </c>
      <c r="J3677" t="s">
        <v>445</v>
      </c>
      <c r="M3677">
        <v>2391</v>
      </c>
      <c r="N3677" t="s">
        <v>15990</v>
      </c>
    </row>
    <row r="3678" spans="1:14">
      <c r="A3678">
        <v>16790000</v>
      </c>
      <c r="B3678">
        <v>3007748</v>
      </c>
      <c r="C3678" t="s">
        <v>2190</v>
      </c>
      <c r="D3678" t="s">
        <v>441</v>
      </c>
      <c r="F3678">
        <v>0</v>
      </c>
      <c r="G3678">
        <v>12.16</v>
      </c>
      <c r="H3678" t="s">
        <v>8580</v>
      </c>
      <c r="I3678">
        <v>6</v>
      </c>
      <c r="J3678" t="s">
        <v>445</v>
      </c>
      <c r="K3678" t="s">
        <v>446</v>
      </c>
      <c r="M3678">
        <v>0</v>
      </c>
    </row>
    <row r="3679" spans="1:14">
      <c r="A3679">
        <v>16810000</v>
      </c>
      <c r="B3679">
        <v>3007749</v>
      </c>
      <c r="C3679" t="s">
        <v>2191</v>
      </c>
      <c r="D3679" t="s">
        <v>441</v>
      </c>
      <c r="F3679">
        <v>0</v>
      </c>
      <c r="G3679">
        <v>12.39</v>
      </c>
      <c r="H3679" t="s">
        <v>8584</v>
      </c>
      <c r="I3679">
        <v>6</v>
      </c>
      <c r="J3679" t="s">
        <v>445</v>
      </c>
      <c r="K3679" t="s">
        <v>446</v>
      </c>
      <c r="M3679">
        <v>0</v>
      </c>
    </row>
    <row r="3680" spans="1:14">
      <c r="A3680">
        <v>16830000</v>
      </c>
      <c r="B3680">
        <v>3004631</v>
      </c>
      <c r="C3680" t="s">
        <v>2192</v>
      </c>
      <c r="D3680" t="s">
        <v>441</v>
      </c>
      <c r="F3680">
        <v>0</v>
      </c>
      <c r="G3680">
        <v>5.29</v>
      </c>
      <c r="H3680" t="s">
        <v>8584</v>
      </c>
      <c r="I3680">
        <v>6</v>
      </c>
      <c r="J3680" t="s">
        <v>445</v>
      </c>
      <c r="K3680" t="s">
        <v>446</v>
      </c>
      <c r="M3680">
        <v>0</v>
      </c>
    </row>
    <row r="3681" spans="1:14">
      <c r="A3681">
        <v>16830020</v>
      </c>
      <c r="B3681">
        <v>4009615</v>
      </c>
      <c r="C3681" t="s">
        <v>2193</v>
      </c>
      <c r="D3681" t="s">
        <v>441</v>
      </c>
      <c r="F3681">
        <v>0</v>
      </c>
      <c r="G3681">
        <v>5.62</v>
      </c>
      <c r="H3681" t="s">
        <v>8588</v>
      </c>
      <c r="I3681">
        <v>6</v>
      </c>
      <c r="J3681" t="s">
        <v>462</v>
      </c>
      <c r="K3681" t="s">
        <v>446</v>
      </c>
      <c r="M3681">
        <v>2641</v>
      </c>
    </row>
    <row r="3682" spans="1:14">
      <c r="A3682">
        <v>16833000</v>
      </c>
      <c r="B3682">
        <v>3005117</v>
      </c>
      <c r="C3682" t="s">
        <v>2194</v>
      </c>
      <c r="D3682" t="s">
        <v>441</v>
      </c>
      <c r="F3682">
        <v>0</v>
      </c>
      <c r="G3682">
        <v>5.3</v>
      </c>
      <c r="H3682" t="s">
        <v>8584</v>
      </c>
      <c r="I3682">
        <v>6</v>
      </c>
      <c r="J3682" t="s">
        <v>445</v>
      </c>
      <c r="K3682" t="s">
        <v>446</v>
      </c>
      <c r="M3682">
        <v>2390</v>
      </c>
    </row>
    <row r="3683" spans="1:14">
      <c r="A3683">
        <v>16900000</v>
      </c>
      <c r="B3683">
        <v>3007751</v>
      </c>
      <c r="C3683" t="s">
        <v>2195</v>
      </c>
      <c r="D3683" t="s">
        <v>441</v>
      </c>
      <c r="F3683">
        <v>0</v>
      </c>
      <c r="G3683">
        <v>10.36</v>
      </c>
      <c r="H3683" t="s">
        <v>8584</v>
      </c>
      <c r="I3683">
        <v>5</v>
      </c>
      <c r="J3683" t="s">
        <v>445</v>
      </c>
      <c r="K3683" t="s">
        <v>446</v>
      </c>
      <c r="M3683">
        <v>0</v>
      </c>
    </row>
    <row r="3684" spans="1:14">
      <c r="A3684">
        <v>16900002</v>
      </c>
      <c r="B3684">
        <v>3007752</v>
      </c>
      <c r="C3684" t="s">
        <v>2196</v>
      </c>
      <c r="D3684" t="s">
        <v>441</v>
      </c>
      <c r="F3684">
        <v>0</v>
      </c>
      <c r="G3684">
        <v>10.89</v>
      </c>
      <c r="H3684" t="s">
        <v>8634</v>
      </c>
      <c r="I3684">
        <v>365</v>
      </c>
      <c r="J3684" t="s">
        <v>445</v>
      </c>
      <c r="K3684" t="s">
        <v>446</v>
      </c>
      <c r="M3684">
        <v>2501</v>
      </c>
    </row>
    <row r="3685" spans="1:14">
      <c r="A3685">
        <v>16900502</v>
      </c>
      <c r="B3685">
        <v>3007753</v>
      </c>
      <c r="C3685" t="s">
        <v>2197</v>
      </c>
      <c r="D3685" t="s">
        <v>441</v>
      </c>
      <c r="F3685">
        <v>0</v>
      </c>
      <c r="G3685">
        <v>10.52</v>
      </c>
      <c r="H3685" t="s">
        <v>8634</v>
      </c>
      <c r="I3685">
        <v>6</v>
      </c>
      <c r="J3685" t="s">
        <v>445</v>
      </c>
      <c r="K3685" t="s">
        <v>446</v>
      </c>
      <c r="M3685">
        <v>2641</v>
      </c>
    </row>
    <row r="3686" spans="1:14">
      <c r="A3686">
        <v>16910000</v>
      </c>
      <c r="B3686">
        <v>3007754</v>
      </c>
      <c r="C3686" t="s">
        <v>2198</v>
      </c>
      <c r="D3686" t="s">
        <v>441</v>
      </c>
      <c r="F3686">
        <v>0</v>
      </c>
      <c r="G3686">
        <v>9.6300000000000008</v>
      </c>
      <c r="H3686" t="s">
        <v>8634</v>
      </c>
      <c r="I3686">
        <v>5</v>
      </c>
      <c r="J3686" t="s">
        <v>445</v>
      </c>
      <c r="K3686" t="s">
        <v>446</v>
      </c>
      <c r="M3686">
        <v>0</v>
      </c>
    </row>
    <row r="3687" spans="1:14">
      <c r="A3687">
        <v>17010000</v>
      </c>
      <c r="B3687">
        <v>3044086</v>
      </c>
      <c r="C3687" t="s">
        <v>14288</v>
      </c>
      <c r="D3687" t="s">
        <v>441</v>
      </c>
      <c r="F3687">
        <v>0</v>
      </c>
      <c r="G3687">
        <v>8.2899999999999991</v>
      </c>
      <c r="H3687" t="s">
        <v>8549</v>
      </c>
      <c r="I3687">
        <v>6</v>
      </c>
      <c r="J3687" t="s">
        <v>445</v>
      </c>
      <c r="M3687">
        <v>6666</v>
      </c>
      <c r="N3687" t="s">
        <v>16126</v>
      </c>
    </row>
    <row r="3688" spans="1:14">
      <c r="A3688">
        <v>17020000</v>
      </c>
      <c r="B3688">
        <v>3042644</v>
      </c>
      <c r="C3688" t="s">
        <v>10105</v>
      </c>
      <c r="D3688" t="s">
        <v>441</v>
      </c>
      <c r="F3688">
        <v>0</v>
      </c>
      <c r="G3688">
        <v>5.15</v>
      </c>
      <c r="H3688" t="s">
        <v>8549</v>
      </c>
      <c r="I3688">
        <v>6</v>
      </c>
      <c r="J3688" t="s">
        <v>445</v>
      </c>
      <c r="M3688">
        <v>2391</v>
      </c>
      <c r="N3688" t="s">
        <v>16127</v>
      </c>
    </row>
    <row r="3689" spans="1:14">
      <c r="A3689">
        <v>17020002</v>
      </c>
      <c r="B3689">
        <v>3046082</v>
      </c>
      <c r="C3689" t="s">
        <v>17399</v>
      </c>
      <c r="D3689" t="s">
        <v>441</v>
      </c>
      <c r="F3689">
        <v>0</v>
      </c>
      <c r="G3689">
        <v>12.48</v>
      </c>
      <c r="H3689" t="s">
        <v>8588</v>
      </c>
      <c r="I3689">
        <v>540</v>
      </c>
      <c r="J3689" t="s">
        <v>445</v>
      </c>
      <c r="M3689">
        <v>7111</v>
      </c>
      <c r="N3689" t="s">
        <v>16127</v>
      </c>
    </row>
    <row r="3690" spans="1:14">
      <c r="A3690">
        <v>17020502</v>
      </c>
      <c r="B3690">
        <v>3046076</v>
      </c>
      <c r="C3690" t="s">
        <v>17400</v>
      </c>
      <c r="D3690" t="s">
        <v>441</v>
      </c>
      <c r="F3690">
        <v>0</v>
      </c>
      <c r="G3690">
        <v>11.96</v>
      </c>
      <c r="H3690" t="s">
        <v>8588</v>
      </c>
      <c r="I3690">
        <v>6</v>
      </c>
      <c r="J3690" t="s">
        <v>445</v>
      </c>
      <c r="M3690">
        <v>2502</v>
      </c>
      <c r="N3690" t="s">
        <v>16127</v>
      </c>
    </row>
    <row r="3691" spans="1:14">
      <c r="A3691">
        <v>17020602</v>
      </c>
      <c r="B3691">
        <v>3046085</v>
      </c>
      <c r="C3691" t="s">
        <v>17401</v>
      </c>
      <c r="D3691" t="s">
        <v>441</v>
      </c>
      <c r="F3691">
        <v>0</v>
      </c>
      <c r="G3691">
        <v>12.75</v>
      </c>
      <c r="H3691" t="s">
        <v>8549</v>
      </c>
      <c r="I3691">
        <v>4</v>
      </c>
      <c r="J3691" t="s">
        <v>445</v>
      </c>
      <c r="M3691">
        <v>2510</v>
      </c>
      <c r="N3691" t="s">
        <v>16127</v>
      </c>
    </row>
    <row r="3692" spans="1:14">
      <c r="A3692">
        <v>17030000</v>
      </c>
      <c r="B3692">
        <v>3024411</v>
      </c>
      <c r="C3692" t="s">
        <v>10106</v>
      </c>
      <c r="D3692" t="s">
        <v>441</v>
      </c>
      <c r="F3692">
        <v>0</v>
      </c>
      <c r="G3692">
        <v>7.82</v>
      </c>
      <c r="H3692" t="s">
        <v>8549</v>
      </c>
      <c r="I3692">
        <v>6</v>
      </c>
      <c r="J3692" t="s">
        <v>445</v>
      </c>
      <c r="M3692">
        <v>2391</v>
      </c>
      <c r="N3692" t="s">
        <v>16128</v>
      </c>
    </row>
    <row r="3693" spans="1:14">
      <c r="A3693">
        <v>17040000</v>
      </c>
      <c r="B3693">
        <v>3024412</v>
      </c>
      <c r="C3693" t="s">
        <v>10107</v>
      </c>
      <c r="D3693" t="s">
        <v>441</v>
      </c>
      <c r="F3693">
        <v>0</v>
      </c>
      <c r="G3693">
        <v>7.82</v>
      </c>
      <c r="H3693" t="s">
        <v>8549</v>
      </c>
      <c r="I3693">
        <v>6</v>
      </c>
      <c r="J3693" t="s">
        <v>445</v>
      </c>
      <c r="M3693">
        <v>2391</v>
      </c>
      <c r="N3693" t="s">
        <v>16128</v>
      </c>
    </row>
    <row r="3694" spans="1:14">
      <c r="A3694">
        <v>17050000</v>
      </c>
      <c r="B3694">
        <v>3024413</v>
      </c>
      <c r="C3694" t="s">
        <v>10108</v>
      </c>
      <c r="D3694" t="s">
        <v>441</v>
      </c>
      <c r="F3694">
        <v>0</v>
      </c>
      <c r="G3694">
        <v>7.19</v>
      </c>
      <c r="H3694" t="s">
        <v>8549</v>
      </c>
      <c r="I3694">
        <v>6</v>
      </c>
      <c r="J3694" t="s">
        <v>445</v>
      </c>
      <c r="M3694">
        <v>2391</v>
      </c>
      <c r="N3694" t="s">
        <v>16128</v>
      </c>
    </row>
    <row r="3695" spans="1:14">
      <c r="A3695">
        <v>17060000</v>
      </c>
      <c r="B3695">
        <v>3024447</v>
      </c>
      <c r="C3695" t="s">
        <v>14824</v>
      </c>
      <c r="D3695" t="s">
        <v>441</v>
      </c>
      <c r="F3695">
        <v>0</v>
      </c>
      <c r="G3695">
        <v>10.97</v>
      </c>
      <c r="H3695" t="s">
        <v>8549</v>
      </c>
      <c r="I3695">
        <v>6</v>
      </c>
      <c r="J3695" t="s">
        <v>445</v>
      </c>
      <c r="M3695">
        <v>2391</v>
      </c>
      <c r="N3695" t="s">
        <v>16129</v>
      </c>
    </row>
    <row r="3696" spans="1:14">
      <c r="A3696">
        <v>17070000</v>
      </c>
      <c r="B3696">
        <v>3024448</v>
      </c>
      <c r="C3696" t="s">
        <v>14825</v>
      </c>
      <c r="D3696" t="s">
        <v>441</v>
      </c>
      <c r="F3696">
        <v>0</v>
      </c>
      <c r="G3696">
        <v>10.99</v>
      </c>
      <c r="H3696" t="s">
        <v>8549</v>
      </c>
      <c r="I3696">
        <v>6</v>
      </c>
      <c r="J3696" t="s">
        <v>445</v>
      </c>
      <c r="M3696">
        <v>2391</v>
      </c>
      <c r="N3696" t="s">
        <v>16129</v>
      </c>
    </row>
    <row r="3697" spans="1:14">
      <c r="A3697">
        <v>17080000</v>
      </c>
      <c r="B3697">
        <v>3024460</v>
      </c>
      <c r="C3697" t="s">
        <v>14826</v>
      </c>
      <c r="D3697" t="s">
        <v>441</v>
      </c>
      <c r="F3697">
        <v>0</v>
      </c>
      <c r="G3697">
        <v>9.77</v>
      </c>
      <c r="H3697" t="s">
        <v>8549</v>
      </c>
      <c r="I3697">
        <v>6</v>
      </c>
      <c r="J3697" t="s">
        <v>445</v>
      </c>
      <c r="M3697">
        <v>2391</v>
      </c>
      <c r="N3697" t="s">
        <v>16129</v>
      </c>
    </row>
    <row r="3698" spans="1:14">
      <c r="A3698">
        <v>17100000</v>
      </c>
      <c r="B3698">
        <v>3011792</v>
      </c>
      <c r="C3698" t="s">
        <v>2199</v>
      </c>
      <c r="D3698" t="s">
        <v>441</v>
      </c>
      <c r="F3698">
        <v>0</v>
      </c>
      <c r="G3698">
        <v>15.48</v>
      </c>
      <c r="H3698" t="s">
        <v>8935</v>
      </c>
      <c r="I3698">
        <v>6</v>
      </c>
      <c r="J3698" t="s">
        <v>445</v>
      </c>
      <c r="K3698" t="s">
        <v>446</v>
      </c>
      <c r="M3698">
        <v>2313</v>
      </c>
    </row>
    <row r="3699" spans="1:14">
      <c r="A3699">
        <v>17120000</v>
      </c>
      <c r="B3699">
        <v>3007755</v>
      </c>
      <c r="C3699" t="s">
        <v>2200</v>
      </c>
      <c r="D3699" t="s">
        <v>441</v>
      </c>
      <c r="F3699">
        <v>0</v>
      </c>
      <c r="G3699">
        <v>10.7</v>
      </c>
      <c r="H3699" t="s">
        <v>8634</v>
      </c>
      <c r="I3699">
        <v>6</v>
      </c>
      <c r="J3699" t="s">
        <v>445</v>
      </c>
      <c r="M3699">
        <v>2391</v>
      </c>
      <c r="N3699" t="s">
        <v>16130</v>
      </c>
    </row>
    <row r="3700" spans="1:14">
      <c r="A3700">
        <v>17250000</v>
      </c>
      <c r="B3700">
        <v>3007756</v>
      </c>
      <c r="C3700" t="s">
        <v>10109</v>
      </c>
      <c r="D3700" t="s">
        <v>441</v>
      </c>
      <c r="F3700">
        <v>0</v>
      </c>
      <c r="G3700">
        <v>11.4</v>
      </c>
      <c r="H3700" t="s">
        <v>8634</v>
      </c>
      <c r="I3700">
        <v>5</v>
      </c>
      <c r="J3700" t="s">
        <v>445</v>
      </c>
      <c r="K3700" t="s">
        <v>446</v>
      </c>
      <c r="M3700">
        <v>0</v>
      </c>
    </row>
    <row r="3701" spans="1:14">
      <c r="A3701">
        <v>17250002</v>
      </c>
      <c r="B3701">
        <v>3007757</v>
      </c>
      <c r="C3701" t="s">
        <v>10110</v>
      </c>
      <c r="D3701" t="s">
        <v>441</v>
      </c>
      <c r="F3701">
        <v>0</v>
      </c>
      <c r="G3701">
        <v>11.84</v>
      </c>
      <c r="H3701" t="s">
        <v>8634</v>
      </c>
      <c r="I3701">
        <v>365</v>
      </c>
      <c r="J3701" t="s">
        <v>445</v>
      </c>
      <c r="K3701" t="s">
        <v>446</v>
      </c>
      <c r="M3701">
        <v>2501</v>
      </c>
    </row>
    <row r="3702" spans="1:14">
      <c r="A3702">
        <v>17250502</v>
      </c>
      <c r="B3702">
        <v>3007758</v>
      </c>
      <c r="C3702" t="s">
        <v>10111</v>
      </c>
      <c r="D3702" t="s">
        <v>441</v>
      </c>
      <c r="F3702">
        <v>0</v>
      </c>
      <c r="G3702">
        <v>11.43</v>
      </c>
      <c r="H3702" t="s">
        <v>8634</v>
      </c>
      <c r="I3702">
        <v>6</v>
      </c>
      <c r="J3702" t="s">
        <v>445</v>
      </c>
      <c r="K3702" t="s">
        <v>446</v>
      </c>
      <c r="M3702">
        <v>2641</v>
      </c>
    </row>
    <row r="3703" spans="1:14">
      <c r="A3703">
        <v>17300000</v>
      </c>
      <c r="B3703">
        <v>3007759</v>
      </c>
      <c r="C3703" t="s">
        <v>2201</v>
      </c>
      <c r="D3703" t="s">
        <v>441</v>
      </c>
      <c r="F3703">
        <v>0</v>
      </c>
      <c r="G3703">
        <v>10.7</v>
      </c>
      <c r="H3703" t="s">
        <v>8588</v>
      </c>
      <c r="I3703">
        <v>6</v>
      </c>
      <c r="J3703" t="s">
        <v>445</v>
      </c>
      <c r="M3703">
        <v>2391</v>
      </c>
      <c r="N3703" t="s">
        <v>16130</v>
      </c>
    </row>
    <row r="3704" spans="1:14">
      <c r="A3704">
        <v>17300007</v>
      </c>
      <c r="B3704">
        <v>3024938</v>
      </c>
      <c r="C3704" t="s">
        <v>2202</v>
      </c>
      <c r="D3704" t="s">
        <v>441</v>
      </c>
      <c r="F3704">
        <v>0</v>
      </c>
      <c r="G3704">
        <v>10.82</v>
      </c>
      <c r="H3704" t="s">
        <v>8588</v>
      </c>
      <c r="I3704">
        <v>6</v>
      </c>
      <c r="J3704" t="s">
        <v>445</v>
      </c>
      <c r="M3704">
        <v>3111</v>
      </c>
      <c r="N3704" t="s">
        <v>16130</v>
      </c>
    </row>
    <row r="3705" spans="1:14">
      <c r="A3705">
        <v>17300075</v>
      </c>
      <c r="B3705">
        <v>3027160</v>
      </c>
      <c r="C3705" t="s">
        <v>2203</v>
      </c>
      <c r="D3705" t="s">
        <v>441</v>
      </c>
      <c r="F3705">
        <v>0</v>
      </c>
      <c r="G3705">
        <v>10.93</v>
      </c>
      <c r="H3705" t="s">
        <v>8588</v>
      </c>
      <c r="I3705">
        <v>6</v>
      </c>
      <c r="J3705" t="s">
        <v>445</v>
      </c>
      <c r="M3705">
        <v>7112</v>
      </c>
      <c r="N3705" t="s">
        <v>16130</v>
      </c>
    </row>
    <row r="3706" spans="1:14">
      <c r="A3706">
        <v>17300900</v>
      </c>
      <c r="B3706">
        <v>3020269</v>
      </c>
      <c r="C3706" t="s">
        <v>2204</v>
      </c>
      <c r="D3706" t="s">
        <v>441</v>
      </c>
      <c r="F3706">
        <v>0</v>
      </c>
      <c r="G3706">
        <v>0</v>
      </c>
      <c r="H3706" t="s">
        <v>8584</v>
      </c>
      <c r="I3706">
        <v>6</v>
      </c>
      <c r="J3706" t="s">
        <v>445</v>
      </c>
      <c r="M3706">
        <v>6666</v>
      </c>
      <c r="N3706" t="s">
        <v>16130</v>
      </c>
    </row>
    <row r="3707" spans="1:14">
      <c r="A3707">
        <v>17300907</v>
      </c>
      <c r="B3707">
        <v>3025198</v>
      </c>
      <c r="C3707" t="s">
        <v>2205</v>
      </c>
      <c r="D3707" t="s">
        <v>441</v>
      </c>
      <c r="F3707">
        <v>0</v>
      </c>
      <c r="G3707">
        <v>0</v>
      </c>
      <c r="I3707">
        <v>6</v>
      </c>
      <c r="J3707" t="s">
        <v>445</v>
      </c>
      <c r="M3707">
        <v>6666</v>
      </c>
      <c r="N3707" t="s">
        <v>16130</v>
      </c>
    </row>
    <row r="3708" spans="1:14">
      <c r="A3708">
        <v>17301000</v>
      </c>
      <c r="B3708">
        <v>3024032</v>
      </c>
      <c r="C3708" t="s">
        <v>2206</v>
      </c>
      <c r="D3708" t="s">
        <v>441</v>
      </c>
      <c r="F3708">
        <v>0</v>
      </c>
      <c r="G3708">
        <v>10.7</v>
      </c>
      <c r="H3708" t="s">
        <v>8588</v>
      </c>
      <c r="I3708">
        <v>6</v>
      </c>
      <c r="J3708" t="s">
        <v>445</v>
      </c>
      <c r="M3708">
        <v>2391</v>
      </c>
      <c r="N3708" t="s">
        <v>16130</v>
      </c>
    </row>
    <row r="3709" spans="1:14">
      <c r="A3709">
        <v>17301007</v>
      </c>
      <c r="B3709">
        <v>3024939</v>
      </c>
      <c r="C3709" t="s">
        <v>10112</v>
      </c>
      <c r="D3709" t="s">
        <v>441</v>
      </c>
      <c r="F3709">
        <v>0</v>
      </c>
      <c r="G3709">
        <v>12.61</v>
      </c>
      <c r="H3709" t="s">
        <v>8580</v>
      </c>
      <c r="I3709">
        <v>6</v>
      </c>
      <c r="J3709" t="s">
        <v>445</v>
      </c>
      <c r="K3709" t="s">
        <v>446</v>
      </c>
      <c r="M3709">
        <v>3111</v>
      </c>
      <c r="N3709" t="s">
        <v>16130</v>
      </c>
    </row>
    <row r="3710" spans="1:14">
      <c r="A3710">
        <v>17301900</v>
      </c>
      <c r="B3710">
        <v>3024033</v>
      </c>
      <c r="C3710" t="s">
        <v>2207</v>
      </c>
      <c r="D3710" t="s">
        <v>441</v>
      </c>
      <c r="F3710">
        <v>0</v>
      </c>
      <c r="G3710">
        <v>0</v>
      </c>
      <c r="I3710">
        <v>6</v>
      </c>
      <c r="J3710" t="s">
        <v>445</v>
      </c>
      <c r="M3710">
        <v>6666</v>
      </c>
      <c r="N3710" t="s">
        <v>16130</v>
      </c>
    </row>
    <row r="3711" spans="1:14">
      <c r="A3711">
        <v>17301907</v>
      </c>
      <c r="B3711">
        <v>3025199</v>
      </c>
      <c r="C3711" t="s">
        <v>10113</v>
      </c>
      <c r="D3711" t="s">
        <v>441</v>
      </c>
      <c r="F3711">
        <v>0</v>
      </c>
      <c r="G3711">
        <v>0</v>
      </c>
      <c r="H3711" t="s">
        <v>8584</v>
      </c>
      <c r="I3711">
        <v>6</v>
      </c>
      <c r="J3711" t="s">
        <v>445</v>
      </c>
      <c r="K3711" t="s">
        <v>446</v>
      </c>
      <c r="M3711">
        <v>6666</v>
      </c>
      <c r="N3711" t="s">
        <v>16130</v>
      </c>
    </row>
    <row r="3712" spans="1:14">
      <c r="A3712">
        <v>17304000</v>
      </c>
      <c r="B3712">
        <v>3038927</v>
      </c>
      <c r="C3712" t="s">
        <v>2208</v>
      </c>
      <c r="D3712" t="s">
        <v>441</v>
      </c>
      <c r="F3712">
        <v>0</v>
      </c>
      <c r="G3712">
        <v>10.7</v>
      </c>
      <c r="H3712" t="s">
        <v>8588</v>
      </c>
      <c r="I3712">
        <v>6</v>
      </c>
      <c r="J3712" t="s">
        <v>445</v>
      </c>
      <c r="M3712">
        <v>2391</v>
      </c>
      <c r="N3712" t="s">
        <v>16130</v>
      </c>
    </row>
    <row r="3713" spans="1:14">
      <c r="A3713">
        <v>17304007</v>
      </c>
      <c r="B3713">
        <v>3038973</v>
      </c>
      <c r="C3713" t="s">
        <v>424</v>
      </c>
      <c r="D3713" t="s">
        <v>441</v>
      </c>
      <c r="F3713">
        <v>0</v>
      </c>
      <c r="G3713">
        <v>10.82</v>
      </c>
      <c r="H3713" t="s">
        <v>8588</v>
      </c>
      <c r="I3713">
        <v>6</v>
      </c>
      <c r="J3713" t="s">
        <v>445</v>
      </c>
      <c r="M3713">
        <v>3111</v>
      </c>
      <c r="N3713" t="s">
        <v>16130</v>
      </c>
    </row>
    <row r="3714" spans="1:14">
      <c r="A3714">
        <v>17304907</v>
      </c>
      <c r="B3714">
        <v>3039066</v>
      </c>
      <c r="C3714" t="s">
        <v>240</v>
      </c>
      <c r="D3714" t="s">
        <v>441</v>
      </c>
      <c r="F3714">
        <v>0</v>
      </c>
      <c r="H3714" t="s">
        <v>8580</v>
      </c>
      <c r="I3714">
        <v>6</v>
      </c>
      <c r="J3714" t="s">
        <v>445</v>
      </c>
      <c r="M3714">
        <v>6666</v>
      </c>
      <c r="N3714" t="s">
        <v>16130</v>
      </c>
    </row>
    <row r="3715" spans="1:14">
      <c r="A3715">
        <v>17310000</v>
      </c>
      <c r="B3715">
        <v>3007760</v>
      </c>
      <c r="C3715" t="s">
        <v>2209</v>
      </c>
      <c r="D3715" t="s">
        <v>441</v>
      </c>
      <c r="F3715">
        <v>0</v>
      </c>
      <c r="G3715">
        <v>12.34</v>
      </c>
      <c r="H3715" t="s">
        <v>8634</v>
      </c>
      <c r="I3715">
        <v>6</v>
      </c>
      <c r="J3715" t="s">
        <v>445</v>
      </c>
      <c r="K3715" t="s">
        <v>446</v>
      </c>
      <c r="M3715">
        <v>0</v>
      </c>
    </row>
    <row r="3716" spans="1:14">
      <c r="A3716">
        <v>17340000</v>
      </c>
      <c r="B3716">
        <v>3007761</v>
      </c>
      <c r="C3716" t="s">
        <v>2210</v>
      </c>
      <c r="D3716" t="s">
        <v>441</v>
      </c>
      <c r="F3716">
        <v>0</v>
      </c>
      <c r="G3716">
        <v>13.42</v>
      </c>
      <c r="H3716" t="s">
        <v>8634</v>
      </c>
      <c r="I3716">
        <v>6</v>
      </c>
      <c r="J3716" t="s">
        <v>445</v>
      </c>
      <c r="K3716" t="s">
        <v>446</v>
      </c>
      <c r="M3716">
        <v>0</v>
      </c>
    </row>
    <row r="3717" spans="1:14">
      <c r="A3717">
        <v>17370000</v>
      </c>
      <c r="B3717">
        <v>3004551</v>
      </c>
      <c r="C3717" t="s">
        <v>2211</v>
      </c>
      <c r="D3717" t="s">
        <v>441</v>
      </c>
      <c r="F3717">
        <v>0</v>
      </c>
      <c r="G3717">
        <v>10.83</v>
      </c>
      <c r="I3717">
        <v>6</v>
      </c>
      <c r="J3717" t="s">
        <v>445</v>
      </c>
      <c r="K3717" t="s">
        <v>446</v>
      </c>
      <c r="M3717">
        <v>0</v>
      </c>
    </row>
    <row r="3718" spans="1:14">
      <c r="A3718">
        <v>17370002</v>
      </c>
      <c r="B3718">
        <v>3007762</v>
      </c>
      <c r="C3718" t="s">
        <v>2212</v>
      </c>
      <c r="D3718" t="s">
        <v>441</v>
      </c>
      <c r="F3718">
        <v>0</v>
      </c>
      <c r="G3718">
        <v>11.38</v>
      </c>
      <c r="H3718" t="s">
        <v>8634</v>
      </c>
      <c r="I3718">
        <v>365</v>
      </c>
      <c r="J3718" t="s">
        <v>445</v>
      </c>
      <c r="K3718" t="s">
        <v>446</v>
      </c>
      <c r="M3718">
        <v>2501</v>
      </c>
    </row>
    <row r="3719" spans="1:14">
      <c r="A3719">
        <v>17370075</v>
      </c>
      <c r="B3719">
        <v>3007763</v>
      </c>
      <c r="C3719" t="s">
        <v>2213</v>
      </c>
      <c r="D3719" t="s">
        <v>441</v>
      </c>
      <c r="F3719">
        <v>0</v>
      </c>
      <c r="G3719">
        <v>10.95</v>
      </c>
      <c r="H3719" t="s">
        <v>8588</v>
      </c>
      <c r="I3719">
        <v>6</v>
      </c>
      <c r="J3719" t="s">
        <v>445</v>
      </c>
      <c r="K3719" t="s">
        <v>446</v>
      </c>
      <c r="M3719">
        <v>2641</v>
      </c>
    </row>
    <row r="3720" spans="1:14">
      <c r="A3720">
        <v>17370502</v>
      </c>
      <c r="B3720">
        <v>3007764</v>
      </c>
      <c r="C3720" t="s">
        <v>2214</v>
      </c>
      <c r="D3720" t="s">
        <v>441</v>
      </c>
      <c r="F3720">
        <v>0</v>
      </c>
      <c r="G3720">
        <v>11</v>
      </c>
      <c r="H3720" t="s">
        <v>8634</v>
      </c>
      <c r="I3720">
        <v>6</v>
      </c>
      <c r="J3720" t="s">
        <v>445</v>
      </c>
      <c r="K3720" t="s">
        <v>446</v>
      </c>
      <c r="M3720">
        <v>2641</v>
      </c>
    </row>
    <row r="3721" spans="1:14">
      <c r="A3721">
        <v>17373000</v>
      </c>
      <c r="B3721">
        <v>3009553</v>
      </c>
      <c r="C3721" t="s">
        <v>2215</v>
      </c>
      <c r="D3721" t="s">
        <v>441</v>
      </c>
      <c r="F3721">
        <v>0</v>
      </c>
      <c r="G3721">
        <v>10.84</v>
      </c>
      <c r="H3721" t="s">
        <v>8580</v>
      </c>
      <c r="I3721">
        <v>6</v>
      </c>
      <c r="J3721" t="s">
        <v>445</v>
      </c>
      <c r="K3721" t="s">
        <v>446</v>
      </c>
      <c r="M3721">
        <v>2390</v>
      </c>
    </row>
    <row r="3722" spans="1:14">
      <c r="A3722">
        <v>17380000</v>
      </c>
      <c r="B3722">
        <v>3007765</v>
      </c>
      <c r="C3722" t="s">
        <v>2216</v>
      </c>
      <c r="D3722" t="s">
        <v>441</v>
      </c>
      <c r="F3722">
        <v>0</v>
      </c>
      <c r="G3722">
        <v>10.92</v>
      </c>
      <c r="H3722" t="s">
        <v>8634</v>
      </c>
      <c r="I3722">
        <v>6</v>
      </c>
      <c r="J3722" t="s">
        <v>445</v>
      </c>
      <c r="K3722" t="s">
        <v>446</v>
      </c>
      <c r="M3722">
        <v>0</v>
      </c>
    </row>
    <row r="3723" spans="1:14">
      <c r="A3723">
        <v>17390000</v>
      </c>
      <c r="B3723">
        <v>3009390</v>
      </c>
      <c r="C3723" t="s">
        <v>2217</v>
      </c>
      <c r="D3723" t="s">
        <v>441</v>
      </c>
      <c r="F3723">
        <v>0</v>
      </c>
      <c r="G3723">
        <v>10.86</v>
      </c>
      <c r="H3723" t="s">
        <v>8580</v>
      </c>
      <c r="I3723">
        <v>6</v>
      </c>
      <c r="J3723" t="s">
        <v>445</v>
      </c>
      <c r="K3723" t="s">
        <v>446</v>
      </c>
      <c r="M3723">
        <v>2390</v>
      </c>
    </row>
    <row r="3724" spans="1:14">
      <c r="A3724">
        <v>17390075</v>
      </c>
      <c r="B3724">
        <v>3012712</v>
      </c>
      <c r="C3724" t="s">
        <v>2218</v>
      </c>
      <c r="D3724" t="s">
        <v>441</v>
      </c>
      <c r="F3724">
        <v>0</v>
      </c>
      <c r="G3724">
        <v>11.05</v>
      </c>
      <c r="H3724" t="s">
        <v>8588</v>
      </c>
      <c r="I3724">
        <v>6</v>
      </c>
      <c r="J3724" t="s">
        <v>445</v>
      </c>
      <c r="K3724" t="s">
        <v>446</v>
      </c>
      <c r="M3724">
        <v>2641</v>
      </c>
    </row>
    <row r="3725" spans="1:14">
      <c r="A3725">
        <v>17500000</v>
      </c>
      <c r="B3725">
        <v>3035180</v>
      </c>
      <c r="C3725" t="s">
        <v>2219</v>
      </c>
      <c r="D3725" t="s">
        <v>441</v>
      </c>
      <c r="F3725">
        <v>0</v>
      </c>
      <c r="G3725">
        <v>6.61</v>
      </c>
      <c r="H3725" t="s">
        <v>8549</v>
      </c>
      <c r="I3725">
        <v>6</v>
      </c>
      <c r="J3725" t="s">
        <v>445</v>
      </c>
      <c r="M3725">
        <v>2391</v>
      </c>
      <c r="N3725" t="s">
        <v>16131</v>
      </c>
    </row>
    <row r="3726" spans="1:14">
      <c r="A3726">
        <v>17500076</v>
      </c>
      <c r="B3726">
        <v>4024225</v>
      </c>
      <c r="C3726" t="s">
        <v>2220</v>
      </c>
      <c r="D3726" t="s">
        <v>441</v>
      </c>
      <c r="F3726">
        <v>0</v>
      </c>
      <c r="G3726">
        <v>6.82</v>
      </c>
      <c r="H3726" t="s">
        <v>8549</v>
      </c>
      <c r="I3726">
        <v>6</v>
      </c>
      <c r="J3726" t="s">
        <v>462</v>
      </c>
      <c r="M3726">
        <v>7112</v>
      </c>
      <c r="N3726" t="s">
        <v>16131</v>
      </c>
    </row>
    <row r="3727" spans="1:14">
      <c r="A3727">
        <v>17550000</v>
      </c>
      <c r="B3727">
        <v>3015898</v>
      </c>
      <c r="C3727" t="s">
        <v>2221</v>
      </c>
      <c r="D3727" t="s">
        <v>441</v>
      </c>
      <c r="F3727">
        <v>0</v>
      </c>
      <c r="G3727">
        <v>6.44</v>
      </c>
      <c r="H3727" t="s">
        <v>8580</v>
      </c>
      <c r="I3727">
        <v>6</v>
      </c>
      <c r="J3727" t="s">
        <v>445</v>
      </c>
      <c r="M3727">
        <v>2391</v>
      </c>
      <c r="N3727" t="s">
        <v>16132</v>
      </c>
    </row>
    <row r="3728" spans="1:14">
      <c r="A3728">
        <v>17550076</v>
      </c>
      <c r="B3728">
        <v>4008680</v>
      </c>
      <c r="C3728" t="s">
        <v>10114</v>
      </c>
      <c r="D3728" t="s">
        <v>441</v>
      </c>
      <c r="F3728">
        <v>0</v>
      </c>
      <c r="G3728">
        <v>9.3699999999999992</v>
      </c>
      <c r="H3728" t="s">
        <v>8588</v>
      </c>
      <c r="I3728">
        <v>6</v>
      </c>
      <c r="J3728" t="s">
        <v>462</v>
      </c>
      <c r="K3728" t="s">
        <v>446</v>
      </c>
      <c r="M3728">
        <v>2641</v>
      </c>
      <c r="N3728" t="s">
        <v>16132</v>
      </c>
    </row>
    <row r="3729" spans="1:14">
      <c r="A3729">
        <v>17550080</v>
      </c>
      <c r="B3729">
        <v>4009620</v>
      </c>
      <c r="C3729" t="s">
        <v>10115</v>
      </c>
      <c r="D3729" t="s">
        <v>441</v>
      </c>
      <c r="F3729">
        <v>0</v>
      </c>
      <c r="G3729">
        <v>9.44</v>
      </c>
      <c r="H3729" t="s">
        <v>8588</v>
      </c>
      <c r="I3729">
        <v>6</v>
      </c>
      <c r="J3729" t="s">
        <v>462</v>
      </c>
      <c r="K3729" t="s">
        <v>446</v>
      </c>
      <c r="M3729">
        <v>2641</v>
      </c>
      <c r="N3729" t="s">
        <v>16132</v>
      </c>
    </row>
    <row r="3730" spans="1:14">
      <c r="A3730">
        <v>17550087</v>
      </c>
      <c r="B3730">
        <v>4009901</v>
      </c>
      <c r="C3730" t="s">
        <v>10116</v>
      </c>
      <c r="D3730" t="s">
        <v>441</v>
      </c>
      <c r="F3730">
        <v>0</v>
      </c>
      <c r="G3730">
        <v>9.3000000000000007</v>
      </c>
      <c r="H3730" t="s">
        <v>8588</v>
      </c>
      <c r="I3730">
        <v>6</v>
      </c>
      <c r="J3730" t="s">
        <v>462</v>
      </c>
      <c r="K3730" t="s">
        <v>446</v>
      </c>
      <c r="M3730">
        <v>2641</v>
      </c>
      <c r="N3730" t="s">
        <v>16132</v>
      </c>
    </row>
    <row r="3731" spans="1:14">
      <c r="A3731">
        <v>17550100</v>
      </c>
      <c r="B3731">
        <v>3039662</v>
      </c>
      <c r="C3731" t="s">
        <v>2222</v>
      </c>
      <c r="D3731" t="s">
        <v>441</v>
      </c>
      <c r="F3731">
        <v>0</v>
      </c>
      <c r="G3731">
        <v>6.52</v>
      </c>
      <c r="H3731" t="s">
        <v>8549</v>
      </c>
      <c r="I3731">
        <v>6</v>
      </c>
      <c r="J3731" t="s">
        <v>445</v>
      </c>
      <c r="M3731">
        <v>7161</v>
      </c>
      <c r="N3731" t="s">
        <v>16132</v>
      </c>
    </row>
    <row r="3732" spans="1:14">
      <c r="A3732">
        <v>17551000</v>
      </c>
      <c r="B3732">
        <v>3017732</v>
      </c>
      <c r="C3732" t="s">
        <v>2223</v>
      </c>
      <c r="D3732" t="s">
        <v>441</v>
      </c>
      <c r="F3732">
        <v>0</v>
      </c>
      <c r="G3732">
        <v>6.44</v>
      </c>
      <c r="H3732" t="s">
        <v>8584</v>
      </c>
      <c r="I3732">
        <v>6</v>
      </c>
      <c r="J3732" t="s">
        <v>445</v>
      </c>
      <c r="M3732">
        <v>2391</v>
      </c>
      <c r="N3732" t="s">
        <v>16132</v>
      </c>
    </row>
    <row r="3733" spans="1:14">
      <c r="A3733">
        <v>17551076</v>
      </c>
      <c r="B3733">
        <v>4011802</v>
      </c>
      <c r="C3733" t="s">
        <v>10117</v>
      </c>
      <c r="D3733" t="s">
        <v>441</v>
      </c>
      <c r="F3733">
        <v>0</v>
      </c>
      <c r="G3733">
        <v>9.3699999999999992</v>
      </c>
      <c r="H3733" t="s">
        <v>8588</v>
      </c>
      <c r="I3733">
        <v>6</v>
      </c>
      <c r="J3733" t="s">
        <v>462</v>
      </c>
      <c r="K3733" t="s">
        <v>446</v>
      </c>
      <c r="M3733">
        <v>2641</v>
      </c>
      <c r="N3733" t="s">
        <v>16132</v>
      </c>
    </row>
    <row r="3734" spans="1:14">
      <c r="A3734">
        <v>17551080</v>
      </c>
      <c r="B3734">
        <v>4011953</v>
      </c>
      <c r="C3734" t="s">
        <v>10118</v>
      </c>
      <c r="D3734" t="s">
        <v>441</v>
      </c>
      <c r="F3734">
        <v>0</v>
      </c>
      <c r="G3734">
        <v>9.32</v>
      </c>
      <c r="H3734" t="s">
        <v>8588</v>
      </c>
      <c r="I3734">
        <v>6</v>
      </c>
      <c r="J3734" t="s">
        <v>462</v>
      </c>
      <c r="K3734" t="s">
        <v>446</v>
      </c>
      <c r="M3734">
        <v>2641</v>
      </c>
      <c r="N3734" t="s">
        <v>16132</v>
      </c>
    </row>
    <row r="3735" spans="1:14">
      <c r="A3735">
        <v>17551087</v>
      </c>
      <c r="B3735">
        <v>4011990</v>
      </c>
      <c r="C3735" t="s">
        <v>10119</v>
      </c>
      <c r="D3735" t="s">
        <v>441</v>
      </c>
      <c r="F3735">
        <v>0</v>
      </c>
      <c r="G3735">
        <v>9.3000000000000007</v>
      </c>
      <c r="H3735" t="s">
        <v>8588</v>
      </c>
      <c r="I3735">
        <v>6</v>
      </c>
      <c r="J3735" t="s">
        <v>462</v>
      </c>
      <c r="K3735" t="s">
        <v>446</v>
      </c>
      <c r="M3735">
        <v>2641</v>
      </c>
      <c r="N3735" t="s">
        <v>16132</v>
      </c>
    </row>
    <row r="3736" spans="1:14">
      <c r="A3736">
        <v>17553000</v>
      </c>
      <c r="B3736">
        <v>3009422</v>
      </c>
      <c r="C3736" t="s">
        <v>2224</v>
      </c>
      <c r="D3736" t="s">
        <v>441</v>
      </c>
      <c r="F3736">
        <v>0</v>
      </c>
      <c r="G3736">
        <v>8.02</v>
      </c>
      <c r="H3736" t="s">
        <v>10089</v>
      </c>
      <c r="I3736">
        <v>6</v>
      </c>
      <c r="J3736" t="s">
        <v>445</v>
      </c>
      <c r="K3736" t="s">
        <v>446</v>
      </c>
      <c r="M3736">
        <v>2390</v>
      </c>
    </row>
    <row r="3737" spans="1:14">
      <c r="A3737">
        <v>17580000</v>
      </c>
      <c r="B3737">
        <v>3009387</v>
      </c>
      <c r="C3737" t="s">
        <v>2225</v>
      </c>
      <c r="D3737" t="s">
        <v>441</v>
      </c>
      <c r="F3737">
        <v>0</v>
      </c>
      <c r="G3737">
        <v>7.97</v>
      </c>
      <c r="H3737" t="s">
        <v>8580</v>
      </c>
      <c r="I3737">
        <v>6</v>
      </c>
      <c r="J3737" t="s">
        <v>445</v>
      </c>
      <c r="K3737" t="s">
        <v>446</v>
      </c>
      <c r="M3737">
        <v>2311</v>
      </c>
    </row>
    <row r="3738" spans="1:14">
      <c r="A3738">
        <v>17580076</v>
      </c>
      <c r="B3738">
        <v>4008679</v>
      </c>
      <c r="C3738" t="s">
        <v>2226</v>
      </c>
      <c r="D3738" t="s">
        <v>441</v>
      </c>
      <c r="F3738">
        <v>0</v>
      </c>
      <c r="G3738">
        <v>8.0500000000000007</v>
      </c>
      <c r="H3738" t="s">
        <v>8588</v>
      </c>
      <c r="I3738">
        <v>6</v>
      </c>
      <c r="J3738" t="s">
        <v>462</v>
      </c>
      <c r="K3738" t="s">
        <v>446</v>
      </c>
      <c r="M3738">
        <v>2641</v>
      </c>
    </row>
    <row r="3739" spans="1:14">
      <c r="A3739">
        <v>17580080</v>
      </c>
      <c r="B3739">
        <v>4009614</v>
      </c>
      <c r="C3739" t="s">
        <v>2227</v>
      </c>
      <c r="D3739" t="s">
        <v>441</v>
      </c>
      <c r="F3739">
        <v>0</v>
      </c>
      <c r="G3739">
        <v>8.14</v>
      </c>
      <c r="H3739" t="s">
        <v>8588</v>
      </c>
      <c r="I3739">
        <v>6</v>
      </c>
      <c r="J3739" t="s">
        <v>462</v>
      </c>
      <c r="K3739" t="s">
        <v>446</v>
      </c>
      <c r="M3739">
        <v>2641</v>
      </c>
    </row>
    <row r="3740" spans="1:14">
      <c r="A3740">
        <v>17583000</v>
      </c>
      <c r="B3740">
        <v>3009406</v>
      </c>
      <c r="C3740" t="s">
        <v>2228</v>
      </c>
      <c r="D3740" t="s">
        <v>441</v>
      </c>
      <c r="F3740">
        <v>0</v>
      </c>
      <c r="G3740">
        <v>8.02</v>
      </c>
      <c r="H3740" t="s">
        <v>8584</v>
      </c>
      <c r="I3740">
        <v>6</v>
      </c>
      <c r="J3740" t="s">
        <v>445</v>
      </c>
      <c r="K3740" t="s">
        <v>446</v>
      </c>
      <c r="M3740">
        <v>2390</v>
      </c>
    </row>
    <row r="3741" spans="1:14">
      <c r="A3741">
        <v>17590000</v>
      </c>
      <c r="B3741">
        <v>3029055</v>
      </c>
      <c r="C3741" t="s">
        <v>2229</v>
      </c>
      <c r="D3741" t="s">
        <v>441</v>
      </c>
      <c r="F3741">
        <v>0</v>
      </c>
      <c r="G3741">
        <v>5.23</v>
      </c>
      <c r="H3741" t="s">
        <v>8549</v>
      </c>
      <c r="I3741">
        <v>6</v>
      </c>
      <c r="J3741" t="s">
        <v>445</v>
      </c>
      <c r="M3741">
        <v>2391</v>
      </c>
      <c r="N3741" t="s">
        <v>16133</v>
      </c>
    </row>
    <row r="3742" spans="1:14">
      <c r="A3742">
        <v>17590007</v>
      </c>
      <c r="B3742">
        <v>3029056</v>
      </c>
      <c r="C3742" t="s">
        <v>10120</v>
      </c>
      <c r="D3742" t="s">
        <v>441</v>
      </c>
      <c r="F3742">
        <v>0</v>
      </c>
      <c r="G3742">
        <v>7.43</v>
      </c>
      <c r="H3742" t="s">
        <v>8588</v>
      </c>
      <c r="I3742">
        <v>6</v>
      </c>
      <c r="J3742" t="s">
        <v>445</v>
      </c>
      <c r="K3742" t="s">
        <v>446</v>
      </c>
      <c r="M3742">
        <v>2641</v>
      </c>
    </row>
    <row r="3743" spans="1:14">
      <c r="A3743">
        <v>17600000</v>
      </c>
      <c r="B3743">
        <v>3015986</v>
      </c>
      <c r="C3743" t="s">
        <v>2230</v>
      </c>
      <c r="D3743" t="s">
        <v>441</v>
      </c>
      <c r="F3743">
        <v>0</v>
      </c>
      <c r="G3743">
        <v>3.33</v>
      </c>
      <c r="H3743" t="s">
        <v>8584</v>
      </c>
      <c r="I3743">
        <v>6</v>
      </c>
      <c r="J3743" t="s">
        <v>445</v>
      </c>
      <c r="M3743">
        <v>2391</v>
      </c>
      <c r="N3743" t="s">
        <v>16134</v>
      </c>
    </row>
    <row r="3744" spans="1:14">
      <c r="A3744">
        <v>17600007</v>
      </c>
      <c r="B3744">
        <v>3024940</v>
      </c>
      <c r="C3744" t="s">
        <v>2231</v>
      </c>
      <c r="D3744" t="s">
        <v>441</v>
      </c>
      <c r="F3744">
        <v>0</v>
      </c>
      <c r="G3744">
        <v>3.41</v>
      </c>
      <c r="H3744" t="s">
        <v>8580</v>
      </c>
      <c r="I3744">
        <v>6</v>
      </c>
      <c r="J3744" t="s">
        <v>445</v>
      </c>
      <c r="M3744">
        <v>2391</v>
      </c>
      <c r="N3744" t="s">
        <v>16134</v>
      </c>
    </row>
    <row r="3745" spans="1:14">
      <c r="A3745">
        <v>17600020</v>
      </c>
      <c r="B3745">
        <v>4003869</v>
      </c>
      <c r="C3745" t="s">
        <v>14289</v>
      </c>
      <c r="D3745" t="s">
        <v>441</v>
      </c>
      <c r="F3745">
        <v>0</v>
      </c>
      <c r="G3745">
        <v>6.25</v>
      </c>
      <c r="H3745" t="s">
        <v>8588</v>
      </c>
      <c r="I3745">
        <v>6</v>
      </c>
      <c r="J3745" t="s">
        <v>462</v>
      </c>
      <c r="M3745">
        <v>7112</v>
      </c>
      <c r="N3745" t="s">
        <v>16134</v>
      </c>
    </row>
    <row r="3746" spans="1:14">
      <c r="A3746">
        <v>17600021</v>
      </c>
      <c r="B3746">
        <v>4008741</v>
      </c>
      <c r="C3746" t="s">
        <v>10121</v>
      </c>
      <c r="D3746" t="s">
        <v>441</v>
      </c>
      <c r="F3746">
        <v>0</v>
      </c>
      <c r="G3746">
        <v>5.28</v>
      </c>
      <c r="H3746" t="s">
        <v>8588</v>
      </c>
      <c r="I3746">
        <v>6</v>
      </c>
      <c r="J3746" t="s">
        <v>462</v>
      </c>
      <c r="K3746" t="s">
        <v>446</v>
      </c>
      <c r="M3746">
        <v>2641</v>
      </c>
    </row>
    <row r="3747" spans="1:14">
      <c r="A3747">
        <v>17600030</v>
      </c>
      <c r="B3747">
        <v>4013487</v>
      </c>
      <c r="C3747" t="s">
        <v>15481</v>
      </c>
      <c r="D3747" t="s">
        <v>441</v>
      </c>
      <c r="F3747">
        <v>0</v>
      </c>
      <c r="G3747">
        <v>8.23</v>
      </c>
      <c r="H3747" t="s">
        <v>8588</v>
      </c>
      <c r="I3747">
        <v>7</v>
      </c>
      <c r="J3747" t="s">
        <v>462</v>
      </c>
      <c r="L3747">
        <v>100069</v>
      </c>
      <c r="M3747">
        <v>7112</v>
      </c>
      <c r="N3747" t="s">
        <v>16134</v>
      </c>
    </row>
    <row r="3748" spans="1:14">
      <c r="A3748">
        <v>17600031</v>
      </c>
      <c r="B3748">
        <v>4022249</v>
      </c>
      <c r="C3748" t="s">
        <v>10122</v>
      </c>
      <c r="D3748" t="s">
        <v>441</v>
      </c>
      <c r="F3748">
        <v>0</v>
      </c>
      <c r="G3748">
        <v>6.59</v>
      </c>
      <c r="H3748" t="s">
        <v>8588</v>
      </c>
      <c r="I3748">
        <v>12</v>
      </c>
      <c r="J3748" t="s">
        <v>462</v>
      </c>
      <c r="M3748">
        <v>7112</v>
      </c>
      <c r="N3748" t="s">
        <v>16134</v>
      </c>
    </row>
    <row r="3749" spans="1:14">
      <c r="A3749">
        <v>17600032</v>
      </c>
      <c r="B3749">
        <v>4025040</v>
      </c>
      <c r="C3749" t="s">
        <v>2232</v>
      </c>
      <c r="D3749" t="s">
        <v>441</v>
      </c>
      <c r="F3749">
        <v>0</v>
      </c>
      <c r="G3749">
        <v>4.0199999999999996</v>
      </c>
      <c r="H3749" t="s">
        <v>8588</v>
      </c>
      <c r="I3749">
        <v>10</v>
      </c>
      <c r="J3749" t="s">
        <v>462</v>
      </c>
      <c r="M3749">
        <v>7112</v>
      </c>
      <c r="N3749" t="s">
        <v>16134</v>
      </c>
    </row>
    <row r="3750" spans="1:14">
      <c r="A3750">
        <v>17600033</v>
      </c>
      <c r="B3750">
        <v>4025320</v>
      </c>
      <c r="C3750" t="s">
        <v>2233</v>
      </c>
      <c r="D3750" t="s">
        <v>441</v>
      </c>
      <c r="F3750">
        <v>0</v>
      </c>
      <c r="G3750">
        <v>3.95</v>
      </c>
      <c r="H3750" t="s">
        <v>8588</v>
      </c>
      <c r="I3750">
        <v>10</v>
      </c>
      <c r="J3750" t="s">
        <v>462</v>
      </c>
      <c r="M3750">
        <v>7112</v>
      </c>
      <c r="N3750" t="s">
        <v>16134</v>
      </c>
    </row>
    <row r="3751" spans="1:14">
      <c r="A3751">
        <v>17600036</v>
      </c>
      <c r="B3751">
        <v>4015470</v>
      </c>
      <c r="C3751" t="s">
        <v>2234</v>
      </c>
      <c r="D3751" t="s">
        <v>441</v>
      </c>
      <c r="F3751">
        <v>0</v>
      </c>
      <c r="G3751">
        <v>3.87</v>
      </c>
      <c r="H3751" t="s">
        <v>8588</v>
      </c>
      <c r="I3751">
        <v>12</v>
      </c>
      <c r="J3751" t="s">
        <v>462</v>
      </c>
      <c r="M3751">
        <v>7112</v>
      </c>
      <c r="N3751" t="s">
        <v>16134</v>
      </c>
    </row>
    <row r="3752" spans="1:14">
      <c r="A3752">
        <v>17600037</v>
      </c>
      <c r="B3752">
        <v>4015476</v>
      </c>
      <c r="C3752" t="s">
        <v>10123</v>
      </c>
      <c r="D3752" t="s">
        <v>441</v>
      </c>
      <c r="F3752">
        <v>0</v>
      </c>
      <c r="G3752">
        <v>5.95</v>
      </c>
      <c r="H3752" t="s">
        <v>8588</v>
      </c>
      <c r="I3752">
        <v>12</v>
      </c>
      <c r="J3752" t="s">
        <v>462</v>
      </c>
      <c r="K3752" t="s">
        <v>446</v>
      </c>
      <c r="M3752">
        <v>2611</v>
      </c>
    </row>
    <row r="3753" spans="1:14">
      <c r="A3753">
        <v>17600038</v>
      </c>
      <c r="B3753">
        <v>4015921</v>
      </c>
      <c r="C3753" t="s">
        <v>2235</v>
      </c>
      <c r="D3753" t="s">
        <v>441</v>
      </c>
      <c r="F3753">
        <v>0</v>
      </c>
      <c r="G3753">
        <v>5.41</v>
      </c>
      <c r="H3753" t="s">
        <v>8588</v>
      </c>
      <c r="I3753">
        <v>12</v>
      </c>
      <c r="J3753" t="s">
        <v>462</v>
      </c>
      <c r="K3753" t="s">
        <v>446</v>
      </c>
      <c r="M3753">
        <v>2611</v>
      </c>
    </row>
    <row r="3754" spans="1:14">
      <c r="A3754">
        <v>17600039</v>
      </c>
      <c r="B3754">
        <v>4030113</v>
      </c>
      <c r="C3754" t="s">
        <v>16135</v>
      </c>
      <c r="D3754" t="s">
        <v>441</v>
      </c>
      <c r="F3754">
        <v>0</v>
      </c>
      <c r="G3754">
        <v>8.07</v>
      </c>
      <c r="H3754" t="s">
        <v>8588</v>
      </c>
      <c r="I3754">
        <v>12</v>
      </c>
      <c r="J3754" t="s">
        <v>462</v>
      </c>
      <c r="M3754">
        <v>7112</v>
      </c>
      <c r="N3754" t="s">
        <v>16134</v>
      </c>
    </row>
    <row r="3755" spans="1:14">
      <c r="A3755">
        <v>17600041</v>
      </c>
      <c r="B3755">
        <v>4008742</v>
      </c>
      <c r="C3755" t="s">
        <v>10124</v>
      </c>
      <c r="D3755" t="s">
        <v>441</v>
      </c>
      <c r="F3755">
        <v>0</v>
      </c>
      <c r="G3755">
        <v>5.13</v>
      </c>
      <c r="H3755" t="s">
        <v>8588</v>
      </c>
      <c r="I3755">
        <v>6</v>
      </c>
      <c r="J3755" t="s">
        <v>462</v>
      </c>
      <c r="K3755" t="s">
        <v>446</v>
      </c>
      <c r="M3755">
        <v>2612</v>
      </c>
    </row>
    <row r="3756" spans="1:14">
      <c r="A3756">
        <v>17600042</v>
      </c>
      <c r="B3756">
        <v>4012627</v>
      </c>
      <c r="C3756" t="s">
        <v>10125</v>
      </c>
      <c r="D3756" t="s">
        <v>441</v>
      </c>
      <c r="F3756">
        <v>0</v>
      </c>
      <c r="G3756">
        <v>4.7300000000000004</v>
      </c>
      <c r="H3756" t="s">
        <v>8588</v>
      </c>
      <c r="I3756">
        <v>12</v>
      </c>
      <c r="J3756" t="s">
        <v>462</v>
      </c>
      <c r="K3756" t="s">
        <v>446</v>
      </c>
      <c r="M3756">
        <v>2612</v>
      </c>
    </row>
    <row r="3757" spans="1:14">
      <c r="A3757">
        <v>17600043</v>
      </c>
      <c r="B3757">
        <v>4012925</v>
      </c>
      <c r="C3757" t="s">
        <v>10126</v>
      </c>
      <c r="D3757" t="s">
        <v>441</v>
      </c>
      <c r="F3757">
        <v>0</v>
      </c>
      <c r="G3757">
        <v>5.36</v>
      </c>
      <c r="H3757" t="s">
        <v>8588</v>
      </c>
      <c r="I3757">
        <v>10</v>
      </c>
      <c r="J3757" t="s">
        <v>462</v>
      </c>
      <c r="K3757" t="s">
        <v>446</v>
      </c>
      <c r="M3757">
        <v>2612</v>
      </c>
    </row>
    <row r="3758" spans="1:14">
      <c r="A3758">
        <v>17600044</v>
      </c>
      <c r="B3758">
        <v>4012969</v>
      </c>
      <c r="C3758" t="s">
        <v>10127</v>
      </c>
      <c r="D3758" t="s">
        <v>441</v>
      </c>
      <c r="F3758">
        <v>0</v>
      </c>
      <c r="G3758">
        <v>5.01</v>
      </c>
      <c r="H3758" t="s">
        <v>8588</v>
      </c>
      <c r="I3758">
        <v>10</v>
      </c>
      <c r="J3758" t="s">
        <v>462</v>
      </c>
      <c r="K3758" t="s">
        <v>446</v>
      </c>
      <c r="M3758">
        <v>2612</v>
      </c>
    </row>
    <row r="3759" spans="1:14">
      <c r="A3759">
        <v>17600045</v>
      </c>
      <c r="B3759">
        <v>4018251</v>
      </c>
      <c r="C3759" t="s">
        <v>15482</v>
      </c>
      <c r="D3759" t="s">
        <v>441</v>
      </c>
      <c r="F3759">
        <v>0</v>
      </c>
      <c r="G3759">
        <v>8.23</v>
      </c>
      <c r="H3759" t="s">
        <v>8588</v>
      </c>
      <c r="I3759">
        <v>10</v>
      </c>
      <c r="J3759" t="s">
        <v>462</v>
      </c>
      <c r="M3759">
        <v>7112</v>
      </c>
      <c r="N3759" t="s">
        <v>16134</v>
      </c>
    </row>
    <row r="3760" spans="1:14">
      <c r="A3760">
        <v>17600046</v>
      </c>
      <c r="B3760">
        <v>4021303</v>
      </c>
      <c r="C3760" t="s">
        <v>10128</v>
      </c>
      <c r="D3760" t="s">
        <v>441</v>
      </c>
      <c r="F3760">
        <v>0</v>
      </c>
      <c r="G3760">
        <v>4.37</v>
      </c>
      <c r="H3760" t="s">
        <v>8588</v>
      </c>
      <c r="I3760">
        <v>12</v>
      </c>
      <c r="J3760" t="s">
        <v>462</v>
      </c>
      <c r="K3760" t="s">
        <v>446</v>
      </c>
      <c r="M3760">
        <v>2612</v>
      </c>
    </row>
    <row r="3761" spans="1:14">
      <c r="A3761">
        <v>17600050</v>
      </c>
      <c r="B3761">
        <v>4011089</v>
      </c>
      <c r="C3761" t="s">
        <v>15580</v>
      </c>
      <c r="D3761" t="s">
        <v>441</v>
      </c>
      <c r="F3761">
        <v>0</v>
      </c>
      <c r="G3761">
        <v>8.18</v>
      </c>
      <c r="H3761" t="s">
        <v>8588</v>
      </c>
      <c r="I3761">
        <v>10</v>
      </c>
      <c r="J3761" t="s">
        <v>462</v>
      </c>
      <c r="M3761">
        <v>7112</v>
      </c>
      <c r="N3761" t="s">
        <v>16134</v>
      </c>
    </row>
    <row r="3762" spans="1:14">
      <c r="A3762">
        <v>17600052</v>
      </c>
      <c r="B3762">
        <v>4014882</v>
      </c>
      <c r="C3762" t="s">
        <v>10129</v>
      </c>
      <c r="D3762" t="s">
        <v>441</v>
      </c>
      <c r="F3762">
        <v>0</v>
      </c>
      <c r="G3762">
        <v>5.47</v>
      </c>
      <c r="H3762" t="s">
        <v>8588</v>
      </c>
      <c r="I3762">
        <v>10</v>
      </c>
      <c r="J3762" t="s">
        <v>462</v>
      </c>
      <c r="K3762" t="s">
        <v>446</v>
      </c>
      <c r="M3762">
        <v>2612</v>
      </c>
    </row>
    <row r="3763" spans="1:14">
      <c r="A3763">
        <v>17600053</v>
      </c>
      <c r="B3763">
        <v>4015439</v>
      </c>
      <c r="C3763" t="s">
        <v>15483</v>
      </c>
      <c r="D3763" t="s">
        <v>441</v>
      </c>
      <c r="F3763">
        <v>0</v>
      </c>
      <c r="G3763">
        <v>8.25</v>
      </c>
      <c r="H3763" t="s">
        <v>8588</v>
      </c>
      <c r="I3763">
        <v>10</v>
      </c>
      <c r="J3763" t="s">
        <v>462</v>
      </c>
      <c r="M3763">
        <v>7112</v>
      </c>
      <c r="N3763" t="s">
        <v>16134</v>
      </c>
    </row>
    <row r="3764" spans="1:14">
      <c r="A3764">
        <v>17600054</v>
      </c>
      <c r="B3764">
        <v>4019643</v>
      </c>
      <c r="C3764" t="s">
        <v>2236</v>
      </c>
      <c r="D3764" t="s">
        <v>441</v>
      </c>
      <c r="F3764">
        <v>0</v>
      </c>
      <c r="G3764">
        <v>3.92</v>
      </c>
      <c r="H3764" t="s">
        <v>8588</v>
      </c>
      <c r="I3764">
        <v>12</v>
      </c>
      <c r="J3764" t="s">
        <v>462</v>
      </c>
      <c r="M3764">
        <v>7112</v>
      </c>
      <c r="N3764" t="s">
        <v>16134</v>
      </c>
    </row>
    <row r="3765" spans="1:14">
      <c r="A3765">
        <v>17600074</v>
      </c>
      <c r="B3765">
        <v>4025579</v>
      </c>
      <c r="C3765" t="s">
        <v>2237</v>
      </c>
      <c r="D3765" t="s">
        <v>441</v>
      </c>
      <c r="F3765">
        <v>0</v>
      </c>
      <c r="G3765">
        <v>3.5</v>
      </c>
      <c r="H3765" t="s">
        <v>8588</v>
      </c>
      <c r="I3765">
        <v>6</v>
      </c>
      <c r="J3765" t="s">
        <v>462</v>
      </c>
      <c r="L3765">
        <v>2052272</v>
      </c>
      <c r="M3765">
        <v>7112</v>
      </c>
      <c r="N3765" t="s">
        <v>16134</v>
      </c>
    </row>
    <row r="3766" spans="1:14">
      <c r="A3766">
        <v>17600075</v>
      </c>
      <c r="B3766">
        <v>4013616</v>
      </c>
      <c r="C3766" t="s">
        <v>2238</v>
      </c>
      <c r="D3766" t="s">
        <v>441</v>
      </c>
      <c r="F3766">
        <v>0</v>
      </c>
      <c r="G3766">
        <v>4.87</v>
      </c>
      <c r="H3766" t="s">
        <v>8588</v>
      </c>
      <c r="I3766">
        <v>6</v>
      </c>
      <c r="J3766" t="s">
        <v>462</v>
      </c>
      <c r="K3766" t="s">
        <v>446</v>
      </c>
      <c r="L3766">
        <v>11236</v>
      </c>
      <c r="M3766">
        <v>2612</v>
      </c>
    </row>
    <row r="3767" spans="1:14">
      <c r="A3767">
        <v>17600076</v>
      </c>
      <c r="B3767">
        <v>3026345</v>
      </c>
      <c r="C3767" t="s">
        <v>2239</v>
      </c>
      <c r="D3767" t="s">
        <v>441</v>
      </c>
      <c r="F3767">
        <v>0</v>
      </c>
      <c r="G3767">
        <v>3.53</v>
      </c>
      <c r="H3767" t="s">
        <v>8588</v>
      </c>
      <c r="I3767">
        <v>6</v>
      </c>
      <c r="J3767" t="s">
        <v>445</v>
      </c>
      <c r="M3767">
        <v>7112</v>
      </c>
      <c r="N3767" t="s">
        <v>16134</v>
      </c>
    </row>
    <row r="3768" spans="1:14">
      <c r="A3768">
        <v>17600101</v>
      </c>
      <c r="B3768">
        <v>3031447</v>
      </c>
      <c r="C3768" t="s">
        <v>2240</v>
      </c>
      <c r="D3768" t="s">
        <v>441</v>
      </c>
      <c r="F3768">
        <v>0</v>
      </c>
      <c r="H3768" t="s">
        <v>8588</v>
      </c>
      <c r="I3768">
        <v>729</v>
      </c>
      <c r="J3768" t="s">
        <v>445</v>
      </c>
      <c r="M3768">
        <v>7161</v>
      </c>
      <c r="N3768" t="s">
        <v>16134</v>
      </c>
    </row>
    <row r="3769" spans="1:14">
      <c r="A3769">
        <v>17600102</v>
      </c>
      <c r="B3769">
        <v>3027606</v>
      </c>
      <c r="C3769" t="s">
        <v>2241</v>
      </c>
      <c r="D3769" t="s">
        <v>441</v>
      </c>
      <c r="F3769">
        <v>0</v>
      </c>
      <c r="G3769">
        <v>9.4</v>
      </c>
      <c r="H3769" t="s">
        <v>8588</v>
      </c>
      <c r="I3769">
        <v>365</v>
      </c>
      <c r="J3769" t="s">
        <v>445</v>
      </c>
      <c r="M3769">
        <v>0</v>
      </c>
    </row>
    <row r="3770" spans="1:14">
      <c r="A3770">
        <v>17600601</v>
      </c>
      <c r="B3770">
        <v>3031507</v>
      </c>
      <c r="C3770" t="s">
        <v>17402</v>
      </c>
      <c r="D3770" t="s">
        <v>441</v>
      </c>
      <c r="F3770">
        <v>0</v>
      </c>
      <c r="G3770">
        <v>4.74</v>
      </c>
      <c r="H3770" t="s">
        <v>8549</v>
      </c>
      <c r="I3770">
        <v>4</v>
      </c>
      <c r="J3770" t="s">
        <v>445</v>
      </c>
      <c r="M3770">
        <v>2510</v>
      </c>
      <c r="N3770" t="s">
        <v>16134</v>
      </c>
    </row>
    <row r="3771" spans="1:14">
      <c r="A3771">
        <v>17601000</v>
      </c>
      <c r="B3771">
        <v>3017804</v>
      </c>
      <c r="C3771" t="s">
        <v>2242</v>
      </c>
      <c r="D3771" t="s">
        <v>441</v>
      </c>
      <c r="F3771">
        <v>0</v>
      </c>
      <c r="G3771">
        <v>3.33</v>
      </c>
      <c r="I3771">
        <v>6</v>
      </c>
      <c r="J3771" t="s">
        <v>445</v>
      </c>
      <c r="M3771">
        <v>2391</v>
      </c>
      <c r="N3771" t="s">
        <v>16134</v>
      </c>
    </row>
    <row r="3772" spans="1:14">
      <c r="A3772">
        <v>17601007</v>
      </c>
      <c r="B3772">
        <v>3024941</v>
      </c>
      <c r="C3772" t="s">
        <v>10130</v>
      </c>
      <c r="D3772" t="s">
        <v>441</v>
      </c>
      <c r="F3772">
        <v>0</v>
      </c>
      <c r="G3772">
        <v>4.7699999999999996</v>
      </c>
      <c r="H3772" t="s">
        <v>8580</v>
      </c>
      <c r="I3772">
        <v>6</v>
      </c>
      <c r="J3772" t="s">
        <v>445</v>
      </c>
      <c r="K3772" t="s">
        <v>446</v>
      </c>
      <c r="M3772">
        <v>3111</v>
      </c>
    </row>
    <row r="3773" spans="1:14">
      <c r="A3773">
        <v>17601020</v>
      </c>
      <c r="B3773">
        <v>4011613</v>
      </c>
      <c r="C3773" t="s">
        <v>10131</v>
      </c>
      <c r="D3773" t="s">
        <v>441</v>
      </c>
      <c r="F3773">
        <v>0</v>
      </c>
      <c r="G3773">
        <v>4.93</v>
      </c>
      <c r="H3773" t="s">
        <v>8588</v>
      </c>
      <c r="I3773">
        <v>6</v>
      </c>
      <c r="J3773" t="s">
        <v>462</v>
      </c>
      <c r="K3773" t="s">
        <v>446</v>
      </c>
      <c r="M3773">
        <v>2641</v>
      </c>
    </row>
    <row r="3774" spans="1:14">
      <c r="A3774">
        <v>17601021</v>
      </c>
      <c r="B3774">
        <v>4011813</v>
      </c>
      <c r="C3774" t="s">
        <v>10132</v>
      </c>
      <c r="D3774" t="s">
        <v>441</v>
      </c>
      <c r="F3774">
        <v>0</v>
      </c>
      <c r="G3774">
        <v>5.28</v>
      </c>
      <c r="H3774" t="s">
        <v>8588</v>
      </c>
      <c r="I3774">
        <v>6</v>
      </c>
      <c r="J3774" t="s">
        <v>462</v>
      </c>
      <c r="K3774" t="s">
        <v>446</v>
      </c>
      <c r="M3774">
        <v>2641</v>
      </c>
    </row>
    <row r="3775" spans="1:14">
      <c r="A3775">
        <v>17601030</v>
      </c>
      <c r="B3775">
        <v>4013492</v>
      </c>
      <c r="C3775" t="s">
        <v>10133</v>
      </c>
      <c r="D3775" t="s">
        <v>441</v>
      </c>
      <c r="F3775">
        <v>0</v>
      </c>
      <c r="G3775">
        <v>5.27</v>
      </c>
      <c r="H3775" t="s">
        <v>8588</v>
      </c>
      <c r="I3775">
        <v>7</v>
      </c>
      <c r="J3775" t="s">
        <v>462</v>
      </c>
      <c r="K3775" t="s">
        <v>446</v>
      </c>
      <c r="M3775">
        <v>2612</v>
      </c>
    </row>
    <row r="3776" spans="1:14">
      <c r="A3776">
        <v>17601041</v>
      </c>
      <c r="B3776">
        <v>4011814</v>
      </c>
      <c r="C3776" t="s">
        <v>10134</v>
      </c>
      <c r="D3776" t="s">
        <v>441</v>
      </c>
      <c r="F3776">
        <v>0</v>
      </c>
      <c r="G3776">
        <v>5.13</v>
      </c>
      <c r="H3776" t="s">
        <v>8588</v>
      </c>
      <c r="I3776">
        <v>6</v>
      </c>
      <c r="J3776" t="s">
        <v>462</v>
      </c>
      <c r="K3776" t="s">
        <v>446</v>
      </c>
      <c r="M3776">
        <v>2612</v>
      </c>
    </row>
    <row r="3777" spans="1:14">
      <c r="A3777">
        <v>17601042</v>
      </c>
      <c r="B3777">
        <v>4012624</v>
      </c>
      <c r="C3777" t="s">
        <v>10135</v>
      </c>
      <c r="D3777" t="s">
        <v>441</v>
      </c>
      <c r="F3777">
        <v>0</v>
      </c>
      <c r="G3777">
        <v>4.7300000000000004</v>
      </c>
      <c r="H3777" t="s">
        <v>8588</v>
      </c>
      <c r="I3777">
        <v>10</v>
      </c>
      <c r="J3777" t="s">
        <v>462</v>
      </c>
      <c r="K3777" t="s">
        <v>446</v>
      </c>
      <c r="M3777">
        <v>2612</v>
      </c>
    </row>
    <row r="3778" spans="1:14">
      <c r="A3778">
        <v>17601043</v>
      </c>
      <c r="B3778">
        <v>4012926</v>
      </c>
      <c r="C3778" t="s">
        <v>10136</v>
      </c>
      <c r="D3778" t="s">
        <v>441</v>
      </c>
      <c r="F3778">
        <v>0</v>
      </c>
      <c r="G3778">
        <v>5.36</v>
      </c>
      <c r="H3778" t="s">
        <v>8588</v>
      </c>
      <c r="I3778">
        <v>10</v>
      </c>
      <c r="J3778" t="s">
        <v>462</v>
      </c>
      <c r="K3778" t="s">
        <v>446</v>
      </c>
      <c r="M3778">
        <v>2612</v>
      </c>
    </row>
    <row r="3779" spans="1:14">
      <c r="A3779">
        <v>17601044</v>
      </c>
      <c r="B3779">
        <v>4012968</v>
      </c>
      <c r="C3779" t="s">
        <v>10137</v>
      </c>
      <c r="D3779" t="s">
        <v>441</v>
      </c>
      <c r="F3779">
        <v>0</v>
      </c>
      <c r="G3779">
        <v>5.01</v>
      </c>
      <c r="H3779" t="s">
        <v>8588</v>
      </c>
      <c r="I3779">
        <v>10</v>
      </c>
      <c r="J3779" t="s">
        <v>462</v>
      </c>
      <c r="K3779" t="s">
        <v>446</v>
      </c>
      <c r="M3779">
        <v>2612</v>
      </c>
    </row>
    <row r="3780" spans="1:14">
      <c r="A3780">
        <v>17601050</v>
      </c>
      <c r="B3780">
        <v>4012147</v>
      </c>
      <c r="C3780" t="s">
        <v>10138</v>
      </c>
      <c r="D3780" t="s">
        <v>441</v>
      </c>
      <c r="F3780">
        <v>0</v>
      </c>
      <c r="G3780">
        <v>4.51</v>
      </c>
      <c r="H3780" t="s">
        <v>8588</v>
      </c>
      <c r="I3780">
        <v>10</v>
      </c>
      <c r="J3780" t="s">
        <v>462</v>
      </c>
      <c r="K3780" t="s">
        <v>446</v>
      </c>
      <c r="M3780">
        <v>2612</v>
      </c>
    </row>
    <row r="3781" spans="1:14">
      <c r="A3781">
        <v>17601052</v>
      </c>
      <c r="B3781">
        <v>4014883</v>
      </c>
      <c r="C3781" t="s">
        <v>10139</v>
      </c>
      <c r="D3781" t="s">
        <v>441</v>
      </c>
      <c r="F3781">
        <v>0</v>
      </c>
      <c r="G3781">
        <v>5.47</v>
      </c>
      <c r="H3781" t="s">
        <v>8588</v>
      </c>
      <c r="I3781">
        <v>10</v>
      </c>
      <c r="J3781" t="s">
        <v>462</v>
      </c>
      <c r="K3781" t="s">
        <v>446</v>
      </c>
      <c r="M3781">
        <v>2612</v>
      </c>
    </row>
    <row r="3782" spans="1:14">
      <c r="A3782">
        <v>17603000</v>
      </c>
      <c r="B3782">
        <v>3005115</v>
      </c>
      <c r="C3782" t="s">
        <v>2243</v>
      </c>
      <c r="D3782" t="s">
        <v>441</v>
      </c>
      <c r="F3782">
        <v>0</v>
      </c>
      <c r="G3782">
        <v>4.59</v>
      </c>
      <c r="I3782">
        <v>6</v>
      </c>
      <c r="J3782" t="s">
        <v>445</v>
      </c>
      <c r="K3782" t="s">
        <v>446</v>
      </c>
      <c r="M3782">
        <v>2390</v>
      </c>
    </row>
    <row r="3783" spans="1:14">
      <c r="A3783">
        <v>17604000</v>
      </c>
      <c r="B3783">
        <v>3035904</v>
      </c>
      <c r="C3783" t="s">
        <v>2244</v>
      </c>
      <c r="D3783" t="s">
        <v>441</v>
      </c>
      <c r="F3783">
        <v>0</v>
      </c>
      <c r="G3783">
        <v>3.33</v>
      </c>
      <c r="H3783" t="s">
        <v>8588</v>
      </c>
      <c r="I3783">
        <v>6</v>
      </c>
      <c r="J3783" t="s">
        <v>445</v>
      </c>
      <c r="M3783">
        <v>2391</v>
      </c>
      <c r="N3783" t="s">
        <v>16134</v>
      </c>
    </row>
    <row r="3784" spans="1:14">
      <c r="A3784">
        <v>17610000</v>
      </c>
      <c r="B3784">
        <v>3020116</v>
      </c>
      <c r="C3784" t="s">
        <v>2245</v>
      </c>
      <c r="D3784" t="s">
        <v>441</v>
      </c>
      <c r="F3784">
        <v>0</v>
      </c>
      <c r="G3784">
        <v>6.63</v>
      </c>
      <c r="H3784" t="s">
        <v>8588</v>
      </c>
      <c r="I3784">
        <v>6</v>
      </c>
      <c r="J3784" t="s">
        <v>445</v>
      </c>
      <c r="M3784">
        <v>2391</v>
      </c>
      <c r="N3784" t="s">
        <v>16136</v>
      </c>
    </row>
    <row r="3785" spans="1:14">
      <c r="A3785">
        <v>17610007</v>
      </c>
      <c r="B3785">
        <v>3024942</v>
      </c>
      <c r="C3785" t="s">
        <v>2246</v>
      </c>
      <c r="D3785" t="s">
        <v>441</v>
      </c>
      <c r="F3785">
        <v>0</v>
      </c>
      <c r="G3785">
        <v>9.14</v>
      </c>
      <c r="H3785" t="s">
        <v>8580</v>
      </c>
      <c r="I3785">
        <v>6</v>
      </c>
      <c r="J3785" t="s">
        <v>445</v>
      </c>
      <c r="K3785" t="s">
        <v>446</v>
      </c>
      <c r="M3785">
        <v>3111</v>
      </c>
    </row>
    <row r="3786" spans="1:14">
      <c r="A3786">
        <v>17610076</v>
      </c>
      <c r="B3786">
        <v>3024132</v>
      </c>
      <c r="C3786" t="s">
        <v>2247</v>
      </c>
      <c r="D3786" t="s">
        <v>441</v>
      </c>
      <c r="F3786">
        <v>0</v>
      </c>
      <c r="G3786">
        <v>6.84</v>
      </c>
      <c r="H3786" t="s">
        <v>8588</v>
      </c>
      <c r="I3786">
        <v>6</v>
      </c>
      <c r="J3786" t="s">
        <v>445</v>
      </c>
      <c r="M3786">
        <v>7112</v>
      </c>
      <c r="N3786" t="s">
        <v>16136</v>
      </c>
    </row>
    <row r="3787" spans="1:14">
      <c r="A3787">
        <v>17610900</v>
      </c>
      <c r="B3787">
        <v>3020912</v>
      </c>
      <c r="C3787" t="s">
        <v>2248</v>
      </c>
      <c r="D3787" t="s">
        <v>441</v>
      </c>
      <c r="F3787">
        <v>0</v>
      </c>
      <c r="G3787">
        <v>0</v>
      </c>
      <c r="H3787" t="s">
        <v>8580</v>
      </c>
      <c r="I3787">
        <v>6</v>
      </c>
      <c r="J3787" t="s">
        <v>445</v>
      </c>
      <c r="M3787">
        <v>6666</v>
      </c>
      <c r="N3787" t="s">
        <v>16136</v>
      </c>
    </row>
    <row r="3788" spans="1:14">
      <c r="A3788">
        <v>17610907</v>
      </c>
      <c r="B3788">
        <v>3025202</v>
      </c>
      <c r="C3788" t="s">
        <v>2249</v>
      </c>
      <c r="D3788" t="s">
        <v>441</v>
      </c>
      <c r="F3788">
        <v>0</v>
      </c>
      <c r="G3788">
        <v>0</v>
      </c>
      <c r="H3788" t="s">
        <v>8583</v>
      </c>
      <c r="I3788">
        <v>6</v>
      </c>
      <c r="J3788" t="s">
        <v>445</v>
      </c>
      <c r="K3788" t="s">
        <v>446</v>
      </c>
      <c r="M3788">
        <v>6666</v>
      </c>
    </row>
    <row r="3789" spans="1:14">
      <c r="A3789">
        <v>17614000</v>
      </c>
      <c r="B3789">
        <v>3036050</v>
      </c>
      <c r="C3789" t="s">
        <v>2250</v>
      </c>
      <c r="D3789" t="s">
        <v>441</v>
      </c>
      <c r="F3789">
        <v>0</v>
      </c>
      <c r="G3789">
        <v>6.63</v>
      </c>
      <c r="H3789" t="s">
        <v>8549</v>
      </c>
      <c r="I3789">
        <v>6</v>
      </c>
      <c r="J3789" t="s">
        <v>445</v>
      </c>
      <c r="M3789">
        <v>2391</v>
      </c>
      <c r="N3789" t="s">
        <v>16136</v>
      </c>
    </row>
    <row r="3790" spans="1:14">
      <c r="A3790">
        <v>17614076</v>
      </c>
      <c r="B3790">
        <v>3035870</v>
      </c>
      <c r="C3790" t="s">
        <v>2251</v>
      </c>
      <c r="D3790" t="s">
        <v>441</v>
      </c>
      <c r="F3790">
        <v>0</v>
      </c>
      <c r="G3790">
        <v>6.84</v>
      </c>
      <c r="H3790" t="s">
        <v>8588</v>
      </c>
      <c r="I3790">
        <v>6</v>
      </c>
      <c r="J3790" t="s">
        <v>445</v>
      </c>
      <c r="M3790">
        <v>7112</v>
      </c>
      <c r="N3790" t="s">
        <v>16136</v>
      </c>
    </row>
    <row r="3791" spans="1:14">
      <c r="A3791">
        <v>17621000</v>
      </c>
      <c r="B3791">
        <v>3018104</v>
      </c>
      <c r="C3791" t="s">
        <v>2252</v>
      </c>
      <c r="D3791" t="s">
        <v>441</v>
      </c>
      <c r="F3791">
        <v>0</v>
      </c>
      <c r="G3791">
        <v>4.01</v>
      </c>
      <c r="H3791" t="s">
        <v>8580</v>
      </c>
      <c r="I3791">
        <v>6</v>
      </c>
      <c r="J3791" t="s">
        <v>445</v>
      </c>
      <c r="M3791">
        <v>2391</v>
      </c>
      <c r="N3791" t="s">
        <v>16137</v>
      </c>
    </row>
    <row r="3792" spans="1:14">
      <c r="A3792">
        <v>17630000</v>
      </c>
      <c r="B3792">
        <v>3012157</v>
      </c>
      <c r="C3792" t="s">
        <v>2253</v>
      </c>
      <c r="D3792" t="s">
        <v>441</v>
      </c>
      <c r="F3792">
        <v>0</v>
      </c>
      <c r="G3792">
        <v>3.44</v>
      </c>
      <c r="H3792" t="s">
        <v>8580</v>
      </c>
      <c r="I3792">
        <v>6</v>
      </c>
      <c r="J3792" t="s">
        <v>445</v>
      </c>
      <c r="M3792">
        <v>2391</v>
      </c>
      <c r="N3792" t="s">
        <v>16134</v>
      </c>
    </row>
    <row r="3793" spans="1:14">
      <c r="A3793">
        <v>17630007</v>
      </c>
      <c r="B3793">
        <v>3024943</v>
      </c>
      <c r="C3793" t="s">
        <v>10140</v>
      </c>
      <c r="D3793" t="s">
        <v>441</v>
      </c>
      <c r="F3793">
        <v>0</v>
      </c>
      <c r="G3793">
        <v>4.87</v>
      </c>
      <c r="H3793" t="s">
        <v>8580</v>
      </c>
      <c r="I3793">
        <v>6</v>
      </c>
      <c r="J3793" t="s">
        <v>445</v>
      </c>
      <c r="K3793" t="s">
        <v>446</v>
      </c>
      <c r="M3793">
        <v>3111</v>
      </c>
    </row>
    <row r="3794" spans="1:14">
      <c r="A3794">
        <v>17630030</v>
      </c>
      <c r="B3794">
        <v>4009775</v>
      </c>
      <c r="C3794" t="s">
        <v>10141</v>
      </c>
      <c r="D3794" t="s">
        <v>441</v>
      </c>
      <c r="F3794">
        <v>0</v>
      </c>
      <c r="G3794">
        <v>5.64</v>
      </c>
      <c r="H3794" t="s">
        <v>8588</v>
      </c>
      <c r="I3794">
        <v>12</v>
      </c>
      <c r="J3794" t="s">
        <v>462</v>
      </c>
      <c r="K3794" t="s">
        <v>446</v>
      </c>
      <c r="M3794">
        <v>2611</v>
      </c>
    </row>
    <row r="3795" spans="1:14">
      <c r="A3795">
        <v>17630032</v>
      </c>
      <c r="B3795">
        <v>4015016</v>
      </c>
      <c r="C3795" t="s">
        <v>10142</v>
      </c>
      <c r="D3795" t="s">
        <v>441</v>
      </c>
      <c r="F3795">
        <v>0</v>
      </c>
      <c r="G3795">
        <v>5.63</v>
      </c>
      <c r="H3795" t="s">
        <v>8588</v>
      </c>
      <c r="I3795">
        <v>12</v>
      </c>
      <c r="J3795" t="s">
        <v>462</v>
      </c>
      <c r="K3795" t="s">
        <v>446</v>
      </c>
      <c r="M3795">
        <v>2611</v>
      </c>
    </row>
    <row r="3796" spans="1:14">
      <c r="A3796">
        <v>17630050</v>
      </c>
      <c r="B3796">
        <v>4010011</v>
      </c>
      <c r="C3796" t="s">
        <v>10143</v>
      </c>
      <c r="D3796" t="s">
        <v>441</v>
      </c>
      <c r="F3796">
        <v>0</v>
      </c>
      <c r="G3796">
        <v>6.75</v>
      </c>
      <c r="H3796" t="s">
        <v>8588</v>
      </c>
      <c r="I3796">
        <v>12</v>
      </c>
      <c r="J3796" t="s">
        <v>462</v>
      </c>
      <c r="K3796" t="s">
        <v>446</v>
      </c>
      <c r="M3796">
        <v>2612</v>
      </c>
    </row>
    <row r="3797" spans="1:14">
      <c r="A3797">
        <v>17631000</v>
      </c>
      <c r="B3797">
        <v>3017507</v>
      </c>
      <c r="C3797" t="s">
        <v>2254</v>
      </c>
      <c r="D3797" t="s">
        <v>441</v>
      </c>
      <c r="F3797">
        <v>0</v>
      </c>
      <c r="G3797">
        <v>3.44</v>
      </c>
      <c r="H3797" t="s">
        <v>8637</v>
      </c>
      <c r="I3797">
        <v>6</v>
      </c>
      <c r="J3797" t="s">
        <v>445</v>
      </c>
      <c r="M3797">
        <v>2391</v>
      </c>
      <c r="N3797" t="s">
        <v>16134</v>
      </c>
    </row>
    <row r="3798" spans="1:14">
      <c r="A3798">
        <v>17631007</v>
      </c>
      <c r="B3798">
        <v>3024944</v>
      </c>
      <c r="C3798" t="s">
        <v>10144</v>
      </c>
      <c r="D3798" t="s">
        <v>441</v>
      </c>
      <c r="F3798">
        <v>0</v>
      </c>
      <c r="G3798">
        <v>4.87</v>
      </c>
      <c r="H3798" t="s">
        <v>8580</v>
      </c>
      <c r="I3798">
        <v>6</v>
      </c>
      <c r="J3798" t="s">
        <v>445</v>
      </c>
      <c r="K3798" t="s">
        <v>446</v>
      </c>
      <c r="M3798">
        <v>3111</v>
      </c>
    </row>
    <row r="3799" spans="1:14">
      <c r="A3799">
        <v>17631032</v>
      </c>
      <c r="B3799">
        <v>4015023</v>
      </c>
      <c r="C3799" t="s">
        <v>10145</v>
      </c>
      <c r="D3799" t="s">
        <v>441</v>
      </c>
      <c r="F3799">
        <v>0</v>
      </c>
      <c r="G3799">
        <v>5.63</v>
      </c>
      <c r="H3799" t="s">
        <v>8588</v>
      </c>
      <c r="I3799">
        <v>12</v>
      </c>
      <c r="J3799" t="s">
        <v>462</v>
      </c>
      <c r="K3799" t="s">
        <v>446</v>
      </c>
      <c r="M3799">
        <v>2611</v>
      </c>
    </row>
    <row r="3800" spans="1:14">
      <c r="A3800">
        <v>17631050</v>
      </c>
      <c r="B3800">
        <v>4012019</v>
      </c>
      <c r="C3800" t="s">
        <v>10146</v>
      </c>
      <c r="D3800" t="s">
        <v>441</v>
      </c>
      <c r="F3800">
        <v>0</v>
      </c>
      <c r="G3800">
        <v>6.43</v>
      </c>
      <c r="H3800" t="s">
        <v>8588</v>
      </c>
      <c r="I3800">
        <v>12</v>
      </c>
      <c r="J3800" t="s">
        <v>462</v>
      </c>
      <c r="K3800" t="s">
        <v>446</v>
      </c>
      <c r="M3800">
        <v>2612</v>
      </c>
    </row>
    <row r="3801" spans="1:14">
      <c r="A3801">
        <v>17633000</v>
      </c>
      <c r="B3801">
        <v>3012158</v>
      </c>
      <c r="C3801" t="s">
        <v>2255</v>
      </c>
      <c r="D3801" t="s">
        <v>441</v>
      </c>
      <c r="F3801">
        <v>0</v>
      </c>
      <c r="G3801">
        <v>4.67</v>
      </c>
      <c r="H3801" t="s">
        <v>8580</v>
      </c>
      <c r="I3801">
        <v>6</v>
      </c>
      <c r="J3801" t="s">
        <v>445</v>
      </c>
      <c r="K3801" t="s">
        <v>446</v>
      </c>
      <c r="M3801">
        <v>2390</v>
      </c>
    </row>
    <row r="3802" spans="1:14">
      <c r="A3802">
        <v>17640000</v>
      </c>
      <c r="B3802">
        <v>3035101</v>
      </c>
      <c r="C3802" t="s">
        <v>17403</v>
      </c>
      <c r="D3802" t="s">
        <v>441</v>
      </c>
      <c r="F3802">
        <v>0</v>
      </c>
      <c r="G3802">
        <v>5.8</v>
      </c>
      <c r="H3802" t="s">
        <v>8549</v>
      </c>
      <c r="I3802">
        <v>6</v>
      </c>
      <c r="J3802" t="s">
        <v>445</v>
      </c>
      <c r="M3802">
        <v>2391</v>
      </c>
      <c r="N3802" t="s">
        <v>17404</v>
      </c>
    </row>
    <row r="3803" spans="1:14">
      <c r="A3803">
        <v>17640025</v>
      </c>
      <c r="B3803">
        <v>4030433</v>
      </c>
      <c r="C3803" t="s">
        <v>17405</v>
      </c>
      <c r="D3803" t="s">
        <v>441</v>
      </c>
      <c r="F3803">
        <v>0</v>
      </c>
      <c r="G3803">
        <v>6.86</v>
      </c>
      <c r="H3803" t="s">
        <v>8588</v>
      </c>
      <c r="I3803">
        <v>540</v>
      </c>
      <c r="J3803" t="s">
        <v>462</v>
      </c>
      <c r="M3803">
        <v>7111</v>
      </c>
      <c r="N3803" t="s">
        <v>17404</v>
      </c>
    </row>
    <row r="3804" spans="1:14">
      <c r="A3804">
        <v>17640525</v>
      </c>
      <c r="B3804">
        <v>3035781</v>
      </c>
      <c r="C3804" t="s">
        <v>17406</v>
      </c>
      <c r="D3804" t="s">
        <v>441</v>
      </c>
      <c r="F3804">
        <v>0</v>
      </c>
      <c r="G3804">
        <v>6.39</v>
      </c>
      <c r="H3804" t="s">
        <v>8588</v>
      </c>
      <c r="I3804">
        <v>5</v>
      </c>
      <c r="J3804" t="s">
        <v>445</v>
      </c>
      <c r="M3804">
        <v>2502</v>
      </c>
      <c r="N3804" t="s">
        <v>17404</v>
      </c>
    </row>
    <row r="3805" spans="1:14">
      <c r="A3805">
        <v>17643000</v>
      </c>
      <c r="B3805">
        <v>3045948</v>
      </c>
      <c r="C3805" t="s">
        <v>17407</v>
      </c>
      <c r="D3805" t="s">
        <v>441</v>
      </c>
      <c r="F3805">
        <v>0</v>
      </c>
      <c r="G3805">
        <v>5.8</v>
      </c>
      <c r="H3805" t="s">
        <v>8549</v>
      </c>
      <c r="I3805">
        <v>6</v>
      </c>
      <c r="J3805" t="s">
        <v>445</v>
      </c>
      <c r="M3805">
        <v>2391</v>
      </c>
      <c r="N3805" t="s">
        <v>17404</v>
      </c>
    </row>
    <row r="3806" spans="1:14">
      <c r="A3806">
        <v>17650000</v>
      </c>
      <c r="B3806">
        <v>3015988</v>
      </c>
      <c r="C3806" t="s">
        <v>2256</v>
      </c>
      <c r="D3806" t="s">
        <v>441</v>
      </c>
      <c r="F3806">
        <v>0</v>
      </c>
      <c r="G3806">
        <v>5.49</v>
      </c>
      <c r="H3806" t="s">
        <v>8580</v>
      </c>
      <c r="I3806">
        <v>6</v>
      </c>
      <c r="J3806" t="s">
        <v>445</v>
      </c>
      <c r="M3806">
        <v>0</v>
      </c>
      <c r="N3806" t="s">
        <v>16137</v>
      </c>
    </row>
    <row r="3807" spans="1:14">
      <c r="A3807">
        <v>17650020</v>
      </c>
      <c r="B3807">
        <v>4003877</v>
      </c>
      <c r="C3807" t="s">
        <v>14290</v>
      </c>
      <c r="D3807" t="s">
        <v>441</v>
      </c>
      <c r="F3807">
        <v>0</v>
      </c>
      <c r="G3807">
        <v>8.25</v>
      </c>
      <c r="H3807" t="s">
        <v>8588</v>
      </c>
      <c r="I3807">
        <v>6</v>
      </c>
      <c r="J3807" t="s">
        <v>462</v>
      </c>
      <c r="M3807">
        <v>7112</v>
      </c>
      <c r="N3807" t="s">
        <v>16139</v>
      </c>
    </row>
    <row r="3808" spans="1:14">
      <c r="A3808">
        <v>17650021</v>
      </c>
      <c r="B3808">
        <v>4008743</v>
      </c>
      <c r="C3808" t="s">
        <v>10147</v>
      </c>
      <c r="D3808" t="s">
        <v>441</v>
      </c>
      <c r="F3808">
        <v>0</v>
      </c>
      <c r="G3808">
        <v>6.68</v>
      </c>
      <c r="H3808" t="s">
        <v>8588</v>
      </c>
      <c r="I3808">
        <v>6</v>
      </c>
      <c r="J3808" t="s">
        <v>462</v>
      </c>
      <c r="K3808" t="s">
        <v>446</v>
      </c>
      <c r="M3808">
        <v>2641</v>
      </c>
    </row>
    <row r="3809" spans="1:14">
      <c r="A3809">
        <v>17650030</v>
      </c>
      <c r="B3809">
        <v>4013488</v>
      </c>
      <c r="C3809" t="s">
        <v>15484</v>
      </c>
      <c r="D3809" t="s">
        <v>441</v>
      </c>
      <c r="F3809">
        <v>0</v>
      </c>
      <c r="G3809">
        <v>10.49</v>
      </c>
      <c r="H3809" t="s">
        <v>8588</v>
      </c>
      <c r="I3809">
        <v>8</v>
      </c>
      <c r="J3809" t="s">
        <v>462</v>
      </c>
      <c r="L3809">
        <v>100067</v>
      </c>
      <c r="M3809">
        <v>7112</v>
      </c>
      <c r="N3809" t="s">
        <v>16139</v>
      </c>
    </row>
    <row r="3810" spans="1:14">
      <c r="A3810">
        <v>17650032</v>
      </c>
      <c r="B3810">
        <v>4015419</v>
      </c>
      <c r="C3810" t="s">
        <v>2257</v>
      </c>
      <c r="D3810" t="s">
        <v>441</v>
      </c>
      <c r="F3810">
        <v>0</v>
      </c>
      <c r="G3810">
        <v>5.12</v>
      </c>
      <c r="H3810" t="s">
        <v>8588</v>
      </c>
      <c r="I3810">
        <v>12</v>
      </c>
      <c r="J3810" t="s">
        <v>462</v>
      </c>
      <c r="M3810">
        <v>7112</v>
      </c>
      <c r="N3810" t="s">
        <v>16139</v>
      </c>
    </row>
    <row r="3811" spans="1:14">
      <c r="A3811">
        <v>17650033</v>
      </c>
      <c r="B3811">
        <v>4030255</v>
      </c>
      <c r="C3811" t="s">
        <v>16140</v>
      </c>
      <c r="D3811" t="s">
        <v>441</v>
      </c>
      <c r="F3811">
        <v>0</v>
      </c>
      <c r="G3811">
        <v>10.43</v>
      </c>
      <c r="H3811" t="s">
        <v>8588</v>
      </c>
      <c r="I3811">
        <v>12</v>
      </c>
      <c r="J3811" t="s">
        <v>462</v>
      </c>
      <c r="M3811">
        <v>7112</v>
      </c>
      <c r="N3811" t="s">
        <v>16139</v>
      </c>
    </row>
    <row r="3812" spans="1:14">
      <c r="A3812">
        <v>17650041</v>
      </c>
      <c r="B3812">
        <v>4008744</v>
      </c>
      <c r="C3812" t="s">
        <v>10148</v>
      </c>
      <c r="D3812" t="s">
        <v>441</v>
      </c>
      <c r="F3812">
        <v>0</v>
      </c>
      <c r="G3812">
        <v>5.49</v>
      </c>
      <c r="H3812" t="s">
        <v>8588</v>
      </c>
      <c r="I3812">
        <v>11</v>
      </c>
      <c r="J3812" t="s">
        <v>462</v>
      </c>
      <c r="K3812" t="s">
        <v>446</v>
      </c>
      <c r="M3812">
        <v>2612</v>
      </c>
    </row>
    <row r="3813" spans="1:14">
      <c r="A3813">
        <v>17650042</v>
      </c>
      <c r="B3813">
        <v>4012628</v>
      </c>
      <c r="C3813" t="s">
        <v>10149</v>
      </c>
      <c r="D3813" t="s">
        <v>441</v>
      </c>
      <c r="F3813">
        <v>0</v>
      </c>
      <c r="G3813">
        <v>6.65</v>
      </c>
      <c r="H3813" t="s">
        <v>8588</v>
      </c>
      <c r="I3813">
        <v>11</v>
      </c>
      <c r="J3813" t="s">
        <v>462</v>
      </c>
      <c r="K3813" t="s">
        <v>446</v>
      </c>
      <c r="M3813">
        <v>2612</v>
      </c>
    </row>
    <row r="3814" spans="1:14">
      <c r="A3814">
        <v>17650043</v>
      </c>
      <c r="B3814">
        <v>4012986</v>
      </c>
      <c r="C3814" t="s">
        <v>10150</v>
      </c>
      <c r="D3814" t="s">
        <v>441</v>
      </c>
      <c r="F3814">
        <v>0</v>
      </c>
      <c r="G3814">
        <v>5.45</v>
      </c>
      <c r="H3814" t="s">
        <v>8588</v>
      </c>
      <c r="I3814">
        <v>11</v>
      </c>
      <c r="J3814" t="s">
        <v>462</v>
      </c>
      <c r="K3814" t="s">
        <v>446</v>
      </c>
      <c r="M3814">
        <v>2612</v>
      </c>
    </row>
    <row r="3815" spans="1:14">
      <c r="A3815">
        <v>17650044</v>
      </c>
      <c r="B3815">
        <v>4013781</v>
      </c>
      <c r="C3815" t="s">
        <v>2258</v>
      </c>
      <c r="D3815" t="s">
        <v>441</v>
      </c>
      <c r="F3815">
        <v>0</v>
      </c>
      <c r="G3815">
        <v>5.13</v>
      </c>
      <c r="H3815" t="s">
        <v>8588</v>
      </c>
      <c r="I3815">
        <v>11</v>
      </c>
      <c r="J3815" t="s">
        <v>462</v>
      </c>
      <c r="M3815">
        <v>7112</v>
      </c>
      <c r="N3815" t="s">
        <v>16139</v>
      </c>
    </row>
    <row r="3816" spans="1:14">
      <c r="A3816">
        <v>17650050</v>
      </c>
      <c r="B3816">
        <v>4014884</v>
      </c>
      <c r="C3816" t="s">
        <v>10151</v>
      </c>
      <c r="D3816" t="s">
        <v>441</v>
      </c>
      <c r="F3816">
        <v>0</v>
      </c>
      <c r="G3816">
        <v>7.61</v>
      </c>
      <c r="H3816" t="s">
        <v>8588</v>
      </c>
      <c r="I3816">
        <v>10</v>
      </c>
      <c r="J3816" t="s">
        <v>462</v>
      </c>
      <c r="K3816" t="s">
        <v>446</v>
      </c>
      <c r="M3816">
        <v>2612</v>
      </c>
    </row>
    <row r="3817" spans="1:14">
      <c r="A3817">
        <v>17650051</v>
      </c>
      <c r="B3817">
        <v>4015777</v>
      </c>
      <c r="C3817" t="s">
        <v>10152</v>
      </c>
      <c r="D3817" t="s">
        <v>441</v>
      </c>
      <c r="F3817">
        <v>0</v>
      </c>
      <c r="G3817">
        <v>9.6</v>
      </c>
      <c r="H3817" t="s">
        <v>8588</v>
      </c>
      <c r="I3817">
        <v>10</v>
      </c>
      <c r="J3817" t="s">
        <v>462</v>
      </c>
      <c r="K3817" t="s">
        <v>446</v>
      </c>
      <c r="L3817">
        <v>2624880</v>
      </c>
      <c r="M3817">
        <v>2612</v>
      </c>
    </row>
    <row r="3818" spans="1:14">
      <c r="A3818">
        <v>17650052</v>
      </c>
      <c r="B3818">
        <v>4016203</v>
      </c>
      <c r="C3818" t="s">
        <v>10153</v>
      </c>
      <c r="D3818" t="s">
        <v>441</v>
      </c>
      <c r="F3818">
        <v>0</v>
      </c>
      <c r="G3818">
        <v>7.05</v>
      </c>
      <c r="H3818" t="s">
        <v>8588</v>
      </c>
      <c r="I3818">
        <v>10</v>
      </c>
      <c r="J3818" t="s">
        <v>462</v>
      </c>
      <c r="K3818" t="s">
        <v>446</v>
      </c>
      <c r="M3818">
        <v>2612</v>
      </c>
    </row>
    <row r="3819" spans="1:14">
      <c r="A3819">
        <v>17650075</v>
      </c>
      <c r="B3819">
        <v>4009733</v>
      </c>
      <c r="C3819" t="s">
        <v>10154</v>
      </c>
      <c r="D3819" t="s">
        <v>441</v>
      </c>
      <c r="F3819">
        <v>0</v>
      </c>
      <c r="G3819">
        <v>6.97</v>
      </c>
      <c r="H3819" t="s">
        <v>8588</v>
      </c>
      <c r="I3819">
        <v>6</v>
      </c>
      <c r="J3819" t="s">
        <v>462</v>
      </c>
      <c r="K3819" t="s">
        <v>446</v>
      </c>
      <c r="L3819">
        <v>11231</v>
      </c>
      <c r="M3819">
        <v>2641</v>
      </c>
    </row>
    <row r="3820" spans="1:14">
      <c r="A3820">
        <v>17651000</v>
      </c>
      <c r="B3820">
        <v>3017806</v>
      </c>
      <c r="C3820" t="s">
        <v>10155</v>
      </c>
      <c r="D3820" t="s">
        <v>441</v>
      </c>
      <c r="F3820">
        <v>0</v>
      </c>
      <c r="G3820">
        <v>5.49</v>
      </c>
      <c r="I3820">
        <v>6</v>
      </c>
      <c r="J3820" t="s">
        <v>445</v>
      </c>
      <c r="K3820" t="s">
        <v>446</v>
      </c>
      <c r="M3820">
        <v>0</v>
      </c>
    </row>
    <row r="3821" spans="1:14">
      <c r="A3821">
        <v>17651020</v>
      </c>
      <c r="B3821">
        <v>4011614</v>
      </c>
      <c r="C3821" t="s">
        <v>10156</v>
      </c>
      <c r="D3821" t="s">
        <v>441</v>
      </c>
      <c r="F3821">
        <v>0</v>
      </c>
      <c r="G3821">
        <v>7.15</v>
      </c>
      <c r="H3821" t="s">
        <v>8588</v>
      </c>
      <c r="I3821">
        <v>6</v>
      </c>
      <c r="J3821" t="s">
        <v>462</v>
      </c>
      <c r="K3821" t="s">
        <v>446</v>
      </c>
      <c r="M3821">
        <v>2641</v>
      </c>
    </row>
    <row r="3822" spans="1:14">
      <c r="A3822">
        <v>17651021</v>
      </c>
      <c r="B3822">
        <v>4011815</v>
      </c>
      <c r="C3822" t="s">
        <v>10157</v>
      </c>
      <c r="D3822" t="s">
        <v>441</v>
      </c>
      <c r="F3822">
        <v>0</v>
      </c>
      <c r="G3822">
        <v>6.68</v>
      </c>
      <c r="H3822" t="s">
        <v>8588</v>
      </c>
      <c r="I3822">
        <v>6</v>
      </c>
      <c r="J3822" t="s">
        <v>462</v>
      </c>
      <c r="K3822" t="s">
        <v>446</v>
      </c>
      <c r="M3822">
        <v>2641</v>
      </c>
    </row>
    <row r="3823" spans="1:14">
      <c r="A3823">
        <v>17651030</v>
      </c>
      <c r="B3823">
        <v>4013489</v>
      </c>
      <c r="C3823" t="s">
        <v>10158</v>
      </c>
      <c r="D3823" t="s">
        <v>441</v>
      </c>
      <c r="F3823">
        <v>0</v>
      </c>
      <c r="G3823">
        <v>7.4</v>
      </c>
      <c r="H3823" t="s">
        <v>8588</v>
      </c>
      <c r="I3823">
        <v>7</v>
      </c>
      <c r="J3823" t="s">
        <v>462</v>
      </c>
      <c r="K3823" t="s">
        <v>446</v>
      </c>
      <c r="M3823">
        <v>2612</v>
      </c>
    </row>
    <row r="3824" spans="1:14">
      <c r="A3824">
        <v>17651041</v>
      </c>
      <c r="B3824">
        <v>4011816</v>
      </c>
      <c r="C3824" t="s">
        <v>10159</v>
      </c>
      <c r="D3824" t="s">
        <v>441</v>
      </c>
      <c r="F3824">
        <v>0</v>
      </c>
      <c r="G3824">
        <v>5.49</v>
      </c>
      <c r="H3824" t="s">
        <v>8588</v>
      </c>
      <c r="I3824">
        <v>11</v>
      </c>
      <c r="J3824" t="s">
        <v>462</v>
      </c>
      <c r="K3824" t="s">
        <v>446</v>
      </c>
      <c r="M3824">
        <v>2612</v>
      </c>
    </row>
    <row r="3825" spans="1:14">
      <c r="A3825">
        <v>17651042</v>
      </c>
      <c r="B3825">
        <v>4012629</v>
      </c>
      <c r="C3825" t="s">
        <v>10160</v>
      </c>
      <c r="D3825" t="s">
        <v>441</v>
      </c>
      <c r="F3825">
        <v>0</v>
      </c>
      <c r="G3825">
        <v>6.65</v>
      </c>
      <c r="H3825" t="s">
        <v>8588</v>
      </c>
      <c r="I3825">
        <v>11</v>
      </c>
      <c r="J3825" t="s">
        <v>462</v>
      </c>
      <c r="K3825" t="s">
        <v>446</v>
      </c>
      <c r="M3825">
        <v>2612</v>
      </c>
    </row>
    <row r="3826" spans="1:14">
      <c r="A3826">
        <v>17651043</v>
      </c>
      <c r="B3826">
        <v>4012987</v>
      </c>
      <c r="C3826" t="s">
        <v>10161</v>
      </c>
      <c r="D3826" t="s">
        <v>441</v>
      </c>
      <c r="F3826">
        <v>0</v>
      </c>
      <c r="G3826">
        <v>5.45</v>
      </c>
      <c r="H3826" t="s">
        <v>8588</v>
      </c>
      <c r="I3826">
        <v>11</v>
      </c>
      <c r="J3826" t="s">
        <v>462</v>
      </c>
      <c r="K3826" t="s">
        <v>446</v>
      </c>
      <c r="M3826">
        <v>2612</v>
      </c>
    </row>
    <row r="3827" spans="1:14">
      <c r="A3827">
        <v>17651044</v>
      </c>
      <c r="B3827">
        <v>4013782</v>
      </c>
      <c r="C3827" t="s">
        <v>10162</v>
      </c>
      <c r="D3827" t="s">
        <v>441</v>
      </c>
      <c r="F3827">
        <v>0</v>
      </c>
      <c r="G3827">
        <v>7.57</v>
      </c>
      <c r="H3827" t="s">
        <v>8588</v>
      </c>
      <c r="I3827">
        <v>11</v>
      </c>
      <c r="J3827" t="s">
        <v>462</v>
      </c>
      <c r="K3827" t="s">
        <v>446</v>
      </c>
      <c r="M3827">
        <v>2612</v>
      </c>
    </row>
    <row r="3828" spans="1:14">
      <c r="A3828">
        <v>17651050</v>
      </c>
      <c r="B3828">
        <v>4014885</v>
      </c>
      <c r="C3828" t="s">
        <v>10163</v>
      </c>
      <c r="D3828" t="s">
        <v>441</v>
      </c>
      <c r="F3828">
        <v>0</v>
      </c>
      <c r="G3828">
        <v>7.61</v>
      </c>
      <c r="H3828" t="s">
        <v>8588</v>
      </c>
      <c r="I3828">
        <v>10</v>
      </c>
      <c r="J3828" t="s">
        <v>462</v>
      </c>
      <c r="K3828" t="s">
        <v>446</v>
      </c>
      <c r="M3828">
        <v>2612</v>
      </c>
    </row>
    <row r="3829" spans="1:14">
      <c r="A3829">
        <v>17651075</v>
      </c>
      <c r="B3829">
        <v>4011964</v>
      </c>
      <c r="C3829" t="s">
        <v>10164</v>
      </c>
      <c r="D3829" t="s">
        <v>441</v>
      </c>
      <c r="F3829">
        <v>0</v>
      </c>
      <c r="G3829">
        <v>6.97</v>
      </c>
      <c r="H3829" t="s">
        <v>8588</v>
      </c>
      <c r="I3829">
        <v>6</v>
      </c>
      <c r="J3829" t="s">
        <v>462</v>
      </c>
      <c r="K3829" t="s">
        <v>446</v>
      </c>
      <c r="M3829">
        <v>2641</v>
      </c>
    </row>
    <row r="3830" spans="1:14">
      <c r="A3830">
        <v>17653000</v>
      </c>
      <c r="B3830">
        <v>3007767</v>
      </c>
      <c r="C3830" t="s">
        <v>10165</v>
      </c>
      <c r="D3830" t="s">
        <v>441</v>
      </c>
      <c r="F3830">
        <v>0</v>
      </c>
      <c r="G3830">
        <v>5.05</v>
      </c>
      <c r="H3830" t="s">
        <v>8634</v>
      </c>
      <c r="I3830">
        <v>6</v>
      </c>
      <c r="J3830" t="s">
        <v>445</v>
      </c>
      <c r="K3830" t="s">
        <v>446</v>
      </c>
      <c r="M3830">
        <v>2390</v>
      </c>
    </row>
    <row r="3831" spans="1:14">
      <c r="A3831">
        <v>17654033</v>
      </c>
      <c r="B3831">
        <v>4026757</v>
      </c>
      <c r="C3831" t="s">
        <v>2259</v>
      </c>
      <c r="D3831" t="s">
        <v>441</v>
      </c>
      <c r="F3831">
        <v>0</v>
      </c>
      <c r="G3831">
        <v>5.21</v>
      </c>
      <c r="H3831" t="s">
        <v>8588</v>
      </c>
      <c r="I3831">
        <v>12</v>
      </c>
      <c r="J3831" t="s">
        <v>462</v>
      </c>
      <c r="M3831">
        <v>7112</v>
      </c>
      <c r="N3831" t="s">
        <v>16139</v>
      </c>
    </row>
    <row r="3832" spans="1:14">
      <c r="A3832">
        <v>17660000</v>
      </c>
      <c r="B3832">
        <v>3007768</v>
      </c>
      <c r="C3832" t="s">
        <v>10166</v>
      </c>
      <c r="D3832" t="s">
        <v>441</v>
      </c>
      <c r="F3832">
        <v>0</v>
      </c>
      <c r="G3832">
        <v>7.11</v>
      </c>
      <c r="H3832" t="s">
        <v>8634</v>
      </c>
      <c r="I3832">
        <v>6</v>
      </c>
      <c r="J3832" t="s">
        <v>445</v>
      </c>
      <c r="K3832" t="s">
        <v>446</v>
      </c>
      <c r="M3832">
        <v>0</v>
      </c>
    </row>
    <row r="3833" spans="1:14">
      <c r="A3833">
        <v>17670000</v>
      </c>
      <c r="B3833">
        <v>3017893</v>
      </c>
      <c r="C3833" t="s">
        <v>10167</v>
      </c>
      <c r="D3833" t="s">
        <v>441</v>
      </c>
      <c r="F3833">
        <v>0</v>
      </c>
      <c r="G3833">
        <v>7.45</v>
      </c>
      <c r="H3833" t="s">
        <v>8549</v>
      </c>
      <c r="I3833">
        <v>6</v>
      </c>
      <c r="J3833" t="s">
        <v>445</v>
      </c>
      <c r="M3833">
        <v>2391</v>
      </c>
      <c r="N3833" t="s">
        <v>16138</v>
      </c>
    </row>
    <row r="3834" spans="1:14">
      <c r="A3834">
        <v>17670002</v>
      </c>
      <c r="B3834">
        <v>3032376</v>
      </c>
      <c r="C3834" t="s">
        <v>10168</v>
      </c>
      <c r="D3834" t="s">
        <v>441</v>
      </c>
      <c r="F3834">
        <v>0</v>
      </c>
      <c r="G3834">
        <v>7.92</v>
      </c>
      <c r="H3834" t="s">
        <v>8549</v>
      </c>
      <c r="I3834">
        <v>540</v>
      </c>
      <c r="J3834" t="s">
        <v>445</v>
      </c>
      <c r="M3834">
        <v>7111</v>
      </c>
      <c r="N3834" t="s">
        <v>16138</v>
      </c>
    </row>
    <row r="3835" spans="1:14">
      <c r="A3835">
        <v>17670007</v>
      </c>
      <c r="B3835">
        <v>3034784</v>
      </c>
      <c r="C3835" t="s">
        <v>10169</v>
      </c>
      <c r="D3835" t="s">
        <v>441</v>
      </c>
      <c r="F3835">
        <v>0</v>
      </c>
      <c r="G3835">
        <v>7.55</v>
      </c>
      <c r="H3835" t="s">
        <v>8588</v>
      </c>
      <c r="I3835">
        <v>6</v>
      </c>
      <c r="J3835" t="s">
        <v>445</v>
      </c>
      <c r="M3835">
        <v>2391</v>
      </c>
      <c r="N3835" t="s">
        <v>16138</v>
      </c>
    </row>
    <row r="3836" spans="1:14">
      <c r="A3836">
        <v>17670020</v>
      </c>
      <c r="B3836">
        <v>4012230</v>
      </c>
      <c r="C3836" t="s">
        <v>10170</v>
      </c>
      <c r="D3836" t="s">
        <v>441</v>
      </c>
      <c r="F3836">
        <v>0</v>
      </c>
      <c r="H3836" t="s">
        <v>8588</v>
      </c>
      <c r="I3836">
        <v>6</v>
      </c>
      <c r="J3836" t="s">
        <v>462</v>
      </c>
      <c r="K3836" t="s">
        <v>446</v>
      </c>
      <c r="M3836">
        <v>2641</v>
      </c>
    </row>
    <row r="3837" spans="1:14">
      <c r="A3837">
        <v>17670502</v>
      </c>
      <c r="B3837">
        <v>3032374</v>
      </c>
      <c r="C3837" t="s">
        <v>10171</v>
      </c>
      <c r="D3837" t="s">
        <v>441</v>
      </c>
      <c r="F3837">
        <v>0</v>
      </c>
      <c r="G3837">
        <v>7.57</v>
      </c>
      <c r="H3837" t="s">
        <v>8580</v>
      </c>
      <c r="I3837">
        <v>540</v>
      </c>
      <c r="J3837" t="s">
        <v>445</v>
      </c>
      <c r="M3837">
        <v>2502</v>
      </c>
      <c r="N3837" t="s">
        <v>16138</v>
      </c>
    </row>
    <row r="3838" spans="1:14">
      <c r="A3838">
        <v>17670602</v>
      </c>
      <c r="B3838">
        <v>3032378</v>
      </c>
      <c r="C3838" t="s">
        <v>10172</v>
      </c>
      <c r="D3838" t="s">
        <v>441</v>
      </c>
      <c r="F3838">
        <v>0</v>
      </c>
      <c r="G3838">
        <v>8.18</v>
      </c>
      <c r="H3838" t="s">
        <v>8588</v>
      </c>
      <c r="I3838">
        <v>4</v>
      </c>
      <c r="J3838" t="s">
        <v>445</v>
      </c>
      <c r="M3838">
        <v>2510</v>
      </c>
      <c r="N3838" t="s">
        <v>16138</v>
      </c>
    </row>
    <row r="3839" spans="1:14">
      <c r="A3839">
        <v>17671000</v>
      </c>
      <c r="B3839">
        <v>3017953</v>
      </c>
      <c r="C3839" t="s">
        <v>10173</v>
      </c>
      <c r="D3839" t="s">
        <v>441</v>
      </c>
      <c r="F3839">
        <v>0</v>
      </c>
      <c r="G3839">
        <v>7.45</v>
      </c>
      <c r="H3839" t="s">
        <v>8549</v>
      </c>
      <c r="I3839">
        <v>6</v>
      </c>
      <c r="J3839" t="s">
        <v>445</v>
      </c>
      <c r="M3839">
        <v>2391</v>
      </c>
      <c r="N3839" t="s">
        <v>16138</v>
      </c>
    </row>
    <row r="3840" spans="1:14">
      <c r="A3840">
        <v>17671020</v>
      </c>
      <c r="B3840">
        <v>4012231</v>
      </c>
      <c r="C3840" t="s">
        <v>10174</v>
      </c>
      <c r="D3840" t="s">
        <v>441</v>
      </c>
      <c r="F3840">
        <v>0</v>
      </c>
      <c r="H3840" t="s">
        <v>8588</v>
      </c>
      <c r="I3840">
        <v>6</v>
      </c>
      <c r="J3840" t="s">
        <v>462</v>
      </c>
      <c r="K3840" t="s">
        <v>446</v>
      </c>
      <c r="M3840">
        <v>2641</v>
      </c>
    </row>
    <row r="3841" spans="1:14">
      <c r="A3841">
        <v>17673000</v>
      </c>
      <c r="B3841">
        <v>3017951</v>
      </c>
      <c r="C3841" t="s">
        <v>10175</v>
      </c>
      <c r="D3841" t="s">
        <v>441</v>
      </c>
      <c r="F3841">
        <v>0</v>
      </c>
      <c r="H3841" t="s">
        <v>8584</v>
      </c>
      <c r="I3841">
        <v>6</v>
      </c>
      <c r="J3841" t="s">
        <v>445</v>
      </c>
      <c r="K3841" t="s">
        <v>446</v>
      </c>
      <c r="M3841">
        <v>2390</v>
      </c>
    </row>
    <row r="3842" spans="1:14">
      <c r="A3842">
        <v>17676000</v>
      </c>
      <c r="B3842">
        <v>3017950</v>
      </c>
      <c r="C3842" t="s">
        <v>10176</v>
      </c>
      <c r="D3842" t="s">
        <v>441</v>
      </c>
      <c r="F3842">
        <v>0</v>
      </c>
      <c r="H3842" t="s">
        <v>8584</v>
      </c>
      <c r="I3842">
        <v>6</v>
      </c>
      <c r="J3842" t="s">
        <v>445</v>
      </c>
      <c r="K3842" t="s">
        <v>446</v>
      </c>
      <c r="M3842">
        <v>2390</v>
      </c>
    </row>
    <row r="3843" spans="1:14">
      <c r="A3843">
        <v>17680000</v>
      </c>
      <c r="B3843">
        <v>3018458</v>
      </c>
      <c r="C3843" t="s">
        <v>2260</v>
      </c>
      <c r="D3843" t="s">
        <v>441</v>
      </c>
      <c r="F3843">
        <v>0</v>
      </c>
      <c r="G3843">
        <v>4.51</v>
      </c>
      <c r="I3843">
        <v>5</v>
      </c>
      <c r="J3843" t="s">
        <v>445</v>
      </c>
      <c r="M3843">
        <v>2391</v>
      </c>
      <c r="N3843" t="s">
        <v>16139</v>
      </c>
    </row>
    <row r="3844" spans="1:14">
      <c r="A3844">
        <v>17680007</v>
      </c>
      <c r="B3844">
        <v>3024945</v>
      </c>
      <c r="C3844" t="s">
        <v>2261</v>
      </c>
      <c r="D3844" t="s">
        <v>441</v>
      </c>
      <c r="F3844">
        <v>0</v>
      </c>
      <c r="G3844">
        <v>4.5999999999999996</v>
      </c>
      <c r="H3844" t="s">
        <v>8580</v>
      </c>
      <c r="I3844">
        <v>5</v>
      </c>
      <c r="J3844" t="s">
        <v>445</v>
      </c>
      <c r="M3844">
        <v>2391</v>
      </c>
      <c r="N3844" t="s">
        <v>16139</v>
      </c>
    </row>
    <row r="3845" spans="1:14">
      <c r="A3845">
        <v>17680018</v>
      </c>
      <c r="B3845">
        <v>3026872</v>
      </c>
      <c r="C3845" t="s">
        <v>10177</v>
      </c>
      <c r="D3845" t="s">
        <v>441</v>
      </c>
      <c r="F3845">
        <v>0</v>
      </c>
      <c r="G3845">
        <v>7.29</v>
      </c>
      <c r="H3845" t="s">
        <v>8588</v>
      </c>
      <c r="I3845">
        <v>365</v>
      </c>
      <c r="J3845" t="s">
        <v>445</v>
      </c>
      <c r="K3845" t="s">
        <v>446</v>
      </c>
      <c r="M3845">
        <v>2501</v>
      </c>
    </row>
    <row r="3846" spans="1:14">
      <c r="A3846">
        <v>17680030</v>
      </c>
      <c r="B3846">
        <v>4022265</v>
      </c>
      <c r="C3846" t="s">
        <v>2262</v>
      </c>
      <c r="D3846" t="s">
        <v>441</v>
      </c>
      <c r="F3846">
        <v>0</v>
      </c>
      <c r="G3846">
        <v>7.68</v>
      </c>
      <c r="H3846" t="s">
        <v>8588</v>
      </c>
      <c r="I3846">
        <v>12</v>
      </c>
      <c r="J3846" t="s">
        <v>462</v>
      </c>
      <c r="M3846">
        <v>7112</v>
      </c>
      <c r="N3846" t="s">
        <v>16139</v>
      </c>
    </row>
    <row r="3847" spans="1:14">
      <c r="A3847">
        <v>17680031</v>
      </c>
      <c r="B3847">
        <v>4024966</v>
      </c>
      <c r="C3847" t="s">
        <v>2263</v>
      </c>
      <c r="D3847" t="s">
        <v>441</v>
      </c>
      <c r="F3847">
        <v>0</v>
      </c>
      <c r="G3847">
        <v>5.22</v>
      </c>
      <c r="H3847" t="s">
        <v>8588</v>
      </c>
      <c r="I3847">
        <v>12</v>
      </c>
      <c r="J3847" t="s">
        <v>462</v>
      </c>
      <c r="M3847">
        <v>7112</v>
      </c>
      <c r="N3847" t="s">
        <v>16139</v>
      </c>
    </row>
    <row r="3848" spans="1:14">
      <c r="A3848">
        <v>17680046</v>
      </c>
      <c r="B3848">
        <v>4021304</v>
      </c>
      <c r="C3848" t="s">
        <v>10178</v>
      </c>
      <c r="D3848" t="s">
        <v>441</v>
      </c>
      <c r="F3848">
        <v>0</v>
      </c>
      <c r="G3848">
        <v>5.9</v>
      </c>
      <c r="H3848" t="s">
        <v>8588</v>
      </c>
      <c r="I3848">
        <v>12</v>
      </c>
      <c r="J3848" t="s">
        <v>462</v>
      </c>
      <c r="K3848" t="s">
        <v>446</v>
      </c>
      <c r="M3848">
        <v>2612</v>
      </c>
    </row>
    <row r="3849" spans="1:14">
      <c r="A3849">
        <v>17680075</v>
      </c>
      <c r="B3849">
        <v>3026870</v>
      </c>
      <c r="C3849" t="s">
        <v>2264</v>
      </c>
      <c r="D3849" t="s">
        <v>441</v>
      </c>
      <c r="F3849">
        <v>0</v>
      </c>
      <c r="G3849">
        <v>4.72</v>
      </c>
      <c r="H3849" t="s">
        <v>8588</v>
      </c>
      <c r="I3849">
        <v>6</v>
      </c>
      <c r="J3849" t="s">
        <v>445</v>
      </c>
      <c r="M3849">
        <v>7112</v>
      </c>
      <c r="N3849" t="s">
        <v>16139</v>
      </c>
    </row>
    <row r="3850" spans="1:14">
      <c r="A3850">
        <v>17680076</v>
      </c>
      <c r="B3850">
        <v>4021532</v>
      </c>
      <c r="C3850" t="s">
        <v>2265</v>
      </c>
      <c r="D3850" t="s">
        <v>441</v>
      </c>
      <c r="F3850">
        <v>0</v>
      </c>
      <c r="G3850">
        <v>4.71</v>
      </c>
      <c r="H3850" t="s">
        <v>8588</v>
      </c>
      <c r="I3850">
        <v>6</v>
      </c>
      <c r="J3850" t="s">
        <v>462</v>
      </c>
      <c r="L3850">
        <v>2634260</v>
      </c>
      <c r="M3850">
        <v>7112</v>
      </c>
      <c r="N3850" t="s">
        <v>16139</v>
      </c>
    </row>
    <row r="3851" spans="1:14">
      <c r="A3851">
        <v>17680518</v>
      </c>
      <c r="B3851">
        <v>3026871</v>
      </c>
      <c r="C3851" t="s">
        <v>10179</v>
      </c>
      <c r="D3851" t="s">
        <v>441</v>
      </c>
      <c r="F3851">
        <v>0</v>
      </c>
      <c r="G3851">
        <v>7.05</v>
      </c>
      <c r="H3851" t="s">
        <v>8584</v>
      </c>
      <c r="I3851">
        <v>365</v>
      </c>
      <c r="J3851" t="s">
        <v>445</v>
      </c>
      <c r="K3851" t="s">
        <v>446</v>
      </c>
      <c r="M3851">
        <v>2641</v>
      </c>
    </row>
    <row r="3852" spans="1:14">
      <c r="A3852">
        <v>17681000</v>
      </c>
      <c r="B3852">
        <v>3017478</v>
      </c>
      <c r="C3852" t="s">
        <v>2266</v>
      </c>
      <c r="D3852" t="s">
        <v>441</v>
      </c>
      <c r="F3852">
        <v>0</v>
      </c>
      <c r="G3852">
        <v>4.51</v>
      </c>
      <c r="H3852" t="s">
        <v>8549</v>
      </c>
      <c r="I3852">
        <v>5</v>
      </c>
      <c r="J3852" t="s">
        <v>445</v>
      </c>
      <c r="M3852">
        <v>2391</v>
      </c>
      <c r="N3852" t="s">
        <v>16139</v>
      </c>
    </row>
    <row r="3853" spans="1:14">
      <c r="A3853">
        <v>17681007</v>
      </c>
      <c r="B3853">
        <v>3024946</v>
      </c>
      <c r="C3853" t="s">
        <v>10180</v>
      </c>
      <c r="D3853" t="s">
        <v>441</v>
      </c>
      <c r="F3853">
        <v>0</v>
      </c>
      <c r="G3853">
        <v>6.95</v>
      </c>
      <c r="H3853" t="s">
        <v>8580</v>
      </c>
      <c r="I3853">
        <v>5</v>
      </c>
      <c r="J3853" t="s">
        <v>445</v>
      </c>
      <c r="K3853" t="s">
        <v>446</v>
      </c>
      <c r="M3853">
        <v>3111</v>
      </c>
    </row>
    <row r="3854" spans="1:14">
      <c r="A3854">
        <v>17684000</v>
      </c>
      <c r="B3854">
        <v>3040337</v>
      </c>
      <c r="C3854" t="s">
        <v>2267</v>
      </c>
      <c r="D3854" t="s">
        <v>441</v>
      </c>
      <c r="F3854">
        <v>0</v>
      </c>
      <c r="G3854">
        <v>4.51</v>
      </c>
      <c r="H3854" t="s">
        <v>8549</v>
      </c>
      <c r="I3854">
        <v>6</v>
      </c>
      <c r="J3854" t="s">
        <v>445</v>
      </c>
      <c r="M3854">
        <v>2391</v>
      </c>
      <c r="N3854" t="s">
        <v>16139</v>
      </c>
    </row>
    <row r="3855" spans="1:14">
      <c r="A3855">
        <v>17690000</v>
      </c>
      <c r="B3855">
        <v>3008813</v>
      </c>
      <c r="C3855" t="s">
        <v>2268</v>
      </c>
      <c r="D3855" t="s">
        <v>441</v>
      </c>
      <c r="F3855">
        <v>0</v>
      </c>
      <c r="G3855">
        <v>5.8</v>
      </c>
      <c r="H3855" t="s">
        <v>8580</v>
      </c>
      <c r="I3855">
        <v>6</v>
      </c>
      <c r="J3855" t="s">
        <v>445</v>
      </c>
      <c r="M3855">
        <v>2391</v>
      </c>
      <c r="N3855" t="s">
        <v>16141</v>
      </c>
    </row>
    <row r="3856" spans="1:14">
      <c r="A3856">
        <v>17690076</v>
      </c>
      <c r="B3856">
        <v>3008690</v>
      </c>
      <c r="C3856" t="s">
        <v>2269</v>
      </c>
      <c r="D3856" t="s">
        <v>441</v>
      </c>
      <c r="F3856">
        <v>0</v>
      </c>
      <c r="G3856">
        <v>8.48</v>
      </c>
      <c r="H3856" t="s">
        <v>8588</v>
      </c>
      <c r="I3856">
        <v>6</v>
      </c>
      <c r="J3856" t="s">
        <v>445</v>
      </c>
      <c r="K3856" t="s">
        <v>446</v>
      </c>
      <c r="M3856">
        <v>2641</v>
      </c>
      <c r="N3856" t="s">
        <v>16141</v>
      </c>
    </row>
    <row r="3857" spans="1:14">
      <c r="A3857">
        <v>17690100</v>
      </c>
      <c r="B3857">
        <v>3029424</v>
      </c>
      <c r="C3857" t="s">
        <v>2270</v>
      </c>
      <c r="D3857" t="s">
        <v>441</v>
      </c>
      <c r="F3857">
        <v>0</v>
      </c>
      <c r="H3857" t="s">
        <v>8588</v>
      </c>
      <c r="I3857">
        <v>6</v>
      </c>
      <c r="J3857" t="s">
        <v>445</v>
      </c>
      <c r="M3857">
        <v>7161</v>
      </c>
      <c r="N3857" t="s">
        <v>16142</v>
      </c>
    </row>
    <row r="3858" spans="1:14">
      <c r="A3858">
        <v>17690110</v>
      </c>
      <c r="B3858">
        <v>3031727</v>
      </c>
      <c r="C3858" t="s">
        <v>2271</v>
      </c>
      <c r="D3858" t="s">
        <v>441</v>
      </c>
      <c r="F3858">
        <v>0</v>
      </c>
      <c r="H3858" t="s">
        <v>8588</v>
      </c>
      <c r="I3858">
        <v>6</v>
      </c>
      <c r="J3858" t="s">
        <v>445</v>
      </c>
      <c r="K3858" t="s">
        <v>446</v>
      </c>
      <c r="M3858">
        <v>0</v>
      </c>
      <c r="N3858" t="s">
        <v>16142</v>
      </c>
    </row>
    <row r="3859" spans="1:14">
      <c r="A3859">
        <v>17700000</v>
      </c>
      <c r="B3859">
        <v>3007769</v>
      </c>
      <c r="C3859" t="s">
        <v>10181</v>
      </c>
      <c r="D3859" t="s">
        <v>441</v>
      </c>
      <c r="F3859">
        <v>0</v>
      </c>
      <c r="G3859">
        <v>4</v>
      </c>
      <c r="H3859" t="s">
        <v>8634</v>
      </c>
      <c r="I3859">
        <v>6</v>
      </c>
      <c r="J3859" t="s">
        <v>445</v>
      </c>
      <c r="K3859" t="s">
        <v>446</v>
      </c>
      <c r="M3859">
        <v>0</v>
      </c>
    </row>
    <row r="3860" spans="1:14">
      <c r="A3860">
        <v>17710000</v>
      </c>
      <c r="B3860">
        <v>3016017</v>
      </c>
      <c r="C3860" t="s">
        <v>2272</v>
      </c>
      <c r="D3860" t="s">
        <v>441</v>
      </c>
      <c r="F3860">
        <v>0</v>
      </c>
      <c r="H3860" t="s">
        <v>8624</v>
      </c>
      <c r="I3860">
        <v>6</v>
      </c>
      <c r="J3860" t="s">
        <v>445</v>
      </c>
      <c r="M3860">
        <v>2391</v>
      </c>
      <c r="N3860" t="s">
        <v>16143</v>
      </c>
    </row>
    <row r="3861" spans="1:14">
      <c r="A3861">
        <v>17710020</v>
      </c>
      <c r="B3861">
        <v>4003879</v>
      </c>
      <c r="C3861" t="s">
        <v>10182</v>
      </c>
      <c r="D3861" t="s">
        <v>441</v>
      </c>
      <c r="F3861">
        <v>0</v>
      </c>
      <c r="G3861">
        <v>5.01</v>
      </c>
      <c r="H3861" t="s">
        <v>8588</v>
      </c>
      <c r="I3861">
        <v>6</v>
      </c>
      <c r="J3861" t="s">
        <v>462</v>
      </c>
      <c r="K3861" t="s">
        <v>446</v>
      </c>
      <c r="L3861">
        <v>2082319</v>
      </c>
      <c r="M3861">
        <v>2641</v>
      </c>
    </row>
    <row r="3862" spans="1:14">
      <c r="A3862">
        <v>17710021</v>
      </c>
      <c r="B3862">
        <v>4008787</v>
      </c>
      <c r="C3862" t="s">
        <v>10183</v>
      </c>
      <c r="D3862" t="s">
        <v>441</v>
      </c>
      <c r="F3862">
        <v>0</v>
      </c>
      <c r="G3862">
        <v>7.34</v>
      </c>
      <c r="H3862" t="s">
        <v>8588</v>
      </c>
      <c r="I3862">
        <v>6</v>
      </c>
      <c r="J3862" t="s">
        <v>462</v>
      </c>
      <c r="K3862" t="s">
        <v>446</v>
      </c>
      <c r="M3862">
        <v>2612</v>
      </c>
    </row>
    <row r="3863" spans="1:14">
      <c r="A3863">
        <v>17710022</v>
      </c>
      <c r="B3863">
        <v>4012223</v>
      </c>
      <c r="C3863" t="s">
        <v>10184</v>
      </c>
      <c r="D3863" t="s">
        <v>441</v>
      </c>
      <c r="F3863">
        <v>0</v>
      </c>
      <c r="G3863">
        <v>7.22</v>
      </c>
      <c r="H3863" t="s">
        <v>8588</v>
      </c>
      <c r="I3863">
        <v>6</v>
      </c>
      <c r="J3863" t="s">
        <v>462</v>
      </c>
      <c r="K3863" t="s">
        <v>446</v>
      </c>
      <c r="M3863">
        <v>2612</v>
      </c>
    </row>
    <row r="3864" spans="1:14">
      <c r="A3864">
        <v>17710025</v>
      </c>
      <c r="B3864">
        <v>4019775</v>
      </c>
      <c r="C3864" t="s">
        <v>14827</v>
      </c>
      <c r="D3864" t="s">
        <v>442</v>
      </c>
      <c r="E3864" t="s">
        <v>441</v>
      </c>
      <c r="F3864">
        <v>20</v>
      </c>
      <c r="G3864">
        <v>39.71</v>
      </c>
      <c r="H3864" t="s">
        <v>8588</v>
      </c>
      <c r="I3864">
        <v>540</v>
      </c>
      <c r="J3864" t="s">
        <v>462</v>
      </c>
      <c r="M3864">
        <v>7111</v>
      </c>
      <c r="N3864" t="s">
        <v>16143</v>
      </c>
    </row>
    <row r="3865" spans="1:14">
      <c r="A3865">
        <v>17710026</v>
      </c>
      <c r="B3865">
        <v>4016289</v>
      </c>
      <c r="C3865" t="s">
        <v>14828</v>
      </c>
      <c r="D3865" t="s">
        <v>442</v>
      </c>
      <c r="E3865" t="s">
        <v>441</v>
      </c>
      <c r="F3865">
        <v>20</v>
      </c>
      <c r="G3865">
        <v>39.71</v>
      </c>
      <c r="H3865" t="s">
        <v>8588</v>
      </c>
      <c r="I3865">
        <v>540</v>
      </c>
      <c r="J3865" t="s">
        <v>462</v>
      </c>
      <c r="M3865">
        <v>7111</v>
      </c>
      <c r="N3865" t="s">
        <v>16143</v>
      </c>
    </row>
    <row r="3866" spans="1:14">
      <c r="A3866">
        <v>17710027</v>
      </c>
      <c r="B3866">
        <v>4005649</v>
      </c>
      <c r="C3866" t="s">
        <v>10185</v>
      </c>
      <c r="D3866" t="s">
        <v>441</v>
      </c>
      <c r="F3866">
        <v>0</v>
      </c>
      <c r="G3866">
        <v>5.23</v>
      </c>
      <c r="H3866" t="s">
        <v>8588</v>
      </c>
      <c r="I3866">
        <v>365</v>
      </c>
      <c r="J3866" t="s">
        <v>462</v>
      </c>
      <c r="K3866" t="s">
        <v>446</v>
      </c>
      <c r="M3866">
        <v>2501</v>
      </c>
    </row>
    <row r="3867" spans="1:14">
      <c r="A3867">
        <v>17710028</v>
      </c>
      <c r="B3867">
        <v>4018912</v>
      </c>
      <c r="C3867" t="s">
        <v>10186</v>
      </c>
      <c r="D3867" t="s">
        <v>442</v>
      </c>
      <c r="E3867" t="s">
        <v>441</v>
      </c>
      <c r="F3867">
        <v>10</v>
      </c>
      <c r="G3867">
        <v>17.329999999999998</v>
      </c>
      <c r="H3867" t="s">
        <v>8588</v>
      </c>
      <c r="I3867">
        <v>540</v>
      </c>
      <c r="J3867" t="s">
        <v>462</v>
      </c>
      <c r="M3867">
        <v>7111</v>
      </c>
      <c r="N3867" t="s">
        <v>16143</v>
      </c>
    </row>
    <row r="3868" spans="1:14">
      <c r="A3868">
        <v>17710029</v>
      </c>
      <c r="B3868">
        <v>4007585</v>
      </c>
      <c r="C3868" t="s">
        <v>10187</v>
      </c>
      <c r="D3868" t="s">
        <v>441</v>
      </c>
      <c r="F3868">
        <v>0</v>
      </c>
      <c r="G3868">
        <v>3.27</v>
      </c>
      <c r="H3868" t="s">
        <v>8588</v>
      </c>
      <c r="I3868">
        <v>365</v>
      </c>
      <c r="J3868" t="s">
        <v>462</v>
      </c>
      <c r="K3868" t="s">
        <v>446</v>
      </c>
      <c r="M3868">
        <v>2501</v>
      </c>
    </row>
    <row r="3869" spans="1:14">
      <c r="A3869">
        <v>17710032</v>
      </c>
      <c r="B3869">
        <v>4015418</v>
      </c>
      <c r="C3869" t="s">
        <v>10188</v>
      </c>
      <c r="D3869" t="s">
        <v>441</v>
      </c>
      <c r="F3869">
        <v>0</v>
      </c>
      <c r="G3869">
        <v>4.5</v>
      </c>
      <c r="H3869" t="s">
        <v>8588</v>
      </c>
      <c r="I3869">
        <v>12</v>
      </c>
      <c r="J3869" t="s">
        <v>462</v>
      </c>
      <c r="K3869" t="s">
        <v>446</v>
      </c>
      <c r="M3869">
        <v>2612</v>
      </c>
    </row>
    <row r="3870" spans="1:14">
      <c r="A3870">
        <v>17710033</v>
      </c>
      <c r="B3870">
        <v>4016110</v>
      </c>
      <c r="C3870" t="s">
        <v>14829</v>
      </c>
      <c r="D3870" t="s">
        <v>441</v>
      </c>
      <c r="F3870">
        <v>0</v>
      </c>
      <c r="G3870">
        <v>1.85</v>
      </c>
      <c r="H3870" t="s">
        <v>8588</v>
      </c>
      <c r="I3870">
        <v>10</v>
      </c>
      <c r="J3870" t="s">
        <v>462</v>
      </c>
      <c r="M3870">
        <v>7112</v>
      </c>
      <c r="N3870" t="s">
        <v>16143</v>
      </c>
    </row>
    <row r="3871" spans="1:14">
      <c r="A3871">
        <v>17710034</v>
      </c>
      <c r="B3871">
        <v>4023506</v>
      </c>
      <c r="C3871" t="s">
        <v>14830</v>
      </c>
      <c r="D3871" t="s">
        <v>441</v>
      </c>
      <c r="F3871">
        <v>0</v>
      </c>
      <c r="G3871">
        <v>1.77</v>
      </c>
      <c r="H3871" t="s">
        <v>8588</v>
      </c>
      <c r="I3871">
        <v>9</v>
      </c>
      <c r="J3871" t="s">
        <v>462</v>
      </c>
      <c r="M3871">
        <v>7112</v>
      </c>
      <c r="N3871" t="s">
        <v>16143</v>
      </c>
    </row>
    <row r="3872" spans="1:14">
      <c r="A3872">
        <v>17710041</v>
      </c>
      <c r="B3872">
        <v>4012879</v>
      </c>
      <c r="C3872" t="s">
        <v>10189</v>
      </c>
      <c r="D3872" t="s">
        <v>441</v>
      </c>
      <c r="F3872">
        <v>0</v>
      </c>
      <c r="G3872">
        <v>5.5</v>
      </c>
      <c r="H3872" t="s">
        <v>8588</v>
      </c>
      <c r="I3872">
        <v>10</v>
      </c>
      <c r="J3872" t="s">
        <v>462</v>
      </c>
      <c r="K3872" t="s">
        <v>446</v>
      </c>
      <c r="M3872">
        <v>2612</v>
      </c>
    </row>
    <row r="3873" spans="1:14">
      <c r="A3873">
        <v>17710042</v>
      </c>
      <c r="B3873">
        <v>4018252</v>
      </c>
      <c r="C3873" t="s">
        <v>15485</v>
      </c>
      <c r="D3873" t="s">
        <v>441</v>
      </c>
      <c r="F3873">
        <v>0</v>
      </c>
      <c r="G3873">
        <v>2.16</v>
      </c>
      <c r="H3873" t="s">
        <v>8588</v>
      </c>
      <c r="I3873">
        <v>10</v>
      </c>
      <c r="J3873" t="s">
        <v>462</v>
      </c>
      <c r="M3873">
        <v>7112</v>
      </c>
      <c r="N3873" t="s">
        <v>16143</v>
      </c>
    </row>
    <row r="3874" spans="1:14">
      <c r="A3874">
        <v>17710043</v>
      </c>
      <c r="B3874">
        <v>4019626</v>
      </c>
      <c r="C3874" t="s">
        <v>14831</v>
      </c>
      <c r="D3874" t="s">
        <v>441</v>
      </c>
      <c r="F3874">
        <v>0</v>
      </c>
      <c r="G3874">
        <v>1.81</v>
      </c>
      <c r="H3874" t="s">
        <v>8588</v>
      </c>
      <c r="I3874">
        <v>8</v>
      </c>
      <c r="J3874" t="s">
        <v>462</v>
      </c>
      <c r="M3874">
        <v>7112</v>
      </c>
      <c r="N3874" t="s">
        <v>16143</v>
      </c>
    </row>
    <row r="3875" spans="1:14">
      <c r="A3875">
        <v>17710051</v>
      </c>
      <c r="B3875">
        <v>4012990</v>
      </c>
      <c r="C3875" t="s">
        <v>10190</v>
      </c>
      <c r="D3875" t="s">
        <v>441</v>
      </c>
      <c r="F3875">
        <v>0</v>
      </c>
      <c r="G3875">
        <v>5.57</v>
      </c>
      <c r="H3875" t="s">
        <v>8588</v>
      </c>
      <c r="I3875">
        <v>10</v>
      </c>
      <c r="J3875" t="s">
        <v>462</v>
      </c>
      <c r="K3875" t="s">
        <v>446</v>
      </c>
      <c r="M3875">
        <v>2612</v>
      </c>
    </row>
    <row r="3876" spans="1:14">
      <c r="A3876">
        <v>17710075</v>
      </c>
      <c r="B3876">
        <v>4024792</v>
      </c>
      <c r="C3876" t="s">
        <v>10191</v>
      </c>
      <c r="D3876" t="s">
        <v>441</v>
      </c>
      <c r="F3876">
        <v>0</v>
      </c>
      <c r="G3876">
        <v>1.4</v>
      </c>
      <c r="H3876" t="s">
        <v>8588</v>
      </c>
      <c r="I3876">
        <v>6</v>
      </c>
      <c r="J3876" t="s">
        <v>462</v>
      </c>
      <c r="M3876">
        <v>7112</v>
      </c>
      <c r="N3876" t="s">
        <v>16143</v>
      </c>
    </row>
    <row r="3877" spans="1:14">
      <c r="A3877">
        <v>17710077</v>
      </c>
      <c r="B3877">
        <v>4007409</v>
      </c>
      <c r="C3877" t="s">
        <v>10192</v>
      </c>
      <c r="D3877" t="s">
        <v>441</v>
      </c>
      <c r="F3877">
        <v>0</v>
      </c>
      <c r="G3877">
        <v>4.8899999999999997</v>
      </c>
      <c r="H3877" t="s">
        <v>8588</v>
      </c>
      <c r="I3877">
        <v>6</v>
      </c>
      <c r="J3877" t="s">
        <v>462</v>
      </c>
      <c r="K3877" t="s">
        <v>446</v>
      </c>
      <c r="M3877">
        <v>2641</v>
      </c>
    </row>
    <row r="3878" spans="1:14">
      <c r="A3878">
        <v>17710080</v>
      </c>
      <c r="B3878">
        <v>4027377</v>
      </c>
      <c r="C3878" t="s">
        <v>10193</v>
      </c>
      <c r="D3878" t="s">
        <v>441</v>
      </c>
      <c r="F3878">
        <v>0</v>
      </c>
      <c r="G3878">
        <v>1.04</v>
      </c>
      <c r="H3878" t="s">
        <v>8588</v>
      </c>
      <c r="I3878">
        <v>6</v>
      </c>
      <c r="J3878" t="s">
        <v>462</v>
      </c>
      <c r="M3878">
        <v>7112</v>
      </c>
      <c r="N3878" t="s">
        <v>16143</v>
      </c>
    </row>
    <row r="3879" spans="1:14">
      <c r="A3879">
        <v>17710087</v>
      </c>
      <c r="B3879">
        <v>4028230</v>
      </c>
      <c r="C3879" t="s">
        <v>10194</v>
      </c>
      <c r="D3879" t="s">
        <v>441</v>
      </c>
      <c r="F3879">
        <v>0</v>
      </c>
      <c r="G3879">
        <v>0.99</v>
      </c>
      <c r="H3879" t="s">
        <v>8588</v>
      </c>
      <c r="I3879">
        <v>6</v>
      </c>
      <c r="J3879" t="s">
        <v>462</v>
      </c>
      <c r="M3879">
        <v>7112</v>
      </c>
      <c r="N3879" t="s">
        <v>16143</v>
      </c>
    </row>
    <row r="3880" spans="1:14">
      <c r="A3880">
        <v>17710091</v>
      </c>
      <c r="B3880">
        <v>4001811</v>
      </c>
      <c r="C3880" t="s">
        <v>10195</v>
      </c>
      <c r="D3880" t="s">
        <v>441</v>
      </c>
      <c r="F3880">
        <v>0</v>
      </c>
      <c r="G3880">
        <v>3.31</v>
      </c>
      <c r="H3880" t="s">
        <v>8588</v>
      </c>
      <c r="I3880">
        <v>365</v>
      </c>
      <c r="J3880" t="s">
        <v>462</v>
      </c>
      <c r="K3880" t="s">
        <v>446</v>
      </c>
      <c r="M3880">
        <v>2501</v>
      </c>
    </row>
    <row r="3881" spans="1:14">
      <c r="A3881">
        <v>17710525</v>
      </c>
      <c r="B3881">
        <v>3029717</v>
      </c>
      <c r="C3881" t="s">
        <v>14832</v>
      </c>
      <c r="D3881" t="s">
        <v>442</v>
      </c>
      <c r="E3881" t="s">
        <v>441</v>
      </c>
      <c r="F3881">
        <v>20</v>
      </c>
      <c r="G3881">
        <v>30.58</v>
      </c>
      <c r="H3881" t="s">
        <v>8588</v>
      </c>
      <c r="I3881">
        <v>540</v>
      </c>
      <c r="J3881" t="s">
        <v>445</v>
      </c>
      <c r="M3881">
        <v>2502</v>
      </c>
      <c r="N3881" t="s">
        <v>16143</v>
      </c>
    </row>
    <row r="3882" spans="1:14">
      <c r="A3882">
        <v>17710526</v>
      </c>
      <c r="B3882">
        <v>3024677</v>
      </c>
      <c r="C3882" t="s">
        <v>14833</v>
      </c>
      <c r="D3882" t="s">
        <v>442</v>
      </c>
      <c r="E3882" t="s">
        <v>441</v>
      </c>
      <c r="F3882">
        <v>20</v>
      </c>
      <c r="G3882">
        <v>30.58</v>
      </c>
      <c r="H3882" t="s">
        <v>8549</v>
      </c>
      <c r="I3882">
        <v>540</v>
      </c>
      <c r="J3882" t="s">
        <v>445</v>
      </c>
      <c r="M3882">
        <v>2502</v>
      </c>
      <c r="N3882" t="s">
        <v>16143</v>
      </c>
    </row>
    <row r="3883" spans="1:14">
      <c r="A3883">
        <v>17710527</v>
      </c>
      <c r="B3883">
        <v>3007770</v>
      </c>
      <c r="C3883" t="s">
        <v>10196</v>
      </c>
      <c r="D3883" t="s">
        <v>441</v>
      </c>
      <c r="F3883">
        <v>0</v>
      </c>
      <c r="G3883">
        <v>5.05</v>
      </c>
      <c r="H3883" t="s">
        <v>8634</v>
      </c>
      <c r="I3883">
        <v>6</v>
      </c>
      <c r="J3883" t="s">
        <v>445</v>
      </c>
      <c r="K3883" t="s">
        <v>446</v>
      </c>
      <c r="M3883">
        <v>2641</v>
      </c>
    </row>
    <row r="3884" spans="1:14">
      <c r="A3884">
        <v>17710528</v>
      </c>
      <c r="B3884">
        <v>3028498</v>
      </c>
      <c r="C3884" t="s">
        <v>10197</v>
      </c>
      <c r="D3884" t="s">
        <v>442</v>
      </c>
      <c r="E3884" t="s">
        <v>441</v>
      </c>
      <c r="F3884">
        <v>10</v>
      </c>
      <c r="G3884">
        <v>14.7</v>
      </c>
      <c r="H3884" t="s">
        <v>8549</v>
      </c>
      <c r="I3884">
        <v>540</v>
      </c>
      <c r="J3884" t="s">
        <v>445</v>
      </c>
      <c r="M3884">
        <v>2502</v>
      </c>
      <c r="N3884" t="s">
        <v>16143</v>
      </c>
    </row>
    <row r="3885" spans="1:14">
      <c r="A3885">
        <v>17710529</v>
      </c>
      <c r="B3885">
        <v>3007771</v>
      </c>
      <c r="C3885" t="s">
        <v>10198</v>
      </c>
      <c r="D3885" t="s">
        <v>441</v>
      </c>
      <c r="F3885">
        <v>0</v>
      </c>
      <c r="G3885">
        <v>7.75</v>
      </c>
      <c r="H3885" t="s">
        <v>8634</v>
      </c>
      <c r="I3885">
        <v>6</v>
      </c>
      <c r="J3885" t="s">
        <v>445</v>
      </c>
      <c r="K3885" t="s">
        <v>446</v>
      </c>
      <c r="M3885">
        <v>2641</v>
      </c>
    </row>
    <row r="3886" spans="1:14">
      <c r="A3886">
        <v>17710591</v>
      </c>
      <c r="B3886">
        <v>3007772</v>
      </c>
      <c r="C3886" t="s">
        <v>10199</v>
      </c>
      <c r="D3886" t="s">
        <v>441</v>
      </c>
      <c r="F3886">
        <v>0</v>
      </c>
      <c r="G3886">
        <v>5.18</v>
      </c>
      <c r="H3886" t="s">
        <v>8634</v>
      </c>
      <c r="I3886">
        <v>6</v>
      </c>
      <c r="J3886" t="s">
        <v>445</v>
      </c>
      <c r="K3886" t="s">
        <v>446</v>
      </c>
      <c r="M3886">
        <v>2641</v>
      </c>
    </row>
    <row r="3887" spans="1:14">
      <c r="A3887">
        <v>17711000</v>
      </c>
      <c r="B3887">
        <v>3009053</v>
      </c>
      <c r="C3887" t="s">
        <v>14834</v>
      </c>
      <c r="D3887" t="s">
        <v>441</v>
      </c>
      <c r="F3887">
        <v>0</v>
      </c>
      <c r="G3887">
        <v>1.1200000000000001</v>
      </c>
      <c r="I3887">
        <v>6</v>
      </c>
      <c r="J3887" t="s">
        <v>445</v>
      </c>
      <c r="M3887">
        <v>2391</v>
      </c>
      <c r="N3887" t="s">
        <v>16143</v>
      </c>
    </row>
    <row r="3888" spans="1:14">
      <c r="A3888">
        <v>17711026</v>
      </c>
      <c r="B3888">
        <v>4016357</v>
      </c>
      <c r="C3888" t="s">
        <v>14835</v>
      </c>
      <c r="D3888" t="s">
        <v>442</v>
      </c>
      <c r="E3888" t="s">
        <v>441</v>
      </c>
      <c r="F3888">
        <v>20</v>
      </c>
      <c r="G3888">
        <v>40.200000000000003</v>
      </c>
      <c r="H3888" t="s">
        <v>8588</v>
      </c>
      <c r="I3888">
        <v>540</v>
      </c>
      <c r="J3888" t="s">
        <v>462</v>
      </c>
      <c r="M3888">
        <v>7111</v>
      </c>
      <c r="N3888" t="s">
        <v>16143</v>
      </c>
    </row>
    <row r="3889" spans="1:14">
      <c r="A3889">
        <v>17711526</v>
      </c>
      <c r="B3889">
        <v>3024806</v>
      </c>
      <c r="C3889" t="s">
        <v>14836</v>
      </c>
      <c r="D3889" t="s">
        <v>442</v>
      </c>
      <c r="E3889" t="s">
        <v>441</v>
      </c>
      <c r="F3889">
        <v>20</v>
      </c>
      <c r="G3889">
        <v>31.07</v>
      </c>
      <c r="H3889" t="s">
        <v>8549</v>
      </c>
      <c r="I3889">
        <v>540</v>
      </c>
      <c r="J3889" t="s">
        <v>445</v>
      </c>
      <c r="M3889">
        <v>2502</v>
      </c>
      <c r="N3889" t="s">
        <v>16143</v>
      </c>
    </row>
    <row r="3890" spans="1:14">
      <c r="A3890">
        <v>17713000</v>
      </c>
      <c r="B3890">
        <v>3016373</v>
      </c>
      <c r="C3890" t="s">
        <v>10200</v>
      </c>
      <c r="D3890" t="s">
        <v>441</v>
      </c>
      <c r="F3890">
        <v>0</v>
      </c>
      <c r="G3890">
        <v>0.9</v>
      </c>
      <c r="H3890" t="s">
        <v>8634</v>
      </c>
      <c r="I3890">
        <v>6</v>
      </c>
      <c r="J3890" t="s">
        <v>445</v>
      </c>
      <c r="M3890">
        <v>2391</v>
      </c>
      <c r="N3890" t="s">
        <v>16143</v>
      </c>
    </row>
    <row r="3891" spans="1:14">
      <c r="A3891">
        <v>17713007</v>
      </c>
      <c r="B3891">
        <v>3024947</v>
      </c>
      <c r="C3891" t="s">
        <v>14837</v>
      </c>
      <c r="D3891" t="s">
        <v>441</v>
      </c>
      <c r="F3891">
        <v>0</v>
      </c>
      <c r="G3891">
        <v>1.19</v>
      </c>
      <c r="H3891" t="s">
        <v>8580</v>
      </c>
      <c r="I3891">
        <v>6</v>
      </c>
      <c r="J3891" t="s">
        <v>445</v>
      </c>
      <c r="M3891">
        <v>2391</v>
      </c>
      <c r="N3891" t="s">
        <v>16143</v>
      </c>
    </row>
    <row r="3892" spans="1:14">
      <c r="A3892">
        <v>17714000</v>
      </c>
      <c r="B3892">
        <v>3035907</v>
      </c>
      <c r="C3892" t="s">
        <v>10201</v>
      </c>
      <c r="D3892" t="s">
        <v>441</v>
      </c>
      <c r="F3892">
        <v>0</v>
      </c>
      <c r="G3892">
        <v>0.9</v>
      </c>
      <c r="H3892" t="s">
        <v>8549</v>
      </c>
      <c r="I3892">
        <v>6</v>
      </c>
      <c r="J3892" t="s">
        <v>445</v>
      </c>
      <c r="M3892">
        <v>2391</v>
      </c>
      <c r="N3892" t="s">
        <v>16143</v>
      </c>
    </row>
    <row r="3893" spans="1:14">
      <c r="A3893">
        <v>17715000</v>
      </c>
      <c r="B3893">
        <v>3035219</v>
      </c>
      <c r="C3893" t="s">
        <v>10202</v>
      </c>
      <c r="D3893" t="s">
        <v>441</v>
      </c>
      <c r="F3893">
        <v>0</v>
      </c>
      <c r="G3893">
        <v>0.9</v>
      </c>
      <c r="H3893" t="s">
        <v>8549</v>
      </c>
      <c r="I3893">
        <v>6</v>
      </c>
      <c r="J3893" t="s">
        <v>445</v>
      </c>
      <c r="M3893">
        <v>2391</v>
      </c>
      <c r="N3893" t="s">
        <v>16143</v>
      </c>
    </row>
    <row r="3894" spans="1:14">
      <c r="A3894">
        <v>17715026</v>
      </c>
      <c r="B3894">
        <v>4023862</v>
      </c>
      <c r="C3894" t="s">
        <v>10203</v>
      </c>
      <c r="D3894" t="s">
        <v>442</v>
      </c>
      <c r="E3894" t="s">
        <v>441</v>
      </c>
      <c r="F3894">
        <v>20</v>
      </c>
      <c r="G3894">
        <v>31.12</v>
      </c>
      <c r="H3894" t="s">
        <v>8588</v>
      </c>
      <c r="I3894">
        <v>540</v>
      </c>
      <c r="J3894" t="s">
        <v>462</v>
      </c>
      <c r="M3894">
        <v>7111</v>
      </c>
      <c r="N3894" t="s">
        <v>16143</v>
      </c>
    </row>
    <row r="3895" spans="1:14">
      <c r="A3895">
        <v>17715526</v>
      </c>
      <c r="B3895">
        <v>3035184</v>
      </c>
      <c r="C3895" t="s">
        <v>10204</v>
      </c>
      <c r="D3895" t="s">
        <v>442</v>
      </c>
      <c r="E3895" t="s">
        <v>441</v>
      </c>
      <c r="F3895">
        <v>20</v>
      </c>
      <c r="G3895">
        <v>25.85</v>
      </c>
      <c r="H3895" t="s">
        <v>8549</v>
      </c>
      <c r="I3895">
        <v>6</v>
      </c>
      <c r="J3895" t="s">
        <v>445</v>
      </c>
      <c r="M3895">
        <v>2502</v>
      </c>
      <c r="N3895" t="s">
        <v>16143</v>
      </c>
    </row>
    <row r="3896" spans="1:14">
      <c r="A3896">
        <v>17716000</v>
      </c>
      <c r="B3896">
        <v>3009052</v>
      </c>
      <c r="C3896" t="s">
        <v>10205</v>
      </c>
      <c r="D3896" t="s">
        <v>441</v>
      </c>
      <c r="F3896">
        <v>0</v>
      </c>
      <c r="G3896">
        <v>4.08</v>
      </c>
      <c r="H3896" t="s">
        <v>8637</v>
      </c>
      <c r="I3896">
        <v>6</v>
      </c>
      <c r="J3896" t="s">
        <v>445</v>
      </c>
      <c r="K3896" t="s">
        <v>446</v>
      </c>
      <c r="M3896">
        <v>2390</v>
      </c>
    </row>
    <row r="3897" spans="1:14">
      <c r="A3897">
        <v>17717000</v>
      </c>
      <c r="B3897">
        <v>3037623</v>
      </c>
      <c r="C3897" t="s">
        <v>10206</v>
      </c>
      <c r="D3897" t="s">
        <v>441</v>
      </c>
      <c r="F3897">
        <v>0</v>
      </c>
      <c r="G3897">
        <v>0.9</v>
      </c>
      <c r="H3897" t="s">
        <v>8549</v>
      </c>
      <c r="I3897">
        <v>6</v>
      </c>
      <c r="J3897" t="s">
        <v>445</v>
      </c>
      <c r="M3897">
        <v>2391</v>
      </c>
      <c r="N3897" t="s">
        <v>16143</v>
      </c>
    </row>
    <row r="3898" spans="1:14">
      <c r="A3898">
        <v>17720000</v>
      </c>
      <c r="B3898">
        <v>3016019</v>
      </c>
      <c r="C3898" t="s">
        <v>2273</v>
      </c>
      <c r="D3898" t="s">
        <v>441</v>
      </c>
      <c r="F3898">
        <v>0</v>
      </c>
      <c r="H3898" t="s">
        <v>8624</v>
      </c>
      <c r="I3898">
        <v>6</v>
      </c>
      <c r="J3898" t="s">
        <v>445</v>
      </c>
      <c r="M3898">
        <v>2391</v>
      </c>
      <c r="N3898" t="s">
        <v>16125</v>
      </c>
    </row>
    <row r="3899" spans="1:14">
      <c r="A3899">
        <v>17720020</v>
      </c>
      <c r="B3899">
        <v>4003883</v>
      </c>
      <c r="C3899" t="s">
        <v>10207</v>
      </c>
      <c r="D3899" t="s">
        <v>441</v>
      </c>
      <c r="F3899">
        <v>0</v>
      </c>
      <c r="G3899">
        <v>3.52</v>
      </c>
      <c r="H3899" t="s">
        <v>8588</v>
      </c>
      <c r="I3899">
        <v>6</v>
      </c>
      <c r="J3899" t="s">
        <v>462</v>
      </c>
      <c r="K3899" t="s">
        <v>446</v>
      </c>
      <c r="L3899">
        <v>11251</v>
      </c>
      <c r="M3899">
        <v>2641</v>
      </c>
    </row>
    <row r="3900" spans="1:14">
      <c r="A3900">
        <v>17723000</v>
      </c>
      <c r="B3900">
        <v>3015316</v>
      </c>
      <c r="C3900" t="s">
        <v>14838</v>
      </c>
      <c r="D3900" t="s">
        <v>441</v>
      </c>
      <c r="F3900">
        <v>0</v>
      </c>
      <c r="G3900">
        <v>2.4</v>
      </c>
      <c r="I3900">
        <v>6</v>
      </c>
      <c r="J3900" t="s">
        <v>445</v>
      </c>
      <c r="M3900">
        <v>2391</v>
      </c>
      <c r="N3900" t="s">
        <v>16125</v>
      </c>
    </row>
    <row r="3901" spans="1:14">
      <c r="A3901">
        <v>17723007</v>
      </c>
      <c r="B3901">
        <v>3024948</v>
      </c>
      <c r="C3901" t="s">
        <v>14839</v>
      </c>
      <c r="D3901" t="s">
        <v>441</v>
      </c>
      <c r="F3901">
        <v>0</v>
      </c>
      <c r="G3901">
        <v>2.4900000000000002</v>
      </c>
      <c r="H3901" t="s">
        <v>8580</v>
      </c>
      <c r="I3901">
        <v>6</v>
      </c>
      <c r="J3901" t="s">
        <v>445</v>
      </c>
      <c r="M3901">
        <v>2391</v>
      </c>
      <c r="N3901" t="s">
        <v>16125</v>
      </c>
    </row>
    <row r="3902" spans="1:14">
      <c r="A3902">
        <v>17730000</v>
      </c>
      <c r="B3902">
        <v>3007773</v>
      </c>
      <c r="C3902" t="s">
        <v>10208</v>
      </c>
      <c r="D3902" t="s">
        <v>441</v>
      </c>
      <c r="F3902">
        <v>0</v>
      </c>
      <c r="G3902">
        <v>0.39</v>
      </c>
      <c r="H3902" t="s">
        <v>8634</v>
      </c>
      <c r="I3902">
        <v>6</v>
      </c>
      <c r="J3902" t="s">
        <v>445</v>
      </c>
      <c r="M3902">
        <v>2391</v>
      </c>
      <c r="N3902" t="s">
        <v>16125</v>
      </c>
    </row>
    <row r="3903" spans="1:14">
      <c r="A3903">
        <v>17730020</v>
      </c>
      <c r="B3903">
        <v>4003885</v>
      </c>
      <c r="C3903" t="s">
        <v>10209</v>
      </c>
      <c r="D3903" t="s">
        <v>441</v>
      </c>
      <c r="F3903">
        <v>0</v>
      </c>
      <c r="G3903">
        <v>2.0099999999999998</v>
      </c>
      <c r="H3903" t="s">
        <v>8588</v>
      </c>
      <c r="I3903">
        <v>6</v>
      </c>
      <c r="J3903" t="s">
        <v>462</v>
      </c>
      <c r="K3903" t="s">
        <v>446</v>
      </c>
      <c r="M3903">
        <v>2641</v>
      </c>
    </row>
    <row r="3904" spans="1:14">
      <c r="A3904">
        <v>17730025</v>
      </c>
      <c r="B3904">
        <v>4022081</v>
      </c>
      <c r="C3904" t="s">
        <v>10210</v>
      </c>
      <c r="D3904" t="s">
        <v>442</v>
      </c>
      <c r="E3904" t="s">
        <v>441</v>
      </c>
      <c r="F3904">
        <v>10</v>
      </c>
      <c r="G3904">
        <v>13.19</v>
      </c>
      <c r="H3904" t="s">
        <v>8588</v>
      </c>
      <c r="I3904">
        <v>540</v>
      </c>
      <c r="J3904" t="s">
        <v>462</v>
      </c>
      <c r="M3904">
        <v>7111</v>
      </c>
      <c r="N3904" t="s">
        <v>16125</v>
      </c>
    </row>
    <row r="3905" spans="1:14">
      <c r="A3905">
        <v>17730525</v>
      </c>
      <c r="B3905">
        <v>3033122</v>
      </c>
      <c r="C3905" t="s">
        <v>10211</v>
      </c>
      <c r="D3905" t="s">
        <v>442</v>
      </c>
      <c r="E3905" t="s">
        <v>441</v>
      </c>
      <c r="F3905">
        <v>10</v>
      </c>
      <c r="G3905">
        <v>9.19</v>
      </c>
      <c r="H3905" t="s">
        <v>8588</v>
      </c>
      <c r="I3905">
        <v>6</v>
      </c>
      <c r="J3905" t="s">
        <v>445</v>
      </c>
      <c r="M3905">
        <v>2502</v>
      </c>
      <c r="N3905" t="s">
        <v>16125</v>
      </c>
    </row>
    <row r="3906" spans="1:14">
      <c r="A3906">
        <v>17733000</v>
      </c>
      <c r="B3906">
        <v>3008906</v>
      </c>
      <c r="C3906" t="s">
        <v>10212</v>
      </c>
      <c r="D3906" t="s">
        <v>441</v>
      </c>
      <c r="F3906">
        <v>0</v>
      </c>
      <c r="G3906">
        <v>0.39</v>
      </c>
      <c r="H3906" t="s">
        <v>8580</v>
      </c>
      <c r="I3906">
        <v>6</v>
      </c>
      <c r="J3906" t="s">
        <v>445</v>
      </c>
      <c r="M3906">
        <v>2391</v>
      </c>
      <c r="N3906" t="s">
        <v>16125</v>
      </c>
    </row>
    <row r="3907" spans="1:14">
      <c r="A3907">
        <v>17740000</v>
      </c>
      <c r="B3907">
        <v>3007774</v>
      </c>
      <c r="C3907" t="s">
        <v>14840</v>
      </c>
      <c r="D3907" t="s">
        <v>441</v>
      </c>
      <c r="F3907">
        <v>0</v>
      </c>
      <c r="H3907" t="s">
        <v>8634</v>
      </c>
      <c r="I3907">
        <v>6</v>
      </c>
      <c r="J3907" t="s">
        <v>445</v>
      </c>
      <c r="M3907">
        <v>2391</v>
      </c>
      <c r="N3907" t="s">
        <v>16143</v>
      </c>
    </row>
    <row r="3908" spans="1:14">
      <c r="A3908">
        <v>17740020</v>
      </c>
      <c r="B3908">
        <v>4003886</v>
      </c>
      <c r="C3908" t="s">
        <v>14291</v>
      </c>
      <c r="D3908" t="s">
        <v>441</v>
      </c>
      <c r="F3908">
        <v>0</v>
      </c>
      <c r="G3908">
        <v>3.26</v>
      </c>
      <c r="H3908" t="s">
        <v>8588</v>
      </c>
      <c r="I3908">
        <v>6</v>
      </c>
      <c r="J3908" t="s">
        <v>462</v>
      </c>
      <c r="L3908">
        <v>2082322</v>
      </c>
      <c r="M3908">
        <v>7112</v>
      </c>
      <c r="N3908" t="s">
        <v>16143</v>
      </c>
    </row>
    <row r="3909" spans="1:14">
      <c r="A3909">
        <v>17740088</v>
      </c>
      <c r="B3909">
        <v>1100050</v>
      </c>
      <c r="C3909" t="s">
        <v>10213</v>
      </c>
      <c r="D3909" t="s">
        <v>441</v>
      </c>
      <c r="F3909">
        <v>0</v>
      </c>
      <c r="G3909">
        <v>0.01</v>
      </c>
      <c r="H3909" t="s">
        <v>8933</v>
      </c>
      <c r="I3909">
        <v>5</v>
      </c>
      <c r="J3909" t="s">
        <v>511</v>
      </c>
      <c r="K3909" t="s">
        <v>446</v>
      </c>
      <c r="M3909">
        <v>0</v>
      </c>
      <c r="N3909" t="s">
        <v>16144</v>
      </c>
    </row>
    <row r="3910" spans="1:14">
      <c r="A3910">
        <v>17743000</v>
      </c>
      <c r="B3910">
        <v>3017995</v>
      </c>
      <c r="C3910" t="s">
        <v>14841</v>
      </c>
      <c r="D3910" t="s">
        <v>441</v>
      </c>
      <c r="F3910">
        <v>0</v>
      </c>
      <c r="G3910">
        <v>2.4</v>
      </c>
      <c r="H3910" t="s">
        <v>9884</v>
      </c>
      <c r="I3910">
        <v>6</v>
      </c>
      <c r="J3910" t="s">
        <v>445</v>
      </c>
      <c r="M3910">
        <v>2391</v>
      </c>
      <c r="N3910" t="s">
        <v>16143</v>
      </c>
    </row>
    <row r="3911" spans="1:14">
      <c r="A3911">
        <v>17743007</v>
      </c>
      <c r="B3911">
        <v>3024949</v>
      </c>
      <c r="C3911" t="s">
        <v>14842</v>
      </c>
      <c r="D3911" t="s">
        <v>441</v>
      </c>
      <c r="F3911">
        <v>0</v>
      </c>
      <c r="G3911">
        <v>2.4900000000000002</v>
      </c>
      <c r="H3911" t="s">
        <v>8580</v>
      </c>
      <c r="I3911">
        <v>6</v>
      </c>
      <c r="J3911" t="s">
        <v>445</v>
      </c>
      <c r="M3911">
        <v>2391</v>
      </c>
      <c r="N3911" t="s">
        <v>16143</v>
      </c>
    </row>
    <row r="3912" spans="1:14">
      <c r="A3912">
        <v>17750000</v>
      </c>
      <c r="B3912">
        <v>3016015</v>
      </c>
      <c r="C3912" t="s">
        <v>2274</v>
      </c>
      <c r="D3912" t="s">
        <v>441</v>
      </c>
      <c r="F3912">
        <v>0</v>
      </c>
      <c r="H3912" t="s">
        <v>8624</v>
      </c>
      <c r="I3912">
        <v>6</v>
      </c>
      <c r="J3912" t="s">
        <v>445</v>
      </c>
      <c r="M3912">
        <v>2143</v>
      </c>
      <c r="N3912" t="s">
        <v>16145</v>
      </c>
    </row>
    <row r="3913" spans="1:14">
      <c r="A3913">
        <v>17750020</v>
      </c>
      <c r="B3913">
        <v>4003887</v>
      </c>
      <c r="C3913" t="s">
        <v>10214</v>
      </c>
      <c r="D3913" t="s">
        <v>441</v>
      </c>
      <c r="F3913">
        <v>0</v>
      </c>
      <c r="G3913">
        <v>1.63</v>
      </c>
      <c r="H3913" t="s">
        <v>8588</v>
      </c>
      <c r="I3913">
        <v>6</v>
      </c>
      <c r="J3913" t="s">
        <v>462</v>
      </c>
      <c r="K3913" t="s">
        <v>446</v>
      </c>
      <c r="M3913">
        <v>2641</v>
      </c>
    </row>
    <row r="3914" spans="1:14">
      <c r="A3914">
        <v>17750025</v>
      </c>
      <c r="B3914">
        <v>4023647</v>
      </c>
      <c r="C3914" t="s">
        <v>2275</v>
      </c>
      <c r="D3914" t="s">
        <v>441</v>
      </c>
      <c r="F3914">
        <v>0</v>
      </c>
      <c r="G3914">
        <v>1.62</v>
      </c>
      <c r="H3914" t="s">
        <v>8588</v>
      </c>
      <c r="I3914">
        <v>540</v>
      </c>
      <c r="J3914" t="s">
        <v>462</v>
      </c>
      <c r="M3914">
        <v>7111</v>
      </c>
      <c r="N3914" t="s">
        <v>16145</v>
      </c>
    </row>
    <row r="3915" spans="1:14">
      <c r="A3915">
        <v>17750027</v>
      </c>
      <c r="B3915">
        <v>4008245</v>
      </c>
      <c r="C3915" t="s">
        <v>10215</v>
      </c>
      <c r="D3915" t="s">
        <v>441</v>
      </c>
      <c r="F3915">
        <v>0</v>
      </c>
      <c r="G3915">
        <v>1.87</v>
      </c>
      <c r="H3915" t="s">
        <v>8588</v>
      </c>
      <c r="I3915">
        <v>365</v>
      </c>
      <c r="J3915" t="s">
        <v>462</v>
      </c>
      <c r="K3915" t="s">
        <v>446</v>
      </c>
      <c r="M3915">
        <v>2501</v>
      </c>
    </row>
    <row r="3916" spans="1:14">
      <c r="A3916">
        <v>17750075</v>
      </c>
      <c r="B3916">
        <v>3008945</v>
      </c>
      <c r="C3916" t="s">
        <v>10216</v>
      </c>
      <c r="D3916" t="s">
        <v>441</v>
      </c>
      <c r="F3916">
        <v>0</v>
      </c>
      <c r="G3916">
        <v>1.47</v>
      </c>
      <c r="H3916" t="s">
        <v>8549</v>
      </c>
      <c r="I3916">
        <v>6</v>
      </c>
      <c r="J3916" t="s">
        <v>445</v>
      </c>
      <c r="K3916" t="s">
        <v>446</v>
      </c>
      <c r="M3916">
        <v>2641</v>
      </c>
    </row>
    <row r="3917" spans="1:14">
      <c r="A3917">
        <v>17750076</v>
      </c>
      <c r="B3917">
        <v>4013250</v>
      </c>
      <c r="C3917" t="s">
        <v>10217</v>
      </c>
      <c r="D3917" t="s">
        <v>441</v>
      </c>
      <c r="F3917">
        <v>0</v>
      </c>
      <c r="G3917">
        <v>1.48</v>
      </c>
      <c r="H3917" t="s">
        <v>8588</v>
      </c>
      <c r="I3917">
        <v>6</v>
      </c>
      <c r="J3917" t="s">
        <v>462</v>
      </c>
      <c r="K3917" t="s">
        <v>446</v>
      </c>
      <c r="M3917">
        <v>2641</v>
      </c>
    </row>
    <row r="3918" spans="1:14">
      <c r="A3918">
        <v>17750080</v>
      </c>
      <c r="B3918">
        <v>4001814</v>
      </c>
      <c r="C3918" t="s">
        <v>10218</v>
      </c>
      <c r="D3918" t="s">
        <v>441</v>
      </c>
      <c r="F3918">
        <v>0</v>
      </c>
      <c r="G3918">
        <v>1</v>
      </c>
      <c r="H3918" t="s">
        <v>8588</v>
      </c>
      <c r="I3918">
        <v>6</v>
      </c>
      <c r="J3918" t="s">
        <v>462</v>
      </c>
      <c r="K3918" t="s">
        <v>446</v>
      </c>
      <c r="M3918">
        <v>2501</v>
      </c>
    </row>
    <row r="3919" spans="1:14">
      <c r="A3919">
        <v>17750090</v>
      </c>
      <c r="B3919">
        <v>4009811</v>
      </c>
      <c r="C3919" t="s">
        <v>2276</v>
      </c>
      <c r="D3919" t="s">
        <v>441</v>
      </c>
      <c r="F3919">
        <v>0</v>
      </c>
      <c r="G3919">
        <v>0.9</v>
      </c>
      <c r="H3919" t="s">
        <v>8588</v>
      </c>
      <c r="I3919">
        <v>6</v>
      </c>
      <c r="J3919" t="s">
        <v>462</v>
      </c>
      <c r="M3919">
        <v>7112</v>
      </c>
      <c r="N3919" t="s">
        <v>16145</v>
      </c>
    </row>
    <row r="3920" spans="1:14">
      <c r="A3920">
        <v>17750100</v>
      </c>
      <c r="B3920">
        <v>3007775</v>
      </c>
      <c r="C3920" t="s">
        <v>10219</v>
      </c>
      <c r="D3920" t="s">
        <v>441</v>
      </c>
      <c r="F3920">
        <v>0</v>
      </c>
      <c r="H3920" t="s">
        <v>8634</v>
      </c>
      <c r="I3920">
        <v>9</v>
      </c>
      <c r="J3920" t="s">
        <v>445</v>
      </c>
      <c r="K3920" t="s">
        <v>446</v>
      </c>
      <c r="M3920">
        <v>0</v>
      </c>
    </row>
    <row r="3921" spans="1:14">
      <c r="A3921">
        <v>17750525</v>
      </c>
      <c r="B3921">
        <v>3035075</v>
      </c>
      <c r="C3921" t="s">
        <v>2277</v>
      </c>
      <c r="D3921" t="s">
        <v>441</v>
      </c>
      <c r="F3921">
        <v>0</v>
      </c>
      <c r="G3921">
        <v>1.33</v>
      </c>
      <c r="H3921" t="s">
        <v>8588</v>
      </c>
      <c r="I3921">
        <v>540</v>
      </c>
      <c r="J3921" t="s">
        <v>445</v>
      </c>
      <c r="M3921">
        <v>2502</v>
      </c>
      <c r="N3921" t="s">
        <v>16145</v>
      </c>
    </row>
    <row r="3922" spans="1:14">
      <c r="A3922">
        <v>17750527</v>
      </c>
      <c r="B3922">
        <v>3008921</v>
      </c>
      <c r="C3922" t="s">
        <v>10220</v>
      </c>
      <c r="D3922" t="s">
        <v>441</v>
      </c>
      <c r="F3922">
        <v>0</v>
      </c>
      <c r="G3922">
        <v>1.68</v>
      </c>
      <c r="H3922" t="s">
        <v>8580</v>
      </c>
      <c r="I3922">
        <v>6</v>
      </c>
      <c r="J3922" t="s">
        <v>445</v>
      </c>
      <c r="K3922" t="s">
        <v>446</v>
      </c>
      <c r="M3922">
        <v>2641</v>
      </c>
    </row>
    <row r="3923" spans="1:14">
      <c r="A3923">
        <v>17750580</v>
      </c>
      <c r="B3923">
        <v>3007776</v>
      </c>
      <c r="C3923" t="s">
        <v>10221</v>
      </c>
      <c r="D3923" t="s">
        <v>441</v>
      </c>
      <c r="F3923">
        <v>0</v>
      </c>
      <c r="G3923">
        <v>0.68</v>
      </c>
      <c r="H3923" t="s">
        <v>8634</v>
      </c>
      <c r="I3923">
        <v>6</v>
      </c>
      <c r="J3923" t="s">
        <v>445</v>
      </c>
      <c r="K3923" t="s">
        <v>446</v>
      </c>
      <c r="M3923">
        <v>2641</v>
      </c>
    </row>
    <row r="3924" spans="1:14">
      <c r="A3924">
        <v>17750627</v>
      </c>
      <c r="B3924">
        <v>3012490</v>
      </c>
      <c r="C3924" t="s">
        <v>10222</v>
      </c>
      <c r="D3924" t="s">
        <v>441</v>
      </c>
      <c r="F3924">
        <v>0</v>
      </c>
      <c r="G3924">
        <v>1.32</v>
      </c>
      <c r="I3924">
        <v>4</v>
      </c>
      <c r="J3924" t="s">
        <v>445</v>
      </c>
      <c r="K3924" t="s">
        <v>446</v>
      </c>
      <c r="M3924">
        <v>2511</v>
      </c>
    </row>
    <row r="3925" spans="1:14">
      <c r="A3925">
        <v>17751000</v>
      </c>
      <c r="B3925">
        <v>3009050</v>
      </c>
      <c r="C3925" t="s">
        <v>10223</v>
      </c>
      <c r="D3925" t="s">
        <v>441</v>
      </c>
      <c r="F3925">
        <v>0</v>
      </c>
      <c r="G3925">
        <v>0.6</v>
      </c>
      <c r="H3925" t="s">
        <v>8584</v>
      </c>
      <c r="I3925">
        <v>6</v>
      </c>
      <c r="J3925" t="s">
        <v>445</v>
      </c>
      <c r="K3925" t="s">
        <v>446</v>
      </c>
      <c r="M3925">
        <v>0</v>
      </c>
    </row>
    <row r="3926" spans="1:14">
      <c r="A3926">
        <v>17753000</v>
      </c>
      <c r="B3926">
        <v>3017996</v>
      </c>
      <c r="C3926" t="s">
        <v>2278</v>
      </c>
      <c r="D3926" t="s">
        <v>441</v>
      </c>
      <c r="F3926">
        <v>0</v>
      </c>
      <c r="G3926">
        <v>0.8</v>
      </c>
      <c r="H3926" t="s">
        <v>8588</v>
      </c>
      <c r="I3926">
        <v>6</v>
      </c>
      <c r="J3926" t="s">
        <v>445</v>
      </c>
      <c r="M3926">
        <v>2391</v>
      </c>
      <c r="N3926" t="s">
        <v>16145</v>
      </c>
    </row>
    <row r="3927" spans="1:14">
      <c r="A3927">
        <v>17753007</v>
      </c>
      <c r="B3927">
        <v>3024950</v>
      </c>
      <c r="C3927" t="s">
        <v>2279</v>
      </c>
      <c r="D3927" t="s">
        <v>441</v>
      </c>
      <c r="F3927">
        <v>0</v>
      </c>
      <c r="G3927">
        <v>0.87</v>
      </c>
      <c r="H3927" t="s">
        <v>8588</v>
      </c>
      <c r="I3927">
        <v>6</v>
      </c>
      <c r="J3927" t="s">
        <v>445</v>
      </c>
      <c r="M3927">
        <v>3111</v>
      </c>
      <c r="N3927" t="s">
        <v>16145</v>
      </c>
    </row>
    <row r="3928" spans="1:14">
      <c r="A3928">
        <v>17753900</v>
      </c>
      <c r="B3928">
        <v>3020270</v>
      </c>
      <c r="C3928" t="s">
        <v>2280</v>
      </c>
      <c r="D3928" t="s">
        <v>441</v>
      </c>
      <c r="F3928">
        <v>0</v>
      </c>
      <c r="H3928" t="s">
        <v>8584</v>
      </c>
      <c r="I3928">
        <v>6</v>
      </c>
      <c r="J3928" t="s">
        <v>445</v>
      </c>
      <c r="M3928">
        <v>6666</v>
      </c>
      <c r="N3928" t="s">
        <v>16145</v>
      </c>
    </row>
    <row r="3929" spans="1:14">
      <c r="A3929">
        <v>17753907</v>
      </c>
      <c r="B3929">
        <v>3025210</v>
      </c>
      <c r="C3929" t="s">
        <v>2281</v>
      </c>
      <c r="D3929" t="s">
        <v>441</v>
      </c>
      <c r="F3929">
        <v>0</v>
      </c>
      <c r="H3929" t="s">
        <v>8583</v>
      </c>
      <c r="I3929">
        <v>6</v>
      </c>
      <c r="J3929" t="s">
        <v>445</v>
      </c>
      <c r="M3929">
        <v>6666</v>
      </c>
      <c r="N3929" t="s">
        <v>16145</v>
      </c>
    </row>
    <row r="3930" spans="1:14">
      <c r="A3930">
        <v>17756000</v>
      </c>
      <c r="B3930">
        <v>3009051</v>
      </c>
      <c r="C3930" t="s">
        <v>10224</v>
      </c>
      <c r="D3930" t="s">
        <v>441</v>
      </c>
      <c r="F3930">
        <v>0</v>
      </c>
      <c r="G3930">
        <v>0.61</v>
      </c>
      <c r="H3930" t="s">
        <v>8549</v>
      </c>
      <c r="I3930">
        <v>6</v>
      </c>
      <c r="J3930" t="s">
        <v>445</v>
      </c>
      <c r="K3930" t="s">
        <v>446</v>
      </c>
      <c r="M3930">
        <v>2390</v>
      </c>
    </row>
    <row r="3931" spans="1:14">
      <c r="A3931">
        <v>17759000</v>
      </c>
      <c r="B3931">
        <v>3019015</v>
      </c>
      <c r="C3931" t="s">
        <v>2282</v>
      </c>
      <c r="D3931" t="s">
        <v>441</v>
      </c>
      <c r="F3931">
        <v>0</v>
      </c>
      <c r="G3931">
        <v>0.8</v>
      </c>
      <c r="H3931" t="s">
        <v>8588</v>
      </c>
      <c r="I3931">
        <v>2</v>
      </c>
      <c r="J3931" t="s">
        <v>445</v>
      </c>
      <c r="M3931">
        <v>3111</v>
      </c>
      <c r="N3931" t="s">
        <v>16145</v>
      </c>
    </row>
    <row r="3932" spans="1:14">
      <c r="A3932">
        <v>17759900</v>
      </c>
      <c r="B3932">
        <v>3020271</v>
      </c>
      <c r="C3932" t="s">
        <v>2283</v>
      </c>
      <c r="D3932" t="s">
        <v>441</v>
      </c>
      <c r="F3932">
        <v>0</v>
      </c>
      <c r="H3932" t="s">
        <v>8580</v>
      </c>
      <c r="I3932">
        <v>2</v>
      </c>
      <c r="J3932" t="s">
        <v>445</v>
      </c>
      <c r="M3932">
        <v>6666</v>
      </c>
      <c r="N3932" t="s">
        <v>16145</v>
      </c>
    </row>
    <row r="3933" spans="1:14">
      <c r="A3933">
        <v>17760000</v>
      </c>
      <c r="B3933">
        <v>3024401</v>
      </c>
      <c r="C3933" t="s">
        <v>2284</v>
      </c>
      <c r="D3933" t="s">
        <v>441</v>
      </c>
      <c r="F3933">
        <v>0</v>
      </c>
      <c r="G3933">
        <v>0.9</v>
      </c>
      <c r="H3933" t="s">
        <v>8549</v>
      </c>
      <c r="I3933">
        <v>6</v>
      </c>
      <c r="J3933" t="s">
        <v>445</v>
      </c>
      <c r="M3933">
        <v>2391</v>
      </c>
      <c r="N3933" t="s">
        <v>16143</v>
      </c>
    </row>
    <row r="3934" spans="1:14">
      <c r="A3934">
        <v>17760007</v>
      </c>
      <c r="B3934">
        <v>3040707</v>
      </c>
      <c r="C3934" t="s">
        <v>10225</v>
      </c>
      <c r="D3934" t="s">
        <v>441</v>
      </c>
      <c r="F3934">
        <v>0</v>
      </c>
      <c r="G3934">
        <v>0.97</v>
      </c>
      <c r="H3934" t="s">
        <v>8588</v>
      </c>
      <c r="I3934">
        <v>6</v>
      </c>
      <c r="J3934" t="s">
        <v>445</v>
      </c>
      <c r="M3934">
        <v>2391</v>
      </c>
      <c r="N3934" t="s">
        <v>16143</v>
      </c>
    </row>
    <row r="3935" spans="1:14">
      <c r="A3935">
        <v>17760026</v>
      </c>
      <c r="B3935">
        <v>4016288</v>
      </c>
      <c r="C3935" t="s">
        <v>10226</v>
      </c>
      <c r="D3935" t="s">
        <v>442</v>
      </c>
      <c r="E3935" t="s">
        <v>441</v>
      </c>
      <c r="F3935">
        <v>20</v>
      </c>
      <c r="G3935">
        <v>89.97</v>
      </c>
      <c r="H3935" t="s">
        <v>8588</v>
      </c>
      <c r="I3935">
        <v>540</v>
      </c>
      <c r="J3935" t="s">
        <v>462</v>
      </c>
      <c r="K3935" t="s">
        <v>446</v>
      </c>
      <c r="M3935">
        <v>2501</v>
      </c>
    </row>
    <row r="3936" spans="1:14">
      <c r="A3936">
        <v>17760027</v>
      </c>
      <c r="B3936">
        <v>4018728</v>
      </c>
      <c r="C3936" t="s">
        <v>14843</v>
      </c>
      <c r="D3936" t="s">
        <v>442</v>
      </c>
      <c r="E3936" t="s">
        <v>441</v>
      </c>
      <c r="F3936">
        <v>10</v>
      </c>
      <c r="G3936">
        <v>22.36</v>
      </c>
      <c r="H3936" t="s">
        <v>8588</v>
      </c>
      <c r="I3936">
        <v>540</v>
      </c>
      <c r="J3936" t="s">
        <v>462</v>
      </c>
      <c r="M3936">
        <v>7111</v>
      </c>
      <c r="N3936" t="s">
        <v>16143</v>
      </c>
    </row>
    <row r="3937" spans="1:14">
      <c r="A3937">
        <v>17760075</v>
      </c>
      <c r="B3937">
        <v>3039585</v>
      </c>
      <c r="C3937" t="s">
        <v>10227</v>
      </c>
      <c r="D3937" t="s">
        <v>441</v>
      </c>
      <c r="F3937">
        <v>0</v>
      </c>
      <c r="G3937">
        <v>1.43</v>
      </c>
      <c r="H3937" t="s">
        <v>8588</v>
      </c>
      <c r="I3937">
        <v>6</v>
      </c>
      <c r="J3937" t="s">
        <v>445</v>
      </c>
      <c r="M3937">
        <v>7112</v>
      </c>
      <c r="N3937" t="s">
        <v>16143</v>
      </c>
    </row>
    <row r="3938" spans="1:14">
      <c r="A3938">
        <v>17760080</v>
      </c>
      <c r="B3938">
        <v>4027376</v>
      </c>
      <c r="C3938" t="s">
        <v>10228</v>
      </c>
      <c r="D3938" t="s">
        <v>441</v>
      </c>
      <c r="F3938">
        <v>0</v>
      </c>
      <c r="G3938">
        <v>1.04</v>
      </c>
      <c r="H3938" t="s">
        <v>8588</v>
      </c>
      <c r="I3938">
        <v>6</v>
      </c>
      <c r="J3938" t="s">
        <v>462</v>
      </c>
      <c r="M3938">
        <v>7112</v>
      </c>
      <c r="N3938" t="s">
        <v>16143</v>
      </c>
    </row>
    <row r="3939" spans="1:14">
      <c r="A3939">
        <v>17760526</v>
      </c>
      <c r="B3939">
        <v>3024795</v>
      </c>
      <c r="C3939" t="s">
        <v>10229</v>
      </c>
      <c r="D3939" t="s">
        <v>442</v>
      </c>
      <c r="E3939" t="s">
        <v>441</v>
      </c>
      <c r="F3939">
        <v>20</v>
      </c>
      <c r="G3939">
        <v>86.89</v>
      </c>
      <c r="H3939" t="s">
        <v>8549</v>
      </c>
      <c r="I3939">
        <v>540</v>
      </c>
      <c r="J3939" t="s">
        <v>445</v>
      </c>
      <c r="K3939" t="s">
        <v>446</v>
      </c>
      <c r="M3939">
        <v>2641</v>
      </c>
    </row>
    <row r="3940" spans="1:14">
      <c r="A3940">
        <v>17760527</v>
      </c>
      <c r="B3940">
        <v>3028113</v>
      </c>
      <c r="C3940" t="s">
        <v>14844</v>
      </c>
      <c r="D3940" t="s">
        <v>442</v>
      </c>
      <c r="E3940" t="s">
        <v>441</v>
      </c>
      <c r="F3940">
        <v>10</v>
      </c>
      <c r="G3940">
        <v>17.8</v>
      </c>
      <c r="H3940" t="s">
        <v>8549</v>
      </c>
      <c r="I3940">
        <v>6</v>
      </c>
      <c r="J3940" t="s">
        <v>445</v>
      </c>
      <c r="M3940">
        <v>2502</v>
      </c>
      <c r="N3940" t="s">
        <v>16143</v>
      </c>
    </row>
    <row r="3941" spans="1:14">
      <c r="A3941">
        <v>17763000</v>
      </c>
      <c r="B3941">
        <v>3039661</v>
      </c>
      <c r="C3941" t="s">
        <v>10230</v>
      </c>
      <c r="D3941" t="s">
        <v>441</v>
      </c>
      <c r="F3941">
        <v>0</v>
      </c>
      <c r="G3941">
        <v>0.9</v>
      </c>
      <c r="H3941" t="s">
        <v>8549</v>
      </c>
      <c r="I3941">
        <v>6</v>
      </c>
      <c r="J3941" t="s">
        <v>445</v>
      </c>
      <c r="M3941">
        <v>2391</v>
      </c>
      <c r="N3941" t="s">
        <v>16143</v>
      </c>
    </row>
    <row r="3942" spans="1:14">
      <c r="A3942">
        <v>17770000</v>
      </c>
      <c r="B3942">
        <v>3024402</v>
      </c>
      <c r="C3942" t="s">
        <v>2285</v>
      </c>
      <c r="D3942" t="s">
        <v>441</v>
      </c>
      <c r="F3942">
        <v>0</v>
      </c>
      <c r="G3942">
        <v>1.1000000000000001</v>
      </c>
      <c r="H3942" t="s">
        <v>8549</v>
      </c>
      <c r="I3942">
        <v>6</v>
      </c>
      <c r="J3942" t="s">
        <v>445</v>
      </c>
      <c r="M3942">
        <v>2391</v>
      </c>
      <c r="N3942" t="s">
        <v>16125</v>
      </c>
    </row>
    <row r="3943" spans="1:14">
      <c r="A3943">
        <v>17770028</v>
      </c>
      <c r="B3943">
        <v>4016367</v>
      </c>
      <c r="C3943" t="s">
        <v>14845</v>
      </c>
      <c r="D3943" t="s">
        <v>442</v>
      </c>
      <c r="E3943" t="s">
        <v>441</v>
      </c>
      <c r="F3943">
        <v>10</v>
      </c>
      <c r="G3943">
        <v>35.409999999999997</v>
      </c>
      <c r="H3943" t="s">
        <v>8588</v>
      </c>
      <c r="I3943">
        <v>540</v>
      </c>
      <c r="J3943" t="s">
        <v>462</v>
      </c>
      <c r="M3943">
        <v>7111</v>
      </c>
      <c r="N3943" t="s">
        <v>16125</v>
      </c>
    </row>
    <row r="3944" spans="1:14">
      <c r="A3944">
        <v>17770075</v>
      </c>
      <c r="B3944">
        <v>3039586</v>
      </c>
      <c r="C3944" t="s">
        <v>2286</v>
      </c>
      <c r="D3944" t="s">
        <v>441</v>
      </c>
      <c r="F3944">
        <v>0</v>
      </c>
      <c r="G3944">
        <v>1.64</v>
      </c>
      <c r="H3944" t="s">
        <v>8588</v>
      </c>
      <c r="I3944">
        <v>6</v>
      </c>
      <c r="J3944" t="s">
        <v>445</v>
      </c>
      <c r="L3944">
        <v>2052367</v>
      </c>
      <c r="M3944">
        <v>7112</v>
      </c>
      <c r="N3944" t="s">
        <v>16125</v>
      </c>
    </row>
    <row r="3945" spans="1:14">
      <c r="A3945">
        <v>17770528</v>
      </c>
      <c r="B3945">
        <v>3024794</v>
      </c>
      <c r="C3945" t="s">
        <v>14846</v>
      </c>
      <c r="D3945" t="s">
        <v>442</v>
      </c>
      <c r="E3945" t="s">
        <v>441</v>
      </c>
      <c r="F3945">
        <v>10</v>
      </c>
      <c r="G3945">
        <v>30.85</v>
      </c>
      <c r="H3945" t="s">
        <v>8549</v>
      </c>
      <c r="I3945">
        <v>540</v>
      </c>
      <c r="J3945" t="s">
        <v>445</v>
      </c>
      <c r="M3945">
        <v>2502</v>
      </c>
      <c r="N3945" t="s">
        <v>16125</v>
      </c>
    </row>
    <row r="3946" spans="1:14">
      <c r="A3946">
        <v>17780000</v>
      </c>
      <c r="B3946">
        <v>3016016</v>
      </c>
      <c r="C3946" t="s">
        <v>2287</v>
      </c>
      <c r="D3946" t="s">
        <v>441</v>
      </c>
      <c r="F3946">
        <v>0</v>
      </c>
      <c r="H3946" t="s">
        <v>8624</v>
      </c>
      <c r="I3946">
        <v>6</v>
      </c>
      <c r="J3946" t="s">
        <v>445</v>
      </c>
      <c r="M3946">
        <v>2143</v>
      </c>
      <c r="N3946" t="s">
        <v>16146</v>
      </c>
    </row>
    <row r="3947" spans="1:14">
      <c r="A3947">
        <v>17780002</v>
      </c>
      <c r="B3947">
        <v>3045189</v>
      </c>
      <c r="C3947" t="s">
        <v>15633</v>
      </c>
      <c r="D3947" t="s">
        <v>441</v>
      </c>
      <c r="F3947">
        <v>0</v>
      </c>
      <c r="G3947">
        <v>6.03</v>
      </c>
      <c r="H3947" t="s">
        <v>8588</v>
      </c>
      <c r="I3947">
        <v>540</v>
      </c>
      <c r="J3947" t="s">
        <v>445</v>
      </c>
      <c r="M3947">
        <v>7111</v>
      </c>
      <c r="N3947" t="s">
        <v>16146</v>
      </c>
    </row>
    <row r="3948" spans="1:14">
      <c r="A3948">
        <v>17780026</v>
      </c>
      <c r="B3948">
        <v>4016412</v>
      </c>
      <c r="C3948" t="s">
        <v>10231</v>
      </c>
      <c r="D3948" t="s">
        <v>442</v>
      </c>
      <c r="E3948" t="s">
        <v>441</v>
      </c>
      <c r="F3948">
        <v>10</v>
      </c>
      <c r="G3948">
        <v>59.56</v>
      </c>
      <c r="H3948" t="s">
        <v>8588</v>
      </c>
      <c r="I3948">
        <v>540</v>
      </c>
      <c r="J3948" t="s">
        <v>462</v>
      </c>
      <c r="M3948">
        <v>7111</v>
      </c>
      <c r="N3948" t="s">
        <v>16146</v>
      </c>
    </row>
    <row r="3949" spans="1:14">
      <c r="A3949">
        <v>17780027</v>
      </c>
      <c r="B3949">
        <v>4001816</v>
      </c>
      <c r="C3949" t="s">
        <v>10232</v>
      </c>
      <c r="D3949" t="s">
        <v>441</v>
      </c>
      <c r="F3949">
        <v>0</v>
      </c>
      <c r="G3949">
        <v>10.4</v>
      </c>
      <c r="H3949" t="s">
        <v>8588</v>
      </c>
      <c r="I3949">
        <v>365</v>
      </c>
      <c r="J3949" t="s">
        <v>462</v>
      </c>
      <c r="K3949" t="s">
        <v>446</v>
      </c>
      <c r="M3949">
        <v>2501</v>
      </c>
    </row>
    <row r="3950" spans="1:14">
      <c r="A3950">
        <v>17780028</v>
      </c>
      <c r="B3950">
        <v>4001817</v>
      </c>
      <c r="C3950" t="s">
        <v>10233</v>
      </c>
      <c r="D3950" t="s">
        <v>441</v>
      </c>
      <c r="F3950">
        <v>0</v>
      </c>
      <c r="G3950">
        <v>10.49</v>
      </c>
      <c r="H3950" t="s">
        <v>8588</v>
      </c>
      <c r="I3950">
        <v>365</v>
      </c>
      <c r="J3950" t="s">
        <v>462</v>
      </c>
      <c r="K3950" t="s">
        <v>446</v>
      </c>
      <c r="M3950">
        <v>2501</v>
      </c>
    </row>
    <row r="3951" spans="1:14">
      <c r="A3951">
        <v>17780075</v>
      </c>
      <c r="B3951">
        <v>3039587</v>
      </c>
      <c r="C3951" t="s">
        <v>15486</v>
      </c>
      <c r="D3951" t="s">
        <v>441</v>
      </c>
      <c r="F3951">
        <v>0</v>
      </c>
      <c r="G3951">
        <v>5.67</v>
      </c>
      <c r="H3951" t="s">
        <v>8588</v>
      </c>
      <c r="I3951">
        <v>6</v>
      </c>
      <c r="J3951" t="s">
        <v>445</v>
      </c>
      <c r="M3951">
        <v>7112</v>
      </c>
      <c r="N3951" t="s">
        <v>16146</v>
      </c>
    </row>
    <row r="3952" spans="1:14">
      <c r="A3952">
        <v>17780502</v>
      </c>
      <c r="B3952">
        <v>3045220</v>
      </c>
      <c r="C3952" t="s">
        <v>15634</v>
      </c>
      <c r="D3952" t="s">
        <v>441</v>
      </c>
      <c r="F3952">
        <v>0</v>
      </c>
      <c r="G3952">
        <v>5.41</v>
      </c>
      <c r="H3952" t="s">
        <v>8588</v>
      </c>
      <c r="I3952">
        <v>540</v>
      </c>
      <c r="J3952" t="s">
        <v>445</v>
      </c>
      <c r="M3952">
        <v>2502</v>
      </c>
      <c r="N3952" t="s">
        <v>16146</v>
      </c>
    </row>
    <row r="3953" spans="1:14">
      <c r="A3953">
        <v>17780526</v>
      </c>
      <c r="B3953">
        <v>3025064</v>
      </c>
      <c r="C3953" t="s">
        <v>10234</v>
      </c>
      <c r="D3953" t="s">
        <v>442</v>
      </c>
      <c r="E3953" t="s">
        <v>441</v>
      </c>
      <c r="F3953">
        <v>10</v>
      </c>
      <c r="G3953">
        <v>55.47</v>
      </c>
      <c r="H3953" t="s">
        <v>8549</v>
      </c>
      <c r="I3953">
        <v>540</v>
      </c>
      <c r="J3953" t="s">
        <v>445</v>
      </c>
      <c r="M3953">
        <v>2502</v>
      </c>
      <c r="N3953" t="s">
        <v>16146</v>
      </c>
    </row>
    <row r="3954" spans="1:14">
      <c r="A3954">
        <v>17780527</v>
      </c>
      <c r="B3954">
        <v>3007778</v>
      </c>
      <c r="C3954" t="s">
        <v>10235</v>
      </c>
      <c r="D3954" t="s">
        <v>441</v>
      </c>
      <c r="F3954">
        <v>0</v>
      </c>
      <c r="G3954">
        <v>10.210000000000001</v>
      </c>
      <c r="H3954" t="s">
        <v>8634</v>
      </c>
      <c r="I3954">
        <v>6</v>
      </c>
      <c r="J3954" t="s">
        <v>445</v>
      </c>
      <c r="K3954" t="s">
        <v>446</v>
      </c>
      <c r="M3954">
        <v>2641</v>
      </c>
    </row>
    <row r="3955" spans="1:14">
      <c r="A3955">
        <v>17780528</v>
      </c>
      <c r="B3955">
        <v>3007779</v>
      </c>
      <c r="C3955" t="s">
        <v>10236</v>
      </c>
      <c r="D3955" t="s">
        <v>441</v>
      </c>
      <c r="F3955">
        <v>0</v>
      </c>
      <c r="G3955">
        <v>10.3</v>
      </c>
      <c r="H3955" t="s">
        <v>8634</v>
      </c>
      <c r="I3955">
        <v>6</v>
      </c>
      <c r="J3955" t="s">
        <v>445</v>
      </c>
      <c r="K3955" t="s">
        <v>446</v>
      </c>
      <c r="M3955">
        <v>2641</v>
      </c>
    </row>
    <row r="3956" spans="1:14">
      <c r="A3956">
        <v>17780626</v>
      </c>
      <c r="B3956">
        <v>3026794</v>
      </c>
      <c r="C3956" t="s">
        <v>10237</v>
      </c>
      <c r="D3956" t="s">
        <v>441</v>
      </c>
      <c r="F3956">
        <v>0</v>
      </c>
      <c r="G3956">
        <v>8.7799999999999994</v>
      </c>
      <c r="H3956" t="s">
        <v>8549</v>
      </c>
      <c r="I3956">
        <v>4</v>
      </c>
      <c r="J3956" t="s">
        <v>445</v>
      </c>
      <c r="K3956" t="s">
        <v>446</v>
      </c>
      <c r="M3956">
        <v>2511</v>
      </c>
    </row>
    <row r="3957" spans="1:14">
      <c r="A3957">
        <v>17780907</v>
      </c>
      <c r="B3957">
        <v>3026654</v>
      </c>
      <c r="C3957" t="s">
        <v>10238</v>
      </c>
      <c r="D3957" t="s">
        <v>441</v>
      </c>
      <c r="F3957">
        <v>0</v>
      </c>
      <c r="G3957">
        <v>9.5</v>
      </c>
      <c r="H3957" t="s">
        <v>8580</v>
      </c>
      <c r="I3957">
        <v>6</v>
      </c>
      <c r="J3957" t="s">
        <v>445</v>
      </c>
      <c r="K3957" t="s">
        <v>446</v>
      </c>
      <c r="M3957">
        <v>6666</v>
      </c>
    </row>
    <row r="3958" spans="1:14">
      <c r="A3958">
        <v>17780926</v>
      </c>
      <c r="B3958">
        <v>3026807</v>
      </c>
      <c r="C3958" t="s">
        <v>10239</v>
      </c>
      <c r="D3958" t="s">
        <v>441</v>
      </c>
      <c r="F3958">
        <v>0</v>
      </c>
      <c r="H3958" t="s">
        <v>8580</v>
      </c>
      <c r="I3958">
        <v>4</v>
      </c>
      <c r="J3958" t="s">
        <v>445</v>
      </c>
      <c r="K3958" t="s">
        <v>446</v>
      </c>
      <c r="M3958">
        <v>6666</v>
      </c>
    </row>
    <row r="3959" spans="1:14">
      <c r="A3959">
        <v>17781000</v>
      </c>
      <c r="B3959">
        <v>3009094</v>
      </c>
      <c r="C3959" t="s">
        <v>10240</v>
      </c>
      <c r="D3959" t="s">
        <v>441</v>
      </c>
      <c r="F3959">
        <v>0</v>
      </c>
      <c r="G3959">
        <v>4.8</v>
      </c>
      <c r="I3959">
        <v>5</v>
      </c>
      <c r="J3959" t="s">
        <v>445</v>
      </c>
      <c r="M3959">
        <v>2143</v>
      </c>
      <c r="N3959" t="s">
        <v>16146</v>
      </c>
    </row>
    <row r="3960" spans="1:14">
      <c r="A3960">
        <v>17781026</v>
      </c>
      <c r="B3960">
        <v>4016411</v>
      </c>
      <c r="C3960" t="s">
        <v>10241</v>
      </c>
      <c r="D3960" t="s">
        <v>442</v>
      </c>
      <c r="E3960" t="s">
        <v>441</v>
      </c>
      <c r="F3960">
        <v>10</v>
      </c>
      <c r="G3960">
        <v>59.56</v>
      </c>
      <c r="H3960" t="s">
        <v>8588</v>
      </c>
      <c r="I3960">
        <v>540</v>
      </c>
      <c r="J3960" t="s">
        <v>462</v>
      </c>
      <c r="M3960">
        <v>7111</v>
      </c>
      <c r="N3960" t="s">
        <v>16146</v>
      </c>
    </row>
    <row r="3961" spans="1:14">
      <c r="A3961">
        <v>17781526</v>
      </c>
      <c r="B3961">
        <v>3025063</v>
      </c>
      <c r="C3961" t="s">
        <v>10242</v>
      </c>
      <c r="D3961" t="s">
        <v>442</v>
      </c>
      <c r="E3961" t="s">
        <v>441</v>
      </c>
      <c r="F3961">
        <v>10</v>
      </c>
      <c r="G3961">
        <v>55.47</v>
      </c>
      <c r="H3961" t="s">
        <v>8549</v>
      </c>
      <c r="I3961">
        <v>540</v>
      </c>
      <c r="J3961" t="s">
        <v>445</v>
      </c>
      <c r="M3961">
        <v>2502</v>
      </c>
      <c r="N3961" t="s">
        <v>16146</v>
      </c>
    </row>
    <row r="3962" spans="1:14">
      <c r="A3962">
        <v>17783000</v>
      </c>
      <c r="B3962">
        <v>3017997</v>
      </c>
      <c r="C3962" t="s">
        <v>2288</v>
      </c>
      <c r="D3962" t="s">
        <v>441</v>
      </c>
      <c r="F3962">
        <v>0</v>
      </c>
      <c r="G3962">
        <v>4.8</v>
      </c>
      <c r="H3962" t="s">
        <v>8584</v>
      </c>
      <c r="I3962">
        <v>6</v>
      </c>
      <c r="J3962" t="s">
        <v>445</v>
      </c>
      <c r="M3962">
        <v>2391</v>
      </c>
      <c r="N3962" t="s">
        <v>16146</v>
      </c>
    </row>
    <row r="3963" spans="1:14">
      <c r="A3963">
        <v>17783007</v>
      </c>
      <c r="B3963">
        <v>3024951</v>
      </c>
      <c r="C3963" t="s">
        <v>14292</v>
      </c>
      <c r="D3963" t="s">
        <v>441</v>
      </c>
      <c r="F3963">
        <v>0</v>
      </c>
      <c r="G3963">
        <v>4.91</v>
      </c>
      <c r="H3963" t="s">
        <v>8580</v>
      </c>
      <c r="I3963">
        <v>6</v>
      </c>
      <c r="J3963" t="s">
        <v>445</v>
      </c>
      <c r="M3963">
        <v>3111</v>
      </c>
      <c r="N3963" t="s">
        <v>16146</v>
      </c>
    </row>
    <row r="3964" spans="1:14">
      <c r="A3964">
        <v>17783907</v>
      </c>
      <c r="B3964">
        <v>3026665</v>
      </c>
      <c r="C3964" t="s">
        <v>14293</v>
      </c>
      <c r="D3964" t="s">
        <v>441</v>
      </c>
      <c r="F3964">
        <v>0</v>
      </c>
      <c r="H3964" t="s">
        <v>8584</v>
      </c>
      <c r="I3964">
        <v>6</v>
      </c>
      <c r="J3964" t="s">
        <v>445</v>
      </c>
      <c r="M3964">
        <v>6666</v>
      </c>
      <c r="N3964" t="s">
        <v>16146</v>
      </c>
    </row>
    <row r="3965" spans="1:14">
      <c r="A3965">
        <v>17785000</v>
      </c>
      <c r="B3965">
        <v>3035245</v>
      </c>
      <c r="C3965" t="s">
        <v>10243</v>
      </c>
      <c r="D3965" t="s">
        <v>441</v>
      </c>
      <c r="F3965">
        <v>0</v>
      </c>
      <c r="G3965">
        <v>4.8</v>
      </c>
      <c r="H3965" t="s">
        <v>8549</v>
      </c>
      <c r="I3965">
        <v>6</v>
      </c>
      <c r="J3965" t="s">
        <v>445</v>
      </c>
      <c r="M3965">
        <v>2143</v>
      </c>
      <c r="N3965" t="s">
        <v>16146</v>
      </c>
    </row>
    <row r="3966" spans="1:14">
      <c r="A3966">
        <v>17785026</v>
      </c>
      <c r="B3966">
        <v>4023913</v>
      </c>
      <c r="C3966" t="s">
        <v>10244</v>
      </c>
      <c r="D3966" t="s">
        <v>442</v>
      </c>
      <c r="E3966" t="s">
        <v>441</v>
      </c>
      <c r="F3966">
        <v>10</v>
      </c>
      <c r="G3966">
        <v>58.22</v>
      </c>
      <c r="H3966" t="s">
        <v>8588</v>
      </c>
      <c r="I3966">
        <v>540</v>
      </c>
      <c r="J3966" t="s">
        <v>462</v>
      </c>
      <c r="M3966">
        <v>7111</v>
      </c>
      <c r="N3966" t="s">
        <v>16146</v>
      </c>
    </row>
    <row r="3967" spans="1:14">
      <c r="A3967">
        <v>17785526</v>
      </c>
      <c r="B3967">
        <v>3035248</v>
      </c>
      <c r="C3967" t="s">
        <v>10245</v>
      </c>
      <c r="D3967" t="s">
        <v>442</v>
      </c>
      <c r="E3967" t="s">
        <v>441</v>
      </c>
      <c r="F3967">
        <v>10</v>
      </c>
      <c r="G3967">
        <v>55.58</v>
      </c>
      <c r="H3967" t="s">
        <v>8549</v>
      </c>
      <c r="I3967">
        <v>540</v>
      </c>
      <c r="J3967" t="s">
        <v>445</v>
      </c>
      <c r="M3967">
        <v>2502</v>
      </c>
      <c r="N3967" t="s">
        <v>16146</v>
      </c>
    </row>
    <row r="3968" spans="1:14">
      <c r="A3968">
        <v>17786000</v>
      </c>
      <c r="B3968">
        <v>3009039</v>
      </c>
      <c r="C3968" t="s">
        <v>10246</v>
      </c>
      <c r="D3968" t="s">
        <v>441</v>
      </c>
      <c r="F3968">
        <v>0</v>
      </c>
      <c r="G3968">
        <v>12.58</v>
      </c>
      <c r="H3968" t="s">
        <v>8580</v>
      </c>
      <c r="I3968">
        <v>6</v>
      </c>
      <c r="J3968" t="s">
        <v>445</v>
      </c>
      <c r="K3968" t="s">
        <v>446</v>
      </c>
      <c r="M3968">
        <v>2390</v>
      </c>
    </row>
    <row r="3969" spans="1:14">
      <c r="A3969">
        <v>17790000</v>
      </c>
      <c r="B3969">
        <v>3022494</v>
      </c>
      <c r="C3969" t="s">
        <v>10247</v>
      </c>
      <c r="D3969" t="s">
        <v>441</v>
      </c>
      <c r="F3969">
        <v>0</v>
      </c>
      <c r="G3969">
        <v>0.85</v>
      </c>
      <c r="H3969" t="s">
        <v>8549</v>
      </c>
      <c r="I3969">
        <v>6</v>
      </c>
      <c r="J3969" t="s">
        <v>445</v>
      </c>
      <c r="M3969">
        <v>2391</v>
      </c>
      <c r="N3969" t="s">
        <v>16147</v>
      </c>
    </row>
    <row r="3970" spans="1:14">
      <c r="A3970">
        <v>17790028</v>
      </c>
      <c r="B3970">
        <v>4014834</v>
      </c>
      <c r="C3970" t="s">
        <v>10248</v>
      </c>
      <c r="D3970" t="s">
        <v>442</v>
      </c>
      <c r="E3970" t="s">
        <v>441</v>
      </c>
      <c r="F3970">
        <v>15</v>
      </c>
      <c r="G3970">
        <v>30.03</v>
      </c>
      <c r="H3970" t="s">
        <v>8588</v>
      </c>
      <c r="I3970">
        <v>540</v>
      </c>
      <c r="J3970" t="s">
        <v>462</v>
      </c>
      <c r="M3970">
        <v>7111</v>
      </c>
      <c r="N3970" t="s">
        <v>16147</v>
      </c>
    </row>
    <row r="3971" spans="1:14">
      <c r="A3971">
        <v>17790528</v>
      </c>
      <c r="B3971">
        <v>3022604</v>
      </c>
      <c r="C3971" t="s">
        <v>10249</v>
      </c>
      <c r="D3971" t="s">
        <v>442</v>
      </c>
      <c r="E3971" t="s">
        <v>441</v>
      </c>
      <c r="F3971">
        <v>15</v>
      </c>
      <c r="G3971">
        <v>19.28</v>
      </c>
      <c r="H3971" t="s">
        <v>8549</v>
      </c>
      <c r="I3971">
        <v>6</v>
      </c>
      <c r="J3971" t="s">
        <v>445</v>
      </c>
      <c r="M3971">
        <v>2502</v>
      </c>
      <c r="N3971" t="s">
        <v>16147</v>
      </c>
    </row>
    <row r="3972" spans="1:14">
      <c r="A3972">
        <v>17791000</v>
      </c>
      <c r="B3972">
        <v>3034007</v>
      </c>
      <c r="C3972" t="s">
        <v>10250</v>
      </c>
      <c r="D3972" t="s">
        <v>441</v>
      </c>
      <c r="F3972">
        <v>0</v>
      </c>
      <c r="G3972">
        <v>0.94</v>
      </c>
      <c r="H3972" t="s">
        <v>8549</v>
      </c>
      <c r="I3972">
        <v>6</v>
      </c>
      <c r="J3972" t="s">
        <v>445</v>
      </c>
      <c r="M3972">
        <v>2391</v>
      </c>
      <c r="N3972" t="s">
        <v>16147</v>
      </c>
    </row>
    <row r="3973" spans="1:14">
      <c r="A3973">
        <v>17791028</v>
      </c>
      <c r="B3973">
        <v>4022778</v>
      </c>
      <c r="C3973" t="s">
        <v>10251</v>
      </c>
      <c r="D3973" t="s">
        <v>442</v>
      </c>
      <c r="E3973" t="s">
        <v>441</v>
      </c>
      <c r="F3973">
        <v>15</v>
      </c>
      <c r="G3973">
        <v>25.09</v>
      </c>
      <c r="H3973" t="s">
        <v>8588</v>
      </c>
      <c r="I3973">
        <v>540</v>
      </c>
      <c r="J3973" t="s">
        <v>462</v>
      </c>
      <c r="M3973">
        <v>7111</v>
      </c>
      <c r="N3973" t="s">
        <v>16147</v>
      </c>
    </row>
    <row r="3974" spans="1:14">
      <c r="A3974">
        <v>17791528</v>
      </c>
      <c r="B3974">
        <v>3034012</v>
      </c>
      <c r="C3974" t="s">
        <v>10252</v>
      </c>
      <c r="D3974" t="s">
        <v>442</v>
      </c>
      <c r="E3974" t="s">
        <v>441</v>
      </c>
      <c r="F3974">
        <v>15</v>
      </c>
      <c r="G3974">
        <v>21.14</v>
      </c>
      <c r="H3974" t="s">
        <v>8588</v>
      </c>
      <c r="I3974">
        <v>6</v>
      </c>
      <c r="J3974" t="s">
        <v>445</v>
      </c>
      <c r="M3974">
        <v>2502</v>
      </c>
      <c r="N3974" t="s">
        <v>16147</v>
      </c>
    </row>
    <row r="3975" spans="1:14">
      <c r="A3975">
        <v>17793000</v>
      </c>
      <c r="B3975">
        <v>3022486</v>
      </c>
      <c r="C3975" t="s">
        <v>10253</v>
      </c>
      <c r="D3975" t="s">
        <v>441</v>
      </c>
      <c r="F3975">
        <v>0</v>
      </c>
      <c r="G3975">
        <v>0.85</v>
      </c>
      <c r="H3975" t="s">
        <v>8549</v>
      </c>
      <c r="I3975">
        <v>6</v>
      </c>
      <c r="J3975" t="s">
        <v>445</v>
      </c>
      <c r="M3975">
        <v>2391</v>
      </c>
      <c r="N3975" t="s">
        <v>16147</v>
      </c>
    </row>
    <row r="3976" spans="1:14">
      <c r="A3976">
        <v>17793007</v>
      </c>
      <c r="B3976">
        <v>3024952</v>
      </c>
      <c r="C3976" t="s">
        <v>10254</v>
      </c>
      <c r="D3976" t="s">
        <v>441</v>
      </c>
      <c r="F3976">
        <v>0</v>
      </c>
      <c r="G3976">
        <v>0.92</v>
      </c>
      <c r="H3976" t="s">
        <v>8935</v>
      </c>
      <c r="I3976">
        <v>6</v>
      </c>
      <c r="J3976" t="s">
        <v>445</v>
      </c>
      <c r="M3976">
        <v>2391</v>
      </c>
      <c r="N3976" t="s">
        <v>16147</v>
      </c>
    </row>
    <row r="3977" spans="1:14">
      <c r="A3977">
        <v>17796000</v>
      </c>
      <c r="B3977">
        <v>3034008</v>
      </c>
      <c r="C3977" t="s">
        <v>10255</v>
      </c>
      <c r="D3977" t="s">
        <v>441</v>
      </c>
      <c r="F3977">
        <v>0</v>
      </c>
      <c r="G3977">
        <v>0.94</v>
      </c>
      <c r="H3977" t="s">
        <v>8549</v>
      </c>
      <c r="I3977">
        <v>6</v>
      </c>
      <c r="J3977" t="s">
        <v>445</v>
      </c>
      <c r="M3977">
        <v>2391</v>
      </c>
      <c r="N3977" t="s">
        <v>16147</v>
      </c>
    </row>
    <row r="3978" spans="1:14">
      <c r="A3978">
        <v>17800000</v>
      </c>
      <c r="B3978">
        <v>3016014</v>
      </c>
      <c r="C3978" t="s">
        <v>2289</v>
      </c>
      <c r="D3978" t="s">
        <v>441</v>
      </c>
      <c r="F3978">
        <v>0</v>
      </c>
      <c r="H3978" t="s">
        <v>8584</v>
      </c>
      <c r="I3978">
        <v>6</v>
      </c>
      <c r="J3978" t="s">
        <v>445</v>
      </c>
      <c r="M3978">
        <v>2391</v>
      </c>
      <c r="N3978" t="s">
        <v>16148</v>
      </c>
    </row>
    <row r="3979" spans="1:14">
      <c r="A3979">
        <v>17800020</v>
      </c>
      <c r="B3979">
        <v>4003888</v>
      </c>
      <c r="C3979" t="s">
        <v>10256</v>
      </c>
      <c r="D3979" t="s">
        <v>441</v>
      </c>
      <c r="F3979">
        <v>0</v>
      </c>
      <c r="G3979">
        <v>1.17</v>
      </c>
      <c r="H3979" t="s">
        <v>8588</v>
      </c>
      <c r="I3979">
        <v>6</v>
      </c>
      <c r="J3979" t="s">
        <v>462</v>
      </c>
      <c r="M3979">
        <v>7112</v>
      </c>
      <c r="N3979" t="s">
        <v>16148</v>
      </c>
    </row>
    <row r="3980" spans="1:14">
      <c r="A3980">
        <v>17800021</v>
      </c>
      <c r="B3980">
        <v>4008788</v>
      </c>
      <c r="C3980" t="s">
        <v>10257</v>
      </c>
      <c r="D3980" t="s">
        <v>441</v>
      </c>
      <c r="F3980">
        <v>0</v>
      </c>
      <c r="G3980">
        <v>3.72</v>
      </c>
      <c r="H3980" t="s">
        <v>8588</v>
      </c>
      <c r="I3980">
        <v>6</v>
      </c>
      <c r="J3980" t="s">
        <v>462</v>
      </c>
      <c r="K3980" t="s">
        <v>446</v>
      </c>
      <c r="M3980">
        <v>2612</v>
      </c>
    </row>
    <row r="3981" spans="1:14">
      <c r="A3981">
        <v>17800022</v>
      </c>
      <c r="B3981">
        <v>4012224</v>
      </c>
      <c r="C3981" t="s">
        <v>10258</v>
      </c>
      <c r="D3981" t="s">
        <v>441</v>
      </c>
      <c r="F3981">
        <v>0</v>
      </c>
      <c r="G3981">
        <v>3.7</v>
      </c>
      <c r="H3981" t="s">
        <v>8588</v>
      </c>
      <c r="I3981">
        <v>6</v>
      </c>
      <c r="J3981" t="s">
        <v>462</v>
      </c>
      <c r="K3981" t="s">
        <v>446</v>
      </c>
      <c r="M3981">
        <v>2612</v>
      </c>
    </row>
    <row r="3982" spans="1:14">
      <c r="A3982">
        <v>17800023</v>
      </c>
      <c r="B3982">
        <v>4012927</v>
      </c>
      <c r="C3982" t="s">
        <v>10259</v>
      </c>
      <c r="D3982" t="s">
        <v>441</v>
      </c>
      <c r="F3982">
        <v>0</v>
      </c>
      <c r="G3982">
        <v>3.68</v>
      </c>
      <c r="H3982" t="s">
        <v>8588</v>
      </c>
      <c r="I3982">
        <v>6</v>
      </c>
      <c r="J3982" t="s">
        <v>462</v>
      </c>
      <c r="K3982" t="s">
        <v>446</v>
      </c>
      <c r="M3982">
        <v>2612</v>
      </c>
    </row>
    <row r="3983" spans="1:14">
      <c r="A3983">
        <v>17800024</v>
      </c>
      <c r="B3983">
        <v>3027655</v>
      </c>
      <c r="C3983" t="s">
        <v>10260</v>
      </c>
      <c r="D3983" t="s">
        <v>441</v>
      </c>
      <c r="F3983">
        <v>0</v>
      </c>
      <c r="G3983">
        <v>5.03</v>
      </c>
      <c r="H3983" t="s">
        <v>8588</v>
      </c>
      <c r="I3983">
        <v>6</v>
      </c>
      <c r="J3983" t="s">
        <v>445</v>
      </c>
      <c r="K3983" t="s">
        <v>446</v>
      </c>
      <c r="M3983">
        <v>2641</v>
      </c>
    </row>
    <row r="3984" spans="1:14">
      <c r="A3984">
        <v>17800025</v>
      </c>
      <c r="B3984">
        <v>4018369</v>
      </c>
      <c r="C3984" t="s">
        <v>10261</v>
      </c>
      <c r="D3984" t="s">
        <v>441</v>
      </c>
      <c r="F3984">
        <v>0</v>
      </c>
      <c r="G3984">
        <v>5.03</v>
      </c>
      <c r="H3984" t="s">
        <v>8588</v>
      </c>
      <c r="I3984">
        <v>6</v>
      </c>
      <c r="J3984" t="s">
        <v>462</v>
      </c>
      <c r="K3984" t="s">
        <v>446</v>
      </c>
      <c r="M3984">
        <v>2641</v>
      </c>
    </row>
    <row r="3985" spans="1:14">
      <c r="A3985">
        <v>17800026</v>
      </c>
      <c r="B3985">
        <v>4016435</v>
      </c>
      <c r="C3985" t="s">
        <v>10262</v>
      </c>
      <c r="D3985" t="s">
        <v>442</v>
      </c>
      <c r="E3985" t="s">
        <v>441</v>
      </c>
      <c r="F3985">
        <v>15</v>
      </c>
      <c r="G3985">
        <v>31.74</v>
      </c>
      <c r="H3985" t="s">
        <v>8588</v>
      </c>
      <c r="I3985">
        <v>540</v>
      </c>
      <c r="J3985" t="s">
        <v>462</v>
      </c>
      <c r="M3985">
        <v>7111</v>
      </c>
      <c r="N3985" t="s">
        <v>16148</v>
      </c>
    </row>
    <row r="3986" spans="1:14">
      <c r="A3986">
        <v>17800027</v>
      </c>
      <c r="B3986">
        <v>4023043</v>
      </c>
      <c r="C3986" t="s">
        <v>10263</v>
      </c>
      <c r="D3986" t="s">
        <v>442</v>
      </c>
      <c r="E3986" t="s">
        <v>441</v>
      </c>
      <c r="F3986">
        <v>10</v>
      </c>
      <c r="G3986">
        <v>22.29</v>
      </c>
      <c r="H3986" t="s">
        <v>8588</v>
      </c>
      <c r="I3986">
        <v>540</v>
      </c>
      <c r="J3986" t="s">
        <v>462</v>
      </c>
      <c r="L3986" t="s">
        <v>10264</v>
      </c>
      <c r="M3986">
        <v>7111</v>
      </c>
      <c r="N3986" t="s">
        <v>16148</v>
      </c>
    </row>
    <row r="3987" spans="1:14">
      <c r="A3987">
        <v>17800028</v>
      </c>
      <c r="B3987">
        <v>4011188</v>
      </c>
      <c r="C3987" t="s">
        <v>10265</v>
      </c>
      <c r="D3987" t="s">
        <v>441</v>
      </c>
      <c r="F3987">
        <v>0</v>
      </c>
      <c r="G3987">
        <v>5.29</v>
      </c>
      <c r="H3987" t="s">
        <v>8588</v>
      </c>
      <c r="I3987">
        <v>365</v>
      </c>
      <c r="J3987" t="s">
        <v>462</v>
      </c>
      <c r="K3987" t="s">
        <v>446</v>
      </c>
      <c r="M3987">
        <v>2501</v>
      </c>
    </row>
    <row r="3988" spans="1:14">
      <c r="A3988">
        <v>17800030</v>
      </c>
      <c r="B3988">
        <v>4016088</v>
      </c>
      <c r="C3988" t="s">
        <v>10266</v>
      </c>
      <c r="D3988" t="s">
        <v>441</v>
      </c>
      <c r="F3988">
        <v>0</v>
      </c>
      <c r="G3988">
        <v>5.46</v>
      </c>
      <c r="H3988" t="s">
        <v>8588</v>
      </c>
      <c r="I3988">
        <v>6</v>
      </c>
      <c r="J3988" t="s">
        <v>462</v>
      </c>
      <c r="K3988" t="s">
        <v>446</v>
      </c>
      <c r="M3988">
        <v>2612</v>
      </c>
    </row>
    <row r="3989" spans="1:14">
      <c r="A3989">
        <v>17800031</v>
      </c>
      <c r="B3989">
        <v>4019640</v>
      </c>
      <c r="C3989" t="s">
        <v>10267</v>
      </c>
      <c r="D3989" t="s">
        <v>441</v>
      </c>
      <c r="F3989">
        <v>0</v>
      </c>
      <c r="G3989">
        <v>4.1399999999999997</v>
      </c>
      <c r="H3989" t="s">
        <v>8588</v>
      </c>
      <c r="I3989">
        <v>10</v>
      </c>
      <c r="J3989" t="s">
        <v>462</v>
      </c>
      <c r="K3989" t="s">
        <v>446</v>
      </c>
      <c r="M3989">
        <v>2612</v>
      </c>
    </row>
    <row r="3990" spans="1:14">
      <c r="A3990">
        <v>17800526</v>
      </c>
      <c r="B3990">
        <v>3025094</v>
      </c>
      <c r="C3990" t="s">
        <v>10268</v>
      </c>
      <c r="D3990" t="s">
        <v>442</v>
      </c>
      <c r="E3990" t="s">
        <v>441</v>
      </c>
      <c r="F3990">
        <v>15</v>
      </c>
      <c r="G3990">
        <v>18.579999999999998</v>
      </c>
      <c r="H3990" t="s">
        <v>8549</v>
      </c>
      <c r="I3990">
        <v>540</v>
      </c>
      <c r="J3990" t="s">
        <v>445</v>
      </c>
      <c r="M3990">
        <v>2502</v>
      </c>
      <c r="N3990" t="s">
        <v>16148</v>
      </c>
    </row>
    <row r="3991" spans="1:14">
      <c r="A3991">
        <v>17800527</v>
      </c>
      <c r="B3991">
        <v>3034396</v>
      </c>
      <c r="C3991" t="s">
        <v>10269</v>
      </c>
      <c r="D3991" t="s">
        <v>442</v>
      </c>
      <c r="E3991" t="s">
        <v>441</v>
      </c>
      <c r="F3991">
        <v>10</v>
      </c>
      <c r="G3991">
        <v>13.25</v>
      </c>
      <c r="H3991" t="s">
        <v>8588</v>
      </c>
      <c r="I3991">
        <v>6</v>
      </c>
      <c r="J3991" t="s">
        <v>445</v>
      </c>
      <c r="M3991">
        <v>2502</v>
      </c>
      <c r="N3991" t="s">
        <v>16148</v>
      </c>
    </row>
    <row r="3992" spans="1:14">
      <c r="A3992">
        <v>17800528</v>
      </c>
      <c r="B3992">
        <v>3016908</v>
      </c>
      <c r="C3992" t="s">
        <v>10270</v>
      </c>
      <c r="D3992" t="s">
        <v>441</v>
      </c>
      <c r="F3992">
        <v>0</v>
      </c>
      <c r="G3992">
        <v>5.0999999999999996</v>
      </c>
      <c r="H3992" t="s">
        <v>8935</v>
      </c>
      <c r="I3992">
        <v>365</v>
      </c>
      <c r="J3992" t="s">
        <v>445</v>
      </c>
      <c r="K3992" t="s">
        <v>446</v>
      </c>
      <c r="M3992">
        <v>2641</v>
      </c>
    </row>
    <row r="3993" spans="1:14">
      <c r="A3993">
        <v>17801000</v>
      </c>
      <c r="B3993">
        <v>3024699</v>
      </c>
      <c r="C3993" t="s">
        <v>10271</v>
      </c>
      <c r="D3993" t="s">
        <v>441</v>
      </c>
      <c r="F3993">
        <v>0</v>
      </c>
      <c r="G3993">
        <v>0.8</v>
      </c>
      <c r="H3993" t="s">
        <v>8549</v>
      </c>
      <c r="I3993">
        <v>6</v>
      </c>
      <c r="J3993" t="s">
        <v>445</v>
      </c>
      <c r="M3993">
        <v>2391</v>
      </c>
      <c r="N3993" t="s">
        <v>16148</v>
      </c>
    </row>
    <row r="3994" spans="1:14">
      <c r="A3994">
        <v>17801026</v>
      </c>
      <c r="B3994">
        <v>4016441</v>
      </c>
      <c r="C3994" t="s">
        <v>10272</v>
      </c>
      <c r="D3994" t="s">
        <v>442</v>
      </c>
      <c r="E3994" t="s">
        <v>441</v>
      </c>
      <c r="F3994">
        <v>15</v>
      </c>
      <c r="G3994">
        <v>31.74</v>
      </c>
      <c r="H3994" t="s">
        <v>8588</v>
      </c>
      <c r="I3994">
        <v>540</v>
      </c>
      <c r="J3994" t="s">
        <v>462</v>
      </c>
      <c r="M3994">
        <v>7111</v>
      </c>
      <c r="N3994" t="s">
        <v>16148</v>
      </c>
    </row>
    <row r="3995" spans="1:14">
      <c r="A3995">
        <v>17801027</v>
      </c>
      <c r="B3995">
        <v>4023008</v>
      </c>
      <c r="C3995" t="s">
        <v>10273</v>
      </c>
      <c r="D3995" t="s">
        <v>442</v>
      </c>
      <c r="E3995" t="s">
        <v>441</v>
      </c>
      <c r="F3995">
        <v>10</v>
      </c>
      <c r="G3995">
        <v>15.85</v>
      </c>
      <c r="H3995" t="s">
        <v>8588</v>
      </c>
      <c r="I3995">
        <v>540</v>
      </c>
      <c r="J3995" t="s">
        <v>462</v>
      </c>
      <c r="L3995" t="s">
        <v>10264</v>
      </c>
      <c r="M3995">
        <v>7111</v>
      </c>
      <c r="N3995" t="s">
        <v>16148</v>
      </c>
    </row>
    <row r="3996" spans="1:14">
      <c r="A3996">
        <v>17801526</v>
      </c>
      <c r="B3996">
        <v>3025093</v>
      </c>
      <c r="C3996" t="s">
        <v>10274</v>
      </c>
      <c r="D3996" t="s">
        <v>442</v>
      </c>
      <c r="E3996" t="s">
        <v>441</v>
      </c>
      <c r="F3996">
        <v>15</v>
      </c>
      <c r="G3996">
        <v>18.579999999999998</v>
      </c>
      <c r="H3996" t="s">
        <v>8549</v>
      </c>
      <c r="I3996">
        <v>540</v>
      </c>
      <c r="J3996" t="s">
        <v>445</v>
      </c>
      <c r="M3996">
        <v>2502</v>
      </c>
      <c r="N3996" t="s">
        <v>16148</v>
      </c>
    </row>
    <row r="3997" spans="1:14">
      <c r="A3997">
        <v>17801527</v>
      </c>
      <c r="B3997">
        <v>3034407</v>
      </c>
      <c r="C3997" t="s">
        <v>10275</v>
      </c>
      <c r="D3997" t="s">
        <v>442</v>
      </c>
      <c r="E3997" t="s">
        <v>441</v>
      </c>
      <c r="F3997">
        <v>10</v>
      </c>
      <c r="G3997">
        <v>13.22</v>
      </c>
      <c r="H3997" t="s">
        <v>8588</v>
      </c>
      <c r="I3997">
        <v>6</v>
      </c>
      <c r="J3997" t="s">
        <v>445</v>
      </c>
      <c r="M3997">
        <v>2502</v>
      </c>
      <c r="N3997" t="s">
        <v>16148</v>
      </c>
    </row>
    <row r="3998" spans="1:14">
      <c r="A3998">
        <v>17803000</v>
      </c>
      <c r="B3998">
        <v>3018002</v>
      </c>
      <c r="C3998" t="s">
        <v>2290</v>
      </c>
      <c r="D3998" t="s">
        <v>441</v>
      </c>
      <c r="F3998">
        <v>0</v>
      </c>
      <c r="G3998">
        <v>0.8</v>
      </c>
      <c r="H3998" t="s">
        <v>8584</v>
      </c>
      <c r="I3998">
        <v>6</v>
      </c>
      <c r="J3998" t="s">
        <v>445</v>
      </c>
      <c r="M3998">
        <v>2391</v>
      </c>
      <c r="N3998" t="s">
        <v>16148</v>
      </c>
    </row>
    <row r="3999" spans="1:14">
      <c r="A3999">
        <v>17803007</v>
      </c>
      <c r="B3999">
        <v>3024953</v>
      </c>
      <c r="C3999" t="s">
        <v>2291</v>
      </c>
      <c r="D3999" t="s">
        <v>441</v>
      </c>
      <c r="F3999">
        <v>0</v>
      </c>
      <c r="G3999">
        <v>0.87</v>
      </c>
      <c r="H3999" t="s">
        <v>8935</v>
      </c>
      <c r="I3999">
        <v>6</v>
      </c>
      <c r="J3999" t="s">
        <v>445</v>
      </c>
      <c r="M3999">
        <v>2391</v>
      </c>
      <c r="N3999" t="s">
        <v>16148</v>
      </c>
    </row>
    <row r="4000" spans="1:14">
      <c r="A4000">
        <v>17805000</v>
      </c>
      <c r="B4000">
        <v>3035185</v>
      </c>
      <c r="C4000" t="s">
        <v>10276</v>
      </c>
      <c r="D4000" t="s">
        <v>441</v>
      </c>
      <c r="F4000">
        <v>0</v>
      </c>
      <c r="G4000">
        <v>0.8</v>
      </c>
      <c r="H4000" t="s">
        <v>8549</v>
      </c>
      <c r="I4000">
        <v>6</v>
      </c>
      <c r="J4000" t="s">
        <v>445</v>
      </c>
      <c r="M4000">
        <v>2391</v>
      </c>
      <c r="N4000" t="s">
        <v>16148</v>
      </c>
    </row>
    <row r="4001" spans="1:14">
      <c r="A4001">
        <v>17805026</v>
      </c>
      <c r="B4001">
        <v>4023879</v>
      </c>
      <c r="C4001" t="s">
        <v>10277</v>
      </c>
      <c r="D4001" t="s">
        <v>442</v>
      </c>
      <c r="E4001" t="s">
        <v>441</v>
      </c>
      <c r="F4001">
        <v>15</v>
      </c>
      <c r="G4001">
        <v>22.85</v>
      </c>
      <c r="H4001" t="s">
        <v>8588</v>
      </c>
      <c r="I4001">
        <v>540</v>
      </c>
      <c r="J4001" t="s">
        <v>462</v>
      </c>
      <c r="M4001">
        <v>7111</v>
      </c>
      <c r="N4001" t="s">
        <v>16148</v>
      </c>
    </row>
    <row r="4002" spans="1:14">
      <c r="A4002">
        <v>17805526</v>
      </c>
      <c r="B4002">
        <v>3035260</v>
      </c>
      <c r="C4002" t="s">
        <v>10278</v>
      </c>
      <c r="D4002" t="s">
        <v>442</v>
      </c>
      <c r="E4002" t="s">
        <v>441</v>
      </c>
      <c r="F4002">
        <v>15</v>
      </c>
      <c r="G4002">
        <v>18.899999999999999</v>
      </c>
      <c r="H4002" t="s">
        <v>8588</v>
      </c>
      <c r="I4002">
        <v>540</v>
      </c>
      <c r="J4002" t="s">
        <v>445</v>
      </c>
      <c r="M4002">
        <v>2502</v>
      </c>
      <c r="N4002" t="s">
        <v>16148</v>
      </c>
    </row>
    <row r="4003" spans="1:14">
      <c r="A4003">
        <v>17806000</v>
      </c>
      <c r="B4003">
        <v>3034446</v>
      </c>
      <c r="C4003" t="s">
        <v>10279</v>
      </c>
      <c r="D4003" t="s">
        <v>441</v>
      </c>
      <c r="F4003">
        <v>0</v>
      </c>
      <c r="G4003">
        <v>0.8</v>
      </c>
      <c r="H4003" t="s">
        <v>8584</v>
      </c>
      <c r="I4003">
        <v>6</v>
      </c>
      <c r="J4003" t="s">
        <v>445</v>
      </c>
      <c r="M4003">
        <v>2391</v>
      </c>
      <c r="N4003" t="s">
        <v>16148</v>
      </c>
    </row>
    <row r="4004" spans="1:14">
      <c r="A4004">
        <v>17810000</v>
      </c>
      <c r="B4004">
        <v>3032255</v>
      </c>
      <c r="C4004" t="s">
        <v>2292</v>
      </c>
      <c r="D4004" t="s">
        <v>441</v>
      </c>
      <c r="F4004">
        <v>0</v>
      </c>
      <c r="G4004">
        <v>5.78</v>
      </c>
      <c r="H4004" t="s">
        <v>8549</v>
      </c>
      <c r="I4004">
        <v>6</v>
      </c>
      <c r="J4004" t="s">
        <v>445</v>
      </c>
      <c r="M4004">
        <v>2391</v>
      </c>
      <c r="N4004" t="s">
        <v>16149</v>
      </c>
    </row>
    <row r="4005" spans="1:14">
      <c r="A4005">
        <v>17810076</v>
      </c>
      <c r="B4005">
        <v>4021485</v>
      </c>
      <c r="C4005" t="s">
        <v>2293</v>
      </c>
      <c r="D4005" t="s">
        <v>441</v>
      </c>
      <c r="F4005">
        <v>0</v>
      </c>
      <c r="G4005">
        <v>6</v>
      </c>
      <c r="H4005" t="s">
        <v>8588</v>
      </c>
      <c r="I4005">
        <v>6</v>
      </c>
      <c r="J4005" t="s">
        <v>462</v>
      </c>
      <c r="M4005">
        <v>7112</v>
      </c>
      <c r="N4005" t="s">
        <v>16149</v>
      </c>
    </row>
    <row r="4006" spans="1:14">
      <c r="A4006">
        <v>17810100</v>
      </c>
      <c r="B4006">
        <v>3032223</v>
      </c>
      <c r="C4006" t="s">
        <v>2294</v>
      </c>
      <c r="D4006" t="s">
        <v>441</v>
      </c>
      <c r="F4006">
        <v>0</v>
      </c>
      <c r="H4006" t="s">
        <v>8588</v>
      </c>
      <c r="I4006">
        <v>6</v>
      </c>
      <c r="J4006" t="s">
        <v>445</v>
      </c>
      <c r="K4006" t="s">
        <v>446</v>
      </c>
      <c r="M4006">
        <v>0</v>
      </c>
      <c r="N4006" t="s">
        <v>16149</v>
      </c>
    </row>
    <row r="4007" spans="1:14">
      <c r="A4007">
        <v>17820000</v>
      </c>
      <c r="B4007">
        <v>3007783</v>
      </c>
      <c r="C4007" t="s">
        <v>10280</v>
      </c>
      <c r="D4007" t="s">
        <v>441</v>
      </c>
      <c r="F4007">
        <v>0</v>
      </c>
      <c r="G4007">
        <v>5.04</v>
      </c>
      <c r="I4007">
        <v>9</v>
      </c>
      <c r="J4007" t="s">
        <v>445</v>
      </c>
      <c r="K4007" t="s">
        <v>446</v>
      </c>
      <c r="M4007">
        <v>0</v>
      </c>
    </row>
    <row r="4008" spans="1:14">
      <c r="A4008">
        <v>17820031</v>
      </c>
      <c r="B4008">
        <v>4006260</v>
      </c>
      <c r="C4008" t="s">
        <v>10281</v>
      </c>
      <c r="D4008" t="s">
        <v>441</v>
      </c>
      <c r="F4008">
        <v>0</v>
      </c>
      <c r="G4008">
        <v>6.26</v>
      </c>
      <c r="H4008" t="s">
        <v>8588</v>
      </c>
      <c r="I4008">
        <v>10</v>
      </c>
      <c r="J4008" t="s">
        <v>462</v>
      </c>
      <c r="K4008" t="s">
        <v>446</v>
      </c>
      <c r="M4008">
        <v>2611</v>
      </c>
    </row>
    <row r="4009" spans="1:14">
      <c r="A4009">
        <v>17820075</v>
      </c>
      <c r="B4009">
        <v>4009833</v>
      </c>
      <c r="C4009" t="s">
        <v>10282</v>
      </c>
      <c r="D4009" t="s">
        <v>441</v>
      </c>
      <c r="F4009">
        <v>0</v>
      </c>
      <c r="G4009">
        <v>6.29</v>
      </c>
      <c r="H4009" t="s">
        <v>8588</v>
      </c>
      <c r="I4009">
        <v>6</v>
      </c>
      <c r="J4009" t="s">
        <v>462</v>
      </c>
      <c r="K4009" t="s">
        <v>446</v>
      </c>
      <c r="M4009">
        <v>2641</v>
      </c>
    </row>
    <row r="4010" spans="1:14">
      <c r="A4010">
        <v>17830000</v>
      </c>
      <c r="B4010">
        <v>3031651</v>
      </c>
      <c r="C4010" t="s">
        <v>2295</v>
      </c>
      <c r="D4010" t="s">
        <v>441</v>
      </c>
      <c r="F4010">
        <v>0</v>
      </c>
      <c r="G4010">
        <v>1.1000000000000001</v>
      </c>
      <c r="H4010" t="s">
        <v>8549</v>
      </c>
      <c r="I4010">
        <v>6</v>
      </c>
      <c r="J4010" t="s">
        <v>445</v>
      </c>
      <c r="M4010">
        <v>2391</v>
      </c>
      <c r="N4010" t="s">
        <v>16125</v>
      </c>
    </row>
    <row r="4011" spans="1:14">
      <c r="A4011">
        <v>17830025</v>
      </c>
      <c r="B4011">
        <v>4024334</v>
      </c>
      <c r="C4011" t="s">
        <v>10283</v>
      </c>
      <c r="D4011" t="s">
        <v>442</v>
      </c>
      <c r="E4011" t="s">
        <v>441</v>
      </c>
      <c r="F4011">
        <v>10</v>
      </c>
      <c r="G4011">
        <v>20.399999999999999</v>
      </c>
      <c r="H4011" t="s">
        <v>8588</v>
      </c>
      <c r="I4011">
        <v>540</v>
      </c>
      <c r="J4011" t="s">
        <v>462</v>
      </c>
      <c r="M4011">
        <v>7111</v>
      </c>
      <c r="N4011" t="s">
        <v>16125</v>
      </c>
    </row>
    <row r="4012" spans="1:14">
      <c r="A4012">
        <v>17830087</v>
      </c>
      <c r="B4012">
        <v>4028139</v>
      </c>
      <c r="C4012" t="s">
        <v>2296</v>
      </c>
      <c r="D4012" t="s">
        <v>441</v>
      </c>
      <c r="F4012">
        <v>0</v>
      </c>
      <c r="G4012">
        <v>17.38</v>
      </c>
      <c r="H4012" t="s">
        <v>8588</v>
      </c>
      <c r="I4012">
        <v>6</v>
      </c>
      <c r="J4012" t="s">
        <v>462</v>
      </c>
      <c r="M4012">
        <v>7112</v>
      </c>
      <c r="N4012" t="s">
        <v>16125</v>
      </c>
    </row>
    <row r="4013" spans="1:14">
      <c r="A4013">
        <v>17830525</v>
      </c>
      <c r="B4013">
        <v>3031774</v>
      </c>
      <c r="C4013" t="s">
        <v>2297</v>
      </c>
      <c r="D4013" t="s">
        <v>442</v>
      </c>
      <c r="E4013" t="s">
        <v>441</v>
      </c>
      <c r="F4013">
        <v>10</v>
      </c>
      <c r="G4013">
        <v>17.32</v>
      </c>
      <c r="H4013" t="s">
        <v>8588</v>
      </c>
      <c r="I4013">
        <v>6</v>
      </c>
      <c r="J4013" t="s">
        <v>445</v>
      </c>
      <c r="M4013">
        <v>2502</v>
      </c>
      <c r="N4013" t="s">
        <v>16125</v>
      </c>
    </row>
    <row r="4014" spans="1:14">
      <c r="A4014">
        <v>17840000</v>
      </c>
      <c r="B4014">
        <v>3007784</v>
      </c>
      <c r="C4014" t="s">
        <v>10284</v>
      </c>
      <c r="D4014" t="s">
        <v>441</v>
      </c>
      <c r="F4014">
        <v>0</v>
      </c>
      <c r="G4014">
        <v>12.67</v>
      </c>
      <c r="I4014">
        <v>6</v>
      </c>
      <c r="J4014" t="s">
        <v>445</v>
      </c>
      <c r="K4014" t="s">
        <v>446</v>
      </c>
      <c r="M4014">
        <v>2390</v>
      </c>
    </row>
    <row r="4015" spans="1:14">
      <c r="A4015">
        <v>17840030</v>
      </c>
      <c r="B4015">
        <v>4012615</v>
      </c>
      <c r="C4015" t="s">
        <v>2298</v>
      </c>
      <c r="D4015" t="s">
        <v>441</v>
      </c>
      <c r="F4015">
        <v>0</v>
      </c>
      <c r="G4015">
        <v>12.4</v>
      </c>
      <c r="H4015" t="s">
        <v>8588</v>
      </c>
      <c r="I4015">
        <v>12</v>
      </c>
      <c r="J4015" t="s">
        <v>462</v>
      </c>
      <c r="K4015" t="s">
        <v>446</v>
      </c>
      <c r="M4015">
        <v>2611</v>
      </c>
      <c r="N4015" t="s">
        <v>16034</v>
      </c>
    </row>
    <row r="4016" spans="1:14">
      <c r="A4016">
        <v>17840031</v>
      </c>
      <c r="B4016">
        <v>4003892</v>
      </c>
      <c r="C4016" t="s">
        <v>10285</v>
      </c>
      <c r="D4016" t="s">
        <v>441</v>
      </c>
      <c r="F4016">
        <v>0</v>
      </c>
      <c r="G4016">
        <v>12.58</v>
      </c>
      <c r="H4016" t="s">
        <v>8588</v>
      </c>
      <c r="I4016">
        <v>12</v>
      </c>
      <c r="J4016" t="s">
        <v>462</v>
      </c>
      <c r="K4016" t="s">
        <v>446</v>
      </c>
      <c r="M4016">
        <v>2611</v>
      </c>
    </row>
    <row r="4017" spans="1:14">
      <c r="A4017">
        <v>17840032</v>
      </c>
      <c r="B4017">
        <v>4003893</v>
      </c>
      <c r="C4017" t="s">
        <v>10286</v>
      </c>
      <c r="D4017" t="s">
        <v>441</v>
      </c>
      <c r="F4017">
        <v>0</v>
      </c>
      <c r="G4017">
        <v>13.11</v>
      </c>
      <c r="H4017" t="s">
        <v>8588</v>
      </c>
      <c r="I4017">
        <v>12</v>
      </c>
      <c r="J4017" t="s">
        <v>462</v>
      </c>
      <c r="K4017" t="s">
        <v>446</v>
      </c>
      <c r="M4017">
        <v>2611</v>
      </c>
    </row>
    <row r="4018" spans="1:14">
      <c r="A4018">
        <v>17840034</v>
      </c>
      <c r="B4018">
        <v>4005493</v>
      </c>
      <c r="C4018" t="s">
        <v>10287</v>
      </c>
      <c r="D4018" t="s">
        <v>441</v>
      </c>
      <c r="F4018">
        <v>0</v>
      </c>
      <c r="G4018">
        <v>12.82</v>
      </c>
      <c r="H4018" t="s">
        <v>8588</v>
      </c>
      <c r="I4018">
        <v>12</v>
      </c>
      <c r="J4018" t="s">
        <v>462</v>
      </c>
      <c r="K4018" t="s">
        <v>446</v>
      </c>
      <c r="M4018">
        <v>2611</v>
      </c>
    </row>
    <row r="4019" spans="1:14">
      <c r="A4019">
        <v>17840035</v>
      </c>
      <c r="B4019">
        <v>4006177</v>
      </c>
      <c r="C4019" t="s">
        <v>10288</v>
      </c>
      <c r="D4019" t="s">
        <v>441</v>
      </c>
      <c r="F4019">
        <v>0</v>
      </c>
      <c r="G4019">
        <v>12.3</v>
      </c>
      <c r="H4019" t="s">
        <v>8588</v>
      </c>
      <c r="I4019">
        <v>12</v>
      </c>
      <c r="J4019" t="s">
        <v>462</v>
      </c>
      <c r="K4019" t="s">
        <v>446</v>
      </c>
      <c r="M4019">
        <v>2611</v>
      </c>
    </row>
    <row r="4020" spans="1:14">
      <c r="A4020">
        <v>17840036</v>
      </c>
      <c r="B4020">
        <v>4006668</v>
      </c>
      <c r="C4020" t="s">
        <v>10289</v>
      </c>
      <c r="D4020" t="s">
        <v>441</v>
      </c>
      <c r="F4020">
        <v>0</v>
      </c>
      <c r="G4020">
        <v>12.4</v>
      </c>
      <c r="H4020" t="s">
        <v>8588</v>
      </c>
      <c r="I4020">
        <v>12</v>
      </c>
      <c r="J4020" t="s">
        <v>462</v>
      </c>
      <c r="K4020" t="s">
        <v>446</v>
      </c>
      <c r="M4020">
        <v>2611</v>
      </c>
    </row>
    <row r="4021" spans="1:14">
      <c r="A4021">
        <v>17840038</v>
      </c>
      <c r="B4021">
        <v>4007340</v>
      </c>
      <c r="C4021" t="s">
        <v>2299</v>
      </c>
      <c r="D4021" t="s">
        <v>441</v>
      </c>
      <c r="F4021">
        <v>0</v>
      </c>
      <c r="G4021">
        <v>11.89</v>
      </c>
      <c r="H4021" t="s">
        <v>8588</v>
      </c>
      <c r="I4021">
        <v>12</v>
      </c>
      <c r="J4021" t="s">
        <v>462</v>
      </c>
      <c r="K4021" t="s">
        <v>446</v>
      </c>
      <c r="M4021">
        <v>2611</v>
      </c>
      <c r="N4021" t="s">
        <v>16034</v>
      </c>
    </row>
    <row r="4022" spans="1:14">
      <c r="A4022">
        <v>17840039</v>
      </c>
      <c r="B4022">
        <v>4008550</v>
      </c>
      <c r="C4022" t="s">
        <v>10290</v>
      </c>
      <c r="D4022" t="s">
        <v>441</v>
      </c>
      <c r="F4022">
        <v>0</v>
      </c>
      <c r="G4022">
        <v>12.84</v>
      </c>
      <c r="H4022" t="s">
        <v>8588</v>
      </c>
      <c r="I4022">
        <v>12</v>
      </c>
      <c r="J4022" t="s">
        <v>462</v>
      </c>
      <c r="K4022" t="s">
        <v>446</v>
      </c>
      <c r="M4022">
        <v>2611</v>
      </c>
    </row>
    <row r="4023" spans="1:14">
      <c r="A4023">
        <v>17840040</v>
      </c>
      <c r="B4023">
        <v>4013410</v>
      </c>
      <c r="C4023" t="s">
        <v>15487</v>
      </c>
      <c r="D4023" t="s">
        <v>441</v>
      </c>
      <c r="F4023">
        <v>0</v>
      </c>
      <c r="G4023">
        <v>17.16</v>
      </c>
      <c r="H4023" t="s">
        <v>8588</v>
      </c>
      <c r="I4023">
        <v>7</v>
      </c>
      <c r="J4023" t="s">
        <v>462</v>
      </c>
      <c r="L4023">
        <v>100052</v>
      </c>
      <c r="M4023">
        <v>7112</v>
      </c>
      <c r="N4023" t="s">
        <v>16034</v>
      </c>
    </row>
    <row r="4024" spans="1:14">
      <c r="A4024">
        <v>17840041</v>
      </c>
      <c r="B4024">
        <v>4012686</v>
      </c>
      <c r="C4024" t="s">
        <v>2300</v>
      </c>
      <c r="D4024" t="s">
        <v>441</v>
      </c>
      <c r="F4024">
        <v>0</v>
      </c>
      <c r="G4024">
        <v>13.93</v>
      </c>
      <c r="H4024" t="s">
        <v>8588</v>
      </c>
      <c r="I4024">
        <v>13</v>
      </c>
      <c r="J4024" t="s">
        <v>462</v>
      </c>
      <c r="K4024" t="s">
        <v>446</v>
      </c>
      <c r="M4024">
        <v>2612</v>
      </c>
      <c r="N4024" t="s">
        <v>16034</v>
      </c>
    </row>
    <row r="4025" spans="1:14">
      <c r="A4025">
        <v>17840042</v>
      </c>
      <c r="B4025">
        <v>4015415</v>
      </c>
      <c r="C4025" t="s">
        <v>17408</v>
      </c>
      <c r="D4025" t="s">
        <v>441</v>
      </c>
      <c r="F4025">
        <v>0</v>
      </c>
      <c r="G4025">
        <v>18.440000000000001</v>
      </c>
      <c r="H4025" t="s">
        <v>8588</v>
      </c>
      <c r="I4025">
        <v>16</v>
      </c>
      <c r="J4025" t="s">
        <v>462</v>
      </c>
      <c r="M4025">
        <v>7112</v>
      </c>
      <c r="N4025" t="s">
        <v>16034</v>
      </c>
    </row>
    <row r="4026" spans="1:14">
      <c r="A4026">
        <v>17840043</v>
      </c>
      <c r="B4026">
        <v>4021037</v>
      </c>
      <c r="C4026" t="s">
        <v>2301</v>
      </c>
      <c r="D4026" t="s">
        <v>441</v>
      </c>
      <c r="F4026">
        <v>0</v>
      </c>
      <c r="G4026">
        <v>9.65</v>
      </c>
      <c r="H4026" t="s">
        <v>8588</v>
      </c>
      <c r="I4026">
        <v>11</v>
      </c>
      <c r="J4026" t="s">
        <v>462</v>
      </c>
      <c r="K4026" t="s">
        <v>446</v>
      </c>
      <c r="M4026">
        <v>2612</v>
      </c>
      <c r="N4026" t="s">
        <v>16034</v>
      </c>
    </row>
    <row r="4027" spans="1:14">
      <c r="A4027">
        <v>17840044</v>
      </c>
      <c r="B4027">
        <v>4022795</v>
      </c>
      <c r="C4027" t="s">
        <v>2302</v>
      </c>
      <c r="D4027" t="s">
        <v>441</v>
      </c>
      <c r="F4027">
        <v>0</v>
      </c>
      <c r="G4027">
        <v>8.94</v>
      </c>
      <c r="H4027" t="s">
        <v>8588</v>
      </c>
      <c r="I4027">
        <v>16</v>
      </c>
      <c r="J4027" t="s">
        <v>462</v>
      </c>
      <c r="M4027">
        <v>7112</v>
      </c>
      <c r="N4027" t="s">
        <v>16034</v>
      </c>
    </row>
    <row r="4028" spans="1:14">
      <c r="A4028">
        <v>17840045</v>
      </c>
      <c r="B4028">
        <v>4028397</v>
      </c>
      <c r="C4028" t="s">
        <v>2303</v>
      </c>
      <c r="D4028" t="s">
        <v>441</v>
      </c>
      <c r="F4028">
        <v>0</v>
      </c>
      <c r="G4028">
        <v>14.68</v>
      </c>
      <c r="H4028" t="s">
        <v>8588</v>
      </c>
      <c r="I4028">
        <v>16</v>
      </c>
      <c r="J4028" t="s">
        <v>462</v>
      </c>
      <c r="M4028">
        <v>7112</v>
      </c>
      <c r="N4028" t="s">
        <v>16034</v>
      </c>
    </row>
    <row r="4029" spans="1:14">
      <c r="A4029">
        <v>17840050</v>
      </c>
      <c r="B4029">
        <v>4010570</v>
      </c>
      <c r="C4029" t="s">
        <v>2304</v>
      </c>
      <c r="D4029" t="s">
        <v>441</v>
      </c>
      <c r="F4029">
        <v>0</v>
      </c>
      <c r="G4029">
        <v>10.28</v>
      </c>
      <c r="H4029" t="s">
        <v>8588</v>
      </c>
      <c r="I4029">
        <v>16</v>
      </c>
      <c r="J4029" t="s">
        <v>462</v>
      </c>
      <c r="K4029" t="s">
        <v>446</v>
      </c>
      <c r="M4029">
        <v>2612</v>
      </c>
      <c r="N4029" t="s">
        <v>16012</v>
      </c>
    </row>
    <row r="4030" spans="1:14">
      <c r="A4030">
        <v>17840051</v>
      </c>
      <c r="B4030">
        <v>4010777</v>
      </c>
      <c r="C4030" t="s">
        <v>15581</v>
      </c>
      <c r="D4030" t="s">
        <v>441</v>
      </c>
      <c r="F4030">
        <v>0</v>
      </c>
      <c r="G4030">
        <v>17.09</v>
      </c>
      <c r="H4030" t="s">
        <v>8588</v>
      </c>
      <c r="I4030">
        <v>10</v>
      </c>
      <c r="J4030" t="s">
        <v>462</v>
      </c>
      <c r="M4030">
        <v>7112</v>
      </c>
      <c r="N4030" t="s">
        <v>16034</v>
      </c>
    </row>
    <row r="4031" spans="1:14">
      <c r="A4031">
        <v>17840052</v>
      </c>
      <c r="B4031">
        <v>4012952</v>
      </c>
      <c r="C4031" t="s">
        <v>2305</v>
      </c>
      <c r="D4031" t="s">
        <v>441</v>
      </c>
      <c r="F4031">
        <v>0</v>
      </c>
      <c r="G4031">
        <v>10.65</v>
      </c>
      <c r="H4031" t="s">
        <v>8588</v>
      </c>
      <c r="I4031">
        <v>365</v>
      </c>
      <c r="J4031" t="s">
        <v>462</v>
      </c>
      <c r="K4031" t="s">
        <v>446</v>
      </c>
      <c r="M4031">
        <v>2501</v>
      </c>
      <c r="N4031" t="s">
        <v>16012</v>
      </c>
    </row>
    <row r="4032" spans="1:14">
      <c r="A4032">
        <v>17840059</v>
      </c>
      <c r="B4032">
        <v>4026587</v>
      </c>
      <c r="C4032" t="s">
        <v>2306</v>
      </c>
      <c r="D4032" t="s">
        <v>441</v>
      </c>
      <c r="F4032">
        <v>0</v>
      </c>
      <c r="G4032">
        <v>9.19</v>
      </c>
      <c r="H4032" t="s">
        <v>8588</v>
      </c>
      <c r="I4032">
        <v>16</v>
      </c>
      <c r="J4032" t="s">
        <v>462</v>
      </c>
      <c r="M4032">
        <v>7112</v>
      </c>
      <c r="N4032" t="s">
        <v>16034</v>
      </c>
    </row>
    <row r="4033" spans="1:14">
      <c r="A4033">
        <v>17840075</v>
      </c>
      <c r="B4033">
        <v>4029226</v>
      </c>
      <c r="C4033" t="s">
        <v>14294</v>
      </c>
      <c r="D4033" t="s">
        <v>441</v>
      </c>
      <c r="F4033">
        <v>0</v>
      </c>
      <c r="G4033">
        <v>16.11</v>
      </c>
      <c r="H4033" t="s">
        <v>8588</v>
      </c>
      <c r="I4033">
        <v>6</v>
      </c>
      <c r="J4033" t="s">
        <v>462</v>
      </c>
      <c r="L4033">
        <v>2651300</v>
      </c>
      <c r="M4033">
        <v>7112</v>
      </c>
      <c r="N4033" t="s">
        <v>16034</v>
      </c>
    </row>
    <row r="4034" spans="1:14">
      <c r="A4034">
        <v>17840076</v>
      </c>
      <c r="B4034">
        <v>3026052</v>
      </c>
      <c r="C4034" t="s">
        <v>2307</v>
      </c>
      <c r="D4034" t="s">
        <v>441</v>
      </c>
      <c r="F4034">
        <v>0</v>
      </c>
      <c r="G4034">
        <v>13.95</v>
      </c>
      <c r="H4034" t="s">
        <v>8588</v>
      </c>
      <c r="I4034">
        <v>6</v>
      </c>
      <c r="J4034" t="s">
        <v>445</v>
      </c>
      <c r="L4034">
        <v>2092017</v>
      </c>
      <c r="M4034">
        <v>7112</v>
      </c>
      <c r="N4034" t="s">
        <v>16034</v>
      </c>
    </row>
    <row r="4035" spans="1:14">
      <c r="A4035">
        <v>17840093</v>
      </c>
      <c r="B4035">
        <v>4016987</v>
      </c>
      <c r="C4035" t="s">
        <v>2308</v>
      </c>
      <c r="D4035" t="s">
        <v>441</v>
      </c>
      <c r="F4035">
        <v>0</v>
      </c>
      <c r="G4035">
        <v>11.89</v>
      </c>
      <c r="H4035" t="s">
        <v>8588</v>
      </c>
      <c r="I4035">
        <v>12</v>
      </c>
      <c r="J4035" t="s">
        <v>462</v>
      </c>
      <c r="K4035" t="s">
        <v>446</v>
      </c>
      <c r="M4035">
        <v>2611</v>
      </c>
      <c r="N4035" t="s">
        <v>16034</v>
      </c>
    </row>
    <row r="4036" spans="1:14">
      <c r="A4036">
        <v>17840094</v>
      </c>
      <c r="B4036">
        <v>4015743</v>
      </c>
      <c r="C4036" t="s">
        <v>2309</v>
      </c>
      <c r="D4036" t="s">
        <v>441</v>
      </c>
      <c r="F4036">
        <v>0</v>
      </c>
      <c r="G4036">
        <v>13.11</v>
      </c>
      <c r="H4036" t="s">
        <v>8588</v>
      </c>
      <c r="I4036">
        <v>12</v>
      </c>
      <c r="J4036" t="s">
        <v>462</v>
      </c>
      <c r="K4036" t="s">
        <v>446</v>
      </c>
      <c r="L4036">
        <v>2624950</v>
      </c>
      <c r="M4036">
        <v>2611</v>
      </c>
      <c r="N4036" t="s">
        <v>16034</v>
      </c>
    </row>
    <row r="4037" spans="1:14">
      <c r="A4037">
        <v>17840100</v>
      </c>
      <c r="B4037">
        <v>3005541</v>
      </c>
      <c r="C4037" t="s">
        <v>2310</v>
      </c>
      <c r="D4037" t="s">
        <v>441</v>
      </c>
      <c r="F4037">
        <v>0</v>
      </c>
      <c r="G4037">
        <v>0</v>
      </c>
      <c r="H4037" t="s">
        <v>8588</v>
      </c>
      <c r="I4037">
        <v>6</v>
      </c>
      <c r="J4037" t="s">
        <v>445</v>
      </c>
      <c r="K4037" t="s">
        <v>446</v>
      </c>
      <c r="M4037">
        <v>7161</v>
      </c>
      <c r="N4037" t="s">
        <v>16034</v>
      </c>
    </row>
    <row r="4038" spans="1:14">
      <c r="A4038">
        <v>17840110</v>
      </c>
      <c r="B4038">
        <v>3015046</v>
      </c>
      <c r="C4038" t="s">
        <v>17409</v>
      </c>
      <c r="D4038" t="s">
        <v>441</v>
      </c>
      <c r="F4038">
        <v>0</v>
      </c>
      <c r="H4038" t="s">
        <v>8588</v>
      </c>
      <c r="I4038">
        <v>6</v>
      </c>
      <c r="J4038" t="s">
        <v>445</v>
      </c>
      <c r="K4038" t="s">
        <v>446</v>
      </c>
      <c r="M4038">
        <v>7161</v>
      </c>
      <c r="N4038" t="s">
        <v>16034</v>
      </c>
    </row>
    <row r="4039" spans="1:14">
      <c r="A4039">
        <v>17840120</v>
      </c>
      <c r="B4039">
        <v>3003287</v>
      </c>
      <c r="C4039" t="s">
        <v>2311</v>
      </c>
      <c r="D4039" t="s">
        <v>441</v>
      </c>
      <c r="F4039">
        <v>0</v>
      </c>
      <c r="H4039" t="s">
        <v>8588</v>
      </c>
      <c r="I4039">
        <v>6</v>
      </c>
      <c r="J4039" t="s">
        <v>445</v>
      </c>
      <c r="K4039" t="s">
        <v>446</v>
      </c>
      <c r="M4039">
        <v>2391</v>
      </c>
    </row>
    <row r="4040" spans="1:14">
      <c r="A4040">
        <v>17840130</v>
      </c>
      <c r="B4040">
        <v>3011173</v>
      </c>
      <c r="C4040" t="s">
        <v>10291</v>
      </c>
      <c r="D4040" t="s">
        <v>441</v>
      </c>
      <c r="F4040">
        <v>0</v>
      </c>
      <c r="G4040">
        <v>17.41</v>
      </c>
      <c r="H4040" t="s">
        <v>8588</v>
      </c>
      <c r="I4040">
        <v>6</v>
      </c>
      <c r="J4040" t="s">
        <v>445</v>
      </c>
      <c r="K4040" t="s">
        <v>446</v>
      </c>
      <c r="M4040">
        <v>2391</v>
      </c>
    </row>
    <row r="4041" spans="1:14">
      <c r="A4041">
        <v>17840140</v>
      </c>
      <c r="B4041">
        <v>3015044</v>
      </c>
      <c r="C4041" t="s">
        <v>2312</v>
      </c>
      <c r="D4041" t="s">
        <v>441</v>
      </c>
      <c r="F4041">
        <v>0</v>
      </c>
      <c r="H4041" t="s">
        <v>8588</v>
      </c>
      <c r="I4041">
        <v>6</v>
      </c>
      <c r="J4041" t="s">
        <v>445</v>
      </c>
      <c r="K4041" t="s">
        <v>446</v>
      </c>
      <c r="M4041">
        <v>3741</v>
      </c>
      <c r="N4041" t="s">
        <v>16003</v>
      </c>
    </row>
    <row r="4042" spans="1:14">
      <c r="A4042">
        <v>17840552</v>
      </c>
      <c r="B4042">
        <v>3018641</v>
      </c>
      <c r="C4042" t="s">
        <v>2313</v>
      </c>
      <c r="D4042" t="s">
        <v>441</v>
      </c>
      <c r="F4042">
        <v>0</v>
      </c>
      <c r="G4042">
        <v>10.43</v>
      </c>
      <c r="I4042">
        <v>365</v>
      </c>
      <c r="J4042" t="s">
        <v>445</v>
      </c>
      <c r="K4042" t="s">
        <v>446</v>
      </c>
      <c r="M4042">
        <v>2612</v>
      </c>
      <c r="N4042" t="s">
        <v>16012</v>
      </c>
    </row>
    <row r="4043" spans="1:14">
      <c r="A4043">
        <v>17841032</v>
      </c>
      <c r="B4043">
        <v>4011615</v>
      </c>
      <c r="C4043" t="s">
        <v>10292</v>
      </c>
      <c r="D4043" t="s">
        <v>441</v>
      </c>
      <c r="F4043">
        <v>0</v>
      </c>
      <c r="G4043">
        <v>13.11</v>
      </c>
      <c r="H4043" t="s">
        <v>8588</v>
      </c>
      <c r="I4043">
        <v>12</v>
      </c>
      <c r="J4043" t="s">
        <v>462</v>
      </c>
      <c r="K4043" t="s">
        <v>446</v>
      </c>
      <c r="M4043">
        <v>2611</v>
      </c>
    </row>
    <row r="4044" spans="1:14">
      <c r="A4044">
        <v>17841034</v>
      </c>
      <c r="B4044">
        <v>4011630</v>
      </c>
      <c r="C4044" t="s">
        <v>10293</v>
      </c>
      <c r="D4044" t="s">
        <v>441</v>
      </c>
      <c r="F4044">
        <v>0</v>
      </c>
      <c r="G4044">
        <v>12.82</v>
      </c>
      <c r="H4044" t="s">
        <v>8588</v>
      </c>
      <c r="I4044">
        <v>12</v>
      </c>
      <c r="J4044" t="s">
        <v>462</v>
      </c>
      <c r="K4044" t="s">
        <v>446</v>
      </c>
      <c r="M4044">
        <v>2611</v>
      </c>
    </row>
    <row r="4045" spans="1:14">
      <c r="A4045">
        <v>17841035</v>
      </c>
      <c r="B4045">
        <v>4011647</v>
      </c>
      <c r="C4045" t="s">
        <v>10294</v>
      </c>
      <c r="D4045" t="s">
        <v>441</v>
      </c>
      <c r="F4045">
        <v>0</v>
      </c>
      <c r="G4045">
        <v>12.3</v>
      </c>
      <c r="H4045" t="s">
        <v>8588</v>
      </c>
      <c r="I4045">
        <v>12</v>
      </c>
      <c r="J4045" t="s">
        <v>462</v>
      </c>
      <c r="K4045" t="s">
        <v>446</v>
      </c>
      <c r="M4045">
        <v>2611</v>
      </c>
    </row>
    <row r="4046" spans="1:14">
      <c r="A4046">
        <v>17841036</v>
      </c>
      <c r="B4046">
        <v>4011669</v>
      </c>
      <c r="C4046" t="s">
        <v>10295</v>
      </c>
      <c r="D4046" t="s">
        <v>441</v>
      </c>
      <c r="F4046">
        <v>0</v>
      </c>
      <c r="G4046">
        <v>12.4</v>
      </c>
      <c r="H4046" t="s">
        <v>8588</v>
      </c>
      <c r="I4046">
        <v>12</v>
      </c>
      <c r="J4046" t="s">
        <v>462</v>
      </c>
      <c r="K4046" t="s">
        <v>446</v>
      </c>
      <c r="M4046">
        <v>2611</v>
      </c>
    </row>
    <row r="4047" spans="1:14">
      <c r="A4047">
        <v>17841038</v>
      </c>
      <c r="B4047">
        <v>4011723</v>
      </c>
      <c r="C4047" t="s">
        <v>10296</v>
      </c>
      <c r="D4047" t="s">
        <v>441</v>
      </c>
      <c r="F4047">
        <v>0</v>
      </c>
      <c r="G4047">
        <v>13.34</v>
      </c>
      <c r="H4047" t="s">
        <v>8588</v>
      </c>
      <c r="I4047">
        <v>12</v>
      </c>
      <c r="J4047" t="s">
        <v>462</v>
      </c>
      <c r="K4047" t="s">
        <v>446</v>
      </c>
      <c r="M4047">
        <v>2611</v>
      </c>
      <c r="N4047" t="s">
        <v>16034</v>
      </c>
    </row>
    <row r="4048" spans="1:14">
      <c r="A4048">
        <v>17841039</v>
      </c>
      <c r="B4048">
        <v>4011795</v>
      </c>
      <c r="C4048" t="s">
        <v>10297</v>
      </c>
      <c r="D4048" t="s">
        <v>441</v>
      </c>
      <c r="F4048">
        <v>0</v>
      </c>
      <c r="G4048">
        <v>12.84</v>
      </c>
      <c r="H4048" t="s">
        <v>8588</v>
      </c>
      <c r="I4048">
        <v>12</v>
      </c>
      <c r="J4048" t="s">
        <v>462</v>
      </c>
      <c r="K4048" t="s">
        <v>446</v>
      </c>
      <c r="M4048">
        <v>2611</v>
      </c>
    </row>
    <row r="4049" spans="1:14">
      <c r="A4049">
        <v>17841040</v>
      </c>
      <c r="B4049">
        <v>4013429</v>
      </c>
      <c r="C4049" t="s">
        <v>2314</v>
      </c>
      <c r="D4049" t="s">
        <v>441</v>
      </c>
      <c r="F4049">
        <v>0</v>
      </c>
      <c r="G4049">
        <v>13.72</v>
      </c>
      <c r="H4049" t="s">
        <v>8588</v>
      </c>
      <c r="I4049">
        <v>7</v>
      </c>
      <c r="J4049" t="s">
        <v>462</v>
      </c>
      <c r="K4049" t="s">
        <v>446</v>
      </c>
      <c r="M4049">
        <v>2612</v>
      </c>
      <c r="N4049" t="s">
        <v>16034</v>
      </c>
    </row>
    <row r="4050" spans="1:14">
      <c r="A4050">
        <v>17841041</v>
      </c>
      <c r="B4050">
        <v>4012688</v>
      </c>
      <c r="C4050" t="s">
        <v>2315</v>
      </c>
      <c r="D4050" t="s">
        <v>441</v>
      </c>
      <c r="F4050">
        <v>0</v>
      </c>
      <c r="G4050">
        <v>10.210000000000001</v>
      </c>
      <c r="H4050" t="s">
        <v>8588</v>
      </c>
      <c r="I4050">
        <v>13</v>
      </c>
      <c r="J4050" t="s">
        <v>462</v>
      </c>
      <c r="K4050" t="s">
        <v>446</v>
      </c>
      <c r="M4050">
        <v>2612</v>
      </c>
      <c r="N4050" t="s">
        <v>16034</v>
      </c>
    </row>
    <row r="4051" spans="1:14">
      <c r="A4051">
        <v>17841050</v>
      </c>
      <c r="B4051">
        <v>4012058</v>
      </c>
      <c r="C4051" t="s">
        <v>2316</v>
      </c>
      <c r="D4051" t="s">
        <v>441</v>
      </c>
      <c r="F4051">
        <v>0</v>
      </c>
      <c r="G4051">
        <v>11.36</v>
      </c>
      <c r="H4051" t="s">
        <v>8588</v>
      </c>
      <c r="I4051">
        <v>16</v>
      </c>
      <c r="J4051" t="s">
        <v>462</v>
      </c>
      <c r="K4051" t="s">
        <v>446</v>
      </c>
      <c r="M4051">
        <v>2612</v>
      </c>
    </row>
    <row r="4052" spans="1:14">
      <c r="A4052">
        <v>17841051</v>
      </c>
      <c r="B4052">
        <v>4012106</v>
      </c>
      <c r="C4052" t="s">
        <v>2317</v>
      </c>
      <c r="D4052" t="s">
        <v>441</v>
      </c>
      <c r="F4052">
        <v>0</v>
      </c>
      <c r="G4052">
        <v>13.67</v>
      </c>
      <c r="H4052" t="s">
        <v>8588</v>
      </c>
      <c r="I4052">
        <v>10</v>
      </c>
      <c r="J4052" t="s">
        <v>462</v>
      </c>
      <c r="K4052" t="s">
        <v>446</v>
      </c>
      <c r="M4052">
        <v>2612</v>
      </c>
      <c r="N4052" t="s">
        <v>16034</v>
      </c>
    </row>
    <row r="4053" spans="1:14">
      <c r="A4053">
        <v>17841052</v>
      </c>
      <c r="B4053">
        <v>4012953</v>
      </c>
      <c r="C4053" t="s">
        <v>2318</v>
      </c>
      <c r="D4053" t="s">
        <v>441</v>
      </c>
      <c r="F4053">
        <v>0</v>
      </c>
      <c r="G4053">
        <v>10.65</v>
      </c>
      <c r="H4053" t="s">
        <v>8588</v>
      </c>
      <c r="I4053">
        <v>365</v>
      </c>
      <c r="J4053" t="s">
        <v>462</v>
      </c>
      <c r="K4053" t="s">
        <v>446</v>
      </c>
      <c r="M4053">
        <v>2501</v>
      </c>
      <c r="N4053" t="s">
        <v>16012</v>
      </c>
    </row>
    <row r="4054" spans="1:14">
      <c r="A4054">
        <v>17841100</v>
      </c>
      <c r="B4054">
        <v>3017653</v>
      </c>
      <c r="C4054" t="s">
        <v>2319</v>
      </c>
      <c r="D4054" t="s">
        <v>441</v>
      </c>
      <c r="F4054">
        <v>0</v>
      </c>
      <c r="G4054">
        <v>13.45</v>
      </c>
      <c r="H4054" t="s">
        <v>8588</v>
      </c>
      <c r="I4054">
        <v>6</v>
      </c>
      <c r="J4054" t="s">
        <v>445</v>
      </c>
      <c r="K4054" t="s">
        <v>446</v>
      </c>
      <c r="M4054">
        <v>3741</v>
      </c>
      <c r="N4054" t="s">
        <v>16003</v>
      </c>
    </row>
    <row r="4055" spans="1:14">
      <c r="A4055">
        <v>17841552</v>
      </c>
      <c r="B4055">
        <v>3018642</v>
      </c>
      <c r="C4055" t="s">
        <v>2320</v>
      </c>
      <c r="D4055" t="s">
        <v>441</v>
      </c>
      <c r="F4055">
        <v>0</v>
      </c>
      <c r="G4055">
        <v>10.43</v>
      </c>
      <c r="H4055" t="s">
        <v>8580</v>
      </c>
      <c r="I4055">
        <v>365</v>
      </c>
      <c r="J4055" t="s">
        <v>445</v>
      </c>
      <c r="K4055" t="s">
        <v>446</v>
      </c>
      <c r="M4055">
        <v>2612</v>
      </c>
      <c r="N4055" t="s">
        <v>16012</v>
      </c>
    </row>
    <row r="4056" spans="1:14">
      <c r="A4056">
        <v>17850000</v>
      </c>
      <c r="B4056">
        <v>3006387</v>
      </c>
      <c r="C4056" t="s">
        <v>2321</v>
      </c>
      <c r="D4056" t="s">
        <v>441</v>
      </c>
      <c r="F4056">
        <v>0</v>
      </c>
      <c r="G4056">
        <v>0.73</v>
      </c>
      <c r="H4056" t="s">
        <v>8584</v>
      </c>
      <c r="I4056">
        <v>6</v>
      </c>
      <c r="J4056" t="s">
        <v>445</v>
      </c>
      <c r="M4056">
        <v>2391</v>
      </c>
      <c r="N4056" t="s">
        <v>16150</v>
      </c>
    </row>
    <row r="4057" spans="1:14">
      <c r="A4057">
        <v>17850007</v>
      </c>
      <c r="B4057">
        <v>3040603</v>
      </c>
      <c r="C4057" t="s">
        <v>2322</v>
      </c>
      <c r="D4057" t="s">
        <v>441</v>
      </c>
      <c r="F4057">
        <v>0</v>
      </c>
      <c r="G4057">
        <v>0.8</v>
      </c>
      <c r="H4057" t="s">
        <v>8549</v>
      </c>
      <c r="I4057">
        <v>6</v>
      </c>
      <c r="J4057" t="s">
        <v>445</v>
      </c>
      <c r="M4057">
        <v>2391</v>
      </c>
      <c r="N4057" t="s">
        <v>16150</v>
      </c>
    </row>
    <row r="4058" spans="1:14">
      <c r="A4058">
        <v>17850026</v>
      </c>
      <c r="B4058">
        <v>4025554</v>
      </c>
      <c r="C4058" t="s">
        <v>10298</v>
      </c>
      <c r="D4058" t="s">
        <v>442</v>
      </c>
      <c r="E4058" t="s">
        <v>441</v>
      </c>
      <c r="F4058">
        <v>10</v>
      </c>
      <c r="G4058">
        <v>15.4</v>
      </c>
      <c r="H4058" t="s">
        <v>8588</v>
      </c>
      <c r="I4058">
        <v>540</v>
      </c>
      <c r="J4058" t="s">
        <v>462</v>
      </c>
      <c r="M4058">
        <v>7111</v>
      </c>
      <c r="N4058" t="s">
        <v>16150</v>
      </c>
    </row>
    <row r="4059" spans="1:14">
      <c r="A4059">
        <v>17850030</v>
      </c>
      <c r="B4059">
        <v>4025343</v>
      </c>
      <c r="C4059" t="s">
        <v>10299</v>
      </c>
      <c r="D4059" t="s">
        <v>441</v>
      </c>
      <c r="F4059">
        <v>0</v>
      </c>
      <c r="G4059">
        <v>1.27</v>
      </c>
      <c r="H4059" t="s">
        <v>8588</v>
      </c>
      <c r="I4059">
        <v>10</v>
      </c>
      <c r="J4059" t="s">
        <v>462</v>
      </c>
      <c r="M4059">
        <v>7112</v>
      </c>
      <c r="N4059" t="s">
        <v>16150</v>
      </c>
    </row>
    <row r="4060" spans="1:14">
      <c r="A4060">
        <v>17850031</v>
      </c>
      <c r="B4060">
        <v>4025342</v>
      </c>
      <c r="C4060" t="s">
        <v>10300</v>
      </c>
      <c r="D4060" t="s">
        <v>441</v>
      </c>
      <c r="F4060">
        <v>0</v>
      </c>
      <c r="G4060">
        <v>2.6</v>
      </c>
      <c r="H4060" t="s">
        <v>8588</v>
      </c>
      <c r="I4060">
        <v>8</v>
      </c>
      <c r="J4060" t="s">
        <v>462</v>
      </c>
      <c r="M4060">
        <v>7112</v>
      </c>
      <c r="N4060" t="s">
        <v>16150</v>
      </c>
    </row>
    <row r="4061" spans="1:14">
      <c r="A4061">
        <v>17850032</v>
      </c>
      <c r="B4061">
        <v>4025439</v>
      </c>
      <c r="C4061" t="s">
        <v>10301</v>
      </c>
      <c r="D4061" t="s">
        <v>441</v>
      </c>
      <c r="F4061">
        <v>0</v>
      </c>
      <c r="G4061">
        <v>1.38</v>
      </c>
      <c r="H4061" t="s">
        <v>8588</v>
      </c>
      <c r="I4061">
        <v>10</v>
      </c>
      <c r="J4061" t="s">
        <v>462</v>
      </c>
      <c r="M4061">
        <v>7112</v>
      </c>
      <c r="N4061" t="s">
        <v>16150</v>
      </c>
    </row>
    <row r="4062" spans="1:14">
      <c r="A4062">
        <v>17850033</v>
      </c>
      <c r="B4062">
        <v>4025643</v>
      </c>
      <c r="C4062" t="s">
        <v>10302</v>
      </c>
      <c r="D4062" t="s">
        <v>441</v>
      </c>
      <c r="F4062">
        <v>0</v>
      </c>
      <c r="G4062">
        <v>1.32</v>
      </c>
      <c r="H4062" t="s">
        <v>8588</v>
      </c>
      <c r="I4062">
        <v>10</v>
      </c>
      <c r="J4062" t="s">
        <v>462</v>
      </c>
      <c r="M4062">
        <v>7112</v>
      </c>
      <c r="N4062" t="s">
        <v>16150</v>
      </c>
    </row>
    <row r="4063" spans="1:14">
      <c r="A4063">
        <v>17850526</v>
      </c>
      <c r="B4063">
        <v>3037911</v>
      </c>
      <c r="C4063" t="s">
        <v>10303</v>
      </c>
      <c r="D4063" t="s">
        <v>442</v>
      </c>
      <c r="E4063" t="s">
        <v>441</v>
      </c>
      <c r="F4063">
        <v>10</v>
      </c>
      <c r="G4063">
        <v>12.76</v>
      </c>
      <c r="H4063" t="s">
        <v>8588</v>
      </c>
      <c r="I4063">
        <v>540</v>
      </c>
      <c r="J4063" t="s">
        <v>445</v>
      </c>
      <c r="M4063">
        <v>2502</v>
      </c>
      <c r="N4063" t="s">
        <v>16150</v>
      </c>
    </row>
    <row r="4064" spans="1:14">
      <c r="A4064">
        <v>17853000</v>
      </c>
      <c r="B4064">
        <v>3016364</v>
      </c>
      <c r="C4064" t="s">
        <v>2323</v>
      </c>
      <c r="D4064" t="s">
        <v>441</v>
      </c>
      <c r="F4064">
        <v>0</v>
      </c>
      <c r="G4064">
        <v>0.73</v>
      </c>
      <c r="H4064" t="s">
        <v>8634</v>
      </c>
      <c r="I4064">
        <v>6</v>
      </c>
      <c r="J4064" t="s">
        <v>445</v>
      </c>
      <c r="M4064">
        <v>2391</v>
      </c>
      <c r="N4064" t="s">
        <v>16150</v>
      </c>
    </row>
    <row r="4065" spans="1:14">
      <c r="A4065">
        <v>17854000</v>
      </c>
      <c r="B4065">
        <v>3044569</v>
      </c>
      <c r="C4065" t="s">
        <v>15265</v>
      </c>
      <c r="D4065" t="s">
        <v>441</v>
      </c>
      <c r="F4065">
        <v>0</v>
      </c>
      <c r="G4065">
        <v>1.81</v>
      </c>
      <c r="H4065" t="s">
        <v>8549</v>
      </c>
      <c r="I4065">
        <v>6</v>
      </c>
      <c r="J4065" t="s">
        <v>445</v>
      </c>
      <c r="M4065">
        <v>2391</v>
      </c>
      <c r="N4065" t="s">
        <v>16150</v>
      </c>
    </row>
    <row r="4066" spans="1:14">
      <c r="A4066">
        <v>17854020</v>
      </c>
      <c r="B4066">
        <v>4029521</v>
      </c>
      <c r="C4066" t="s">
        <v>15266</v>
      </c>
      <c r="D4066" t="s">
        <v>441</v>
      </c>
      <c r="F4066">
        <v>0</v>
      </c>
      <c r="G4066">
        <v>2.72</v>
      </c>
      <c r="H4066" t="s">
        <v>8588</v>
      </c>
      <c r="I4066">
        <v>6</v>
      </c>
      <c r="J4066" t="s">
        <v>462</v>
      </c>
      <c r="M4066">
        <v>7112</v>
      </c>
      <c r="N4066" t="s">
        <v>16150</v>
      </c>
    </row>
    <row r="4067" spans="1:14">
      <c r="A4067">
        <v>17854300</v>
      </c>
      <c r="B4067">
        <v>3044600</v>
      </c>
      <c r="C4067" t="s">
        <v>15267</v>
      </c>
      <c r="D4067" t="s">
        <v>441</v>
      </c>
      <c r="F4067">
        <v>0</v>
      </c>
      <c r="G4067">
        <v>1.81</v>
      </c>
      <c r="H4067" t="s">
        <v>8549</v>
      </c>
      <c r="I4067">
        <v>6</v>
      </c>
      <c r="J4067" t="s">
        <v>445</v>
      </c>
      <c r="M4067">
        <v>2391</v>
      </c>
      <c r="N4067" t="s">
        <v>16150</v>
      </c>
    </row>
    <row r="4068" spans="1:14">
      <c r="A4068">
        <v>17860000</v>
      </c>
      <c r="B4068">
        <v>3007786</v>
      </c>
      <c r="C4068" t="s">
        <v>2324</v>
      </c>
      <c r="D4068" t="s">
        <v>441</v>
      </c>
      <c r="F4068">
        <v>0</v>
      </c>
      <c r="G4068">
        <v>2.0299999999999998</v>
      </c>
      <c r="I4068">
        <v>6</v>
      </c>
      <c r="J4068" t="s">
        <v>445</v>
      </c>
      <c r="M4068">
        <v>2391</v>
      </c>
      <c r="N4068" t="s">
        <v>16125</v>
      </c>
    </row>
    <row r="4069" spans="1:14">
      <c r="A4069">
        <v>17860025</v>
      </c>
      <c r="B4069">
        <v>4022080</v>
      </c>
      <c r="C4069" t="s">
        <v>2325</v>
      </c>
      <c r="D4069" t="s">
        <v>442</v>
      </c>
      <c r="E4069" t="s">
        <v>441</v>
      </c>
      <c r="F4069">
        <v>10</v>
      </c>
      <c r="G4069">
        <v>29.8</v>
      </c>
      <c r="H4069" t="s">
        <v>8588</v>
      </c>
      <c r="I4069">
        <v>540</v>
      </c>
      <c r="J4069" t="s">
        <v>462</v>
      </c>
      <c r="M4069">
        <v>7111</v>
      </c>
      <c r="N4069" t="s">
        <v>16125</v>
      </c>
    </row>
    <row r="4070" spans="1:14">
      <c r="A4070">
        <v>17860027</v>
      </c>
      <c r="B4070">
        <v>4007587</v>
      </c>
      <c r="C4070" t="s">
        <v>10304</v>
      </c>
      <c r="D4070" t="s">
        <v>441</v>
      </c>
      <c r="F4070">
        <v>0</v>
      </c>
      <c r="G4070">
        <v>3.06</v>
      </c>
      <c r="H4070" t="s">
        <v>8588</v>
      </c>
      <c r="I4070">
        <v>365</v>
      </c>
      <c r="J4070" t="s">
        <v>462</v>
      </c>
      <c r="K4070" t="s">
        <v>446</v>
      </c>
      <c r="M4070">
        <v>2501</v>
      </c>
    </row>
    <row r="4071" spans="1:14">
      <c r="A4071">
        <v>17860028</v>
      </c>
      <c r="B4071">
        <v>4001818</v>
      </c>
      <c r="C4071" t="s">
        <v>10305</v>
      </c>
      <c r="D4071" t="s">
        <v>441</v>
      </c>
      <c r="F4071">
        <v>0</v>
      </c>
      <c r="G4071">
        <v>3.08</v>
      </c>
      <c r="H4071" t="s">
        <v>8588</v>
      </c>
      <c r="I4071">
        <v>365</v>
      </c>
      <c r="J4071" t="s">
        <v>462</v>
      </c>
      <c r="K4071" t="s">
        <v>446</v>
      </c>
      <c r="M4071">
        <v>2501</v>
      </c>
    </row>
    <row r="4072" spans="1:14">
      <c r="A4072">
        <v>17860525</v>
      </c>
      <c r="B4072">
        <v>3033123</v>
      </c>
      <c r="C4072" t="s">
        <v>2297</v>
      </c>
      <c r="D4072" t="s">
        <v>442</v>
      </c>
      <c r="E4072" t="s">
        <v>441</v>
      </c>
      <c r="F4072">
        <v>10</v>
      </c>
      <c r="G4072">
        <v>26.72</v>
      </c>
      <c r="H4072" t="s">
        <v>8588</v>
      </c>
      <c r="I4072">
        <v>6</v>
      </c>
      <c r="J4072" t="s">
        <v>445</v>
      </c>
      <c r="M4072">
        <v>2502</v>
      </c>
      <c r="N4072" t="s">
        <v>16125</v>
      </c>
    </row>
    <row r="4073" spans="1:14">
      <c r="A4073">
        <v>17860527</v>
      </c>
      <c r="B4073">
        <v>3007787</v>
      </c>
      <c r="C4073" t="s">
        <v>10306</v>
      </c>
      <c r="D4073" t="s">
        <v>441</v>
      </c>
      <c r="F4073">
        <v>0</v>
      </c>
      <c r="G4073">
        <v>2.79</v>
      </c>
      <c r="I4073">
        <v>6</v>
      </c>
      <c r="J4073" t="s">
        <v>445</v>
      </c>
      <c r="K4073" t="s">
        <v>446</v>
      </c>
      <c r="M4073">
        <v>2641</v>
      </c>
    </row>
    <row r="4074" spans="1:14">
      <c r="A4074">
        <v>17860528</v>
      </c>
      <c r="B4074">
        <v>3007788</v>
      </c>
      <c r="C4074" t="s">
        <v>10307</v>
      </c>
      <c r="D4074" t="s">
        <v>441</v>
      </c>
      <c r="F4074">
        <v>0</v>
      </c>
      <c r="G4074">
        <v>2.81</v>
      </c>
      <c r="I4074">
        <v>6</v>
      </c>
      <c r="J4074" t="s">
        <v>445</v>
      </c>
      <c r="K4074" t="s">
        <v>446</v>
      </c>
      <c r="M4074">
        <v>2641</v>
      </c>
    </row>
    <row r="4075" spans="1:14">
      <c r="A4075">
        <v>17861000</v>
      </c>
      <c r="B4075">
        <v>3009065</v>
      </c>
      <c r="C4075" t="s">
        <v>10308</v>
      </c>
      <c r="D4075" t="s">
        <v>441</v>
      </c>
      <c r="F4075">
        <v>0</v>
      </c>
      <c r="G4075">
        <v>2.37</v>
      </c>
      <c r="I4075">
        <v>6</v>
      </c>
      <c r="J4075" t="s">
        <v>445</v>
      </c>
      <c r="K4075" t="s">
        <v>446</v>
      </c>
      <c r="M4075">
        <v>0</v>
      </c>
    </row>
    <row r="4076" spans="1:14">
      <c r="A4076">
        <v>17863000</v>
      </c>
      <c r="B4076">
        <v>3033161</v>
      </c>
      <c r="C4076" t="s">
        <v>2326</v>
      </c>
      <c r="D4076" t="s">
        <v>441</v>
      </c>
      <c r="F4076">
        <v>0</v>
      </c>
      <c r="G4076">
        <v>2.0299999999999998</v>
      </c>
      <c r="H4076" t="s">
        <v>8549</v>
      </c>
      <c r="I4076">
        <v>7</v>
      </c>
      <c r="J4076" t="s">
        <v>445</v>
      </c>
      <c r="M4076">
        <v>2391</v>
      </c>
      <c r="N4076" t="s">
        <v>16125</v>
      </c>
    </row>
    <row r="4077" spans="1:14">
      <c r="A4077">
        <v>17866000</v>
      </c>
      <c r="B4077">
        <v>3009066</v>
      </c>
      <c r="C4077" t="s">
        <v>10309</v>
      </c>
      <c r="D4077" t="s">
        <v>441</v>
      </c>
      <c r="F4077">
        <v>0</v>
      </c>
      <c r="G4077">
        <v>2.38</v>
      </c>
      <c r="I4077">
        <v>5</v>
      </c>
      <c r="J4077" t="s">
        <v>445</v>
      </c>
      <c r="K4077" t="s">
        <v>446</v>
      </c>
      <c r="M4077">
        <v>2390</v>
      </c>
    </row>
    <row r="4078" spans="1:14">
      <c r="A4078">
        <v>17870000</v>
      </c>
      <c r="B4078">
        <v>3016021</v>
      </c>
      <c r="C4078" t="s">
        <v>14295</v>
      </c>
      <c r="D4078" t="s">
        <v>441</v>
      </c>
      <c r="F4078">
        <v>0</v>
      </c>
      <c r="G4078">
        <v>0</v>
      </c>
      <c r="H4078" t="s">
        <v>8549</v>
      </c>
      <c r="I4078">
        <v>5</v>
      </c>
      <c r="J4078" t="s">
        <v>445</v>
      </c>
      <c r="M4078">
        <v>2391</v>
      </c>
      <c r="N4078" t="s">
        <v>16151</v>
      </c>
    </row>
    <row r="4079" spans="1:14">
      <c r="A4079">
        <v>17870002</v>
      </c>
      <c r="B4079">
        <v>3045758</v>
      </c>
      <c r="C4079" t="s">
        <v>16152</v>
      </c>
      <c r="D4079" t="s">
        <v>441</v>
      </c>
      <c r="F4079">
        <v>0</v>
      </c>
      <c r="G4079">
        <v>6.1</v>
      </c>
      <c r="H4079" t="s">
        <v>8588</v>
      </c>
      <c r="I4079">
        <v>365</v>
      </c>
      <c r="J4079" t="s">
        <v>445</v>
      </c>
      <c r="M4079">
        <v>7111</v>
      </c>
      <c r="N4079" t="s">
        <v>16151</v>
      </c>
    </row>
    <row r="4080" spans="1:14">
      <c r="A4080">
        <v>17870020</v>
      </c>
      <c r="B4080">
        <v>4007984</v>
      </c>
      <c r="C4080" t="s">
        <v>10310</v>
      </c>
      <c r="D4080" t="s">
        <v>441</v>
      </c>
      <c r="F4080">
        <v>0</v>
      </c>
      <c r="G4080">
        <v>1.76</v>
      </c>
      <c r="H4080" t="s">
        <v>8588</v>
      </c>
      <c r="I4080">
        <v>6</v>
      </c>
      <c r="J4080" t="s">
        <v>462</v>
      </c>
      <c r="K4080" t="s">
        <v>446</v>
      </c>
      <c r="M4080">
        <v>2641</v>
      </c>
    </row>
    <row r="4081" spans="1:14">
      <c r="A4081">
        <v>17870025</v>
      </c>
      <c r="B4081">
        <v>3000210</v>
      </c>
      <c r="C4081" t="s">
        <v>10311</v>
      </c>
      <c r="D4081" t="s">
        <v>441</v>
      </c>
      <c r="F4081">
        <v>0</v>
      </c>
      <c r="G4081">
        <v>1.41</v>
      </c>
      <c r="H4081" t="s">
        <v>8588</v>
      </c>
      <c r="I4081">
        <v>365</v>
      </c>
      <c r="J4081" t="s">
        <v>445</v>
      </c>
      <c r="K4081" t="s">
        <v>446</v>
      </c>
      <c r="M4081">
        <v>2501</v>
      </c>
    </row>
    <row r="4082" spans="1:14">
      <c r="A4082">
        <v>17870026</v>
      </c>
      <c r="B4082">
        <v>3014601</v>
      </c>
      <c r="C4082" t="s">
        <v>14296</v>
      </c>
      <c r="D4082" t="s">
        <v>441</v>
      </c>
      <c r="F4082">
        <v>0</v>
      </c>
      <c r="G4082">
        <v>4.58</v>
      </c>
      <c r="H4082" t="s">
        <v>8588</v>
      </c>
      <c r="I4082">
        <v>365</v>
      </c>
      <c r="J4082" t="s">
        <v>445</v>
      </c>
      <c r="M4082">
        <v>7111</v>
      </c>
      <c r="N4082" t="s">
        <v>16151</v>
      </c>
    </row>
    <row r="4083" spans="1:14">
      <c r="A4083">
        <v>17870027</v>
      </c>
      <c r="B4083">
        <v>4023823</v>
      </c>
      <c r="C4083" t="s">
        <v>14297</v>
      </c>
      <c r="D4083" t="s">
        <v>442</v>
      </c>
      <c r="E4083" t="s">
        <v>441</v>
      </c>
      <c r="F4083">
        <v>10</v>
      </c>
      <c r="G4083">
        <v>50.02</v>
      </c>
      <c r="H4083" t="s">
        <v>8588</v>
      </c>
      <c r="I4083">
        <v>365</v>
      </c>
      <c r="J4083" t="s">
        <v>462</v>
      </c>
      <c r="M4083">
        <v>7111</v>
      </c>
      <c r="N4083" t="s">
        <v>16151</v>
      </c>
    </row>
    <row r="4084" spans="1:14">
      <c r="A4084">
        <v>17870028</v>
      </c>
      <c r="B4084">
        <v>4001820</v>
      </c>
      <c r="C4084" t="s">
        <v>10312</v>
      </c>
      <c r="D4084" t="s">
        <v>441</v>
      </c>
      <c r="F4084">
        <v>0</v>
      </c>
      <c r="G4084">
        <v>2.13</v>
      </c>
      <c r="H4084" t="s">
        <v>8588</v>
      </c>
      <c r="I4084">
        <v>365</v>
      </c>
      <c r="J4084" t="s">
        <v>462</v>
      </c>
      <c r="K4084" t="s">
        <v>446</v>
      </c>
      <c r="M4084">
        <v>2501</v>
      </c>
    </row>
    <row r="4085" spans="1:14">
      <c r="A4085">
        <v>17870075</v>
      </c>
      <c r="B4085">
        <v>3000209</v>
      </c>
      <c r="C4085" t="s">
        <v>14298</v>
      </c>
      <c r="D4085" t="s">
        <v>441</v>
      </c>
      <c r="F4085">
        <v>0</v>
      </c>
      <c r="G4085">
        <v>4.22</v>
      </c>
      <c r="H4085" t="s">
        <v>8588</v>
      </c>
      <c r="I4085">
        <v>6</v>
      </c>
      <c r="J4085" t="s">
        <v>445</v>
      </c>
      <c r="M4085">
        <v>7112</v>
      </c>
      <c r="N4085" t="s">
        <v>16151</v>
      </c>
    </row>
    <row r="4086" spans="1:14">
      <c r="A4086">
        <v>17870076</v>
      </c>
      <c r="B4086">
        <v>3009409</v>
      </c>
      <c r="C4086" t="s">
        <v>10313</v>
      </c>
      <c r="D4086" t="s">
        <v>441</v>
      </c>
      <c r="F4086">
        <v>0</v>
      </c>
      <c r="G4086">
        <v>1.87</v>
      </c>
      <c r="H4086" t="s">
        <v>8588</v>
      </c>
      <c r="I4086">
        <v>6</v>
      </c>
      <c r="J4086" t="s">
        <v>445</v>
      </c>
      <c r="K4086" t="s">
        <v>446</v>
      </c>
      <c r="M4086">
        <v>2641</v>
      </c>
    </row>
    <row r="4087" spans="1:14">
      <c r="A4087">
        <v>17870077</v>
      </c>
      <c r="B4087">
        <v>4009755</v>
      </c>
      <c r="C4087" t="s">
        <v>10314</v>
      </c>
      <c r="D4087" t="s">
        <v>441</v>
      </c>
      <c r="F4087">
        <v>0</v>
      </c>
      <c r="G4087">
        <v>1.87</v>
      </c>
      <c r="H4087" t="s">
        <v>8588</v>
      </c>
      <c r="I4087">
        <v>6</v>
      </c>
      <c r="J4087" t="s">
        <v>462</v>
      </c>
      <c r="K4087" t="s">
        <v>446</v>
      </c>
      <c r="M4087">
        <v>2641</v>
      </c>
    </row>
    <row r="4088" spans="1:14">
      <c r="A4088">
        <v>17870078</v>
      </c>
      <c r="B4088">
        <v>3012579</v>
      </c>
      <c r="C4088" t="s">
        <v>14299</v>
      </c>
      <c r="D4088" t="s">
        <v>441</v>
      </c>
      <c r="F4088">
        <v>0</v>
      </c>
      <c r="G4088">
        <v>4.08</v>
      </c>
      <c r="H4088" t="s">
        <v>8588</v>
      </c>
      <c r="I4088">
        <v>6</v>
      </c>
      <c r="J4088" t="s">
        <v>445</v>
      </c>
      <c r="M4088">
        <v>7112</v>
      </c>
      <c r="N4088" t="s">
        <v>16151</v>
      </c>
    </row>
    <row r="4089" spans="1:14">
      <c r="A4089">
        <v>17870080</v>
      </c>
      <c r="B4089">
        <v>4001821</v>
      </c>
      <c r="C4089" t="s">
        <v>14300</v>
      </c>
      <c r="D4089" t="s">
        <v>441</v>
      </c>
      <c r="F4089">
        <v>0</v>
      </c>
      <c r="G4089">
        <v>4.16</v>
      </c>
      <c r="H4089" t="s">
        <v>8588</v>
      </c>
      <c r="I4089">
        <v>6</v>
      </c>
      <c r="J4089" t="s">
        <v>462</v>
      </c>
      <c r="M4089">
        <v>7112</v>
      </c>
      <c r="N4089" t="s">
        <v>16151</v>
      </c>
    </row>
    <row r="4090" spans="1:14">
      <c r="A4090">
        <v>17870087</v>
      </c>
      <c r="B4090">
        <v>4007985</v>
      </c>
      <c r="C4090" t="s">
        <v>10315</v>
      </c>
      <c r="D4090" t="s">
        <v>441</v>
      </c>
      <c r="F4090">
        <v>0</v>
      </c>
      <c r="G4090">
        <v>1.86</v>
      </c>
      <c r="H4090" t="s">
        <v>8588</v>
      </c>
      <c r="I4090">
        <v>6</v>
      </c>
      <c r="J4090" t="s">
        <v>462</v>
      </c>
      <c r="K4090" t="s">
        <v>446</v>
      </c>
      <c r="M4090">
        <v>2641</v>
      </c>
    </row>
    <row r="4091" spans="1:14">
      <c r="A4091">
        <v>17870088</v>
      </c>
      <c r="B4091">
        <v>3012289</v>
      </c>
      <c r="C4091" t="s">
        <v>10316</v>
      </c>
      <c r="D4091" t="s">
        <v>441</v>
      </c>
      <c r="F4091">
        <v>0</v>
      </c>
      <c r="G4091">
        <v>1.87</v>
      </c>
      <c r="H4091" t="s">
        <v>8588</v>
      </c>
      <c r="I4091">
        <v>6</v>
      </c>
      <c r="J4091" t="s">
        <v>445</v>
      </c>
      <c r="K4091" t="s">
        <v>446</v>
      </c>
      <c r="M4091">
        <v>2641</v>
      </c>
    </row>
    <row r="4092" spans="1:14">
      <c r="A4092">
        <v>17870090</v>
      </c>
      <c r="B4092">
        <v>3009722</v>
      </c>
      <c r="C4092" t="s">
        <v>10317</v>
      </c>
      <c r="D4092" t="s">
        <v>441</v>
      </c>
      <c r="F4092">
        <v>0</v>
      </c>
      <c r="G4092">
        <v>1.3</v>
      </c>
      <c r="H4092" t="s">
        <v>8588</v>
      </c>
      <c r="I4092">
        <v>6</v>
      </c>
      <c r="J4092" t="s">
        <v>445</v>
      </c>
      <c r="K4092" t="s">
        <v>446</v>
      </c>
      <c r="M4092">
        <v>2641</v>
      </c>
    </row>
    <row r="4093" spans="1:14">
      <c r="A4093">
        <v>17870091</v>
      </c>
      <c r="B4093">
        <v>3012609</v>
      </c>
      <c r="C4093" t="s">
        <v>14301</v>
      </c>
      <c r="D4093" t="s">
        <v>441</v>
      </c>
      <c r="F4093">
        <v>0</v>
      </c>
      <c r="G4093">
        <v>4.1399999999999997</v>
      </c>
      <c r="H4093" t="s">
        <v>8588</v>
      </c>
      <c r="I4093">
        <v>6</v>
      </c>
      <c r="J4093" t="s">
        <v>445</v>
      </c>
      <c r="M4093">
        <v>7112</v>
      </c>
      <c r="N4093" t="s">
        <v>16151</v>
      </c>
    </row>
    <row r="4094" spans="1:14">
      <c r="A4094">
        <v>17870100</v>
      </c>
      <c r="B4094">
        <v>3032153</v>
      </c>
      <c r="C4094" t="s">
        <v>10318</v>
      </c>
      <c r="D4094" t="s">
        <v>441</v>
      </c>
      <c r="F4094">
        <v>0</v>
      </c>
      <c r="H4094" t="s">
        <v>8588</v>
      </c>
      <c r="I4094">
        <v>5</v>
      </c>
      <c r="J4094" t="s">
        <v>445</v>
      </c>
      <c r="K4094" t="s">
        <v>446</v>
      </c>
      <c r="M4094">
        <v>0</v>
      </c>
      <c r="N4094" t="s">
        <v>16153</v>
      </c>
    </row>
    <row r="4095" spans="1:14">
      <c r="A4095">
        <v>17870110</v>
      </c>
      <c r="B4095">
        <v>3014382</v>
      </c>
      <c r="C4095" t="s">
        <v>14302</v>
      </c>
      <c r="D4095" t="s">
        <v>441</v>
      </c>
      <c r="F4095">
        <v>0</v>
      </c>
      <c r="H4095" t="s">
        <v>8588</v>
      </c>
      <c r="I4095">
        <v>6</v>
      </c>
      <c r="J4095" t="s">
        <v>445</v>
      </c>
      <c r="M4095">
        <v>7161</v>
      </c>
      <c r="N4095" t="s">
        <v>16151</v>
      </c>
    </row>
    <row r="4096" spans="1:14">
      <c r="A4096">
        <v>17870502</v>
      </c>
      <c r="B4096">
        <v>3045750</v>
      </c>
      <c r="C4096" t="s">
        <v>16154</v>
      </c>
      <c r="D4096" t="s">
        <v>441</v>
      </c>
      <c r="F4096">
        <v>0</v>
      </c>
      <c r="G4096">
        <v>5.58</v>
      </c>
      <c r="H4096" t="s">
        <v>8549</v>
      </c>
      <c r="I4096">
        <v>365</v>
      </c>
      <c r="J4096" t="s">
        <v>445</v>
      </c>
      <c r="M4096">
        <v>2502</v>
      </c>
      <c r="N4096" t="s">
        <v>16151</v>
      </c>
    </row>
    <row r="4097" spans="1:14">
      <c r="A4097">
        <v>17870525</v>
      </c>
      <c r="B4097">
        <v>3007789</v>
      </c>
      <c r="C4097" t="s">
        <v>10319</v>
      </c>
      <c r="D4097" t="s">
        <v>441</v>
      </c>
      <c r="F4097">
        <v>0</v>
      </c>
      <c r="G4097">
        <v>1.1499999999999999</v>
      </c>
      <c r="H4097" t="s">
        <v>8580</v>
      </c>
      <c r="I4097">
        <v>6</v>
      </c>
      <c r="J4097" t="s">
        <v>445</v>
      </c>
      <c r="K4097" t="s">
        <v>446</v>
      </c>
      <c r="M4097">
        <v>2641</v>
      </c>
    </row>
    <row r="4098" spans="1:14">
      <c r="A4098">
        <v>17870526</v>
      </c>
      <c r="B4098">
        <v>3014605</v>
      </c>
      <c r="C4098" t="s">
        <v>14303</v>
      </c>
      <c r="D4098" t="s">
        <v>441</v>
      </c>
      <c r="F4098">
        <v>0</v>
      </c>
      <c r="G4098">
        <v>4.07</v>
      </c>
      <c r="H4098" t="s">
        <v>8549</v>
      </c>
      <c r="I4098">
        <v>365</v>
      </c>
      <c r="J4098" t="s">
        <v>445</v>
      </c>
      <c r="M4098">
        <v>2502</v>
      </c>
      <c r="N4098" t="s">
        <v>16151</v>
      </c>
    </row>
    <row r="4099" spans="1:14">
      <c r="A4099">
        <v>17870527</v>
      </c>
      <c r="B4099">
        <v>3035192</v>
      </c>
      <c r="C4099" t="s">
        <v>14304</v>
      </c>
      <c r="D4099" t="s">
        <v>442</v>
      </c>
      <c r="E4099" t="s">
        <v>441</v>
      </c>
      <c r="F4099">
        <v>10</v>
      </c>
      <c r="G4099">
        <v>45.48</v>
      </c>
      <c r="H4099" t="s">
        <v>8588</v>
      </c>
      <c r="I4099">
        <v>365</v>
      </c>
      <c r="J4099" t="s">
        <v>445</v>
      </c>
      <c r="M4099">
        <v>2502</v>
      </c>
      <c r="N4099" t="s">
        <v>16151</v>
      </c>
    </row>
    <row r="4100" spans="1:14">
      <c r="A4100">
        <v>17870528</v>
      </c>
      <c r="B4100">
        <v>3007790</v>
      </c>
      <c r="C4100" t="s">
        <v>10320</v>
      </c>
      <c r="D4100" t="s">
        <v>441</v>
      </c>
      <c r="F4100">
        <v>0</v>
      </c>
      <c r="G4100">
        <v>1.94</v>
      </c>
      <c r="H4100" t="s">
        <v>8580</v>
      </c>
      <c r="I4100">
        <v>6</v>
      </c>
      <c r="J4100" t="s">
        <v>445</v>
      </c>
      <c r="K4100" t="s">
        <v>446</v>
      </c>
      <c r="M4100">
        <v>2641</v>
      </c>
    </row>
    <row r="4101" spans="1:14">
      <c r="A4101">
        <v>17870580</v>
      </c>
      <c r="B4101">
        <v>3007791</v>
      </c>
      <c r="C4101" t="s">
        <v>10321</v>
      </c>
      <c r="D4101" t="s">
        <v>441</v>
      </c>
      <c r="F4101">
        <v>0</v>
      </c>
      <c r="G4101">
        <v>1</v>
      </c>
      <c r="H4101" t="s">
        <v>8580</v>
      </c>
      <c r="I4101">
        <v>6</v>
      </c>
      <c r="J4101" t="s">
        <v>445</v>
      </c>
      <c r="K4101" t="s">
        <v>446</v>
      </c>
      <c r="M4101">
        <v>2641</v>
      </c>
    </row>
    <row r="4102" spans="1:14">
      <c r="A4102">
        <v>17870625</v>
      </c>
      <c r="B4102">
        <v>3011225</v>
      </c>
      <c r="C4102" t="s">
        <v>14305</v>
      </c>
      <c r="D4102" t="s">
        <v>441</v>
      </c>
      <c r="F4102">
        <v>0</v>
      </c>
      <c r="G4102">
        <v>4.78</v>
      </c>
      <c r="H4102" t="s">
        <v>8588</v>
      </c>
      <c r="I4102">
        <v>3</v>
      </c>
      <c r="J4102" t="s">
        <v>445</v>
      </c>
      <c r="M4102">
        <v>2510</v>
      </c>
      <c r="N4102" t="s">
        <v>16151</v>
      </c>
    </row>
    <row r="4103" spans="1:14">
      <c r="A4103">
        <v>17870925</v>
      </c>
      <c r="B4103">
        <v>3020272</v>
      </c>
      <c r="C4103" t="s">
        <v>14306</v>
      </c>
      <c r="D4103" t="s">
        <v>441</v>
      </c>
      <c r="F4103">
        <v>0</v>
      </c>
      <c r="H4103" t="s">
        <v>8580</v>
      </c>
      <c r="I4103">
        <v>3</v>
      </c>
      <c r="J4103" t="s">
        <v>445</v>
      </c>
      <c r="M4103">
        <v>6666</v>
      </c>
      <c r="N4103" t="s">
        <v>16151</v>
      </c>
    </row>
    <row r="4104" spans="1:14">
      <c r="A4104">
        <v>17871000</v>
      </c>
      <c r="B4104">
        <v>3044682</v>
      </c>
      <c r="C4104" t="s">
        <v>15312</v>
      </c>
      <c r="D4104" t="s">
        <v>441</v>
      </c>
      <c r="F4104">
        <v>0</v>
      </c>
      <c r="G4104">
        <v>5.3</v>
      </c>
      <c r="H4104" t="s">
        <v>8549</v>
      </c>
      <c r="I4104">
        <v>6</v>
      </c>
      <c r="J4104" t="s">
        <v>445</v>
      </c>
      <c r="M4104">
        <v>2391</v>
      </c>
      <c r="N4104" t="s">
        <v>16151</v>
      </c>
    </row>
    <row r="4105" spans="1:14">
      <c r="A4105">
        <v>17871007</v>
      </c>
      <c r="B4105">
        <v>3044683</v>
      </c>
      <c r="C4105" t="s">
        <v>15313</v>
      </c>
      <c r="D4105" t="s">
        <v>441</v>
      </c>
      <c r="F4105">
        <v>0</v>
      </c>
      <c r="G4105">
        <v>5.41</v>
      </c>
      <c r="H4105" t="s">
        <v>8588</v>
      </c>
      <c r="I4105">
        <v>6</v>
      </c>
      <c r="J4105" t="s">
        <v>445</v>
      </c>
      <c r="M4105">
        <v>3111</v>
      </c>
      <c r="N4105" t="s">
        <v>16151</v>
      </c>
    </row>
    <row r="4106" spans="1:14">
      <c r="A4106">
        <v>17871026</v>
      </c>
      <c r="B4106">
        <v>3044701</v>
      </c>
      <c r="C4106" t="s">
        <v>15372</v>
      </c>
      <c r="D4106" t="s">
        <v>441</v>
      </c>
      <c r="F4106">
        <v>0</v>
      </c>
      <c r="G4106">
        <v>5.95</v>
      </c>
      <c r="H4106" t="s">
        <v>8588</v>
      </c>
      <c r="I4106">
        <v>365</v>
      </c>
      <c r="J4106" t="s">
        <v>445</v>
      </c>
      <c r="M4106">
        <v>7111</v>
      </c>
      <c r="N4106" t="s">
        <v>16151</v>
      </c>
    </row>
    <row r="4107" spans="1:14">
      <c r="A4107">
        <v>17871080</v>
      </c>
      <c r="B4107">
        <v>4029575</v>
      </c>
      <c r="C4107" t="s">
        <v>15314</v>
      </c>
      <c r="D4107" t="s">
        <v>441</v>
      </c>
      <c r="F4107">
        <v>0</v>
      </c>
      <c r="G4107">
        <v>5.48</v>
      </c>
      <c r="H4107" t="s">
        <v>8588</v>
      </c>
      <c r="I4107">
        <v>6</v>
      </c>
      <c r="J4107" t="s">
        <v>462</v>
      </c>
      <c r="M4107">
        <v>7112</v>
      </c>
      <c r="N4107" t="s">
        <v>16151</v>
      </c>
    </row>
    <row r="4108" spans="1:14">
      <c r="A4108">
        <v>17871300</v>
      </c>
      <c r="B4108">
        <v>3044680</v>
      </c>
      <c r="C4108" t="s">
        <v>15315</v>
      </c>
      <c r="D4108" t="s">
        <v>441</v>
      </c>
      <c r="F4108">
        <v>0</v>
      </c>
      <c r="G4108">
        <v>5.3</v>
      </c>
      <c r="H4108" t="s">
        <v>8549</v>
      </c>
      <c r="I4108">
        <v>6</v>
      </c>
      <c r="J4108" t="s">
        <v>445</v>
      </c>
      <c r="M4108">
        <v>2391</v>
      </c>
      <c r="N4108" t="s">
        <v>16151</v>
      </c>
    </row>
    <row r="4109" spans="1:14">
      <c r="A4109">
        <v>17871526</v>
      </c>
      <c r="B4109">
        <v>3044702</v>
      </c>
      <c r="C4109" t="s">
        <v>15373</v>
      </c>
      <c r="D4109" t="s">
        <v>441</v>
      </c>
      <c r="F4109">
        <v>0</v>
      </c>
      <c r="G4109">
        <v>5.38</v>
      </c>
      <c r="H4109" t="s">
        <v>8549</v>
      </c>
      <c r="I4109">
        <v>365</v>
      </c>
      <c r="J4109" t="s">
        <v>445</v>
      </c>
      <c r="M4109">
        <v>2502</v>
      </c>
      <c r="N4109" t="s">
        <v>16151</v>
      </c>
    </row>
    <row r="4110" spans="1:14">
      <c r="A4110">
        <v>17871626</v>
      </c>
      <c r="B4110">
        <v>3044693</v>
      </c>
      <c r="C4110" t="s">
        <v>15374</v>
      </c>
      <c r="D4110" t="s">
        <v>441</v>
      </c>
      <c r="F4110">
        <v>0</v>
      </c>
      <c r="G4110">
        <v>6.19</v>
      </c>
      <c r="H4110" t="s">
        <v>8549</v>
      </c>
      <c r="I4110">
        <v>3</v>
      </c>
      <c r="J4110" t="s">
        <v>445</v>
      </c>
      <c r="M4110">
        <v>2510</v>
      </c>
      <c r="N4110" t="s">
        <v>16151</v>
      </c>
    </row>
    <row r="4111" spans="1:14">
      <c r="A4111">
        <v>17871907</v>
      </c>
      <c r="B4111">
        <v>3044687</v>
      </c>
      <c r="C4111" t="s">
        <v>15316</v>
      </c>
      <c r="D4111" t="s">
        <v>441</v>
      </c>
      <c r="F4111">
        <v>0</v>
      </c>
      <c r="G4111">
        <v>1</v>
      </c>
      <c r="H4111" t="s">
        <v>8588</v>
      </c>
      <c r="I4111">
        <v>6</v>
      </c>
      <c r="J4111" t="s">
        <v>445</v>
      </c>
      <c r="M4111">
        <v>6666</v>
      </c>
      <c r="N4111" t="s">
        <v>16151</v>
      </c>
    </row>
    <row r="4112" spans="1:14">
      <c r="A4112">
        <v>17871926</v>
      </c>
      <c r="B4112">
        <v>3044711</v>
      </c>
      <c r="C4112" t="s">
        <v>15375</v>
      </c>
      <c r="D4112" t="s">
        <v>441</v>
      </c>
      <c r="F4112">
        <v>0</v>
      </c>
      <c r="G4112">
        <v>1</v>
      </c>
      <c r="H4112" t="s">
        <v>8549</v>
      </c>
      <c r="I4112">
        <v>3</v>
      </c>
      <c r="J4112" t="s">
        <v>445</v>
      </c>
      <c r="M4112">
        <v>6666</v>
      </c>
      <c r="N4112" t="s">
        <v>16151</v>
      </c>
    </row>
    <row r="4113" spans="1:14">
      <c r="A4113">
        <v>17872000</v>
      </c>
      <c r="B4113">
        <v>3024734</v>
      </c>
      <c r="C4113" t="s">
        <v>14307</v>
      </c>
      <c r="D4113" t="s">
        <v>441</v>
      </c>
      <c r="F4113">
        <v>0</v>
      </c>
      <c r="G4113">
        <v>4.0199999999999996</v>
      </c>
      <c r="H4113" t="s">
        <v>8549</v>
      </c>
      <c r="I4113">
        <v>5</v>
      </c>
      <c r="J4113" t="s">
        <v>445</v>
      </c>
      <c r="M4113">
        <v>2391</v>
      </c>
      <c r="N4113" t="s">
        <v>16151</v>
      </c>
    </row>
    <row r="4114" spans="1:14">
      <c r="A4114">
        <v>17872007</v>
      </c>
      <c r="B4114">
        <v>3024777</v>
      </c>
      <c r="C4114" t="s">
        <v>14308</v>
      </c>
      <c r="D4114" t="s">
        <v>441</v>
      </c>
      <c r="F4114">
        <v>0</v>
      </c>
      <c r="G4114">
        <v>4.12</v>
      </c>
      <c r="H4114" t="s">
        <v>8588</v>
      </c>
      <c r="I4114">
        <v>6</v>
      </c>
      <c r="J4114" t="s">
        <v>445</v>
      </c>
      <c r="M4114">
        <v>3111</v>
      </c>
      <c r="N4114" t="s">
        <v>16151</v>
      </c>
    </row>
    <row r="4115" spans="1:14">
      <c r="A4115">
        <v>17872025</v>
      </c>
      <c r="B4115">
        <v>3025088</v>
      </c>
      <c r="C4115" t="s">
        <v>14309</v>
      </c>
      <c r="D4115" t="s">
        <v>441</v>
      </c>
      <c r="F4115">
        <v>0</v>
      </c>
      <c r="G4115">
        <v>4.5999999999999996</v>
      </c>
      <c r="H4115" t="s">
        <v>8588</v>
      </c>
      <c r="I4115">
        <v>365</v>
      </c>
      <c r="J4115" t="s">
        <v>445</v>
      </c>
      <c r="M4115">
        <v>7111</v>
      </c>
      <c r="N4115" t="s">
        <v>16151</v>
      </c>
    </row>
    <row r="4116" spans="1:14">
      <c r="A4116">
        <v>17872300</v>
      </c>
      <c r="B4116">
        <v>3043077</v>
      </c>
      <c r="C4116" t="s">
        <v>14310</v>
      </c>
      <c r="D4116" t="s">
        <v>441</v>
      </c>
      <c r="F4116">
        <v>0</v>
      </c>
      <c r="G4116">
        <v>4.0199999999999996</v>
      </c>
      <c r="H4116" t="s">
        <v>8549</v>
      </c>
      <c r="I4116">
        <v>6</v>
      </c>
      <c r="J4116" t="s">
        <v>445</v>
      </c>
      <c r="M4116">
        <v>2391</v>
      </c>
      <c r="N4116" t="s">
        <v>16151</v>
      </c>
    </row>
    <row r="4117" spans="1:14">
      <c r="A4117">
        <v>17872525</v>
      </c>
      <c r="B4117">
        <v>3024731</v>
      </c>
      <c r="C4117" t="s">
        <v>14311</v>
      </c>
      <c r="D4117" t="s">
        <v>441</v>
      </c>
      <c r="F4117">
        <v>0</v>
      </c>
      <c r="G4117">
        <v>4.09</v>
      </c>
      <c r="H4117" t="s">
        <v>8580</v>
      </c>
      <c r="I4117">
        <v>6</v>
      </c>
      <c r="J4117" t="s">
        <v>445</v>
      </c>
      <c r="M4117">
        <v>2502</v>
      </c>
      <c r="N4117" t="s">
        <v>16151</v>
      </c>
    </row>
    <row r="4118" spans="1:14">
      <c r="A4118">
        <v>17872900</v>
      </c>
      <c r="B4118">
        <v>3025052</v>
      </c>
      <c r="C4118" t="s">
        <v>14312</v>
      </c>
      <c r="D4118" t="s">
        <v>441</v>
      </c>
      <c r="F4118">
        <v>0</v>
      </c>
      <c r="G4118">
        <v>0</v>
      </c>
      <c r="H4118" t="s">
        <v>8935</v>
      </c>
      <c r="I4118">
        <v>5</v>
      </c>
      <c r="J4118" t="s">
        <v>445</v>
      </c>
      <c r="M4118">
        <v>6666</v>
      </c>
      <c r="N4118" t="s">
        <v>16151</v>
      </c>
    </row>
    <row r="4119" spans="1:14">
      <c r="A4119">
        <v>17872907</v>
      </c>
      <c r="B4119">
        <v>3025119</v>
      </c>
      <c r="C4119" t="s">
        <v>14313</v>
      </c>
      <c r="D4119" t="s">
        <v>441</v>
      </c>
      <c r="F4119">
        <v>0</v>
      </c>
      <c r="G4119">
        <v>0</v>
      </c>
      <c r="H4119" t="s">
        <v>8935</v>
      </c>
      <c r="I4119">
        <v>6</v>
      </c>
      <c r="J4119" t="s">
        <v>445</v>
      </c>
      <c r="M4119">
        <v>6666</v>
      </c>
      <c r="N4119" t="s">
        <v>16151</v>
      </c>
    </row>
    <row r="4120" spans="1:14">
      <c r="A4120">
        <v>17873000</v>
      </c>
      <c r="B4120">
        <v>3016305</v>
      </c>
      <c r="C4120" t="s">
        <v>14314</v>
      </c>
      <c r="D4120" t="s">
        <v>441</v>
      </c>
      <c r="F4120">
        <v>0</v>
      </c>
      <c r="G4120">
        <v>4</v>
      </c>
      <c r="H4120" t="s">
        <v>8588</v>
      </c>
      <c r="I4120">
        <v>6</v>
      </c>
      <c r="J4120" t="s">
        <v>445</v>
      </c>
      <c r="M4120">
        <v>2391</v>
      </c>
      <c r="N4120" t="s">
        <v>16151</v>
      </c>
    </row>
    <row r="4121" spans="1:14">
      <c r="A4121">
        <v>17873007</v>
      </c>
      <c r="B4121">
        <v>3024954</v>
      </c>
      <c r="C4121" t="s">
        <v>14315</v>
      </c>
      <c r="D4121" t="s">
        <v>441</v>
      </c>
      <c r="F4121">
        <v>0</v>
      </c>
      <c r="G4121">
        <v>4.0999999999999996</v>
      </c>
      <c r="H4121" t="s">
        <v>8588</v>
      </c>
      <c r="I4121">
        <v>6</v>
      </c>
      <c r="J4121" t="s">
        <v>445</v>
      </c>
      <c r="M4121">
        <v>3113</v>
      </c>
      <c r="N4121" t="s">
        <v>16151</v>
      </c>
    </row>
    <row r="4122" spans="1:14">
      <c r="A4122">
        <v>17873900</v>
      </c>
      <c r="B4122">
        <v>3020273</v>
      </c>
      <c r="C4122" t="s">
        <v>14316</v>
      </c>
      <c r="D4122" t="s">
        <v>441</v>
      </c>
      <c r="F4122">
        <v>0</v>
      </c>
      <c r="G4122">
        <v>0</v>
      </c>
      <c r="H4122" t="s">
        <v>8584</v>
      </c>
      <c r="I4122">
        <v>6</v>
      </c>
      <c r="J4122" t="s">
        <v>445</v>
      </c>
      <c r="M4122">
        <v>6666</v>
      </c>
      <c r="N4122" t="s">
        <v>16151</v>
      </c>
    </row>
    <row r="4123" spans="1:14">
      <c r="A4123">
        <v>17873907</v>
      </c>
      <c r="B4123">
        <v>3025214</v>
      </c>
      <c r="C4123" t="s">
        <v>14317</v>
      </c>
      <c r="D4123" t="s">
        <v>441</v>
      </c>
      <c r="F4123">
        <v>0</v>
      </c>
      <c r="G4123">
        <v>0</v>
      </c>
      <c r="H4123" t="s">
        <v>8583</v>
      </c>
      <c r="I4123">
        <v>6</v>
      </c>
      <c r="J4123" t="s">
        <v>445</v>
      </c>
      <c r="M4123">
        <v>6666</v>
      </c>
      <c r="N4123" t="s">
        <v>16151</v>
      </c>
    </row>
    <row r="4124" spans="1:14">
      <c r="A4124">
        <v>17874000</v>
      </c>
      <c r="B4124">
        <v>3037822</v>
      </c>
      <c r="C4124" t="s">
        <v>14318</v>
      </c>
      <c r="D4124" t="s">
        <v>441</v>
      </c>
      <c r="F4124">
        <v>0</v>
      </c>
      <c r="G4124">
        <v>4</v>
      </c>
      <c r="H4124" t="s">
        <v>8549</v>
      </c>
      <c r="I4124">
        <v>5</v>
      </c>
      <c r="J4124" t="s">
        <v>445</v>
      </c>
      <c r="M4124">
        <v>2391</v>
      </c>
      <c r="N4124" t="s">
        <v>16151</v>
      </c>
    </row>
    <row r="4125" spans="1:14">
      <c r="A4125">
        <v>17874007</v>
      </c>
      <c r="B4125">
        <v>3041757</v>
      </c>
      <c r="C4125" t="s">
        <v>14228</v>
      </c>
      <c r="D4125" t="s">
        <v>441</v>
      </c>
      <c r="F4125">
        <v>0</v>
      </c>
      <c r="G4125">
        <v>4.0999999999999996</v>
      </c>
      <c r="H4125" t="s">
        <v>8588</v>
      </c>
      <c r="I4125">
        <v>6</v>
      </c>
      <c r="J4125" t="s">
        <v>445</v>
      </c>
      <c r="M4125">
        <v>3113</v>
      </c>
      <c r="N4125" t="s">
        <v>16151</v>
      </c>
    </row>
    <row r="4126" spans="1:14">
      <c r="A4126">
        <v>17874022</v>
      </c>
      <c r="B4126">
        <v>3041054</v>
      </c>
      <c r="C4126" t="s">
        <v>10322</v>
      </c>
      <c r="D4126" t="s">
        <v>441</v>
      </c>
      <c r="F4126">
        <v>0</v>
      </c>
      <c r="G4126">
        <v>4.58</v>
      </c>
      <c r="H4126" t="s">
        <v>8588</v>
      </c>
      <c r="I4126">
        <v>365</v>
      </c>
      <c r="J4126" t="s">
        <v>445</v>
      </c>
      <c r="M4126">
        <v>7111</v>
      </c>
      <c r="N4126" t="s">
        <v>16151</v>
      </c>
    </row>
    <row r="4127" spans="1:14">
      <c r="A4127">
        <v>17874026</v>
      </c>
      <c r="B4127">
        <v>3041036</v>
      </c>
      <c r="C4127" t="s">
        <v>14319</v>
      </c>
      <c r="D4127" t="s">
        <v>441</v>
      </c>
      <c r="F4127">
        <v>0</v>
      </c>
      <c r="G4127">
        <v>4.58</v>
      </c>
      <c r="H4127" t="s">
        <v>8588</v>
      </c>
      <c r="I4127">
        <v>365</v>
      </c>
      <c r="J4127" t="s">
        <v>445</v>
      </c>
      <c r="M4127">
        <v>7111</v>
      </c>
      <c r="N4127" t="s">
        <v>16151</v>
      </c>
    </row>
    <row r="4128" spans="1:14">
      <c r="A4128">
        <v>17874200</v>
      </c>
      <c r="B4128">
        <v>3037423</v>
      </c>
      <c r="C4128" t="s">
        <v>14320</v>
      </c>
      <c r="D4128" t="s">
        <v>441</v>
      </c>
      <c r="F4128">
        <v>0</v>
      </c>
      <c r="G4128">
        <v>4</v>
      </c>
      <c r="H4128" t="s">
        <v>8549</v>
      </c>
      <c r="I4128">
        <v>5</v>
      </c>
      <c r="J4128" t="s">
        <v>445</v>
      </c>
      <c r="M4128">
        <v>2391</v>
      </c>
      <c r="N4128" t="s">
        <v>16151</v>
      </c>
    </row>
    <row r="4129" spans="1:14">
      <c r="A4129">
        <v>17874207</v>
      </c>
      <c r="B4129">
        <v>3037588</v>
      </c>
      <c r="C4129" t="s">
        <v>14321</v>
      </c>
      <c r="D4129" t="s">
        <v>441</v>
      </c>
      <c r="F4129">
        <v>0</v>
      </c>
      <c r="G4129">
        <v>4.09</v>
      </c>
      <c r="H4129" t="s">
        <v>8588</v>
      </c>
      <c r="I4129">
        <v>6</v>
      </c>
      <c r="J4129" t="s">
        <v>445</v>
      </c>
      <c r="M4129">
        <v>3113</v>
      </c>
      <c r="N4129" t="s">
        <v>16151</v>
      </c>
    </row>
    <row r="4130" spans="1:14">
      <c r="A4130">
        <v>17874300</v>
      </c>
      <c r="B4130">
        <v>3037842</v>
      </c>
      <c r="C4130" t="s">
        <v>10323</v>
      </c>
      <c r="D4130" t="s">
        <v>441</v>
      </c>
      <c r="F4130">
        <v>0</v>
      </c>
      <c r="G4130">
        <v>4</v>
      </c>
      <c r="H4130" t="s">
        <v>8549</v>
      </c>
      <c r="I4130">
        <v>6</v>
      </c>
      <c r="J4130" t="s">
        <v>445</v>
      </c>
      <c r="M4130">
        <v>2391</v>
      </c>
      <c r="N4130" t="s">
        <v>16151</v>
      </c>
    </row>
    <row r="4131" spans="1:14">
      <c r="A4131">
        <v>17874522</v>
      </c>
      <c r="B4131">
        <v>3038264</v>
      </c>
      <c r="C4131" t="s">
        <v>14322</v>
      </c>
      <c r="D4131" t="s">
        <v>441</v>
      </c>
      <c r="F4131">
        <v>0</v>
      </c>
      <c r="G4131">
        <v>4.07</v>
      </c>
      <c r="H4131" t="s">
        <v>8549</v>
      </c>
      <c r="I4131">
        <v>5</v>
      </c>
      <c r="J4131" t="s">
        <v>445</v>
      </c>
      <c r="M4131">
        <v>2502</v>
      </c>
      <c r="N4131" t="s">
        <v>16151</v>
      </c>
    </row>
    <row r="4132" spans="1:14">
      <c r="A4132">
        <v>17874526</v>
      </c>
      <c r="B4132">
        <v>3039461</v>
      </c>
      <c r="C4132" t="s">
        <v>10324</v>
      </c>
      <c r="D4132" t="s">
        <v>441</v>
      </c>
      <c r="F4132">
        <v>0</v>
      </c>
      <c r="G4132">
        <v>4.07</v>
      </c>
      <c r="H4132" t="s">
        <v>8580</v>
      </c>
      <c r="I4132">
        <v>5</v>
      </c>
      <c r="J4132" t="s">
        <v>445</v>
      </c>
      <c r="M4132">
        <v>2502</v>
      </c>
      <c r="N4132" t="s">
        <v>16151</v>
      </c>
    </row>
    <row r="4133" spans="1:14">
      <c r="A4133">
        <v>17874626</v>
      </c>
      <c r="B4133">
        <v>3041037</v>
      </c>
      <c r="C4133" t="s">
        <v>14323</v>
      </c>
      <c r="D4133" t="s">
        <v>441</v>
      </c>
      <c r="F4133">
        <v>0</v>
      </c>
      <c r="G4133">
        <v>4.78</v>
      </c>
      <c r="H4133" t="s">
        <v>8549</v>
      </c>
      <c r="I4133">
        <v>4</v>
      </c>
      <c r="J4133" t="s">
        <v>445</v>
      </c>
      <c r="M4133">
        <v>2510</v>
      </c>
      <c r="N4133" t="s">
        <v>16151</v>
      </c>
    </row>
    <row r="4134" spans="1:14">
      <c r="A4134">
        <v>17874907</v>
      </c>
      <c r="B4134">
        <v>3041771</v>
      </c>
      <c r="C4134" t="s">
        <v>14324</v>
      </c>
      <c r="D4134" t="s">
        <v>441</v>
      </c>
      <c r="F4134">
        <v>0</v>
      </c>
      <c r="G4134">
        <v>1</v>
      </c>
      <c r="H4134" t="s">
        <v>8588</v>
      </c>
      <c r="I4134">
        <v>6</v>
      </c>
      <c r="J4134" t="s">
        <v>445</v>
      </c>
      <c r="M4134">
        <v>6666</v>
      </c>
      <c r="N4134" t="s">
        <v>16151</v>
      </c>
    </row>
    <row r="4135" spans="1:14">
      <c r="A4135">
        <v>17874926</v>
      </c>
      <c r="B4135">
        <v>3041053</v>
      </c>
      <c r="C4135" t="s">
        <v>14325</v>
      </c>
      <c r="D4135" t="s">
        <v>441</v>
      </c>
      <c r="F4135">
        <v>0</v>
      </c>
      <c r="G4135">
        <v>1</v>
      </c>
      <c r="H4135" t="s">
        <v>8580</v>
      </c>
      <c r="I4135">
        <v>4</v>
      </c>
      <c r="J4135" t="s">
        <v>445</v>
      </c>
      <c r="M4135">
        <v>6666</v>
      </c>
      <c r="N4135" t="s">
        <v>16151</v>
      </c>
    </row>
    <row r="4136" spans="1:14">
      <c r="A4136">
        <v>17874927</v>
      </c>
      <c r="B4136">
        <v>3037780</v>
      </c>
      <c r="C4136" t="s">
        <v>14326</v>
      </c>
      <c r="D4136" t="s">
        <v>441</v>
      </c>
      <c r="F4136">
        <v>0</v>
      </c>
      <c r="H4136" t="s">
        <v>8584</v>
      </c>
      <c r="I4136">
        <v>6</v>
      </c>
      <c r="J4136" t="s">
        <v>445</v>
      </c>
      <c r="M4136">
        <v>6666</v>
      </c>
      <c r="N4136" t="s">
        <v>16151</v>
      </c>
    </row>
    <row r="4137" spans="1:14">
      <c r="A4137">
        <v>17875000</v>
      </c>
      <c r="B4137">
        <v>3044716</v>
      </c>
      <c r="C4137" t="s">
        <v>15376</v>
      </c>
      <c r="D4137" t="s">
        <v>441</v>
      </c>
      <c r="F4137">
        <v>0</v>
      </c>
      <c r="G4137">
        <v>5.3</v>
      </c>
      <c r="H4137" t="s">
        <v>8549</v>
      </c>
      <c r="I4137">
        <v>6</v>
      </c>
      <c r="J4137" t="s">
        <v>445</v>
      </c>
      <c r="M4137">
        <v>2391</v>
      </c>
      <c r="N4137" t="s">
        <v>16151</v>
      </c>
    </row>
    <row r="4138" spans="1:14">
      <c r="A4138">
        <v>17875025</v>
      </c>
      <c r="B4138">
        <v>3044718</v>
      </c>
      <c r="C4138" t="s">
        <v>15377</v>
      </c>
      <c r="D4138" t="s">
        <v>441</v>
      </c>
      <c r="F4138">
        <v>0</v>
      </c>
      <c r="G4138">
        <v>5.96</v>
      </c>
      <c r="H4138" t="s">
        <v>8588</v>
      </c>
      <c r="I4138">
        <v>365</v>
      </c>
      <c r="J4138" t="s">
        <v>445</v>
      </c>
      <c r="M4138">
        <v>7111</v>
      </c>
      <c r="N4138" t="s">
        <v>16151</v>
      </c>
    </row>
    <row r="4139" spans="1:14">
      <c r="A4139">
        <v>17875200</v>
      </c>
      <c r="B4139">
        <v>3043078</v>
      </c>
      <c r="C4139" t="s">
        <v>14327</v>
      </c>
      <c r="D4139" t="s">
        <v>441</v>
      </c>
      <c r="F4139">
        <v>0</v>
      </c>
      <c r="G4139">
        <v>4</v>
      </c>
      <c r="H4139" t="s">
        <v>8549</v>
      </c>
      <c r="I4139">
        <v>6</v>
      </c>
      <c r="J4139" t="s">
        <v>445</v>
      </c>
      <c r="M4139">
        <v>2391</v>
      </c>
      <c r="N4139" t="s">
        <v>16151</v>
      </c>
    </row>
    <row r="4140" spans="1:14">
      <c r="A4140">
        <v>17875525</v>
      </c>
      <c r="B4140">
        <v>3044717</v>
      </c>
      <c r="C4140" t="s">
        <v>15378</v>
      </c>
      <c r="D4140" t="s">
        <v>441</v>
      </c>
      <c r="F4140">
        <v>0</v>
      </c>
      <c r="G4140">
        <v>5.38</v>
      </c>
      <c r="H4140" t="s">
        <v>8580</v>
      </c>
      <c r="I4140">
        <v>6</v>
      </c>
      <c r="J4140" t="s">
        <v>445</v>
      </c>
      <c r="M4140">
        <v>2502</v>
      </c>
      <c r="N4140" t="s">
        <v>16151</v>
      </c>
    </row>
    <row r="4141" spans="1:14">
      <c r="A4141">
        <v>17876000</v>
      </c>
      <c r="B4141">
        <v>3042506</v>
      </c>
      <c r="C4141" t="s">
        <v>14328</v>
      </c>
      <c r="D4141" t="s">
        <v>441</v>
      </c>
      <c r="F4141">
        <v>0</v>
      </c>
      <c r="G4141">
        <v>4</v>
      </c>
      <c r="H4141" t="s">
        <v>8549</v>
      </c>
      <c r="I4141">
        <v>6</v>
      </c>
      <c r="J4141" t="s">
        <v>445</v>
      </c>
      <c r="M4141">
        <v>2391</v>
      </c>
      <c r="N4141" t="s">
        <v>16151</v>
      </c>
    </row>
    <row r="4142" spans="1:14">
      <c r="A4142">
        <v>17876300</v>
      </c>
      <c r="B4142">
        <v>3042507</v>
      </c>
      <c r="C4142" t="s">
        <v>14329</v>
      </c>
      <c r="D4142" t="s">
        <v>441</v>
      </c>
      <c r="F4142">
        <v>0</v>
      </c>
      <c r="G4142">
        <v>4</v>
      </c>
      <c r="H4142" t="s">
        <v>8549</v>
      </c>
      <c r="I4142">
        <v>6</v>
      </c>
      <c r="J4142" t="s">
        <v>445</v>
      </c>
      <c r="M4142">
        <v>2391</v>
      </c>
      <c r="N4142" t="s">
        <v>16151</v>
      </c>
    </row>
    <row r="4143" spans="1:14">
      <c r="A4143">
        <v>17879000</v>
      </c>
      <c r="B4143">
        <v>3019055</v>
      </c>
      <c r="C4143" t="s">
        <v>14330</v>
      </c>
      <c r="D4143" t="s">
        <v>441</v>
      </c>
      <c r="F4143">
        <v>0</v>
      </c>
      <c r="G4143">
        <v>4</v>
      </c>
      <c r="H4143" t="s">
        <v>8588</v>
      </c>
      <c r="I4143">
        <v>2</v>
      </c>
      <c r="J4143" t="s">
        <v>445</v>
      </c>
      <c r="M4143">
        <v>3111</v>
      </c>
      <c r="N4143" t="s">
        <v>16151</v>
      </c>
    </row>
    <row r="4144" spans="1:14">
      <c r="A4144">
        <v>17879900</v>
      </c>
      <c r="B4144">
        <v>3020274</v>
      </c>
      <c r="C4144" t="s">
        <v>14331</v>
      </c>
      <c r="D4144" t="s">
        <v>441</v>
      </c>
      <c r="F4144">
        <v>0</v>
      </c>
      <c r="H4144" t="s">
        <v>8584</v>
      </c>
      <c r="I4144">
        <v>2</v>
      </c>
      <c r="J4144" t="s">
        <v>445</v>
      </c>
      <c r="M4144">
        <v>6666</v>
      </c>
      <c r="N4144" t="s">
        <v>16151</v>
      </c>
    </row>
    <row r="4145" spans="1:14">
      <c r="A4145">
        <v>17880000</v>
      </c>
      <c r="B4145">
        <v>3016022</v>
      </c>
      <c r="C4145" t="s">
        <v>14332</v>
      </c>
      <c r="D4145" t="s">
        <v>441</v>
      </c>
      <c r="F4145">
        <v>0</v>
      </c>
      <c r="H4145" t="s">
        <v>8624</v>
      </c>
      <c r="I4145">
        <v>5</v>
      </c>
      <c r="J4145" t="s">
        <v>445</v>
      </c>
      <c r="M4145">
        <v>2391</v>
      </c>
      <c r="N4145" t="s">
        <v>16155</v>
      </c>
    </row>
    <row r="4146" spans="1:14">
      <c r="A4146">
        <v>17880019</v>
      </c>
      <c r="B4146">
        <v>4003898</v>
      </c>
      <c r="C4146" t="s">
        <v>17410</v>
      </c>
      <c r="D4146" t="s">
        <v>441</v>
      </c>
      <c r="F4146">
        <v>0</v>
      </c>
      <c r="G4146">
        <v>5.1100000000000003</v>
      </c>
      <c r="H4146" t="s">
        <v>8588</v>
      </c>
      <c r="I4146">
        <v>365</v>
      </c>
      <c r="J4146" t="s">
        <v>462</v>
      </c>
      <c r="M4146">
        <v>7111</v>
      </c>
      <c r="N4146" t="s">
        <v>16155</v>
      </c>
    </row>
    <row r="4147" spans="1:14">
      <c r="A4147">
        <v>17880075</v>
      </c>
      <c r="B4147">
        <v>3007793</v>
      </c>
      <c r="C4147" t="s">
        <v>10325</v>
      </c>
      <c r="D4147" t="s">
        <v>441</v>
      </c>
      <c r="F4147">
        <v>0</v>
      </c>
      <c r="G4147">
        <v>1.48</v>
      </c>
      <c r="H4147" t="s">
        <v>8588</v>
      </c>
      <c r="I4147">
        <v>6</v>
      </c>
      <c r="J4147" t="s">
        <v>445</v>
      </c>
      <c r="K4147" t="s">
        <v>446</v>
      </c>
      <c r="M4147">
        <v>2641</v>
      </c>
    </row>
    <row r="4148" spans="1:14">
      <c r="A4148">
        <v>17880076</v>
      </c>
      <c r="B4148">
        <v>3009430</v>
      </c>
      <c r="C4148" t="s">
        <v>10326</v>
      </c>
      <c r="D4148" t="s">
        <v>441</v>
      </c>
      <c r="F4148">
        <v>0</v>
      </c>
      <c r="G4148">
        <v>1.47</v>
      </c>
      <c r="H4148" t="s">
        <v>8588</v>
      </c>
      <c r="I4148">
        <v>6</v>
      </c>
      <c r="J4148" t="s">
        <v>445</v>
      </c>
      <c r="K4148" t="s">
        <v>446</v>
      </c>
      <c r="M4148">
        <v>2641</v>
      </c>
    </row>
    <row r="4149" spans="1:14">
      <c r="A4149">
        <v>17880080</v>
      </c>
      <c r="B4149">
        <v>3003516</v>
      </c>
      <c r="C4149" t="s">
        <v>14333</v>
      </c>
      <c r="D4149" t="s">
        <v>441</v>
      </c>
      <c r="F4149">
        <v>0</v>
      </c>
      <c r="G4149">
        <v>3.65</v>
      </c>
      <c r="H4149" t="s">
        <v>8549</v>
      </c>
      <c r="I4149">
        <v>6</v>
      </c>
      <c r="J4149" t="s">
        <v>445</v>
      </c>
      <c r="M4149">
        <v>7112</v>
      </c>
      <c r="N4149" t="s">
        <v>16155</v>
      </c>
    </row>
    <row r="4150" spans="1:14">
      <c r="A4150">
        <v>17880519</v>
      </c>
      <c r="B4150">
        <v>3007794</v>
      </c>
      <c r="C4150" t="s">
        <v>10327</v>
      </c>
      <c r="D4150" t="s">
        <v>441</v>
      </c>
      <c r="F4150">
        <v>0</v>
      </c>
      <c r="G4150">
        <v>3.59</v>
      </c>
      <c r="H4150" t="s">
        <v>8580</v>
      </c>
      <c r="I4150">
        <v>6</v>
      </c>
      <c r="J4150" t="s">
        <v>445</v>
      </c>
      <c r="M4150">
        <v>2502</v>
      </c>
      <c r="N4150" t="s">
        <v>16155</v>
      </c>
    </row>
    <row r="4151" spans="1:14">
      <c r="A4151">
        <v>17880619</v>
      </c>
      <c r="B4151">
        <v>3007795</v>
      </c>
      <c r="C4151" t="s">
        <v>17411</v>
      </c>
      <c r="D4151" t="s">
        <v>441</v>
      </c>
      <c r="F4151">
        <v>0</v>
      </c>
      <c r="G4151">
        <v>5.33</v>
      </c>
      <c r="H4151" t="s">
        <v>8588</v>
      </c>
      <c r="I4151">
        <v>4</v>
      </c>
      <c r="J4151" t="s">
        <v>445</v>
      </c>
      <c r="M4151">
        <v>2511</v>
      </c>
      <c r="N4151" t="s">
        <v>16155</v>
      </c>
    </row>
    <row r="4152" spans="1:14">
      <c r="A4152">
        <v>17880919</v>
      </c>
      <c r="B4152">
        <v>3020275</v>
      </c>
      <c r="C4152" t="s">
        <v>17412</v>
      </c>
      <c r="D4152" t="s">
        <v>441</v>
      </c>
      <c r="F4152">
        <v>0</v>
      </c>
      <c r="H4152" t="s">
        <v>8584</v>
      </c>
      <c r="I4152">
        <v>4</v>
      </c>
      <c r="J4152" t="s">
        <v>445</v>
      </c>
      <c r="M4152">
        <v>6666</v>
      </c>
      <c r="N4152" t="s">
        <v>16155</v>
      </c>
    </row>
    <row r="4153" spans="1:14">
      <c r="A4153">
        <v>17882000</v>
      </c>
      <c r="B4153">
        <v>3026641</v>
      </c>
      <c r="C4153" t="s">
        <v>14334</v>
      </c>
      <c r="D4153" t="s">
        <v>441</v>
      </c>
      <c r="F4153">
        <v>0</v>
      </c>
      <c r="G4153">
        <v>3.5</v>
      </c>
      <c r="H4153" t="s">
        <v>8584</v>
      </c>
      <c r="I4153">
        <v>5</v>
      </c>
      <c r="J4153" t="s">
        <v>445</v>
      </c>
      <c r="M4153">
        <v>2391</v>
      </c>
      <c r="N4153" t="s">
        <v>16155</v>
      </c>
    </row>
    <row r="4154" spans="1:14">
      <c r="A4154">
        <v>17883000</v>
      </c>
      <c r="B4154">
        <v>3007796</v>
      </c>
      <c r="C4154" t="s">
        <v>14335</v>
      </c>
      <c r="D4154" t="s">
        <v>441</v>
      </c>
      <c r="F4154">
        <v>0</v>
      </c>
      <c r="G4154">
        <v>3.5</v>
      </c>
      <c r="H4154" t="s">
        <v>8588</v>
      </c>
      <c r="I4154">
        <v>6</v>
      </c>
      <c r="J4154" t="s">
        <v>445</v>
      </c>
      <c r="M4154">
        <v>2391</v>
      </c>
      <c r="N4154" t="s">
        <v>16155</v>
      </c>
    </row>
    <row r="4155" spans="1:14">
      <c r="A4155">
        <v>17883007</v>
      </c>
      <c r="B4155">
        <v>3024955</v>
      </c>
      <c r="C4155" t="s">
        <v>14336</v>
      </c>
      <c r="D4155" t="s">
        <v>441</v>
      </c>
      <c r="F4155">
        <v>0</v>
      </c>
      <c r="G4155">
        <v>3.6</v>
      </c>
      <c r="H4155" t="s">
        <v>8588</v>
      </c>
      <c r="I4155">
        <v>6</v>
      </c>
      <c r="J4155" t="s">
        <v>445</v>
      </c>
      <c r="M4155">
        <v>3111</v>
      </c>
      <c r="N4155" t="s">
        <v>16155</v>
      </c>
    </row>
    <row r="4156" spans="1:14">
      <c r="A4156">
        <v>17883900</v>
      </c>
      <c r="B4156">
        <v>3020276</v>
      </c>
      <c r="C4156" t="s">
        <v>14337</v>
      </c>
      <c r="D4156" t="s">
        <v>441</v>
      </c>
      <c r="F4156">
        <v>0</v>
      </c>
      <c r="G4156">
        <v>0</v>
      </c>
      <c r="H4156" t="s">
        <v>8584</v>
      </c>
      <c r="I4156">
        <v>6</v>
      </c>
      <c r="J4156" t="s">
        <v>445</v>
      </c>
      <c r="M4156">
        <v>6666</v>
      </c>
      <c r="N4156" t="s">
        <v>16155</v>
      </c>
    </row>
    <row r="4157" spans="1:14">
      <c r="A4157">
        <v>17883907</v>
      </c>
      <c r="B4157">
        <v>3025215</v>
      </c>
      <c r="C4157" t="s">
        <v>14338</v>
      </c>
      <c r="D4157" t="s">
        <v>441</v>
      </c>
      <c r="F4157">
        <v>0</v>
      </c>
      <c r="G4157">
        <v>0</v>
      </c>
      <c r="H4157" t="s">
        <v>8580</v>
      </c>
      <c r="I4157">
        <v>6</v>
      </c>
      <c r="J4157" t="s">
        <v>445</v>
      </c>
      <c r="M4157">
        <v>6666</v>
      </c>
      <c r="N4157" t="s">
        <v>16155</v>
      </c>
    </row>
    <row r="4158" spans="1:14">
      <c r="A4158">
        <v>17884000</v>
      </c>
      <c r="B4158">
        <v>3041226</v>
      </c>
      <c r="C4158" t="s">
        <v>14339</v>
      </c>
      <c r="D4158" t="s">
        <v>441</v>
      </c>
      <c r="F4158">
        <v>0</v>
      </c>
      <c r="G4158">
        <v>3.5</v>
      </c>
      <c r="H4158" t="s">
        <v>8580</v>
      </c>
      <c r="I4158">
        <v>5</v>
      </c>
      <c r="J4158" t="s">
        <v>445</v>
      </c>
      <c r="M4158">
        <v>2391</v>
      </c>
      <c r="N4158" t="s">
        <v>16155</v>
      </c>
    </row>
    <row r="4159" spans="1:14">
      <c r="A4159">
        <v>17884200</v>
      </c>
      <c r="B4159">
        <v>3045783</v>
      </c>
      <c r="C4159" t="s">
        <v>17413</v>
      </c>
      <c r="D4159" t="s">
        <v>441</v>
      </c>
      <c r="F4159">
        <v>0</v>
      </c>
      <c r="G4159">
        <v>4.5</v>
      </c>
      <c r="H4159" t="s">
        <v>8549</v>
      </c>
      <c r="I4159">
        <v>6</v>
      </c>
      <c r="J4159" t="s">
        <v>445</v>
      </c>
      <c r="M4159">
        <v>2391</v>
      </c>
      <c r="N4159" t="s">
        <v>16155</v>
      </c>
    </row>
    <row r="4160" spans="1:14">
      <c r="A4160">
        <v>17884207</v>
      </c>
      <c r="B4160">
        <v>3045784</v>
      </c>
      <c r="C4160" t="s">
        <v>17414</v>
      </c>
      <c r="D4160" t="s">
        <v>441</v>
      </c>
      <c r="F4160">
        <v>0</v>
      </c>
      <c r="G4160">
        <v>4.6100000000000003</v>
      </c>
      <c r="H4160" t="s">
        <v>8588</v>
      </c>
      <c r="I4160">
        <v>6</v>
      </c>
      <c r="J4160" t="s">
        <v>445</v>
      </c>
      <c r="M4160">
        <v>3111</v>
      </c>
      <c r="N4160" t="s">
        <v>16155</v>
      </c>
    </row>
    <row r="4161" spans="1:14">
      <c r="A4161">
        <v>17884300</v>
      </c>
      <c r="B4161">
        <v>3041256</v>
      </c>
      <c r="C4161" t="s">
        <v>14340</v>
      </c>
      <c r="D4161" t="s">
        <v>441</v>
      </c>
      <c r="F4161">
        <v>0</v>
      </c>
      <c r="G4161">
        <v>3.5</v>
      </c>
      <c r="H4161" t="s">
        <v>8549</v>
      </c>
      <c r="I4161">
        <v>5</v>
      </c>
      <c r="J4161" t="s">
        <v>445</v>
      </c>
      <c r="M4161">
        <v>2391</v>
      </c>
      <c r="N4161" t="s">
        <v>16155</v>
      </c>
    </row>
    <row r="4162" spans="1:14">
      <c r="A4162">
        <v>17884907</v>
      </c>
      <c r="B4162">
        <v>3045786</v>
      </c>
      <c r="C4162" t="s">
        <v>17415</v>
      </c>
      <c r="D4162" t="s">
        <v>441</v>
      </c>
      <c r="F4162">
        <v>0</v>
      </c>
      <c r="G4162">
        <v>1</v>
      </c>
      <c r="H4162" t="s">
        <v>8588</v>
      </c>
      <c r="I4162">
        <v>6</v>
      </c>
      <c r="J4162" t="s">
        <v>445</v>
      </c>
      <c r="M4162">
        <v>6666</v>
      </c>
      <c r="N4162" t="s">
        <v>16155</v>
      </c>
    </row>
    <row r="4163" spans="1:14">
      <c r="A4163">
        <v>17890000</v>
      </c>
      <c r="B4163">
        <v>3038711</v>
      </c>
      <c r="C4163" t="s">
        <v>14341</v>
      </c>
      <c r="D4163" t="s">
        <v>441</v>
      </c>
      <c r="F4163">
        <v>0</v>
      </c>
      <c r="G4163">
        <v>4</v>
      </c>
      <c r="H4163" t="s">
        <v>8549</v>
      </c>
      <c r="I4163">
        <v>6</v>
      </c>
      <c r="J4163" t="s">
        <v>445</v>
      </c>
      <c r="M4163">
        <v>2391</v>
      </c>
      <c r="N4163" t="s">
        <v>16151</v>
      </c>
    </row>
    <row r="4164" spans="1:14">
      <c r="A4164">
        <v>17890028</v>
      </c>
      <c r="B4164">
        <v>4009783</v>
      </c>
      <c r="C4164" t="s">
        <v>10328</v>
      </c>
      <c r="D4164" t="s">
        <v>441</v>
      </c>
      <c r="F4164">
        <v>0</v>
      </c>
      <c r="G4164">
        <v>2.13</v>
      </c>
      <c r="H4164" t="s">
        <v>8588</v>
      </c>
      <c r="I4164">
        <v>365</v>
      </c>
      <c r="J4164" t="s">
        <v>462</v>
      </c>
      <c r="K4164" t="s">
        <v>446</v>
      </c>
      <c r="M4164">
        <v>2501</v>
      </c>
    </row>
    <row r="4165" spans="1:14">
      <c r="A4165">
        <v>17890080</v>
      </c>
      <c r="B4165">
        <v>4025953</v>
      </c>
      <c r="C4165" t="s">
        <v>14342</v>
      </c>
      <c r="D4165" t="s">
        <v>441</v>
      </c>
      <c r="F4165">
        <v>0</v>
      </c>
      <c r="G4165">
        <v>4.16</v>
      </c>
      <c r="H4165" t="s">
        <v>8588</v>
      </c>
      <c r="I4165">
        <v>6</v>
      </c>
      <c r="J4165" t="s">
        <v>462</v>
      </c>
      <c r="M4165">
        <v>7112</v>
      </c>
      <c r="N4165" t="s">
        <v>16151</v>
      </c>
    </row>
    <row r="4166" spans="1:14">
      <c r="A4166">
        <v>17890528</v>
      </c>
      <c r="B4166">
        <v>3012173</v>
      </c>
      <c r="C4166" t="s">
        <v>10329</v>
      </c>
      <c r="D4166" t="s">
        <v>441</v>
      </c>
      <c r="F4166">
        <v>0</v>
      </c>
      <c r="G4166">
        <v>1.86</v>
      </c>
      <c r="I4166">
        <v>365</v>
      </c>
      <c r="J4166" t="s">
        <v>445</v>
      </c>
      <c r="K4166" t="s">
        <v>446</v>
      </c>
      <c r="M4166">
        <v>2641</v>
      </c>
    </row>
    <row r="4167" spans="1:14">
      <c r="A4167">
        <v>17891000</v>
      </c>
      <c r="B4167">
        <v>3012171</v>
      </c>
      <c r="C4167" t="s">
        <v>10330</v>
      </c>
      <c r="D4167" t="s">
        <v>441</v>
      </c>
      <c r="F4167">
        <v>0</v>
      </c>
      <c r="G4167">
        <v>1.4</v>
      </c>
      <c r="I4167">
        <v>6</v>
      </c>
      <c r="J4167" t="s">
        <v>445</v>
      </c>
      <c r="K4167" t="s">
        <v>446</v>
      </c>
      <c r="M4167">
        <v>2313</v>
      </c>
    </row>
    <row r="4168" spans="1:14">
      <c r="A4168">
        <v>17896000</v>
      </c>
      <c r="B4168">
        <v>3012172</v>
      </c>
      <c r="C4168" t="s">
        <v>10331</v>
      </c>
      <c r="D4168" t="s">
        <v>441</v>
      </c>
      <c r="F4168">
        <v>0</v>
      </c>
      <c r="G4168">
        <v>1.41</v>
      </c>
      <c r="I4168">
        <v>6</v>
      </c>
      <c r="J4168" t="s">
        <v>445</v>
      </c>
      <c r="K4168" t="s">
        <v>446</v>
      </c>
      <c r="M4168">
        <v>2390</v>
      </c>
    </row>
    <row r="4169" spans="1:14">
      <c r="A4169">
        <v>17900000</v>
      </c>
      <c r="B4169">
        <v>3042645</v>
      </c>
      <c r="C4169" t="s">
        <v>10332</v>
      </c>
      <c r="D4169" t="s">
        <v>441</v>
      </c>
      <c r="F4169">
        <v>0</v>
      </c>
      <c r="G4169">
        <v>3.98</v>
      </c>
      <c r="H4169" t="s">
        <v>8549</v>
      </c>
      <c r="I4169">
        <v>6</v>
      </c>
      <c r="J4169" t="s">
        <v>445</v>
      </c>
      <c r="M4169">
        <v>2391</v>
      </c>
      <c r="N4169" t="s">
        <v>16156</v>
      </c>
    </row>
    <row r="4170" spans="1:14">
      <c r="A4170">
        <v>17900002</v>
      </c>
      <c r="B4170">
        <v>3046077</v>
      </c>
      <c r="C4170" t="s">
        <v>17416</v>
      </c>
      <c r="D4170" t="s">
        <v>441</v>
      </c>
      <c r="F4170">
        <v>0</v>
      </c>
      <c r="G4170">
        <v>12.08</v>
      </c>
      <c r="H4170" t="s">
        <v>8588</v>
      </c>
      <c r="I4170">
        <v>540</v>
      </c>
      <c r="J4170" t="s">
        <v>445</v>
      </c>
      <c r="M4170">
        <v>7111</v>
      </c>
      <c r="N4170" t="s">
        <v>16156</v>
      </c>
    </row>
    <row r="4171" spans="1:14">
      <c r="A4171">
        <v>17900502</v>
      </c>
      <c r="B4171">
        <v>3046081</v>
      </c>
      <c r="C4171" t="s">
        <v>17417</v>
      </c>
      <c r="D4171" t="s">
        <v>441</v>
      </c>
      <c r="F4171">
        <v>0</v>
      </c>
      <c r="G4171">
        <v>11.57</v>
      </c>
      <c r="H4171" t="s">
        <v>8588</v>
      </c>
      <c r="I4171">
        <v>6</v>
      </c>
      <c r="J4171" t="s">
        <v>445</v>
      </c>
      <c r="M4171">
        <v>2502</v>
      </c>
      <c r="N4171" t="s">
        <v>16156</v>
      </c>
    </row>
    <row r="4172" spans="1:14">
      <c r="A4172">
        <v>17900602</v>
      </c>
      <c r="B4172">
        <v>3046080</v>
      </c>
      <c r="C4172" t="s">
        <v>17418</v>
      </c>
      <c r="D4172" t="s">
        <v>441</v>
      </c>
      <c r="F4172">
        <v>0</v>
      </c>
      <c r="G4172">
        <v>12.35</v>
      </c>
      <c r="H4172" t="s">
        <v>8549</v>
      </c>
      <c r="I4172">
        <v>4</v>
      </c>
      <c r="J4172" t="s">
        <v>445</v>
      </c>
      <c r="M4172">
        <v>2510</v>
      </c>
      <c r="N4172" t="s">
        <v>16156</v>
      </c>
    </row>
    <row r="4173" spans="1:14">
      <c r="A4173">
        <v>17910000</v>
      </c>
      <c r="B4173">
        <v>3015884</v>
      </c>
      <c r="C4173" t="s">
        <v>10333</v>
      </c>
      <c r="D4173" t="s">
        <v>441</v>
      </c>
      <c r="F4173">
        <v>0</v>
      </c>
      <c r="G4173">
        <v>6.67</v>
      </c>
      <c r="H4173" t="s">
        <v>8580</v>
      </c>
      <c r="I4173">
        <v>6</v>
      </c>
      <c r="J4173" t="s">
        <v>445</v>
      </c>
      <c r="M4173">
        <v>6666</v>
      </c>
      <c r="N4173" t="s">
        <v>16157</v>
      </c>
    </row>
    <row r="4174" spans="1:14">
      <c r="A4174">
        <v>17920000</v>
      </c>
      <c r="B4174">
        <v>3015877</v>
      </c>
      <c r="C4174" t="s">
        <v>10334</v>
      </c>
      <c r="D4174" t="s">
        <v>441</v>
      </c>
      <c r="F4174">
        <v>0</v>
      </c>
      <c r="G4174">
        <v>6</v>
      </c>
      <c r="H4174" t="s">
        <v>8549</v>
      </c>
      <c r="I4174">
        <v>6</v>
      </c>
      <c r="J4174" t="s">
        <v>445</v>
      </c>
      <c r="M4174">
        <v>2391</v>
      </c>
      <c r="N4174" t="s">
        <v>16157</v>
      </c>
    </row>
    <row r="4175" spans="1:14">
      <c r="A4175">
        <v>17920002</v>
      </c>
      <c r="B4175">
        <v>3022904</v>
      </c>
      <c r="C4175" t="s">
        <v>10335</v>
      </c>
      <c r="D4175" t="s">
        <v>441</v>
      </c>
      <c r="F4175">
        <v>0</v>
      </c>
      <c r="G4175">
        <v>6.46</v>
      </c>
      <c r="H4175" t="s">
        <v>8588</v>
      </c>
      <c r="I4175">
        <v>540</v>
      </c>
      <c r="J4175" t="s">
        <v>445</v>
      </c>
      <c r="M4175">
        <v>7111</v>
      </c>
      <c r="N4175" t="s">
        <v>16157</v>
      </c>
    </row>
    <row r="4176" spans="1:14">
      <c r="A4176">
        <v>17920007</v>
      </c>
      <c r="B4176">
        <v>3034738</v>
      </c>
      <c r="C4176" t="s">
        <v>10336</v>
      </c>
      <c r="D4176" t="s">
        <v>441</v>
      </c>
      <c r="F4176">
        <v>0</v>
      </c>
      <c r="G4176">
        <v>6.1</v>
      </c>
      <c r="H4176" t="s">
        <v>8588</v>
      </c>
      <c r="I4176">
        <v>6</v>
      </c>
      <c r="J4176" t="s">
        <v>445</v>
      </c>
      <c r="M4176">
        <v>2391</v>
      </c>
      <c r="N4176" t="s">
        <v>16157</v>
      </c>
    </row>
    <row r="4177" spans="1:14">
      <c r="A4177">
        <v>17920020</v>
      </c>
      <c r="B4177">
        <v>4012218</v>
      </c>
      <c r="C4177" t="s">
        <v>10337</v>
      </c>
      <c r="D4177" t="s">
        <v>441</v>
      </c>
      <c r="F4177">
        <v>0</v>
      </c>
      <c r="G4177">
        <v>8.06</v>
      </c>
      <c r="H4177" t="s">
        <v>8588</v>
      </c>
      <c r="I4177">
        <v>6</v>
      </c>
      <c r="J4177" t="s">
        <v>462</v>
      </c>
      <c r="K4177" t="s">
        <v>446</v>
      </c>
      <c r="M4177">
        <v>2641</v>
      </c>
      <c r="N4177" t="s">
        <v>16157</v>
      </c>
    </row>
    <row r="4178" spans="1:14">
      <c r="A4178">
        <v>17920080</v>
      </c>
      <c r="B4178">
        <v>3018424</v>
      </c>
      <c r="C4178" t="s">
        <v>10338</v>
      </c>
      <c r="D4178" t="s">
        <v>441</v>
      </c>
      <c r="F4178">
        <v>0</v>
      </c>
      <c r="G4178">
        <v>8.0500000000000007</v>
      </c>
      <c r="H4178" t="s">
        <v>8588</v>
      </c>
      <c r="I4178">
        <v>6</v>
      </c>
      <c r="J4178" t="s">
        <v>445</v>
      </c>
      <c r="K4178" t="s">
        <v>446</v>
      </c>
      <c r="M4178">
        <v>2641</v>
      </c>
      <c r="N4178" t="s">
        <v>16157</v>
      </c>
    </row>
    <row r="4179" spans="1:14">
      <c r="A4179">
        <v>17920100</v>
      </c>
      <c r="B4179">
        <v>4003292</v>
      </c>
      <c r="C4179" t="s">
        <v>10339</v>
      </c>
      <c r="D4179" t="s">
        <v>441</v>
      </c>
      <c r="F4179">
        <v>0</v>
      </c>
      <c r="H4179" t="s">
        <v>8588</v>
      </c>
      <c r="I4179">
        <v>6</v>
      </c>
      <c r="J4179" t="s">
        <v>462</v>
      </c>
      <c r="K4179" t="s">
        <v>446</v>
      </c>
      <c r="M4179">
        <v>7161</v>
      </c>
    </row>
    <row r="4180" spans="1:14">
      <c r="A4180">
        <v>17920110</v>
      </c>
      <c r="B4180">
        <v>3032489</v>
      </c>
      <c r="C4180" t="s">
        <v>10340</v>
      </c>
      <c r="D4180" t="s">
        <v>441</v>
      </c>
      <c r="F4180">
        <v>0</v>
      </c>
      <c r="H4180" t="s">
        <v>8588</v>
      </c>
      <c r="I4180">
        <v>6</v>
      </c>
      <c r="J4180" t="s">
        <v>445</v>
      </c>
      <c r="K4180" t="s">
        <v>446</v>
      </c>
      <c r="M4180">
        <v>0</v>
      </c>
      <c r="N4180" t="s">
        <v>16157</v>
      </c>
    </row>
    <row r="4181" spans="1:14">
      <c r="A4181">
        <v>17920120</v>
      </c>
      <c r="B4181">
        <v>3011132</v>
      </c>
      <c r="C4181" t="s">
        <v>10341</v>
      </c>
      <c r="D4181" t="s">
        <v>441</v>
      </c>
      <c r="F4181">
        <v>0</v>
      </c>
      <c r="H4181" t="s">
        <v>8588</v>
      </c>
      <c r="I4181">
        <v>5</v>
      </c>
      <c r="J4181" t="s">
        <v>445</v>
      </c>
      <c r="K4181" t="s">
        <v>446</v>
      </c>
      <c r="M4181">
        <v>2391</v>
      </c>
    </row>
    <row r="4182" spans="1:14">
      <c r="A4182">
        <v>17920130</v>
      </c>
      <c r="B4182">
        <v>3035623</v>
      </c>
      <c r="C4182" t="s">
        <v>10342</v>
      </c>
      <c r="D4182" t="s">
        <v>441</v>
      </c>
      <c r="F4182">
        <v>0</v>
      </c>
      <c r="H4182" t="s">
        <v>8588</v>
      </c>
      <c r="I4182">
        <v>6</v>
      </c>
      <c r="J4182" t="s">
        <v>445</v>
      </c>
      <c r="M4182">
        <v>7161</v>
      </c>
      <c r="N4182" t="s">
        <v>16157</v>
      </c>
    </row>
    <row r="4183" spans="1:14">
      <c r="A4183">
        <v>17920140</v>
      </c>
      <c r="B4183">
        <v>3033488</v>
      </c>
      <c r="C4183" t="s">
        <v>10343</v>
      </c>
      <c r="D4183" t="s">
        <v>441</v>
      </c>
      <c r="F4183">
        <v>0</v>
      </c>
      <c r="G4183">
        <v>5.38</v>
      </c>
      <c r="H4183" t="s">
        <v>8588</v>
      </c>
      <c r="I4183">
        <v>6</v>
      </c>
      <c r="J4183" t="s">
        <v>445</v>
      </c>
      <c r="M4183">
        <v>0</v>
      </c>
      <c r="N4183" t="s">
        <v>16157</v>
      </c>
    </row>
    <row r="4184" spans="1:14">
      <c r="A4184">
        <v>17920150</v>
      </c>
      <c r="B4184">
        <v>3038565</v>
      </c>
      <c r="C4184" t="s">
        <v>10344</v>
      </c>
      <c r="D4184" t="s">
        <v>441</v>
      </c>
      <c r="F4184">
        <v>0</v>
      </c>
      <c r="G4184">
        <v>6.95</v>
      </c>
      <c r="H4184" t="s">
        <v>8549</v>
      </c>
      <c r="I4184">
        <v>6</v>
      </c>
      <c r="J4184" t="s">
        <v>445</v>
      </c>
      <c r="M4184">
        <v>7161</v>
      </c>
      <c r="N4184" t="s">
        <v>16157</v>
      </c>
    </row>
    <row r="4185" spans="1:14">
      <c r="A4185">
        <v>17920160</v>
      </c>
      <c r="B4185">
        <v>3033486</v>
      </c>
      <c r="C4185" t="s">
        <v>10345</v>
      </c>
      <c r="D4185" t="s">
        <v>441</v>
      </c>
      <c r="F4185">
        <v>0</v>
      </c>
      <c r="G4185">
        <v>6.68</v>
      </c>
      <c r="H4185" t="s">
        <v>8588</v>
      </c>
      <c r="I4185">
        <v>6</v>
      </c>
      <c r="J4185" t="s">
        <v>445</v>
      </c>
      <c r="M4185">
        <v>0</v>
      </c>
      <c r="N4185" t="s">
        <v>16157</v>
      </c>
    </row>
    <row r="4186" spans="1:14">
      <c r="A4186">
        <v>17920502</v>
      </c>
      <c r="B4186">
        <v>3022902</v>
      </c>
      <c r="C4186" t="s">
        <v>10346</v>
      </c>
      <c r="D4186" t="s">
        <v>441</v>
      </c>
      <c r="F4186">
        <v>0</v>
      </c>
      <c r="G4186">
        <v>6.12</v>
      </c>
      <c r="H4186" t="s">
        <v>8588</v>
      </c>
      <c r="I4186">
        <v>6</v>
      </c>
      <c r="J4186" t="s">
        <v>445</v>
      </c>
      <c r="M4186">
        <v>2502</v>
      </c>
      <c r="N4186" t="s">
        <v>16157</v>
      </c>
    </row>
    <row r="4187" spans="1:14">
      <c r="A4187">
        <v>17920602</v>
      </c>
      <c r="B4187">
        <v>3022903</v>
      </c>
      <c r="C4187" t="s">
        <v>10347</v>
      </c>
      <c r="D4187" t="s">
        <v>441</v>
      </c>
      <c r="F4187">
        <v>0</v>
      </c>
      <c r="G4187">
        <v>6.7</v>
      </c>
      <c r="H4187" t="s">
        <v>8588</v>
      </c>
      <c r="I4187">
        <v>4</v>
      </c>
      <c r="J4187" t="s">
        <v>445</v>
      </c>
      <c r="M4187">
        <v>2510</v>
      </c>
      <c r="N4187" t="s">
        <v>16157</v>
      </c>
    </row>
    <row r="4188" spans="1:14">
      <c r="A4188">
        <v>17921020</v>
      </c>
      <c r="B4188">
        <v>4012219</v>
      </c>
      <c r="C4188" t="s">
        <v>10348</v>
      </c>
      <c r="D4188" t="s">
        <v>441</v>
      </c>
      <c r="F4188">
        <v>0</v>
      </c>
      <c r="G4188">
        <v>5.93</v>
      </c>
      <c r="H4188" t="s">
        <v>8588</v>
      </c>
      <c r="I4188">
        <v>6</v>
      </c>
      <c r="J4188" t="s">
        <v>462</v>
      </c>
      <c r="K4188" t="s">
        <v>446</v>
      </c>
      <c r="M4188">
        <v>2641</v>
      </c>
    </row>
    <row r="4189" spans="1:14">
      <c r="A4189">
        <v>17921080</v>
      </c>
      <c r="B4189">
        <v>3018428</v>
      </c>
      <c r="C4189" t="s">
        <v>10349</v>
      </c>
      <c r="D4189" t="s">
        <v>441</v>
      </c>
      <c r="F4189">
        <v>0</v>
      </c>
      <c r="G4189">
        <v>5.85</v>
      </c>
      <c r="H4189" t="s">
        <v>8588</v>
      </c>
      <c r="I4189">
        <v>6</v>
      </c>
      <c r="J4189" t="s">
        <v>445</v>
      </c>
      <c r="K4189" t="s">
        <v>446</v>
      </c>
      <c r="M4189">
        <v>2641</v>
      </c>
    </row>
    <row r="4190" spans="1:14">
      <c r="A4190">
        <v>17923000</v>
      </c>
      <c r="B4190">
        <v>3017952</v>
      </c>
      <c r="C4190" t="s">
        <v>10350</v>
      </c>
      <c r="D4190" t="s">
        <v>441</v>
      </c>
      <c r="F4190">
        <v>0</v>
      </c>
      <c r="G4190">
        <v>6</v>
      </c>
      <c r="H4190" t="s">
        <v>8584</v>
      </c>
      <c r="I4190">
        <v>6</v>
      </c>
      <c r="J4190" t="s">
        <v>445</v>
      </c>
      <c r="M4190">
        <v>2391</v>
      </c>
      <c r="N4190" t="s">
        <v>16157</v>
      </c>
    </row>
    <row r="4191" spans="1:14">
      <c r="A4191">
        <v>17926000</v>
      </c>
      <c r="B4191">
        <v>3017929</v>
      </c>
      <c r="C4191" t="s">
        <v>10351</v>
      </c>
      <c r="D4191" t="s">
        <v>441</v>
      </c>
      <c r="F4191">
        <v>0</v>
      </c>
      <c r="G4191">
        <v>5.74</v>
      </c>
      <c r="H4191" t="s">
        <v>8580</v>
      </c>
      <c r="I4191">
        <v>6</v>
      </c>
      <c r="J4191" t="s">
        <v>445</v>
      </c>
      <c r="K4191" t="s">
        <v>446</v>
      </c>
      <c r="M4191">
        <v>2390</v>
      </c>
    </row>
    <row r="4192" spans="1:14">
      <c r="A4192">
        <v>17930000</v>
      </c>
      <c r="B4192">
        <v>3044087</v>
      </c>
      <c r="C4192" t="s">
        <v>14343</v>
      </c>
      <c r="D4192" t="s">
        <v>441</v>
      </c>
      <c r="F4192">
        <v>0</v>
      </c>
      <c r="G4192">
        <v>7.89</v>
      </c>
      <c r="H4192" t="s">
        <v>8549</v>
      </c>
      <c r="I4192">
        <v>6</v>
      </c>
      <c r="J4192" t="s">
        <v>445</v>
      </c>
      <c r="M4192">
        <v>6666</v>
      </c>
      <c r="N4192" t="s">
        <v>16158</v>
      </c>
    </row>
    <row r="4193" spans="1:14">
      <c r="A4193">
        <v>17930100</v>
      </c>
      <c r="B4193">
        <v>3041688</v>
      </c>
      <c r="C4193" t="s">
        <v>10352</v>
      </c>
      <c r="D4193" t="s">
        <v>441</v>
      </c>
      <c r="F4193">
        <v>0</v>
      </c>
      <c r="G4193">
        <v>6</v>
      </c>
      <c r="H4193" t="s">
        <v>8549</v>
      </c>
      <c r="I4193">
        <v>6</v>
      </c>
      <c r="J4193" t="s">
        <v>445</v>
      </c>
      <c r="M4193">
        <v>0</v>
      </c>
      <c r="N4193" t="s">
        <v>16159</v>
      </c>
    </row>
    <row r="4194" spans="1:14">
      <c r="A4194">
        <v>17940000</v>
      </c>
      <c r="B4194">
        <v>3004225</v>
      </c>
      <c r="C4194" t="s">
        <v>10353</v>
      </c>
      <c r="D4194" t="s">
        <v>441</v>
      </c>
      <c r="F4194">
        <v>0</v>
      </c>
      <c r="G4194">
        <v>5.35</v>
      </c>
      <c r="H4194" t="s">
        <v>8925</v>
      </c>
      <c r="I4194">
        <v>6</v>
      </c>
      <c r="J4194" t="s">
        <v>445</v>
      </c>
      <c r="K4194" t="s">
        <v>446</v>
      </c>
      <c r="M4194">
        <v>0</v>
      </c>
    </row>
    <row r="4195" spans="1:14">
      <c r="A4195">
        <v>17950000</v>
      </c>
      <c r="B4195">
        <v>3015872</v>
      </c>
      <c r="C4195" t="s">
        <v>2327</v>
      </c>
      <c r="D4195" t="s">
        <v>441</v>
      </c>
      <c r="F4195">
        <v>0</v>
      </c>
      <c r="G4195">
        <v>7.89</v>
      </c>
      <c r="H4195" t="s">
        <v>8588</v>
      </c>
      <c r="I4195">
        <v>6</v>
      </c>
      <c r="J4195" t="s">
        <v>445</v>
      </c>
      <c r="M4195">
        <v>2391</v>
      </c>
      <c r="N4195" t="s">
        <v>16160</v>
      </c>
    </row>
    <row r="4196" spans="1:14">
      <c r="A4196">
        <v>17950080</v>
      </c>
      <c r="B4196">
        <v>3020980</v>
      </c>
      <c r="C4196" t="s">
        <v>2328</v>
      </c>
      <c r="D4196" t="s">
        <v>441</v>
      </c>
      <c r="F4196">
        <v>0</v>
      </c>
      <c r="G4196">
        <v>9.32</v>
      </c>
      <c r="H4196" t="s">
        <v>8588</v>
      </c>
      <c r="I4196">
        <v>6</v>
      </c>
      <c r="J4196" t="s">
        <v>445</v>
      </c>
      <c r="K4196" t="s">
        <v>446</v>
      </c>
      <c r="M4196">
        <v>2641</v>
      </c>
      <c r="N4196" t="s">
        <v>16160</v>
      </c>
    </row>
    <row r="4197" spans="1:14">
      <c r="A4197">
        <v>17950100</v>
      </c>
      <c r="B4197">
        <v>3038586</v>
      </c>
      <c r="C4197" t="s">
        <v>2329</v>
      </c>
      <c r="D4197" t="s">
        <v>441</v>
      </c>
      <c r="F4197">
        <v>0</v>
      </c>
      <c r="G4197">
        <v>8.48</v>
      </c>
      <c r="H4197" t="s">
        <v>8588</v>
      </c>
      <c r="I4197">
        <v>6</v>
      </c>
      <c r="J4197" t="s">
        <v>445</v>
      </c>
      <c r="M4197">
        <v>7161</v>
      </c>
      <c r="N4197" t="s">
        <v>16160</v>
      </c>
    </row>
    <row r="4198" spans="1:14">
      <c r="A4198">
        <v>17960000</v>
      </c>
      <c r="B4198">
        <v>3004210</v>
      </c>
      <c r="C4198" t="s">
        <v>2330</v>
      </c>
      <c r="D4198" t="s">
        <v>441</v>
      </c>
      <c r="F4198">
        <v>0</v>
      </c>
      <c r="G4198">
        <v>7.54</v>
      </c>
      <c r="H4198" t="s">
        <v>8925</v>
      </c>
      <c r="I4198">
        <v>6</v>
      </c>
      <c r="J4198" t="s">
        <v>445</v>
      </c>
      <c r="K4198" t="s">
        <v>446</v>
      </c>
      <c r="M4198">
        <v>0</v>
      </c>
    </row>
    <row r="4199" spans="1:14">
      <c r="A4199">
        <v>17970000</v>
      </c>
      <c r="B4199">
        <v>3004213</v>
      </c>
      <c r="C4199" t="s">
        <v>2331</v>
      </c>
      <c r="D4199" t="s">
        <v>441</v>
      </c>
      <c r="F4199">
        <v>0</v>
      </c>
      <c r="G4199">
        <v>6.94</v>
      </c>
      <c r="H4199" t="s">
        <v>8925</v>
      </c>
      <c r="I4199">
        <v>6</v>
      </c>
      <c r="J4199" t="s">
        <v>445</v>
      </c>
      <c r="K4199" t="s">
        <v>446</v>
      </c>
      <c r="M4199">
        <v>0</v>
      </c>
    </row>
    <row r="4200" spans="1:14">
      <c r="A4200">
        <v>17980000</v>
      </c>
      <c r="B4200">
        <v>3008840</v>
      </c>
      <c r="C4200" t="s">
        <v>2332</v>
      </c>
      <c r="D4200" t="s">
        <v>441</v>
      </c>
      <c r="F4200">
        <v>0</v>
      </c>
      <c r="G4200">
        <v>6.21</v>
      </c>
      <c r="H4200" t="s">
        <v>8925</v>
      </c>
      <c r="I4200">
        <v>6</v>
      </c>
      <c r="J4200" t="s">
        <v>445</v>
      </c>
      <c r="K4200" t="s">
        <v>446</v>
      </c>
      <c r="M4200">
        <v>0</v>
      </c>
    </row>
    <row r="4201" spans="1:14">
      <c r="A4201">
        <v>17990000</v>
      </c>
      <c r="B4201">
        <v>3004203</v>
      </c>
      <c r="C4201" t="s">
        <v>2333</v>
      </c>
      <c r="D4201" t="s">
        <v>441</v>
      </c>
      <c r="F4201">
        <v>0</v>
      </c>
      <c r="G4201">
        <v>8.86</v>
      </c>
      <c r="H4201" t="s">
        <v>8925</v>
      </c>
      <c r="I4201">
        <v>6</v>
      </c>
      <c r="J4201" t="s">
        <v>445</v>
      </c>
      <c r="K4201" t="s">
        <v>446</v>
      </c>
      <c r="M4201">
        <v>0</v>
      </c>
    </row>
    <row r="4202" spans="1:14">
      <c r="A4202">
        <v>18030000</v>
      </c>
      <c r="B4202">
        <v>3007797</v>
      </c>
      <c r="C4202" t="s">
        <v>2334</v>
      </c>
      <c r="D4202" t="s">
        <v>441</v>
      </c>
      <c r="F4202">
        <v>0</v>
      </c>
      <c r="G4202">
        <v>7.66</v>
      </c>
      <c r="I4202">
        <v>6</v>
      </c>
      <c r="J4202" t="s">
        <v>445</v>
      </c>
      <c r="K4202" t="s">
        <v>446</v>
      </c>
      <c r="M4202">
        <v>0</v>
      </c>
    </row>
    <row r="4203" spans="1:14">
      <c r="A4203">
        <v>18030076</v>
      </c>
      <c r="B4203">
        <v>3008692</v>
      </c>
      <c r="C4203" t="s">
        <v>10354</v>
      </c>
      <c r="D4203" t="s">
        <v>441</v>
      </c>
      <c r="F4203">
        <v>0</v>
      </c>
      <c r="G4203">
        <v>7.73</v>
      </c>
      <c r="H4203" t="s">
        <v>8588</v>
      </c>
      <c r="I4203">
        <v>6</v>
      </c>
      <c r="J4203" t="s">
        <v>445</v>
      </c>
      <c r="K4203" t="s">
        <v>446</v>
      </c>
      <c r="M4203">
        <v>2641</v>
      </c>
    </row>
    <row r="4204" spans="1:14">
      <c r="A4204">
        <v>18033000</v>
      </c>
      <c r="B4204">
        <v>3008903</v>
      </c>
      <c r="C4204" t="s">
        <v>2335</v>
      </c>
      <c r="D4204" t="s">
        <v>441</v>
      </c>
      <c r="F4204">
        <v>0</v>
      </c>
      <c r="G4204">
        <v>7.67</v>
      </c>
      <c r="H4204" t="s">
        <v>8580</v>
      </c>
      <c r="I4204">
        <v>6</v>
      </c>
      <c r="J4204" t="s">
        <v>445</v>
      </c>
      <c r="K4204" t="s">
        <v>446</v>
      </c>
      <c r="M4204">
        <v>2390</v>
      </c>
    </row>
    <row r="4205" spans="1:14">
      <c r="A4205">
        <v>18040000</v>
      </c>
      <c r="B4205">
        <v>3008789</v>
      </c>
      <c r="C4205" t="s">
        <v>2336</v>
      </c>
      <c r="D4205" t="s">
        <v>441</v>
      </c>
      <c r="F4205">
        <v>0</v>
      </c>
      <c r="G4205">
        <v>4.4000000000000004</v>
      </c>
      <c r="H4205" t="s">
        <v>8925</v>
      </c>
      <c r="I4205">
        <v>6</v>
      </c>
      <c r="J4205" t="s">
        <v>445</v>
      </c>
      <c r="K4205" t="s">
        <v>446</v>
      </c>
      <c r="M4205">
        <v>0</v>
      </c>
    </row>
    <row r="4206" spans="1:14">
      <c r="A4206">
        <v>18050000</v>
      </c>
      <c r="B4206">
        <v>3004240</v>
      </c>
      <c r="C4206" t="s">
        <v>2337</v>
      </c>
      <c r="D4206" t="s">
        <v>441</v>
      </c>
      <c r="F4206">
        <v>0</v>
      </c>
      <c r="G4206">
        <v>3.87</v>
      </c>
      <c r="H4206" t="s">
        <v>8925</v>
      </c>
      <c r="I4206">
        <v>6</v>
      </c>
      <c r="J4206" t="s">
        <v>445</v>
      </c>
      <c r="K4206" t="s">
        <v>446</v>
      </c>
      <c r="M4206">
        <v>2211</v>
      </c>
    </row>
    <row r="4207" spans="1:14">
      <c r="A4207">
        <v>18060000</v>
      </c>
      <c r="B4207">
        <v>3015870</v>
      </c>
      <c r="C4207" t="s">
        <v>2338</v>
      </c>
      <c r="D4207" t="s">
        <v>441</v>
      </c>
      <c r="F4207">
        <v>0</v>
      </c>
      <c r="G4207">
        <v>7.21</v>
      </c>
      <c r="H4207" t="s">
        <v>8549</v>
      </c>
      <c r="I4207">
        <v>6</v>
      </c>
      <c r="J4207" t="s">
        <v>445</v>
      </c>
      <c r="M4207">
        <v>2391</v>
      </c>
      <c r="N4207" t="s">
        <v>16161</v>
      </c>
    </row>
    <row r="4208" spans="1:14">
      <c r="A4208">
        <v>18060002</v>
      </c>
      <c r="B4208">
        <v>3022906</v>
      </c>
      <c r="C4208" t="s">
        <v>2339</v>
      </c>
      <c r="D4208" t="s">
        <v>441</v>
      </c>
      <c r="F4208">
        <v>0</v>
      </c>
      <c r="G4208">
        <v>8.67</v>
      </c>
      <c r="H4208" t="s">
        <v>8588</v>
      </c>
      <c r="I4208">
        <v>365</v>
      </c>
      <c r="J4208" t="s">
        <v>445</v>
      </c>
      <c r="K4208" t="s">
        <v>446</v>
      </c>
      <c r="M4208">
        <v>2501</v>
      </c>
      <c r="N4208" t="s">
        <v>16161</v>
      </c>
    </row>
    <row r="4209" spans="1:14">
      <c r="A4209">
        <v>18060080</v>
      </c>
      <c r="B4209">
        <v>3018426</v>
      </c>
      <c r="C4209" t="s">
        <v>2340</v>
      </c>
      <c r="D4209" t="s">
        <v>441</v>
      </c>
      <c r="F4209">
        <v>0</v>
      </c>
      <c r="G4209">
        <v>8.5299999999999994</v>
      </c>
      <c r="H4209" t="s">
        <v>8588</v>
      </c>
      <c r="I4209">
        <v>6</v>
      </c>
      <c r="J4209" t="s">
        <v>445</v>
      </c>
      <c r="K4209" t="s">
        <v>446</v>
      </c>
      <c r="M4209">
        <v>2641</v>
      </c>
      <c r="N4209" t="s">
        <v>16161</v>
      </c>
    </row>
    <row r="4210" spans="1:14">
      <c r="A4210">
        <v>18060502</v>
      </c>
      <c r="B4210">
        <v>3022908</v>
      </c>
      <c r="C4210" t="s">
        <v>2341</v>
      </c>
      <c r="D4210" t="s">
        <v>441</v>
      </c>
      <c r="F4210">
        <v>0</v>
      </c>
      <c r="G4210">
        <v>8.48</v>
      </c>
      <c r="H4210" t="s">
        <v>8624</v>
      </c>
      <c r="I4210">
        <v>6</v>
      </c>
      <c r="J4210" t="s">
        <v>445</v>
      </c>
      <c r="K4210" t="s">
        <v>446</v>
      </c>
      <c r="M4210">
        <v>2641</v>
      </c>
      <c r="N4210" t="s">
        <v>16161</v>
      </c>
    </row>
    <row r="4211" spans="1:14">
      <c r="A4211">
        <v>18060602</v>
      </c>
      <c r="B4211">
        <v>3022907</v>
      </c>
      <c r="C4211" t="s">
        <v>2342</v>
      </c>
      <c r="D4211" t="s">
        <v>441</v>
      </c>
      <c r="F4211">
        <v>0</v>
      </c>
      <c r="G4211">
        <v>9.0299999999999994</v>
      </c>
      <c r="H4211" t="s">
        <v>8588</v>
      </c>
      <c r="I4211">
        <v>4</v>
      </c>
      <c r="J4211" t="s">
        <v>445</v>
      </c>
      <c r="K4211" t="s">
        <v>446</v>
      </c>
      <c r="M4211">
        <v>2511</v>
      </c>
      <c r="N4211" t="s">
        <v>16161</v>
      </c>
    </row>
    <row r="4212" spans="1:14">
      <c r="A4212">
        <v>18061080</v>
      </c>
      <c r="B4212">
        <v>3018427</v>
      </c>
      <c r="C4212" t="s">
        <v>2343</v>
      </c>
      <c r="D4212" t="s">
        <v>441</v>
      </c>
      <c r="F4212">
        <v>0</v>
      </c>
      <c r="G4212">
        <v>7.15</v>
      </c>
      <c r="H4212" t="s">
        <v>8588</v>
      </c>
      <c r="I4212">
        <v>6</v>
      </c>
      <c r="J4212" t="s">
        <v>445</v>
      </c>
      <c r="K4212" t="s">
        <v>446</v>
      </c>
      <c r="M4212">
        <v>2641</v>
      </c>
    </row>
    <row r="4213" spans="1:14">
      <c r="A4213">
        <v>18063000</v>
      </c>
      <c r="B4213">
        <v>3018423</v>
      </c>
      <c r="C4213" t="s">
        <v>2344</v>
      </c>
      <c r="D4213" t="s">
        <v>441</v>
      </c>
      <c r="F4213">
        <v>0</v>
      </c>
      <c r="G4213">
        <v>7.21</v>
      </c>
      <c r="I4213">
        <v>6</v>
      </c>
      <c r="J4213" t="s">
        <v>445</v>
      </c>
      <c r="M4213">
        <v>2391</v>
      </c>
      <c r="N4213" t="s">
        <v>16161</v>
      </c>
    </row>
    <row r="4214" spans="1:14">
      <c r="A4214">
        <v>18066000</v>
      </c>
      <c r="B4214">
        <v>3018425</v>
      </c>
      <c r="C4214" t="s">
        <v>2345</v>
      </c>
      <c r="D4214" t="s">
        <v>441</v>
      </c>
      <c r="F4214">
        <v>0</v>
      </c>
      <c r="G4214">
        <v>7.03</v>
      </c>
      <c r="I4214">
        <v>6</v>
      </c>
      <c r="J4214" t="s">
        <v>445</v>
      </c>
      <c r="K4214" t="s">
        <v>446</v>
      </c>
      <c r="M4214">
        <v>2390</v>
      </c>
    </row>
    <row r="4215" spans="1:14">
      <c r="A4215">
        <v>18070000</v>
      </c>
      <c r="B4215">
        <v>3015881</v>
      </c>
      <c r="C4215" t="s">
        <v>2346</v>
      </c>
      <c r="D4215" t="s">
        <v>441</v>
      </c>
      <c r="F4215">
        <v>0</v>
      </c>
      <c r="G4215">
        <v>5.42</v>
      </c>
      <c r="I4215">
        <v>6</v>
      </c>
      <c r="J4215" t="s">
        <v>445</v>
      </c>
      <c r="K4215" t="s">
        <v>446</v>
      </c>
      <c r="M4215">
        <v>2111</v>
      </c>
      <c r="N4215" t="s">
        <v>16162</v>
      </c>
    </row>
    <row r="4216" spans="1:14">
      <c r="A4216">
        <v>18080000</v>
      </c>
      <c r="B4216">
        <v>3004212</v>
      </c>
      <c r="C4216" t="s">
        <v>2347</v>
      </c>
      <c r="D4216" t="s">
        <v>441</v>
      </c>
      <c r="F4216">
        <v>0</v>
      </c>
      <c r="G4216">
        <v>6.15</v>
      </c>
      <c r="H4216" t="s">
        <v>8925</v>
      </c>
      <c r="I4216">
        <v>6</v>
      </c>
      <c r="J4216" t="s">
        <v>445</v>
      </c>
      <c r="K4216" t="s">
        <v>446</v>
      </c>
      <c r="M4216">
        <v>2211</v>
      </c>
    </row>
    <row r="4217" spans="1:14">
      <c r="A4217">
        <v>18090000</v>
      </c>
      <c r="B4217">
        <v>3004202</v>
      </c>
      <c r="C4217" t="s">
        <v>2348</v>
      </c>
      <c r="D4217" t="s">
        <v>441</v>
      </c>
      <c r="F4217">
        <v>0</v>
      </c>
      <c r="G4217">
        <v>7.81</v>
      </c>
      <c r="H4217" t="s">
        <v>8925</v>
      </c>
      <c r="I4217">
        <v>6</v>
      </c>
      <c r="J4217" t="s">
        <v>445</v>
      </c>
      <c r="K4217" t="s">
        <v>446</v>
      </c>
      <c r="M4217">
        <v>2211</v>
      </c>
    </row>
    <row r="4218" spans="1:14">
      <c r="A4218">
        <v>18100000</v>
      </c>
      <c r="B4218">
        <v>3004208</v>
      </c>
      <c r="C4218" t="s">
        <v>2349</v>
      </c>
      <c r="D4218" t="s">
        <v>441</v>
      </c>
      <c r="F4218">
        <v>0</v>
      </c>
      <c r="G4218">
        <v>6.68</v>
      </c>
      <c r="H4218" t="s">
        <v>8925</v>
      </c>
      <c r="I4218">
        <v>6</v>
      </c>
      <c r="J4218" t="s">
        <v>445</v>
      </c>
      <c r="K4218" t="s">
        <v>446</v>
      </c>
      <c r="M4218">
        <v>2211</v>
      </c>
    </row>
    <row r="4219" spans="1:14">
      <c r="A4219">
        <v>18110000</v>
      </c>
      <c r="B4219">
        <v>3015882</v>
      </c>
      <c r="C4219" t="s">
        <v>2350</v>
      </c>
      <c r="D4219" t="s">
        <v>441</v>
      </c>
      <c r="F4219">
        <v>0</v>
      </c>
      <c r="G4219">
        <v>7.89</v>
      </c>
      <c r="I4219">
        <v>6</v>
      </c>
      <c r="J4219" t="s">
        <v>445</v>
      </c>
      <c r="M4219">
        <v>2391</v>
      </c>
      <c r="N4219" t="s">
        <v>16160</v>
      </c>
    </row>
    <row r="4220" spans="1:14">
      <c r="A4220">
        <v>18120000</v>
      </c>
      <c r="B4220">
        <v>3015859</v>
      </c>
      <c r="C4220" t="s">
        <v>2351</v>
      </c>
      <c r="D4220" t="s">
        <v>441</v>
      </c>
      <c r="F4220">
        <v>0</v>
      </c>
      <c r="G4220">
        <v>1</v>
      </c>
      <c r="H4220" t="s">
        <v>8634</v>
      </c>
      <c r="I4220">
        <v>6</v>
      </c>
      <c r="J4220" t="s">
        <v>445</v>
      </c>
      <c r="K4220" t="s">
        <v>446</v>
      </c>
      <c r="M4220">
        <v>2211</v>
      </c>
    </row>
    <row r="4221" spans="1:14">
      <c r="A4221">
        <v>18170000</v>
      </c>
      <c r="B4221">
        <v>3007798</v>
      </c>
      <c r="C4221" t="s">
        <v>2352</v>
      </c>
      <c r="D4221" t="s">
        <v>441</v>
      </c>
      <c r="F4221">
        <v>0</v>
      </c>
      <c r="G4221">
        <v>9.4600000000000009</v>
      </c>
      <c r="I4221">
        <v>6</v>
      </c>
      <c r="J4221" t="s">
        <v>445</v>
      </c>
      <c r="K4221" t="s">
        <v>446</v>
      </c>
      <c r="M4221">
        <v>0</v>
      </c>
    </row>
    <row r="4222" spans="1:14">
      <c r="A4222">
        <v>18180000</v>
      </c>
      <c r="B4222">
        <v>3007799</v>
      </c>
      <c r="C4222" t="s">
        <v>2353</v>
      </c>
      <c r="D4222" t="s">
        <v>441</v>
      </c>
      <c r="F4222">
        <v>0</v>
      </c>
      <c r="G4222">
        <v>9.07</v>
      </c>
      <c r="I4222">
        <v>6</v>
      </c>
      <c r="J4222" t="s">
        <v>445</v>
      </c>
      <c r="K4222" t="s">
        <v>446</v>
      </c>
      <c r="M4222">
        <v>0</v>
      </c>
    </row>
    <row r="4223" spans="1:14">
      <c r="A4223">
        <v>18200000</v>
      </c>
      <c r="B4223">
        <v>3007800</v>
      </c>
      <c r="C4223" t="s">
        <v>2354</v>
      </c>
      <c r="D4223" t="s">
        <v>441</v>
      </c>
      <c r="F4223">
        <v>0</v>
      </c>
      <c r="G4223">
        <v>9.31</v>
      </c>
      <c r="I4223">
        <v>6</v>
      </c>
      <c r="J4223" t="s">
        <v>445</v>
      </c>
      <c r="K4223" t="s">
        <v>446</v>
      </c>
      <c r="M4223">
        <v>2390</v>
      </c>
    </row>
    <row r="4224" spans="1:14">
      <c r="A4224">
        <v>18210000</v>
      </c>
      <c r="B4224">
        <v>3015918</v>
      </c>
      <c r="C4224" t="s">
        <v>2355</v>
      </c>
      <c r="D4224" t="s">
        <v>441</v>
      </c>
      <c r="F4224">
        <v>0</v>
      </c>
      <c r="G4224">
        <v>5.77</v>
      </c>
      <c r="H4224" t="s">
        <v>8549</v>
      </c>
      <c r="I4224">
        <v>6</v>
      </c>
      <c r="J4224" t="s">
        <v>445</v>
      </c>
      <c r="M4224">
        <v>2391</v>
      </c>
      <c r="N4224" t="s">
        <v>16050</v>
      </c>
    </row>
    <row r="4225" spans="1:14">
      <c r="A4225">
        <v>18210076</v>
      </c>
      <c r="B4225">
        <v>4008719</v>
      </c>
      <c r="C4225" t="s">
        <v>2356</v>
      </c>
      <c r="D4225" t="s">
        <v>441</v>
      </c>
      <c r="F4225">
        <v>0</v>
      </c>
      <c r="G4225">
        <v>6.11</v>
      </c>
      <c r="H4225" t="s">
        <v>8588</v>
      </c>
      <c r="I4225">
        <v>6</v>
      </c>
      <c r="J4225" t="s">
        <v>462</v>
      </c>
      <c r="K4225" t="s">
        <v>446</v>
      </c>
      <c r="M4225">
        <v>2641</v>
      </c>
    </row>
    <row r="4226" spans="1:14">
      <c r="A4226">
        <v>18210087</v>
      </c>
      <c r="B4226">
        <v>4012505</v>
      </c>
      <c r="C4226" t="s">
        <v>2357</v>
      </c>
      <c r="D4226" t="s">
        <v>441</v>
      </c>
      <c r="F4226">
        <v>0</v>
      </c>
      <c r="G4226">
        <v>7.85</v>
      </c>
      <c r="H4226" t="s">
        <v>8588</v>
      </c>
      <c r="I4226">
        <v>6</v>
      </c>
      <c r="J4226" t="s">
        <v>462</v>
      </c>
      <c r="K4226" t="s">
        <v>446</v>
      </c>
      <c r="M4226">
        <v>2641</v>
      </c>
      <c r="N4226" t="s">
        <v>16050</v>
      </c>
    </row>
    <row r="4227" spans="1:14">
      <c r="A4227">
        <v>18210100</v>
      </c>
      <c r="B4227">
        <v>3033494</v>
      </c>
      <c r="C4227" t="s">
        <v>2358</v>
      </c>
      <c r="D4227" t="s">
        <v>441</v>
      </c>
      <c r="F4227">
        <v>0</v>
      </c>
      <c r="H4227" t="s">
        <v>8588</v>
      </c>
      <c r="I4227">
        <v>6</v>
      </c>
      <c r="J4227" t="s">
        <v>445</v>
      </c>
      <c r="M4227">
        <v>7161</v>
      </c>
      <c r="N4227" t="s">
        <v>16050</v>
      </c>
    </row>
    <row r="4228" spans="1:14">
      <c r="A4228">
        <v>18210110</v>
      </c>
      <c r="B4228">
        <v>3043131</v>
      </c>
      <c r="C4228" t="s">
        <v>2359</v>
      </c>
      <c r="D4228" t="s">
        <v>441</v>
      </c>
      <c r="F4228">
        <v>0</v>
      </c>
      <c r="G4228">
        <v>9.19</v>
      </c>
      <c r="H4228" t="s">
        <v>8588</v>
      </c>
      <c r="I4228">
        <v>6</v>
      </c>
      <c r="J4228" t="s">
        <v>445</v>
      </c>
      <c r="M4228">
        <v>0</v>
      </c>
      <c r="N4228" t="s">
        <v>16050</v>
      </c>
    </row>
    <row r="4229" spans="1:14">
      <c r="A4229">
        <v>18211000</v>
      </c>
      <c r="B4229">
        <v>3017751</v>
      </c>
      <c r="C4229" t="s">
        <v>2360</v>
      </c>
      <c r="D4229" t="s">
        <v>441</v>
      </c>
      <c r="F4229">
        <v>0</v>
      </c>
      <c r="G4229">
        <v>5.77</v>
      </c>
      <c r="H4229" t="s">
        <v>8549</v>
      </c>
      <c r="I4229">
        <v>6</v>
      </c>
      <c r="J4229" t="s">
        <v>445</v>
      </c>
      <c r="M4229">
        <v>2391</v>
      </c>
      <c r="N4229" t="s">
        <v>16050</v>
      </c>
    </row>
    <row r="4230" spans="1:14">
      <c r="A4230">
        <v>18211120</v>
      </c>
      <c r="B4230">
        <v>3045291</v>
      </c>
      <c r="C4230" t="s">
        <v>16163</v>
      </c>
      <c r="D4230" t="s">
        <v>441</v>
      </c>
      <c r="F4230">
        <v>0</v>
      </c>
      <c r="G4230">
        <v>11.84</v>
      </c>
      <c r="H4230" t="s">
        <v>8549</v>
      </c>
      <c r="I4230">
        <v>6</v>
      </c>
      <c r="J4230" t="s">
        <v>445</v>
      </c>
      <c r="M4230">
        <v>0</v>
      </c>
      <c r="N4230" t="s">
        <v>16050</v>
      </c>
    </row>
    <row r="4231" spans="1:14">
      <c r="A4231">
        <v>18213000</v>
      </c>
      <c r="B4231">
        <v>3009477</v>
      </c>
      <c r="C4231" t="s">
        <v>2361</v>
      </c>
      <c r="D4231" t="s">
        <v>441</v>
      </c>
      <c r="F4231">
        <v>0</v>
      </c>
      <c r="G4231">
        <v>6</v>
      </c>
      <c r="H4231" t="s">
        <v>8580</v>
      </c>
      <c r="I4231">
        <v>6</v>
      </c>
      <c r="J4231" t="s">
        <v>445</v>
      </c>
      <c r="K4231" t="s">
        <v>446</v>
      </c>
      <c r="M4231">
        <v>2390</v>
      </c>
    </row>
    <row r="4232" spans="1:14">
      <c r="A4232">
        <v>18214000</v>
      </c>
      <c r="B4232">
        <v>3035459</v>
      </c>
      <c r="C4232" t="s">
        <v>2362</v>
      </c>
      <c r="D4232" t="s">
        <v>441</v>
      </c>
      <c r="F4232">
        <v>0</v>
      </c>
      <c r="G4232">
        <v>5.77</v>
      </c>
      <c r="H4232" t="s">
        <v>8549</v>
      </c>
      <c r="I4232">
        <v>6</v>
      </c>
      <c r="J4232" t="s">
        <v>445</v>
      </c>
      <c r="M4232">
        <v>2391</v>
      </c>
      <c r="N4232" t="s">
        <v>16050</v>
      </c>
    </row>
    <row r="4233" spans="1:14">
      <c r="A4233">
        <v>18220000</v>
      </c>
      <c r="B4233">
        <v>3004387</v>
      </c>
      <c r="C4233" t="s">
        <v>2363</v>
      </c>
      <c r="D4233" t="s">
        <v>441</v>
      </c>
      <c r="F4233">
        <v>0</v>
      </c>
      <c r="G4233">
        <v>5.94</v>
      </c>
      <c r="H4233" t="s">
        <v>8549</v>
      </c>
      <c r="I4233">
        <v>6</v>
      </c>
      <c r="J4233" t="s">
        <v>445</v>
      </c>
      <c r="K4233" t="s">
        <v>446</v>
      </c>
      <c r="M4233">
        <v>0</v>
      </c>
    </row>
    <row r="4234" spans="1:14">
      <c r="A4234">
        <v>18230000</v>
      </c>
      <c r="B4234">
        <v>3005033</v>
      </c>
      <c r="C4234" t="s">
        <v>2364</v>
      </c>
      <c r="D4234" t="s">
        <v>441</v>
      </c>
      <c r="F4234">
        <v>0</v>
      </c>
      <c r="G4234">
        <v>5.42</v>
      </c>
      <c r="H4234" t="s">
        <v>8549</v>
      </c>
      <c r="I4234">
        <v>6</v>
      </c>
      <c r="J4234" t="s">
        <v>445</v>
      </c>
      <c r="K4234" t="s">
        <v>446</v>
      </c>
      <c r="M4234">
        <v>2312</v>
      </c>
    </row>
    <row r="4235" spans="1:14">
      <c r="A4235">
        <v>18250000</v>
      </c>
      <c r="B4235">
        <v>3005032</v>
      </c>
      <c r="C4235" t="s">
        <v>2365</v>
      </c>
      <c r="D4235" t="s">
        <v>441</v>
      </c>
      <c r="F4235">
        <v>0</v>
      </c>
      <c r="G4235">
        <v>6.32</v>
      </c>
      <c r="H4235" t="s">
        <v>8549</v>
      </c>
      <c r="I4235">
        <v>6</v>
      </c>
      <c r="J4235" t="s">
        <v>445</v>
      </c>
      <c r="K4235" t="s">
        <v>446</v>
      </c>
      <c r="M4235">
        <v>0</v>
      </c>
    </row>
    <row r="4236" spans="1:14">
      <c r="A4236">
        <v>18250076</v>
      </c>
      <c r="B4236">
        <v>4008718</v>
      </c>
      <c r="C4236" t="s">
        <v>2366</v>
      </c>
      <c r="D4236" t="s">
        <v>441</v>
      </c>
      <c r="F4236">
        <v>0</v>
      </c>
      <c r="G4236">
        <v>6.44</v>
      </c>
      <c r="H4236" t="s">
        <v>8588</v>
      </c>
      <c r="I4236">
        <v>6</v>
      </c>
      <c r="J4236" t="s">
        <v>462</v>
      </c>
      <c r="K4236" t="s">
        <v>446</v>
      </c>
      <c r="M4236">
        <v>2641</v>
      </c>
    </row>
    <row r="4237" spans="1:14">
      <c r="A4237">
        <v>18253000</v>
      </c>
      <c r="B4237">
        <v>3009476</v>
      </c>
      <c r="C4237" t="s">
        <v>2367</v>
      </c>
      <c r="D4237" t="s">
        <v>441</v>
      </c>
      <c r="F4237">
        <v>0</v>
      </c>
      <c r="G4237">
        <v>6.33</v>
      </c>
      <c r="H4237" t="s">
        <v>8583</v>
      </c>
      <c r="I4237">
        <v>6</v>
      </c>
      <c r="J4237" t="s">
        <v>445</v>
      </c>
      <c r="K4237" t="s">
        <v>446</v>
      </c>
      <c r="M4237">
        <v>2390</v>
      </c>
    </row>
    <row r="4238" spans="1:14">
      <c r="A4238">
        <v>18270000</v>
      </c>
      <c r="B4238">
        <v>3015908</v>
      </c>
      <c r="C4238" t="s">
        <v>17419</v>
      </c>
      <c r="D4238" t="s">
        <v>441</v>
      </c>
      <c r="F4238">
        <v>0</v>
      </c>
      <c r="G4238">
        <v>17.53</v>
      </c>
      <c r="I4238">
        <v>6</v>
      </c>
      <c r="J4238" t="s">
        <v>445</v>
      </c>
      <c r="M4238">
        <v>2391</v>
      </c>
      <c r="N4238" t="s">
        <v>16034</v>
      </c>
    </row>
    <row r="4239" spans="1:14">
      <c r="A4239">
        <v>18270002</v>
      </c>
      <c r="B4239">
        <v>3007801</v>
      </c>
      <c r="C4239" t="s">
        <v>10355</v>
      </c>
      <c r="D4239" t="s">
        <v>441</v>
      </c>
      <c r="F4239">
        <v>0</v>
      </c>
      <c r="G4239">
        <v>11.83</v>
      </c>
      <c r="I4239">
        <v>365</v>
      </c>
      <c r="J4239" t="s">
        <v>445</v>
      </c>
      <c r="K4239" t="s">
        <v>446</v>
      </c>
      <c r="M4239">
        <v>2501</v>
      </c>
    </row>
    <row r="4240" spans="1:14">
      <c r="A4240">
        <v>18270007</v>
      </c>
      <c r="B4240">
        <v>3026926</v>
      </c>
      <c r="C4240" t="s">
        <v>2368</v>
      </c>
      <c r="D4240" t="s">
        <v>441</v>
      </c>
      <c r="F4240">
        <v>0</v>
      </c>
      <c r="G4240">
        <v>13.83</v>
      </c>
      <c r="H4240" t="s">
        <v>8588</v>
      </c>
      <c r="I4240">
        <v>6</v>
      </c>
      <c r="J4240" t="s">
        <v>445</v>
      </c>
      <c r="M4240">
        <v>3111</v>
      </c>
      <c r="N4240" t="s">
        <v>16034</v>
      </c>
    </row>
    <row r="4241" spans="1:14">
      <c r="A4241">
        <v>18270502</v>
      </c>
      <c r="B4241">
        <v>3007802</v>
      </c>
      <c r="C4241" t="s">
        <v>10356</v>
      </c>
      <c r="D4241" t="s">
        <v>441</v>
      </c>
      <c r="F4241">
        <v>0</v>
      </c>
      <c r="G4241">
        <v>11.43</v>
      </c>
      <c r="H4241" t="s">
        <v>8580</v>
      </c>
      <c r="I4241">
        <v>6</v>
      </c>
      <c r="J4241" t="s">
        <v>445</v>
      </c>
      <c r="K4241" t="s">
        <v>446</v>
      </c>
      <c r="M4241">
        <v>2641</v>
      </c>
    </row>
    <row r="4242" spans="1:14">
      <c r="A4242">
        <v>18270907</v>
      </c>
      <c r="B4242">
        <v>3027056</v>
      </c>
      <c r="C4242" t="s">
        <v>2369</v>
      </c>
      <c r="D4242" t="s">
        <v>441</v>
      </c>
      <c r="F4242">
        <v>0</v>
      </c>
      <c r="H4242" t="s">
        <v>8584</v>
      </c>
      <c r="I4242">
        <v>6</v>
      </c>
      <c r="J4242" t="s">
        <v>445</v>
      </c>
      <c r="M4242">
        <v>6666</v>
      </c>
      <c r="N4242" t="s">
        <v>16034</v>
      </c>
    </row>
    <row r="4243" spans="1:14">
      <c r="A4243">
        <v>18271000</v>
      </c>
      <c r="B4243">
        <v>3017742</v>
      </c>
      <c r="C4243" t="s">
        <v>17420</v>
      </c>
      <c r="D4243" t="s">
        <v>441</v>
      </c>
      <c r="F4243">
        <v>0</v>
      </c>
      <c r="G4243">
        <v>17.53</v>
      </c>
      <c r="H4243" t="s">
        <v>8588</v>
      </c>
      <c r="I4243">
        <v>6</v>
      </c>
      <c r="J4243" t="s">
        <v>445</v>
      </c>
      <c r="M4243">
        <v>2391</v>
      </c>
      <c r="N4243" t="s">
        <v>16034</v>
      </c>
    </row>
    <row r="4244" spans="1:14">
      <c r="A4244">
        <v>18274000</v>
      </c>
      <c r="B4244">
        <v>3042650</v>
      </c>
      <c r="C4244" t="s">
        <v>2370</v>
      </c>
      <c r="D4244" t="s">
        <v>441</v>
      </c>
      <c r="F4244">
        <v>0</v>
      </c>
      <c r="G4244">
        <v>15.65</v>
      </c>
      <c r="H4244" t="s">
        <v>8580</v>
      </c>
      <c r="I4244">
        <v>6</v>
      </c>
      <c r="J4244" t="s">
        <v>445</v>
      </c>
      <c r="M4244">
        <v>2391</v>
      </c>
      <c r="N4244" t="s">
        <v>16034</v>
      </c>
    </row>
    <row r="4245" spans="1:14">
      <c r="A4245">
        <v>18274007</v>
      </c>
      <c r="B4245">
        <v>3042651</v>
      </c>
      <c r="C4245" t="s">
        <v>2371</v>
      </c>
      <c r="D4245" t="s">
        <v>441</v>
      </c>
      <c r="F4245">
        <v>0</v>
      </c>
      <c r="G4245">
        <v>13.92</v>
      </c>
      <c r="H4245" t="s">
        <v>8588</v>
      </c>
      <c r="I4245">
        <v>6</v>
      </c>
      <c r="J4245" t="s">
        <v>445</v>
      </c>
      <c r="M4245">
        <v>3111</v>
      </c>
      <c r="N4245" t="s">
        <v>16034</v>
      </c>
    </row>
    <row r="4246" spans="1:14">
      <c r="A4246">
        <v>18274907</v>
      </c>
      <c r="B4246">
        <v>3042653</v>
      </c>
      <c r="C4246" t="s">
        <v>2372</v>
      </c>
      <c r="D4246" t="s">
        <v>441</v>
      </c>
      <c r="F4246">
        <v>0</v>
      </c>
      <c r="G4246">
        <v>1</v>
      </c>
      <c r="H4246" t="s">
        <v>8588</v>
      </c>
      <c r="I4246">
        <v>6</v>
      </c>
      <c r="J4246" t="s">
        <v>445</v>
      </c>
      <c r="M4246">
        <v>6666</v>
      </c>
      <c r="N4246" t="s">
        <v>16034</v>
      </c>
    </row>
    <row r="4247" spans="1:14">
      <c r="A4247">
        <v>18280000</v>
      </c>
      <c r="B4247">
        <v>3005024</v>
      </c>
      <c r="C4247" t="s">
        <v>10357</v>
      </c>
      <c r="D4247" t="s">
        <v>441</v>
      </c>
      <c r="F4247">
        <v>0</v>
      </c>
      <c r="G4247">
        <v>11.13</v>
      </c>
      <c r="H4247" t="s">
        <v>8634</v>
      </c>
      <c r="I4247">
        <v>6</v>
      </c>
      <c r="J4247" t="s">
        <v>445</v>
      </c>
      <c r="K4247" t="s">
        <v>446</v>
      </c>
      <c r="M4247">
        <v>0</v>
      </c>
    </row>
    <row r="4248" spans="1:14">
      <c r="A4248">
        <v>18290000</v>
      </c>
      <c r="B4248">
        <v>3007803</v>
      </c>
      <c r="C4248" t="s">
        <v>10358</v>
      </c>
      <c r="D4248" t="s">
        <v>441</v>
      </c>
      <c r="F4248">
        <v>0</v>
      </c>
      <c r="G4248">
        <v>10.26</v>
      </c>
      <c r="H4248" t="s">
        <v>8580</v>
      </c>
      <c r="I4248">
        <v>6</v>
      </c>
      <c r="J4248" t="s">
        <v>445</v>
      </c>
      <c r="K4248" t="s">
        <v>446</v>
      </c>
      <c r="M4248">
        <v>0</v>
      </c>
    </row>
    <row r="4249" spans="1:14">
      <c r="A4249">
        <v>18300000</v>
      </c>
      <c r="B4249">
        <v>3026719</v>
      </c>
      <c r="C4249" t="s">
        <v>2373</v>
      </c>
      <c r="D4249" t="s">
        <v>441</v>
      </c>
      <c r="F4249">
        <v>0</v>
      </c>
      <c r="G4249">
        <v>8.5500000000000007</v>
      </c>
      <c r="H4249" t="s">
        <v>8549</v>
      </c>
      <c r="I4249">
        <v>6</v>
      </c>
      <c r="J4249" t="s">
        <v>445</v>
      </c>
      <c r="M4249">
        <v>2391</v>
      </c>
      <c r="N4249" t="s">
        <v>16034</v>
      </c>
    </row>
    <row r="4250" spans="1:14">
      <c r="A4250">
        <v>18300007</v>
      </c>
      <c r="B4250">
        <v>3026978</v>
      </c>
      <c r="C4250" t="s">
        <v>2374</v>
      </c>
      <c r="D4250" t="s">
        <v>441</v>
      </c>
      <c r="F4250">
        <v>0</v>
      </c>
      <c r="G4250">
        <v>13.34</v>
      </c>
      <c r="H4250" t="s">
        <v>8588</v>
      </c>
      <c r="I4250">
        <v>6</v>
      </c>
      <c r="J4250" t="s">
        <v>445</v>
      </c>
      <c r="K4250" t="s">
        <v>446</v>
      </c>
      <c r="M4250">
        <v>3111</v>
      </c>
      <c r="N4250" t="s">
        <v>16034</v>
      </c>
    </row>
    <row r="4251" spans="1:14">
      <c r="A4251">
        <v>18300018</v>
      </c>
      <c r="B4251">
        <v>3029614</v>
      </c>
      <c r="C4251" t="s">
        <v>2375</v>
      </c>
      <c r="D4251" t="s">
        <v>441</v>
      </c>
      <c r="F4251">
        <v>0</v>
      </c>
      <c r="G4251">
        <v>14.25</v>
      </c>
      <c r="H4251" t="s">
        <v>8588</v>
      </c>
      <c r="I4251">
        <v>540</v>
      </c>
      <c r="J4251" t="s">
        <v>445</v>
      </c>
      <c r="M4251">
        <v>7111</v>
      </c>
      <c r="N4251" t="s">
        <v>16034</v>
      </c>
    </row>
    <row r="4252" spans="1:14">
      <c r="A4252">
        <v>18300075</v>
      </c>
      <c r="B4252">
        <v>3026979</v>
      </c>
      <c r="C4252" t="s">
        <v>2376</v>
      </c>
      <c r="D4252" t="s">
        <v>441</v>
      </c>
      <c r="F4252">
        <v>0</v>
      </c>
      <c r="G4252">
        <v>8.68</v>
      </c>
      <c r="H4252" t="s">
        <v>8588</v>
      </c>
      <c r="I4252">
        <v>6</v>
      </c>
      <c r="J4252" t="s">
        <v>445</v>
      </c>
      <c r="M4252">
        <v>7112</v>
      </c>
      <c r="N4252" t="s">
        <v>16034</v>
      </c>
    </row>
    <row r="4253" spans="1:14">
      <c r="A4253">
        <v>18300518</v>
      </c>
      <c r="B4253">
        <v>3029615</v>
      </c>
      <c r="C4253" t="s">
        <v>2377</v>
      </c>
      <c r="D4253" t="s">
        <v>441</v>
      </c>
      <c r="F4253">
        <v>0</v>
      </c>
      <c r="G4253">
        <v>8.64</v>
      </c>
      <c r="H4253" t="s">
        <v>8588</v>
      </c>
      <c r="I4253">
        <v>540</v>
      </c>
      <c r="J4253" t="s">
        <v>445</v>
      </c>
      <c r="M4253">
        <v>2502</v>
      </c>
      <c r="N4253" t="s">
        <v>16034</v>
      </c>
    </row>
    <row r="4254" spans="1:14">
      <c r="A4254">
        <v>18300907</v>
      </c>
      <c r="B4254">
        <v>3027029</v>
      </c>
      <c r="C4254" t="s">
        <v>2378</v>
      </c>
      <c r="D4254" t="s">
        <v>441</v>
      </c>
      <c r="F4254">
        <v>0</v>
      </c>
      <c r="G4254">
        <v>9.84</v>
      </c>
      <c r="H4254" t="s">
        <v>8584</v>
      </c>
      <c r="I4254">
        <v>6</v>
      </c>
      <c r="J4254" t="s">
        <v>445</v>
      </c>
      <c r="M4254">
        <v>6666</v>
      </c>
      <c r="N4254" t="s">
        <v>16034</v>
      </c>
    </row>
    <row r="4255" spans="1:14">
      <c r="A4255">
        <v>18310000</v>
      </c>
      <c r="B4255">
        <v>3027042</v>
      </c>
      <c r="C4255" t="s">
        <v>2379</v>
      </c>
      <c r="D4255" t="s">
        <v>441</v>
      </c>
      <c r="F4255">
        <v>0</v>
      </c>
      <c r="G4255">
        <v>13.68</v>
      </c>
      <c r="H4255" t="s">
        <v>8549</v>
      </c>
      <c r="I4255">
        <v>6</v>
      </c>
      <c r="J4255" t="s">
        <v>445</v>
      </c>
      <c r="M4255">
        <v>2391</v>
      </c>
      <c r="N4255" t="s">
        <v>16034</v>
      </c>
    </row>
    <row r="4256" spans="1:14">
      <c r="A4256">
        <v>18310002</v>
      </c>
      <c r="B4256">
        <v>3027035</v>
      </c>
      <c r="C4256" t="s">
        <v>2380</v>
      </c>
      <c r="D4256" t="s">
        <v>441</v>
      </c>
      <c r="F4256">
        <v>0</v>
      </c>
      <c r="G4256">
        <v>13.29</v>
      </c>
      <c r="H4256" t="s">
        <v>8588</v>
      </c>
      <c r="I4256">
        <v>540</v>
      </c>
      <c r="J4256" t="s">
        <v>445</v>
      </c>
      <c r="K4256" t="s">
        <v>446</v>
      </c>
      <c r="M4256">
        <v>2501</v>
      </c>
      <c r="N4256" t="s">
        <v>16034</v>
      </c>
    </row>
    <row r="4257" spans="1:14">
      <c r="A4257">
        <v>18310007</v>
      </c>
      <c r="B4257">
        <v>3027043</v>
      </c>
      <c r="C4257" t="s">
        <v>2381</v>
      </c>
      <c r="D4257" t="s">
        <v>441</v>
      </c>
      <c r="F4257">
        <v>0</v>
      </c>
      <c r="G4257">
        <v>13.01</v>
      </c>
      <c r="H4257" t="s">
        <v>8588</v>
      </c>
      <c r="I4257">
        <v>6</v>
      </c>
      <c r="J4257" t="s">
        <v>445</v>
      </c>
      <c r="K4257" t="s">
        <v>446</v>
      </c>
      <c r="M4257">
        <v>3111</v>
      </c>
      <c r="N4257" t="s">
        <v>16034</v>
      </c>
    </row>
    <row r="4258" spans="1:14">
      <c r="A4258">
        <v>18310075</v>
      </c>
      <c r="B4258">
        <v>3029663</v>
      </c>
      <c r="C4258" t="s">
        <v>2382</v>
      </c>
      <c r="D4258" t="s">
        <v>441</v>
      </c>
      <c r="F4258">
        <v>0</v>
      </c>
      <c r="G4258">
        <v>8.69</v>
      </c>
      <c r="H4258" t="s">
        <v>8588</v>
      </c>
      <c r="I4258">
        <v>6</v>
      </c>
      <c r="J4258" t="s">
        <v>445</v>
      </c>
      <c r="M4258">
        <v>7112</v>
      </c>
      <c r="N4258" t="s">
        <v>16034</v>
      </c>
    </row>
    <row r="4259" spans="1:14">
      <c r="A4259">
        <v>18310502</v>
      </c>
      <c r="B4259">
        <v>3027036</v>
      </c>
      <c r="C4259" t="s">
        <v>2383</v>
      </c>
      <c r="D4259" t="s">
        <v>441</v>
      </c>
      <c r="F4259">
        <v>0</v>
      </c>
      <c r="G4259">
        <v>13</v>
      </c>
      <c r="H4259" t="s">
        <v>8588</v>
      </c>
      <c r="I4259">
        <v>6</v>
      </c>
      <c r="J4259" t="s">
        <v>445</v>
      </c>
      <c r="K4259" t="s">
        <v>446</v>
      </c>
      <c r="M4259">
        <v>2511</v>
      </c>
      <c r="N4259" t="s">
        <v>16034</v>
      </c>
    </row>
    <row r="4260" spans="1:14">
      <c r="A4260">
        <v>18310602</v>
      </c>
      <c r="B4260">
        <v>3027037</v>
      </c>
      <c r="C4260" t="s">
        <v>2384</v>
      </c>
      <c r="D4260" t="s">
        <v>441</v>
      </c>
      <c r="F4260">
        <v>0</v>
      </c>
      <c r="G4260">
        <v>13.66</v>
      </c>
      <c r="H4260" t="s">
        <v>8588</v>
      </c>
      <c r="I4260">
        <v>4</v>
      </c>
      <c r="J4260" t="s">
        <v>445</v>
      </c>
      <c r="K4260" t="s">
        <v>446</v>
      </c>
      <c r="M4260">
        <v>2511</v>
      </c>
      <c r="N4260" t="s">
        <v>16034</v>
      </c>
    </row>
    <row r="4261" spans="1:14">
      <c r="A4261">
        <v>18310902</v>
      </c>
      <c r="B4261">
        <v>3027110</v>
      </c>
      <c r="C4261" t="s">
        <v>2385</v>
      </c>
      <c r="D4261" t="s">
        <v>441</v>
      </c>
      <c r="F4261">
        <v>0</v>
      </c>
      <c r="H4261" t="s">
        <v>8580</v>
      </c>
      <c r="I4261">
        <v>4</v>
      </c>
      <c r="J4261" t="s">
        <v>445</v>
      </c>
      <c r="K4261" t="s">
        <v>446</v>
      </c>
      <c r="M4261">
        <v>6666</v>
      </c>
      <c r="N4261" t="s">
        <v>16034</v>
      </c>
    </row>
    <row r="4262" spans="1:14">
      <c r="A4262">
        <v>18310907</v>
      </c>
      <c r="B4262">
        <v>3026923</v>
      </c>
      <c r="C4262" t="s">
        <v>2386</v>
      </c>
      <c r="D4262" t="s">
        <v>441</v>
      </c>
      <c r="F4262">
        <v>0</v>
      </c>
      <c r="H4262" t="s">
        <v>8584</v>
      </c>
      <c r="I4262">
        <v>6</v>
      </c>
      <c r="J4262" t="s">
        <v>445</v>
      </c>
      <c r="K4262" t="s">
        <v>446</v>
      </c>
      <c r="M4262">
        <v>6666</v>
      </c>
      <c r="N4262" t="s">
        <v>16034</v>
      </c>
    </row>
    <row r="4263" spans="1:14">
      <c r="A4263">
        <v>18320000</v>
      </c>
      <c r="B4263">
        <v>3038492</v>
      </c>
      <c r="C4263" t="s">
        <v>2387</v>
      </c>
      <c r="D4263" t="s">
        <v>441</v>
      </c>
      <c r="F4263">
        <v>0</v>
      </c>
      <c r="G4263">
        <v>9.1999999999999993</v>
      </c>
      <c r="H4263" t="s">
        <v>8549</v>
      </c>
      <c r="I4263">
        <v>6</v>
      </c>
      <c r="J4263" t="s">
        <v>445</v>
      </c>
      <c r="M4263">
        <v>2391</v>
      </c>
      <c r="N4263" t="s">
        <v>16164</v>
      </c>
    </row>
    <row r="4264" spans="1:14">
      <c r="A4264">
        <v>18320040</v>
      </c>
      <c r="B4264">
        <v>4025862</v>
      </c>
      <c r="C4264" t="s">
        <v>2388</v>
      </c>
      <c r="D4264" t="s">
        <v>441</v>
      </c>
      <c r="F4264">
        <v>0</v>
      </c>
      <c r="G4264">
        <v>9.73</v>
      </c>
      <c r="H4264" t="s">
        <v>8588</v>
      </c>
      <c r="I4264">
        <v>16</v>
      </c>
      <c r="J4264" t="s">
        <v>462</v>
      </c>
      <c r="M4264">
        <v>7112</v>
      </c>
      <c r="N4264" t="s">
        <v>16164</v>
      </c>
    </row>
    <row r="4265" spans="1:14">
      <c r="A4265">
        <v>18330000</v>
      </c>
      <c r="B4265">
        <v>3038493</v>
      </c>
      <c r="C4265" t="s">
        <v>2389</v>
      </c>
      <c r="D4265" t="s">
        <v>441</v>
      </c>
      <c r="F4265">
        <v>0</v>
      </c>
      <c r="G4265">
        <v>9.1999999999999993</v>
      </c>
      <c r="H4265" t="s">
        <v>8549</v>
      </c>
      <c r="I4265">
        <v>6</v>
      </c>
      <c r="J4265" t="s">
        <v>445</v>
      </c>
      <c r="M4265">
        <v>2391</v>
      </c>
      <c r="N4265" t="s">
        <v>16165</v>
      </c>
    </row>
    <row r="4266" spans="1:14">
      <c r="A4266">
        <v>18330040</v>
      </c>
      <c r="B4266">
        <v>4025863</v>
      </c>
      <c r="C4266" t="s">
        <v>2390</v>
      </c>
      <c r="D4266" t="s">
        <v>441</v>
      </c>
      <c r="F4266">
        <v>0</v>
      </c>
      <c r="G4266">
        <v>9.73</v>
      </c>
      <c r="H4266" t="s">
        <v>8588</v>
      </c>
      <c r="I4266">
        <v>16</v>
      </c>
      <c r="J4266" t="s">
        <v>462</v>
      </c>
      <c r="M4266">
        <v>7112</v>
      </c>
      <c r="N4266" t="s">
        <v>16165</v>
      </c>
    </row>
    <row r="4267" spans="1:14">
      <c r="A4267">
        <v>18340000</v>
      </c>
      <c r="B4267">
        <v>3038494</v>
      </c>
      <c r="C4267" t="s">
        <v>2391</v>
      </c>
      <c r="D4267" t="s">
        <v>441</v>
      </c>
      <c r="F4267">
        <v>0</v>
      </c>
      <c r="G4267">
        <v>9.1999999999999993</v>
      </c>
      <c r="H4267" t="s">
        <v>8549</v>
      </c>
      <c r="I4267">
        <v>6</v>
      </c>
      <c r="J4267" t="s">
        <v>445</v>
      </c>
      <c r="M4267">
        <v>2391</v>
      </c>
      <c r="N4267" t="s">
        <v>16166</v>
      </c>
    </row>
    <row r="4268" spans="1:14">
      <c r="A4268">
        <v>18340040</v>
      </c>
      <c r="B4268">
        <v>4025864</v>
      </c>
      <c r="C4268" t="s">
        <v>2392</v>
      </c>
      <c r="D4268" t="s">
        <v>441</v>
      </c>
      <c r="F4268">
        <v>0</v>
      </c>
      <c r="G4268">
        <v>9.73</v>
      </c>
      <c r="H4268" t="s">
        <v>8588</v>
      </c>
      <c r="I4268">
        <v>16</v>
      </c>
      <c r="J4268" t="s">
        <v>462</v>
      </c>
      <c r="M4268">
        <v>7112</v>
      </c>
      <c r="N4268" t="s">
        <v>16166</v>
      </c>
    </row>
    <row r="4269" spans="1:14">
      <c r="A4269">
        <v>18630000</v>
      </c>
      <c r="B4269">
        <v>3016873</v>
      </c>
      <c r="C4269" t="s">
        <v>2393</v>
      </c>
      <c r="D4269" t="s">
        <v>441</v>
      </c>
      <c r="F4269">
        <v>0</v>
      </c>
      <c r="G4269">
        <v>5.8</v>
      </c>
      <c r="H4269" t="s">
        <v>8580</v>
      </c>
      <c r="I4269">
        <v>6</v>
      </c>
      <c r="J4269" t="s">
        <v>445</v>
      </c>
      <c r="M4269">
        <v>6666</v>
      </c>
      <c r="N4269" t="s">
        <v>16141</v>
      </c>
    </row>
    <row r="4270" spans="1:14">
      <c r="A4270">
        <v>18640000</v>
      </c>
      <c r="B4270">
        <v>3015874</v>
      </c>
      <c r="C4270" t="s">
        <v>2394</v>
      </c>
      <c r="D4270" t="s">
        <v>441</v>
      </c>
      <c r="F4270">
        <v>0</v>
      </c>
      <c r="G4270">
        <v>5.8</v>
      </c>
      <c r="H4270" t="s">
        <v>8549</v>
      </c>
      <c r="I4270">
        <v>6</v>
      </c>
      <c r="J4270" t="s">
        <v>445</v>
      </c>
      <c r="M4270">
        <v>2391</v>
      </c>
      <c r="N4270" t="s">
        <v>16141</v>
      </c>
    </row>
    <row r="4271" spans="1:14">
      <c r="A4271">
        <v>18640007</v>
      </c>
      <c r="B4271">
        <v>3034736</v>
      </c>
      <c r="C4271" t="s">
        <v>2395</v>
      </c>
      <c r="D4271" t="s">
        <v>441</v>
      </c>
      <c r="F4271">
        <v>0</v>
      </c>
      <c r="G4271">
        <v>5.9</v>
      </c>
      <c r="H4271" t="s">
        <v>8588</v>
      </c>
      <c r="I4271">
        <v>6</v>
      </c>
      <c r="J4271" t="s">
        <v>445</v>
      </c>
      <c r="M4271">
        <v>2391</v>
      </c>
      <c r="N4271" t="s">
        <v>16141</v>
      </c>
    </row>
    <row r="4272" spans="1:14">
      <c r="A4272">
        <v>18640075</v>
      </c>
      <c r="B4272">
        <v>4021500</v>
      </c>
      <c r="C4272" t="s">
        <v>2396</v>
      </c>
      <c r="D4272" t="s">
        <v>441</v>
      </c>
      <c r="F4272">
        <v>0</v>
      </c>
      <c r="G4272">
        <v>6.02</v>
      </c>
      <c r="H4272" t="s">
        <v>8588</v>
      </c>
      <c r="I4272">
        <v>6</v>
      </c>
      <c r="J4272" t="s">
        <v>462</v>
      </c>
      <c r="M4272">
        <v>7112</v>
      </c>
      <c r="N4272" t="s">
        <v>16141</v>
      </c>
    </row>
    <row r="4273" spans="1:14">
      <c r="A4273">
        <v>18640080</v>
      </c>
      <c r="B4273">
        <v>3007804</v>
      </c>
      <c r="C4273" t="s">
        <v>2397</v>
      </c>
      <c r="D4273" t="s">
        <v>441</v>
      </c>
      <c r="F4273">
        <v>0</v>
      </c>
      <c r="G4273">
        <v>8.5</v>
      </c>
      <c r="H4273" t="s">
        <v>8588</v>
      </c>
      <c r="I4273">
        <v>6</v>
      </c>
      <c r="J4273" t="s">
        <v>445</v>
      </c>
      <c r="K4273" t="s">
        <v>446</v>
      </c>
      <c r="M4273">
        <v>2641</v>
      </c>
      <c r="N4273" t="s">
        <v>16141</v>
      </c>
    </row>
    <row r="4274" spans="1:14">
      <c r="A4274">
        <v>18640081</v>
      </c>
      <c r="B4274">
        <v>4025244</v>
      </c>
      <c r="C4274" t="s">
        <v>2398</v>
      </c>
      <c r="D4274" t="s">
        <v>441</v>
      </c>
      <c r="F4274">
        <v>0</v>
      </c>
      <c r="G4274">
        <v>5.96</v>
      </c>
      <c r="H4274" t="s">
        <v>8588</v>
      </c>
      <c r="I4274">
        <v>6</v>
      </c>
      <c r="J4274" t="s">
        <v>462</v>
      </c>
      <c r="M4274">
        <v>7112</v>
      </c>
      <c r="N4274" t="s">
        <v>16141</v>
      </c>
    </row>
    <row r="4275" spans="1:14">
      <c r="A4275">
        <v>18640087</v>
      </c>
      <c r="B4275">
        <v>3002583</v>
      </c>
      <c r="C4275" t="s">
        <v>10359</v>
      </c>
      <c r="D4275" t="s">
        <v>441</v>
      </c>
      <c r="F4275">
        <v>0</v>
      </c>
      <c r="G4275">
        <v>8.4700000000000006</v>
      </c>
      <c r="H4275" t="s">
        <v>8588</v>
      </c>
      <c r="I4275">
        <v>6</v>
      </c>
      <c r="J4275" t="s">
        <v>445</v>
      </c>
      <c r="K4275" t="s">
        <v>446</v>
      </c>
      <c r="M4275">
        <v>2641</v>
      </c>
      <c r="N4275" t="s">
        <v>16141</v>
      </c>
    </row>
    <row r="4276" spans="1:14">
      <c r="A4276">
        <v>18640090</v>
      </c>
      <c r="B4276">
        <v>3018422</v>
      </c>
      <c r="C4276" t="s">
        <v>2399</v>
      </c>
      <c r="D4276" t="s">
        <v>441</v>
      </c>
      <c r="F4276">
        <v>0</v>
      </c>
      <c r="G4276">
        <v>5.92</v>
      </c>
      <c r="H4276" t="s">
        <v>8588</v>
      </c>
      <c r="I4276">
        <v>6</v>
      </c>
      <c r="J4276" t="s">
        <v>445</v>
      </c>
      <c r="M4276">
        <v>7112</v>
      </c>
      <c r="N4276" t="s">
        <v>16141</v>
      </c>
    </row>
    <row r="4277" spans="1:14">
      <c r="A4277">
        <v>18640100</v>
      </c>
      <c r="B4277">
        <v>3034053</v>
      </c>
      <c r="C4277" t="s">
        <v>2400</v>
      </c>
      <c r="D4277" t="s">
        <v>441</v>
      </c>
      <c r="F4277">
        <v>0</v>
      </c>
      <c r="H4277" t="s">
        <v>8588</v>
      </c>
      <c r="I4277">
        <v>6</v>
      </c>
      <c r="J4277" t="s">
        <v>445</v>
      </c>
      <c r="M4277">
        <v>7161</v>
      </c>
      <c r="N4277" t="s">
        <v>16141</v>
      </c>
    </row>
    <row r="4278" spans="1:14">
      <c r="A4278">
        <v>18640110</v>
      </c>
      <c r="B4278">
        <v>3033933</v>
      </c>
      <c r="C4278" t="s">
        <v>2400</v>
      </c>
      <c r="D4278" t="s">
        <v>441</v>
      </c>
      <c r="F4278">
        <v>0</v>
      </c>
      <c r="H4278" t="s">
        <v>8588</v>
      </c>
      <c r="I4278">
        <v>6</v>
      </c>
      <c r="J4278" t="s">
        <v>445</v>
      </c>
      <c r="M4278">
        <v>7161</v>
      </c>
      <c r="N4278" t="s">
        <v>16141</v>
      </c>
    </row>
    <row r="4279" spans="1:14">
      <c r="A4279">
        <v>18640120</v>
      </c>
      <c r="B4279">
        <v>3033935</v>
      </c>
      <c r="C4279" t="s">
        <v>2401</v>
      </c>
      <c r="D4279" t="s">
        <v>441</v>
      </c>
      <c r="F4279">
        <v>0</v>
      </c>
      <c r="H4279" t="s">
        <v>8588</v>
      </c>
      <c r="I4279">
        <v>6</v>
      </c>
      <c r="J4279" t="s">
        <v>445</v>
      </c>
      <c r="M4279">
        <v>7161</v>
      </c>
      <c r="N4279" t="s">
        <v>16141</v>
      </c>
    </row>
    <row r="4280" spans="1:14">
      <c r="A4280">
        <v>18640130</v>
      </c>
      <c r="B4280">
        <v>3035386</v>
      </c>
      <c r="C4280" t="s">
        <v>2402</v>
      </c>
      <c r="D4280" t="s">
        <v>441</v>
      </c>
      <c r="F4280">
        <v>0</v>
      </c>
      <c r="H4280" t="s">
        <v>8588</v>
      </c>
      <c r="I4280">
        <v>6</v>
      </c>
      <c r="J4280" t="s">
        <v>445</v>
      </c>
      <c r="M4280">
        <v>7161</v>
      </c>
      <c r="N4280" t="s">
        <v>16141</v>
      </c>
    </row>
    <row r="4281" spans="1:14">
      <c r="A4281">
        <v>18640140</v>
      </c>
      <c r="B4281">
        <v>3035802</v>
      </c>
      <c r="C4281" t="s">
        <v>2403</v>
      </c>
      <c r="D4281" t="s">
        <v>441</v>
      </c>
      <c r="F4281">
        <v>0</v>
      </c>
      <c r="H4281" t="s">
        <v>8588</v>
      </c>
      <c r="I4281">
        <v>6</v>
      </c>
      <c r="J4281" t="s">
        <v>445</v>
      </c>
      <c r="M4281">
        <v>7161</v>
      </c>
      <c r="N4281" t="s">
        <v>16141</v>
      </c>
    </row>
    <row r="4282" spans="1:14">
      <c r="A4282">
        <v>18640150</v>
      </c>
      <c r="B4282">
        <v>3035602</v>
      </c>
      <c r="C4282" t="s">
        <v>2404</v>
      </c>
      <c r="D4282" t="s">
        <v>441</v>
      </c>
      <c r="F4282">
        <v>0</v>
      </c>
      <c r="H4282" t="s">
        <v>8588</v>
      </c>
      <c r="I4282">
        <v>6</v>
      </c>
      <c r="J4282" t="s">
        <v>445</v>
      </c>
      <c r="M4282">
        <v>7161</v>
      </c>
      <c r="N4282" t="s">
        <v>16141</v>
      </c>
    </row>
    <row r="4283" spans="1:14">
      <c r="A4283">
        <v>18641017</v>
      </c>
      <c r="B4283">
        <v>3040071</v>
      </c>
      <c r="C4283" t="s">
        <v>332</v>
      </c>
      <c r="D4283" t="s">
        <v>441</v>
      </c>
      <c r="F4283">
        <v>0</v>
      </c>
      <c r="G4283">
        <v>6.65</v>
      </c>
      <c r="H4283" t="s">
        <v>8588</v>
      </c>
      <c r="I4283">
        <v>6</v>
      </c>
      <c r="J4283" t="s">
        <v>445</v>
      </c>
      <c r="M4283">
        <v>7161</v>
      </c>
      <c r="N4283" t="s">
        <v>16141</v>
      </c>
    </row>
    <row r="4284" spans="1:14">
      <c r="A4284">
        <v>18641090</v>
      </c>
      <c r="B4284">
        <v>3018421</v>
      </c>
      <c r="C4284" t="s">
        <v>2405</v>
      </c>
      <c r="D4284" t="s">
        <v>441</v>
      </c>
      <c r="F4284">
        <v>0</v>
      </c>
      <c r="G4284">
        <v>7</v>
      </c>
      <c r="H4284" t="s">
        <v>8588</v>
      </c>
      <c r="I4284">
        <v>6</v>
      </c>
      <c r="J4284" t="s">
        <v>445</v>
      </c>
      <c r="K4284" t="s">
        <v>446</v>
      </c>
      <c r="M4284">
        <v>2641</v>
      </c>
    </row>
    <row r="4285" spans="1:14">
      <c r="A4285">
        <v>18643000</v>
      </c>
      <c r="B4285">
        <v>3018398</v>
      </c>
      <c r="C4285" t="s">
        <v>2406</v>
      </c>
      <c r="D4285" t="s">
        <v>441</v>
      </c>
      <c r="F4285">
        <v>0</v>
      </c>
      <c r="G4285">
        <v>5.8</v>
      </c>
      <c r="I4285">
        <v>6</v>
      </c>
      <c r="J4285" t="s">
        <v>445</v>
      </c>
      <c r="M4285">
        <v>2391</v>
      </c>
      <c r="N4285" t="s">
        <v>16141</v>
      </c>
    </row>
    <row r="4286" spans="1:14">
      <c r="A4286">
        <v>18646000</v>
      </c>
      <c r="B4286">
        <v>3018420</v>
      </c>
      <c r="C4286" t="s">
        <v>2407</v>
      </c>
      <c r="D4286" t="s">
        <v>441</v>
      </c>
      <c r="F4286">
        <v>0</v>
      </c>
      <c r="G4286">
        <v>6.88</v>
      </c>
      <c r="I4286">
        <v>6</v>
      </c>
      <c r="J4286" t="s">
        <v>445</v>
      </c>
      <c r="K4286" t="s">
        <v>446</v>
      </c>
      <c r="M4286">
        <v>2390</v>
      </c>
    </row>
    <row r="4287" spans="1:14">
      <c r="A4287">
        <v>18650000</v>
      </c>
      <c r="B4287">
        <v>3042649</v>
      </c>
      <c r="C4287" t="s">
        <v>2408</v>
      </c>
      <c r="D4287" t="s">
        <v>441</v>
      </c>
      <c r="F4287">
        <v>0</v>
      </c>
      <c r="G4287">
        <v>4.3600000000000003</v>
      </c>
      <c r="H4287" t="s">
        <v>8549</v>
      </c>
      <c r="I4287">
        <v>6</v>
      </c>
      <c r="J4287" t="s">
        <v>445</v>
      </c>
      <c r="M4287">
        <v>2391</v>
      </c>
      <c r="N4287" t="s">
        <v>16167</v>
      </c>
    </row>
    <row r="4288" spans="1:14">
      <c r="A4288">
        <v>18650002</v>
      </c>
      <c r="B4288">
        <v>3046089</v>
      </c>
      <c r="C4288" t="s">
        <v>17421</v>
      </c>
      <c r="D4288" t="s">
        <v>441</v>
      </c>
      <c r="F4288">
        <v>0</v>
      </c>
      <c r="G4288">
        <v>13.26</v>
      </c>
      <c r="H4288" t="s">
        <v>8588</v>
      </c>
      <c r="I4288">
        <v>540</v>
      </c>
      <c r="J4288" t="s">
        <v>445</v>
      </c>
      <c r="M4288">
        <v>7111</v>
      </c>
      <c r="N4288" t="s">
        <v>16167</v>
      </c>
    </row>
    <row r="4289" spans="1:14">
      <c r="A4289">
        <v>18650076</v>
      </c>
      <c r="B4289">
        <v>3007805</v>
      </c>
      <c r="C4289" t="s">
        <v>2409</v>
      </c>
      <c r="D4289" t="s">
        <v>441</v>
      </c>
      <c r="F4289">
        <v>0</v>
      </c>
      <c r="G4289">
        <v>6.99</v>
      </c>
      <c r="H4289" t="s">
        <v>8588</v>
      </c>
      <c r="I4289">
        <v>6</v>
      </c>
      <c r="J4289" t="s">
        <v>445</v>
      </c>
      <c r="K4289" t="s">
        <v>446</v>
      </c>
      <c r="M4289">
        <v>2641</v>
      </c>
    </row>
    <row r="4290" spans="1:14">
      <c r="A4290">
        <v>18650087</v>
      </c>
      <c r="B4290">
        <v>3002585</v>
      </c>
      <c r="C4290" t="s">
        <v>2410</v>
      </c>
      <c r="D4290" t="s">
        <v>441</v>
      </c>
      <c r="F4290">
        <v>0</v>
      </c>
      <c r="G4290">
        <v>7.01</v>
      </c>
      <c r="H4290" t="s">
        <v>8588</v>
      </c>
      <c r="I4290">
        <v>6</v>
      </c>
      <c r="J4290" t="s">
        <v>445</v>
      </c>
      <c r="K4290" t="s">
        <v>446</v>
      </c>
      <c r="M4290">
        <v>2641</v>
      </c>
    </row>
    <row r="4291" spans="1:14">
      <c r="A4291">
        <v>18650100</v>
      </c>
      <c r="B4291">
        <v>3038585</v>
      </c>
      <c r="C4291" t="s">
        <v>2411</v>
      </c>
      <c r="D4291" t="s">
        <v>441</v>
      </c>
      <c r="F4291">
        <v>0</v>
      </c>
      <c r="H4291" t="s">
        <v>8588</v>
      </c>
      <c r="I4291">
        <v>6</v>
      </c>
      <c r="J4291" t="s">
        <v>445</v>
      </c>
      <c r="M4291">
        <v>7161</v>
      </c>
      <c r="N4291" t="s">
        <v>16141</v>
      </c>
    </row>
    <row r="4292" spans="1:14">
      <c r="A4292">
        <v>18650502</v>
      </c>
      <c r="B4292">
        <v>3046078</v>
      </c>
      <c r="C4292" t="s">
        <v>17422</v>
      </c>
      <c r="D4292" t="s">
        <v>441</v>
      </c>
      <c r="F4292">
        <v>0</v>
      </c>
      <c r="G4292">
        <v>12.68</v>
      </c>
      <c r="H4292" t="s">
        <v>8588</v>
      </c>
      <c r="I4292">
        <v>6</v>
      </c>
      <c r="J4292" t="s">
        <v>445</v>
      </c>
      <c r="M4292">
        <v>2502</v>
      </c>
      <c r="N4292" t="s">
        <v>16167</v>
      </c>
    </row>
    <row r="4293" spans="1:14">
      <c r="A4293">
        <v>18650602</v>
      </c>
      <c r="B4293">
        <v>3046083</v>
      </c>
      <c r="C4293" t="s">
        <v>17423</v>
      </c>
      <c r="D4293" t="s">
        <v>441</v>
      </c>
      <c r="F4293">
        <v>0</v>
      </c>
      <c r="G4293">
        <v>13.53</v>
      </c>
      <c r="H4293" t="s">
        <v>8549</v>
      </c>
      <c r="I4293">
        <v>4</v>
      </c>
      <c r="J4293" t="s">
        <v>445</v>
      </c>
      <c r="M4293">
        <v>2510</v>
      </c>
      <c r="N4293" t="s">
        <v>16167</v>
      </c>
    </row>
    <row r="4294" spans="1:14">
      <c r="A4294">
        <v>18660000</v>
      </c>
      <c r="B4294">
        <v>3004220</v>
      </c>
      <c r="C4294" t="s">
        <v>2412</v>
      </c>
      <c r="D4294" t="s">
        <v>441</v>
      </c>
      <c r="F4294">
        <v>0</v>
      </c>
      <c r="G4294">
        <v>6.3</v>
      </c>
      <c r="H4294" t="s">
        <v>8925</v>
      </c>
      <c r="I4294">
        <v>6</v>
      </c>
      <c r="J4294" t="s">
        <v>445</v>
      </c>
      <c r="K4294" t="s">
        <v>446</v>
      </c>
      <c r="M4294">
        <v>0</v>
      </c>
    </row>
    <row r="4295" spans="1:14">
      <c r="A4295">
        <v>18660100</v>
      </c>
      <c r="B4295">
        <v>3005539</v>
      </c>
      <c r="C4295" t="s">
        <v>2413</v>
      </c>
      <c r="D4295" t="s">
        <v>441</v>
      </c>
      <c r="F4295">
        <v>0</v>
      </c>
      <c r="H4295" t="s">
        <v>8588</v>
      </c>
      <c r="I4295">
        <v>6</v>
      </c>
      <c r="J4295" t="s">
        <v>445</v>
      </c>
      <c r="K4295" t="s">
        <v>446</v>
      </c>
      <c r="M4295">
        <v>7161</v>
      </c>
    </row>
    <row r="4296" spans="1:14">
      <c r="A4296">
        <v>18670000</v>
      </c>
      <c r="B4296">
        <v>3004221</v>
      </c>
      <c r="C4296" t="s">
        <v>2414</v>
      </c>
      <c r="D4296" t="s">
        <v>441</v>
      </c>
      <c r="F4296">
        <v>0</v>
      </c>
      <c r="G4296">
        <v>5.57</v>
      </c>
      <c r="H4296" t="s">
        <v>8925</v>
      </c>
      <c r="I4296">
        <v>6</v>
      </c>
      <c r="J4296" t="s">
        <v>445</v>
      </c>
      <c r="K4296" t="s">
        <v>446</v>
      </c>
      <c r="M4296">
        <v>0</v>
      </c>
    </row>
    <row r="4297" spans="1:14">
      <c r="A4297">
        <v>18680000</v>
      </c>
      <c r="B4297">
        <v>3004215</v>
      </c>
      <c r="C4297" t="s">
        <v>2415</v>
      </c>
      <c r="D4297" t="s">
        <v>441</v>
      </c>
      <c r="F4297">
        <v>0</v>
      </c>
      <c r="G4297">
        <v>7.56</v>
      </c>
      <c r="H4297" t="s">
        <v>8925</v>
      </c>
      <c r="I4297">
        <v>6</v>
      </c>
      <c r="J4297" t="s">
        <v>445</v>
      </c>
      <c r="K4297" t="s">
        <v>446</v>
      </c>
      <c r="M4297">
        <v>0</v>
      </c>
    </row>
    <row r="4298" spans="1:14">
      <c r="A4298">
        <v>18680087</v>
      </c>
      <c r="B4298">
        <v>3002587</v>
      </c>
      <c r="C4298" t="s">
        <v>2416</v>
      </c>
      <c r="D4298" t="s">
        <v>441</v>
      </c>
      <c r="F4298">
        <v>0</v>
      </c>
      <c r="G4298">
        <v>7.65</v>
      </c>
      <c r="H4298" t="s">
        <v>8588</v>
      </c>
      <c r="I4298">
        <v>6</v>
      </c>
      <c r="J4298" t="s">
        <v>445</v>
      </c>
      <c r="K4298" t="s">
        <v>446</v>
      </c>
      <c r="M4298">
        <v>2641</v>
      </c>
    </row>
    <row r="4299" spans="1:14">
      <c r="A4299">
        <v>18690000</v>
      </c>
      <c r="B4299">
        <v>3008814</v>
      </c>
      <c r="C4299" t="s">
        <v>2417</v>
      </c>
      <c r="D4299" t="s">
        <v>441</v>
      </c>
      <c r="F4299">
        <v>0</v>
      </c>
      <c r="G4299">
        <v>4.1900000000000004</v>
      </c>
      <c r="H4299" t="s">
        <v>8549</v>
      </c>
      <c r="I4299">
        <v>6</v>
      </c>
      <c r="J4299" t="s">
        <v>445</v>
      </c>
      <c r="K4299" t="s">
        <v>446</v>
      </c>
      <c r="M4299">
        <v>0</v>
      </c>
    </row>
    <row r="4300" spans="1:14">
      <c r="A4300">
        <v>18710000</v>
      </c>
      <c r="B4300">
        <v>3004222</v>
      </c>
      <c r="C4300" t="s">
        <v>10360</v>
      </c>
      <c r="D4300" t="s">
        <v>441</v>
      </c>
      <c r="F4300">
        <v>0</v>
      </c>
      <c r="G4300">
        <v>6.16</v>
      </c>
      <c r="H4300" t="s">
        <v>8925</v>
      </c>
      <c r="I4300">
        <v>6</v>
      </c>
      <c r="J4300" t="s">
        <v>445</v>
      </c>
      <c r="K4300" t="s">
        <v>446</v>
      </c>
      <c r="M4300">
        <v>0</v>
      </c>
    </row>
    <row r="4301" spans="1:14">
      <c r="A4301">
        <v>18820000</v>
      </c>
      <c r="B4301">
        <v>3008815</v>
      </c>
      <c r="C4301" t="s">
        <v>2418</v>
      </c>
      <c r="D4301" t="s">
        <v>441</v>
      </c>
      <c r="F4301">
        <v>0</v>
      </c>
      <c r="G4301">
        <v>7.96</v>
      </c>
      <c r="I4301">
        <v>6</v>
      </c>
      <c r="J4301" t="s">
        <v>445</v>
      </c>
      <c r="K4301" t="s">
        <v>446</v>
      </c>
      <c r="M4301">
        <v>0</v>
      </c>
    </row>
    <row r="4302" spans="1:14">
      <c r="A4302">
        <v>18830000</v>
      </c>
      <c r="B4302">
        <v>3008816</v>
      </c>
      <c r="C4302" t="s">
        <v>2419</v>
      </c>
      <c r="D4302" t="s">
        <v>441</v>
      </c>
      <c r="F4302">
        <v>0</v>
      </c>
      <c r="G4302">
        <v>6.42</v>
      </c>
      <c r="H4302" t="s">
        <v>8580</v>
      </c>
      <c r="I4302">
        <v>6</v>
      </c>
      <c r="J4302" t="s">
        <v>445</v>
      </c>
      <c r="K4302" t="s">
        <v>446</v>
      </c>
      <c r="M4302">
        <v>0</v>
      </c>
    </row>
    <row r="4303" spans="1:14">
      <c r="A4303">
        <v>18840000</v>
      </c>
      <c r="B4303">
        <v>3008817</v>
      </c>
      <c r="C4303" t="s">
        <v>2420</v>
      </c>
      <c r="D4303" t="s">
        <v>441</v>
      </c>
      <c r="F4303">
        <v>0</v>
      </c>
      <c r="G4303">
        <v>6.84</v>
      </c>
      <c r="H4303" t="s">
        <v>8580</v>
      </c>
      <c r="I4303">
        <v>6</v>
      </c>
      <c r="J4303" t="s">
        <v>445</v>
      </c>
      <c r="K4303" t="s">
        <v>446</v>
      </c>
      <c r="M4303">
        <v>0</v>
      </c>
    </row>
    <row r="4304" spans="1:14">
      <c r="A4304">
        <v>18970000</v>
      </c>
      <c r="B4304">
        <v>3044311</v>
      </c>
      <c r="C4304" t="s">
        <v>14344</v>
      </c>
      <c r="D4304" t="s">
        <v>441</v>
      </c>
      <c r="F4304">
        <v>0</v>
      </c>
      <c r="G4304">
        <v>14.93</v>
      </c>
      <c r="H4304" t="s">
        <v>8588</v>
      </c>
      <c r="I4304">
        <v>6</v>
      </c>
      <c r="J4304" t="s">
        <v>445</v>
      </c>
      <c r="M4304">
        <v>2143</v>
      </c>
      <c r="N4304" t="s">
        <v>16168</v>
      </c>
    </row>
    <row r="4305" spans="1:14">
      <c r="A4305">
        <v>18970075</v>
      </c>
      <c r="B4305">
        <v>3044324</v>
      </c>
      <c r="C4305" t="s">
        <v>14345</v>
      </c>
      <c r="D4305" t="s">
        <v>441</v>
      </c>
      <c r="F4305">
        <v>0</v>
      </c>
      <c r="G4305">
        <v>15.17</v>
      </c>
      <c r="H4305" t="s">
        <v>8588</v>
      </c>
      <c r="I4305">
        <v>6</v>
      </c>
      <c r="J4305" t="s">
        <v>445</v>
      </c>
      <c r="M4305">
        <v>7112</v>
      </c>
      <c r="N4305" t="s">
        <v>16168</v>
      </c>
    </row>
    <row r="4306" spans="1:14">
      <c r="A4306">
        <v>18980000</v>
      </c>
      <c r="B4306">
        <v>3016906</v>
      </c>
      <c r="C4306" t="s">
        <v>10361</v>
      </c>
      <c r="D4306" t="s">
        <v>441</v>
      </c>
      <c r="F4306">
        <v>0</v>
      </c>
      <c r="G4306">
        <v>13.41</v>
      </c>
      <c r="H4306" t="s">
        <v>8588</v>
      </c>
      <c r="I4306">
        <v>6</v>
      </c>
      <c r="J4306" t="s">
        <v>445</v>
      </c>
      <c r="M4306">
        <v>2391</v>
      </c>
      <c r="N4306" t="s">
        <v>16169</v>
      </c>
    </row>
    <row r="4307" spans="1:14">
      <c r="A4307">
        <v>18980002</v>
      </c>
      <c r="B4307">
        <v>3020987</v>
      </c>
      <c r="C4307" t="s">
        <v>10362</v>
      </c>
      <c r="D4307" t="s">
        <v>441</v>
      </c>
      <c r="F4307">
        <v>0</v>
      </c>
      <c r="G4307">
        <v>8.0299999999999994</v>
      </c>
      <c r="H4307" t="s">
        <v>8588</v>
      </c>
      <c r="I4307">
        <v>365</v>
      </c>
      <c r="J4307" t="s">
        <v>445</v>
      </c>
      <c r="M4307">
        <v>7111</v>
      </c>
      <c r="N4307" t="s">
        <v>16169</v>
      </c>
    </row>
    <row r="4308" spans="1:14">
      <c r="A4308">
        <v>18980019</v>
      </c>
      <c r="B4308">
        <v>4024675</v>
      </c>
      <c r="C4308" t="s">
        <v>10363</v>
      </c>
      <c r="D4308" t="s">
        <v>441</v>
      </c>
      <c r="F4308">
        <v>0</v>
      </c>
      <c r="G4308">
        <v>8.11</v>
      </c>
      <c r="H4308" t="s">
        <v>8549</v>
      </c>
      <c r="I4308">
        <v>365</v>
      </c>
      <c r="J4308" t="s">
        <v>462</v>
      </c>
      <c r="M4308">
        <v>7111</v>
      </c>
      <c r="N4308" t="s">
        <v>16169</v>
      </c>
    </row>
    <row r="4309" spans="1:14">
      <c r="A4309">
        <v>18980040</v>
      </c>
      <c r="B4309">
        <v>4018288</v>
      </c>
      <c r="C4309" t="s">
        <v>10364</v>
      </c>
      <c r="D4309" t="s">
        <v>441</v>
      </c>
      <c r="F4309">
        <v>0</v>
      </c>
      <c r="G4309">
        <v>7.18</v>
      </c>
      <c r="H4309" t="s">
        <v>8588</v>
      </c>
      <c r="I4309">
        <v>10</v>
      </c>
      <c r="J4309" t="s">
        <v>462</v>
      </c>
      <c r="K4309" t="s">
        <v>446</v>
      </c>
      <c r="M4309">
        <v>2612</v>
      </c>
    </row>
    <row r="4310" spans="1:14">
      <c r="A4310">
        <v>18980041</v>
      </c>
      <c r="B4310">
        <v>4024676</v>
      </c>
      <c r="C4310" t="s">
        <v>10365</v>
      </c>
      <c r="D4310" t="s">
        <v>441</v>
      </c>
      <c r="F4310">
        <v>0</v>
      </c>
      <c r="G4310">
        <v>8.44</v>
      </c>
      <c r="H4310" t="s">
        <v>8588</v>
      </c>
      <c r="I4310">
        <v>365</v>
      </c>
      <c r="J4310" t="s">
        <v>462</v>
      </c>
      <c r="M4310">
        <v>7111</v>
      </c>
      <c r="N4310" t="s">
        <v>16169</v>
      </c>
    </row>
    <row r="4311" spans="1:14">
      <c r="A4311">
        <v>18980042</v>
      </c>
      <c r="B4311">
        <v>4025191</v>
      </c>
      <c r="C4311" t="s">
        <v>10366</v>
      </c>
      <c r="D4311" t="s">
        <v>441</v>
      </c>
      <c r="F4311">
        <v>0</v>
      </c>
      <c r="G4311">
        <v>8.52</v>
      </c>
      <c r="H4311" t="s">
        <v>8588</v>
      </c>
      <c r="I4311">
        <v>365</v>
      </c>
      <c r="J4311" t="s">
        <v>462</v>
      </c>
      <c r="M4311">
        <v>7111</v>
      </c>
      <c r="N4311" t="s">
        <v>16169</v>
      </c>
    </row>
    <row r="4312" spans="1:14">
      <c r="A4312">
        <v>18980043</v>
      </c>
      <c r="B4312">
        <v>4026177</v>
      </c>
      <c r="C4312" t="s">
        <v>10367</v>
      </c>
      <c r="D4312" t="s">
        <v>441</v>
      </c>
      <c r="F4312">
        <v>0</v>
      </c>
      <c r="G4312">
        <v>8.23</v>
      </c>
      <c r="H4312" t="s">
        <v>8588</v>
      </c>
      <c r="I4312">
        <v>10</v>
      </c>
      <c r="J4312" t="s">
        <v>462</v>
      </c>
      <c r="M4312">
        <v>7112</v>
      </c>
      <c r="N4312" t="s">
        <v>16169</v>
      </c>
    </row>
    <row r="4313" spans="1:14">
      <c r="A4313">
        <v>18980044</v>
      </c>
      <c r="B4313">
        <v>4027243</v>
      </c>
      <c r="C4313" t="s">
        <v>10368</v>
      </c>
      <c r="D4313" t="s">
        <v>441</v>
      </c>
      <c r="F4313">
        <v>0</v>
      </c>
      <c r="G4313">
        <v>12.96</v>
      </c>
      <c r="H4313" t="s">
        <v>8588</v>
      </c>
      <c r="I4313">
        <v>8</v>
      </c>
      <c r="J4313" t="s">
        <v>462</v>
      </c>
      <c r="M4313">
        <v>7112</v>
      </c>
      <c r="N4313" t="s">
        <v>16169</v>
      </c>
    </row>
    <row r="4314" spans="1:14">
      <c r="A4314">
        <v>18980045</v>
      </c>
      <c r="B4314">
        <v>4028231</v>
      </c>
      <c r="C4314" t="s">
        <v>10369</v>
      </c>
      <c r="D4314" t="s">
        <v>441</v>
      </c>
      <c r="F4314">
        <v>0</v>
      </c>
      <c r="G4314">
        <v>13.11</v>
      </c>
      <c r="H4314" t="s">
        <v>8588</v>
      </c>
      <c r="I4314">
        <v>10</v>
      </c>
      <c r="J4314" t="s">
        <v>462</v>
      </c>
      <c r="M4314">
        <v>7112</v>
      </c>
      <c r="N4314" t="s">
        <v>16169</v>
      </c>
    </row>
    <row r="4315" spans="1:14">
      <c r="A4315">
        <v>18980046</v>
      </c>
      <c r="B4315">
        <v>4028775</v>
      </c>
      <c r="C4315" t="s">
        <v>10370</v>
      </c>
      <c r="D4315" t="s">
        <v>441</v>
      </c>
      <c r="F4315">
        <v>0</v>
      </c>
      <c r="G4315">
        <v>13.05</v>
      </c>
      <c r="H4315" t="s">
        <v>8588</v>
      </c>
      <c r="I4315">
        <v>365</v>
      </c>
      <c r="J4315" t="s">
        <v>462</v>
      </c>
      <c r="M4315">
        <v>7111</v>
      </c>
      <c r="N4315" t="s">
        <v>16169</v>
      </c>
    </row>
    <row r="4316" spans="1:14">
      <c r="A4316">
        <v>18980047</v>
      </c>
      <c r="B4316">
        <v>4028790</v>
      </c>
      <c r="C4316" t="s">
        <v>10371</v>
      </c>
      <c r="D4316" t="s">
        <v>441</v>
      </c>
      <c r="F4316">
        <v>0</v>
      </c>
      <c r="G4316">
        <v>12.81</v>
      </c>
      <c r="H4316" t="s">
        <v>8588</v>
      </c>
      <c r="I4316">
        <v>10</v>
      </c>
      <c r="J4316" t="s">
        <v>462</v>
      </c>
      <c r="M4316">
        <v>7112</v>
      </c>
      <c r="N4316" t="s">
        <v>16169</v>
      </c>
    </row>
    <row r="4317" spans="1:14">
      <c r="A4317">
        <v>18980050</v>
      </c>
      <c r="B4317">
        <v>4011274</v>
      </c>
      <c r="C4317" t="s">
        <v>10372</v>
      </c>
      <c r="D4317" t="s">
        <v>441</v>
      </c>
      <c r="F4317">
        <v>0</v>
      </c>
      <c r="G4317">
        <v>6.97</v>
      </c>
      <c r="H4317" t="s">
        <v>8588</v>
      </c>
      <c r="I4317">
        <v>14</v>
      </c>
      <c r="J4317" t="s">
        <v>462</v>
      </c>
      <c r="K4317" t="s">
        <v>446</v>
      </c>
      <c r="M4317">
        <v>2612</v>
      </c>
    </row>
    <row r="4318" spans="1:14">
      <c r="A4318">
        <v>18980061</v>
      </c>
      <c r="B4318">
        <v>4011186</v>
      </c>
      <c r="C4318" t="s">
        <v>10373</v>
      </c>
      <c r="D4318" t="s">
        <v>441</v>
      </c>
      <c r="F4318">
        <v>0</v>
      </c>
      <c r="G4318">
        <v>9.3800000000000008</v>
      </c>
      <c r="H4318" t="s">
        <v>8588</v>
      </c>
      <c r="I4318">
        <v>365</v>
      </c>
      <c r="J4318" t="s">
        <v>462</v>
      </c>
      <c r="K4318" t="s">
        <v>446</v>
      </c>
      <c r="M4318">
        <v>2501</v>
      </c>
    </row>
    <row r="4319" spans="1:14">
      <c r="A4319">
        <v>18980062</v>
      </c>
      <c r="B4319">
        <v>4012885</v>
      </c>
      <c r="C4319" t="s">
        <v>10374</v>
      </c>
      <c r="D4319" t="s">
        <v>441</v>
      </c>
      <c r="F4319">
        <v>0</v>
      </c>
      <c r="G4319">
        <v>9.3800000000000008</v>
      </c>
      <c r="H4319" t="s">
        <v>8588</v>
      </c>
      <c r="I4319">
        <v>365</v>
      </c>
      <c r="J4319" t="s">
        <v>462</v>
      </c>
      <c r="K4319" t="s">
        <v>446</v>
      </c>
      <c r="M4319">
        <v>2501</v>
      </c>
    </row>
    <row r="4320" spans="1:14">
      <c r="A4320">
        <v>18980063</v>
      </c>
      <c r="B4320">
        <v>4013382</v>
      </c>
      <c r="C4320" t="s">
        <v>10375</v>
      </c>
      <c r="D4320" t="s">
        <v>441</v>
      </c>
      <c r="F4320">
        <v>0</v>
      </c>
      <c r="G4320">
        <v>8.1999999999999993</v>
      </c>
      <c r="H4320" t="s">
        <v>8588</v>
      </c>
      <c r="I4320">
        <v>365</v>
      </c>
      <c r="J4320" t="s">
        <v>462</v>
      </c>
      <c r="K4320" t="s">
        <v>446</v>
      </c>
      <c r="M4320">
        <v>2501</v>
      </c>
    </row>
    <row r="4321" spans="1:14">
      <c r="A4321">
        <v>18980064</v>
      </c>
      <c r="B4321">
        <v>4018665</v>
      </c>
      <c r="C4321" t="s">
        <v>10376</v>
      </c>
      <c r="D4321" t="s">
        <v>442</v>
      </c>
      <c r="E4321" t="s">
        <v>441</v>
      </c>
      <c r="F4321">
        <v>1</v>
      </c>
      <c r="G4321">
        <v>77.510000000000005</v>
      </c>
      <c r="H4321" t="s">
        <v>8588</v>
      </c>
      <c r="I4321">
        <v>365</v>
      </c>
      <c r="J4321" t="s">
        <v>462</v>
      </c>
      <c r="K4321" t="s">
        <v>446</v>
      </c>
      <c r="M4321">
        <v>2501</v>
      </c>
    </row>
    <row r="4322" spans="1:14">
      <c r="A4322">
        <v>18980065</v>
      </c>
      <c r="B4322">
        <v>4018729</v>
      </c>
      <c r="C4322" t="s">
        <v>10377</v>
      </c>
      <c r="D4322" t="s">
        <v>441</v>
      </c>
      <c r="F4322">
        <v>0</v>
      </c>
      <c r="G4322">
        <v>7.36</v>
      </c>
      <c r="H4322" t="s">
        <v>8588</v>
      </c>
      <c r="I4322">
        <v>365</v>
      </c>
      <c r="J4322" t="s">
        <v>462</v>
      </c>
      <c r="K4322" t="s">
        <v>446</v>
      </c>
      <c r="M4322">
        <v>2501</v>
      </c>
    </row>
    <row r="4323" spans="1:14">
      <c r="A4323">
        <v>18980075</v>
      </c>
      <c r="B4323">
        <v>3022863</v>
      </c>
      <c r="C4323" t="s">
        <v>10378</v>
      </c>
      <c r="D4323" t="s">
        <v>441</v>
      </c>
      <c r="F4323">
        <v>0</v>
      </c>
      <c r="G4323">
        <v>7.8</v>
      </c>
      <c r="H4323" t="s">
        <v>8588</v>
      </c>
      <c r="I4323">
        <v>6</v>
      </c>
      <c r="J4323" t="s">
        <v>445</v>
      </c>
      <c r="M4323">
        <v>7111</v>
      </c>
      <c r="N4323" t="s">
        <v>16169</v>
      </c>
    </row>
    <row r="4324" spans="1:14">
      <c r="A4324">
        <v>18980076</v>
      </c>
      <c r="B4324">
        <v>4027285</v>
      </c>
      <c r="C4324" t="s">
        <v>10379</v>
      </c>
      <c r="D4324" t="s">
        <v>441</v>
      </c>
      <c r="F4324">
        <v>0</v>
      </c>
      <c r="G4324">
        <v>7.85</v>
      </c>
      <c r="H4324" t="s">
        <v>8588</v>
      </c>
      <c r="I4324">
        <v>6</v>
      </c>
      <c r="J4324" t="s">
        <v>462</v>
      </c>
      <c r="L4324">
        <v>2052474</v>
      </c>
      <c r="M4324">
        <v>7112</v>
      </c>
      <c r="N4324" t="s">
        <v>16169</v>
      </c>
    </row>
    <row r="4325" spans="1:14">
      <c r="A4325">
        <v>18980077</v>
      </c>
      <c r="B4325">
        <v>4028815</v>
      </c>
      <c r="C4325" t="s">
        <v>10380</v>
      </c>
      <c r="D4325" t="s">
        <v>441</v>
      </c>
      <c r="F4325">
        <v>0</v>
      </c>
      <c r="G4325">
        <v>12.36</v>
      </c>
      <c r="H4325" t="s">
        <v>8588</v>
      </c>
      <c r="I4325">
        <v>6</v>
      </c>
      <c r="J4325" t="s">
        <v>462</v>
      </c>
      <c r="L4325">
        <v>2052509</v>
      </c>
      <c r="M4325">
        <v>7112</v>
      </c>
      <c r="N4325" t="s">
        <v>16169</v>
      </c>
    </row>
    <row r="4326" spans="1:14">
      <c r="A4326">
        <v>18980100</v>
      </c>
      <c r="B4326">
        <v>3007806</v>
      </c>
      <c r="C4326" t="s">
        <v>10381</v>
      </c>
      <c r="D4326" t="s">
        <v>441</v>
      </c>
      <c r="F4326">
        <v>0</v>
      </c>
      <c r="H4326" t="s">
        <v>8580</v>
      </c>
      <c r="I4326">
        <v>9</v>
      </c>
      <c r="J4326" t="s">
        <v>445</v>
      </c>
      <c r="K4326" t="s">
        <v>446</v>
      </c>
      <c r="M4326">
        <v>0</v>
      </c>
    </row>
    <row r="4327" spans="1:14">
      <c r="A4327">
        <v>18980110</v>
      </c>
      <c r="B4327">
        <v>3019910</v>
      </c>
      <c r="C4327" t="s">
        <v>10382</v>
      </c>
      <c r="D4327" t="s">
        <v>441</v>
      </c>
      <c r="F4327">
        <v>0</v>
      </c>
      <c r="H4327" t="s">
        <v>8588</v>
      </c>
      <c r="I4327">
        <v>5</v>
      </c>
      <c r="J4327" t="s">
        <v>445</v>
      </c>
      <c r="M4327">
        <v>7161</v>
      </c>
      <c r="N4327" t="s">
        <v>16169</v>
      </c>
    </row>
    <row r="4328" spans="1:14">
      <c r="A4328">
        <v>18980502</v>
      </c>
      <c r="B4328">
        <v>3020986</v>
      </c>
      <c r="C4328" t="s">
        <v>10383</v>
      </c>
      <c r="D4328" t="s">
        <v>441</v>
      </c>
      <c r="F4328">
        <v>0</v>
      </c>
      <c r="G4328">
        <v>7.66</v>
      </c>
      <c r="H4328" t="s">
        <v>8634</v>
      </c>
      <c r="I4328">
        <v>6</v>
      </c>
      <c r="J4328" t="s">
        <v>445</v>
      </c>
      <c r="M4328">
        <v>2502</v>
      </c>
      <c r="N4328" t="s">
        <v>16169</v>
      </c>
    </row>
    <row r="4329" spans="1:14">
      <c r="A4329">
        <v>18980519</v>
      </c>
      <c r="B4329">
        <v>3036613</v>
      </c>
      <c r="C4329" t="s">
        <v>10384</v>
      </c>
      <c r="D4329" t="s">
        <v>441</v>
      </c>
      <c r="F4329">
        <v>0</v>
      </c>
      <c r="G4329">
        <v>7.79</v>
      </c>
      <c r="H4329" t="s">
        <v>8549</v>
      </c>
      <c r="I4329">
        <v>6</v>
      </c>
      <c r="J4329" t="s">
        <v>445</v>
      </c>
      <c r="M4329">
        <v>2502</v>
      </c>
      <c r="N4329" t="s">
        <v>16169</v>
      </c>
    </row>
    <row r="4330" spans="1:14">
      <c r="A4330">
        <v>18980541</v>
      </c>
      <c r="B4330">
        <v>3036614</v>
      </c>
      <c r="C4330" t="s">
        <v>10385</v>
      </c>
      <c r="D4330" t="s">
        <v>441</v>
      </c>
      <c r="F4330">
        <v>0</v>
      </c>
      <c r="G4330">
        <v>8.15</v>
      </c>
      <c r="H4330" t="s">
        <v>8588</v>
      </c>
      <c r="I4330">
        <v>365</v>
      </c>
      <c r="J4330" t="s">
        <v>445</v>
      </c>
      <c r="M4330">
        <v>2502</v>
      </c>
      <c r="N4330" t="s">
        <v>16169</v>
      </c>
    </row>
    <row r="4331" spans="1:14">
      <c r="A4331">
        <v>18980542</v>
      </c>
      <c r="B4331">
        <v>3037071</v>
      </c>
      <c r="C4331" t="s">
        <v>10386</v>
      </c>
      <c r="D4331" t="s">
        <v>441</v>
      </c>
      <c r="F4331">
        <v>0</v>
      </c>
      <c r="G4331">
        <v>8.23</v>
      </c>
      <c r="H4331" t="s">
        <v>8588</v>
      </c>
      <c r="I4331">
        <v>365</v>
      </c>
      <c r="J4331" t="s">
        <v>445</v>
      </c>
      <c r="M4331">
        <v>2502</v>
      </c>
      <c r="N4331" t="s">
        <v>16169</v>
      </c>
    </row>
    <row r="4332" spans="1:14">
      <c r="A4332">
        <v>18980546</v>
      </c>
      <c r="B4332">
        <v>3043715</v>
      </c>
      <c r="C4332" t="s">
        <v>10387</v>
      </c>
      <c r="D4332" t="s">
        <v>441</v>
      </c>
      <c r="F4332">
        <v>0</v>
      </c>
      <c r="G4332">
        <v>12.64</v>
      </c>
      <c r="H4332" t="s">
        <v>8588</v>
      </c>
      <c r="I4332">
        <v>365</v>
      </c>
      <c r="J4332" t="s">
        <v>445</v>
      </c>
      <c r="M4332">
        <v>2502</v>
      </c>
      <c r="N4332" t="s">
        <v>16169</v>
      </c>
    </row>
    <row r="4333" spans="1:14">
      <c r="A4333">
        <v>18980561</v>
      </c>
      <c r="B4333">
        <v>3016905</v>
      </c>
      <c r="C4333" t="s">
        <v>10388</v>
      </c>
      <c r="D4333" t="s">
        <v>441</v>
      </c>
      <c r="F4333">
        <v>0</v>
      </c>
      <c r="G4333">
        <v>9.18</v>
      </c>
      <c r="H4333" t="s">
        <v>8935</v>
      </c>
      <c r="I4333">
        <v>365</v>
      </c>
      <c r="J4333" t="s">
        <v>445</v>
      </c>
      <c r="K4333" t="s">
        <v>446</v>
      </c>
      <c r="M4333">
        <v>2612</v>
      </c>
    </row>
    <row r="4334" spans="1:14">
      <c r="A4334">
        <v>18980562</v>
      </c>
      <c r="B4334">
        <v>3018574</v>
      </c>
      <c r="C4334" t="s">
        <v>10389</v>
      </c>
      <c r="D4334" t="s">
        <v>441</v>
      </c>
      <c r="F4334">
        <v>0</v>
      </c>
      <c r="G4334">
        <v>9.18</v>
      </c>
      <c r="I4334">
        <v>365</v>
      </c>
      <c r="J4334" t="s">
        <v>445</v>
      </c>
      <c r="K4334" t="s">
        <v>446</v>
      </c>
      <c r="M4334">
        <v>2612</v>
      </c>
    </row>
    <row r="4335" spans="1:14">
      <c r="A4335">
        <v>18980563</v>
      </c>
      <c r="B4335">
        <v>3019900</v>
      </c>
      <c r="C4335" t="s">
        <v>10390</v>
      </c>
      <c r="D4335" t="s">
        <v>441</v>
      </c>
      <c r="F4335">
        <v>0</v>
      </c>
      <c r="G4335">
        <v>7.99</v>
      </c>
      <c r="H4335" t="s">
        <v>8584</v>
      </c>
      <c r="I4335">
        <v>365</v>
      </c>
      <c r="J4335" t="s">
        <v>445</v>
      </c>
      <c r="K4335" t="s">
        <v>446</v>
      </c>
      <c r="M4335">
        <v>2612</v>
      </c>
    </row>
    <row r="4336" spans="1:14">
      <c r="A4336">
        <v>18980564</v>
      </c>
      <c r="B4336">
        <v>3028075</v>
      </c>
      <c r="C4336" t="s">
        <v>10390</v>
      </c>
      <c r="D4336" t="s">
        <v>442</v>
      </c>
      <c r="E4336" t="s">
        <v>441</v>
      </c>
      <c r="F4336">
        <v>1</v>
      </c>
      <c r="G4336">
        <v>75.91</v>
      </c>
      <c r="H4336" t="s">
        <v>10006</v>
      </c>
      <c r="I4336">
        <v>365</v>
      </c>
      <c r="J4336" t="s">
        <v>445</v>
      </c>
      <c r="K4336" t="s">
        <v>446</v>
      </c>
      <c r="M4336">
        <v>2641</v>
      </c>
    </row>
    <row r="4337" spans="1:14">
      <c r="A4337">
        <v>18980565</v>
      </c>
      <c r="B4337">
        <v>3028136</v>
      </c>
      <c r="C4337" t="s">
        <v>10391</v>
      </c>
      <c r="D4337" t="s">
        <v>441</v>
      </c>
      <c r="F4337">
        <v>0</v>
      </c>
      <c r="G4337">
        <v>7.16</v>
      </c>
      <c r="H4337" t="s">
        <v>8549</v>
      </c>
      <c r="I4337">
        <v>365</v>
      </c>
      <c r="J4337" t="s">
        <v>445</v>
      </c>
      <c r="K4337" t="s">
        <v>446</v>
      </c>
      <c r="M4337">
        <v>2641</v>
      </c>
    </row>
    <row r="4338" spans="1:14">
      <c r="A4338">
        <v>18980602</v>
      </c>
      <c r="B4338">
        <v>3020988</v>
      </c>
      <c r="C4338" t="s">
        <v>10392</v>
      </c>
      <c r="D4338" t="s">
        <v>441</v>
      </c>
      <c r="F4338">
        <v>0</v>
      </c>
      <c r="G4338">
        <v>9.18</v>
      </c>
      <c r="H4338" t="s">
        <v>8588</v>
      </c>
      <c r="I4338">
        <v>4</v>
      </c>
      <c r="J4338" t="s">
        <v>445</v>
      </c>
      <c r="K4338" t="s">
        <v>446</v>
      </c>
      <c r="M4338">
        <v>2511</v>
      </c>
    </row>
    <row r="4339" spans="1:14">
      <c r="A4339">
        <v>18980900</v>
      </c>
      <c r="B4339">
        <v>3020277</v>
      </c>
      <c r="C4339" t="s">
        <v>10393</v>
      </c>
      <c r="D4339" t="s">
        <v>441</v>
      </c>
      <c r="F4339">
        <v>0</v>
      </c>
      <c r="H4339" t="s">
        <v>8627</v>
      </c>
      <c r="I4339">
        <v>6</v>
      </c>
      <c r="J4339" t="s">
        <v>445</v>
      </c>
      <c r="M4339">
        <v>6666</v>
      </c>
      <c r="N4339" t="s">
        <v>16169</v>
      </c>
    </row>
    <row r="4340" spans="1:14">
      <c r="A4340">
        <v>18980902</v>
      </c>
      <c r="B4340">
        <v>3020991</v>
      </c>
      <c r="C4340" t="s">
        <v>10394</v>
      </c>
      <c r="D4340" t="s">
        <v>441</v>
      </c>
      <c r="F4340">
        <v>0</v>
      </c>
      <c r="H4340" t="s">
        <v>8634</v>
      </c>
      <c r="I4340">
        <v>4</v>
      </c>
      <c r="J4340" t="s">
        <v>445</v>
      </c>
      <c r="K4340" t="s">
        <v>446</v>
      </c>
      <c r="M4340">
        <v>6666</v>
      </c>
    </row>
    <row r="4341" spans="1:14">
      <c r="A4341">
        <v>18990000</v>
      </c>
      <c r="B4341">
        <v>3023816</v>
      </c>
      <c r="C4341" t="s">
        <v>10395</v>
      </c>
      <c r="D4341" t="s">
        <v>441</v>
      </c>
      <c r="F4341">
        <v>0</v>
      </c>
      <c r="G4341">
        <v>3.97</v>
      </c>
      <c r="H4341" t="s">
        <v>8588</v>
      </c>
      <c r="I4341">
        <v>6</v>
      </c>
      <c r="J4341" t="s">
        <v>445</v>
      </c>
      <c r="M4341">
        <v>2143</v>
      </c>
      <c r="N4341" t="s">
        <v>16170</v>
      </c>
    </row>
    <row r="4342" spans="1:14">
      <c r="A4342">
        <v>18990040</v>
      </c>
      <c r="B4342">
        <v>4018287</v>
      </c>
      <c r="C4342" t="s">
        <v>10396</v>
      </c>
      <c r="D4342" t="s">
        <v>441</v>
      </c>
      <c r="F4342">
        <v>0</v>
      </c>
      <c r="G4342">
        <v>7.18</v>
      </c>
      <c r="H4342" t="s">
        <v>8588</v>
      </c>
      <c r="I4342">
        <v>10</v>
      </c>
      <c r="J4342" t="s">
        <v>462</v>
      </c>
      <c r="K4342" t="s">
        <v>446</v>
      </c>
      <c r="M4342">
        <v>2612</v>
      </c>
    </row>
    <row r="4343" spans="1:14">
      <c r="A4343">
        <v>18990061</v>
      </c>
      <c r="B4343">
        <v>4015829</v>
      </c>
      <c r="C4343" t="s">
        <v>10397</v>
      </c>
      <c r="D4343" t="s">
        <v>441</v>
      </c>
      <c r="F4343">
        <v>0</v>
      </c>
      <c r="G4343">
        <v>9.2899999999999991</v>
      </c>
      <c r="H4343" t="s">
        <v>8588</v>
      </c>
      <c r="I4343">
        <v>365</v>
      </c>
      <c r="J4343" t="s">
        <v>462</v>
      </c>
      <c r="K4343" t="s">
        <v>446</v>
      </c>
      <c r="M4343">
        <v>2501</v>
      </c>
    </row>
    <row r="4344" spans="1:14">
      <c r="A4344">
        <v>18990561</v>
      </c>
      <c r="B4344">
        <v>3023778</v>
      </c>
      <c r="C4344" t="s">
        <v>10398</v>
      </c>
      <c r="D4344" t="s">
        <v>441</v>
      </c>
      <c r="F4344">
        <v>0</v>
      </c>
      <c r="G4344">
        <v>9.09</v>
      </c>
      <c r="H4344" t="s">
        <v>8935</v>
      </c>
      <c r="I4344">
        <v>365</v>
      </c>
      <c r="J4344" t="s">
        <v>445</v>
      </c>
      <c r="K4344" t="s">
        <v>446</v>
      </c>
      <c r="M4344">
        <v>2641</v>
      </c>
    </row>
    <row r="4345" spans="1:14">
      <c r="A4345">
        <v>18990900</v>
      </c>
      <c r="B4345">
        <v>3024697</v>
      </c>
      <c r="C4345" t="s">
        <v>10399</v>
      </c>
      <c r="D4345" t="s">
        <v>441</v>
      </c>
      <c r="F4345">
        <v>0</v>
      </c>
      <c r="H4345" t="s">
        <v>8580</v>
      </c>
      <c r="I4345">
        <v>6</v>
      </c>
      <c r="J4345" t="s">
        <v>445</v>
      </c>
      <c r="M4345">
        <v>6666</v>
      </c>
      <c r="N4345" t="s">
        <v>16170</v>
      </c>
    </row>
    <row r="4346" spans="1:14">
      <c r="A4346">
        <v>19140000</v>
      </c>
      <c r="B4346">
        <v>3008788</v>
      </c>
      <c r="C4346" t="s">
        <v>10400</v>
      </c>
      <c r="D4346" t="s">
        <v>441</v>
      </c>
      <c r="F4346">
        <v>0</v>
      </c>
      <c r="G4346">
        <v>0.02</v>
      </c>
      <c r="H4346" t="s">
        <v>8549</v>
      </c>
      <c r="I4346">
        <v>6</v>
      </c>
      <c r="J4346" t="s">
        <v>445</v>
      </c>
      <c r="K4346" t="s">
        <v>446</v>
      </c>
      <c r="M4346">
        <v>0</v>
      </c>
    </row>
    <row r="4347" spans="1:14">
      <c r="A4347">
        <v>19150000</v>
      </c>
      <c r="B4347">
        <v>3016846</v>
      </c>
      <c r="C4347" t="s">
        <v>10401</v>
      </c>
      <c r="D4347" t="s">
        <v>441</v>
      </c>
      <c r="F4347">
        <v>0</v>
      </c>
      <c r="G4347">
        <v>8.69</v>
      </c>
      <c r="H4347" t="s">
        <v>8580</v>
      </c>
      <c r="I4347">
        <v>4</v>
      </c>
      <c r="J4347" t="s">
        <v>445</v>
      </c>
      <c r="K4347" t="s">
        <v>446</v>
      </c>
      <c r="M4347">
        <v>2621</v>
      </c>
    </row>
    <row r="4348" spans="1:14">
      <c r="A4348">
        <v>19150007</v>
      </c>
      <c r="B4348">
        <v>3026212</v>
      </c>
      <c r="C4348" t="s">
        <v>2421</v>
      </c>
      <c r="D4348" t="s">
        <v>441</v>
      </c>
      <c r="F4348">
        <v>0</v>
      </c>
      <c r="G4348">
        <v>7.86</v>
      </c>
      <c r="H4348" t="s">
        <v>8588</v>
      </c>
      <c r="I4348">
        <v>6</v>
      </c>
      <c r="J4348" t="s">
        <v>445</v>
      </c>
      <c r="K4348" t="s">
        <v>446</v>
      </c>
      <c r="M4348">
        <v>2391</v>
      </c>
      <c r="N4348" t="s">
        <v>16046</v>
      </c>
    </row>
    <row r="4349" spans="1:14">
      <c r="A4349">
        <v>19150030</v>
      </c>
      <c r="B4349">
        <v>4003902</v>
      </c>
      <c r="C4349" t="s">
        <v>10402</v>
      </c>
      <c r="D4349" t="s">
        <v>442</v>
      </c>
      <c r="E4349" t="s">
        <v>441</v>
      </c>
      <c r="F4349">
        <v>0.5</v>
      </c>
      <c r="G4349">
        <v>5.21</v>
      </c>
      <c r="H4349" t="s">
        <v>8588</v>
      </c>
      <c r="I4349">
        <v>10</v>
      </c>
      <c r="J4349" t="s">
        <v>462</v>
      </c>
      <c r="K4349" t="s">
        <v>446</v>
      </c>
      <c r="M4349">
        <v>2622</v>
      </c>
    </row>
    <row r="4350" spans="1:14">
      <c r="A4350">
        <v>19150031</v>
      </c>
      <c r="B4350">
        <v>4009962</v>
      </c>
      <c r="C4350" t="s">
        <v>10403</v>
      </c>
      <c r="D4350" t="s">
        <v>442</v>
      </c>
      <c r="E4350" t="s">
        <v>441</v>
      </c>
      <c r="F4350">
        <v>0.5</v>
      </c>
      <c r="G4350">
        <v>4.54</v>
      </c>
      <c r="H4350" t="s">
        <v>8588</v>
      </c>
      <c r="I4350">
        <v>10</v>
      </c>
      <c r="J4350" t="s">
        <v>462</v>
      </c>
      <c r="K4350" t="s">
        <v>446</v>
      </c>
      <c r="M4350">
        <v>2622</v>
      </c>
    </row>
    <row r="4351" spans="1:14">
      <c r="A4351">
        <v>19150032</v>
      </c>
      <c r="B4351">
        <v>4003903</v>
      </c>
      <c r="C4351" t="s">
        <v>10404</v>
      </c>
      <c r="D4351" t="s">
        <v>442</v>
      </c>
      <c r="E4351" t="s">
        <v>441</v>
      </c>
      <c r="F4351">
        <v>0.5</v>
      </c>
      <c r="G4351">
        <v>5.08</v>
      </c>
      <c r="H4351" t="s">
        <v>8588</v>
      </c>
      <c r="I4351">
        <v>6</v>
      </c>
      <c r="J4351" t="s">
        <v>462</v>
      </c>
      <c r="K4351" t="s">
        <v>446</v>
      </c>
      <c r="M4351">
        <v>2622</v>
      </c>
    </row>
    <row r="4352" spans="1:14">
      <c r="A4352">
        <v>19150033</v>
      </c>
      <c r="B4352">
        <v>4003904</v>
      </c>
      <c r="C4352" t="s">
        <v>10405</v>
      </c>
      <c r="D4352" t="s">
        <v>442</v>
      </c>
      <c r="E4352" t="s">
        <v>441</v>
      </c>
      <c r="F4352">
        <v>0.5</v>
      </c>
      <c r="G4352">
        <v>4.5</v>
      </c>
      <c r="H4352" t="s">
        <v>8588</v>
      </c>
      <c r="I4352">
        <v>10</v>
      </c>
      <c r="J4352" t="s">
        <v>462</v>
      </c>
      <c r="K4352" t="s">
        <v>446</v>
      </c>
      <c r="M4352">
        <v>2622</v>
      </c>
    </row>
    <row r="4353" spans="1:14">
      <c r="A4353">
        <v>19150034</v>
      </c>
      <c r="B4353">
        <v>4006371</v>
      </c>
      <c r="C4353" t="s">
        <v>10406</v>
      </c>
      <c r="D4353" t="s">
        <v>442</v>
      </c>
      <c r="E4353" t="s">
        <v>441</v>
      </c>
      <c r="F4353">
        <v>0.75</v>
      </c>
      <c r="G4353">
        <v>7.29</v>
      </c>
      <c r="H4353" t="s">
        <v>8588</v>
      </c>
      <c r="I4353">
        <v>10</v>
      </c>
      <c r="J4353" t="s">
        <v>462</v>
      </c>
      <c r="K4353" t="s">
        <v>446</v>
      </c>
      <c r="M4353">
        <v>2622</v>
      </c>
    </row>
    <row r="4354" spans="1:14">
      <c r="A4354">
        <v>19150035</v>
      </c>
      <c r="B4354">
        <v>4010830</v>
      </c>
      <c r="C4354" t="s">
        <v>10407</v>
      </c>
      <c r="D4354" t="s">
        <v>442</v>
      </c>
      <c r="E4354" t="s">
        <v>441</v>
      </c>
      <c r="F4354">
        <v>0.5</v>
      </c>
      <c r="G4354">
        <v>5.42</v>
      </c>
      <c r="H4354" t="s">
        <v>8588</v>
      </c>
      <c r="I4354">
        <v>10</v>
      </c>
      <c r="J4354" t="s">
        <v>462</v>
      </c>
      <c r="K4354" t="s">
        <v>446</v>
      </c>
      <c r="M4354">
        <v>2622</v>
      </c>
    </row>
    <row r="4355" spans="1:14">
      <c r="A4355">
        <v>19150036</v>
      </c>
      <c r="B4355">
        <v>4010931</v>
      </c>
      <c r="C4355" t="s">
        <v>10408</v>
      </c>
      <c r="D4355" t="s">
        <v>442</v>
      </c>
      <c r="E4355" t="s">
        <v>441</v>
      </c>
      <c r="F4355">
        <v>0.6</v>
      </c>
      <c r="G4355">
        <v>6.15</v>
      </c>
      <c r="H4355" t="s">
        <v>8588</v>
      </c>
      <c r="I4355">
        <v>10</v>
      </c>
      <c r="J4355" t="s">
        <v>462</v>
      </c>
      <c r="K4355" t="s">
        <v>446</v>
      </c>
      <c r="M4355">
        <v>2622</v>
      </c>
    </row>
    <row r="4356" spans="1:14">
      <c r="A4356">
        <v>19150038</v>
      </c>
      <c r="B4356">
        <v>4003906</v>
      </c>
      <c r="C4356" t="s">
        <v>10409</v>
      </c>
      <c r="D4356" t="s">
        <v>442</v>
      </c>
      <c r="E4356" t="s">
        <v>441</v>
      </c>
      <c r="F4356">
        <v>0.5</v>
      </c>
      <c r="G4356">
        <v>5.55</v>
      </c>
      <c r="H4356" t="s">
        <v>8588</v>
      </c>
      <c r="I4356">
        <v>6</v>
      </c>
      <c r="J4356" t="s">
        <v>462</v>
      </c>
      <c r="K4356" t="s">
        <v>446</v>
      </c>
      <c r="M4356">
        <v>2622</v>
      </c>
    </row>
    <row r="4357" spans="1:14">
      <c r="A4357">
        <v>19150039</v>
      </c>
      <c r="B4357">
        <v>4011365</v>
      </c>
      <c r="C4357" t="s">
        <v>10410</v>
      </c>
      <c r="D4357" t="s">
        <v>442</v>
      </c>
      <c r="E4357" t="s">
        <v>441</v>
      </c>
      <c r="F4357">
        <v>0.5</v>
      </c>
      <c r="G4357">
        <v>4.55</v>
      </c>
      <c r="H4357" t="s">
        <v>8588</v>
      </c>
      <c r="I4357">
        <v>10</v>
      </c>
      <c r="J4357" t="s">
        <v>462</v>
      </c>
      <c r="K4357" t="s">
        <v>446</v>
      </c>
      <c r="M4357">
        <v>2622</v>
      </c>
    </row>
    <row r="4358" spans="1:14">
      <c r="A4358">
        <v>19150060</v>
      </c>
      <c r="B4358">
        <v>4013659</v>
      </c>
      <c r="C4358" t="s">
        <v>10411</v>
      </c>
      <c r="D4358" t="s">
        <v>442</v>
      </c>
      <c r="E4358" t="s">
        <v>441</v>
      </c>
      <c r="F4358">
        <v>0.5</v>
      </c>
      <c r="G4358">
        <v>5.08</v>
      </c>
      <c r="H4358" t="s">
        <v>8588</v>
      </c>
      <c r="I4358">
        <v>10</v>
      </c>
      <c r="J4358" t="s">
        <v>462</v>
      </c>
      <c r="K4358" t="s">
        <v>446</v>
      </c>
      <c r="L4358" t="s">
        <v>10412</v>
      </c>
      <c r="M4358">
        <v>2622</v>
      </c>
      <c r="N4358" t="s">
        <v>16047</v>
      </c>
    </row>
    <row r="4359" spans="1:14">
      <c r="A4359">
        <v>19150065</v>
      </c>
      <c r="B4359">
        <v>4015764</v>
      </c>
      <c r="C4359" t="s">
        <v>10413</v>
      </c>
      <c r="D4359" t="s">
        <v>442</v>
      </c>
      <c r="E4359" t="s">
        <v>441</v>
      </c>
      <c r="F4359">
        <v>1</v>
      </c>
      <c r="G4359">
        <v>9.68</v>
      </c>
      <c r="H4359" t="s">
        <v>8588</v>
      </c>
      <c r="I4359">
        <v>10</v>
      </c>
      <c r="J4359" t="s">
        <v>462</v>
      </c>
      <c r="K4359" t="s">
        <v>446</v>
      </c>
      <c r="M4359">
        <v>2622</v>
      </c>
    </row>
    <row r="4360" spans="1:14">
      <c r="A4360">
        <v>19150066</v>
      </c>
      <c r="B4360">
        <v>4015738</v>
      </c>
      <c r="C4360" t="s">
        <v>10414</v>
      </c>
      <c r="D4360" t="s">
        <v>442</v>
      </c>
      <c r="E4360" t="s">
        <v>441</v>
      </c>
      <c r="F4360">
        <v>1</v>
      </c>
      <c r="G4360">
        <v>9.66</v>
      </c>
      <c r="H4360" t="s">
        <v>8588</v>
      </c>
      <c r="I4360">
        <v>10</v>
      </c>
      <c r="J4360" t="s">
        <v>462</v>
      </c>
      <c r="K4360" t="s">
        <v>446</v>
      </c>
      <c r="L4360" t="s">
        <v>10415</v>
      </c>
      <c r="M4360">
        <v>2622</v>
      </c>
    </row>
    <row r="4361" spans="1:14">
      <c r="A4361">
        <v>19150067</v>
      </c>
      <c r="B4361">
        <v>4006180</v>
      </c>
      <c r="C4361" t="s">
        <v>10416</v>
      </c>
      <c r="D4361" t="s">
        <v>442</v>
      </c>
      <c r="E4361" t="s">
        <v>441</v>
      </c>
      <c r="F4361">
        <v>0.75</v>
      </c>
      <c r="G4361">
        <v>7.58</v>
      </c>
      <c r="H4361" t="s">
        <v>8588</v>
      </c>
      <c r="I4361">
        <v>10</v>
      </c>
      <c r="J4361" t="s">
        <v>462</v>
      </c>
      <c r="K4361" t="s">
        <v>446</v>
      </c>
      <c r="M4361">
        <v>2622</v>
      </c>
    </row>
    <row r="4362" spans="1:14">
      <c r="A4362">
        <v>19150068</v>
      </c>
      <c r="B4362">
        <v>4014237</v>
      </c>
      <c r="C4362" t="s">
        <v>10417</v>
      </c>
      <c r="D4362" t="s">
        <v>442</v>
      </c>
      <c r="E4362" t="s">
        <v>441</v>
      </c>
      <c r="F4362">
        <v>0.5</v>
      </c>
      <c r="G4362">
        <v>5.08</v>
      </c>
      <c r="H4362" t="s">
        <v>8588</v>
      </c>
      <c r="I4362">
        <v>10</v>
      </c>
      <c r="J4362" t="s">
        <v>462</v>
      </c>
      <c r="K4362" t="s">
        <v>446</v>
      </c>
      <c r="L4362" t="s">
        <v>10418</v>
      </c>
      <c r="M4362">
        <v>2622</v>
      </c>
      <c r="N4362" t="s">
        <v>16047</v>
      </c>
    </row>
    <row r="4363" spans="1:14">
      <c r="A4363">
        <v>19150069</v>
      </c>
      <c r="B4363">
        <v>4008630</v>
      </c>
      <c r="C4363" t="s">
        <v>10419</v>
      </c>
      <c r="D4363" t="s">
        <v>442</v>
      </c>
      <c r="E4363" t="s">
        <v>441</v>
      </c>
      <c r="F4363">
        <v>0.5</v>
      </c>
      <c r="G4363">
        <v>5.9</v>
      </c>
      <c r="H4363" t="s">
        <v>8588</v>
      </c>
      <c r="I4363">
        <v>10</v>
      </c>
      <c r="J4363" t="s">
        <v>462</v>
      </c>
      <c r="K4363" t="s">
        <v>446</v>
      </c>
      <c r="M4363">
        <v>2622</v>
      </c>
    </row>
    <row r="4364" spans="1:14">
      <c r="A4364">
        <v>19150080</v>
      </c>
      <c r="B4364">
        <v>3027447</v>
      </c>
      <c r="C4364" t="s">
        <v>2422</v>
      </c>
      <c r="D4364" t="s">
        <v>441</v>
      </c>
      <c r="F4364">
        <v>0</v>
      </c>
      <c r="G4364">
        <v>10.92</v>
      </c>
      <c r="H4364" t="s">
        <v>8588</v>
      </c>
      <c r="I4364">
        <v>6</v>
      </c>
      <c r="J4364" t="s">
        <v>445</v>
      </c>
      <c r="K4364" t="s">
        <v>446</v>
      </c>
      <c r="M4364">
        <v>2641</v>
      </c>
      <c r="N4364" t="s">
        <v>16046</v>
      </c>
    </row>
    <row r="4365" spans="1:14">
      <c r="A4365">
        <v>19150087</v>
      </c>
      <c r="B4365">
        <v>3026204</v>
      </c>
      <c r="C4365" t="s">
        <v>2423</v>
      </c>
      <c r="D4365" t="s">
        <v>441</v>
      </c>
      <c r="F4365">
        <v>0</v>
      </c>
      <c r="G4365">
        <v>7.93</v>
      </c>
      <c r="H4365" t="s">
        <v>8588</v>
      </c>
      <c r="I4365">
        <v>6</v>
      </c>
      <c r="J4365" t="s">
        <v>445</v>
      </c>
      <c r="K4365" t="s">
        <v>446</v>
      </c>
      <c r="M4365">
        <v>7112</v>
      </c>
      <c r="N4365" t="s">
        <v>16046</v>
      </c>
    </row>
    <row r="4366" spans="1:14">
      <c r="A4366">
        <v>19150088</v>
      </c>
      <c r="B4366">
        <v>3026929</v>
      </c>
      <c r="C4366" t="s">
        <v>2424</v>
      </c>
      <c r="D4366" t="s">
        <v>441</v>
      </c>
      <c r="F4366">
        <v>0</v>
      </c>
      <c r="G4366">
        <v>7.93</v>
      </c>
      <c r="H4366" t="s">
        <v>8588</v>
      </c>
      <c r="I4366">
        <v>6</v>
      </c>
      <c r="J4366" t="s">
        <v>445</v>
      </c>
      <c r="K4366" t="s">
        <v>446</v>
      </c>
      <c r="M4366">
        <v>7112</v>
      </c>
      <c r="N4366" t="s">
        <v>16046</v>
      </c>
    </row>
    <row r="4367" spans="1:14">
      <c r="A4367">
        <v>19150091</v>
      </c>
      <c r="B4367">
        <v>4014240</v>
      </c>
      <c r="C4367" t="s">
        <v>10420</v>
      </c>
      <c r="D4367" t="s">
        <v>442</v>
      </c>
      <c r="E4367" t="s">
        <v>441</v>
      </c>
      <c r="F4367">
        <v>0.5</v>
      </c>
      <c r="G4367">
        <v>5.09</v>
      </c>
      <c r="H4367" t="s">
        <v>8588</v>
      </c>
      <c r="I4367">
        <v>10</v>
      </c>
      <c r="J4367" t="s">
        <v>462</v>
      </c>
      <c r="K4367" t="s">
        <v>446</v>
      </c>
      <c r="M4367">
        <v>2622</v>
      </c>
      <c r="N4367" t="s">
        <v>16047</v>
      </c>
    </row>
    <row r="4368" spans="1:14">
      <c r="A4368">
        <v>19150093</v>
      </c>
      <c r="B4368">
        <v>4016972</v>
      </c>
      <c r="C4368" t="s">
        <v>10421</v>
      </c>
      <c r="D4368" t="s">
        <v>442</v>
      </c>
      <c r="E4368" t="s">
        <v>441</v>
      </c>
      <c r="F4368">
        <v>0.5</v>
      </c>
      <c r="G4368">
        <v>5.04</v>
      </c>
      <c r="H4368" t="s">
        <v>8588</v>
      </c>
      <c r="I4368">
        <v>10</v>
      </c>
      <c r="J4368" t="s">
        <v>462</v>
      </c>
      <c r="K4368" t="s">
        <v>446</v>
      </c>
      <c r="M4368">
        <v>2622</v>
      </c>
    </row>
    <row r="4369" spans="1:14">
      <c r="A4369">
        <v>19150096</v>
      </c>
      <c r="B4369">
        <v>4003907</v>
      </c>
      <c r="C4369" t="s">
        <v>10422</v>
      </c>
      <c r="D4369" t="s">
        <v>442</v>
      </c>
      <c r="E4369" t="s">
        <v>441</v>
      </c>
      <c r="F4369">
        <v>0.5</v>
      </c>
      <c r="G4369">
        <v>5.79</v>
      </c>
      <c r="H4369" t="s">
        <v>8588</v>
      </c>
      <c r="I4369">
        <v>10</v>
      </c>
      <c r="J4369" t="s">
        <v>462</v>
      </c>
      <c r="K4369" t="s">
        <v>446</v>
      </c>
      <c r="M4369">
        <v>2622</v>
      </c>
    </row>
    <row r="4370" spans="1:14">
      <c r="A4370">
        <v>19150097</v>
      </c>
      <c r="B4370">
        <v>4008629</v>
      </c>
      <c r="C4370" t="s">
        <v>10423</v>
      </c>
      <c r="D4370" t="s">
        <v>442</v>
      </c>
      <c r="E4370" t="s">
        <v>441</v>
      </c>
      <c r="F4370">
        <v>0.5</v>
      </c>
      <c r="G4370">
        <v>5.36</v>
      </c>
      <c r="H4370" t="s">
        <v>8588</v>
      </c>
      <c r="I4370">
        <v>10</v>
      </c>
      <c r="J4370" t="s">
        <v>462</v>
      </c>
      <c r="K4370" t="s">
        <v>446</v>
      </c>
      <c r="M4370">
        <v>2622</v>
      </c>
    </row>
    <row r="4371" spans="1:14">
      <c r="A4371">
        <v>19150098</v>
      </c>
      <c r="B4371">
        <v>4012963</v>
      </c>
      <c r="C4371" t="s">
        <v>10424</v>
      </c>
      <c r="D4371" t="s">
        <v>442</v>
      </c>
      <c r="E4371" t="s">
        <v>441</v>
      </c>
      <c r="F4371">
        <v>0.57499999999999996</v>
      </c>
      <c r="G4371">
        <v>5.22</v>
      </c>
      <c r="H4371" t="s">
        <v>8588</v>
      </c>
      <c r="I4371">
        <v>10</v>
      </c>
      <c r="J4371" t="s">
        <v>462</v>
      </c>
      <c r="K4371" t="s">
        <v>446</v>
      </c>
      <c r="M4371">
        <v>2622</v>
      </c>
    </row>
    <row r="4372" spans="1:14">
      <c r="A4372">
        <v>19150238</v>
      </c>
      <c r="B4372">
        <v>3022999</v>
      </c>
      <c r="C4372" t="s">
        <v>10425</v>
      </c>
      <c r="D4372" t="s">
        <v>442</v>
      </c>
      <c r="E4372" t="s">
        <v>441</v>
      </c>
      <c r="F4372">
        <v>0.5</v>
      </c>
      <c r="G4372">
        <v>4.76</v>
      </c>
      <c r="H4372" t="s">
        <v>8580</v>
      </c>
      <c r="I4372">
        <v>10</v>
      </c>
      <c r="J4372" t="s">
        <v>445</v>
      </c>
      <c r="K4372" t="s">
        <v>446</v>
      </c>
      <c r="M4372">
        <v>2622</v>
      </c>
    </row>
    <row r="4373" spans="1:14">
      <c r="A4373">
        <v>19151000</v>
      </c>
      <c r="B4373">
        <v>3017835</v>
      </c>
      <c r="C4373" t="s">
        <v>10426</v>
      </c>
      <c r="D4373" t="s">
        <v>441</v>
      </c>
      <c r="F4373">
        <v>0</v>
      </c>
      <c r="G4373">
        <v>8.85</v>
      </c>
      <c r="H4373" t="s">
        <v>8580</v>
      </c>
      <c r="I4373">
        <v>4</v>
      </c>
      <c r="J4373" t="s">
        <v>445</v>
      </c>
      <c r="K4373" t="s">
        <v>446</v>
      </c>
      <c r="M4373">
        <v>2621</v>
      </c>
    </row>
    <row r="4374" spans="1:14">
      <c r="A4374">
        <v>19160000</v>
      </c>
      <c r="B4374">
        <v>3016845</v>
      </c>
      <c r="C4374" t="s">
        <v>10427</v>
      </c>
      <c r="D4374" t="s">
        <v>441</v>
      </c>
      <c r="F4374">
        <v>0</v>
      </c>
      <c r="G4374">
        <v>9</v>
      </c>
      <c r="H4374" t="s">
        <v>8580</v>
      </c>
      <c r="I4374">
        <v>4</v>
      </c>
      <c r="J4374" t="s">
        <v>445</v>
      </c>
      <c r="K4374" t="s">
        <v>446</v>
      </c>
      <c r="M4374">
        <v>2621</v>
      </c>
    </row>
    <row r="4375" spans="1:14">
      <c r="A4375">
        <v>19160007</v>
      </c>
      <c r="B4375">
        <v>3026210</v>
      </c>
      <c r="C4375" t="s">
        <v>2425</v>
      </c>
      <c r="D4375" t="s">
        <v>441</v>
      </c>
      <c r="F4375">
        <v>0</v>
      </c>
      <c r="G4375">
        <v>7.87</v>
      </c>
      <c r="H4375" t="s">
        <v>8588</v>
      </c>
      <c r="I4375">
        <v>6</v>
      </c>
      <c r="J4375" t="s">
        <v>445</v>
      </c>
      <c r="K4375" t="s">
        <v>446</v>
      </c>
      <c r="M4375">
        <v>2391</v>
      </c>
      <c r="N4375" t="s">
        <v>16171</v>
      </c>
    </row>
    <row r="4376" spans="1:14">
      <c r="A4376">
        <v>19160030</v>
      </c>
      <c r="B4376">
        <v>4003908</v>
      </c>
      <c r="C4376" t="s">
        <v>10428</v>
      </c>
      <c r="D4376" t="s">
        <v>442</v>
      </c>
      <c r="E4376" t="s">
        <v>441</v>
      </c>
      <c r="F4376">
        <v>0.5</v>
      </c>
      <c r="G4376">
        <v>5.97</v>
      </c>
      <c r="H4376" t="s">
        <v>8588</v>
      </c>
      <c r="I4376">
        <v>6</v>
      </c>
      <c r="J4376" t="s">
        <v>462</v>
      </c>
      <c r="K4376" t="s">
        <v>446</v>
      </c>
      <c r="M4376">
        <v>2622</v>
      </c>
    </row>
    <row r="4377" spans="1:14">
      <c r="A4377">
        <v>19160031</v>
      </c>
      <c r="B4377">
        <v>4009961</v>
      </c>
      <c r="C4377" t="s">
        <v>10429</v>
      </c>
      <c r="D4377" t="s">
        <v>442</v>
      </c>
      <c r="E4377" t="s">
        <v>441</v>
      </c>
      <c r="F4377">
        <v>0.5</v>
      </c>
      <c r="G4377">
        <v>4.71</v>
      </c>
      <c r="H4377" t="s">
        <v>8588</v>
      </c>
      <c r="I4377">
        <v>10</v>
      </c>
      <c r="J4377" t="s">
        <v>462</v>
      </c>
      <c r="K4377" t="s">
        <v>446</v>
      </c>
      <c r="M4377">
        <v>2622</v>
      </c>
    </row>
    <row r="4378" spans="1:14">
      <c r="A4378">
        <v>19160032</v>
      </c>
      <c r="B4378">
        <v>4003909</v>
      </c>
      <c r="C4378" t="s">
        <v>10430</v>
      </c>
      <c r="D4378" t="s">
        <v>442</v>
      </c>
      <c r="E4378" t="s">
        <v>441</v>
      </c>
      <c r="F4378">
        <v>0.5</v>
      </c>
      <c r="G4378">
        <v>5.24</v>
      </c>
      <c r="H4378" t="s">
        <v>8588</v>
      </c>
      <c r="I4378">
        <v>10</v>
      </c>
      <c r="J4378" t="s">
        <v>462</v>
      </c>
      <c r="K4378" t="s">
        <v>446</v>
      </c>
      <c r="L4378" t="s">
        <v>10431</v>
      </c>
      <c r="M4378">
        <v>2622</v>
      </c>
    </row>
    <row r="4379" spans="1:14">
      <c r="A4379">
        <v>19160033</v>
      </c>
      <c r="B4379">
        <v>4010829</v>
      </c>
      <c r="C4379" t="s">
        <v>10432</v>
      </c>
      <c r="D4379" t="s">
        <v>442</v>
      </c>
      <c r="E4379" t="s">
        <v>441</v>
      </c>
      <c r="F4379">
        <v>0.5</v>
      </c>
      <c r="G4379">
        <v>5.33</v>
      </c>
      <c r="H4379" t="s">
        <v>8588</v>
      </c>
      <c r="I4379">
        <v>6</v>
      </c>
      <c r="J4379" t="s">
        <v>462</v>
      </c>
      <c r="K4379" t="s">
        <v>446</v>
      </c>
      <c r="M4379">
        <v>2622</v>
      </c>
    </row>
    <row r="4380" spans="1:14">
      <c r="A4380">
        <v>19160034</v>
      </c>
      <c r="B4380">
        <v>4003910</v>
      </c>
      <c r="C4380" t="s">
        <v>10433</v>
      </c>
      <c r="D4380" t="s">
        <v>442</v>
      </c>
      <c r="E4380" t="s">
        <v>441</v>
      </c>
      <c r="F4380">
        <v>0.5</v>
      </c>
      <c r="G4380">
        <v>4.7</v>
      </c>
      <c r="H4380" t="s">
        <v>8588</v>
      </c>
      <c r="I4380">
        <v>10</v>
      </c>
      <c r="J4380" t="s">
        <v>462</v>
      </c>
      <c r="K4380" t="s">
        <v>446</v>
      </c>
      <c r="M4380">
        <v>2622</v>
      </c>
    </row>
    <row r="4381" spans="1:14">
      <c r="A4381">
        <v>19160035</v>
      </c>
      <c r="B4381">
        <v>4011108</v>
      </c>
      <c r="C4381" t="s">
        <v>10434</v>
      </c>
      <c r="D4381" t="s">
        <v>442</v>
      </c>
      <c r="E4381" t="s">
        <v>441</v>
      </c>
      <c r="F4381">
        <v>0.5</v>
      </c>
      <c r="G4381">
        <v>5.12</v>
      </c>
      <c r="H4381" t="s">
        <v>8588</v>
      </c>
      <c r="I4381">
        <v>10</v>
      </c>
      <c r="J4381" t="s">
        <v>462</v>
      </c>
      <c r="K4381" t="s">
        <v>446</v>
      </c>
      <c r="M4381">
        <v>2622</v>
      </c>
    </row>
    <row r="4382" spans="1:14">
      <c r="A4382">
        <v>19160038</v>
      </c>
      <c r="B4382">
        <v>4003913</v>
      </c>
      <c r="C4382" t="s">
        <v>2426</v>
      </c>
      <c r="D4382" t="s">
        <v>442</v>
      </c>
      <c r="E4382" t="s">
        <v>441</v>
      </c>
      <c r="F4382">
        <v>0.75</v>
      </c>
      <c r="G4382">
        <v>8.82</v>
      </c>
      <c r="H4382" t="s">
        <v>8588</v>
      </c>
      <c r="I4382">
        <v>10</v>
      </c>
      <c r="J4382" t="s">
        <v>462</v>
      </c>
      <c r="K4382" t="s">
        <v>446</v>
      </c>
      <c r="M4382">
        <v>2622</v>
      </c>
    </row>
    <row r="4383" spans="1:14">
      <c r="A4383">
        <v>19160039</v>
      </c>
      <c r="B4383">
        <v>4011364</v>
      </c>
      <c r="C4383" t="s">
        <v>10435</v>
      </c>
      <c r="D4383" t="s">
        <v>442</v>
      </c>
      <c r="E4383" t="s">
        <v>441</v>
      </c>
      <c r="F4383">
        <v>0.5</v>
      </c>
      <c r="G4383">
        <v>4.7300000000000004</v>
      </c>
      <c r="H4383" t="s">
        <v>8588</v>
      </c>
      <c r="I4383">
        <v>10</v>
      </c>
      <c r="J4383" t="s">
        <v>462</v>
      </c>
      <c r="K4383" t="s">
        <v>446</v>
      </c>
      <c r="M4383">
        <v>2622</v>
      </c>
    </row>
    <row r="4384" spans="1:14">
      <c r="A4384">
        <v>19160040</v>
      </c>
      <c r="B4384">
        <v>4013405</v>
      </c>
      <c r="C4384" t="s">
        <v>10436</v>
      </c>
      <c r="D4384" t="s">
        <v>442</v>
      </c>
      <c r="E4384" t="s">
        <v>441</v>
      </c>
      <c r="F4384">
        <v>0.5</v>
      </c>
      <c r="G4384">
        <v>5.18</v>
      </c>
      <c r="H4384" t="s">
        <v>8588</v>
      </c>
      <c r="I4384">
        <v>10</v>
      </c>
      <c r="J4384" t="s">
        <v>462</v>
      </c>
      <c r="K4384" t="s">
        <v>446</v>
      </c>
      <c r="M4384">
        <v>2622</v>
      </c>
    </row>
    <row r="4385" spans="1:14">
      <c r="A4385">
        <v>19160041</v>
      </c>
      <c r="B4385">
        <v>4014236</v>
      </c>
      <c r="C4385" t="s">
        <v>10437</v>
      </c>
      <c r="D4385" t="s">
        <v>442</v>
      </c>
      <c r="E4385" t="s">
        <v>441</v>
      </c>
      <c r="F4385">
        <v>0.5</v>
      </c>
      <c r="G4385">
        <v>5.23</v>
      </c>
      <c r="H4385" t="s">
        <v>8588</v>
      </c>
      <c r="I4385">
        <v>10</v>
      </c>
      <c r="J4385" t="s">
        <v>462</v>
      </c>
      <c r="K4385" t="s">
        <v>446</v>
      </c>
      <c r="M4385">
        <v>2622</v>
      </c>
    </row>
    <row r="4386" spans="1:14">
      <c r="A4386">
        <v>19160042</v>
      </c>
      <c r="B4386">
        <v>4014238</v>
      </c>
      <c r="C4386" t="s">
        <v>10438</v>
      </c>
      <c r="D4386" t="s">
        <v>442</v>
      </c>
      <c r="E4386" t="s">
        <v>441</v>
      </c>
      <c r="F4386">
        <v>0.5</v>
      </c>
      <c r="G4386">
        <v>5.23</v>
      </c>
      <c r="H4386" t="s">
        <v>8588</v>
      </c>
      <c r="I4386">
        <v>10</v>
      </c>
      <c r="J4386" t="s">
        <v>462</v>
      </c>
      <c r="K4386" t="s">
        <v>446</v>
      </c>
      <c r="L4386" t="s">
        <v>10431</v>
      </c>
      <c r="M4386">
        <v>2622</v>
      </c>
    </row>
    <row r="4387" spans="1:14">
      <c r="A4387">
        <v>19160065</v>
      </c>
      <c r="B4387">
        <v>4015816</v>
      </c>
      <c r="C4387" t="s">
        <v>10439</v>
      </c>
      <c r="D4387" t="s">
        <v>442</v>
      </c>
      <c r="E4387" t="s">
        <v>441</v>
      </c>
      <c r="F4387">
        <v>1</v>
      </c>
      <c r="G4387">
        <v>9.99</v>
      </c>
      <c r="H4387" t="s">
        <v>8588</v>
      </c>
      <c r="I4387">
        <v>10</v>
      </c>
      <c r="J4387" t="s">
        <v>462</v>
      </c>
      <c r="K4387" t="s">
        <v>446</v>
      </c>
      <c r="M4387">
        <v>2622</v>
      </c>
    </row>
    <row r="4388" spans="1:14">
      <c r="A4388">
        <v>19160066</v>
      </c>
      <c r="B4388">
        <v>4015737</v>
      </c>
      <c r="C4388" t="s">
        <v>10440</v>
      </c>
      <c r="D4388" t="s">
        <v>442</v>
      </c>
      <c r="E4388" t="s">
        <v>441</v>
      </c>
      <c r="F4388">
        <v>1</v>
      </c>
      <c r="G4388">
        <v>9.98</v>
      </c>
      <c r="H4388" t="s">
        <v>8588</v>
      </c>
      <c r="I4388">
        <v>10</v>
      </c>
      <c r="J4388" t="s">
        <v>462</v>
      </c>
      <c r="K4388" t="s">
        <v>446</v>
      </c>
      <c r="L4388" t="s">
        <v>10441</v>
      </c>
      <c r="M4388">
        <v>2622</v>
      </c>
    </row>
    <row r="4389" spans="1:14">
      <c r="A4389">
        <v>19160069</v>
      </c>
      <c r="B4389">
        <v>4006181</v>
      </c>
      <c r="C4389" t="s">
        <v>10442</v>
      </c>
      <c r="D4389" t="s">
        <v>442</v>
      </c>
      <c r="E4389" t="s">
        <v>441</v>
      </c>
      <c r="F4389">
        <v>0.75</v>
      </c>
      <c r="G4389">
        <v>7.87</v>
      </c>
      <c r="H4389" t="s">
        <v>8588</v>
      </c>
      <c r="I4389">
        <v>10</v>
      </c>
      <c r="J4389" t="s">
        <v>462</v>
      </c>
      <c r="K4389" t="s">
        <v>446</v>
      </c>
      <c r="M4389">
        <v>2622</v>
      </c>
    </row>
    <row r="4390" spans="1:14">
      <c r="A4390">
        <v>19160080</v>
      </c>
      <c r="B4390">
        <v>3027448</v>
      </c>
      <c r="C4390" t="s">
        <v>2427</v>
      </c>
      <c r="D4390" t="s">
        <v>441</v>
      </c>
      <c r="F4390">
        <v>0</v>
      </c>
      <c r="G4390">
        <v>11.81</v>
      </c>
      <c r="H4390" t="s">
        <v>8588</v>
      </c>
      <c r="I4390">
        <v>6</v>
      </c>
      <c r="J4390" t="s">
        <v>445</v>
      </c>
      <c r="K4390" t="s">
        <v>446</v>
      </c>
      <c r="M4390">
        <v>2641</v>
      </c>
      <c r="N4390" t="s">
        <v>16171</v>
      </c>
    </row>
    <row r="4391" spans="1:14">
      <c r="A4391">
        <v>19160087</v>
      </c>
      <c r="B4391">
        <v>3026211</v>
      </c>
      <c r="C4391" t="s">
        <v>2428</v>
      </c>
      <c r="D4391" t="s">
        <v>441</v>
      </c>
      <c r="F4391">
        <v>0</v>
      </c>
      <c r="G4391">
        <v>7.92</v>
      </c>
      <c r="H4391" t="s">
        <v>8588</v>
      </c>
      <c r="I4391">
        <v>6</v>
      </c>
      <c r="J4391" t="s">
        <v>445</v>
      </c>
      <c r="K4391" t="s">
        <v>446</v>
      </c>
      <c r="M4391">
        <v>7112</v>
      </c>
      <c r="N4391" t="s">
        <v>16171</v>
      </c>
    </row>
    <row r="4392" spans="1:14">
      <c r="A4392">
        <v>19160088</v>
      </c>
      <c r="B4392">
        <v>3027050</v>
      </c>
      <c r="C4392" t="s">
        <v>2429</v>
      </c>
      <c r="D4392" t="s">
        <v>441</v>
      </c>
      <c r="F4392">
        <v>0</v>
      </c>
      <c r="G4392">
        <v>7.94</v>
      </c>
      <c r="H4392" t="s">
        <v>8588</v>
      </c>
      <c r="I4392">
        <v>6</v>
      </c>
      <c r="J4392" t="s">
        <v>445</v>
      </c>
      <c r="K4392" t="s">
        <v>446</v>
      </c>
      <c r="M4392">
        <v>7112</v>
      </c>
      <c r="N4392" t="s">
        <v>16171</v>
      </c>
    </row>
    <row r="4393" spans="1:14">
      <c r="A4393">
        <v>19160093</v>
      </c>
      <c r="B4393">
        <v>4016971</v>
      </c>
      <c r="C4393" t="s">
        <v>10443</v>
      </c>
      <c r="D4393" t="s">
        <v>442</v>
      </c>
      <c r="E4393" t="s">
        <v>441</v>
      </c>
      <c r="F4393">
        <v>0.5</v>
      </c>
      <c r="G4393">
        <v>5.19</v>
      </c>
      <c r="H4393" t="s">
        <v>8588</v>
      </c>
      <c r="I4393">
        <v>10</v>
      </c>
      <c r="J4393" t="s">
        <v>462</v>
      </c>
      <c r="K4393" t="s">
        <v>446</v>
      </c>
      <c r="M4393">
        <v>2622</v>
      </c>
    </row>
    <row r="4394" spans="1:14">
      <c r="A4394">
        <v>19160094</v>
      </c>
      <c r="B4394">
        <v>4007517</v>
      </c>
      <c r="C4394" t="s">
        <v>10444</v>
      </c>
      <c r="D4394" t="s">
        <v>442</v>
      </c>
      <c r="E4394" t="s">
        <v>441</v>
      </c>
      <c r="F4394">
        <v>0.55000000000000004</v>
      </c>
      <c r="G4394">
        <v>5.96</v>
      </c>
      <c r="H4394" t="s">
        <v>8588</v>
      </c>
      <c r="I4394">
        <v>10</v>
      </c>
      <c r="J4394" t="s">
        <v>462</v>
      </c>
      <c r="K4394" t="s">
        <v>446</v>
      </c>
      <c r="M4394">
        <v>2622</v>
      </c>
    </row>
    <row r="4395" spans="1:14">
      <c r="A4395">
        <v>19160095</v>
      </c>
      <c r="B4395">
        <v>4007548</v>
      </c>
      <c r="C4395" t="s">
        <v>10445</v>
      </c>
      <c r="D4395" t="s">
        <v>442</v>
      </c>
      <c r="E4395" t="s">
        <v>441</v>
      </c>
      <c r="F4395">
        <v>0.5</v>
      </c>
      <c r="G4395">
        <v>5.39</v>
      </c>
      <c r="H4395" t="s">
        <v>8588</v>
      </c>
      <c r="I4395">
        <v>10</v>
      </c>
      <c r="J4395" t="s">
        <v>462</v>
      </c>
      <c r="K4395" t="s">
        <v>446</v>
      </c>
      <c r="M4395">
        <v>2622</v>
      </c>
    </row>
    <row r="4396" spans="1:14">
      <c r="A4396">
        <v>19160096</v>
      </c>
      <c r="B4396">
        <v>4008628</v>
      </c>
      <c r="C4396" t="s">
        <v>10446</v>
      </c>
      <c r="D4396" t="s">
        <v>442</v>
      </c>
      <c r="E4396" t="s">
        <v>441</v>
      </c>
      <c r="F4396">
        <v>0.5</v>
      </c>
      <c r="G4396">
        <v>6.09</v>
      </c>
      <c r="H4396" t="s">
        <v>8588</v>
      </c>
      <c r="I4396">
        <v>10</v>
      </c>
      <c r="J4396" t="s">
        <v>462</v>
      </c>
      <c r="K4396" t="s">
        <v>446</v>
      </c>
      <c r="M4396">
        <v>2622</v>
      </c>
    </row>
    <row r="4397" spans="1:14">
      <c r="A4397">
        <v>19160097</v>
      </c>
      <c r="B4397">
        <v>4010938</v>
      </c>
      <c r="C4397" t="s">
        <v>10447</v>
      </c>
      <c r="D4397" t="s">
        <v>442</v>
      </c>
      <c r="E4397" t="s">
        <v>441</v>
      </c>
      <c r="F4397">
        <v>0.5</v>
      </c>
      <c r="G4397">
        <v>5.23</v>
      </c>
      <c r="H4397" t="s">
        <v>8588</v>
      </c>
      <c r="I4397">
        <v>10</v>
      </c>
      <c r="J4397" t="s">
        <v>462</v>
      </c>
      <c r="K4397" t="s">
        <v>446</v>
      </c>
      <c r="M4397">
        <v>2622</v>
      </c>
    </row>
    <row r="4398" spans="1:14">
      <c r="A4398">
        <v>19160098</v>
      </c>
      <c r="B4398">
        <v>4012962</v>
      </c>
      <c r="C4398" t="s">
        <v>10448</v>
      </c>
      <c r="D4398" t="s">
        <v>442</v>
      </c>
      <c r="E4398" t="s">
        <v>441</v>
      </c>
      <c r="F4398">
        <v>0.57499999999999996</v>
      </c>
      <c r="G4398">
        <v>5.42</v>
      </c>
      <c r="H4398" t="s">
        <v>8588</v>
      </c>
      <c r="I4398">
        <v>10</v>
      </c>
      <c r="J4398" t="s">
        <v>462</v>
      </c>
      <c r="K4398" t="s">
        <v>446</v>
      </c>
      <c r="M4398">
        <v>2622</v>
      </c>
    </row>
    <row r="4399" spans="1:14">
      <c r="A4399">
        <v>19160099</v>
      </c>
      <c r="B4399">
        <v>4013121</v>
      </c>
      <c r="C4399" t="s">
        <v>10449</v>
      </c>
      <c r="D4399" t="s">
        <v>442</v>
      </c>
      <c r="E4399" t="s">
        <v>441</v>
      </c>
      <c r="F4399">
        <v>0.625</v>
      </c>
      <c r="G4399">
        <v>6.74</v>
      </c>
      <c r="H4399" t="s">
        <v>8588</v>
      </c>
      <c r="I4399">
        <v>6</v>
      </c>
      <c r="J4399" t="s">
        <v>462</v>
      </c>
      <c r="K4399" t="s">
        <v>446</v>
      </c>
      <c r="M4399">
        <v>2622</v>
      </c>
    </row>
    <row r="4400" spans="1:14">
      <c r="A4400">
        <v>19160130</v>
      </c>
      <c r="B4400">
        <v>4013141</v>
      </c>
      <c r="C4400" t="s">
        <v>10450</v>
      </c>
      <c r="D4400" t="s">
        <v>442</v>
      </c>
      <c r="E4400" t="s">
        <v>441</v>
      </c>
      <c r="F4400">
        <v>0.625</v>
      </c>
      <c r="G4400">
        <v>6.78</v>
      </c>
      <c r="H4400" t="s">
        <v>8588</v>
      </c>
      <c r="I4400">
        <v>10</v>
      </c>
      <c r="J4400" t="s">
        <v>462</v>
      </c>
      <c r="K4400" t="s">
        <v>446</v>
      </c>
      <c r="M4400">
        <v>2622</v>
      </c>
    </row>
    <row r="4401" spans="1:14">
      <c r="A4401">
        <v>19160230</v>
      </c>
      <c r="B4401">
        <v>3022998</v>
      </c>
      <c r="C4401" t="s">
        <v>10451</v>
      </c>
      <c r="D4401" t="s">
        <v>442</v>
      </c>
      <c r="E4401" t="s">
        <v>441</v>
      </c>
      <c r="F4401">
        <v>0.5</v>
      </c>
      <c r="G4401">
        <v>4.91</v>
      </c>
      <c r="H4401" t="s">
        <v>8580</v>
      </c>
      <c r="I4401">
        <v>10</v>
      </c>
      <c r="J4401" t="s">
        <v>445</v>
      </c>
      <c r="K4401" t="s">
        <v>446</v>
      </c>
      <c r="M4401">
        <v>2622</v>
      </c>
    </row>
    <row r="4402" spans="1:14">
      <c r="A4402">
        <v>19161000</v>
      </c>
      <c r="B4402">
        <v>3017834</v>
      </c>
      <c r="C4402" t="s">
        <v>10452</v>
      </c>
      <c r="D4402" t="s">
        <v>441</v>
      </c>
      <c r="F4402">
        <v>0</v>
      </c>
      <c r="G4402">
        <v>12.07</v>
      </c>
      <c r="H4402" t="s">
        <v>8580</v>
      </c>
      <c r="I4402">
        <v>4</v>
      </c>
      <c r="J4402" t="s">
        <v>445</v>
      </c>
      <c r="K4402" t="s">
        <v>446</v>
      </c>
      <c r="M4402">
        <v>2621</v>
      </c>
    </row>
    <row r="4403" spans="1:14">
      <c r="A4403">
        <v>19161032</v>
      </c>
      <c r="B4403">
        <v>4011616</v>
      </c>
      <c r="C4403" t="s">
        <v>10453</v>
      </c>
      <c r="D4403" t="s">
        <v>442</v>
      </c>
      <c r="E4403" t="s">
        <v>441</v>
      </c>
      <c r="F4403">
        <v>0.5</v>
      </c>
      <c r="G4403">
        <v>6.5</v>
      </c>
      <c r="H4403" t="s">
        <v>8588</v>
      </c>
      <c r="I4403">
        <v>10</v>
      </c>
      <c r="J4403" t="s">
        <v>462</v>
      </c>
      <c r="K4403" t="s">
        <v>446</v>
      </c>
      <c r="M4403">
        <v>2622</v>
      </c>
    </row>
    <row r="4404" spans="1:14">
      <c r="A4404">
        <v>19170000</v>
      </c>
      <c r="B4404">
        <v>3012502</v>
      </c>
      <c r="C4404" t="s">
        <v>10454</v>
      </c>
      <c r="D4404" t="s">
        <v>441</v>
      </c>
      <c r="F4404">
        <v>0</v>
      </c>
      <c r="G4404">
        <v>8.84</v>
      </c>
      <c r="H4404" t="s">
        <v>8580</v>
      </c>
      <c r="I4404">
        <v>6</v>
      </c>
      <c r="J4404" t="s">
        <v>445</v>
      </c>
      <c r="K4404" t="s">
        <v>446</v>
      </c>
      <c r="M4404">
        <v>2621</v>
      </c>
    </row>
    <row r="4405" spans="1:14">
      <c r="A4405">
        <v>19170030</v>
      </c>
      <c r="B4405">
        <v>4009994</v>
      </c>
      <c r="C4405" t="s">
        <v>10455</v>
      </c>
      <c r="D4405" t="s">
        <v>442</v>
      </c>
      <c r="E4405" t="s">
        <v>441</v>
      </c>
      <c r="F4405">
        <v>0.5</v>
      </c>
      <c r="G4405">
        <v>5.0599999999999996</v>
      </c>
      <c r="H4405" t="s">
        <v>8588</v>
      </c>
      <c r="I4405">
        <v>10</v>
      </c>
      <c r="J4405" t="s">
        <v>462</v>
      </c>
      <c r="K4405" t="s">
        <v>446</v>
      </c>
      <c r="M4405">
        <v>2622</v>
      </c>
    </row>
    <row r="4406" spans="1:14">
      <c r="A4406">
        <v>19180000</v>
      </c>
      <c r="B4406">
        <v>3007809</v>
      </c>
      <c r="C4406" t="s">
        <v>10456</v>
      </c>
      <c r="D4406" t="s">
        <v>441</v>
      </c>
      <c r="F4406">
        <v>0</v>
      </c>
      <c r="G4406">
        <v>8.75</v>
      </c>
      <c r="I4406">
        <v>6</v>
      </c>
      <c r="J4406" t="s">
        <v>445</v>
      </c>
      <c r="K4406" t="s">
        <v>446</v>
      </c>
      <c r="M4406">
        <v>2611</v>
      </c>
    </row>
    <row r="4407" spans="1:14">
      <c r="A4407">
        <v>19181000</v>
      </c>
      <c r="B4407">
        <v>3017401</v>
      </c>
      <c r="C4407" t="s">
        <v>10457</v>
      </c>
      <c r="D4407" t="s">
        <v>441</v>
      </c>
      <c r="F4407">
        <v>0</v>
      </c>
      <c r="G4407">
        <v>8.75</v>
      </c>
      <c r="H4407" t="s">
        <v>8580</v>
      </c>
      <c r="I4407">
        <v>6</v>
      </c>
      <c r="J4407" t="s">
        <v>445</v>
      </c>
      <c r="K4407" t="s">
        <v>446</v>
      </c>
      <c r="M4407">
        <v>2611</v>
      </c>
    </row>
    <row r="4408" spans="1:14">
      <c r="A4408">
        <v>19184000</v>
      </c>
      <c r="B4408">
        <v>3007810</v>
      </c>
      <c r="C4408" t="s">
        <v>2430</v>
      </c>
      <c r="D4408" t="s">
        <v>441</v>
      </c>
      <c r="F4408">
        <v>0</v>
      </c>
      <c r="G4408">
        <v>8.07</v>
      </c>
      <c r="I4408">
        <v>6</v>
      </c>
      <c r="J4408" t="s">
        <v>445</v>
      </c>
      <c r="K4408" t="s">
        <v>446</v>
      </c>
      <c r="M4408">
        <v>0</v>
      </c>
    </row>
    <row r="4409" spans="1:14">
      <c r="A4409">
        <v>19190000</v>
      </c>
      <c r="B4409">
        <v>3007811</v>
      </c>
      <c r="C4409" t="s">
        <v>2431</v>
      </c>
      <c r="D4409" t="s">
        <v>441</v>
      </c>
      <c r="F4409">
        <v>0</v>
      </c>
      <c r="G4409">
        <v>10.88</v>
      </c>
      <c r="I4409">
        <v>5</v>
      </c>
      <c r="J4409" t="s">
        <v>445</v>
      </c>
      <c r="K4409" t="s">
        <v>446</v>
      </c>
      <c r="M4409">
        <v>2611</v>
      </c>
    </row>
    <row r="4410" spans="1:14">
      <c r="A4410">
        <v>19194000</v>
      </c>
      <c r="B4410">
        <v>3007812</v>
      </c>
      <c r="C4410" t="s">
        <v>2432</v>
      </c>
      <c r="D4410" t="s">
        <v>441</v>
      </c>
      <c r="F4410">
        <v>0</v>
      </c>
      <c r="G4410">
        <v>10.73</v>
      </c>
      <c r="I4410">
        <v>6</v>
      </c>
      <c r="J4410" t="s">
        <v>445</v>
      </c>
      <c r="K4410" t="s">
        <v>446</v>
      </c>
      <c r="M4410">
        <v>0</v>
      </c>
    </row>
    <row r="4411" spans="1:14">
      <c r="A4411">
        <v>19200000</v>
      </c>
      <c r="B4411">
        <v>3009753</v>
      </c>
      <c r="C4411" t="s">
        <v>10458</v>
      </c>
      <c r="D4411" t="s">
        <v>441</v>
      </c>
      <c r="F4411">
        <v>0</v>
      </c>
      <c r="G4411">
        <v>10.220000000000001</v>
      </c>
      <c r="I4411">
        <v>6</v>
      </c>
      <c r="J4411" t="s">
        <v>445</v>
      </c>
      <c r="K4411" t="s">
        <v>446</v>
      </c>
      <c r="M4411">
        <v>2621</v>
      </c>
    </row>
    <row r="4412" spans="1:14">
      <c r="A4412">
        <v>19210000</v>
      </c>
      <c r="B4412">
        <v>3009751</v>
      </c>
      <c r="C4412" t="s">
        <v>10459</v>
      </c>
      <c r="D4412" t="s">
        <v>441</v>
      </c>
      <c r="F4412">
        <v>0</v>
      </c>
      <c r="G4412">
        <v>8.3800000000000008</v>
      </c>
      <c r="I4412">
        <v>6</v>
      </c>
      <c r="J4412" t="s">
        <v>445</v>
      </c>
      <c r="K4412" t="s">
        <v>446</v>
      </c>
      <c r="M4412">
        <v>2621</v>
      </c>
    </row>
    <row r="4413" spans="1:14">
      <c r="A4413">
        <v>19220000</v>
      </c>
      <c r="B4413">
        <v>3016001</v>
      </c>
      <c r="C4413" t="s">
        <v>2433</v>
      </c>
      <c r="D4413" t="s">
        <v>441</v>
      </c>
      <c r="F4413">
        <v>0</v>
      </c>
      <c r="G4413">
        <v>3.8</v>
      </c>
      <c r="H4413" t="s">
        <v>8549</v>
      </c>
      <c r="I4413">
        <v>6</v>
      </c>
      <c r="J4413" t="s">
        <v>445</v>
      </c>
      <c r="M4413">
        <v>2143</v>
      </c>
      <c r="N4413" t="s">
        <v>16172</v>
      </c>
    </row>
    <row r="4414" spans="1:14">
      <c r="A4414">
        <v>19220002</v>
      </c>
      <c r="B4414">
        <v>3008977</v>
      </c>
      <c r="C4414" t="s">
        <v>10460</v>
      </c>
      <c r="D4414" t="s">
        <v>441</v>
      </c>
      <c r="F4414">
        <v>0</v>
      </c>
      <c r="G4414">
        <v>5.56</v>
      </c>
      <c r="H4414" t="s">
        <v>8580</v>
      </c>
      <c r="I4414">
        <v>365</v>
      </c>
      <c r="J4414" t="s">
        <v>445</v>
      </c>
      <c r="K4414" t="s">
        <v>446</v>
      </c>
      <c r="M4414">
        <v>2501</v>
      </c>
    </row>
    <row r="4415" spans="1:14">
      <c r="A4415">
        <v>19220100</v>
      </c>
      <c r="B4415">
        <v>3010015</v>
      </c>
      <c r="C4415" t="s">
        <v>10461</v>
      </c>
      <c r="D4415" t="s">
        <v>441</v>
      </c>
      <c r="F4415">
        <v>0</v>
      </c>
      <c r="H4415" t="s">
        <v>8588</v>
      </c>
      <c r="I4415">
        <v>6</v>
      </c>
      <c r="J4415" t="s">
        <v>445</v>
      </c>
      <c r="K4415" t="s">
        <v>446</v>
      </c>
      <c r="M4415">
        <v>7161</v>
      </c>
    </row>
    <row r="4416" spans="1:14">
      <c r="A4416">
        <v>19220502</v>
      </c>
      <c r="B4416">
        <v>3008978</v>
      </c>
      <c r="C4416" t="s">
        <v>10462</v>
      </c>
      <c r="D4416" t="s">
        <v>441</v>
      </c>
      <c r="F4416">
        <v>0</v>
      </c>
      <c r="G4416">
        <v>5.34</v>
      </c>
      <c r="H4416" t="s">
        <v>8584</v>
      </c>
      <c r="I4416">
        <v>6</v>
      </c>
      <c r="J4416" t="s">
        <v>445</v>
      </c>
      <c r="K4416" t="s">
        <v>446</v>
      </c>
      <c r="M4416">
        <v>2141</v>
      </c>
    </row>
    <row r="4417" spans="1:14">
      <c r="A4417">
        <v>19220602</v>
      </c>
      <c r="B4417">
        <v>3010009</v>
      </c>
      <c r="C4417" t="s">
        <v>10463</v>
      </c>
      <c r="D4417" t="s">
        <v>441</v>
      </c>
      <c r="F4417">
        <v>0</v>
      </c>
      <c r="G4417">
        <v>5.83</v>
      </c>
      <c r="H4417" t="s">
        <v>8586</v>
      </c>
      <c r="I4417">
        <v>4</v>
      </c>
      <c r="J4417" t="s">
        <v>445</v>
      </c>
      <c r="K4417" t="s">
        <v>446</v>
      </c>
      <c r="M4417">
        <v>2511</v>
      </c>
    </row>
    <row r="4418" spans="1:14">
      <c r="A4418">
        <v>19220900</v>
      </c>
      <c r="B4418">
        <v>3021278</v>
      </c>
      <c r="C4418" t="s">
        <v>2434</v>
      </c>
      <c r="D4418" t="s">
        <v>441</v>
      </c>
      <c r="F4418">
        <v>0</v>
      </c>
      <c r="H4418" t="s">
        <v>8584</v>
      </c>
      <c r="I4418">
        <v>6</v>
      </c>
      <c r="J4418" t="s">
        <v>445</v>
      </c>
      <c r="M4418">
        <v>6666</v>
      </c>
      <c r="N4418" t="s">
        <v>16172</v>
      </c>
    </row>
    <row r="4419" spans="1:14">
      <c r="A4419">
        <v>19224000</v>
      </c>
      <c r="B4419">
        <v>3007813</v>
      </c>
      <c r="C4419" t="s">
        <v>10464</v>
      </c>
      <c r="D4419" t="s">
        <v>441</v>
      </c>
      <c r="F4419">
        <v>0</v>
      </c>
      <c r="G4419">
        <v>8.82</v>
      </c>
      <c r="I4419">
        <v>6</v>
      </c>
      <c r="J4419" t="s">
        <v>445</v>
      </c>
      <c r="K4419" t="s">
        <v>446</v>
      </c>
      <c r="M4419">
        <v>0</v>
      </c>
    </row>
    <row r="4420" spans="1:14">
      <c r="A4420">
        <v>19230000</v>
      </c>
      <c r="B4420">
        <v>3009758</v>
      </c>
      <c r="C4420" t="s">
        <v>10465</v>
      </c>
      <c r="D4420" t="s">
        <v>441</v>
      </c>
      <c r="F4420">
        <v>0</v>
      </c>
      <c r="G4420">
        <v>3.8</v>
      </c>
      <c r="H4420" t="s">
        <v>8588</v>
      </c>
      <c r="I4420">
        <v>6</v>
      </c>
      <c r="J4420" t="s">
        <v>445</v>
      </c>
      <c r="M4420">
        <v>2143</v>
      </c>
      <c r="N4420" t="s">
        <v>16172</v>
      </c>
    </row>
    <row r="4421" spans="1:14">
      <c r="A4421">
        <v>19230019</v>
      </c>
      <c r="B4421">
        <v>3009756</v>
      </c>
      <c r="C4421" t="s">
        <v>10466</v>
      </c>
      <c r="D4421" t="s">
        <v>441</v>
      </c>
      <c r="F4421">
        <v>0</v>
      </c>
      <c r="G4421">
        <v>4.3</v>
      </c>
      <c r="H4421" t="s">
        <v>8588</v>
      </c>
      <c r="I4421">
        <v>365</v>
      </c>
      <c r="J4421" t="s">
        <v>445</v>
      </c>
      <c r="M4421">
        <v>7111</v>
      </c>
      <c r="N4421" t="s">
        <v>16172</v>
      </c>
    </row>
    <row r="4422" spans="1:14">
      <c r="A4422">
        <v>19230075</v>
      </c>
      <c r="B4422">
        <v>3009755</v>
      </c>
      <c r="C4422" t="s">
        <v>10467</v>
      </c>
      <c r="D4422" t="s">
        <v>441</v>
      </c>
      <c r="F4422">
        <v>0</v>
      </c>
      <c r="G4422">
        <v>3.96</v>
      </c>
      <c r="H4422" t="s">
        <v>8588</v>
      </c>
      <c r="I4422">
        <v>6</v>
      </c>
      <c r="J4422" t="s">
        <v>445</v>
      </c>
      <c r="M4422">
        <v>7112</v>
      </c>
      <c r="N4422" t="s">
        <v>16172</v>
      </c>
    </row>
    <row r="4423" spans="1:14">
      <c r="A4423">
        <v>19230102</v>
      </c>
      <c r="B4423">
        <v>3034496</v>
      </c>
      <c r="C4423" t="s">
        <v>10468</v>
      </c>
      <c r="D4423" t="s">
        <v>441</v>
      </c>
      <c r="F4423">
        <v>0</v>
      </c>
      <c r="H4423" t="s">
        <v>8588</v>
      </c>
      <c r="I4423">
        <v>729</v>
      </c>
      <c r="J4423" t="s">
        <v>445</v>
      </c>
      <c r="K4423" t="s">
        <v>446</v>
      </c>
      <c r="M4423">
        <v>0</v>
      </c>
      <c r="N4423" t="s">
        <v>16172</v>
      </c>
    </row>
    <row r="4424" spans="1:14">
      <c r="A4424">
        <v>19230112</v>
      </c>
      <c r="B4424">
        <v>3037263</v>
      </c>
      <c r="C4424" t="s">
        <v>10469</v>
      </c>
      <c r="D4424" t="s">
        <v>441</v>
      </c>
      <c r="F4424">
        <v>0</v>
      </c>
      <c r="G4424">
        <v>6.99</v>
      </c>
      <c r="H4424" t="s">
        <v>8588</v>
      </c>
      <c r="I4424">
        <v>729</v>
      </c>
      <c r="J4424" t="s">
        <v>445</v>
      </c>
      <c r="M4424">
        <v>0</v>
      </c>
      <c r="N4424" t="s">
        <v>16172</v>
      </c>
    </row>
    <row r="4425" spans="1:14">
      <c r="A4425">
        <v>19230519</v>
      </c>
      <c r="B4425">
        <v>3009757</v>
      </c>
      <c r="C4425" t="s">
        <v>10470</v>
      </c>
      <c r="D4425" t="s">
        <v>441</v>
      </c>
      <c r="F4425">
        <v>0</v>
      </c>
      <c r="G4425">
        <v>3.98</v>
      </c>
      <c r="I4425">
        <v>6</v>
      </c>
      <c r="J4425" t="s">
        <v>445</v>
      </c>
      <c r="M4425">
        <v>2502</v>
      </c>
      <c r="N4425" t="s">
        <v>16172</v>
      </c>
    </row>
    <row r="4426" spans="1:14">
      <c r="A4426">
        <v>19230619</v>
      </c>
      <c r="B4426">
        <v>3011115</v>
      </c>
      <c r="C4426" t="s">
        <v>10471</v>
      </c>
      <c r="D4426" t="s">
        <v>441</v>
      </c>
      <c r="F4426">
        <v>0</v>
      </c>
      <c r="G4426">
        <v>4.46</v>
      </c>
      <c r="H4426" t="s">
        <v>8588</v>
      </c>
      <c r="I4426">
        <v>4</v>
      </c>
      <c r="J4426" t="s">
        <v>445</v>
      </c>
      <c r="M4426">
        <v>2510</v>
      </c>
      <c r="N4426" t="s">
        <v>16172</v>
      </c>
    </row>
    <row r="4427" spans="1:14">
      <c r="A4427">
        <v>19230900</v>
      </c>
      <c r="B4427">
        <v>3020278</v>
      </c>
      <c r="C4427" t="s">
        <v>10472</v>
      </c>
      <c r="D4427" t="s">
        <v>441</v>
      </c>
      <c r="F4427">
        <v>0</v>
      </c>
      <c r="H4427" t="s">
        <v>8584</v>
      </c>
      <c r="I4427">
        <v>6</v>
      </c>
      <c r="J4427" t="s">
        <v>445</v>
      </c>
      <c r="M4427">
        <v>6666</v>
      </c>
      <c r="N4427" t="s">
        <v>16172</v>
      </c>
    </row>
    <row r="4428" spans="1:14">
      <c r="A4428">
        <v>19230919</v>
      </c>
      <c r="B4428">
        <v>3020279</v>
      </c>
      <c r="C4428" t="s">
        <v>10473</v>
      </c>
      <c r="D4428" t="s">
        <v>441</v>
      </c>
      <c r="F4428">
        <v>0</v>
      </c>
      <c r="H4428" t="s">
        <v>8584</v>
      </c>
      <c r="I4428">
        <v>4</v>
      </c>
      <c r="J4428" t="s">
        <v>445</v>
      </c>
      <c r="M4428">
        <v>6666</v>
      </c>
      <c r="N4428" t="s">
        <v>16172</v>
      </c>
    </row>
    <row r="4429" spans="1:14">
      <c r="A4429">
        <v>19234000</v>
      </c>
      <c r="B4429">
        <v>3039107</v>
      </c>
      <c r="C4429" t="s">
        <v>8527</v>
      </c>
      <c r="D4429" t="s">
        <v>441</v>
      </c>
      <c r="F4429">
        <v>0</v>
      </c>
      <c r="G4429">
        <v>3.8</v>
      </c>
      <c r="H4429" t="s">
        <v>8549</v>
      </c>
      <c r="I4429">
        <v>6</v>
      </c>
      <c r="J4429" t="s">
        <v>445</v>
      </c>
      <c r="M4429">
        <v>2143</v>
      </c>
      <c r="N4429" t="s">
        <v>16172</v>
      </c>
    </row>
    <row r="4430" spans="1:14">
      <c r="A4430">
        <v>19234019</v>
      </c>
      <c r="B4430">
        <v>3041051</v>
      </c>
      <c r="C4430" t="s">
        <v>10474</v>
      </c>
      <c r="D4430" t="s">
        <v>441</v>
      </c>
      <c r="F4430">
        <v>0</v>
      </c>
      <c r="G4430">
        <v>4.5</v>
      </c>
      <c r="H4430" t="s">
        <v>8588</v>
      </c>
      <c r="I4430">
        <v>365</v>
      </c>
      <c r="J4430" t="s">
        <v>445</v>
      </c>
      <c r="M4430">
        <v>7111</v>
      </c>
      <c r="N4430" t="s">
        <v>16172</v>
      </c>
    </row>
    <row r="4431" spans="1:14">
      <c r="A4431">
        <v>19234100</v>
      </c>
      <c r="B4431">
        <v>3037744</v>
      </c>
      <c r="C4431" t="s">
        <v>14346</v>
      </c>
      <c r="D4431" t="s">
        <v>441</v>
      </c>
      <c r="F4431">
        <v>0</v>
      </c>
      <c r="G4431">
        <v>6.4</v>
      </c>
      <c r="H4431" t="s">
        <v>8588</v>
      </c>
      <c r="I4431">
        <v>6</v>
      </c>
      <c r="J4431" t="s">
        <v>445</v>
      </c>
      <c r="M4431">
        <v>0</v>
      </c>
      <c r="N4431" t="s">
        <v>16172</v>
      </c>
    </row>
    <row r="4432" spans="1:14">
      <c r="A4432">
        <v>19234519</v>
      </c>
      <c r="B4432">
        <v>3037515</v>
      </c>
      <c r="C4432" t="s">
        <v>10475</v>
      </c>
      <c r="D4432" t="s">
        <v>441</v>
      </c>
      <c r="F4432">
        <v>0</v>
      </c>
      <c r="G4432">
        <v>4.18</v>
      </c>
      <c r="H4432" t="s">
        <v>8549</v>
      </c>
      <c r="I4432">
        <v>6</v>
      </c>
      <c r="J4432" t="s">
        <v>445</v>
      </c>
      <c r="M4432">
        <v>2502</v>
      </c>
      <c r="N4432" t="s">
        <v>16172</v>
      </c>
    </row>
    <row r="4433" spans="1:14">
      <c r="A4433">
        <v>19234619</v>
      </c>
      <c r="B4433">
        <v>3037477</v>
      </c>
      <c r="C4433" t="s">
        <v>10476</v>
      </c>
      <c r="D4433" t="s">
        <v>441</v>
      </c>
      <c r="F4433">
        <v>0</v>
      </c>
      <c r="G4433">
        <v>4.67</v>
      </c>
      <c r="H4433" t="s">
        <v>8588</v>
      </c>
      <c r="I4433">
        <v>5</v>
      </c>
      <c r="J4433" t="s">
        <v>445</v>
      </c>
      <c r="M4433">
        <v>2510</v>
      </c>
      <c r="N4433" t="s">
        <v>16172</v>
      </c>
    </row>
    <row r="4434" spans="1:14">
      <c r="A4434">
        <v>19234900</v>
      </c>
      <c r="B4434">
        <v>3040383</v>
      </c>
      <c r="C4434" t="s">
        <v>10477</v>
      </c>
      <c r="D4434" t="s">
        <v>441</v>
      </c>
      <c r="F4434">
        <v>0</v>
      </c>
      <c r="G4434">
        <v>3.2</v>
      </c>
      <c r="H4434" t="s">
        <v>8549</v>
      </c>
      <c r="I4434">
        <v>6</v>
      </c>
      <c r="J4434" t="s">
        <v>445</v>
      </c>
      <c r="M4434">
        <v>6666</v>
      </c>
      <c r="N4434" t="s">
        <v>16172</v>
      </c>
    </row>
    <row r="4435" spans="1:14">
      <c r="A4435">
        <v>19234919</v>
      </c>
      <c r="B4435">
        <v>3037541</v>
      </c>
      <c r="C4435" t="s">
        <v>10478</v>
      </c>
      <c r="D4435" t="s">
        <v>441</v>
      </c>
      <c r="F4435">
        <v>0</v>
      </c>
      <c r="G4435">
        <v>4.57</v>
      </c>
      <c r="H4435" t="s">
        <v>8580</v>
      </c>
      <c r="I4435">
        <v>5</v>
      </c>
      <c r="J4435" t="s">
        <v>445</v>
      </c>
      <c r="M4435">
        <v>6666</v>
      </c>
      <c r="N4435" t="s">
        <v>16172</v>
      </c>
    </row>
    <row r="4436" spans="1:14">
      <c r="A4436">
        <v>19239000</v>
      </c>
      <c r="B4436">
        <v>3028114</v>
      </c>
      <c r="C4436" t="s">
        <v>10479</v>
      </c>
      <c r="D4436" t="s">
        <v>441</v>
      </c>
      <c r="F4436">
        <v>0</v>
      </c>
      <c r="G4436">
        <v>3.8</v>
      </c>
      <c r="H4436" t="s">
        <v>8588</v>
      </c>
      <c r="I4436">
        <v>6</v>
      </c>
      <c r="J4436" t="s">
        <v>445</v>
      </c>
      <c r="M4436">
        <v>3111</v>
      </c>
      <c r="N4436" t="s">
        <v>16172</v>
      </c>
    </row>
    <row r="4437" spans="1:14">
      <c r="A4437">
        <v>19239900</v>
      </c>
      <c r="B4437">
        <v>3028133</v>
      </c>
      <c r="C4437" t="s">
        <v>10480</v>
      </c>
      <c r="D4437" t="s">
        <v>441</v>
      </c>
      <c r="F4437">
        <v>0</v>
      </c>
      <c r="H4437" t="s">
        <v>8580</v>
      </c>
      <c r="I4437">
        <v>6</v>
      </c>
      <c r="J4437" t="s">
        <v>445</v>
      </c>
      <c r="M4437">
        <v>6666</v>
      </c>
      <c r="N4437" t="s">
        <v>16172</v>
      </c>
    </row>
    <row r="4438" spans="1:14">
      <c r="A4438">
        <v>19300000</v>
      </c>
      <c r="B4438">
        <v>3015972</v>
      </c>
      <c r="C4438" t="s">
        <v>2435</v>
      </c>
      <c r="D4438" t="s">
        <v>441</v>
      </c>
      <c r="F4438">
        <v>0</v>
      </c>
      <c r="G4438">
        <v>7.79</v>
      </c>
      <c r="H4438" t="s">
        <v>8588</v>
      </c>
      <c r="I4438">
        <v>6</v>
      </c>
      <c r="J4438" t="s">
        <v>445</v>
      </c>
      <c r="M4438">
        <v>2391</v>
      </c>
      <c r="N4438" t="s">
        <v>16046</v>
      </c>
    </row>
    <row r="4439" spans="1:14">
      <c r="A4439">
        <v>19300007</v>
      </c>
      <c r="B4439">
        <v>3024956</v>
      </c>
      <c r="C4439" t="s">
        <v>412</v>
      </c>
      <c r="D4439" t="s">
        <v>441</v>
      </c>
      <c r="F4439">
        <v>0</v>
      </c>
      <c r="G4439">
        <v>7.9</v>
      </c>
      <c r="H4439" t="s">
        <v>8588</v>
      </c>
      <c r="I4439">
        <v>6</v>
      </c>
      <c r="J4439" t="s">
        <v>445</v>
      </c>
      <c r="M4439">
        <v>3111</v>
      </c>
      <c r="N4439" t="s">
        <v>16046</v>
      </c>
    </row>
    <row r="4440" spans="1:14">
      <c r="A4440">
        <v>19300040</v>
      </c>
      <c r="B4440">
        <v>4019010</v>
      </c>
      <c r="C4440" t="s">
        <v>2436</v>
      </c>
      <c r="D4440" t="s">
        <v>441</v>
      </c>
      <c r="F4440">
        <v>0</v>
      </c>
      <c r="G4440">
        <v>8.31</v>
      </c>
      <c r="H4440" t="s">
        <v>8588</v>
      </c>
      <c r="I4440">
        <v>16</v>
      </c>
      <c r="J4440" t="s">
        <v>462</v>
      </c>
      <c r="M4440">
        <v>7112</v>
      </c>
      <c r="N4440" t="s">
        <v>16046</v>
      </c>
    </row>
    <row r="4441" spans="1:14">
      <c r="A4441">
        <v>19300076</v>
      </c>
      <c r="B4441">
        <v>3025853</v>
      </c>
      <c r="C4441" t="s">
        <v>2437</v>
      </c>
      <c r="D4441" t="s">
        <v>441</v>
      </c>
      <c r="F4441">
        <v>0</v>
      </c>
      <c r="G4441">
        <v>7.93</v>
      </c>
      <c r="H4441" t="s">
        <v>8588</v>
      </c>
      <c r="I4441">
        <v>6</v>
      </c>
      <c r="J4441" t="s">
        <v>445</v>
      </c>
      <c r="L4441">
        <v>2092026</v>
      </c>
      <c r="M4441">
        <v>7112</v>
      </c>
      <c r="N4441" t="s">
        <v>16046</v>
      </c>
    </row>
    <row r="4442" spans="1:14">
      <c r="A4442">
        <v>19300087</v>
      </c>
      <c r="B4442">
        <v>3029588</v>
      </c>
      <c r="C4442" t="s">
        <v>2438</v>
      </c>
      <c r="D4442" t="s">
        <v>441</v>
      </c>
      <c r="F4442">
        <v>0</v>
      </c>
      <c r="G4442">
        <v>7.9</v>
      </c>
      <c r="H4442" t="s">
        <v>8588</v>
      </c>
      <c r="I4442">
        <v>6</v>
      </c>
      <c r="J4442" t="s">
        <v>445</v>
      </c>
      <c r="M4442">
        <v>7112</v>
      </c>
      <c r="N4442" t="s">
        <v>16046</v>
      </c>
    </row>
    <row r="4443" spans="1:14">
      <c r="A4443">
        <v>19300088</v>
      </c>
      <c r="B4443">
        <v>3033450</v>
      </c>
      <c r="C4443" t="s">
        <v>2439</v>
      </c>
      <c r="D4443" t="s">
        <v>441</v>
      </c>
      <c r="F4443">
        <v>0</v>
      </c>
      <c r="G4443">
        <v>7.91</v>
      </c>
      <c r="H4443" t="s">
        <v>8588</v>
      </c>
      <c r="I4443">
        <v>6</v>
      </c>
      <c r="J4443" t="s">
        <v>445</v>
      </c>
      <c r="M4443">
        <v>7112</v>
      </c>
      <c r="N4443" t="s">
        <v>16046</v>
      </c>
    </row>
    <row r="4444" spans="1:14">
      <c r="A4444">
        <v>19300100</v>
      </c>
      <c r="B4444">
        <v>3023661</v>
      </c>
      <c r="C4444" t="s">
        <v>2440</v>
      </c>
      <c r="D4444" t="s">
        <v>441</v>
      </c>
      <c r="F4444">
        <v>0</v>
      </c>
      <c r="H4444" t="s">
        <v>8588</v>
      </c>
      <c r="I4444">
        <v>6</v>
      </c>
      <c r="J4444" t="s">
        <v>445</v>
      </c>
      <c r="M4444">
        <v>7161</v>
      </c>
      <c r="N4444" t="s">
        <v>16046</v>
      </c>
    </row>
    <row r="4445" spans="1:14">
      <c r="A4445">
        <v>19300502</v>
      </c>
      <c r="B4445">
        <v>3039138</v>
      </c>
      <c r="C4445" t="s">
        <v>17424</v>
      </c>
      <c r="D4445" t="s">
        <v>441</v>
      </c>
      <c r="F4445">
        <v>0</v>
      </c>
      <c r="G4445">
        <v>16.23</v>
      </c>
      <c r="H4445" t="s">
        <v>8580</v>
      </c>
      <c r="I4445">
        <v>5</v>
      </c>
      <c r="J4445" t="s">
        <v>445</v>
      </c>
      <c r="M4445">
        <v>2502</v>
      </c>
      <c r="N4445" t="s">
        <v>16046</v>
      </c>
    </row>
    <row r="4446" spans="1:14">
      <c r="A4446">
        <v>19300900</v>
      </c>
      <c r="B4446">
        <v>3020280</v>
      </c>
      <c r="C4446" t="s">
        <v>2441</v>
      </c>
      <c r="D4446" t="s">
        <v>441</v>
      </c>
      <c r="F4446">
        <v>0</v>
      </c>
      <c r="G4446">
        <v>0</v>
      </c>
      <c r="H4446" t="s">
        <v>8627</v>
      </c>
      <c r="I4446">
        <v>6</v>
      </c>
      <c r="J4446" t="s">
        <v>445</v>
      </c>
      <c r="M4446">
        <v>6666</v>
      </c>
      <c r="N4446" t="s">
        <v>16046</v>
      </c>
    </row>
    <row r="4447" spans="1:14">
      <c r="A4447">
        <v>19300907</v>
      </c>
      <c r="B4447">
        <v>3025216</v>
      </c>
      <c r="C4447" t="s">
        <v>195</v>
      </c>
      <c r="D4447" t="s">
        <v>441</v>
      </c>
      <c r="F4447">
        <v>0</v>
      </c>
      <c r="G4447">
        <v>0</v>
      </c>
      <c r="H4447" t="s">
        <v>8580</v>
      </c>
      <c r="I4447">
        <v>6</v>
      </c>
      <c r="J4447" t="s">
        <v>445</v>
      </c>
      <c r="M4447">
        <v>6666</v>
      </c>
      <c r="N4447" t="s">
        <v>16046</v>
      </c>
    </row>
    <row r="4448" spans="1:14">
      <c r="A4448">
        <v>19301000</v>
      </c>
      <c r="B4448">
        <v>3017796</v>
      </c>
      <c r="C4448" t="s">
        <v>2442</v>
      </c>
      <c r="D4448" t="s">
        <v>441</v>
      </c>
      <c r="F4448">
        <v>0</v>
      </c>
      <c r="G4448">
        <v>7.79</v>
      </c>
      <c r="H4448" t="s">
        <v>8619</v>
      </c>
      <c r="I4448">
        <v>6</v>
      </c>
      <c r="J4448" t="s">
        <v>445</v>
      </c>
      <c r="M4448">
        <v>2391</v>
      </c>
      <c r="N4448" t="s">
        <v>16046</v>
      </c>
    </row>
    <row r="4449" spans="1:14">
      <c r="A4449">
        <v>19301007</v>
      </c>
      <c r="B4449">
        <v>3024957</v>
      </c>
      <c r="C4449" t="s">
        <v>10481</v>
      </c>
      <c r="D4449" t="s">
        <v>441</v>
      </c>
      <c r="F4449">
        <v>0</v>
      </c>
      <c r="G4449">
        <v>10.99</v>
      </c>
      <c r="H4449" t="s">
        <v>8935</v>
      </c>
      <c r="I4449">
        <v>6</v>
      </c>
      <c r="J4449" t="s">
        <v>445</v>
      </c>
      <c r="K4449" t="s">
        <v>446</v>
      </c>
      <c r="M4449">
        <v>3111</v>
      </c>
      <c r="N4449" t="s">
        <v>16046</v>
      </c>
    </row>
    <row r="4450" spans="1:14">
      <c r="A4450">
        <v>19301907</v>
      </c>
      <c r="B4450">
        <v>3025217</v>
      </c>
      <c r="C4450" t="s">
        <v>10482</v>
      </c>
      <c r="D4450" t="s">
        <v>441</v>
      </c>
      <c r="F4450">
        <v>0</v>
      </c>
      <c r="G4450">
        <v>0</v>
      </c>
      <c r="H4450" t="s">
        <v>8580</v>
      </c>
      <c r="I4450">
        <v>6</v>
      </c>
      <c r="J4450" t="s">
        <v>445</v>
      </c>
      <c r="K4450" t="s">
        <v>446</v>
      </c>
      <c r="M4450">
        <v>6666</v>
      </c>
      <c r="N4450" t="s">
        <v>16046</v>
      </c>
    </row>
    <row r="4451" spans="1:14">
      <c r="A4451">
        <v>19304000</v>
      </c>
      <c r="B4451">
        <v>3036151</v>
      </c>
      <c r="C4451" t="s">
        <v>2443</v>
      </c>
      <c r="D4451" t="s">
        <v>441</v>
      </c>
      <c r="F4451">
        <v>0</v>
      </c>
      <c r="G4451">
        <v>7.79</v>
      </c>
      <c r="H4451" t="s">
        <v>8549</v>
      </c>
      <c r="I4451">
        <v>6</v>
      </c>
      <c r="J4451" t="s">
        <v>445</v>
      </c>
      <c r="M4451">
        <v>2391</v>
      </c>
      <c r="N4451" t="s">
        <v>16046</v>
      </c>
    </row>
    <row r="4452" spans="1:14">
      <c r="A4452">
        <v>19304002</v>
      </c>
      <c r="B4452">
        <v>3045717</v>
      </c>
      <c r="C4452" t="s">
        <v>17425</v>
      </c>
      <c r="D4452" t="s">
        <v>441</v>
      </c>
      <c r="F4452">
        <v>0</v>
      </c>
      <c r="G4452">
        <v>16.829999999999998</v>
      </c>
      <c r="H4452" t="s">
        <v>8588</v>
      </c>
      <c r="I4452">
        <v>365</v>
      </c>
      <c r="J4452" t="s">
        <v>445</v>
      </c>
      <c r="M4452">
        <v>7111</v>
      </c>
      <c r="N4452" t="s">
        <v>16046</v>
      </c>
    </row>
    <row r="4453" spans="1:14">
      <c r="A4453">
        <v>19304007</v>
      </c>
      <c r="B4453">
        <v>3043769</v>
      </c>
      <c r="C4453" t="s">
        <v>10483</v>
      </c>
      <c r="D4453" t="s">
        <v>441</v>
      </c>
      <c r="F4453">
        <v>0</v>
      </c>
      <c r="G4453">
        <v>13.68</v>
      </c>
      <c r="H4453" t="s">
        <v>8588</v>
      </c>
      <c r="I4453">
        <v>6</v>
      </c>
      <c r="J4453" t="s">
        <v>445</v>
      </c>
      <c r="M4453">
        <v>3111</v>
      </c>
      <c r="N4453" t="s">
        <v>16046</v>
      </c>
    </row>
    <row r="4454" spans="1:14">
      <c r="A4454">
        <v>19304087</v>
      </c>
      <c r="B4454">
        <v>3036298</v>
      </c>
      <c r="C4454" t="s">
        <v>2444</v>
      </c>
      <c r="D4454" t="s">
        <v>441</v>
      </c>
      <c r="F4454">
        <v>0</v>
      </c>
      <c r="G4454">
        <v>7.9</v>
      </c>
      <c r="H4454" t="s">
        <v>8588</v>
      </c>
      <c r="I4454">
        <v>6</v>
      </c>
      <c r="J4454" t="s">
        <v>445</v>
      </c>
      <c r="M4454">
        <v>7112</v>
      </c>
      <c r="N4454" t="s">
        <v>16046</v>
      </c>
    </row>
    <row r="4455" spans="1:14">
      <c r="A4455">
        <v>19304502</v>
      </c>
      <c r="B4455">
        <v>3039422</v>
      </c>
      <c r="C4455" t="s">
        <v>17426</v>
      </c>
      <c r="D4455" t="s">
        <v>441</v>
      </c>
      <c r="F4455">
        <v>0</v>
      </c>
      <c r="G4455">
        <v>16.23</v>
      </c>
      <c r="H4455" t="s">
        <v>8634</v>
      </c>
      <c r="I4455">
        <v>5</v>
      </c>
      <c r="J4455" t="s">
        <v>445</v>
      </c>
      <c r="M4455">
        <v>2502</v>
      </c>
      <c r="N4455" t="s">
        <v>16046</v>
      </c>
    </row>
    <row r="4456" spans="1:14">
      <c r="A4456">
        <v>19304602</v>
      </c>
      <c r="B4456">
        <v>3045782</v>
      </c>
      <c r="C4456" t="s">
        <v>17427</v>
      </c>
      <c r="D4456" t="s">
        <v>441</v>
      </c>
      <c r="F4456">
        <v>0</v>
      </c>
      <c r="G4456">
        <v>17.28</v>
      </c>
      <c r="H4456" t="s">
        <v>8588</v>
      </c>
      <c r="I4456">
        <v>4</v>
      </c>
      <c r="J4456" t="s">
        <v>445</v>
      </c>
      <c r="M4456">
        <v>2510</v>
      </c>
      <c r="N4456" t="s">
        <v>16046</v>
      </c>
    </row>
    <row r="4457" spans="1:14">
      <c r="A4457">
        <v>19304902</v>
      </c>
      <c r="B4457">
        <v>3045785</v>
      </c>
      <c r="C4457" t="s">
        <v>17428</v>
      </c>
      <c r="D4457" t="s">
        <v>441</v>
      </c>
      <c r="F4457">
        <v>0</v>
      </c>
      <c r="G4457">
        <v>1</v>
      </c>
      <c r="H4457" t="s">
        <v>8588</v>
      </c>
      <c r="I4457">
        <v>4</v>
      </c>
      <c r="J4457" t="s">
        <v>445</v>
      </c>
      <c r="M4457">
        <v>6666</v>
      </c>
      <c r="N4457" t="s">
        <v>16046</v>
      </c>
    </row>
    <row r="4458" spans="1:14">
      <c r="A4458">
        <v>19304907</v>
      </c>
      <c r="B4458">
        <v>3043810</v>
      </c>
      <c r="C4458" t="s">
        <v>10484</v>
      </c>
      <c r="D4458" t="s">
        <v>441</v>
      </c>
      <c r="F4458">
        <v>0</v>
      </c>
      <c r="G4458">
        <v>1</v>
      </c>
      <c r="H4458" t="s">
        <v>8588</v>
      </c>
      <c r="I4458">
        <v>6</v>
      </c>
      <c r="J4458" t="s">
        <v>445</v>
      </c>
      <c r="M4458">
        <v>6666</v>
      </c>
      <c r="N4458" t="s">
        <v>16046</v>
      </c>
    </row>
    <row r="4459" spans="1:14">
      <c r="A4459">
        <v>19310000</v>
      </c>
      <c r="B4459">
        <v>3005574</v>
      </c>
      <c r="C4459" t="s">
        <v>2445</v>
      </c>
      <c r="D4459" t="s">
        <v>441</v>
      </c>
      <c r="F4459">
        <v>0</v>
      </c>
      <c r="G4459">
        <v>8.9700000000000006</v>
      </c>
      <c r="H4459" t="s">
        <v>8549</v>
      </c>
      <c r="I4459">
        <v>6</v>
      </c>
      <c r="J4459" t="s">
        <v>445</v>
      </c>
      <c r="K4459" t="s">
        <v>446</v>
      </c>
      <c r="M4459">
        <v>0</v>
      </c>
    </row>
    <row r="4460" spans="1:14">
      <c r="A4460">
        <v>19320000</v>
      </c>
      <c r="B4460">
        <v>3007814</v>
      </c>
      <c r="C4460" t="s">
        <v>2446</v>
      </c>
      <c r="D4460" t="s">
        <v>441</v>
      </c>
      <c r="F4460">
        <v>0</v>
      </c>
      <c r="G4460">
        <v>7.4</v>
      </c>
      <c r="I4460">
        <v>6</v>
      </c>
      <c r="J4460" t="s">
        <v>445</v>
      </c>
      <c r="K4460" t="s">
        <v>446</v>
      </c>
      <c r="M4460">
        <v>0</v>
      </c>
    </row>
    <row r="4461" spans="1:14">
      <c r="A4461">
        <v>19340000</v>
      </c>
      <c r="B4461">
        <v>3005588</v>
      </c>
      <c r="C4461" t="s">
        <v>2447</v>
      </c>
      <c r="D4461" t="s">
        <v>441</v>
      </c>
      <c r="F4461">
        <v>0</v>
      </c>
      <c r="G4461">
        <v>9.3000000000000007</v>
      </c>
      <c r="H4461" t="s">
        <v>8549</v>
      </c>
      <c r="I4461">
        <v>6</v>
      </c>
      <c r="J4461" t="s">
        <v>445</v>
      </c>
      <c r="K4461" t="s">
        <v>446</v>
      </c>
      <c r="M4461">
        <v>0</v>
      </c>
    </row>
    <row r="4462" spans="1:14">
      <c r="A4462">
        <v>19350000</v>
      </c>
      <c r="B4462">
        <v>3028376</v>
      </c>
      <c r="C4462" t="s">
        <v>2448</v>
      </c>
      <c r="D4462" t="s">
        <v>441</v>
      </c>
      <c r="F4462">
        <v>0</v>
      </c>
      <c r="G4462">
        <v>7.79</v>
      </c>
      <c r="H4462" t="s">
        <v>8588</v>
      </c>
      <c r="I4462">
        <v>6</v>
      </c>
      <c r="J4462" t="s">
        <v>445</v>
      </c>
      <c r="M4462">
        <v>2391</v>
      </c>
      <c r="N4462" t="s">
        <v>16046</v>
      </c>
    </row>
    <row r="4463" spans="1:14">
      <c r="A4463">
        <v>19350007</v>
      </c>
      <c r="B4463">
        <v>3030474</v>
      </c>
      <c r="C4463" t="s">
        <v>10485</v>
      </c>
      <c r="D4463" t="s">
        <v>441</v>
      </c>
      <c r="F4463">
        <v>0</v>
      </c>
      <c r="G4463">
        <v>10.83</v>
      </c>
      <c r="H4463" t="s">
        <v>8588</v>
      </c>
      <c r="I4463">
        <v>6</v>
      </c>
      <c r="J4463" t="s">
        <v>445</v>
      </c>
      <c r="K4463" t="s">
        <v>446</v>
      </c>
      <c r="M4463">
        <v>2641</v>
      </c>
      <c r="N4463" t="s">
        <v>16046</v>
      </c>
    </row>
    <row r="4464" spans="1:14">
      <c r="A4464">
        <v>19350040</v>
      </c>
      <c r="B4464">
        <v>4020366</v>
      </c>
      <c r="C4464" t="s">
        <v>2449</v>
      </c>
      <c r="D4464" t="s">
        <v>441</v>
      </c>
      <c r="F4464">
        <v>0</v>
      </c>
      <c r="G4464">
        <v>8.59</v>
      </c>
      <c r="H4464" t="s">
        <v>8588</v>
      </c>
      <c r="I4464">
        <v>16</v>
      </c>
      <c r="J4464" t="s">
        <v>462</v>
      </c>
      <c r="M4464">
        <v>7112</v>
      </c>
      <c r="N4464" t="s">
        <v>16046</v>
      </c>
    </row>
    <row r="4465" spans="1:14">
      <c r="A4465">
        <v>19350041</v>
      </c>
      <c r="B4465">
        <v>4026849</v>
      </c>
      <c r="C4465" t="s">
        <v>2450</v>
      </c>
      <c r="D4465" t="s">
        <v>441</v>
      </c>
      <c r="F4465">
        <v>0</v>
      </c>
      <c r="G4465">
        <v>8.6300000000000008</v>
      </c>
      <c r="H4465" t="s">
        <v>8588</v>
      </c>
      <c r="I4465">
        <v>16</v>
      </c>
      <c r="J4465" t="s">
        <v>462</v>
      </c>
      <c r="M4465">
        <v>7112</v>
      </c>
      <c r="N4465" t="s">
        <v>16046</v>
      </c>
    </row>
    <row r="4466" spans="1:14">
      <c r="A4466">
        <v>19350076</v>
      </c>
      <c r="B4466">
        <v>3028378</v>
      </c>
      <c r="C4466" t="s">
        <v>2451</v>
      </c>
      <c r="D4466" t="s">
        <v>441</v>
      </c>
      <c r="F4466">
        <v>0</v>
      </c>
      <c r="G4466">
        <v>7.9</v>
      </c>
      <c r="H4466" t="s">
        <v>8588</v>
      </c>
      <c r="I4466">
        <v>6</v>
      </c>
      <c r="J4466" t="s">
        <v>445</v>
      </c>
      <c r="M4466">
        <v>7112</v>
      </c>
      <c r="N4466" t="s">
        <v>16046</v>
      </c>
    </row>
    <row r="4467" spans="1:14">
      <c r="A4467">
        <v>19351000</v>
      </c>
      <c r="B4467">
        <v>3030477</v>
      </c>
      <c r="C4467" t="s">
        <v>2452</v>
      </c>
      <c r="D4467" t="s">
        <v>441</v>
      </c>
      <c r="F4467">
        <v>0</v>
      </c>
      <c r="G4467">
        <v>7.79</v>
      </c>
      <c r="H4467" t="s">
        <v>8549</v>
      </c>
      <c r="I4467">
        <v>6</v>
      </c>
      <c r="J4467" t="s">
        <v>445</v>
      </c>
      <c r="M4467">
        <v>2391</v>
      </c>
      <c r="N4467" t="s">
        <v>16046</v>
      </c>
    </row>
    <row r="4468" spans="1:14">
      <c r="A4468">
        <v>19351007</v>
      </c>
      <c r="B4468">
        <v>3030476</v>
      </c>
      <c r="C4468" t="s">
        <v>10486</v>
      </c>
      <c r="D4468" t="s">
        <v>441</v>
      </c>
      <c r="F4468">
        <v>0</v>
      </c>
      <c r="G4468">
        <v>10.83</v>
      </c>
      <c r="H4468" t="s">
        <v>8588</v>
      </c>
      <c r="I4468">
        <v>6</v>
      </c>
      <c r="J4468" t="s">
        <v>445</v>
      </c>
      <c r="K4468" t="s">
        <v>446</v>
      </c>
      <c r="M4468">
        <v>2641</v>
      </c>
      <c r="N4468" t="s">
        <v>16046</v>
      </c>
    </row>
    <row r="4469" spans="1:14">
      <c r="A4469">
        <v>19351040</v>
      </c>
      <c r="B4469">
        <v>4020367</v>
      </c>
      <c r="C4469" t="s">
        <v>10487</v>
      </c>
      <c r="D4469" t="s">
        <v>441</v>
      </c>
      <c r="F4469">
        <v>0</v>
      </c>
      <c r="G4469">
        <v>11.42</v>
      </c>
      <c r="H4469" t="s">
        <v>8588</v>
      </c>
      <c r="I4469">
        <v>16</v>
      </c>
      <c r="J4469" t="s">
        <v>462</v>
      </c>
      <c r="K4469" t="s">
        <v>446</v>
      </c>
      <c r="M4469">
        <v>2612</v>
      </c>
      <c r="N4469" t="s">
        <v>16046</v>
      </c>
    </row>
    <row r="4470" spans="1:14">
      <c r="A4470">
        <v>19360000</v>
      </c>
      <c r="B4470">
        <v>3005077</v>
      </c>
      <c r="C4470" t="s">
        <v>10488</v>
      </c>
      <c r="D4470" t="s">
        <v>441</v>
      </c>
      <c r="F4470">
        <v>0</v>
      </c>
      <c r="G4470">
        <v>20.92</v>
      </c>
      <c r="H4470" t="s">
        <v>8584</v>
      </c>
      <c r="I4470">
        <v>6</v>
      </c>
      <c r="J4470" t="s">
        <v>445</v>
      </c>
      <c r="K4470" t="s">
        <v>446</v>
      </c>
      <c r="M4470">
        <v>0</v>
      </c>
    </row>
    <row r="4471" spans="1:14">
      <c r="A4471">
        <v>19370000</v>
      </c>
      <c r="B4471">
        <v>3015154</v>
      </c>
      <c r="C4471" t="s">
        <v>2453</v>
      </c>
      <c r="D4471" t="s">
        <v>441</v>
      </c>
      <c r="F4471">
        <v>0</v>
      </c>
      <c r="G4471">
        <v>18.53</v>
      </c>
      <c r="I4471">
        <v>6</v>
      </c>
      <c r="J4471" t="s">
        <v>445</v>
      </c>
      <c r="M4471">
        <v>2391</v>
      </c>
      <c r="N4471" t="s">
        <v>16124</v>
      </c>
    </row>
    <row r="4472" spans="1:14">
      <c r="A4472">
        <v>19370007</v>
      </c>
      <c r="B4472">
        <v>3024958</v>
      </c>
      <c r="C4472" t="s">
        <v>10489</v>
      </c>
      <c r="D4472" t="s">
        <v>441</v>
      </c>
      <c r="F4472">
        <v>0</v>
      </c>
      <c r="G4472">
        <v>21.24</v>
      </c>
      <c r="H4472" t="s">
        <v>8935</v>
      </c>
      <c r="I4472">
        <v>6</v>
      </c>
      <c r="J4472" t="s">
        <v>445</v>
      </c>
      <c r="K4472" t="s">
        <v>446</v>
      </c>
      <c r="M4472">
        <v>3111</v>
      </c>
      <c r="N4472" t="s">
        <v>16124</v>
      </c>
    </row>
    <row r="4473" spans="1:14">
      <c r="A4473">
        <v>19370040</v>
      </c>
      <c r="B4473">
        <v>4030486</v>
      </c>
      <c r="C4473" t="s">
        <v>17429</v>
      </c>
      <c r="D4473" t="s">
        <v>441</v>
      </c>
      <c r="F4473">
        <v>0</v>
      </c>
      <c r="G4473">
        <v>32.549999999999997</v>
      </c>
      <c r="H4473" t="s">
        <v>8588</v>
      </c>
      <c r="I4473">
        <v>16</v>
      </c>
      <c r="J4473" t="s">
        <v>462</v>
      </c>
      <c r="M4473">
        <v>7112</v>
      </c>
      <c r="N4473" t="s">
        <v>16124</v>
      </c>
    </row>
    <row r="4474" spans="1:14">
      <c r="A4474">
        <v>19371000</v>
      </c>
      <c r="B4474">
        <v>3017706</v>
      </c>
      <c r="C4474" t="s">
        <v>2454</v>
      </c>
      <c r="D4474" t="s">
        <v>441</v>
      </c>
      <c r="F4474">
        <v>0</v>
      </c>
      <c r="G4474">
        <v>18.53</v>
      </c>
      <c r="H4474" t="s">
        <v>8580</v>
      </c>
      <c r="I4474">
        <v>6</v>
      </c>
      <c r="J4474" t="s">
        <v>445</v>
      </c>
      <c r="M4474">
        <v>2391</v>
      </c>
      <c r="N4474" t="s">
        <v>16124</v>
      </c>
    </row>
    <row r="4475" spans="1:14">
      <c r="A4475">
        <v>19371007</v>
      </c>
      <c r="B4475">
        <v>3024959</v>
      </c>
      <c r="C4475" t="s">
        <v>10490</v>
      </c>
      <c r="D4475" t="s">
        <v>441</v>
      </c>
      <c r="F4475">
        <v>0</v>
      </c>
      <c r="G4475">
        <v>21.24</v>
      </c>
      <c r="H4475" t="s">
        <v>8935</v>
      </c>
      <c r="I4475">
        <v>6</v>
      </c>
      <c r="J4475" t="s">
        <v>445</v>
      </c>
      <c r="K4475" t="s">
        <v>446</v>
      </c>
      <c r="M4475">
        <v>3111</v>
      </c>
      <c r="N4475" t="s">
        <v>16124</v>
      </c>
    </row>
    <row r="4476" spans="1:14">
      <c r="A4476">
        <v>19380000</v>
      </c>
      <c r="B4476">
        <v>3005079</v>
      </c>
      <c r="C4476" t="s">
        <v>10491</v>
      </c>
      <c r="D4476" t="s">
        <v>441</v>
      </c>
      <c r="F4476">
        <v>0</v>
      </c>
      <c r="G4476">
        <v>19.84</v>
      </c>
      <c r="H4476" t="s">
        <v>8583</v>
      </c>
      <c r="I4476">
        <v>6</v>
      </c>
      <c r="J4476" t="s">
        <v>445</v>
      </c>
      <c r="K4476" t="s">
        <v>446</v>
      </c>
      <c r="M4476">
        <v>0</v>
      </c>
    </row>
    <row r="4477" spans="1:14">
      <c r="A4477">
        <v>19390000</v>
      </c>
      <c r="B4477">
        <v>3005424</v>
      </c>
      <c r="C4477" t="s">
        <v>10492</v>
      </c>
      <c r="D4477" t="s">
        <v>441</v>
      </c>
      <c r="F4477">
        <v>0</v>
      </c>
      <c r="G4477">
        <v>17.02</v>
      </c>
      <c r="H4477" t="s">
        <v>8549</v>
      </c>
      <c r="I4477">
        <v>6</v>
      </c>
      <c r="J4477" t="s">
        <v>445</v>
      </c>
      <c r="K4477" t="s">
        <v>446</v>
      </c>
      <c r="M4477">
        <v>0</v>
      </c>
    </row>
    <row r="4478" spans="1:14">
      <c r="A4478">
        <v>19440000</v>
      </c>
      <c r="B4478">
        <v>3011375</v>
      </c>
      <c r="C4478" t="s">
        <v>2455</v>
      </c>
      <c r="D4478" t="s">
        <v>441</v>
      </c>
      <c r="F4478">
        <v>0</v>
      </c>
      <c r="G4478">
        <v>8.91</v>
      </c>
      <c r="H4478" t="s">
        <v>8549</v>
      </c>
      <c r="I4478">
        <v>6</v>
      </c>
      <c r="J4478" t="s">
        <v>445</v>
      </c>
      <c r="K4478" t="s">
        <v>446</v>
      </c>
      <c r="M4478">
        <v>2312</v>
      </c>
    </row>
    <row r="4479" spans="1:14">
      <c r="A4479">
        <v>19450000</v>
      </c>
      <c r="B4479">
        <v>3015920</v>
      </c>
      <c r="C4479" t="s">
        <v>2456</v>
      </c>
      <c r="D4479" t="s">
        <v>441</v>
      </c>
      <c r="F4479">
        <v>0</v>
      </c>
      <c r="G4479">
        <v>7.48</v>
      </c>
      <c r="H4479" t="s">
        <v>8588</v>
      </c>
      <c r="I4479">
        <v>6</v>
      </c>
      <c r="J4479" t="s">
        <v>445</v>
      </c>
      <c r="M4479">
        <v>2391</v>
      </c>
      <c r="N4479" t="s">
        <v>16048</v>
      </c>
    </row>
    <row r="4480" spans="1:14">
      <c r="A4480">
        <v>19450007</v>
      </c>
      <c r="B4480">
        <v>3024960</v>
      </c>
      <c r="C4480" t="s">
        <v>2457</v>
      </c>
      <c r="D4480" t="s">
        <v>441</v>
      </c>
      <c r="F4480">
        <v>0</v>
      </c>
      <c r="G4480">
        <v>7.59</v>
      </c>
      <c r="H4480" t="s">
        <v>8935</v>
      </c>
      <c r="I4480">
        <v>6</v>
      </c>
      <c r="J4480" t="s">
        <v>445</v>
      </c>
      <c r="M4480">
        <v>3113</v>
      </c>
      <c r="N4480" t="s">
        <v>16048</v>
      </c>
    </row>
    <row r="4481" spans="1:14">
      <c r="A4481">
        <v>19450040</v>
      </c>
      <c r="B4481">
        <v>4030115</v>
      </c>
      <c r="C4481" t="s">
        <v>15927</v>
      </c>
      <c r="D4481" t="s">
        <v>441</v>
      </c>
      <c r="F4481">
        <v>0</v>
      </c>
      <c r="G4481">
        <v>16.23</v>
      </c>
      <c r="H4481" t="s">
        <v>8588</v>
      </c>
      <c r="I4481">
        <v>16</v>
      </c>
      <c r="J4481" t="s">
        <v>462</v>
      </c>
      <c r="M4481">
        <v>7112</v>
      </c>
      <c r="N4481" t="s">
        <v>16048</v>
      </c>
    </row>
    <row r="4482" spans="1:14">
      <c r="A4482">
        <v>19450900</v>
      </c>
      <c r="B4482">
        <v>3020281</v>
      </c>
      <c r="C4482" t="s">
        <v>2458</v>
      </c>
      <c r="D4482" t="s">
        <v>441</v>
      </c>
      <c r="F4482">
        <v>0</v>
      </c>
      <c r="G4482">
        <v>0</v>
      </c>
      <c r="H4482" t="s">
        <v>8627</v>
      </c>
      <c r="I4482">
        <v>6</v>
      </c>
      <c r="J4482" t="s">
        <v>445</v>
      </c>
      <c r="M4482">
        <v>6666</v>
      </c>
      <c r="N4482" t="s">
        <v>16048</v>
      </c>
    </row>
    <row r="4483" spans="1:14">
      <c r="A4483">
        <v>19450907</v>
      </c>
      <c r="B4483">
        <v>3025220</v>
      </c>
      <c r="C4483" t="s">
        <v>2459</v>
      </c>
      <c r="D4483" t="s">
        <v>441</v>
      </c>
      <c r="F4483">
        <v>0</v>
      </c>
      <c r="G4483">
        <v>0</v>
      </c>
      <c r="H4483" t="s">
        <v>8584</v>
      </c>
      <c r="I4483">
        <v>6</v>
      </c>
      <c r="J4483" t="s">
        <v>445</v>
      </c>
      <c r="M4483">
        <v>6666</v>
      </c>
      <c r="N4483" t="s">
        <v>16048</v>
      </c>
    </row>
    <row r="4484" spans="1:14">
      <c r="A4484">
        <v>19451000</v>
      </c>
      <c r="B4484">
        <v>3017753</v>
      </c>
      <c r="C4484" t="s">
        <v>2460</v>
      </c>
      <c r="D4484" t="s">
        <v>441</v>
      </c>
      <c r="F4484">
        <v>0</v>
      </c>
      <c r="G4484">
        <v>7.48</v>
      </c>
      <c r="H4484" t="s">
        <v>8588</v>
      </c>
      <c r="I4484">
        <v>6</v>
      </c>
      <c r="J4484" t="s">
        <v>445</v>
      </c>
      <c r="M4484">
        <v>2391</v>
      </c>
      <c r="N4484" t="s">
        <v>16048</v>
      </c>
    </row>
    <row r="4485" spans="1:14">
      <c r="A4485">
        <v>19451007</v>
      </c>
      <c r="B4485">
        <v>3024961</v>
      </c>
      <c r="C4485" t="s">
        <v>10493</v>
      </c>
      <c r="D4485" t="s">
        <v>441</v>
      </c>
      <c r="F4485">
        <v>0</v>
      </c>
      <c r="G4485">
        <v>10.26</v>
      </c>
      <c r="H4485" t="s">
        <v>8935</v>
      </c>
      <c r="I4485">
        <v>6</v>
      </c>
      <c r="J4485" t="s">
        <v>445</v>
      </c>
      <c r="K4485" t="s">
        <v>446</v>
      </c>
      <c r="M4485">
        <v>3111</v>
      </c>
      <c r="N4485" t="s">
        <v>16048</v>
      </c>
    </row>
    <row r="4486" spans="1:14">
      <c r="A4486">
        <v>19451900</v>
      </c>
      <c r="B4486">
        <v>3020282</v>
      </c>
      <c r="C4486" t="s">
        <v>2461</v>
      </c>
      <c r="D4486" t="s">
        <v>441</v>
      </c>
      <c r="F4486">
        <v>0</v>
      </c>
      <c r="G4486">
        <v>0</v>
      </c>
      <c r="H4486" t="s">
        <v>8584</v>
      </c>
      <c r="I4486">
        <v>6</v>
      </c>
      <c r="J4486" t="s">
        <v>445</v>
      </c>
      <c r="M4486">
        <v>6666</v>
      </c>
      <c r="N4486" t="s">
        <v>16048</v>
      </c>
    </row>
    <row r="4487" spans="1:14">
      <c r="A4487">
        <v>19451907</v>
      </c>
      <c r="B4487">
        <v>3025221</v>
      </c>
      <c r="C4487" t="s">
        <v>10494</v>
      </c>
      <c r="D4487" t="s">
        <v>441</v>
      </c>
      <c r="F4487">
        <v>0</v>
      </c>
      <c r="G4487">
        <v>0</v>
      </c>
      <c r="H4487" t="s">
        <v>8580</v>
      </c>
      <c r="I4487">
        <v>6</v>
      </c>
      <c r="J4487" t="s">
        <v>445</v>
      </c>
      <c r="K4487" t="s">
        <v>446</v>
      </c>
      <c r="M4487">
        <v>6666</v>
      </c>
      <c r="N4487" t="s">
        <v>16048</v>
      </c>
    </row>
    <row r="4488" spans="1:14">
      <c r="A4488">
        <v>19460000</v>
      </c>
      <c r="B4488">
        <v>3005040</v>
      </c>
      <c r="C4488" t="s">
        <v>2462</v>
      </c>
      <c r="D4488" t="s">
        <v>441</v>
      </c>
      <c r="F4488">
        <v>0</v>
      </c>
      <c r="G4488">
        <v>8.76</v>
      </c>
      <c r="H4488" t="s">
        <v>8634</v>
      </c>
      <c r="I4488">
        <v>6</v>
      </c>
      <c r="J4488" t="s">
        <v>445</v>
      </c>
      <c r="K4488" t="s">
        <v>446</v>
      </c>
      <c r="M4488">
        <v>2312</v>
      </c>
    </row>
    <row r="4489" spans="1:14">
      <c r="A4489">
        <v>19500000</v>
      </c>
      <c r="B4489">
        <v>3007816</v>
      </c>
      <c r="C4489" t="s">
        <v>2463</v>
      </c>
      <c r="D4489" t="s">
        <v>441</v>
      </c>
      <c r="F4489">
        <v>0</v>
      </c>
      <c r="G4489">
        <v>8.9700000000000006</v>
      </c>
      <c r="H4489" t="s">
        <v>8588</v>
      </c>
      <c r="I4489">
        <v>6</v>
      </c>
      <c r="J4489" t="s">
        <v>445</v>
      </c>
      <c r="M4489">
        <v>2391</v>
      </c>
      <c r="N4489" t="s">
        <v>16055</v>
      </c>
    </row>
    <row r="4490" spans="1:14">
      <c r="A4490">
        <v>19500002</v>
      </c>
      <c r="B4490">
        <v>3007817</v>
      </c>
      <c r="C4490" t="s">
        <v>2464</v>
      </c>
      <c r="D4490" t="s">
        <v>441</v>
      </c>
      <c r="F4490">
        <v>0</v>
      </c>
      <c r="G4490">
        <v>12.1</v>
      </c>
      <c r="I4490">
        <v>365</v>
      </c>
      <c r="J4490" t="s">
        <v>445</v>
      </c>
      <c r="K4490" t="s">
        <v>446</v>
      </c>
      <c r="M4490">
        <v>2501</v>
      </c>
      <c r="N4490" t="s">
        <v>16055</v>
      </c>
    </row>
    <row r="4491" spans="1:14">
      <c r="A4491">
        <v>19500007</v>
      </c>
      <c r="B4491">
        <v>3024962</v>
      </c>
      <c r="C4491" t="s">
        <v>2465</v>
      </c>
      <c r="D4491" t="s">
        <v>441</v>
      </c>
      <c r="F4491">
        <v>0</v>
      </c>
      <c r="G4491">
        <v>13.71</v>
      </c>
      <c r="H4491" t="s">
        <v>8935</v>
      </c>
      <c r="I4491">
        <v>6</v>
      </c>
      <c r="J4491" t="s">
        <v>445</v>
      </c>
      <c r="K4491" t="s">
        <v>446</v>
      </c>
      <c r="M4491">
        <v>3111</v>
      </c>
      <c r="N4491" t="s">
        <v>16055</v>
      </c>
    </row>
    <row r="4492" spans="1:14">
      <c r="A4492">
        <v>19500502</v>
      </c>
      <c r="B4492">
        <v>3007818</v>
      </c>
      <c r="C4492" t="s">
        <v>2466</v>
      </c>
      <c r="D4492" t="s">
        <v>441</v>
      </c>
      <c r="F4492">
        <v>0</v>
      </c>
      <c r="G4492">
        <v>8.94</v>
      </c>
      <c r="I4492">
        <v>6</v>
      </c>
      <c r="J4492" t="s">
        <v>445</v>
      </c>
      <c r="K4492" t="s">
        <v>446</v>
      </c>
      <c r="M4492">
        <v>2641</v>
      </c>
      <c r="N4492" t="s">
        <v>16055</v>
      </c>
    </row>
    <row r="4493" spans="1:14">
      <c r="A4493">
        <v>19500900</v>
      </c>
      <c r="B4493">
        <v>3020283</v>
      </c>
      <c r="C4493" t="s">
        <v>2467</v>
      </c>
      <c r="D4493" t="s">
        <v>441</v>
      </c>
      <c r="F4493">
        <v>0</v>
      </c>
      <c r="G4493">
        <v>0</v>
      </c>
      <c r="H4493" t="s">
        <v>8580</v>
      </c>
      <c r="I4493">
        <v>6</v>
      </c>
      <c r="J4493" t="s">
        <v>445</v>
      </c>
      <c r="M4493">
        <v>6666</v>
      </c>
      <c r="N4493" t="s">
        <v>16055</v>
      </c>
    </row>
    <row r="4494" spans="1:14">
      <c r="A4494">
        <v>19500907</v>
      </c>
      <c r="B4494">
        <v>3025222</v>
      </c>
      <c r="C4494" t="s">
        <v>2468</v>
      </c>
      <c r="D4494" t="s">
        <v>441</v>
      </c>
      <c r="F4494">
        <v>0</v>
      </c>
      <c r="G4494">
        <v>0</v>
      </c>
      <c r="H4494" t="s">
        <v>8584</v>
      </c>
      <c r="I4494">
        <v>6</v>
      </c>
      <c r="J4494" t="s">
        <v>445</v>
      </c>
      <c r="K4494" t="s">
        <v>446</v>
      </c>
      <c r="M4494">
        <v>6666</v>
      </c>
      <c r="N4494" t="s">
        <v>16055</v>
      </c>
    </row>
    <row r="4495" spans="1:14">
      <c r="A4495">
        <v>19510000</v>
      </c>
      <c r="B4495">
        <v>3007819</v>
      </c>
      <c r="C4495" t="s">
        <v>2469</v>
      </c>
      <c r="D4495" t="s">
        <v>441</v>
      </c>
      <c r="F4495">
        <v>0</v>
      </c>
      <c r="G4495">
        <v>9.4700000000000006</v>
      </c>
      <c r="I4495">
        <v>5</v>
      </c>
      <c r="J4495" t="s">
        <v>445</v>
      </c>
      <c r="K4495" t="s">
        <v>446</v>
      </c>
      <c r="M4495">
        <v>0</v>
      </c>
    </row>
    <row r="4496" spans="1:14">
      <c r="A4496">
        <v>19590000</v>
      </c>
      <c r="B4496">
        <v>3016875</v>
      </c>
      <c r="C4496" t="s">
        <v>2470</v>
      </c>
      <c r="D4496" t="s">
        <v>441</v>
      </c>
      <c r="F4496">
        <v>0</v>
      </c>
      <c r="G4496">
        <v>12.72</v>
      </c>
      <c r="H4496" t="s">
        <v>8580</v>
      </c>
      <c r="I4496">
        <v>6</v>
      </c>
      <c r="J4496" t="s">
        <v>445</v>
      </c>
      <c r="M4496">
        <v>6666</v>
      </c>
      <c r="N4496" t="s">
        <v>16121</v>
      </c>
    </row>
    <row r="4497" spans="1:14">
      <c r="A4497">
        <v>19591000</v>
      </c>
      <c r="B4497">
        <v>3017837</v>
      </c>
      <c r="C4497" t="s">
        <v>10495</v>
      </c>
      <c r="D4497" t="s">
        <v>441</v>
      </c>
      <c r="F4497">
        <v>0</v>
      </c>
      <c r="G4497">
        <v>8.06</v>
      </c>
      <c r="H4497" t="s">
        <v>8580</v>
      </c>
      <c r="I4497">
        <v>6</v>
      </c>
      <c r="J4497" t="s">
        <v>445</v>
      </c>
      <c r="K4497" t="s">
        <v>446</v>
      </c>
      <c r="M4497">
        <v>2111</v>
      </c>
    </row>
    <row r="4498" spans="1:14">
      <c r="A4498">
        <v>19600000</v>
      </c>
      <c r="B4498">
        <v>3015957</v>
      </c>
      <c r="C4498" t="s">
        <v>2471</v>
      </c>
      <c r="D4498" t="s">
        <v>441</v>
      </c>
      <c r="F4498">
        <v>0</v>
      </c>
      <c r="G4498">
        <v>12.72</v>
      </c>
      <c r="H4498" t="s">
        <v>8549</v>
      </c>
      <c r="I4498">
        <v>6</v>
      </c>
      <c r="J4498" t="s">
        <v>445</v>
      </c>
      <c r="M4498">
        <v>2391</v>
      </c>
      <c r="N4498" t="s">
        <v>16121</v>
      </c>
    </row>
    <row r="4499" spans="1:14">
      <c r="A4499">
        <v>19600002</v>
      </c>
      <c r="B4499">
        <v>3032377</v>
      </c>
      <c r="C4499" t="s">
        <v>2472</v>
      </c>
      <c r="D4499" t="s">
        <v>441</v>
      </c>
      <c r="F4499">
        <v>0</v>
      </c>
      <c r="G4499">
        <v>14.8</v>
      </c>
      <c r="H4499" t="s">
        <v>8549</v>
      </c>
      <c r="I4499">
        <v>540</v>
      </c>
      <c r="J4499" t="s">
        <v>445</v>
      </c>
      <c r="K4499" t="s">
        <v>446</v>
      </c>
      <c r="M4499">
        <v>2501</v>
      </c>
      <c r="N4499" t="s">
        <v>16121</v>
      </c>
    </row>
    <row r="4500" spans="1:14">
      <c r="A4500">
        <v>19600075</v>
      </c>
      <c r="B4500">
        <v>3020982</v>
      </c>
      <c r="C4500" t="s">
        <v>2473</v>
      </c>
      <c r="D4500" t="s">
        <v>441</v>
      </c>
      <c r="F4500">
        <v>0</v>
      </c>
      <c r="G4500">
        <v>15.85</v>
      </c>
      <c r="H4500" t="s">
        <v>8588</v>
      </c>
      <c r="I4500">
        <v>6</v>
      </c>
      <c r="J4500" t="s">
        <v>445</v>
      </c>
      <c r="K4500" t="s">
        <v>446</v>
      </c>
      <c r="M4500">
        <v>2641</v>
      </c>
      <c r="N4500" t="s">
        <v>16121</v>
      </c>
    </row>
    <row r="4501" spans="1:14">
      <c r="A4501">
        <v>19600100</v>
      </c>
      <c r="B4501">
        <v>3038564</v>
      </c>
      <c r="C4501" t="s">
        <v>2474</v>
      </c>
      <c r="D4501" t="s">
        <v>441</v>
      </c>
      <c r="F4501">
        <v>0</v>
      </c>
      <c r="G4501">
        <v>11.92</v>
      </c>
      <c r="H4501" t="s">
        <v>8549</v>
      </c>
      <c r="I4501">
        <v>6</v>
      </c>
      <c r="J4501" t="s">
        <v>445</v>
      </c>
      <c r="M4501">
        <v>7161</v>
      </c>
      <c r="N4501" t="s">
        <v>16121</v>
      </c>
    </row>
    <row r="4502" spans="1:14">
      <c r="A4502">
        <v>19600502</v>
      </c>
      <c r="B4502">
        <v>3032375</v>
      </c>
      <c r="C4502" t="s">
        <v>2475</v>
      </c>
      <c r="D4502" t="s">
        <v>441</v>
      </c>
      <c r="F4502">
        <v>0</v>
      </c>
      <c r="G4502">
        <v>14.49</v>
      </c>
      <c r="H4502" t="s">
        <v>8580</v>
      </c>
      <c r="I4502">
        <v>540</v>
      </c>
      <c r="J4502" t="s">
        <v>445</v>
      </c>
      <c r="K4502" t="s">
        <v>446</v>
      </c>
      <c r="M4502">
        <v>2641</v>
      </c>
      <c r="N4502" t="s">
        <v>16121</v>
      </c>
    </row>
    <row r="4503" spans="1:14">
      <c r="A4503">
        <v>19600602</v>
      </c>
      <c r="B4503">
        <v>3032379</v>
      </c>
      <c r="C4503" t="s">
        <v>2476</v>
      </c>
      <c r="D4503" t="s">
        <v>441</v>
      </c>
      <c r="F4503">
        <v>0</v>
      </c>
      <c r="G4503">
        <v>15.04</v>
      </c>
      <c r="H4503" t="s">
        <v>8588</v>
      </c>
      <c r="I4503">
        <v>4</v>
      </c>
      <c r="J4503" t="s">
        <v>445</v>
      </c>
      <c r="K4503" t="s">
        <v>446</v>
      </c>
      <c r="M4503">
        <v>2511</v>
      </c>
      <c r="N4503" t="s">
        <v>16121</v>
      </c>
    </row>
    <row r="4504" spans="1:14">
      <c r="A4504">
        <v>19601000</v>
      </c>
      <c r="B4504">
        <v>3017789</v>
      </c>
      <c r="C4504" t="s">
        <v>10496</v>
      </c>
      <c r="D4504" t="s">
        <v>441</v>
      </c>
      <c r="F4504">
        <v>0</v>
      </c>
      <c r="G4504">
        <v>13.62</v>
      </c>
      <c r="H4504" t="s">
        <v>8634</v>
      </c>
      <c r="I4504">
        <v>6</v>
      </c>
      <c r="J4504" t="s">
        <v>445</v>
      </c>
      <c r="K4504" t="s">
        <v>446</v>
      </c>
      <c r="M4504">
        <v>2211</v>
      </c>
    </row>
    <row r="4505" spans="1:14">
      <c r="A4505">
        <v>19610000</v>
      </c>
      <c r="B4505">
        <v>3042647</v>
      </c>
      <c r="C4505" t="s">
        <v>2477</v>
      </c>
      <c r="D4505" t="s">
        <v>441</v>
      </c>
      <c r="F4505">
        <v>0</v>
      </c>
      <c r="G4505">
        <v>5.56</v>
      </c>
      <c r="H4505" t="s">
        <v>8549</v>
      </c>
      <c r="I4505">
        <v>6</v>
      </c>
      <c r="J4505" t="s">
        <v>445</v>
      </c>
      <c r="M4505">
        <v>2391</v>
      </c>
      <c r="N4505" t="s">
        <v>16173</v>
      </c>
    </row>
    <row r="4506" spans="1:14">
      <c r="A4506">
        <v>19610002</v>
      </c>
      <c r="B4506">
        <v>3046075</v>
      </c>
      <c r="C4506" t="s">
        <v>17430</v>
      </c>
      <c r="D4506" t="s">
        <v>441</v>
      </c>
      <c r="F4506">
        <v>0</v>
      </c>
      <c r="G4506">
        <v>16.32</v>
      </c>
      <c r="H4506" t="s">
        <v>8588</v>
      </c>
      <c r="I4506">
        <v>540</v>
      </c>
      <c r="J4506" t="s">
        <v>445</v>
      </c>
      <c r="M4506">
        <v>7111</v>
      </c>
      <c r="N4506" t="s">
        <v>16173</v>
      </c>
    </row>
    <row r="4507" spans="1:14">
      <c r="A4507">
        <v>19610502</v>
      </c>
      <c r="B4507">
        <v>3046074</v>
      </c>
      <c r="C4507" t="s">
        <v>17431</v>
      </c>
      <c r="D4507" t="s">
        <v>441</v>
      </c>
      <c r="F4507">
        <v>0</v>
      </c>
      <c r="G4507">
        <v>15.77</v>
      </c>
      <c r="H4507" t="s">
        <v>8588</v>
      </c>
      <c r="I4507">
        <v>6</v>
      </c>
      <c r="J4507" t="s">
        <v>445</v>
      </c>
      <c r="M4507">
        <v>2502</v>
      </c>
      <c r="N4507" t="s">
        <v>16173</v>
      </c>
    </row>
    <row r="4508" spans="1:14">
      <c r="A4508">
        <v>19610602</v>
      </c>
      <c r="B4508">
        <v>3046079</v>
      </c>
      <c r="C4508" t="s">
        <v>17432</v>
      </c>
      <c r="D4508" t="s">
        <v>441</v>
      </c>
      <c r="F4508">
        <v>0</v>
      </c>
      <c r="G4508">
        <v>16.61</v>
      </c>
      <c r="H4508" t="s">
        <v>8549</v>
      </c>
      <c r="I4508">
        <v>4</v>
      </c>
      <c r="J4508" t="s">
        <v>445</v>
      </c>
      <c r="M4508">
        <v>2510</v>
      </c>
      <c r="N4508" t="s">
        <v>16173</v>
      </c>
    </row>
    <row r="4509" spans="1:14">
      <c r="A4509">
        <v>19620000</v>
      </c>
      <c r="B4509">
        <v>3007822</v>
      </c>
      <c r="C4509" t="s">
        <v>2478</v>
      </c>
      <c r="D4509" t="s">
        <v>441</v>
      </c>
      <c r="F4509">
        <v>0</v>
      </c>
      <c r="G4509">
        <v>12.25</v>
      </c>
      <c r="H4509" t="s">
        <v>8549</v>
      </c>
      <c r="I4509">
        <v>6</v>
      </c>
      <c r="J4509" t="s">
        <v>445</v>
      </c>
      <c r="K4509" t="s">
        <v>446</v>
      </c>
      <c r="M4509">
        <v>0</v>
      </c>
    </row>
    <row r="4510" spans="1:14">
      <c r="A4510">
        <v>19630000</v>
      </c>
      <c r="B4510">
        <v>3007823</v>
      </c>
      <c r="C4510" t="s">
        <v>2479</v>
      </c>
      <c r="D4510" t="s">
        <v>441</v>
      </c>
      <c r="F4510">
        <v>0</v>
      </c>
      <c r="G4510">
        <v>10.68</v>
      </c>
      <c r="H4510" t="s">
        <v>8549</v>
      </c>
      <c r="I4510">
        <v>6</v>
      </c>
      <c r="J4510" t="s">
        <v>445</v>
      </c>
      <c r="K4510" t="s">
        <v>446</v>
      </c>
      <c r="M4510">
        <v>0</v>
      </c>
    </row>
    <row r="4511" spans="1:14">
      <c r="A4511">
        <v>19640000</v>
      </c>
      <c r="B4511">
        <v>3007824</v>
      </c>
      <c r="C4511" t="s">
        <v>2480</v>
      </c>
      <c r="D4511" t="s">
        <v>441</v>
      </c>
      <c r="F4511">
        <v>0</v>
      </c>
      <c r="G4511">
        <v>14.49</v>
      </c>
      <c r="H4511" t="s">
        <v>8549</v>
      </c>
      <c r="I4511">
        <v>6</v>
      </c>
      <c r="J4511" t="s">
        <v>445</v>
      </c>
      <c r="K4511" t="s">
        <v>446</v>
      </c>
      <c r="M4511">
        <v>0</v>
      </c>
    </row>
    <row r="4512" spans="1:14">
      <c r="A4512">
        <v>19650000</v>
      </c>
      <c r="B4512">
        <v>3007825</v>
      </c>
      <c r="C4512" t="s">
        <v>2481</v>
      </c>
      <c r="D4512" t="s">
        <v>441</v>
      </c>
      <c r="F4512">
        <v>0</v>
      </c>
      <c r="G4512">
        <v>8</v>
      </c>
      <c r="H4512" t="s">
        <v>8549</v>
      </c>
      <c r="I4512">
        <v>5</v>
      </c>
      <c r="J4512" t="s">
        <v>445</v>
      </c>
      <c r="K4512" t="s">
        <v>446</v>
      </c>
      <c r="M4512">
        <v>0</v>
      </c>
    </row>
    <row r="4513" spans="1:14">
      <c r="A4513">
        <v>19660000</v>
      </c>
      <c r="B4513">
        <v>3008818</v>
      </c>
      <c r="C4513" t="s">
        <v>2482</v>
      </c>
      <c r="D4513" t="s">
        <v>441</v>
      </c>
      <c r="F4513">
        <v>0</v>
      </c>
      <c r="G4513">
        <v>17.440000000000001</v>
      </c>
      <c r="H4513" t="s">
        <v>8580</v>
      </c>
      <c r="I4513">
        <v>5</v>
      </c>
      <c r="J4513" t="s">
        <v>445</v>
      </c>
      <c r="K4513" t="s">
        <v>446</v>
      </c>
      <c r="M4513">
        <v>0</v>
      </c>
    </row>
    <row r="4514" spans="1:14">
      <c r="A4514">
        <v>19710000</v>
      </c>
      <c r="B4514">
        <v>3029415</v>
      </c>
      <c r="C4514" t="s">
        <v>2483</v>
      </c>
      <c r="D4514" t="s">
        <v>441</v>
      </c>
      <c r="F4514">
        <v>0</v>
      </c>
      <c r="G4514">
        <v>14.89</v>
      </c>
      <c r="H4514" t="s">
        <v>8549</v>
      </c>
      <c r="I4514">
        <v>6</v>
      </c>
      <c r="J4514" t="s">
        <v>445</v>
      </c>
      <c r="M4514">
        <v>2391</v>
      </c>
      <c r="N4514" t="s">
        <v>16174</v>
      </c>
    </row>
    <row r="4515" spans="1:14">
      <c r="A4515">
        <v>19710075</v>
      </c>
      <c r="B4515">
        <v>3030954</v>
      </c>
      <c r="C4515" t="s">
        <v>2484</v>
      </c>
      <c r="D4515" t="s">
        <v>441</v>
      </c>
      <c r="F4515">
        <v>0</v>
      </c>
      <c r="G4515">
        <v>15.13</v>
      </c>
      <c r="H4515" t="s">
        <v>8549</v>
      </c>
      <c r="I4515">
        <v>6</v>
      </c>
      <c r="J4515" t="s">
        <v>445</v>
      </c>
      <c r="M4515">
        <v>7112</v>
      </c>
      <c r="N4515" t="s">
        <v>16174</v>
      </c>
    </row>
    <row r="4516" spans="1:14">
      <c r="A4516">
        <v>19710076</v>
      </c>
      <c r="B4516">
        <v>3039104</v>
      </c>
      <c r="C4516" t="s">
        <v>2485</v>
      </c>
      <c r="D4516" t="s">
        <v>441</v>
      </c>
      <c r="F4516">
        <v>0</v>
      </c>
      <c r="G4516">
        <v>15.11</v>
      </c>
      <c r="H4516" t="s">
        <v>8588</v>
      </c>
      <c r="I4516">
        <v>6</v>
      </c>
      <c r="J4516" t="s">
        <v>445</v>
      </c>
      <c r="M4516">
        <v>7112</v>
      </c>
      <c r="N4516" t="s">
        <v>16174</v>
      </c>
    </row>
    <row r="4517" spans="1:14">
      <c r="A4517">
        <v>19711000</v>
      </c>
      <c r="B4517">
        <v>3029414</v>
      </c>
      <c r="C4517" t="s">
        <v>2486</v>
      </c>
      <c r="D4517" t="s">
        <v>441</v>
      </c>
      <c r="F4517">
        <v>0</v>
      </c>
      <c r="G4517">
        <v>14.89</v>
      </c>
      <c r="H4517" t="s">
        <v>8549</v>
      </c>
      <c r="I4517">
        <v>6</v>
      </c>
      <c r="J4517" t="s">
        <v>445</v>
      </c>
      <c r="M4517">
        <v>2391</v>
      </c>
      <c r="N4517" t="s">
        <v>16174</v>
      </c>
    </row>
    <row r="4518" spans="1:14">
      <c r="A4518">
        <v>19711075</v>
      </c>
      <c r="B4518">
        <v>3036436</v>
      </c>
      <c r="C4518" t="s">
        <v>2487</v>
      </c>
      <c r="D4518" t="s">
        <v>441</v>
      </c>
      <c r="F4518">
        <v>0</v>
      </c>
      <c r="G4518">
        <v>15.13</v>
      </c>
      <c r="H4518" t="s">
        <v>8588</v>
      </c>
      <c r="I4518">
        <v>6</v>
      </c>
      <c r="J4518" t="s">
        <v>445</v>
      </c>
      <c r="M4518">
        <v>7112</v>
      </c>
      <c r="N4518" t="s">
        <v>16174</v>
      </c>
    </row>
    <row r="4519" spans="1:14">
      <c r="A4519">
        <v>19714000</v>
      </c>
      <c r="B4519">
        <v>3035845</v>
      </c>
      <c r="C4519" t="s">
        <v>2488</v>
      </c>
      <c r="D4519" t="s">
        <v>441</v>
      </c>
      <c r="F4519">
        <v>0</v>
      </c>
      <c r="G4519">
        <v>14.89</v>
      </c>
      <c r="H4519" t="s">
        <v>8549</v>
      </c>
      <c r="I4519">
        <v>6</v>
      </c>
      <c r="J4519" t="s">
        <v>445</v>
      </c>
      <c r="M4519">
        <v>2391</v>
      </c>
      <c r="N4519" t="s">
        <v>16174</v>
      </c>
    </row>
    <row r="4520" spans="1:14">
      <c r="A4520">
        <v>19714065</v>
      </c>
      <c r="B4520">
        <v>3041533</v>
      </c>
      <c r="C4520" t="s">
        <v>2489</v>
      </c>
      <c r="D4520" t="s">
        <v>441</v>
      </c>
      <c r="F4520">
        <v>0</v>
      </c>
      <c r="G4520">
        <v>15.71</v>
      </c>
      <c r="I4520">
        <v>540</v>
      </c>
      <c r="J4520" t="s">
        <v>445</v>
      </c>
      <c r="M4520">
        <v>7111</v>
      </c>
      <c r="N4520" t="s">
        <v>16174</v>
      </c>
    </row>
    <row r="4521" spans="1:14">
      <c r="A4521">
        <v>19714075</v>
      </c>
      <c r="B4521">
        <v>3035857</v>
      </c>
      <c r="C4521" t="s">
        <v>2490</v>
      </c>
      <c r="D4521" t="s">
        <v>441</v>
      </c>
      <c r="F4521">
        <v>0</v>
      </c>
      <c r="G4521">
        <v>15.13</v>
      </c>
      <c r="H4521" t="s">
        <v>8588</v>
      </c>
      <c r="I4521">
        <v>6</v>
      </c>
      <c r="J4521" t="s">
        <v>445</v>
      </c>
      <c r="M4521">
        <v>7112</v>
      </c>
      <c r="N4521" t="s">
        <v>16174</v>
      </c>
    </row>
    <row r="4522" spans="1:14">
      <c r="A4522">
        <v>19714076</v>
      </c>
      <c r="B4522">
        <v>3039088</v>
      </c>
      <c r="C4522" t="s">
        <v>2491</v>
      </c>
      <c r="D4522" t="s">
        <v>441</v>
      </c>
      <c r="F4522">
        <v>0</v>
      </c>
      <c r="G4522">
        <v>15.11</v>
      </c>
      <c r="H4522" t="s">
        <v>8549</v>
      </c>
      <c r="I4522">
        <v>6</v>
      </c>
      <c r="J4522" t="s">
        <v>445</v>
      </c>
      <c r="M4522">
        <v>7112</v>
      </c>
      <c r="N4522" t="s">
        <v>16174</v>
      </c>
    </row>
    <row r="4523" spans="1:14">
      <c r="A4523">
        <v>19714565</v>
      </c>
      <c r="B4523">
        <v>3041532</v>
      </c>
      <c r="C4523" t="s">
        <v>2492</v>
      </c>
      <c r="D4523" t="s">
        <v>441</v>
      </c>
      <c r="F4523">
        <v>0</v>
      </c>
      <c r="G4523">
        <v>15.29</v>
      </c>
      <c r="H4523" t="s">
        <v>8588</v>
      </c>
      <c r="I4523">
        <v>540</v>
      </c>
      <c r="J4523" t="s">
        <v>445</v>
      </c>
      <c r="M4523">
        <v>2502</v>
      </c>
      <c r="N4523" t="s">
        <v>16174</v>
      </c>
    </row>
    <row r="4524" spans="1:14">
      <c r="A4524">
        <v>19720000</v>
      </c>
      <c r="B4524">
        <v>3015959</v>
      </c>
      <c r="C4524" t="s">
        <v>2493</v>
      </c>
      <c r="D4524" t="s">
        <v>441</v>
      </c>
      <c r="F4524">
        <v>0</v>
      </c>
      <c r="G4524">
        <v>15.57</v>
      </c>
      <c r="H4524" t="s">
        <v>8549</v>
      </c>
      <c r="I4524">
        <v>6</v>
      </c>
      <c r="J4524" t="s">
        <v>445</v>
      </c>
      <c r="M4524">
        <v>2391</v>
      </c>
      <c r="N4524" t="s">
        <v>16116</v>
      </c>
    </row>
    <row r="4525" spans="1:14">
      <c r="A4525">
        <v>19720007</v>
      </c>
      <c r="B4525">
        <v>3024963</v>
      </c>
      <c r="C4525" t="s">
        <v>2494</v>
      </c>
      <c r="D4525" t="s">
        <v>441</v>
      </c>
      <c r="F4525">
        <v>0</v>
      </c>
      <c r="G4525">
        <v>15.71</v>
      </c>
      <c r="H4525" t="s">
        <v>8549</v>
      </c>
      <c r="I4525">
        <v>6</v>
      </c>
      <c r="J4525" t="s">
        <v>445</v>
      </c>
      <c r="M4525">
        <v>3111</v>
      </c>
      <c r="N4525" t="s">
        <v>16116</v>
      </c>
    </row>
    <row r="4526" spans="1:14">
      <c r="A4526">
        <v>19720045</v>
      </c>
      <c r="B4526">
        <v>4024178</v>
      </c>
      <c r="C4526" t="s">
        <v>2495</v>
      </c>
      <c r="D4526" t="s">
        <v>441</v>
      </c>
      <c r="F4526">
        <v>0</v>
      </c>
      <c r="G4526">
        <v>21.04</v>
      </c>
      <c r="H4526" t="s">
        <v>8588</v>
      </c>
      <c r="I4526">
        <v>17</v>
      </c>
      <c r="J4526" t="s">
        <v>462</v>
      </c>
      <c r="M4526">
        <v>7112</v>
      </c>
      <c r="N4526" t="s">
        <v>16116</v>
      </c>
    </row>
    <row r="4527" spans="1:14">
      <c r="A4527">
        <v>19720100</v>
      </c>
      <c r="B4527">
        <v>3031683</v>
      </c>
      <c r="C4527" t="s">
        <v>2496</v>
      </c>
      <c r="D4527" t="s">
        <v>441</v>
      </c>
      <c r="F4527">
        <v>0</v>
      </c>
      <c r="H4527" t="s">
        <v>8588</v>
      </c>
      <c r="I4527">
        <v>13</v>
      </c>
      <c r="J4527" t="s">
        <v>445</v>
      </c>
      <c r="K4527" t="s">
        <v>446</v>
      </c>
      <c r="M4527">
        <v>0</v>
      </c>
      <c r="N4527" t="s">
        <v>16116</v>
      </c>
    </row>
    <row r="4528" spans="1:14">
      <c r="A4528">
        <v>19720110</v>
      </c>
      <c r="B4528">
        <v>3037097</v>
      </c>
      <c r="C4528" t="s">
        <v>2497</v>
      </c>
      <c r="D4528" t="s">
        <v>441</v>
      </c>
      <c r="F4528">
        <v>0</v>
      </c>
      <c r="H4528" t="s">
        <v>8588</v>
      </c>
      <c r="I4528">
        <v>6</v>
      </c>
      <c r="J4528" t="s">
        <v>445</v>
      </c>
      <c r="M4528">
        <v>7161</v>
      </c>
      <c r="N4528" t="s">
        <v>16116</v>
      </c>
    </row>
    <row r="4529" spans="1:14">
      <c r="A4529">
        <v>19720900</v>
      </c>
      <c r="B4529">
        <v>3020284</v>
      </c>
      <c r="C4529" t="s">
        <v>2498</v>
      </c>
      <c r="D4529" t="s">
        <v>441</v>
      </c>
      <c r="F4529">
        <v>0</v>
      </c>
      <c r="G4529">
        <v>0</v>
      </c>
      <c r="H4529" t="s">
        <v>8584</v>
      </c>
      <c r="I4529">
        <v>6</v>
      </c>
      <c r="J4529" t="s">
        <v>445</v>
      </c>
      <c r="M4529">
        <v>6666</v>
      </c>
      <c r="N4529" t="s">
        <v>16116</v>
      </c>
    </row>
    <row r="4530" spans="1:14">
      <c r="A4530">
        <v>19720907</v>
      </c>
      <c r="B4530">
        <v>3025223</v>
      </c>
      <c r="C4530" t="s">
        <v>2499</v>
      </c>
      <c r="D4530" t="s">
        <v>441</v>
      </c>
      <c r="F4530">
        <v>0</v>
      </c>
      <c r="G4530">
        <v>0</v>
      </c>
      <c r="H4530" t="s">
        <v>8584</v>
      </c>
      <c r="I4530">
        <v>6</v>
      </c>
      <c r="J4530" t="s">
        <v>445</v>
      </c>
      <c r="M4530">
        <v>6666</v>
      </c>
      <c r="N4530" t="s">
        <v>16116</v>
      </c>
    </row>
    <row r="4531" spans="1:14">
      <c r="A4531">
        <v>19721000</v>
      </c>
      <c r="B4531">
        <v>3017793</v>
      </c>
      <c r="C4531" t="s">
        <v>2500</v>
      </c>
      <c r="D4531" t="s">
        <v>441</v>
      </c>
      <c r="F4531">
        <v>0</v>
      </c>
      <c r="G4531">
        <v>15.57</v>
      </c>
      <c r="H4531" t="s">
        <v>8935</v>
      </c>
      <c r="I4531">
        <v>6</v>
      </c>
      <c r="J4531" t="s">
        <v>445</v>
      </c>
      <c r="M4531">
        <v>2391</v>
      </c>
      <c r="N4531" t="s">
        <v>16116</v>
      </c>
    </row>
    <row r="4532" spans="1:14">
      <c r="A4532">
        <v>19721007</v>
      </c>
      <c r="B4532">
        <v>3024964</v>
      </c>
      <c r="C4532" t="s">
        <v>10497</v>
      </c>
      <c r="D4532" t="s">
        <v>441</v>
      </c>
      <c r="F4532">
        <v>0</v>
      </c>
      <c r="G4532">
        <v>17.079999999999998</v>
      </c>
      <c r="H4532" t="s">
        <v>8935</v>
      </c>
      <c r="I4532">
        <v>6</v>
      </c>
      <c r="J4532" t="s">
        <v>445</v>
      </c>
      <c r="K4532" t="s">
        <v>446</v>
      </c>
      <c r="M4532">
        <v>3111</v>
      </c>
      <c r="N4532" t="s">
        <v>16116</v>
      </c>
    </row>
    <row r="4533" spans="1:14">
      <c r="A4533">
        <v>19721045</v>
      </c>
      <c r="B4533">
        <v>4024183</v>
      </c>
      <c r="C4533" t="s">
        <v>15582</v>
      </c>
      <c r="D4533" t="s">
        <v>441</v>
      </c>
      <c r="F4533">
        <v>0</v>
      </c>
      <c r="G4533">
        <v>24.29</v>
      </c>
      <c r="H4533" t="s">
        <v>8588</v>
      </c>
      <c r="I4533">
        <v>17</v>
      </c>
      <c r="J4533" t="s">
        <v>462</v>
      </c>
      <c r="M4533">
        <v>7112</v>
      </c>
      <c r="N4533" t="s">
        <v>16116</v>
      </c>
    </row>
    <row r="4534" spans="1:14">
      <c r="A4534">
        <v>19721100</v>
      </c>
      <c r="B4534">
        <v>3017707</v>
      </c>
      <c r="C4534" t="s">
        <v>2501</v>
      </c>
      <c r="D4534" t="s">
        <v>441</v>
      </c>
      <c r="F4534">
        <v>0</v>
      </c>
      <c r="H4534" t="s">
        <v>8588</v>
      </c>
      <c r="I4534">
        <v>6</v>
      </c>
      <c r="J4534" t="s">
        <v>445</v>
      </c>
      <c r="M4534">
        <v>7161</v>
      </c>
      <c r="N4534" t="s">
        <v>16116</v>
      </c>
    </row>
    <row r="4535" spans="1:14">
      <c r="A4535">
        <v>19721900</v>
      </c>
      <c r="B4535">
        <v>3024384</v>
      </c>
      <c r="C4535" t="s">
        <v>2502</v>
      </c>
      <c r="D4535" t="s">
        <v>441</v>
      </c>
      <c r="F4535">
        <v>0</v>
      </c>
      <c r="G4535">
        <v>0</v>
      </c>
      <c r="H4535" t="s">
        <v>8634</v>
      </c>
      <c r="I4535">
        <v>6</v>
      </c>
      <c r="J4535" t="s">
        <v>445</v>
      </c>
      <c r="M4535">
        <v>6666</v>
      </c>
      <c r="N4535" t="s">
        <v>16116</v>
      </c>
    </row>
    <row r="4536" spans="1:14">
      <c r="A4536">
        <v>19721907</v>
      </c>
      <c r="B4536">
        <v>3025224</v>
      </c>
      <c r="C4536" t="s">
        <v>10498</v>
      </c>
      <c r="D4536" t="s">
        <v>441</v>
      </c>
      <c r="F4536">
        <v>0</v>
      </c>
      <c r="G4536">
        <v>0</v>
      </c>
      <c r="H4536" t="s">
        <v>8584</v>
      </c>
      <c r="I4536">
        <v>6</v>
      </c>
      <c r="J4536" t="s">
        <v>445</v>
      </c>
      <c r="K4536" t="s">
        <v>446</v>
      </c>
      <c r="M4536">
        <v>6666</v>
      </c>
      <c r="N4536" t="s">
        <v>16116</v>
      </c>
    </row>
    <row r="4537" spans="1:14">
      <c r="A4537">
        <v>19724000</v>
      </c>
      <c r="B4537">
        <v>3035683</v>
      </c>
      <c r="C4537" t="s">
        <v>2503</v>
      </c>
      <c r="D4537" t="s">
        <v>441</v>
      </c>
      <c r="F4537">
        <v>0</v>
      </c>
      <c r="G4537">
        <v>15.57</v>
      </c>
      <c r="H4537" t="s">
        <v>8549</v>
      </c>
      <c r="I4537">
        <v>6</v>
      </c>
      <c r="J4537" t="s">
        <v>445</v>
      </c>
      <c r="M4537">
        <v>2391</v>
      </c>
      <c r="N4537" t="s">
        <v>16116</v>
      </c>
    </row>
    <row r="4538" spans="1:14">
      <c r="A4538">
        <v>19724007</v>
      </c>
      <c r="B4538">
        <v>3037787</v>
      </c>
      <c r="C4538" t="s">
        <v>2504</v>
      </c>
      <c r="D4538" t="s">
        <v>441</v>
      </c>
      <c r="F4538">
        <v>0</v>
      </c>
      <c r="G4538">
        <v>15.71</v>
      </c>
      <c r="H4538" t="s">
        <v>8588</v>
      </c>
      <c r="I4538">
        <v>6</v>
      </c>
      <c r="J4538" t="s">
        <v>445</v>
      </c>
      <c r="M4538">
        <v>3111</v>
      </c>
      <c r="N4538" t="s">
        <v>16116</v>
      </c>
    </row>
    <row r="4539" spans="1:14">
      <c r="A4539">
        <v>19724100</v>
      </c>
      <c r="B4539">
        <v>3037164</v>
      </c>
      <c r="C4539" t="s">
        <v>2505</v>
      </c>
      <c r="D4539" t="s">
        <v>441</v>
      </c>
      <c r="F4539">
        <v>0</v>
      </c>
      <c r="G4539">
        <v>14.78</v>
      </c>
      <c r="H4539" t="s">
        <v>8588</v>
      </c>
      <c r="I4539">
        <v>6</v>
      </c>
      <c r="J4539" t="s">
        <v>445</v>
      </c>
      <c r="M4539">
        <v>7161</v>
      </c>
      <c r="N4539" t="s">
        <v>16116</v>
      </c>
    </row>
    <row r="4540" spans="1:14">
      <c r="A4540">
        <v>19724907</v>
      </c>
      <c r="B4540">
        <v>3037766</v>
      </c>
      <c r="C4540" t="s">
        <v>2506</v>
      </c>
      <c r="D4540" t="s">
        <v>441</v>
      </c>
      <c r="F4540">
        <v>0</v>
      </c>
      <c r="H4540" t="s">
        <v>8584</v>
      </c>
      <c r="I4540">
        <v>6</v>
      </c>
      <c r="J4540" t="s">
        <v>445</v>
      </c>
      <c r="M4540">
        <v>6666</v>
      </c>
      <c r="N4540" t="s">
        <v>16116</v>
      </c>
    </row>
    <row r="4541" spans="1:14">
      <c r="A4541">
        <v>19725000</v>
      </c>
      <c r="B4541">
        <v>3035205</v>
      </c>
      <c r="C4541" t="s">
        <v>2507</v>
      </c>
      <c r="D4541" t="s">
        <v>441</v>
      </c>
      <c r="F4541">
        <v>0</v>
      </c>
      <c r="G4541">
        <v>15.57</v>
      </c>
      <c r="H4541" t="s">
        <v>8549</v>
      </c>
      <c r="I4541">
        <v>6</v>
      </c>
      <c r="J4541" t="s">
        <v>445</v>
      </c>
      <c r="M4541">
        <v>2391</v>
      </c>
      <c r="N4541" t="s">
        <v>16116</v>
      </c>
    </row>
    <row r="4542" spans="1:14">
      <c r="A4542">
        <v>19727000</v>
      </c>
      <c r="B4542">
        <v>3020019</v>
      </c>
      <c r="C4542" t="s">
        <v>2508</v>
      </c>
      <c r="D4542" t="s">
        <v>441</v>
      </c>
      <c r="F4542">
        <v>0</v>
      </c>
      <c r="G4542">
        <v>15.57</v>
      </c>
      <c r="H4542" t="s">
        <v>8588</v>
      </c>
      <c r="I4542">
        <v>6</v>
      </c>
      <c r="J4542" t="s">
        <v>445</v>
      </c>
      <c r="M4542">
        <v>2391</v>
      </c>
      <c r="N4542" t="s">
        <v>16116</v>
      </c>
    </row>
    <row r="4543" spans="1:14">
      <c r="A4543">
        <v>19727007</v>
      </c>
      <c r="B4543">
        <v>3024965</v>
      </c>
      <c r="C4543" t="s">
        <v>2509</v>
      </c>
      <c r="D4543" t="s">
        <v>441</v>
      </c>
      <c r="F4543">
        <v>0</v>
      </c>
      <c r="G4543">
        <v>15.71</v>
      </c>
      <c r="H4543" t="s">
        <v>8935</v>
      </c>
      <c r="I4543">
        <v>6</v>
      </c>
      <c r="J4543" t="s">
        <v>445</v>
      </c>
      <c r="M4543">
        <v>3111</v>
      </c>
      <c r="N4543" t="s">
        <v>16116</v>
      </c>
    </row>
    <row r="4544" spans="1:14">
      <c r="A4544">
        <v>19727900</v>
      </c>
      <c r="B4544">
        <v>3020897</v>
      </c>
      <c r="C4544" t="s">
        <v>2510</v>
      </c>
      <c r="D4544" t="s">
        <v>441</v>
      </c>
      <c r="F4544">
        <v>0</v>
      </c>
      <c r="G4544">
        <v>0</v>
      </c>
      <c r="H4544" t="s">
        <v>8580</v>
      </c>
      <c r="I4544">
        <v>6</v>
      </c>
      <c r="J4544" t="s">
        <v>445</v>
      </c>
      <c r="M4544">
        <v>6666</v>
      </c>
      <c r="N4544" t="s">
        <v>16116</v>
      </c>
    </row>
    <row r="4545" spans="1:14">
      <c r="A4545">
        <v>19727907</v>
      </c>
      <c r="B4545">
        <v>3025225</v>
      </c>
      <c r="C4545" t="s">
        <v>2511</v>
      </c>
      <c r="D4545" t="s">
        <v>441</v>
      </c>
      <c r="F4545">
        <v>0</v>
      </c>
      <c r="G4545">
        <v>0</v>
      </c>
      <c r="H4545" t="s">
        <v>8584</v>
      </c>
      <c r="I4545">
        <v>6</v>
      </c>
      <c r="J4545" t="s">
        <v>445</v>
      </c>
      <c r="M4545">
        <v>6666</v>
      </c>
      <c r="N4545" t="s">
        <v>16116</v>
      </c>
    </row>
    <row r="4546" spans="1:14">
      <c r="A4546">
        <v>19729000</v>
      </c>
      <c r="B4546">
        <v>3030532</v>
      </c>
      <c r="C4546" t="s">
        <v>2512</v>
      </c>
      <c r="D4546" t="s">
        <v>441</v>
      </c>
      <c r="F4546">
        <v>0</v>
      </c>
      <c r="G4546">
        <v>15.57</v>
      </c>
      <c r="H4546" t="s">
        <v>8588</v>
      </c>
      <c r="I4546">
        <v>2</v>
      </c>
      <c r="J4546" t="s">
        <v>445</v>
      </c>
      <c r="M4546">
        <v>3111</v>
      </c>
      <c r="N4546" t="s">
        <v>16116</v>
      </c>
    </row>
    <row r="4547" spans="1:14">
      <c r="A4547">
        <v>19729900</v>
      </c>
      <c r="B4547">
        <v>3030534</v>
      </c>
      <c r="C4547" t="s">
        <v>2513</v>
      </c>
      <c r="D4547" t="s">
        <v>441</v>
      </c>
      <c r="F4547">
        <v>0</v>
      </c>
      <c r="H4547" t="s">
        <v>8935</v>
      </c>
      <c r="I4547">
        <v>2</v>
      </c>
      <c r="J4547" t="s">
        <v>445</v>
      </c>
      <c r="M4547">
        <v>6666</v>
      </c>
      <c r="N4547" t="s">
        <v>16116</v>
      </c>
    </row>
    <row r="4548" spans="1:14">
      <c r="A4548">
        <v>19730000</v>
      </c>
      <c r="B4548">
        <v>3007826</v>
      </c>
      <c r="C4548" t="s">
        <v>2514</v>
      </c>
      <c r="D4548" t="s">
        <v>441</v>
      </c>
      <c r="F4548">
        <v>0</v>
      </c>
      <c r="G4548">
        <v>18.39</v>
      </c>
      <c r="H4548" t="s">
        <v>8580</v>
      </c>
      <c r="I4548">
        <v>6</v>
      </c>
      <c r="J4548" t="s">
        <v>445</v>
      </c>
      <c r="K4548" t="s">
        <v>446</v>
      </c>
      <c r="M4548">
        <v>0</v>
      </c>
    </row>
    <row r="4549" spans="1:14">
      <c r="A4549">
        <v>19731000</v>
      </c>
      <c r="B4549">
        <v>3010600</v>
      </c>
      <c r="C4549" t="s">
        <v>10499</v>
      </c>
      <c r="D4549" t="s">
        <v>441</v>
      </c>
      <c r="F4549">
        <v>0</v>
      </c>
      <c r="G4549">
        <v>19.03</v>
      </c>
      <c r="H4549" t="s">
        <v>8549</v>
      </c>
      <c r="I4549">
        <v>6</v>
      </c>
      <c r="J4549" t="s">
        <v>445</v>
      </c>
      <c r="K4549" t="s">
        <v>446</v>
      </c>
      <c r="M4549">
        <v>2316</v>
      </c>
    </row>
    <row r="4550" spans="1:14">
      <c r="A4550">
        <v>19740000</v>
      </c>
      <c r="B4550">
        <v>3004535</v>
      </c>
      <c r="C4550" t="s">
        <v>10500</v>
      </c>
      <c r="D4550" t="s">
        <v>441</v>
      </c>
      <c r="F4550">
        <v>0</v>
      </c>
      <c r="G4550">
        <v>16.16</v>
      </c>
      <c r="H4550" t="s">
        <v>8549</v>
      </c>
      <c r="I4550">
        <v>6</v>
      </c>
      <c r="J4550" t="s">
        <v>445</v>
      </c>
      <c r="K4550" t="s">
        <v>446</v>
      </c>
      <c r="M4550">
        <v>0</v>
      </c>
    </row>
    <row r="4551" spans="1:14">
      <c r="A4551">
        <v>19760000</v>
      </c>
      <c r="B4551">
        <v>3004532</v>
      </c>
      <c r="C4551" t="s">
        <v>10501</v>
      </c>
      <c r="D4551" t="s">
        <v>441</v>
      </c>
      <c r="F4551">
        <v>0</v>
      </c>
      <c r="G4551">
        <v>18.64</v>
      </c>
      <c r="H4551" t="s">
        <v>8549</v>
      </c>
      <c r="I4551">
        <v>6</v>
      </c>
      <c r="J4551" t="s">
        <v>445</v>
      </c>
      <c r="K4551" t="s">
        <v>446</v>
      </c>
      <c r="M4551">
        <v>0</v>
      </c>
    </row>
    <row r="4552" spans="1:14">
      <c r="A4552">
        <v>19761000</v>
      </c>
      <c r="B4552">
        <v>3010602</v>
      </c>
      <c r="C4552" t="s">
        <v>10502</v>
      </c>
      <c r="D4552" t="s">
        <v>441</v>
      </c>
      <c r="F4552">
        <v>0</v>
      </c>
      <c r="G4552">
        <v>19.28</v>
      </c>
      <c r="H4552" t="s">
        <v>8549</v>
      </c>
      <c r="I4552">
        <v>6</v>
      </c>
      <c r="J4552" t="s">
        <v>445</v>
      </c>
      <c r="K4552" t="s">
        <v>446</v>
      </c>
      <c r="M4552">
        <v>2316</v>
      </c>
    </row>
    <row r="4553" spans="1:14">
      <c r="A4553">
        <v>19890000</v>
      </c>
      <c r="B4553">
        <v>3007827</v>
      </c>
      <c r="C4553" t="s">
        <v>2515</v>
      </c>
      <c r="D4553" t="s">
        <v>441</v>
      </c>
      <c r="F4553">
        <v>0</v>
      </c>
      <c r="G4553">
        <v>8.6199999999999992</v>
      </c>
      <c r="H4553" t="s">
        <v>8580</v>
      </c>
      <c r="I4553">
        <v>6</v>
      </c>
      <c r="J4553" t="s">
        <v>445</v>
      </c>
      <c r="M4553">
        <v>2391</v>
      </c>
      <c r="N4553" t="s">
        <v>16175</v>
      </c>
    </row>
    <row r="4554" spans="1:14">
      <c r="A4554">
        <v>19890007</v>
      </c>
      <c r="B4554">
        <v>3024966</v>
      </c>
      <c r="C4554" t="s">
        <v>2516</v>
      </c>
      <c r="D4554" t="s">
        <v>441</v>
      </c>
      <c r="F4554">
        <v>0</v>
      </c>
      <c r="G4554">
        <v>14.72</v>
      </c>
      <c r="H4554" t="s">
        <v>8935</v>
      </c>
      <c r="I4554">
        <v>6</v>
      </c>
      <c r="J4554" t="s">
        <v>445</v>
      </c>
      <c r="K4554" t="s">
        <v>446</v>
      </c>
      <c r="M4554">
        <v>3111</v>
      </c>
      <c r="N4554" t="s">
        <v>16175</v>
      </c>
    </row>
    <row r="4555" spans="1:14">
      <c r="A4555">
        <v>19890040</v>
      </c>
      <c r="B4555">
        <v>4011264</v>
      </c>
      <c r="C4555" t="s">
        <v>2517</v>
      </c>
      <c r="D4555" t="s">
        <v>441</v>
      </c>
      <c r="F4555">
        <v>0</v>
      </c>
      <c r="G4555">
        <v>15.08</v>
      </c>
      <c r="H4555" t="s">
        <v>8588</v>
      </c>
      <c r="I4555">
        <v>17</v>
      </c>
      <c r="J4555" t="s">
        <v>462</v>
      </c>
      <c r="K4555" t="s">
        <v>446</v>
      </c>
      <c r="M4555">
        <v>2612</v>
      </c>
      <c r="N4555" t="s">
        <v>16175</v>
      </c>
    </row>
    <row r="4556" spans="1:14">
      <c r="A4556">
        <v>19890041</v>
      </c>
      <c r="B4556">
        <v>4001823</v>
      </c>
      <c r="C4556" t="s">
        <v>2518</v>
      </c>
      <c r="D4556" t="s">
        <v>441</v>
      </c>
      <c r="F4556">
        <v>0</v>
      </c>
      <c r="G4556">
        <v>14.3</v>
      </c>
      <c r="H4556" t="s">
        <v>8588</v>
      </c>
      <c r="I4556">
        <v>17</v>
      </c>
      <c r="J4556" t="s">
        <v>462</v>
      </c>
      <c r="K4556" t="s">
        <v>446</v>
      </c>
      <c r="M4556">
        <v>2612</v>
      </c>
      <c r="N4556" t="s">
        <v>16175</v>
      </c>
    </row>
    <row r="4557" spans="1:14">
      <c r="A4557">
        <v>19890042</v>
      </c>
      <c r="B4557">
        <v>4009149</v>
      </c>
      <c r="C4557" t="s">
        <v>2519</v>
      </c>
      <c r="D4557" t="s">
        <v>441</v>
      </c>
      <c r="F4557">
        <v>0</v>
      </c>
      <c r="G4557">
        <v>15.17</v>
      </c>
      <c r="H4557" t="s">
        <v>8588</v>
      </c>
      <c r="I4557">
        <v>17</v>
      </c>
      <c r="J4557" t="s">
        <v>462</v>
      </c>
      <c r="K4557" t="s">
        <v>446</v>
      </c>
      <c r="M4557">
        <v>2612</v>
      </c>
      <c r="N4557" t="s">
        <v>16175</v>
      </c>
    </row>
    <row r="4558" spans="1:14">
      <c r="A4558">
        <v>19890043</v>
      </c>
      <c r="B4558">
        <v>4030487</v>
      </c>
      <c r="C4558" t="s">
        <v>17433</v>
      </c>
      <c r="D4558" t="s">
        <v>441</v>
      </c>
      <c r="F4558">
        <v>0</v>
      </c>
      <c r="G4558">
        <v>18.46</v>
      </c>
      <c r="H4558" t="s">
        <v>8588</v>
      </c>
      <c r="I4558">
        <v>16</v>
      </c>
      <c r="J4558" t="s">
        <v>462</v>
      </c>
      <c r="M4558">
        <v>7112</v>
      </c>
      <c r="N4558" t="s">
        <v>16175</v>
      </c>
    </row>
    <row r="4559" spans="1:14">
      <c r="A4559">
        <v>19891000</v>
      </c>
      <c r="B4559">
        <v>3017402</v>
      </c>
      <c r="C4559" t="s">
        <v>2520</v>
      </c>
      <c r="D4559" t="s">
        <v>441</v>
      </c>
      <c r="F4559">
        <v>0</v>
      </c>
      <c r="G4559">
        <v>8.6199999999999992</v>
      </c>
      <c r="H4559" t="s">
        <v>8549</v>
      </c>
      <c r="I4559">
        <v>6</v>
      </c>
      <c r="J4559" t="s">
        <v>445</v>
      </c>
      <c r="M4559">
        <v>2391</v>
      </c>
      <c r="N4559" t="s">
        <v>16175</v>
      </c>
    </row>
    <row r="4560" spans="1:14">
      <c r="A4560">
        <v>19891007</v>
      </c>
      <c r="B4560">
        <v>3024967</v>
      </c>
      <c r="C4560" t="s">
        <v>2521</v>
      </c>
      <c r="D4560" t="s">
        <v>441</v>
      </c>
      <c r="F4560">
        <v>0</v>
      </c>
      <c r="G4560">
        <v>13.68</v>
      </c>
      <c r="H4560" t="s">
        <v>8935</v>
      </c>
      <c r="I4560">
        <v>6</v>
      </c>
      <c r="J4560" t="s">
        <v>445</v>
      </c>
      <c r="M4560">
        <v>3111</v>
      </c>
      <c r="N4560" t="s">
        <v>16175</v>
      </c>
    </row>
    <row r="4561" spans="1:14">
      <c r="A4561">
        <v>19891040</v>
      </c>
      <c r="B4561">
        <v>4012177</v>
      </c>
      <c r="C4561" t="s">
        <v>2522</v>
      </c>
      <c r="D4561" t="s">
        <v>441</v>
      </c>
      <c r="F4561">
        <v>0</v>
      </c>
      <c r="G4561">
        <v>15.42</v>
      </c>
      <c r="H4561" t="s">
        <v>8588</v>
      </c>
      <c r="I4561">
        <v>17</v>
      </c>
      <c r="J4561" t="s">
        <v>462</v>
      </c>
      <c r="K4561" t="s">
        <v>446</v>
      </c>
      <c r="M4561">
        <v>2612</v>
      </c>
      <c r="N4561" t="s">
        <v>16175</v>
      </c>
    </row>
    <row r="4562" spans="1:14">
      <c r="A4562">
        <v>19891041</v>
      </c>
      <c r="B4562">
        <v>4011475</v>
      </c>
      <c r="C4562" t="s">
        <v>2523</v>
      </c>
      <c r="D4562" t="s">
        <v>441</v>
      </c>
      <c r="F4562">
        <v>0</v>
      </c>
      <c r="G4562">
        <v>14.3</v>
      </c>
      <c r="H4562" t="s">
        <v>8588</v>
      </c>
      <c r="I4562">
        <v>17</v>
      </c>
      <c r="J4562" t="s">
        <v>462</v>
      </c>
      <c r="K4562" t="s">
        <v>446</v>
      </c>
      <c r="M4562">
        <v>2612</v>
      </c>
      <c r="N4562" t="s">
        <v>16175</v>
      </c>
    </row>
    <row r="4563" spans="1:14">
      <c r="A4563">
        <v>19891042</v>
      </c>
      <c r="B4563">
        <v>4011890</v>
      </c>
      <c r="C4563" t="s">
        <v>2524</v>
      </c>
      <c r="D4563" t="s">
        <v>441</v>
      </c>
      <c r="F4563">
        <v>0</v>
      </c>
      <c r="G4563">
        <v>15.17</v>
      </c>
      <c r="H4563" t="s">
        <v>8588</v>
      </c>
      <c r="I4563">
        <v>17</v>
      </c>
      <c r="J4563" t="s">
        <v>462</v>
      </c>
      <c r="K4563" t="s">
        <v>446</v>
      </c>
      <c r="M4563">
        <v>2612</v>
      </c>
      <c r="N4563" t="s">
        <v>16175</v>
      </c>
    </row>
    <row r="4564" spans="1:14">
      <c r="A4564">
        <v>19893000</v>
      </c>
      <c r="B4564">
        <v>3007828</v>
      </c>
      <c r="C4564" t="s">
        <v>2525</v>
      </c>
      <c r="D4564" t="s">
        <v>441</v>
      </c>
      <c r="F4564">
        <v>0</v>
      </c>
      <c r="G4564">
        <v>10.98</v>
      </c>
      <c r="H4564" t="s">
        <v>8580</v>
      </c>
      <c r="I4564">
        <v>6</v>
      </c>
      <c r="J4564" t="s">
        <v>445</v>
      </c>
      <c r="K4564" t="s">
        <v>446</v>
      </c>
      <c r="M4564">
        <v>2390</v>
      </c>
    </row>
    <row r="4565" spans="1:14">
      <c r="A4565">
        <v>20013000</v>
      </c>
      <c r="B4565">
        <v>3007830</v>
      </c>
      <c r="C4565" t="s">
        <v>2526</v>
      </c>
      <c r="D4565" t="s">
        <v>441</v>
      </c>
      <c r="F4565">
        <v>0</v>
      </c>
      <c r="G4565">
        <v>3.85</v>
      </c>
      <c r="H4565" t="s">
        <v>8580</v>
      </c>
      <c r="I4565">
        <v>6</v>
      </c>
      <c r="J4565" t="s">
        <v>445</v>
      </c>
      <c r="K4565" t="s">
        <v>446</v>
      </c>
      <c r="M4565">
        <v>2390</v>
      </c>
    </row>
    <row r="4566" spans="1:14">
      <c r="A4566">
        <v>20020000</v>
      </c>
      <c r="B4566">
        <v>3015977</v>
      </c>
      <c r="C4566" t="s">
        <v>2527</v>
      </c>
      <c r="D4566" t="s">
        <v>441</v>
      </c>
      <c r="F4566">
        <v>0</v>
      </c>
      <c r="G4566">
        <v>3.97</v>
      </c>
      <c r="H4566" t="s">
        <v>8588</v>
      </c>
      <c r="I4566">
        <v>6</v>
      </c>
      <c r="J4566" t="s">
        <v>445</v>
      </c>
      <c r="M4566">
        <v>2391</v>
      </c>
      <c r="N4566" t="s">
        <v>16176</v>
      </c>
    </row>
    <row r="4567" spans="1:14">
      <c r="A4567">
        <v>20020007</v>
      </c>
      <c r="B4567">
        <v>3015203</v>
      </c>
      <c r="C4567" t="s">
        <v>2528</v>
      </c>
      <c r="D4567" t="s">
        <v>441</v>
      </c>
      <c r="F4567">
        <v>0</v>
      </c>
      <c r="G4567">
        <v>5.01</v>
      </c>
      <c r="H4567" t="s">
        <v>8588</v>
      </c>
      <c r="I4567">
        <v>6</v>
      </c>
      <c r="J4567" t="s">
        <v>445</v>
      </c>
      <c r="K4567" t="s">
        <v>446</v>
      </c>
      <c r="M4567">
        <v>3111</v>
      </c>
    </row>
    <row r="4568" spans="1:14">
      <c r="A4568">
        <v>20020020</v>
      </c>
      <c r="B4568">
        <v>4003915</v>
      </c>
      <c r="C4568" t="s">
        <v>2529</v>
      </c>
      <c r="D4568" t="s">
        <v>441</v>
      </c>
      <c r="F4568">
        <v>0</v>
      </c>
      <c r="G4568">
        <v>4.33</v>
      </c>
      <c r="H4568" t="s">
        <v>8588</v>
      </c>
      <c r="I4568">
        <v>6</v>
      </c>
      <c r="J4568" t="s">
        <v>462</v>
      </c>
      <c r="M4568">
        <v>7112</v>
      </c>
      <c r="N4568" t="s">
        <v>16176</v>
      </c>
    </row>
    <row r="4569" spans="1:14">
      <c r="A4569">
        <v>20020021</v>
      </c>
      <c r="B4569">
        <v>3012659</v>
      </c>
      <c r="C4569" t="s">
        <v>2530</v>
      </c>
      <c r="D4569" t="s">
        <v>441</v>
      </c>
      <c r="F4569">
        <v>0</v>
      </c>
      <c r="H4569" t="s">
        <v>8588</v>
      </c>
      <c r="I4569">
        <v>6</v>
      </c>
      <c r="J4569" t="s">
        <v>445</v>
      </c>
      <c r="M4569">
        <v>7161</v>
      </c>
      <c r="N4569" t="s">
        <v>16177</v>
      </c>
    </row>
    <row r="4570" spans="1:14">
      <c r="A4570">
        <v>20020027</v>
      </c>
      <c r="B4570">
        <v>4013473</v>
      </c>
      <c r="C4570" t="s">
        <v>2531</v>
      </c>
      <c r="D4570" t="s">
        <v>441</v>
      </c>
      <c r="F4570">
        <v>0</v>
      </c>
      <c r="G4570">
        <v>5.2</v>
      </c>
      <c r="H4570" t="s">
        <v>8588</v>
      </c>
      <c r="I4570">
        <v>365</v>
      </c>
      <c r="J4570" t="s">
        <v>462</v>
      </c>
      <c r="K4570" t="s">
        <v>446</v>
      </c>
      <c r="M4570">
        <v>2641</v>
      </c>
    </row>
    <row r="4571" spans="1:14">
      <c r="A4571">
        <v>20020041</v>
      </c>
      <c r="B4571">
        <v>4012682</v>
      </c>
      <c r="C4571" t="s">
        <v>10503</v>
      </c>
      <c r="D4571" t="s">
        <v>441</v>
      </c>
      <c r="F4571">
        <v>0</v>
      </c>
      <c r="G4571">
        <v>5.59</v>
      </c>
      <c r="H4571" t="s">
        <v>8588</v>
      </c>
      <c r="I4571">
        <v>10</v>
      </c>
      <c r="J4571" t="s">
        <v>462</v>
      </c>
      <c r="K4571" t="s">
        <v>446</v>
      </c>
      <c r="M4571">
        <v>2612</v>
      </c>
    </row>
    <row r="4572" spans="1:14">
      <c r="A4572">
        <v>20020102</v>
      </c>
      <c r="B4572">
        <v>3031497</v>
      </c>
      <c r="C4572" t="s">
        <v>2532</v>
      </c>
      <c r="D4572" t="s">
        <v>441</v>
      </c>
      <c r="F4572">
        <v>0</v>
      </c>
      <c r="H4572" t="s">
        <v>8549</v>
      </c>
      <c r="I4572">
        <v>365</v>
      </c>
      <c r="J4572" t="s">
        <v>445</v>
      </c>
      <c r="M4572">
        <v>7113</v>
      </c>
      <c r="N4572" t="s">
        <v>16176</v>
      </c>
    </row>
    <row r="4573" spans="1:14">
      <c r="A4573">
        <v>20020527</v>
      </c>
      <c r="B4573">
        <v>3019957</v>
      </c>
      <c r="C4573" t="s">
        <v>2533</v>
      </c>
      <c r="D4573" t="s">
        <v>441</v>
      </c>
      <c r="F4573">
        <v>0</v>
      </c>
      <c r="G4573">
        <v>5.0199999999999996</v>
      </c>
      <c r="I4573">
        <v>365</v>
      </c>
      <c r="J4573" t="s">
        <v>445</v>
      </c>
      <c r="K4573" t="s">
        <v>446</v>
      </c>
      <c r="M4573">
        <v>2641</v>
      </c>
    </row>
    <row r="4574" spans="1:14">
      <c r="A4574">
        <v>20020602</v>
      </c>
      <c r="B4574">
        <v>3022540</v>
      </c>
      <c r="C4574" t="s">
        <v>2534</v>
      </c>
      <c r="D4574" t="s">
        <v>441</v>
      </c>
      <c r="F4574">
        <v>0</v>
      </c>
      <c r="G4574">
        <v>3.84</v>
      </c>
      <c r="H4574" t="s">
        <v>8588</v>
      </c>
      <c r="I4574">
        <v>4</v>
      </c>
      <c r="J4574" t="s">
        <v>445</v>
      </c>
      <c r="K4574" t="s">
        <v>446</v>
      </c>
      <c r="M4574">
        <v>2511</v>
      </c>
    </row>
    <row r="4575" spans="1:14">
      <c r="A4575">
        <v>20020603</v>
      </c>
      <c r="B4575">
        <v>3031848</v>
      </c>
      <c r="C4575" t="s">
        <v>2535</v>
      </c>
      <c r="D4575" t="s">
        <v>441</v>
      </c>
      <c r="F4575">
        <v>0</v>
      </c>
      <c r="G4575">
        <v>4.5199999999999996</v>
      </c>
      <c r="H4575" t="s">
        <v>8549</v>
      </c>
      <c r="I4575">
        <v>4</v>
      </c>
      <c r="J4575" t="s">
        <v>445</v>
      </c>
      <c r="M4575">
        <v>2510</v>
      </c>
      <c r="N4575" t="s">
        <v>16176</v>
      </c>
    </row>
    <row r="4576" spans="1:14">
      <c r="A4576">
        <v>20020900</v>
      </c>
      <c r="B4576">
        <v>3020895</v>
      </c>
      <c r="C4576" t="s">
        <v>2536</v>
      </c>
      <c r="D4576" t="s">
        <v>441</v>
      </c>
      <c r="F4576">
        <v>0</v>
      </c>
      <c r="G4576">
        <v>0</v>
      </c>
      <c r="H4576" t="s">
        <v>8580</v>
      </c>
      <c r="I4576">
        <v>6</v>
      </c>
      <c r="J4576" t="s">
        <v>445</v>
      </c>
      <c r="M4576">
        <v>6666</v>
      </c>
      <c r="N4576" t="s">
        <v>16176</v>
      </c>
    </row>
    <row r="4577" spans="1:14">
      <c r="A4577">
        <v>20020902</v>
      </c>
      <c r="B4577">
        <v>3022544</v>
      </c>
      <c r="C4577" t="s">
        <v>2537</v>
      </c>
      <c r="D4577" t="s">
        <v>441</v>
      </c>
      <c r="F4577">
        <v>0</v>
      </c>
      <c r="H4577" t="s">
        <v>8580</v>
      </c>
      <c r="I4577">
        <v>4</v>
      </c>
      <c r="J4577" t="s">
        <v>445</v>
      </c>
      <c r="K4577" t="s">
        <v>446</v>
      </c>
      <c r="M4577">
        <v>6666</v>
      </c>
    </row>
    <row r="4578" spans="1:14">
      <c r="A4578">
        <v>20020907</v>
      </c>
      <c r="B4578">
        <v>3020573</v>
      </c>
      <c r="C4578" t="s">
        <v>2538</v>
      </c>
      <c r="D4578" t="s">
        <v>441</v>
      </c>
      <c r="F4578">
        <v>0</v>
      </c>
      <c r="G4578">
        <v>4.2</v>
      </c>
      <c r="H4578" t="s">
        <v>8580</v>
      </c>
      <c r="I4578">
        <v>6</v>
      </c>
      <c r="J4578" t="s">
        <v>445</v>
      </c>
      <c r="K4578" t="s">
        <v>446</v>
      </c>
      <c r="M4578">
        <v>6666</v>
      </c>
    </row>
    <row r="4579" spans="1:14">
      <c r="A4579">
        <v>20021000</v>
      </c>
      <c r="B4579">
        <v>3017798</v>
      </c>
      <c r="C4579" t="s">
        <v>2539</v>
      </c>
      <c r="D4579" t="s">
        <v>441</v>
      </c>
      <c r="F4579">
        <v>0</v>
      </c>
      <c r="G4579">
        <v>4.05</v>
      </c>
      <c r="H4579" t="s">
        <v>8583</v>
      </c>
      <c r="I4579">
        <v>6</v>
      </c>
      <c r="J4579" t="s">
        <v>445</v>
      </c>
      <c r="M4579">
        <v>2391</v>
      </c>
      <c r="N4579" t="s">
        <v>16176</v>
      </c>
    </row>
    <row r="4580" spans="1:14">
      <c r="A4580">
        <v>20021007</v>
      </c>
      <c r="B4580">
        <v>3024968</v>
      </c>
      <c r="C4580" t="s">
        <v>14347</v>
      </c>
      <c r="D4580" t="s">
        <v>441</v>
      </c>
      <c r="F4580">
        <v>0</v>
      </c>
      <c r="G4580">
        <v>7.89</v>
      </c>
      <c r="H4580" t="s">
        <v>8935</v>
      </c>
      <c r="I4580">
        <v>6</v>
      </c>
      <c r="J4580" t="s">
        <v>445</v>
      </c>
      <c r="M4580">
        <v>3111</v>
      </c>
      <c r="N4580" t="s">
        <v>16176</v>
      </c>
    </row>
    <row r="4581" spans="1:14">
      <c r="A4581">
        <v>20021020</v>
      </c>
      <c r="B4581">
        <v>4011617</v>
      </c>
      <c r="C4581" t="s">
        <v>10504</v>
      </c>
      <c r="D4581" t="s">
        <v>441</v>
      </c>
      <c r="F4581">
        <v>0</v>
      </c>
      <c r="G4581">
        <v>4.3899999999999997</v>
      </c>
      <c r="H4581" t="s">
        <v>8588</v>
      </c>
      <c r="I4581">
        <v>6</v>
      </c>
      <c r="J4581" t="s">
        <v>462</v>
      </c>
      <c r="M4581">
        <v>2641</v>
      </c>
    </row>
    <row r="4582" spans="1:14">
      <c r="A4582">
        <v>20021041</v>
      </c>
      <c r="B4582">
        <v>4012683</v>
      </c>
      <c r="C4582" t="s">
        <v>10505</v>
      </c>
      <c r="D4582" t="s">
        <v>441</v>
      </c>
      <c r="F4582">
        <v>0</v>
      </c>
      <c r="G4582">
        <v>5.59</v>
      </c>
      <c r="H4582" t="s">
        <v>8588</v>
      </c>
      <c r="I4582">
        <v>10</v>
      </c>
      <c r="J4582" t="s">
        <v>462</v>
      </c>
      <c r="K4582" t="s">
        <v>446</v>
      </c>
      <c r="M4582">
        <v>2612</v>
      </c>
    </row>
    <row r="4583" spans="1:14">
      <c r="A4583">
        <v>20021907</v>
      </c>
      <c r="B4583">
        <v>3025228</v>
      </c>
      <c r="C4583" t="s">
        <v>14348</v>
      </c>
      <c r="D4583" t="s">
        <v>441</v>
      </c>
      <c r="F4583">
        <v>0</v>
      </c>
      <c r="G4583">
        <v>0</v>
      </c>
      <c r="H4583" t="s">
        <v>8584</v>
      </c>
      <c r="I4583">
        <v>6</v>
      </c>
      <c r="J4583" t="s">
        <v>445</v>
      </c>
      <c r="M4583">
        <v>6666</v>
      </c>
      <c r="N4583" t="s">
        <v>16176</v>
      </c>
    </row>
    <row r="4584" spans="1:14">
      <c r="A4584">
        <v>20023000</v>
      </c>
      <c r="B4584">
        <v>3016301</v>
      </c>
      <c r="C4584" t="s">
        <v>10506</v>
      </c>
      <c r="D4584" t="s">
        <v>441</v>
      </c>
      <c r="F4584">
        <v>0</v>
      </c>
      <c r="G4584">
        <v>3.1</v>
      </c>
      <c r="H4584" t="s">
        <v>8580</v>
      </c>
      <c r="I4584">
        <v>6</v>
      </c>
      <c r="J4584" t="s">
        <v>445</v>
      </c>
      <c r="K4584" t="s">
        <v>446</v>
      </c>
      <c r="M4584">
        <v>2390</v>
      </c>
    </row>
    <row r="4585" spans="1:14">
      <c r="A4585">
        <v>20030000</v>
      </c>
      <c r="B4585">
        <v>3015978</v>
      </c>
      <c r="C4585" t="s">
        <v>2540</v>
      </c>
      <c r="D4585" t="s">
        <v>441</v>
      </c>
      <c r="F4585">
        <v>0</v>
      </c>
      <c r="G4585">
        <v>0</v>
      </c>
      <c r="H4585" t="s">
        <v>8588</v>
      </c>
      <c r="I4585">
        <v>6</v>
      </c>
      <c r="J4585" t="s">
        <v>445</v>
      </c>
      <c r="M4585">
        <v>2391</v>
      </c>
      <c r="N4585" t="s">
        <v>16177</v>
      </c>
    </row>
    <row r="4586" spans="1:14">
      <c r="A4586">
        <v>20030002</v>
      </c>
      <c r="B4586">
        <v>3008982</v>
      </c>
      <c r="C4586" t="s">
        <v>10507</v>
      </c>
      <c r="D4586" t="s">
        <v>441</v>
      </c>
      <c r="F4586">
        <v>0</v>
      </c>
      <c r="G4586">
        <v>3.65</v>
      </c>
      <c r="H4586" t="s">
        <v>8549</v>
      </c>
      <c r="I4586">
        <v>365</v>
      </c>
      <c r="J4586" t="s">
        <v>445</v>
      </c>
      <c r="K4586" t="s">
        <v>446</v>
      </c>
      <c r="M4586">
        <v>2501</v>
      </c>
    </row>
    <row r="4587" spans="1:14">
      <c r="A4587">
        <v>20030007</v>
      </c>
      <c r="B4587">
        <v>3024969</v>
      </c>
      <c r="C4587" t="s">
        <v>14349</v>
      </c>
      <c r="D4587" t="s">
        <v>441</v>
      </c>
      <c r="F4587">
        <v>0</v>
      </c>
      <c r="G4587">
        <v>8.44</v>
      </c>
      <c r="H4587" t="s">
        <v>8588</v>
      </c>
      <c r="I4587">
        <v>6</v>
      </c>
      <c r="J4587" t="s">
        <v>445</v>
      </c>
      <c r="M4587">
        <v>3113</v>
      </c>
      <c r="N4587" t="s">
        <v>16177</v>
      </c>
    </row>
    <row r="4588" spans="1:14">
      <c r="A4588">
        <v>20030017</v>
      </c>
      <c r="B4588">
        <v>3020200</v>
      </c>
      <c r="C4588" t="s">
        <v>10508</v>
      </c>
      <c r="D4588" t="s">
        <v>441</v>
      </c>
      <c r="F4588">
        <v>0</v>
      </c>
      <c r="G4588">
        <v>3.98</v>
      </c>
      <c r="H4588" t="s">
        <v>8588</v>
      </c>
      <c r="I4588">
        <v>365</v>
      </c>
      <c r="J4588" t="s">
        <v>445</v>
      </c>
      <c r="K4588" t="s">
        <v>446</v>
      </c>
      <c r="M4588">
        <v>2501</v>
      </c>
    </row>
    <row r="4589" spans="1:14">
      <c r="A4589">
        <v>20030018</v>
      </c>
      <c r="B4589">
        <v>3019882</v>
      </c>
      <c r="C4589" t="s">
        <v>2541</v>
      </c>
      <c r="D4589" t="s">
        <v>441</v>
      </c>
      <c r="F4589">
        <v>0</v>
      </c>
      <c r="G4589">
        <v>5.71</v>
      </c>
      <c r="H4589" t="s">
        <v>8588</v>
      </c>
      <c r="I4589">
        <v>365</v>
      </c>
      <c r="J4589" t="s">
        <v>445</v>
      </c>
      <c r="K4589" t="s">
        <v>446</v>
      </c>
      <c r="M4589">
        <v>2501</v>
      </c>
    </row>
    <row r="4590" spans="1:14">
      <c r="A4590">
        <v>20030019</v>
      </c>
      <c r="B4590">
        <v>3009159</v>
      </c>
      <c r="C4590" t="s">
        <v>2542</v>
      </c>
      <c r="D4590" t="s">
        <v>441</v>
      </c>
      <c r="F4590">
        <v>0</v>
      </c>
      <c r="G4590">
        <v>4.7699999999999996</v>
      </c>
      <c r="H4590" t="s">
        <v>8549</v>
      </c>
      <c r="I4590">
        <v>540</v>
      </c>
      <c r="J4590" t="s">
        <v>445</v>
      </c>
      <c r="M4590">
        <v>7111</v>
      </c>
      <c r="N4590" t="s">
        <v>16177</v>
      </c>
    </row>
    <row r="4591" spans="1:14">
      <c r="A4591">
        <v>20030020</v>
      </c>
      <c r="B4591">
        <v>4003916</v>
      </c>
      <c r="C4591" t="s">
        <v>14350</v>
      </c>
      <c r="D4591" t="s">
        <v>441</v>
      </c>
      <c r="F4591">
        <v>0</v>
      </c>
      <c r="G4591">
        <v>8.77</v>
      </c>
      <c r="H4591" t="s">
        <v>8588</v>
      </c>
      <c r="I4591">
        <v>6</v>
      </c>
      <c r="J4591" t="s">
        <v>462</v>
      </c>
      <c r="M4591">
        <v>7112</v>
      </c>
      <c r="N4591" t="s">
        <v>16177</v>
      </c>
    </row>
    <row r="4592" spans="1:14">
      <c r="A4592">
        <v>20030021</v>
      </c>
      <c r="B4592">
        <v>4008795</v>
      </c>
      <c r="C4592" t="s">
        <v>10509</v>
      </c>
      <c r="D4592" t="s">
        <v>441</v>
      </c>
      <c r="F4592">
        <v>0</v>
      </c>
      <c r="G4592">
        <v>4.3499999999999996</v>
      </c>
      <c r="H4592" t="s">
        <v>8588</v>
      </c>
      <c r="I4592">
        <v>6</v>
      </c>
      <c r="J4592" t="s">
        <v>462</v>
      </c>
      <c r="K4592" t="s">
        <v>446</v>
      </c>
      <c r="M4592">
        <v>2641</v>
      </c>
    </row>
    <row r="4593" spans="1:14">
      <c r="A4593">
        <v>20030022</v>
      </c>
      <c r="B4593">
        <v>4012220</v>
      </c>
      <c r="C4593" t="s">
        <v>10510</v>
      </c>
      <c r="D4593" t="s">
        <v>441</v>
      </c>
      <c r="F4593">
        <v>0</v>
      </c>
      <c r="G4593">
        <v>2.33</v>
      </c>
      <c r="H4593" t="s">
        <v>8588</v>
      </c>
      <c r="I4593">
        <v>6</v>
      </c>
      <c r="J4593" t="s">
        <v>462</v>
      </c>
      <c r="K4593" t="s">
        <v>446</v>
      </c>
      <c r="M4593">
        <v>2612</v>
      </c>
    </row>
    <row r="4594" spans="1:14">
      <c r="A4594">
        <v>20030025</v>
      </c>
      <c r="B4594">
        <v>3008630</v>
      </c>
      <c r="C4594" t="s">
        <v>10511</v>
      </c>
      <c r="D4594" t="s">
        <v>441</v>
      </c>
      <c r="F4594">
        <v>0</v>
      </c>
      <c r="G4594">
        <v>4.57</v>
      </c>
      <c r="H4594" t="s">
        <v>8588</v>
      </c>
      <c r="I4594">
        <v>365</v>
      </c>
      <c r="J4594" t="s">
        <v>445</v>
      </c>
      <c r="K4594" t="s">
        <v>446</v>
      </c>
      <c r="M4594">
        <v>2501</v>
      </c>
    </row>
    <row r="4595" spans="1:14">
      <c r="A4595">
        <v>20030026</v>
      </c>
      <c r="B4595">
        <v>3012604</v>
      </c>
      <c r="C4595" t="s">
        <v>2543</v>
      </c>
      <c r="D4595" t="s">
        <v>441</v>
      </c>
      <c r="F4595">
        <v>0</v>
      </c>
      <c r="G4595">
        <v>4.76</v>
      </c>
      <c r="H4595" t="s">
        <v>8588</v>
      </c>
      <c r="I4595">
        <v>540</v>
      </c>
      <c r="J4595" t="s">
        <v>445</v>
      </c>
      <c r="M4595">
        <v>7111</v>
      </c>
      <c r="N4595" t="s">
        <v>16177</v>
      </c>
    </row>
    <row r="4596" spans="1:14">
      <c r="A4596">
        <v>20030027</v>
      </c>
      <c r="B4596">
        <v>4013778</v>
      </c>
      <c r="C4596" t="s">
        <v>10512</v>
      </c>
      <c r="D4596" t="s">
        <v>441</v>
      </c>
      <c r="F4596">
        <v>0</v>
      </c>
      <c r="G4596">
        <v>5.87</v>
      </c>
      <c r="H4596" t="s">
        <v>8588</v>
      </c>
      <c r="I4596">
        <v>365</v>
      </c>
      <c r="J4596" t="s">
        <v>462</v>
      </c>
      <c r="K4596" t="s">
        <v>446</v>
      </c>
      <c r="M4596">
        <v>2501</v>
      </c>
    </row>
    <row r="4597" spans="1:14">
      <c r="A4597">
        <v>20030032</v>
      </c>
      <c r="B4597">
        <v>4016069</v>
      </c>
      <c r="C4597" t="s">
        <v>2544</v>
      </c>
      <c r="D4597" t="s">
        <v>441</v>
      </c>
      <c r="F4597">
        <v>0</v>
      </c>
      <c r="G4597">
        <v>5.04</v>
      </c>
      <c r="H4597" t="s">
        <v>8588</v>
      </c>
      <c r="I4597">
        <v>9</v>
      </c>
      <c r="J4597" t="s">
        <v>462</v>
      </c>
      <c r="M4597">
        <v>7112</v>
      </c>
      <c r="N4597" t="s">
        <v>16177</v>
      </c>
    </row>
    <row r="4598" spans="1:14">
      <c r="A4598">
        <v>20030040</v>
      </c>
      <c r="B4598">
        <v>4025258</v>
      </c>
      <c r="C4598" t="s">
        <v>2545</v>
      </c>
      <c r="D4598" t="s">
        <v>441</v>
      </c>
      <c r="F4598">
        <v>0</v>
      </c>
      <c r="G4598">
        <v>4.72</v>
      </c>
      <c r="H4598" t="s">
        <v>8588</v>
      </c>
      <c r="I4598">
        <v>10</v>
      </c>
      <c r="J4598" t="s">
        <v>462</v>
      </c>
      <c r="M4598">
        <v>7112</v>
      </c>
      <c r="N4598" t="s">
        <v>16177</v>
      </c>
    </row>
    <row r="4599" spans="1:14">
      <c r="A4599">
        <v>20030041</v>
      </c>
      <c r="B4599">
        <v>4012677</v>
      </c>
      <c r="C4599" t="s">
        <v>10513</v>
      </c>
      <c r="D4599" t="s">
        <v>441</v>
      </c>
      <c r="F4599">
        <v>0</v>
      </c>
      <c r="G4599">
        <v>6.06</v>
      </c>
      <c r="H4599" t="s">
        <v>8588</v>
      </c>
      <c r="I4599">
        <v>12</v>
      </c>
      <c r="J4599" t="s">
        <v>462</v>
      </c>
      <c r="K4599" t="s">
        <v>446</v>
      </c>
      <c r="M4599">
        <v>2612</v>
      </c>
    </row>
    <row r="4600" spans="1:14">
      <c r="A4600">
        <v>20030042</v>
      </c>
      <c r="B4600">
        <v>4012984</v>
      </c>
      <c r="C4600" t="s">
        <v>10514</v>
      </c>
      <c r="D4600" t="s">
        <v>441</v>
      </c>
      <c r="F4600">
        <v>0</v>
      </c>
      <c r="G4600">
        <v>3.33</v>
      </c>
      <c r="H4600" t="s">
        <v>8588</v>
      </c>
      <c r="I4600">
        <v>10</v>
      </c>
      <c r="J4600" t="s">
        <v>462</v>
      </c>
      <c r="K4600" t="s">
        <v>446</v>
      </c>
      <c r="M4600">
        <v>2612</v>
      </c>
    </row>
    <row r="4601" spans="1:14">
      <c r="A4601">
        <v>20030075</v>
      </c>
      <c r="B4601">
        <v>3007831</v>
      </c>
      <c r="C4601" t="s">
        <v>10515</v>
      </c>
      <c r="D4601" t="s">
        <v>441</v>
      </c>
      <c r="F4601">
        <v>0</v>
      </c>
      <c r="G4601">
        <v>4.3</v>
      </c>
      <c r="H4601" t="s">
        <v>8588</v>
      </c>
      <c r="I4601">
        <v>6</v>
      </c>
      <c r="J4601" t="s">
        <v>445</v>
      </c>
      <c r="K4601" t="s">
        <v>446</v>
      </c>
      <c r="M4601">
        <v>2641</v>
      </c>
    </row>
    <row r="4602" spans="1:14">
      <c r="A4602">
        <v>20030076</v>
      </c>
      <c r="B4602">
        <v>4009731</v>
      </c>
      <c r="C4602" t="s">
        <v>10516</v>
      </c>
      <c r="D4602" t="s">
        <v>441</v>
      </c>
      <c r="F4602">
        <v>0</v>
      </c>
      <c r="G4602">
        <v>5.5</v>
      </c>
      <c r="H4602" t="s">
        <v>8588</v>
      </c>
      <c r="I4602">
        <v>6</v>
      </c>
      <c r="J4602" t="s">
        <v>462</v>
      </c>
      <c r="K4602" t="s">
        <v>446</v>
      </c>
      <c r="L4602">
        <v>14141</v>
      </c>
      <c r="M4602">
        <v>2641</v>
      </c>
    </row>
    <row r="4603" spans="1:14">
      <c r="A4603">
        <v>20030077</v>
      </c>
      <c r="B4603">
        <v>3012599</v>
      </c>
      <c r="C4603" t="s">
        <v>2546</v>
      </c>
      <c r="D4603" t="s">
        <v>441</v>
      </c>
      <c r="F4603">
        <v>0</v>
      </c>
      <c r="G4603">
        <v>4.4400000000000004</v>
      </c>
      <c r="H4603" t="s">
        <v>8588</v>
      </c>
      <c r="I4603">
        <v>6</v>
      </c>
      <c r="J4603" t="s">
        <v>445</v>
      </c>
      <c r="L4603">
        <v>2092031</v>
      </c>
      <c r="M4603">
        <v>7112</v>
      </c>
      <c r="N4603" t="s">
        <v>16177</v>
      </c>
    </row>
    <row r="4604" spans="1:14">
      <c r="A4604">
        <v>20030080</v>
      </c>
      <c r="B4604">
        <v>3009724</v>
      </c>
      <c r="C4604" t="s">
        <v>10517</v>
      </c>
      <c r="D4604" t="s">
        <v>441</v>
      </c>
      <c r="F4604">
        <v>0</v>
      </c>
      <c r="G4604">
        <v>4.3099999999999996</v>
      </c>
      <c r="H4604" t="s">
        <v>8588</v>
      </c>
      <c r="I4604">
        <v>6</v>
      </c>
      <c r="J4604" t="s">
        <v>445</v>
      </c>
      <c r="K4604" t="s">
        <v>446</v>
      </c>
      <c r="M4604">
        <v>2641</v>
      </c>
    </row>
    <row r="4605" spans="1:14">
      <c r="A4605">
        <v>20030087</v>
      </c>
      <c r="B4605">
        <v>3012286</v>
      </c>
      <c r="C4605" t="s">
        <v>2547</v>
      </c>
      <c r="D4605" t="s">
        <v>441</v>
      </c>
      <c r="F4605">
        <v>0</v>
      </c>
      <c r="G4605">
        <v>4.45</v>
      </c>
      <c r="H4605" t="s">
        <v>8588</v>
      </c>
      <c r="I4605">
        <v>6</v>
      </c>
      <c r="J4605" t="s">
        <v>445</v>
      </c>
      <c r="M4605">
        <v>7112</v>
      </c>
      <c r="N4605" t="s">
        <v>16177</v>
      </c>
    </row>
    <row r="4606" spans="1:14">
      <c r="A4606">
        <v>20030090</v>
      </c>
      <c r="B4606">
        <v>3012610</v>
      </c>
      <c r="C4606" t="s">
        <v>2548</v>
      </c>
      <c r="D4606" t="s">
        <v>441</v>
      </c>
      <c r="F4606">
        <v>0</v>
      </c>
      <c r="G4606">
        <v>4.49</v>
      </c>
      <c r="H4606" t="s">
        <v>8588</v>
      </c>
      <c r="I4606">
        <v>6</v>
      </c>
      <c r="J4606" t="s">
        <v>445</v>
      </c>
      <c r="M4606">
        <v>7112</v>
      </c>
      <c r="N4606" t="s">
        <v>16177</v>
      </c>
    </row>
    <row r="4607" spans="1:14">
      <c r="A4607">
        <v>20030100</v>
      </c>
      <c r="B4607">
        <v>3031664</v>
      </c>
      <c r="C4607" t="s">
        <v>2549</v>
      </c>
      <c r="D4607" t="s">
        <v>441</v>
      </c>
      <c r="F4607">
        <v>0</v>
      </c>
      <c r="H4607" t="s">
        <v>8588</v>
      </c>
      <c r="I4607">
        <v>6</v>
      </c>
      <c r="J4607" t="s">
        <v>445</v>
      </c>
      <c r="K4607" t="s">
        <v>446</v>
      </c>
      <c r="M4607">
        <v>0</v>
      </c>
      <c r="N4607" t="s">
        <v>16177</v>
      </c>
    </row>
    <row r="4608" spans="1:14">
      <c r="A4608">
        <v>20030110</v>
      </c>
      <c r="B4608">
        <v>3012637</v>
      </c>
      <c r="C4608" t="s">
        <v>2550</v>
      </c>
      <c r="D4608" t="s">
        <v>441</v>
      </c>
      <c r="F4608">
        <v>0</v>
      </c>
      <c r="H4608" t="s">
        <v>8588</v>
      </c>
      <c r="I4608">
        <v>6</v>
      </c>
      <c r="J4608" t="s">
        <v>445</v>
      </c>
      <c r="M4608">
        <v>7161</v>
      </c>
      <c r="N4608" t="s">
        <v>16177</v>
      </c>
    </row>
    <row r="4609" spans="1:14">
      <c r="A4609">
        <v>20030120</v>
      </c>
      <c r="B4609">
        <v>3031190</v>
      </c>
      <c r="C4609" t="s">
        <v>2551</v>
      </c>
      <c r="D4609" t="s">
        <v>441</v>
      </c>
      <c r="F4609">
        <v>0</v>
      </c>
      <c r="H4609" t="s">
        <v>8588</v>
      </c>
      <c r="I4609">
        <v>6</v>
      </c>
      <c r="J4609" t="s">
        <v>445</v>
      </c>
      <c r="M4609">
        <v>7161</v>
      </c>
      <c r="N4609" t="s">
        <v>16177</v>
      </c>
    </row>
    <row r="4610" spans="1:14">
      <c r="A4610">
        <v>20030130</v>
      </c>
      <c r="B4610">
        <v>3033673</v>
      </c>
      <c r="C4610" t="s">
        <v>2552</v>
      </c>
      <c r="D4610" t="s">
        <v>441</v>
      </c>
      <c r="F4610">
        <v>0</v>
      </c>
      <c r="H4610" t="s">
        <v>8588</v>
      </c>
      <c r="I4610">
        <v>6</v>
      </c>
      <c r="J4610" t="s">
        <v>445</v>
      </c>
      <c r="M4610">
        <v>7161</v>
      </c>
      <c r="N4610" t="s">
        <v>16177</v>
      </c>
    </row>
    <row r="4611" spans="1:14">
      <c r="A4611">
        <v>20030132</v>
      </c>
      <c r="B4611">
        <v>3036973</v>
      </c>
      <c r="C4611" t="s">
        <v>17434</v>
      </c>
      <c r="D4611" t="s">
        <v>441</v>
      </c>
      <c r="F4611">
        <v>0</v>
      </c>
      <c r="G4611">
        <v>9.67</v>
      </c>
      <c r="H4611" t="s">
        <v>8588</v>
      </c>
      <c r="I4611">
        <v>729</v>
      </c>
      <c r="J4611" t="s">
        <v>445</v>
      </c>
      <c r="M4611">
        <v>0</v>
      </c>
      <c r="N4611" t="s">
        <v>16177</v>
      </c>
    </row>
    <row r="4612" spans="1:14">
      <c r="A4612">
        <v>20030140</v>
      </c>
      <c r="B4612">
        <v>3038153</v>
      </c>
      <c r="C4612" t="s">
        <v>2553</v>
      </c>
      <c r="D4612" t="s">
        <v>441</v>
      </c>
      <c r="F4612">
        <v>0</v>
      </c>
      <c r="H4612" t="s">
        <v>8588</v>
      </c>
      <c r="I4612">
        <v>6</v>
      </c>
      <c r="J4612" t="s">
        <v>445</v>
      </c>
      <c r="M4612">
        <v>7161</v>
      </c>
      <c r="N4612" t="s">
        <v>16177</v>
      </c>
    </row>
    <row r="4613" spans="1:14">
      <c r="A4613">
        <v>20030150</v>
      </c>
      <c r="B4613">
        <v>3036407</v>
      </c>
      <c r="C4613" t="s">
        <v>334</v>
      </c>
      <c r="D4613" t="s">
        <v>441</v>
      </c>
      <c r="F4613">
        <v>0</v>
      </c>
      <c r="G4613">
        <v>4.45</v>
      </c>
      <c r="H4613" t="s">
        <v>8588</v>
      </c>
      <c r="I4613">
        <v>6</v>
      </c>
      <c r="J4613" t="s">
        <v>445</v>
      </c>
      <c r="M4613">
        <v>0</v>
      </c>
      <c r="N4613" t="s">
        <v>16177</v>
      </c>
    </row>
    <row r="4614" spans="1:14">
      <c r="A4614">
        <v>20030502</v>
      </c>
      <c r="B4614">
        <v>3006271</v>
      </c>
      <c r="C4614" t="s">
        <v>10518</v>
      </c>
      <c r="D4614" t="s">
        <v>441</v>
      </c>
      <c r="F4614">
        <v>0</v>
      </c>
      <c r="G4614">
        <v>3.5</v>
      </c>
      <c r="H4614" t="s">
        <v>8584</v>
      </c>
      <c r="I4614">
        <v>6</v>
      </c>
      <c r="J4614" t="s">
        <v>445</v>
      </c>
      <c r="K4614" t="s">
        <v>446</v>
      </c>
      <c r="M4614">
        <v>2501</v>
      </c>
    </row>
    <row r="4615" spans="1:14">
      <c r="A4615">
        <v>20030517</v>
      </c>
      <c r="B4615">
        <v>3020188</v>
      </c>
      <c r="C4615" t="s">
        <v>10519</v>
      </c>
      <c r="D4615" t="s">
        <v>441</v>
      </c>
      <c r="F4615">
        <v>0</v>
      </c>
      <c r="G4615">
        <v>3.79</v>
      </c>
      <c r="H4615" t="s">
        <v>8584</v>
      </c>
      <c r="I4615">
        <v>6</v>
      </c>
      <c r="J4615" t="s">
        <v>445</v>
      </c>
      <c r="K4615" t="s">
        <v>446</v>
      </c>
      <c r="M4615">
        <v>2641</v>
      </c>
    </row>
    <row r="4616" spans="1:14">
      <c r="A4616">
        <v>20030518</v>
      </c>
      <c r="B4616">
        <v>3019881</v>
      </c>
      <c r="C4616" t="s">
        <v>2554</v>
      </c>
      <c r="D4616" t="s">
        <v>441</v>
      </c>
      <c r="F4616">
        <v>0</v>
      </c>
      <c r="G4616">
        <v>5.48</v>
      </c>
      <c r="H4616" t="s">
        <v>8634</v>
      </c>
      <c r="I4616">
        <v>365</v>
      </c>
      <c r="J4616" t="s">
        <v>445</v>
      </c>
      <c r="K4616" t="s">
        <v>446</v>
      </c>
      <c r="M4616">
        <v>2641</v>
      </c>
    </row>
    <row r="4617" spans="1:14">
      <c r="A4617">
        <v>20030519</v>
      </c>
      <c r="B4617">
        <v>3009158</v>
      </c>
      <c r="C4617" t="s">
        <v>2555</v>
      </c>
      <c r="D4617" t="s">
        <v>441</v>
      </c>
      <c r="F4617">
        <v>0</v>
      </c>
      <c r="G4617">
        <v>6.01</v>
      </c>
      <c r="H4617" t="s">
        <v>8580</v>
      </c>
      <c r="I4617">
        <v>6</v>
      </c>
      <c r="J4617" t="s">
        <v>445</v>
      </c>
      <c r="M4617">
        <v>2502</v>
      </c>
      <c r="N4617" t="s">
        <v>16177</v>
      </c>
    </row>
    <row r="4618" spans="1:14">
      <c r="A4618">
        <v>20030525</v>
      </c>
      <c r="B4618">
        <v>3007832</v>
      </c>
      <c r="C4618" t="s">
        <v>10520</v>
      </c>
      <c r="D4618" t="s">
        <v>441</v>
      </c>
      <c r="F4618">
        <v>0</v>
      </c>
      <c r="G4618">
        <v>2.29</v>
      </c>
      <c r="H4618" t="s">
        <v>8580</v>
      </c>
      <c r="I4618">
        <v>6</v>
      </c>
      <c r="J4618" t="s">
        <v>445</v>
      </c>
      <c r="K4618" t="s">
        <v>446</v>
      </c>
      <c r="M4618">
        <v>2641</v>
      </c>
    </row>
    <row r="4619" spans="1:14">
      <c r="A4619">
        <v>20030526</v>
      </c>
      <c r="B4619">
        <v>3013587</v>
      </c>
      <c r="C4619" t="s">
        <v>2556</v>
      </c>
      <c r="D4619" t="s">
        <v>441</v>
      </c>
      <c r="F4619">
        <v>0</v>
      </c>
      <c r="G4619">
        <v>4.4400000000000004</v>
      </c>
      <c r="H4619" t="s">
        <v>8580</v>
      </c>
      <c r="I4619">
        <v>540</v>
      </c>
      <c r="J4619" t="s">
        <v>445</v>
      </c>
      <c r="M4619">
        <v>2502</v>
      </c>
      <c r="N4619" t="s">
        <v>16177</v>
      </c>
    </row>
    <row r="4620" spans="1:14">
      <c r="A4620">
        <v>20030527</v>
      </c>
      <c r="B4620">
        <v>3021035</v>
      </c>
      <c r="C4620" t="s">
        <v>10521</v>
      </c>
      <c r="D4620" t="s">
        <v>441</v>
      </c>
      <c r="F4620">
        <v>0</v>
      </c>
      <c r="G4620">
        <v>5.69</v>
      </c>
      <c r="H4620" t="s">
        <v>8584</v>
      </c>
      <c r="I4620">
        <v>6</v>
      </c>
      <c r="J4620" t="s">
        <v>445</v>
      </c>
      <c r="K4620" t="s">
        <v>446</v>
      </c>
      <c r="M4620">
        <v>2641</v>
      </c>
    </row>
    <row r="4621" spans="1:14">
      <c r="A4621">
        <v>20030602</v>
      </c>
      <c r="B4621">
        <v>3009516</v>
      </c>
      <c r="C4621" t="s">
        <v>2557</v>
      </c>
      <c r="D4621" t="s">
        <v>441</v>
      </c>
      <c r="F4621">
        <v>0</v>
      </c>
      <c r="G4621">
        <v>4.93</v>
      </c>
      <c r="H4621" t="s">
        <v>8580</v>
      </c>
      <c r="I4621">
        <v>4</v>
      </c>
      <c r="J4621" t="s">
        <v>445</v>
      </c>
      <c r="M4621">
        <v>2510</v>
      </c>
      <c r="N4621" t="s">
        <v>16177</v>
      </c>
    </row>
    <row r="4622" spans="1:14">
      <c r="A4622">
        <v>20030625</v>
      </c>
      <c r="B4622">
        <v>3012417</v>
      </c>
      <c r="C4622" t="s">
        <v>10522</v>
      </c>
      <c r="D4622" t="s">
        <v>441</v>
      </c>
      <c r="F4622">
        <v>0</v>
      </c>
      <c r="G4622">
        <v>4.95</v>
      </c>
      <c r="H4622" t="s">
        <v>8580</v>
      </c>
      <c r="I4622">
        <v>4</v>
      </c>
      <c r="J4622" t="s">
        <v>445</v>
      </c>
      <c r="K4622" t="s">
        <v>446</v>
      </c>
      <c r="M4622">
        <v>2511</v>
      </c>
    </row>
    <row r="4623" spans="1:14">
      <c r="A4623">
        <v>20030626</v>
      </c>
      <c r="B4623">
        <v>3013558</v>
      </c>
      <c r="C4623" t="s">
        <v>2558</v>
      </c>
      <c r="D4623" t="s">
        <v>441</v>
      </c>
      <c r="F4623">
        <v>0</v>
      </c>
      <c r="G4623">
        <v>4.93</v>
      </c>
      <c r="H4623" t="s">
        <v>8588</v>
      </c>
      <c r="I4623">
        <v>4</v>
      </c>
      <c r="J4623" t="s">
        <v>445</v>
      </c>
      <c r="M4623">
        <v>2510</v>
      </c>
      <c r="N4623" t="s">
        <v>16177</v>
      </c>
    </row>
    <row r="4624" spans="1:14">
      <c r="A4624">
        <v>20030900</v>
      </c>
      <c r="B4624">
        <v>3020285</v>
      </c>
      <c r="C4624" t="s">
        <v>2559</v>
      </c>
      <c r="D4624" t="s">
        <v>441</v>
      </c>
      <c r="F4624">
        <v>0</v>
      </c>
      <c r="G4624">
        <v>0</v>
      </c>
      <c r="H4624" t="s">
        <v>8627</v>
      </c>
      <c r="I4624">
        <v>6</v>
      </c>
      <c r="J4624" t="s">
        <v>445</v>
      </c>
      <c r="M4624">
        <v>6666</v>
      </c>
      <c r="N4624" t="s">
        <v>16177</v>
      </c>
    </row>
    <row r="4625" spans="1:14">
      <c r="A4625">
        <v>20030902</v>
      </c>
      <c r="B4625">
        <v>3027427</v>
      </c>
      <c r="C4625" t="s">
        <v>2560</v>
      </c>
      <c r="D4625" t="s">
        <v>441</v>
      </c>
      <c r="F4625">
        <v>0</v>
      </c>
      <c r="H4625" t="s">
        <v>8583</v>
      </c>
      <c r="I4625">
        <v>4</v>
      </c>
      <c r="J4625" t="s">
        <v>445</v>
      </c>
      <c r="M4625">
        <v>6666</v>
      </c>
      <c r="N4625" t="s">
        <v>16177</v>
      </c>
    </row>
    <row r="4626" spans="1:14">
      <c r="A4626">
        <v>20030907</v>
      </c>
      <c r="B4626">
        <v>3025229</v>
      </c>
      <c r="C4626" t="s">
        <v>14351</v>
      </c>
      <c r="D4626" t="s">
        <v>441</v>
      </c>
      <c r="F4626">
        <v>0</v>
      </c>
      <c r="G4626">
        <v>0</v>
      </c>
      <c r="H4626" t="s">
        <v>8584</v>
      </c>
      <c r="I4626">
        <v>6</v>
      </c>
      <c r="J4626" t="s">
        <v>445</v>
      </c>
      <c r="M4626">
        <v>6666</v>
      </c>
      <c r="N4626" t="s">
        <v>16177</v>
      </c>
    </row>
    <row r="4627" spans="1:14">
      <c r="A4627">
        <v>20030926</v>
      </c>
      <c r="B4627">
        <v>3020286</v>
      </c>
      <c r="C4627" t="s">
        <v>2561</v>
      </c>
      <c r="D4627" t="s">
        <v>441</v>
      </c>
      <c r="F4627">
        <v>0</v>
      </c>
      <c r="H4627" t="s">
        <v>8584</v>
      </c>
      <c r="I4627">
        <v>4</v>
      </c>
      <c r="J4627" t="s">
        <v>445</v>
      </c>
      <c r="M4627">
        <v>6666</v>
      </c>
      <c r="N4627" t="s">
        <v>16177</v>
      </c>
    </row>
    <row r="4628" spans="1:14">
      <c r="A4628">
        <v>20031000</v>
      </c>
      <c r="B4628">
        <v>3017800</v>
      </c>
      <c r="C4628" t="s">
        <v>2562</v>
      </c>
      <c r="D4628" t="s">
        <v>441</v>
      </c>
      <c r="F4628">
        <v>0</v>
      </c>
      <c r="G4628">
        <v>0</v>
      </c>
      <c r="H4628" t="s">
        <v>8588</v>
      </c>
      <c r="I4628">
        <v>6</v>
      </c>
      <c r="J4628" t="s">
        <v>445</v>
      </c>
      <c r="M4628">
        <v>2391</v>
      </c>
      <c r="N4628" t="s">
        <v>16177</v>
      </c>
    </row>
    <row r="4629" spans="1:14">
      <c r="A4629">
        <v>20031007</v>
      </c>
      <c r="B4629">
        <v>3024970</v>
      </c>
      <c r="C4629" t="s">
        <v>14352</v>
      </c>
      <c r="D4629" t="s">
        <v>441</v>
      </c>
      <c r="F4629">
        <v>0</v>
      </c>
      <c r="G4629">
        <v>8.43</v>
      </c>
      <c r="H4629" t="s">
        <v>8935</v>
      </c>
      <c r="I4629">
        <v>6</v>
      </c>
      <c r="J4629" t="s">
        <v>445</v>
      </c>
      <c r="M4629">
        <v>3111</v>
      </c>
      <c r="N4629" t="s">
        <v>16177</v>
      </c>
    </row>
    <row r="4630" spans="1:14">
      <c r="A4630">
        <v>20031017</v>
      </c>
      <c r="B4630">
        <v>3020201</v>
      </c>
      <c r="C4630" t="s">
        <v>10523</v>
      </c>
      <c r="D4630" t="s">
        <v>441</v>
      </c>
      <c r="F4630">
        <v>0</v>
      </c>
      <c r="G4630">
        <v>6.02</v>
      </c>
      <c r="H4630" t="s">
        <v>8588</v>
      </c>
      <c r="I4630">
        <v>365</v>
      </c>
      <c r="J4630" t="s">
        <v>445</v>
      </c>
      <c r="K4630" t="s">
        <v>446</v>
      </c>
      <c r="M4630">
        <v>2501</v>
      </c>
    </row>
    <row r="4631" spans="1:14">
      <c r="A4631">
        <v>20031019</v>
      </c>
      <c r="B4631">
        <v>3044733</v>
      </c>
      <c r="C4631" t="s">
        <v>15379</v>
      </c>
      <c r="D4631" t="s">
        <v>441</v>
      </c>
      <c r="F4631">
        <v>0</v>
      </c>
      <c r="G4631">
        <v>9.84</v>
      </c>
      <c r="H4631" t="s">
        <v>8588</v>
      </c>
      <c r="I4631">
        <v>540</v>
      </c>
      <c r="J4631" t="s">
        <v>445</v>
      </c>
      <c r="M4631">
        <v>7111</v>
      </c>
      <c r="N4631" t="s">
        <v>16177</v>
      </c>
    </row>
    <row r="4632" spans="1:14">
      <c r="A4632">
        <v>20031020</v>
      </c>
      <c r="B4632">
        <v>4011618</v>
      </c>
      <c r="C4632" t="s">
        <v>10524</v>
      </c>
      <c r="D4632" t="s">
        <v>441</v>
      </c>
      <c r="F4632">
        <v>0</v>
      </c>
      <c r="G4632">
        <v>5.61</v>
      </c>
      <c r="H4632" t="s">
        <v>8588</v>
      </c>
      <c r="I4632">
        <v>6</v>
      </c>
      <c r="J4632" t="s">
        <v>462</v>
      </c>
      <c r="K4632" t="s">
        <v>446</v>
      </c>
      <c r="M4632">
        <v>2641</v>
      </c>
    </row>
    <row r="4633" spans="1:14">
      <c r="A4633">
        <v>20031021</v>
      </c>
      <c r="B4633">
        <v>4011840</v>
      </c>
      <c r="C4633" t="s">
        <v>10525</v>
      </c>
      <c r="D4633" t="s">
        <v>441</v>
      </c>
      <c r="F4633">
        <v>0</v>
      </c>
      <c r="G4633">
        <v>4.3499999999999996</v>
      </c>
      <c r="H4633" t="s">
        <v>8588</v>
      </c>
      <c r="I4633">
        <v>6</v>
      </c>
      <c r="J4633" t="s">
        <v>462</v>
      </c>
      <c r="K4633" t="s">
        <v>446</v>
      </c>
      <c r="M4633">
        <v>2641</v>
      </c>
    </row>
    <row r="4634" spans="1:14">
      <c r="A4634">
        <v>20031022</v>
      </c>
      <c r="B4634">
        <v>4012209</v>
      </c>
      <c r="C4634" t="s">
        <v>10526</v>
      </c>
      <c r="D4634" t="s">
        <v>441</v>
      </c>
      <c r="F4634">
        <v>0</v>
      </c>
      <c r="G4634">
        <v>4.5999999999999996</v>
      </c>
      <c r="H4634" t="s">
        <v>8588</v>
      </c>
      <c r="I4634">
        <v>6</v>
      </c>
      <c r="J4634" t="s">
        <v>462</v>
      </c>
      <c r="K4634" t="s">
        <v>446</v>
      </c>
      <c r="M4634">
        <v>2612</v>
      </c>
    </row>
    <row r="4635" spans="1:14">
      <c r="A4635">
        <v>20031027</v>
      </c>
      <c r="B4635">
        <v>4013779</v>
      </c>
      <c r="C4635" t="s">
        <v>10527</v>
      </c>
      <c r="D4635" t="s">
        <v>441</v>
      </c>
      <c r="F4635">
        <v>0</v>
      </c>
      <c r="G4635">
        <v>5.87</v>
      </c>
      <c r="H4635" t="s">
        <v>8588</v>
      </c>
      <c r="I4635">
        <v>365</v>
      </c>
      <c r="J4635" t="s">
        <v>462</v>
      </c>
      <c r="K4635" t="s">
        <v>446</v>
      </c>
      <c r="M4635">
        <v>2501</v>
      </c>
    </row>
    <row r="4636" spans="1:14">
      <c r="A4636">
        <v>20031041</v>
      </c>
      <c r="B4636">
        <v>4012678</v>
      </c>
      <c r="C4636" t="s">
        <v>10528</v>
      </c>
      <c r="D4636" t="s">
        <v>441</v>
      </c>
      <c r="F4636">
        <v>0</v>
      </c>
      <c r="G4636">
        <v>6.06</v>
      </c>
      <c r="H4636" t="s">
        <v>8588</v>
      </c>
      <c r="I4636">
        <v>10</v>
      </c>
      <c r="J4636" t="s">
        <v>462</v>
      </c>
      <c r="K4636" t="s">
        <v>446</v>
      </c>
      <c r="M4636">
        <v>2612</v>
      </c>
    </row>
    <row r="4637" spans="1:14">
      <c r="A4637">
        <v>20031042</v>
      </c>
      <c r="B4637">
        <v>4012985</v>
      </c>
      <c r="C4637" t="s">
        <v>10529</v>
      </c>
      <c r="D4637" t="s">
        <v>441</v>
      </c>
      <c r="F4637">
        <v>0</v>
      </c>
      <c r="G4637">
        <v>3.33</v>
      </c>
      <c r="H4637" t="s">
        <v>8588</v>
      </c>
      <c r="I4637">
        <v>10</v>
      </c>
      <c r="J4637" t="s">
        <v>462</v>
      </c>
      <c r="K4637" t="s">
        <v>446</v>
      </c>
      <c r="M4637">
        <v>2612</v>
      </c>
    </row>
    <row r="4638" spans="1:14">
      <c r="A4638">
        <v>20031076</v>
      </c>
      <c r="B4638">
        <v>4011962</v>
      </c>
      <c r="C4638" t="s">
        <v>10530</v>
      </c>
      <c r="D4638" t="s">
        <v>441</v>
      </c>
      <c r="F4638">
        <v>0</v>
      </c>
      <c r="G4638">
        <v>5.5</v>
      </c>
      <c r="H4638" t="s">
        <v>8588</v>
      </c>
      <c r="I4638">
        <v>6</v>
      </c>
      <c r="J4638" t="s">
        <v>462</v>
      </c>
      <c r="K4638" t="s">
        <v>446</v>
      </c>
      <c r="M4638">
        <v>2641</v>
      </c>
    </row>
    <row r="4639" spans="1:14">
      <c r="A4639">
        <v>20031517</v>
      </c>
      <c r="B4639">
        <v>3020189</v>
      </c>
      <c r="C4639" t="s">
        <v>10531</v>
      </c>
      <c r="D4639" t="s">
        <v>441</v>
      </c>
      <c r="F4639">
        <v>0</v>
      </c>
      <c r="G4639">
        <v>5.76</v>
      </c>
      <c r="H4639" t="s">
        <v>8584</v>
      </c>
      <c r="I4639">
        <v>6</v>
      </c>
      <c r="J4639" t="s">
        <v>445</v>
      </c>
      <c r="K4639" t="s">
        <v>446</v>
      </c>
      <c r="M4639">
        <v>2641</v>
      </c>
    </row>
    <row r="4640" spans="1:14">
      <c r="A4640">
        <v>20031519</v>
      </c>
      <c r="B4640">
        <v>3044732</v>
      </c>
      <c r="C4640" t="s">
        <v>15380</v>
      </c>
      <c r="D4640" t="s">
        <v>441</v>
      </c>
      <c r="F4640">
        <v>0</v>
      </c>
      <c r="G4640">
        <v>9.23</v>
      </c>
      <c r="H4640" t="s">
        <v>8588</v>
      </c>
      <c r="I4640">
        <v>6</v>
      </c>
      <c r="J4640" t="s">
        <v>445</v>
      </c>
      <c r="M4640">
        <v>2502</v>
      </c>
      <c r="N4640" t="s">
        <v>16177</v>
      </c>
    </row>
    <row r="4641" spans="1:14">
      <c r="A4641">
        <v>20031525</v>
      </c>
      <c r="B4641">
        <v>3017403</v>
      </c>
      <c r="C4641" t="s">
        <v>10532</v>
      </c>
      <c r="D4641" t="s">
        <v>441</v>
      </c>
      <c r="F4641">
        <v>0</v>
      </c>
      <c r="G4641">
        <v>5.46</v>
      </c>
      <c r="I4641">
        <v>6</v>
      </c>
      <c r="J4641" t="s">
        <v>445</v>
      </c>
      <c r="K4641" t="s">
        <v>446</v>
      </c>
      <c r="M4641">
        <v>2641</v>
      </c>
    </row>
    <row r="4642" spans="1:14">
      <c r="A4642">
        <v>20031526</v>
      </c>
      <c r="B4642">
        <v>3017560</v>
      </c>
      <c r="C4642" t="s">
        <v>10533</v>
      </c>
      <c r="D4642" t="s">
        <v>441</v>
      </c>
      <c r="F4642">
        <v>0</v>
      </c>
      <c r="G4642">
        <v>5.48</v>
      </c>
      <c r="H4642" t="s">
        <v>8580</v>
      </c>
      <c r="I4642">
        <v>365</v>
      </c>
      <c r="J4642" t="s">
        <v>445</v>
      </c>
      <c r="K4642" t="s">
        <v>446</v>
      </c>
      <c r="M4642">
        <v>2641</v>
      </c>
    </row>
    <row r="4643" spans="1:14">
      <c r="A4643">
        <v>20031527</v>
      </c>
      <c r="B4643">
        <v>3021036</v>
      </c>
      <c r="C4643" t="s">
        <v>10534</v>
      </c>
      <c r="D4643" t="s">
        <v>441</v>
      </c>
      <c r="F4643">
        <v>0</v>
      </c>
      <c r="G4643">
        <v>5.69</v>
      </c>
      <c r="H4643" t="s">
        <v>8584</v>
      </c>
      <c r="I4643">
        <v>6</v>
      </c>
      <c r="J4643" t="s">
        <v>445</v>
      </c>
      <c r="K4643" t="s">
        <v>446</v>
      </c>
      <c r="M4643">
        <v>2641</v>
      </c>
    </row>
    <row r="4644" spans="1:14">
      <c r="A4644">
        <v>20031619</v>
      </c>
      <c r="B4644">
        <v>3044731</v>
      </c>
      <c r="C4644" t="s">
        <v>15381</v>
      </c>
      <c r="D4644" t="s">
        <v>441</v>
      </c>
      <c r="F4644">
        <v>0</v>
      </c>
      <c r="G4644">
        <v>10.1</v>
      </c>
      <c r="H4644" t="s">
        <v>8549</v>
      </c>
      <c r="I4644">
        <v>4</v>
      </c>
      <c r="J4644" t="s">
        <v>445</v>
      </c>
      <c r="M4644">
        <v>2510</v>
      </c>
      <c r="N4644" t="s">
        <v>16177</v>
      </c>
    </row>
    <row r="4645" spans="1:14">
      <c r="A4645">
        <v>20031900</v>
      </c>
      <c r="B4645">
        <v>3020287</v>
      </c>
      <c r="C4645" t="s">
        <v>2563</v>
      </c>
      <c r="D4645" t="s">
        <v>441</v>
      </c>
      <c r="F4645">
        <v>0</v>
      </c>
      <c r="G4645">
        <v>0</v>
      </c>
      <c r="H4645" t="s">
        <v>8584</v>
      </c>
      <c r="I4645">
        <v>6</v>
      </c>
      <c r="J4645" t="s">
        <v>445</v>
      </c>
      <c r="M4645">
        <v>6666</v>
      </c>
      <c r="N4645" t="s">
        <v>16177</v>
      </c>
    </row>
    <row r="4646" spans="1:14">
      <c r="A4646">
        <v>20031907</v>
      </c>
      <c r="B4646">
        <v>3025230</v>
      </c>
      <c r="C4646" t="s">
        <v>14353</v>
      </c>
      <c r="D4646" t="s">
        <v>441</v>
      </c>
      <c r="F4646">
        <v>0</v>
      </c>
      <c r="G4646">
        <v>0</v>
      </c>
      <c r="H4646" t="s">
        <v>8584</v>
      </c>
      <c r="I4646">
        <v>6</v>
      </c>
      <c r="J4646" t="s">
        <v>445</v>
      </c>
      <c r="M4646">
        <v>6666</v>
      </c>
      <c r="N4646" t="s">
        <v>16177</v>
      </c>
    </row>
    <row r="4647" spans="1:14">
      <c r="A4647">
        <v>20031919</v>
      </c>
      <c r="B4647">
        <v>3044743</v>
      </c>
      <c r="C4647" t="s">
        <v>15410</v>
      </c>
      <c r="D4647" t="s">
        <v>441</v>
      </c>
      <c r="F4647">
        <v>0</v>
      </c>
      <c r="G4647">
        <v>10.1</v>
      </c>
      <c r="H4647" t="s">
        <v>8549</v>
      </c>
      <c r="I4647">
        <v>4</v>
      </c>
      <c r="J4647" t="s">
        <v>445</v>
      </c>
      <c r="M4647">
        <v>6666</v>
      </c>
      <c r="N4647" t="s">
        <v>16177</v>
      </c>
    </row>
    <row r="4648" spans="1:14">
      <c r="A4648">
        <v>20033000</v>
      </c>
      <c r="B4648">
        <v>3016300</v>
      </c>
      <c r="C4648" t="s">
        <v>10535</v>
      </c>
      <c r="D4648" t="s">
        <v>441</v>
      </c>
      <c r="F4648">
        <v>0</v>
      </c>
      <c r="G4648">
        <v>3.41</v>
      </c>
      <c r="H4648" t="s">
        <v>8580</v>
      </c>
      <c r="I4648">
        <v>6</v>
      </c>
      <c r="J4648" t="s">
        <v>445</v>
      </c>
      <c r="K4648" t="s">
        <v>446</v>
      </c>
      <c r="M4648">
        <v>2390</v>
      </c>
    </row>
    <row r="4649" spans="1:14">
      <c r="A4649">
        <v>20034000</v>
      </c>
      <c r="B4649">
        <v>3037430</v>
      </c>
      <c r="C4649" t="s">
        <v>2564</v>
      </c>
      <c r="D4649" t="s">
        <v>441</v>
      </c>
      <c r="F4649">
        <v>0</v>
      </c>
      <c r="G4649">
        <v>4.3499999999999996</v>
      </c>
      <c r="H4649" t="s">
        <v>8549</v>
      </c>
      <c r="I4649">
        <v>6</v>
      </c>
      <c r="J4649" t="s">
        <v>445</v>
      </c>
      <c r="M4649">
        <v>2391</v>
      </c>
      <c r="N4649" t="s">
        <v>16177</v>
      </c>
    </row>
    <row r="4650" spans="1:14">
      <c r="A4650">
        <v>20034007</v>
      </c>
      <c r="B4650">
        <v>3037636</v>
      </c>
      <c r="C4650" t="s">
        <v>318</v>
      </c>
      <c r="D4650" t="s">
        <v>441</v>
      </c>
      <c r="F4650">
        <v>0</v>
      </c>
      <c r="G4650">
        <v>4.4400000000000004</v>
      </c>
      <c r="H4650" t="s">
        <v>8588</v>
      </c>
      <c r="I4650">
        <v>6</v>
      </c>
      <c r="J4650" t="s">
        <v>445</v>
      </c>
      <c r="M4650">
        <v>3113</v>
      </c>
      <c r="N4650" t="s">
        <v>16177</v>
      </c>
    </row>
    <row r="4651" spans="1:14">
      <c r="A4651">
        <v>20034019</v>
      </c>
      <c r="B4651">
        <v>3042256</v>
      </c>
      <c r="C4651" t="s">
        <v>2565</v>
      </c>
      <c r="D4651" t="s">
        <v>441</v>
      </c>
      <c r="F4651">
        <v>0</v>
      </c>
      <c r="G4651">
        <v>6.38</v>
      </c>
      <c r="H4651" t="s">
        <v>8549</v>
      </c>
      <c r="I4651">
        <v>540</v>
      </c>
      <c r="J4651" t="s">
        <v>445</v>
      </c>
      <c r="M4651">
        <v>7111</v>
      </c>
      <c r="N4651" t="s">
        <v>16177</v>
      </c>
    </row>
    <row r="4652" spans="1:14">
      <c r="A4652">
        <v>20034043</v>
      </c>
      <c r="B4652">
        <v>4026855</v>
      </c>
      <c r="C4652" t="s">
        <v>2566</v>
      </c>
      <c r="D4652" t="s">
        <v>441</v>
      </c>
      <c r="F4652">
        <v>0</v>
      </c>
      <c r="G4652">
        <v>5.47</v>
      </c>
      <c r="H4652" t="s">
        <v>8588</v>
      </c>
      <c r="I4652">
        <v>10</v>
      </c>
      <c r="J4652" t="s">
        <v>462</v>
      </c>
      <c r="M4652">
        <v>7112</v>
      </c>
      <c r="N4652" t="s">
        <v>16177</v>
      </c>
    </row>
    <row r="4653" spans="1:14">
      <c r="A4653">
        <v>20034102</v>
      </c>
      <c r="B4653">
        <v>3039520</v>
      </c>
      <c r="C4653" t="s">
        <v>16178</v>
      </c>
      <c r="D4653" t="s">
        <v>441</v>
      </c>
      <c r="F4653">
        <v>0</v>
      </c>
      <c r="G4653">
        <v>11.24</v>
      </c>
      <c r="H4653" t="s">
        <v>8588</v>
      </c>
      <c r="I4653">
        <v>729</v>
      </c>
      <c r="J4653" t="s">
        <v>445</v>
      </c>
      <c r="M4653">
        <v>0</v>
      </c>
      <c r="N4653" t="s">
        <v>16177</v>
      </c>
    </row>
    <row r="4654" spans="1:14">
      <c r="A4654">
        <v>20034519</v>
      </c>
      <c r="B4654">
        <v>3039293</v>
      </c>
      <c r="C4654" t="s">
        <v>2567</v>
      </c>
      <c r="D4654" t="s">
        <v>441</v>
      </c>
      <c r="F4654">
        <v>0</v>
      </c>
      <c r="G4654">
        <v>6.01</v>
      </c>
      <c r="H4654" t="s">
        <v>8588</v>
      </c>
      <c r="I4654">
        <v>6</v>
      </c>
      <c r="J4654" t="s">
        <v>445</v>
      </c>
      <c r="M4654">
        <v>2502</v>
      </c>
      <c r="N4654" t="s">
        <v>16177</v>
      </c>
    </row>
    <row r="4655" spans="1:14">
      <c r="A4655">
        <v>20034619</v>
      </c>
      <c r="B4655">
        <v>3042253</v>
      </c>
      <c r="C4655" t="s">
        <v>2568</v>
      </c>
      <c r="D4655" t="s">
        <v>441</v>
      </c>
      <c r="F4655">
        <v>0</v>
      </c>
      <c r="G4655">
        <v>6.57</v>
      </c>
      <c r="H4655" t="s">
        <v>8584</v>
      </c>
      <c r="I4655">
        <v>4</v>
      </c>
      <c r="J4655" t="s">
        <v>445</v>
      </c>
      <c r="M4655">
        <v>2510</v>
      </c>
      <c r="N4655" t="s">
        <v>16177</v>
      </c>
    </row>
    <row r="4656" spans="1:14">
      <c r="A4656">
        <v>20034907</v>
      </c>
      <c r="B4656">
        <v>3037782</v>
      </c>
      <c r="C4656" t="s">
        <v>2569</v>
      </c>
      <c r="D4656" t="s">
        <v>441</v>
      </c>
      <c r="F4656">
        <v>0</v>
      </c>
      <c r="H4656" t="s">
        <v>8584</v>
      </c>
      <c r="I4656">
        <v>6</v>
      </c>
      <c r="J4656" t="s">
        <v>445</v>
      </c>
      <c r="M4656">
        <v>6666</v>
      </c>
      <c r="N4656" t="s">
        <v>16177</v>
      </c>
    </row>
    <row r="4657" spans="1:14">
      <c r="A4657">
        <v>20034919</v>
      </c>
      <c r="B4657">
        <v>3042255</v>
      </c>
      <c r="C4657" t="s">
        <v>2570</v>
      </c>
      <c r="D4657" t="s">
        <v>441</v>
      </c>
      <c r="F4657">
        <v>0</v>
      </c>
      <c r="G4657">
        <v>1</v>
      </c>
      <c r="H4657" t="s">
        <v>8580</v>
      </c>
      <c r="I4657">
        <v>4</v>
      </c>
      <c r="J4657" t="s">
        <v>445</v>
      </c>
      <c r="M4657">
        <v>6666</v>
      </c>
      <c r="N4657" t="s">
        <v>16177</v>
      </c>
    </row>
    <row r="4658" spans="1:14">
      <c r="A4658">
        <v>20039000</v>
      </c>
      <c r="B4658">
        <v>3019056</v>
      </c>
      <c r="C4658" t="s">
        <v>2571</v>
      </c>
      <c r="D4658" t="s">
        <v>441</v>
      </c>
      <c r="F4658">
        <v>0</v>
      </c>
      <c r="G4658">
        <v>4.3499999999999996</v>
      </c>
      <c r="H4658" t="s">
        <v>8588</v>
      </c>
      <c r="I4658">
        <v>2</v>
      </c>
      <c r="J4658" t="s">
        <v>445</v>
      </c>
      <c r="M4658">
        <v>3111</v>
      </c>
      <c r="N4658" t="s">
        <v>16177</v>
      </c>
    </row>
    <row r="4659" spans="1:14">
      <c r="A4659">
        <v>20039900</v>
      </c>
      <c r="B4659">
        <v>3020288</v>
      </c>
      <c r="C4659" t="s">
        <v>2572</v>
      </c>
      <c r="D4659" t="s">
        <v>441</v>
      </c>
      <c r="F4659">
        <v>0</v>
      </c>
      <c r="H4659" t="s">
        <v>8584</v>
      </c>
      <c r="I4659">
        <v>2</v>
      </c>
      <c r="J4659" t="s">
        <v>445</v>
      </c>
      <c r="M4659">
        <v>6666</v>
      </c>
      <c r="N4659" t="s">
        <v>16177</v>
      </c>
    </row>
    <row r="4660" spans="1:14">
      <c r="A4660">
        <v>20040000</v>
      </c>
      <c r="B4660">
        <v>3032928</v>
      </c>
      <c r="C4660" t="s">
        <v>2573</v>
      </c>
      <c r="D4660" t="s">
        <v>441</v>
      </c>
      <c r="F4660">
        <v>0</v>
      </c>
      <c r="G4660">
        <v>11.61</v>
      </c>
      <c r="H4660" t="s">
        <v>8549</v>
      </c>
      <c r="I4660">
        <v>6</v>
      </c>
      <c r="J4660" t="s">
        <v>445</v>
      </c>
      <c r="M4660">
        <v>2391</v>
      </c>
      <c r="N4660" t="s">
        <v>16179</v>
      </c>
    </row>
    <row r="4661" spans="1:14">
      <c r="A4661">
        <v>20040025</v>
      </c>
      <c r="B4661">
        <v>4022035</v>
      </c>
      <c r="C4661" t="s">
        <v>2574</v>
      </c>
      <c r="D4661" t="s">
        <v>442</v>
      </c>
      <c r="E4661" t="s">
        <v>441</v>
      </c>
      <c r="F4661">
        <v>25</v>
      </c>
      <c r="G4661">
        <v>410.26</v>
      </c>
      <c r="H4661" t="s">
        <v>8588</v>
      </c>
      <c r="I4661">
        <v>540</v>
      </c>
      <c r="J4661" t="s">
        <v>462</v>
      </c>
      <c r="M4661">
        <v>7111</v>
      </c>
      <c r="N4661" t="s">
        <v>16179</v>
      </c>
    </row>
    <row r="4662" spans="1:14">
      <c r="A4662">
        <v>20040026</v>
      </c>
      <c r="B4662">
        <v>4025383</v>
      </c>
      <c r="C4662" t="s">
        <v>2575</v>
      </c>
      <c r="D4662" t="s">
        <v>442</v>
      </c>
      <c r="E4662" t="s">
        <v>441</v>
      </c>
      <c r="F4662">
        <v>25</v>
      </c>
      <c r="G4662">
        <v>351.48</v>
      </c>
      <c r="H4662" t="s">
        <v>8588</v>
      </c>
      <c r="I4662">
        <v>540</v>
      </c>
      <c r="J4662" t="s">
        <v>462</v>
      </c>
      <c r="M4662">
        <v>7111</v>
      </c>
      <c r="N4662" t="s">
        <v>16179</v>
      </c>
    </row>
    <row r="4663" spans="1:14">
      <c r="A4663">
        <v>20040040</v>
      </c>
      <c r="B4663">
        <v>4024604</v>
      </c>
      <c r="C4663" t="s">
        <v>2576</v>
      </c>
      <c r="D4663" t="s">
        <v>441</v>
      </c>
      <c r="F4663">
        <v>0</v>
      </c>
      <c r="G4663">
        <v>13.83</v>
      </c>
      <c r="H4663" t="s">
        <v>8588</v>
      </c>
      <c r="I4663">
        <v>540</v>
      </c>
      <c r="J4663" t="s">
        <v>462</v>
      </c>
      <c r="M4663">
        <v>7111</v>
      </c>
      <c r="N4663" t="s">
        <v>16179</v>
      </c>
    </row>
    <row r="4664" spans="1:14">
      <c r="A4664">
        <v>20040075</v>
      </c>
      <c r="B4664">
        <v>3037202</v>
      </c>
      <c r="C4664" t="s">
        <v>2577</v>
      </c>
      <c r="D4664" t="s">
        <v>441</v>
      </c>
      <c r="F4664">
        <v>0</v>
      </c>
      <c r="G4664">
        <v>12.64</v>
      </c>
      <c r="H4664" t="s">
        <v>8588</v>
      </c>
      <c r="I4664">
        <v>6</v>
      </c>
      <c r="J4664" t="s">
        <v>445</v>
      </c>
      <c r="M4664">
        <v>7112</v>
      </c>
      <c r="N4664" t="s">
        <v>16179</v>
      </c>
    </row>
    <row r="4665" spans="1:14">
      <c r="A4665">
        <v>20040525</v>
      </c>
      <c r="B4665">
        <v>3033031</v>
      </c>
      <c r="C4665" t="s">
        <v>2578</v>
      </c>
      <c r="D4665" t="s">
        <v>442</v>
      </c>
      <c r="E4665" t="s">
        <v>441</v>
      </c>
      <c r="F4665">
        <v>25</v>
      </c>
      <c r="G4665">
        <v>344.32</v>
      </c>
      <c r="H4665" t="s">
        <v>8588</v>
      </c>
      <c r="I4665">
        <v>6</v>
      </c>
      <c r="J4665" t="s">
        <v>445</v>
      </c>
      <c r="M4665">
        <v>2502</v>
      </c>
      <c r="N4665" t="s">
        <v>16179</v>
      </c>
    </row>
    <row r="4666" spans="1:14">
      <c r="A4666">
        <v>20040526</v>
      </c>
      <c r="B4666">
        <v>3037593</v>
      </c>
      <c r="C4666" t="s">
        <v>2579</v>
      </c>
      <c r="D4666" t="s">
        <v>442</v>
      </c>
      <c r="E4666" t="s">
        <v>441</v>
      </c>
      <c r="F4666">
        <v>25</v>
      </c>
      <c r="G4666">
        <v>344.25</v>
      </c>
      <c r="H4666" t="s">
        <v>8588</v>
      </c>
      <c r="I4666">
        <v>6</v>
      </c>
      <c r="J4666" t="s">
        <v>445</v>
      </c>
      <c r="M4666">
        <v>2502</v>
      </c>
      <c r="N4666" t="s">
        <v>16179</v>
      </c>
    </row>
    <row r="4667" spans="1:14">
      <c r="A4667">
        <v>20040540</v>
      </c>
      <c r="B4667">
        <v>3036541</v>
      </c>
      <c r="C4667" t="s">
        <v>2580</v>
      </c>
      <c r="D4667" t="s">
        <v>441</v>
      </c>
      <c r="F4667">
        <v>0</v>
      </c>
      <c r="G4667">
        <v>13.54</v>
      </c>
      <c r="H4667" t="s">
        <v>8588</v>
      </c>
      <c r="I4667">
        <v>540</v>
      </c>
      <c r="J4667" t="s">
        <v>445</v>
      </c>
      <c r="M4667">
        <v>2502</v>
      </c>
      <c r="N4667" t="s">
        <v>16179</v>
      </c>
    </row>
    <row r="4668" spans="1:14">
      <c r="A4668">
        <v>20042000</v>
      </c>
      <c r="B4668">
        <v>3038478</v>
      </c>
      <c r="C4668" t="s">
        <v>2581</v>
      </c>
      <c r="D4668" t="s">
        <v>441</v>
      </c>
      <c r="F4668">
        <v>0</v>
      </c>
      <c r="G4668">
        <v>12.51</v>
      </c>
      <c r="H4668" t="s">
        <v>8549</v>
      </c>
      <c r="I4668">
        <v>6</v>
      </c>
      <c r="J4668" t="s">
        <v>445</v>
      </c>
      <c r="M4668">
        <v>2391</v>
      </c>
      <c r="N4668" t="s">
        <v>16179</v>
      </c>
    </row>
    <row r="4669" spans="1:14">
      <c r="A4669">
        <v>20044112</v>
      </c>
      <c r="B4669">
        <v>3039259</v>
      </c>
      <c r="C4669" t="s">
        <v>16180</v>
      </c>
      <c r="D4669" t="s">
        <v>441</v>
      </c>
      <c r="F4669">
        <v>0</v>
      </c>
      <c r="G4669">
        <v>11.28</v>
      </c>
      <c r="H4669" t="s">
        <v>8588</v>
      </c>
      <c r="I4669">
        <v>540</v>
      </c>
      <c r="J4669" t="s">
        <v>445</v>
      </c>
      <c r="M4669">
        <v>0</v>
      </c>
      <c r="N4669" t="s">
        <v>16177</v>
      </c>
    </row>
    <row r="4670" spans="1:14">
      <c r="A4670">
        <v>20046000</v>
      </c>
      <c r="B4670">
        <v>3038700</v>
      </c>
      <c r="C4670" t="s">
        <v>2582</v>
      </c>
      <c r="D4670" t="s">
        <v>441</v>
      </c>
      <c r="F4670">
        <v>0</v>
      </c>
      <c r="G4670">
        <v>12.51</v>
      </c>
      <c r="H4670" t="s">
        <v>8549</v>
      </c>
      <c r="I4670">
        <v>6</v>
      </c>
      <c r="J4670" t="s">
        <v>445</v>
      </c>
      <c r="M4670">
        <v>2391</v>
      </c>
      <c r="N4670" t="s">
        <v>16179</v>
      </c>
    </row>
    <row r="4671" spans="1:14">
      <c r="A4671">
        <v>20060000</v>
      </c>
      <c r="B4671">
        <v>3015878</v>
      </c>
      <c r="C4671" t="s">
        <v>2583</v>
      </c>
      <c r="D4671" t="s">
        <v>441</v>
      </c>
      <c r="F4671">
        <v>0</v>
      </c>
      <c r="G4671">
        <v>1</v>
      </c>
      <c r="I4671">
        <v>6</v>
      </c>
      <c r="J4671" t="s">
        <v>445</v>
      </c>
      <c r="K4671" t="s">
        <v>446</v>
      </c>
      <c r="M4671">
        <v>2211</v>
      </c>
    </row>
    <row r="4672" spans="1:14">
      <c r="A4672">
        <v>20070000</v>
      </c>
      <c r="B4672">
        <v>3016874</v>
      </c>
      <c r="C4672" t="s">
        <v>14847</v>
      </c>
      <c r="D4672" t="s">
        <v>441</v>
      </c>
      <c r="F4672">
        <v>0</v>
      </c>
      <c r="G4672">
        <v>10.3</v>
      </c>
      <c r="H4672" t="s">
        <v>8580</v>
      </c>
      <c r="I4672">
        <v>6</v>
      </c>
      <c r="J4672" t="s">
        <v>445</v>
      </c>
      <c r="M4672">
        <v>6666</v>
      </c>
      <c r="N4672" t="s">
        <v>16075</v>
      </c>
    </row>
    <row r="4673" spans="1:14">
      <c r="A4673">
        <v>20080000</v>
      </c>
      <c r="B4673">
        <v>3015879</v>
      </c>
      <c r="C4673" t="s">
        <v>2584</v>
      </c>
      <c r="D4673" t="s">
        <v>441</v>
      </c>
      <c r="F4673">
        <v>0</v>
      </c>
      <c r="G4673">
        <v>11.86</v>
      </c>
      <c r="H4673" t="s">
        <v>8549</v>
      </c>
      <c r="I4673">
        <v>6</v>
      </c>
      <c r="J4673" t="s">
        <v>445</v>
      </c>
      <c r="M4673">
        <v>2391</v>
      </c>
      <c r="N4673" t="s">
        <v>16075</v>
      </c>
    </row>
    <row r="4674" spans="1:14">
      <c r="A4674">
        <v>20080002</v>
      </c>
      <c r="B4674">
        <v>3022910</v>
      </c>
      <c r="C4674" t="s">
        <v>2585</v>
      </c>
      <c r="D4674" t="s">
        <v>441</v>
      </c>
      <c r="F4674">
        <v>0</v>
      </c>
      <c r="G4674">
        <v>9.16</v>
      </c>
      <c r="H4674" t="s">
        <v>8588</v>
      </c>
      <c r="I4674">
        <v>365</v>
      </c>
      <c r="J4674" t="s">
        <v>445</v>
      </c>
      <c r="K4674" t="s">
        <v>446</v>
      </c>
      <c r="M4674">
        <v>2501</v>
      </c>
      <c r="N4674" t="s">
        <v>16076</v>
      </c>
    </row>
    <row r="4675" spans="1:14">
      <c r="A4675">
        <v>20080007</v>
      </c>
      <c r="B4675">
        <v>3024971</v>
      </c>
      <c r="C4675" t="s">
        <v>2586</v>
      </c>
      <c r="D4675" t="s">
        <v>441</v>
      </c>
      <c r="F4675">
        <v>0</v>
      </c>
      <c r="G4675">
        <v>8.93</v>
      </c>
      <c r="H4675" t="s">
        <v>8549</v>
      </c>
      <c r="I4675">
        <v>6</v>
      </c>
      <c r="J4675" t="s">
        <v>445</v>
      </c>
      <c r="K4675" t="s">
        <v>446</v>
      </c>
      <c r="M4675">
        <v>3111</v>
      </c>
      <c r="N4675" t="s">
        <v>16076</v>
      </c>
    </row>
    <row r="4676" spans="1:14">
      <c r="A4676">
        <v>20080025</v>
      </c>
      <c r="B4676">
        <v>4027480</v>
      </c>
      <c r="C4676" t="s">
        <v>2587</v>
      </c>
      <c r="D4676" t="s">
        <v>441</v>
      </c>
      <c r="F4676">
        <v>0</v>
      </c>
      <c r="G4676">
        <v>12.84</v>
      </c>
      <c r="H4676" t="s">
        <v>8588</v>
      </c>
      <c r="I4676">
        <v>540</v>
      </c>
      <c r="J4676" t="s">
        <v>462</v>
      </c>
      <c r="M4676">
        <v>7111</v>
      </c>
      <c r="N4676" t="s">
        <v>16075</v>
      </c>
    </row>
    <row r="4677" spans="1:14">
      <c r="A4677">
        <v>20080026</v>
      </c>
      <c r="B4677">
        <v>4015156</v>
      </c>
      <c r="C4677" t="s">
        <v>2588</v>
      </c>
      <c r="D4677" t="s">
        <v>441</v>
      </c>
      <c r="F4677">
        <v>0</v>
      </c>
      <c r="G4677">
        <v>9.2200000000000006</v>
      </c>
      <c r="H4677" t="s">
        <v>8588</v>
      </c>
      <c r="I4677">
        <v>365</v>
      </c>
      <c r="J4677" t="s">
        <v>462</v>
      </c>
      <c r="K4677" t="s">
        <v>446</v>
      </c>
      <c r="M4677">
        <v>2501</v>
      </c>
      <c r="N4677" t="s">
        <v>16076</v>
      </c>
    </row>
    <row r="4678" spans="1:14">
      <c r="A4678">
        <v>20080027</v>
      </c>
      <c r="B4678">
        <v>4025230</v>
      </c>
      <c r="C4678" t="s">
        <v>2589</v>
      </c>
      <c r="D4678" t="s">
        <v>441</v>
      </c>
      <c r="F4678">
        <v>0</v>
      </c>
      <c r="G4678">
        <v>12.76</v>
      </c>
      <c r="H4678" t="s">
        <v>8588</v>
      </c>
      <c r="I4678">
        <v>540</v>
      </c>
      <c r="J4678" t="s">
        <v>462</v>
      </c>
      <c r="M4678">
        <v>7111</v>
      </c>
      <c r="N4678" t="s">
        <v>16075</v>
      </c>
    </row>
    <row r="4679" spans="1:14">
      <c r="A4679">
        <v>20080076</v>
      </c>
      <c r="B4679">
        <v>4017572</v>
      </c>
      <c r="C4679" t="s">
        <v>14848</v>
      </c>
      <c r="D4679" t="s">
        <v>441</v>
      </c>
      <c r="F4679">
        <v>0</v>
      </c>
      <c r="G4679">
        <v>12.06</v>
      </c>
      <c r="H4679" t="s">
        <v>8588</v>
      </c>
      <c r="I4679">
        <v>6</v>
      </c>
      <c r="J4679" t="s">
        <v>462</v>
      </c>
      <c r="M4679">
        <v>7112</v>
      </c>
      <c r="N4679" t="s">
        <v>16075</v>
      </c>
    </row>
    <row r="4680" spans="1:14">
      <c r="A4680">
        <v>20080080</v>
      </c>
      <c r="B4680">
        <v>3007833</v>
      </c>
      <c r="C4680" t="s">
        <v>14849</v>
      </c>
      <c r="D4680" t="s">
        <v>441</v>
      </c>
      <c r="F4680">
        <v>0</v>
      </c>
      <c r="G4680">
        <v>12.03</v>
      </c>
      <c r="H4680" t="s">
        <v>8588</v>
      </c>
      <c r="I4680">
        <v>6</v>
      </c>
      <c r="J4680" t="s">
        <v>445</v>
      </c>
      <c r="M4680">
        <v>7112</v>
      </c>
      <c r="N4680" t="s">
        <v>16075</v>
      </c>
    </row>
    <row r="4681" spans="1:14">
      <c r="A4681">
        <v>20080081</v>
      </c>
      <c r="B4681">
        <v>4021730</v>
      </c>
      <c r="C4681" t="s">
        <v>14850</v>
      </c>
      <c r="D4681" t="s">
        <v>441</v>
      </c>
      <c r="F4681">
        <v>0</v>
      </c>
      <c r="G4681">
        <v>12.07</v>
      </c>
      <c r="H4681" t="s">
        <v>8588</v>
      </c>
      <c r="I4681">
        <v>6</v>
      </c>
      <c r="J4681" t="s">
        <v>462</v>
      </c>
      <c r="M4681">
        <v>7112</v>
      </c>
      <c r="N4681" t="s">
        <v>16075</v>
      </c>
    </row>
    <row r="4682" spans="1:14">
      <c r="A4682">
        <v>20080087</v>
      </c>
      <c r="B4682">
        <v>4005847</v>
      </c>
      <c r="C4682" t="s">
        <v>10536</v>
      </c>
      <c r="D4682" t="s">
        <v>441</v>
      </c>
      <c r="F4682">
        <v>0</v>
      </c>
      <c r="G4682">
        <v>6.47</v>
      </c>
      <c r="H4682" t="s">
        <v>8588</v>
      </c>
      <c r="I4682">
        <v>6</v>
      </c>
      <c r="J4682" t="s">
        <v>462</v>
      </c>
      <c r="K4682" t="s">
        <v>446</v>
      </c>
      <c r="M4682">
        <v>2641</v>
      </c>
    </row>
    <row r="4683" spans="1:14">
      <c r="A4683">
        <v>20080502</v>
      </c>
      <c r="B4683">
        <v>3022909</v>
      </c>
      <c r="C4683" t="s">
        <v>2590</v>
      </c>
      <c r="D4683" t="s">
        <v>441</v>
      </c>
      <c r="F4683">
        <v>0</v>
      </c>
      <c r="G4683">
        <v>8.9700000000000006</v>
      </c>
      <c r="H4683" t="s">
        <v>8588</v>
      </c>
      <c r="I4683">
        <v>6</v>
      </c>
      <c r="J4683" t="s">
        <v>445</v>
      </c>
      <c r="K4683" t="s">
        <v>446</v>
      </c>
      <c r="M4683">
        <v>2641</v>
      </c>
      <c r="N4683" t="s">
        <v>16076</v>
      </c>
    </row>
    <row r="4684" spans="1:14">
      <c r="A4684">
        <v>20080525</v>
      </c>
      <c r="B4684">
        <v>3041611</v>
      </c>
      <c r="C4684" t="s">
        <v>2591</v>
      </c>
      <c r="D4684" t="s">
        <v>441</v>
      </c>
      <c r="F4684">
        <v>0</v>
      </c>
      <c r="G4684">
        <v>12.35</v>
      </c>
      <c r="H4684" t="s">
        <v>8588</v>
      </c>
      <c r="I4684">
        <v>540</v>
      </c>
      <c r="J4684" t="s">
        <v>445</v>
      </c>
      <c r="M4684">
        <v>2502</v>
      </c>
      <c r="N4684" t="s">
        <v>16075</v>
      </c>
    </row>
    <row r="4685" spans="1:14">
      <c r="A4685">
        <v>20080526</v>
      </c>
      <c r="B4685">
        <v>3023040</v>
      </c>
      <c r="C4685" t="s">
        <v>2592</v>
      </c>
      <c r="D4685" t="s">
        <v>441</v>
      </c>
      <c r="F4685">
        <v>0</v>
      </c>
      <c r="G4685">
        <v>8.9700000000000006</v>
      </c>
      <c r="H4685" t="s">
        <v>8588</v>
      </c>
      <c r="I4685">
        <v>6</v>
      </c>
      <c r="J4685" t="s">
        <v>445</v>
      </c>
      <c r="K4685" t="s">
        <v>446</v>
      </c>
      <c r="M4685">
        <v>2314</v>
      </c>
      <c r="N4685" t="s">
        <v>16076</v>
      </c>
    </row>
    <row r="4686" spans="1:14">
      <c r="A4686">
        <v>20080527</v>
      </c>
      <c r="B4686">
        <v>3037224</v>
      </c>
      <c r="C4686" t="s">
        <v>2593</v>
      </c>
      <c r="D4686" t="s">
        <v>441</v>
      </c>
      <c r="F4686">
        <v>0</v>
      </c>
      <c r="G4686">
        <v>12.27</v>
      </c>
      <c r="H4686" t="s">
        <v>8588</v>
      </c>
      <c r="I4686">
        <v>540</v>
      </c>
      <c r="J4686" t="s">
        <v>445</v>
      </c>
      <c r="M4686">
        <v>2502</v>
      </c>
      <c r="N4686" t="s">
        <v>16075</v>
      </c>
    </row>
    <row r="4687" spans="1:14">
      <c r="A4687">
        <v>20080602</v>
      </c>
      <c r="B4687">
        <v>3022911</v>
      </c>
      <c r="C4687" t="s">
        <v>2594</v>
      </c>
      <c r="D4687" t="s">
        <v>441</v>
      </c>
      <c r="F4687">
        <v>0</v>
      </c>
      <c r="G4687">
        <v>9.5299999999999994</v>
      </c>
      <c r="H4687" t="s">
        <v>8588</v>
      </c>
      <c r="I4687">
        <v>4</v>
      </c>
      <c r="J4687" t="s">
        <v>445</v>
      </c>
      <c r="K4687" t="s">
        <v>446</v>
      </c>
      <c r="M4687">
        <v>2511</v>
      </c>
      <c r="N4687" t="s">
        <v>16076</v>
      </c>
    </row>
    <row r="4688" spans="1:14">
      <c r="A4688">
        <v>20081000</v>
      </c>
      <c r="B4688">
        <v>3009569</v>
      </c>
      <c r="C4688" t="s">
        <v>2595</v>
      </c>
      <c r="D4688" t="s">
        <v>441</v>
      </c>
      <c r="F4688">
        <v>0</v>
      </c>
      <c r="G4688">
        <v>6.75</v>
      </c>
      <c r="H4688" t="s">
        <v>8925</v>
      </c>
      <c r="I4688">
        <v>6</v>
      </c>
      <c r="J4688" t="s">
        <v>445</v>
      </c>
      <c r="K4688" t="s">
        <v>446</v>
      </c>
      <c r="M4688">
        <v>2314</v>
      </c>
    </row>
    <row r="4689" spans="1:14">
      <c r="A4689">
        <v>20081087</v>
      </c>
      <c r="B4689">
        <v>4011635</v>
      </c>
      <c r="C4689" t="s">
        <v>10537</v>
      </c>
      <c r="D4689" t="s">
        <v>441</v>
      </c>
      <c r="F4689">
        <v>0</v>
      </c>
      <c r="G4689">
        <v>6.47</v>
      </c>
      <c r="H4689" t="s">
        <v>8588</v>
      </c>
      <c r="I4689">
        <v>6</v>
      </c>
      <c r="J4689" t="s">
        <v>462</v>
      </c>
      <c r="K4689" t="s">
        <v>446</v>
      </c>
      <c r="M4689">
        <v>2641</v>
      </c>
    </row>
    <row r="4690" spans="1:14">
      <c r="A4690">
        <v>20087000</v>
      </c>
      <c r="B4690">
        <v>3012301</v>
      </c>
      <c r="C4690" t="s">
        <v>2596</v>
      </c>
      <c r="D4690" t="s">
        <v>441</v>
      </c>
      <c r="F4690">
        <v>0</v>
      </c>
      <c r="G4690">
        <v>6.7</v>
      </c>
      <c r="I4690">
        <v>6</v>
      </c>
      <c r="J4690" t="s">
        <v>445</v>
      </c>
      <c r="K4690" t="s">
        <v>446</v>
      </c>
      <c r="M4690">
        <v>2390</v>
      </c>
    </row>
    <row r="4691" spans="1:14">
      <c r="A4691">
        <v>20090000</v>
      </c>
      <c r="B4691">
        <v>3004233</v>
      </c>
      <c r="C4691" t="s">
        <v>2597</v>
      </c>
      <c r="D4691" t="s">
        <v>441</v>
      </c>
      <c r="F4691">
        <v>0</v>
      </c>
      <c r="G4691">
        <v>6.53</v>
      </c>
      <c r="H4691" t="s">
        <v>8925</v>
      </c>
      <c r="I4691">
        <v>6</v>
      </c>
      <c r="J4691" t="s">
        <v>445</v>
      </c>
      <c r="K4691" t="s">
        <v>446</v>
      </c>
      <c r="M4691">
        <v>0</v>
      </c>
    </row>
    <row r="4692" spans="1:14">
      <c r="A4692">
        <v>20091000</v>
      </c>
      <c r="B4692">
        <v>3009567</v>
      </c>
      <c r="C4692" t="s">
        <v>2598</v>
      </c>
      <c r="D4692" t="s">
        <v>441</v>
      </c>
      <c r="F4692">
        <v>0</v>
      </c>
      <c r="G4692">
        <v>6.53</v>
      </c>
      <c r="H4692" t="s">
        <v>8925</v>
      </c>
      <c r="I4692">
        <v>6</v>
      </c>
      <c r="J4692" t="s">
        <v>445</v>
      </c>
      <c r="K4692" t="s">
        <v>446</v>
      </c>
      <c r="M4692">
        <v>2314</v>
      </c>
    </row>
    <row r="4693" spans="1:14">
      <c r="A4693">
        <v>20097000</v>
      </c>
      <c r="B4693">
        <v>3012279</v>
      </c>
      <c r="C4693" t="s">
        <v>2599</v>
      </c>
      <c r="D4693" t="s">
        <v>441</v>
      </c>
      <c r="F4693">
        <v>0</v>
      </c>
      <c r="G4693">
        <v>6.64</v>
      </c>
      <c r="H4693" t="s">
        <v>8580</v>
      </c>
      <c r="I4693">
        <v>6</v>
      </c>
      <c r="J4693" t="s">
        <v>445</v>
      </c>
      <c r="K4693" t="s">
        <v>446</v>
      </c>
      <c r="M4693">
        <v>2390</v>
      </c>
    </row>
    <row r="4694" spans="1:14">
      <c r="A4694">
        <v>20110000</v>
      </c>
      <c r="B4694">
        <v>3021250</v>
      </c>
      <c r="C4694" t="s">
        <v>2600</v>
      </c>
      <c r="D4694" t="s">
        <v>441</v>
      </c>
      <c r="F4694">
        <v>0</v>
      </c>
      <c r="G4694">
        <v>11.84</v>
      </c>
      <c r="H4694" t="s">
        <v>8549</v>
      </c>
      <c r="I4694">
        <v>6</v>
      </c>
      <c r="J4694" t="s">
        <v>445</v>
      </c>
      <c r="M4694">
        <v>2391</v>
      </c>
      <c r="N4694" t="s">
        <v>16075</v>
      </c>
    </row>
    <row r="4695" spans="1:14">
      <c r="A4695">
        <v>20110076</v>
      </c>
      <c r="B4695">
        <v>4022643</v>
      </c>
      <c r="C4695" t="s">
        <v>14851</v>
      </c>
      <c r="D4695" t="s">
        <v>441</v>
      </c>
      <c r="F4695">
        <v>0</v>
      </c>
      <c r="G4695">
        <v>12.03</v>
      </c>
      <c r="H4695" t="s">
        <v>8588</v>
      </c>
      <c r="I4695">
        <v>6</v>
      </c>
      <c r="J4695" t="s">
        <v>462</v>
      </c>
      <c r="M4695">
        <v>7112</v>
      </c>
      <c r="N4695" t="s">
        <v>16075</v>
      </c>
    </row>
    <row r="4696" spans="1:14">
      <c r="A4696">
        <v>20110100</v>
      </c>
      <c r="B4696">
        <v>3021909</v>
      </c>
      <c r="C4696" t="s">
        <v>14852</v>
      </c>
      <c r="D4696" t="s">
        <v>441</v>
      </c>
      <c r="F4696">
        <v>0</v>
      </c>
      <c r="H4696" t="s">
        <v>8588</v>
      </c>
      <c r="I4696">
        <v>6</v>
      </c>
      <c r="J4696" t="s">
        <v>445</v>
      </c>
      <c r="M4696">
        <v>7161</v>
      </c>
      <c r="N4696" t="s">
        <v>16073</v>
      </c>
    </row>
    <row r="4697" spans="1:14">
      <c r="A4697">
        <v>20110110</v>
      </c>
      <c r="B4697">
        <v>3021268</v>
      </c>
      <c r="C4697" t="s">
        <v>2601</v>
      </c>
      <c r="D4697" t="s">
        <v>441</v>
      </c>
      <c r="F4697">
        <v>0</v>
      </c>
      <c r="H4697" t="s">
        <v>8549</v>
      </c>
      <c r="I4697">
        <v>6</v>
      </c>
      <c r="J4697" t="s">
        <v>445</v>
      </c>
      <c r="M4697">
        <v>0</v>
      </c>
      <c r="N4697" t="s">
        <v>16075</v>
      </c>
    </row>
    <row r="4698" spans="1:14">
      <c r="A4698">
        <v>20130000</v>
      </c>
      <c r="B4698">
        <v>3030763</v>
      </c>
      <c r="C4698" t="s">
        <v>14853</v>
      </c>
      <c r="D4698" t="s">
        <v>441</v>
      </c>
      <c r="F4698">
        <v>0</v>
      </c>
      <c r="G4698">
        <v>12.89</v>
      </c>
      <c r="H4698" t="s">
        <v>8549</v>
      </c>
      <c r="I4698">
        <v>6</v>
      </c>
      <c r="J4698" t="s">
        <v>445</v>
      </c>
      <c r="M4698">
        <v>2391</v>
      </c>
      <c r="N4698" t="s">
        <v>16073</v>
      </c>
    </row>
    <row r="4699" spans="1:14">
      <c r="A4699">
        <v>20130002</v>
      </c>
      <c r="B4699">
        <v>3043970</v>
      </c>
      <c r="C4699" t="s">
        <v>14854</v>
      </c>
      <c r="D4699" t="s">
        <v>441</v>
      </c>
      <c r="F4699">
        <v>0</v>
      </c>
      <c r="G4699">
        <v>13.91</v>
      </c>
      <c r="H4699" t="s">
        <v>8588</v>
      </c>
      <c r="I4699">
        <v>540</v>
      </c>
      <c r="J4699" t="s">
        <v>445</v>
      </c>
      <c r="M4699">
        <v>7111</v>
      </c>
      <c r="N4699" t="s">
        <v>16073</v>
      </c>
    </row>
    <row r="4700" spans="1:14">
      <c r="A4700">
        <v>20130020</v>
      </c>
      <c r="B4700">
        <v>4026515</v>
      </c>
      <c r="C4700" t="s">
        <v>14855</v>
      </c>
      <c r="D4700" t="s">
        <v>441</v>
      </c>
      <c r="F4700">
        <v>0</v>
      </c>
      <c r="G4700">
        <v>13.56</v>
      </c>
      <c r="H4700" t="s">
        <v>8588</v>
      </c>
      <c r="I4700">
        <v>6</v>
      </c>
      <c r="J4700" t="s">
        <v>462</v>
      </c>
      <c r="L4700">
        <v>2052399</v>
      </c>
      <c r="M4700">
        <v>7112</v>
      </c>
      <c r="N4700" t="s">
        <v>16073</v>
      </c>
    </row>
    <row r="4701" spans="1:14">
      <c r="A4701">
        <v>20130030</v>
      </c>
      <c r="B4701">
        <v>4026540</v>
      </c>
      <c r="C4701" t="s">
        <v>14856</v>
      </c>
      <c r="D4701" t="s">
        <v>441</v>
      </c>
      <c r="F4701">
        <v>0</v>
      </c>
      <c r="G4701">
        <v>13.93</v>
      </c>
      <c r="H4701" t="s">
        <v>8588</v>
      </c>
      <c r="I4701">
        <v>12</v>
      </c>
      <c r="J4701" t="s">
        <v>462</v>
      </c>
      <c r="M4701">
        <v>7112</v>
      </c>
      <c r="N4701" t="s">
        <v>16073</v>
      </c>
    </row>
    <row r="4702" spans="1:14">
      <c r="A4702">
        <v>20130031</v>
      </c>
      <c r="B4702">
        <v>4028884</v>
      </c>
      <c r="C4702" t="s">
        <v>14857</v>
      </c>
      <c r="D4702" t="s">
        <v>441</v>
      </c>
      <c r="F4702">
        <v>0</v>
      </c>
      <c r="G4702">
        <v>13.78</v>
      </c>
      <c r="H4702" t="s">
        <v>8588</v>
      </c>
      <c r="I4702">
        <v>12</v>
      </c>
      <c r="J4702" t="s">
        <v>462</v>
      </c>
      <c r="M4702">
        <v>7112</v>
      </c>
      <c r="N4702" t="s">
        <v>16073</v>
      </c>
    </row>
    <row r="4703" spans="1:14">
      <c r="A4703">
        <v>20130032</v>
      </c>
      <c r="B4703">
        <v>4028940</v>
      </c>
      <c r="C4703" t="s">
        <v>14858</v>
      </c>
      <c r="D4703" t="s">
        <v>441</v>
      </c>
      <c r="F4703">
        <v>0</v>
      </c>
      <c r="G4703">
        <v>14.02</v>
      </c>
      <c r="H4703" t="s">
        <v>8588</v>
      </c>
      <c r="I4703">
        <v>12</v>
      </c>
      <c r="J4703" t="s">
        <v>462</v>
      </c>
      <c r="M4703">
        <v>7112</v>
      </c>
      <c r="N4703" t="s">
        <v>16073</v>
      </c>
    </row>
    <row r="4704" spans="1:14">
      <c r="A4704">
        <v>20130033</v>
      </c>
      <c r="B4704">
        <v>4028965</v>
      </c>
      <c r="C4704" t="s">
        <v>14859</v>
      </c>
      <c r="D4704" t="s">
        <v>441</v>
      </c>
      <c r="F4704">
        <v>0</v>
      </c>
      <c r="G4704">
        <v>13.95</v>
      </c>
      <c r="H4704" t="s">
        <v>8588</v>
      </c>
      <c r="I4704">
        <v>12</v>
      </c>
      <c r="J4704" t="s">
        <v>462</v>
      </c>
      <c r="M4704">
        <v>7112</v>
      </c>
      <c r="N4704" t="s">
        <v>16073</v>
      </c>
    </row>
    <row r="4705" spans="1:14">
      <c r="A4705">
        <v>20130034</v>
      </c>
      <c r="B4705">
        <v>4029168</v>
      </c>
      <c r="C4705" t="s">
        <v>14860</v>
      </c>
      <c r="D4705" t="s">
        <v>441</v>
      </c>
      <c r="F4705">
        <v>0</v>
      </c>
      <c r="G4705">
        <v>13.94</v>
      </c>
      <c r="H4705" t="s">
        <v>8588</v>
      </c>
      <c r="I4705">
        <v>12</v>
      </c>
      <c r="J4705" t="s">
        <v>462</v>
      </c>
      <c r="M4705">
        <v>7112</v>
      </c>
      <c r="N4705" t="s">
        <v>16073</v>
      </c>
    </row>
    <row r="4706" spans="1:14">
      <c r="A4706">
        <v>20130075</v>
      </c>
      <c r="B4706">
        <v>4028883</v>
      </c>
      <c r="C4706" t="s">
        <v>14861</v>
      </c>
      <c r="D4706" t="s">
        <v>441</v>
      </c>
      <c r="F4706">
        <v>0</v>
      </c>
      <c r="G4706">
        <v>13.41</v>
      </c>
      <c r="H4706" t="s">
        <v>8588</v>
      </c>
      <c r="I4706">
        <v>6</v>
      </c>
      <c r="J4706" t="s">
        <v>462</v>
      </c>
      <c r="L4706">
        <v>2145780</v>
      </c>
      <c r="M4706">
        <v>7112</v>
      </c>
      <c r="N4706" t="s">
        <v>16073</v>
      </c>
    </row>
    <row r="4707" spans="1:14">
      <c r="A4707">
        <v>20130502</v>
      </c>
      <c r="B4707">
        <v>3043939</v>
      </c>
      <c r="C4707" t="s">
        <v>14862</v>
      </c>
      <c r="D4707" t="s">
        <v>441</v>
      </c>
      <c r="F4707">
        <v>0</v>
      </c>
      <c r="G4707">
        <v>13.32</v>
      </c>
      <c r="H4707" t="s">
        <v>8549</v>
      </c>
      <c r="I4707">
        <v>6</v>
      </c>
      <c r="J4707" t="s">
        <v>445</v>
      </c>
      <c r="M4707">
        <v>2502</v>
      </c>
      <c r="N4707" t="s">
        <v>16073</v>
      </c>
    </row>
    <row r="4708" spans="1:14">
      <c r="A4708">
        <v>20130602</v>
      </c>
      <c r="B4708">
        <v>3043938</v>
      </c>
      <c r="C4708" t="s">
        <v>14863</v>
      </c>
      <c r="D4708" t="s">
        <v>441</v>
      </c>
      <c r="F4708">
        <v>0</v>
      </c>
      <c r="G4708">
        <v>14.29</v>
      </c>
      <c r="H4708" t="s">
        <v>8549</v>
      </c>
      <c r="I4708">
        <v>4</v>
      </c>
      <c r="J4708" t="s">
        <v>445</v>
      </c>
      <c r="M4708">
        <v>2510</v>
      </c>
      <c r="N4708" t="s">
        <v>16073</v>
      </c>
    </row>
    <row r="4709" spans="1:14">
      <c r="A4709">
        <v>20130902</v>
      </c>
      <c r="B4709">
        <v>3043974</v>
      </c>
      <c r="C4709" t="s">
        <v>14864</v>
      </c>
      <c r="D4709" t="s">
        <v>441</v>
      </c>
      <c r="F4709">
        <v>0</v>
      </c>
      <c r="G4709">
        <v>1</v>
      </c>
      <c r="H4709" t="s">
        <v>8549</v>
      </c>
      <c r="I4709">
        <v>4</v>
      </c>
      <c r="J4709" t="s">
        <v>445</v>
      </c>
      <c r="M4709">
        <v>6666</v>
      </c>
      <c r="N4709" t="s">
        <v>16073</v>
      </c>
    </row>
    <row r="4710" spans="1:14">
      <c r="A4710">
        <v>20210000</v>
      </c>
      <c r="B4710">
        <v>3017348</v>
      </c>
      <c r="C4710" t="s">
        <v>14865</v>
      </c>
      <c r="D4710" t="s">
        <v>441</v>
      </c>
      <c r="F4710">
        <v>0</v>
      </c>
      <c r="G4710">
        <v>17.149999999999999</v>
      </c>
      <c r="H4710" t="s">
        <v>8935</v>
      </c>
      <c r="I4710">
        <v>6</v>
      </c>
      <c r="J4710" t="s">
        <v>445</v>
      </c>
      <c r="M4710">
        <v>2391</v>
      </c>
      <c r="N4710" t="s">
        <v>16181</v>
      </c>
    </row>
    <row r="4711" spans="1:14">
      <c r="A4711">
        <v>20210007</v>
      </c>
      <c r="B4711">
        <v>3036290</v>
      </c>
      <c r="C4711" t="s">
        <v>14866</v>
      </c>
      <c r="D4711" t="s">
        <v>441</v>
      </c>
      <c r="F4711">
        <v>0</v>
      </c>
      <c r="G4711">
        <v>17.32</v>
      </c>
      <c r="H4711" t="s">
        <v>8588</v>
      </c>
      <c r="I4711">
        <v>6</v>
      </c>
      <c r="J4711" t="s">
        <v>445</v>
      </c>
      <c r="M4711">
        <v>3111</v>
      </c>
      <c r="N4711" t="s">
        <v>16181</v>
      </c>
    </row>
    <row r="4712" spans="1:14">
      <c r="A4712">
        <v>20210907</v>
      </c>
      <c r="B4712">
        <v>3036283</v>
      </c>
      <c r="C4712" t="s">
        <v>14867</v>
      </c>
      <c r="D4712" t="s">
        <v>441</v>
      </c>
      <c r="F4712">
        <v>0</v>
      </c>
      <c r="H4712" t="s">
        <v>8580</v>
      </c>
      <c r="I4712">
        <v>6</v>
      </c>
      <c r="J4712" t="s">
        <v>445</v>
      </c>
      <c r="M4712">
        <v>6666</v>
      </c>
      <c r="N4712" t="s">
        <v>16181</v>
      </c>
    </row>
    <row r="4713" spans="1:14">
      <c r="A4713">
        <v>20214000</v>
      </c>
      <c r="B4713">
        <v>3038897</v>
      </c>
      <c r="C4713" t="s">
        <v>14868</v>
      </c>
      <c r="D4713" t="s">
        <v>441</v>
      </c>
      <c r="F4713">
        <v>0</v>
      </c>
      <c r="G4713">
        <v>17.149999999999999</v>
      </c>
      <c r="H4713" t="s">
        <v>8549</v>
      </c>
      <c r="I4713">
        <v>6</v>
      </c>
      <c r="J4713" t="s">
        <v>445</v>
      </c>
      <c r="M4713">
        <v>2391</v>
      </c>
      <c r="N4713" t="s">
        <v>16181</v>
      </c>
    </row>
    <row r="4714" spans="1:14">
      <c r="A4714">
        <v>20214007</v>
      </c>
      <c r="B4714">
        <v>3039064</v>
      </c>
      <c r="C4714" t="s">
        <v>14869</v>
      </c>
      <c r="D4714" t="s">
        <v>441</v>
      </c>
      <c r="F4714">
        <v>0</v>
      </c>
      <c r="G4714">
        <v>17.32</v>
      </c>
      <c r="H4714" t="s">
        <v>8588</v>
      </c>
      <c r="I4714">
        <v>6</v>
      </c>
      <c r="J4714" t="s">
        <v>445</v>
      </c>
      <c r="M4714">
        <v>3111</v>
      </c>
      <c r="N4714" t="s">
        <v>16181</v>
      </c>
    </row>
    <row r="4715" spans="1:14">
      <c r="A4715">
        <v>20214907</v>
      </c>
      <c r="B4715">
        <v>3039074</v>
      </c>
      <c r="C4715" t="s">
        <v>14870</v>
      </c>
      <c r="D4715" t="s">
        <v>441</v>
      </c>
      <c r="F4715">
        <v>0</v>
      </c>
      <c r="H4715" t="s">
        <v>8580</v>
      </c>
      <c r="I4715">
        <v>6</v>
      </c>
      <c r="J4715" t="s">
        <v>445</v>
      </c>
      <c r="M4715">
        <v>6666</v>
      </c>
      <c r="N4715" t="s">
        <v>16181</v>
      </c>
    </row>
    <row r="4716" spans="1:14">
      <c r="A4716">
        <v>20220000</v>
      </c>
      <c r="B4716">
        <v>3030417</v>
      </c>
      <c r="C4716" t="s">
        <v>14871</v>
      </c>
      <c r="D4716" t="s">
        <v>441</v>
      </c>
      <c r="F4716">
        <v>0</v>
      </c>
      <c r="G4716">
        <v>10.57</v>
      </c>
      <c r="H4716" t="s">
        <v>8549</v>
      </c>
      <c r="I4716">
        <v>6</v>
      </c>
      <c r="J4716" t="s">
        <v>445</v>
      </c>
      <c r="K4716" t="s">
        <v>446</v>
      </c>
      <c r="M4716">
        <v>2391</v>
      </c>
      <c r="N4716" t="s">
        <v>16182</v>
      </c>
    </row>
    <row r="4717" spans="1:14">
      <c r="A4717">
        <v>20230000</v>
      </c>
      <c r="B4717">
        <v>3030383</v>
      </c>
      <c r="C4717" t="s">
        <v>14872</v>
      </c>
      <c r="D4717" t="s">
        <v>441</v>
      </c>
      <c r="F4717">
        <v>0</v>
      </c>
      <c r="G4717">
        <v>12.53</v>
      </c>
      <c r="H4717" t="s">
        <v>8549</v>
      </c>
      <c r="I4717">
        <v>6</v>
      </c>
      <c r="J4717" t="s">
        <v>445</v>
      </c>
      <c r="K4717" t="s">
        <v>446</v>
      </c>
      <c r="M4717">
        <v>2391</v>
      </c>
      <c r="N4717" t="s">
        <v>16182</v>
      </c>
    </row>
    <row r="4718" spans="1:14">
      <c r="A4718">
        <v>20240000</v>
      </c>
      <c r="B4718">
        <v>3030416</v>
      </c>
      <c r="C4718" t="s">
        <v>14873</v>
      </c>
      <c r="D4718" t="s">
        <v>441</v>
      </c>
      <c r="F4718">
        <v>0</v>
      </c>
      <c r="G4718">
        <v>12.5</v>
      </c>
      <c r="H4718" t="s">
        <v>8549</v>
      </c>
      <c r="I4718">
        <v>6</v>
      </c>
      <c r="J4718" t="s">
        <v>445</v>
      </c>
      <c r="K4718" t="s">
        <v>446</v>
      </c>
      <c r="M4718">
        <v>2391</v>
      </c>
      <c r="N4718" t="s">
        <v>16182</v>
      </c>
    </row>
    <row r="4719" spans="1:14">
      <c r="A4719">
        <v>20250000</v>
      </c>
      <c r="B4719">
        <v>3030418</v>
      </c>
      <c r="C4719" t="s">
        <v>14874</v>
      </c>
      <c r="D4719" t="s">
        <v>441</v>
      </c>
      <c r="F4719">
        <v>0</v>
      </c>
      <c r="G4719">
        <v>12.26</v>
      </c>
      <c r="H4719" t="s">
        <v>8549</v>
      </c>
      <c r="I4719">
        <v>6</v>
      </c>
      <c r="J4719" t="s">
        <v>445</v>
      </c>
      <c r="K4719" t="s">
        <v>446</v>
      </c>
      <c r="M4719">
        <v>2391</v>
      </c>
      <c r="N4719" t="s">
        <v>16182</v>
      </c>
    </row>
    <row r="4720" spans="1:14">
      <c r="A4720">
        <v>20250028</v>
      </c>
      <c r="B4720">
        <v>4020286</v>
      </c>
      <c r="C4720" t="s">
        <v>14875</v>
      </c>
      <c r="D4720" t="s">
        <v>441</v>
      </c>
      <c r="F4720">
        <v>0</v>
      </c>
      <c r="G4720">
        <v>13.24</v>
      </c>
      <c r="H4720" t="s">
        <v>8588</v>
      </c>
      <c r="I4720">
        <v>540</v>
      </c>
      <c r="J4720" t="s">
        <v>462</v>
      </c>
      <c r="L4720" t="s">
        <v>10538</v>
      </c>
      <c r="M4720">
        <v>7111</v>
      </c>
      <c r="N4720" t="s">
        <v>16182</v>
      </c>
    </row>
    <row r="4721" spans="1:14">
      <c r="A4721">
        <v>20250528</v>
      </c>
      <c r="B4721">
        <v>3030419</v>
      </c>
      <c r="C4721" t="s">
        <v>14876</v>
      </c>
      <c r="D4721" t="s">
        <v>441</v>
      </c>
      <c r="F4721">
        <v>0</v>
      </c>
      <c r="G4721">
        <v>12.75</v>
      </c>
      <c r="H4721" t="s">
        <v>8588</v>
      </c>
      <c r="I4721">
        <v>540</v>
      </c>
      <c r="J4721" t="s">
        <v>445</v>
      </c>
      <c r="K4721" t="s">
        <v>446</v>
      </c>
      <c r="M4721">
        <v>2502</v>
      </c>
      <c r="N4721" t="s">
        <v>16182</v>
      </c>
    </row>
    <row r="4722" spans="1:14">
      <c r="A4722">
        <v>20260000</v>
      </c>
      <c r="B4722">
        <v>3021402</v>
      </c>
      <c r="C4722" t="s">
        <v>14877</v>
      </c>
      <c r="D4722" t="s">
        <v>441</v>
      </c>
      <c r="F4722">
        <v>0</v>
      </c>
      <c r="G4722">
        <v>14.84</v>
      </c>
      <c r="H4722" t="s">
        <v>8580</v>
      </c>
      <c r="I4722">
        <v>6</v>
      </c>
      <c r="J4722" t="s">
        <v>445</v>
      </c>
      <c r="M4722">
        <v>2391</v>
      </c>
      <c r="N4722" t="s">
        <v>16077</v>
      </c>
    </row>
    <row r="4723" spans="1:14">
      <c r="A4723">
        <v>20260041</v>
      </c>
      <c r="B4723">
        <v>4029607</v>
      </c>
      <c r="C4723" t="s">
        <v>15411</v>
      </c>
      <c r="D4723" t="s">
        <v>441</v>
      </c>
      <c r="F4723">
        <v>0</v>
      </c>
      <c r="G4723">
        <v>14.53</v>
      </c>
      <c r="H4723" t="s">
        <v>8588</v>
      </c>
      <c r="I4723">
        <v>16</v>
      </c>
      <c r="J4723" t="s">
        <v>462</v>
      </c>
      <c r="M4723">
        <v>7112</v>
      </c>
      <c r="N4723" t="s">
        <v>16077</v>
      </c>
    </row>
    <row r="4724" spans="1:14">
      <c r="A4724">
        <v>20260042</v>
      </c>
      <c r="B4724">
        <v>4029669</v>
      </c>
      <c r="C4724" t="s">
        <v>15488</v>
      </c>
      <c r="D4724" t="s">
        <v>441</v>
      </c>
      <c r="F4724">
        <v>0</v>
      </c>
      <c r="G4724">
        <v>14.43</v>
      </c>
      <c r="H4724" t="s">
        <v>8588</v>
      </c>
      <c r="I4724">
        <v>16</v>
      </c>
      <c r="J4724" t="s">
        <v>462</v>
      </c>
      <c r="M4724">
        <v>7112</v>
      </c>
      <c r="N4724" t="s">
        <v>16077</v>
      </c>
    </row>
    <row r="4725" spans="1:14">
      <c r="A4725">
        <v>20260043</v>
      </c>
      <c r="B4725">
        <v>4030141</v>
      </c>
      <c r="C4725" t="s">
        <v>16183</v>
      </c>
      <c r="D4725" t="s">
        <v>441</v>
      </c>
      <c r="F4725">
        <v>0</v>
      </c>
      <c r="G4725">
        <v>15.96</v>
      </c>
      <c r="H4725" t="s">
        <v>8588</v>
      </c>
      <c r="I4725">
        <v>16</v>
      </c>
      <c r="J4725" t="s">
        <v>462</v>
      </c>
      <c r="M4725">
        <v>7112</v>
      </c>
      <c r="N4725" t="s">
        <v>16077</v>
      </c>
    </row>
    <row r="4726" spans="1:14">
      <c r="A4726">
        <v>20260050</v>
      </c>
      <c r="B4726">
        <v>4019785</v>
      </c>
      <c r="C4726" t="s">
        <v>10539</v>
      </c>
      <c r="D4726" t="s">
        <v>441</v>
      </c>
      <c r="F4726">
        <v>0</v>
      </c>
      <c r="G4726">
        <v>12.01</v>
      </c>
      <c r="H4726" t="s">
        <v>8588</v>
      </c>
      <c r="I4726">
        <v>13</v>
      </c>
      <c r="J4726" t="s">
        <v>462</v>
      </c>
      <c r="K4726" t="s">
        <v>446</v>
      </c>
      <c r="M4726">
        <v>2612</v>
      </c>
      <c r="N4726" t="s">
        <v>16078</v>
      </c>
    </row>
    <row r="4727" spans="1:14">
      <c r="A4727">
        <v>20264000</v>
      </c>
      <c r="B4727">
        <v>3044480</v>
      </c>
      <c r="C4727" t="s">
        <v>14878</v>
      </c>
      <c r="D4727" t="s">
        <v>441</v>
      </c>
      <c r="F4727">
        <v>0</v>
      </c>
      <c r="G4727">
        <v>13.66</v>
      </c>
      <c r="H4727" t="s">
        <v>8549</v>
      </c>
      <c r="I4727">
        <v>6</v>
      </c>
      <c r="J4727" t="s">
        <v>445</v>
      </c>
      <c r="M4727">
        <v>2391</v>
      </c>
      <c r="N4727" t="s">
        <v>16077</v>
      </c>
    </row>
    <row r="4728" spans="1:14">
      <c r="A4728">
        <v>20264040</v>
      </c>
      <c r="B4728">
        <v>4029435</v>
      </c>
      <c r="C4728" t="s">
        <v>14879</v>
      </c>
      <c r="D4728" t="s">
        <v>441</v>
      </c>
      <c r="F4728">
        <v>0</v>
      </c>
      <c r="G4728">
        <v>15.79</v>
      </c>
      <c r="H4728" t="s">
        <v>8588</v>
      </c>
      <c r="I4728">
        <v>10</v>
      </c>
      <c r="J4728" t="s">
        <v>462</v>
      </c>
      <c r="M4728">
        <v>7112</v>
      </c>
      <c r="N4728" t="s">
        <v>16077</v>
      </c>
    </row>
    <row r="4729" spans="1:14">
      <c r="A4729">
        <v>20270000</v>
      </c>
      <c r="B4729">
        <v>3027785</v>
      </c>
      <c r="C4729" t="s">
        <v>14880</v>
      </c>
      <c r="D4729" t="s">
        <v>441</v>
      </c>
      <c r="F4729">
        <v>0</v>
      </c>
      <c r="G4729">
        <v>13.33</v>
      </c>
      <c r="H4729" t="s">
        <v>8588</v>
      </c>
      <c r="I4729">
        <v>6</v>
      </c>
      <c r="J4729" t="s">
        <v>445</v>
      </c>
      <c r="M4729">
        <v>2391</v>
      </c>
      <c r="N4729" t="s">
        <v>16080</v>
      </c>
    </row>
    <row r="4730" spans="1:14">
      <c r="A4730">
        <v>20270040</v>
      </c>
      <c r="B4730">
        <v>4020255</v>
      </c>
      <c r="C4730" t="s">
        <v>10540</v>
      </c>
      <c r="D4730" t="s">
        <v>441</v>
      </c>
      <c r="F4730">
        <v>0</v>
      </c>
      <c r="G4730">
        <v>11.5</v>
      </c>
      <c r="H4730" t="s">
        <v>8588</v>
      </c>
      <c r="I4730">
        <v>16</v>
      </c>
      <c r="J4730" t="s">
        <v>462</v>
      </c>
      <c r="K4730" t="s">
        <v>446</v>
      </c>
      <c r="M4730">
        <v>2612</v>
      </c>
      <c r="N4730" t="s">
        <v>15976</v>
      </c>
    </row>
    <row r="4731" spans="1:14">
      <c r="A4731">
        <v>20270100</v>
      </c>
      <c r="B4731">
        <v>3036822</v>
      </c>
      <c r="C4731" t="s">
        <v>14881</v>
      </c>
      <c r="D4731" t="s">
        <v>441</v>
      </c>
      <c r="F4731">
        <v>0</v>
      </c>
      <c r="H4731" t="s">
        <v>8588</v>
      </c>
      <c r="I4731">
        <v>6</v>
      </c>
      <c r="J4731" t="s">
        <v>445</v>
      </c>
      <c r="M4731">
        <v>7161</v>
      </c>
      <c r="N4731" t="s">
        <v>16080</v>
      </c>
    </row>
    <row r="4732" spans="1:14">
      <c r="A4732">
        <v>20270110</v>
      </c>
      <c r="B4732">
        <v>3030500</v>
      </c>
      <c r="C4732" t="s">
        <v>14882</v>
      </c>
      <c r="D4732" t="s">
        <v>441</v>
      </c>
      <c r="F4732">
        <v>0</v>
      </c>
      <c r="H4732" t="s">
        <v>8588</v>
      </c>
      <c r="I4732">
        <v>6</v>
      </c>
      <c r="J4732" t="s">
        <v>445</v>
      </c>
      <c r="M4732">
        <v>7161</v>
      </c>
      <c r="N4732" t="s">
        <v>16080</v>
      </c>
    </row>
    <row r="4733" spans="1:14">
      <c r="A4733">
        <v>20274000</v>
      </c>
      <c r="B4733">
        <v>3035448</v>
      </c>
      <c r="C4733" t="s">
        <v>14883</v>
      </c>
      <c r="D4733" t="s">
        <v>441</v>
      </c>
      <c r="F4733">
        <v>0</v>
      </c>
      <c r="G4733">
        <v>13.33</v>
      </c>
      <c r="H4733" t="s">
        <v>8549</v>
      </c>
      <c r="I4733">
        <v>6</v>
      </c>
      <c r="J4733" t="s">
        <v>445</v>
      </c>
      <c r="M4733">
        <v>2391</v>
      </c>
      <c r="N4733" t="s">
        <v>16080</v>
      </c>
    </row>
    <row r="4734" spans="1:14">
      <c r="A4734">
        <v>20274007</v>
      </c>
      <c r="B4734">
        <v>3035451</v>
      </c>
      <c r="C4734" t="s">
        <v>14884</v>
      </c>
      <c r="D4734" t="s">
        <v>441</v>
      </c>
      <c r="F4734">
        <v>0</v>
      </c>
      <c r="G4734">
        <v>13.47</v>
      </c>
      <c r="H4734" t="s">
        <v>8549</v>
      </c>
      <c r="I4734">
        <v>6</v>
      </c>
      <c r="J4734" t="s">
        <v>445</v>
      </c>
      <c r="M4734">
        <v>2391</v>
      </c>
      <c r="N4734" t="s">
        <v>16080</v>
      </c>
    </row>
    <row r="4735" spans="1:14">
      <c r="A4735">
        <v>20274100</v>
      </c>
      <c r="B4735">
        <v>3036826</v>
      </c>
      <c r="C4735" t="s">
        <v>14885</v>
      </c>
      <c r="D4735" t="s">
        <v>441</v>
      </c>
      <c r="F4735">
        <v>0</v>
      </c>
      <c r="H4735" t="s">
        <v>8588</v>
      </c>
      <c r="I4735">
        <v>6</v>
      </c>
      <c r="J4735" t="s">
        <v>445</v>
      </c>
      <c r="M4735">
        <v>7161</v>
      </c>
      <c r="N4735" t="s">
        <v>16080</v>
      </c>
    </row>
    <row r="4736" spans="1:14">
      <c r="A4736">
        <v>20280000</v>
      </c>
      <c r="B4736">
        <v>3027786</v>
      </c>
      <c r="C4736" t="s">
        <v>14886</v>
      </c>
      <c r="D4736" t="s">
        <v>441</v>
      </c>
      <c r="F4736">
        <v>0</v>
      </c>
      <c r="G4736">
        <v>14.77</v>
      </c>
      <c r="H4736" t="s">
        <v>8549</v>
      </c>
      <c r="I4736">
        <v>6</v>
      </c>
      <c r="J4736" t="s">
        <v>445</v>
      </c>
      <c r="M4736">
        <v>2391</v>
      </c>
      <c r="N4736" t="s">
        <v>16184</v>
      </c>
    </row>
    <row r="4737" spans="1:14">
      <c r="A4737">
        <v>20280007</v>
      </c>
      <c r="B4737">
        <v>3028080</v>
      </c>
      <c r="C4737" t="s">
        <v>14887</v>
      </c>
      <c r="D4737" t="s">
        <v>441</v>
      </c>
      <c r="F4737">
        <v>0</v>
      </c>
      <c r="G4737">
        <v>14.92</v>
      </c>
      <c r="H4737" t="s">
        <v>8549</v>
      </c>
      <c r="I4737">
        <v>6</v>
      </c>
      <c r="J4737" t="s">
        <v>445</v>
      </c>
      <c r="M4737">
        <v>2391</v>
      </c>
      <c r="N4737" t="s">
        <v>16184</v>
      </c>
    </row>
    <row r="4738" spans="1:14">
      <c r="A4738">
        <v>20290000</v>
      </c>
      <c r="B4738">
        <v>3015948</v>
      </c>
      <c r="C4738" t="s">
        <v>14888</v>
      </c>
      <c r="D4738" t="s">
        <v>441</v>
      </c>
      <c r="F4738">
        <v>0</v>
      </c>
      <c r="G4738">
        <v>14.79</v>
      </c>
      <c r="H4738" t="s">
        <v>8549</v>
      </c>
      <c r="I4738">
        <v>6</v>
      </c>
      <c r="J4738" t="s">
        <v>445</v>
      </c>
      <c r="M4738">
        <v>2391</v>
      </c>
      <c r="N4738" t="s">
        <v>16077</v>
      </c>
    </row>
    <row r="4739" spans="1:14">
      <c r="A4739">
        <v>20290002</v>
      </c>
      <c r="B4739">
        <v>3027758</v>
      </c>
      <c r="C4739" t="s">
        <v>14889</v>
      </c>
      <c r="D4739" t="s">
        <v>441</v>
      </c>
      <c r="F4739">
        <v>0</v>
      </c>
      <c r="G4739">
        <v>15.63</v>
      </c>
      <c r="H4739" t="s">
        <v>8588</v>
      </c>
      <c r="I4739">
        <v>540</v>
      </c>
      <c r="J4739" t="s">
        <v>445</v>
      </c>
      <c r="M4739">
        <v>7111</v>
      </c>
      <c r="N4739" t="s">
        <v>16077</v>
      </c>
    </row>
    <row r="4740" spans="1:14">
      <c r="A4740">
        <v>20290007</v>
      </c>
      <c r="B4740">
        <v>3024213</v>
      </c>
      <c r="C4740" t="s">
        <v>14681</v>
      </c>
      <c r="D4740" t="s">
        <v>441</v>
      </c>
      <c r="F4740">
        <v>0</v>
      </c>
      <c r="G4740">
        <v>14.95</v>
      </c>
      <c r="H4740" t="s">
        <v>8588</v>
      </c>
      <c r="I4740">
        <v>6</v>
      </c>
      <c r="J4740" t="s">
        <v>445</v>
      </c>
      <c r="M4740">
        <v>3111</v>
      </c>
      <c r="N4740" t="s">
        <v>16077</v>
      </c>
    </row>
    <row r="4741" spans="1:14">
      <c r="A4741">
        <v>20290040</v>
      </c>
      <c r="B4741">
        <v>4026467</v>
      </c>
      <c r="C4741" t="s">
        <v>14890</v>
      </c>
      <c r="D4741" t="s">
        <v>441</v>
      </c>
      <c r="F4741">
        <v>0</v>
      </c>
      <c r="G4741">
        <v>15.47</v>
      </c>
      <c r="H4741" t="s">
        <v>8588</v>
      </c>
      <c r="I4741">
        <v>16</v>
      </c>
      <c r="J4741" t="s">
        <v>462</v>
      </c>
      <c r="M4741">
        <v>7112</v>
      </c>
      <c r="N4741" t="s">
        <v>16077</v>
      </c>
    </row>
    <row r="4742" spans="1:14">
      <c r="A4742">
        <v>20290041</v>
      </c>
      <c r="B4742">
        <v>4026469</v>
      </c>
      <c r="C4742" t="s">
        <v>14891</v>
      </c>
      <c r="D4742" t="s">
        <v>441</v>
      </c>
      <c r="F4742">
        <v>0</v>
      </c>
      <c r="G4742">
        <v>15.6</v>
      </c>
      <c r="H4742" t="s">
        <v>8588</v>
      </c>
      <c r="I4742">
        <v>16</v>
      </c>
      <c r="J4742" t="s">
        <v>462</v>
      </c>
      <c r="M4742">
        <v>7112</v>
      </c>
      <c r="N4742" t="s">
        <v>16077</v>
      </c>
    </row>
    <row r="4743" spans="1:14">
      <c r="A4743">
        <v>20290042</v>
      </c>
      <c r="B4743">
        <v>4028845</v>
      </c>
      <c r="C4743" t="s">
        <v>14892</v>
      </c>
      <c r="D4743" t="s">
        <v>441</v>
      </c>
      <c r="F4743">
        <v>0</v>
      </c>
      <c r="G4743">
        <v>15.5</v>
      </c>
      <c r="H4743" t="s">
        <v>8588</v>
      </c>
      <c r="I4743">
        <v>10</v>
      </c>
      <c r="J4743" t="s">
        <v>462</v>
      </c>
      <c r="M4743">
        <v>7112</v>
      </c>
      <c r="N4743" t="s">
        <v>16077</v>
      </c>
    </row>
    <row r="4744" spans="1:14">
      <c r="A4744">
        <v>20290075</v>
      </c>
      <c r="B4744">
        <v>4026427</v>
      </c>
      <c r="C4744" t="s">
        <v>14893</v>
      </c>
      <c r="D4744" t="s">
        <v>441</v>
      </c>
      <c r="F4744">
        <v>0</v>
      </c>
      <c r="G4744">
        <v>15.03</v>
      </c>
      <c r="H4744" t="s">
        <v>8588</v>
      </c>
      <c r="I4744">
        <v>6</v>
      </c>
      <c r="J4744" t="s">
        <v>462</v>
      </c>
      <c r="L4744">
        <v>2052387</v>
      </c>
      <c r="M4744">
        <v>7112</v>
      </c>
      <c r="N4744" t="s">
        <v>16077</v>
      </c>
    </row>
    <row r="4745" spans="1:14">
      <c r="A4745">
        <v>20290100</v>
      </c>
      <c r="B4745">
        <v>3033829</v>
      </c>
      <c r="C4745" t="s">
        <v>10541</v>
      </c>
      <c r="D4745" t="s">
        <v>441</v>
      </c>
      <c r="F4745">
        <v>0</v>
      </c>
      <c r="H4745" t="s">
        <v>8588</v>
      </c>
      <c r="I4745">
        <v>6</v>
      </c>
      <c r="J4745" t="s">
        <v>445</v>
      </c>
      <c r="K4745" t="s">
        <v>446</v>
      </c>
      <c r="M4745">
        <v>0</v>
      </c>
      <c r="N4745" t="s">
        <v>15976</v>
      </c>
    </row>
    <row r="4746" spans="1:14">
      <c r="A4746">
        <v>20290102</v>
      </c>
      <c r="B4746">
        <v>3024214</v>
      </c>
      <c r="C4746" t="s">
        <v>14894</v>
      </c>
      <c r="D4746" t="s">
        <v>441</v>
      </c>
      <c r="F4746">
        <v>0</v>
      </c>
      <c r="H4746" t="s">
        <v>8588</v>
      </c>
      <c r="I4746">
        <v>540</v>
      </c>
      <c r="J4746" t="s">
        <v>445</v>
      </c>
      <c r="M4746">
        <v>7113</v>
      </c>
      <c r="N4746" t="s">
        <v>16077</v>
      </c>
    </row>
    <row r="4747" spans="1:14">
      <c r="A4747">
        <v>20290110</v>
      </c>
      <c r="B4747">
        <v>3040117</v>
      </c>
      <c r="C4747" t="s">
        <v>14895</v>
      </c>
      <c r="D4747" t="s">
        <v>441</v>
      </c>
      <c r="F4747">
        <v>0</v>
      </c>
      <c r="G4747">
        <v>8.1</v>
      </c>
      <c r="H4747" t="s">
        <v>8588</v>
      </c>
      <c r="I4747">
        <v>6</v>
      </c>
      <c r="J4747" t="s">
        <v>445</v>
      </c>
      <c r="M4747">
        <v>7161</v>
      </c>
      <c r="N4747" t="s">
        <v>16077</v>
      </c>
    </row>
    <row r="4748" spans="1:14">
      <c r="A4748">
        <v>20290112</v>
      </c>
      <c r="B4748">
        <v>3021487</v>
      </c>
      <c r="C4748" t="s">
        <v>14896</v>
      </c>
      <c r="D4748" t="s">
        <v>441</v>
      </c>
      <c r="F4748">
        <v>0</v>
      </c>
      <c r="H4748" t="s">
        <v>8549</v>
      </c>
      <c r="I4748">
        <v>540</v>
      </c>
      <c r="J4748" t="s">
        <v>445</v>
      </c>
      <c r="M4748">
        <v>7113</v>
      </c>
      <c r="N4748" t="s">
        <v>16077</v>
      </c>
    </row>
    <row r="4749" spans="1:14">
      <c r="A4749">
        <v>20290122</v>
      </c>
      <c r="B4749">
        <v>3040119</v>
      </c>
      <c r="C4749" t="s">
        <v>14897</v>
      </c>
      <c r="D4749" t="s">
        <v>441</v>
      </c>
      <c r="F4749">
        <v>0</v>
      </c>
      <c r="G4749">
        <v>7.63</v>
      </c>
      <c r="H4749" t="s">
        <v>8588</v>
      </c>
      <c r="I4749">
        <v>729</v>
      </c>
      <c r="J4749" t="s">
        <v>445</v>
      </c>
      <c r="M4749">
        <v>7113</v>
      </c>
      <c r="N4749" t="s">
        <v>16077</v>
      </c>
    </row>
    <row r="4750" spans="1:14">
      <c r="A4750">
        <v>20290502</v>
      </c>
      <c r="B4750">
        <v>3027649</v>
      </c>
      <c r="C4750" t="s">
        <v>14898</v>
      </c>
      <c r="D4750" t="s">
        <v>441</v>
      </c>
      <c r="F4750">
        <v>0</v>
      </c>
      <c r="G4750">
        <v>15.02</v>
      </c>
      <c r="H4750" t="s">
        <v>8549</v>
      </c>
      <c r="I4750">
        <v>540</v>
      </c>
      <c r="J4750" t="s">
        <v>445</v>
      </c>
      <c r="M4750">
        <v>2502</v>
      </c>
      <c r="N4750" t="s">
        <v>16077</v>
      </c>
    </row>
    <row r="4751" spans="1:14">
      <c r="A4751">
        <v>20290602</v>
      </c>
      <c r="B4751">
        <v>3024216</v>
      </c>
      <c r="C4751" t="s">
        <v>14899</v>
      </c>
      <c r="D4751" t="s">
        <v>441</v>
      </c>
      <c r="F4751">
        <v>0</v>
      </c>
      <c r="G4751">
        <v>16.04</v>
      </c>
      <c r="H4751" t="s">
        <v>8588</v>
      </c>
      <c r="I4751">
        <v>5</v>
      </c>
      <c r="J4751" t="s">
        <v>445</v>
      </c>
      <c r="M4751">
        <v>2510</v>
      </c>
      <c r="N4751" t="s">
        <v>16077</v>
      </c>
    </row>
    <row r="4752" spans="1:14">
      <c r="A4752">
        <v>20290612</v>
      </c>
      <c r="B4752">
        <v>3030297</v>
      </c>
      <c r="C4752" t="s">
        <v>14900</v>
      </c>
      <c r="D4752" t="s">
        <v>441</v>
      </c>
      <c r="F4752">
        <v>0</v>
      </c>
      <c r="G4752">
        <v>14.42</v>
      </c>
      <c r="H4752" t="s">
        <v>8588</v>
      </c>
      <c r="I4752">
        <v>4</v>
      </c>
      <c r="J4752" t="s">
        <v>445</v>
      </c>
      <c r="K4752" t="s">
        <v>446</v>
      </c>
      <c r="M4752">
        <v>2510</v>
      </c>
      <c r="N4752" t="s">
        <v>16077</v>
      </c>
    </row>
    <row r="4753" spans="1:14">
      <c r="A4753">
        <v>20290902</v>
      </c>
      <c r="B4753">
        <v>3024347</v>
      </c>
      <c r="C4753" t="s">
        <v>14901</v>
      </c>
      <c r="D4753" t="s">
        <v>441</v>
      </c>
      <c r="F4753">
        <v>0</v>
      </c>
      <c r="H4753" t="s">
        <v>8584</v>
      </c>
      <c r="I4753">
        <v>5</v>
      </c>
      <c r="J4753" t="s">
        <v>445</v>
      </c>
      <c r="M4753">
        <v>6666</v>
      </c>
      <c r="N4753" t="s">
        <v>16077</v>
      </c>
    </row>
    <row r="4754" spans="1:14">
      <c r="A4754">
        <v>20290907</v>
      </c>
      <c r="B4754">
        <v>3024346</v>
      </c>
      <c r="C4754" t="s">
        <v>14902</v>
      </c>
      <c r="D4754" t="s">
        <v>441</v>
      </c>
      <c r="F4754">
        <v>0</v>
      </c>
      <c r="H4754" t="s">
        <v>8584</v>
      </c>
      <c r="I4754">
        <v>6</v>
      </c>
      <c r="J4754" t="s">
        <v>445</v>
      </c>
      <c r="M4754">
        <v>6666</v>
      </c>
      <c r="N4754" t="s">
        <v>16077</v>
      </c>
    </row>
    <row r="4755" spans="1:14">
      <c r="A4755">
        <v>20291000</v>
      </c>
      <c r="B4755">
        <v>3035621</v>
      </c>
      <c r="C4755" t="s">
        <v>14903</v>
      </c>
      <c r="D4755" t="s">
        <v>441</v>
      </c>
      <c r="F4755">
        <v>0</v>
      </c>
      <c r="G4755">
        <v>14.79</v>
      </c>
      <c r="H4755" t="s">
        <v>8549</v>
      </c>
      <c r="I4755">
        <v>6</v>
      </c>
      <c r="J4755" t="s">
        <v>445</v>
      </c>
      <c r="M4755">
        <v>2391</v>
      </c>
      <c r="N4755" t="s">
        <v>16077</v>
      </c>
    </row>
    <row r="4756" spans="1:14">
      <c r="A4756">
        <v>20291040</v>
      </c>
      <c r="B4756">
        <v>4026468</v>
      </c>
      <c r="C4756" t="s">
        <v>14904</v>
      </c>
      <c r="D4756" t="s">
        <v>441</v>
      </c>
      <c r="F4756">
        <v>0</v>
      </c>
      <c r="G4756">
        <v>15.47</v>
      </c>
      <c r="H4756" t="s">
        <v>8588</v>
      </c>
      <c r="I4756">
        <v>16</v>
      </c>
      <c r="J4756" t="s">
        <v>462</v>
      </c>
      <c r="M4756">
        <v>7112</v>
      </c>
      <c r="N4756" t="s">
        <v>16077</v>
      </c>
    </row>
    <row r="4757" spans="1:14">
      <c r="A4757">
        <v>20291041</v>
      </c>
      <c r="B4757">
        <v>4026470</v>
      </c>
      <c r="C4757" t="s">
        <v>14905</v>
      </c>
      <c r="D4757" t="s">
        <v>441</v>
      </c>
      <c r="F4757">
        <v>0</v>
      </c>
      <c r="G4757">
        <v>15.6</v>
      </c>
      <c r="H4757" t="s">
        <v>8588</v>
      </c>
      <c r="I4757">
        <v>16</v>
      </c>
      <c r="J4757" t="s">
        <v>462</v>
      </c>
      <c r="M4757">
        <v>7112</v>
      </c>
      <c r="N4757" t="s">
        <v>16077</v>
      </c>
    </row>
    <row r="4758" spans="1:14">
      <c r="A4758">
        <v>20291075</v>
      </c>
      <c r="B4758">
        <v>4026428</v>
      </c>
      <c r="C4758" t="s">
        <v>14906</v>
      </c>
      <c r="D4758" t="s">
        <v>441</v>
      </c>
      <c r="F4758">
        <v>0</v>
      </c>
      <c r="G4758">
        <v>15.03</v>
      </c>
      <c r="H4758" t="s">
        <v>8588</v>
      </c>
      <c r="I4758">
        <v>6</v>
      </c>
      <c r="J4758" t="s">
        <v>462</v>
      </c>
      <c r="L4758">
        <v>2052387</v>
      </c>
      <c r="M4758">
        <v>7112</v>
      </c>
      <c r="N4758" t="s">
        <v>16077</v>
      </c>
    </row>
    <row r="4759" spans="1:14">
      <c r="A4759">
        <v>20294000</v>
      </c>
      <c r="B4759">
        <v>3043202</v>
      </c>
      <c r="C4759" t="s">
        <v>14907</v>
      </c>
      <c r="D4759" t="s">
        <v>441</v>
      </c>
      <c r="F4759">
        <v>0</v>
      </c>
      <c r="G4759">
        <v>14.66</v>
      </c>
      <c r="H4759" t="s">
        <v>8549</v>
      </c>
      <c r="I4759">
        <v>6</v>
      </c>
      <c r="J4759" t="s">
        <v>445</v>
      </c>
      <c r="M4759">
        <v>2391</v>
      </c>
      <c r="N4759" t="s">
        <v>16077</v>
      </c>
    </row>
    <row r="4760" spans="1:14">
      <c r="A4760">
        <v>20294002</v>
      </c>
      <c r="B4760">
        <v>3043198</v>
      </c>
      <c r="C4760" t="s">
        <v>14908</v>
      </c>
      <c r="D4760" t="s">
        <v>441</v>
      </c>
      <c r="F4760">
        <v>0</v>
      </c>
      <c r="G4760">
        <v>15.63</v>
      </c>
      <c r="H4760" t="s">
        <v>8549</v>
      </c>
      <c r="I4760">
        <v>540</v>
      </c>
      <c r="J4760" t="s">
        <v>445</v>
      </c>
      <c r="M4760">
        <v>7111</v>
      </c>
      <c r="N4760" t="s">
        <v>16077</v>
      </c>
    </row>
    <row r="4761" spans="1:14">
      <c r="A4761">
        <v>20294007</v>
      </c>
      <c r="B4761">
        <v>3043204</v>
      </c>
      <c r="C4761" t="s">
        <v>14687</v>
      </c>
      <c r="D4761" t="s">
        <v>441</v>
      </c>
      <c r="F4761">
        <v>0</v>
      </c>
      <c r="G4761">
        <v>14.95</v>
      </c>
      <c r="H4761" t="s">
        <v>8588</v>
      </c>
      <c r="I4761">
        <v>6</v>
      </c>
      <c r="J4761" t="s">
        <v>445</v>
      </c>
      <c r="M4761">
        <v>3111</v>
      </c>
      <c r="N4761" t="s">
        <v>16077</v>
      </c>
    </row>
    <row r="4762" spans="1:14">
      <c r="A4762">
        <v>20294076</v>
      </c>
      <c r="B4762">
        <v>3043708</v>
      </c>
      <c r="C4762" t="s">
        <v>14909</v>
      </c>
      <c r="D4762" t="s">
        <v>441</v>
      </c>
      <c r="F4762">
        <v>0</v>
      </c>
      <c r="G4762">
        <v>14.97</v>
      </c>
      <c r="H4762" t="s">
        <v>8588</v>
      </c>
      <c r="I4762">
        <v>6</v>
      </c>
      <c r="J4762" t="s">
        <v>445</v>
      </c>
      <c r="M4762">
        <v>7112</v>
      </c>
      <c r="N4762" t="s">
        <v>16077</v>
      </c>
    </row>
    <row r="4763" spans="1:14">
      <c r="A4763">
        <v>20294502</v>
      </c>
      <c r="B4763">
        <v>3043196</v>
      </c>
      <c r="C4763" t="s">
        <v>14910</v>
      </c>
      <c r="D4763" t="s">
        <v>441</v>
      </c>
      <c r="F4763">
        <v>0</v>
      </c>
      <c r="G4763">
        <v>15.02</v>
      </c>
      <c r="H4763" t="s">
        <v>8549</v>
      </c>
      <c r="I4763">
        <v>540</v>
      </c>
      <c r="J4763" t="s">
        <v>445</v>
      </c>
      <c r="M4763">
        <v>2502</v>
      </c>
      <c r="N4763" t="s">
        <v>16077</v>
      </c>
    </row>
    <row r="4764" spans="1:14">
      <c r="A4764">
        <v>20294602</v>
      </c>
      <c r="B4764">
        <v>3043197</v>
      </c>
      <c r="C4764" t="s">
        <v>14911</v>
      </c>
      <c r="D4764" t="s">
        <v>441</v>
      </c>
      <c r="F4764">
        <v>0</v>
      </c>
      <c r="G4764">
        <v>16.04</v>
      </c>
      <c r="H4764" t="s">
        <v>8549</v>
      </c>
      <c r="I4764">
        <v>4</v>
      </c>
      <c r="J4764" t="s">
        <v>445</v>
      </c>
      <c r="M4764">
        <v>2510</v>
      </c>
      <c r="N4764" t="s">
        <v>16077</v>
      </c>
    </row>
    <row r="4765" spans="1:14">
      <c r="A4765">
        <v>20294902</v>
      </c>
      <c r="B4765">
        <v>3043199</v>
      </c>
      <c r="C4765" t="s">
        <v>14912</v>
      </c>
      <c r="D4765" t="s">
        <v>441</v>
      </c>
      <c r="F4765">
        <v>0</v>
      </c>
      <c r="G4765">
        <v>1</v>
      </c>
      <c r="H4765" t="s">
        <v>8549</v>
      </c>
      <c r="I4765">
        <v>4</v>
      </c>
      <c r="J4765" t="s">
        <v>445</v>
      </c>
      <c r="M4765">
        <v>6666</v>
      </c>
      <c r="N4765" t="s">
        <v>16077</v>
      </c>
    </row>
    <row r="4766" spans="1:14">
      <c r="A4766">
        <v>20294907</v>
      </c>
      <c r="B4766">
        <v>3043208</v>
      </c>
      <c r="C4766" t="s">
        <v>14913</v>
      </c>
      <c r="D4766" t="s">
        <v>441</v>
      </c>
      <c r="F4766">
        <v>0</v>
      </c>
      <c r="G4766">
        <v>1</v>
      </c>
      <c r="H4766" t="s">
        <v>8588</v>
      </c>
      <c r="I4766">
        <v>6</v>
      </c>
      <c r="J4766" t="s">
        <v>445</v>
      </c>
      <c r="M4766">
        <v>6666</v>
      </c>
      <c r="N4766" t="s">
        <v>16077</v>
      </c>
    </row>
    <row r="4767" spans="1:14">
      <c r="A4767">
        <v>20299000</v>
      </c>
      <c r="B4767">
        <v>3038635</v>
      </c>
      <c r="C4767" t="s">
        <v>14914</v>
      </c>
      <c r="D4767" t="s">
        <v>441</v>
      </c>
      <c r="F4767">
        <v>0</v>
      </c>
      <c r="G4767">
        <v>14.79</v>
      </c>
      <c r="H4767" t="s">
        <v>8549</v>
      </c>
      <c r="I4767">
        <v>6</v>
      </c>
      <c r="J4767" t="s">
        <v>445</v>
      </c>
      <c r="M4767">
        <v>3111</v>
      </c>
      <c r="N4767" t="s">
        <v>16077</v>
      </c>
    </row>
    <row r="4768" spans="1:14">
      <c r="A4768">
        <v>20299900</v>
      </c>
      <c r="B4768">
        <v>3038646</v>
      </c>
      <c r="C4768" t="s">
        <v>14915</v>
      </c>
      <c r="D4768" t="s">
        <v>441</v>
      </c>
      <c r="F4768">
        <v>0</v>
      </c>
      <c r="I4768">
        <v>6</v>
      </c>
      <c r="J4768" t="s">
        <v>445</v>
      </c>
      <c r="M4768">
        <v>6666</v>
      </c>
      <c r="N4768" t="s">
        <v>16077</v>
      </c>
    </row>
    <row r="4769" spans="1:14">
      <c r="A4769">
        <v>20303000</v>
      </c>
      <c r="B4769">
        <v>3022291</v>
      </c>
      <c r="C4769" t="s">
        <v>14916</v>
      </c>
      <c r="D4769" t="s">
        <v>441</v>
      </c>
      <c r="F4769">
        <v>0</v>
      </c>
      <c r="G4769">
        <v>12.82</v>
      </c>
      <c r="H4769" t="s">
        <v>8588</v>
      </c>
      <c r="I4769">
        <v>6</v>
      </c>
      <c r="J4769" t="s">
        <v>445</v>
      </c>
      <c r="K4769" t="s">
        <v>446</v>
      </c>
      <c r="M4769">
        <v>2391</v>
      </c>
      <c r="N4769" t="s">
        <v>16089</v>
      </c>
    </row>
    <row r="4770" spans="1:14">
      <c r="A4770">
        <v>20303007</v>
      </c>
      <c r="B4770">
        <v>3024972</v>
      </c>
      <c r="C4770" t="s">
        <v>10542</v>
      </c>
      <c r="D4770" t="s">
        <v>441</v>
      </c>
      <c r="F4770">
        <v>0</v>
      </c>
      <c r="G4770">
        <v>8.24</v>
      </c>
      <c r="H4770" t="s">
        <v>8935</v>
      </c>
      <c r="I4770">
        <v>6</v>
      </c>
      <c r="J4770" t="s">
        <v>445</v>
      </c>
      <c r="K4770" t="s">
        <v>446</v>
      </c>
      <c r="M4770">
        <v>3111</v>
      </c>
      <c r="N4770" t="s">
        <v>16088</v>
      </c>
    </row>
    <row r="4771" spans="1:14">
      <c r="A4771">
        <v>20313000</v>
      </c>
      <c r="B4771">
        <v>3022293</v>
      </c>
      <c r="C4771" t="s">
        <v>14917</v>
      </c>
      <c r="D4771" t="s">
        <v>441</v>
      </c>
      <c r="F4771">
        <v>0</v>
      </c>
      <c r="G4771">
        <v>12.99</v>
      </c>
      <c r="H4771" t="s">
        <v>8588</v>
      </c>
      <c r="I4771">
        <v>6</v>
      </c>
      <c r="J4771" t="s">
        <v>445</v>
      </c>
      <c r="K4771" t="s">
        <v>446</v>
      </c>
      <c r="M4771">
        <v>2391</v>
      </c>
      <c r="N4771" t="s">
        <v>16080</v>
      </c>
    </row>
    <row r="4772" spans="1:14">
      <c r="A4772">
        <v>20313007</v>
      </c>
      <c r="B4772">
        <v>3024973</v>
      </c>
      <c r="C4772" t="s">
        <v>2602</v>
      </c>
      <c r="D4772" t="s">
        <v>441</v>
      </c>
      <c r="F4772">
        <v>0</v>
      </c>
      <c r="G4772">
        <v>10.25</v>
      </c>
      <c r="H4772" t="s">
        <v>8935</v>
      </c>
      <c r="I4772">
        <v>6</v>
      </c>
      <c r="J4772" t="s">
        <v>445</v>
      </c>
      <c r="M4772">
        <v>3111</v>
      </c>
      <c r="N4772" t="s">
        <v>15976</v>
      </c>
    </row>
    <row r="4773" spans="1:14">
      <c r="A4773">
        <v>20323000</v>
      </c>
      <c r="B4773">
        <v>3022294</v>
      </c>
      <c r="C4773" t="s">
        <v>14918</v>
      </c>
      <c r="D4773" t="s">
        <v>441</v>
      </c>
      <c r="F4773">
        <v>0</v>
      </c>
      <c r="G4773">
        <v>13.2</v>
      </c>
      <c r="H4773" t="s">
        <v>8588</v>
      </c>
      <c r="I4773">
        <v>6</v>
      </c>
      <c r="J4773" t="s">
        <v>445</v>
      </c>
      <c r="K4773" t="s">
        <v>446</v>
      </c>
      <c r="M4773">
        <v>2391</v>
      </c>
      <c r="N4773" t="s">
        <v>16080</v>
      </c>
    </row>
    <row r="4774" spans="1:14">
      <c r="A4774">
        <v>20323007</v>
      </c>
      <c r="B4774">
        <v>3024974</v>
      </c>
      <c r="C4774" t="s">
        <v>14919</v>
      </c>
      <c r="D4774" t="s">
        <v>441</v>
      </c>
      <c r="F4774">
        <v>0</v>
      </c>
      <c r="G4774">
        <v>13.35</v>
      </c>
      <c r="H4774" t="s">
        <v>8935</v>
      </c>
      <c r="I4774">
        <v>6</v>
      </c>
      <c r="J4774" t="s">
        <v>445</v>
      </c>
      <c r="K4774" t="s">
        <v>446</v>
      </c>
      <c r="M4774">
        <v>2391</v>
      </c>
      <c r="N4774" t="s">
        <v>16080</v>
      </c>
    </row>
    <row r="4775" spans="1:14">
      <c r="A4775">
        <v>20330000</v>
      </c>
      <c r="B4775">
        <v>3022272</v>
      </c>
      <c r="C4775" t="s">
        <v>14740</v>
      </c>
      <c r="D4775" t="s">
        <v>441</v>
      </c>
      <c r="F4775">
        <v>0</v>
      </c>
      <c r="G4775">
        <v>13.29</v>
      </c>
      <c r="H4775" t="s">
        <v>8588</v>
      </c>
      <c r="I4775">
        <v>6</v>
      </c>
      <c r="J4775" t="s">
        <v>445</v>
      </c>
      <c r="K4775" t="s">
        <v>446</v>
      </c>
      <c r="M4775">
        <v>2391</v>
      </c>
      <c r="N4775" t="s">
        <v>16080</v>
      </c>
    </row>
    <row r="4776" spans="1:14">
      <c r="A4776">
        <v>20330002</v>
      </c>
      <c r="B4776">
        <v>3024625</v>
      </c>
      <c r="C4776" t="s">
        <v>10543</v>
      </c>
      <c r="D4776" t="s">
        <v>441</v>
      </c>
      <c r="F4776">
        <v>0</v>
      </c>
      <c r="G4776">
        <v>11.13</v>
      </c>
      <c r="H4776" t="s">
        <v>8588</v>
      </c>
      <c r="I4776">
        <v>540</v>
      </c>
      <c r="J4776" t="s">
        <v>445</v>
      </c>
      <c r="K4776" t="s">
        <v>446</v>
      </c>
      <c r="M4776">
        <v>2501</v>
      </c>
      <c r="N4776" t="s">
        <v>15976</v>
      </c>
    </row>
    <row r="4777" spans="1:14">
      <c r="A4777">
        <v>20330007</v>
      </c>
      <c r="B4777">
        <v>3024975</v>
      </c>
      <c r="C4777" t="s">
        <v>14920</v>
      </c>
      <c r="D4777" t="s">
        <v>441</v>
      </c>
      <c r="F4777">
        <v>0</v>
      </c>
      <c r="G4777">
        <v>13.43</v>
      </c>
      <c r="H4777" t="s">
        <v>8935</v>
      </c>
      <c r="I4777">
        <v>6</v>
      </c>
      <c r="J4777" t="s">
        <v>445</v>
      </c>
      <c r="K4777" t="s">
        <v>446</v>
      </c>
      <c r="M4777">
        <v>3111</v>
      </c>
      <c r="N4777" t="s">
        <v>16080</v>
      </c>
    </row>
    <row r="4778" spans="1:14">
      <c r="A4778">
        <v>20330040</v>
      </c>
      <c r="B4778">
        <v>4020834</v>
      </c>
      <c r="C4778" t="s">
        <v>14921</v>
      </c>
      <c r="D4778" t="s">
        <v>441</v>
      </c>
      <c r="F4778">
        <v>0</v>
      </c>
      <c r="G4778">
        <v>14.12</v>
      </c>
      <c r="H4778" t="s">
        <v>8588</v>
      </c>
      <c r="I4778">
        <v>10</v>
      </c>
      <c r="J4778" t="s">
        <v>462</v>
      </c>
      <c r="M4778">
        <v>7112</v>
      </c>
      <c r="N4778" t="s">
        <v>16080</v>
      </c>
    </row>
    <row r="4779" spans="1:14">
      <c r="A4779">
        <v>20330100</v>
      </c>
      <c r="B4779">
        <v>3033553</v>
      </c>
      <c r="C4779" t="s">
        <v>2603</v>
      </c>
      <c r="D4779" t="s">
        <v>441</v>
      </c>
      <c r="F4779">
        <v>0</v>
      </c>
      <c r="G4779">
        <v>9.24</v>
      </c>
      <c r="H4779" t="s">
        <v>8588</v>
      </c>
      <c r="I4779">
        <v>6</v>
      </c>
      <c r="J4779" t="s">
        <v>445</v>
      </c>
      <c r="M4779">
        <v>0</v>
      </c>
      <c r="N4779" t="s">
        <v>15976</v>
      </c>
    </row>
    <row r="4780" spans="1:14">
      <c r="A4780">
        <v>20330110</v>
      </c>
      <c r="B4780">
        <v>4017200</v>
      </c>
      <c r="C4780" t="s">
        <v>15489</v>
      </c>
      <c r="D4780" t="s">
        <v>441</v>
      </c>
      <c r="F4780">
        <v>0</v>
      </c>
      <c r="G4780">
        <v>10.69</v>
      </c>
      <c r="H4780" t="s">
        <v>8588</v>
      </c>
      <c r="I4780">
        <v>540</v>
      </c>
      <c r="J4780" t="s">
        <v>462</v>
      </c>
      <c r="M4780">
        <v>0</v>
      </c>
      <c r="N4780" t="s">
        <v>16080</v>
      </c>
    </row>
    <row r="4781" spans="1:14">
      <c r="A4781">
        <v>20330502</v>
      </c>
      <c r="B4781">
        <v>3024582</v>
      </c>
      <c r="C4781" t="s">
        <v>10544</v>
      </c>
      <c r="D4781" t="s">
        <v>441</v>
      </c>
      <c r="F4781">
        <v>0</v>
      </c>
      <c r="G4781">
        <v>10.86</v>
      </c>
      <c r="H4781" t="s">
        <v>8588</v>
      </c>
      <c r="I4781">
        <v>540</v>
      </c>
      <c r="J4781" t="s">
        <v>445</v>
      </c>
      <c r="K4781" t="s">
        <v>446</v>
      </c>
      <c r="M4781">
        <v>2641</v>
      </c>
      <c r="N4781" t="s">
        <v>15976</v>
      </c>
    </row>
    <row r="4782" spans="1:14">
      <c r="A4782">
        <v>20330602</v>
      </c>
      <c r="B4782">
        <v>3025325</v>
      </c>
      <c r="C4782" t="s">
        <v>10545</v>
      </c>
      <c r="D4782" t="s">
        <v>441</v>
      </c>
      <c r="F4782">
        <v>0</v>
      </c>
      <c r="G4782">
        <v>11.47</v>
      </c>
      <c r="H4782" t="s">
        <v>8580</v>
      </c>
      <c r="I4782">
        <v>4</v>
      </c>
      <c r="J4782" t="s">
        <v>445</v>
      </c>
      <c r="K4782" t="s">
        <v>446</v>
      </c>
      <c r="M4782">
        <v>2511</v>
      </c>
      <c r="N4782" t="s">
        <v>16078</v>
      </c>
    </row>
    <row r="4783" spans="1:14">
      <c r="A4783">
        <v>20330900</v>
      </c>
      <c r="B4783">
        <v>3024206</v>
      </c>
      <c r="C4783" t="s">
        <v>14922</v>
      </c>
      <c r="D4783" t="s">
        <v>441</v>
      </c>
      <c r="F4783">
        <v>0</v>
      </c>
      <c r="G4783">
        <v>0</v>
      </c>
      <c r="H4783" t="s">
        <v>8580</v>
      </c>
      <c r="I4783">
        <v>6</v>
      </c>
      <c r="J4783" t="s">
        <v>445</v>
      </c>
      <c r="K4783" t="s">
        <v>446</v>
      </c>
      <c r="M4783">
        <v>6666</v>
      </c>
      <c r="N4783" t="s">
        <v>16080</v>
      </c>
    </row>
    <row r="4784" spans="1:14">
      <c r="A4784">
        <v>20330902</v>
      </c>
      <c r="B4784">
        <v>3025327</v>
      </c>
      <c r="C4784" t="s">
        <v>10546</v>
      </c>
      <c r="D4784" t="s">
        <v>441</v>
      </c>
      <c r="F4784">
        <v>0</v>
      </c>
      <c r="H4784" t="s">
        <v>8584</v>
      </c>
      <c r="I4784">
        <v>4</v>
      </c>
      <c r="J4784" t="s">
        <v>445</v>
      </c>
      <c r="K4784" t="s">
        <v>446</v>
      </c>
      <c r="M4784">
        <v>6666</v>
      </c>
      <c r="N4784" t="s">
        <v>16078</v>
      </c>
    </row>
    <row r="4785" spans="1:14">
      <c r="A4785">
        <v>20330907</v>
      </c>
      <c r="B4785">
        <v>3025235</v>
      </c>
      <c r="C4785" t="s">
        <v>14923</v>
      </c>
      <c r="D4785" t="s">
        <v>441</v>
      </c>
      <c r="F4785">
        <v>0</v>
      </c>
      <c r="G4785">
        <v>0</v>
      </c>
      <c r="H4785" t="s">
        <v>8584</v>
      </c>
      <c r="I4785">
        <v>6</v>
      </c>
      <c r="J4785" t="s">
        <v>445</v>
      </c>
      <c r="K4785" t="s">
        <v>446</v>
      </c>
      <c r="M4785">
        <v>6666</v>
      </c>
      <c r="N4785" t="s">
        <v>16080</v>
      </c>
    </row>
    <row r="4786" spans="1:14">
      <c r="A4786">
        <v>20331000</v>
      </c>
      <c r="B4786">
        <v>3022273</v>
      </c>
      <c r="C4786" t="s">
        <v>14924</v>
      </c>
      <c r="D4786" t="s">
        <v>441</v>
      </c>
      <c r="F4786">
        <v>0</v>
      </c>
      <c r="G4786">
        <v>13.29</v>
      </c>
      <c r="H4786" t="s">
        <v>8588</v>
      </c>
      <c r="I4786">
        <v>6</v>
      </c>
      <c r="J4786" t="s">
        <v>445</v>
      </c>
      <c r="K4786" t="s">
        <v>446</v>
      </c>
      <c r="M4786">
        <v>2391</v>
      </c>
      <c r="N4786" t="s">
        <v>16080</v>
      </c>
    </row>
    <row r="4787" spans="1:14">
      <c r="A4787">
        <v>20331007</v>
      </c>
      <c r="B4787">
        <v>3024976</v>
      </c>
      <c r="C4787" t="s">
        <v>14925</v>
      </c>
      <c r="D4787" t="s">
        <v>441</v>
      </c>
      <c r="F4787">
        <v>0</v>
      </c>
      <c r="G4787">
        <v>13.43</v>
      </c>
      <c r="H4787" t="s">
        <v>8935</v>
      </c>
      <c r="I4787">
        <v>6</v>
      </c>
      <c r="J4787" t="s">
        <v>445</v>
      </c>
      <c r="K4787" t="s">
        <v>446</v>
      </c>
      <c r="M4787">
        <v>3111</v>
      </c>
      <c r="N4787" t="s">
        <v>16080</v>
      </c>
    </row>
    <row r="4788" spans="1:14">
      <c r="A4788">
        <v>20331900</v>
      </c>
      <c r="B4788">
        <v>3024207</v>
      </c>
      <c r="C4788" t="s">
        <v>14926</v>
      </c>
      <c r="D4788" t="s">
        <v>441</v>
      </c>
      <c r="F4788">
        <v>0</v>
      </c>
      <c r="G4788">
        <v>0</v>
      </c>
      <c r="H4788" t="s">
        <v>8580</v>
      </c>
      <c r="I4788">
        <v>6</v>
      </c>
      <c r="J4788" t="s">
        <v>445</v>
      </c>
      <c r="K4788" t="s">
        <v>446</v>
      </c>
      <c r="M4788">
        <v>6666</v>
      </c>
      <c r="N4788" t="s">
        <v>16080</v>
      </c>
    </row>
    <row r="4789" spans="1:14">
      <c r="A4789">
        <v>20331907</v>
      </c>
      <c r="B4789">
        <v>3025236</v>
      </c>
      <c r="C4789" t="s">
        <v>10547</v>
      </c>
      <c r="D4789" t="s">
        <v>441</v>
      </c>
      <c r="F4789">
        <v>0</v>
      </c>
      <c r="G4789">
        <v>0</v>
      </c>
      <c r="H4789" t="s">
        <v>8580</v>
      </c>
      <c r="I4789">
        <v>6</v>
      </c>
      <c r="J4789" t="s">
        <v>445</v>
      </c>
      <c r="K4789" t="s">
        <v>446</v>
      </c>
      <c r="M4789">
        <v>6666</v>
      </c>
      <c r="N4789" t="s">
        <v>15976</v>
      </c>
    </row>
    <row r="4790" spans="1:14">
      <c r="A4790">
        <v>20343000</v>
      </c>
      <c r="B4790">
        <v>3021288</v>
      </c>
      <c r="C4790" t="s">
        <v>14927</v>
      </c>
      <c r="D4790" t="s">
        <v>441</v>
      </c>
      <c r="F4790">
        <v>0</v>
      </c>
      <c r="G4790">
        <v>12.99</v>
      </c>
      <c r="H4790" t="s">
        <v>8588</v>
      </c>
      <c r="I4790">
        <v>6</v>
      </c>
      <c r="J4790" t="s">
        <v>445</v>
      </c>
      <c r="K4790" t="s">
        <v>446</v>
      </c>
      <c r="M4790">
        <v>2391</v>
      </c>
      <c r="N4790" t="s">
        <v>16080</v>
      </c>
    </row>
    <row r="4791" spans="1:14">
      <c r="A4791">
        <v>20350000</v>
      </c>
      <c r="B4791">
        <v>3004227</v>
      </c>
      <c r="C4791" t="s">
        <v>2604</v>
      </c>
      <c r="D4791" t="s">
        <v>441</v>
      </c>
      <c r="F4791">
        <v>0</v>
      </c>
      <c r="G4791">
        <v>6.76</v>
      </c>
      <c r="H4791" t="s">
        <v>8925</v>
      </c>
      <c r="I4791">
        <v>6</v>
      </c>
      <c r="J4791" t="s">
        <v>445</v>
      </c>
      <c r="K4791" t="s">
        <v>446</v>
      </c>
      <c r="M4791">
        <v>0</v>
      </c>
    </row>
    <row r="4792" spans="1:14">
      <c r="A4792">
        <v>20351000</v>
      </c>
      <c r="B4792">
        <v>3011851</v>
      </c>
      <c r="C4792" t="s">
        <v>2605</v>
      </c>
      <c r="D4792" t="s">
        <v>441</v>
      </c>
      <c r="F4792">
        <v>0</v>
      </c>
      <c r="G4792">
        <v>6.76</v>
      </c>
      <c r="H4792" t="s">
        <v>8925</v>
      </c>
      <c r="I4792">
        <v>6</v>
      </c>
      <c r="J4792" t="s">
        <v>445</v>
      </c>
      <c r="K4792" t="s">
        <v>446</v>
      </c>
      <c r="M4792">
        <v>2314</v>
      </c>
    </row>
    <row r="4793" spans="1:14">
      <c r="A4793">
        <v>20357000</v>
      </c>
      <c r="B4793">
        <v>3012292</v>
      </c>
      <c r="C4793" t="s">
        <v>2606</v>
      </c>
      <c r="D4793" t="s">
        <v>441</v>
      </c>
      <c r="F4793">
        <v>0</v>
      </c>
      <c r="G4793">
        <v>6.87</v>
      </c>
      <c r="H4793" t="s">
        <v>8925</v>
      </c>
      <c r="I4793">
        <v>6</v>
      </c>
      <c r="J4793" t="s">
        <v>445</v>
      </c>
      <c r="K4793" t="s">
        <v>446</v>
      </c>
      <c r="M4793">
        <v>2390</v>
      </c>
    </row>
    <row r="4794" spans="1:14">
      <c r="A4794">
        <v>20360000</v>
      </c>
      <c r="B4794">
        <v>3004238</v>
      </c>
      <c r="C4794" t="s">
        <v>2607</v>
      </c>
      <c r="D4794" t="s">
        <v>441</v>
      </c>
      <c r="F4794">
        <v>0</v>
      </c>
      <c r="G4794">
        <v>4.2300000000000004</v>
      </c>
      <c r="H4794" t="s">
        <v>8925</v>
      </c>
      <c r="I4794">
        <v>6</v>
      </c>
      <c r="J4794" t="s">
        <v>445</v>
      </c>
      <c r="K4794" t="s">
        <v>446</v>
      </c>
      <c r="M4794">
        <v>0</v>
      </c>
    </row>
    <row r="4795" spans="1:14">
      <c r="A4795">
        <v>20370000</v>
      </c>
      <c r="B4795">
        <v>3014503</v>
      </c>
      <c r="C4795" t="s">
        <v>10548</v>
      </c>
      <c r="D4795" t="s">
        <v>441</v>
      </c>
      <c r="F4795">
        <v>0</v>
      </c>
      <c r="G4795">
        <v>7.8</v>
      </c>
      <c r="H4795" t="s">
        <v>8580</v>
      </c>
      <c r="I4795">
        <v>6</v>
      </c>
      <c r="J4795" t="s">
        <v>445</v>
      </c>
      <c r="K4795" t="s">
        <v>446</v>
      </c>
      <c r="M4795">
        <v>2314</v>
      </c>
    </row>
    <row r="4796" spans="1:14">
      <c r="A4796">
        <v>20380000</v>
      </c>
      <c r="B4796">
        <v>3014498</v>
      </c>
      <c r="C4796" t="s">
        <v>14729</v>
      </c>
      <c r="D4796" t="s">
        <v>441</v>
      </c>
      <c r="F4796">
        <v>0</v>
      </c>
      <c r="G4796">
        <v>13.33</v>
      </c>
      <c r="H4796" t="s">
        <v>8588</v>
      </c>
      <c r="I4796">
        <v>6</v>
      </c>
      <c r="J4796" t="s">
        <v>445</v>
      </c>
      <c r="K4796" t="s">
        <v>446</v>
      </c>
      <c r="M4796">
        <v>2391</v>
      </c>
      <c r="N4796" t="s">
        <v>16080</v>
      </c>
    </row>
    <row r="4797" spans="1:14">
      <c r="A4797">
        <v>20380040</v>
      </c>
      <c r="B4797">
        <v>4016195</v>
      </c>
      <c r="C4797" t="s">
        <v>10549</v>
      </c>
      <c r="D4797" t="s">
        <v>441</v>
      </c>
      <c r="F4797">
        <v>0</v>
      </c>
      <c r="G4797">
        <v>9.93</v>
      </c>
      <c r="H4797" t="s">
        <v>8588</v>
      </c>
      <c r="I4797">
        <v>16</v>
      </c>
      <c r="J4797" t="s">
        <v>462</v>
      </c>
      <c r="K4797" t="s">
        <v>446</v>
      </c>
      <c r="M4797">
        <v>2612</v>
      </c>
      <c r="N4797" t="s">
        <v>15976</v>
      </c>
    </row>
    <row r="4798" spans="1:14">
      <c r="A4798">
        <v>20380041</v>
      </c>
      <c r="B4798">
        <v>4016422</v>
      </c>
      <c r="C4798" t="s">
        <v>14928</v>
      </c>
      <c r="D4798" t="s">
        <v>441</v>
      </c>
      <c r="F4798">
        <v>0</v>
      </c>
      <c r="G4798">
        <v>14.16</v>
      </c>
      <c r="H4798" t="s">
        <v>8588</v>
      </c>
      <c r="I4798">
        <v>10</v>
      </c>
      <c r="J4798" t="s">
        <v>462</v>
      </c>
      <c r="M4798">
        <v>7112</v>
      </c>
      <c r="N4798" t="s">
        <v>16080</v>
      </c>
    </row>
    <row r="4799" spans="1:14">
      <c r="A4799">
        <v>20380042</v>
      </c>
      <c r="B4799">
        <v>4016590</v>
      </c>
      <c r="C4799" t="s">
        <v>10550</v>
      </c>
      <c r="D4799" t="s">
        <v>441</v>
      </c>
      <c r="F4799">
        <v>0</v>
      </c>
      <c r="G4799">
        <v>10.6</v>
      </c>
      <c r="H4799" t="s">
        <v>8588</v>
      </c>
      <c r="I4799">
        <v>9</v>
      </c>
      <c r="J4799" t="s">
        <v>462</v>
      </c>
      <c r="K4799" t="s">
        <v>446</v>
      </c>
      <c r="M4799">
        <v>2612</v>
      </c>
      <c r="N4799" t="s">
        <v>15976</v>
      </c>
    </row>
    <row r="4800" spans="1:14">
      <c r="A4800">
        <v>20380043</v>
      </c>
      <c r="B4800">
        <v>4016611</v>
      </c>
      <c r="C4800" t="s">
        <v>14929</v>
      </c>
      <c r="D4800" t="s">
        <v>441</v>
      </c>
      <c r="F4800">
        <v>0</v>
      </c>
      <c r="G4800">
        <v>13.98</v>
      </c>
      <c r="H4800" t="s">
        <v>8588</v>
      </c>
      <c r="I4800">
        <v>16</v>
      </c>
      <c r="J4800" t="s">
        <v>462</v>
      </c>
      <c r="M4800">
        <v>7112</v>
      </c>
      <c r="N4800" t="s">
        <v>16080</v>
      </c>
    </row>
    <row r="4801" spans="1:14">
      <c r="A4801">
        <v>20380044</v>
      </c>
      <c r="B4801">
        <v>4025034</v>
      </c>
      <c r="C4801" t="s">
        <v>14930</v>
      </c>
      <c r="D4801" t="s">
        <v>441</v>
      </c>
      <c r="F4801">
        <v>0</v>
      </c>
      <c r="G4801">
        <v>14.1</v>
      </c>
      <c r="H4801" t="s">
        <v>8588</v>
      </c>
      <c r="I4801">
        <v>12</v>
      </c>
      <c r="J4801" t="s">
        <v>462</v>
      </c>
      <c r="M4801">
        <v>7112</v>
      </c>
      <c r="N4801" t="s">
        <v>16080</v>
      </c>
    </row>
    <row r="4802" spans="1:14">
      <c r="A4802">
        <v>20380045</v>
      </c>
      <c r="B4802">
        <v>4025321</v>
      </c>
      <c r="C4802" t="s">
        <v>14931</v>
      </c>
      <c r="D4802" t="s">
        <v>441</v>
      </c>
      <c r="F4802">
        <v>0</v>
      </c>
      <c r="G4802">
        <v>14</v>
      </c>
      <c r="H4802" t="s">
        <v>8588</v>
      </c>
      <c r="I4802">
        <v>16</v>
      </c>
      <c r="J4802" t="s">
        <v>462</v>
      </c>
      <c r="M4802">
        <v>7112</v>
      </c>
      <c r="N4802" t="s">
        <v>16080</v>
      </c>
    </row>
    <row r="4803" spans="1:14">
      <c r="A4803">
        <v>20380900</v>
      </c>
      <c r="B4803">
        <v>3020890</v>
      </c>
      <c r="C4803" t="s">
        <v>14730</v>
      </c>
      <c r="D4803" t="s">
        <v>441</v>
      </c>
      <c r="F4803">
        <v>0</v>
      </c>
      <c r="G4803">
        <v>0</v>
      </c>
      <c r="I4803">
        <v>6</v>
      </c>
      <c r="J4803" t="s">
        <v>445</v>
      </c>
      <c r="K4803" t="s">
        <v>446</v>
      </c>
      <c r="M4803">
        <v>6666</v>
      </c>
      <c r="N4803" t="s">
        <v>16080</v>
      </c>
    </row>
    <row r="4804" spans="1:14">
      <c r="A4804">
        <v>20381000</v>
      </c>
      <c r="B4804">
        <v>3017593</v>
      </c>
      <c r="C4804" t="s">
        <v>14731</v>
      </c>
      <c r="D4804" t="s">
        <v>441</v>
      </c>
      <c r="F4804">
        <v>0</v>
      </c>
      <c r="G4804">
        <v>13.33</v>
      </c>
      <c r="H4804" t="s">
        <v>8588</v>
      </c>
      <c r="I4804">
        <v>6</v>
      </c>
      <c r="J4804" t="s">
        <v>445</v>
      </c>
      <c r="K4804" t="s">
        <v>446</v>
      </c>
      <c r="M4804">
        <v>2391</v>
      </c>
      <c r="N4804" t="s">
        <v>16080</v>
      </c>
    </row>
    <row r="4805" spans="1:14">
      <c r="A4805">
        <v>20381041</v>
      </c>
      <c r="B4805">
        <v>4016423</v>
      </c>
      <c r="C4805" t="s">
        <v>10551</v>
      </c>
      <c r="D4805" t="s">
        <v>441</v>
      </c>
      <c r="F4805">
        <v>0</v>
      </c>
      <c r="G4805">
        <v>10.68</v>
      </c>
      <c r="H4805" t="s">
        <v>8588</v>
      </c>
      <c r="I4805">
        <v>10</v>
      </c>
      <c r="J4805" t="s">
        <v>462</v>
      </c>
      <c r="K4805" t="s">
        <v>446</v>
      </c>
      <c r="M4805">
        <v>2612</v>
      </c>
      <c r="N4805" t="s">
        <v>15976</v>
      </c>
    </row>
    <row r="4806" spans="1:14">
      <c r="A4806">
        <v>20381042</v>
      </c>
      <c r="B4806">
        <v>4016591</v>
      </c>
      <c r="C4806" t="s">
        <v>10552</v>
      </c>
      <c r="D4806" t="s">
        <v>441</v>
      </c>
      <c r="F4806">
        <v>0</v>
      </c>
      <c r="G4806">
        <v>10.6</v>
      </c>
      <c r="H4806" t="s">
        <v>8588</v>
      </c>
      <c r="I4806">
        <v>9</v>
      </c>
      <c r="J4806" t="s">
        <v>462</v>
      </c>
      <c r="K4806" t="s">
        <v>446</v>
      </c>
      <c r="M4806">
        <v>2612</v>
      </c>
      <c r="N4806" t="s">
        <v>15976</v>
      </c>
    </row>
    <row r="4807" spans="1:14">
      <c r="A4807">
        <v>20381043</v>
      </c>
      <c r="B4807">
        <v>4016612</v>
      </c>
      <c r="C4807" t="s">
        <v>10553</v>
      </c>
      <c r="D4807" t="s">
        <v>441</v>
      </c>
      <c r="F4807">
        <v>0</v>
      </c>
      <c r="G4807">
        <v>10.67</v>
      </c>
      <c r="H4807" t="s">
        <v>8588</v>
      </c>
      <c r="I4807">
        <v>16</v>
      </c>
      <c r="J4807" t="s">
        <v>462</v>
      </c>
      <c r="K4807" t="s">
        <v>446</v>
      </c>
      <c r="M4807">
        <v>2612</v>
      </c>
      <c r="N4807" t="s">
        <v>15976</v>
      </c>
    </row>
    <row r="4808" spans="1:14">
      <c r="A4808">
        <v>20381900</v>
      </c>
      <c r="B4808">
        <v>3020891</v>
      </c>
      <c r="C4808" t="s">
        <v>14732</v>
      </c>
      <c r="D4808" t="s">
        <v>441</v>
      </c>
      <c r="F4808">
        <v>0</v>
      </c>
      <c r="G4808">
        <v>0</v>
      </c>
      <c r="H4808" t="s">
        <v>8584</v>
      </c>
      <c r="I4808">
        <v>6</v>
      </c>
      <c r="J4808" t="s">
        <v>445</v>
      </c>
      <c r="K4808" t="s">
        <v>446</v>
      </c>
      <c r="M4808">
        <v>6666</v>
      </c>
      <c r="N4808" t="s">
        <v>16080</v>
      </c>
    </row>
    <row r="4809" spans="1:14">
      <c r="A4809">
        <v>20383000</v>
      </c>
      <c r="B4809">
        <v>3021287</v>
      </c>
      <c r="C4809" t="s">
        <v>14932</v>
      </c>
      <c r="D4809" t="s">
        <v>441</v>
      </c>
      <c r="F4809">
        <v>0</v>
      </c>
      <c r="G4809">
        <v>12.99</v>
      </c>
      <c r="H4809" t="s">
        <v>8588</v>
      </c>
      <c r="I4809">
        <v>6</v>
      </c>
      <c r="J4809" t="s">
        <v>445</v>
      </c>
      <c r="K4809" t="s">
        <v>446</v>
      </c>
      <c r="M4809">
        <v>2391</v>
      </c>
      <c r="N4809" t="s">
        <v>16080</v>
      </c>
    </row>
    <row r="4810" spans="1:14">
      <c r="A4810">
        <v>20384000</v>
      </c>
      <c r="B4810">
        <v>3024404</v>
      </c>
      <c r="C4810" t="s">
        <v>14933</v>
      </c>
      <c r="D4810" t="s">
        <v>441</v>
      </c>
      <c r="F4810">
        <v>0</v>
      </c>
      <c r="G4810">
        <v>13.33</v>
      </c>
      <c r="H4810" t="s">
        <v>8588</v>
      </c>
      <c r="I4810">
        <v>6</v>
      </c>
      <c r="J4810" t="s">
        <v>445</v>
      </c>
      <c r="M4810">
        <v>2391</v>
      </c>
      <c r="N4810" t="s">
        <v>16080</v>
      </c>
    </row>
    <row r="4811" spans="1:14">
      <c r="A4811">
        <v>20385000</v>
      </c>
      <c r="B4811">
        <v>3025321</v>
      </c>
      <c r="C4811" t="s">
        <v>14934</v>
      </c>
      <c r="D4811" t="s">
        <v>441</v>
      </c>
      <c r="F4811">
        <v>0</v>
      </c>
      <c r="G4811">
        <v>13.33</v>
      </c>
      <c r="H4811" t="s">
        <v>8588</v>
      </c>
      <c r="I4811">
        <v>6</v>
      </c>
      <c r="J4811" t="s">
        <v>445</v>
      </c>
      <c r="K4811" t="s">
        <v>446</v>
      </c>
      <c r="M4811">
        <v>2391</v>
      </c>
      <c r="N4811" t="s">
        <v>16080</v>
      </c>
    </row>
    <row r="4812" spans="1:14">
      <c r="A4812">
        <v>20390000</v>
      </c>
      <c r="B4812">
        <v>3014502</v>
      </c>
      <c r="C4812" t="s">
        <v>10554</v>
      </c>
      <c r="D4812" t="s">
        <v>441</v>
      </c>
      <c r="F4812">
        <v>0</v>
      </c>
      <c r="G4812">
        <v>6.73</v>
      </c>
      <c r="H4812" t="s">
        <v>8580</v>
      </c>
      <c r="I4812">
        <v>6</v>
      </c>
      <c r="J4812" t="s">
        <v>445</v>
      </c>
      <c r="K4812" t="s">
        <v>446</v>
      </c>
      <c r="M4812">
        <v>2314</v>
      </c>
    </row>
    <row r="4813" spans="1:14">
      <c r="A4813">
        <v>20400000</v>
      </c>
      <c r="B4813">
        <v>3021273</v>
      </c>
      <c r="C4813" t="s">
        <v>14935</v>
      </c>
      <c r="D4813" t="s">
        <v>441</v>
      </c>
      <c r="F4813">
        <v>0</v>
      </c>
      <c r="G4813">
        <v>11.1</v>
      </c>
      <c r="H4813" t="s">
        <v>8588</v>
      </c>
      <c r="I4813">
        <v>6</v>
      </c>
      <c r="J4813" t="s">
        <v>445</v>
      </c>
      <c r="K4813" t="s">
        <v>446</v>
      </c>
      <c r="M4813">
        <v>2391</v>
      </c>
      <c r="N4813" t="s">
        <v>16080</v>
      </c>
    </row>
    <row r="4814" spans="1:14">
      <c r="A4814">
        <v>20401000</v>
      </c>
      <c r="B4814">
        <v>3021274</v>
      </c>
      <c r="C4814" t="s">
        <v>14706</v>
      </c>
      <c r="D4814" t="s">
        <v>441</v>
      </c>
      <c r="F4814">
        <v>0</v>
      </c>
      <c r="G4814">
        <v>11.1</v>
      </c>
      <c r="H4814" t="s">
        <v>8588</v>
      </c>
      <c r="I4814">
        <v>6</v>
      </c>
      <c r="J4814" t="s">
        <v>445</v>
      </c>
      <c r="K4814" t="s">
        <v>446</v>
      </c>
      <c r="M4814">
        <v>2391</v>
      </c>
      <c r="N4814" t="s">
        <v>16080</v>
      </c>
    </row>
    <row r="4815" spans="1:14">
      <c r="A4815">
        <v>20410000</v>
      </c>
      <c r="B4815">
        <v>3008820</v>
      </c>
      <c r="C4815" t="s">
        <v>2608</v>
      </c>
      <c r="D4815" t="s">
        <v>441</v>
      </c>
      <c r="F4815">
        <v>0</v>
      </c>
      <c r="G4815">
        <v>6.8</v>
      </c>
      <c r="H4815" t="s">
        <v>8580</v>
      </c>
      <c r="I4815">
        <v>5</v>
      </c>
      <c r="J4815" t="s">
        <v>445</v>
      </c>
      <c r="M4815">
        <v>2391</v>
      </c>
      <c r="N4815" t="s">
        <v>16109</v>
      </c>
    </row>
    <row r="4816" spans="1:14">
      <c r="A4816">
        <v>20410007</v>
      </c>
      <c r="B4816">
        <v>3024977</v>
      </c>
      <c r="C4816" t="s">
        <v>14354</v>
      </c>
      <c r="D4816" t="s">
        <v>441</v>
      </c>
      <c r="F4816">
        <v>0</v>
      </c>
      <c r="G4816">
        <v>7.36</v>
      </c>
      <c r="H4816" t="s">
        <v>8935</v>
      </c>
      <c r="I4816">
        <v>5</v>
      </c>
      <c r="J4816" t="s">
        <v>445</v>
      </c>
      <c r="M4816">
        <v>2391</v>
      </c>
      <c r="N4816" t="s">
        <v>16109</v>
      </c>
    </row>
    <row r="4817" spans="1:14">
      <c r="A4817">
        <v>20410026</v>
      </c>
      <c r="B4817">
        <v>4016454</v>
      </c>
      <c r="C4817" t="s">
        <v>10555</v>
      </c>
      <c r="D4817" t="s">
        <v>442</v>
      </c>
      <c r="E4817" t="s">
        <v>441</v>
      </c>
      <c r="F4817">
        <v>10</v>
      </c>
      <c r="G4817">
        <v>54.05</v>
      </c>
      <c r="H4817" t="s">
        <v>8588</v>
      </c>
      <c r="I4817">
        <v>365</v>
      </c>
      <c r="J4817" t="s">
        <v>462</v>
      </c>
      <c r="K4817" t="s">
        <v>446</v>
      </c>
      <c r="M4817">
        <v>2501</v>
      </c>
      <c r="N4817" t="s">
        <v>16109</v>
      </c>
    </row>
    <row r="4818" spans="1:14">
      <c r="A4818">
        <v>20410027</v>
      </c>
      <c r="B4818">
        <v>4012877</v>
      </c>
      <c r="C4818" t="s">
        <v>2609</v>
      </c>
      <c r="D4818" t="s">
        <v>441</v>
      </c>
      <c r="F4818">
        <v>0</v>
      </c>
      <c r="G4818">
        <v>9.33</v>
      </c>
      <c r="H4818" t="s">
        <v>8588</v>
      </c>
      <c r="I4818">
        <v>540</v>
      </c>
      <c r="J4818" t="s">
        <v>462</v>
      </c>
      <c r="M4818">
        <v>7111</v>
      </c>
      <c r="N4818" t="s">
        <v>16109</v>
      </c>
    </row>
    <row r="4819" spans="1:14">
      <c r="A4819">
        <v>20410526</v>
      </c>
      <c r="B4819">
        <v>3025324</v>
      </c>
      <c r="C4819" t="s">
        <v>10556</v>
      </c>
      <c r="D4819" t="s">
        <v>442</v>
      </c>
      <c r="E4819" t="s">
        <v>441</v>
      </c>
      <c r="F4819">
        <v>10</v>
      </c>
      <c r="G4819">
        <v>52.52</v>
      </c>
      <c r="H4819" t="s">
        <v>8549</v>
      </c>
      <c r="I4819">
        <v>365</v>
      </c>
      <c r="J4819" t="s">
        <v>445</v>
      </c>
      <c r="K4819" t="s">
        <v>446</v>
      </c>
      <c r="M4819">
        <v>2641</v>
      </c>
      <c r="N4819" t="s">
        <v>16109</v>
      </c>
    </row>
    <row r="4820" spans="1:14">
      <c r="A4820">
        <v>20410527</v>
      </c>
      <c r="B4820">
        <v>3018563</v>
      </c>
      <c r="C4820" t="s">
        <v>2610</v>
      </c>
      <c r="D4820" t="s">
        <v>441</v>
      </c>
      <c r="F4820">
        <v>0</v>
      </c>
      <c r="G4820">
        <v>6.27</v>
      </c>
      <c r="H4820" t="s">
        <v>8627</v>
      </c>
      <c r="I4820">
        <v>540</v>
      </c>
      <c r="J4820" t="s">
        <v>445</v>
      </c>
      <c r="M4820">
        <v>2502</v>
      </c>
      <c r="N4820" t="s">
        <v>16109</v>
      </c>
    </row>
    <row r="4821" spans="1:14">
      <c r="A4821">
        <v>20411000</v>
      </c>
      <c r="B4821">
        <v>3017425</v>
      </c>
      <c r="C4821" t="s">
        <v>2611</v>
      </c>
      <c r="D4821" t="s">
        <v>441</v>
      </c>
      <c r="F4821">
        <v>0</v>
      </c>
      <c r="G4821">
        <v>6.8</v>
      </c>
      <c r="H4821" t="s">
        <v>8549</v>
      </c>
      <c r="I4821">
        <v>5</v>
      </c>
      <c r="J4821" t="s">
        <v>445</v>
      </c>
      <c r="M4821">
        <v>2391</v>
      </c>
      <c r="N4821" t="s">
        <v>16109</v>
      </c>
    </row>
    <row r="4822" spans="1:14">
      <c r="A4822">
        <v>20411007</v>
      </c>
      <c r="B4822">
        <v>3024978</v>
      </c>
      <c r="C4822" t="s">
        <v>10557</v>
      </c>
      <c r="D4822" t="s">
        <v>441</v>
      </c>
      <c r="F4822">
        <v>0</v>
      </c>
      <c r="G4822">
        <v>4.97</v>
      </c>
      <c r="H4822" t="s">
        <v>8935</v>
      </c>
      <c r="I4822">
        <v>5</v>
      </c>
      <c r="J4822" t="s">
        <v>445</v>
      </c>
      <c r="K4822" t="s">
        <v>446</v>
      </c>
      <c r="M4822">
        <v>3111</v>
      </c>
      <c r="N4822" t="s">
        <v>16109</v>
      </c>
    </row>
    <row r="4823" spans="1:14">
      <c r="A4823">
        <v>20411026</v>
      </c>
      <c r="B4823">
        <v>4016453</v>
      </c>
      <c r="C4823" t="s">
        <v>10558</v>
      </c>
      <c r="D4823" t="s">
        <v>442</v>
      </c>
      <c r="E4823" t="s">
        <v>441</v>
      </c>
      <c r="F4823">
        <v>10</v>
      </c>
      <c r="G4823">
        <v>55.56</v>
      </c>
      <c r="H4823" t="s">
        <v>8588</v>
      </c>
      <c r="I4823">
        <v>365</v>
      </c>
      <c r="J4823" t="s">
        <v>462</v>
      </c>
      <c r="K4823" t="s">
        <v>446</v>
      </c>
      <c r="M4823">
        <v>2501</v>
      </c>
      <c r="N4823" t="s">
        <v>16109</v>
      </c>
    </row>
    <row r="4824" spans="1:14">
      <c r="A4824">
        <v>20411027</v>
      </c>
      <c r="B4824">
        <v>4012878</v>
      </c>
      <c r="C4824" t="s">
        <v>10559</v>
      </c>
      <c r="D4824" t="s">
        <v>441</v>
      </c>
      <c r="F4824">
        <v>0</v>
      </c>
      <c r="G4824">
        <v>5.52</v>
      </c>
      <c r="H4824" t="s">
        <v>8588</v>
      </c>
      <c r="I4824">
        <v>365</v>
      </c>
      <c r="J4824" t="s">
        <v>462</v>
      </c>
      <c r="K4824" t="s">
        <v>446</v>
      </c>
      <c r="M4824">
        <v>2501</v>
      </c>
      <c r="N4824" t="s">
        <v>16109</v>
      </c>
    </row>
    <row r="4825" spans="1:14">
      <c r="A4825">
        <v>20411526</v>
      </c>
      <c r="B4825">
        <v>3025323</v>
      </c>
      <c r="C4825" t="s">
        <v>10560</v>
      </c>
      <c r="D4825" t="s">
        <v>442</v>
      </c>
      <c r="E4825" t="s">
        <v>441</v>
      </c>
      <c r="F4825">
        <v>10</v>
      </c>
      <c r="G4825">
        <v>54.03</v>
      </c>
      <c r="H4825" t="s">
        <v>8549</v>
      </c>
      <c r="I4825">
        <v>365</v>
      </c>
      <c r="J4825" t="s">
        <v>445</v>
      </c>
      <c r="K4825" t="s">
        <v>446</v>
      </c>
      <c r="M4825">
        <v>2641</v>
      </c>
      <c r="N4825" t="s">
        <v>16109</v>
      </c>
    </row>
    <row r="4826" spans="1:14">
      <c r="A4826">
        <v>20411527</v>
      </c>
      <c r="B4826">
        <v>3018564</v>
      </c>
      <c r="C4826" t="s">
        <v>2612</v>
      </c>
      <c r="D4826" t="s">
        <v>441</v>
      </c>
      <c r="F4826">
        <v>0</v>
      </c>
      <c r="G4826">
        <v>5.33</v>
      </c>
      <c r="H4826" t="s">
        <v>8580</v>
      </c>
      <c r="I4826">
        <v>365</v>
      </c>
      <c r="J4826" t="s">
        <v>445</v>
      </c>
      <c r="K4826" t="s">
        <v>446</v>
      </c>
      <c r="M4826">
        <v>2641</v>
      </c>
      <c r="N4826" t="s">
        <v>16109</v>
      </c>
    </row>
    <row r="4827" spans="1:14">
      <c r="A4827">
        <v>20420000</v>
      </c>
      <c r="B4827">
        <v>3015984</v>
      </c>
      <c r="C4827" t="s">
        <v>2613</v>
      </c>
      <c r="D4827" t="s">
        <v>441</v>
      </c>
      <c r="F4827">
        <v>0</v>
      </c>
      <c r="H4827" t="s">
        <v>8580</v>
      </c>
      <c r="I4827">
        <v>6</v>
      </c>
      <c r="J4827" t="s">
        <v>445</v>
      </c>
      <c r="M4827">
        <v>2391</v>
      </c>
      <c r="N4827" t="s">
        <v>16104</v>
      </c>
    </row>
    <row r="4828" spans="1:14">
      <c r="A4828">
        <v>20420007</v>
      </c>
      <c r="B4828">
        <v>3024515</v>
      </c>
      <c r="C4828" t="s">
        <v>2614</v>
      </c>
      <c r="D4828" t="s">
        <v>441</v>
      </c>
      <c r="F4828">
        <v>0</v>
      </c>
      <c r="G4828">
        <v>6.4</v>
      </c>
      <c r="H4828" t="s">
        <v>8588</v>
      </c>
      <c r="I4828">
        <v>6</v>
      </c>
      <c r="J4828" t="s">
        <v>445</v>
      </c>
      <c r="M4828">
        <v>3111</v>
      </c>
      <c r="N4828" t="s">
        <v>16104</v>
      </c>
    </row>
    <row r="4829" spans="1:14">
      <c r="A4829">
        <v>20420021</v>
      </c>
      <c r="B4829">
        <v>4009691</v>
      </c>
      <c r="C4829" t="s">
        <v>10561</v>
      </c>
      <c r="D4829" t="s">
        <v>441</v>
      </c>
      <c r="F4829">
        <v>0</v>
      </c>
      <c r="G4829">
        <v>6.61</v>
      </c>
      <c r="H4829" t="s">
        <v>8588</v>
      </c>
      <c r="I4829">
        <v>6</v>
      </c>
      <c r="J4829" t="s">
        <v>462</v>
      </c>
      <c r="K4829" t="s">
        <v>446</v>
      </c>
      <c r="L4829">
        <v>291333</v>
      </c>
      <c r="M4829">
        <v>2641</v>
      </c>
      <c r="N4829" t="s">
        <v>16104</v>
      </c>
    </row>
    <row r="4830" spans="1:14">
      <c r="A4830">
        <v>20420025</v>
      </c>
      <c r="B4830">
        <v>4015762</v>
      </c>
      <c r="C4830" t="s">
        <v>10562</v>
      </c>
      <c r="D4830" t="s">
        <v>441</v>
      </c>
      <c r="F4830">
        <v>0</v>
      </c>
      <c r="G4830">
        <v>8.3800000000000008</v>
      </c>
      <c r="H4830" t="s">
        <v>8588</v>
      </c>
      <c r="I4830">
        <v>540</v>
      </c>
      <c r="J4830" t="s">
        <v>462</v>
      </c>
      <c r="K4830" t="s">
        <v>446</v>
      </c>
      <c r="M4830">
        <v>2501</v>
      </c>
      <c r="N4830" t="s">
        <v>16104</v>
      </c>
    </row>
    <row r="4831" spans="1:14">
      <c r="A4831">
        <v>20420026</v>
      </c>
      <c r="B4831">
        <v>3029575</v>
      </c>
      <c r="C4831" t="s">
        <v>2615</v>
      </c>
      <c r="D4831" t="s">
        <v>441</v>
      </c>
      <c r="F4831">
        <v>0</v>
      </c>
      <c r="G4831">
        <v>6.72</v>
      </c>
      <c r="H4831" t="s">
        <v>8588</v>
      </c>
      <c r="I4831">
        <v>540</v>
      </c>
      <c r="J4831" t="s">
        <v>445</v>
      </c>
      <c r="M4831">
        <v>7111</v>
      </c>
      <c r="N4831" t="s">
        <v>16104</v>
      </c>
    </row>
    <row r="4832" spans="1:14">
      <c r="A4832">
        <v>20420028</v>
      </c>
      <c r="B4832">
        <v>4011296</v>
      </c>
      <c r="C4832" t="s">
        <v>10563</v>
      </c>
      <c r="D4832" t="s">
        <v>441</v>
      </c>
      <c r="F4832">
        <v>0</v>
      </c>
      <c r="G4832">
        <v>8.1199999999999992</v>
      </c>
      <c r="H4832" t="s">
        <v>8588</v>
      </c>
      <c r="I4832">
        <v>365</v>
      </c>
      <c r="J4832" t="s">
        <v>462</v>
      </c>
      <c r="K4832" t="s">
        <v>446</v>
      </c>
      <c r="M4832">
        <v>2501</v>
      </c>
      <c r="N4832" t="s">
        <v>16104</v>
      </c>
    </row>
    <row r="4833" spans="1:14">
      <c r="A4833">
        <v>20420029</v>
      </c>
      <c r="B4833">
        <v>4019184</v>
      </c>
      <c r="C4833" t="s">
        <v>2616</v>
      </c>
      <c r="D4833" t="s">
        <v>442</v>
      </c>
      <c r="E4833" t="s">
        <v>441</v>
      </c>
      <c r="F4833">
        <v>10</v>
      </c>
      <c r="G4833">
        <v>73.31</v>
      </c>
      <c r="H4833" t="s">
        <v>8588</v>
      </c>
      <c r="I4833">
        <v>540</v>
      </c>
      <c r="J4833" t="s">
        <v>462</v>
      </c>
      <c r="M4833">
        <v>7111</v>
      </c>
      <c r="N4833" t="s">
        <v>16104</v>
      </c>
    </row>
    <row r="4834" spans="1:14">
      <c r="A4834">
        <v>20420030</v>
      </c>
      <c r="B4834">
        <v>4015083</v>
      </c>
      <c r="C4834" t="s">
        <v>15635</v>
      </c>
      <c r="D4834" t="s">
        <v>441</v>
      </c>
      <c r="F4834">
        <v>0</v>
      </c>
      <c r="G4834">
        <v>12.24</v>
      </c>
      <c r="H4834" t="s">
        <v>8588</v>
      </c>
      <c r="I4834">
        <v>12</v>
      </c>
      <c r="J4834" t="s">
        <v>462</v>
      </c>
      <c r="M4834">
        <v>7112</v>
      </c>
      <c r="N4834" t="s">
        <v>16104</v>
      </c>
    </row>
    <row r="4835" spans="1:14">
      <c r="A4835">
        <v>20420031</v>
      </c>
      <c r="B4835">
        <v>4029681</v>
      </c>
      <c r="C4835" t="s">
        <v>15490</v>
      </c>
      <c r="D4835" t="s">
        <v>441</v>
      </c>
      <c r="F4835">
        <v>0</v>
      </c>
      <c r="G4835">
        <v>12.69</v>
      </c>
      <c r="H4835" t="s">
        <v>8588</v>
      </c>
      <c r="I4835">
        <v>12</v>
      </c>
      <c r="J4835" t="s">
        <v>462</v>
      </c>
      <c r="M4835">
        <v>7112</v>
      </c>
      <c r="N4835" t="s">
        <v>16104</v>
      </c>
    </row>
    <row r="4836" spans="1:14">
      <c r="A4836">
        <v>20420050</v>
      </c>
      <c r="B4836">
        <v>4013238</v>
      </c>
      <c r="C4836" t="s">
        <v>10564</v>
      </c>
      <c r="D4836" t="s">
        <v>441</v>
      </c>
      <c r="F4836">
        <v>0</v>
      </c>
      <c r="G4836">
        <v>6.24</v>
      </c>
      <c r="H4836" t="s">
        <v>8588</v>
      </c>
      <c r="I4836">
        <v>7</v>
      </c>
      <c r="J4836" t="s">
        <v>462</v>
      </c>
      <c r="K4836" t="s">
        <v>446</v>
      </c>
      <c r="M4836">
        <v>2612</v>
      </c>
    </row>
    <row r="4837" spans="1:14">
      <c r="A4837">
        <v>20420051</v>
      </c>
      <c r="B4837">
        <v>4015480</v>
      </c>
      <c r="C4837" t="s">
        <v>10565</v>
      </c>
      <c r="D4837" t="s">
        <v>441</v>
      </c>
      <c r="F4837">
        <v>0</v>
      </c>
      <c r="G4837">
        <v>8.07</v>
      </c>
      <c r="H4837" t="s">
        <v>8588</v>
      </c>
      <c r="I4837">
        <v>10</v>
      </c>
      <c r="J4837" t="s">
        <v>462</v>
      </c>
      <c r="K4837" t="s">
        <v>446</v>
      </c>
      <c r="M4837">
        <v>2612</v>
      </c>
    </row>
    <row r="4838" spans="1:14">
      <c r="A4838">
        <v>20420075</v>
      </c>
      <c r="B4838">
        <v>4013876</v>
      </c>
      <c r="C4838" t="s">
        <v>15636</v>
      </c>
      <c r="D4838" t="s">
        <v>441</v>
      </c>
      <c r="F4838">
        <v>0</v>
      </c>
      <c r="G4838">
        <v>12.06</v>
      </c>
      <c r="H4838" t="s">
        <v>8588</v>
      </c>
      <c r="I4838">
        <v>6</v>
      </c>
      <c r="J4838" t="s">
        <v>462</v>
      </c>
      <c r="L4838">
        <v>2633290</v>
      </c>
      <c r="M4838">
        <v>7112</v>
      </c>
      <c r="N4838" t="s">
        <v>16104</v>
      </c>
    </row>
    <row r="4839" spans="1:14">
      <c r="A4839">
        <v>20420102</v>
      </c>
      <c r="B4839">
        <v>3029572</v>
      </c>
      <c r="C4839" t="s">
        <v>2617</v>
      </c>
      <c r="D4839" t="s">
        <v>441</v>
      </c>
      <c r="F4839">
        <v>0</v>
      </c>
      <c r="H4839" t="s">
        <v>8588</v>
      </c>
      <c r="I4839">
        <v>540</v>
      </c>
      <c r="J4839" t="s">
        <v>445</v>
      </c>
      <c r="M4839">
        <v>7113</v>
      </c>
      <c r="N4839" t="s">
        <v>16104</v>
      </c>
    </row>
    <row r="4840" spans="1:14">
      <c r="A4840">
        <v>20420525</v>
      </c>
      <c r="B4840">
        <v>3023700</v>
      </c>
      <c r="C4840" t="s">
        <v>10566</v>
      </c>
      <c r="D4840" t="s">
        <v>441</v>
      </c>
      <c r="F4840">
        <v>0</v>
      </c>
      <c r="G4840">
        <v>8.1999999999999993</v>
      </c>
      <c r="H4840" t="s">
        <v>8580</v>
      </c>
      <c r="I4840">
        <v>6</v>
      </c>
      <c r="J4840" t="s">
        <v>445</v>
      </c>
      <c r="K4840" t="s">
        <v>446</v>
      </c>
      <c r="M4840">
        <v>2641</v>
      </c>
      <c r="N4840" t="s">
        <v>16104</v>
      </c>
    </row>
    <row r="4841" spans="1:14">
      <c r="A4841">
        <v>20420526</v>
      </c>
      <c r="B4841">
        <v>3029576</v>
      </c>
      <c r="C4841" t="s">
        <v>2618</v>
      </c>
      <c r="D4841" t="s">
        <v>441</v>
      </c>
      <c r="F4841">
        <v>0</v>
      </c>
      <c r="G4841">
        <v>6.38</v>
      </c>
      <c r="H4841" t="s">
        <v>8588</v>
      </c>
      <c r="I4841">
        <v>540</v>
      </c>
      <c r="J4841" t="s">
        <v>445</v>
      </c>
      <c r="M4841">
        <v>2502</v>
      </c>
      <c r="N4841" t="s">
        <v>16104</v>
      </c>
    </row>
    <row r="4842" spans="1:14">
      <c r="A4842">
        <v>20420528</v>
      </c>
      <c r="B4842">
        <v>3017064</v>
      </c>
      <c r="C4842" t="s">
        <v>10567</v>
      </c>
      <c r="D4842" t="s">
        <v>441</v>
      </c>
      <c r="F4842">
        <v>0</v>
      </c>
      <c r="G4842">
        <v>7.93</v>
      </c>
      <c r="H4842" t="s">
        <v>8580</v>
      </c>
      <c r="I4842">
        <v>365</v>
      </c>
      <c r="J4842" t="s">
        <v>445</v>
      </c>
      <c r="K4842" t="s">
        <v>446</v>
      </c>
      <c r="M4842">
        <v>2641</v>
      </c>
      <c r="N4842" t="s">
        <v>16104</v>
      </c>
    </row>
    <row r="4843" spans="1:14">
      <c r="A4843">
        <v>20420529</v>
      </c>
      <c r="B4843">
        <v>3019073</v>
      </c>
      <c r="C4843" t="s">
        <v>2619</v>
      </c>
      <c r="D4843" t="s">
        <v>442</v>
      </c>
      <c r="E4843" t="s">
        <v>441</v>
      </c>
      <c r="F4843">
        <v>10</v>
      </c>
      <c r="G4843">
        <v>70.67</v>
      </c>
      <c r="H4843" t="s">
        <v>8588</v>
      </c>
      <c r="I4843">
        <v>6</v>
      </c>
      <c r="J4843" t="s">
        <v>445</v>
      </c>
      <c r="M4843">
        <v>2502</v>
      </c>
      <c r="N4843" t="s">
        <v>16104</v>
      </c>
    </row>
    <row r="4844" spans="1:14">
      <c r="A4844">
        <v>20420626</v>
      </c>
      <c r="B4844">
        <v>3029713</v>
      </c>
      <c r="C4844" t="s">
        <v>2620</v>
      </c>
      <c r="D4844" t="s">
        <v>441</v>
      </c>
      <c r="F4844">
        <v>0</v>
      </c>
      <c r="G4844">
        <v>6.9</v>
      </c>
      <c r="H4844" t="s">
        <v>8549</v>
      </c>
      <c r="I4844">
        <v>4</v>
      </c>
      <c r="J4844" t="s">
        <v>445</v>
      </c>
      <c r="M4844">
        <v>2510</v>
      </c>
      <c r="N4844" t="s">
        <v>16104</v>
      </c>
    </row>
    <row r="4845" spans="1:14">
      <c r="A4845">
        <v>20420907</v>
      </c>
      <c r="B4845">
        <v>3024527</v>
      </c>
      <c r="C4845" t="s">
        <v>2621</v>
      </c>
      <c r="D4845" t="s">
        <v>441</v>
      </c>
      <c r="F4845">
        <v>0</v>
      </c>
      <c r="H4845" t="s">
        <v>8588</v>
      </c>
      <c r="I4845">
        <v>6</v>
      </c>
      <c r="J4845" t="s">
        <v>445</v>
      </c>
      <c r="M4845">
        <v>6666</v>
      </c>
      <c r="N4845" t="s">
        <v>16104</v>
      </c>
    </row>
    <row r="4846" spans="1:14">
      <c r="A4846">
        <v>20420926</v>
      </c>
      <c r="B4846">
        <v>3029716</v>
      </c>
      <c r="C4846" t="s">
        <v>2622</v>
      </c>
      <c r="D4846" t="s">
        <v>441</v>
      </c>
      <c r="F4846">
        <v>0</v>
      </c>
      <c r="H4846" t="s">
        <v>8580</v>
      </c>
      <c r="I4846">
        <v>4</v>
      </c>
      <c r="J4846" t="s">
        <v>445</v>
      </c>
      <c r="M4846">
        <v>6666</v>
      </c>
      <c r="N4846" t="s">
        <v>16104</v>
      </c>
    </row>
    <row r="4847" spans="1:14">
      <c r="A4847">
        <v>20421000</v>
      </c>
      <c r="B4847">
        <v>3017802</v>
      </c>
      <c r="C4847" t="s">
        <v>2623</v>
      </c>
      <c r="D4847" t="s">
        <v>441</v>
      </c>
      <c r="F4847">
        <v>0</v>
      </c>
      <c r="H4847" t="s">
        <v>8549</v>
      </c>
      <c r="I4847">
        <v>6</v>
      </c>
      <c r="J4847" t="s">
        <v>445</v>
      </c>
      <c r="M4847">
        <v>2391</v>
      </c>
      <c r="N4847" t="s">
        <v>16104</v>
      </c>
    </row>
    <row r="4848" spans="1:14">
      <c r="A4848">
        <v>20421007</v>
      </c>
      <c r="B4848">
        <v>3024979</v>
      </c>
      <c r="C4848" t="s">
        <v>14355</v>
      </c>
      <c r="D4848" t="s">
        <v>441</v>
      </c>
      <c r="F4848">
        <v>0</v>
      </c>
      <c r="G4848">
        <v>9.43</v>
      </c>
      <c r="H4848" t="s">
        <v>8935</v>
      </c>
      <c r="I4848">
        <v>6</v>
      </c>
      <c r="J4848" t="s">
        <v>445</v>
      </c>
      <c r="M4848">
        <v>3111</v>
      </c>
      <c r="N4848" t="s">
        <v>16104</v>
      </c>
    </row>
    <row r="4849" spans="1:14">
      <c r="A4849">
        <v>20421021</v>
      </c>
      <c r="B4849">
        <v>4011958</v>
      </c>
      <c r="C4849" t="s">
        <v>10568</v>
      </c>
      <c r="D4849" t="s">
        <v>441</v>
      </c>
      <c r="F4849">
        <v>0</v>
      </c>
      <c r="G4849">
        <v>7.82</v>
      </c>
      <c r="H4849" t="s">
        <v>8588</v>
      </c>
      <c r="I4849">
        <v>6</v>
      </c>
      <c r="J4849" t="s">
        <v>462</v>
      </c>
      <c r="K4849" t="s">
        <v>446</v>
      </c>
      <c r="M4849">
        <v>2612</v>
      </c>
      <c r="N4849" t="s">
        <v>16104</v>
      </c>
    </row>
    <row r="4850" spans="1:14">
      <c r="A4850">
        <v>20421025</v>
      </c>
      <c r="B4850">
        <v>4015817</v>
      </c>
      <c r="C4850" t="s">
        <v>2624</v>
      </c>
      <c r="D4850" t="s">
        <v>441</v>
      </c>
      <c r="F4850">
        <v>0</v>
      </c>
      <c r="G4850">
        <v>9.93</v>
      </c>
      <c r="H4850" t="s">
        <v>8588</v>
      </c>
      <c r="I4850">
        <v>540</v>
      </c>
      <c r="J4850" t="s">
        <v>462</v>
      </c>
      <c r="M4850">
        <v>7111</v>
      </c>
      <c r="N4850" t="s">
        <v>16104</v>
      </c>
    </row>
    <row r="4851" spans="1:14">
      <c r="A4851">
        <v>20421028</v>
      </c>
      <c r="B4851">
        <v>4012180</v>
      </c>
      <c r="C4851" t="s">
        <v>10569</v>
      </c>
      <c r="D4851" t="s">
        <v>441</v>
      </c>
      <c r="F4851">
        <v>0</v>
      </c>
      <c r="G4851">
        <v>8.1199999999999992</v>
      </c>
      <c r="H4851" t="s">
        <v>8588</v>
      </c>
      <c r="I4851">
        <v>365</v>
      </c>
      <c r="J4851" t="s">
        <v>462</v>
      </c>
      <c r="K4851" t="s">
        <v>446</v>
      </c>
      <c r="M4851">
        <v>2501</v>
      </c>
      <c r="N4851" t="s">
        <v>16104</v>
      </c>
    </row>
    <row r="4852" spans="1:14">
      <c r="A4852">
        <v>20421029</v>
      </c>
      <c r="B4852">
        <v>4025080</v>
      </c>
      <c r="C4852" t="s">
        <v>2625</v>
      </c>
      <c r="D4852" t="s">
        <v>442</v>
      </c>
      <c r="E4852" t="s">
        <v>441</v>
      </c>
      <c r="F4852">
        <v>10</v>
      </c>
      <c r="G4852">
        <v>107.47</v>
      </c>
      <c r="H4852" t="s">
        <v>8588</v>
      </c>
      <c r="I4852">
        <v>540</v>
      </c>
      <c r="J4852" t="s">
        <v>462</v>
      </c>
      <c r="M4852">
        <v>7111</v>
      </c>
      <c r="N4852" t="s">
        <v>16104</v>
      </c>
    </row>
    <row r="4853" spans="1:14">
      <c r="A4853">
        <v>20421050</v>
      </c>
      <c r="B4853">
        <v>4013239</v>
      </c>
      <c r="C4853" t="s">
        <v>10570</v>
      </c>
      <c r="D4853" t="s">
        <v>441</v>
      </c>
      <c r="F4853">
        <v>0</v>
      </c>
      <c r="G4853">
        <v>7.02</v>
      </c>
      <c r="H4853" t="s">
        <v>8588</v>
      </c>
      <c r="I4853">
        <v>7</v>
      </c>
      <c r="J4853" t="s">
        <v>462</v>
      </c>
      <c r="K4853" t="s">
        <v>446</v>
      </c>
      <c r="M4853">
        <v>2612</v>
      </c>
    </row>
    <row r="4854" spans="1:14">
      <c r="A4854">
        <v>20421525</v>
      </c>
      <c r="B4854">
        <v>3023768</v>
      </c>
      <c r="C4854" t="s">
        <v>10571</v>
      </c>
      <c r="D4854" t="s">
        <v>441</v>
      </c>
      <c r="F4854">
        <v>0</v>
      </c>
      <c r="G4854">
        <v>8.1</v>
      </c>
      <c r="H4854" t="s">
        <v>8935</v>
      </c>
      <c r="I4854">
        <v>6</v>
      </c>
      <c r="J4854" t="s">
        <v>445</v>
      </c>
      <c r="K4854" t="s">
        <v>446</v>
      </c>
      <c r="M4854">
        <v>2641</v>
      </c>
      <c r="N4854" t="s">
        <v>16104</v>
      </c>
    </row>
    <row r="4855" spans="1:14">
      <c r="A4855">
        <v>20421528</v>
      </c>
      <c r="B4855">
        <v>3017843</v>
      </c>
      <c r="C4855" t="s">
        <v>2626</v>
      </c>
      <c r="D4855" t="s">
        <v>441</v>
      </c>
      <c r="F4855">
        <v>0</v>
      </c>
      <c r="G4855">
        <v>7.93</v>
      </c>
      <c r="H4855" t="s">
        <v>8583</v>
      </c>
      <c r="I4855">
        <v>365</v>
      </c>
      <c r="J4855" t="s">
        <v>445</v>
      </c>
      <c r="K4855" t="s">
        <v>446</v>
      </c>
      <c r="M4855">
        <v>2641</v>
      </c>
      <c r="N4855" t="s">
        <v>16104</v>
      </c>
    </row>
    <row r="4856" spans="1:14">
      <c r="A4856">
        <v>20421529</v>
      </c>
      <c r="B4856">
        <v>3036944</v>
      </c>
      <c r="C4856" t="s">
        <v>2627</v>
      </c>
      <c r="D4856" t="s">
        <v>442</v>
      </c>
      <c r="E4856" t="s">
        <v>441</v>
      </c>
      <c r="F4856">
        <v>10</v>
      </c>
      <c r="G4856">
        <v>70.75</v>
      </c>
      <c r="H4856" t="s">
        <v>8588</v>
      </c>
      <c r="I4856">
        <v>540</v>
      </c>
      <c r="J4856" t="s">
        <v>445</v>
      </c>
      <c r="M4856">
        <v>2502</v>
      </c>
      <c r="N4856" t="s">
        <v>16104</v>
      </c>
    </row>
    <row r="4857" spans="1:14">
      <c r="A4857">
        <v>20421907</v>
      </c>
      <c r="B4857">
        <v>3029749</v>
      </c>
      <c r="C4857" t="s">
        <v>14356</v>
      </c>
      <c r="D4857" t="s">
        <v>441</v>
      </c>
      <c r="F4857">
        <v>0</v>
      </c>
      <c r="H4857" t="s">
        <v>8580</v>
      </c>
      <c r="I4857">
        <v>6</v>
      </c>
      <c r="J4857" t="s">
        <v>445</v>
      </c>
      <c r="M4857">
        <v>6666</v>
      </c>
      <c r="N4857" t="s">
        <v>16104</v>
      </c>
    </row>
    <row r="4858" spans="1:14">
      <c r="A4858">
        <v>20423000</v>
      </c>
      <c r="B4858">
        <v>3005112</v>
      </c>
      <c r="C4858" t="s">
        <v>2628</v>
      </c>
      <c r="D4858" t="s">
        <v>441</v>
      </c>
      <c r="F4858">
        <v>0</v>
      </c>
      <c r="G4858">
        <v>6.6</v>
      </c>
      <c r="H4858" t="s">
        <v>8580</v>
      </c>
      <c r="I4858">
        <v>6</v>
      </c>
      <c r="J4858" t="s">
        <v>445</v>
      </c>
      <c r="K4858" t="s">
        <v>446</v>
      </c>
      <c r="M4858">
        <v>2390</v>
      </c>
    </row>
    <row r="4859" spans="1:14">
      <c r="A4859">
        <v>20424000</v>
      </c>
      <c r="B4859">
        <v>3035830</v>
      </c>
      <c r="C4859" t="s">
        <v>2629</v>
      </c>
      <c r="D4859" t="s">
        <v>441</v>
      </c>
      <c r="F4859">
        <v>0</v>
      </c>
      <c r="G4859">
        <v>6.8</v>
      </c>
      <c r="I4859">
        <v>6</v>
      </c>
      <c r="J4859" t="s">
        <v>445</v>
      </c>
      <c r="M4859">
        <v>2391</v>
      </c>
      <c r="N4859" t="s">
        <v>16104</v>
      </c>
    </row>
    <row r="4860" spans="1:14">
      <c r="A4860">
        <v>20424031</v>
      </c>
      <c r="B4860">
        <v>4029509</v>
      </c>
      <c r="C4860" t="s">
        <v>15268</v>
      </c>
      <c r="D4860" t="s">
        <v>441</v>
      </c>
      <c r="F4860">
        <v>0</v>
      </c>
      <c r="G4860">
        <v>9.9600000000000009</v>
      </c>
      <c r="H4860" t="s">
        <v>8588</v>
      </c>
      <c r="I4860">
        <v>12</v>
      </c>
      <c r="J4860" t="s">
        <v>462</v>
      </c>
      <c r="M4860">
        <v>7112</v>
      </c>
      <c r="N4860" t="s">
        <v>16104</v>
      </c>
    </row>
    <row r="4861" spans="1:14">
      <c r="A4861">
        <v>20425000</v>
      </c>
      <c r="B4861">
        <v>3035207</v>
      </c>
      <c r="C4861" t="s">
        <v>2630</v>
      </c>
      <c r="D4861" t="s">
        <v>441</v>
      </c>
      <c r="F4861">
        <v>0</v>
      </c>
      <c r="G4861">
        <v>6.8</v>
      </c>
      <c r="H4861" t="s">
        <v>8549</v>
      </c>
      <c r="I4861">
        <v>6</v>
      </c>
      <c r="J4861" t="s">
        <v>445</v>
      </c>
      <c r="M4861">
        <v>2391</v>
      </c>
      <c r="N4861" t="s">
        <v>16104</v>
      </c>
    </row>
    <row r="4862" spans="1:14">
      <c r="A4862">
        <v>20429000</v>
      </c>
      <c r="B4862">
        <v>3029745</v>
      </c>
      <c r="C4862" t="s">
        <v>2631</v>
      </c>
      <c r="D4862" t="s">
        <v>441</v>
      </c>
      <c r="F4862">
        <v>0</v>
      </c>
      <c r="G4862">
        <v>6.3</v>
      </c>
      <c r="H4862" t="s">
        <v>8588</v>
      </c>
      <c r="I4862">
        <v>2</v>
      </c>
      <c r="J4862" t="s">
        <v>445</v>
      </c>
      <c r="M4862">
        <v>3111</v>
      </c>
      <c r="N4862" t="s">
        <v>16104</v>
      </c>
    </row>
    <row r="4863" spans="1:14">
      <c r="A4863">
        <v>20429900</v>
      </c>
      <c r="B4863">
        <v>3029688</v>
      </c>
      <c r="C4863" t="s">
        <v>2632</v>
      </c>
      <c r="D4863" t="s">
        <v>441</v>
      </c>
      <c r="F4863">
        <v>0</v>
      </c>
      <c r="H4863" t="s">
        <v>8580</v>
      </c>
      <c r="I4863">
        <v>2</v>
      </c>
      <c r="J4863" t="s">
        <v>445</v>
      </c>
      <c r="M4863">
        <v>6666</v>
      </c>
      <c r="N4863" t="s">
        <v>16104</v>
      </c>
    </row>
    <row r="4864" spans="1:14">
      <c r="A4864">
        <v>20430000</v>
      </c>
      <c r="B4864">
        <v>3021308</v>
      </c>
      <c r="C4864" t="s">
        <v>2633</v>
      </c>
      <c r="D4864" t="s">
        <v>441</v>
      </c>
      <c r="F4864">
        <v>0</v>
      </c>
      <c r="G4864">
        <v>16.100000000000001</v>
      </c>
      <c r="H4864" t="s">
        <v>8588</v>
      </c>
      <c r="I4864">
        <v>6</v>
      </c>
      <c r="J4864" t="s">
        <v>445</v>
      </c>
      <c r="M4864">
        <v>2391</v>
      </c>
      <c r="N4864" t="s">
        <v>16185</v>
      </c>
    </row>
    <row r="4865" spans="1:14">
      <c r="A4865">
        <v>20430028</v>
      </c>
      <c r="B4865">
        <v>4014022</v>
      </c>
      <c r="C4865" t="s">
        <v>10572</v>
      </c>
      <c r="D4865" t="s">
        <v>441</v>
      </c>
      <c r="F4865">
        <v>0</v>
      </c>
      <c r="G4865">
        <v>14.33</v>
      </c>
      <c r="H4865" t="s">
        <v>8588</v>
      </c>
      <c r="I4865">
        <v>540</v>
      </c>
      <c r="J4865" t="s">
        <v>462</v>
      </c>
      <c r="K4865" t="s">
        <v>446</v>
      </c>
      <c r="L4865" t="s">
        <v>10573</v>
      </c>
      <c r="M4865">
        <v>2501</v>
      </c>
      <c r="N4865" t="s">
        <v>16185</v>
      </c>
    </row>
    <row r="4866" spans="1:14">
      <c r="A4866">
        <v>20430528</v>
      </c>
      <c r="B4866">
        <v>3021351</v>
      </c>
      <c r="C4866" t="s">
        <v>10574</v>
      </c>
      <c r="D4866" t="s">
        <v>441</v>
      </c>
      <c r="F4866">
        <v>0</v>
      </c>
      <c r="G4866">
        <v>14.14</v>
      </c>
      <c r="H4866" t="s">
        <v>8588</v>
      </c>
      <c r="I4866">
        <v>6</v>
      </c>
      <c r="J4866" t="s">
        <v>445</v>
      </c>
      <c r="K4866" t="s">
        <v>446</v>
      </c>
      <c r="M4866">
        <v>2641</v>
      </c>
      <c r="N4866" t="s">
        <v>16185</v>
      </c>
    </row>
    <row r="4867" spans="1:14">
      <c r="A4867">
        <v>20431000</v>
      </c>
      <c r="B4867">
        <v>3021340</v>
      </c>
      <c r="C4867" t="s">
        <v>2634</v>
      </c>
      <c r="D4867" t="s">
        <v>441</v>
      </c>
      <c r="F4867">
        <v>0</v>
      </c>
      <c r="G4867">
        <v>16.100000000000001</v>
      </c>
      <c r="H4867" t="s">
        <v>8588</v>
      </c>
      <c r="I4867">
        <v>6</v>
      </c>
      <c r="J4867" t="s">
        <v>445</v>
      </c>
      <c r="M4867">
        <v>2391</v>
      </c>
      <c r="N4867" t="s">
        <v>16185</v>
      </c>
    </row>
    <row r="4868" spans="1:14">
      <c r="A4868">
        <v>20431028</v>
      </c>
      <c r="B4868">
        <v>4014023</v>
      </c>
      <c r="C4868" t="s">
        <v>10575</v>
      </c>
      <c r="D4868" t="s">
        <v>441</v>
      </c>
      <c r="F4868">
        <v>0</v>
      </c>
      <c r="G4868">
        <v>12.7</v>
      </c>
      <c r="H4868" t="s">
        <v>8588</v>
      </c>
      <c r="I4868">
        <v>365</v>
      </c>
      <c r="J4868" t="s">
        <v>462</v>
      </c>
      <c r="K4868" t="s">
        <v>446</v>
      </c>
      <c r="M4868">
        <v>2501</v>
      </c>
      <c r="N4868" t="s">
        <v>16185</v>
      </c>
    </row>
    <row r="4869" spans="1:14">
      <c r="A4869">
        <v>20431528</v>
      </c>
      <c r="B4869">
        <v>3021353</v>
      </c>
      <c r="C4869" t="s">
        <v>10576</v>
      </c>
      <c r="D4869" t="s">
        <v>441</v>
      </c>
      <c r="F4869">
        <v>0</v>
      </c>
      <c r="G4869">
        <v>12.51</v>
      </c>
      <c r="H4869" t="s">
        <v>8588</v>
      </c>
      <c r="I4869">
        <v>6</v>
      </c>
      <c r="J4869" t="s">
        <v>445</v>
      </c>
      <c r="K4869" t="s">
        <v>446</v>
      </c>
      <c r="M4869">
        <v>2641</v>
      </c>
      <c r="N4869" t="s">
        <v>16185</v>
      </c>
    </row>
    <row r="4870" spans="1:14">
      <c r="A4870">
        <v>20440028</v>
      </c>
      <c r="B4870">
        <v>4001824</v>
      </c>
      <c r="C4870" t="s">
        <v>10577</v>
      </c>
      <c r="D4870" t="s">
        <v>441</v>
      </c>
      <c r="F4870">
        <v>0</v>
      </c>
      <c r="G4870">
        <v>7.59</v>
      </c>
      <c r="H4870" t="s">
        <v>8588</v>
      </c>
      <c r="I4870">
        <v>365</v>
      </c>
      <c r="J4870" t="s">
        <v>462</v>
      </c>
      <c r="K4870" t="s">
        <v>446</v>
      </c>
      <c r="M4870">
        <v>2501</v>
      </c>
    </row>
    <row r="4871" spans="1:14">
      <c r="A4871">
        <v>20440528</v>
      </c>
      <c r="B4871">
        <v>3007838</v>
      </c>
      <c r="C4871" t="s">
        <v>2635</v>
      </c>
      <c r="D4871" t="s">
        <v>441</v>
      </c>
      <c r="F4871">
        <v>0</v>
      </c>
      <c r="G4871">
        <v>7.33</v>
      </c>
      <c r="H4871" t="s">
        <v>8580</v>
      </c>
      <c r="I4871">
        <v>6</v>
      </c>
      <c r="J4871" t="s">
        <v>445</v>
      </c>
      <c r="K4871" t="s">
        <v>446</v>
      </c>
      <c r="M4871">
        <v>2641</v>
      </c>
    </row>
    <row r="4872" spans="1:14">
      <c r="A4872">
        <v>20450000</v>
      </c>
      <c r="B4872">
        <v>3007839</v>
      </c>
      <c r="C4872" t="s">
        <v>2636</v>
      </c>
      <c r="D4872" t="s">
        <v>441</v>
      </c>
      <c r="F4872">
        <v>0</v>
      </c>
      <c r="G4872">
        <v>16.579999999999998</v>
      </c>
      <c r="H4872" t="s">
        <v>8580</v>
      </c>
      <c r="I4872">
        <v>6</v>
      </c>
      <c r="J4872" t="s">
        <v>445</v>
      </c>
      <c r="M4872">
        <v>2391</v>
      </c>
      <c r="N4872" t="s">
        <v>16186</v>
      </c>
    </row>
    <row r="4873" spans="1:14">
      <c r="A4873">
        <v>20450028</v>
      </c>
      <c r="B4873">
        <v>4003922</v>
      </c>
      <c r="C4873" t="s">
        <v>10578</v>
      </c>
      <c r="D4873" t="s">
        <v>441</v>
      </c>
      <c r="F4873">
        <v>0</v>
      </c>
      <c r="G4873">
        <v>12.7</v>
      </c>
      <c r="H4873" t="s">
        <v>8588</v>
      </c>
      <c r="I4873">
        <v>365</v>
      </c>
      <c r="J4873" t="s">
        <v>462</v>
      </c>
      <c r="K4873" t="s">
        <v>446</v>
      </c>
      <c r="M4873">
        <v>2501</v>
      </c>
      <c r="N4873" t="s">
        <v>16186</v>
      </c>
    </row>
    <row r="4874" spans="1:14">
      <c r="A4874">
        <v>20450528</v>
      </c>
      <c r="B4874">
        <v>3007840</v>
      </c>
      <c r="C4874" t="s">
        <v>10579</v>
      </c>
      <c r="D4874" t="s">
        <v>441</v>
      </c>
      <c r="F4874">
        <v>0</v>
      </c>
      <c r="G4874">
        <v>12.51</v>
      </c>
      <c r="H4874" t="s">
        <v>8584</v>
      </c>
      <c r="I4874">
        <v>6</v>
      </c>
      <c r="J4874" t="s">
        <v>445</v>
      </c>
      <c r="K4874" t="s">
        <v>446</v>
      </c>
      <c r="M4874">
        <v>2641</v>
      </c>
      <c r="N4874" t="s">
        <v>16186</v>
      </c>
    </row>
    <row r="4875" spans="1:14">
      <c r="A4875">
        <v>20451000</v>
      </c>
      <c r="B4875">
        <v>3017404</v>
      </c>
      <c r="C4875" t="s">
        <v>2637</v>
      </c>
      <c r="D4875" t="s">
        <v>441</v>
      </c>
      <c r="F4875">
        <v>0</v>
      </c>
      <c r="G4875">
        <v>16.579999999999998</v>
      </c>
      <c r="H4875" t="s">
        <v>8580</v>
      </c>
      <c r="I4875">
        <v>6</v>
      </c>
      <c r="J4875" t="s">
        <v>445</v>
      </c>
      <c r="M4875">
        <v>2391</v>
      </c>
      <c r="N4875" t="s">
        <v>16186</v>
      </c>
    </row>
    <row r="4876" spans="1:14">
      <c r="A4876">
        <v>20451028</v>
      </c>
      <c r="B4876">
        <v>4011619</v>
      </c>
      <c r="C4876" t="s">
        <v>10580</v>
      </c>
      <c r="D4876" t="s">
        <v>441</v>
      </c>
      <c r="F4876">
        <v>0</v>
      </c>
      <c r="G4876">
        <v>12.69</v>
      </c>
      <c r="H4876" t="s">
        <v>8588</v>
      </c>
      <c r="I4876">
        <v>365</v>
      </c>
      <c r="J4876" t="s">
        <v>462</v>
      </c>
      <c r="K4876" t="s">
        <v>446</v>
      </c>
      <c r="M4876">
        <v>2501</v>
      </c>
      <c r="N4876" t="s">
        <v>16186</v>
      </c>
    </row>
    <row r="4877" spans="1:14">
      <c r="A4877">
        <v>20451528</v>
      </c>
      <c r="B4877">
        <v>3017405</v>
      </c>
      <c r="C4877" t="s">
        <v>10581</v>
      </c>
      <c r="D4877" t="s">
        <v>441</v>
      </c>
      <c r="F4877">
        <v>0</v>
      </c>
      <c r="G4877">
        <v>12.51</v>
      </c>
      <c r="I4877">
        <v>6</v>
      </c>
      <c r="J4877" t="s">
        <v>445</v>
      </c>
      <c r="K4877" t="s">
        <v>446</v>
      </c>
      <c r="M4877">
        <v>2641</v>
      </c>
      <c r="N4877" t="s">
        <v>16186</v>
      </c>
    </row>
    <row r="4878" spans="1:14">
      <c r="A4878">
        <v>20453000</v>
      </c>
      <c r="B4878">
        <v>3007841</v>
      </c>
      <c r="C4878" t="s">
        <v>2638</v>
      </c>
      <c r="D4878" t="s">
        <v>441</v>
      </c>
      <c r="F4878">
        <v>0</v>
      </c>
      <c r="G4878">
        <v>11.06</v>
      </c>
      <c r="H4878" t="s">
        <v>8584</v>
      </c>
      <c r="I4878">
        <v>6</v>
      </c>
      <c r="J4878" t="s">
        <v>445</v>
      </c>
      <c r="K4878" t="s">
        <v>446</v>
      </c>
      <c r="M4878">
        <v>2390</v>
      </c>
    </row>
    <row r="4879" spans="1:14">
      <c r="A4879">
        <v>20460000</v>
      </c>
      <c r="B4879">
        <v>3007842</v>
      </c>
      <c r="C4879" t="s">
        <v>2639</v>
      </c>
      <c r="D4879" t="s">
        <v>441</v>
      </c>
      <c r="F4879">
        <v>0</v>
      </c>
      <c r="G4879">
        <v>16.100000000000001</v>
      </c>
      <c r="H4879" t="s">
        <v>8580</v>
      </c>
      <c r="I4879">
        <v>6</v>
      </c>
      <c r="J4879" t="s">
        <v>445</v>
      </c>
      <c r="M4879">
        <v>2391</v>
      </c>
      <c r="N4879" t="s">
        <v>16186</v>
      </c>
    </row>
    <row r="4880" spans="1:14">
      <c r="A4880">
        <v>20460007</v>
      </c>
      <c r="B4880">
        <v>3024980</v>
      </c>
      <c r="C4880" t="s">
        <v>10582</v>
      </c>
      <c r="D4880" t="s">
        <v>441</v>
      </c>
      <c r="F4880">
        <v>0</v>
      </c>
      <c r="G4880">
        <v>12.1</v>
      </c>
      <c r="H4880" t="s">
        <v>8935</v>
      </c>
      <c r="I4880">
        <v>6</v>
      </c>
      <c r="J4880" t="s">
        <v>445</v>
      </c>
      <c r="K4880" t="s">
        <v>446</v>
      </c>
      <c r="M4880">
        <v>3111</v>
      </c>
      <c r="N4880" t="s">
        <v>16186</v>
      </c>
    </row>
    <row r="4881" spans="1:14">
      <c r="A4881">
        <v>20460028</v>
      </c>
      <c r="B4881">
        <v>4001825</v>
      </c>
      <c r="C4881" t="s">
        <v>10583</v>
      </c>
      <c r="D4881" t="s">
        <v>441</v>
      </c>
      <c r="F4881">
        <v>0</v>
      </c>
      <c r="G4881">
        <v>12.7</v>
      </c>
      <c r="H4881" t="s">
        <v>8588</v>
      </c>
      <c r="I4881">
        <v>365</v>
      </c>
      <c r="J4881" t="s">
        <v>462</v>
      </c>
      <c r="K4881" t="s">
        <v>446</v>
      </c>
      <c r="M4881">
        <v>2501</v>
      </c>
      <c r="N4881" t="s">
        <v>16186</v>
      </c>
    </row>
    <row r="4882" spans="1:14">
      <c r="A4882">
        <v>20460528</v>
      </c>
      <c r="B4882">
        <v>3007843</v>
      </c>
      <c r="C4882" t="s">
        <v>10584</v>
      </c>
      <c r="D4882" t="s">
        <v>441</v>
      </c>
      <c r="F4882">
        <v>0</v>
      </c>
      <c r="G4882">
        <v>12.51</v>
      </c>
      <c r="H4882" t="s">
        <v>8580</v>
      </c>
      <c r="I4882">
        <v>6</v>
      </c>
      <c r="J4882" t="s">
        <v>445</v>
      </c>
      <c r="K4882" t="s">
        <v>446</v>
      </c>
      <c r="M4882">
        <v>2641</v>
      </c>
      <c r="N4882" t="s">
        <v>16186</v>
      </c>
    </row>
    <row r="4883" spans="1:14">
      <c r="A4883">
        <v>20461000</v>
      </c>
      <c r="B4883">
        <v>3017406</v>
      </c>
      <c r="C4883" t="s">
        <v>2640</v>
      </c>
      <c r="D4883" t="s">
        <v>441</v>
      </c>
      <c r="F4883">
        <v>0</v>
      </c>
      <c r="G4883">
        <v>16.100000000000001</v>
      </c>
      <c r="H4883" t="s">
        <v>8580</v>
      </c>
      <c r="I4883">
        <v>6</v>
      </c>
      <c r="J4883" t="s">
        <v>445</v>
      </c>
      <c r="M4883">
        <v>2391</v>
      </c>
      <c r="N4883" t="s">
        <v>16186</v>
      </c>
    </row>
    <row r="4884" spans="1:14">
      <c r="A4884">
        <v>20461007</v>
      </c>
      <c r="B4884">
        <v>3024981</v>
      </c>
      <c r="C4884" t="s">
        <v>10585</v>
      </c>
      <c r="D4884" t="s">
        <v>441</v>
      </c>
      <c r="F4884">
        <v>0</v>
      </c>
      <c r="G4884">
        <v>12.1</v>
      </c>
      <c r="H4884" t="s">
        <v>8935</v>
      </c>
      <c r="I4884">
        <v>6</v>
      </c>
      <c r="J4884" t="s">
        <v>445</v>
      </c>
      <c r="K4884" t="s">
        <v>446</v>
      </c>
      <c r="M4884">
        <v>3111</v>
      </c>
      <c r="N4884" t="s">
        <v>16186</v>
      </c>
    </row>
    <row r="4885" spans="1:14">
      <c r="A4885">
        <v>20461028</v>
      </c>
      <c r="B4885">
        <v>4011476</v>
      </c>
      <c r="C4885" t="s">
        <v>10586</v>
      </c>
      <c r="D4885" t="s">
        <v>441</v>
      </c>
      <c r="F4885">
        <v>0</v>
      </c>
      <c r="G4885">
        <v>12.69</v>
      </c>
      <c r="H4885" t="s">
        <v>8588</v>
      </c>
      <c r="I4885">
        <v>365</v>
      </c>
      <c r="J4885" t="s">
        <v>462</v>
      </c>
      <c r="K4885" t="s">
        <v>446</v>
      </c>
      <c r="M4885">
        <v>2501</v>
      </c>
      <c r="N4885" t="s">
        <v>16186</v>
      </c>
    </row>
    <row r="4886" spans="1:14">
      <c r="A4886">
        <v>20461528</v>
      </c>
      <c r="B4886">
        <v>3017407</v>
      </c>
      <c r="C4886" t="s">
        <v>10587</v>
      </c>
      <c r="D4886" t="s">
        <v>441</v>
      </c>
      <c r="F4886">
        <v>0</v>
      </c>
      <c r="G4886">
        <v>12.51</v>
      </c>
      <c r="H4886" t="s">
        <v>8634</v>
      </c>
      <c r="I4886">
        <v>6</v>
      </c>
      <c r="J4886" t="s">
        <v>445</v>
      </c>
      <c r="K4886" t="s">
        <v>446</v>
      </c>
      <c r="M4886">
        <v>2641</v>
      </c>
      <c r="N4886" t="s">
        <v>16186</v>
      </c>
    </row>
    <row r="4887" spans="1:14">
      <c r="A4887">
        <v>20463000</v>
      </c>
      <c r="B4887">
        <v>3007844</v>
      </c>
      <c r="C4887" t="s">
        <v>2641</v>
      </c>
      <c r="D4887" t="s">
        <v>441</v>
      </c>
      <c r="F4887">
        <v>0</v>
      </c>
      <c r="G4887">
        <v>11.1</v>
      </c>
      <c r="H4887" t="s">
        <v>8580</v>
      </c>
      <c r="I4887">
        <v>6</v>
      </c>
      <c r="J4887" t="s">
        <v>445</v>
      </c>
      <c r="K4887" t="s">
        <v>446</v>
      </c>
      <c r="M4887">
        <v>2390</v>
      </c>
    </row>
    <row r="4888" spans="1:14">
      <c r="A4888">
        <v>20470000</v>
      </c>
      <c r="B4888">
        <v>3007845</v>
      </c>
      <c r="C4888" t="s">
        <v>2642</v>
      </c>
      <c r="D4888" t="s">
        <v>441</v>
      </c>
      <c r="F4888">
        <v>0</v>
      </c>
      <c r="G4888">
        <v>11.4</v>
      </c>
      <c r="H4888" t="s">
        <v>10588</v>
      </c>
      <c r="I4888">
        <v>6</v>
      </c>
      <c r="J4888" t="s">
        <v>445</v>
      </c>
      <c r="K4888" t="s">
        <v>446</v>
      </c>
      <c r="M4888">
        <v>0</v>
      </c>
    </row>
    <row r="4889" spans="1:14">
      <c r="A4889">
        <v>20473000</v>
      </c>
      <c r="B4889">
        <v>3007846</v>
      </c>
      <c r="C4889" t="s">
        <v>2643</v>
      </c>
      <c r="D4889" t="s">
        <v>441</v>
      </c>
      <c r="F4889">
        <v>0</v>
      </c>
      <c r="G4889">
        <v>11.41</v>
      </c>
      <c r="H4889" t="s">
        <v>8580</v>
      </c>
      <c r="I4889">
        <v>6</v>
      </c>
      <c r="J4889" t="s">
        <v>445</v>
      </c>
      <c r="K4889" t="s">
        <v>446</v>
      </c>
      <c r="M4889">
        <v>2390</v>
      </c>
    </row>
    <row r="4890" spans="1:14">
      <c r="A4890">
        <v>20480000</v>
      </c>
      <c r="B4890">
        <v>3018457</v>
      </c>
      <c r="C4890" t="s">
        <v>2644</v>
      </c>
      <c r="D4890" t="s">
        <v>441</v>
      </c>
      <c r="F4890">
        <v>0</v>
      </c>
      <c r="G4890">
        <v>8.99</v>
      </c>
      <c r="H4890" t="s">
        <v>8580</v>
      </c>
      <c r="I4890">
        <v>6</v>
      </c>
      <c r="J4890" t="s">
        <v>445</v>
      </c>
      <c r="M4890">
        <v>2391</v>
      </c>
      <c r="N4890" t="s">
        <v>16106</v>
      </c>
    </row>
    <row r="4891" spans="1:14">
      <c r="A4891">
        <v>20480007</v>
      </c>
      <c r="B4891">
        <v>3024982</v>
      </c>
      <c r="C4891" t="s">
        <v>10589</v>
      </c>
      <c r="D4891" t="s">
        <v>441</v>
      </c>
      <c r="F4891">
        <v>0</v>
      </c>
      <c r="G4891">
        <v>9.08</v>
      </c>
      <c r="H4891" t="s">
        <v>8935</v>
      </c>
      <c r="I4891">
        <v>6</v>
      </c>
      <c r="J4891" t="s">
        <v>445</v>
      </c>
      <c r="K4891" t="s">
        <v>446</v>
      </c>
      <c r="M4891">
        <v>3111</v>
      </c>
    </row>
    <row r="4892" spans="1:14">
      <c r="A4892">
        <v>20480028</v>
      </c>
      <c r="B4892">
        <v>4001826</v>
      </c>
      <c r="C4892" t="s">
        <v>10590</v>
      </c>
      <c r="D4892" t="s">
        <v>441</v>
      </c>
      <c r="F4892">
        <v>0</v>
      </c>
      <c r="G4892">
        <v>9.73</v>
      </c>
      <c r="H4892" t="s">
        <v>8588</v>
      </c>
      <c r="I4892">
        <v>365</v>
      </c>
      <c r="J4892" t="s">
        <v>462</v>
      </c>
      <c r="K4892" t="s">
        <v>446</v>
      </c>
      <c r="L4892" t="s">
        <v>10591</v>
      </c>
      <c r="M4892">
        <v>2501</v>
      </c>
    </row>
    <row r="4893" spans="1:14">
      <c r="A4893">
        <v>20480528</v>
      </c>
      <c r="B4893">
        <v>3007847</v>
      </c>
      <c r="C4893" t="s">
        <v>10592</v>
      </c>
      <c r="D4893" t="s">
        <v>441</v>
      </c>
      <c r="F4893">
        <v>0</v>
      </c>
      <c r="G4893">
        <v>9.51</v>
      </c>
      <c r="H4893" t="s">
        <v>8580</v>
      </c>
      <c r="I4893">
        <v>6</v>
      </c>
      <c r="J4893" t="s">
        <v>445</v>
      </c>
      <c r="K4893" t="s">
        <v>446</v>
      </c>
      <c r="M4893">
        <v>2641</v>
      </c>
    </row>
    <row r="4894" spans="1:14">
      <c r="A4894">
        <v>20481000</v>
      </c>
      <c r="B4894">
        <v>3017359</v>
      </c>
      <c r="C4894" t="s">
        <v>10593</v>
      </c>
      <c r="D4894" t="s">
        <v>441</v>
      </c>
      <c r="F4894">
        <v>0</v>
      </c>
      <c r="G4894">
        <v>8.99</v>
      </c>
      <c r="H4894" t="s">
        <v>8935</v>
      </c>
      <c r="I4894">
        <v>6</v>
      </c>
      <c r="J4894" t="s">
        <v>445</v>
      </c>
      <c r="K4894" t="s">
        <v>446</v>
      </c>
      <c r="M4894">
        <v>0</v>
      </c>
    </row>
    <row r="4895" spans="1:14">
      <c r="A4895">
        <v>20481007</v>
      </c>
      <c r="B4895">
        <v>3024983</v>
      </c>
      <c r="C4895" t="s">
        <v>10594</v>
      </c>
      <c r="D4895" t="s">
        <v>441</v>
      </c>
      <c r="F4895">
        <v>0</v>
      </c>
      <c r="G4895">
        <v>9.08</v>
      </c>
      <c r="H4895" t="s">
        <v>8935</v>
      </c>
      <c r="I4895">
        <v>6</v>
      </c>
      <c r="J4895" t="s">
        <v>445</v>
      </c>
      <c r="K4895" t="s">
        <v>446</v>
      </c>
      <c r="M4895">
        <v>3111</v>
      </c>
    </row>
    <row r="4896" spans="1:14">
      <c r="A4896">
        <v>20481028</v>
      </c>
      <c r="B4896">
        <v>4011477</v>
      </c>
      <c r="C4896" t="s">
        <v>10595</v>
      </c>
      <c r="D4896" t="s">
        <v>441</v>
      </c>
      <c r="F4896">
        <v>0</v>
      </c>
      <c r="G4896">
        <v>9.7200000000000006</v>
      </c>
      <c r="H4896" t="s">
        <v>8588</v>
      </c>
      <c r="I4896">
        <v>365</v>
      </c>
      <c r="J4896" t="s">
        <v>462</v>
      </c>
      <c r="K4896" t="s">
        <v>446</v>
      </c>
      <c r="L4896" t="s">
        <v>10591</v>
      </c>
      <c r="M4896">
        <v>2501</v>
      </c>
    </row>
    <row r="4897" spans="1:14">
      <c r="A4897">
        <v>20481528</v>
      </c>
      <c r="B4897">
        <v>3017408</v>
      </c>
      <c r="C4897" t="s">
        <v>10596</v>
      </c>
      <c r="D4897" t="s">
        <v>441</v>
      </c>
      <c r="F4897">
        <v>0</v>
      </c>
      <c r="G4897">
        <v>9.51</v>
      </c>
      <c r="H4897" t="s">
        <v>8580</v>
      </c>
      <c r="I4897">
        <v>6</v>
      </c>
      <c r="J4897" t="s">
        <v>445</v>
      </c>
      <c r="K4897" t="s">
        <v>446</v>
      </c>
      <c r="M4897">
        <v>2641</v>
      </c>
    </row>
    <row r="4898" spans="1:14">
      <c r="A4898">
        <v>20483000</v>
      </c>
      <c r="B4898">
        <v>3006196</v>
      </c>
      <c r="C4898" t="s">
        <v>2645</v>
      </c>
      <c r="D4898" t="s">
        <v>441</v>
      </c>
      <c r="F4898">
        <v>0</v>
      </c>
      <c r="G4898">
        <v>12.15</v>
      </c>
      <c r="H4898" t="s">
        <v>8584</v>
      </c>
      <c r="I4898">
        <v>6</v>
      </c>
      <c r="J4898" t="s">
        <v>445</v>
      </c>
      <c r="K4898" t="s">
        <v>446</v>
      </c>
      <c r="M4898">
        <v>2390</v>
      </c>
    </row>
    <row r="4899" spans="1:14">
      <c r="A4899">
        <v>20490000</v>
      </c>
      <c r="B4899">
        <v>3007848</v>
      </c>
      <c r="C4899" t="s">
        <v>10597</v>
      </c>
      <c r="D4899" t="s">
        <v>441</v>
      </c>
      <c r="F4899">
        <v>0</v>
      </c>
      <c r="G4899">
        <v>11.33</v>
      </c>
      <c r="H4899" t="s">
        <v>8580</v>
      </c>
      <c r="I4899">
        <v>6</v>
      </c>
      <c r="J4899" t="s">
        <v>445</v>
      </c>
      <c r="K4899" t="s">
        <v>446</v>
      </c>
      <c r="M4899">
        <v>0</v>
      </c>
    </row>
    <row r="4900" spans="1:14">
      <c r="A4900">
        <v>20490028</v>
      </c>
      <c r="B4900">
        <v>4001827</v>
      </c>
      <c r="C4900" t="s">
        <v>10598</v>
      </c>
      <c r="D4900" t="s">
        <v>441</v>
      </c>
      <c r="F4900">
        <v>0</v>
      </c>
      <c r="G4900">
        <v>12.04</v>
      </c>
      <c r="H4900" t="s">
        <v>8588</v>
      </c>
      <c r="I4900">
        <v>365</v>
      </c>
      <c r="J4900" t="s">
        <v>462</v>
      </c>
      <c r="K4900" t="s">
        <v>446</v>
      </c>
      <c r="L4900" t="s">
        <v>10599</v>
      </c>
      <c r="M4900">
        <v>2501</v>
      </c>
    </row>
    <row r="4901" spans="1:14">
      <c r="A4901">
        <v>20490528</v>
      </c>
      <c r="B4901">
        <v>3007849</v>
      </c>
      <c r="C4901" t="s">
        <v>10600</v>
      </c>
      <c r="D4901" t="s">
        <v>441</v>
      </c>
      <c r="F4901">
        <v>0</v>
      </c>
      <c r="G4901">
        <v>11.85</v>
      </c>
      <c r="H4901" t="s">
        <v>8580</v>
      </c>
      <c r="I4901">
        <v>6</v>
      </c>
      <c r="J4901" t="s">
        <v>445</v>
      </c>
      <c r="K4901" t="s">
        <v>446</v>
      </c>
      <c r="M4901">
        <v>2641</v>
      </c>
    </row>
    <row r="4902" spans="1:14">
      <c r="A4902">
        <v>20491000</v>
      </c>
      <c r="B4902">
        <v>3017409</v>
      </c>
      <c r="C4902" t="s">
        <v>10601</v>
      </c>
      <c r="D4902" t="s">
        <v>441</v>
      </c>
      <c r="F4902">
        <v>0</v>
      </c>
      <c r="G4902">
        <v>11.33</v>
      </c>
      <c r="H4902" t="s">
        <v>8584</v>
      </c>
      <c r="I4902">
        <v>6</v>
      </c>
      <c r="J4902" t="s">
        <v>445</v>
      </c>
      <c r="K4902" t="s">
        <v>446</v>
      </c>
      <c r="M4902">
        <v>0</v>
      </c>
    </row>
    <row r="4903" spans="1:14">
      <c r="A4903">
        <v>20491028</v>
      </c>
      <c r="B4903">
        <v>4011478</v>
      </c>
      <c r="C4903" t="s">
        <v>10602</v>
      </c>
      <c r="D4903" t="s">
        <v>441</v>
      </c>
      <c r="F4903">
        <v>0</v>
      </c>
      <c r="G4903">
        <v>12.03</v>
      </c>
      <c r="H4903" t="s">
        <v>8588</v>
      </c>
      <c r="I4903">
        <v>365</v>
      </c>
      <c r="J4903" t="s">
        <v>462</v>
      </c>
      <c r="K4903" t="s">
        <v>446</v>
      </c>
      <c r="L4903" t="s">
        <v>10599</v>
      </c>
      <c r="M4903">
        <v>2501</v>
      </c>
    </row>
    <row r="4904" spans="1:14">
      <c r="A4904">
        <v>20491528</v>
      </c>
      <c r="B4904">
        <v>3017410</v>
      </c>
      <c r="C4904" t="s">
        <v>10603</v>
      </c>
      <c r="D4904" t="s">
        <v>441</v>
      </c>
      <c r="F4904">
        <v>0</v>
      </c>
      <c r="G4904">
        <v>11.84</v>
      </c>
      <c r="H4904" t="s">
        <v>9884</v>
      </c>
      <c r="I4904">
        <v>6</v>
      </c>
      <c r="J4904" t="s">
        <v>445</v>
      </c>
      <c r="K4904" t="s">
        <v>446</v>
      </c>
      <c r="M4904">
        <v>2641</v>
      </c>
    </row>
    <row r="4905" spans="1:14">
      <c r="A4905">
        <v>20493000</v>
      </c>
      <c r="B4905">
        <v>3007850</v>
      </c>
      <c r="C4905" t="s">
        <v>2646</v>
      </c>
      <c r="D4905" t="s">
        <v>441</v>
      </c>
      <c r="F4905">
        <v>0</v>
      </c>
      <c r="G4905">
        <v>12.15</v>
      </c>
      <c r="H4905" t="s">
        <v>8580</v>
      </c>
      <c r="I4905">
        <v>6</v>
      </c>
      <c r="J4905" t="s">
        <v>445</v>
      </c>
      <c r="K4905" t="s">
        <v>446</v>
      </c>
      <c r="M4905">
        <v>2390</v>
      </c>
    </row>
    <row r="4906" spans="1:14">
      <c r="A4906">
        <v>20500000</v>
      </c>
      <c r="B4906">
        <v>3007851</v>
      </c>
      <c r="C4906" t="s">
        <v>2647</v>
      </c>
      <c r="D4906" t="s">
        <v>441</v>
      </c>
      <c r="F4906">
        <v>0</v>
      </c>
      <c r="G4906">
        <v>6.65</v>
      </c>
      <c r="H4906" t="s">
        <v>8584</v>
      </c>
      <c r="I4906">
        <v>6</v>
      </c>
      <c r="J4906" t="s">
        <v>445</v>
      </c>
      <c r="M4906">
        <v>2391</v>
      </c>
      <c r="N4906" t="s">
        <v>16187</v>
      </c>
    </row>
    <row r="4907" spans="1:14">
      <c r="A4907">
        <v>20500007</v>
      </c>
      <c r="B4907">
        <v>3024984</v>
      </c>
      <c r="C4907" t="s">
        <v>14357</v>
      </c>
      <c r="D4907" t="s">
        <v>441</v>
      </c>
      <c r="F4907">
        <v>0</v>
      </c>
      <c r="G4907">
        <v>9.4700000000000006</v>
      </c>
      <c r="H4907" t="s">
        <v>8935</v>
      </c>
      <c r="I4907">
        <v>6</v>
      </c>
      <c r="J4907" t="s">
        <v>445</v>
      </c>
      <c r="M4907">
        <v>2391</v>
      </c>
      <c r="N4907" t="s">
        <v>16187</v>
      </c>
    </row>
    <row r="4908" spans="1:14">
      <c r="A4908">
        <v>20500020</v>
      </c>
      <c r="B4908">
        <v>4003923</v>
      </c>
      <c r="C4908" t="s">
        <v>2648</v>
      </c>
      <c r="D4908" t="s">
        <v>441</v>
      </c>
      <c r="F4908">
        <v>0</v>
      </c>
      <c r="G4908">
        <v>7.93</v>
      </c>
      <c r="H4908" t="s">
        <v>8588</v>
      </c>
      <c r="I4908">
        <v>6</v>
      </c>
      <c r="J4908" t="s">
        <v>462</v>
      </c>
      <c r="K4908" t="s">
        <v>446</v>
      </c>
      <c r="L4908">
        <v>2633290</v>
      </c>
      <c r="M4908">
        <v>2641</v>
      </c>
      <c r="N4908" t="s">
        <v>16187</v>
      </c>
    </row>
    <row r="4909" spans="1:14">
      <c r="A4909">
        <v>20500030</v>
      </c>
      <c r="B4909">
        <v>4015514</v>
      </c>
      <c r="C4909" t="s">
        <v>2649</v>
      </c>
      <c r="D4909" t="s">
        <v>441</v>
      </c>
      <c r="F4909">
        <v>0</v>
      </c>
      <c r="G4909">
        <v>7.14</v>
      </c>
      <c r="H4909" t="s">
        <v>8588</v>
      </c>
      <c r="I4909">
        <v>10</v>
      </c>
      <c r="J4909" t="s">
        <v>462</v>
      </c>
      <c r="M4909">
        <v>7112</v>
      </c>
      <c r="N4909" t="s">
        <v>16187</v>
      </c>
    </row>
    <row r="4910" spans="1:14">
      <c r="A4910">
        <v>20500040</v>
      </c>
      <c r="B4910">
        <v>4012837</v>
      </c>
      <c r="C4910" t="s">
        <v>10604</v>
      </c>
      <c r="D4910" t="s">
        <v>441</v>
      </c>
      <c r="F4910">
        <v>0</v>
      </c>
      <c r="G4910">
        <v>6.92</v>
      </c>
      <c r="H4910" t="s">
        <v>8588</v>
      </c>
      <c r="I4910">
        <v>9</v>
      </c>
      <c r="J4910" t="s">
        <v>462</v>
      </c>
      <c r="K4910" t="s">
        <v>446</v>
      </c>
      <c r="M4910">
        <v>2612</v>
      </c>
    </row>
    <row r="4911" spans="1:14">
      <c r="A4911">
        <v>20500075</v>
      </c>
      <c r="B4911">
        <v>3043870</v>
      </c>
      <c r="C4911" t="s">
        <v>14358</v>
      </c>
      <c r="D4911" t="s">
        <v>441</v>
      </c>
      <c r="F4911">
        <v>0</v>
      </c>
      <c r="G4911">
        <v>9.59</v>
      </c>
      <c r="H4911" t="s">
        <v>8588</v>
      </c>
      <c r="I4911">
        <v>6</v>
      </c>
      <c r="J4911" t="s">
        <v>445</v>
      </c>
      <c r="M4911">
        <v>7112</v>
      </c>
      <c r="N4911" t="s">
        <v>16187</v>
      </c>
    </row>
    <row r="4912" spans="1:14">
      <c r="A4912">
        <v>20501000</v>
      </c>
      <c r="B4912">
        <v>3017411</v>
      </c>
      <c r="C4912" t="s">
        <v>2650</v>
      </c>
      <c r="D4912" t="s">
        <v>441</v>
      </c>
      <c r="F4912">
        <v>0</v>
      </c>
      <c r="G4912">
        <v>6.65</v>
      </c>
      <c r="I4912">
        <v>6</v>
      </c>
      <c r="J4912" t="s">
        <v>445</v>
      </c>
      <c r="M4912">
        <v>2391</v>
      </c>
      <c r="N4912" t="s">
        <v>16187</v>
      </c>
    </row>
    <row r="4913" spans="1:14">
      <c r="A4913">
        <v>20501007</v>
      </c>
      <c r="B4913">
        <v>3024985</v>
      </c>
      <c r="C4913" t="s">
        <v>10605</v>
      </c>
      <c r="D4913" t="s">
        <v>441</v>
      </c>
      <c r="F4913">
        <v>0</v>
      </c>
      <c r="G4913">
        <v>7.77</v>
      </c>
      <c r="H4913" t="s">
        <v>8935</v>
      </c>
      <c r="I4913">
        <v>6</v>
      </c>
      <c r="J4913" t="s">
        <v>445</v>
      </c>
      <c r="K4913" t="s">
        <v>446</v>
      </c>
      <c r="M4913">
        <v>3111</v>
      </c>
      <c r="N4913" t="s">
        <v>16187</v>
      </c>
    </row>
    <row r="4914" spans="1:14">
      <c r="A4914">
        <v>20501020</v>
      </c>
      <c r="B4914">
        <v>4011620</v>
      </c>
      <c r="C4914" t="s">
        <v>10606</v>
      </c>
      <c r="D4914" t="s">
        <v>441</v>
      </c>
      <c r="F4914">
        <v>0</v>
      </c>
      <c r="G4914">
        <v>7.93</v>
      </c>
      <c r="H4914" t="s">
        <v>8588</v>
      </c>
      <c r="I4914">
        <v>6</v>
      </c>
      <c r="J4914" t="s">
        <v>462</v>
      </c>
      <c r="K4914" t="s">
        <v>446</v>
      </c>
      <c r="L4914">
        <v>2633290</v>
      </c>
      <c r="M4914">
        <v>2641</v>
      </c>
      <c r="N4914" t="s">
        <v>16187</v>
      </c>
    </row>
    <row r="4915" spans="1:14">
      <c r="A4915">
        <v>20501040</v>
      </c>
      <c r="B4915">
        <v>4012838</v>
      </c>
      <c r="C4915" t="s">
        <v>10607</v>
      </c>
      <c r="D4915" t="s">
        <v>441</v>
      </c>
      <c r="F4915">
        <v>0</v>
      </c>
      <c r="G4915">
        <v>7.05</v>
      </c>
      <c r="H4915" t="s">
        <v>8588</v>
      </c>
      <c r="I4915">
        <v>9</v>
      </c>
      <c r="J4915" t="s">
        <v>462</v>
      </c>
      <c r="K4915" t="s">
        <v>446</v>
      </c>
      <c r="M4915">
        <v>2612</v>
      </c>
    </row>
    <row r="4916" spans="1:14">
      <c r="A4916">
        <v>20503000</v>
      </c>
      <c r="B4916">
        <v>3007852</v>
      </c>
      <c r="C4916" t="s">
        <v>2651</v>
      </c>
      <c r="D4916" t="s">
        <v>441</v>
      </c>
      <c r="F4916">
        <v>0</v>
      </c>
      <c r="G4916">
        <v>6.61</v>
      </c>
      <c r="H4916" t="s">
        <v>8584</v>
      </c>
      <c r="I4916">
        <v>6</v>
      </c>
      <c r="J4916" t="s">
        <v>445</v>
      </c>
      <c r="K4916" t="s">
        <v>446</v>
      </c>
      <c r="M4916">
        <v>2390</v>
      </c>
    </row>
    <row r="4917" spans="1:14">
      <c r="A4917">
        <v>20510000</v>
      </c>
      <c r="B4917">
        <v>3007853</v>
      </c>
      <c r="C4917" t="s">
        <v>2652</v>
      </c>
      <c r="D4917" t="s">
        <v>441</v>
      </c>
      <c r="F4917">
        <v>0</v>
      </c>
      <c r="G4917">
        <v>4.1500000000000004</v>
      </c>
      <c r="H4917" t="s">
        <v>8580</v>
      </c>
      <c r="I4917">
        <v>6</v>
      </c>
      <c r="J4917" t="s">
        <v>445</v>
      </c>
      <c r="K4917" t="s">
        <v>446</v>
      </c>
      <c r="M4917">
        <v>0</v>
      </c>
    </row>
    <row r="4918" spans="1:14">
      <c r="A4918">
        <v>20510002</v>
      </c>
      <c r="B4918">
        <v>3007854</v>
      </c>
      <c r="C4918" t="s">
        <v>2653</v>
      </c>
      <c r="D4918" t="s">
        <v>441</v>
      </c>
      <c r="F4918">
        <v>0</v>
      </c>
      <c r="G4918">
        <v>5.68</v>
      </c>
      <c r="H4918" t="s">
        <v>8580</v>
      </c>
      <c r="I4918">
        <v>365</v>
      </c>
      <c r="J4918" t="s">
        <v>445</v>
      </c>
      <c r="K4918" t="s">
        <v>446</v>
      </c>
      <c r="M4918">
        <v>2501</v>
      </c>
    </row>
    <row r="4919" spans="1:14">
      <c r="A4919">
        <v>20510028</v>
      </c>
      <c r="B4919">
        <v>4001828</v>
      </c>
      <c r="C4919" t="s">
        <v>2654</v>
      </c>
      <c r="D4919" t="s">
        <v>441</v>
      </c>
      <c r="F4919">
        <v>0</v>
      </c>
      <c r="G4919">
        <v>5.81</v>
      </c>
      <c r="H4919" t="s">
        <v>8588</v>
      </c>
      <c r="I4919">
        <v>365</v>
      </c>
      <c r="J4919" t="s">
        <v>462</v>
      </c>
      <c r="K4919" t="s">
        <v>446</v>
      </c>
      <c r="M4919">
        <v>2501</v>
      </c>
    </row>
    <row r="4920" spans="1:14">
      <c r="A4920">
        <v>20510502</v>
      </c>
      <c r="B4920">
        <v>3007855</v>
      </c>
      <c r="C4920" t="s">
        <v>2655</v>
      </c>
      <c r="D4920" t="s">
        <v>441</v>
      </c>
      <c r="F4920">
        <v>0</v>
      </c>
      <c r="G4920">
        <v>5.34</v>
      </c>
      <c r="H4920" t="s">
        <v>8580</v>
      </c>
      <c r="I4920">
        <v>6</v>
      </c>
      <c r="J4920" t="s">
        <v>445</v>
      </c>
      <c r="K4920" t="s">
        <v>446</v>
      </c>
      <c r="M4920">
        <v>2641</v>
      </c>
    </row>
    <row r="4921" spans="1:14">
      <c r="A4921">
        <v>20510528</v>
      </c>
      <c r="B4921">
        <v>3007856</v>
      </c>
      <c r="C4921" t="s">
        <v>2656</v>
      </c>
      <c r="D4921" t="s">
        <v>441</v>
      </c>
      <c r="F4921">
        <v>0</v>
      </c>
      <c r="G4921">
        <v>5.53</v>
      </c>
      <c r="H4921" t="s">
        <v>8580</v>
      </c>
      <c r="I4921">
        <v>6</v>
      </c>
      <c r="J4921" t="s">
        <v>445</v>
      </c>
      <c r="K4921" t="s">
        <v>446</v>
      </c>
      <c r="M4921">
        <v>2641</v>
      </c>
    </row>
    <row r="4922" spans="1:14">
      <c r="A4922">
        <v>20510602</v>
      </c>
      <c r="B4922">
        <v>3007857</v>
      </c>
      <c r="C4922" t="s">
        <v>2657</v>
      </c>
      <c r="D4922" t="s">
        <v>441</v>
      </c>
      <c r="F4922">
        <v>0</v>
      </c>
      <c r="G4922">
        <v>5.87</v>
      </c>
      <c r="H4922" t="s">
        <v>8580</v>
      </c>
      <c r="I4922">
        <v>4</v>
      </c>
      <c r="J4922" t="s">
        <v>445</v>
      </c>
      <c r="K4922" t="s">
        <v>446</v>
      </c>
      <c r="M4922">
        <v>2511</v>
      </c>
    </row>
    <row r="4923" spans="1:14">
      <c r="A4923">
        <v>20510628</v>
      </c>
      <c r="B4923">
        <v>3014181</v>
      </c>
      <c r="C4923" t="s">
        <v>2658</v>
      </c>
      <c r="D4923" t="s">
        <v>441</v>
      </c>
      <c r="F4923">
        <v>0</v>
      </c>
      <c r="G4923">
        <v>5.95</v>
      </c>
      <c r="H4923" t="s">
        <v>8584</v>
      </c>
      <c r="I4923">
        <v>4</v>
      </c>
      <c r="J4923" t="s">
        <v>445</v>
      </c>
      <c r="K4923" t="s">
        <v>446</v>
      </c>
      <c r="M4923">
        <v>2511</v>
      </c>
    </row>
    <row r="4924" spans="1:14">
      <c r="A4924">
        <v>20513000</v>
      </c>
      <c r="B4924">
        <v>3007858</v>
      </c>
      <c r="C4924" t="s">
        <v>2659</v>
      </c>
      <c r="D4924" t="s">
        <v>441</v>
      </c>
      <c r="F4924">
        <v>0</v>
      </c>
      <c r="G4924">
        <v>5.24</v>
      </c>
      <c r="H4924" t="s">
        <v>8580</v>
      </c>
      <c r="I4924">
        <v>6</v>
      </c>
      <c r="J4924" t="s">
        <v>445</v>
      </c>
      <c r="K4924" t="s">
        <v>446</v>
      </c>
      <c r="M4924">
        <v>2390</v>
      </c>
    </row>
    <row r="4925" spans="1:14">
      <c r="A4925">
        <v>20520000</v>
      </c>
      <c r="B4925">
        <v>3007859</v>
      </c>
      <c r="C4925" t="s">
        <v>2660</v>
      </c>
      <c r="D4925" t="s">
        <v>441</v>
      </c>
      <c r="F4925">
        <v>0</v>
      </c>
      <c r="G4925">
        <v>7.17</v>
      </c>
      <c r="H4925" t="s">
        <v>8580</v>
      </c>
      <c r="I4925">
        <v>6</v>
      </c>
      <c r="J4925" t="s">
        <v>445</v>
      </c>
      <c r="M4925">
        <v>2391</v>
      </c>
      <c r="N4925" t="s">
        <v>16188</v>
      </c>
    </row>
    <row r="4926" spans="1:14">
      <c r="A4926">
        <v>20520007</v>
      </c>
      <c r="B4926">
        <v>3024986</v>
      </c>
      <c r="C4926" t="s">
        <v>2661</v>
      </c>
      <c r="D4926" t="s">
        <v>441</v>
      </c>
      <c r="F4926">
        <v>0</v>
      </c>
      <c r="G4926">
        <v>7.28</v>
      </c>
      <c r="H4926" t="s">
        <v>8935</v>
      </c>
      <c r="I4926">
        <v>6</v>
      </c>
      <c r="J4926" t="s">
        <v>445</v>
      </c>
      <c r="M4926">
        <v>2391</v>
      </c>
      <c r="N4926" t="s">
        <v>16188</v>
      </c>
    </row>
    <row r="4927" spans="1:14">
      <c r="A4927">
        <v>20520020</v>
      </c>
      <c r="B4927">
        <v>4006224</v>
      </c>
      <c r="C4927" t="s">
        <v>10608</v>
      </c>
      <c r="D4927" t="s">
        <v>441</v>
      </c>
      <c r="F4927">
        <v>0</v>
      </c>
      <c r="G4927">
        <v>8.89</v>
      </c>
      <c r="H4927" t="s">
        <v>8588</v>
      </c>
      <c r="I4927">
        <v>6</v>
      </c>
      <c r="J4927" t="s">
        <v>462</v>
      </c>
      <c r="K4927" t="s">
        <v>446</v>
      </c>
      <c r="M4927">
        <v>2641</v>
      </c>
      <c r="N4927" t="s">
        <v>16188</v>
      </c>
    </row>
    <row r="4928" spans="1:14">
      <c r="A4928">
        <v>20520021</v>
      </c>
      <c r="B4928">
        <v>4003924</v>
      </c>
      <c r="C4928" t="s">
        <v>10609</v>
      </c>
      <c r="D4928" t="s">
        <v>441</v>
      </c>
      <c r="F4928">
        <v>0</v>
      </c>
      <c r="G4928">
        <v>6.62</v>
      </c>
      <c r="H4928" t="s">
        <v>8588</v>
      </c>
      <c r="I4928">
        <v>6</v>
      </c>
      <c r="J4928" t="s">
        <v>462</v>
      </c>
      <c r="K4928" t="s">
        <v>446</v>
      </c>
      <c r="M4928">
        <v>2641</v>
      </c>
    </row>
    <row r="4929" spans="1:14">
      <c r="A4929">
        <v>20520022</v>
      </c>
      <c r="B4929">
        <v>4008791</v>
      </c>
      <c r="C4929" t="s">
        <v>10610</v>
      </c>
      <c r="D4929" t="s">
        <v>441</v>
      </c>
      <c r="F4929">
        <v>0</v>
      </c>
      <c r="G4929">
        <v>7.97</v>
      </c>
      <c r="H4929" t="s">
        <v>8588</v>
      </c>
      <c r="I4929">
        <v>6</v>
      </c>
      <c r="J4929" t="s">
        <v>462</v>
      </c>
      <c r="K4929" t="s">
        <v>446</v>
      </c>
      <c r="M4929">
        <v>2612</v>
      </c>
    </row>
    <row r="4930" spans="1:14">
      <c r="A4930">
        <v>20520023</v>
      </c>
      <c r="B4930">
        <v>4009210</v>
      </c>
      <c r="C4930" t="s">
        <v>10611</v>
      </c>
      <c r="D4930" t="s">
        <v>441</v>
      </c>
      <c r="F4930">
        <v>0</v>
      </c>
      <c r="G4930">
        <v>7.8</v>
      </c>
      <c r="H4930" t="s">
        <v>8588</v>
      </c>
      <c r="I4930">
        <v>6</v>
      </c>
      <c r="J4930" t="s">
        <v>462</v>
      </c>
      <c r="K4930" t="s">
        <v>446</v>
      </c>
      <c r="M4930">
        <v>2641</v>
      </c>
    </row>
    <row r="4931" spans="1:14">
      <c r="A4931">
        <v>20520030</v>
      </c>
      <c r="B4931">
        <v>4015735</v>
      </c>
      <c r="C4931" t="s">
        <v>10612</v>
      </c>
      <c r="D4931" t="s">
        <v>441</v>
      </c>
      <c r="F4931">
        <v>0</v>
      </c>
      <c r="G4931">
        <v>10.210000000000001</v>
      </c>
      <c r="H4931" t="s">
        <v>8588</v>
      </c>
      <c r="I4931">
        <v>12</v>
      </c>
      <c r="J4931" t="s">
        <v>462</v>
      </c>
      <c r="K4931" t="s">
        <v>446</v>
      </c>
      <c r="L4931">
        <v>2615180</v>
      </c>
      <c r="M4931">
        <v>2611</v>
      </c>
    </row>
    <row r="4932" spans="1:14">
      <c r="A4932">
        <v>20520031</v>
      </c>
      <c r="B4932">
        <v>4015017</v>
      </c>
      <c r="C4932" t="s">
        <v>10613</v>
      </c>
      <c r="D4932" t="s">
        <v>441</v>
      </c>
      <c r="F4932">
        <v>0</v>
      </c>
      <c r="G4932">
        <v>9.2100000000000009</v>
      </c>
      <c r="H4932" t="s">
        <v>8588</v>
      </c>
      <c r="I4932">
        <v>12</v>
      </c>
      <c r="J4932" t="s">
        <v>462</v>
      </c>
      <c r="K4932" t="s">
        <v>446</v>
      </c>
      <c r="M4932">
        <v>2611</v>
      </c>
    </row>
    <row r="4933" spans="1:14">
      <c r="A4933">
        <v>20520032</v>
      </c>
      <c r="B4933">
        <v>4003925</v>
      </c>
      <c r="C4933" t="s">
        <v>10614</v>
      </c>
      <c r="D4933" t="s">
        <v>441</v>
      </c>
      <c r="F4933">
        <v>0</v>
      </c>
      <c r="G4933">
        <v>9.36</v>
      </c>
      <c r="H4933" t="s">
        <v>8588</v>
      </c>
      <c r="I4933">
        <v>12</v>
      </c>
      <c r="J4933" t="s">
        <v>462</v>
      </c>
      <c r="K4933" t="s">
        <v>446</v>
      </c>
      <c r="L4933">
        <v>2972730</v>
      </c>
      <c r="M4933">
        <v>2611</v>
      </c>
    </row>
    <row r="4934" spans="1:14">
      <c r="A4934">
        <v>20520033</v>
      </c>
      <c r="B4934">
        <v>4003926</v>
      </c>
      <c r="C4934" t="s">
        <v>10615</v>
      </c>
      <c r="D4934" t="s">
        <v>441</v>
      </c>
      <c r="F4934">
        <v>0</v>
      </c>
      <c r="G4934">
        <v>8.8000000000000007</v>
      </c>
      <c r="H4934" t="s">
        <v>8588</v>
      </c>
      <c r="I4934">
        <v>12</v>
      </c>
      <c r="J4934" t="s">
        <v>462</v>
      </c>
      <c r="K4934" t="s">
        <v>446</v>
      </c>
      <c r="M4934">
        <v>2611</v>
      </c>
    </row>
    <row r="4935" spans="1:14">
      <c r="A4935">
        <v>20520035</v>
      </c>
      <c r="B4935">
        <v>4003928</v>
      </c>
      <c r="C4935" t="s">
        <v>10616</v>
      </c>
      <c r="D4935" t="s">
        <v>441</v>
      </c>
      <c r="F4935">
        <v>0</v>
      </c>
      <c r="G4935">
        <v>8.57</v>
      </c>
      <c r="H4935" t="s">
        <v>8588</v>
      </c>
      <c r="I4935">
        <v>9</v>
      </c>
      <c r="J4935" t="s">
        <v>462</v>
      </c>
      <c r="K4935" t="s">
        <v>446</v>
      </c>
      <c r="M4935">
        <v>2611</v>
      </c>
    </row>
    <row r="4936" spans="1:14">
      <c r="A4936">
        <v>20520037</v>
      </c>
      <c r="B4936">
        <v>4003930</v>
      </c>
      <c r="C4936" t="s">
        <v>10617</v>
      </c>
      <c r="D4936" t="s">
        <v>441</v>
      </c>
      <c r="F4936">
        <v>0</v>
      </c>
      <c r="G4936">
        <v>9.07</v>
      </c>
      <c r="H4936" t="s">
        <v>8588</v>
      </c>
      <c r="I4936">
        <v>12</v>
      </c>
      <c r="J4936" t="s">
        <v>462</v>
      </c>
      <c r="K4936" t="s">
        <v>446</v>
      </c>
      <c r="M4936">
        <v>2611</v>
      </c>
    </row>
    <row r="4937" spans="1:14">
      <c r="A4937">
        <v>20520038</v>
      </c>
      <c r="B4937">
        <v>4013735</v>
      </c>
      <c r="C4937" t="s">
        <v>10618</v>
      </c>
      <c r="D4937" t="s">
        <v>441</v>
      </c>
      <c r="F4937">
        <v>0</v>
      </c>
      <c r="G4937">
        <v>8.5500000000000007</v>
      </c>
      <c r="H4937" t="s">
        <v>8588</v>
      </c>
      <c r="I4937">
        <v>12</v>
      </c>
      <c r="J4937" t="s">
        <v>462</v>
      </c>
      <c r="K4937" t="s">
        <v>446</v>
      </c>
      <c r="M4937">
        <v>2611</v>
      </c>
    </row>
    <row r="4938" spans="1:14">
      <c r="A4938">
        <v>20520039</v>
      </c>
      <c r="B4938">
        <v>4015545</v>
      </c>
      <c r="C4938" t="s">
        <v>10619</v>
      </c>
      <c r="D4938" t="s">
        <v>441</v>
      </c>
      <c r="F4938">
        <v>0</v>
      </c>
      <c r="G4938">
        <v>8.84</v>
      </c>
      <c r="H4938" t="s">
        <v>8588</v>
      </c>
      <c r="I4938">
        <v>12</v>
      </c>
      <c r="J4938" t="s">
        <v>462</v>
      </c>
      <c r="K4938" t="s">
        <v>446</v>
      </c>
      <c r="M4938">
        <v>2611</v>
      </c>
    </row>
    <row r="4939" spans="1:14">
      <c r="A4939">
        <v>20520040</v>
      </c>
      <c r="B4939">
        <v>4019641</v>
      </c>
      <c r="C4939" t="s">
        <v>2662</v>
      </c>
      <c r="D4939" t="s">
        <v>441</v>
      </c>
      <c r="F4939">
        <v>0</v>
      </c>
      <c r="G4939">
        <v>7.71</v>
      </c>
      <c r="H4939" t="s">
        <v>8588</v>
      </c>
      <c r="I4939">
        <v>12</v>
      </c>
      <c r="J4939" t="s">
        <v>462</v>
      </c>
      <c r="M4939">
        <v>7112</v>
      </c>
      <c r="N4939" t="s">
        <v>16188</v>
      </c>
    </row>
    <row r="4940" spans="1:14">
      <c r="A4940">
        <v>20520041</v>
      </c>
      <c r="B4940">
        <v>4028112</v>
      </c>
      <c r="C4940" t="s">
        <v>2663</v>
      </c>
      <c r="D4940" t="s">
        <v>441</v>
      </c>
      <c r="F4940">
        <v>0</v>
      </c>
      <c r="G4940">
        <v>11.53</v>
      </c>
      <c r="H4940" t="s">
        <v>8588</v>
      </c>
      <c r="I4940">
        <v>12</v>
      </c>
      <c r="J4940" t="s">
        <v>462</v>
      </c>
      <c r="M4940">
        <v>7112</v>
      </c>
      <c r="N4940" t="s">
        <v>16188</v>
      </c>
    </row>
    <row r="4941" spans="1:14">
      <c r="A4941">
        <v>20520042</v>
      </c>
      <c r="B4941">
        <v>4030140</v>
      </c>
      <c r="C4941" t="s">
        <v>16189</v>
      </c>
      <c r="D4941" t="s">
        <v>441</v>
      </c>
      <c r="F4941">
        <v>0</v>
      </c>
      <c r="G4941">
        <v>13.75</v>
      </c>
      <c r="H4941" t="s">
        <v>8588</v>
      </c>
      <c r="I4941">
        <v>12</v>
      </c>
      <c r="J4941" t="s">
        <v>462</v>
      </c>
      <c r="M4941">
        <v>7112</v>
      </c>
      <c r="N4941" t="s">
        <v>16188</v>
      </c>
    </row>
    <row r="4942" spans="1:14">
      <c r="A4942">
        <v>20520051</v>
      </c>
      <c r="B4942">
        <v>4015679</v>
      </c>
      <c r="C4942" t="s">
        <v>10620</v>
      </c>
      <c r="D4942" t="s">
        <v>441</v>
      </c>
      <c r="F4942">
        <v>0</v>
      </c>
      <c r="G4942">
        <v>8.23</v>
      </c>
      <c r="H4942" t="s">
        <v>8588</v>
      </c>
      <c r="I4942">
        <v>10</v>
      </c>
      <c r="J4942" t="s">
        <v>462</v>
      </c>
      <c r="K4942" t="s">
        <v>446</v>
      </c>
      <c r="M4942">
        <v>2612</v>
      </c>
    </row>
    <row r="4943" spans="1:14">
      <c r="A4943">
        <v>20520071</v>
      </c>
      <c r="B4943">
        <v>4017026</v>
      </c>
      <c r="C4943" t="s">
        <v>10621</v>
      </c>
      <c r="D4943" t="s">
        <v>441</v>
      </c>
      <c r="F4943">
        <v>0</v>
      </c>
      <c r="G4943">
        <v>8.84</v>
      </c>
      <c r="H4943" t="s">
        <v>8588</v>
      </c>
      <c r="I4943">
        <v>12</v>
      </c>
      <c r="J4943" t="s">
        <v>462</v>
      </c>
      <c r="K4943" t="s">
        <v>446</v>
      </c>
      <c r="M4943">
        <v>2611</v>
      </c>
    </row>
    <row r="4944" spans="1:14">
      <c r="A4944">
        <v>20520076</v>
      </c>
      <c r="B4944">
        <v>3026323</v>
      </c>
      <c r="C4944" t="s">
        <v>2664</v>
      </c>
      <c r="D4944" t="s">
        <v>441</v>
      </c>
      <c r="F4944">
        <v>0</v>
      </c>
      <c r="G4944">
        <v>7.35</v>
      </c>
      <c r="H4944" t="s">
        <v>8588</v>
      </c>
      <c r="I4944">
        <v>6</v>
      </c>
      <c r="J4944" t="s">
        <v>445</v>
      </c>
      <c r="M4944">
        <v>7112</v>
      </c>
      <c r="N4944" t="s">
        <v>16188</v>
      </c>
    </row>
    <row r="4945" spans="1:14">
      <c r="A4945">
        <v>20520120</v>
      </c>
      <c r="B4945">
        <v>3005549</v>
      </c>
      <c r="C4945" t="s">
        <v>10622</v>
      </c>
      <c r="D4945" t="s">
        <v>441</v>
      </c>
      <c r="F4945">
        <v>0</v>
      </c>
      <c r="H4945" t="s">
        <v>8588</v>
      </c>
      <c r="I4945">
        <v>6</v>
      </c>
      <c r="J4945" t="s">
        <v>445</v>
      </c>
      <c r="K4945" t="s">
        <v>446</v>
      </c>
      <c r="M4945">
        <v>2391</v>
      </c>
    </row>
    <row r="4946" spans="1:14">
      <c r="A4946">
        <v>20521000</v>
      </c>
      <c r="B4946">
        <v>3017412</v>
      </c>
      <c r="C4946" t="s">
        <v>2665</v>
      </c>
      <c r="D4946" t="s">
        <v>441</v>
      </c>
      <c r="F4946">
        <v>0</v>
      </c>
      <c r="G4946">
        <v>7.17</v>
      </c>
      <c r="H4946" t="s">
        <v>8580</v>
      </c>
      <c r="I4946">
        <v>6</v>
      </c>
      <c r="J4946" t="s">
        <v>445</v>
      </c>
      <c r="M4946">
        <v>2391</v>
      </c>
      <c r="N4946" t="s">
        <v>16188</v>
      </c>
    </row>
    <row r="4947" spans="1:14">
      <c r="A4947">
        <v>20521007</v>
      </c>
      <c r="B4947">
        <v>3024987</v>
      </c>
      <c r="C4947" t="s">
        <v>10623</v>
      </c>
      <c r="D4947" t="s">
        <v>441</v>
      </c>
      <c r="F4947">
        <v>0</v>
      </c>
      <c r="G4947">
        <v>8.67</v>
      </c>
      <c r="H4947" t="s">
        <v>8935</v>
      </c>
      <c r="I4947">
        <v>6</v>
      </c>
      <c r="J4947" t="s">
        <v>445</v>
      </c>
      <c r="K4947" t="s">
        <v>446</v>
      </c>
      <c r="M4947">
        <v>3111</v>
      </c>
      <c r="N4947" t="s">
        <v>16188</v>
      </c>
    </row>
    <row r="4948" spans="1:14">
      <c r="A4948">
        <v>20521020</v>
      </c>
      <c r="B4948">
        <v>4011649</v>
      </c>
      <c r="C4948" t="s">
        <v>10624</v>
      </c>
      <c r="D4948" t="s">
        <v>441</v>
      </c>
      <c r="F4948">
        <v>0</v>
      </c>
      <c r="G4948">
        <v>8.89</v>
      </c>
      <c r="H4948" t="s">
        <v>8588</v>
      </c>
      <c r="I4948">
        <v>6</v>
      </c>
      <c r="J4948" t="s">
        <v>462</v>
      </c>
      <c r="K4948" t="s">
        <v>446</v>
      </c>
      <c r="M4948">
        <v>2641</v>
      </c>
      <c r="N4948" t="s">
        <v>16188</v>
      </c>
    </row>
    <row r="4949" spans="1:14">
      <c r="A4949">
        <v>20521021</v>
      </c>
      <c r="B4949">
        <v>4011621</v>
      </c>
      <c r="C4949" t="s">
        <v>10625</v>
      </c>
      <c r="D4949" t="s">
        <v>441</v>
      </c>
      <c r="F4949">
        <v>0</v>
      </c>
      <c r="G4949">
        <v>6.5</v>
      </c>
      <c r="H4949" t="s">
        <v>8588</v>
      </c>
      <c r="I4949">
        <v>6</v>
      </c>
      <c r="J4949" t="s">
        <v>462</v>
      </c>
      <c r="K4949" t="s">
        <v>446</v>
      </c>
      <c r="M4949">
        <v>2641</v>
      </c>
    </row>
    <row r="4950" spans="1:14">
      <c r="A4950">
        <v>20521022</v>
      </c>
      <c r="B4950">
        <v>4011839</v>
      </c>
      <c r="C4950" t="s">
        <v>10626</v>
      </c>
      <c r="D4950" t="s">
        <v>441</v>
      </c>
      <c r="F4950">
        <v>0</v>
      </c>
      <c r="G4950">
        <v>7.97</v>
      </c>
      <c r="H4950" t="s">
        <v>8588</v>
      </c>
      <c r="I4950">
        <v>6</v>
      </c>
      <c r="J4950" t="s">
        <v>462</v>
      </c>
      <c r="K4950" t="s">
        <v>446</v>
      </c>
      <c r="M4950">
        <v>2612</v>
      </c>
    </row>
    <row r="4951" spans="1:14">
      <c r="A4951">
        <v>20521023</v>
      </c>
      <c r="B4951">
        <v>4011893</v>
      </c>
      <c r="C4951" t="s">
        <v>10627</v>
      </c>
      <c r="D4951" t="s">
        <v>441</v>
      </c>
      <c r="F4951">
        <v>0</v>
      </c>
      <c r="G4951">
        <v>7.4</v>
      </c>
      <c r="H4951" t="s">
        <v>8588</v>
      </c>
      <c r="I4951">
        <v>6</v>
      </c>
      <c r="J4951" t="s">
        <v>462</v>
      </c>
      <c r="K4951" t="s">
        <v>446</v>
      </c>
      <c r="M4951">
        <v>2641</v>
      </c>
    </row>
    <row r="4952" spans="1:14">
      <c r="A4952">
        <v>20521031</v>
      </c>
      <c r="B4952">
        <v>4015024</v>
      </c>
      <c r="C4952" t="s">
        <v>10628</v>
      </c>
      <c r="D4952" t="s">
        <v>441</v>
      </c>
      <c r="F4952">
        <v>0</v>
      </c>
      <c r="G4952">
        <v>8.4</v>
      </c>
      <c r="H4952" t="s">
        <v>8588</v>
      </c>
      <c r="I4952">
        <v>12</v>
      </c>
      <c r="J4952" t="s">
        <v>462</v>
      </c>
      <c r="K4952" t="s">
        <v>446</v>
      </c>
      <c r="M4952">
        <v>2611</v>
      </c>
    </row>
    <row r="4953" spans="1:14">
      <c r="A4953">
        <v>20521033</v>
      </c>
      <c r="B4953">
        <v>4011622</v>
      </c>
      <c r="C4953" t="s">
        <v>10629</v>
      </c>
      <c r="D4953" t="s">
        <v>441</v>
      </c>
      <c r="F4953">
        <v>0</v>
      </c>
      <c r="G4953">
        <v>8.8000000000000007</v>
      </c>
      <c r="H4953" t="s">
        <v>8588</v>
      </c>
      <c r="I4953">
        <v>12</v>
      </c>
      <c r="J4953" t="s">
        <v>462</v>
      </c>
      <c r="K4953" t="s">
        <v>446</v>
      </c>
      <c r="M4953">
        <v>2611</v>
      </c>
    </row>
    <row r="4954" spans="1:14">
      <c r="A4954">
        <v>20521035</v>
      </c>
      <c r="B4954">
        <v>4011623</v>
      </c>
      <c r="C4954" t="s">
        <v>10630</v>
      </c>
      <c r="D4954" t="s">
        <v>441</v>
      </c>
      <c r="F4954">
        <v>0</v>
      </c>
      <c r="G4954">
        <v>8.57</v>
      </c>
      <c r="H4954" t="s">
        <v>8588</v>
      </c>
      <c r="I4954">
        <v>9</v>
      </c>
      <c r="J4954" t="s">
        <v>462</v>
      </c>
      <c r="K4954" t="s">
        <v>446</v>
      </c>
      <c r="M4954">
        <v>2611</v>
      </c>
    </row>
    <row r="4955" spans="1:14">
      <c r="A4955">
        <v>20521037</v>
      </c>
      <c r="B4955">
        <v>4011624</v>
      </c>
      <c r="C4955" t="s">
        <v>10631</v>
      </c>
      <c r="D4955" t="s">
        <v>441</v>
      </c>
      <c r="F4955">
        <v>0</v>
      </c>
      <c r="G4955">
        <v>10.02</v>
      </c>
      <c r="H4955" t="s">
        <v>8588</v>
      </c>
      <c r="I4955">
        <v>12</v>
      </c>
      <c r="J4955" t="s">
        <v>462</v>
      </c>
      <c r="K4955" t="s">
        <v>446</v>
      </c>
      <c r="M4955">
        <v>2611</v>
      </c>
    </row>
    <row r="4956" spans="1:14">
      <c r="A4956">
        <v>20521038</v>
      </c>
      <c r="B4956">
        <v>4013736</v>
      </c>
      <c r="C4956" t="s">
        <v>10632</v>
      </c>
      <c r="D4956" t="s">
        <v>441</v>
      </c>
      <c r="F4956">
        <v>0</v>
      </c>
      <c r="G4956">
        <v>8.5500000000000007</v>
      </c>
      <c r="H4956" t="s">
        <v>8588</v>
      </c>
      <c r="I4956">
        <v>12</v>
      </c>
      <c r="J4956" t="s">
        <v>462</v>
      </c>
      <c r="K4956" t="s">
        <v>446</v>
      </c>
      <c r="M4956">
        <v>2611</v>
      </c>
    </row>
    <row r="4957" spans="1:14">
      <c r="A4957">
        <v>20523000</v>
      </c>
      <c r="B4957">
        <v>3007861</v>
      </c>
      <c r="C4957" t="s">
        <v>2666</v>
      </c>
      <c r="D4957" t="s">
        <v>441</v>
      </c>
      <c r="F4957">
        <v>0</v>
      </c>
      <c r="G4957">
        <v>7.26</v>
      </c>
      <c r="H4957" t="s">
        <v>8580</v>
      </c>
      <c r="I4957">
        <v>6</v>
      </c>
      <c r="J4957" t="s">
        <v>445</v>
      </c>
      <c r="K4957" t="s">
        <v>446</v>
      </c>
      <c r="M4957">
        <v>2390</v>
      </c>
    </row>
    <row r="4958" spans="1:14">
      <c r="A4958">
        <v>20524000</v>
      </c>
      <c r="B4958">
        <v>3035903</v>
      </c>
      <c r="C4958" t="s">
        <v>2667</v>
      </c>
      <c r="D4958" t="s">
        <v>441</v>
      </c>
      <c r="F4958">
        <v>0</v>
      </c>
      <c r="G4958">
        <v>7.17</v>
      </c>
      <c r="H4958" t="s">
        <v>8580</v>
      </c>
      <c r="I4958">
        <v>6</v>
      </c>
      <c r="J4958" t="s">
        <v>445</v>
      </c>
      <c r="M4958">
        <v>2391</v>
      </c>
      <c r="N4958" t="s">
        <v>16188</v>
      </c>
    </row>
    <row r="4959" spans="1:14">
      <c r="A4959">
        <v>20530000</v>
      </c>
      <c r="B4959">
        <v>3021341</v>
      </c>
      <c r="C4959" t="s">
        <v>2668</v>
      </c>
      <c r="D4959" t="s">
        <v>441</v>
      </c>
      <c r="F4959">
        <v>0</v>
      </c>
      <c r="G4959">
        <v>16.100000000000001</v>
      </c>
      <c r="H4959" t="s">
        <v>8588</v>
      </c>
      <c r="I4959">
        <v>6</v>
      </c>
      <c r="J4959" t="s">
        <v>445</v>
      </c>
      <c r="M4959">
        <v>2391</v>
      </c>
      <c r="N4959" t="s">
        <v>16186</v>
      </c>
    </row>
    <row r="4960" spans="1:14">
      <c r="A4960">
        <v>20530002</v>
      </c>
      <c r="B4960">
        <v>3041835</v>
      </c>
      <c r="C4960" t="s">
        <v>2669</v>
      </c>
      <c r="D4960" t="s">
        <v>441</v>
      </c>
      <c r="F4960">
        <v>0</v>
      </c>
      <c r="G4960">
        <v>17.3</v>
      </c>
      <c r="H4960" t="s">
        <v>8588</v>
      </c>
      <c r="I4960">
        <v>540</v>
      </c>
      <c r="J4960" t="s">
        <v>445</v>
      </c>
      <c r="M4960">
        <v>7113</v>
      </c>
      <c r="N4960" t="s">
        <v>16186</v>
      </c>
    </row>
    <row r="4961" spans="1:14">
      <c r="A4961">
        <v>20530020</v>
      </c>
      <c r="B4961">
        <v>4019288</v>
      </c>
      <c r="C4961" t="s">
        <v>2670</v>
      </c>
      <c r="D4961" t="s">
        <v>441</v>
      </c>
      <c r="F4961">
        <v>0</v>
      </c>
      <c r="G4961">
        <v>16.559999999999999</v>
      </c>
      <c r="H4961" t="s">
        <v>8588</v>
      </c>
      <c r="I4961">
        <v>6</v>
      </c>
      <c r="J4961" t="s">
        <v>462</v>
      </c>
      <c r="L4961">
        <v>2062747</v>
      </c>
      <c r="M4961">
        <v>7112</v>
      </c>
      <c r="N4961" t="s">
        <v>16186</v>
      </c>
    </row>
    <row r="4962" spans="1:14">
      <c r="A4962">
        <v>20530026</v>
      </c>
      <c r="B4962">
        <v>4029562</v>
      </c>
      <c r="C4962" t="s">
        <v>15305</v>
      </c>
      <c r="D4962" t="s">
        <v>441</v>
      </c>
      <c r="F4962">
        <v>0</v>
      </c>
      <c r="G4962">
        <v>18.02</v>
      </c>
      <c r="H4962" t="s">
        <v>8588</v>
      </c>
      <c r="I4962">
        <v>540</v>
      </c>
      <c r="J4962" t="s">
        <v>462</v>
      </c>
      <c r="M4962">
        <v>7111</v>
      </c>
      <c r="N4962" t="s">
        <v>16186</v>
      </c>
    </row>
    <row r="4963" spans="1:14">
      <c r="A4963">
        <v>20530028</v>
      </c>
      <c r="B4963">
        <v>4014030</v>
      </c>
      <c r="C4963" t="s">
        <v>10633</v>
      </c>
      <c r="D4963" t="s">
        <v>441</v>
      </c>
      <c r="F4963">
        <v>0</v>
      </c>
      <c r="G4963">
        <v>14.33</v>
      </c>
      <c r="H4963" t="s">
        <v>8588</v>
      </c>
      <c r="I4963">
        <v>540</v>
      </c>
      <c r="J4963" t="s">
        <v>462</v>
      </c>
      <c r="K4963" t="s">
        <v>446</v>
      </c>
      <c r="L4963" t="s">
        <v>10634</v>
      </c>
      <c r="M4963">
        <v>2501</v>
      </c>
      <c r="N4963" t="s">
        <v>16186</v>
      </c>
    </row>
    <row r="4964" spans="1:14">
      <c r="A4964">
        <v>20530030</v>
      </c>
      <c r="B4964">
        <v>4019287</v>
      </c>
      <c r="C4964" t="s">
        <v>2671</v>
      </c>
      <c r="D4964" t="s">
        <v>441</v>
      </c>
      <c r="F4964">
        <v>0</v>
      </c>
      <c r="G4964">
        <v>20.420000000000002</v>
      </c>
      <c r="H4964" t="s">
        <v>8588</v>
      </c>
      <c r="I4964">
        <v>10</v>
      </c>
      <c r="J4964" t="s">
        <v>462</v>
      </c>
      <c r="M4964">
        <v>7112</v>
      </c>
      <c r="N4964" t="s">
        <v>16186</v>
      </c>
    </row>
    <row r="4965" spans="1:14">
      <c r="A4965">
        <v>20530075</v>
      </c>
      <c r="B4965">
        <v>3039627</v>
      </c>
      <c r="C4965" t="s">
        <v>2672</v>
      </c>
      <c r="D4965" t="s">
        <v>441</v>
      </c>
      <c r="F4965">
        <v>0</v>
      </c>
      <c r="G4965">
        <v>16.329999999999998</v>
      </c>
      <c r="H4965" t="s">
        <v>8588</v>
      </c>
      <c r="I4965">
        <v>6</v>
      </c>
      <c r="J4965" t="s">
        <v>445</v>
      </c>
      <c r="M4965">
        <v>7112</v>
      </c>
      <c r="N4965" t="s">
        <v>16186</v>
      </c>
    </row>
    <row r="4966" spans="1:14">
      <c r="A4966">
        <v>20530502</v>
      </c>
      <c r="B4966">
        <v>3041883</v>
      </c>
      <c r="C4966" t="s">
        <v>2673</v>
      </c>
      <c r="D4966" t="s">
        <v>441</v>
      </c>
      <c r="F4966">
        <v>0</v>
      </c>
      <c r="G4966">
        <v>16.86</v>
      </c>
      <c r="H4966" t="s">
        <v>8588</v>
      </c>
      <c r="I4966">
        <v>540</v>
      </c>
      <c r="J4966" t="s">
        <v>445</v>
      </c>
      <c r="M4966">
        <v>2502</v>
      </c>
      <c r="N4966" t="s">
        <v>16186</v>
      </c>
    </row>
    <row r="4967" spans="1:14">
      <c r="A4967">
        <v>20530526</v>
      </c>
      <c r="B4967">
        <v>3044629</v>
      </c>
      <c r="C4967" t="s">
        <v>15269</v>
      </c>
      <c r="D4967" t="s">
        <v>441</v>
      </c>
      <c r="F4967">
        <v>0</v>
      </c>
      <c r="G4967">
        <v>18.559999999999999</v>
      </c>
      <c r="H4967" t="s">
        <v>8588</v>
      </c>
      <c r="I4967">
        <v>540</v>
      </c>
      <c r="J4967" t="s">
        <v>445</v>
      </c>
      <c r="M4967">
        <v>2502</v>
      </c>
      <c r="N4967" t="s">
        <v>16186</v>
      </c>
    </row>
    <row r="4968" spans="1:14">
      <c r="A4968">
        <v>20530528</v>
      </c>
      <c r="B4968">
        <v>3021354</v>
      </c>
      <c r="C4968" t="s">
        <v>10635</v>
      </c>
      <c r="D4968" t="s">
        <v>441</v>
      </c>
      <c r="F4968">
        <v>0</v>
      </c>
      <c r="G4968">
        <v>14.14</v>
      </c>
      <c r="H4968" t="s">
        <v>8584</v>
      </c>
      <c r="I4968">
        <v>6</v>
      </c>
      <c r="J4968" t="s">
        <v>445</v>
      </c>
      <c r="K4968" t="s">
        <v>446</v>
      </c>
      <c r="M4968">
        <v>2641</v>
      </c>
      <c r="N4968" t="s">
        <v>16186</v>
      </c>
    </row>
    <row r="4969" spans="1:14">
      <c r="A4969">
        <v>20531000</v>
      </c>
      <c r="B4969">
        <v>3021343</v>
      </c>
      <c r="C4969" t="s">
        <v>2674</v>
      </c>
      <c r="D4969" t="s">
        <v>441</v>
      </c>
      <c r="F4969">
        <v>0</v>
      </c>
      <c r="G4969">
        <v>16.100000000000001</v>
      </c>
      <c r="H4969" t="s">
        <v>8588</v>
      </c>
      <c r="I4969">
        <v>6</v>
      </c>
      <c r="J4969" t="s">
        <v>445</v>
      </c>
      <c r="M4969">
        <v>2391</v>
      </c>
      <c r="N4969" t="s">
        <v>16186</v>
      </c>
    </row>
    <row r="4970" spans="1:14">
      <c r="A4970">
        <v>20531028</v>
      </c>
      <c r="B4970">
        <v>4014031</v>
      </c>
      <c r="C4970" t="s">
        <v>10636</v>
      </c>
      <c r="D4970" t="s">
        <v>441</v>
      </c>
      <c r="F4970">
        <v>0</v>
      </c>
      <c r="G4970">
        <v>12.7</v>
      </c>
      <c r="H4970" t="s">
        <v>8588</v>
      </c>
      <c r="I4970">
        <v>365</v>
      </c>
      <c r="J4970" t="s">
        <v>462</v>
      </c>
      <c r="K4970" t="s">
        <v>446</v>
      </c>
      <c r="L4970" t="s">
        <v>10634</v>
      </c>
      <c r="M4970">
        <v>2501</v>
      </c>
      <c r="N4970" t="s">
        <v>16186</v>
      </c>
    </row>
    <row r="4971" spans="1:14">
      <c r="A4971">
        <v>20531528</v>
      </c>
      <c r="B4971">
        <v>3021355</v>
      </c>
      <c r="C4971" t="s">
        <v>10637</v>
      </c>
      <c r="D4971" t="s">
        <v>441</v>
      </c>
      <c r="F4971">
        <v>0</v>
      </c>
      <c r="G4971">
        <v>12.51</v>
      </c>
      <c r="H4971" t="s">
        <v>8580</v>
      </c>
      <c r="I4971">
        <v>6</v>
      </c>
      <c r="J4971" t="s">
        <v>445</v>
      </c>
      <c r="K4971" t="s">
        <v>446</v>
      </c>
      <c r="M4971">
        <v>2641</v>
      </c>
      <c r="N4971" t="s">
        <v>16186</v>
      </c>
    </row>
    <row r="4972" spans="1:14">
      <c r="A4972">
        <v>20540000</v>
      </c>
      <c r="B4972">
        <v>3027531</v>
      </c>
      <c r="C4972" t="s">
        <v>2675</v>
      </c>
      <c r="D4972" t="s">
        <v>441</v>
      </c>
      <c r="F4972">
        <v>0</v>
      </c>
      <c r="G4972">
        <v>15.77</v>
      </c>
      <c r="H4972" t="s">
        <v>8549</v>
      </c>
      <c r="I4972">
        <v>6</v>
      </c>
      <c r="J4972" t="s">
        <v>445</v>
      </c>
      <c r="M4972">
        <v>2391</v>
      </c>
      <c r="N4972" t="s">
        <v>16101</v>
      </c>
    </row>
    <row r="4973" spans="1:14">
      <c r="A4973">
        <v>20540028</v>
      </c>
      <c r="B4973">
        <v>4018293</v>
      </c>
      <c r="C4973" t="s">
        <v>2676</v>
      </c>
      <c r="D4973" t="s">
        <v>441</v>
      </c>
      <c r="F4973">
        <v>0</v>
      </c>
      <c r="G4973">
        <v>17.18</v>
      </c>
      <c r="H4973" t="s">
        <v>8588</v>
      </c>
      <c r="I4973">
        <v>540</v>
      </c>
      <c r="J4973" t="s">
        <v>462</v>
      </c>
      <c r="M4973">
        <v>7111</v>
      </c>
      <c r="N4973" t="s">
        <v>16101</v>
      </c>
    </row>
    <row r="4974" spans="1:14">
      <c r="A4974">
        <v>20540528</v>
      </c>
      <c r="B4974">
        <v>3027539</v>
      </c>
      <c r="C4974" t="s">
        <v>2677</v>
      </c>
      <c r="D4974" t="s">
        <v>441</v>
      </c>
      <c r="F4974">
        <v>0</v>
      </c>
      <c r="G4974">
        <v>16.7</v>
      </c>
      <c r="H4974" t="s">
        <v>8588</v>
      </c>
      <c r="I4974">
        <v>6</v>
      </c>
      <c r="J4974" t="s">
        <v>445</v>
      </c>
      <c r="M4974">
        <v>2502</v>
      </c>
      <c r="N4974" t="s">
        <v>16101</v>
      </c>
    </row>
    <row r="4975" spans="1:14">
      <c r="A4975">
        <v>20550000</v>
      </c>
      <c r="B4975">
        <v>3027533</v>
      </c>
      <c r="C4975" t="s">
        <v>2678</v>
      </c>
      <c r="D4975" t="s">
        <v>441</v>
      </c>
      <c r="F4975">
        <v>0</v>
      </c>
      <c r="G4975">
        <v>15.77</v>
      </c>
      <c r="H4975" t="s">
        <v>8549</v>
      </c>
      <c r="I4975">
        <v>6</v>
      </c>
      <c r="J4975" t="s">
        <v>445</v>
      </c>
      <c r="M4975">
        <v>2391</v>
      </c>
      <c r="N4975" t="s">
        <v>16101</v>
      </c>
    </row>
    <row r="4976" spans="1:14">
      <c r="A4976">
        <v>20550028</v>
      </c>
      <c r="B4976">
        <v>4018292</v>
      </c>
      <c r="C4976" t="s">
        <v>2679</v>
      </c>
      <c r="D4976" t="s">
        <v>441</v>
      </c>
      <c r="F4976">
        <v>0</v>
      </c>
      <c r="G4976">
        <v>17.18</v>
      </c>
      <c r="H4976" t="s">
        <v>8588</v>
      </c>
      <c r="I4976">
        <v>540</v>
      </c>
      <c r="J4976" t="s">
        <v>462</v>
      </c>
      <c r="M4976">
        <v>7111</v>
      </c>
      <c r="N4976" t="s">
        <v>16101</v>
      </c>
    </row>
    <row r="4977" spans="1:14">
      <c r="A4977">
        <v>20550528</v>
      </c>
      <c r="B4977">
        <v>3027542</v>
      </c>
      <c r="C4977" t="s">
        <v>2680</v>
      </c>
      <c r="D4977" t="s">
        <v>441</v>
      </c>
      <c r="F4977">
        <v>0</v>
      </c>
      <c r="G4977">
        <v>16.7</v>
      </c>
      <c r="H4977" t="s">
        <v>8588</v>
      </c>
      <c r="I4977">
        <v>6</v>
      </c>
      <c r="J4977" t="s">
        <v>445</v>
      </c>
      <c r="M4977">
        <v>2502</v>
      </c>
      <c r="N4977" t="s">
        <v>16101</v>
      </c>
    </row>
    <row r="4978" spans="1:14">
      <c r="A4978">
        <v>20560000</v>
      </c>
      <c r="B4978">
        <v>3027535</v>
      </c>
      <c r="C4978" t="s">
        <v>2681</v>
      </c>
      <c r="D4978" t="s">
        <v>441</v>
      </c>
      <c r="F4978">
        <v>0</v>
      </c>
      <c r="G4978">
        <v>15.77</v>
      </c>
      <c r="H4978" t="s">
        <v>8549</v>
      </c>
      <c r="I4978">
        <v>6</v>
      </c>
      <c r="J4978" t="s">
        <v>445</v>
      </c>
      <c r="M4978">
        <v>2391</v>
      </c>
      <c r="N4978" t="s">
        <v>16101</v>
      </c>
    </row>
    <row r="4979" spans="1:14">
      <c r="A4979">
        <v>20560028</v>
      </c>
      <c r="B4979">
        <v>4018291</v>
      </c>
      <c r="C4979" t="s">
        <v>2682</v>
      </c>
      <c r="D4979" t="s">
        <v>441</v>
      </c>
      <c r="F4979">
        <v>0</v>
      </c>
      <c r="G4979">
        <v>17.18</v>
      </c>
      <c r="H4979" t="s">
        <v>8588</v>
      </c>
      <c r="I4979">
        <v>540</v>
      </c>
      <c r="J4979" t="s">
        <v>462</v>
      </c>
      <c r="M4979">
        <v>7111</v>
      </c>
      <c r="N4979" t="s">
        <v>16101</v>
      </c>
    </row>
    <row r="4980" spans="1:14">
      <c r="A4980">
        <v>20560528</v>
      </c>
      <c r="B4980">
        <v>3027543</v>
      </c>
      <c r="C4980" t="s">
        <v>2683</v>
      </c>
      <c r="D4980" t="s">
        <v>441</v>
      </c>
      <c r="F4980">
        <v>0</v>
      </c>
      <c r="G4980">
        <v>16.7</v>
      </c>
      <c r="H4980" t="s">
        <v>8588</v>
      </c>
      <c r="I4980">
        <v>6</v>
      </c>
      <c r="J4980" t="s">
        <v>445</v>
      </c>
      <c r="M4980">
        <v>2502</v>
      </c>
      <c r="N4980" t="s">
        <v>16101</v>
      </c>
    </row>
    <row r="4981" spans="1:14">
      <c r="A4981">
        <v>20570000</v>
      </c>
      <c r="B4981">
        <v>3027538</v>
      </c>
      <c r="C4981" t="s">
        <v>2684</v>
      </c>
      <c r="D4981" t="s">
        <v>441</v>
      </c>
      <c r="F4981">
        <v>0</v>
      </c>
      <c r="G4981">
        <v>15.77</v>
      </c>
      <c r="H4981" t="s">
        <v>8549</v>
      </c>
      <c r="I4981">
        <v>6</v>
      </c>
      <c r="J4981" t="s">
        <v>445</v>
      </c>
      <c r="M4981">
        <v>2391</v>
      </c>
      <c r="N4981" t="s">
        <v>16101</v>
      </c>
    </row>
    <row r="4982" spans="1:14">
      <c r="A4982">
        <v>20570028</v>
      </c>
      <c r="B4982">
        <v>4018290</v>
      </c>
      <c r="C4982" t="s">
        <v>2685</v>
      </c>
      <c r="D4982" t="s">
        <v>441</v>
      </c>
      <c r="F4982">
        <v>0</v>
      </c>
      <c r="G4982">
        <v>17.18</v>
      </c>
      <c r="H4982" t="s">
        <v>8588</v>
      </c>
      <c r="I4982">
        <v>540</v>
      </c>
      <c r="J4982" t="s">
        <v>462</v>
      </c>
      <c r="M4982">
        <v>7111</v>
      </c>
      <c r="N4982" t="s">
        <v>16101</v>
      </c>
    </row>
    <row r="4983" spans="1:14">
      <c r="A4983">
        <v>20570528</v>
      </c>
      <c r="B4983">
        <v>3027546</v>
      </c>
      <c r="C4983" t="s">
        <v>2686</v>
      </c>
      <c r="D4983" t="s">
        <v>441</v>
      </c>
      <c r="F4983">
        <v>0</v>
      </c>
      <c r="G4983">
        <v>16.7</v>
      </c>
      <c r="H4983" t="s">
        <v>8588</v>
      </c>
      <c r="I4983">
        <v>6</v>
      </c>
      <c r="J4983" t="s">
        <v>445</v>
      </c>
      <c r="M4983">
        <v>2502</v>
      </c>
      <c r="N4983" t="s">
        <v>16101</v>
      </c>
    </row>
    <row r="4984" spans="1:14">
      <c r="A4984">
        <v>20580000</v>
      </c>
      <c r="B4984">
        <v>3029130</v>
      </c>
      <c r="C4984" t="s">
        <v>2687</v>
      </c>
      <c r="D4984" t="s">
        <v>441</v>
      </c>
      <c r="F4984">
        <v>0</v>
      </c>
      <c r="G4984">
        <v>17.55</v>
      </c>
      <c r="H4984" t="s">
        <v>8549</v>
      </c>
      <c r="I4984">
        <v>6</v>
      </c>
      <c r="J4984" t="s">
        <v>445</v>
      </c>
      <c r="M4984">
        <v>2391</v>
      </c>
      <c r="N4984" t="s">
        <v>16190</v>
      </c>
    </row>
    <row r="4985" spans="1:14">
      <c r="A4985">
        <v>20580007</v>
      </c>
      <c r="B4985">
        <v>3040866</v>
      </c>
      <c r="C4985" t="s">
        <v>2688</v>
      </c>
      <c r="D4985" t="s">
        <v>441</v>
      </c>
      <c r="F4985">
        <v>0</v>
      </c>
      <c r="G4985">
        <v>17.71</v>
      </c>
      <c r="H4985" t="s">
        <v>8549</v>
      </c>
      <c r="I4985">
        <v>6</v>
      </c>
      <c r="J4985" t="s">
        <v>445</v>
      </c>
      <c r="M4985">
        <v>3111</v>
      </c>
      <c r="N4985" t="s">
        <v>16190</v>
      </c>
    </row>
    <row r="4986" spans="1:14">
      <c r="A4986">
        <v>20580027</v>
      </c>
      <c r="B4986">
        <v>4019804</v>
      </c>
      <c r="C4986" t="s">
        <v>10638</v>
      </c>
      <c r="D4986" t="s">
        <v>441</v>
      </c>
      <c r="F4986">
        <v>0</v>
      </c>
      <c r="G4986">
        <v>14</v>
      </c>
      <c r="H4986" t="s">
        <v>8588</v>
      </c>
      <c r="I4986">
        <v>365</v>
      </c>
      <c r="J4986" t="s">
        <v>462</v>
      </c>
      <c r="K4986" t="s">
        <v>446</v>
      </c>
      <c r="M4986">
        <v>2501</v>
      </c>
      <c r="N4986" t="s">
        <v>16190</v>
      </c>
    </row>
    <row r="4987" spans="1:14">
      <c r="A4987">
        <v>20580028</v>
      </c>
      <c r="B4987">
        <v>4019273</v>
      </c>
      <c r="C4987" t="s">
        <v>2689</v>
      </c>
      <c r="D4987" t="s">
        <v>441</v>
      </c>
      <c r="F4987">
        <v>0</v>
      </c>
      <c r="G4987">
        <v>19.059999999999999</v>
      </c>
      <c r="H4987" t="s">
        <v>8588</v>
      </c>
      <c r="I4987">
        <v>540</v>
      </c>
      <c r="J4987" t="s">
        <v>462</v>
      </c>
      <c r="M4987">
        <v>7111</v>
      </c>
      <c r="N4987" t="s">
        <v>16190</v>
      </c>
    </row>
    <row r="4988" spans="1:14">
      <c r="A4988">
        <v>20580030</v>
      </c>
      <c r="B4988">
        <v>4026621</v>
      </c>
      <c r="C4988" t="s">
        <v>2690</v>
      </c>
      <c r="D4988" t="s">
        <v>441</v>
      </c>
      <c r="F4988">
        <v>0</v>
      </c>
      <c r="G4988">
        <v>18.12</v>
      </c>
      <c r="H4988" t="s">
        <v>8588</v>
      </c>
      <c r="I4988">
        <v>12</v>
      </c>
      <c r="J4988" t="s">
        <v>462</v>
      </c>
      <c r="M4988">
        <v>7112</v>
      </c>
      <c r="N4988" t="s">
        <v>16190</v>
      </c>
    </row>
    <row r="4989" spans="1:14">
      <c r="A4989">
        <v>20580527</v>
      </c>
      <c r="B4989">
        <v>3029941</v>
      </c>
      <c r="C4989" t="s">
        <v>10639</v>
      </c>
      <c r="D4989" t="s">
        <v>441</v>
      </c>
      <c r="F4989">
        <v>0</v>
      </c>
      <c r="G4989">
        <v>13.81</v>
      </c>
      <c r="H4989" t="s">
        <v>8588</v>
      </c>
      <c r="I4989">
        <v>365</v>
      </c>
      <c r="J4989" t="s">
        <v>445</v>
      </c>
      <c r="K4989" t="s">
        <v>446</v>
      </c>
      <c r="M4989">
        <v>2641</v>
      </c>
      <c r="N4989" t="s">
        <v>16190</v>
      </c>
    </row>
    <row r="4990" spans="1:14">
      <c r="A4990">
        <v>20580528</v>
      </c>
      <c r="B4990">
        <v>3029131</v>
      </c>
      <c r="C4990" t="s">
        <v>2691</v>
      </c>
      <c r="D4990" t="s">
        <v>441</v>
      </c>
      <c r="F4990">
        <v>0</v>
      </c>
      <c r="G4990">
        <v>18.77</v>
      </c>
      <c r="H4990" t="s">
        <v>8588</v>
      </c>
      <c r="I4990">
        <v>540</v>
      </c>
      <c r="J4990" t="s">
        <v>445</v>
      </c>
      <c r="M4990">
        <v>2502</v>
      </c>
      <c r="N4990" t="s">
        <v>16190</v>
      </c>
    </row>
    <row r="4991" spans="1:14">
      <c r="A4991">
        <v>20580907</v>
      </c>
      <c r="B4991">
        <v>3040870</v>
      </c>
      <c r="C4991" t="s">
        <v>2692</v>
      </c>
      <c r="D4991" t="s">
        <v>441</v>
      </c>
      <c r="F4991">
        <v>0</v>
      </c>
      <c r="G4991">
        <v>16.78</v>
      </c>
      <c r="I4991">
        <v>6</v>
      </c>
      <c r="J4991" t="s">
        <v>445</v>
      </c>
      <c r="M4991">
        <v>6666</v>
      </c>
      <c r="N4991" t="s">
        <v>16190</v>
      </c>
    </row>
    <row r="4992" spans="1:14">
      <c r="A4992">
        <v>20590000</v>
      </c>
      <c r="B4992">
        <v>3029456</v>
      </c>
      <c r="C4992" t="s">
        <v>2693</v>
      </c>
      <c r="D4992" t="s">
        <v>441</v>
      </c>
      <c r="F4992">
        <v>0</v>
      </c>
      <c r="G4992">
        <v>11.98</v>
      </c>
      <c r="H4992" t="s">
        <v>8549</v>
      </c>
      <c r="I4992">
        <v>6</v>
      </c>
      <c r="J4992" t="s">
        <v>445</v>
      </c>
      <c r="M4992">
        <v>2391</v>
      </c>
      <c r="N4992" t="s">
        <v>16191</v>
      </c>
    </row>
    <row r="4993" spans="1:14">
      <c r="A4993">
        <v>20594000</v>
      </c>
      <c r="B4993">
        <v>3039823</v>
      </c>
      <c r="C4993" t="s">
        <v>2694</v>
      </c>
      <c r="D4993" t="s">
        <v>441</v>
      </c>
      <c r="F4993">
        <v>0</v>
      </c>
      <c r="G4993">
        <v>11.98</v>
      </c>
      <c r="H4993" t="s">
        <v>8549</v>
      </c>
      <c r="I4993">
        <v>6</v>
      </c>
      <c r="J4993" t="s">
        <v>445</v>
      </c>
      <c r="M4993">
        <v>2391</v>
      </c>
      <c r="N4993" t="s">
        <v>16191</v>
      </c>
    </row>
    <row r="4994" spans="1:14">
      <c r="A4994">
        <v>20600000</v>
      </c>
      <c r="B4994">
        <v>3029457</v>
      </c>
      <c r="C4994" t="s">
        <v>2695</v>
      </c>
      <c r="D4994" t="s">
        <v>441</v>
      </c>
      <c r="F4994">
        <v>0</v>
      </c>
      <c r="G4994">
        <v>14.16</v>
      </c>
      <c r="H4994" t="s">
        <v>8549</v>
      </c>
      <c r="I4994">
        <v>6</v>
      </c>
      <c r="J4994" t="s">
        <v>445</v>
      </c>
      <c r="M4994">
        <v>2391</v>
      </c>
      <c r="N4994" t="s">
        <v>16192</v>
      </c>
    </row>
    <row r="4995" spans="1:14">
      <c r="A4995">
        <v>20600002</v>
      </c>
      <c r="B4995">
        <v>3039806</v>
      </c>
      <c r="C4995" t="s">
        <v>2696</v>
      </c>
      <c r="D4995" t="s">
        <v>441</v>
      </c>
      <c r="F4995">
        <v>0</v>
      </c>
      <c r="G4995">
        <v>14.78</v>
      </c>
      <c r="H4995" t="s">
        <v>8549</v>
      </c>
      <c r="I4995">
        <v>540</v>
      </c>
      <c r="J4995" t="s">
        <v>445</v>
      </c>
      <c r="M4995">
        <v>7111</v>
      </c>
      <c r="N4995" t="s">
        <v>16192</v>
      </c>
    </row>
    <row r="4996" spans="1:14">
      <c r="A4996">
        <v>20600019</v>
      </c>
      <c r="B4996">
        <v>3040293</v>
      </c>
      <c r="C4996" t="s">
        <v>2697</v>
      </c>
      <c r="D4996" t="s">
        <v>441</v>
      </c>
      <c r="F4996">
        <v>0</v>
      </c>
      <c r="G4996">
        <v>14.78</v>
      </c>
      <c r="H4996" t="s">
        <v>8549</v>
      </c>
      <c r="I4996">
        <v>540</v>
      </c>
      <c r="J4996" t="s">
        <v>445</v>
      </c>
      <c r="M4996">
        <v>7111</v>
      </c>
      <c r="N4996" t="s">
        <v>16192</v>
      </c>
    </row>
    <row r="4997" spans="1:14">
      <c r="A4997">
        <v>20600030</v>
      </c>
      <c r="B4997">
        <v>4019642</v>
      </c>
      <c r="C4997" t="s">
        <v>10640</v>
      </c>
      <c r="D4997" t="s">
        <v>441</v>
      </c>
      <c r="F4997">
        <v>0</v>
      </c>
      <c r="G4997">
        <v>11.22</v>
      </c>
      <c r="H4997" t="s">
        <v>8588</v>
      </c>
      <c r="I4997">
        <v>10</v>
      </c>
      <c r="J4997" t="s">
        <v>462</v>
      </c>
      <c r="K4997" t="s">
        <v>446</v>
      </c>
      <c r="M4997">
        <v>2612</v>
      </c>
      <c r="N4997" t="s">
        <v>16192</v>
      </c>
    </row>
    <row r="4998" spans="1:14">
      <c r="A4998">
        <v>20600050</v>
      </c>
      <c r="B4998">
        <v>4019585</v>
      </c>
      <c r="C4998" t="s">
        <v>2698</v>
      </c>
      <c r="D4998" t="s">
        <v>441</v>
      </c>
      <c r="F4998">
        <v>0</v>
      </c>
      <c r="G4998">
        <v>12.64</v>
      </c>
      <c r="H4998" t="s">
        <v>8588</v>
      </c>
      <c r="I4998">
        <v>12</v>
      </c>
      <c r="J4998" t="s">
        <v>462</v>
      </c>
      <c r="K4998" t="s">
        <v>446</v>
      </c>
      <c r="M4998">
        <v>2612</v>
      </c>
      <c r="N4998" t="s">
        <v>16192</v>
      </c>
    </row>
    <row r="4999" spans="1:14">
      <c r="A4999">
        <v>20600075</v>
      </c>
      <c r="B4999">
        <v>3029595</v>
      </c>
      <c r="C4999" t="s">
        <v>10641</v>
      </c>
      <c r="D4999" t="s">
        <v>441</v>
      </c>
      <c r="F4999">
        <v>0</v>
      </c>
      <c r="G4999">
        <v>12.32</v>
      </c>
      <c r="H4999" t="s">
        <v>8549</v>
      </c>
      <c r="I4999">
        <v>6</v>
      </c>
      <c r="J4999" t="s">
        <v>445</v>
      </c>
      <c r="K4999" t="s">
        <v>446</v>
      </c>
      <c r="M4999">
        <v>2641</v>
      </c>
      <c r="N4999" t="s">
        <v>16192</v>
      </c>
    </row>
    <row r="5000" spans="1:14">
      <c r="A5000">
        <v>20600076</v>
      </c>
      <c r="B5000">
        <v>3039863</v>
      </c>
      <c r="C5000" t="s">
        <v>2699</v>
      </c>
      <c r="D5000" t="s">
        <v>441</v>
      </c>
      <c r="F5000">
        <v>0</v>
      </c>
      <c r="G5000">
        <v>14.36</v>
      </c>
      <c r="H5000" t="s">
        <v>8588</v>
      </c>
      <c r="I5000">
        <v>6</v>
      </c>
      <c r="J5000" t="s">
        <v>445</v>
      </c>
      <c r="M5000">
        <v>7112</v>
      </c>
      <c r="N5000" t="s">
        <v>16192</v>
      </c>
    </row>
    <row r="5001" spans="1:14">
      <c r="A5001">
        <v>20600077</v>
      </c>
      <c r="B5001">
        <v>3041968</v>
      </c>
      <c r="C5001" t="s">
        <v>2700</v>
      </c>
      <c r="D5001" t="s">
        <v>441</v>
      </c>
      <c r="F5001">
        <v>0</v>
      </c>
      <c r="G5001">
        <v>14.6</v>
      </c>
      <c r="H5001" t="s">
        <v>8588</v>
      </c>
      <c r="I5001">
        <v>6</v>
      </c>
      <c r="J5001" t="s">
        <v>445</v>
      </c>
      <c r="M5001">
        <v>7112</v>
      </c>
      <c r="N5001" t="s">
        <v>16192</v>
      </c>
    </row>
    <row r="5002" spans="1:14">
      <c r="A5002">
        <v>20600087</v>
      </c>
      <c r="B5002">
        <v>3039862</v>
      </c>
      <c r="C5002" t="s">
        <v>2701</v>
      </c>
      <c r="D5002" t="s">
        <v>441</v>
      </c>
      <c r="F5002">
        <v>0</v>
      </c>
      <c r="G5002">
        <v>14.3</v>
      </c>
      <c r="H5002" t="s">
        <v>8588</v>
      </c>
      <c r="I5002">
        <v>6</v>
      </c>
      <c r="J5002" t="s">
        <v>445</v>
      </c>
      <c r="M5002">
        <v>7112</v>
      </c>
      <c r="N5002" t="s">
        <v>16192</v>
      </c>
    </row>
    <row r="5003" spans="1:14">
      <c r="A5003">
        <v>20600502</v>
      </c>
      <c r="B5003">
        <v>3039805</v>
      </c>
      <c r="C5003" t="s">
        <v>2702</v>
      </c>
      <c r="D5003" t="s">
        <v>441</v>
      </c>
      <c r="F5003">
        <v>0</v>
      </c>
      <c r="G5003">
        <v>14.38</v>
      </c>
      <c r="H5003" t="s">
        <v>8549</v>
      </c>
      <c r="I5003">
        <v>6</v>
      </c>
      <c r="J5003" t="s">
        <v>445</v>
      </c>
      <c r="M5003">
        <v>2502</v>
      </c>
      <c r="N5003" t="s">
        <v>16192</v>
      </c>
    </row>
    <row r="5004" spans="1:14">
      <c r="A5004">
        <v>20600519</v>
      </c>
      <c r="B5004">
        <v>3040294</v>
      </c>
      <c r="C5004" t="s">
        <v>2703</v>
      </c>
      <c r="D5004" t="s">
        <v>441</v>
      </c>
      <c r="F5004">
        <v>0</v>
      </c>
      <c r="G5004">
        <v>14.38</v>
      </c>
      <c r="H5004" t="s">
        <v>8549</v>
      </c>
      <c r="I5004">
        <v>6</v>
      </c>
      <c r="J5004" t="s">
        <v>445</v>
      </c>
      <c r="M5004">
        <v>2502</v>
      </c>
      <c r="N5004" t="s">
        <v>16192</v>
      </c>
    </row>
    <row r="5005" spans="1:14">
      <c r="A5005">
        <v>20601000</v>
      </c>
      <c r="B5005">
        <v>3039814</v>
      </c>
      <c r="C5005" t="s">
        <v>2704</v>
      </c>
      <c r="D5005" t="s">
        <v>441</v>
      </c>
      <c r="F5005">
        <v>0</v>
      </c>
      <c r="G5005">
        <v>14.16</v>
      </c>
      <c r="H5005" t="s">
        <v>8549</v>
      </c>
      <c r="I5005">
        <v>6</v>
      </c>
      <c r="J5005" t="s">
        <v>445</v>
      </c>
      <c r="M5005">
        <v>2391</v>
      </c>
      <c r="N5005" t="s">
        <v>16192</v>
      </c>
    </row>
    <row r="5006" spans="1:14">
      <c r="A5006">
        <v>20604000</v>
      </c>
      <c r="B5006">
        <v>3039738</v>
      </c>
      <c r="C5006" t="s">
        <v>2705</v>
      </c>
      <c r="D5006" t="s">
        <v>441</v>
      </c>
      <c r="F5006">
        <v>0</v>
      </c>
      <c r="G5006">
        <v>14.16</v>
      </c>
      <c r="H5006" t="s">
        <v>8549</v>
      </c>
      <c r="I5006">
        <v>6</v>
      </c>
      <c r="J5006" t="s">
        <v>445</v>
      </c>
      <c r="M5006">
        <v>2391</v>
      </c>
      <c r="N5006" t="s">
        <v>16192</v>
      </c>
    </row>
    <row r="5007" spans="1:14">
      <c r="A5007">
        <v>20604076</v>
      </c>
      <c r="B5007">
        <v>3039838</v>
      </c>
      <c r="C5007" t="s">
        <v>2706</v>
      </c>
      <c r="D5007" t="s">
        <v>441</v>
      </c>
      <c r="F5007">
        <v>0</v>
      </c>
      <c r="G5007">
        <v>14.36</v>
      </c>
      <c r="H5007" t="s">
        <v>8588</v>
      </c>
      <c r="I5007">
        <v>6</v>
      </c>
      <c r="J5007" t="s">
        <v>445</v>
      </c>
      <c r="M5007">
        <v>7112</v>
      </c>
      <c r="N5007" t="s">
        <v>16192</v>
      </c>
    </row>
    <row r="5008" spans="1:14">
      <c r="A5008">
        <v>20604077</v>
      </c>
      <c r="B5008">
        <v>3041965</v>
      </c>
      <c r="C5008" t="s">
        <v>2707</v>
      </c>
      <c r="D5008" t="s">
        <v>441</v>
      </c>
      <c r="F5008">
        <v>0</v>
      </c>
      <c r="G5008">
        <v>14.6</v>
      </c>
      <c r="H5008" t="s">
        <v>8588</v>
      </c>
      <c r="I5008">
        <v>6</v>
      </c>
      <c r="J5008" t="s">
        <v>445</v>
      </c>
      <c r="M5008">
        <v>7112</v>
      </c>
      <c r="N5008" t="s">
        <v>16192</v>
      </c>
    </row>
    <row r="5009" spans="1:14">
      <c r="A5009">
        <v>20604087</v>
      </c>
      <c r="B5009">
        <v>3039882</v>
      </c>
      <c r="C5009" t="s">
        <v>2708</v>
      </c>
      <c r="D5009" t="s">
        <v>441</v>
      </c>
      <c r="F5009">
        <v>0</v>
      </c>
      <c r="G5009">
        <v>14.38</v>
      </c>
      <c r="H5009" t="s">
        <v>8588</v>
      </c>
      <c r="I5009">
        <v>6</v>
      </c>
      <c r="J5009" t="s">
        <v>445</v>
      </c>
      <c r="M5009">
        <v>7112</v>
      </c>
      <c r="N5009" t="s">
        <v>16192</v>
      </c>
    </row>
    <row r="5010" spans="1:14">
      <c r="A5010">
        <v>20610000</v>
      </c>
      <c r="B5010">
        <v>3040154</v>
      </c>
      <c r="C5010" t="s">
        <v>2709</v>
      </c>
      <c r="D5010" t="s">
        <v>441</v>
      </c>
      <c r="F5010">
        <v>0</v>
      </c>
      <c r="G5010">
        <v>11.33</v>
      </c>
      <c r="H5010" t="s">
        <v>8549</v>
      </c>
      <c r="I5010">
        <v>6</v>
      </c>
      <c r="J5010" t="s">
        <v>445</v>
      </c>
      <c r="M5010">
        <v>2391</v>
      </c>
      <c r="N5010" t="s">
        <v>16192</v>
      </c>
    </row>
    <row r="5011" spans="1:14">
      <c r="A5011">
        <v>20610002</v>
      </c>
      <c r="B5011">
        <v>3040300</v>
      </c>
      <c r="C5011" t="s">
        <v>2710</v>
      </c>
      <c r="D5011" t="s">
        <v>441</v>
      </c>
      <c r="F5011">
        <v>0</v>
      </c>
      <c r="G5011">
        <v>11.91</v>
      </c>
      <c r="H5011" t="s">
        <v>8549</v>
      </c>
      <c r="I5011">
        <v>540</v>
      </c>
      <c r="J5011" t="s">
        <v>445</v>
      </c>
      <c r="M5011">
        <v>7111</v>
      </c>
      <c r="N5011" t="s">
        <v>16192</v>
      </c>
    </row>
    <row r="5012" spans="1:14">
      <c r="A5012">
        <v>20610007</v>
      </c>
      <c r="B5012">
        <v>3040271</v>
      </c>
      <c r="C5012" t="s">
        <v>2711</v>
      </c>
      <c r="D5012" t="s">
        <v>441</v>
      </c>
      <c r="F5012">
        <v>0</v>
      </c>
      <c r="G5012">
        <v>11.46</v>
      </c>
      <c r="H5012" t="s">
        <v>8588</v>
      </c>
      <c r="I5012">
        <v>6</v>
      </c>
      <c r="J5012" t="s">
        <v>445</v>
      </c>
      <c r="M5012">
        <v>3111</v>
      </c>
      <c r="N5012" t="s">
        <v>16192</v>
      </c>
    </row>
    <row r="5013" spans="1:14">
      <c r="A5013">
        <v>20610075</v>
      </c>
      <c r="B5013">
        <v>3040276</v>
      </c>
      <c r="C5013" t="s">
        <v>2712</v>
      </c>
      <c r="D5013" t="s">
        <v>441</v>
      </c>
      <c r="F5013">
        <v>0</v>
      </c>
      <c r="G5013">
        <v>11.52</v>
      </c>
      <c r="H5013" t="s">
        <v>8588</v>
      </c>
      <c r="I5013">
        <v>6</v>
      </c>
      <c r="J5013" t="s">
        <v>445</v>
      </c>
      <c r="M5013">
        <v>7112</v>
      </c>
      <c r="N5013" t="s">
        <v>16192</v>
      </c>
    </row>
    <row r="5014" spans="1:14">
      <c r="A5014">
        <v>20610094</v>
      </c>
      <c r="B5014">
        <v>3025715</v>
      </c>
      <c r="C5014" t="s">
        <v>2713</v>
      </c>
      <c r="D5014" t="s">
        <v>441</v>
      </c>
      <c r="F5014">
        <v>0</v>
      </c>
      <c r="H5014" t="s">
        <v>8588</v>
      </c>
      <c r="I5014">
        <v>6</v>
      </c>
      <c r="J5014" t="s">
        <v>445</v>
      </c>
      <c r="M5014">
        <v>7161</v>
      </c>
      <c r="N5014" t="s">
        <v>16134</v>
      </c>
    </row>
    <row r="5015" spans="1:14">
      <c r="A5015">
        <v>20610502</v>
      </c>
      <c r="B5015">
        <v>3040275</v>
      </c>
      <c r="C5015" t="s">
        <v>2714</v>
      </c>
      <c r="D5015" t="s">
        <v>441</v>
      </c>
      <c r="F5015">
        <v>0</v>
      </c>
      <c r="G5015">
        <v>11.53</v>
      </c>
      <c r="H5015" t="s">
        <v>8549</v>
      </c>
      <c r="I5015">
        <v>6</v>
      </c>
      <c r="J5015" t="s">
        <v>445</v>
      </c>
      <c r="M5015">
        <v>2502</v>
      </c>
      <c r="N5015" t="s">
        <v>16192</v>
      </c>
    </row>
    <row r="5016" spans="1:14">
      <c r="A5016">
        <v>20610602</v>
      </c>
      <c r="B5016">
        <v>3040320</v>
      </c>
      <c r="C5016" t="s">
        <v>2715</v>
      </c>
      <c r="D5016" t="s">
        <v>441</v>
      </c>
      <c r="F5016">
        <v>0</v>
      </c>
      <c r="G5016">
        <v>12.12</v>
      </c>
      <c r="H5016" t="s">
        <v>8549</v>
      </c>
      <c r="I5016">
        <v>4</v>
      </c>
      <c r="J5016" t="s">
        <v>445</v>
      </c>
      <c r="M5016">
        <v>2510</v>
      </c>
      <c r="N5016" t="s">
        <v>16192</v>
      </c>
    </row>
    <row r="5017" spans="1:14">
      <c r="A5017">
        <v>20610902</v>
      </c>
      <c r="B5017">
        <v>3040316</v>
      </c>
      <c r="C5017" t="s">
        <v>2716</v>
      </c>
      <c r="D5017" t="s">
        <v>441</v>
      </c>
      <c r="F5017">
        <v>0</v>
      </c>
      <c r="G5017">
        <v>10.23</v>
      </c>
      <c r="H5017" t="s">
        <v>8549</v>
      </c>
      <c r="I5017">
        <v>4</v>
      </c>
      <c r="J5017" t="s">
        <v>445</v>
      </c>
      <c r="M5017">
        <v>6666</v>
      </c>
      <c r="N5017" t="s">
        <v>16192</v>
      </c>
    </row>
    <row r="5018" spans="1:14">
      <c r="A5018">
        <v>20610907</v>
      </c>
      <c r="B5018">
        <v>3040274</v>
      </c>
      <c r="C5018" t="s">
        <v>2717</v>
      </c>
      <c r="D5018" t="s">
        <v>441</v>
      </c>
      <c r="F5018">
        <v>0</v>
      </c>
      <c r="G5018">
        <v>1</v>
      </c>
      <c r="H5018" t="s">
        <v>8588</v>
      </c>
      <c r="I5018">
        <v>6</v>
      </c>
      <c r="J5018" t="s">
        <v>445</v>
      </c>
      <c r="M5018">
        <v>6666</v>
      </c>
      <c r="N5018" t="s">
        <v>16192</v>
      </c>
    </row>
    <row r="5019" spans="1:14">
      <c r="A5019">
        <v>20614000</v>
      </c>
      <c r="B5019">
        <v>3040105</v>
      </c>
      <c r="C5019" t="s">
        <v>2718</v>
      </c>
      <c r="D5019" t="s">
        <v>441</v>
      </c>
      <c r="F5019">
        <v>0</v>
      </c>
      <c r="G5019">
        <v>11.33</v>
      </c>
      <c r="H5019" t="s">
        <v>8549</v>
      </c>
      <c r="I5019">
        <v>6</v>
      </c>
      <c r="J5019" t="s">
        <v>445</v>
      </c>
      <c r="M5019">
        <v>2391</v>
      </c>
      <c r="N5019" t="s">
        <v>16192</v>
      </c>
    </row>
    <row r="5020" spans="1:14">
      <c r="A5020">
        <v>20614002</v>
      </c>
      <c r="B5020">
        <v>3040301</v>
      </c>
      <c r="C5020" t="s">
        <v>2719</v>
      </c>
      <c r="D5020" t="s">
        <v>441</v>
      </c>
      <c r="F5020">
        <v>0</v>
      </c>
      <c r="G5020">
        <v>11.91</v>
      </c>
      <c r="H5020" t="s">
        <v>8549</v>
      </c>
      <c r="I5020">
        <v>540</v>
      </c>
      <c r="J5020" t="s">
        <v>445</v>
      </c>
      <c r="M5020">
        <v>7111</v>
      </c>
      <c r="N5020" t="s">
        <v>16192</v>
      </c>
    </row>
    <row r="5021" spans="1:14">
      <c r="A5021">
        <v>20614007</v>
      </c>
      <c r="B5021">
        <v>3040272</v>
      </c>
      <c r="C5021" t="s">
        <v>2720</v>
      </c>
      <c r="D5021" t="s">
        <v>441</v>
      </c>
      <c r="F5021">
        <v>0</v>
      </c>
      <c r="G5021">
        <v>11.46</v>
      </c>
      <c r="H5021" t="s">
        <v>8588</v>
      </c>
      <c r="I5021">
        <v>6</v>
      </c>
      <c r="J5021" t="s">
        <v>445</v>
      </c>
      <c r="M5021">
        <v>3111</v>
      </c>
      <c r="N5021" t="s">
        <v>16192</v>
      </c>
    </row>
    <row r="5022" spans="1:14">
      <c r="A5022">
        <v>20614075</v>
      </c>
      <c r="B5022">
        <v>3040278</v>
      </c>
      <c r="C5022" t="s">
        <v>2721</v>
      </c>
      <c r="D5022" t="s">
        <v>441</v>
      </c>
      <c r="F5022">
        <v>0</v>
      </c>
      <c r="G5022">
        <v>11.52</v>
      </c>
      <c r="H5022" t="s">
        <v>8588</v>
      </c>
      <c r="I5022">
        <v>6</v>
      </c>
      <c r="J5022" t="s">
        <v>445</v>
      </c>
      <c r="M5022">
        <v>7112</v>
      </c>
      <c r="N5022" t="s">
        <v>16192</v>
      </c>
    </row>
    <row r="5023" spans="1:14">
      <c r="A5023">
        <v>20614502</v>
      </c>
      <c r="B5023">
        <v>3040279</v>
      </c>
      <c r="C5023" t="s">
        <v>2722</v>
      </c>
      <c r="D5023" t="s">
        <v>441</v>
      </c>
      <c r="F5023">
        <v>0</v>
      </c>
      <c r="G5023">
        <v>11.53</v>
      </c>
      <c r="H5023" t="s">
        <v>8549</v>
      </c>
      <c r="I5023">
        <v>6</v>
      </c>
      <c r="J5023" t="s">
        <v>445</v>
      </c>
      <c r="M5023">
        <v>2502</v>
      </c>
      <c r="N5023" t="s">
        <v>16192</v>
      </c>
    </row>
    <row r="5024" spans="1:14">
      <c r="A5024">
        <v>20614602</v>
      </c>
      <c r="B5024">
        <v>3040321</v>
      </c>
      <c r="C5024" t="s">
        <v>2723</v>
      </c>
      <c r="D5024" t="s">
        <v>441</v>
      </c>
      <c r="F5024">
        <v>0</v>
      </c>
      <c r="G5024">
        <v>12.12</v>
      </c>
      <c r="H5024" t="s">
        <v>8549</v>
      </c>
      <c r="I5024">
        <v>4</v>
      </c>
      <c r="J5024" t="s">
        <v>445</v>
      </c>
      <c r="M5024">
        <v>2510</v>
      </c>
      <c r="N5024" t="s">
        <v>16192</v>
      </c>
    </row>
    <row r="5025" spans="1:14">
      <c r="A5025">
        <v>20614902</v>
      </c>
      <c r="B5025">
        <v>3040317</v>
      </c>
      <c r="C5025" t="s">
        <v>2724</v>
      </c>
      <c r="D5025" t="s">
        <v>441</v>
      </c>
      <c r="F5025">
        <v>0</v>
      </c>
      <c r="G5025">
        <v>10.23</v>
      </c>
      <c r="H5025" t="s">
        <v>8549</v>
      </c>
      <c r="I5025">
        <v>4</v>
      </c>
      <c r="J5025" t="s">
        <v>445</v>
      </c>
      <c r="M5025">
        <v>6666</v>
      </c>
      <c r="N5025" t="s">
        <v>16192</v>
      </c>
    </row>
    <row r="5026" spans="1:14">
      <c r="A5026">
        <v>20614907</v>
      </c>
      <c r="B5026">
        <v>3040273</v>
      </c>
      <c r="C5026" t="s">
        <v>2725</v>
      </c>
      <c r="D5026" t="s">
        <v>441</v>
      </c>
      <c r="F5026">
        <v>0</v>
      </c>
      <c r="G5026">
        <v>1</v>
      </c>
      <c r="H5026" t="s">
        <v>8588</v>
      </c>
      <c r="I5026">
        <v>6</v>
      </c>
      <c r="J5026" t="s">
        <v>445</v>
      </c>
      <c r="M5026">
        <v>6666</v>
      </c>
      <c r="N5026" t="s">
        <v>16192</v>
      </c>
    </row>
    <row r="5027" spans="1:14">
      <c r="A5027">
        <v>20619400</v>
      </c>
      <c r="B5027">
        <v>3044939</v>
      </c>
      <c r="C5027" t="s">
        <v>15491</v>
      </c>
      <c r="D5027" t="s">
        <v>441</v>
      </c>
      <c r="F5027">
        <v>0</v>
      </c>
      <c r="G5027">
        <v>12.81</v>
      </c>
      <c r="H5027" t="s">
        <v>8588</v>
      </c>
      <c r="I5027">
        <v>2</v>
      </c>
      <c r="J5027" t="s">
        <v>445</v>
      </c>
      <c r="M5027">
        <v>3111</v>
      </c>
      <c r="N5027" t="s">
        <v>16192</v>
      </c>
    </row>
    <row r="5028" spans="1:14">
      <c r="A5028">
        <v>20619940</v>
      </c>
      <c r="B5028">
        <v>3044940</v>
      </c>
      <c r="C5028" t="s">
        <v>15492</v>
      </c>
      <c r="D5028" t="s">
        <v>441</v>
      </c>
      <c r="F5028">
        <v>0</v>
      </c>
      <c r="G5028">
        <v>1</v>
      </c>
      <c r="H5028" t="s">
        <v>8588</v>
      </c>
      <c r="I5028">
        <v>2</v>
      </c>
      <c r="J5028" t="s">
        <v>445</v>
      </c>
      <c r="M5028">
        <v>6666</v>
      </c>
      <c r="N5028" t="s">
        <v>16192</v>
      </c>
    </row>
    <row r="5029" spans="1:14">
      <c r="A5029">
        <v>20620000</v>
      </c>
      <c r="B5029">
        <v>3030278</v>
      </c>
      <c r="C5029" t="s">
        <v>2726</v>
      </c>
      <c r="D5029" t="s">
        <v>441</v>
      </c>
      <c r="F5029">
        <v>0</v>
      </c>
      <c r="G5029">
        <v>17.71</v>
      </c>
      <c r="H5029" t="s">
        <v>8549</v>
      </c>
      <c r="I5029">
        <v>6</v>
      </c>
      <c r="J5029" t="s">
        <v>445</v>
      </c>
      <c r="M5029">
        <v>2391</v>
      </c>
      <c r="N5029" t="s">
        <v>16106</v>
      </c>
    </row>
    <row r="5030" spans="1:14">
      <c r="A5030">
        <v>20620002</v>
      </c>
      <c r="B5030">
        <v>3041878</v>
      </c>
      <c r="C5030" t="s">
        <v>2727</v>
      </c>
      <c r="D5030" t="s">
        <v>441</v>
      </c>
      <c r="F5030">
        <v>0</v>
      </c>
      <c r="G5030">
        <v>19.05</v>
      </c>
      <c r="H5030" t="s">
        <v>8588</v>
      </c>
      <c r="I5030">
        <v>540</v>
      </c>
      <c r="J5030" t="s">
        <v>445</v>
      </c>
      <c r="M5030">
        <v>7113</v>
      </c>
      <c r="N5030" t="s">
        <v>16106</v>
      </c>
    </row>
    <row r="5031" spans="1:14">
      <c r="A5031">
        <v>20620028</v>
      </c>
      <c r="B5031">
        <v>4020241</v>
      </c>
      <c r="C5031" t="s">
        <v>2728</v>
      </c>
      <c r="D5031" t="s">
        <v>441</v>
      </c>
      <c r="F5031">
        <v>0</v>
      </c>
      <c r="G5031">
        <v>22.72</v>
      </c>
      <c r="H5031" t="s">
        <v>8588</v>
      </c>
      <c r="I5031">
        <v>540</v>
      </c>
      <c r="J5031" t="s">
        <v>462</v>
      </c>
      <c r="L5031" t="s">
        <v>9990</v>
      </c>
      <c r="M5031">
        <v>7111</v>
      </c>
      <c r="N5031" t="s">
        <v>16106</v>
      </c>
    </row>
    <row r="5032" spans="1:14">
      <c r="A5032">
        <v>20620075</v>
      </c>
      <c r="B5032">
        <v>4020735</v>
      </c>
      <c r="C5032" t="s">
        <v>2729</v>
      </c>
      <c r="D5032" t="s">
        <v>441</v>
      </c>
      <c r="F5032">
        <v>0</v>
      </c>
      <c r="G5032">
        <v>17.95</v>
      </c>
      <c r="H5032" t="s">
        <v>8588</v>
      </c>
      <c r="I5032">
        <v>6</v>
      </c>
      <c r="J5032" t="s">
        <v>462</v>
      </c>
      <c r="M5032">
        <v>7112</v>
      </c>
      <c r="N5032" t="s">
        <v>16106</v>
      </c>
    </row>
    <row r="5033" spans="1:14">
      <c r="A5033">
        <v>20620502</v>
      </c>
      <c r="B5033">
        <v>3041877</v>
      </c>
      <c r="C5033" t="s">
        <v>2730</v>
      </c>
      <c r="D5033" t="s">
        <v>441</v>
      </c>
      <c r="F5033">
        <v>0</v>
      </c>
      <c r="G5033">
        <v>18.600000000000001</v>
      </c>
      <c r="H5033" t="s">
        <v>8588</v>
      </c>
      <c r="I5033">
        <v>540</v>
      </c>
      <c r="J5033" t="s">
        <v>445</v>
      </c>
      <c r="M5033">
        <v>2502</v>
      </c>
      <c r="N5033" t="s">
        <v>16106</v>
      </c>
    </row>
    <row r="5034" spans="1:14">
      <c r="A5034">
        <v>20620528</v>
      </c>
      <c r="B5034">
        <v>3030279</v>
      </c>
      <c r="C5034" t="s">
        <v>2731</v>
      </c>
      <c r="D5034" t="s">
        <v>441</v>
      </c>
      <c r="F5034">
        <v>0</v>
      </c>
      <c r="G5034">
        <v>18.559999999999999</v>
      </c>
      <c r="H5034" t="s">
        <v>8588</v>
      </c>
      <c r="I5034">
        <v>6</v>
      </c>
      <c r="J5034" t="s">
        <v>445</v>
      </c>
      <c r="M5034">
        <v>2502</v>
      </c>
      <c r="N5034" t="s">
        <v>16106</v>
      </c>
    </row>
    <row r="5035" spans="1:14">
      <c r="A5035">
        <v>20621000</v>
      </c>
      <c r="B5035">
        <v>3030289</v>
      </c>
      <c r="C5035" t="s">
        <v>2732</v>
      </c>
      <c r="D5035" t="s">
        <v>441</v>
      </c>
      <c r="F5035">
        <v>0</v>
      </c>
      <c r="G5035">
        <v>17.71</v>
      </c>
      <c r="H5035" t="s">
        <v>8588</v>
      </c>
      <c r="I5035">
        <v>6</v>
      </c>
      <c r="J5035" t="s">
        <v>445</v>
      </c>
      <c r="M5035">
        <v>2391</v>
      </c>
      <c r="N5035" t="s">
        <v>16106</v>
      </c>
    </row>
    <row r="5036" spans="1:14">
      <c r="A5036">
        <v>20621028</v>
      </c>
      <c r="B5036">
        <v>4020254</v>
      </c>
      <c r="C5036" t="s">
        <v>10642</v>
      </c>
      <c r="D5036" t="s">
        <v>441</v>
      </c>
      <c r="F5036">
        <v>0</v>
      </c>
      <c r="G5036">
        <v>13.82</v>
      </c>
      <c r="H5036" t="s">
        <v>8588</v>
      </c>
      <c r="I5036">
        <v>365</v>
      </c>
      <c r="J5036" t="s">
        <v>462</v>
      </c>
      <c r="K5036" t="s">
        <v>446</v>
      </c>
      <c r="L5036" t="s">
        <v>9990</v>
      </c>
      <c r="M5036">
        <v>2501</v>
      </c>
      <c r="N5036" t="s">
        <v>16106</v>
      </c>
    </row>
    <row r="5037" spans="1:14">
      <c r="A5037">
        <v>20621075</v>
      </c>
      <c r="B5037">
        <v>4022736</v>
      </c>
      <c r="C5037" t="s">
        <v>2733</v>
      </c>
      <c r="D5037" t="s">
        <v>441</v>
      </c>
      <c r="F5037">
        <v>0</v>
      </c>
      <c r="G5037">
        <v>17.95</v>
      </c>
      <c r="H5037" t="s">
        <v>8588</v>
      </c>
      <c r="I5037">
        <v>6</v>
      </c>
      <c r="J5037" t="s">
        <v>462</v>
      </c>
      <c r="M5037">
        <v>7112</v>
      </c>
      <c r="N5037" t="s">
        <v>16106</v>
      </c>
    </row>
    <row r="5038" spans="1:14">
      <c r="A5038">
        <v>20621528</v>
      </c>
      <c r="B5038">
        <v>3030290</v>
      </c>
      <c r="C5038" t="s">
        <v>2734</v>
      </c>
      <c r="D5038" t="s">
        <v>441</v>
      </c>
      <c r="F5038">
        <v>0</v>
      </c>
      <c r="G5038">
        <v>13.64</v>
      </c>
      <c r="H5038" t="s">
        <v>8588</v>
      </c>
      <c r="I5038">
        <v>6</v>
      </c>
      <c r="J5038" t="s">
        <v>445</v>
      </c>
      <c r="K5038" t="s">
        <v>446</v>
      </c>
      <c r="M5038">
        <v>2641</v>
      </c>
      <c r="N5038" t="s">
        <v>16106</v>
      </c>
    </row>
    <row r="5039" spans="1:14">
      <c r="A5039">
        <v>20625000</v>
      </c>
      <c r="B5039">
        <v>3035206</v>
      </c>
      <c r="C5039" t="s">
        <v>2735</v>
      </c>
      <c r="D5039" t="s">
        <v>441</v>
      </c>
      <c r="F5039">
        <v>0</v>
      </c>
      <c r="G5039">
        <v>17.71</v>
      </c>
      <c r="H5039" t="s">
        <v>8549</v>
      </c>
      <c r="I5039">
        <v>6</v>
      </c>
      <c r="J5039" t="s">
        <v>445</v>
      </c>
      <c r="M5039">
        <v>2391</v>
      </c>
      <c r="N5039" t="s">
        <v>16106</v>
      </c>
    </row>
    <row r="5040" spans="1:14">
      <c r="A5040">
        <v>20625075</v>
      </c>
      <c r="B5040">
        <v>4023882</v>
      </c>
      <c r="C5040" t="s">
        <v>2736</v>
      </c>
      <c r="D5040" t="s">
        <v>441</v>
      </c>
      <c r="F5040">
        <v>0</v>
      </c>
      <c r="G5040">
        <v>17.95</v>
      </c>
      <c r="H5040" t="s">
        <v>8588</v>
      </c>
      <c r="I5040">
        <v>6</v>
      </c>
      <c r="J5040" t="s">
        <v>462</v>
      </c>
      <c r="M5040">
        <v>7112</v>
      </c>
      <c r="N5040" t="s">
        <v>16106</v>
      </c>
    </row>
    <row r="5041" spans="1:14">
      <c r="A5041">
        <v>20630000</v>
      </c>
      <c r="B5041">
        <v>3031087</v>
      </c>
      <c r="C5041" t="s">
        <v>2737</v>
      </c>
      <c r="D5041" t="s">
        <v>441</v>
      </c>
      <c r="F5041">
        <v>0</v>
      </c>
      <c r="G5041">
        <v>17.95</v>
      </c>
      <c r="H5041" t="s">
        <v>8549</v>
      </c>
      <c r="I5041">
        <v>6</v>
      </c>
      <c r="J5041" t="s">
        <v>445</v>
      </c>
      <c r="M5041">
        <v>2391</v>
      </c>
      <c r="N5041" t="s">
        <v>16193</v>
      </c>
    </row>
    <row r="5042" spans="1:14">
      <c r="A5042">
        <v>20630028</v>
      </c>
      <c r="B5042">
        <v>4020788</v>
      </c>
      <c r="C5042" t="s">
        <v>2738</v>
      </c>
      <c r="D5042" t="s">
        <v>441</v>
      </c>
      <c r="F5042">
        <v>0</v>
      </c>
      <c r="G5042">
        <v>14.07</v>
      </c>
      <c r="H5042" t="s">
        <v>8588</v>
      </c>
      <c r="I5042">
        <v>365</v>
      </c>
      <c r="J5042" t="s">
        <v>462</v>
      </c>
      <c r="K5042" t="s">
        <v>446</v>
      </c>
      <c r="M5042">
        <v>2501</v>
      </c>
      <c r="N5042" t="s">
        <v>16193</v>
      </c>
    </row>
    <row r="5043" spans="1:14">
      <c r="A5043">
        <v>20630528</v>
      </c>
      <c r="B5043">
        <v>3031088</v>
      </c>
      <c r="C5043" t="s">
        <v>2739</v>
      </c>
      <c r="D5043" t="s">
        <v>441</v>
      </c>
      <c r="F5043">
        <v>0</v>
      </c>
      <c r="G5043">
        <v>13.89</v>
      </c>
      <c r="H5043" t="s">
        <v>8588</v>
      </c>
      <c r="I5043">
        <v>365</v>
      </c>
      <c r="J5043" t="s">
        <v>445</v>
      </c>
      <c r="K5043" t="s">
        <v>446</v>
      </c>
      <c r="M5043">
        <v>2641</v>
      </c>
      <c r="N5043" t="s">
        <v>16193</v>
      </c>
    </row>
    <row r="5044" spans="1:14">
      <c r="A5044">
        <v>20640000</v>
      </c>
      <c r="B5044">
        <v>3007862</v>
      </c>
      <c r="C5044" t="s">
        <v>2740</v>
      </c>
      <c r="D5044" t="s">
        <v>441</v>
      </c>
      <c r="F5044">
        <v>0</v>
      </c>
      <c r="G5044">
        <v>10.23</v>
      </c>
      <c r="H5044" t="s">
        <v>8584</v>
      </c>
      <c r="I5044">
        <v>5</v>
      </c>
      <c r="J5044" t="s">
        <v>445</v>
      </c>
      <c r="K5044" t="s">
        <v>446</v>
      </c>
      <c r="M5044">
        <v>0</v>
      </c>
    </row>
    <row r="5045" spans="1:14">
      <c r="A5045">
        <v>20650000</v>
      </c>
      <c r="B5045">
        <v>3031170</v>
      </c>
      <c r="C5045" t="s">
        <v>2741</v>
      </c>
      <c r="D5045" t="s">
        <v>441</v>
      </c>
      <c r="F5045">
        <v>0</v>
      </c>
      <c r="G5045">
        <v>11.45</v>
      </c>
      <c r="H5045" t="s">
        <v>8588</v>
      </c>
      <c r="I5045">
        <v>6</v>
      </c>
      <c r="J5045" t="s">
        <v>445</v>
      </c>
      <c r="M5045">
        <v>2391</v>
      </c>
      <c r="N5045" t="s">
        <v>16194</v>
      </c>
    </row>
    <row r="5046" spans="1:14">
      <c r="A5046">
        <v>20650002</v>
      </c>
      <c r="B5046">
        <v>3039779</v>
      </c>
      <c r="C5046" t="s">
        <v>2742</v>
      </c>
      <c r="D5046" t="s">
        <v>441</v>
      </c>
      <c r="F5046">
        <v>0</v>
      </c>
      <c r="G5046">
        <v>12.03</v>
      </c>
      <c r="H5046" t="s">
        <v>8549</v>
      </c>
      <c r="I5046">
        <v>540</v>
      </c>
      <c r="J5046" t="s">
        <v>445</v>
      </c>
      <c r="M5046">
        <v>7111</v>
      </c>
      <c r="N5046" t="s">
        <v>16194</v>
      </c>
    </row>
    <row r="5047" spans="1:14">
      <c r="A5047">
        <v>20650030</v>
      </c>
      <c r="B5047">
        <v>4027949</v>
      </c>
      <c r="C5047" t="s">
        <v>2743</v>
      </c>
      <c r="D5047" t="s">
        <v>441</v>
      </c>
      <c r="F5047">
        <v>0</v>
      </c>
      <c r="G5047">
        <v>23.92</v>
      </c>
      <c r="H5047" t="s">
        <v>8588</v>
      </c>
      <c r="I5047">
        <v>12</v>
      </c>
      <c r="J5047" t="s">
        <v>462</v>
      </c>
      <c r="M5047">
        <v>7112</v>
      </c>
      <c r="N5047" t="s">
        <v>16194</v>
      </c>
    </row>
    <row r="5048" spans="1:14">
      <c r="A5048">
        <v>20650075</v>
      </c>
      <c r="B5048">
        <v>3031144</v>
      </c>
      <c r="C5048" t="s">
        <v>2744</v>
      </c>
      <c r="D5048" t="s">
        <v>441</v>
      </c>
      <c r="F5048">
        <v>0</v>
      </c>
      <c r="G5048">
        <v>11.66</v>
      </c>
      <c r="H5048" t="s">
        <v>8549</v>
      </c>
      <c r="I5048">
        <v>6</v>
      </c>
      <c r="J5048" t="s">
        <v>445</v>
      </c>
      <c r="M5048">
        <v>7112</v>
      </c>
      <c r="N5048" t="s">
        <v>16194</v>
      </c>
    </row>
    <row r="5049" spans="1:14">
      <c r="A5049">
        <v>20650087</v>
      </c>
      <c r="B5049">
        <v>3037371</v>
      </c>
      <c r="C5049" t="s">
        <v>2745</v>
      </c>
      <c r="D5049" t="s">
        <v>441</v>
      </c>
      <c r="F5049">
        <v>0</v>
      </c>
      <c r="G5049">
        <v>11.57</v>
      </c>
      <c r="H5049" t="s">
        <v>8549</v>
      </c>
      <c r="I5049">
        <v>6</v>
      </c>
      <c r="J5049" t="s">
        <v>445</v>
      </c>
      <c r="M5049">
        <v>7112</v>
      </c>
      <c r="N5049" t="s">
        <v>16194</v>
      </c>
    </row>
    <row r="5050" spans="1:14">
      <c r="A5050">
        <v>20650100</v>
      </c>
      <c r="B5050">
        <v>3031165</v>
      </c>
      <c r="C5050" t="s">
        <v>2746</v>
      </c>
      <c r="D5050" t="s">
        <v>441</v>
      </c>
      <c r="F5050">
        <v>0</v>
      </c>
      <c r="H5050" t="s">
        <v>8588</v>
      </c>
      <c r="I5050">
        <v>6</v>
      </c>
      <c r="J5050" t="s">
        <v>445</v>
      </c>
      <c r="M5050">
        <v>7161</v>
      </c>
      <c r="N5050" t="s">
        <v>16194</v>
      </c>
    </row>
    <row r="5051" spans="1:14">
      <c r="A5051">
        <v>20650502</v>
      </c>
      <c r="B5051">
        <v>3034289</v>
      </c>
      <c r="C5051" t="s">
        <v>2747</v>
      </c>
      <c r="D5051" t="s">
        <v>441</v>
      </c>
      <c r="F5051">
        <v>0</v>
      </c>
      <c r="G5051">
        <v>11.65</v>
      </c>
      <c r="H5051" t="s">
        <v>8549</v>
      </c>
      <c r="I5051">
        <v>5</v>
      </c>
      <c r="J5051" t="s">
        <v>445</v>
      </c>
      <c r="M5051">
        <v>2502</v>
      </c>
      <c r="N5051" t="s">
        <v>16194</v>
      </c>
    </row>
    <row r="5052" spans="1:14">
      <c r="A5052">
        <v>20654000</v>
      </c>
      <c r="B5052">
        <v>3035900</v>
      </c>
      <c r="C5052" t="s">
        <v>2748</v>
      </c>
      <c r="D5052" t="s">
        <v>441</v>
      </c>
      <c r="F5052">
        <v>0</v>
      </c>
      <c r="G5052">
        <v>11.45</v>
      </c>
      <c r="H5052" t="s">
        <v>8588</v>
      </c>
      <c r="I5052">
        <v>6</v>
      </c>
      <c r="J5052" t="s">
        <v>445</v>
      </c>
      <c r="M5052">
        <v>2391</v>
      </c>
      <c r="N5052" t="s">
        <v>16194</v>
      </c>
    </row>
    <row r="5053" spans="1:14">
      <c r="A5053">
        <v>20654002</v>
      </c>
      <c r="B5053">
        <v>3042056</v>
      </c>
      <c r="C5053" t="s">
        <v>2749</v>
      </c>
      <c r="D5053" t="s">
        <v>441</v>
      </c>
      <c r="F5053">
        <v>0</v>
      </c>
      <c r="G5053">
        <v>12.07</v>
      </c>
      <c r="H5053" t="s">
        <v>8549</v>
      </c>
      <c r="I5053">
        <v>540</v>
      </c>
      <c r="J5053" t="s">
        <v>445</v>
      </c>
      <c r="M5053">
        <v>7111</v>
      </c>
      <c r="N5053" t="s">
        <v>16194</v>
      </c>
    </row>
    <row r="5054" spans="1:14">
      <c r="A5054">
        <v>20654075</v>
      </c>
      <c r="B5054">
        <v>3035858</v>
      </c>
      <c r="C5054" t="s">
        <v>2750</v>
      </c>
      <c r="D5054" t="s">
        <v>441</v>
      </c>
      <c r="F5054">
        <v>0</v>
      </c>
      <c r="G5054">
        <v>11.66</v>
      </c>
      <c r="H5054" t="s">
        <v>8549</v>
      </c>
      <c r="I5054">
        <v>6</v>
      </c>
      <c r="J5054" t="s">
        <v>445</v>
      </c>
      <c r="M5054">
        <v>7112</v>
      </c>
      <c r="N5054" t="s">
        <v>16194</v>
      </c>
    </row>
    <row r="5055" spans="1:14">
      <c r="A5055">
        <v>20654087</v>
      </c>
      <c r="B5055">
        <v>3037370</v>
      </c>
      <c r="C5055" t="s">
        <v>2751</v>
      </c>
      <c r="D5055" t="s">
        <v>441</v>
      </c>
      <c r="F5055">
        <v>0</v>
      </c>
      <c r="G5055">
        <v>11.57</v>
      </c>
      <c r="H5055" t="s">
        <v>8549</v>
      </c>
      <c r="I5055">
        <v>6</v>
      </c>
      <c r="J5055" t="s">
        <v>445</v>
      </c>
      <c r="M5055">
        <v>7112</v>
      </c>
      <c r="N5055" t="s">
        <v>16194</v>
      </c>
    </row>
    <row r="5056" spans="1:14">
      <c r="A5056">
        <v>20654502</v>
      </c>
      <c r="B5056">
        <v>3039469</v>
      </c>
      <c r="C5056" t="s">
        <v>2752</v>
      </c>
      <c r="D5056" t="s">
        <v>441</v>
      </c>
      <c r="F5056">
        <v>0</v>
      </c>
      <c r="G5056">
        <v>11.67</v>
      </c>
      <c r="H5056" t="s">
        <v>8624</v>
      </c>
      <c r="I5056">
        <v>5</v>
      </c>
      <c r="J5056" t="s">
        <v>445</v>
      </c>
      <c r="M5056">
        <v>2502</v>
      </c>
      <c r="N5056" t="s">
        <v>16194</v>
      </c>
    </row>
    <row r="5057" spans="1:14">
      <c r="A5057">
        <v>20660000</v>
      </c>
      <c r="B5057">
        <v>3042493</v>
      </c>
      <c r="C5057" t="s">
        <v>2753</v>
      </c>
      <c r="D5057" t="s">
        <v>441</v>
      </c>
      <c r="F5057">
        <v>0</v>
      </c>
      <c r="G5057">
        <v>10.28</v>
      </c>
      <c r="H5057" t="s">
        <v>8549</v>
      </c>
      <c r="I5057">
        <v>6</v>
      </c>
      <c r="J5057" t="s">
        <v>445</v>
      </c>
      <c r="M5057">
        <v>2391</v>
      </c>
      <c r="N5057" t="s">
        <v>16195</v>
      </c>
    </row>
    <row r="5058" spans="1:14">
      <c r="A5058">
        <v>20660002</v>
      </c>
      <c r="B5058">
        <v>3042436</v>
      </c>
      <c r="C5058" t="s">
        <v>2754</v>
      </c>
      <c r="D5058" t="s">
        <v>441</v>
      </c>
      <c r="F5058">
        <v>0</v>
      </c>
      <c r="G5058">
        <v>10.92</v>
      </c>
      <c r="H5058" t="s">
        <v>8549</v>
      </c>
      <c r="I5058">
        <v>540</v>
      </c>
      <c r="J5058" t="s">
        <v>445</v>
      </c>
      <c r="M5058">
        <v>7111</v>
      </c>
      <c r="N5058" t="s">
        <v>16195</v>
      </c>
    </row>
    <row r="5059" spans="1:14">
      <c r="A5059">
        <v>20660075</v>
      </c>
      <c r="B5059">
        <v>4028243</v>
      </c>
      <c r="C5059" t="s">
        <v>2755</v>
      </c>
      <c r="D5059" t="s">
        <v>441</v>
      </c>
      <c r="F5059">
        <v>0</v>
      </c>
      <c r="G5059">
        <v>10.29</v>
      </c>
      <c r="H5059" t="s">
        <v>8588</v>
      </c>
      <c r="I5059">
        <v>6</v>
      </c>
      <c r="J5059" t="s">
        <v>462</v>
      </c>
      <c r="M5059">
        <v>7112</v>
      </c>
      <c r="N5059" t="s">
        <v>16195</v>
      </c>
    </row>
    <row r="5060" spans="1:14">
      <c r="A5060">
        <v>20660502</v>
      </c>
      <c r="B5060">
        <v>3042435</v>
      </c>
      <c r="C5060" t="s">
        <v>2756</v>
      </c>
      <c r="D5060" t="s">
        <v>441</v>
      </c>
      <c r="F5060">
        <v>0</v>
      </c>
      <c r="G5060">
        <v>10.5</v>
      </c>
      <c r="H5060" t="s">
        <v>8549</v>
      </c>
      <c r="I5060">
        <v>540</v>
      </c>
      <c r="J5060" t="s">
        <v>445</v>
      </c>
      <c r="M5060">
        <v>2502</v>
      </c>
      <c r="N5060" t="s">
        <v>16195</v>
      </c>
    </row>
    <row r="5061" spans="1:14">
      <c r="A5061">
        <v>20664000</v>
      </c>
      <c r="B5061">
        <v>3042801</v>
      </c>
      <c r="C5061" t="s">
        <v>2757</v>
      </c>
      <c r="D5061" t="s">
        <v>441</v>
      </c>
      <c r="F5061">
        <v>0</v>
      </c>
      <c r="G5061">
        <v>10.08</v>
      </c>
      <c r="H5061" t="s">
        <v>8549</v>
      </c>
      <c r="I5061">
        <v>6</v>
      </c>
      <c r="J5061" t="s">
        <v>445</v>
      </c>
      <c r="M5061">
        <v>2391</v>
      </c>
      <c r="N5061" t="s">
        <v>16195</v>
      </c>
    </row>
    <row r="5062" spans="1:14">
      <c r="A5062">
        <v>20664002</v>
      </c>
      <c r="B5062">
        <v>3042803</v>
      </c>
      <c r="C5062" t="s">
        <v>2758</v>
      </c>
      <c r="D5062" t="s">
        <v>441</v>
      </c>
      <c r="F5062">
        <v>0</v>
      </c>
      <c r="G5062">
        <v>10.71</v>
      </c>
      <c r="H5062" t="s">
        <v>8549</v>
      </c>
      <c r="I5062">
        <v>540</v>
      </c>
      <c r="J5062" t="s">
        <v>445</v>
      </c>
      <c r="M5062">
        <v>7111</v>
      </c>
      <c r="N5062" t="s">
        <v>16195</v>
      </c>
    </row>
    <row r="5063" spans="1:14">
      <c r="A5063">
        <v>20664075</v>
      </c>
      <c r="B5063">
        <v>4028244</v>
      </c>
      <c r="C5063" t="s">
        <v>2759</v>
      </c>
      <c r="D5063" t="s">
        <v>441</v>
      </c>
      <c r="F5063">
        <v>0</v>
      </c>
      <c r="G5063">
        <v>10.29</v>
      </c>
      <c r="H5063" t="s">
        <v>8588</v>
      </c>
      <c r="I5063">
        <v>6</v>
      </c>
      <c r="J5063" t="s">
        <v>462</v>
      </c>
      <c r="M5063">
        <v>7112</v>
      </c>
      <c r="N5063" t="s">
        <v>16195</v>
      </c>
    </row>
    <row r="5064" spans="1:14">
      <c r="A5064">
        <v>20664502</v>
      </c>
      <c r="B5064">
        <v>3042802</v>
      </c>
      <c r="C5064" t="s">
        <v>2760</v>
      </c>
      <c r="D5064" t="s">
        <v>441</v>
      </c>
      <c r="F5064">
        <v>0</v>
      </c>
      <c r="G5064">
        <v>9.93</v>
      </c>
      <c r="H5064" t="s">
        <v>8549</v>
      </c>
      <c r="I5064">
        <v>540</v>
      </c>
      <c r="J5064" t="s">
        <v>445</v>
      </c>
      <c r="M5064">
        <v>2502</v>
      </c>
      <c r="N5064" t="s">
        <v>16195</v>
      </c>
    </row>
    <row r="5065" spans="1:14">
      <c r="A5065">
        <v>20670000</v>
      </c>
      <c r="B5065">
        <v>3007864</v>
      </c>
      <c r="C5065" t="s">
        <v>2761</v>
      </c>
      <c r="D5065" t="s">
        <v>441</v>
      </c>
      <c r="F5065">
        <v>0</v>
      </c>
      <c r="G5065">
        <v>15.28</v>
      </c>
      <c r="H5065" t="s">
        <v>8580</v>
      </c>
      <c r="I5065">
        <v>6</v>
      </c>
      <c r="J5065" t="s">
        <v>445</v>
      </c>
      <c r="K5065" t="s">
        <v>446</v>
      </c>
      <c r="M5065">
        <v>2611</v>
      </c>
      <c r="N5065" t="s">
        <v>16058</v>
      </c>
    </row>
    <row r="5066" spans="1:14">
      <c r="A5066">
        <v>20671000</v>
      </c>
      <c r="B5066">
        <v>3017413</v>
      </c>
      <c r="C5066" t="s">
        <v>10643</v>
      </c>
      <c r="D5066" t="s">
        <v>441</v>
      </c>
      <c r="F5066">
        <v>0</v>
      </c>
      <c r="G5066">
        <v>12.04</v>
      </c>
      <c r="I5066">
        <v>6</v>
      </c>
      <c r="J5066" t="s">
        <v>445</v>
      </c>
      <c r="K5066" t="s">
        <v>446</v>
      </c>
      <c r="M5066">
        <v>2611</v>
      </c>
    </row>
    <row r="5067" spans="1:14">
      <c r="A5067">
        <v>20674000</v>
      </c>
      <c r="B5067">
        <v>3007865</v>
      </c>
      <c r="C5067" t="s">
        <v>2762</v>
      </c>
      <c r="D5067" t="s">
        <v>441</v>
      </c>
      <c r="F5067">
        <v>0</v>
      </c>
      <c r="G5067">
        <v>10.65</v>
      </c>
      <c r="H5067" t="s">
        <v>8580</v>
      </c>
      <c r="I5067">
        <v>6</v>
      </c>
      <c r="J5067" t="s">
        <v>445</v>
      </c>
      <c r="K5067" t="s">
        <v>446</v>
      </c>
      <c r="M5067">
        <v>0</v>
      </c>
    </row>
    <row r="5068" spans="1:14">
      <c r="A5068">
        <v>20680000</v>
      </c>
      <c r="B5068">
        <v>3045543</v>
      </c>
      <c r="C5068" t="s">
        <v>16196</v>
      </c>
      <c r="D5068" t="s">
        <v>441</v>
      </c>
      <c r="F5068">
        <v>0</v>
      </c>
      <c r="G5068">
        <v>19.53</v>
      </c>
      <c r="H5068" t="s">
        <v>8549</v>
      </c>
      <c r="I5068">
        <v>6</v>
      </c>
      <c r="J5068" t="s">
        <v>445</v>
      </c>
      <c r="M5068">
        <v>2391</v>
      </c>
      <c r="N5068" t="s">
        <v>16190</v>
      </c>
    </row>
    <row r="5069" spans="1:14">
      <c r="A5069">
        <v>20680002</v>
      </c>
      <c r="B5069">
        <v>3045676</v>
      </c>
      <c r="C5069" t="s">
        <v>16197</v>
      </c>
      <c r="D5069" t="s">
        <v>441</v>
      </c>
      <c r="F5069">
        <v>0</v>
      </c>
      <c r="G5069">
        <v>20.440000000000001</v>
      </c>
      <c r="H5069" t="s">
        <v>8549</v>
      </c>
      <c r="I5069">
        <v>365</v>
      </c>
      <c r="J5069" t="s">
        <v>445</v>
      </c>
      <c r="M5069">
        <v>7111</v>
      </c>
      <c r="N5069" t="s">
        <v>16190</v>
      </c>
    </row>
    <row r="5070" spans="1:14">
      <c r="A5070">
        <v>20680075</v>
      </c>
      <c r="B5070">
        <v>3045557</v>
      </c>
      <c r="C5070" t="s">
        <v>16198</v>
      </c>
      <c r="D5070" t="s">
        <v>441</v>
      </c>
      <c r="F5070">
        <v>0</v>
      </c>
      <c r="G5070">
        <v>19.98</v>
      </c>
      <c r="H5070" t="s">
        <v>8588</v>
      </c>
      <c r="I5070">
        <v>6</v>
      </c>
      <c r="J5070" t="s">
        <v>445</v>
      </c>
      <c r="M5070">
        <v>7112</v>
      </c>
      <c r="N5070" t="s">
        <v>16190</v>
      </c>
    </row>
    <row r="5071" spans="1:14">
      <c r="A5071">
        <v>20680087</v>
      </c>
      <c r="B5071">
        <v>3045558</v>
      </c>
      <c r="C5071" t="s">
        <v>16199</v>
      </c>
      <c r="D5071" t="s">
        <v>441</v>
      </c>
      <c r="F5071">
        <v>0</v>
      </c>
      <c r="G5071">
        <v>19.91</v>
      </c>
      <c r="H5071" t="s">
        <v>8588</v>
      </c>
      <c r="I5071">
        <v>6</v>
      </c>
      <c r="J5071" t="s">
        <v>445</v>
      </c>
      <c r="M5071">
        <v>7112</v>
      </c>
      <c r="N5071" t="s">
        <v>16190</v>
      </c>
    </row>
    <row r="5072" spans="1:14">
      <c r="A5072">
        <v>20680502</v>
      </c>
      <c r="B5072">
        <v>3045675</v>
      </c>
      <c r="C5072" t="s">
        <v>16200</v>
      </c>
      <c r="D5072" t="s">
        <v>441</v>
      </c>
      <c r="F5072">
        <v>0</v>
      </c>
      <c r="G5072">
        <v>19.8</v>
      </c>
      <c r="H5072" t="s">
        <v>8549</v>
      </c>
      <c r="I5072">
        <v>365</v>
      </c>
      <c r="J5072" t="s">
        <v>445</v>
      </c>
      <c r="M5072">
        <v>2502</v>
      </c>
      <c r="N5072" t="s">
        <v>16190</v>
      </c>
    </row>
    <row r="5073" spans="1:14">
      <c r="A5073">
        <v>20684000</v>
      </c>
      <c r="B5073">
        <v>3007866</v>
      </c>
      <c r="C5073" t="s">
        <v>2763</v>
      </c>
      <c r="D5073" t="s">
        <v>441</v>
      </c>
      <c r="F5073">
        <v>0</v>
      </c>
      <c r="G5073">
        <v>8.24</v>
      </c>
      <c r="H5073" t="s">
        <v>8584</v>
      </c>
      <c r="I5073">
        <v>6</v>
      </c>
      <c r="J5073" t="s">
        <v>445</v>
      </c>
      <c r="K5073" t="s">
        <v>446</v>
      </c>
      <c r="M5073">
        <v>0</v>
      </c>
    </row>
    <row r="5074" spans="1:14">
      <c r="A5074">
        <v>20690000</v>
      </c>
      <c r="B5074">
        <v>3030875</v>
      </c>
      <c r="C5074" t="s">
        <v>2764</v>
      </c>
      <c r="D5074" t="s">
        <v>441</v>
      </c>
      <c r="F5074">
        <v>0</v>
      </c>
      <c r="G5074">
        <v>15.15</v>
      </c>
      <c r="H5074" t="s">
        <v>8549</v>
      </c>
      <c r="I5074">
        <v>6</v>
      </c>
      <c r="J5074" t="s">
        <v>445</v>
      </c>
      <c r="M5074">
        <v>2391</v>
      </c>
      <c r="N5074" t="s">
        <v>16201</v>
      </c>
    </row>
    <row r="5075" spans="1:14">
      <c r="A5075">
        <v>20690020</v>
      </c>
      <c r="B5075">
        <v>4026832</v>
      </c>
      <c r="C5075" t="s">
        <v>2765</v>
      </c>
      <c r="D5075" t="s">
        <v>441</v>
      </c>
      <c r="F5075">
        <v>0</v>
      </c>
      <c r="G5075">
        <v>15.56</v>
      </c>
      <c r="H5075" t="s">
        <v>8588</v>
      </c>
      <c r="I5075">
        <v>6</v>
      </c>
      <c r="J5075" t="s">
        <v>462</v>
      </c>
      <c r="L5075">
        <v>2052426</v>
      </c>
      <c r="M5075">
        <v>7112</v>
      </c>
      <c r="N5075" t="s">
        <v>16201</v>
      </c>
    </row>
    <row r="5076" spans="1:14">
      <c r="A5076">
        <v>20690026</v>
      </c>
      <c r="B5076">
        <v>4024643</v>
      </c>
      <c r="C5076" t="s">
        <v>2766</v>
      </c>
      <c r="D5076" t="s">
        <v>441</v>
      </c>
      <c r="F5076">
        <v>0</v>
      </c>
      <c r="G5076">
        <v>19.82</v>
      </c>
      <c r="H5076" t="s">
        <v>8588</v>
      </c>
      <c r="I5076">
        <v>540</v>
      </c>
      <c r="J5076" t="s">
        <v>462</v>
      </c>
      <c r="M5076">
        <v>7111</v>
      </c>
      <c r="N5076" t="s">
        <v>16201</v>
      </c>
    </row>
    <row r="5077" spans="1:14">
      <c r="A5077">
        <v>20690027</v>
      </c>
      <c r="B5077">
        <v>4024689</v>
      </c>
      <c r="C5077" t="s">
        <v>2767</v>
      </c>
      <c r="D5077" t="s">
        <v>441</v>
      </c>
      <c r="F5077">
        <v>0</v>
      </c>
      <c r="G5077">
        <v>16.34</v>
      </c>
      <c r="H5077" t="s">
        <v>8588</v>
      </c>
      <c r="I5077">
        <v>540</v>
      </c>
      <c r="J5077" t="s">
        <v>462</v>
      </c>
      <c r="M5077">
        <v>7111</v>
      </c>
      <c r="N5077" t="s">
        <v>16201</v>
      </c>
    </row>
    <row r="5078" spans="1:14">
      <c r="A5078">
        <v>20690526</v>
      </c>
      <c r="B5078">
        <v>3030861</v>
      </c>
      <c r="C5078" t="s">
        <v>2768</v>
      </c>
      <c r="D5078" t="s">
        <v>441</v>
      </c>
      <c r="F5078">
        <v>0</v>
      </c>
      <c r="G5078">
        <v>16.18</v>
      </c>
      <c r="H5078" t="s">
        <v>8588</v>
      </c>
      <c r="I5078">
        <v>6</v>
      </c>
      <c r="J5078" t="s">
        <v>445</v>
      </c>
      <c r="M5078">
        <v>2502</v>
      </c>
      <c r="N5078" t="s">
        <v>16201</v>
      </c>
    </row>
    <row r="5079" spans="1:14">
      <c r="A5079">
        <v>20690527</v>
      </c>
      <c r="B5079">
        <v>3036696</v>
      </c>
      <c r="C5079" t="s">
        <v>2769</v>
      </c>
      <c r="D5079" t="s">
        <v>441</v>
      </c>
      <c r="F5079">
        <v>0</v>
      </c>
      <c r="G5079">
        <v>16.05</v>
      </c>
      <c r="H5079" t="s">
        <v>8588</v>
      </c>
      <c r="I5079">
        <v>540</v>
      </c>
      <c r="J5079" t="s">
        <v>445</v>
      </c>
      <c r="M5079">
        <v>2502</v>
      </c>
      <c r="N5079" t="s">
        <v>16201</v>
      </c>
    </row>
    <row r="5080" spans="1:14">
      <c r="A5080">
        <v>20700000</v>
      </c>
      <c r="B5080">
        <v>3016306</v>
      </c>
      <c r="C5080" t="s">
        <v>2770</v>
      </c>
      <c r="D5080" t="s">
        <v>441</v>
      </c>
      <c r="F5080">
        <v>0</v>
      </c>
      <c r="G5080">
        <v>4.8499999999999996</v>
      </c>
      <c r="H5080" t="s">
        <v>8580</v>
      </c>
      <c r="I5080">
        <v>6</v>
      </c>
      <c r="J5080" t="s">
        <v>445</v>
      </c>
      <c r="M5080">
        <v>2391</v>
      </c>
      <c r="N5080" t="s">
        <v>16202</v>
      </c>
    </row>
    <row r="5081" spans="1:14">
      <c r="A5081">
        <v>20730007</v>
      </c>
      <c r="B5081">
        <v>3026937</v>
      </c>
      <c r="C5081" t="s">
        <v>15493</v>
      </c>
      <c r="D5081" t="s">
        <v>441</v>
      </c>
      <c r="F5081">
        <v>0</v>
      </c>
      <c r="G5081">
        <v>13.23</v>
      </c>
      <c r="H5081" t="s">
        <v>8588</v>
      </c>
      <c r="I5081">
        <v>6</v>
      </c>
      <c r="J5081" t="s">
        <v>445</v>
      </c>
      <c r="M5081">
        <v>2391</v>
      </c>
      <c r="N5081" t="s">
        <v>16203</v>
      </c>
    </row>
    <row r="5082" spans="1:14">
      <c r="A5082">
        <v>20730080</v>
      </c>
      <c r="B5082">
        <v>3027453</v>
      </c>
      <c r="C5082" t="s">
        <v>2771</v>
      </c>
      <c r="D5082" t="s">
        <v>441</v>
      </c>
      <c r="F5082">
        <v>0</v>
      </c>
      <c r="G5082">
        <v>9.11</v>
      </c>
      <c r="H5082" t="s">
        <v>8588</v>
      </c>
      <c r="I5082">
        <v>6</v>
      </c>
      <c r="J5082" t="s">
        <v>445</v>
      </c>
      <c r="K5082" t="s">
        <v>446</v>
      </c>
      <c r="M5082">
        <v>2641</v>
      </c>
      <c r="N5082" t="s">
        <v>16203</v>
      </c>
    </row>
    <row r="5083" spans="1:14">
      <c r="A5083">
        <v>20730087</v>
      </c>
      <c r="B5083">
        <v>3026953</v>
      </c>
      <c r="C5083" t="s">
        <v>15494</v>
      </c>
      <c r="D5083" t="s">
        <v>441</v>
      </c>
      <c r="F5083">
        <v>0</v>
      </c>
      <c r="G5083">
        <v>13.31</v>
      </c>
      <c r="H5083" t="s">
        <v>8588</v>
      </c>
      <c r="I5083">
        <v>6</v>
      </c>
      <c r="J5083" t="s">
        <v>445</v>
      </c>
      <c r="M5083">
        <v>7112</v>
      </c>
      <c r="N5083" t="s">
        <v>16203</v>
      </c>
    </row>
    <row r="5084" spans="1:14">
      <c r="A5084">
        <v>20740000</v>
      </c>
      <c r="B5084">
        <v>3007868</v>
      </c>
      <c r="C5084" t="s">
        <v>10644</v>
      </c>
      <c r="D5084" t="s">
        <v>441</v>
      </c>
      <c r="F5084">
        <v>0</v>
      </c>
      <c r="G5084">
        <v>8.4600000000000009</v>
      </c>
      <c r="H5084" t="s">
        <v>8580</v>
      </c>
      <c r="I5084">
        <v>6</v>
      </c>
      <c r="J5084" t="s">
        <v>445</v>
      </c>
      <c r="K5084" t="s">
        <v>446</v>
      </c>
      <c r="M5084">
        <v>0</v>
      </c>
    </row>
    <row r="5085" spans="1:14">
      <c r="A5085">
        <v>20740041</v>
      </c>
      <c r="B5085">
        <v>4001829</v>
      </c>
      <c r="C5085" t="s">
        <v>10645</v>
      </c>
      <c r="D5085" t="s">
        <v>441</v>
      </c>
      <c r="F5085">
        <v>0</v>
      </c>
      <c r="G5085">
        <v>9.92</v>
      </c>
      <c r="H5085" t="s">
        <v>8588</v>
      </c>
      <c r="I5085">
        <v>365</v>
      </c>
      <c r="J5085" t="s">
        <v>462</v>
      </c>
      <c r="K5085" t="s">
        <v>446</v>
      </c>
      <c r="L5085" t="s">
        <v>10646</v>
      </c>
      <c r="M5085">
        <v>2501</v>
      </c>
    </row>
    <row r="5086" spans="1:14">
      <c r="A5086">
        <v>20740541</v>
      </c>
      <c r="B5086">
        <v>3007869</v>
      </c>
      <c r="C5086" t="s">
        <v>10647</v>
      </c>
      <c r="D5086" t="s">
        <v>441</v>
      </c>
      <c r="F5086">
        <v>0</v>
      </c>
      <c r="G5086">
        <v>9.66</v>
      </c>
      <c r="I5086">
        <v>6</v>
      </c>
      <c r="J5086" t="s">
        <v>445</v>
      </c>
      <c r="K5086" t="s">
        <v>446</v>
      </c>
      <c r="M5086">
        <v>2641</v>
      </c>
    </row>
    <row r="5087" spans="1:14">
      <c r="A5087">
        <v>20750000</v>
      </c>
      <c r="B5087">
        <v>3014489</v>
      </c>
      <c r="C5087" t="s">
        <v>10648</v>
      </c>
      <c r="D5087" t="s">
        <v>441</v>
      </c>
      <c r="F5087">
        <v>0</v>
      </c>
      <c r="G5087">
        <v>9.06</v>
      </c>
      <c r="I5087">
        <v>6</v>
      </c>
      <c r="J5087" t="s">
        <v>445</v>
      </c>
      <c r="K5087" t="s">
        <v>446</v>
      </c>
      <c r="M5087">
        <v>2621</v>
      </c>
    </row>
    <row r="5088" spans="1:14">
      <c r="A5088">
        <v>20750030</v>
      </c>
      <c r="B5088">
        <v>4010681</v>
      </c>
      <c r="C5088" t="s">
        <v>10649</v>
      </c>
      <c r="D5088" t="s">
        <v>442</v>
      </c>
      <c r="E5088" t="s">
        <v>441</v>
      </c>
      <c r="F5088">
        <v>0.5</v>
      </c>
      <c r="G5088">
        <v>5.17</v>
      </c>
      <c r="H5088" t="s">
        <v>8588</v>
      </c>
      <c r="I5088">
        <v>9</v>
      </c>
      <c r="J5088" t="s">
        <v>462</v>
      </c>
      <c r="K5088" t="s">
        <v>446</v>
      </c>
      <c r="M5088">
        <v>2622</v>
      </c>
    </row>
    <row r="5089" spans="1:14">
      <c r="A5089">
        <v>20760000</v>
      </c>
      <c r="B5089">
        <v>3007870</v>
      </c>
      <c r="C5089" t="s">
        <v>10650</v>
      </c>
      <c r="D5089" t="s">
        <v>441</v>
      </c>
      <c r="F5089">
        <v>0</v>
      </c>
      <c r="G5089">
        <v>8.5299999999999994</v>
      </c>
      <c r="I5089">
        <v>10</v>
      </c>
      <c r="J5089" t="s">
        <v>445</v>
      </c>
      <c r="K5089" t="s">
        <v>446</v>
      </c>
      <c r="M5089">
        <v>2621</v>
      </c>
    </row>
    <row r="5090" spans="1:14">
      <c r="A5090">
        <v>20760027</v>
      </c>
      <c r="B5090">
        <v>4003933</v>
      </c>
      <c r="C5090" t="s">
        <v>10651</v>
      </c>
      <c r="D5090" t="s">
        <v>442</v>
      </c>
      <c r="E5090" t="s">
        <v>441</v>
      </c>
      <c r="F5090">
        <v>0.25</v>
      </c>
      <c r="G5090">
        <v>2.41</v>
      </c>
      <c r="H5090" t="s">
        <v>8588</v>
      </c>
      <c r="I5090">
        <v>365</v>
      </c>
      <c r="J5090" t="s">
        <v>462</v>
      </c>
      <c r="K5090" t="s">
        <v>446</v>
      </c>
      <c r="M5090">
        <v>2501</v>
      </c>
    </row>
    <row r="5091" spans="1:14">
      <c r="A5091">
        <v>20760527</v>
      </c>
      <c r="B5091">
        <v>3007871</v>
      </c>
      <c r="C5091" t="s">
        <v>10652</v>
      </c>
      <c r="D5091" t="s">
        <v>442</v>
      </c>
      <c r="E5091" t="s">
        <v>441</v>
      </c>
      <c r="F5091">
        <v>0.25</v>
      </c>
      <c r="G5091">
        <v>2.36</v>
      </c>
      <c r="I5091">
        <v>0</v>
      </c>
      <c r="J5091" t="s">
        <v>445</v>
      </c>
      <c r="K5091" t="s">
        <v>446</v>
      </c>
      <c r="M5091">
        <v>2622</v>
      </c>
    </row>
    <row r="5092" spans="1:14">
      <c r="A5092">
        <v>20770000</v>
      </c>
      <c r="B5092">
        <v>3015945</v>
      </c>
      <c r="C5092" t="s">
        <v>14936</v>
      </c>
      <c r="D5092" t="s">
        <v>441</v>
      </c>
      <c r="F5092">
        <v>0</v>
      </c>
      <c r="G5092">
        <v>9</v>
      </c>
      <c r="H5092" t="s">
        <v>8584</v>
      </c>
      <c r="I5092">
        <v>6</v>
      </c>
      <c r="J5092" t="s">
        <v>445</v>
      </c>
      <c r="M5092">
        <v>2391</v>
      </c>
      <c r="N5092" t="s">
        <v>16089</v>
      </c>
    </row>
    <row r="5093" spans="1:14">
      <c r="A5093">
        <v>20780000</v>
      </c>
      <c r="B5093">
        <v>3004493</v>
      </c>
      <c r="C5093" t="s">
        <v>2772</v>
      </c>
      <c r="D5093" t="s">
        <v>441</v>
      </c>
      <c r="F5093">
        <v>0</v>
      </c>
      <c r="G5093">
        <v>6.15</v>
      </c>
      <c r="H5093" t="s">
        <v>8634</v>
      </c>
      <c r="I5093">
        <v>6</v>
      </c>
      <c r="J5093" t="s">
        <v>445</v>
      </c>
      <c r="K5093" t="s">
        <v>446</v>
      </c>
      <c r="M5093">
        <v>0</v>
      </c>
    </row>
    <row r="5094" spans="1:14">
      <c r="A5094">
        <v>20790000</v>
      </c>
      <c r="B5094">
        <v>3004494</v>
      </c>
      <c r="C5094" t="s">
        <v>2773</v>
      </c>
      <c r="D5094" t="s">
        <v>441</v>
      </c>
      <c r="F5094">
        <v>0</v>
      </c>
      <c r="G5094">
        <v>5.42</v>
      </c>
      <c r="H5094" t="s">
        <v>8634</v>
      </c>
      <c r="I5094">
        <v>6</v>
      </c>
      <c r="J5094" t="s">
        <v>445</v>
      </c>
      <c r="K5094" t="s">
        <v>446</v>
      </c>
      <c r="M5094">
        <v>0</v>
      </c>
    </row>
    <row r="5095" spans="1:14">
      <c r="A5095">
        <v>20910000</v>
      </c>
      <c r="B5095">
        <v>3007872</v>
      </c>
      <c r="C5095" t="s">
        <v>10653</v>
      </c>
      <c r="D5095" t="s">
        <v>441</v>
      </c>
      <c r="F5095">
        <v>0</v>
      </c>
      <c r="G5095">
        <v>9.36</v>
      </c>
      <c r="I5095">
        <v>10</v>
      </c>
      <c r="J5095" t="s">
        <v>445</v>
      </c>
      <c r="K5095" t="s">
        <v>446</v>
      </c>
      <c r="M5095">
        <v>2621</v>
      </c>
    </row>
    <row r="5096" spans="1:14">
      <c r="A5096">
        <v>20910027</v>
      </c>
      <c r="B5096">
        <v>4003941</v>
      </c>
      <c r="C5096" t="s">
        <v>10654</v>
      </c>
      <c r="D5096" t="s">
        <v>442</v>
      </c>
      <c r="E5096" t="s">
        <v>441</v>
      </c>
      <c r="F5096">
        <v>0.25</v>
      </c>
      <c r="G5096">
        <v>2.5499999999999998</v>
      </c>
      <c r="H5096" t="s">
        <v>10655</v>
      </c>
      <c r="I5096">
        <v>365</v>
      </c>
      <c r="J5096" t="s">
        <v>462</v>
      </c>
      <c r="K5096" t="s">
        <v>446</v>
      </c>
      <c r="M5096">
        <v>2501</v>
      </c>
    </row>
    <row r="5097" spans="1:14">
      <c r="A5097">
        <v>20910030</v>
      </c>
      <c r="B5097">
        <v>4003942</v>
      </c>
      <c r="C5097" t="s">
        <v>10656</v>
      </c>
      <c r="D5097" t="s">
        <v>442</v>
      </c>
      <c r="E5097" t="s">
        <v>441</v>
      </c>
      <c r="F5097">
        <v>0.5</v>
      </c>
      <c r="G5097">
        <v>5.32</v>
      </c>
      <c r="H5097" t="s">
        <v>10655</v>
      </c>
      <c r="I5097">
        <v>8</v>
      </c>
      <c r="J5097" t="s">
        <v>462</v>
      </c>
      <c r="K5097" t="s">
        <v>446</v>
      </c>
      <c r="M5097">
        <v>2622</v>
      </c>
    </row>
    <row r="5098" spans="1:14">
      <c r="A5098">
        <v>20910034</v>
      </c>
      <c r="B5098">
        <v>4003944</v>
      </c>
      <c r="C5098" t="s">
        <v>10657</v>
      </c>
      <c r="D5098" t="s">
        <v>442</v>
      </c>
      <c r="E5098" t="s">
        <v>441</v>
      </c>
      <c r="F5098">
        <v>0.5</v>
      </c>
      <c r="G5098">
        <v>5.31</v>
      </c>
      <c r="H5098" t="s">
        <v>10655</v>
      </c>
      <c r="I5098">
        <v>8</v>
      </c>
      <c r="J5098" t="s">
        <v>462</v>
      </c>
      <c r="K5098" t="s">
        <v>446</v>
      </c>
      <c r="M5098">
        <v>2622</v>
      </c>
    </row>
    <row r="5099" spans="1:14">
      <c r="A5099">
        <v>20910039</v>
      </c>
      <c r="B5099">
        <v>4007549</v>
      </c>
      <c r="C5099" t="s">
        <v>10658</v>
      </c>
      <c r="D5099" t="s">
        <v>442</v>
      </c>
      <c r="E5099" t="s">
        <v>441</v>
      </c>
      <c r="F5099">
        <v>0.5</v>
      </c>
      <c r="G5099">
        <v>5.38</v>
      </c>
      <c r="H5099" t="s">
        <v>8588</v>
      </c>
      <c r="I5099">
        <v>8</v>
      </c>
      <c r="J5099" t="s">
        <v>462</v>
      </c>
      <c r="K5099" t="s">
        <v>446</v>
      </c>
      <c r="M5099">
        <v>2622</v>
      </c>
    </row>
    <row r="5100" spans="1:14">
      <c r="A5100">
        <v>20910527</v>
      </c>
      <c r="B5100">
        <v>3007873</v>
      </c>
      <c r="C5100" t="s">
        <v>10659</v>
      </c>
      <c r="D5100" t="s">
        <v>442</v>
      </c>
      <c r="E5100" t="s">
        <v>441</v>
      </c>
      <c r="F5100">
        <v>0.25</v>
      </c>
      <c r="G5100">
        <v>2.48</v>
      </c>
      <c r="I5100">
        <v>0</v>
      </c>
      <c r="J5100" t="s">
        <v>445</v>
      </c>
      <c r="K5100" t="s">
        <v>446</v>
      </c>
      <c r="M5100">
        <v>2622</v>
      </c>
    </row>
    <row r="5101" spans="1:14">
      <c r="A5101">
        <v>20920000</v>
      </c>
      <c r="B5101">
        <v>3014482</v>
      </c>
      <c r="C5101" t="s">
        <v>2774</v>
      </c>
      <c r="D5101" t="s">
        <v>441</v>
      </c>
      <c r="F5101">
        <v>0</v>
      </c>
      <c r="G5101">
        <v>9.94</v>
      </c>
      <c r="H5101" t="s">
        <v>8580</v>
      </c>
      <c r="I5101">
        <v>6</v>
      </c>
      <c r="J5101" t="s">
        <v>445</v>
      </c>
      <c r="K5101" t="s">
        <v>446</v>
      </c>
      <c r="M5101">
        <v>2621</v>
      </c>
      <c r="N5101" t="s">
        <v>16204</v>
      </c>
    </row>
    <row r="5102" spans="1:14">
      <c r="A5102">
        <v>20920030</v>
      </c>
      <c r="B5102">
        <v>4010642</v>
      </c>
      <c r="C5102" t="s">
        <v>10660</v>
      </c>
      <c r="D5102" t="s">
        <v>442</v>
      </c>
      <c r="E5102" t="s">
        <v>441</v>
      </c>
      <c r="F5102">
        <v>0.65</v>
      </c>
      <c r="G5102">
        <v>5.88</v>
      </c>
      <c r="H5102" t="s">
        <v>8588</v>
      </c>
      <c r="I5102">
        <v>9</v>
      </c>
      <c r="J5102" t="s">
        <v>462</v>
      </c>
      <c r="K5102" t="s">
        <v>446</v>
      </c>
      <c r="M5102">
        <v>2622</v>
      </c>
    </row>
    <row r="5103" spans="1:14">
      <c r="A5103">
        <v>20920031</v>
      </c>
      <c r="B5103">
        <v>4010801</v>
      </c>
      <c r="C5103" t="s">
        <v>10661</v>
      </c>
      <c r="D5103" t="s">
        <v>442</v>
      </c>
      <c r="E5103" t="s">
        <v>441</v>
      </c>
      <c r="F5103">
        <v>0.5</v>
      </c>
      <c r="G5103">
        <v>4.46</v>
      </c>
      <c r="H5103" t="s">
        <v>8588</v>
      </c>
      <c r="I5103">
        <v>9</v>
      </c>
      <c r="J5103" t="s">
        <v>462</v>
      </c>
      <c r="K5103" t="s">
        <v>446</v>
      </c>
      <c r="M5103">
        <v>2622</v>
      </c>
    </row>
    <row r="5104" spans="1:14">
      <c r="A5104">
        <v>20960000</v>
      </c>
      <c r="B5104">
        <v>3016844</v>
      </c>
      <c r="C5104" t="s">
        <v>10662</v>
      </c>
      <c r="D5104" t="s">
        <v>441</v>
      </c>
      <c r="F5104">
        <v>0</v>
      </c>
      <c r="G5104">
        <v>9.44</v>
      </c>
      <c r="H5104" t="s">
        <v>8580</v>
      </c>
      <c r="I5104">
        <v>4</v>
      </c>
      <c r="J5104" t="s">
        <v>445</v>
      </c>
      <c r="K5104" t="s">
        <v>446</v>
      </c>
      <c r="M5104">
        <v>2621</v>
      </c>
    </row>
    <row r="5105" spans="1:14">
      <c r="A5105">
        <v>20960007</v>
      </c>
      <c r="B5105">
        <v>3026398</v>
      </c>
      <c r="C5105" t="s">
        <v>2775</v>
      </c>
      <c r="D5105" t="s">
        <v>441</v>
      </c>
      <c r="F5105">
        <v>0</v>
      </c>
      <c r="G5105">
        <v>7.86</v>
      </c>
      <c r="H5105" t="s">
        <v>8588</v>
      </c>
      <c r="I5105">
        <v>6</v>
      </c>
      <c r="J5105" t="s">
        <v>445</v>
      </c>
      <c r="K5105" t="s">
        <v>446</v>
      </c>
      <c r="M5105">
        <v>2391</v>
      </c>
      <c r="N5105" t="s">
        <v>16046</v>
      </c>
    </row>
    <row r="5106" spans="1:14">
      <c r="A5106">
        <v>20960030</v>
      </c>
      <c r="B5106">
        <v>4011051</v>
      </c>
      <c r="C5106" t="s">
        <v>10663</v>
      </c>
      <c r="D5106" t="s">
        <v>442</v>
      </c>
      <c r="E5106" t="s">
        <v>441</v>
      </c>
      <c r="F5106">
        <v>0.5</v>
      </c>
      <c r="G5106">
        <v>5.54</v>
      </c>
      <c r="H5106" t="s">
        <v>10655</v>
      </c>
      <c r="I5106">
        <v>9</v>
      </c>
      <c r="J5106" t="s">
        <v>462</v>
      </c>
      <c r="K5106" t="s">
        <v>446</v>
      </c>
      <c r="M5106">
        <v>2622</v>
      </c>
    </row>
    <row r="5107" spans="1:14">
      <c r="A5107">
        <v>20960031</v>
      </c>
      <c r="B5107">
        <v>4003950</v>
      </c>
      <c r="C5107" t="s">
        <v>10664</v>
      </c>
      <c r="D5107" t="s">
        <v>442</v>
      </c>
      <c r="E5107" t="s">
        <v>441</v>
      </c>
      <c r="F5107">
        <v>0.5</v>
      </c>
      <c r="G5107">
        <v>5.46</v>
      </c>
      <c r="H5107" t="s">
        <v>10655</v>
      </c>
      <c r="I5107">
        <v>9</v>
      </c>
      <c r="J5107" t="s">
        <v>462</v>
      </c>
      <c r="K5107" t="s">
        <v>446</v>
      </c>
      <c r="L5107" t="s">
        <v>10665</v>
      </c>
      <c r="M5107">
        <v>2622</v>
      </c>
    </row>
    <row r="5108" spans="1:14">
      <c r="A5108">
        <v>20960032</v>
      </c>
      <c r="B5108">
        <v>4014241</v>
      </c>
      <c r="C5108" t="s">
        <v>10666</v>
      </c>
      <c r="D5108" t="s">
        <v>442</v>
      </c>
      <c r="E5108" t="s">
        <v>441</v>
      </c>
      <c r="F5108">
        <v>0.5</v>
      </c>
      <c r="G5108">
        <v>5.46</v>
      </c>
      <c r="H5108" t="s">
        <v>10655</v>
      </c>
      <c r="I5108">
        <v>9</v>
      </c>
      <c r="J5108" t="s">
        <v>462</v>
      </c>
      <c r="K5108" t="s">
        <v>446</v>
      </c>
      <c r="L5108" t="s">
        <v>10667</v>
      </c>
      <c r="M5108">
        <v>2622</v>
      </c>
    </row>
    <row r="5109" spans="1:14">
      <c r="A5109">
        <v>20960080</v>
      </c>
      <c r="B5109">
        <v>3027449</v>
      </c>
      <c r="C5109" t="s">
        <v>2776</v>
      </c>
      <c r="D5109" t="s">
        <v>441</v>
      </c>
      <c r="F5109">
        <v>0</v>
      </c>
      <c r="G5109">
        <v>11.08</v>
      </c>
      <c r="H5109" t="s">
        <v>8588</v>
      </c>
      <c r="I5109">
        <v>6</v>
      </c>
      <c r="J5109" t="s">
        <v>445</v>
      </c>
      <c r="K5109" t="s">
        <v>446</v>
      </c>
      <c r="M5109">
        <v>2641</v>
      </c>
      <c r="N5109" t="s">
        <v>16046</v>
      </c>
    </row>
    <row r="5110" spans="1:14">
      <c r="A5110">
        <v>20960087</v>
      </c>
      <c r="B5110">
        <v>3026425</v>
      </c>
      <c r="C5110" t="s">
        <v>2777</v>
      </c>
      <c r="D5110" t="s">
        <v>441</v>
      </c>
      <c r="F5110">
        <v>0</v>
      </c>
      <c r="G5110">
        <v>7.93</v>
      </c>
      <c r="H5110" t="s">
        <v>8588</v>
      </c>
      <c r="I5110">
        <v>6</v>
      </c>
      <c r="J5110" t="s">
        <v>445</v>
      </c>
      <c r="K5110" t="s">
        <v>446</v>
      </c>
      <c r="M5110">
        <v>7112</v>
      </c>
      <c r="N5110" t="s">
        <v>16046</v>
      </c>
    </row>
    <row r="5111" spans="1:14">
      <c r="A5111">
        <v>20961000</v>
      </c>
      <c r="B5111">
        <v>3017833</v>
      </c>
      <c r="C5111" t="s">
        <v>10668</v>
      </c>
      <c r="D5111" t="s">
        <v>441</v>
      </c>
      <c r="F5111">
        <v>0</v>
      </c>
      <c r="G5111">
        <v>9.75</v>
      </c>
      <c r="H5111" t="s">
        <v>8580</v>
      </c>
      <c r="I5111">
        <v>4</v>
      </c>
      <c r="J5111" t="s">
        <v>445</v>
      </c>
      <c r="K5111" t="s">
        <v>446</v>
      </c>
      <c r="M5111">
        <v>2621</v>
      </c>
    </row>
    <row r="5112" spans="1:14">
      <c r="A5112">
        <v>20970000</v>
      </c>
      <c r="B5112">
        <v>3007875</v>
      </c>
      <c r="C5112" t="s">
        <v>10669</v>
      </c>
      <c r="D5112" t="s">
        <v>441</v>
      </c>
      <c r="F5112">
        <v>0</v>
      </c>
      <c r="G5112">
        <v>8.8800000000000008</v>
      </c>
      <c r="I5112">
        <v>10</v>
      </c>
      <c r="J5112" t="s">
        <v>445</v>
      </c>
      <c r="K5112" t="s">
        <v>446</v>
      </c>
      <c r="M5112">
        <v>2621</v>
      </c>
    </row>
    <row r="5113" spans="1:14">
      <c r="A5113">
        <v>20970031</v>
      </c>
      <c r="B5113">
        <v>4007619</v>
      </c>
      <c r="C5113" t="s">
        <v>10670</v>
      </c>
      <c r="D5113" t="s">
        <v>442</v>
      </c>
      <c r="E5113" t="s">
        <v>441</v>
      </c>
      <c r="F5113">
        <v>0.5</v>
      </c>
      <c r="G5113">
        <v>5.17</v>
      </c>
      <c r="H5113" t="s">
        <v>8588</v>
      </c>
      <c r="I5113">
        <v>10</v>
      </c>
      <c r="J5113" t="s">
        <v>462</v>
      </c>
      <c r="K5113" t="s">
        <v>446</v>
      </c>
      <c r="M5113">
        <v>2622</v>
      </c>
    </row>
    <row r="5114" spans="1:14">
      <c r="A5114">
        <v>21090066</v>
      </c>
      <c r="B5114">
        <v>4006598</v>
      </c>
      <c r="C5114" t="s">
        <v>10671</v>
      </c>
      <c r="D5114" t="s">
        <v>442</v>
      </c>
      <c r="E5114" t="s">
        <v>441</v>
      </c>
      <c r="F5114">
        <v>0.5</v>
      </c>
      <c r="G5114">
        <v>7.13</v>
      </c>
      <c r="H5114" t="s">
        <v>8588</v>
      </c>
      <c r="I5114">
        <v>9</v>
      </c>
      <c r="J5114" t="s">
        <v>462</v>
      </c>
      <c r="K5114" t="s">
        <v>446</v>
      </c>
      <c r="M5114">
        <v>2611</v>
      </c>
    </row>
    <row r="5115" spans="1:14">
      <c r="A5115">
        <v>21090067</v>
      </c>
      <c r="B5115">
        <v>4008937</v>
      </c>
      <c r="C5115" t="s">
        <v>10672</v>
      </c>
      <c r="D5115" t="s">
        <v>442</v>
      </c>
      <c r="E5115" t="s">
        <v>441</v>
      </c>
      <c r="F5115">
        <v>0.5</v>
      </c>
      <c r="G5115">
        <v>6.84</v>
      </c>
      <c r="H5115" t="s">
        <v>8588</v>
      </c>
      <c r="I5115">
        <v>12</v>
      </c>
      <c r="J5115" t="s">
        <v>462</v>
      </c>
      <c r="K5115" t="s">
        <v>446</v>
      </c>
      <c r="M5115">
        <v>2611</v>
      </c>
    </row>
    <row r="5116" spans="1:14">
      <c r="A5116">
        <v>21110000</v>
      </c>
      <c r="B5116">
        <v>3019094</v>
      </c>
      <c r="C5116" t="s">
        <v>10673</v>
      </c>
      <c r="D5116" t="s">
        <v>441</v>
      </c>
      <c r="F5116">
        <v>0</v>
      </c>
      <c r="G5116">
        <v>12.7</v>
      </c>
      <c r="I5116">
        <v>5</v>
      </c>
      <c r="J5116" t="s">
        <v>445</v>
      </c>
      <c r="K5116" t="s">
        <v>446</v>
      </c>
      <c r="M5116">
        <v>2616</v>
      </c>
      <c r="N5116" t="s">
        <v>16024</v>
      </c>
    </row>
    <row r="5117" spans="1:14">
      <c r="A5117">
        <v>21110030</v>
      </c>
      <c r="B5117">
        <v>4009814</v>
      </c>
      <c r="C5117" t="s">
        <v>10674</v>
      </c>
      <c r="D5117" t="s">
        <v>442</v>
      </c>
      <c r="E5117" t="s">
        <v>441</v>
      </c>
      <c r="F5117">
        <v>0.5</v>
      </c>
      <c r="G5117">
        <v>6.82</v>
      </c>
      <c r="H5117" t="s">
        <v>8588</v>
      </c>
      <c r="I5117">
        <v>12</v>
      </c>
      <c r="J5117" t="s">
        <v>462</v>
      </c>
      <c r="K5117" t="s">
        <v>446</v>
      </c>
      <c r="M5117">
        <v>2611</v>
      </c>
      <c r="N5117" t="s">
        <v>16024</v>
      </c>
    </row>
    <row r="5118" spans="1:14">
      <c r="A5118">
        <v>21110031</v>
      </c>
      <c r="B5118">
        <v>4012840</v>
      </c>
      <c r="C5118" t="s">
        <v>10675</v>
      </c>
      <c r="D5118" t="s">
        <v>442</v>
      </c>
      <c r="E5118" t="s">
        <v>441</v>
      </c>
      <c r="F5118">
        <v>0.5</v>
      </c>
      <c r="G5118">
        <v>6.19</v>
      </c>
      <c r="H5118" t="s">
        <v>8588</v>
      </c>
      <c r="I5118">
        <v>12</v>
      </c>
      <c r="J5118" t="s">
        <v>462</v>
      </c>
      <c r="K5118" t="s">
        <v>446</v>
      </c>
      <c r="M5118">
        <v>2611</v>
      </c>
      <c r="N5118" t="s">
        <v>16024</v>
      </c>
    </row>
    <row r="5119" spans="1:14">
      <c r="A5119">
        <v>21110032</v>
      </c>
      <c r="B5119">
        <v>4013658</v>
      </c>
      <c r="C5119" t="s">
        <v>2778</v>
      </c>
      <c r="D5119" t="s">
        <v>442</v>
      </c>
      <c r="E5119" t="s">
        <v>441</v>
      </c>
      <c r="F5119">
        <v>0.5</v>
      </c>
      <c r="G5119">
        <v>6.83</v>
      </c>
      <c r="H5119" t="s">
        <v>8588</v>
      </c>
      <c r="I5119">
        <v>12</v>
      </c>
      <c r="J5119" t="s">
        <v>462</v>
      </c>
      <c r="K5119" t="s">
        <v>446</v>
      </c>
      <c r="L5119" t="s">
        <v>10676</v>
      </c>
      <c r="M5119">
        <v>2611</v>
      </c>
      <c r="N5119" t="s">
        <v>16024</v>
      </c>
    </row>
    <row r="5120" spans="1:14">
      <c r="A5120">
        <v>21110034</v>
      </c>
      <c r="B5120">
        <v>4015280</v>
      </c>
      <c r="C5120" t="s">
        <v>10677</v>
      </c>
      <c r="D5120" t="s">
        <v>442</v>
      </c>
      <c r="E5120" t="s">
        <v>441</v>
      </c>
      <c r="F5120">
        <v>0.5</v>
      </c>
      <c r="G5120">
        <v>6.14</v>
      </c>
      <c r="H5120" t="s">
        <v>8588</v>
      </c>
      <c r="I5120">
        <v>12</v>
      </c>
      <c r="J5120" t="s">
        <v>462</v>
      </c>
      <c r="K5120" t="s">
        <v>446</v>
      </c>
      <c r="M5120">
        <v>2611</v>
      </c>
      <c r="N5120" t="s">
        <v>16024</v>
      </c>
    </row>
    <row r="5121" spans="1:14">
      <c r="A5121">
        <v>21110035</v>
      </c>
      <c r="B5121">
        <v>4015736</v>
      </c>
      <c r="C5121" t="s">
        <v>10678</v>
      </c>
      <c r="D5121" t="s">
        <v>441</v>
      </c>
      <c r="F5121">
        <v>0</v>
      </c>
      <c r="G5121">
        <v>12.48</v>
      </c>
      <c r="H5121" t="s">
        <v>8588</v>
      </c>
      <c r="I5121">
        <v>12</v>
      </c>
      <c r="J5121" t="s">
        <v>462</v>
      </c>
      <c r="K5121" t="s">
        <v>446</v>
      </c>
      <c r="L5121">
        <v>2615010</v>
      </c>
      <c r="M5121">
        <v>2611</v>
      </c>
      <c r="N5121" t="s">
        <v>16024</v>
      </c>
    </row>
    <row r="5122" spans="1:14">
      <c r="A5122">
        <v>21110036</v>
      </c>
      <c r="B5122">
        <v>4016915</v>
      </c>
      <c r="C5122" t="s">
        <v>10679</v>
      </c>
      <c r="D5122" t="s">
        <v>442</v>
      </c>
      <c r="E5122" t="s">
        <v>441</v>
      </c>
      <c r="F5122">
        <v>0.5</v>
      </c>
      <c r="G5122">
        <v>6.31</v>
      </c>
      <c r="H5122" t="s">
        <v>8588</v>
      </c>
      <c r="I5122">
        <v>10</v>
      </c>
      <c r="J5122" t="s">
        <v>462</v>
      </c>
      <c r="K5122" t="s">
        <v>446</v>
      </c>
      <c r="M5122">
        <v>2611</v>
      </c>
      <c r="N5122" t="s">
        <v>16024</v>
      </c>
    </row>
    <row r="5123" spans="1:14">
      <c r="A5123">
        <v>21110037</v>
      </c>
      <c r="B5123">
        <v>4016964</v>
      </c>
      <c r="C5123" t="s">
        <v>10680</v>
      </c>
      <c r="D5123" t="s">
        <v>442</v>
      </c>
      <c r="E5123" t="s">
        <v>441</v>
      </c>
      <c r="F5123">
        <v>0.5</v>
      </c>
      <c r="G5123">
        <v>6.82</v>
      </c>
      <c r="H5123" t="s">
        <v>8588</v>
      </c>
      <c r="I5123">
        <v>12</v>
      </c>
      <c r="J5123" t="s">
        <v>462</v>
      </c>
      <c r="K5123" t="s">
        <v>446</v>
      </c>
      <c r="M5123">
        <v>2611</v>
      </c>
      <c r="N5123" t="s">
        <v>16024</v>
      </c>
    </row>
    <row r="5124" spans="1:14">
      <c r="A5124">
        <v>21110236</v>
      </c>
      <c r="B5124">
        <v>3026318</v>
      </c>
      <c r="C5124" t="s">
        <v>10681</v>
      </c>
      <c r="D5124" t="s">
        <v>442</v>
      </c>
      <c r="E5124" t="s">
        <v>441</v>
      </c>
      <c r="F5124">
        <v>0.5</v>
      </c>
      <c r="G5124">
        <v>5.88</v>
      </c>
      <c r="H5124" t="s">
        <v>8588</v>
      </c>
      <c r="I5124">
        <v>2</v>
      </c>
      <c r="J5124" t="s">
        <v>445</v>
      </c>
      <c r="K5124" t="s">
        <v>446</v>
      </c>
      <c r="M5124">
        <v>2611</v>
      </c>
      <c r="N5124" t="s">
        <v>16024</v>
      </c>
    </row>
    <row r="5125" spans="1:14">
      <c r="A5125">
        <v>21111000</v>
      </c>
      <c r="B5125">
        <v>3019096</v>
      </c>
      <c r="C5125" t="s">
        <v>10682</v>
      </c>
      <c r="D5125" t="s">
        <v>441</v>
      </c>
      <c r="F5125">
        <v>0</v>
      </c>
      <c r="G5125">
        <v>13.03</v>
      </c>
      <c r="H5125" t="s">
        <v>8584</v>
      </c>
      <c r="I5125">
        <v>5</v>
      </c>
      <c r="J5125" t="s">
        <v>445</v>
      </c>
      <c r="K5125" t="s">
        <v>446</v>
      </c>
      <c r="M5125">
        <v>2616</v>
      </c>
      <c r="N5125" t="s">
        <v>16024</v>
      </c>
    </row>
    <row r="5126" spans="1:14">
      <c r="A5126">
        <v>21111030</v>
      </c>
      <c r="B5126">
        <v>4011968</v>
      </c>
      <c r="C5126" t="s">
        <v>10683</v>
      </c>
      <c r="D5126" t="s">
        <v>442</v>
      </c>
      <c r="E5126" t="s">
        <v>441</v>
      </c>
      <c r="F5126">
        <v>0.5</v>
      </c>
      <c r="G5126">
        <v>6.57</v>
      </c>
      <c r="H5126" t="s">
        <v>8588</v>
      </c>
      <c r="I5126">
        <v>12</v>
      </c>
      <c r="J5126" t="s">
        <v>462</v>
      </c>
      <c r="K5126" t="s">
        <v>446</v>
      </c>
      <c r="M5126">
        <v>2611</v>
      </c>
      <c r="N5126" t="s">
        <v>16024</v>
      </c>
    </row>
    <row r="5127" spans="1:14">
      <c r="A5127">
        <v>21111111</v>
      </c>
      <c r="B5127">
        <v>2100822</v>
      </c>
      <c r="C5127" t="s">
        <v>10684</v>
      </c>
      <c r="D5127" t="s">
        <v>441</v>
      </c>
      <c r="F5127">
        <v>0</v>
      </c>
      <c r="G5127">
        <v>0</v>
      </c>
      <c r="H5127" t="s">
        <v>8580</v>
      </c>
      <c r="I5127">
        <v>365</v>
      </c>
      <c r="J5127" t="s">
        <v>458</v>
      </c>
      <c r="K5127" t="s">
        <v>446</v>
      </c>
      <c r="M5127">
        <v>0</v>
      </c>
    </row>
    <row r="5128" spans="1:14">
      <c r="A5128">
        <v>21130000</v>
      </c>
      <c r="B5128">
        <v>3008755</v>
      </c>
      <c r="C5128" t="s">
        <v>10685</v>
      </c>
      <c r="D5128" t="s">
        <v>441</v>
      </c>
      <c r="F5128">
        <v>0</v>
      </c>
      <c r="G5128">
        <v>11.86</v>
      </c>
      <c r="H5128" t="s">
        <v>8549</v>
      </c>
      <c r="I5128">
        <v>6</v>
      </c>
      <c r="J5128" t="s">
        <v>445</v>
      </c>
      <c r="K5128" t="s">
        <v>446</v>
      </c>
      <c r="M5128">
        <v>2611</v>
      </c>
    </row>
    <row r="5129" spans="1:14">
      <c r="A5129">
        <v>21130037</v>
      </c>
      <c r="B5129">
        <v>4006595</v>
      </c>
      <c r="C5129" t="s">
        <v>10686</v>
      </c>
      <c r="D5129" t="s">
        <v>441</v>
      </c>
      <c r="F5129">
        <v>0</v>
      </c>
      <c r="G5129">
        <v>13.74</v>
      </c>
      <c r="H5129" t="s">
        <v>8587</v>
      </c>
      <c r="I5129">
        <v>9</v>
      </c>
      <c r="J5129" t="s">
        <v>462</v>
      </c>
      <c r="K5129" t="s">
        <v>446</v>
      </c>
      <c r="M5129">
        <v>2611</v>
      </c>
    </row>
    <row r="5130" spans="1:14">
      <c r="A5130">
        <v>21130038</v>
      </c>
      <c r="B5130">
        <v>4007289</v>
      </c>
      <c r="C5130" t="s">
        <v>10687</v>
      </c>
      <c r="D5130" t="s">
        <v>442</v>
      </c>
      <c r="E5130" t="s">
        <v>441</v>
      </c>
      <c r="F5130">
        <v>0.3</v>
      </c>
      <c r="G5130">
        <v>4.5999999999999996</v>
      </c>
      <c r="H5130" t="s">
        <v>8588</v>
      </c>
      <c r="I5130">
        <v>12</v>
      </c>
      <c r="J5130" t="s">
        <v>462</v>
      </c>
      <c r="K5130" t="s">
        <v>446</v>
      </c>
      <c r="M5130">
        <v>2611</v>
      </c>
    </row>
    <row r="5131" spans="1:14">
      <c r="A5131">
        <v>21140000</v>
      </c>
      <c r="B5131">
        <v>3018369</v>
      </c>
      <c r="C5131" t="s">
        <v>10688</v>
      </c>
      <c r="D5131" t="s">
        <v>441</v>
      </c>
      <c r="F5131">
        <v>0</v>
      </c>
      <c r="G5131">
        <v>14.23</v>
      </c>
      <c r="I5131">
        <v>5</v>
      </c>
      <c r="J5131" t="s">
        <v>445</v>
      </c>
      <c r="K5131" t="s">
        <v>446</v>
      </c>
      <c r="M5131">
        <v>2611</v>
      </c>
      <c r="N5131" t="s">
        <v>16021</v>
      </c>
    </row>
    <row r="5132" spans="1:14">
      <c r="A5132">
        <v>21140030</v>
      </c>
      <c r="B5132">
        <v>4010641</v>
      </c>
      <c r="C5132" t="s">
        <v>10689</v>
      </c>
      <c r="D5132" t="s">
        <v>441</v>
      </c>
      <c r="F5132">
        <v>0</v>
      </c>
      <c r="G5132">
        <v>13.32</v>
      </c>
      <c r="H5132" t="s">
        <v>8587</v>
      </c>
      <c r="I5132">
        <v>12</v>
      </c>
      <c r="J5132" t="s">
        <v>462</v>
      </c>
      <c r="K5132" t="s">
        <v>446</v>
      </c>
      <c r="M5132">
        <v>2611</v>
      </c>
    </row>
    <row r="5133" spans="1:14">
      <c r="A5133">
        <v>21140031</v>
      </c>
      <c r="B5133">
        <v>4010973</v>
      </c>
      <c r="C5133" t="s">
        <v>10690</v>
      </c>
      <c r="D5133" t="s">
        <v>441</v>
      </c>
      <c r="F5133">
        <v>0</v>
      </c>
      <c r="G5133">
        <v>11.68</v>
      </c>
      <c r="H5133" t="s">
        <v>8587</v>
      </c>
      <c r="I5133">
        <v>12</v>
      </c>
      <c r="J5133" t="s">
        <v>462</v>
      </c>
      <c r="K5133" t="s">
        <v>446</v>
      </c>
      <c r="M5133">
        <v>2611</v>
      </c>
    </row>
    <row r="5134" spans="1:14">
      <c r="A5134">
        <v>21140032</v>
      </c>
      <c r="B5134">
        <v>4012619</v>
      </c>
      <c r="C5134" t="s">
        <v>10691</v>
      </c>
      <c r="D5134" t="s">
        <v>442</v>
      </c>
      <c r="E5134" t="s">
        <v>441</v>
      </c>
      <c r="F5134">
        <v>0.5</v>
      </c>
      <c r="G5134">
        <v>7.46</v>
      </c>
      <c r="H5134" t="s">
        <v>8588</v>
      </c>
      <c r="I5134">
        <v>12</v>
      </c>
      <c r="J5134" t="s">
        <v>462</v>
      </c>
      <c r="K5134" t="s">
        <v>446</v>
      </c>
      <c r="M5134">
        <v>2611</v>
      </c>
      <c r="N5134" t="s">
        <v>16021</v>
      </c>
    </row>
    <row r="5135" spans="1:14">
      <c r="A5135">
        <v>21150030</v>
      </c>
      <c r="B5135">
        <v>4011020</v>
      </c>
      <c r="C5135" t="s">
        <v>10692</v>
      </c>
      <c r="D5135" t="s">
        <v>441</v>
      </c>
      <c r="F5135">
        <v>0</v>
      </c>
      <c r="G5135">
        <v>11.95</v>
      </c>
      <c r="H5135" t="s">
        <v>8587</v>
      </c>
      <c r="I5135">
        <v>12</v>
      </c>
      <c r="J5135" t="s">
        <v>462</v>
      </c>
      <c r="K5135" t="s">
        <v>446</v>
      </c>
      <c r="M5135">
        <v>2611</v>
      </c>
    </row>
    <row r="5136" spans="1:14">
      <c r="A5136">
        <v>21170000</v>
      </c>
      <c r="B5136">
        <v>3021511</v>
      </c>
      <c r="C5136" t="s">
        <v>2779</v>
      </c>
      <c r="D5136" t="s">
        <v>441</v>
      </c>
      <c r="F5136">
        <v>0</v>
      </c>
      <c r="G5136">
        <v>13.38</v>
      </c>
      <c r="H5136" t="s">
        <v>8549</v>
      </c>
      <c r="I5136">
        <v>6</v>
      </c>
      <c r="J5136" t="s">
        <v>445</v>
      </c>
      <c r="K5136" t="s">
        <v>446</v>
      </c>
      <c r="M5136">
        <v>2616</v>
      </c>
      <c r="N5136" t="s">
        <v>16015</v>
      </c>
    </row>
    <row r="5137" spans="1:14">
      <c r="A5137">
        <v>21880000</v>
      </c>
      <c r="B5137">
        <v>3045591</v>
      </c>
      <c r="C5137" t="s">
        <v>15317</v>
      </c>
      <c r="D5137" t="s">
        <v>441</v>
      </c>
      <c r="F5137">
        <v>0</v>
      </c>
      <c r="G5137">
        <v>10.26</v>
      </c>
      <c r="H5137" t="s">
        <v>8549</v>
      </c>
      <c r="I5137">
        <v>6</v>
      </c>
      <c r="J5137" t="s">
        <v>445</v>
      </c>
      <c r="M5137">
        <v>2143</v>
      </c>
      <c r="N5137" t="s">
        <v>16170</v>
      </c>
    </row>
    <row r="5138" spans="1:14">
      <c r="A5138">
        <v>21880002</v>
      </c>
      <c r="B5138">
        <v>3044749</v>
      </c>
      <c r="C5138" t="s">
        <v>15412</v>
      </c>
      <c r="D5138" t="s">
        <v>441</v>
      </c>
      <c r="F5138">
        <v>0</v>
      </c>
      <c r="G5138">
        <v>13.53</v>
      </c>
      <c r="H5138" t="s">
        <v>8588</v>
      </c>
      <c r="I5138">
        <v>365</v>
      </c>
      <c r="J5138" t="s">
        <v>445</v>
      </c>
      <c r="M5138">
        <v>7111</v>
      </c>
      <c r="N5138" t="s">
        <v>16170</v>
      </c>
    </row>
    <row r="5139" spans="1:14">
      <c r="A5139">
        <v>21880007</v>
      </c>
      <c r="B5139">
        <v>3044681</v>
      </c>
      <c r="C5139" t="s">
        <v>15318</v>
      </c>
      <c r="D5139" t="s">
        <v>441</v>
      </c>
      <c r="F5139">
        <v>0</v>
      </c>
      <c r="G5139">
        <v>12.75</v>
      </c>
      <c r="H5139" t="s">
        <v>8549</v>
      </c>
      <c r="I5139">
        <v>6</v>
      </c>
      <c r="J5139" t="s">
        <v>445</v>
      </c>
      <c r="M5139">
        <v>3111</v>
      </c>
      <c r="N5139" t="s">
        <v>16170</v>
      </c>
    </row>
    <row r="5140" spans="1:14">
      <c r="A5140">
        <v>21880502</v>
      </c>
      <c r="B5140">
        <v>3044783</v>
      </c>
      <c r="C5140" t="s">
        <v>15413</v>
      </c>
      <c r="D5140" t="s">
        <v>441</v>
      </c>
      <c r="F5140">
        <v>0</v>
      </c>
      <c r="G5140">
        <v>12.89</v>
      </c>
      <c r="I5140">
        <v>6</v>
      </c>
      <c r="J5140" t="s">
        <v>445</v>
      </c>
      <c r="M5140">
        <v>2502</v>
      </c>
      <c r="N5140" t="s">
        <v>16170</v>
      </c>
    </row>
    <row r="5141" spans="1:14">
      <c r="A5141">
        <v>21880602</v>
      </c>
      <c r="B5141">
        <v>3044790</v>
      </c>
      <c r="C5141" t="s">
        <v>15414</v>
      </c>
      <c r="D5141" t="s">
        <v>441</v>
      </c>
      <c r="F5141">
        <v>0</v>
      </c>
      <c r="G5141">
        <v>13.81</v>
      </c>
      <c r="H5141" t="s">
        <v>8549</v>
      </c>
      <c r="I5141">
        <v>3</v>
      </c>
      <c r="J5141" t="s">
        <v>445</v>
      </c>
      <c r="M5141">
        <v>2510</v>
      </c>
      <c r="N5141" t="s">
        <v>16170</v>
      </c>
    </row>
    <row r="5142" spans="1:14">
      <c r="A5142">
        <v>21880902</v>
      </c>
      <c r="B5142">
        <v>3044801</v>
      </c>
      <c r="C5142" t="s">
        <v>15415</v>
      </c>
      <c r="D5142" t="s">
        <v>441</v>
      </c>
      <c r="F5142">
        <v>0</v>
      </c>
      <c r="G5142">
        <v>1</v>
      </c>
      <c r="H5142" t="s">
        <v>8549</v>
      </c>
      <c r="I5142">
        <v>3</v>
      </c>
      <c r="J5142" t="s">
        <v>445</v>
      </c>
      <c r="M5142">
        <v>6666</v>
      </c>
      <c r="N5142" t="s">
        <v>16170</v>
      </c>
    </row>
    <row r="5143" spans="1:14">
      <c r="A5143">
        <v>21880907</v>
      </c>
      <c r="B5143">
        <v>3044686</v>
      </c>
      <c r="C5143" t="s">
        <v>15319</v>
      </c>
      <c r="D5143" t="s">
        <v>441</v>
      </c>
      <c r="F5143">
        <v>0</v>
      </c>
      <c r="G5143">
        <v>1</v>
      </c>
      <c r="H5143" t="s">
        <v>8549</v>
      </c>
      <c r="I5143">
        <v>6</v>
      </c>
      <c r="J5143" t="s">
        <v>445</v>
      </c>
      <c r="M5143">
        <v>6666</v>
      </c>
      <c r="N5143" t="s">
        <v>16170</v>
      </c>
    </row>
    <row r="5144" spans="1:14">
      <c r="A5144">
        <v>21884000</v>
      </c>
      <c r="B5144">
        <v>3045546</v>
      </c>
      <c r="C5144" t="s">
        <v>16205</v>
      </c>
      <c r="D5144" t="s">
        <v>441</v>
      </c>
      <c r="F5144">
        <v>0</v>
      </c>
      <c r="G5144">
        <v>9.5500000000000007</v>
      </c>
      <c r="H5144" t="s">
        <v>8588</v>
      </c>
      <c r="I5144">
        <v>6</v>
      </c>
      <c r="J5144" t="s">
        <v>445</v>
      </c>
      <c r="M5144">
        <v>2143</v>
      </c>
      <c r="N5144" t="s">
        <v>16170</v>
      </c>
    </row>
    <row r="5145" spans="1:14">
      <c r="A5145">
        <v>21884007</v>
      </c>
      <c r="B5145">
        <v>3045562</v>
      </c>
      <c r="C5145" t="s">
        <v>15968</v>
      </c>
      <c r="D5145" t="s">
        <v>441</v>
      </c>
      <c r="F5145">
        <v>0</v>
      </c>
      <c r="G5145">
        <v>9.69</v>
      </c>
      <c r="H5145" t="s">
        <v>8588</v>
      </c>
      <c r="I5145">
        <v>6</v>
      </c>
      <c r="J5145" t="s">
        <v>445</v>
      </c>
      <c r="M5145">
        <v>3113</v>
      </c>
      <c r="N5145" t="s">
        <v>16170</v>
      </c>
    </row>
    <row r="5146" spans="1:14">
      <c r="A5146">
        <v>21884907</v>
      </c>
      <c r="B5146">
        <v>3045568</v>
      </c>
      <c r="C5146" t="s">
        <v>16206</v>
      </c>
      <c r="D5146" t="s">
        <v>441</v>
      </c>
      <c r="F5146">
        <v>0</v>
      </c>
      <c r="G5146">
        <v>9.69</v>
      </c>
      <c r="H5146" t="s">
        <v>8588</v>
      </c>
      <c r="I5146">
        <v>6</v>
      </c>
      <c r="J5146" t="s">
        <v>445</v>
      </c>
      <c r="M5146">
        <v>6666</v>
      </c>
      <c r="N5146" t="s">
        <v>16170</v>
      </c>
    </row>
    <row r="5147" spans="1:14">
      <c r="A5147">
        <v>21890002</v>
      </c>
      <c r="B5147">
        <v>4026226</v>
      </c>
      <c r="C5147" t="s">
        <v>2780</v>
      </c>
      <c r="D5147" t="s">
        <v>441</v>
      </c>
      <c r="F5147">
        <v>0</v>
      </c>
      <c r="G5147">
        <v>5.13</v>
      </c>
      <c r="H5147" t="s">
        <v>8588</v>
      </c>
      <c r="I5147">
        <v>365</v>
      </c>
      <c r="J5147" t="s">
        <v>462</v>
      </c>
      <c r="M5147">
        <v>7111</v>
      </c>
      <c r="N5147" t="s">
        <v>16170</v>
      </c>
    </row>
    <row r="5148" spans="1:14">
      <c r="A5148">
        <v>21890502</v>
      </c>
      <c r="B5148">
        <v>3039307</v>
      </c>
      <c r="C5148" t="s">
        <v>2781</v>
      </c>
      <c r="D5148" t="s">
        <v>441</v>
      </c>
      <c r="F5148">
        <v>0</v>
      </c>
      <c r="G5148">
        <v>4.8</v>
      </c>
      <c r="H5148" t="s">
        <v>8584</v>
      </c>
      <c r="I5148">
        <v>365</v>
      </c>
      <c r="J5148" t="s">
        <v>445</v>
      </c>
      <c r="M5148">
        <v>2502</v>
      </c>
      <c r="N5148" t="s">
        <v>16170</v>
      </c>
    </row>
    <row r="5149" spans="1:14">
      <c r="A5149">
        <v>21904000</v>
      </c>
      <c r="B5149">
        <v>3045553</v>
      </c>
      <c r="C5149" t="s">
        <v>16207</v>
      </c>
      <c r="D5149" t="s">
        <v>441</v>
      </c>
      <c r="F5149">
        <v>0</v>
      </c>
      <c r="G5149">
        <v>8.41</v>
      </c>
      <c r="H5149" t="s">
        <v>8549</v>
      </c>
      <c r="I5149">
        <v>3</v>
      </c>
      <c r="J5149" t="s">
        <v>445</v>
      </c>
      <c r="M5149">
        <v>2391</v>
      </c>
      <c r="N5149" t="s">
        <v>16208</v>
      </c>
    </row>
    <row r="5150" spans="1:14">
      <c r="A5150">
        <v>21904002</v>
      </c>
      <c r="B5150">
        <v>3045555</v>
      </c>
      <c r="C5150" t="s">
        <v>16209</v>
      </c>
      <c r="D5150" t="s">
        <v>441</v>
      </c>
      <c r="F5150">
        <v>0</v>
      </c>
      <c r="G5150">
        <v>9.08</v>
      </c>
      <c r="H5150" t="s">
        <v>8588</v>
      </c>
      <c r="I5150">
        <v>365</v>
      </c>
      <c r="J5150" t="s">
        <v>445</v>
      </c>
      <c r="M5150">
        <v>7111</v>
      </c>
      <c r="N5150" t="s">
        <v>16208</v>
      </c>
    </row>
    <row r="5151" spans="1:14">
      <c r="A5151">
        <v>21904007</v>
      </c>
      <c r="B5151">
        <v>3045560</v>
      </c>
      <c r="C5151" t="s">
        <v>15964</v>
      </c>
      <c r="D5151" t="s">
        <v>441</v>
      </c>
      <c r="F5151">
        <v>0</v>
      </c>
      <c r="G5151">
        <v>8.5399999999999991</v>
      </c>
      <c r="H5151" t="s">
        <v>8588</v>
      </c>
      <c r="I5151">
        <v>5</v>
      </c>
      <c r="J5151" t="s">
        <v>445</v>
      </c>
      <c r="M5151">
        <v>3113</v>
      </c>
      <c r="N5151" t="s">
        <v>16208</v>
      </c>
    </row>
    <row r="5152" spans="1:14">
      <c r="A5152">
        <v>21904502</v>
      </c>
      <c r="B5152">
        <v>3045554</v>
      </c>
      <c r="C5152" t="s">
        <v>16210</v>
      </c>
      <c r="D5152" t="s">
        <v>441</v>
      </c>
      <c r="F5152">
        <v>0</v>
      </c>
      <c r="G5152">
        <v>8.5399999999999991</v>
      </c>
      <c r="H5152" t="s">
        <v>8588</v>
      </c>
      <c r="I5152">
        <v>365</v>
      </c>
      <c r="J5152" t="s">
        <v>445</v>
      </c>
      <c r="M5152">
        <v>2502</v>
      </c>
      <c r="N5152" t="s">
        <v>16208</v>
      </c>
    </row>
    <row r="5153" spans="1:14">
      <c r="A5153">
        <v>21904602</v>
      </c>
      <c r="B5153">
        <v>3045820</v>
      </c>
      <c r="C5153" t="s">
        <v>17435</v>
      </c>
      <c r="D5153" t="s">
        <v>441</v>
      </c>
      <c r="F5153">
        <v>0</v>
      </c>
      <c r="G5153">
        <v>9.41</v>
      </c>
      <c r="H5153" t="s">
        <v>8549</v>
      </c>
      <c r="I5153">
        <v>2</v>
      </c>
      <c r="J5153" t="s">
        <v>445</v>
      </c>
      <c r="M5153">
        <v>2510</v>
      </c>
      <c r="N5153" t="s">
        <v>16208</v>
      </c>
    </row>
    <row r="5154" spans="1:14">
      <c r="A5154">
        <v>21904902</v>
      </c>
      <c r="B5154">
        <v>3045824</v>
      </c>
      <c r="C5154" t="s">
        <v>17436</v>
      </c>
      <c r="D5154" t="s">
        <v>441</v>
      </c>
      <c r="F5154">
        <v>0</v>
      </c>
      <c r="G5154">
        <v>1</v>
      </c>
      <c r="H5154" t="s">
        <v>8549</v>
      </c>
      <c r="I5154">
        <v>2</v>
      </c>
      <c r="J5154" t="s">
        <v>445</v>
      </c>
      <c r="M5154">
        <v>6666</v>
      </c>
      <c r="N5154" t="s">
        <v>16208</v>
      </c>
    </row>
    <row r="5155" spans="1:14">
      <c r="A5155">
        <v>21904907</v>
      </c>
      <c r="B5155">
        <v>3045567</v>
      </c>
      <c r="C5155" t="s">
        <v>16211</v>
      </c>
      <c r="D5155" t="s">
        <v>441</v>
      </c>
      <c r="F5155">
        <v>0</v>
      </c>
      <c r="G5155">
        <v>8.5399999999999991</v>
      </c>
      <c r="H5155" t="s">
        <v>8588</v>
      </c>
      <c r="I5155">
        <v>5</v>
      </c>
      <c r="J5155" t="s">
        <v>445</v>
      </c>
      <c r="M5155">
        <v>6666</v>
      </c>
      <c r="N5155" t="s">
        <v>16208</v>
      </c>
    </row>
    <row r="5156" spans="1:14">
      <c r="A5156">
        <v>21910000</v>
      </c>
      <c r="B5156">
        <v>3019095</v>
      </c>
      <c r="C5156" t="s">
        <v>10693</v>
      </c>
      <c r="D5156" t="s">
        <v>441</v>
      </c>
      <c r="F5156">
        <v>0</v>
      </c>
      <c r="G5156">
        <v>8.81</v>
      </c>
      <c r="H5156" t="s">
        <v>8580</v>
      </c>
      <c r="I5156">
        <v>5</v>
      </c>
      <c r="J5156" t="s">
        <v>445</v>
      </c>
      <c r="M5156">
        <v>2616</v>
      </c>
      <c r="N5156" t="s">
        <v>16047</v>
      </c>
    </row>
    <row r="5157" spans="1:14">
      <c r="A5157">
        <v>21910030</v>
      </c>
      <c r="B5157">
        <v>4011285</v>
      </c>
      <c r="C5157" t="s">
        <v>10694</v>
      </c>
      <c r="D5157" t="s">
        <v>442</v>
      </c>
      <c r="E5157" t="s">
        <v>441</v>
      </c>
      <c r="F5157">
        <v>0.5</v>
      </c>
      <c r="G5157">
        <v>5.9</v>
      </c>
      <c r="H5157" t="s">
        <v>8588</v>
      </c>
      <c r="I5157">
        <v>12</v>
      </c>
      <c r="J5157" t="s">
        <v>462</v>
      </c>
      <c r="K5157" t="s">
        <v>446</v>
      </c>
      <c r="L5157" t="s">
        <v>10695</v>
      </c>
      <c r="M5157">
        <v>2611</v>
      </c>
      <c r="N5157" t="s">
        <v>16047</v>
      </c>
    </row>
    <row r="5158" spans="1:14">
      <c r="A5158">
        <v>21910031</v>
      </c>
      <c r="B5158">
        <v>4012841</v>
      </c>
      <c r="C5158" t="s">
        <v>10696</v>
      </c>
      <c r="D5158" t="s">
        <v>442</v>
      </c>
      <c r="E5158" t="s">
        <v>441</v>
      </c>
      <c r="F5158">
        <v>0.5</v>
      </c>
      <c r="G5158">
        <v>5.76</v>
      </c>
      <c r="H5158" t="s">
        <v>8588</v>
      </c>
      <c r="I5158">
        <v>12</v>
      </c>
      <c r="J5158" t="s">
        <v>462</v>
      </c>
      <c r="K5158" t="s">
        <v>446</v>
      </c>
      <c r="M5158">
        <v>2611</v>
      </c>
      <c r="N5158" t="s">
        <v>16047</v>
      </c>
    </row>
    <row r="5159" spans="1:14">
      <c r="A5159">
        <v>21910034</v>
      </c>
      <c r="B5159">
        <v>4015018</v>
      </c>
      <c r="C5159" t="s">
        <v>10697</v>
      </c>
      <c r="D5159" t="s">
        <v>442</v>
      </c>
      <c r="E5159" t="s">
        <v>441</v>
      </c>
      <c r="F5159">
        <v>0.5</v>
      </c>
      <c r="G5159">
        <v>5.67</v>
      </c>
      <c r="H5159" t="s">
        <v>8588</v>
      </c>
      <c r="I5159">
        <v>12</v>
      </c>
      <c r="J5159" t="s">
        <v>462</v>
      </c>
      <c r="K5159" t="s">
        <v>446</v>
      </c>
      <c r="M5159">
        <v>0</v>
      </c>
      <c r="N5159" t="s">
        <v>16047</v>
      </c>
    </row>
    <row r="5160" spans="1:14">
      <c r="A5160">
        <v>21910039</v>
      </c>
      <c r="B5160">
        <v>4006594</v>
      </c>
      <c r="C5160" t="s">
        <v>10698</v>
      </c>
      <c r="D5160" t="s">
        <v>442</v>
      </c>
      <c r="E5160" t="s">
        <v>441</v>
      </c>
      <c r="F5160">
        <v>0.5</v>
      </c>
      <c r="G5160">
        <v>5.98</v>
      </c>
      <c r="H5160" t="s">
        <v>8588</v>
      </c>
      <c r="I5160">
        <v>9</v>
      </c>
      <c r="J5160" t="s">
        <v>462</v>
      </c>
      <c r="K5160" t="s">
        <v>446</v>
      </c>
      <c r="M5160">
        <v>2611</v>
      </c>
    </row>
    <row r="5161" spans="1:14">
      <c r="A5161">
        <v>21910066</v>
      </c>
      <c r="B5161">
        <v>4009311</v>
      </c>
      <c r="C5161" t="s">
        <v>10699</v>
      </c>
      <c r="D5161" t="s">
        <v>442</v>
      </c>
      <c r="E5161" t="s">
        <v>441</v>
      </c>
      <c r="F5161">
        <v>0.45</v>
      </c>
      <c r="G5161">
        <v>5.82</v>
      </c>
      <c r="H5161" t="s">
        <v>8588</v>
      </c>
      <c r="I5161">
        <v>12</v>
      </c>
      <c r="J5161" t="s">
        <v>462</v>
      </c>
      <c r="K5161" t="s">
        <v>446</v>
      </c>
      <c r="M5161">
        <v>2611</v>
      </c>
    </row>
    <row r="5162" spans="1:14">
      <c r="A5162">
        <v>21910067</v>
      </c>
      <c r="B5162">
        <v>4016774</v>
      </c>
      <c r="C5162" t="s">
        <v>10700</v>
      </c>
      <c r="D5162" t="s">
        <v>442</v>
      </c>
      <c r="E5162" t="s">
        <v>441</v>
      </c>
      <c r="F5162">
        <v>0.5</v>
      </c>
      <c r="G5162">
        <v>5.9</v>
      </c>
      <c r="H5162" t="s">
        <v>8588</v>
      </c>
      <c r="I5162">
        <v>10</v>
      </c>
      <c r="J5162" t="s">
        <v>462</v>
      </c>
      <c r="K5162" t="s">
        <v>446</v>
      </c>
      <c r="M5162">
        <v>2611</v>
      </c>
      <c r="N5162" t="s">
        <v>16047</v>
      </c>
    </row>
    <row r="5163" spans="1:14">
      <c r="A5163">
        <v>21910094</v>
      </c>
      <c r="B5163">
        <v>4015318</v>
      </c>
      <c r="C5163" t="s">
        <v>10701</v>
      </c>
      <c r="D5163" t="s">
        <v>442</v>
      </c>
      <c r="E5163" t="s">
        <v>441</v>
      </c>
      <c r="F5163">
        <v>0.5</v>
      </c>
      <c r="G5163">
        <v>5.98</v>
      </c>
      <c r="H5163" t="s">
        <v>8588</v>
      </c>
      <c r="I5163">
        <v>12</v>
      </c>
      <c r="J5163" t="s">
        <v>462</v>
      </c>
      <c r="K5163" t="s">
        <v>446</v>
      </c>
      <c r="L5163" t="s">
        <v>10702</v>
      </c>
      <c r="M5163">
        <v>2611</v>
      </c>
      <c r="N5163" t="s">
        <v>16047</v>
      </c>
    </row>
    <row r="5164" spans="1:14">
      <c r="A5164">
        <v>21910267</v>
      </c>
      <c r="B5164">
        <v>3026330</v>
      </c>
      <c r="C5164" t="s">
        <v>10703</v>
      </c>
      <c r="D5164" t="s">
        <v>442</v>
      </c>
      <c r="E5164" t="s">
        <v>441</v>
      </c>
      <c r="F5164">
        <v>0.5</v>
      </c>
      <c r="G5164">
        <v>5.45</v>
      </c>
      <c r="H5164" t="s">
        <v>8588</v>
      </c>
      <c r="I5164">
        <v>2</v>
      </c>
      <c r="J5164" t="s">
        <v>445</v>
      </c>
      <c r="K5164" t="s">
        <v>446</v>
      </c>
      <c r="M5164">
        <v>2611</v>
      </c>
      <c r="N5164" t="s">
        <v>16047</v>
      </c>
    </row>
    <row r="5165" spans="1:14">
      <c r="A5165">
        <v>21920000</v>
      </c>
      <c r="B5165">
        <v>3033142</v>
      </c>
      <c r="C5165" t="s">
        <v>10704</v>
      </c>
      <c r="D5165" t="s">
        <v>441</v>
      </c>
      <c r="F5165">
        <v>0</v>
      </c>
      <c r="G5165">
        <v>6.37</v>
      </c>
      <c r="H5165" t="s">
        <v>8588</v>
      </c>
      <c r="I5165">
        <v>7</v>
      </c>
      <c r="J5165" t="s">
        <v>445</v>
      </c>
      <c r="M5165">
        <v>2391</v>
      </c>
      <c r="N5165" t="s">
        <v>16212</v>
      </c>
    </row>
    <row r="5166" spans="1:14">
      <c r="A5166">
        <v>21920002</v>
      </c>
      <c r="B5166">
        <v>3034714</v>
      </c>
      <c r="C5166" t="s">
        <v>10705</v>
      </c>
      <c r="D5166" t="s">
        <v>441</v>
      </c>
      <c r="F5166">
        <v>0</v>
      </c>
      <c r="G5166">
        <v>6.82</v>
      </c>
      <c r="H5166" t="s">
        <v>8549</v>
      </c>
      <c r="I5166">
        <v>540</v>
      </c>
      <c r="J5166" t="s">
        <v>445</v>
      </c>
      <c r="M5166">
        <v>7111</v>
      </c>
      <c r="N5166" t="s">
        <v>16212</v>
      </c>
    </row>
    <row r="5167" spans="1:14">
      <c r="A5167">
        <v>21920007</v>
      </c>
      <c r="B5167">
        <v>3033141</v>
      </c>
      <c r="C5167" t="s">
        <v>14359</v>
      </c>
      <c r="D5167" t="s">
        <v>441</v>
      </c>
      <c r="F5167">
        <v>0</v>
      </c>
      <c r="G5167">
        <v>10.51</v>
      </c>
      <c r="H5167" t="s">
        <v>8588</v>
      </c>
      <c r="I5167">
        <v>7</v>
      </c>
      <c r="J5167" t="s">
        <v>445</v>
      </c>
      <c r="M5167">
        <v>2391</v>
      </c>
      <c r="N5167" t="s">
        <v>16212</v>
      </c>
    </row>
    <row r="5168" spans="1:14">
      <c r="A5168">
        <v>21920080</v>
      </c>
      <c r="B5168">
        <v>3033143</v>
      </c>
      <c r="C5168" t="s">
        <v>10706</v>
      </c>
      <c r="D5168" t="s">
        <v>441</v>
      </c>
      <c r="F5168">
        <v>0</v>
      </c>
      <c r="G5168">
        <v>6.61</v>
      </c>
      <c r="H5168" t="s">
        <v>8588</v>
      </c>
      <c r="I5168">
        <v>7</v>
      </c>
      <c r="J5168" t="s">
        <v>445</v>
      </c>
      <c r="M5168">
        <v>7112</v>
      </c>
      <c r="N5168" t="s">
        <v>16212</v>
      </c>
    </row>
    <row r="5169" spans="1:14">
      <c r="A5169">
        <v>21920502</v>
      </c>
      <c r="B5169">
        <v>3034712</v>
      </c>
      <c r="C5169" t="s">
        <v>10707</v>
      </c>
      <c r="D5169" t="s">
        <v>441</v>
      </c>
      <c r="F5169">
        <v>0</v>
      </c>
      <c r="G5169">
        <v>6.47</v>
      </c>
      <c r="H5169" t="s">
        <v>8549</v>
      </c>
      <c r="I5169">
        <v>540</v>
      </c>
      <c r="J5169" t="s">
        <v>445</v>
      </c>
      <c r="M5169">
        <v>2502</v>
      </c>
      <c r="N5169" t="s">
        <v>16212</v>
      </c>
    </row>
    <row r="5170" spans="1:14">
      <c r="A5170">
        <v>21930000</v>
      </c>
      <c r="B5170">
        <v>3008959</v>
      </c>
      <c r="C5170" t="s">
        <v>10708</v>
      </c>
      <c r="D5170" t="s">
        <v>441</v>
      </c>
      <c r="F5170">
        <v>0</v>
      </c>
      <c r="G5170">
        <v>4.8499999999999996</v>
      </c>
      <c r="H5170" t="s">
        <v>8549</v>
      </c>
      <c r="I5170">
        <v>6</v>
      </c>
      <c r="J5170" t="s">
        <v>445</v>
      </c>
      <c r="M5170">
        <v>7112</v>
      </c>
      <c r="N5170" t="s">
        <v>16202</v>
      </c>
    </row>
    <row r="5171" spans="1:14">
      <c r="A5171">
        <v>21930075</v>
      </c>
      <c r="B5171">
        <v>3008757</v>
      </c>
      <c r="C5171" t="s">
        <v>10709</v>
      </c>
      <c r="D5171" t="s">
        <v>441</v>
      </c>
      <c r="F5171">
        <v>0</v>
      </c>
      <c r="G5171">
        <v>6.41</v>
      </c>
      <c r="H5171" t="s">
        <v>8588</v>
      </c>
      <c r="I5171">
        <v>6</v>
      </c>
      <c r="J5171" t="s">
        <v>445</v>
      </c>
      <c r="K5171" t="s">
        <v>446</v>
      </c>
      <c r="M5171">
        <v>2641</v>
      </c>
    </row>
    <row r="5172" spans="1:14">
      <c r="A5172">
        <v>21930076</v>
      </c>
      <c r="B5172">
        <v>3012606</v>
      </c>
      <c r="C5172" t="s">
        <v>10710</v>
      </c>
      <c r="D5172" t="s">
        <v>441</v>
      </c>
      <c r="F5172">
        <v>0</v>
      </c>
      <c r="G5172">
        <v>4.97</v>
      </c>
      <c r="H5172" t="s">
        <v>8588</v>
      </c>
      <c r="I5172">
        <v>6</v>
      </c>
      <c r="J5172" t="s">
        <v>445</v>
      </c>
      <c r="L5172">
        <v>2092022</v>
      </c>
      <c r="M5172">
        <v>7112</v>
      </c>
      <c r="N5172" t="s">
        <v>16202</v>
      </c>
    </row>
    <row r="5173" spans="1:14">
      <c r="A5173">
        <v>21930080</v>
      </c>
      <c r="B5173">
        <v>3009698</v>
      </c>
      <c r="C5173" t="s">
        <v>10711</v>
      </c>
      <c r="D5173" t="s">
        <v>441</v>
      </c>
      <c r="F5173">
        <v>0</v>
      </c>
      <c r="G5173">
        <v>6.45</v>
      </c>
      <c r="H5173" t="s">
        <v>8588</v>
      </c>
      <c r="I5173">
        <v>6</v>
      </c>
      <c r="J5173" t="s">
        <v>445</v>
      </c>
      <c r="K5173" t="s">
        <v>446</v>
      </c>
      <c r="M5173">
        <v>2641</v>
      </c>
    </row>
    <row r="5174" spans="1:14">
      <c r="A5174">
        <v>21930087</v>
      </c>
      <c r="B5174">
        <v>3012288</v>
      </c>
      <c r="C5174" t="s">
        <v>10712</v>
      </c>
      <c r="D5174" t="s">
        <v>441</v>
      </c>
      <c r="F5174">
        <v>0</v>
      </c>
      <c r="G5174">
        <v>4.95</v>
      </c>
      <c r="H5174" t="s">
        <v>8588</v>
      </c>
      <c r="I5174">
        <v>6</v>
      </c>
      <c r="J5174" t="s">
        <v>445</v>
      </c>
      <c r="M5174">
        <v>7112</v>
      </c>
      <c r="N5174" t="s">
        <v>16202</v>
      </c>
    </row>
    <row r="5175" spans="1:14">
      <c r="A5175">
        <v>21930090</v>
      </c>
      <c r="B5175">
        <v>3012608</v>
      </c>
      <c r="C5175" t="s">
        <v>10713</v>
      </c>
      <c r="D5175" t="s">
        <v>441</v>
      </c>
      <c r="F5175">
        <v>0</v>
      </c>
      <c r="G5175">
        <v>7.56</v>
      </c>
      <c r="H5175" t="s">
        <v>8588</v>
      </c>
      <c r="I5175">
        <v>6</v>
      </c>
      <c r="J5175" t="s">
        <v>445</v>
      </c>
      <c r="K5175" t="s">
        <v>446</v>
      </c>
      <c r="M5175">
        <v>2641</v>
      </c>
    </row>
    <row r="5176" spans="1:14">
      <c r="A5176">
        <v>21939000</v>
      </c>
      <c r="B5176">
        <v>3019057</v>
      </c>
      <c r="C5176" t="s">
        <v>2782</v>
      </c>
      <c r="D5176" t="s">
        <v>441</v>
      </c>
      <c r="F5176">
        <v>0</v>
      </c>
      <c r="G5176">
        <v>7.3</v>
      </c>
      <c r="H5176" t="s">
        <v>8588</v>
      </c>
      <c r="I5176">
        <v>2</v>
      </c>
      <c r="J5176" t="s">
        <v>445</v>
      </c>
      <c r="M5176">
        <v>3111</v>
      </c>
      <c r="N5176" t="s">
        <v>16202</v>
      </c>
    </row>
    <row r="5177" spans="1:14">
      <c r="A5177">
        <v>21939900</v>
      </c>
      <c r="B5177">
        <v>3020289</v>
      </c>
      <c r="C5177" t="s">
        <v>2783</v>
      </c>
      <c r="D5177" t="s">
        <v>441</v>
      </c>
      <c r="F5177">
        <v>0</v>
      </c>
      <c r="H5177" t="s">
        <v>8627</v>
      </c>
      <c r="I5177">
        <v>2</v>
      </c>
      <c r="J5177" t="s">
        <v>445</v>
      </c>
      <c r="M5177">
        <v>6666</v>
      </c>
      <c r="N5177" t="s">
        <v>16202</v>
      </c>
    </row>
    <row r="5178" spans="1:14">
      <c r="A5178">
        <v>21940000</v>
      </c>
      <c r="B5178">
        <v>3033057</v>
      </c>
      <c r="C5178" t="s">
        <v>10714</v>
      </c>
      <c r="D5178" t="s">
        <v>441</v>
      </c>
      <c r="F5178">
        <v>0</v>
      </c>
      <c r="G5178">
        <v>5.95</v>
      </c>
      <c r="H5178" t="s">
        <v>8549</v>
      </c>
      <c r="I5178">
        <v>7</v>
      </c>
      <c r="J5178" t="s">
        <v>445</v>
      </c>
      <c r="M5178">
        <v>2391</v>
      </c>
      <c r="N5178" t="s">
        <v>16213</v>
      </c>
    </row>
    <row r="5179" spans="1:14">
      <c r="A5179">
        <v>21940007</v>
      </c>
      <c r="B5179">
        <v>3033056</v>
      </c>
      <c r="C5179" t="s">
        <v>14360</v>
      </c>
      <c r="D5179" t="s">
        <v>441</v>
      </c>
      <c r="F5179">
        <v>0</v>
      </c>
      <c r="G5179">
        <v>10.51</v>
      </c>
      <c r="H5179" t="s">
        <v>8588</v>
      </c>
      <c r="I5179">
        <v>7</v>
      </c>
      <c r="J5179" t="s">
        <v>445</v>
      </c>
      <c r="M5179">
        <v>2391</v>
      </c>
      <c r="N5179" t="s">
        <v>16213</v>
      </c>
    </row>
    <row r="5180" spans="1:14">
      <c r="A5180">
        <v>21940080</v>
      </c>
      <c r="B5180">
        <v>3033055</v>
      </c>
      <c r="C5180" t="s">
        <v>10715</v>
      </c>
      <c r="D5180" t="s">
        <v>441</v>
      </c>
      <c r="F5180">
        <v>0</v>
      </c>
      <c r="G5180">
        <v>6.19</v>
      </c>
      <c r="H5180" t="s">
        <v>8588</v>
      </c>
      <c r="I5180">
        <v>7</v>
      </c>
      <c r="J5180" t="s">
        <v>445</v>
      </c>
      <c r="M5180">
        <v>7112</v>
      </c>
      <c r="N5180" t="s">
        <v>16213</v>
      </c>
    </row>
    <row r="5181" spans="1:14">
      <c r="A5181">
        <v>21940100</v>
      </c>
      <c r="B5181">
        <v>3024029</v>
      </c>
      <c r="C5181" t="s">
        <v>2784</v>
      </c>
      <c r="D5181" t="s">
        <v>441</v>
      </c>
      <c r="F5181">
        <v>0</v>
      </c>
      <c r="G5181">
        <v>6.27</v>
      </c>
      <c r="H5181" t="s">
        <v>8588</v>
      </c>
      <c r="I5181">
        <v>6</v>
      </c>
      <c r="J5181" t="s">
        <v>445</v>
      </c>
      <c r="M5181">
        <v>7161</v>
      </c>
      <c r="N5181" t="s">
        <v>16213</v>
      </c>
    </row>
    <row r="5182" spans="1:14">
      <c r="A5182">
        <v>21940102</v>
      </c>
      <c r="B5182">
        <v>3024067</v>
      </c>
      <c r="C5182" t="s">
        <v>397</v>
      </c>
      <c r="D5182" t="s">
        <v>441</v>
      </c>
      <c r="F5182">
        <v>0</v>
      </c>
      <c r="G5182">
        <v>3.5</v>
      </c>
      <c r="H5182" t="s">
        <v>8588</v>
      </c>
      <c r="I5182">
        <v>365</v>
      </c>
      <c r="J5182" t="s">
        <v>445</v>
      </c>
      <c r="M5182">
        <v>7113</v>
      </c>
      <c r="N5182" t="s">
        <v>16213</v>
      </c>
    </row>
    <row r="5183" spans="1:14">
      <c r="A5183">
        <v>21940602</v>
      </c>
      <c r="B5183">
        <v>3041848</v>
      </c>
      <c r="C5183" t="s">
        <v>8541</v>
      </c>
      <c r="D5183" t="s">
        <v>441</v>
      </c>
      <c r="F5183">
        <v>0</v>
      </c>
      <c r="G5183">
        <v>6.45</v>
      </c>
      <c r="H5183" t="s">
        <v>8549</v>
      </c>
      <c r="I5183">
        <v>4</v>
      </c>
      <c r="J5183" t="s">
        <v>445</v>
      </c>
      <c r="M5183">
        <v>2510</v>
      </c>
      <c r="N5183" t="s">
        <v>16213</v>
      </c>
    </row>
    <row r="5184" spans="1:14">
      <c r="A5184">
        <v>21940902</v>
      </c>
      <c r="B5184">
        <v>3041799</v>
      </c>
      <c r="C5184" t="s">
        <v>10716</v>
      </c>
      <c r="D5184" t="s">
        <v>441</v>
      </c>
      <c r="F5184">
        <v>0</v>
      </c>
      <c r="G5184">
        <v>1</v>
      </c>
      <c r="H5184" t="s">
        <v>8549</v>
      </c>
      <c r="I5184">
        <v>4</v>
      </c>
      <c r="J5184" t="s">
        <v>445</v>
      </c>
      <c r="M5184">
        <v>6666</v>
      </c>
      <c r="N5184" t="s">
        <v>16213</v>
      </c>
    </row>
    <row r="5185" spans="1:14">
      <c r="A5185">
        <v>21943000</v>
      </c>
      <c r="B5185">
        <v>3033160</v>
      </c>
      <c r="C5185" t="s">
        <v>10717</v>
      </c>
      <c r="D5185" t="s">
        <v>441</v>
      </c>
      <c r="F5185">
        <v>0</v>
      </c>
      <c r="G5185">
        <v>5.95</v>
      </c>
      <c r="H5185" t="s">
        <v>8549</v>
      </c>
      <c r="I5185">
        <v>7</v>
      </c>
      <c r="J5185" t="s">
        <v>445</v>
      </c>
      <c r="M5185">
        <v>2391</v>
      </c>
      <c r="N5185" t="s">
        <v>16213</v>
      </c>
    </row>
    <row r="5186" spans="1:14">
      <c r="A5186">
        <v>21954000</v>
      </c>
      <c r="B5186">
        <v>3037552</v>
      </c>
      <c r="C5186" t="s">
        <v>10718</v>
      </c>
      <c r="D5186" t="s">
        <v>441</v>
      </c>
      <c r="F5186">
        <v>0</v>
      </c>
      <c r="G5186">
        <v>5</v>
      </c>
      <c r="H5186" t="s">
        <v>8549</v>
      </c>
      <c r="I5186">
        <v>6</v>
      </c>
      <c r="J5186" t="s">
        <v>445</v>
      </c>
      <c r="M5186">
        <v>2391</v>
      </c>
      <c r="N5186" t="s">
        <v>16202</v>
      </c>
    </row>
    <row r="5187" spans="1:14">
      <c r="A5187">
        <v>21954002</v>
      </c>
      <c r="B5187">
        <v>3041085</v>
      </c>
      <c r="C5187" t="s">
        <v>10719</v>
      </c>
      <c r="D5187" t="s">
        <v>441</v>
      </c>
      <c r="F5187">
        <v>0</v>
      </c>
      <c r="G5187">
        <v>5.27</v>
      </c>
      <c r="H5187" t="s">
        <v>8588</v>
      </c>
      <c r="I5187">
        <v>365</v>
      </c>
      <c r="J5187" t="s">
        <v>445</v>
      </c>
      <c r="M5187">
        <v>7111</v>
      </c>
      <c r="N5187" t="s">
        <v>16202</v>
      </c>
    </row>
    <row r="5188" spans="1:14">
      <c r="A5188">
        <v>21954007</v>
      </c>
      <c r="B5188">
        <v>3037578</v>
      </c>
      <c r="C5188" t="s">
        <v>10720</v>
      </c>
      <c r="D5188" t="s">
        <v>441</v>
      </c>
      <c r="F5188">
        <v>0</v>
      </c>
      <c r="G5188">
        <v>4.9400000000000004</v>
      </c>
      <c r="H5188" t="s">
        <v>8588</v>
      </c>
      <c r="I5188">
        <v>6</v>
      </c>
      <c r="J5188" t="s">
        <v>445</v>
      </c>
      <c r="M5188">
        <v>3113</v>
      </c>
      <c r="N5188" t="s">
        <v>16202</v>
      </c>
    </row>
    <row r="5189" spans="1:14">
      <c r="A5189">
        <v>21954102</v>
      </c>
      <c r="B5189">
        <v>3039511</v>
      </c>
      <c r="C5189" t="s">
        <v>10721</v>
      </c>
      <c r="D5189" t="s">
        <v>441</v>
      </c>
      <c r="F5189">
        <v>0</v>
      </c>
      <c r="G5189">
        <v>9.76</v>
      </c>
      <c r="H5189" t="s">
        <v>8588</v>
      </c>
      <c r="I5189">
        <v>729</v>
      </c>
      <c r="J5189" t="s">
        <v>445</v>
      </c>
      <c r="M5189">
        <v>0</v>
      </c>
      <c r="N5189" t="s">
        <v>16202</v>
      </c>
    </row>
    <row r="5190" spans="1:14">
      <c r="A5190">
        <v>21954300</v>
      </c>
      <c r="B5190">
        <v>3037508</v>
      </c>
      <c r="C5190" t="s">
        <v>10722</v>
      </c>
      <c r="D5190" t="s">
        <v>441</v>
      </c>
      <c r="F5190">
        <v>0</v>
      </c>
      <c r="G5190">
        <v>4.8499999999999996</v>
      </c>
      <c r="H5190" t="s">
        <v>8549</v>
      </c>
      <c r="I5190">
        <v>6</v>
      </c>
      <c r="J5190" t="s">
        <v>445</v>
      </c>
      <c r="M5190">
        <v>2391</v>
      </c>
      <c r="N5190" t="s">
        <v>16202</v>
      </c>
    </row>
    <row r="5191" spans="1:14">
      <c r="A5191">
        <v>21954502</v>
      </c>
      <c r="B5191">
        <v>3039313</v>
      </c>
      <c r="C5191" t="s">
        <v>10723</v>
      </c>
      <c r="D5191" t="s">
        <v>441</v>
      </c>
      <c r="F5191">
        <v>0</v>
      </c>
      <c r="G5191">
        <v>4.9400000000000004</v>
      </c>
      <c r="I5191">
        <v>6</v>
      </c>
      <c r="J5191" t="s">
        <v>445</v>
      </c>
      <c r="M5191">
        <v>2502</v>
      </c>
      <c r="N5191" t="s">
        <v>16202</v>
      </c>
    </row>
    <row r="5192" spans="1:14">
      <c r="A5192">
        <v>21954602</v>
      </c>
      <c r="B5192">
        <v>3041534</v>
      </c>
      <c r="C5192" t="s">
        <v>10724</v>
      </c>
      <c r="D5192" t="s">
        <v>441</v>
      </c>
      <c r="F5192">
        <v>0</v>
      </c>
      <c r="G5192">
        <v>5.44</v>
      </c>
      <c r="I5192">
        <v>4</v>
      </c>
      <c r="J5192" t="s">
        <v>445</v>
      </c>
      <c r="M5192">
        <v>2510</v>
      </c>
      <c r="N5192" t="s">
        <v>16202</v>
      </c>
    </row>
    <row r="5193" spans="1:14">
      <c r="A5193">
        <v>21954902</v>
      </c>
      <c r="B5193">
        <v>3041542</v>
      </c>
      <c r="C5193" t="s">
        <v>10725</v>
      </c>
      <c r="D5193" t="s">
        <v>441</v>
      </c>
      <c r="F5193">
        <v>0</v>
      </c>
      <c r="G5193">
        <v>1</v>
      </c>
      <c r="I5193">
        <v>4</v>
      </c>
      <c r="J5193" t="s">
        <v>445</v>
      </c>
      <c r="M5193">
        <v>6666</v>
      </c>
      <c r="N5193" t="s">
        <v>16202</v>
      </c>
    </row>
    <row r="5194" spans="1:14">
      <c r="A5194">
        <v>21954907</v>
      </c>
      <c r="B5194">
        <v>3040310</v>
      </c>
      <c r="C5194" t="s">
        <v>10726</v>
      </c>
      <c r="D5194" t="s">
        <v>441</v>
      </c>
      <c r="F5194">
        <v>0</v>
      </c>
      <c r="G5194">
        <v>5.19</v>
      </c>
      <c r="H5194" t="s">
        <v>8588</v>
      </c>
      <c r="I5194">
        <v>6</v>
      </c>
      <c r="J5194" t="s">
        <v>445</v>
      </c>
      <c r="M5194">
        <v>6666</v>
      </c>
      <c r="N5194" t="s">
        <v>16202</v>
      </c>
    </row>
    <row r="5195" spans="1:14">
      <c r="A5195">
        <v>21960000</v>
      </c>
      <c r="B5195">
        <v>3016003</v>
      </c>
      <c r="C5195" t="s">
        <v>2785</v>
      </c>
      <c r="D5195" t="s">
        <v>441</v>
      </c>
      <c r="F5195">
        <v>0</v>
      </c>
      <c r="G5195">
        <v>4.71</v>
      </c>
      <c r="H5195" t="s">
        <v>8584</v>
      </c>
      <c r="I5195">
        <v>6</v>
      </c>
      <c r="J5195" t="s">
        <v>445</v>
      </c>
      <c r="M5195">
        <v>2391</v>
      </c>
      <c r="N5195" t="s">
        <v>16214</v>
      </c>
    </row>
    <row r="5196" spans="1:14">
      <c r="A5196">
        <v>21960007</v>
      </c>
      <c r="B5196">
        <v>3039296</v>
      </c>
      <c r="C5196" t="s">
        <v>17437</v>
      </c>
      <c r="D5196" t="s">
        <v>441</v>
      </c>
      <c r="F5196">
        <v>0</v>
      </c>
      <c r="G5196">
        <v>11.18</v>
      </c>
      <c r="H5196" t="s">
        <v>8588</v>
      </c>
      <c r="I5196">
        <v>6</v>
      </c>
      <c r="J5196" t="s">
        <v>445</v>
      </c>
      <c r="M5196">
        <v>2391</v>
      </c>
      <c r="N5196" t="s">
        <v>16214</v>
      </c>
    </row>
    <row r="5197" spans="1:14">
      <c r="A5197">
        <v>21960018</v>
      </c>
      <c r="B5197">
        <v>4026246</v>
      </c>
      <c r="C5197" t="s">
        <v>2786</v>
      </c>
      <c r="D5197" t="s">
        <v>441</v>
      </c>
      <c r="F5197">
        <v>0</v>
      </c>
      <c r="G5197">
        <v>5.17</v>
      </c>
      <c r="H5197" t="s">
        <v>8588</v>
      </c>
      <c r="I5197">
        <v>365</v>
      </c>
      <c r="J5197" t="s">
        <v>462</v>
      </c>
      <c r="M5197">
        <v>7111</v>
      </c>
      <c r="N5197" t="s">
        <v>16214</v>
      </c>
    </row>
    <row r="5198" spans="1:14">
      <c r="A5198">
        <v>21960080</v>
      </c>
      <c r="B5198">
        <v>3039594</v>
      </c>
      <c r="C5198" t="s">
        <v>2787</v>
      </c>
      <c r="D5198" t="s">
        <v>441</v>
      </c>
      <c r="F5198">
        <v>0</v>
      </c>
      <c r="G5198">
        <v>4.92</v>
      </c>
      <c r="H5198" t="s">
        <v>8588</v>
      </c>
      <c r="I5198">
        <v>6</v>
      </c>
      <c r="J5198" t="s">
        <v>445</v>
      </c>
      <c r="M5198">
        <v>7112</v>
      </c>
      <c r="N5198" t="s">
        <v>16214</v>
      </c>
    </row>
    <row r="5199" spans="1:14">
      <c r="A5199">
        <v>21960100</v>
      </c>
      <c r="B5199">
        <v>3027400</v>
      </c>
      <c r="C5199" t="s">
        <v>15963</v>
      </c>
      <c r="D5199" t="s">
        <v>441</v>
      </c>
      <c r="F5199">
        <v>0</v>
      </c>
      <c r="G5199">
        <v>4.68</v>
      </c>
      <c r="H5199" t="s">
        <v>8588</v>
      </c>
      <c r="I5199">
        <v>6</v>
      </c>
      <c r="J5199" t="s">
        <v>445</v>
      </c>
      <c r="M5199">
        <v>0</v>
      </c>
      <c r="N5199" t="s">
        <v>16214</v>
      </c>
    </row>
    <row r="5200" spans="1:14">
      <c r="A5200">
        <v>21960102</v>
      </c>
      <c r="B5200">
        <v>3039633</v>
      </c>
      <c r="C5200" t="s">
        <v>2788</v>
      </c>
      <c r="D5200" t="s">
        <v>441</v>
      </c>
      <c r="F5200">
        <v>0</v>
      </c>
      <c r="G5200">
        <v>5.35</v>
      </c>
      <c r="H5200" t="s">
        <v>8549</v>
      </c>
      <c r="I5200">
        <v>365</v>
      </c>
      <c r="J5200" t="s">
        <v>445</v>
      </c>
      <c r="M5200">
        <v>0</v>
      </c>
      <c r="N5200" t="s">
        <v>16214</v>
      </c>
    </row>
    <row r="5201" spans="1:14">
      <c r="A5201">
        <v>21960122</v>
      </c>
      <c r="B5201">
        <v>3034474</v>
      </c>
      <c r="C5201" t="s">
        <v>10727</v>
      </c>
      <c r="D5201" t="s">
        <v>441</v>
      </c>
      <c r="F5201">
        <v>0</v>
      </c>
      <c r="G5201">
        <v>7.61</v>
      </c>
      <c r="H5201" t="s">
        <v>8588</v>
      </c>
      <c r="I5201">
        <v>729</v>
      </c>
      <c r="J5201" t="s">
        <v>445</v>
      </c>
      <c r="M5201">
        <v>0</v>
      </c>
      <c r="N5201" t="s">
        <v>16214</v>
      </c>
    </row>
    <row r="5202" spans="1:14">
      <c r="A5202">
        <v>21960518</v>
      </c>
      <c r="B5202">
        <v>3039295</v>
      </c>
      <c r="C5202" t="s">
        <v>2789</v>
      </c>
      <c r="D5202" t="s">
        <v>441</v>
      </c>
      <c r="F5202">
        <v>0</v>
      </c>
      <c r="G5202">
        <v>4.84</v>
      </c>
      <c r="H5202" t="s">
        <v>8580</v>
      </c>
      <c r="I5202">
        <v>365</v>
      </c>
      <c r="J5202" t="s">
        <v>445</v>
      </c>
      <c r="M5202">
        <v>2502</v>
      </c>
      <c r="N5202" t="s">
        <v>16214</v>
      </c>
    </row>
    <row r="5203" spans="1:14">
      <c r="A5203">
        <v>21960602</v>
      </c>
      <c r="B5203">
        <v>3042111</v>
      </c>
      <c r="C5203" t="s">
        <v>2790</v>
      </c>
      <c r="D5203" t="s">
        <v>441</v>
      </c>
      <c r="F5203">
        <v>0</v>
      </c>
      <c r="G5203">
        <v>5.53</v>
      </c>
      <c r="H5203" t="s">
        <v>8624</v>
      </c>
      <c r="I5203">
        <v>4</v>
      </c>
      <c r="J5203" t="s">
        <v>445</v>
      </c>
      <c r="M5203">
        <v>2510</v>
      </c>
      <c r="N5203" t="s">
        <v>16214</v>
      </c>
    </row>
    <row r="5204" spans="1:14">
      <c r="A5204">
        <v>21960902</v>
      </c>
      <c r="B5204">
        <v>3042113</v>
      </c>
      <c r="C5204" t="s">
        <v>2791</v>
      </c>
      <c r="D5204" t="s">
        <v>441</v>
      </c>
      <c r="F5204">
        <v>0</v>
      </c>
      <c r="G5204">
        <v>1</v>
      </c>
      <c r="H5204" t="s">
        <v>8584</v>
      </c>
      <c r="I5204">
        <v>4</v>
      </c>
      <c r="J5204" t="s">
        <v>445</v>
      </c>
      <c r="M5204">
        <v>6666</v>
      </c>
      <c r="N5204" t="s">
        <v>16214</v>
      </c>
    </row>
    <row r="5205" spans="1:14">
      <c r="A5205">
        <v>21960907</v>
      </c>
      <c r="B5205">
        <v>3045913</v>
      </c>
      <c r="C5205" t="s">
        <v>17438</v>
      </c>
      <c r="D5205" t="s">
        <v>441</v>
      </c>
      <c r="F5205">
        <v>0</v>
      </c>
      <c r="G5205">
        <v>11.18</v>
      </c>
      <c r="H5205" t="s">
        <v>8588</v>
      </c>
      <c r="I5205">
        <v>6</v>
      </c>
      <c r="J5205" t="s">
        <v>445</v>
      </c>
      <c r="M5205">
        <v>6666</v>
      </c>
      <c r="N5205" t="s">
        <v>16214</v>
      </c>
    </row>
    <row r="5206" spans="1:14">
      <c r="A5206">
        <v>21963000</v>
      </c>
      <c r="B5206">
        <v>3039294</v>
      </c>
      <c r="C5206" t="s">
        <v>2792</v>
      </c>
      <c r="D5206" t="s">
        <v>441</v>
      </c>
      <c r="F5206">
        <v>0</v>
      </c>
      <c r="G5206">
        <v>4.71</v>
      </c>
      <c r="H5206" t="s">
        <v>8549</v>
      </c>
      <c r="I5206">
        <v>6</v>
      </c>
      <c r="J5206" t="s">
        <v>445</v>
      </c>
      <c r="M5206">
        <v>2391</v>
      </c>
      <c r="N5206" t="s">
        <v>16214</v>
      </c>
    </row>
    <row r="5207" spans="1:14">
      <c r="A5207">
        <v>21970000</v>
      </c>
      <c r="B5207">
        <v>3007876</v>
      </c>
      <c r="C5207" t="s">
        <v>10728</v>
      </c>
      <c r="D5207" t="s">
        <v>441</v>
      </c>
      <c r="F5207">
        <v>0</v>
      </c>
      <c r="G5207">
        <v>4.8499999999999996</v>
      </c>
      <c r="H5207" t="s">
        <v>8588</v>
      </c>
      <c r="I5207">
        <v>6</v>
      </c>
      <c r="J5207" t="s">
        <v>445</v>
      </c>
      <c r="M5207">
        <v>2391</v>
      </c>
      <c r="N5207" t="s">
        <v>16202</v>
      </c>
    </row>
    <row r="5208" spans="1:14">
      <c r="A5208">
        <v>21970002</v>
      </c>
      <c r="B5208">
        <v>3007877</v>
      </c>
      <c r="C5208" t="s">
        <v>10729</v>
      </c>
      <c r="D5208" t="s">
        <v>441</v>
      </c>
      <c r="F5208">
        <v>0</v>
      </c>
      <c r="G5208">
        <v>7.92</v>
      </c>
      <c r="H5208" t="s">
        <v>8588</v>
      </c>
      <c r="I5208">
        <v>365</v>
      </c>
      <c r="J5208" t="s">
        <v>445</v>
      </c>
      <c r="K5208" t="s">
        <v>446</v>
      </c>
      <c r="M5208">
        <v>2501</v>
      </c>
    </row>
    <row r="5209" spans="1:14">
      <c r="A5209">
        <v>21970007</v>
      </c>
      <c r="B5209">
        <v>3024988</v>
      </c>
      <c r="C5209" t="s">
        <v>14361</v>
      </c>
      <c r="D5209" t="s">
        <v>441</v>
      </c>
      <c r="F5209">
        <v>0</v>
      </c>
      <c r="G5209">
        <v>9.14</v>
      </c>
      <c r="H5209" t="s">
        <v>8588</v>
      </c>
      <c r="I5209">
        <v>6</v>
      </c>
      <c r="J5209" t="s">
        <v>445</v>
      </c>
      <c r="M5209">
        <v>3113</v>
      </c>
      <c r="N5209" t="s">
        <v>16202</v>
      </c>
    </row>
    <row r="5210" spans="1:14">
      <c r="A5210">
        <v>21970018</v>
      </c>
      <c r="B5210">
        <v>3012576</v>
      </c>
      <c r="C5210" t="s">
        <v>10730</v>
      </c>
      <c r="D5210" t="s">
        <v>441</v>
      </c>
      <c r="F5210">
        <v>0</v>
      </c>
      <c r="G5210">
        <v>5.27</v>
      </c>
      <c r="H5210" t="s">
        <v>8588</v>
      </c>
      <c r="I5210">
        <v>365</v>
      </c>
      <c r="J5210" t="s">
        <v>445</v>
      </c>
      <c r="M5210">
        <v>7111</v>
      </c>
      <c r="N5210" t="s">
        <v>16202</v>
      </c>
    </row>
    <row r="5211" spans="1:14">
      <c r="A5211">
        <v>21970019</v>
      </c>
      <c r="B5211">
        <v>3000168</v>
      </c>
      <c r="C5211" t="s">
        <v>10731</v>
      </c>
      <c r="D5211" t="s">
        <v>441</v>
      </c>
      <c r="F5211">
        <v>0</v>
      </c>
      <c r="G5211">
        <v>6.67</v>
      </c>
      <c r="H5211" t="s">
        <v>8588</v>
      </c>
      <c r="I5211">
        <v>365</v>
      </c>
      <c r="J5211" t="s">
        <v>445</v>
      </c>
      <c r="K5211" t="s">
        <v>446</v>
      </c>
      <c r="M5211">
        <v>2501</v>
      </c>
    </row>
    <row r="5212" spans="1:14">
      <c r="A5212">
        <v>21970027</v>
      </c>
      <c r="B5212">
        <v>4008191</v>
      </c>
      <c r="C5212" t="s">
        <v>10732</v>
      </c>
      <c r="D5212" t="s">
        <v>441</v>
      </c>
      <c r="F5212">
        <v>0</v>
      </c>
      <c r="G5212">
        <v>7.69</v>
      </c>
      <c r="H5212" t="s">
        <v>8588</v>
      </c>
      <c r="I5212">
        <v>365</v>
      </c>
      <c r="J5212" t="s">
        <v>462</v>
      </c>
      <c r="K5212" t="s">
        <v>446</v>
      </c>
      <c r="M5212">
        <v>2501</v>
      </c>
    </row>
    <row r="5213" spans="1:14">
      <c r="A5213">
        <v>21970075</v>
      </c>
      <c r="B5213">
        <v>3007878</v>
      </c>
      <c r="C5213" t="s">
        <v>10733</v>
      </c>
      <c r="D5213" t="s">
        <v>441</v>
      </c>
      <c r="F5213">
        <v>0</v>
      </c>
      <c r="G5213">
        <v>7.52</v>
      </c>
      <c r="H5213" t="s">
        <v>8588</v>
      </c>
      <c r="I5213">
        <v>6</v>
      </c>
      <c r="J5213" t="s">
        <v>445</v>
      </c>
      <c r="K5213" t="s">
        <v>446</v>
      </c>
      <c r="L5213">
        <v>14061</v>
      </c>
      <c r="M5213">
        <v>2641</v>
      </c>
    </row>
    <row r="5214" spans="1:14">
      <c r="A5214">
        <v>21970077</v>
      </c>
      <c r="B5214">
        <v>4008179</v>
      </c>
      <c r="C5214" t="s">
        <v>10734</v>
      </c>
      <c r="D5214" t="s">
        <v>441</v>
      </c>
      <c r="F5214">
        <v>0</v>
      </c>
      <c r="G5214">
        <v>7.55</v>
      </c>
      <c r="H5214" t="s">
        <v>8588</v>
      </c>
      <c r="I5214">
        <v>6</v>
      </c>
      <c r="J5214" t="s">
        <v>462</v>
      </c>
      <c r="K5214" t="s">
        <v>446</v>
      </c>
      <c r="L5214">
        <v>14061</v>
      </c>
      <c r="M5214">
        <v>7112</v>
      </c>
    </row>
    <row r="5215" spans="1:14">
      <c r="A5215">
        <v>21970078</v>
      </c>
      <c r="B5215">
        <v>3018537</v>
      </c>
      <c r="C5215" t="s">
        <v>10735</v>
      </c>
      <c r="D5215" t="s">
        <v>441</v>
      </c>
      <c r="F5215">
        <v>0</v>
      </c>
      <c r="G5215">
        <v>7.68</v>
      </c>
      <c r="H5215" t="s">
        <v>8588</v>
      </c>
      <c r="I5215">
        <v>6</v>
      </c>
      <c r="J5215" t="s">
        <v>445</v>
      </c>
      <c r="K5215" t="s">
        <v>446</v>
      </c>
      <c r="M5215">
        <v>2641</v>
      </c>
    </row>
    <row r="5216" spans="1:14">
      <c r="A5216">
        <v>21970080</v>
      </c>
      <c r="B5216">
        <v>3027468</v>
      </c>
      <c r="C5216" t="s">
        <v>10736</v>
      </c>
      <c r="D5216" t="s">
        <v>441</v>
      </c>
      <c r="F5216">
        <v>0</v>
      </c>
      <c r="G5216">
        <v>7.55</v>
      </c>
      <c r="H5216" t="s">
        <v>8588</v>
      </c>
      <c r="I5216">
        <v>6</v>
      </c>
      <c r="J5216" t="s">
        <v>445</v>
      </c>
      <c r="K5216" t="s">
        <v>446</v>
      </c>
      <c r="M5216">
        <v>2641</v>
      </c>
    </row>
    <row r="5217" spans="1:14">
      <c r="A5217">
        <v>21970100</v>
      </c>
      <c r="B5217">
        <v>3031888</v>
      </c>
      <c r="C5217" t="s">
        <v>10737</v>
      </c>
      <c r="D5217" t="s">
        <v>441</v>
      </c>
      <c r="F5217">
        <v>0</v>
      </c>
      <c r="H5217" t="s">
        <v>8588</v>
      </c>
      <c r="I5217">
        <v>6</v>
      </c>
      <c r="J5217" t="s">
        <v>445</v>
      </c>
      <c r="K5217" t="s">
        <v>446</v>
      </c>
      <c r="M5217">
        <v>0</v>
      </c>
      <c r="N5217" t="s">
        <v>16202</v>
      </c>
    </row>
    <row r="5218" spans="1:14">
      <c r="A5218">
        <v>21970102</v>
      </c>
      <c r="B5218">
        <v>3023562</v>
      </c>
      <c r="C5218" t="s">
        <v>2793</v>
      </c>
      <c r="D5218" t="s">
        <v>441</v>
      </c>
      <c r="F5218">
        <v>0</v>
      </c>
      <c r="H5218" t="s">
        <v>8588</v>
      </c>
      <c r="I5218">
        <v>365</v>
      </c>
      <c r="J5218" t="s">
        <v>445</v>
      </c>
      <c r="M5218">
        <v>7113</v>
      </c>
      <c r="N5218" t="s">
        <v>16202</v>
      </c>
    </row>
    <row r="5219" spans="1:14">
      <c r="A5219">
        <v>21970110</v>
      </c>
      <c r="B5219">
        <v>3024500</v>
      </c>
      <c r="C5219" t="s">
        <v>10738</v>
      </c>
      <c r="D5219" t="s">
        <v>441</v>
      </c>
      <c r="F5219">
        <v>0</v>
      </c>
      <c r="H5219" t="s">
        <v>8588</v>
      </c>
      <c r="I5219">
        <v>12</v>
      </c>
      <c r="J5219" t="s">
        <v>445</v>
      </c>
      <c r="M5219">
        <v>0</v>
      </c>
      <c r="N5219" t="s">
        <v>16202</v>
      </c>
    </row>
    <row r="5220" spans="1:14">
      <c r="A5220">
        <v>21970120</v>
      </c>
      <c r="B5220">
        <v>3031185</v>
      </c>
      <c r="C5220" t="s">
        <v>10739</v>
      </c>
      <c r="D5220" t="s">
        <v>441</v>
      </c>
      <c r="F5220">
        <v>0</v>
      </c>
      <c r="H5220" t="s">
        <v>8588</v>
      </c>
      <c r="I5220">
        <v>6</v>
      </c>
      <c r="J5220" t="s">
        <v>445</v>
      </c>
      <c r="M5220">
        <v>7161</v>
      </c>
      <c r="N5220" t="s">
        <v>16202</v>
      </c>
    </row>
    <row r="5221" spans="1:14">
      <c r="A5221">
        <v>21970502</v>
      </c>
      <c r="B5221">
        <v>3007879</v>
      </c>
      <c r="C5221" t="s">
        <v>10740</v>
      </c>
      <c r="D5221" t="s">
        <v>441</v>
      </c>
      <c r="F5221">
        <v>0</v>
      </c>
      <c r="G5221">
        <v>7.68</v>
      </c>
      <c r="H5221" t="s">
        <v>8580</v>
      </c>
      <c r="I5221">
        <v>6</v>
      </c>
      <c r="J5221" t="s">
        <v>445</v>
      </c>
      <c r="K5221" t="s">
        <v>446</v>
      </c>
      <c r="M5221">
        <v>2641</v>
      </c>
    </row>
    <row r="5222" spans="1:14">
      <c r="A5222">
        <v>21970518</v>
      </c>
      <c r="B5222">
        <v>3013577</v>
      </c>
      <c r="C5222" t="s">
        <v>10741</v>
      </c>
      <c r="D5222" t="s">
        <v>441</v>
      </c>
      <c r="F5222">
        <v>0</v>
      </c>
      <c r="G5222">
        <v>4.9400000000000004</v>
      </c>
      <c r="H5222" t="s">
        <v>8583</v>
      </c>
      <c r="I5222">
        <v>365</v>
      </c>
      <c r="J5222" t="s">
        <v>445</v>
      </c>
      <c r="M5222">
        <v>2502</v>
      </c>
      <c r="N5222" t="s">
        <v>16202</v>
      </c>
    </row>
    <row r="5223" spans="1:14">
      <c r="A5223">
        <v>21970519</v>
      </c>
      <c r="B5223">
        <v>3007880</v>
      </c>
      <c r="C5223" t="s">
        <v>10742</v>
      </c>
      <c r="D5223" t="s">
        <v>441</v>
      </c>
      <c r="F5223">
        <v>0</v>
      </c>
      <c r="G5223">
        <v>7.51</v>
      </c>
      <c r="H5223" t="s">
        <v>8580</v>
      </c>
      <c r="I5223">
        <v>6</v>
      </c>
      <c r="J5223" t="s">
        <v>445</v>
      </c>
      <c r="K5223" t="s">
        <v>446</v>
      </c>
      <c r="M5223">
        <v>2641</v>
      </c>
    </row>
    <row r="5224" spans="1:14">
      <c r="A5224">
        <v>21970527</v>
      </c>
      <c r="B5224">
        <v>3009750</v>
      </c>
      <c r="C5224" t="s">
        <v>10743</v>
      </c>
      <c r="D5224" t="s">
        <v>441</v>
      </c>
      <c r="F5224">
        <v>0</v>
      </c>
      <c r="G5224">
        <v>7.5</v>
      </c>
      <c r="I5224">
        <v>6</v>
      </c>
      <c r="J5224" t="s">
        <v>445</v>
      </c>
      <c r="K5224" t="s">
        <v>446</v>
      </c>
      <c r="M5224">
        <v>2641</v>
      </c>
    </row>
    <row r="5225" spans="1:14">
      <c r="A5225">
        <v>21970602</v>
      </c>
      <c r="B5225">
        <v>3007881</v>
      </c>
      <c r="C5225" t="s">
        <v>10744</v>
      </c>
      <c r="D5225" t="s">
        <v>441</v>
      </c>
      <c r="F5225">
        <v>0</v>
      </c>
      <c r="G5225">
        <v>8.1999999999999993</v>
      </c>
      <c r="H5225" t="s">
        <v>8580</v>
      </c>
      <c r="I5225">
        <v>4</v>
      </c>
      <c r="J5225" t="s">
        <v>445</v>
      </c>
      <c r="K5225" t="s">
        <v>446</v>
      </c>
      <c r="M5225">
        <v>2511</v>
      </c>
    </row>
    <row r="5226" spans="1:14">
      <c r="A5226">
        <v>21970618</v>
      </c>
      <c r="B5226">
        <v>3013579</v>
      </c>
      <c r="C5226" t="s">
        <v>10745</v>
      </c>
      <c r="D5226" t="s">
        <v>441</v>
      </c>
      <c r="F5226">
        <v>0</v>
      </c>
      <c r="G5226">
        <v>5.44</v>
      </c>
      <c r="H5226" t="s">
        <v>8588</v>
      </c>
      <c r="I5226">
        <v>4</v>
      </c>
      <c r="J5226" t="s">
        <v>445</v>
      </c>
      <c r="M5226">
        <v>2510</v>
      </c>
      <c r="N5226" t="s">
        <v>16202</v>
      </c>
    </row>
    <row r="5227" spans="1:14">
      <c r="A5227">
        <v>21970619</v>
      </c>
      <c r="B5227">
        <v>3007882</v>
      </c>
      <c r="C5227" t="s">
        <v>2794</v>
      </c>
      <c r="D5227" t="s">
        <v>441</v>
      </c>
      <c r="F5227">
        <v>0</v>
      </c>
      <c r="G5227">
        <v>7.05</v>
      </c>
      <c r="H5227" t="s">
        <v>8580</v>
      </c>
      <c r="I5227">
        <v>4</v>
      </c>
      <c r="J5227" t="s">
        <v>445</v>
      </c>
      <c r="K5227" t="s">
        <v>446</v>
      </c>
      <c r="M5227">
        <v>2511</v>
      </c>
    </row>
    <row r="5228" spans="1:14">
      <c r="A5228">
        <v>21970900</v>
      </c>
      <c r="B5228">
        <v>3020290</v>
      </c>
      <c r="C5228" t="s">
        <v>10746</v>
      </c>
      <c r="D5228" t="s">
        <v>441</v>
      </c>
      <c r="F5228">
        <v>0</v>
      </c>
      <c r="H5228" t="s">
        <v>8584</v>
      </c>
      <c r="I5228">
        <v>6</v>
      </c>
      <c r="J5228" t="s">
        <v>445</v>
      </c>
      <c r="M5228">
        <v>6666</v>
      </c>
      <c r="N5228" t="s">
        <v>16202</v>
      </c>
    </row>
    <row r="5229" spans="1:14">
      <c r="A5229">
        <v>21970902</v>
      </c>
      <c r="B5229">
        <v>3026284</v>
      </c>
      <c r="C5229" t="s">
        <v>10747</v>
      </c>
      <c r="D5229" t="s">
        <v>441</v>
      </c>
      <c r="F5229">
        <v>0</v>
      </c>
      <c r="H5229" t="s">
        <v>8580</v>
      </c>
      <c r="I5229">
        <v>4</v>
      </c>
      <c r="J5229" t="s">
        <v>445</v>
      </c>
      <c r="K5229" t="s">
        <v>446</v>
      </c>
      <c r="M5229">
        <v>6666</v>
      </c>
    </row>
    <row r="5230" spans="1:14">
      <c r="A5230">
        <v>21970907</v>
      </c>
      <c r="B5230">
        <v>3025248</v>
      </c>
      <c r="C5230" t="s">
        <v>14362</v>
      </c>
      <c r="D5230" t="s">
        <v>441</v>
      </c>
      <c r="F5230">
        <v>0</v>
      </c>
      <c r="G5230">
        <v>0</v>
      </c>
      <c r="I5230">
        <v>6</v>
      </c>
      <c r="J5230" t="s">
        <v>445</v>
      </c>
      <c r="M5230">
        <v>6666</v>
      </c>
      <c r="N5230" t="s">
        <v>16202</v>
      </c>
    </row>
    <row r="5231" spans="1:14">
      <c r="A5231">
        <v>21970918</v>
      </c>
      <c r="B5231">
        <v>3020291</v>
      </c>
      <c r="C5231" t="s">
        <v>10748</v>
      </c>
      <c r="D5231" t="s">
        <v>441</v>
      </c>
      <c r="F5231">
        <v>0</v>
      </c>
      <c r="H5231" t="s">
        <v>8580</v>
      </c>
      <c r="I5231">
        <v>4</v>
      </c>
      <c r="J5231" t="s">
        <v>445</v>
      </c>
      <c r="M5231">
        <v>6666</v>
      </c>
      <c r="N5231" t="s">
        <v>16202</v>
      </c>
    </row>
    <row r="5232" spans="1:14">
      <c r="A5232">
        <v>21974000</v>
      </c>
      <c r="B5232">
        <v>3039051</v>
      </c>
      <c r="C5232" t="s">
        <v>10749</v>
      </c>
      <c r="D5232" t="s">
        <v>441</v>
      </c>
      <c r="F5232">
        <v>0</v>
      </c>
      <c r="G5232">
        <v>4.8499999999999996</v>
      </c>
      <c r="H5232" t="s">
        <v>8588</v>
      </c>
      <c r="I5232">
        <v>6</v>
      </c>
      <c r="J5232" t="s">
        <v>445</v>
      </c>
      <c r="M5232">
        <v>2391</v>
      </c>
      <c r="N5232" t="s">
        <v>16202</v>
      </c>
    </row>
    <row r="5233" spans="1:14">
      <c r="A5233">
        <v>21974002</v>
      </c>
      <c r="B5233">
        <v>3040934</v>
      </c>
      <c r="C5233" t="s">
        <v>10750</v>
      </c>
      <c r="D5233" t="s">
        <v>441</v>
      </c>
      <c r="F5233">
        <v>0</v>
      </c>
      <c r="G5233">
        <v>5.27</v>
      </c>
      <c r="H5233" t="s">
        <v>8588</v>
      </c>
      <c r="I5233">
        <v>365</v>
      </c>
      <c r="J5233" t="s">
        <v>445</v>
      </c>
      <c r="M5233">
        <v>7111</v>
      </c>
      <c r="N5233" t="s">
        <v>16202</v>
      </c>
    </row>
    <row r="5234" spans="1:14">
      <c r="A5234">
        <v>21974007</v>
      </c>
      <c r="B5234">
        <v>3039028</v>
      </c>
      <c r="C5234" t="s">
        <v>8539</v>
      </c>
      <c r="D5234" t="s">
        <v>441</v>
      </c>
      <c r="F5234">
        <v>0</v>
      </c>
      <c r="G5234">
        <v>4.9400000000000004</v>
      </c>
      <c r="H5234" t="s">
        <v>8588</v>
      </c>
      <c r="I5234">
        <v>6</v>
      </c>
      <c r="J5234" t="s">
        <v>445</v>
      </c>
      <c r="M5234">
        <v>3113</v>
      </c>
      <c r="N5234" t="s">
        <v>16202</v>
      </c>
    </row>
    <row r="5235" spans="1:14">
      <c r="A5235">
        <v>21974110</v>
      </c>
      <c r="B5235">
        <v>3040581</v>
      </c>
      <c r="C5235" t="s">
        <v>10751</v>
      </c>
      <c r="D5235" t="s">
        <v>441</v>
      </c>
      <c r="F5235">
        <v>0</v>
      </c>
      <c r="G5235">
        <v>5.14</v>
      </c>
      <c r="H5235" t="s">
        <v>8588</v>
      </c>
      <c r="I5235">
        <v>6</v>
      </c>
      <c r="J5235" t="s">
        <v>445</v>
      </c>
      <c r="M5235">
        <v>0</v>
      </c>
      <c r="N5235" t="s">
        <v>16202</v>
      </c>
    </row>
    <row r="5236" spans="1:14">
      <c r="A5236">
        <v>21974112</v>
      </c>
      <c r="B5236">
        <v>3039318</v>
      </c>
      <c r="C5236" t="s">
        <v>16215</v>
      </c>
      <c r="D5236" t="s">
        <v>441</v>
      </c>
      <c r="F5236">
        <v>0</v>
      </c>
      <c r="G5236">
        <v>12.49</v>
      </c>
      <c r="H5236" t="s">
        <v>8588</v>
      </c>
      <c r="I5236">
        <v>365</v>
      </c>
      <c r="J5236" t="s">
        <v>445</v>
      </c>
      <c r="M5236">
        <v>0</v>
      </c>
      <c r="N5236" t="s">
        <v>16202</v>
      </c>
    </row>
    <row r="5237" spans="1:14">
      <c r="A5237">
        <v>21974502</v>
      </c>
      <c r="B5237">
        <v>3039317</v>
      </c>
      <c r="C5237" t="s">
        <v>10752</v>
      </c>
      <c r="D5237" t="s">
        <v>441</v>
      </c>
      <c r="F5237">
        <v>0</v>
      </c>
      <c r="G5237">
        <v>4.9400000000000004</v>
      </c>
      <c r="H5237" t="s">
        <v>8580</v>
      </c>
      <c r="I5237">
        <v>6</v>
      </c>
      <c r="J5237" t="s">
        <v>445</v>
      </c>
      <c r="M5237">
        <v>2502</v>
      </c>
      <c r="N5237" t="s">
        <v>16202</v>
      </c>
    </row>
    <row r="5238" spans="1:14">
      <c r="A5238">
        <v>21974602</v>
      </c>
      <c r="B5238">
        <v>3041008</v>
      </c>
      <c r="C5238" t="s">
        <v>17439</v>
      </c>
      <c r="D5238" t="s">
        <v>441</v>
      </c>
      <c r="F5238">
        <v>0</v>
      </c>
      <c r="G5238">
        <v>12.57</v>
      </c>
      <c r="H5238" t="s">
        <v>8549</v>
      </c>
      <c r="I5238">
        <v>4</v>
      </c>
      <c r="J5238" t="s">
        <v>445</v>
      </c>
      <c r="M5238">
        <v>2510</v>
      </c>
      <c r="N5238" t="s">
        <v>16202</v>
      </c>
    </row>
    <row r="5239" spans="1:14">
      <c r="A5239">
        <v>21974902</v>
      </c>
      <c r="B5239">
        <v>3045828</v>
      </c>
      <c r="C5239" t="s">
        <v>17440</v>
      </c>
      <c r="D5239" t="s">
        <v>441</v>
      </c>
      <c r="F5239">
        <v>0</v>
      </c>
      <c r="G5239">
        <v>12.57</v>
      </c>
      <c r="H5239" t="s">
        <v>8549</v>
      </c>
      <c r="I5239">
        <v>4</v>
      </c>
      <c r="J5239" t="s">
        <v>445</v>
      </c>
      <c r="M5239">
        <v>6666</v>
      </c>
      <c r="N5239" t="s">
        <v>16202</v>
      </c>
    </row>
    <row r="5240" spans="1:14">
      <c r="A5240">
        <v>21974907</v>
      </c>
      <c r="B5240">
        <v>3039075</v>
      </c>
      <c r="C5240" t="s">
        <v>10753</v>
      </c>
      <c r="D5240" t="s">
        <v>441</v>
      </c>
      <c r="F5240">
        <v>0</v>
      </c>
      <c r="H5240" t="s">
        <v>8580</v>
      </c>
      <c r="I5240">
        <v>6</v>
      </c>
      <c r="J5240" t="s">
        <v>445</v>
      </c>
      <c r="M5240">
        <v>6666</v>
      </c>
      <c r="N5240" t="s">
        <v>16202</v>
      </c>
    </row>
    <row r="5241" spans="1:14">
      <c r="A5241">
        <v>21979000</v>
      </c>
      <c r="B5241">
        <v>3032755</v>
      </c>
      <c r="C5241" t="s">
        <v>10754</v>
      </c>
      <c r="D5241" t="s">
        <v>441</v>
      </c>
      <c r="F5241">
        <v>0</v>
      </c>
      <c r="G5241">
        <v>4.8499999999999996</v>
      </c>
      <c r="H5241" t="s">
        <v>8549</v>
      </c>
      <c r="I5241">
        <v>2</v>
      </c>
      <c r="J5241" t="s">
        <v>445</v>
      </c>
      <c r="M5241">
        <v>3111</v>
      </c>
      <c r="N5241" t="s">
        <v>16202</v>
      </c>
    </row>
    <row r="5242" spans="1:14">
      <c r="A5242">
        <v>21979900</v>
      </c>
      <c r="B5242">
        <v>3032783</v>
      </c>
      <c r="C5242" t="s">
        <v>10755</v>
      </c>
      <c r="D5242" t="s">
        <v>441</v>
      </c>
      <c r="F5242">
        <v>0</v>
      </c>
      <c r="H5242" t="s">
        <v>8580</v>
      </c>
      <c r="I5242">
        <v>2</v>
      </c>
      <c r="J5242" t="s">
        <v>445</v>
      </c>
      <c r="M5242">
        <v>6666</v>
      </c>
      <c r="N5242" t="s">
        <v>16202</v>
      </c>
    </row>
    <row r="5243" spans="1:14">
      <c r="A5243">
        <v>21980000</v>
      </c>
      <c r="B5243">
        <v>3032875</v>
      </c>
      <c r="C5243" t="s">
        <v>10756</v>
      </c>
      <c r="D5243" t="s">
        <v>441</v>
      </c>
      <c r="F5243">
        <v>0</v>
      </c>
      <c r="G5243">
        <v>6.37</v>
      </c>
      <c r="H5243" t="s">
        <v>8588</v>
      </c>
      <c r="I5243">
        <v>7</v>
      </c>
      <c r="J5243" t="s">
        <v>445</v>
      </c>
      <c r="M5243">
        <v>2391</v>
      </c>
      <c r="N5243" t="s">
        <v>16213</v>
      </c>
    </row>
    <row r="5244" spans="1:14">
      <c r="A5244">
        <v>21980002</v>
      </c>
      <c r="B5244">
        <v>3034715</v>
      </c>
      <c r="C5244" t="s">
        <v>10757</v>
      </c>
      <c r="D5244" t="s">
        <v>441</v>
      </c>
      <c r="F5244">
        <v>0</v>
      </c>
      <c r="G5244">
        <v>6.82</v>
      </c>
      <c r="H5244" t="s">
        <v>8549</v>
      </c>
      <c r="I5244">
        <v>540</v>
      </c>
      <c r="J5244" t="s">
        <v>445</v>
      </c>
      <c r="M5244">
        <v>7111</v>
      </c>
      <c r="N5244" t="s">
        <v>16213</v>
      </c>
    </row>
    <row r="5245" spans="1:14">
      <c r="A5245">
        <v>21980007</v>
      </c>
      <c r="B5245">
        <v>3032876</v>
      </c>
      <c r="C5245" t="s">
        <v>14363</v>
      </c>
      <c r="D5245" t="s">
        <v>441</v>
      </c>
      <c r="F5245">
        <v>0</v>
      </c>
      <c r="G5245">
        <v>10.51</v>
      </c>
      <c r="H5245" t="s">
        <v>8588</v>
      </c>
      <c r="I5245">
        <v>7</v>
      </c>
      <c r="J5245" t="s">
        <v>445</v>
      </c>
      <c r="M5245">
        <v>2391</v>
      </c>
      <c r="N5245" t="s">
        <v>16213</v>
      </c>
    </row>
    <row r="5246" spans="1:14">
      <c r="A5246">
        <v>21980080</v>
      </c>
      <c r="B5246">
        <v>4021874</v>
      </c>
      <c r="C5246" t="s">
        <v>10758</v>
      </c>
      <c r="D5246" t="s">
        <v>441</v>
      </c>
      <c r="F5246">
        <v>0</v>
      </c>
      <c r="G5246">
        <v>6.64</v>
      </c>
      <c r="H5246" t="s">
        <v>8588</v>
      </c>
      <c r="I5246">
        <v>7</v>
      </c>
      <c r="J5246" t="s">
        <v>462</v>
      </c>
      <c r="M5246">
        <v>7112</v>
      </c>
      <c r="N5246" t="s">
        <v>16213</v>
      </c>
    </row>
    <row r="5247" spans="1:14">
      <c r="A5247">
        <v>21980502</v>
      </c>
      <c r="B5247">
        <v>3034713</v>
      </c>
      <c r="C5247" t="s">
        <v>10759</v>
      </c>
      <c r="D5247" t="s">
        <v>441</v>
      </c>
      <c r="F5247">
        <v>0</v>
      </c>
      <c r="G5247">
        <v>6.47</v>
      </c>
      <c r="H5247" t="s">
        <v>8549</v>
      </c>
      <c r="I5247">
        <v>540</v>
      </c>
      <c r="J5247" t="s">
        <v>445</v>
      </c>
      <c r="M5247">
        <v>2502</v>
      </c>
      <c r="N5247" t="s">
        <v>16213</v>
      </c>
    </row>
    <row r="5248" spans="1:14">
      <c r="A5248">
        <v>21990000</v>
      </c>
      <c r="B5248">
        <v>3008761</v>
      </c>
      <c r="C5248" t="s">
        <v>10760</v>
      </c>
      <c r="D5248" t="s">
        <v>441</v>
      </c>
      <c r="F5248">
        <v>0</v>
      </c>
      <c r="G5248">
        <v>8.6999999999999993</v>
      </c>
      <c r="H5248" t="s">
        <v>8549</v>
      </c>
      <c r="I5248">
        <v>6</v>
      </c>
      <c r="J5248" t="s">
        <v>445</v>
      </c>
      <c r="K5248" t="s">
        <v>446</v>
      </c>
      <c r="M5248">
        <v>2641</v>
      </c>
    </row>
    <row r="5249" spans="1:14">
      <c r="A5249">
        <v>21990077</v>
      </c>
      <c r="B5249">
        <v>4008178</v>
      </c>
      <c r="C5249" t="s">
        <v>10761</v>
      </c>
      <c r="D5249" t="s">
        <v>441</v>
      </c>
      <c r="F5249">
        <v>0</v>
      </c>
      <c r="G5249">
        <v>8.5299999999999994</v>
      </c>
      <c r="H5249" t="s">
        <v>8588</v>
      </c>
      <c r="I5249">
        <v>6</v>
      </c>
      <c r="J5249" t="s">
        <v>462</v>
      </c>
      <c r="K5249" t="s">
        <v>446</v>
      </c>
      <c r="L5249">
        <v>14041</v>
      </c>
      <c r="M5249">
        <v>2641</v>
      </c>
    </row>
    <row r="5250" spans="1:14">
      <c r="A5250">
        <v>22010000</v>
      </c>
      <c r="B5250">
        <v>3008821</v>
      </c>
      <c r="C5250" t="s">
        <v>14364</v>
      </c>
      <c r="D5250" t="s">
        <v>441</v>
      </c>
      <c r="F5250">
        <v>0</v>
      </c>
      <c r="G5250">
        <v>6.3</v>
      </c>
      <c r="H5250" t="s">
        <v>8580</v>
      </c>
      <c r="I5250">
        <v>6</v>
      </c>
      <c r="J5250" t="s">
        <v>445</v>
      </c>
      <c r="M5250">
        <v>2391</v>
      </c>
      <c r="N5250" t="s">
        <v>16216</v>
      </c>
    </row>
    <row r="5251" spans="1:14">
      <c r="A5251">
        <v>22011000</v>
      </c>
      <c r="B5251">
        <v>3017426</v>
      </c>
      <c r="C5251" t="s">
        <v>14365</v>
      </c>
      <c r="D5251" t="s">
        <v>441</v>
      </c>
      <c r="F5251">
        <v>0</v>
      </c>
      <c r="G5251">
        <v>6.3</v>
      </c>
      <c r="H5251" t="s">
        <v>8580</v>
      </c>
      <c r="I5251">
        <v>6</v>
      </c>
      <c r="J5251" t="s">
        <v>445</v>
      </c>
      <c r="K5251" t="s">
        <v>446</v>
      </c>
      <c r="M5251">
        <v>2391</v>
      </c>
      <c r="N5251" t="s">
        <v>16216</v>
      </c>
    </row>
    <row r="5252" spans="1:14">
      <c r="A5252">
        <v>22020000</v>
      </c>
      <c r="B5252">
        <v>3006282</v>
      </c>
      <c r="C5252" t="s">
        <v>10762</v>
      </c>
      <c r="D5252" t="s">
        <v>441</v>
      </c>
      <c r="F5252">
        <v>0</v>
      </c>
      <c r="G5252">
        <v>0</v>
      </c>
      <c r="H5252" t="s">
        <v>8588</v>
      </c>
      <c r="I5252">
        <v>6</v>
      </c>
      <c r="J5252" t="s">
        <v>445</v>
      </c>
      <c r="M5252">
        <v>2391</v>
      </c>
      <c r="N5252" t="s">
        <v>16217</v>
      </c>
    </row>
    <row r="5253" spans="1:14">
      <c r="A5253">
        <v>22020002</v>
      </c>
      <c r="B5253">
        <v>3007883</v>
      </c>
      <c r="C5253" t="s">
        <v>10763</v>
      </c>
      <c r="D5253" t="s">
        <v>441</v>
      </c>
      <c r="F5253">
        <v>0</v>
      </c>
      <c r="G5253">
        <v>12.59</v>
      </c>
      <c r="I5253">
        <v>365</v>
      </c>
      <c r="J5253" t="s">
        <v>445</v>
      </c>
      <c r="K5253" t="s">
        <v>446</v>
      </c>
      <c r="M5253">
        <v>2501</v>
      </c>
    </row>
    <row r="5254" spans="1:14">
      <c r="A5254">
        <v>22020007</v>
      </c>
      <c r="B5254">
        <v>3024989</v>
      </c>
      <c r="C5254" t="s">
        <v>14366</v>
      </c>
      <c r="D5254" t="s">
        <v>441</v>
      </c>
      <c r="F5254">
        <v>0</v>
      </c>
      <c r="G5254">
        <v>12.45</v>
      </c>
      <c r="H5254" t="s">
        <v>8588</v>
      </c>
      <c r="I5254">
        <v>6</v>
      </c>
      <c r="J5254" t="s">
        <v>445</v>
      </c>
      <c r="M5254">
        <v>3113</v>
      </c>
      <c r="N5254" t="s">
        <v>16217</v>
      </c>
    </row>
    <row r="5255" spans="1:14">
      <c r="A5255">
        <v>22020018</v>
      </c>
      <c r="B5255">
        <v>3012591</v>
      </c>
      <c r="C5255" t="s">
        <v>10764</v>
      </c>
      <c r="D5255" t="s">
        <v>441</v>
      </c>
      <c r="F5255">
        <v>0</v>
      </c>
      <c r="G5255">
        <v>7.7</v>
      </c>
      <c r="H5255" t="s">
        <v>8588</v>
      </c>
      <c r="I5255">
        <v>365</v>
      </c>
      <c r="J5255" t="s">
        <v>445</v>
      </c>
      <c r="M5255">
        <v>7111</v>
      </c>
      <c r="N5255" t="s">
        <v>16217</v>
      </c>
    </row>
    <row r="5256" spans="1:14">
      <c r="A5256">
        <v>22020019</v>
      </c>
      <c r="B5256">
        <v>3002588</v>
      </c>
      <c r="C5256" t="s">
        <v>10765</v>
      </c>
      <c r="D5256" t="s">
        <v>441</v>
      </c>
      <c r="F5256">
        <v>0</v>
      </c>
      <c r="G5256">
        <v>11.02</v>
      </c>
      <c r="H5256" t="s">
        <v>8588</v>
      </c>
      <c r="I5256">
        <v>365</v>
      </c>
      <c r="J5256" t="s">
        <v>445</v>
      </c>
      <c r="K5256" t="s">
        <v>446</v>
      </c>
      <c r="M5256">
        <v>2501</v>
      </c>
    </row>
    <row r="5257" spans="1:14">
      <c r="A5257">
        <v>22020020</v>
      </c>
      <c r="B5257">
        <v>4007987</v>
      </c>
      <c r="C5257" t="s">
        <v>10766</v>
      </c>
      <c r="D5257" t="s">
        <v>441</v>
      </c>
      <c r="F5257">
        <v>0</v>
      </c>
      <c r="G5257">
        <v>10.08</v>
      </c>
      <c r="H5257" t="s">
        <v>8588</v>
      </c>
      <c r="I5257">
        <v>6</v>
      </c>
      <c r="J5257" t="s">
        <v>462</v>
      </c>
      <c r="M5257">
        <v>2641</v>
      </c>
    </row>
    <row r="5258" spans="1:14">
      <c r="A5258">
        <v>22020025</v>
      </c>
      <c r="B5258">
        <v>4007988</v>
      </c>
      <c r="C5258" t="s">
        <v>10767</v>
      </c>
      <c r="D5258" t="s">
        <v>441</v>
      </c>
      <c r="F5258">
        <v>0</v>
      </c>
      <c r="G5258">
        <v>10.85</v>
      </c>
      <c r="H5258" t="s">
        <v>8588</v>
      </c>
      <c r="I5258">
        <v>365</v>
      </c>
      <c r="J5258" t="s">
        <v>462</v>
      </c>
      <c r="K5258" t="s">
        <v>446</v>
      </c>
      <c r="M5258">
        <v>2501</v>
      </c>
    </row>
    <row r="5259" spans="1:14">
      <c r="A5259">
        <v>22020075</v>
      </c>
      <c r="B5259">
        <v>3000134</v>
      </c>
      <c r="C5259" t="s">
        <v>10768</v>
      </c>
      <c r="D5259" t="s">
        <v>441</v>
      </c>
      <c r="F5259">
        <v>0</v>
      </c>
      <c r="G5259">
        <v>10.75</v>
      </c>
      <c r="H5259" t="s">
        <v>8588</v>
      </c>
      <c r="I5259">
        <v>6</v>
      </c>
      <c r="J5259" t="s">
        <v>445</v>
      </c>
      <c r="K5259" t="s">
        <v>446</v>
      </c>
      <c r="M5259">
        <v>2641</v>
      </c>
    </row>
    <row r="5260" spans="1:14">
      <c r="A5260">
        <v>22020076</v>
      </c>
      <c r="B5260">
        <v>3012575</v>
      </c>
      <c r="C5260" t="s">
        <v>2795</v>
      </c>
      <c r="D5260" t="s">
        <v>441</v>
      </c>
      <c r="F5260">
        <v>0</v>
      </c>
      <c r="G5260">
        <v>7.38</v>
      </c>
      <c r="H5260" t="s">
        <v>8588</v>
      </c>
      <c r="I5260">
        <v>6</v>
      </c>
      <c r="J5260" t="s">
        <v>445</v>
      </c>
      <c r="L5260">
        <v>2092030</v>
      </c>
      <c r="M5260">
        <v>7112</v>
      </c>
      <c r="N5260" t="s">
        <v>16217</v>
      </c>
    </row>
    <row r="5261" spans="1:14">
      <c r="A5261">
        <v>22020077</v>
      </c>
      <c r="B5261">
        <v>3008693</v>
      </c>
      <c r="C5261" t="s">
        <v>10769</v>
      </c>
      <c r="D5261" t="s">
        <v>441</v>
      </c>
      <c r="F5261">
        <v>0</v>
      </c>
      <c r="G5261">
        <v>10.52</v>
      </c>
      <c r="H5261" t="s">
        <v>8588</v>
      </c>
      <c r="I5261">
        <v>6</v>
      </c>
      <c r="J5261" t="s">
        <v>445</v>
      </c>
      <c r="K5261" t="s">
        <v>446</v>
      </c>
      <c r="L5261">
        <v>14051</v>
      </c>
      <c r="M5261">
        <v>2641</v>
      </c>
    </row>
    <row r="5262" spans="1:14">
      <c r="A5262">
        <v>22020080</v>
      </c>
      <c r="B5262">
        <v>3031398</v>
      </c>
      <c r="C5262" t="s">
        <v>10770</v>
      </c>
      <c r="D5262" t="s">
        <v>441</v>
      </c>
      <c r="F5262">
        <v>0</v>
      </c>
      <c r="G5262">
        <v>12.35</v>
      </c>
      <c r="H5262" t="s">
        <v>8588</v>
      </c>
      <c r="I5262">
        <v>6</v>
      </c>
      <c r="J5262" t="s">
        <v>445</v>
      </c>
      <c r="K5262" t="s">
        <v>446</v>
      </c>
      <c r="M5262">
        <v>2641</v>
      </c>
    </row>
    <row r="5263" spans="1:14">
      <c r="A5263">
        <v>22020100</v>
      </c>
      <c r="B5263">
        <v>3007884</v>
      </c>
      <c r="C5263" t="s">
        <v>10771</v>
      </c>
      <c r="D5263" t="s">
        <v>441</v>
      </c>
      <c r="F5263">
        <v>0</v>
      </c>
      <c r="H5263" t="s">
        <v>8580</v>
      </c>
      <c r="I5263">
        <v>9</v>
      </c>
      <c r="J5263" t="s">
        <v>445</v>
      </c>
      <c r="M5263">
        <v>7161</v>
      </c>
      <c r="N5263" t="s">
        <v>16217</v>
      </c>
    </row>
    <row r="5264" spans="1:14">
      <c r="A5264">
        <v>22020102</v>
      </c>
      <c r="B5264">
        <v>3007885</v>
      </c>
      <c r="C5264" t="s">
        <v>10772</v>
      </c>
      <c r="D5264" t="s">
        <v>441</v>
      </c>
      <c r="F5264">
        <v>0</v>
      </c>
      <c r="H5264" t="s">
        <v>8580</v>
      </c>
      <c r="I5264">
        <v>9</v>
      </c>
      <c r="J5264" t="s">
        <v>445</v>
      </c>
      <c r="K5264" t="s">
        <v>446</v>
      </c>
      <c r="M5264">
        <v>0</v>
      </c>
    </row>
    <row r="5265" spans="1:14">
      <c r="A5265">
        <v>22020110</v>
      </c>
      <c r="B5265">
        <v>3012632</v>
      </c>
      <c r="C5265" t="s">
        <v>2796</v>
      </c>
      <c r="D5265" t="s">
        <v>441</v>
      </c>
      <c r="F5265">
        <v>0</v>
      </c>
      <c r="H5265" t="s">
        <v>8588</v>
      </c>
      <c r="I5265">
        <v>6</v>
      </c>
      <c r="J5265" t="s">
        <v>445</v>
      </c>
      <c r="M5265">
        <v>7161</v>
      </c>
      <c r="N5265" t="s">
        <v>16217</v>
      </c>
    </row>
    <row r="5266" spans="1:14">
      <c r="A5266">
        <v>22020112</v>
      </c>
      <c r="B5266">
        <v>3022307</v>
      </c>
      <c r="C5266" t="s">
        <v>2797</v>
      </c>
      <c r="D5266" t="s">
        <v>441</v>
      </c>
      <c r="F5266">
        <v>0</v>
      </c>
      <c r="H5266" t="s">
        <v>8588</v>
      </c>
      <c r="I5266">
        <v>365</v>
      </c>
      <c r="J5266" t="s">
        <v>445</v>
      </c>
      <c r="M5266">
        <v>7113</v>
      </c>
      <c r="N5266" t="s">
        <v>16217</v>
      </c>
    </row>
    <row r="5267" spans="1:14">
      <c r="A5267">
        <v>22020502</v>
      </c>
      <c r="B5267">
        <v>3006290</v>
      </c>
      <c r="C5267" t="s">
        <v>10773</v>
      </c>
      <c r="D5267" t="s">
        <v>441</v>
      </c>
      <c r="F5267">
        <v>0</v>
      </c>
      <c r="G5267">
        <v>12.31</v>
      </c>
      <c r="H5267" t="s">
        <v>8584</v>
      </c>
      <c r="I5267">
        <v>6</v>
      </c>
      <c r="J5267" t="s">
        <v>445</v>
      </c>
      <c r="K5267" t="s">
        <v>446</v>
      </c>
      <c r="M5267">
        <v>2641</v>
      </c>
    </row>
    <row r="5268" spans="1:14">
      <c r="A5268">
        <v>22020518</v>
      </c>
      <c r="B5268">
        <v>3013586</v>
      </c>
      <c r="C5268" t="s">
        <v>10773</v>
      </c>
      <c r="D5268" t="s">
        <v>441</v>
      </c>
      <c r="F5268">
        <v>0</v>
      </c>
      <c r="G5268">
        <v>7.35</v>
      </c>
      <c r="H5268" t="s">
        <v>8584</v>
      </c>
      <c r="I5268">
        <v>365</v>
      </c>
      <c r="J5268" t="s">
        <v>445</v>
      </c>
      <c r="M5268">
        <v>2502</v>
      </c>
      <c r="N5268" t="s">
        <v>16217</v>
      </c>
    </row>
    <row r="5269" spans="1:14">
      <c r="A5269">
        <v>22020519</v>
      </c>
      <c r="B5269">
        <v>3007886</v>
      </c>
      <c r="C5269" t="s">
        <v>10774</v>
      </c>
      <c r="D5269" t="s">
        <v>441</v>
      </c>
      <c r="F5269">
        <v>0</v>
      </c>
      <c r="G5269">
        <v>9.86</v>
      </c>
      <c r="H5269" t="s">
        <v>8580</v>
      </c>
      <c r="I5269">
        <v>6</v>
      </c>
      <c r="J5269" t="s">
        <v>445</v>
      </c>
      <c r="K5269" t="s">
        <v>446</v>
      </c>
      <c r="M5269">
        <v>2641</v>
      </c>
    </row>
    <row r="5270" spans="1:14">
      <c r="A5270">
        <v>22020525</v>
      </c>
      <c r="B5270">
        <v>3007887</v>
      </c>
      <c r="C5270" t="s">
        <v>10775</v>
      </c>
      <c r="D5270" t="s">
        <v>441</v>
      </c>
      <c r="F5270">
        <v>0</v>
      </c>
      <c r="G5270">
        <v>10.67</v>
      </c>
      <c r="I5270">
        <v>6</v>
      </c>
      <c r="J5270" t="s">
        <v>445</v>
      </c>
      <c r="K5270" t="s">
        <v>446</v>
      </c>
      <c r="M5270">
        <v>2641</v>
      </c>
    </row>
    <row r="5271" spans="1:14">
      <c r="A5271">
        <v>22020602</v>
      </c>
      <c r="B5271">
        <v>3007888</v>
      </c>
      <c r="C5271" t="s">
        <v>10776</v>
      </c>
      <c r="D5271" t="s">
        <v>441</v>
      </c>
      <c r="F5271">
        <v>0</v>
      </c>
      <c r="G5271">
        <v>12.82</v>
      </c>
      <c r="H5271" t="s">
        <v>8588</v>
      </c>
      <c r="I5271">
        <v>4</v>
      </c>
      <c r="J5271" t="s">
        <v>445</v>
      </c>
      <c r="M5271">
        <v>2511</v>
      </c>
      <c r="N5271" t="s">
        <v>16217</v>
      </c>
    </row>
    <row r="5272" spans="1:14">
      <c r="A5272">
        <v>22020618</v>
      </c>
      <c r="B5272">
        <v>3013584</v>
      </c>
      <c r="C5272" t="s">
        <v>2798</v>
      </c>
      <c r="D5272" t="s">
        <v>441</v>
      </c>
      <c r="F5272">
        <v>0</v>
      </c>
      <c r="G5272">
        <v>7.89</v>
      </c>
      <c r="H5272" t="s">
        <v>8588</v>
      </c>
      <c r="I5272">
        <v>4</v>
      </c>
      <c r="J5272" t="s">
        <v>445</v>
      </c>
      <c r="M5272">
        <v>2510</v>
      </c>
      <c r="N5272" t="s">
        <v>16217</v>
      </c>
    </row>
    <row r="5273" spans="1:14">
      <c r="A5273">
        <v>22020619</v>
      </c>
      <c r="B5273">
        <v>3007889</v>
      </c>
      <c r="C5273" t="s">
        <v>10777</v>
      </c>
      <c r="D5273" t="s">
        <v>441</v>
      </c>
      <c r="F5273">
        <v>0</v>
      </c>
      <c r="G5273">
        <v>11.5</v>
      </c>
      <c r="I5273">
        <v>4</v>
      </c>
      <c r="J5273" t="s">
        <v>445</v>
      </c>
      <c r="K5273" t="s">
        <v>446</v>
      </c>
      <c r="M5273">
        <v>2511</v>
      </c>
    </row>
    <row r="5274" spans="1:14">
      <c r="A5274">
        <v>22020900</v>
      </c>
      <c r="B5274">
        <v>3020292</v>
      </c>
      <c r="C5274" t="s">
        <v>10778</v>
      </c>
      <c r="D5274" t="s">
        <v>441</v>
      </c>
      <c r="F5274">
        <v>0</v>
      </c>
      <c r="G5274">
        <v>0</v>
      </c>
      <c r="H5274" t="s">
        <v>8584</v>
      </c>
      <c r="I5274">
        <v>6</v>
      </c>
      <c r="J5274" t="s">
        <v>445</v>
      </c>
      <c r="M5274">
        <v>6666</v>
      </c>
      <c r="N5274" t="s">
        <v>16217</v>
      </c>
    </row>
    <row r="5275" spans="1:14">
      <c r="A5275">
        <v>22020902</v>
      </c>
      <c r="B5275">
        <v>3020926</v>
      </c>
      <c r="C5275" t="s">
        <v>10779</v>
      </c>
      <c r="D5275" t="s">
        <v>441</v>
      </c>
      <c r="F5275">
        <v>0</v>
      </c>
      <c r="H5275" t="s">
        <v>8584</v>
      </c>
      <c r="I5275">
        <v>4</v>
      </c>
      <c r="J5275" t="s">
        <v>445</v>
      </c>
      <c r="M5275">
        <v>6666</v>
      </c>
      <c r="N5275" t="s">
        <v>16217</v>
      </c>
    </row>
    <row r="5276" spans="1:14">
      <c r="A5276">
        <v>22020907</v>
      </c>
      <c r="B5276">
        <v>3025249</v>
      </c>
      <c r="C5276" t="s">
        <v>14367</v>
      </c>
      <c r="D5276" t="s">
        <v>441</v>
      </c>
      <c r="F5276">
        <v>0</v>
      </c>
      <c r="G5276">
        <v>0</v>
      </c>
      <c r="H5276" t="s">
        <v>8584</v>
      </c>
      <c r="I5276">
        <v>6</v>
      </c>
      <c r="J5276" t="s">
        <v>445</v>
      </c>
      <c r="M5276">
        <v>6666</v>
      </c>
      <c r="N5276" t="s">
        <v>16217</v>
      </c>
    </row>
    <row r="5277" spans="1:14">
      <c r="A5277">
        <v>22020918</v>
      </c>
      <c r="B5277">
        <v>3020293</v>
      </c>
      <c r="C5277" t="s">
        <v>2799</v>
      </c>
      <c r="D5277" t="s">
        <v>441</v>
      </c>
      <c r="F5277">
        <v>0</v>
      </c>
      <c r="H5277" t="s">
        <v>8584</v>
      </c>
      <c r="I5277">
        <v>4</v>
      </c>
      <c r="J5277" t="s">
        <v>445</v>
      </c>
      <c r="M5277">
        <v>6666</v>
      </c>
      <c r="N5277" t="s">
        <v>16217</v>
      </c>
    </row>
    <row r="5278" spans="1:14">
      <c r="A5278">
        <v>22023000</v>
      </c>
      <c r="B5278">
        <v>3016307</v>
      </c>
      <c r="C5278" t="s">
        <v>10780</v>
      </c>
      <c r="D5278" t="s">
        <v>441</v>
      </c>
      <c r="F5278">
        <v>0</v>
      </c>
      <c r="G5278">
        <v>11.3</v>
      </c>
      <c r="H5278" t="s">
        <v>8580</v>
      </c>
      <c r="I5278">
        <v>6</v>
      </c>
      <c r="J5278" t="s">
        <v>445</v>
      </c>
      <c r="M5278">
        <v>2390</v>
      </c>
      <c r="N5278" t="s">
        <v>16217</v>
      </c>
    </row>
    <row r="5279" spans="1:14">
      <c r="A5279">
        <v>22024000</v>
      </c>
      <c r="B5279">
        <v>3038280</v>
      </c>
      <c r="C5279" t="s">
        <v>10781</v>
      </c>
      <c r="D5279" t="s">
        <v>441</v>
      </c>
      <c r="F5279">
        <v>0</v>
      </c>
      <c r="G5279">
        <v>7.3</v>
      </c>
      <c r="H5279" t="s">
        <v>8549</v>
      </c>
      <c r="I5279">
        <v>6</v>
      </c>
      <c r="J5279" t="s">
        <v>445</v>
      </c>
      <c r="M5279">
        <v>2391</v>
      </c>
      <c r="N5279" t="s">
        <v>16217</v>
      </c>
    </row>
    <row r="5280" spans="1:14">
      <c r="A5280">
        <v>22024002</v>
      </c>
      <c r="B5280">
        <v>3040912</v>
      </c>
      <c r="C5280" t="s">
        <v>10782</v>
      </c>
      <c r="D5280" t="s">
        <v>441</v>
      </c>
      <c r="F5280">
        <v>0</v>
      </c>
      <c r="G5280">
        <v>7.7</v>
      </c>
      <c r="H5280" t="s">
        <v>8588</v>
      </c>
      <c r="I5280">
        <v>365</v>
      </c>
      <c r="J5280" t="s">
        <v>445</v>
      </c>
      <c r="M5280">
        <v>7111</v>
      </c>
      <c r="N5280" t="s">
        <v>16217</v>
      </c>
    </row>
    <row r="5281" spans="1:14">
      <c r="A5281">
        <v>22024007</v>
      </c>
      <c r="B5281">
        <v>3039220</v>
      </c>
      <c r="C5281" t="s">
        <v>8540</v>
      </c>
      <c r="D5281" t="s">
        <v>441</v>
      </c>
      <c r="F5281">
        <v>0</v>
      </c>
      <c r="G5281">
        <v>7.35</v>
      </c>
      <c r="H5281" t="s">
        <v>8588</v>
      </c>
      <c r="I5281">
        <v>6</v>
      </c>
      <c r="J5281" t="s">
        <v>445</v>
      </c>
      <c r="M5281">
        <v>3113</v>
      </c>
      <c r="N5281" t="s">
        <v>16217</v>
      </c>
    </row>
    <row r="5282" spans="1:14">
      <c r="A5282">
        <v>22024076</v>
      </c>
      <c r="B5282">
        <v>3039539</v>
      </c>
      <c r="C5282" t="s">
        <v>2800</v>
      </c>
      <c r="D5282" t="s">
        <v>441</v>
      </c>
      <c r="F5282">
        <v>0</v>
      </c>
      <c r="G5282">
        <v>7.48</v>
      </c>
      <c r="H5282" t="s">
        <v>8588</v>
      </c>
      <c r="I5282">
        <v>6</v>
      </c>
      <c r="J5282" t="s">
        <v>445</v>
      </c>
      <c r="M5282">
        <v>7112</v>
      </c>
      <c r="N5282" t="s">
        <v>16217</v>
      </c>
    </row>
    <row r="5283" spans="1:14">
      <c r="A5283">
        <v>22024300</v>
      </c>
      <c r="B5283">
        <v>3043076</v>
      </c>
      <c r="C5283" t="s">
        <v>10783</v>
      </c>
      <c r="D5283" t="s">
        <v>441</v>
      </c>
      <c r="F5283">
        <v>0</v>
      </c>
      <c r="G5283">
        <v>11.3</v>
      </c>
      <c r="H5283" t="s">
        <v>8549</v>
      </c>
      <c r="I5283">
        <v>6</v>
      </c>
      <c r="J5283" t="s">
        <v>445</v>
      </c>
      <c r="M5283">
        <v>2391</v>
      </c>
      <c r="N5283" t="s">
        <v>16217</v>
      </c>
    </row>
    <row r="5284" spans="1:14">
      <c r="A5284">
        <v>22024502</v>
      </c>
      <c r="B5284">
        <v>3039325</v>
      </c>
      <c r="C5284" t="s">
        <v>2801</v>
      </c>
      <c r="D5284" t="s">
        <v>441</v>
      </c>
      <c r="F5284">
        <v>0</v>
      </c>
      <c r="G5284">
        <v>7.35</v>
      </c>
      <c r="H5284" t="s">
        <v>8549</v>
      </c>
      <c r="I5284">
        <v>6</v>
      </c>
      <c r="J5284" t="s">
        <v>445</v>
      </c>
      <c r="M5284">
        <v>2502</v>
      </c>
      <c r="N5284" t="s">
        <v>16217</v>
      </c>
    </row>
    <row r="5285" spans="1:14">
      <c r="A5285">
        <v>22024602</v>
      </c>
      <c r="B5285">
        <v>3041860</v>
      </c>
      <c r="C5285" t="s">
        <v>10784</v>
      </c>
      <c r="D5285" t="s">
        <v>441</v>
      </c>
      <c r="F5285">
        <v>0</v>
      </c>
      <c r="G5285">
        <v>8.2100000000000009</v>
      </c>
      <c r="H5285" t="s">
        <v>8634</v>
      </c>
      <c r="I5285">
        <v>4</v>
      </c>
      <c r="J5285" t="s">
        <v>445</v>
      </c>
      <c r="M5285">
        <v>2510</v>
      </c>
      <c r="N5285" t="s">
        <v>16217</v>
      </c>
    </row>
    <row r="5286" spans="1:14">
      <c r="A5286">
        <v>22024902</v>
      </c>
      <c r="B5286">
        <v>3041861</v>
      </c>
      <c r="C5286" t="s">
        <v>10785</v>
      </c>
      <c r="D5286" t="s">
        <v>441</v>
      </c>
      <c r="F5286">
        <v>0</v>
      </c>
      <c r="G5286">
        <v>1</v>
      </c>
      <c r="H5286" t="s">
        <v>8634</v>
      </c>
      <c r="I5286">
        <v>4</v>
      </c>
      <c r="J5286" t="s">
        <v>445</v>
      </c>
      <c r="M5286">
        <v>6666</v>
      </c>
      <c r="N5286" t="s">
        <v>16217</v>
      </c>
    </row>
    <row r="5287" spans="1:14">
      <c r="A5287">
        <v>22024907</v>
      </c>
      <c r="B5287">
        <v>3039233</v>
      </c>
      <c r="C5287" t="s">
        <v>10786</v>
      </c>
      <c r="D5287" t="s">
        <v>441</v>
      </c>
      <c r="F5287">
        <v>0</v>
      </c>
      <c r="H5287" t="s">
        <v>8622</v>
      </c>
      <c r="I5287">
        <v>6</v>
      </c>
      <c r="J5287" t="s">
        <v>445</v>
      </c>
      <c r="M5287">
        <v>6666</v>
      </c>
      <c r="N5287" t="s">
        <v>16217</v>
      </c>
    </row>
    <row r="5288" spans="1:14">
      <c r="A5288">
        <v>22030000</v>
      </c>
      <c r="B5288">
        <v>3007891</v>
      </c>
      <c r="C5288" t="s">
        <v>10787</v>
      </c>
      <c r="D5288" t="s">
        <v>441</v>
      </c>
      <c r="F5288">
        <v>0</v>
      </c>
      <c r="G5288">
        <v>0</v>
      </c>
      <c r="H5288" t="s">
        <v>8588</v>
      </c>
      <c r="I5288">
        <v>6</v>
      </c>
      <c r="J5288" t="s">
        <v>445</v>
      </c>
      <c r="M5288">
        <v>2391</v>
      </c>
      <c r="N5288" t="s">
        <v>16218</v>
      </c>
    </row>
    <row r="5289" spans="1:14">
      <c r="A5289">
        <v>22030002</v>
      </c>
      <c r="B5289">
        <v>3007892</v>
      </c>
      <c r="C5289" t="s">
        <v>10788</v>
      </c>
      <c r="D5289" t="s">
        <v>441</v>
      </c>
      <c r="F5289">
        <v>0</v>
      </c>
      <c r="G5289">
        <v>10.199999999999999</v>
      </c>
      <c r="H5289" t="s">
        <v>8588</v>
      </c>
      <c r="I5289">
        <v>365</v>
      </c>
      <c r="J5289" t="s">
        <v>445</v>
      </c>
      <c r="K5289" t="s">
        <v>446</v>
      </c>
      <c r="M5289">
        <v>2501</v>
      </c>
    </row>
    <row r="5290" spans="1:14">
      <c r="A5290">
        <v>22030007</v>
      </c>
      <c r="B5290">
        <v>3024990</v>
      </c>
      <c r="C5290" t="s">
        <v>14231</v>
      </c>
      <c r="D5290" t="s">
        <v>441</v>
      </c>
      <c r="F5290">
        <v>0</v>
      </c>
      <c r="G5290">
        <v>12.45</v>
      </c>
      <c r="H5290" t="s">
        <v>8588</v>
      </c>
      <c r="I5290">
        <v>6</v>
      </c>
      <c r="J5290" t="s">
        <v>445</v>
      </c>
      <c r="M5290">
        <v>3113</v>
      </c>
      <c r="N5290" t="s">
        <v>16218</v>
      </c>
    </row>
    <row r="5291" spans="1:14">
      <c r="A5291">
        <v>22030019</v>
      </c>
      <c r="B5291">
        <v>3014470</v>
      </c>
      <c r="C5291" t="s">
        <v>14368</v>
      </c>
      <c r="D5291" t="s">
        <v>441</v>
      </c>
      <c r="F5291">
        <v>0</v>
      </c>
      <c r="G5291">
        <v>12.99</v>
      </c>
      <c r="H5291" t="s">
        <v>8588</v>
      </c>
      <c r="I5291">
        <v>365</v>
      </c>
      <c r="J5291" t="s">
        <v>445</v>
      </c>
      <c r="M5291">
        <v>7111</v>
      </c>
      <c r="N5291" t="s">
        <v>16218</v>
      </c>
    </row>
    <row r="5292" spans="1:14">
      <c r="A5292">
        <v>22030020</v>
      </c>
      <c r="B5292">
        <v>4007989</v>
      </c>
      <c r="C5292" t="s">
        <v>10789</v>
      </c>
      <c r="D5292" t="s">
        <v>441</v>
      </c>
      <c r="F5292">
        <v>0</v>
      </c>
      <c r="G5292">
        <v>10.08</v>
      </c>
      <c r="H5292" t="s">
        <v>8588</v>
      </c>
      <c r="I5292">
        <v>6</v>
      </c>
      <c r="J5292" t="s">
        <v>462</v>
      </c>
      <c r="M5292">
        <v>2641</v>
      </c>
    </row>
    <row r="5293" spans="1:14">
      <c r="A5293">
        <v>22030030</v>
      </c>
      <c r="B5293">
        <v>4009120</v>
      </c>
      <c r="C5293" t="s">
        <v>10790</v>
      </c>
      <c r="D5293" t="s">
        <v>441</v>
      </c>
      <c r="F5293">
        <v>0</v>
      </c>
      <c r="G5293">
        <v>10.65</v>
      </c>
      <c r="H5293" t="s">
        <v>8588</v>
      </c>
      <c r="I5293">
        <v>12</v>
      </c>
      <c r="J5293" t="s">
        <v>462</v>
      </c>
      <c r="K5293" t="s">
        <v>446</v>
      </c>
      <c r="M5293">
        <v>2611</v>
      </c>
    </row>
    <row r="5294" spans="1:14">
      <c r="A5294">
        <v>22030040</v>
      </c>
      <c r="B5294">
        <v>4009106</v>
      </c>
      <c r="C5294" t="s">
        <v>10791</v>
      </c>
      <c r="D5294" t="s">
        <v>441</v>
      </c>
      <c r="F5294">
        <v>0</v>
      </c>
      <c r="G5294">
        <v>9.6199999999999992</v>
      </c>
      <c r="H5294" t="s">
        <v>9295</v>
      </c>
      <c r="I5294">
        <v>11</v>
      </c>
      <c r="J5294" t="s">
        <v>462</v>
      </c>
      <c r="K5294" t="s">
        <v>446</v>
      </c>
      <c r="M5294">
        <v>2612</v>
      </c>
    </row>
    <row r="5295" spans="1:14">
      <c r="A5295">
        <v>22030075</v>
      </c>
      <c r="B5295">
        <v>3002621</v>
      </c>
      <c r="C5295" t="s">
        <v>10792</v>
      </c>
      <c r="D5295" t="s">
        <v>441</v>
      </c>
      <c r="F5295">
        <v>0</v>
      </c>
      <c r="G5295">
        <v>10.74</v>
      </c>
      <c r="H5295" t="s">
        <v>8588</v>
      </c>
      <c r="I5295">
        <v>6</v>
      </c>
      <c r="J5295" t="s">
        <v>445</v>
      </c>
      <c r="K5295" t="s">
        <v>446</v>
      </c>
      <c r="M5295">
        <v>2641</v>
      </c>
    </row>
    <row r="5296" spans="1:14">
      <c r="A5296">
        <v>22030076</v>
      </c>
      <c r="B5296">
        <v>4009759</v>
      </c>
      <c r="C5296" t="s">
        <v>10793</v>
      </c>
      <c r="D5296" t="s">
        <v>441</v>
      </c>
      <c r="F5296">
        <v>0</v>
      </c>
      <c r="G5296">
        <v>12.31</v>
      </c>
      <c r="H5296" t="s">
        <v>8588</v>
      </c>
      <c r="I5296">
        <v>6</v>
      </c>
      <c r="J5296" t="s">
        <v>462</v>
      </c>
      <c r="K5296" t="s">
        <v>446</v>
      </c>
      <c r="M5296">
        <v>2641</v>
      </c>
    </row>
    <row r="5297" spans="1:14">
      <c r="A5297">
        <v>22030077</v>
      </c>
      <c r="B5297">
        <v>3012593</v>
      </c>
      <c r="C5297" t="s">
        <v>10794</v>
      </c>
      <c r="D5297" t="s">
        <v>441</v>
      </c>
      <c r="F5297">
        <v>0</v>
      </c>
      <c r="G5297">
        <v>7.35</v>
      </c>
      <c r="H5297" t="s">
        <v>8588</v>
      </c>
      <c r="I5297">
        <v>6</v>
      </c>
      <c r="J5297" t="s">
        <v>445</v>
      </c>
      <c r="M5297">
        <v>7112</v>
      </c>
      <c r="N5297" t="s">
        <v>16218</v>
      </c>
    </row>
    <row r="5298" spans="1:14">
      <c r="A5298">
        <v>22030100</v>
      </c>
      <c r="B5298">
        <v>3005369</v>
      </c>
      <c r="C5298" t="s">
        <v>10795</v>
      </c>
      <c r="D5298" t="s">
        <v>441</v>
      </c>
      <c r="F5298">
        <v>0</v>
      </c>
      <c r="H5298" t="s">
        <v>8588</v>
      </c>
      <c r="I5298">
        <v>6</v>
      </c>
      <c r="J5298" t="s">
        <v>445</v>
      </c>
      <c r="K5298" t="s">
        <v>446</v>
      </c>
      <c r="M5298">
        <v>7161</v>
      </c>
    </row>
    <row r="5299" spans="1:14">
      <c r="A5299">
        <v>22030102</v>
      </c>
      <c r="B5299">
        <v>3005428</v>
      </c>
      <c r="C5299" t="s">
        <v>10796</v>
      </c>
      <c r="D5299" t="s">
        <v>441</v>
      </c>
      <c r="F5299">
        <v>0</v>
      </c>
      <c r="H5299" t="s">
        <v>8588</v>
      </c>
      <c r="I5299">
        <v>365</v>
      </c>
      <c r="J5299" t="s">
        <v>445</v>
      </c>
      <c r="K5299" t="s">
        <v>446</v>
      </c>
      <c r="M5299">
        <v>7113</v>
      </c>
    </row>
    <row r="5300" spans="1:14">
      <c r="A5300">
        <v>22030110</v>
      </c>
      <c r="B5300">
        <v>3024775</v>
      </c>
      <c r="C5300" t="s">
        <v>10797</v>
      </c>
      <c r="D5300" t="s">
        <v>441</v>
      </c>
      <c r="F5300">
        <v>0</v>
      </c>
      <c r="H5300" t="s">
        <v>8588</v>
      </c>
      <c r="I5300">
        <v>6</v>
      </c>
      <c r="J5300" t="s">
        <v>445</v>
      </c>
      <c r="M5300">
        <v>7161</v>
      </c>
      <c r="N5300" t="s">
        <v>16218</v>
      </c>
    </row>
    <row r="5301" spans="1:14">
      <c r="A5301">
        <v>22030120</v>
      </c>
      <c r="B5301">
        <v>3014320</v>
      </c>
      <c r="C5301" t="s">
        <v>2802</v>
      </c>
      <c r="D5301" t="s">
        <v>441</v>
      </c>
      <c r="F5301">
        <v>0</v>
      </c>
      <c r="H5301" t="s">
        <v>8588</v>
      </c>
      <c r="I5301">
        <v>6</v>
      </c>
      <c r="J5301" t="s">
        <v>445</v>
      </c>
      <c r="M5301">
        <v>7161</v>
      </c>
      <c r="N5301" t="s">
        <v>16219</v>
      </c>
    </row>
    <row r="5302" spans="1:14">
      <c r="A5302">
        <v>22030122</v>
      </c>
      <c r="B5302">
        <v>3022262</v>
      </c>
      <c r="C5302" t="s">
        <v>14369</v>
      </c>
      <c r="D5302" t="s">
        <v>441</v>
      </c>
      <c r="F5302">
        <v>0</v>
      </c>
      <c r="H5302" t="s">
        <v>8588</v>
      </c>
      <c r="I5302">
        <v>365</v>
      </c>
      <c r="J5302" t="s">
        <v>445</v>
      </c>
      <c r="M5302">
        <v>7113</v>
      </c>
      <c r="N5302" t="s">
        <v>16218</v>
      </c>
    </row>
    <row r="5303" spans="1:14">
      <c r="A5303">
        <v>22030130</v>
      </c>
      <c r="B5303">
        <v>3022607</v>
      </c>
      <c r="C5303" t="s">
        <v>14370</v>
      </c>
      <c r="D5303" t="s">
        <v>441</v>
      </c>
      <c r="F5303">
        <v>0</v>
      </c>
      <c r="H5303" t="s">
        <v>8588</v>
      </c>
      <c r="I5303">
        <v>6</v>
      </c>
      <c r="J5303" t="s">
        <v>445</v>
      </c>
      <c r="M5303">
        <v>7161</v>
      </c>
      <c r="N5303" t="s">
        <v>16218</v>
      </c>
    </row>
    <row r="5304" spans="1:14">
      <c r="A5304">
        <v>22030140</v>
      </c>
      <c r="B5304">
        <v>3015230</v>
      </c>
      <c r="C5304" t="s">
        <v>14371</v>
      </c>
      <c r="D5304" t="s">
        <v>441</v>
      </c>
      <c r="F5304">
        <v>0</v>
      </c>
      <c r="H5304" t="s">
        <v>8588</v>
      </c>
      <c r="I5304">
        <v>6</v>
      </c>
      <c r="J5304" t="s">
        <v>445</v>
      </c>
      <c r="M5304">
        <v>7161</v>
      </c>
      <c r="N5304" t="s">
        <v>16218</v>
      </c>
    </row>
    <row r="5305" spans="1:14">
      <c r="A5305">
        <v>22030150</v>
      </c>
      <c r="B5305">
        <v>3034755</v>
      </c>
      <c r="C5305" t="s">
        <v>10798</v>
      </c>
      <c r="D5305" t="s">
        <v>441</v>
      </c>
      <c r="F5305">
        <v>0</v>
      </c>
      <c r="H5305" t="s">
        <v>8549</v>
      </c>
      <c r="I5305">
        <v>12</v>
      </c>
      <c r="J5305" t="s">
        <v>445</v>
      </c>
      <c r="M5305">
        <v>0</v>
      </c>
      <c r="N5305" t="s">
        <v>16218</v>
      </c>
    </row>
    <row r="5306" spans="1:14">
      <c r="A5306">
        <v>22030152</v>
      </c>
      <c r="B5306">
        <v>3022018</v>
      </c>
      <c r="C5306" t="s">
        <v>14372</v>
      </c>
      <c r="D5306" t="s">
        <v>441</v>
      </c>
      <c r="F5306">
        <v>0</v>
      </c>
      <c r="H5306" t="s">
        <v>8588</v>
      </c>
      <c r="I5306">
        <v>365</v>
      </c>
      <c r="J5306" t="s">
        <v>445</v>
      </c>
      <c r="M5306">
        <v>7113</v>
      </c>
      <c r="N5306" t="s">
        <v>16218</v>
      </c>
    </row>
    <row r="5307" spans="1:14">
      <c r="A5307">
        <v>22030160</v>
      </c>
      <c r="B5307">
        <v>3040790</v>
      </c>
      <c r="C5307" t="s">
        <v>10799</v>
      </c>
      <c r="D5307" t="s">
        <v>441</v>
      </c>
      <c r="F5307">
        <v>0</v>
      </c>
      <c r="G5307">
        <v>7.36</v>
      </c>
      <c r="H5307" t="s">
        <v>8588</v>
      </c>
      <c r="I5307">
        <v>6</v>
      </c>
      <c r="J5307" t="s">
        <v>445</v>
      </c>
      <c r="M5307">
        <v>0</v>
      </c>
      <c r="N5307" t="s">
        <v>16218</v>
      </c>
    </row>
    <row r="5308" spans="1:14">
      <c r="A5308">
        <v>22030502</v>
      </c>
      <c r="B5308">
        <v>3006306</v>
      </c>
      <c r="C5308" t="s">
        <v>10800</v>
      </c>
      <c r="D5308" t="s">
        <v>441</v>
      </c>
      <c r="F5308">
        <v>0</v>
      </c>
      <c r="G5308">
        <v>9.84</v>
      </c>
      <c r="H5308" t="s">
        <v>8584</v>
      </c>
      <c r="I5308">
        <v>6</v>
      </c>
      <c r="J5308" t="s">
        <v>445</v>
      </c>
      <c r="M5308">
        <v>2641</v>
      </c>
    </row>
    <row r="5309" spans="1:14">
      <c r="A5309">
        <v>22030519</v>
      </c>
      <c r="B5309">
        <v>3014481</v>
      </c>
      <c r="C5309" t="s">
        <v>14373</v>
      </c>
      <c r="D5309" t="s">
        <v>441</v>
      </c>
      <c r="F5309">
        <v>0</v>
      </c>
      <c r="G5309">
        <v>12.44</v>
      </c>
      <c r="H5309" t="s">
        <v>8580</v>
      </c>
      <c r="I5309">
        <v>6</v>
      </c>
      <c r="J5309" t="s">
        <v>445</v>
      </c>
      <c r="M5309">
        <v>2502</v>
      </c>
      <c r="N5309" t="s">
        <v>16218</v>
      </c>
    </row>
    <row r="5310" spans="1:14">
      <c r="A5310">
        <v>22030602</v>
      </c>
      <c r="B5310">
        <v>3007895</v>
      </c>
      <c r="C5310" t="s">
        <v>10801</v>
      </c>
      <c r="D5310" t="s">
        <v>441</v>
      </c>
      <c r="F5310">
        <v>0</v>
      </c>
      <c r="G5310">
        <v>10.7</v>
      </c>
      <c r="I5310">
        <v>4</v>
      </c>
      <c r="J5310" t="s">
        <v>445</v>
      </c>
      <c r="K5310" t="s">
        <v>446</v>
      </c>
      <c r="M5310">
        <v>2511</v>
      </c>
    </row>
    <row r="5311" spans="1:14">
      <c r="A5311">
        <v>22030619</v>
      </c>
      <c r="B5311">
        <v>3014480</v>
      </c>
      <c r="C5311" t="s">
        <v>14374</v>
      </c>
      <c r="D5311" t="s">
        <v>441</v>
      </c>
      <c r="F5311">
        <v>0</v>
      </c>
      <c r="G5311">
        <v>13.22</v>
      </c>
      <c r="H5311" t="s">
        <v>8588</v>
      </c>
      <c r="I5311">
        <v>4</v>
      </c>
      <c r="J5311" t="s">
        <v>445</v>
      </c>
      <c r="M5311">
        <v>2510</v>
      </c>
      <c r="N5311" t="s">
        <v>16218</v>
      </c>
    </row>
    <row r="5312" spans="1:14">
      <c r="A5312">
        <v>22030702</v>
      </c>
      <c r="B5312">
        <v>3007393</v>
      </c>
      <c r="C5312" t="s">
        <v>10802</v>
      </c>
      <c r="D5312" t="s">
        <v>441</v>
      </c>
      <c r="F5312">
        <v>0</v>
      </c>
      <c r="G5312">
        <v>12.41</v>
      </c>
      <c r="H5312" t="s">
        <v>8549</v>
      </c>
      <c r="I5312">
        <v>5</v>
      </c>
      <c r="J5312" t="s">
        <v>445</v>
      </c>
      <c r="K5312" t="s">
        <v>446</v>
      </c>
      <c r="M5312">
        <v>2511</v>
      </c>
    </row>
    <row r="5313" spans="1:14">
      <c r="A5313">
        <v>22030900</v>
      </c>
      <c r="B5313">
        <v>3020294</v>
      </c>
      <c r="C5313" t="s">
        <v>10803</v>
      </c>
      <c r="D5313" t="s">
        <v>441</v>
      </c>
      <c r="F5313">
        <v>0</v>
      </c>
      <c r="G5313">
        <v>0</v>
      </c>
      <c r="H5313" t="s">
        <v>8584</v>
      </c>
      <c r="I5313">
        <v>6</v>
      </c>
      <c r="J5313" t="s">
        <v>445</v>
      </c>
      <c r="M5313">
        <v>6666</v>
      </c>
      <c r="N5313" t="s">
        <v>16218</v>
      </c>
    </row>
    <row r="5314" spans="1:14">
      <c r="A5314">
        <v>22030907</v>
      </c>
      <c r="B5314">
        <v>3025250</v>
      </c>
      <c r="C5314" t="s">
        <v>14375</v>
      </c>
      <c r="D5314" t="s">
        <v>441</v>
      </c>
      <c r="F5314">
        <v>0</v>
      </c>
      <c r="G5314">
        <v>0</v>
      </c>
      <c r="H5314" t="s">
        <v>8584</v>
      </c>
      <c r="I5314">
        <v>6</v>
      </c>
      <c r="J5314" t="s">
        <v>445</v>
      </c>
      <c r="M5314">
        <v>6666</v>
      </c>
      <c r="N5314" t="s">
        <v>16218</v>
      </c>
    </row>
    <row r="5315" spans="1:14">
      <c r="A5315">
        <v>22030919</v>
      </c>
      <c r="B5315">
        <v>3020295</v>
      </c>
      <c r="C5315" t="s">
        <v>14376</v>
      </c>
      <c r="D5315" t="s">
        <v>441</v>
      </c>
      <c r="F5315">
        <v>0</v>
      </c>
      <c r="H5315" t="s">
        <v>8580</v>
      </c>
      <c r="I5315">
        <v>4</v>
      </c>
      <c r="J5315" t="s">
        <v>445</v>
      </c>
      <c r="M5315">
        <v>6666</v>
      </c>
      <c r="N5315" t="s">
        <v>16218</v>
      </c>
    </row>
    <row r="5316" spans="1:14">
      <c r="A5316">
        <v>22032000</v>
      </c>
      <c r="B5316">
        <v>3015993</v>
      </c>
      <c r="C5316" t="s">
        <v>10804</v>
      </c>
      <c r="D5316" t="s">
        <v>441</v>
      </c>
      <c r="F5316">
        <v>0</v>
      </c>
      <c r="G5316">
        <v>0</v>
      </c>
      <c r="I5316">
        <v>6</v>
      </c>
      <c r="J5316" t="s">
        <v>445</v>
      </c>
      <c r="M5316">
        <v>2391</v>
      </c>
      <c r="N5316" t="s">
        <v>16218</v>
      </c>
    </row>
    <row r="5317" spans="1:14">
      <c r="A5317">
        <v>22033000</v>
      </c>
      <c r="B5317">
        <v>3007896</v>
      </c>
      <c r="C5317" t="s">
        <v>10805</v>
      </c>
      <c r="D5317" t="s">
        <v>441</v>
      </c>
      <c r="F5317">
        <v>0</v>
      </c>
      <c r="G5317">
        <v>9.5</v>
      </c>
      <c r="I5317">
        <v>6</v>
      </c>
      <c r="J5317" t="s">
        <v>445</v>
      </c>
      <c r="K5317" t="s">
        <v>446</v>
      </c>
      <c r="M5317">
        <v>2390</v>
      </c>
    </row>
    <row r="5318" spans="1:14">
      <c r="A5318">
        <v>22034000</v>
      </c>
      <c r="B5318">
        <v>3039043</v>
      </c>
      <c r="C5318" t="s">
        <v>10806</v>
      </c>
      <c r="D5318" t="s">
        <v>441</v>
      </c>
      <c r="F5318">
        <v>0</v>
      </c>
      <c r="G5318">
        <v>7.3</v>
      </c>
      <c r="H5318" t="s">
        <v>8549</v>
      </c>
      <c r="I5318">
        <v>6</v>
      </c>
      <c r="J5318" t="s">
        <v>445</v>
      </c>
      <c r="M5318">
        <v>2391</v>
      </c>
      <c r="N5318" t="s">
        <v>16218</v>
      </c>
    </row>
    <row r="5319" spans="1:14">
      <c r="A5319">
        <v>22034002</v>
      </c>
      <c r="B5319">
        <v>3040898</v>
      </c>
      <c r="C5319" t="s">
        <v>14377</v>
      </c>
      <c r="D5319" t="s">
        <v>441</v>
      </c>
      <c r="F5319">
        <v>0</v>
      </c>
      <c r="G5319">
        <v>12.84</v>
      </c>
      <c r="H5319" t="s">
        <v>8588</v>
      </c>
      <c r="I5319">
        <v>365</v>
      </c>
      <c r="J5319" t="s">
        <v>445</v>
      </c>
      <c r="M5319">
        <v>7111</v>
      </c>
      <c r="N5319" t="s">
        <v>16218</v>
      </c>
    </row>
    <row r="5320" spans="1:14">
      <c r="A5320">
        <v>22034007</v>
      </c>
      <c r="B5320">
        <v>3039552</v>
      </c>
      <c r="C5320" t="s">
        <v>8537</v>
      </c>
      <c r="D5320" t="s">
        <v>441</v>
      </c>
      <c r="F5320">
        <v>0</v>
      </c>
      <c r="G5320">
        <v>7.35</v>
      </c>
      <c r="H5320" t="s">
        <v>8588</v>
      </c>
      <c r="I5320">
        <v>6</v>
      </c>
      <c r="J5320" t="s">
        <v>445</v>
      </c>
      <c r="M5320">
        <v>3113</v>
      </c>
      <c r="N5320" t="s">
        <v>16218</v>
      </c>
    </row>
    <row r="5321" spans="1:14">
      <c r="A5321">
        <v>22034077</v>
      </c>
      <c r="B5321">
        <v>3039535</v>
      </c>
      <c r="C5321" t="s">
        <v>2803</v>
      </c>
      <c r="D5321" t="s">
        <v>441</v>
      </c>
      <c r="F5321">
        <v>0</v>
      </c>
      <c r="G5321">
        <v>7.35</v>
      </c>
      <c r="H5321" t="s">
        <v>8588</v>
      </c>
      <c r="I5321">
        <v>6</v>
      </c>
      <c r="J5321" t="s">
        <v>445</v>
      </c>
      <c r="M5321">
        <v>7112</v>
      </c>
      <c r="N5321" t="s">
        <v>16218</v>
      </c>
    </row>
    <row r="5322" spans="1:14">
      <c r="A5322">
        <v>22034502</v>
      </c>
      <c r="B5322">
        <v>3039328</v>
      </c>
      <c r="C5322" t="s">
        <v>14378</v>
      </c>
      <c r="D5322" t="s">
        <v>441</v>
      </c>
      <c r="F5322">
        <v>0</v>
      </c>
      <c r="G5322">
        <v>12.48</v>
      </c>
      <c r="H5322" t="s">
        <v>8580</v>
      </c>
      <c r="I5322">
        <v>6</v>
      </c>
      <c r="J5322" t="s">
        <v>445</v>
      </c>
      <c r="M5322">
        <v>2502</v>
      </c>
      <c r="N5322" t="s">
        <v>16218</v>
      </c>
    </row>
    <row r="5323" spans="1:14">
      <c r="A5323">
        <v>22034602</v>
      </c>
      <c r="B5323">
        <v>3039273</v>
      </c>
      <c r="C5323" t="s">
        <v>14379</v>
      </c>
      <c r="D5323" t="s">
        <v>441</v>
      </c>
      <c r="F5323">
        <v>0</v>
      </c>
      <c r="G5323">
        <v>13.47</v>
      </c>
      <c r="H5323" t="s">
        <v>8588</v>
      </c>
      <c r="I5323">
        <v>5</v>
      </c>
      <c r="J5323" t="s">
        <v>445</v>
      </c>
      <c r="M5323">
        <v>2510</v>
      </c>
      <c r="N5323" t="s">
        <v>16218</v>
      </c>
    </row>
    <row r="5324" spans="1:14">
      <c r="A5324">
        <v>22034902</v>
      </c>
      <c r="B5324">
        <v>3039255</v>
      </c>
      <c r="C5324" t="s">
        <v>14380</v>
      </c>
      <c r="D5324" t="s">
        <v>441</v>
      </c>
      <c r="F5324">
        <v>0</v>
      </c>
      <c r="G5324">
        <v>7.74</v>
      </c>
      <c r="H5324" t="s">
        <v>8584</v>
      </c>
      <c r="I5324">
        <v>5</v>
      </c>
      <c r="J5324" t="s">
        <v>445</v>
      </c>
      <c r="M5324">
        <v>6666</v>
      </c>
      <c r="N5324" t="s">
        <v>16218</v>
      </c>
    </row>
    <row r="5325" spans="1:14">
      <c r="A5325">
        <v>22034907</v>
      </c>
      <c r="B5325">
        <v>3040180</v>
      </c>
      <c r="C5325" t="s">
        <v>10807</v>
      </c>
      <c r="D5325" t="s">
        <v>441</v>
      </c>
      <c r="F5325">
        <v>0</v>
      </c>
      <c r="G5325">
        <v>9.11</v>
      </c>
      <c r="H5325" t="s">
        <v>8588</v>
      </c>
      <c r="I5325">
        <v>6</v>
      </c>
      <c r="J5325" t="s">
        <v>445</v>
      </c>
      <c r="M5325">
        <v>6666</v>
      </c>
      <c r="N5325" t="s">
        <v>16218</v>
      </c>
    </row>
    <row r="5326" spans="1:14">
      <c r="A5326">
        <v>22039000</v>
      </c>
      <c r="B5326">
        <v>3019058</v>
      </c>
      <c r="C5326" t="s">
        <v>2804</v>
      </c>
      <c r="D5326" t="s">
        <v>441</v>
      </c>
      <c r="F5326">
        <v>0</v>
      </c>
      <c r="G5326">
        <v>7.25</v>
      </c>
      <c r="H5326" t="s">
        <v>8588</v>
      </c>
      <c r="I5326">
        <v>2</v>
      </c>
      <c r="J5326" t="s">
        <v>445</v>
      </c>
      <c r="M5326">
        <v>3111</v>
      </c>
      <c r="N5326" t="s">
        <v>16219</v>
      </c>
    </row>
    <row r="5327" spans="1:14">
      <c r="A5327">
        <v>22039900</v>
      </c>
      <c r="B5327">
        <v>3020296</v>
      </c>
      <c r="C5327" t="s">
        <v>2805</v>
      </c>
      <c r="D5327" t="s">
        <v>441</v>
      </c>
      <c r="F5327">
        <v>0</v>
      </c>
      <c r="H5327" t="s">
        <v>8580</v>
      </c>
      <c r="I5327">
        <v>2</v>
      </c>
      <c r="J5327" t="s">
        <v>445</v>
      </c>
      <c r="M5327">
        <v>6666</v>
      </c>
      <c r="N5327" t="s">
        <v>16219</v>
      </c>
    </row>
    <row r="5328" spans="1:14">
      <c r="A5328">
        <v>22040000</v>
      </c>
      <c r="B5328">
        <v>3016005</v>
      </c>
      <c r="C5328" t="s">
        <v>10808</v>
      </c>
      <c r="D5328" t="s">
        <v>441</v>
      </c>
      <c r="F5328">
        <v>0</v>
      </c>
      <c r="G5328">
        <v>0</v>
      </c>
      <c r="H5328" t="s">
        <v>8549</v>
      </c>
      <c r="I5328">
        <v>6</v>
      </c>
      <c r="J5328" t="s">
        <v>445</v>
      </c>
      <c r="M5328">
        <v>2391</v>
      </c>
      <c r="N5328" t="s">
        <v>16220</v>
      </c>
    </row>
    <row r="5329" spans="1:14">
      <c r="A5329">
        <v>22040002</v>
      </c>
      <c r="B5329">
        <v>3007897</v>
      </c>
      <c r="C5329" t="s">
        <v>10809</v>
      </c>
      <c r="D5329" t="s">
        <v>441</v>
      </c>
      <c r="F5329">
        <v>0</v>
      </c>
      <c r="G5329">
        <v>8.8000000000000007</v>
      </c>
      <c r="H5329" t="s">
        <v>8549</v>
      </c>
      <c r="I5329">
        <v>365</v>
      </c>
      <c r="J5329" t="s">
        <v>445</v>
      </c>
      <c r="K5329" t="s">
        <v>446</v>
      </c>
      <c r="M5329">
        <v>2501</v>
      </c>
    </row>
    <row r="5330" spans="1:14">
      <c r="A5330">
        <v>22040017</v>
      </c>
      <c r="B5330">
        <v>3030222</v>
      </c>
      <c r="C5330" t="s">
        <v>10810</v>
      </c>
      <c r="D5330" t="s">
        <v>441</v>
      </c>
      <c r="F5330">
        <v>0</v>
      </c>
      <c r="G5330">
        <v>7.14</v>
      </c>
      <c r="H5330" t="s">
        <v>8588</v>
      </c>
      <c r="I5330">
        <v>365</v>
      </c>
      <c r="J5330" t="s">
        <v>445</v>
      </c>
      <c r="M5330">
        <v>7111</v>
      </c>
      <c r="N5330" t="s">
        <v>16220</v>
      </c>
    </row>
    <row r="5331" spans="1:14">
      <c r="A5331">
        <v>22040018</v>
      </c>
      <c r="B5331">
        <v>3012600</v>
      </c>
      <c r="C5331" t="s">
        <v>10811</v>
      </c>
      <c r="D5331" t="s">
        <v>441</v>
      </c>
      <c r="F5331">
        <v>0</v>
      </c>
      <c r="G5331">
        <v>7.15</v>
      </c>
      <c r="H5331" t="s">
        <v>8549</v>
      </c>
      <c r="I5331">
        <v>365</v>
      </c>
      <c r="J5331" t="s">
        <v>445</v>
      </c>
      <c r="M5331">
        <v>7111</v>
      </c>
      <c r="N5331" t="s">
        <v>16220</v>
      </c>
    </row>
    <row r="5332" spans="1:14">
      <c r="A5332">
        <v>22040019</v>
      </c>
      <c r="B5332">
        <v>3008756</v>
      </c>
      <c r="C5332" t="s">
        <v>10812</v>
      </c>
      <c r="D5332" t="s">
        <v>441</v>
      </c>
      <c r="F5332">
        <v>0</v>
      </c>
      <c r="G5332">
        <v>8.9600000000000009</v>
      </c>
      <c r="H5332" t="s">
        <v>8588</v>
      </c>
      <c r="I5332">
        <v>365</v>
      </c>
      <c r="J5332" t="s">
        <v>445</v>
      </c>
      <c r="K5332" t="s">
        <v>446</v>
      </c>
      <c r="M5332">
        <v>2501</v>
      </c>
    </row>
    <row r="5333" spans="1:14">
      <c r="A5333">
        <v>22040020</v>
      </c>
      <c r="B5333">
        <v>4003966</v>
      </c>
      <c r="C5333" t="s">
        <v>17441</v>
      </c>
      <c r="D5333" t="s">
        <v>441</v>
      </c>
      <c r="F5333">
        <v>0</v>
      </c>
      <c r="G5333">
        <v>8.85</v>
      </c>
      <c r="H5333" t="s">
        <v>8588</v>
      </c>
      <c r="I5333">
        <v>6</v>
      </c>
      <c r="J5333" t="s">
        <v>462</v>
      </c>
      <c r="L5333">
        <v>2082337</v>
      </c>
      <c r="M5333">
        <v>2641</v>
      </c>
      <c r="N5333" t="s">
        <v>16220</v>
      </c>
    </row>
    <row r="5334" spans="1:14">
      <c r="A5334">
        <v>22040041</v>
      </c>
      <c r="B5334">
        <v>4012710</v>
      </c>
      <c r="C5334" t="s">
        <v>10813</v>
      </c>
      <c r="D5334" t="s">
        <v>441</v>
      </c>
      <c r="F5334">
        <v>0</v>
      </c>
      <c r="G5334">
        <v>7.57</v>
      </c>
      <c r="H5334" t="s">
        <v>8588</v>
      </c>
      <c r="I5334">
        <v>10</v>
      </c>
      <c r="J5334" t="s">
        <v>462</v>
      </c>
      <c r="K5334" t="s">
        <v>446</v>
      </c>
      <c r="M5334">
        <v>2612</v>
      </c>
    </row>
    <row r="5335" spans="1:14">
      <c r="A5335">
        <v>22040042</v>
      </c>
      <c r="B5335">
        <v>4015399</v>
      </c>
      <c r="C5335" t="s">
        <v>10814</v>
      </c>
      <c r="D5335" t="s">
        <v>441</v>
      </c>
      <c r="F5335">
        <v>0</v>
      </c>
      <c r="G5335">
        <v>7.3</v>
      </c>
      <c r="H5335" t="s">
        <v>8588</v>
      </c>
      <c r="I5335">
        <v>11</v>
      </c>
      <c r="J5335" t="s">
        <v>462</v>
      </c>
      <c r="M5335">
        <v>7112</v>
      </c>
      <c r="N5335" t="s">
        <v>16220</v>
      </c>
    </row>
    <row r="5336" spans="1:14">
      <c r="A5336">
        <v>22040043</v>
      </c>
      <c r="B5336">
        <v>4023507</v>
      </c>
      <c r="C5336" t="s">
        <v>10815</v>
      </c>
      <c r="D5336" t="s">
        <v>441</v>
      </c>
      <c r="F5336">
        <v>0</v>
      </c>
      <c r="G5336">
        <v>7.27</v>
      </c>
      <c r="H5336" t="s">
        <v>8588</v>
      </c>
      <c r="I5336">
        <v>11</v>
      </c>
      <c r="J5336" t="s">
        <v>462</v>
      </c>
      <c r="M5336">
        <v>7112</v>
      </c>
      <c r="N5336" t="s">
        <v>16220</v>
      </c>
    </row>
    <row r="5337" spans="1:14">
      <c r="A5337">
        <v>22040075</v>
      </c>
      <c r="B5337">
        <v>3007898</v>
      </c>
      <c r="C5337" t="s">
        <v>10816</v>
      </c>
      <c r="D5337" t="s">
        <v>441</v>
      </c>
      <c r="F5337">
        <v>0</v>
      </c>
      <c r="G5337">
        <v>8.52</v>
      </c>
      <c r="H5337" t="s">
        <v>8588</v>
      </c>
      <c r="I5337">
        <v>6</v>
      </c>
      <c r="J5337" t="s">
        <v>445</v>
      </c>
      <c r="K5337" t="s">
        <v>446</v>
      </c>
      <c r="M5337">
        <v>2641</v>
      </c>
    </row>
    <row r="5338" spans="1:14">
      <c r="A5338">
        <v>22040076</v>
      </c>
      <c r="B5338">
        <v>3012601</v>
      </c>
      <c r="C5338" t="s">
        <v>10817</v>
      </c>
      <c r="D5338" t="s">
        <v>441</v>
      </c>
      <c r="F5338">
        <v>0</v>
      </c>
      <c r="G5338">
        <v>6.8</v>
      </c>
      <c r="H5338" t="s">
        <v>8588</v>
      </c>
      <c r="I5338">
        <v>6</v>
      </c>
      <c r="J5338" t="s">
        <v>445</v>
      </c>
      <c r="L5338">
        <v>2092028</v>
      </c>
      <c r="M5338">
        <v>7112</v>
      </c>
      <c r="N5338" t="s">
        <v>16220</v>
      </c>
    </row>
    <row r="5339" spans="1:14">
      <c r="A5339">
        <v>22040080</v>
      </c>
      <c r="B5339">
        <v>3027469</v>
      </c>
      <c r="C5339" t="s">
        <v>10818</v>
      </c>
      <c r="D5339" t="s">
        <v>441</v>
      </c>
      <c r="F5339">
        <v>0</v>
      </c>
      <c r="G5339">
        <v>8.74</v>
      </c>
      <c r="H5339" t="s">
        <v>8588</v>
      </c>
      <c r="I5339">
        <v>6</v>
      </c>
      <c r="J5339" t="s">
        <v>445</v>
      </c>
      <c r="K5339" t="s">
        <v>446</v>
      </c>
      <c r="M5339">
        <v>2641</v>
      </c>
    </row>
    <row r="5340" spans="1:14">
      <c r="A5340">
        <v>22040081</v>
      </c>
      <c r="B5340">
        <v>4023773</v>
      </c>
      <c r="C5340" t="s">
        <v>10819</v>
      </c>
      <c r="D5340" t="s">
        <v>441</v>
      </c>
      <c r="F5340">
        <v>0</v>
      </c>
      <c r="G5340">
        <v>6.84</v>
      </c>
      <c r="H5340" t="s">
        <v>8588</v>
      </c>
      <c r="I5340">
        <v>6</v>
      </c>
      <c r="J5340" t="s">
        <v>462</v>
      </c>
      <c r="M5340">
        <v>7112</v>
      </c>
      <c r="N5340" t="s">
        <v>16220</v>
      </c>
    </row>
    <row r="5341" spans="1:14">
      <c r="A5341">
        <v>22040087</v>
      </c>
      <c r="B5341">
        <v>3012326</v>
      </c>
      <c r="C5341" t="s">
        <v>10820</v>
      </c>
      <c r="D5341" t="s">
        <v>441</v>
      </c>
      <c r="F5341">
        <v>0</v>
      </c>
      <c r="G5341">
        <v>6.8</v>
      </c>
      <c r="H5341" t="s">
        <v>8588</v>
      </c>
      <c r="I5341">
        <v>6</v>
      </c>
      <c r="J5341" t="s">
        <v>445</v>
      </c>
      <c r="M5341">
        <v>7112</v>
      </c>
      <c r="N5341" t="s">
        <v>16220</v>
      </c>
    </row>
    <row r="5342" spans="1:14">
      <c r="A5342">
        <v>22040100</v>
      </c>
      <c r="B5342">
        <v>3007899</v>
      </c>
      <c r="C5342" t="s">
        <v>10821</v>
      </c>
      <c r="D5342" t="s">
        <v>441</v>
      </c>
      <c r="F5342">
        <v>0</v>
      </c>
      <c r="I5342">
        <v>9</v>
      </c>
      <c r="J5342" t="s">
        <v>445</v>
      </c>
      <c r="M5342">
        <v>7161</v>
      </c>
      <c r="N5342" t="s">
        <v>16220</v>
      </c>
    </row>
    <row r="5343" spans="1:14">
      <c r="A5343">
        <v>22040102</v>
      </c>
      <c r="B5343">
        <v>3032825</v>
      </c>
      <c r="C5343" t="s">
        <v>2806</v>
      </c>
      <c r="D5343" t="s">
        <v>441</v>
      </c>
      <c r="F5343">
        <v>0</v>
      </c>
      <c r="H5343" t="s">
        <v>8549</v>
      </c>
      <c r="I5343">
        <v>365</v>
      </c>
      <c r="J5343" t="s">
        <v>445</v>
      </c>
      <c r="M5343">
        <v>7113</v>
      </c>
      <c r="N5343" t="s">
        <v>16220</v>
      </c>
    </row>
    <row r="5344" spans="1:14">
      <c r="A5344">
        <v>22040110</v>
      </c>
      <c r="B5344">
        <v>3012665</v>
      </c>
      <c r="C5344" t="s">
        <v>10822</v>
      </c>
      <c r="D5344" t="s">
        <v>441</v>
      </c>
      <c r="F5344">
        <v>0</v>
      </c>
      <c r="H5344" t="s">
        <v>8588</v>
      </c>
      <c r="I5344">
        <v>6</v>
      </c>
      <c r="J5344" t="s">
        <v>445</v>
      </c>
      <c r="M5344">
        <v>7161</v>
      </c>
      <c r="N5344" t="s">
        <v>16220</v>
      </c>
    </row>
    <row r="5345" spans="1:14">
      <c r="A5345">
        <v>22040112</v>
      </c>
      <c r="B5345">
        <v>3033242</v>
      </c>
      <c r="C5345" t="s">
        <v>10823</v>
      </c>
      <c r="D5345" t="s">
        <v>441</v>
      </c>
      <c r="F5345">
        <v>0</v>
      </c>
      <c r="H5345" t="s">
        <v>8588</v>
      </c>
      <c r="I5345">
        <v>365</v>
      </c>
      <c r="J5345" t="s">
        <v>445</v>
      </c>
      <c r="K5345" t="s">
        <v>446</v>
      </c>
      <c r="M5345">
        <v>0</v>
      </c>
      <c r="N5345" t="s">
        <v>16220</v>
      </c>
    </row>
    <row r="5346" spans="1:14">
      <c r="A5346">
        <v>22040120</v>
      </c>
      <c r="B5346">
        <v>3012638</v>
      </c>
      <c r="C5346" t="s">
        <v>2807</v>
      </c>
      <c r="D5346" t="s">
        <v>441</v>
      </c>
      <c r="F5346">
        <v>0</v>
      </c>
      <c r="H5346" t="s">
        <v>8588</v>
      </c>
      <c r="I5346">
        <v>6</v>
      </c>
      <c r="J5346" t="s">
        <v>445</v>
      </c>
      <c r="M5346">
        <v>7161</v>
      </c>
      <c r="N5346" t="s">
        <v>16220</v>
      </c>
    </row>
    <row r="5347" spans="1:14">
      <c r="A5347">
        <v>22040122</v>
      </c>
      <c r="B5347">
        <v>3033977</v>
      </c>
      <c r="C5347" t="s">
        <v>2808</v>
      </c>
      <c r="D5347" t="s">
        <v>441</v>
      </c>
      <c r="F5347">
        <v>0</v>
      </c>
      <c r="H5347" t="s">
        <v>8549</v>
      </c>
      <c r="I5347">
        <v>365</v>
      </c>
      <c r="J5347" t="s">
        <v>445</v>
      </c>
      <c r="M5347">
        <v>7113</v>
      </c>
      <c r="N5347" t="s">
        <v>16220</v>
      </c>
    </row>
    <row r="5348" spans="1:14">
      <c r="A5348">
        <v>22040130</v>
      </c>
      <c r="B5348">
        <v>3012633</v>
      </c>
      <c r="C5348" t="s">
        <v>2809</v>
      </c>
      <c r="D5348" t="s">
        <v>441</v>
      </c>
      <c r="F5348">
        <v>0</v>
      </c>
      <c r="H5348" t="s">
        <v>8588</v>
      </c>
      <c r="I5348">
        <v>6</v>
      </c>
      <c r="J5348" t="s">
        <v>445</v>
      </c>
      <c r="M5348">
        <v>7161</v>
      </c>
      <c r="N5348" t="s">
        <v>16220</v>
      </c>
    </row>
    <row r="5349" spans="1:14">
      <c r="A5349">
        <v>22040132</v>
      </c>
      <c r="B5349">
        <v>3033603</v>
      </c>
      <c r="C5349" t="s">
        <v>10824</v>
      </c>
      <c r="D5349" t="s">
        <v>441</v>
      </c>
      <c r="F5349">
        <v>0</v>
      </c>
      <c r="H5349" t="s">
        <v>8588</v>
      </c>
      <c r="I5349">
        <v>729</v>
      </c>
      <c r="J5349" t="s">
        <v>445</v>
      </c>
      <c r="M5349">
        <v>7113</v>
      </c>
      <c r="N5349" t="s">
        <v>16220</v>
      </c>
    </row>
    <row r="5350" spans="1:14">
      <c r="A5350">
        <v>22040140</v>
      </c>
      <c r="B5350">
        <v>3022949</v>
      </c>
      <c r="C5350" t="s">
        <v>10825</v>
      </c>
      <c r="D5350" t="s">
        <v>441</v>
      </c>
      <c r="F5350">
        <v>0</v>
      </c>
      <c r="H5350" t="s">
        <v>8588</v>
      </c>
      <c r="I5350">
        <v>6</v>
      </c>
      <c r="J5350" t="s">
        <v>445</v>
      </c>
      <c r="M5350">
        <v>7161</v>
      </c>
      <c r="N5350" t="s">
        <v>16220</v>
      </c>
    </row>
    <row r="5351" spans="1:14">
      <c r="A5351">
        <v>22040142</v>
      </c>
      <c r="B5351">
        <v>3023565</v>
      </c>
      <c r="C5351" t="s">
        <v>2810</v>
      </c>
      <c r="D5351" t="s">
        <v>441</v>
      </c>
      <c r="F5351">
        <v>0</v>
      </c>
      <c r="G5351">
        <v>7.69</v>
      </c>
      <c r="H5351" t="s">
        <v>8588</v>
      </c>
      <c r="I5351">
        <v>365</v>
      </c>
      <c r="J5351" t="s">
        <v>445</v>
      </c>
      <c r="M5351">
        <v>7113</v>
      </c>
      <c r="N5351" t="s">
        <v>16220</v>
      </c>
    </row>
    <row r="5352" spans="1:14">
      <c r="A5352">
        <v>22040150</v>
      </c>
      <c r="B5352">
        <v>3029777</v>
      </c>
      <c r="C5352" t="s">
        <v>2811</v>
      </c>
      <c r="D5352" t="s">
        <v>441</v>
      </c>
      <c r="F5352">
        <v>0</v>
      </c>
      <c r="H5352" t="s">
        <v>10826</v>
      </c>
      <c r="I5352">
        <v>365</v>
      </c>
      <c r="J5352" t="s">
        <v>445</v>
      </c>
      <c r="M5352">
        <v>0</v>
      </c>
    </row>
    <row r="5353" spans="1:14">
      <c r="A5353">
        <v>22040152</v>
      </c>
      <c r="B5353">
        <v>3022849</v>
      </c>
      <c r="C5353" t="s">
        <v>398</v>
      </c>
      <c r="D5353" t="s">
        <v>441</v>
      </c>
      <c r="F5353">
        <v>0</v>
      </c>
      <c r="G5353">
        <v>8.51</v>
      </c>
      <c r="H5353" t="s">
        <v>8549</v>
      </c>
      <c r="I5353">
        <v>365</v>
      </c>
      <c r="J5353" t="s">
        <v>445</v>
      </c>
      <c r="M5353">
        <v>0</v>
      </c>
      <c r="N5353" t="s">
        <v>16220</v>
      </c>
    </row>
    <row r="5354" spans="1:14">
      <c r="A5354">
        <v>22040160</v>
      </c>
      <c r="B5354">
        <v>3036056</v>
      </c>
      <c r="C5354" t="s">
        <v>10827</v>
      </c>
      <c r="D5354" t="s">
        <v>441</v>
      </c>
      <c r="F5354">
        <v>0</v>
      </c>
      <c r="H5354" t="s">
        <v>8588</v>
      </c>
      <c r="I5354">
        <v>6</v>
      </c>
      <c r="J5354" t="s">
        <v>445</v>
      </c>
      <c r="M5354">
        <v>7161</v>
      </c>
      <c r="N5354" t="s">
        <v>16220</v>
      </c>
    </row>
    <row r="5355" spans="1:14">
      <c r="A5355">
        <v>22040162</v>
      </c>
      <c r="B5355">
        <v>3036068</v>
      </c>
      <c r="C5355" t="s">
        <v>10828</v>
      </c>
      <c r="D5355" t="s">
        <v>441</v>
      </c>
      <c r="F5355">
        <v>0</v>
      </c>
      <c r="G5355">
        <v>11.59</v>
      </c>
      <c r="H5355" t="s">
        <v>8588</v>
      </c>
      <c r="I5355">
        <v>729</v>
      </c>
      <c r="J5355" t="s">
        <v>445</v>
      </c>
      <c r="M5355">
        <v>0</v>
      </c>
      <c r="N5355" t="s">
        <v>16220</v>
      </c>
    </row>
    <row r="5356" spans="1:14">
      <c r="A5356">
        <v>22040170</v>
      </c>
      <c r="B5356">
        <v>3024487</v>
      </c>
      <c r="C5356" t="s">
        <v>10829</v>
      </c>
      <c r="D5356" t="s">
        <v>441</v>
      </c>
      <c r="F5356">
        <v>0</v>
      </c>
      <c r="H5356" t="s">
        <v>8549</v>
      </c>
      <c r="I5356">
        <v>12</v>
      </c>
      <c r="J5356" t="s">
        <v>445</v>
      </c>
      <c r="M5356">
        <v>0</v>
      </c>
      <c r="N5356" t="s">
        <v>16220</v>
      </c>
    </row>
    <row r="5357" spans="1:14">
      <c r="A5357">
        <v>22040172</v>
      </c>
      <c r="B5357">
        <v>3043635</v>
      </c>
      <c r="C5357" t="s">
        <v>17330</v>
      </c>
      <c r="D5357" t="s">
        <v>441</v>
      </c>
      <c r="F5357">
        <v>0</v>
      </c>
      <c r="H5357" t="s">
        <v>8549</v>
      </c>
      <c r="I5357">
        <v>365</v>
      </c>
      <c r="J5357" t="s">
        <v>445</v>
      </c>
      <c r="M5357">
        <v>0</v>
      </c>
      <c r="N5357" t="s">
        <v>16220</v>
      </c>
    </row>
    <row r="5358" spans="1:14">
      <c r="A5358">
        <v>22040180</v>
      </c>
      <c r="B5358">
        <v>3031665</v>
      </c>
      <c r="C5358" t="s">
        <v>10830</v>
      </c>
      <c r="D5358" t="s">
        <v>441</v>
      </c>
      <c r="F5358">
        <v>0</v>
      </c>
      <c r="H5358" t="s">
        <v>8588</v>
      </c>
      <c r="I5358">
        <v>6</v>
      </c>
      <c r="J5358" t="s">
        <v>445</v>
      </c>
      <c r="K5358" t="s">
        <v>446</v>
      </c>
      <c r="M5358">
        <v>0</v>
      </c>
      <c r="N5358" t="s">
        <v>16220</v>
      </c>
    </row>
    <row r="5359" spans="1:14">
      <c r="A5359">
        <v>22040190</v>
      </c>
      <c r="B5359">
        <v>3031694</v>
      </c>
      <c r="C5359" t="s">
        <v>10831</v>
      </c>
      <c r="D5359" t="s">
        <v>441</v>
      </c>
      <c r="F5359">
        <v>0</v>
      </c>
      <c r="H5359" t="s">
        <v>8588</v>
      </c>
      <c r="I5359">
        <v>6</v>
      </c>
      <c r="J5359" t="s">
        <v>445</v>
      </c>
      <c r="M5359">
        <v>7161</v>
      </c>
      <c r="N5359" t="s">
        <v>16220</v>
      </c>
    </row>
    <row r="5360" spans="1:14">
      <c r="A5360">
        <v>22040200</v>
      </c>
      <c r="B5360">
        <v>3014769</v>
      </c>
      <c r="C5360" t="s">
        <v>2812</v>
      </c>
      <c r="D5360" t="s">
        <v>441</v>
      </c>
      <c r="F5360">
        <v>0</v>
      </c>
      <c r="G5360">
        <v>8.66</v>
      </c>
      <c r="H5360" t="s">
        <v>8588</v>
      </c>
      <c r="I5360">
        <v>6</v>
      </c>
      <c r="J5360" t="s">
        <v>445</v>
      </c>
      <c r="M5360">
        <v>0</v>
      </c>
      <c r="N5360" t="s">
        <v>16220</v>
      </c>
    </row>
    <row r="5361" spans="1:14">
      <c r="A5361">
        <v>22040202</v>
      </c>
      <c r="B5361">
        <v>3039640</v>
      </c>
      <c r="C5361" t="s">
        <v>10832</v>
      </c>
      <c r="D5361" t="s">
        <v>441</v>
      </c>
      <c r="F5361">
        <v>0</v>
      </c>
      <c r="G5361">
        <v>5.78</v>
      </c>
      <c r="H5361" t="s">
        <v>8588</v>
      </c>
      <c r="I5361">
        <v>730</v>
      </c>
      <c r="J5361" t="s">
        <v>445</v>
      </c>
      <c r="M5361">
        <v>7113</v>
      </c>
      <c r="N5361" t="s">
        <v>16220</v>
      </c>
    </row>
    <row r="5362" spans="1:14">
      <c r="A5362">
        <v>22040212</v>
      </c>
      <c r="B5362">
        <v>3039612</v>
      </c>
      <c r="C5362" t="s">
        <v>10833</v>
      </c>
      <c r="D5362" t="s">
        <v>441</v>
      </c>
      <c r="F5362">
        <v>0</v>
      </c>
      <c r="G5362">
        <v>5.78</v>
      </c>
      <c r="H5362" t="s">
        <v>8588</v>
      </c>
      <c r="I5362">
        <v>730</v>
      </c>
      <c r="J5362" t="s">
        <v>445</v>
      </c>
      <c r="M5362">
        <v>7113</v>
      </c>
      <c r="N5362" t="s">
        <v>16220</v>
      </c>
    </row>
    <row r="5363" spans="1:14">
      <c r="A5363">
        <v>22040502</v>
      </c>
      <c r="B5363">
        <v>3006315</v>
      </c>
      <c r="C5363" t="s">
        <v>10834</v>
      </c>
      <c r="D5363" t="s">
        <v>441</v>
      </c>
      <c r="F5363">
        <v>0</v>
      </c>
      <c r="G5363">
        <v>6.36</v>
      </c>
      <c r="H5363" t="s">
        <v>8584</v>
      </c>
      <c r="I5363">
        <v>6</v>
      </c>
      <c r="J5363" t="s">
        <v>445</v>
      </c>
      <c r="K5363" t="s">
        <v>446</v>
      </c>
      <c r="M5363">
        <v>2641</v>
      </c>
    </row>
    <row r="5364" spans="1:14">
      <c r="A5364">
        <v>22040517</v>
      </c>
      <c r="B5364">
        <v>3030096</v>
      </c>
      <c r="C5364" t="s">
        <v>10835</v>
      </c>
      <c r="D5364" t="s">
        <v>441</v>
      </c>
      <c r="F5364">
        <v>0</v>
      </c>
      <c r="G5364">
        <v>6.85</v>
      </c>
      <c r="H5364" t="s">
        <v>8588</v>
      </c>
      <c r="I5364">
        <v>6</v>
      </c>
      <c r="J5364" t="s">
        <v>445</v>
      </c>
      <c r="M5364">
        <v>2502</v>
      </c>
      <c r="N5364" t="s">
        <v>16220</v>
      </c>
    </row>
    <row r="5365" spans="1:14">
      <c r="A5365">
        <v>22040518</v>
      </c>
      <c r="B5365">
        <v>3013592</v>
      </c>
      <c r="C5365" t="s">
        <v>10836</v>
      </c>
      <c r="D5365" t="s">
        <v>441</v>
      </c>
      <c r="F5365">
        <v>0</v>
      </c>
      <c r="G5365">
        <v>6.8</v>
      </c>
      <c r="H5365" t="s">
        <v>9302</v>
      </c>
      <c r="I5365">
        <v>365</v>
      </c>
      <c r="J5365" t="s">
        <v>445</v>
      </c>
      <c r="M5365">
        <v>2502</v>
      </c>
      <c r="N5365" t="s">
        <v>16220</v>
      </c>
    </row>
    <row r="5366" spans="1:14">
      <c r="A5366">
        <v>22040519</v>
      </c>
      <c r="B5366">
        <v>3007900</v>
      </c>
      <c r="C5366" t="s">
        <v>10837</v>
      </c>
      <c r="D5366" t="s">
        <v>441</v>
      </c>
      <c r="F5366">
        <v>0</v>
      </c>
      <c r="G5366">
        <v>8.6999999999999993</v>
      </c>
      <c r="I5366">
        <v>6</v>
      </c>
      <c r="J5366" t="s">
        <v>445</v>
      </c>
      <c r="K5366" t="s">
        <v>446</v>
      </c>
      <c r="M5366">
        <v>2641</v>
      </c>
    </row>
    <row r="5367" spans="1:14">
      <c r="A5367">
        <v>22040602</v>
      </c>
      <c r="B5367">
        <v>3007901</v>
      </c>
      <c r="C5367" t="s">
        <v>425</v>
      </c>
      <c r="D5367" t="s">
        <v>441</v>
      </c>
      <c r="F5367">
        <v>0</v>
      </c>
      <c r="G5367">
        <v>11.25</v>
      </c>
      <c r="H5367" t="s">
        <v>8549</v>
      </c>
      <c r="I5367">
        <v>4</v>
      </c>
      <c r="J5367" t="s">
        <v>445</v>
      </c>
      <c r="M5367">
        <v>2510</v>
      </c>
      <c r="N5367" t="s">
        <v>16220</v>
      </c>
    </row>
    <row r="5368" spans="1:14">
      <c r="A5368">
        <v>22040618</v>
      </c>
      <c r="B5368">
        <v>3013591</v>
      </c>
      <c r="C5368" t="s">
        <v>416</v>
      </c>
      <c r="D5368" t="s">
        <v>441</v>
      </c>
      <c r="F5368">
        <v>0</v>
      </c>
      <c r="G5368">
        <v>7.32</v>
      </c>
      <c r="H5368" t="s">
        <v>8588</v>
      </c>
      <c r="I5368">
        <v>4</v>
      </c>
      <c r="J5368" t="s">
        <v>445</v>
      </c>
      <c r="M5368">
        <v>2510</v>
      </c>
      <c r="N5368" t="s">
        <v>16220</v>
      </c>
    </row>
    <row r="5369" spans="1:14">
      <c r="A5369">
        <v>22040619</v>
      </c>
      <c r="B5369">
        <v>3007902</v>
      </c>
      <c r="C5369" t="s">
        <v>10838</v>
      </c>
      <c r="D5369" t="s">
        <v>441</v>
      </c>
      <c r="F5369">
        <v>0</v>
      </c>
      <c r="G5369">
        <v>9.24</v>
      </c>
      <c r="H5369" t="s">
        <v>8580</v>
      </c>
      <c r="I5369">
        <v>4</v>
      </c>
      <c r="J5369" t="s">
        <v>445</v>
      </c>
      <c r="K5369" t="s">
        <v>446</v>
      </c>
      <c r="M5369">
        <v>2511</v>
      </c>
    </row>
    <row r="5370" spans="1:14">
      <c r="A5370">
        <v>22040918</v>
      </c>
      <c r="B5370">
        <v>3020297</v>
      </c>
      <c r="C5370" t="s">
        <v>2813</v>
      </c>
      <c r="D5370" t="s">
        <v>441</v>
      </c>
      <c r="F5370">
        <v>0</v>
      </c>
      <c r="H5370" t="s">
        <v>8580</v>
      </c>
      <c r="I5370">
        <v>4</v>
      </c>
      <c r="J5370" t="s">
        <v>445</v>
      </c>
      <c r="M5370">
        <v>6666</v>
      </c>
      <c r="N5370" t="s">
        <v>16220</v>
      </c>
    </row>
    <row r="5371" spans="1:14">
      <c r="A5371">
        <v>22042000</v>
      </c>
      <c r="B5371">
        <v>3016004</v>
      </c>
      <c r="C5371" t="s">
        <v>10839</v>
      </c>
      <c r="D5371" t="s">
        <v>441</v>
      </c>
      <c r="F5371">
        <v>0</v>
      </c>
      <c r="G5371">
        <v>0</v>
      </c>
      <c r="H5371" t="s">
        <v>8588</v>
      </c>
      <c r="I5371">
        <v>6</v>
      </c>
      <c r="J5371" t="s">
        <v>445</v>
      </c>
      <c r="M5371">
        <v>2391</v>
      </c>
      <c r="N5371" t="s">
        <v>16221</v>
      </c>
    </row>
    <row r="5372" spans="1:14">
      <c r="A5372">
        <v>22042002</v>
      </c>
      <c r="B5372">
        <v>3020095</v>
      </c>
      <c r="C5372" t="s">
        <v>10840</v>
      </c>
      <c r="D5372" t="s">
        <v>441</v>
      </c>
      <c r="F5372">
        <v>0</v>
      </c>
      <c r="G5372">
        <v>7.14</v>
      </c>
      <c r="H5372" t="s">
        <v>8588</v>
      </c>
      <c r="I5372">
        <v>365</v>
      </c>
      <c r="J5372" t="s">
        <v>445</v>
      </c>
      <c r="M5372">
        <v>7111</v>
      </c>
      <c r="N5372" t="s">
        <v>16221</v>
      </c>
    </row>
    <row r="5373" spans="1:14">
      <c r="A5373">
        <v>22042007</v>
      </c>
      <c r="B5373">
        <v>3024991</v>
      </c>
      <c r="C5373" t="s">
        <v>14381</v>
      </c>
      <c r="D5373" t="s">
        <v>441</v>
      </c>
      <c r="F5373">
        <v>0</v>
      </c>
      <c r="G5373">
        <v>10.94</v>
      </c>
      <c r="H5373" t="s">
        <v>8588</v>
      </c>
      <c r="I5373">
        <v>6</v>
      </c>
      <c r="J5373" t="s">
        <v>445</v>
      </c>
      <c r="M5373">
        <v>3113</v>
      </c>
      <c r="N5373" t="s">
        <v>16221</v>
      </c>
    </row>
    <row r="5374" spans="1:14">
      <c r="A5374">
        <v>22042100</v>
      </c>
      <c r="B5374">
        <v>3012648</v>
      </c>
      <c r="C5374" t="s">
        <v>2814</v>
      </c>
      <c r="D5374" t="s">
        <v>441</v>
      </c>
      <c r="F5374">
        <v>0</v>
      </c>
      <c r="H5374" t="s">
        <v>8588</v>
      </c>
      <c r="I5374">
        <v>6</v>
      </c>
      <c r="J5374" t="s">
        <v>445</v>
      </c>
      <c r="M5374">
        <v>7161</v>
      </c>
      <c r="N5374" t="s">
        <v>16221</v>
      </c>
    </row>
    <row r="5375" spans="1:14">
      <c r="A5375">
        <v>22042110</v>
      </c>
      <c r="B5375">
        <v>3014381</v>
      </c>
      <c r="C5375" t="s">
        <v>10841</v>
      </c>
      <c r="D5375" t="s">
        <v>441</v>
      </c>
      <c r="F5375">
        <v>0</v>
      </c>
      <c r="H5375" t="s">
        <v>8588</v>
      </c>
      <c r="I5375">
        <v>6</v>
      </c>
      <c r="J5375" t="s">
        <v>445</v>
      </c>
      <c r="M5375">
        <v>7161</v>
      </c>
      <c r="N5375" t="s">
        <v>16221</v>
      </c>
    </row>
    <row r="5376" spans="1:14">
      <c r="A5376">
        <v>22042120</v>
      </c>
      <c r="B5376">
        <v>3021450</v>
      </c>
      <c r="C5376" t="s">
        <v>10842</v>
      </c>
      <c r="D5376" t="s">
        <v>441</v>
      </c>
      <c r="F5376">
        <v>0</v>
      </c>
      <c r="H5376" t="s">
        <v>8588</v>
      </c>
      <c r="I5376">
        <v>365</v>
      </c>
      <c r="J5376" t="s">
        <v>445</v>
      </c>
      <c r="M5376">
        <v>7161</v>
      </c>
      <c r="N5376" t="s">
        <v>16221</v>
      </c>
    </row>
    <row r="5377" spans="1:14">
      <c r="A5377">
        <v>22042300</v>
      </c>
      <c r="B5377">
        <v>3043054</v>
      </c>
      <c r="C5377" t="s">
        <v>10843</v>
      </c>
      <c r="D5377" t="s">
        <v>441</v>
      </c>
      <c r="F5377">
        <v>0</v>
      </c>
      <c r="G5377">
        <v>9.8000000000000007</v>
      </c>
      <c r="H5377" t="s">
        <v>8549</v>
      </c>
      <c r="I5377">
        <v>6</v>
      </c>
      <c r="J5377" t="s">
        <v>445</v>
      </c>
      <c r="M5377">
        <v>2391</v>
      </c>
      <c r="N5377" t="s">
        <v>16221</v>
      </c>
    </row>
    <row r="5378" spans="1:14">
      <c r="A5378">
        <v>22042502</v>
      </c>
      <c r="B5378">
        <v>3020089</v>
      </c>
      <c r="C5378" t="s">
        <v>10844</v>
      </c>
      <c r="D5378" t="s">
        <v>441</v>
      </c>
      <c r="F5378">
        <v>0</v>
      </c>
      <c r="G5378">
        <v>6.8</v>
      </c>
      <c r="H5378" t="s">
        <v>8588</v>
      </c>
      <c r="I5378">
        <v>365</v>
      </c>
      <c r="J5378" t="s">
        <v>445</v>
      </c>
      <c r="M5378">
        <v>2502</v>
      </c>
      <c r="N5378" t="s">
        <v>16221</v>
      </c>
    </row>
    <row r="5379" spans="1:14">
      <c r="A5379">
        <v>22042602</v>
      </c>
      <c r="B5379">
        <v>3020096</v>
      </c>
      <c r="C5379" t="s">
        <v>10845</v>
      </c>
      <c r="D5379" t="s">
        <v>441</v>
      </c>
      <c r="F5379">
        <v>0</v>
      </c>
      <c r="G5379">
        <v>7.32</v>
      </c>
      <c r="H5379" t="s">
        <v>8588</v>
      </c>
      <c r="I5379">
        <v>4</v>
      </c>
      <c r="J5379" t="s">
        <v>445</v>
      </c>
      <c r="M5379">
        <v>2510</v>
      </c>
      <c r="N5379" t="s">
        <v>16221</v>
      </c>
    </row>
    <row r="5380" spans="1:14">
      <c r="A5380">
        <v>22042900</v>
      </c>
      <c r="B5380">
        <v>3020298</v>
      </c>
      <c r="C5380" t="s">
        <v>10846</v>
      </c>
      <c r="D5380" t="s">
        <v>441</v>
      </c>
      <c r="F5380">
        <v>0</v>
      </c>
      <c r="G5380">
        <v>0</v>
      </c>
      <c r="H5380" t="s">
        <v>8584</v>
      </c>
      <c r="I5380">
        <v>6</v>
      </c>
      <c r="J5380" t="s">
        <v>445</v>
      </c>
      <c r="M5380">
        <v>6666</v>
      </c>
      <c r="N5380" t="s">
        <v>16221</v>
      </c>
    </row>
    <row r="5381" spans="1:14">
      <c r="A5381">
        <v>22042902</v>
      </c>
      <c r="B5381">
        <v>3020907</v>
      </c>
      <c r="C5381" t="s">
        <v>10847</v>
      </c>
      <c r="D5381" t="s">
        <v>441</v>
      </c>
      <c r="F5381">
        <v>0</v>
      </c>
      <c r="H5381" t="s">
        <v>8580</v>
      </c>
      <c r="I5381">
        <v>4</v>
      </c>
      <c r="J5381" t="s">
        <v>445</v>
      </c>
      <c r="M5381">
        <v>6666</v>
      </c>
      <c r="N5381" t="s">
        <v>16221</v>
      </c>
    </row>
    <row r="5382" spans="1:14">
      <c r="A5382">
        <v>22042907</v>
      </c>
      <c r="B5382">
        <v>3025251</v>
      </c>
      <c r="C5382" t="s">
        <v>14382</v>
      </c>
      <c r="D5382" t="s">
        <v>441</v>
      </c>
      <c r="F5382">
        <v>0</v>
      </c>
      <c r="G5382">
        <v>0</v>
      </c>
      <c r="H5382" t="s">
        <v>8584</v>
      </c>
      <c r="I5382">
        <v>6</v>
      </c>
      <c r="J5382" t="s">
        <v>445</v>
      </c>
      <c r="M5382">
        <v>6666</v>
      </c>
      <c r="N5382" t="s">
        <v>16221</v>
      </c>
    </row>
    <row r="5383" spans="1:14">
      <c r="A5383">
        <v>22043000</v>
      </c>
      <c r="B5383">
        <v>3015265</v>
      </c>
      <c r="C5383" t="s">
        <v>10848</v>
      </c>
      <c r="D5383" t="s">
        <v>441</v>
      </c>
      <c r="F5383">
        <v>0</v>
      </c>
      <c r="G5383">
        <v>6.7</v>
      </c>
      <c r="H5383" t="s">
        <v>8549</v>
      </c>
      <c r="I5383">
        <v>6</v>
      </c>
      <c r="J5383" t="s">
        <v>445</v>
      </c>
      <c r="M5383">
        <v>2391</v>
      </c>
      <c r="N5383" t="s">
        <v>16220</v>
      </c>
    </row>
    <row r="5384" spans="1:14">
      <c r="A5384">
        <v>22043007</v>
      </c>
      <c r="B5384">
        <v>3024992</v>
      </c>
      <c r="C5384" t="s">
        <v>10849</v>
      </c>
      <c r="D5384" t="s">
        <v>441</v>
      </c>
      <c r="F5384">
        <v>0</v>
      </c>
      <c r="G5384">
        <v>6.8</v>
      </c>
      <c r="H5384" t="s">
        <v>8588</v>
      </c>
      <c r="I5384">
        <v>6</v>
      </c>
      <c r="J5384" t="s">
        <v>445</v>
      </c>
      <c r="M5384">
        <v>3113</v>
      </c>
      <c r="N5384" t="s">
        <v>16220</v>
      </c>
    </row>
    <row r="5385" spans="1:14">
      <c r="A5385">
        <v>22043700</v>
      </c>
      <c r="B5385">
        <v>3030649</v>
      </c>
      <c r="C5385" t="s">
        <v>10850</v>
      </c>
      <c r="D5385" t="s">
        <v>441</v>
      </c>
      <c r="F5385">
        <v>0</v>
      </c>
      <c r="G5385">
        <v>6.7</v>
      </c>
      <c r="H5385" t="s">
        <v>8549</v>
      </c>
      <c r="I5385">
        <v>6</v>
      </c>
      <c r="J5385" t="s">
        <v>445</v>
      </c>
      <c r="M5385">
        <v>2391</v>
      </c>
      <c r="N5385" t="s">
        <v>16220</v>
      </c>
    </row>
    <row r="5386" spans="1:14">
      <c r="A5386">
        <v>22043707</v>
      </c>
      <c r="B5386">
        <v>3032659</v>
      </c>
      <c r="C5386" t="s">
        <v>10851</v>
      </c>
      <c r="D5386" t="s">
        <v>441</v>
      </c>
      <c r="F5386">
        <v>0</v>
      </c>
      <c r="G5386">
        <v>9.85</v>
      </c>
      <c r="H5386" t="s">
        <v>8588</v>
      </c>
      <c r="I5386">
        <v>6</v>
      </c>
      <c r="J5386" t="s">
        <v>445</v>
      </c>
      <c r="M5386">
        <v>2391</v>
      </c>
      <c r="N5386" t="s">
        <v>16220</v>
      </c>
    </row>
    <row r="5387" spans="1:14">
      <c r="A5387">
        <v>22043775</v>
      </c>
      <c r="B5387">
        <v>3032655</v>
      </c>
      <c r="C5387" t="s">
        <v>10852</v>
      </c>
      <c r="D5387" t="s">
        <v>441</v>
      </c>
      <c r="F5387">
        <v>0</v>
      </c>
      <c r="G5387">
        <v>10.01</v>
      </c>
      <c r="H5387" t="s">
        <v>8588</v>
      </c>
      <c r="I5387">
        <v>6</v>
      </c>
      <c r="J5387" t="s">
        <v>445</v>
      </c>
      <c r="M5387">
        <v>7112</v>
      </c>
      <c r="N5387" t="s">
        <v>16221</v>
      </c>
    </row>
    <row r="5388" spans="1:14">
      <c r="A5388">
        <v>22043900</v>
      </c>
      <c r="B5388">
        <v>3020299</v>
      </c>
      <c r="C5388" t="s">
        <v>10853</v>
      </c>
      <c r="D5388" t="s">
        <v>441</v>
      </c>
      <c r="F5388">
        <v>0</v>
      </c>
      <c r="G5388">
        <v>0</v>
      </c>
      <c r="H5388" t="s">
        <v>8584</v>
      </c>
      <c r="I5388">
        <v>6</v>
      </c>
      <c r="J5388" t="s">
        <v>445</v>
      </c>
      <c r="M5388">
        <v>6666</v>
      </c>
      <c r="N5388" t="s">
        <v>16220</v>
      </c>
    </row>
    <row r="5389" spans="1:14">
      <c r="A5389">
        <v>22043907</v>
      </c>
      <c r="B5389">
        <v>3025252</v>
      </c>
      <c r="C5389" t="s">
        <v>10854</v>
      </c>
      <c r="D5389" t="s">
        <v>441</v>
      </c>
      <c r="F5389">
        <v>0</v>
      </c>
      <c r="G5389">
        <v>0</v>
      </c>
      <c r="I5389">
        <v>6</v>
      </c>
      <c r="J5389" t="s">
        <v>445</v>
      </c>
      <c r="M5389">
        <v>6666</v>
      </c>
      <c r="N5389" t="s">
        <v>16220</v>
      </c>
    </row>
    <row r="5390" spans="1:14">
      <c r="A5390">
        <v>22044000</v>
      </c>
      <c r="B5390">
        <v>3037424</v>
      </c>
      <c r="C5390" t="s">
        <v>10855</v>
      </c>
      <c r="D5390" t="s">
        <v>441</v>
      </c>
      <c r="F5390">
        <v>0</v>
      </c>
      <c r="G5390">
        <v>6.8</v>
      </c>
      <c r="H5390" t="s">
        <v>8549</v>
      </c>
      <c r="I5390">
        <v>5</v>
      </c>
      <c r="J5390" t="s">
        <v>445</v>
      </c>
      <c r="M5390">
        <v>2391</v>
      </c>
      <c r="N5390" t="s">
        <v>16220</v>
      </c>
    </row>
    <row r="5391" spans="1:14">
      <c r="A5391">
        <v>22044002</v>
      </c>
      <c r="B5391">
        <v>3039628</v>
      </c>
      <c r="C5391" t="s">
        <v>10856</v>
      </c>
      <c r="D5391" t="s">
        <v>441</v>
      </c>
      <c r="F5391">
        <v>0</v>
      </c>
      <c r="G5391">
        <v>7.15</v>
      </c>
      <c r="H5391" t="s">
        <v>8549</v>
      </c>
      <c r="I5391">
        <v>365</v>
      </c>
      <c r="J5391" t="s">
        <v>445</v>
      </c>
      <c r="M5391">
        <v>7111</v>
      </c>
      <c r="N5391" t="s">
        <v>16220</v>
      </c>
    </row>
    <row r="5392" spans="1:14">
      <c r="A5392">
        <v>22044007</v>
      </c>
      <c r="B5392">
        <v>3037669</v>
      </c>
      <c r="C5392" t="s">
        <v>8544</v>
      </c>
      <c r="D5392" t="s">
        <v>441</v>
      </c>
      <c r="F5392">
        <v>0</v>
      </c>
      <c r="G5392">
        <v>6.8</v>
      </c>
      <c r="H5392" t="s">
        <v>8588</v>
      </c>
      <c r="I5392">
        <v>6</v>
      </c>
      <c r="J5392" t="s">
        <v>445</v>
      </c>
      <c r="M5392">
        <v>3113</v>
      </c>
      <c r="N5392" t="s">
        <v>16220</v>
      </c>
    </row>
    <row r="5393" spans="1:14">
      <c r="A5393">
        <v>22044022</v>
      </c>
      <c r="B5393">
        <v>3039631</v>
      </c>
      <c r="C5393" t="s">
        <v>10857</v>
      </c>
      <c r="D5393" t="s">
        <v>441</v>
      </c>
      <c r="F5393">
        <v>0</v>
      </c>
      <c r="G5393">
        <v>7.15</v>
      </c>
      <c r="H5393" t="s">
        <v>8549</v>
      </c>
      <c r="I5393">
        <v>365</v>
      </c>
      <c r="J5393" t="s">
        <v>445</v>
      </c>
      <c r="M5393">
        <v>7111</v>
      </c>
      <c r="N5393" t="s">
        <v>16221</v>
      </c>
    </row>
    <row r="5394" spans="1:14">
      <c r="A5394">
        <v>22044102</v>
      </c>
      <c r="B5394">
        <v>3039510</v>
      </c>
      <c r="C5394" t="s">
        <v>10858</v>
      </c>
      <c r="D5394" t="s">
        <v>441</v>
      </c>
      <c r="F5394">
        <v>0</v>
      </c>
      <c r="G5394">
        <v>10.06</v>
      </c>
      <c r="H5394" t="s">
        <v>8588</v>
      </c>
      <c r="I5394">
        <v>729</v>
      </c>
      <c r="J5394" t="s">
        <v>445</v>
      </c>
      <c r="M5394">
        <v>0</v>
      </c>
      <c r="N5394" t="s">
        <v>16220</v>
      </c>
    </row>
    <row r="5395" spans="1:14">
      <c r="A5395">
        <v>22044110</v>
      </c>
      <c r="B5395">
        <v>3035553</v>
      </c>
      <c r="C5395" t="s">
        <v>10859</v>
      </c>
      <c r="D5395" t="s">
        <v>441</v>
      </c>
      <c r="F5395">
        <v>0</v>
      </c>
      <c r="G5395">
        <v>9.92</v>
      </c>
      <c r="H5395" t="s">
        <v>8588</v>
      </c>
      <c r="I5395">
        <v>6</v>
      </c>
      <c r="J5395" t="s">
        <v>445</v>
      </c>
      <c r="M5395">
        <v>0</v>
      </c>
      <c r="N5395" t="s">
        <v>16220</v>
      </c>
    </row>
    <row r="5396" spans="1:14">
      <c r="A5396">
        <v>22044200</v>
      </c>
      <c r="B5396">
        <v>3038281</v>
      </c>
      <c r="C5396" t="s">
        <v>10860</v>
      </c>
      <c r="D5396" t="s">
        <v>441</v>
      </c>
      <c r="F5396">
        <v>0</v>
      </c>
      <c r="G5396">
        <v>6.8</v>
      </c>
      <c r="H5396" t="s">
        <v>8549</v>
      </c>
      <c r="I5396">
        <v>6</v>
      </c>
      <c r="J5396" t="s">
        <v>445</v>
      </c>
      <c r="M5396">
        <v>2391</v>
      </c>
      <c r="N5396" t="s">
        <v>16221</v>
      </c>
    </row>
    <row r="5397" spans="1:14">
      <c r="A5397">
        <v>22044207</v>
      </c>
      <c r="B5397">
        <v>3039235</v>
      </c>
      <c r="C5397" t="s">
        <v>8528</v>
      </c>
      <c r="D5397" t="s">
        <v>441</v>
      </c>
      <c r="F5397">
        <v>0</v>
      </c>
      <c r="G5397">
        <v>6.8</v>
      </c>
      <c r="H5397" t="s">
        <v>8588</v>
      </c>
      <c r="I5397">
        <v>6</v>
      </c>
      <c r="J5397" t="s">
        <v>445</v>
      </c>
      <c r="M5397">
        <v>3113</v>
      </c>
      <c r="N5397" t="s">
        <v>16221</v>
      </c>
    </row>
    <row r="5398" spans="1:14">
      <c r="A5398">
        <v>22044300</v>
      </c>
      <c r="B5398">
        <v>3037452</v>
      </c>
      <c r="C5398" t="s">
        <v>10861</v>
      </c>
      <c r="D5398" t="s">
        <v>441</v>
      </c>
      <c r="F5398">
        <v>0</v>
      </c>
      <c r="G5398">
        <v>6.7</v>
      </c>
      <c r="H5398" t="s">
        <v>8549</v>
      </c>
      <c r="I5398">
        <v>6</v>
      </c>
      <c r="J5398" t="s">
        <v>445</v>
      </c>
      <c r="M5398">
        <v>2391</v>
      </c>
      <c r="N5398" t="s">
        <v>16220</v>
      </c>
    </row>
    <row r="5399" spans="1:14">
      <c r="A5399">
        <v>22044502</v>
      </c>
      <c r="B5399">
        <v>3039435</v>
      </c>
      <c r="C5399" t="s">
        <v>10862</v>
      </c>
      <c r="D5399" t="s">
        <v>441</v>
      </c>
      <c r="F5399">
        <v>0</v>
      </c>
      <c r="G5399">
        <v>6.8</v>
      </c>
      <c r="H5399" t="s">
        <v>8637</v>
      </c>
      <c r="I5399">
        <v>5</v>
      </c>
      <c r="J5399" t="s">
        <v>445</v>
      </c>
      <c r="M5399">
        <v>2502</v>
      </c>
      <c r="N5399" t="s">
        <v>16220</v>
      </c>
    </row>
    <row r="5400" spans="1:14">
      <c r="A5400">
        <v>22044522</v>
      </c>
      <c r="B5400">
        <v>3039630</v>
      </c>
      <c r="C5400" t="s">
        <v>10863</v>
      </c>
      <c r="D5400" t="s">
        <v>441</v>
      </c>
      <c r="F5400">
        <v>0</v>
      </c>
      <c r="G5400">
        <v>6.8</v>
      </c>
      <c r="H5400" t="s">
        <v>8549</v>
      </c>
      <c r="I5400">
        <v>6</v>
      </c>
      <c r="J5400" t="s">
        <v>445</v>
      </c>
      <c r="M5400">
        <v>2502</v>
      </c>
      <c r="N5400" t="s">
        <v>16221</v>
      </c>
    </row>
    <row r="5401" spans="1:14">
      <c r="A5401">
        <v>22044602</v>
      </c>
      <c r="B5401">
        <v>3039626</v>
      </c>
      <c r="C5401" t="s">
        <v>10864</v>
      </c>
      <c r="D5401" t="s">
        <v>441</v>
      </c>
      <c r="F5401">
        <v>0</v>
      </c>
      <c r="G5401">
        <v>7.55</v>
      </c>
      <c r="H5401" t="s">
        <v>8549</v>
      </c>
      <c r="I5401">
        <v>4</v>
      </c>
      <c r="J5401" t="s">
        <v>445</v>
      </c>
      <c r="M5401">
        <v>2510</v>
      </c>
      <c r="N5401" t="s">
        <v>16220</v>
      </c>
    </row>
    <row r="5402" spans="1:14">
      <c r="A5402">
        <v>22044622</v>
      </c>
      <c r="B5402">
        <v>3039608</v>
      </c>
      <c r="C5402" t="s">
        <v>10865</v>
      </c>
      <c r="D5402" t="s">
        <v>441</v>
      </c>
      <c r="F5402">
        <v>0</v>
      </c>
      <c r="G5402">
        <v>7.32</v>
      </c>
      <c r="H5402" t="s">
        <v>8549</v>
      </c>
      <c r="I5402">
        <v>5</v>
      </c>
      <c r="J5402" t="s">
        <v>445</v>
      </c>
      <c r="M5402">
        <v>2510</v>
      </c>
      <c r="N5402" t="s">
        <v>16221</v>
      </c>
    </row>
    <row r="5403" spans="1:14">
      <c r="A5403">
        <v>22044902</v>
      </c>
      <c r="B5403">
        <v>3039632</v>
      </c>
      <c r="C5403" t="s">
        <v>10866</v>
      </c>
      <c r="D5403" t="s">
        <v>441</v>
      </c>
      <c r="F5403">
        <v>0</v>
      </c>
      <c r="H5403" t="s">
        <v>8580</v>
      </c>
      <c r="I5403">
        <v>4</v>
      </c>
      <c r="J5403" t="s">
        <v>445</v>
      </c>
      <c r="M5403">
        <v>6666</v>
      </c>
      <c r="N5403" t="s">
        <v>16220</v>
      </c>
    </row>
    <row r="5404" spans="1:14">
      <c r="A5404">
        <v>22044907</v>
      </c>
      <c r="B5404">
        <v>3037729</v>
      </c>
      <c r="C5404" t="s">
        <v>10867</v>
      </c>
      <c r="D5404" t="s">
        <v>441</v>
      </c>
      <c r="F5404">
        <v>0</v>
      </c>
      <c r="H5404" t="s">
        <v>8580</v>
      </c>
      <c r="I5404">
        <v>6</v>
      </c>
      <c r="J5404" t="s">
        <v>445</v>
      </c>
      <c r="M5404">
        <v>6666</v>
      </c>
      <c r="N5404" t="s">
        <v>16220</v>
      </c>
    </row>
    <row r="5405" spans="1:14">
      <c r="A5405">
        <v>22044922</v>
      </c>
      <c r="B5405">
        <v>3039714</v>
      </c>
      <c r="C5405" t="s">
        <v>10868</v>
      </c>
      <c r="D5405" t="s">
        <v>441</v>
      </c>
      <c r="F5405">
        <v>0</v>
      </c>
      <c r="H5405" t="s">
        <v>8935</v>
      </c>
      <c r="I5405">
        <v>5</v>
      </c>
      <c r="J5405" t="s">
        <v>445</v>
      </c>
      <c r="M5405">
        <v>6666</v>
      </c>
      <c r="N5405" t="s">
        <v>16221</v>
      </c>
    </row>
    <row r="5406" spans="1:14">
      <c r="A5406">
        <v>22044927</v>
      </c>
      <c r="B5406">
        <v>3039245</v>
      </c>
      <c r="C5406" t="s">
        <v>10869</v>
      </c>
      <c r="D5406" t="s">
        <v>441</v>
      </c>
      <c r="F5406">
        <v>0</v>
      </c>
      <c r="H5406" t="s">
        <v>8584</v>
      </c>
      <c r="I5406">
        <v>6</v>
      </c>
      <c r="J5406" t="s">
        <v>445</v>
      </c>
      <c r="M5406">
        <v>6666</v>
      </c>
      <c r="N5406" t="s">
        <v>16221</v>
      </c>
    </row>
    <row r="5407" spans="1:14">
      <c r="A5407">
        <v>22045000</v>
      </c>
      <c r="B5407">
        <v>3011137</v>
      </c>
      <c r="C5407" t="s">
        <v>10870</v>
      </c>
      <c r="D5407" t="s">
        <v>441</v>
      </c>
      <c r="F5407">
        <v>0</v>
      </c>
      <c r="G5407">
        <v>7.5</v>
      </c>
      <c r="H5407" t="s">
        <v>8584</v>
      </c>
      <c r="I5407">
        <v>6</v>
      </c>
      <c r="J5407" t="s">
        <v>445</v>
      </c>
      <c r="K5407" t="s">
        <v>446</v>
      </c>
      <c r="M5407">
        <v>2390</v>
      </c>
    </row>
    <row r="5408" spans="1:14">
      <c r="A5408">
        <v>22045075</v>
      </c>
      <c r="B5408">
        <v>3011136</v>
      </c>
      <c r="C5408" t="s">
        <v>10871</v>
      </c>
      <c r="D5408" t="s">
        <v>441</v>
      </c>
      <c r="F5408">
        <v>0</v>
      </c>
      <c r="G5408">
        <v>6.8</v>
      </c>
      <c r="H5408" t="s">
        <v>8588</v>
      </c>
      <c r="I5408">
        <v>6</v>
      </c>
      <c r="J5408" t="s">
        <v>445</v>
      </c>
      <c r="M5408">
        <v>7112</v>
      </c>
      <c r="N5408" t="s">
        <v>16221</v>
      </c>
    </row>
    <row r="5409" spans="1:14">
      <c r="A5409">
        <v>22045080</v>
      </c>
      <c r="B5409">
        <v>3027551</v>
      </c>
      <c r="C5409" t="s">
        <v>10872</v>
      </c>
      <c r="D5409" t="s">
        <v>441</v>
      </c>
      <c r="F5409">
        <v>0</v>
      </c>
      <c r="G5409">
        <v>8.74</v>
      </c>
      <c r="H5409" t="s">
        <v>8588</v>
      </c>
      <c r="I5409">
        <v>6</v>
      </c>
      <c r="J5409" t="s">
        <v>445</v>
      </c>
      <c r="K5409" t="s">
        <v>446</v>
      </c>
      <c r="M5409">
        <v>2641</v>
      </c>
    </row>
    <row r="5410" spans="1:14">
      <c r="A5410">
        <v>22045087</v>
      </c>
      <c r="B5410">
        <v>3012344</v>
      </c>
      <c r="C5410" t="s">
        <v>10873</v>
      </c>
      <c r="D5410" t="s">
        <v>441</v>
      </c>
      <c r="F5410">
        <v>0</v>
      </c>
      <c r="G5410">
        <v>9.1999999999999993</v>
      </c>
      <c r="H5410" t="s">
        <v>8588</v>
      </c>
      <c r="I5410">
        <v>6</v>
      </c>
      <c r="J5410" t="s">
        <v>445</v>
      </c>
      <c r="K5410" t="s">
        <v>446</v>
      </c>
      <c r="M5410">
        <v>2641</v>
      </c>
    </row>
    <row r="5411" spans="1:14">
      <c r="A5411">
        <v>22045200</v>
      </c>
      <c r="B5411">
        <v>3043055</v>
      </c>
      <c r="C5411" t="s">
        <v>10874</v>
      </c>
      <c r="D5411" t="s">
        <v>441</v>
      </c>
      <c r="F5411">
        <v>0</v>
      </c>
      <c r="G5411">
        <v>9.8000000000000007</v>
      </c>
      <c r="H5411" t="s">
        <v>8549</v>
      </c>
      <c r="I5411">
        <v>6</v>
      </c>
      <c r="J5411" t="s">
        <v>445</v>
      </c>
      <c r="M5411">
        <v>2391</v>
      </c>
      <c r="N5411" t="s">
        <v>16221</v>
      </c>
    </row>
    <row r="5412" spans="1:14">
      <c r="A5412">
        <v>22046000</v>
      </c>
      <c r="B5412">
        <v>3043530</v>
      </c>
      <c r="C5412" t="s">
        <v>10875</v>
      </c>
      <c r="D5412" t="s">
        <v>441</v>
      </c>
      <c r="F5412">
        <v>0</v>
      </c>
      <c r="G5412">
        <v>10.8</v>
      </c>
      <c r="H5412" t="s">
        <v>8549</v>
      </c>
      <c r="I5412">
        <v>6</v>
      </c>
      <c r="J5412" t="s">
        <v>445</v>
      </c>
      <c r="M5412">
        <v>2391</v>
      </c>
      <c r="N5412" t="s">
        <v>16220</v>
      </c>
    </row>
    <row r="5413" spans="1:14">
      <c r="A5413">
        <v>22046087</v>
      </c>
      <c r="B5413">
        <v>3043532</v>
      </c>
      <c r="C5413" t="s">
        <v>10876</v>
      </c>
      <c r="D5413" t="s">
        <v>441</v>
      </c>
      <c r="F5413">
        <v>0</v>
      </c>
      <c r="G5413">
        <v>10.95</v>
      </c>
      <c r="H5413" t="s">
        <v>8588</v>
      </c>
      <c r="I5413">
        <v>6</v>
      </c>
      <c r="J5413" t="s">
        <v>445</v>
      </c>
      <c r="M5413">
        <v>7112</v>
      </c>
      <c r="N5413" t="s">
        <v>16220</v>
      </c>
    </row>
    <row r="5414" spans="1:14">
      <c r="A5414">
        <v>22047000</v>
      </c>
      <c r="B5414">
        <v>3030613</v>
      </c>
      <c r="C5414" t="s">
        <v>10877</v>
      </c>
      <c r="D5414" t="s">
        <v>441</v>
      </c>
      <c r="F5414">
        <v>0</v>
      </c>
      <c r="G5414">
        <v>6.8</v>
      </c>
      <c r="H5414" t="s">
        <v>8549</v>
      </c>
      <c r="I5414">
        <v>6</v>
      </c>
      <c r="J5414" t="s">
        <v>445</v>
      </c>
      <c r="M5414">
        <v>2391</v>
      </c>
      <c r="N5414" t="s">
        <v>16220</v>
      </c>
    </row>
    <row r="5415" spans="1:14">
      <c r="A5415">
        <v>22049000</v>
      </c>
      <c r="B5415">
        <v>3019059</v>
      </c>
      <c r="C5415" t="s">
        <v>2815</v>
      </c>
      <c r="D5415" t="s">
        <v>441</v>
      </c>
      <c r="F5415">
        <v>0</v>
      </c>
      <c r="G5415">
        <v>13.8</v>
      </c>
      <c r="H5415" t="s">
        <v>8588</v>
      </c>
      <c r="I5415">
        <v>2</v>
      </c>
      <c r="J5415" t="s">
        <v>445</v>
      </c>
      <c r="M5415">
        <v>3111</v>
      </c>
      <c r="N5415" t="s">
        <v>16220</v>
      </c>
    </row>
    <row r="5416" spans="1:14">
      <c r="A5416">
        <v>22049001</v>
      </c>
      <c r="B5416">
        <v>3027960</v>
      </c>
      <c r="C5416" t="s">
        <v>10878</v>
      </c>
      <c r="D5416" t="s">
        <v>441</v>
      </c>
      <c r="F5416">
        <v>0</v>
      </c>
      <c r="G5416">
        <v>6.7</v>
      </c>
      <c r="H5416" t="s">
        <v>8588</v>
      </c>
      <c r="I5416">
        <v>365</v>
      </c>
      <c r="J5416" t="s">
        <v>445</v>
      </c>
      <c r="M5416">
        <v>3111</v>
      </c>
      <c r="N5416" t="s">
        <v>16221</v>
      </c>
    </row>
    <row r="5417" spans="1:14">
      <c r="A5417">
        <v>22049900</v>
      </c>
      <c r="B5417">
        <v>3020300</v>
      </c>
      <c r="C5417" t="s">
        <v>2816</v>
      </c>
      <c r="D5417" t="s">
        <v>441</v>
      </c>
      <c r="F5417">
        <v>0</v>
      </c>
      <c r="H5417" t="s">
        <v>8584</v>
      </c>
      <c r="I5417">
        <v>2</v>
      </c>
      <c r="J5417" t="s">
        <v>445</v>
      </c>
      <c r="M5417">
        <v>6666</v>
      </c>
      <c r="N5417" t="s">
        <v>16220</v>
      </c>
    </row>
    <row r="5418" spans="1:14">
      <c r="A5418">
        <v>22049901</v>
      </c>
      <c r="B5418">
        <v>3027962</v>
      </c>
      <c r="C5418" t="s">
        <v>10879</v>
      </c>
      <c r="D5418" t="s">
        <v>441</v>
      </c>
      <c r="F5418">
        <v>0</v>
      </c>
      <c r="H5418" t="s">
        <v>8580</v>
      </c>
      <c r="I5418">
        <v>365</v>
      </c>
      <c r="J5418" t="s">
        <v>445</v>
      </c>
      <c r="M5418">
        <v>6666</v>
      </c>
      <c r="N5418" t="s">
        <v>16221</v>
      </c>
    </row>
    <row r="5419" spans="1:14">
      <c r="A5419">
        <v>22050000</v>
      </c>
      <c r="B5419">
        <v>3015996</v>
      </c>
      <c r="C5419" t="s">
        <v>10880</v>
      </c>
      <c r="D5419" t="s">
        <v>441</v>
      </c>
      <c r="F5419">
        <v>0</v>
      </c>
      <c r="G5419">
        <v>0</v>
      </c>
      <c r="H5419" t="s">
        <v>8549</v>
      </c>
      <c r="I5419">
        <v>6</v>
      </c>
      <c r="J5419" t="s">
        <v>445</v>
      </c>
      <c r="M5419">
        <v>2391</v>
      </c>
      <c r="N5419" t="s">
        <v>16202</v>
      </c>
    </row>
    <row r="5420" spans="1:14">
      <c r="A5420">
        <v>22050020</v>
      </c>
      <c r="B5420">
        <v>4007990</v>
      </c>
      <c r="C5420" t="s">
        <v>17442</v>
      </c>
      <c r="D5420" t="s">
        <v>441</v>
      </c>
      <c r="F5420">
        <v>0</v>
      </c>
      <c r="G5420">
        <v>6.46</v>
      </c>
      <c r="H5420" t="s">
        <v>8588</v>
      </c>
      <c r="I5420">
        <v>6</v>
      </c>
      <c r="J5420" t="s">
        <v>462</v>
      </c>
      <c r="L5420">
        <v>2082723</v>
      </c>
      <c r="M5420">
        <v>2641</v>
      </c>
      <c r="N5420" t="s">
        <v>16202</v>
      </c>
    </row>
    <row r="5421" spans="1:14">
      <c r="A5421">
        <v>22050040</v>
      </c>
      <c r="B5421">
        <v>4012687</v>
      </c>
      <c r="C5421" t="s">
        <v>10881</v>
      </c>
      <c r="D5421" t="s">
        <v>441</v>
      </c>
      <c r="F5421">
        <v>0</v>
      </c>
      <c r="G5421">
        <v>7.8</v>
      </c>
      <c r="H5421" t="s">
        <v>8588</v>
      </c>
      <c r="I5421">
        <v>10</v>
      </c>
      <c r="J5421" t="s">
        <v>462</v>
      </c>
      <c r="K5421" t="s">
        <v>446</v>
      </c>
      <c r="M5421">
        <v>2612</v>
      </c>
    </row>
    <row r="5422" spans="1:14">
      <c r="A5422">
        <v>22050041</v>
      </c>
      <c r="B5422">
        <v>4015438</v>
      </c>
      <c r="C5422" t="s">
        <v>10882</v>
      </c>
      <c r="D5422" t="s">
        <v>441</v>
      </c>
      <c r="F5422">
        <v>0</v>
      </c>
      <c r="G5422">
        <v>5.85</v>
      </c>
      <c r="H5422" t="s">
        <v>8588</v>
      </c>
      <c r="I5422">
        <v>11</v>
      </c>
      <c r="J5422" t="s">
        <v>462</v>
      </c>
      <c r="M5422">
        <v>7112</v>
      </c>
      <c r="N5422" t="s">
        <v>16202</v>
      </c>
    </row>
    <row r="5423" spans="1:14">
      <c r="A5423">
        <v>22050075</v>
      </c>
      <c r="B5423">
        <v>3007903</v>
      </c>
      <c r="C5423" t="s">
        <v>10883</v>
      </c>
      <c r="D5423" t="s">
        <v>441</v>
      </c>
      <c r="F5423">
        <v>0</v>
      </c>
      <c r="G5423">
        <v>7.2</v>
      </c>
      <c r="H5423" t="s">
        <v>8588</v>
      </c>
      <c r="I5423">
        <v>6</v>
      </c>
      <c r="J5423" t="s">
        <v>445</v>
      </c>
      <c r="K5423" t="s">
        <v>446</v>
      </c>
      <c r="M5423">
        <v>2641</v>
      </c>
    </row>
    <row r="5424" spans="1:14">
      <c r="A5424">
        <v>22050100</v>
      </c>
      <c r="B5424">
        <v>3022961</v>
      </c>
      <c r="C5424" t="s">
        <v>10884</v>
      </c>
      <c r="D5424" t="s">
        <v>441</v>
      </c>
      <c r="F5424">
        <v>0</v>
      </c>
      <c r="G5424">
        <v>0</v>
      </c>
      <c r="H5424" t="s">
        <v>8588</v>
      </c>
      <c r="I5424">
        <v>6</v>
      </c>
      <c r="J5424" t="s">
        <v>445</v>
      </c>
      <c r="M5424">
        <v>7161</v>
      </c>
      <c r="N5424" t="s">
        <v>16202</v>
      </c>
    </row>
    <row r="5425" spans="1:14">
      <c r="A5425">
        <v>22050102</v>
      </c>
      <c r="B5425">
        <v>3012625</v>
      </c>
      <c r="C5425" t="s">
        <v>2817</v>
      </c>
      <c r="D5425" t="s">
        <v>441</v>
      </c>
      <c r="F5425">
        <v>0</v>
      </c>
      <c r="H5425" t="s">
        <v>8588</v>
      </c>
      <c r="I5425">
        <v>365</v>
      </c>
      <c r="J5425" t="s">
        <v>445</v>
      </c>
      <c r="M5425">
        <v>7113</v>
      </c>
      <c r="N5425" t="s">
        <v>16202</v>
      </c>
    </row>
    <row r="5426" spans="1:14">
      <c r="A5426">
        <v>22050103</v>
      </c>
      <c r="B5426">
        <v>3026639</v>
      </c>
      <c r="C5426" t="s">
        <v>2818</v>
      </c>
      <c r="D5426" t="s">
        <v>441</v>
      </c>
      <c r="F5426">
        <v>0</v>
      </c>
      <c r="G5426">
        <v>8.2200000000000006</v>
      </c>
      <c r="H5426" t="s">
        <v>8588</v>
      </c>
      <c r="I5426">
        <v>365</v>
      </c>
      <c r="J5426" t="s">
        <v>445</v>
      </c>
      <c r="M5426">
        <v>0</v>
      </c>
    </row>
    <row r="5427" spans="1:14">
      <c r="A5427">
        <v>22050110</v>
      </c>
      <c r="B5427">
        <v>3012667</v>
      </c>
      <c r="C5427" t="s">
        <v>14383</v>
      </c>
      <c r="D5427" t="s">
        <v>441</v>
      </c>
      <c r="F5427">
        <v>0</v>
      </c>
      <c r="H5427" t="s">
        <v>8588</v>
      </c>
      <c r="I5427">
        <v>6</v>
      </c>
      <c r="J5427" t="s">
        <v>445</v>
      </c>
      <c r="M5427">
        <v>7161</v>
      </c>
      <c r="N5427" t="s">
        <v>16202</v>
      </c>
    </row>
    <row r="5428" spans="1:14">
      <c r="A5428">
        <v>22050112</v>
      </c>
      <c r="B5428">
        <v>3032763</v>
      </c>
      <c r="C5428" t="s">
        <v>2819</v>
      </c>
      <c r="D5428" t="s">
        <v>441</v>
      </c>
      <c r="F5428">
        <v>0</v>
      </c>
      <c r="H5428" t="s">
        <v>8588</v>
      </c>
      <c r="I5428">
        <v>365</v>
      </c>
      <c r="J5428" t="s">
        <v>445</v>
      </c>
      <c r="M5428">
        <v>7113</v>
      </c>
      <c r="N5428" t="s">
        <v>16202</v>
      </c>
    </row>
    <row r="5429" spans="1:14">
      <c r="A5429">
        <v>22050120</v>
      </c>
      <c r="B5429">
        <v>3029778</v>
      </c>
      <c r="C5429" t="s">
        <v>2820</v>
      </c>
      <c r="D5429" t="s">
        <v>441</v>
      </c>
      <c r="F5429">
        <v>0</v>
      </c>
      <c r="H5429" t="s">
        <v>8588</v>
      </c>
      <c r="I5429">
        <v>365</v>
      </c>
      <c r="J5429" t="s">
        <v>445</v>
      </c>
      <c r="M5429">
        <v>7161</v>
      </c>
      <c r="N5429" t="s">
        <v>16202</v>
      </c>
    </row>
    <row r="5430" spans="1:14">
      <c r="A5430">
        <v>22050122</v>
      </c>
      <c r="B5430">
        <v>3034409</v>
      </c>
      <c r="C5430" t="s">
        <v>10885</v>
      </c>
      <c r="D5430" t="s">
        <v>441</v>
      </c>
      <c r="F5430">
        <v>0</v>
      </c>
      <c r="H5430" t="s">
        <v>8549</v>
      </c>
      <c r="I5430">
        <v>365</v>
      </c>
      <c r="J5430" t="s">
        <v>445</v>
      </c>
      <c r="K5430" t="s">
        <v>446</v>
      </c>
      <c r="M5430">
        <v>0</v>
      </c>
      <c r="N5430" t="s">
        <v>16202</v>
      </c>
    </row>
    <row r="5431" spans="1:14">
      <c r="A5431">
        <v>22050130</v>
      </c>
      <c r="B5431">
        <v>3033614</v>
      </c>
      <c r="C5431" t="s">
        <v>10886</v>
      </c>
      <c r="D5431" t="s">
        <v>441</v>
      </c>
      <c r="F5431">
        <v>0</v>
      </c>
      <c r="H5431" t="s">
        <v>8588</v>
      </c>
      <c r="I5431">
        <v>6</v>
      </c>
      <c r="J5431" t="s">
        <v>445</v>
      </c>
      <c r="M5431">
        <v>7161</v>
      </c>
      <c r="N5431" t="s">
        <v>16202</v>
      </c>
    </row>
    <row r="5432" spans="1:14">
      <c r="A5432">
        <v>22050132</v>
      </c>
      <c r="B5432">
        <v>3033978</v>
      </c>
      <c r="C5432" t="s">
        <v>2821</v>
      </c>
      <c r="D5432" t="s">
        <v>441</v>
      </c>
      <c r="F5432">
        <v>0</v>
      </c>
      <c r="H5432" t="s">
        <v>8549</v>
      </c>
      <c r="I5432">
        <v>365</v>
      </c>
      <c r="J5432" t="s">
        <v>445</v>
      </c>
      <c r="M5432">
        <v>7113</v>
      </c>
      <c r="N5432" t="s">
        <v>16202</v>
      </c>
    </row>
    <row r="5433" spans="1:14">
      <c r="A5433">
        <v>22050140</v>
      </c>
      <c r="B5433">
        <v>3033616</v>
      </c>
      <c r="C5433" t="s">
        <v>10887</v>
      </c>
      <c r="D5433" t="s">
        <v>441</v>
      </c>
      <c r="F5433">
        <v>0</v>
      </c>
      <c r="H5433" t="s">
        <v>8588</v>
      </c>
      <c r="I5433">
        <v>6</v>
      </c>
      <c r="J5433" t="s">
        <v>445</v>
      </c>
      <c r="M5433">
        <v>7161</v>
      </c>
      <c r="N5433" t="s">
        <v>16202</v>
      </c>
    </row>
    <row r="5434" spans="1:14">
      <c r="A5434">
        <v>22050142</v>
      </c>
      <c r="B5434">
        <v>3033609</v>
      </c>
      <c r="C5434" t="s">
        <v>10888</v>
      </c>
      <c r="D5434" t="s">
        <v>441</v>
      </c>
      <c r="F5434">
        <v>0</v>
      </c>
      <c r="H5434" t="s">
        <v>8588</v>
      </c>
      <c r="I5434">
        <v>729</v>
      </c>
      <c r="J5434" t="s">
        <v>445</v>
      </c>
      <c r="M5434">
        <v>7113</v>
      </c>
      <c r="N5434" t="s">
        <v>16202</v>
      </c>
    </row>
    <row r="5435" spans="1:14">
      <c r="A5435">
        <v>22050150</v>
      </c>
      <c r="B5435">
        <v>3035560</v>
      </c>
      <c r="C5435" t="s">
        <v>15456</v>
      </c>
      <c r="D5435" t="s">
        <v>441</v>
      </c>
      <c r="F5435">
        <v>0</v>
      </c>
      <c r="G5435">
        <v>11.8</v>
      </c>
      <c r="H5435" t="s">
        <v>8588</v>
      </c>
      <c r="I5435">
        <v>6</v>
      </c>
      <c r="J5435" t="s">
        <v>445</v>
      </c>
      <c r="M5435">
        <v>0</v>
      </c>
      <c r="N5435" t="s">
        <v>16202</v>
      </c>
    </row>
    <row r="5436" spans="1:14">
      <c r="A5436">
        <v>22050152</v>
      </c>
      <c r="B5436">
        <v>3013455</v>
      </c>
      <c r="C5436" t="s">
        <v>2822</v>
      </c>
      <c r="D5436" t="s">
        <v>441</v>
      </c>
      <c r="F5436">
        <v>0</v>
      </c>
      <c r="G5436">
        <v>6.3</v>
      </c>
      <c r="H5436" t="s">
        <v>8588</v>
      </c>
      <c r="I5436">
        <v>365</v>
      </c>
      <c r="J5436" t="s">
        <v>445</v>
      </c>
      <c r="M5436">
        <v>0</v>
      </c>
      <c r="N5436" t="s">
        <v>16202</v>
      </c>
    </row>
    <row r="5437" spans="1:14">
      <c r="A5437">
        <v>22050160</v>
      </c>
      <c r="B5437">
        <v>3035902</v>
      </c>
      <c r="C5437" t="s">
        <v>10889</v>
      </c>
      <c r="D5437" t="s">
        <v>441</v>
      </c>
      <c r="F5437">
        <v>0</v>
      </c>
      <c r="H5437" t="s">
        <v>8588</v>
      </c>
      <c r="I5437">
        <v>6</v>
      </c>
      <c r="J5437" t="s">
        <v>445</v>
      </c>
      <c r="M5437">
        <v>7161</v>
      </c>
      <c r="N5437" t="s">
        <v>16202</v>
      </c>
    </row>
    <row r="5438" spans="1:14">
      <c r="A5438">
        <v>22050170</v>
      </c>
      <c r="B5438">
        <v>3012639</v>
      </c>
      <c r="C5438" t="s">
        <v>17443</v>
      </c>
      <c r="D5438" t="s">
        <v>441</v>
      </c>
      <c r="F5438">
        <v>0</v>
      </c>
      <c r="G5438">
        <v>11.84</v>
      </c>
      <c r="H5438" t="s">
        <v>8588</v>
      </c>
      <c r="I5438">
        <v>6</v>
      </c>
      <c r="J5438" t="s">
        <v>445</v>
      </c>
      <c r="M5438">
        <v>0</v>
      </c>
      <c r="N5438" t="s">
        <v>16202</v>
      </c>
    </row>
    <row r="5439" spans="1:14">
      <c r="A5439">
        <v>22050180</v>
      </c>
      <c r="B5439">
        <v>3038913</v>
      </c>
      <c r="C5439" t="s">
        <v>17444</v>
      </c>
      <c r="D5439" t="s">
        <v>441</v>
      </c>
      <c r="F5439">
        <v>0</v>
      </c>
      <c r="G5439">
        <v>11.72</v>
      </c>
      <c r="H5439" t="s">
        <v>8588</v>
      </c>
      <c r="I5439">
        <v>6</v>
      </c>
      <c r="J5439" t="s">
        <v>445</v>
      </c>
      <c r="M5439">
        <v>0</v>
      </c>
      <c r="N5439" t="s">
        <v>16202</v>
      </c>
    </row>
    <row r="5440" spans="1:14">
      <c r="A5440">
        <v>22050202</v>
      </c>
      <c r="B5440">
        <v>3039579</v>
      </c>
      <c r="C5440" t="s">
        <v>10890</v>
      </c>
      <c r="D5440" t="s">
        <v>441</v>
      </c>
      <c r="F5440">
        <v>0</v>
      </c>
      <c r="G5440">
        <v>5.78</v>
      </c>
      <c r="H5440" t="s">
        <v>8588</v>
      </c>
      <c r="I5440">
        <v>730</v>
      </c>
      <c r="J5440" t="s">
        <v>445</v>
      </c>
      <c r="M5440">
        <v>7113</v>
      </c>
      <c r="N5440" t="s">
        <v>16202</v>
      </c>
    </row>
    <row r="5441" spans="1:14">
      <c r="A5441">
        <v>22050620</v>
      </c>
      <c r="B5441">
        <v>3032150</v>
      </c>
      <c r="C5441" t="s">
        <v>10891</v>
      </c>
      <c r="D5441" t="s">
        <v>441</v>
      </c>
      <c r="F5441">
        <v>0</v>
      </c>
      <c r="G5441">
        <v>5.22</v>
      </c>
      <c r="H5441" t="s">
        <v>8588</v>
      </c>
      <c r="I5441">
        <v>4</v>
      </c>
      <c r="J5441" t="s">
        <v>445</v>
      </c>
      <c r="M5441">
        <v>2510</v>
      </c>
      <c r="N5441" t="s">
        <v>16202</v>
      </c>
    </row>
    <row r="5442" spans="1:14">
      <c r="A5442">
        <v>22052000</v>
      </c>
      <c r="B5442">
        <v>3009578</v>
      </c>
      <c r="C5442" t="s">
        <v>10892</v>
      </c>
      <c r="D5442" t="s">
        <v>441</v>
      </c>
      <c r="F5442">
        <v>0</v>
      </c>
      <c r="G5442">
        <v>0</v>
      </c>
      <c r="H5442" t="s">
        <v>8588</v>
      </c>
      <c r="I5442">
        <v>6</v>
      </c>
      <c r="J5442" t="s">
        <v>445</v>
      </c>
      <c r="M5442">
        <v>2391</v>
      </c>
      <c r="N5442" t="s">
        <v>16222</v>
      </c>
    </row>
    <row r="5443" spans="1:14">
      <c r="A5443">
        <v>22052002</v>
      </c>
      <c r="B5443">
        <v>3020153</v>
      </c>
      <c r="C5443" t="s">
        <v>10893</v>
      </c>
      <c r="D5443" t="s">
        <v>441</v>
      </c>
      <c r="F5443">
        <v>0</v>
      </c>
      <c r="G5443">
        <v>5.27</v>
      </c>
      <c r="H5443" t="s">
        <v>8588</v>
      </c>
      <c r="I5443">
        <v>365</v>
      </c>
      <c r="J5443" t="s">
        <v>445</v>
      </c>
      <c r="M5443">
        <v>7111</v>
      </c>
      <c r="N5443" t="s">
        <v>16222</v>
      </c>
    </row>
    <row r="5444" spans="1:14">
      <c r="A5444">
        <v>22052007</v>
      </c>
      <c r="B5444">
        <v>3024993</v>
      </c>
      <c r="C5444" t="s">
        <v>14384</v>
      </c>
      <c r="D5444" t="s">
        <v>441</v>
      </c>
      <c r="F5444">
        <v>0</v>
      </c>
      <c r="G5444">
        <v>9.1300000000000008</v>
      </c>
      <c r="H5444" t="s">
        <v>8588</v>
      </c>
      <c r="I5444">
        <v>6</v>
      </c>
      <c r="J5444" t="s">
        <v>445</v>
      </c>
      <c r="M5444">
        <v>3113</v>
      </c>
      <c r="N5444" t="s">
        <v>16222</v>
      </c>
    </row>
    <row r="5445" spans="1:14">
      <c r="A5445">
        <v>22052300</v>
      </c>
      <c r="B5445">
        <v>3043056</v>
      </c>
      <c r="C5445" t="s">
        <v>10894</v>
      </c>
      <c r="D5445" t="s">
        <v>441</v>
      </c>
      <c r="F5445">
        <v>0</v>
      </c>
      <c r="G5445">
        <v>7.6</v>
      </c>
      <c r="H5445" t="s">
        <v>8549</v>
      </c>
      <c r="I5445">
        <v>6</v>
      </c>
      <c r="J5445" t="s">
        <v>445</v>
      </c>
      <c r="M5445">
        <v>2391</v>
      </c>
      <c r="N5445" t="s">
        <v>16222</v>
      </c>
    </row>
    <row r="5446" spans="1:14">
      <c r="A5446">
        <v>22052502</v>
      </c>
      <c r="B5446">
        <v>3020152</v>
      </c>
      <c r="C5446" t="s">
        <v>10895</v>
      </c>
      <c r="D5446" t="s">
        <v>441</v>
      </c>
      <c r="F5446">
        <v>0</v>
      </c>
      <c r="G5446">
        <v>4.9400000000000004</v>
      </c>
      <c r="H5446" t="s">
        <v>8580</v>
      </c>
      <c r="I5446">
        <v>365</v>
      </c>
      <c r="J5446" t="s">
        <v>445</v>
      </c>
      <c r="M5446">
        <v>2502</v>
      </c>
      <c r="N5446" t="s">
        <v>16222</v>
      </c>
    </row>
    <row r="5447" spans="1:14">
      <c r="A5447">
        <v>22052602</v>
      </c>
      <c r="B5447">
        <v>3020154</v>
      </c>
      <c r="C5447" t="s">
        <v>10896</v>
      </c>
      <c r="D5447" t="s">
        <v>441</v>
      </c>
      <c r="F5447">
        <v>0</v>
      </c>
      <c r="G5447">
        <v>5.44</v>
      </c>
      <c r="H5447" t="s">
        <v>8588</v>
      </c>
      <c r="I5447">
        <v>4</v>
      </c>
      <c r="J5447" t="s">
        <v>445</v>
      </c>
      <c r="M5447">
        <v>2510</v>
      </c>
      <c r="N5447" t="s">
        <v>16222</v>
      </c>
    </row>
    <row r="5448" spans="1:14">
      <c r="A5448">
        <v>22052900</v>
      </c>
      <c r="B5448">
        <v>3020301</v>
      </c>
      <c r="C5448" t="s">
        <v>10897</v>
      </c>
      <c r="D5448" t="s">
        <v>441</v>
      </c>
      <c r="F5448">
        <v>0</v>
      </c>
      <c r="G5448">
        <v>4</v>
      </c>
      <c r="H5448" t="s">
        <v>8584</v>
      </c>
      <c r="I5448">
        <v>6</v>
      </c>
      <c r="J5448" t="s">
        <v>445</v>
      </c>
      <c r="K5448" t="s">
        <v>446</v>
      </c>
      <c r="M5448">
        <v>6666</v>
      </c>
    </row>
    <row r="5449" spans="1:14">
      <c r="A5449">
        <v>22052902</v>
      </c>
      <c r="B5449">
        <v>3020918</v>
      </c>
      <c r="C5449" t="s">
        <v>10898</v>
      </c>
      <c r="D5449" t="s">
        <v>441</v>
      </c>
      <c r="F5449">
        <v>0</v>
      </c>
      <c r="H5449" t="s">
        <v>8584</v>
      </c>
      <c r="I5449">
        <v>4</v>
      </c>
      <c r="J5449" t="s">
        <v>445</v>
      </c>
      <c r="M5449">
        <v>6666</v>
      </c>
      <c r="N5449" t="s">
        <v>16222</v>
      </c>
    </row>
    <row r="5450" spans="1:14">
      <c r="A5450">
        <v>22052907</v>
      </c>
      <c r="B5450">
        <v>3025253</v>
      </c>
      <c r="C5450" t="s">
        <v>14385</v>
      </c>
      <c r="D5450" t="s">
        <v>441</v>
      </c>
      <c r="F5450">
        <v>0</v>
      </c>
      <c r="G5450">
        <v>0</v>
      </c>
      <c r="H5450" t="s">
        <v>8580</v>
      </c>
      <c r="I5450">
        <v>6</v>
      </c>
      <c r="J5450" t="s">
        <v>445</v>
      </c>
      <c r="M5450">
        <v>6666</v>
      </c>
      <c r="N5450" t="s">
        <v>16222</v>
      </c>
    </row>
    <row r="5451" spans="1:14">
      <c r="A5451">
        <v>22053000</v>
      </c>
      <c r="B5451">
        <v>3016308</v>
      </c>
      <c r="C5451" t="s">
        <v>10899</v>
      </c>
      <c r="D5451" t="s">
        <v>441</v>
      </c>
      <c r="F5451">
        <v>0</v>
      </c>
      <c r="G5451">
        <v>4.8499999999999996</v>
      </c>
      <c r="H5451" t="s">
        <v>8549</v>
      </c>
      <c r="I5451">
        <v>6</v>
      </c>
      <c r="J5451" t="s">
        <v>445</v>
      </c>
      <c r="M5451">
        <v>2391</v>
      </c>
      <c r="N5451" t="s">
        <v>16202</v>
      </c>
    </row>
    <row r="5452" spans="1:14">
      <c r="A5452">
        <v>22053007</v>
      </c>
      <c r="B5452">
        <v>3024994</v>
      </c>
      <c r="C5452" t="s">
        <v>14386</v>
      </c>
      <c r="D5452" t="s">
        <v>441</v>
      </c>
      <c r="F5452">
        <v>0</v>
      </c>
      <c r="G5452">
        <v>9.1300000000000008</v>
      </c>
      <c r="H5452" t="s">
        <v>8935</v>
      </c>
      <c r="I5452">
        <v>6</v>
      </c>
      <c r="J5452" t="s">
        <v>445</v>
      </c>
      <c r="M5452">
        <v>3113</v>
      </c>
      <c r="N5452" t="s">
        <v>16202</v>
      </c>
    </row>
    <row r="5453" spans="1:14">
      <c r="A5453">
        <v>22053700</v>
      </c>
      <c r="B5453">
        <v>3032641</v>
      </c>
      <c r="C5453" t="s">
        <v>10900</v>
      </c>
      <c r="D5453" t="s">
        <v>441</v>
      </c>
      <c r="F5453">
        <v>0</v>
      </c>
      <c r="G5453">
        <v>7.6</v>
      </c>
      <c r="H5453" t="s">
        <v>8549</v>
      </c>
      <c r="I5453">
        <v>6</v>
      </c>
      <c r="J5453" t="s">
        <v>445</v>
      </c>
      <c r="M5453">
        <v>2391</v>
      </c>
      <c r="N5453" t="s">
        <v>16202</v>
      </c>
    </row>
    <row r="5454" spans="1:14">
      <c r="A5454">
        <v>22053707</v>
      </c>
      <c r="B5454">
        <v>3032653</v>
      </c>
      <c r="C5454" t="s">
        <v>10901</v>
      </c>
      <c r="D5454" t="s">
        <v>441</v>
      </c>
      <c r="F5454">
        <v>0</v>
      </c>
      <c r="G5454">
        <v>7.64</v>
      </c>
      <c r="H5454" t="s">
        <v>8588</v>
      </c>
      <c r="I5454">
        <v>6</v>
      </c>
      <c r="J5454" t="s">
        <v>445</v>
      </c>
      <c r="M5454">
        <v>2391</v>
      </c>
      <c r="N5454" t="s">
        <v>16202</v>
      </c>
    </row>
    <row r="5455" spans="1:14">
      <c r="A5455">
        <v>22053775</v>
      </c>
      <c r="B5455">
        <v>3032651</v>
      </c>
      <c r="C5455" t="s">
        <v>10902</v>
      </c>
      <c r="D5455" t="s">
        <v>441</v>
      </c>
      <c r="F5455">
        <v>0</v>
      </c>
      <c r="G5455">
        <v>7.76</v>
      </c>
      <c r="H5455" t="s">
        <v>8588</v>
      </c>
      <c r="I5455">
        <v>6</v>
      </c>
      <c r="J5455" t="s">
        <v>445</v>
      </c>
      <c r="M5455">
        <v>7112</v>
      </c>
      <c r="N5455" t="s">
        <v>16202</v>
      </c>
    </row>
    <row r="5456" spans="1:14">
      <c r="A5456">
        <v>22053900</v>
      </c>
      <c r="B5456">
        <v>3020302</v>
      </c>
      <c r="C5456" t="s">
        <v>10903</v>
      </c>
      <c r="D5456" t="s">
        <v>441</v>
      </c>
      <c r="F5456">
        <v>0</v>
      </c>
      <c r="G5456">
        <v>0</v>
      </c>
      <c r="H5456" t="s">
        <v>8584</v>
      </c>
      <c r="I5456">
        <v>6</v>
      </c>
      <c r="J5456" t="s">
        <v>445</v>
      </c>
      <c r="M5456">
        <v>6666</v>
      </c>
      <c r="N5456" t="s">
        <v>16202</v>
      </c>
    </row>
    <row r="5457" spans="1:14">
      <c r="A5457">
        <v>22053907</v>
      </c>
      <c r="B5457">
        <v>3025254</v>
      </c>
      <c r="C5457" t="s">
        <v>14387</v>
      </c>
      <c r="D5457" t="s">
        <v>441</v>
      </c>
      <c r="F5457">
        <v>0</v>
      </c>
      <c r="G5457">
        <v>0</v>
      </c>
      <c r="H5457" t="s">
        <v>8584</v>
      </c>
      <c r="I5457">
        <v>6</v>
      </c>
      <c r="J5457" t="s">
        <v>445</v>
      </c>
      <c r="M5457">
        <v>6666</v>
      </c>
      <c r="N5457" t="s">
        <v>16202</v>
      </c>
    </row>
    <row r="5458" spans="1:14">
      <c r="A5458">
        <v>22054000</v>
      </c>
      <c r="B5458">
        <v>3023082</v>
      </c>
      <c r="C5458" t="s">
        <v>10904</v>
      </c>
      <c r="D5458" t="s">
        <v>441</v>
      </c>
      <c r="F5458">
        <v>0</v>
      </c>
      <c r="G5458">
        <v>4.8499999999999996</v>
      </c>
      <c r="H5458" t="s">
        <v>8588</v>
      </c>
      <c r="I5458">
        <v>6</v>
      </c>
      <c r="J5458" t="s">
        <v>445</v>
      </c>
      <c r="M5458">
        <v>2391</v>
      </c>
      <c r="N5458" t="s">
        <v>16202</v>
      </c>
    </row>
    <row r="5459" spans="1:14">
      <c r="A5459">
        <v>22054007</v>
      </c>
      <c r="B5459">
        <v>3024995</v>
      </c>
      <c r="C5459" t="s">
        <v>10905</v>
      </c>
      <c r="D5459" t="s">
        <v>441</v>
      </c>
      <c r="F5459">
        <v>0</v>
      </c>
      <c r="G5459">
        <v>7.18</v>
      </c>
      <c r="H5459" t="s">
        <v>8935</v>
      </c>
      <c r="I5459">
        <v>6</v>
      </c>
      <c r="J5459" t="s">
        <v>445</v>
      </c>
      <c r="K5459" t="s">
        <v>446</v>
      </c>
      <c r="M5459">
        <v>3111</v>
      </c>
    </row>
    <row r="5460" spans="1:14">
      <c r="A5460">
        <v>22054022</v>
      </c>
      <c r="B5460">
        <v>3040951</v>
      </c>
      <c r="C5460" t="s">
        <v>10906</v>
      </c>
      <c r="D5460" t="s">
        <v>441</v>
      </c>
      <c r="F5460">
        <v>0</v>
      </c>
      <c r="G5460">
        <v>5.27</v>
      </c>
      <c r="H5460" t="s">
        <v>8588</v>
      </c>
      <c r="I5460">
        <v>365</v>
      </c>
      <c r="J5460" t="s">
        <v>445</v>
      </c>
      <c r="M5460">
        <v>7111</v>
      </c>
      <c r="N5460" t="s">
        <v>16222</v>
      </c>
    </row>
    <row r="5461" spans="1:14">
      <c r="A5461">
        <v>22054075</v>
      </c>
      <c r="B5461">
        <v>3023080</v>
      </c>
      <c r="C5461" t="s">
        <v>10907</v>
      </c>
      <c r="D5461" t="s">
        <v>441</v>
      </c>
      <c r="F5461">
        <v>0</v>
      </c>
      <c r="G5461">
        <v>7.21</v>
      </c>
      <c r="H5461" t="s">
        <v>8588</v>
      </c>
      <c r="I5461">
        <v>6</v>
      </c>
      <c r="J5461" t="s">
        <v>445</v>
      </c>
      <c r="K5461" t="s">
        <v>446</v>
      </c>
      <c r="M5461">
        <v>2641</v>
      </c>
    </row>
    <row r="5462" spans="1:14">
      <c r="A5462">
        <v>22054170</v>
      </c>
      <c r="B5462">
        <v>3038302</v>
      </c>
      <c r="C5462" t="s">
        <v>15970</v>
      </c>
      <c r="D5462" t="s">
        <v>441</v>
      </c>
      <c r="F5462">
        <v>0</v>
      </c>
      <c r="G5462">
        <v>11.79</v>
      </c>
      <c r="H5462" t="s">
        <v>8588</v>
      </c>
      <c r="I5462">
        <v>6</v>
      </c>
      <c r="J5462" t="s">
        <v>445</v>
      </c>
      <c r="M5462">
        <v>0</v>
      </c>
      <c r="N5462" t="s">
        <v>16202</v>
      </c>
    </row>
    <row r="5463" spans="1:14">
      <c r="A5463">
        <v>22054200</v>
      </c>
      <c r="B5463">
        <v>3038282</v>
      </c>
      <c r="C5463" t="s">
        <v>10908</v>
      </c>
      <c r="D5463" t="s">
        <v>441</v>
      </c>
      <c r="F5463">
        <v>0</v>
      </c>
      <c r="G5463">
        <v>5</v>
      </c>
      <c r="H5463" t="s">
        <v>8549</v>
      </c>
      <c r="I5463">
        <v>6</v>
      </c>
      <c r="J5463" t="s">
        <v>445</v>
      </c>
      <c r="M5463">
        <v>2391</v>
      </c>
      <c r="N5463" t="s">
        <v>16222</v>
      </c>
    </row>
    <row r="5464" spans="1:14">
      <c r="A5464">
        <v>22054207</v>
      </c>
      <c r="B5464">
        <v>3039236</v>
      </c>
      <c r="C5464" t="s">
        <v>8543</v>
      </c>
      <c r="D5464" t="s">
        <v>441</v>
      </c>
      <c r="F5464">
        <v>0</v>
      </c>
      <c r="G5464">
        <v>4.9400000000000004</v>
      </c>
      <c r="H5464" t="s">
        <v>8588</v>
      </c>
      <c r="I5464">
        <v>6</v>
      </c>
      <c r="J5464" t="s">
        <v>445</v>
      </c>
      <c r="M5464">
        <v>3113</v>
      </c>
      <c r="N5464" t="s">
        <v>16222</v>
      </c>
    </row>
    <row r="5465" spans="1:14">
      <c r="A5465">
        <v>22054522</v>
      </c>
      <c r="B5465">
        <v>3039179</v>
      </c>
      <c r="C5465" t="s">
        <v>10909</v>
      </c>
      <c r="D5465" t="s">
        <v>441</v>
      </c>
      <c r="F5465">
        <v>0</v>
      </c>
      <c r="G5465">
        <v>4.9400000000000004</v>
      </c>
      <c r="H5465" t="s">
        <v>8588</v>
      </c>
      <c r="I5465">
        <v>6</v>
      </c>
      <c r="J5465" t="s">
        <v>445</v>
      </c>
      <c r="M5465">
        <v>2502</v>
      </c>
      <c r="N5465" t="s">
        <v>16222</v>
      </c>
    </row>
    <row r="5466" spans="1:14">
      <c r="A5466">
        <v>22054622</v>
      </c>
      <c r="B5466">
        <v>3039244</v>
      </c>
      <c r="C5466" t="s">
        <v>10910</v>
      </c>
      <c r="D5466" t="s">
        <v>441</v>
      </c>
      <c r="F5466">
        <v>0</v>
      </c>
      <c r="G5466">
        <v>5.44</v>
      </c>
      <c r="H5466" t="s">
        <v>8588</v>
      </c>
      <c r="I5466">
        <v>5</v>
      </c>
      <c r="J5466" t="s">
        <v>445</v>
      </c>
      <c r="M5466">
        <v>2510</v>
      </c>
      <c r="N5466" t="s">
        <v>16222</v>
      </c>
    </row>
    <row r="5467" spans="1:14">
      <c r="A5467">
        <v>22054900</v>
      </c>
      <c r="B5467">
        <v>3023150</v>
      </c>
      <c r="C5467" t="s">
        <v>10911</v>
      </c>
      <c r="D5467" t="s">
        <v>441</v>
      </c>
      <c r="F5467">
        <v>0</v>
      </c>
      <c r="G5467">
        <v>0</v>
      </c>
      <c r="H5467" t="s">
        <v>8580</v>
      </c>
      <c r="I5467">
        <v>6</v>
      </c>
      <c r="J5467" t="s">
        <v>445</v>
      </c>
      <c r="M5467">
        <v>6666</v>
      </c>
      <c r="N5467" t="s">
        <v>16202</v>
      </c>
    </row>
    <row r="5468" spans="1:14">
      <c r="A5468">
        <v>22054907</v>
      </c>
      <c r="B5468">
        <v>3025255</v>
      </c>
      <c r="C5468" t="s">
        <v>10912</v>
      </c>
      <c r="D5468" t="s">
        <v>441</v>
      </c>
      <c r="F5468">
        <v>0</v>
      </c>
      <c r="G5468">
        <v>0</v>
      </c>
      <c r="H5468" t="s">
        <v>8584</v>
      </c>
      <c r="I5468">
        <v>6</v>
      </c>
      <c r="J5468" t="s">
        <v>445</v>
      </c>
      <c r="K5468" t="s">
        <v>446</v>
      </c>
      <c r="M5468">
        <v>6666</v>
      </c>
    </row>
    <row r="5469" spans="1:14">
      <c r="A5469">
        <v>22054922</v>
      </c>
      <c r="B5469">
        <v>3039257</v>
      </c>
      <c r="C5469" t="s">
        <v>10913</v>
      </c>
      <c r="D5469" t="s">
        <v>441</v>
      </c>
      <c r="F5469">
        <v>0</v>
      </c>
      <c r="G5469">
        <v>5.35</v>
      </c>
      <c r="H5469" t="s">
        <v>8580</v>
      </c>
      <c r="I5469">
        <v>5</v>
      </c>
      <c r="J5469" t="s">
        <v>445</v>
      </c>
      <c r="M5469">
        <v>6666</v>
      </c>
      <c r="N5469" t="s">
        <v>16222</v>
      </c>
    </row>
    <row r="5470" spans="1:14">
      <c r="A5470">
        <v>22054927</v>
      </c>
      <c r="B5470">
        <v>3039246</v>
      </c>
      <c r="C5470" t="s">
        <v>10914</v>
      </c>
      <c r="D5470" t="s">
        <v>441</v>
      </c>
      <c r="F5470">
        <v>0</v>
      </c>
      <c r="H5470" t="s">
        <v>8935</v>
      </c>
      <c r="I5470">
        <v>6</v>
      </c>
      <c r="J5470" t="s">
        <v>445</v>
      </c>
      <c r="M5470">
        <v>6666</v>
      </c>
      <c r="N5470" t="s">
        <v>16222</v>
      </c>
    </row>
    <row r="5471" spans="1:14">
      <c r="A5471">
        <v>22055000</v>
      </c>
      <c r="B5471">
        <v>3011134</v>
      </c>
      <c r="C5471" t="s">
        <v>10915</v>
      </c>
      <c r="D5471" t="s">
        <v>441</v>
      </c>
      <c r="F5471">
        <v>0</v>
      </c>
      <c r="G5471">
        <v>5.3</v>
      </c>
      <c r="H5471" t="s">
        <v>8634</v>
      </c>
      <c r="I5471">
        <v>6</v>
      </c>
      <c r="J5471" t="s">
        <v>445</v>
      </c>
      <c r="K5471" t="s">
        <v>446</v>
      </c>
      <c r="M5471">
        <v>2390</v>
      </c>
    </row>
    <row r="5472" spans="1:14">
      <c r="A5472">
        <v>22055075</v>
      </c>
      <c r="B5472">
        <v>3011133</v>
      </c>
      <c r="C5472" t="s">
        <v>10916</v>
      </c>
      <c r="D5472" t="s">
        <v>441</v>
      </c>
      <c r="F5472">
        <v>0</v>
      </c>
      <c r="G5472">
        <v>7.28</v>
      </c>
      <c r="H5472" t="s">
        <v>8588</v>
      </c>
      <c r="I5472">
        <v>6</v>
      </c>
      <c r="J5472" t="s">
        <v>445</v>
      </c>
      <c r="K5472" t="s">
        <v>446</v>
      </c>
      <c r="M5472">
        <v>2641</v>
      </c>
    </row>
    <row r="5473" spans="1:14">
      <c r="A5473">
        <v>22055080</v>
      </c>
      <c r="B5473">
        <v>3011791</v>
      </c>
      <c r="C5473" t="s">
        <v>10917</v>
      </c>
      <c r="D5473" t="s">
        <v>441</v>
      </c>
      <c r="F5473">
        <v>0</v>
      </c>
      <c r="G5473">
        <v>7.28</v>
      </c>
      <c r="H5473" t="s">
        <v>8588</v>
      </c>
      <c r="I5473">
        <v>6</v>
      </c>
      <c r="J5473" t="s">
        <v>445</v>
      </c>
      <c r="K5473" t="s">
        <v>446</v>
      </c>
      <c r="M5473">
        <v>2641</v>
      </c>
    </row>
    <row r="5474" spans="1:14">
      <c r="A5474">
        <v>22055087</v>
      </c>
      <c r="B5474">
        <v>3011790</v>
      </c>
      <c r="C5474" t="s">
        <v>10918</v>
      </c>
      <c r="D5474" t="s">
        <v>441</v>
      </c>
      <c r="F5474">
        <v>0</v>
      </c>
      <c r="G5474">
        <v>4.95</v>
      </c>
      <c r="H5474" t="s">
        <v>8588</v>
      </c>
      <c r="I5474">
        <v>6</v>
      </c>
      <c r="J5474" t="s">
        <v>445</v>
      </c>
      <c r="M5474">
        <v>7112</v>
      </c>
      <c r="N5474" t="s">
        <v>16222</v>
      </c>
    </row>
    <row r="5475" spans="1:14">
      <c r="A5475">
        <v>22055200</v>
      </c>
      <c r="B5475">
        <v>3043057</v>
      </c>
      <c r="C5475" t="s">
        <v>10919</v>
      </c>
      <c r="D5475" t="s">
        <v>441</v>
      </c>
      <c r="F5475">
        <v>0</v>
      </c>
      <c r="G5475">
        <v>7.6</v>
      </c>
      <c r="H5475" t="s">
        <v>8549</v>
      </c>
      <c r="I5475">
        <v>6</v>
      </c>
      <c r="J5475" t="s">
        <v>445</v>
      </c>
      <c r="M5475">
        <v>2391</v>
      </c>
      <c r="N5475" t="s">
        <v>16222</v>
      </c>
    </row>
    <row r="5476" spans="1:14">
      <c r="A5476">
        <v>22056000</v>
      </c>
      <c r="B5476">
        <v>3043531</v>
      </c>
      <c r="C5476" t="s">
        <v>10920</v>
      </c>
      <c r="D5476" t="s">
        <v>441</v>
      </c>
      <c r="F5476">
        <v>0</v>
      </c>
      <c r="G5476">
        <v>9</v>
      </c>
      <c r="H5476" t="s">
        <v>8549</v>
      </c>
      <c r="I5476">
        <v>6</v>
      </c>
      <c r="J5476" t="s">
        <v>445</v>
      </c>
      <c r="M5476">
        <v>2391</v>
      </c>
      <c r="N5476" t="s">
        <v>16202</v>
      </c>
    </row>
    <row r="5477" spans="1:14">
      <c r="A5477">
        <v>22056087</v>
      </c>
      <c r="B5477">
        <v>3043533</v>
      </c>
      <c r="C5477" t="s">
        <v>10921</v>
      </c>
      <c r="D5477" t="s">
        <v>441</v>
      </c>
      <c r="F5477">
        <v>0</v>
      </c>
      <c r="G5477">
        <v>9.14</v>
      </c>
      <c r="H5477" t="s">
        <v>8588</v>
      </c>
      <c r="I5477">
        <v>6</v>
      </c>
      <c r="J5477" t="s">
        <v>445</v>
      </c>
      <c r="M5477">
        <v>7112</v>
      </c>
      <c r="N5477" t="s">
        <v>16202</v>
      </c>
    </row>
    <row r="5478" spans="1:14">
      <c r="A5478">
        <v>22057000</v>
      </c>
      <c r="B5478">
        <v>3011780</v>
      </c>
      <c r="C5478" t="s">
        <v>10922</v>
      </c>
      <c r="D5478" t="s">
        <v>441</v>
      </c>
      <c r="F5478">
        <v>0</v>
      </c>
      <c r="G5478">
        <v>6.3</v>
      </c>
      <c r="H5478" t="s">
        <v>8580</v>
      </c>
      <c r="I5478">
        <v>6</v>
      </c>
      <c r="J5478" t="s">
        <v>445</v>
      </c>
      <c r="K5478" t="s">
        <v>446</v>
      </c>
      <c r="M5478">
        <v>2311</v>
      </c>
    </row>
    <row r="5479" spans="1:14">
      <c r="A5479">
        <v>22058000</v>
      </c>
      <c r="B5479">
        <v>3032640</v>
      </c>
      <c r="C5479" t="s">
        <v>10923</v>
      </c>
      <c r="D5479" t="s">
        <v>441</v>
      </c>
      <c r="F5479">
        <v>0</v>
      </c>
      <c r="G5479">
        <v>5</v>
      </c>
      <c r="H5479" t="s">
        <v>8549</v>
      </c>
      <c r="I5479">
        <v>6</v>
      </c>
      <c r="J5479" t="s">
        <v>445</v>
      </c>
      <c r="M5479">
        <v>2391</v>
      </c>
      <c r="N5479" t="s">
        <v>16202</v>
      </c>
    </row>
    <row r="5480" spans="1:14">
      <c r="A5480">
        <v>22058002</v>
      </c>
      <c r="B5480">
        <v>3042960</v>
      </c>
      <c r="C5480" t="s">
        <v>10924</v>
      </c>
      <c r="D5480" t="s">
        <v>441</v>
      </c>
      <c r="F5480">
        <v>0</v>
      </c>
      <c r="G5480">
        <v>8.1199999999999992</v>
      </c>
      <c r="H5480" t="s">
        <v>8549</v>
      </c>
      <c r="I5480">
        <v>365</v>
      </c>
      <c r="J5480" t="s">
        <v>445</v>
      </c>
      <c r="M5480">
        <v>7111</v>
      </c>
      <c r="N5480" t="s">
        <v>16202</v>
      </c>
    </row>
    <row r="5481" spans="1:14">
      <c r="A5481">
        <v>22058502</v>
      </c>
      <c r="B5481">
        <v>3042964</v>
      </c>
      <c r="C5481" t="s">
        <v>10925</v>
      </c>
      <c r="D5481" t="s">
        <v>441</v>
      </c>
      <c r="F5481">
        <v>0</v>
      </c>
      <c r="G5481">
        <v>7.72</v>
      </c>
      <c r="H5481" t="s">
        <v>8549</v>
      </c>
      <c r="I5481">
        <v>365</v>
      </c>
      <c r="J5481" t="s">
        <v>445</v>
      </c>
      <c r="M5481">
        <v>2502</v>
      </c>
      <c r="N5481" t="s">
        <v>16202</v>
      </c>
    </row>
    <row r="5482" spans="1:14">
      <c r="A5482">
        <v>22060000</v>
      </c>
      <c r="B5482">
        <v>3015997</v>
      </c>
      <c r="C5482" t="s">
        <v>10926</v>
      </c>
      <c r="D5482" t="s">
        <v>441</v>
      </c>
      <c r="F5482">
        <v>0</v>
      </c>
      <c r="G5482">
        <v>0</v>
      </c>
      <c r="H5482" t="s">
        <v>8549</v>
      </c>
      <c r="I5482">
        <v>6</v>
      </c>
      <c r="J5482" t="s">
        <v>445</v>
      </c>
      <c r="M5482">
        <v>2391</v>
      </c>
      <c r="N5482" t="s">
        <v>16170</v>
      </c>
    </row>
    <row r="5483" spans="1:14">
      <c r="A5483">
        <v>22060002</v>
      </c>
      <c r="B5483">
        <v>3007905</v>
      </c>
      <c r="C5483" t="s">
        <v>10927</v>
      </c>
      <c r="D5483" t="s">
        <v>441</v>
      </c>
      <c r="F5483">
        <v>0</v>
      </c>
      <c r="G5483">
        <v>8.9600000000000009</v>
      </c>
      <c r="H5483" t="s">
        <v>8580</v>
      </c>
      <c r="I5483">
        <v>365</v>
      </c>
      <c r="J5483" t="s">
        <v>445</v>
      </c>
      <c r="K5483" t="s">
        <v>446</v>
      </c>
      <c r="M5483">
        <v>2501</v>
      </c>
    </row>
    <row r="5484" spans="1:14">
      <c r="A5484">
        <v>22060018</v>
      </c>
      <c r="B5484">
        <v>3014432</v>
      </c>
      <c r="C5484" t="s">
        <v>10928</v>
      </c>
      <c r="D5484" t="s">
        <v>441</v>
      </c>
      <c r="F5484">
        <v>0</v>
      </c>
      <c r="G5484">
        <v>6.99</v>
      </c>
      <c r="H5484" t="s">
        <v>8588</v>
      </c>
      <c r="I5484">
        <v>365</v>
      </c>
      <c r="J5484" t="s">
        <v>445</v>
      </c>
      <c r="M5484">
        <v>7111</v>
      </c>
      <c r="N5484" t="s">
        <v>16170</v>
      </c>
    </row>
    <row r="5485" spans="1:14">
      <c r="A5485">
        <v>22060019</v>
      </c>
      <c r="B5485">
        <v>3008635</v>
      </c>
      <c r="C5485" t="s">
        <v>10929</v>
      </c>
      <c r="D5485" t="s">
        <v>441</v>
      </c>
      <c r="F5485">
        <v>0</v>
      </c>
      <c r="G5485">
        <v>8.07</v>
      </c>
      <c r="H5485" t="s">
        <v>8588</v>
      </c>
      <c r="I5485">
        <v>365</v>
      </c>
      <c r="J5485" t="s">
        <v>445</v>
      </c>
      <c r="K5485" t="s">
        <v>446</v>
      </c>
      <c r="M5485">
        <v>2501</v>
      </c>
    </row>
    <row r="5486" spans="1:14">
      <c r="A5486">
        <v>22060020</v>
      </c>
      <c r="B5486">
        <v>4007992</v>
      </c>
      <c r="C5486" t="s">
        <v>17445</v>
      </c>
      <c r="D5486" t="s">
        <v>441</v>
      </c>
      <c r="F5486">
        <v>0</v>
      </c>
      <c r="G5486">
        <v>8.83</v>
      </c>
      <c r="H5486" t="s">
        <v>8588</v>
      </c>
      <c r="I5486">
        <v>6</v>
      </c>
      <c r="J5486" t="s">
        <v>462</v>
      </c>
      <c r="L5486">
        <v>2082724</v>
      </c>
      <c r="M5486">
        <v>2641</v>
      </c>
      <c r="N5486" t="s">
        <v>16170</v>
      </c>
    </row>
    <row r="5487" spans="1:14">
      <c r="A5487">
        <v>22060030</v>
      </c>
      <c r="B5487">
        <v>4009105</v>
      </c>
      <c r="C5487" t="s">
        <v>10930</v>
      </c>
      <c r="D5487" t="s">
        <v>441</v>
      </c>
      <c r="F5487">
        <v>0</v>
      </c>
      <c r="G5487">
        <v>7.85</v>
      </c>
      <c r="H5487" t="s">
        <v>8588</v>
      </c>
      <c r="I5487">
        <v>12</v>
      </c>
      <c r="J5487" t="s">
        <v>462</v>
      </c>
      <c r="K5487" t="s">
        <v>446</v>
      </c>
      <c r="M5487">
        <v>2611</v>
      </c>
    </row>
    <row r="5488" spans="1:14">
      <c r="A5488">
        <v>22060040</v>
      </c>
      <c r="B5488">
        <v>4008929</v>
      </c>
      <c r="C5488" t="s">
        <v>17446</v>
      </c>
      <c r="D5488" t="s">
        <v>441</v>
      </c>
      <c r="F5488">
        <v>0</v>
      </c>
      <c r="G5488">
        <v>7.81</v>
      </c>
      <c r="H5488" t="s">
        <v>9295</v>
      </c>
      <c r="I5488">
        <v>11</v>
      </c>
      <c r="J5488" t="s">
        <v>462</v>
      </c>
      <c r="M5488">
        <v>2612</v>
      </c>
      <c r="N5488" t="s">
        <v>16170</v>
      </c>
    </row>
    <row r="5489" spans="1:14">
      <c r="A5489">
        <v>22060041</v>
      </c>
      <c r="B5489">
        <v>4008928</v>
      </c>
      <c r="C5489" t="s">
        <v>10931</v>
      </c>
      <c r="D5489" t="s">
        <v>441</v>
      </c>
      <c r="F5489">
        <v>0</v>
      </c>
      <c r="G5489">
        <v>7.85</v>
      </c>
      <c r="H5489" t="s">
        <v>9295</v>
      </c>
      <c r="I5489">
        <v>11</v>
      </c>
      <c r="J5489" t="s">
        <v>462</v>
      </c>
      <c r="K5489" t="s">
        <v>446</v>
      </c>
      <c r="M5489">
        <v>2612</v>
      </c>
    </row>
    <row r="5490" spans="1:14">
      <c r="A5490">
        <v>22060042</v>
      </c>
      <c r="B5490">
        <v>4008927</v>
      </c>
      <c r="C5490" t="s">
        <v>10932</v>
      </c>
      <c r="D5490" t="s">
        <v>441</v>
      </c>
      <c r="F5490">
        <v>0</v>
      </c>
      <c r="G5490">
        <v>8.23</v>
      </c>
      <c r="H5490" t="s">
        <v>9295</v>
      </c>
      <c r="I5490">
        <v>11</v>
      </c>
      <c r="J5490" t="s">
        <v>462</v>
      </c>
      <c r="K5490" t="s">
        <v>446</v>
      </c>
      <c r="M5490">
        <v>2612</v>
      </c>
    </row>
    <row r="5491" spans="1:14">
      <c r="A5491">
        <v>22060043</v>
      </c>
      <c r="B5491">
        <v>4015315</v>
      </c>
      <c r="C5491" t="s">
        <v>10933</v>
      </c>
      <c r="D5491" t="s">
        <v>441</v>
      </c>
      <c r="F5491">
        <v>0</v>
      </c>
      <c r="G5491">
        <v>7.42</v>
      </c>
      <c r="H5491" t="s">
        <v>8587</v>
      </c>
      <c r="I5491">
        <v>11</v>
      </c>
      <c r="J5491" t="s">
        <v>462</v>
      </c>
      <c r="M5491">
        <v>7112</v>
      </c>
      <c r="N5491" t="s">
        <v>16170</v>
      </c>
    </row>
    <row r="5492" spans="1:14">
      <c r="A5492">
        <v>22060075</v>
      </c>
      <c r="B5492">
        <v>3007906</v>
      </c>
      <c r="C5492" t="s">
        <v>10934</v>
      </c>
      <c r="D5492" t="s">
        <v>441</v>
      </c>
      <c r="F5492">
        <v>0</v>
      </c>
      <c r="G5492">
        <v>8.5299999999999994</v>
      </c>
      <c r="H5492" t="s">
        <v>8588</v>
      </c>
      <c r="I5492">
        <v>6</v>
      </c>
      <c r="J5492" t="s">
        <v>445</v>
      </c>
      <c r="K5492" t="s">
        <v>446</v>
      </c>
      <c r="M5492">
        <v>2641</v>
      </c>
    </row>
    <row r="5493" spans="1:14">
      <c r="A5493">
        <v>22060076</v>
      </c>
      <c r="B5493">
        <v>4008960</v>
      </c>
      <c r="C5493" t="s">
        <v>10935</v>
      </c>
      <c r="D5493" t="s">
        <v>441</v>
      </c>
      <c r="F5493">
        <v>0</v>
      </c>
      <c r="G5493">
        <v>8.7100000000000009</v>
      </c>
      <c r="H5493" t="s">
        <v>9295</v>
      </c>
      <c r="I5493">
        <v>6</v>
      </c>
      <c r="J5493" t="s">
        <v>462</v>
      </c>
      <c r="K5493" t="s">
        <v>446</v>
      </c>
      <c r="L5493">
        <v>14041</v>
      </c>
      <c r="M5493">
        <v>2641</v>
      </c>
    </row>
    <row r="5494" spans="1:14">
      <c r="A5494">
        <v>22060077</v>
      </c>
      <c r="B5494">
        <v>3012602</v>
      </c>
      <c r="C5494" t="s">
        <v>10936</v>
      </c>
      <c r="D5494" t="s">
        <v>441</v>
      </c>
      <c r="F5494">
        <v>0</v>
      </c>
      <c r="G5494">
        <v>6.67</v>
      </c>
      <c r="H5494" t="s">
        <v>8588</v>
      </c>
      <c r="I5494">
        <v>6</v>
      </c>
      <c r="J5494" t="s">
        <v>445</v>
      </c>
      <c r="L5494">
        <v>2092025</v>
      </c>
      <c r="M5494">
        <v>7112</v>
      </c>
      <c r="N5494" t="s">
        <v>16170</v>
      </c>
    </row>
    <row r="5495" spans="1:14">
      <c r="A5495">
        <v>22060080</v>
      </c>
      <c r="B5495">
        <v>3009720</v>
      </c>
      <c r="C5495" t="s">
        <v>10937</v>
      </c>
      <c r="D5495" t="s">
        <v>441</v>
      </c>
      <c r="F5495">
        <v>0</v>
      </c>
      <c r="G5495">
        <v>7.21</v>
      </c>
      <c r="H5495" t="s">
        <v>8588</v>
      </c>
      <c r="I5495">
        <v>6</v>
      </c>
      <c r="J5495" t="s">
        <v>445</v>
      </c>
      <c r="M5495">
        <v>7112</v>
      </c>
      <c r="N5495" t="s">
        <v>16170</v>
      </c>
    </row>
    <row r="5496" spans="1:14">
      <c r="A5496">
        <v>22060087</v>
      </c>
      <c r="B5496">
        <v>3012325</v>
      </c>
      <c r="C5496" t="s">
        <v>10938</v>
      </c>
      <c r="D5496" t="s">
        <v>441</v>
      </c>
      <c r="F5496">
        <v>0</v>
      </c>
      <c r="G5496">
        <v>6.66</v>
      </c>
      <c r="H5496" t="s">
        <v>8588</v>
      </c>
      <c r="I5496">
        <v>6</v>
      </c>
      <c r="J5496" t="s">
        <v>445</v>
      </c>
      <c r="M5496">
        <v>7112</v>
      </c>
      <c r="N5496" t="s">
        <v>16170</v>
      </c>
    </row>
    <row r="5497" spans="1:14">
      <c r="A5497">
        <v>22060100</v>
      </c>
      <c r="B5497">
        <v>3012669</v>
      </c>
      <c r="C5497" t="s">
        <v>2823</v>
      </c>
      <c r="D5497" t="s">
        <v>441</v>
      </c>
      <c r="F5497">
        <v>0</v>
      </c>
      <c r="H5497" t="s">
        <v>8588</v>
      </c>
      <c r="I5497">
        <v>6</v>
      </c>
      <c r="J5497" t="s">
        <v>445</v>
      </c>
      <c r="M5497">
        <v>7112</v>
      </c>
      <c r="N5497" t="s">
        <v>16170</v>
      </c>
    </row>
    <row r="5498" spans="1:14">
      <c r="A5498">
        <v>22060102</v>
      </c>
      <c r="B5498">
        <v>3026682</v>
      </c>
      <c r="C5498" t="s">
        <v>2824</v>
      </c>
      <c r="D5498" t="s">
        <v>441</v>
      </c>
      <c r="F5498">
        <v>0</v>
      </c>
      <c r="G5498">
        <v>8.2200000000000006</v>
      </c>
      <c r="H5498" t="s">
        <v>8588</v>
      </c>
      <c r="I5498">
        <v>365</v>
      </c>
      <c r="J5498" t="s">
        <v>445</v>
      </c>
      <c r="M5498">
        <v>0</v>
      </c>
    </row>
    <row r="5499" spans="1:14">
      <c r="A5499">
        <v>22060110</v>
      </c>
      <c r="B5499">
        <v>3034717</v>
      </c>
      <c r="C5499" t="s">
        <v>10939</v>
      </c>
      <c r="D5499" t="s">
        <v>441</v>
      </c>
      <c r="F5499">
        <v>0</v>
      </c>
      <c r="H5499" t="s">
        <v>8588</v>
      </c>
      <c r="I5499">
        <v>6</v>
      </c>
      <c r="J5499" t="s">
        <v>445</v>
      </c>
      <c r="K5499" t="s">
        <v>446</v>
      </c>
      <c r="M5499">
        <v>0</v>
      </c>
      <c r="N5499" t="s">
        <v>16170</v>
      </c>
    </row>
    <row r="5500" spans="1:14">
      <c r="A5500">
        <v>22060112</v>
      </c>
      <c r="B5500">
        <v>3012644</v>
      </c>
      <c r="C5500" t="s">
        <v>10940</v>
      </c>
      <c r="D5500" t="s">
        <v>441</v>
      </c>
      <c r="F5500">
        <v>0</v>
      </c>
      <c r="H5500" t="s">
        <v>8588</v>
      </c>
      <c r="I5500">
        <v>365</v>
      </c>
      <c r="J5500" t="s">
        <v>445</v>
      </c>
      <c r="M5500">
        <v>7113</v>
      </c>
      <c r="N5500" t="s">
        <v>16170</v>
      </c>
    </row>
    <row r="5501" spans="1:14">
      <c r="A5501">
        <v>22060120</v>
      </c>
      <c r="B5501">
        <v>3012640</v>
      </c>
      <c r="C5501" t="s">
        <v>2825</v>
      </c>
      <c r="D5501" t="s">
        <v>441</v>
      </c>
      <c r="F5501">
        <v>0</v>
      </c>
      <c r="H5501" t="s">
        <v>8588</v>
      </c>
      <c r="I5501">
        <v>6</v>
      </c>
      <c r="J5501" t="s">
        <v>445</v>
      </c>
      <c r="M5501">
        <v>7161</v>
      </c>
      <c r="N5501" t="s">
        <v>16170</v>
      </c>
    </row>
    <row r="5502" spans="1:14">
      <c r="A5502">
        <v>22060130</v>
      </c>
      <c r="B5502">
        <v>3037104</v>
      </c>
      <c r="C5502" t="s">
        <v>10941</v>
      </c>
      <c r="D5502" t="s">
        <v>441</v>
      </c>
      <c r="F5502">
        <v>0</v>
      </c>
      <c r="H5502" t="s">
        <v>8588</v>
      </c>
      <c r="I5502">
        <v>6</v>
      </c>
      <c r="J5502" t="s">
        <v>445</v>
      </c>
      <c r="M5502">
        <v>7161</v>
      </c>
      <c r="N5502" t="s">
        <v>16170</v>
      </c>
    </row>
    <row r="5503" spans="1:14">
      <c r="A5503">
        <v>22060132</v>
      </c>
      <c r="B5503">
        <v>3029880</v>
      </c>
      <c r="C5503" t="s">
        <v>2826</v>
      </c>
      <c r="D5503" t="s">
        <v>441</v>
      </c>
      <c r="F5503">
        <v>0</v>
      </c>
      <c r="H5503" t="s">
        <v>8588</v>
      </c>
      <c r="I5503">
        <v>365</v>
      </c>
      <c r="J5503" t="s">
        <v>445</v>
      </c>
      <c r="M5503">
        <v>7113</v>
      </c>
      <c r="N5503" t="s">
        <v>16170</v>
      </c>
    </row>
    <row r="5504" spans="1:14">
      <c r="A5504">
        <v>22060140</v>
      </c>
      <c r="B5504">
        <v>3044996</v>
      </c>
      <c r="C5504" t="s">
        <v>15562</v>
      </c>
      <c r="D5504" t="s">
        <v>441</v>
      </c>
      <c r="F5504">
        <v>0</v>
      </c>
      <c r="G5504">
        <v>6.27</v>
      </c>
      <c r="H5504" t="s">
        <v>8588</v>
      </c>
      <c r="I5504">
        <v>6</v>
      </c>
      <c r="J5504" t="s">
        <v>445</v>
      </c>
      <c r="M5504">
        <v>0</v>
      </c>
      <c r="N5504" t="s">
        <v>16170</v>
      </c>
    </row>
    <row r="5505" spans="1:14">
      <c r="A5505">
        <v>22060142</v>
      </c>
      <c r="B5505">
        <v>3033458</v>
      </c>
      <c r="C5505" t="s">
        <v>10942</v>
      </c>
      <c r="D5505" t="s">
        <v>441</v>
      </c>
      <c r="F5505">
        <v>0</v>
      </c>
      <c r="G5505">
        <v>10.57</v>
      </c>
      <c r="H5505" t="s">
        <v>8588</v>
      </c>
      <c r="I5505">
        <v>729</v>
      </c>
      <c r="J5505" t="s">
        <v>445</v>
      </c>
      <c r="M5505">
        <v>0</v>
      </c>
      <c r="N5505" t="s">
        <v>16170</v>
      </c>
    </row>
    <row r="5506" spans="1:14">
      <c r="A5506">
        <v>22060152</v>
      </c>
      <c r="B5506">
        <v>3042349</v>
      </c>
      <c r="C5506" t="s">
        <v>2827</v>
      </c>
      <c r="D5506" t="s">
        <v>441</v>
      </c>
      <c r="F5506">
        <v>0</v>
      </c>
      <c r="G5506">
        <v>5.35</v>
      </c>
      <c r="H5506" t="s">
        <v>8549</v>
      </c>
      <c r="I5506">
        <v>365</v>
      </c>
      <c r="J5506" t="s">
        <v>445</v>
      </c>
      <c r="M5506">
        <v>0</v>
      </c>
      <c r="N5506" t="s">
        <v>16170</v>
      </c>
    </row>
    <row r="5507" spans="1:14">
      <c r="A5507">
        <v>22060160</v>
      </c>
      <c r="B5507">
        <v>3033618</v>
      </c>
      <c r="C5507" t="s">
        <v>15637</v>
      </c>
      <c r="D5507" t="s">
        <v>441</v>
      </c>
      <c r="F5507">
        <v>0</v>
      </c>
      <c r="G5507">
        <v>13.81</v>
      </c>
      <c r="H5507" t="s">
        <v>8588</v>
      </c>
      <c r="I5507">
        <v>6</v>
      </c>
      <c r="J5507" t="s">
        <v>445</v>
      </c>
      <c r="M5507">
        <v>0</v>
      </c>
      <c r="N5507" t="s">
        <v>16170</v>
      </c>
    </row>
    <row r="5508" spans="1:14">
      <c r="A5508">
        <v>22060502</v>
      </c>
      <c r="B5508">
        <v>3006333</v>
      </c>
      <c r="C5508" t="s">
        <v>10943</v>
      </c>
      <c r="D5508" t="s">
        <v>441</v>
      </c>
      <c r="F5508">
        <v>0</v>
      </c>
      <c r="G5508">
        <v>8.6999999999999993</v>
      </c>
      <c r="H5508" t="s">
        <v>8584</v>
      </c>
      <c r="I5508">
        <v>6</v>
      </c>
      <c r="J5508" t="s">
        <v>445</v>
      </c>
      <c r="K5508" t="s">
        <v>446</v>
      </c>
      <c r="M5508">
        <v>2641</v>
      </c>
    </row>
    <row r="5509" spans="1:14">
      <c r="A5509">
        <v>22060518</v>
      </c>
      <c r="B5509">
        <v>3014434</v>
      </c>
      <c r="C5509" t="s">
        <v>10944</v>
      </c>
      <c r="D5509" t="s">
        <v>441</v>
      </c>
      <c r="F5509">
        <v>0</v>
      </c>
      <c r="G5509">
        <v>6.65</v>
      </c>
      <c r="H5509" t="s">
        <v>8580</v>
      </c>
      <c r="I5509">
        <v>365</v>
      </c>
      <c r="J5509" t="s">
        <v>445</v>
      </c>
      <c r="M5509">
        <v>2502</v>
      </c>
      <c r="N5509" t="s">
        <v>16170</v>
      </c>
    </row>
    <row r="5510" spans="1:14">
      <c r="A5510">
        <v>22060519</v>
      </c>
      <c r="B5510">
        <v>3007907</v>
      </c>
      <c r="C5510" t="s">
        <v>10945</v>
      </c>
      <c r="D5510" t="s">
        <v>441</v>
      </c>
      <c r="F5510">
        <v>0</v>
      </c>
      <c r="G5510">
        <v>7.82</v>
      </c>
      <c r="H5510" t="s">
        <v>8580</v>
      </c>
      <c r="I5510">
        <v>6</v>
      </c>
      <c r="J5510" t="s">
        <v>445</v>
      </c>
      <c r="K5510" t="s">
        <v>446</v>
      </c>
      <c r="M5510">
        <v>2641</v>
      </c>
    </row>
    <row r="5511" spans="1:14">
      <c r="A5511">
        <v>22060602</v>
      </c>
      <c r="B5511">
        <v>3007908</v>
      </c>
      <c r="C5511" t="s">
        <v>10946</v>
      </c>
      <c r="D5511" t="s">
        <v>441</v>
      </c>
      <c r="F5511">
        <v>0</v>
      </c>
      <c r="G5511">
        <v>9.24</v>
      </c>
      <c r="H5511" t="s">
        <v>8588</v>
      </c>
      <c r="I5511">
        <v>4</v>
      </c>
      <c r="J5511" t="s">
        <v>445</v>
      </c>
      <c r="K5511" t="s">
        <v>446</v>
      </c>
      <c r="M5511">
        <v>2511</v>
      </c>
    </row>
    <row r="5512" spans="1:14">
      <c r="A5512">
        <v>22060618</v>
      </c>
      <c r="B5512">
        <v>3014433</v>
      </c>
      <c r="C5512" t="s">
        <v>10947</v>
      </c>
      <c r="D5512" t="s">
        <v>441</v>
      </c>
      <c r="F5512">
        <v>0</v>
      </c>
      <c r="G5512">
        <v>7.17</v>
      </c>
      <c r="H5512" t="s">
        <v>8588</v>
      </c>
      <c r="I5512">
        <v>4</v>
      </c>
      <c r="J5512" t="s">
        <v>445</v>
      </c>
      <c r="M5512">
        <v>2510</v>
      </c>
      <c r="N5512" t="s">
        <v>16170</v>
      </c>
    </row>
    <row r="5513" spans="1:14">
      <c r="A5513">
        <v>22060619</v>
      </c>
      <c r="B5513">
        <v>3007909</v>
      </c>
      <c r="C5513" t="s">
        <v>10948</v>
      </c>
      <c r="D5513" t="s">
        <v>441</v>
      </c>
      <c r="F5513">
        <v>0</v>
      </c>
      <c r="G5513">
        <v>8.5</v>
      </c>
      <c r="H5513" t="s">
        <v>8580</v>
      </c>
      <c r="I5513">
        <v>4</v>
      </c>
      <c r="J5513" t="s">
        <v>445</v>
      </c>
      <c r="K5513" t="s">
        <v>446</v>
      </c>
      <c r="M5513">
        <v>2511</v>
      </c>
    </row>
    <row r="5514" spans="1:14">
      <c r="A5514">
        <v>22060652</v>
      </c>
      <c r="B5514">
        <v>3045743</v>
      </c>
      <c r="C5514" t="s">
        <v>15967</v>
      </c>
      <c r="D5514" t="s">
        <v>441</v>
      </c>
      <c r="F5514">
        <v>0</v>
      </c>
      <c r="G5514">
        <v>5.57</v>
      </c>
      <c r="H5514" t="s">
        <v>8549</v>
      </c>
      <c r="I5514">
        <v>4</v>
      </c>
      <c r="J5514" t="s">
        <v>445</v>
      </c>
      <c r="M5514">
        <v>2510</v>
      </c>
      <c r="N5514" t="s">
        <v>16170</v>
      </c>
    </row>
    <row r="5515" spans="1:14">
      <c r="A5515">
        <v>22060900</v>
      </c>
      <c r="B5515">
        <v>3028086</v>
      </c>
      <c r="C5515" t="s">
        <v>10949</v>
      </c>
      <c r="D5515" t="s">
        <v>441</v>
      </c>
      <c r="F5515">
        <v>0</v>
      </c>
      <c r="H5515" t="s">
        <v>8580</v>
      </c>
      <c r="I5515">
        <v>6</v>
      </c>
      <c r="J5515" t="s">
        <v>445</v>
      </c>
      <c r="M5515">
        <v>6666</v>
      </c>
      <c r="N5515" t="s">
        <v>16170</v>
      </c>
    </row>
    <row r="5516" spans="1:14">
      <c r="A5516">
        <v>22060902</v>
      </c>
      <c r="B5516">
        <v>3020303</v>
      </c>
      <c r="C5516" t="s">
        <v>10950</v>
      </c>
      <c r="D5516" t="s">
        <v>441</v>
      </c>
      <c r="F5516">
        <v>0</v>
      </c>
      <c r="H5516" t="s">
        <v>8584</v>
      </c>
      <c r="I5516">
        <v>4</v>
      </c>
      <c r="J5516" t="s">
        <v>445</v>
      </c>
      <c r="K5516" t="s">
        <v>446</v>
      </c>
      <c r="M5516">
        <v>6666</v>
      </c>
    </row>
    <row r="5517" spans="1:14">
      <c r="A5517">
        <v>22060918</v>
      </c>
      <c r="B5517">
        <v>3020304</v>
      </c>
      <c r="C5517" t="s">
        <v>10951</v>
      </c>
      <c r="D5517" t="s">
        <v>441</v>
      </c>
      <c r="F5517">
        <v>0</v>
      </c>
      <c r="H5517" t="s">
        <v>8584</v>
      </c>
      <c r="I5517">
        <v>4</v>
      </c>
      <c r="J5517" t="s">
        <v>445</v>
      </c>
      <c r="M5517">
        <v>6666</v>
      </c>
      <c r="N5517" t="s">
        <v>16170</v>
      </c>
    </row>
    <row r="5518" spans="1:14">
      <c r="A5518">
        <v>22061000</v>
      </c>
      <c r="B5518">
        <v>3010017</v>
      </c>
      <c r="C5518" t="s">
        <v>10952</v>
      </c>
      <c r="D5518" t="s">
        <v>441</v>
      </c>
      <c r="F5518">
        <v>0</v>
      </c>
      <c r="G5518">
        <v>8.4</v>
      </c>
      <c r="H5518" t="s">
        <v>8580</v>
      </c>
      <c r="I5518">
        <v>6</v>
      </c>
      <c r="J5518" t="s">
        <v>445</v>
      </c>
      <c r="K5518" t="s">
        <v>446</v>
      </c>
      <c r="M5518">
        <v>2312</v>
      </c>
    </row>
    <row r="5519" spans="1:14">
      <c r="A5519">
        <v>22062000</v>
      </c>
      <c r="B5519">
        <v>3017157</v>
      </c>
      <c r="C5519" t="s">
        <v>10953</v>
      </c>
      <c r="D5519" t="s">
        <v>441</v>
      </c>
      <c r="F5519">
        <v>0</v>
      </c>
      <c r="G5519">
        <v>6.55</v>
      </c>
      <c r="H5519" t="s">
        <v>8588</v>
      </c>
      <c r="I5519">
        <v>6</v>
      </c>
      <c r="J5519" t="s">
        <v>445</v>
      </c>
      <c r="M5519">
        <v>2391</v>
      </c>
      <c r="N5519" t="s">
        <v>16223</v>
      </c>
    </row>
    <row r="5520" spans="1:14">
      <c r="A5520">
        <v>22062002</v>
      </c>
      <c r="B5520">
        <v>3036437</v>
      </c>
      <c r="C5520" t="s">
        <v>10954</v>
      </c>
      <c r="D5520" t="s">
        <v>441</v>
      </c>
      <c r="F5520">
        <v>0</v>
      </c>
      <c r="G5520">
        <v>6.99</v>
      </c>
      <c r="H5520" t="s">
        <v>8549</v>
      </c>
      <c r="I5520">
        <v>365</v>
      </c>
      <c r="J5520" t="s">
        <v>445</v>
      </c>
      <c r="M5520">
        <v>7111</v>
      </c>
      <c r="N5520" t="s">
        <v>16223</v>
      </c>
    </row>
    <row r="5521" spans="1:14">
      <c r="A5521">
        <v>22062007</v>
      </c>
      <c r="B5521">
        <v>3024996</v>
      </c>
      <c r="C5521" t="s">
        <v>14388</v>
      </c>
      <c r="D5521" t="s">
        <v>441</v>
      </c>
      <c r="F5521">
        <v>0</v>
      </c>
      <c r="G5521">
        <v>10.74</v>
      </c>
      <c r="H5521" t="s">
        <v>8935</v>
      </c>
      <c r="I5521">
        <v>6</v>
      </c>
      <c r="J5521" t="s">
        <v>445</v>
      </c>
      <c r="M5521">
        <v>3111</v>
      </c>
      <c r="N5521" t="s">
        <v>16223</v>
      </c>
    </row>
    <row r="5522" spans="1:14">
      <c r="A5522">
        <v>22062075</v>
      </c>
      <c r="B5522">
        <v>3017156</v>
      </c>
      <c r="C5522" t="s">
        <v>10955</v>
      </c>
      <c r="D5522" t="s">
        <v>441</v>
      </c>
      <c r="F5522">
        <v>0</v>
      </c>
      <c r="G5522">
        <v>6.65</v>
      </c>
      <c r="H5522" t="s">
        <v>8588</v>
      </c>
      <c r="I5522">
        <v>6</v>
      </c>
      <c r="J5522" t="s">
        <v>445</v>
      </c>
      <c r="M5522">
        <v>7111</v>
      </c>
      <c r="N5522" t="s">
        <v>16223</v>
      </c>
    </row>
    <row r="5523" spans="1:14">
      <c r="A5523">
        <v>22062110</v>
      </c>
      <c r="B5523">
        <v>3041080</v>
      </c>
      <c r="C5523" t="s">
        <v>10956</v>
      </c>
      <c r="D5523" t="s">
        <v>441</v>
      </c>
      <c r="F5523">
        <v>0</v>
      </c>
      <c r="G5523">
        <v>6.65</v>
      </c>
      <c r="H5523" t="s">
        <v>8588</v>
      </c>
      <c r="I5523">
        <v>6</v>
      </c>
      <c r="J5523" t="s">
        <v>445</v>
      </c>
      <c r="M5523">
        <v>0</v>
      </c>
      <c r="N5523" t="s">
        <v>16223</v>
      </c>
    </row>
    <row r="5524" spans="1:14">
      <c r="A5524">
        <v>22062300</v>
      </c>
      <c r="B5524">
        <v>3043071</v>
      </c>
      <c r="C5524" t="s">
        <v>10957</v>
      </c>
      <c r="D5524" t="s">
        <v>441</v>
      </c>
      <c r="F5524">
        <v>0</v>
      </c>
      <c r="G5524">
        <v>9.6</v>
      </c>
      <c r="H5524" t="s">
        <v>8549</v>
      </c>
      <c r="I5524">
        <v>6</v>
      </c>
      <c r="J5524" t="s">
        <v>445</v>
      </c>
      <c r="M5524">
        <v>2391</v>
      </c>
      <c r="N5524" t="s">
        <v>16223</v>
      </c>
    </row>
    <row r="5525" spans="1:14">
      <c r="A5525">
        <v>22062502</v>
      </c>
      <c r="B5525">
        <v>3036336</v>
      </c>
      <c r="C5525" t="s">
        <v>10958</v>
      </c>
      <c r="D5525" t="s">
        <v>441</v>
      </c>
      <c r="F5525">
        <v>0</v>
      </c>
      <c r="G5525">
        <v>6.65</v>
      </c>
      <c r="I5525">
        <v>365</v>
      </c>
      <c r="J5525" t="s">
        <v>445</v>
      </c>
      <c r="M5525">
        <v>2502</v>
      </c>
      <c r="N5525" t="s">
        <v>16223</v>
      </c>
    </row>
    <row r="5526" spans="1:14">
      <c r="A5526">
        <v>22062602</v>
      </c>
      <c r="B5526">
        <v>3036335</v>
      </c>
      <c r="C5526" t="s">
        <v>10959</v>
      </c>
      <c r="D5526" t="s">
        <v>441</v>
      </c>
      <c r="F5526">
        <v>0</v>
      </c>
      <c r="G5526">
        <v>7.17</v>
      </c>
      <c r="H5526" t="s">
        <v>8549</v>
      </c>
      <c r="I5526">
        <v>4</v>
      </c>
      <c r="J5526" t="s">
        <v>445</v>
      </c>
      <c r="M5526">
        <v>2510</v>
      </c>
      <c r="N5526" t="s">
        <v>16223</v>
      </c>
    </row>
    <row r="5527" spans="1:14">
      <c r="A5527">
        <v>22062900</v>
      </c>
      <c r="B5527">
        <v>3020305</v>
      </c>
      <c r="C5527" t="s">
        <v>10960</v>
      </c>
      <c r="D5527" t="s">
        <v>441</v>
      </c>
      <c r="F5527">
        <v>0</v>
      </c>
      <c r="G5527">
        <v>0</v>
      </c>
      <c r="H5527" t="s">
        <v>8584</v>
      </c>
      <c r="I5527">
        <v>6</v>
      </c>
      <c r="J5527" t="s">
        <v>445</v>
      </c>
      <c r="M5527">
        <v>6666</v>
      </c>
      <c r="N5527" t="s">
        <v>16223</v>
      </c>
    </row>
    <row r="5528" spans="1:14">
      <c r="A5528">
        <v>22062902</v>
      </c>
      <c r="B5528">
        <v>3036442</v>
      </c>
      <c r="C5528" t="s">
        <v>10961</v>
      </c>
      <c r="D5528" t="s">
        <v>441</v>
      </c>
      <c r="F5528">
        <v>0</v>
      </c>
      <c r="H5528" t="s">
        <v>8580</v>
      </c>
      <c r="I5528">
        <v>4</v>
      </c>
      <c r="J5528" t="s">
        <v>445</v>
      </c>
      <c r="M5528">
        <v>6666</v>
      </c>
      <c r="N5528" t="s">
        <v>16223</v>
      </c>
    </row>
    <row r="5529" spans="1:14">
      <c r="A5529">
        <v>22062907</v>
      </c>
      <c r="B5529">
        <v>3025256</v>
      </c>
      <c r="C5529" t="s">
        <v>14389</v>
      </c>
      <c r="D5529" t="s">
        <v>441</v>
      </c>
      <c r="F5529">
        <v>0</v>
      </c>
      <c r="G5529">
        <v>0</v>
      </c>
      <c r="H5529" t="s">
        <v>8584</v>
      </c>
      <c r="I5529">
        <v>6</v>
      </c>
      <c r="J5529" t="s">
        <v>445</v>
      </c>
      <c r="M5529">
        <v>6666</v>
      </c>
      <c r="N5529" t="s">
        <v>16223</v>
      </c>
    </row>
    <row r="5530" spans="1:14">
      <c r="A5530">
        <v>22063000</v>
      </c>
      <c r="B5530">
        <v>3016309</v>
      </c>
      <c r="C5530" t="s">
        <v>10962</v>
      </c>
      <c r="D5530" t="s">
        <v>441</v>
      </c>
      <c r="F5530">
        <v>0</v>
      </c>
      <c r="G5530">
        <v>6.55</v>
      </c>
      <c r="H5530" t="s">
        <v>8588</v>
      </c>
      <c r="I5530">
        <v>6</v>
      </c>
      <c r="J5530" t="s">
        <v>445</v>
      </c>
      <c r="M5530">
        <v>2391</v>
      </c>
      <c r="N5530" t="s">
        <v>16170</v>
      </c>
    </row>
    <row r="5531" spans="1:14">
      <c r="A5531">
        <v>22063007</v>
      </c>
      <c r="B5531">
        <v>3024997</v>
      </c>
      <c r="C5531" t="s">
        <v>10963</v>
      </c>
      <c r="D5531" t="s">
        <v>441</v>
      </c>
      <c r="F5531">
        <v>0</v>
      </c>
      <c r="G5531">
        <v>6.65</v>
      </c>
      <c r="H5531" t="s">
        <v>8588</v>
      </c>
      <c r="I5531">
        <v>6</v>
      </c>
      <c r="J5531" t="s">
        <v>445</v>
      </c>
      <c r="M5531">
        <v>3113</v>
      </c>
      <c r="N5531" t="s">
        <v>16170</v>
      </c>
    </row>
    <row r="5532" spans="1:14">
      <c r="A5532">
        <v>22063900</v>
      </c>
      <c r="B5532">
        <v>3020306</v>
      </c>
      <c r="C5532" t="s">
        <v>10964</v>
      </c>
      <c r="D5532" t="s">
        <v>441</v>
      </c>
      <c r="F5532">
        <v>0</v>
      </c>
      <c r="G5532">
        <v>0</v>
      </c>
      <c r="H5532" t="s">
        <v>8584</v>
      </c>
      <c r="I5532">
        <v>6</v>
      </c>
      <c r="J5532" t="s">
        <v>445</v>
      </c>
      <c r="M5532">
        <v>6666</v>
      </c>
      <c r="N5532" t="s">
        <v>16170</v>
      </c>
    </row>
    <row r="5533" spans="1:14">
      <c r="A5533">
        <v>22063907</v>
      </c>
      <c r="B5533">
        <v>3025257</v>
      </c>
      <c r="C5533" t="s">
        <v>10965</v>
      </c>
      <c r="D5533" t="s">
        <v>441</v>
      </c>
      <c r="F5533">
        <v>0</v>
      </c>
      <c r="G5533">
        <v>0</v>
      </c>
      <c r="I5533">
        <v>6</v>
      </c>
      <c r="J5533" t="s">
        <v>445</v>
      </c>
      <c r="M5533">
        <v>6666</v>
      </c>
      <c r="N5533" t="s">
        <v>16170</v>
      </c>
    </row>
    <row r="5534" spans="1:14">
      <c r="A5534">
        <v>22064000</v>
      </c>
      <c r="B5534">
        <v>3037418</v>
      </c>
      <c r="C5534" t="s">
        <v>10966</v>
      </c>
      <c r="D5534" t="s">
        <v>441</v>
      </c>
      <c r="F5534">
        <v>0</v>
      </c>
      <c r="G5534">
        <v>6.6</v>
      </c>
      <c r="H5534" t="s">
        <v>8549</v>
      </c>
      <c r="I5534">
        <v>6</v>
      </c>
      <c r="J5534" t="s">
        <v>445</v>
      </c>
      <c r="M5534">
        <v>2391</v>
      </c>
      <c r="N5534" t="s">
        <v>16170</v>
      </c>
    </row>
    <row r="5535" spans="1:14">
      <c r="A5535">
        <v>22064002</v>
      </c>
      <c r="B5535">
        <v>3040956</v>
      </c>
      <c r="C5535" t="s">
        <v>10967</v>
      </c>
      <c r="D5535" t="s">
        <v>441</v>
      </c>
      <c r="F5535">
        <v>0</v>
      </c>
      <c r="G5535">
        <v>6.87</v>
      </c>
      <c r="H5535" t="s">
        <v>8588</v>
      </c>
      <c r="I5535">
        <v>365</v>
      </c>
      <c r="J5535" t="s">
        <v>445</v>
      </c>
      <c r="M5535">
        <v>7111</v>
      </c>
      <c r="N5535" t="s">
        <v>16170</v>
      </c>
    </row>
    <row r="5536" spans="1:14">
      <c r="A5536">
        <v>22064007</v>
      </c>
      <c r="B5536">
        <v>3037539</v>
      </c>
      <c r="C5536" t="s">
        <v>8545</v>
      </c>
      <c r="D5536" t="s">
        <v>441</v>
      </c>
      <c r="F5536">
        <v>0</v>
      </c>
      <c r="G5536">
        <v>6.65</v>
      </c>
      <c r="H5536" t="s">
        <v>8588</v>
      </c>
      <c r="I5536">
        <v>6</v>
      </c>
      <c r="J5536" t="s">
        <v>445</v>
      </c>
      <c r="M5536">
        <v>3113</v>
      </c>
      <c r="N5536" t="s">
        <v>16170</v>
      </c>
    </row>
    <row r="5537" spans="1:14">
      <c r="A5537">
        <v>22064022</v>
      </c>
      <c r="B5537">
        <v>3040685</v>
      </c>
      <c r="C5537" t="s">
        <v>10968</v>
      </c>
      <c r="D5537" t="s">
        <v>441</v>
      </c>
      <c r="F5537">
        <v>0</v>
      </c>
      <c r="G5537">
        <v>6.99</v>
      </c>
      <c r="H5537" t="s">
        <v>8549</v>
      </c>
      <c r="I5537">
        <v>365</v>
      </c>
      <c r="J5537" t="s">
        <v>445</v>
      </c>
      <c r="M5537">
        <v>7112</v>
      </c>
      <c r="N5537" t="s">
        <v>16223</v>
      </c>
    </row>
    <row r="5538" spans="1:14">
      <c r="A5538">
        <v>22064082</v>
      </c>
      <c r="B5538">
        <v>3041000</v>
      </c>
      <c r="C5538" t="s">
        <v>10969</v>
      </c>
      <c r="D5538" t="s">
        <v>441</v>
      </c>
      <c r="F5538">
        <v>0</v>
      </c>
      <c r="G5538">
        <v>7.75</v>
      </c>
      <c r="H5538" t="s">
        <v>8588</v>
      </c>
      <c r="I5538">
        <v>365</v>
      </c>
      <c r="J5538" t="s">
        <v>445</v>
      </c>
      <c r="M5538">
        <v>7111</v>
      </c>
      <c r="N5538" t="s">
        <v>16170</v>
      </c>
    </row>
    <row r="5539" spans="1:14">
      <c r="A5539">
        <v>22064200</v>
      </c>
      <c r="B5539">
        <v>3038277</v>
      </c>
      <c r="C5539" t="s">
        <v>10970</v>
      </c>
      <c r="D5539" t="s">
        <v>441</v>
      </c>
      <c r="F5539">
        <v>0</v>
      </c>
      <c r="G5539">
        <v>6.6</v>
      </c>
      <c r="H5539" t="s">
        <v>8549</v>
      </c>
      <c r="I5539">
        <v>6</v>
      </c>
      <c r="J5539" t="s">
        <v>445</v>
      </c>
      <c r="M5539">
        <v>2391</v>
      </c>
      <c r="N5539" t="s">
        <v>16223</v>
      </c>
    </row>
    <row r="5540" spans="1:14">
      <c r="A5540">
        <v>22064207</v>
      </c>
      <c r="B5540">
        <v>3039237</v>
      </c>
      <c r="C5540" t="s">
        <v>8546</v>
      </c>
      <c r="D5540" t="s">
        <v>441</v>
      </c>
      <c r="F5540">
        <v>0</v>
      </c>
      <c r="G5540">
        <v>6.65</v>
      </c>
      <c r="H5540" t="s">
        <v>8588</v>
      </c>
      <c r="I5540">
        <v>6</v>
      </c>
      <c r="J5540" t="s">
        <v>445</v>
      </c>
      <c r="M5540">
        <v>3111</v>
      </c>
      <c r="N5540" t="s">
        <v>16223</v>
      </c>
    </row>
    <row r="5541" spans="1:14">
      <c r="A5541">
        <v>22064275</v>
      </c>
      <c r="B5541">
        <v>3039537</v>
      </c>
      <c r="C5541" t="s">
        <v>10971</v>
      </c>
      <c r="D5541" t="s">
        <v>441</v>
      </c>
      <c r="F5541">
        <v>0</v>
      </c>
      <c r="G5541">
        <v>6.75</v>
      </c>
      <c r="H5541" t="s">
        <v>8588</v>
      </c>
      <c r="I5541">
        <v>6</v>
      </c>
      <c r="J5541" t="s">
        <v>445</v>
      </c>
      <c r="M5541">
        <v>7112</v>
      </c>
      <c r="N5541" t="s">
        <v>16223</v>
      </c>
    </row>
    <row r="5542" spans="1:14">
      <c r="A5542">
        <v>22064300</v>
      </c>
      <c r="B5542">
        <v>3037475</v>
      </c>
      <c r="C5542" t="s">
        <v>10972</v>
      </c>
      <c r="D5542" t="s">
        <v>441</v>
      </c>
      <c r="F5542">
        <v>0</v>
      </c>
      <c r="G5542">
        <v>6.55</v>
      </c>
      <c r="H5542" t="s">
        <v>10973</v>
      </c>
      <c r="I5542">
        <v>6</v>
      </c>
      <c r="J5542" t="s">
        <v>445</v>
      </c>
      <c r="M5542">
        <v>2391</v>
      </c>
      <c r="N5542" t="s">
        <v>16170</v>
      </c>
    </row>
    <row r="5543" spans="1:14">
      <c r="A5543">
        <v>22064502</v>
      </c>
      <c r="B5543">
        <v>3039319</v>
      </c>
      <c r="C5543" t="s">
        <v>10974</v>
      </c>
      <c r="D5543" t="s">
        <v>441</v>
      </c>
      <c r="F5543">
        <v>0</v>
      </c>
      <c r="G5543">
        <v>6.65</v>
      </c>
      <c r="H5543" t="s">
        <v>8549</v>
      </c>
      <c r="I5543">
        <v>6</v>
      </c>
      <c r="J5543" t="s">
        <v>445</v>
      </c>
      <c r="M5543">
        <v>2502</v>
      </c>
      <c r="N5543" t="s">
        <v>16170</v>
      </c>
    </row>
    <row r="5544" spans="1:14">
      <c r="A5544">
        <v>22064522</v>
      </c>
      <c r="B5544">
        <v>3040684</v>
      </c>
      <c r="C5544" t="s">
        <v>10975</v>
      </c>
      <c r="D5544" t="s">
        <v>441</v>
      </c>
      <c r="F5544">
        <v>0</v>
      </c>
      <c r="G5544">
        <v>6.65</v>
      </c>
      <c r="H5544" t="s">
        <v>8549</v>
      </c>
      <c r="I5544">
        <v>365</v>
      </c>
      <c r="J5544" t="s">
        <v>445</v>
      </c>
      <c r="M5544">
        <v>2502</v>
      </c>
      <c r="N5544" t="s">
        <v>16223</v>
      </c>
    </row>
    <row r="5545" spans="1:14">
      <c r="A5545">
        <v>22064582</v>
      </c>
      <c r="B5545">
        <v>3040975</v>
      </c>
      <c r="C5545" t="s">
        <v>10976</v>
      </c>
      <c r="D5545" t="s">
        <v>441</v>
      </c>
      <c r="F5545">
        <v>0</v>
      </c>
      <c r="G5545">
        <v>7.05</v>
      </c>
      <c r="H5545" t="s">
        <v>8549</v>
      </c>
      <c r="I5545">
        <v>365</v>
      </c>
      <c r="J5545" t="s">
        <v>445</v>
      </c>
      <c r="M5545">
        <v>2502</v>
      </c>
      <c r="N5545" t="s">
        <v>16170</v>
      </c>
    </row>
    <row r="5546" spans="1:14">
      <c r="A5546">
        <v>22064602</v>
      </c>
      <c r="B5546">
        <v>3041009</v>
      </c>
      <c r="C5546" t="s">
        <v>10977</v>
      </c>
      <c r="D5546" t="s">
        <v>441</v>
      </c>
      <c r="F5546">
        <v>0</v>
      </c>
      <c r="G5546">
        <v>7.05</v>
      </c>
      <c r="H5546" t="s">
        <v>8549</v>
      </c>
      <c r="I5546">
        <v>4</v>
      </c>
      <c r="J5546" t="s">
        <v>445</v>
      </c>
      <c r="M5546">
        <v>2510</v>
      </c>
      <c r="N5546" t="s">
        <v>16170</v>
      </c>
    </row>
    <row r="5547" spans="1:14">
      <c r="A5547">
        <v>22064622</v>
      </c>
      <c r="B5547">
        <v>3041050</v>
      </c>
      <c r="C5547" t="s">
        <v>10978</v>
      </c>
      <c r="D5547" t="s">
        <v>441</v>
      </c>
      <c r="F5547">
        <v>0</v>
      </c>
      <c r="G5547">
        <v>7.17</v>
      </c>
      <c r="H5547" t="s">
        <v>8549</v>
      </c>
      <c r="I5547">
        <v>4</v>
      </c>
      <c r="J5547" t="s">
        <v>445</v>
      </c>
      <c r="M5547">
        <v>2510</v>
      </c>
      <c r="N5547" t="s">
        <v>16223</v>
      </c>
    </row>
    <row r="5548" spans="1:14">
      <c r="A5548">
        <v>22064682</v>
      </c>
      <c r="B5548">
        <v>3041001</v>
      </c>
      <c r="C5548" t="s">
        <v>10979</v>
      </c>
      <c r="D5548" t="s">
        <v>441</v>
      </c>
      <c r="F5548">
        <v>0</v>
      </c>
      <c r="G5548">
        <v>7.93</v>
      </c>
      <c r="H5548" t="s">
        <v>8549</v>
      </c>
      <c r="I5548">
        <v>4</v>
      </c>
      <c r="J5548" t="s">
        <v>445</v>
      </c>
      <c r="M5548">
        <v>2510</v>
      </c>
      <c r="N5548" t="s">
        <v>16170</v>
      </c>
    </row>
    <row r="5549" spans="1:14">
      <c r="A5549">
        <v>22064800</v>
      </c>
      <c r="B5549">
        <v>3040989</v>
      </c>
      <c r="C5549" t="s">
        <v>10980</v>
      </c>
      <c r="D5549" t="s">
        <v>441</v>
      </c>
      <c r="F5549">
        <v>0</v>
      </c>
      <c r="G5549">
        <v>6.95</v>
      </c>
      <c r="H5549" t="s">
        <v>8549</v>
      </c>
      <c r="I5549">
        <v>6</v>
      </c>
      <c r="J5549" t="s">
        <v>445</v>
      </c>
      <c r="M5549">
        <v>2391</v>
      </c>
      <c r="N5549" t="s">
        <v>16170</v>
      </c>
    </row>
    <row r="5550" spans="1:14">
      <c r="A5550">
        <v>22064902</v>
      </c>
      <c r="B5550">
        <v>3041758</v>
      </c>
      <c r="C5550" t="s">
        <v>10981</v>
      </c>
      <c r="D5550" t="s">
        <v>441</v>
      </c>
      <c r="F5550">
        <v>0</v>
      </c>
      <c r="G5550">
        <v>7.05</v>
      </c>
      <c r="H5550" t="s">
        <v>8549</v>
      </c>
      <c r="I5550">
        <v>4</v>
      </c>
      <c r="J5550" t="s">
        <v>445</v>
      </c>
      <c r="M5550">
        <v>6666</v>
      </c>
      <c r="N5550" t="s">
        <v>16170</v>
      </c>
    </row>
    <row r="5551" spans="1:14">
      <c r="A5551">
        <v>22064907</v>
      </c>
      <c r="B5551">
        <v>3037783</v>
      </c>
      <c r="C5551" t="s">
        <v>10982</v>
      </c>
      <c r="D5551" t="s">
        <v>441</v>
      </c>
      <c r="F5551">
        <v>0</v>
      </c>
      <c r="G5551">
        <v>0</v>
      </c>
      <c r="H5551" t="s">
        <v>8584</v>
      </c>
      <c r="I5551">
        <v>6</v>
      </c>
      <c r="J5551" t="s">
        <v>445</v>
      </c>
      <c r="M5551">
        <v>6666</v>
      </c>
      <c r="N5551" t="s">
        <v>16170</v>
      </c>
    </row>
    <row r="5552" spans="1:14">
      <c r="A5552">
        <v>22064922</v>
      </c>
      <c r="B5552">
        <v>3041153</v>
      </c>
      <c r="C5552" t="s">
        <v>10983</v>
      </c>
      <c r="D5552" t="s">
        <v>441</v>
      </c>
      <c r="F5552">
        <v>0</v>
      </c>
      <c r="G5552">
        <v>7.43</v>
      </c>
      <c r="H5552" t="s">
        <v>8549</v>
      </c>
      <c r="I5552">
        <v>4</v>
      </c>
      <c r="J5552" t="s">
        <v>445</v>
      </c>
      <c r="M5552">
        <v>6666</v>
      </c>
      <c r="N5552" t="s">
        <v>16223</v>
      </c>
    </row>
    <row r="5553" spans="1:14">
      <c r="A5553">
        <v>22064927</v>
      </c>
      <c r="B5553">
        <v>3039247</v>
      </c>
      <c r="C5553" t="s">
        <v>10984</v>
      </c>
      <c r="D5553" t="s">
        <v>441</v>
      </c>
      <c r="F5553">
        <v>0</v>
      </c>
      <c r="H5553" t="s">
        <v>8935</v>
      </c>
      <c r="I5553">
        <v>6</v>
      </c>
      <c r="J5553" t="s">
        <v>445</v>
      </c>
      <c r="M5553">
        <v>6666</v>
      </c>
      <c r="N5553" t="s">
        <v>16223</v>
      </c>
    </row>
    <row r="5554" spans="1:14">
      <c r="A5554">
        <v>22064982</v>
      </c>
      <c r="B5554">
        <v>3041022</v>
      </c>
      <c r="C5554" t="s">
        <v>10985</v>
      </c>
      <c r="D5554" t="s">
        <v>441</v>
      </c>
      <c r="F5554">
        <v>0</v>
      </c>
      <c r="G5554">
        <v>8.16</v>
      </c>
      <c r="H5554" t="s">
        <v>8549</v>
      </c>
      <c r="I5554">
        <v>4</v>
      </c>
      <c r="J5554" t="s">
        <v>445</v>
      </c>
      <c r="M5554">
        <v>6666</v>
      </c>
      <c r="N5554" t="s">
        <v>16170</v>
      </c>
    </row>
    <row r="5555" spans="1:14">
      <c r="A5555">
        <v>22065000</v>
      </c>
      <c r="B5555">
        <v>3006330</v>
      </c>
      <c r="C5555" t="s">
        <v>417</v>
      </c>
      <c r="D5555" t="s">
        <v>441</v>
      </c>
      <c r="F5555">
        <v>0</v>
      </c>
      <c r="G5555">
        <v>0</v>
      </c>
      <c r="H5555" t="s">
        <v>8588</v>
      </c>
      <c r="I5555">
        <v>6</v>
      </c>
      <c r="J5555" t="s">
        <v>445</v>
      </c>
      <c r="M5555">
        <v>2143</v>
      </c>
      <c r="N5555" t="s">
        <v>16170</v>
      </c>
    </row>
    <row r="5556" spans="1:14">
      <c r="A5556">
        <v>22065002</v>
      </c>
      <c r="B5556">
        <v>3017961</v>
      </c>
      <c r="C5556" t="s">
        <v>10986</v>
      </c>
      <c r="D5556" t="s">
        <v>441</v>
      </c>
      <c r="F5556">
        <v>0</v>
      </c>
      <c r="G5556">
        <v>6.99</v>
      </c>
      <c r="H5556" t="s">
        <v>8588</v>
      </c>
      <c r="I5556">
        <v>365</v>
      </c>
      <c r="J5556" t="s">
        <v>445</v>
      </c>
      <c r="M5556">
        <v>7111</v>
      </c>
      <c r="N5556" t="s">
        <v>16170</v>
      </c>
    </row>
    <row r="5557" spans="1:14">
      <c r="A5557">
        <v>22065007</v>
      </c>
      <c r="B5557">
        <v>3037173</v>
      </c>
      <c r="C5557" t="s">
        <v>2828</v>
      </c>
      <c r="D5557" t="s">
        <v>441</v>
      </c>
      <c r="F5557">
        <v>0</v>
      </c>
      <c r="G5557">
        <v>6.65</v>
      </c>
      <c r="H5557" t="s">
        <v>8549</v>
      </c>
      <c r="I5557">
        <v>6</v>
      </c>
      <c r="J5557" t="s">
        <v>445</v>
      </c>
      <c r="M5557">
        <v>3111</v>
      </c>
      <c r="N5557" t="s">
        <v>16170</v>
      </c>
    </row>
    <row r="5558" spans="1:14">
      <c r="A5558">
        <v>22065075</v>
      </c>
      <c r="B5558">
        <v>3037720</v>
      </c>
      <c r="C5558" t="s">
        <v>2829</v>
      </c>
      <c r="D5558" t="s">
        <v>441</v>
      </c>
      <c r="F5558">
        <v>0</v>
      </c>
      <c r="G5558">
        <v>6.79</v>
      </c>
      <c r="H5558" t="s">
        <v>8588</v>
      </c>
      <c r="I5558">
        <v>6</v>
      </c>
      <c r="J5558" t="s">
        <v>445</v>
      </c>
      <c r="M5558">
        <v>7112</v>
      </c>
      <c r="N5558" t="s">
        <v>16170</v>
      </c>
    </row>
    <row r="5559" spans="1:14">
      <c r="A5559">
        <v>22065087</v>
      </c>
      <c r="B5559">
        <v>3018308</v>
      </c>
      <c r="C5559" t="s">
        <v>10987</v>
      </c>
      <c r="D5559" t="s">
        <v>441</v>
      </c>
      <c r="F5559">
        <v>0</v>
      </c>
      <c r="G5559">
        <v>8.69</v>
      </c>
      <c r="H5559" t="s">
        <v>8588</v>
      </c>
      <c r="I5559">
        <v>6</v>
      </c>
      <c r="J5559" t="s">
        <v>445</v>
      </c>
      <c r="K5559" t="s">
        <v>446</v>
      </c>
      <c r="M5559">
        <v>2641</v>
      </c>
    </row>
    <row r="5560" spans="1:14">
      <c r="A5560">
        <v>22065200</v>
      </c>
      <c r="B5560">
        <v>3043072</v>
      </c>
      <c r="C5560" t="s">
        <v>10988</v>
      </c>
      <c r="D5560" t="s">
        <v>441</v>
      </c>
      <c r="F5560">
        <v>0</v>
      </c>
      <c r="G5560">
        <v>9.6</v>
      </c>
      <c r="H5560" t="s">
        <v>8549</v>
      </c>
      <c r="I5560">
        <v>6</v>
      </c>
      <c r="J5560" t="s">
        <v>445</v>
      </c>
      <c r="M5560">
        <v>2391</v>
      </c>
      <c r="N5560" t="s">
        <v>16223</v>
      </c>
    </row>
    <row r="5561" spans="1:14">
      <c r="A5561">
        <v>22065502</v>
      </c>
      <c r="B5561">
        <v>3017962</v>
      </c>
      <c r="C5561" t="s">
        <v>10989</v>
      </c>
      <c r="D5561" t="s">
        <v>441</v>
      </c>
      <c r="F5561">
        <v>0</v>
      </c>
      <c r="G5561">
        <v>13.75</v>
      </c>
      <c r="H5561" t="s">
        <v>8580</v>
      </c>
      <c r="I5561">
        <v>365</v>
      </c>
      <c r="J5561" t="s">
        <v>445</v>
      </c>
      <c r="M5561">
        <v>2502</v>
      </c>
      <c r="N5561" t="s">
        <v>16170</v>
      </c>
    </row>
    <row r="5562" spans="1:14">
      <c r="A5562">
        <v>22065602</v>
      </c>
      <c r="B5562">
        <v>3017960</v>
      </c>
      <c r="C5562" t="s">
        <v>10990</v>
      </c>
      <c r="D5562" t="s">
        <v>441</v>
      </c>
      <c r="F5562">
        <v>0</v>
      </c>
      <c r="G5562">
        <v>7.17</v>
      </c>
      <c r="H5562" t="s">
        <v>8588</v>
      </c>
      <c r="I5562">
        <v>4</v>
      </c>
      <c r="J5562" t="s">
        <v>445</v>
      </c>
      <c r="M5562">
        <v>2510</v>
      </c>
      <c r="N5562" t="s">
        <v>16170</v>
      </c>
    </row>
    <row r="5563" spans="1:14">
      <c r="A5563">
        <v>22065800</v>
      </c>
      <c r="B5563">
        <v>3043070</v>
      </c>
      <c r="C5563" t="s">
        <v>10991</v>
      </c>
      <c r="D5563" t="s">
        <v>441</v>
      </c>
      <c r="F5563">
        <v>0</v>
      </c>
      <c r="G5563">
        <v>10.01</v>
      </c>
      <c r="H5563" t="s">
        <v>8549</v>
      </c>
      <c r="I5563">
        <v>6</v>
      </c>
      <c r="J5563" t="s">
        <v>445</v>
      </c>
      <c r="M5563">
        <v>2391</v>
      </c>
      <c r="N5563" t="s">
        <v>16170</v>
      </c>
    </row>
    <row r="5564" spans="1:14">
      <c r="A5564">
        <v>22065900</v>
      </c>
      <c r="B5564">
        <v>3020307</v>
      </c>
      <c r="C5564" t="s">
        <v>2830</v>
      </c>
      <c r="D5564" t="s">
        <v>441</v>
      </c>
      <c r="F5564">
        <v>0</v>
      </c>
      <c r="H5564" t="s">
        <v>8580</v>
      </c>
      <c r="I5564">
        <v>6</v>
      </c>
      <c r="J5564" t="s">
        <v>445</v>
      </c>
      <c r="M5564">
        <v>6666</v>
      </c>
      <c r="N5564" t="s">
        <v>16170</v>
      </c>
    </row>
    <row r="5565" spans="1:14">
      <c r="A5565">
        <v>22065902</v>
      </c>
      <c r="B5565">
        <v>3020308</v>
      </c>
      <c r="C5565" t="s">
        <v>10992</v>
      </c>
      <c r="D5565" t="s">
        <v>441</v>
      </c>
      <c r="F5565">
        <v>0</v>
      </c>
      <c r="H5565" t="s">
        <v>8580</v>
      </c>
      <c r="I5565">
        <v>4</v>
      </c>
      <c r="J5565" t="s">
        <v>445</v>
      </c>
      <c r="M5565">
        <v>6666</v>
      </c>
      <c r="N5565" t="s">
        <v>16170</v>
      </c>
    </row>
    <row r="5566" spans="1:14">
      <c r="A5566">
        <v>22065907</v>
      </c>
      <c r="B5566">
        <v>3037135</v>
      </c>
      <c r="C5566" t="s">
        <v>2831</v>
      </c>
      <c r="D5566" t="s">
        <v>441</v>
      </c>
      <c r="F5566">
        <v>0</v>
      </c>
      <c r="H5566" t="s">
        <v>8580</v>
      </c>
      <c r="I5566">
        <v>6</v>
      </c>
      <c r="J5566" t="s">
        <v>445</v>
      </c>
      <c r="M5566">
        <v>6666</v>
      </c>
      <c r="N5566" t="s">
        <v>16170</v>
      </c>
    </row>
    <row r="5567" spans="1:14">
      <c r="A5567">
        <v>22066000</v>
      </c>
      <c r="B5567">
        <v>3009798</v>
      </c>
      <c r="C5567" t="s">
        <v>10993</v>
      </c>
      <c r="D5567" t="s">
        <v>441</v>
      </c>
      <c r="F5567">
        <v>0</v>
      </c>
      <c r="G5567">
        <v>8.41</v>
      </c>
      <c r="I5567">
        <v>6</v>
      </c>
      <c r="J5567" t="s">
        <v>445</v>
      </c>
      <c r="K5567" t="s">
        <v>446</v>
      </c>
      <c r="M5567">
        <v>2390</v>
      </c>
    </row>
    <row r="5568" spans="1:14">
      <c r="A5568">
        <v>22066025</v>
      </c>
      <c r="B5568">
        <v>4009059</v>
      </c>
      <c r="C5568" t="s">
        <v>10994</v>
      </c>
      <c r="D5568" t="s">
        <v>441</v>
      </c>
      <c r="F5568">
        <v>0</v>
      </c>
      <c r="G5568">
        <v>8.06</v>
      </c>
      <c r="H5568" t="s">
        <v>8588</v>
      </c>
      <c r="I5568">
        <v>365</v>
      </c>
      <c r="J5568" t="s">
        <v>462</v>
      </c>
      <c r="K5568" t="s">
        <v>446</v>
      </c>
      <c r="M5568">
        <v>2501</v>
      </c>
    </row>
    <row r="5569" spans="1:14">
      <c r="A5569">
        <v>22066525</v>
      </c>
      <c r="B5569">
        <v>3010027</v>
      </c>
      <c r="C5569" t="s">
        <v>10995</v>
      </c>
      <c r="D5569" t="s">
        <v>441</v>
      </c>
      <c r="F5569">
        <v>0</v>
      </c>
      <c r="G5569">
        <v>8.69</v>
      </c>
      <c r="H5569" t="s">
        <v>8580</v>
      </c>
      <c r="I5569">
        <v>6</v>
      </c>
      <c r="J5569" t="s">
        <v>445</v>
      </c>
      <c r="K5569" t="s">
        <v>446</v>
      </c>
      <c r="M5569">
        <v>2641</v>
      </c>
    </row>
    <row r="5570" spans="1:14">
      <c r="A5570">
        <v>22068000</v>
      </c>
      <c r="B5570">
        <v>3032204</v>
      </c>
      <c r="C5570" t="s">
        <v>10996</v>
      </c>
      <c r="D5570" t="s">
        <v>441</v>
      </c>
      <c r="F5570">
        <v>0</v>
      </c>
      <c r="G5570">
        <v>6.95</v>
      </c>
      <c r="H5570" t="s">
        <v>8549</v>
      </c>
      <c r="I5570">
        <v>6</v>
      </c>
      <c r="J5570" t="s">
        <v>445</v>
      </c>
      <c r="M5570">
        <v>2391</v>
      </c>
      <c r="N5570" t="s">
        <v>16170</v>
      </c>
    </row>
    <row r="5571" spans="1:14">
      <c r="A5571">
        <v>22068002</v>
      </c>
      <c r="B5571">
        <v>3038231</v>
      </c>
      <c r="C5571" t="s">
        <v>10997</v>
      </c>
      <c r="D5571" t="s">
        <v>441</v>
      </c>
      <c r="F5571">
        <v>0</v>
      </c>
      <c r="G5571">
        <v>7.4</v>
      </c>
      <c r="H5571" t="s">
        <v>8549</v>
      </c>
      <c r="I5571">
        <v>365</v>
      </c>
      <c r="J5571" t="s">
        <v>445</v>
      </c>
      <c r="M5571">
        <v>7111</v>
      </c>
      <c r="N5571" t="s">
        <v>16170</v>
      </c>
    </row>
    <row r="5572" spans="1:14">
      <c r="A5572">
        <v>22068007</v>
      </c>
      <c r="B5572">
        <v>3032148</v>
      </c>
      <c r="C5572" t="s">
        <v>10998</v>
      </c>
      <c r="D5572" t="s">
        <v>441</v>
      </c>
      <c r="F5572">
        <v>0</v>
      </c>
      <c r="G5572">
        <v>7.05</v>
      </c>
      <c r="H5572" t="s">
        <v>8588</v>
      </c>
      <c r="I5572">
        <v>6</v>
      </c>
      <c r="J5572" t="s">
        <v>445</v>
      </c>
      <c r="M5572">
        <v>3111</v>
      </c>
      <c r="N5572" t="s">
        <v>16170</v>
      </c>
    </row>
    <row r="5573" spans="1:14">
      <c r="A5573">
        <v>22068300</v>
      </c>
      <c r="B5573">
        <v>3043059</v>
      </c>
      <c r="C5573" t="s">
        <v>10999</v>
      </c>
      <c r="D5573" t="s">
        <v>441</v>
      </c>
      <c r="F5573">
        <v>0</v>
      </c>
      <c r="G5573">
        <v>10.01</v>
      </c>
      <c r="H5573" t="s">
        <v>8549</v>
      </c>
      <c r="I5573">
        <v>6</v>
      </c>
      <c r="J5573" t="s">
        <v>445</v>
      </c>
      <c r="M5573">
        <v>2391</v>
      </c>
      <c r="N5573" t="s">
        <v>16170</v>
      </c>
    </row>
    <row r="5574" spans="1:14">
      <c r="A5574">
        <v>22068502</v>
      </c>
      <c r="B5574">
        <v>3038230</v>
      </c>
      <c r="C5574" t="s">
        <v>11000</v>
      </c>
      <c r="D5574" t="s">
        <v>441</v>
      </c>
      <c r="F5574">
        <v>0</v>
      </c>
      <c r="G5574">
        <v>7.05</v>
      </c>
      <c r="H5574" t="s">
        <v>8549</v>
      </c>
      <c r="I5574">
        <v>365</v>
      </c>
      <c r="J5574" t="s">
        <v>445</v>
      </c>
      <c r="M5574">
        <v>2502</v>
      </c>
      <c r="N5574" t="s">
        <v>16170</v>
      </c>
    </row>
    <row r="5575" spans="1:14">
      <c r="A5575">
        <v>22068602</v>
      </c>
      <c r="B5575">
        <v>3038232</v>
      </c>
      <c r="C5575" t="s">
        <v>11001</v>
      </c>
      <c r="D5575" t="s">
        <v>441</v>
      </c>
      <c r="F5575">
        <v>0</v>
      </c>
      <c r="G5575">
        <v>7.58</v>
      </c>
      <c r="H5575" t="s">
        <v>8549</v>
      </c>
      <c r="I5575">
        <v>4</v>
      </c>
      <c r="J5575" t="s">
        <v>445</v>
      </c>
      <c r="M5575">
        <v>2510</v>
      </c>
      <c r="N5575" t="s">
        <v>16170</v>
      </c>
    </row>
    <row r="5576" spans="1:14">
      <c r="A5576">
        <v>22068902</v>
      </c>
      <c r="B5576">
        <v>3038228</v>
      </c>
      <c r="C5576" t="s">
        <v>11002</v>
      </c>
      <c r="D5576" t="s">
        <v>441</v>
      </c>
      <c r="F5576">
        <v>0</v>
      </c>
      <c r="I5576">
        <v>4</v>
      </c>
      <c r="J5576" t="s">
        <v>445</v>
      </c>
      <c r="M5576">
        <v>6666</v>
      </c>
      <c r="N5576" t="s">
        <v>16170</v>
      </c>
    </row>
    <row r="5577" spans="1:14">
      <c r="A5577">
        <v>22068907</v>
      </c>
      <c r="B5577">
        <v>3039061</v>
      </c>
      <c r="C5577" t="s">
        <v>11003</v>
      </c>
      <c r="D5577" t="s">
        <v>441</v>
      </c>
      <c r="F5577">
        <v>0</v>
      </c>
      <c r="H5577" t="s">
        <v>8580</v>
      </c>
      <c r="I5577">
        <v>6</v>
      </c>
      <c r="J5577" t="s">
        <v>445</v>
      </c>
      <c r="M5577">
        <v>6666</v>
      </c>
      <c r="N5577" t="s">
        <v>16170</v>
      </c>
    </row>
    <row r="5578" spans="1:14">
      <c r="A5578">
        <v>22069000</v>
      </c>
      <c r="B5578">
        <v>3019060</v>
      </c>
      <c r="C5578" t="s">
        <v>2832</v>
      </c>
      <c r="D5578" t="s">
        <v>441</v>
      </c>
      <c r="F5578">
        <v>0</v>
      </c>
      <c r="G5578">
        <v>6.55</v>
      </c>
      <c r="H5578" t="s">
        <v>8588</v>
      </c>
      <c r="I5578">
        <v>2</v>
      </c>
      <c r="J5578" t="s">
        <v>445</v>
      </c>
      <c r="M5578">
        <v>3111</v>
      </c>
      <c r="N5578" t="s">
        <v>16170</v>
      </c>
    </row>
    <row r="5579" spans="1:14">
      <c r="A5579">
        <v>22069900</v>
      </c>
      <c r="B5579">
        <v>3020309</v>
      </c>
      <c r="C5579" t="s">
        <v>2833</v>
      </c>
      <c r="D5579" t="s">
        <v>441</v>
      </c>
      <c r="F5579">
        <v>0</v>
      </c>
      <c r="G5579">
        <v>0</v>
      </c>
      <c r="H5579" t="s">
        <v>8580</v>
      </c>
      <c r="I5579">
        <v>2</v>
      </c>
      <c r="J5579" t="s">
        <v>445</v>
      </c>
      <c r="M5579">
        <v>6666</v>
      </c>
      <c r="N5579" t="s">
        <v>16170</v>
      </c>
    </row>
    <row r="5580" spans="1:14">
      <c r="A5580">
        <v>22070000</v>
      </c>
      <c r="B5580">
        <v>3029441</v>
      </c>
      <c r="C5580" t="s">
        <v>11004</v>
      </c>
      <c r="D5580" t="s">
        <v>441</v>
      </c>
      <c r="F5580">
        <v>0</v>
      </c>
      <c r="G5580">
        <v>3.97</v>
      </c>
      <c r="H5580" t="s">
        <v>8549</v>
      </c>
      <c r="I5580">
        <v>6</v>
      </c>
      <c r="J5580" t="s">
        <v>445</v>
      </c>
      <c r="M5580">
        <v>2391</v>
      </c>
      <c r="N5580" t="s">
        <v>16170</v>
      </c>
    </row>
    <row r="5581" spans="1:14">
      <c r="A5581">
        <v>22080000</v>
      </c>
      <c r="B5581">
        <v>3015998</v>
      </c>
      <c r="C5581" t="s">
        <v>11005</v>
      </c>
      <c r="D5581" t="s">
        <v>441</v>
      </c>
      <c r="F5581">
        <v>0</v>
      </c>
      <c r="G5581">
        <v>0</v>
      </c>
      <c r="H5581" t="s">
        <v>8549</v>
      </c>
      <c r="I5581">
        <v>6</v>
      </c>
      <c r="J5581" t="s">
        <v>445</v>
      </c>
      <c r="M5581">
        <v>2391</v>
      </c>
      <c r="N5581" t="s">
        <v>16224</v>
      </c>
    </row>
    <row r="5582" spans="1:14">
      <c r="A5582">
        <v>22080002</v>
      </c>
      <c r="B5582">
        <v>3007912</v>
      </c>
      <c r="C5582" t="s">
        <v>11006</v>
      </c>
      <c r="D5582" t="s">
        <v>441</v>
      </c>
      <c r="F5582">
        <v>0</v>
      </c>
      <c r="G5582">
        <v>7.09</v>
      </c>
      <c r="H5582" t="s">
        <v>8588</v>
      </c>
      <c r="I5582">
        <v>365</v>
      </c>
      <c r="J5582" t="s">
        <v>445</v>
      </c>
      <c r="K5582" t="s">
        <v>446</v>
      </c>
      <c r="M5582">
        <v>2501</v>
      </c>
    </row>
    <row r="5583" spans="1:14">
      <c r="A5583">
        <v>22080018</v>
      </c>
      <c r="B5583">
        <v>3016061</v>
      </c>
      <c r="C5583" t="s">
        <v>11007</v>
      </c>
      <c r="D5583" t="s">
        <v>441</v>
      </c>
      <c r="F5583">
        <v>0</v>
      </c>
      <c r="G5583">
        <v>6.49</v>
      </c>
      <c r="H5583" t="s">
        <v>8588</v>
      </c>
      <c r="I5583">
        <v>365</v>
      </c>
      <c r="J5583" t="s">
        <v>445</v>
      </c>
      <c r="M5583">
        <v>7111</v>
      </c>
      <c r="N5583" t="s">
        <v>16224</v>
      </c>
    </row>
    <row r="5584" spans="1:14">
      <c r="A5584">
        <v>22080019</v>
      </c>
      <c r="B5584">
        <v>3000180</v>
      </c>
      <c r="C5584" t="s">
        <v>11008</v>
      </c>
      <c r="D5584" t="s">
        <v>441</v>
      </c>
      <c r="F5584">
        <v>0</v>
      </c>
      <c r="G5584">
        <v>7.67</v>
      </c>
      <c r="H5584" t="s">
        <v>8588</v>
      </c>
      <c r="I5584">
        <v>365</v>
      </c>
      <c r="J5584" t="s">
        <v>445</v>
      </c>
      <c r="K5584" t="s">
        <v>446</v>
      </c>
      <c r="M5584">
        <v>2501</v>
      </c>
    </row>
    <row r="5585" spans="1:14">
      <c r="A5585">
        <v>22080020</v>
      </c>
      <c r="B5585">
        <v>4007993</v>
      </c>
      <c r="C5585" t="s">
        <v>11009</v>
      </c>
      <c r="D5585" t="s">
        <v>441</v>
      </c>
      <c r="F5585">
        <v>0</v>
      </c>
      <c r="G5585">
        <v>8.34</v>
      </c>
      <c r="H5585" t="s">
        <v>8588</v>
      </c>
      <c r="I5585">
        <v>6</v>
      </c>
      <c r="J5585" t="s">
        <v>462</v>
      </c>
      <c r="K5585" t="s">
        <v>446</v>
      </c>
      <c r="M5585">
        <v>2641</v>
      </c>
    </row>
    <row r="5586" spans="1:14">
      <c r="A5586">
        <v>22080026</v>
      </c>
      <c r="B5586">
        <v>4008340</v>
      </c>
      <c r="C5586" t="s">
        <v>11010</v>
      </c>
      <c r="D5586" t="s">
        <v>441</v>
      </c>
      <c r="F5586">
        <v>0</v>
      </c>
      <c r="G5586">
        <v>8.01</v>
      </c>
      <c r="H5586" t="s">
        <v>8588</v>
      </c>
      <c r="I5586">
        <v>365</v>
      </c>
      <c r="J5586" t="s">
        <v>462</v>
      </c>
      <c r="K5586" t="s">
        <v>446</v>
      </c>
      <c r="M5586">
        <v>2501</v>
      </c>
    </row>
    <row r="5587" spans="1:14">
      <c r="A5587">
        <v>22080075</v>
      </c>
      <c r="B5587">
        <v>3000179</v>
      </c>
      <c r="C5587" t="s">
        <v>11011</v>
      </c>
      <c r="D5587" t="s">
        <v>441</v>
      </c>
      <c r="F5587">
        <v>0</v>
      </c>
      <c r="G5587">
        <v>8.11</v>
      </c>
      <c r="H5587" t="s">
        <v>8588</v>
      </c>
      <c r="I5587">
        <v>6</v>
      </c>
      <c r="J5587" t="s">
        <v>445</v>
      </c>
      <c r="K5587" t="s">
        <v>446</v>
      </c>
      <c r="M5587">
        <v>2641</v>
      </c>
    </row>
    <row r="5588" spans="1:14">
      <c r="A5588">
        <v>22080076</v>
      </c>
      <c r="B5588">
        <v>3012577</v>
      </c>
      <c r="C5588" t="s">
        <v>11012</v>
      </c>
      <c r="D5588" t="s">
        <v>441</v>
      </c>
      <c r="F5588">
        <v>0</v>
      </c>
      <c r="G5588">
        <v>6.16</v>
      </c>
      <c r="H5588" t="s">
        <v>8588</v>
      </c>
      <c r="I5588">
        <v>6</v>
      </c>
      <c r="J5588" t="s">
        <v>445</v>
      </c>
      <c r="M5588">
        <v>7112</v>
      </c>
      <c r="N5588" t="s">
        <v>16224</v>
      </c>
    </row>
    <row r="5589" spans="1:14">
      <c r="A5589">
        <v>22080080</v>
      </c>
      <c r="B5589">
        <v>3009725</v>
      </c>
      <c r="C5589" t="s">
        <v>11013</v>
      </c>
      <c r="D5589" t="s">
        <v>441</v>
      </c>
      <c r="F5589">
        <v>0</v>
      </c>
      <c r="G5589">
        <v>8.23</v>
      </c>
      <c r="H5589" t="s">
        <v>8588</v>
      </c>
      <c r="I5589">
        <v>6</v>
      </c>
      <c r="J5589" t="s">
        <v>445</v>
      </c>
      <c r="K5589" t="s">
        <v>446</v>
      </c>
      <c r="M5589">
        <v>2641</v>
      </c>
    </row>
    <row r="5590" spans="1:14">
      <c r="A5590">
        <v>22080087</v>
      </c>
      <c r="B5590">
        <v>3012322</v>
      </c>
      <c r="C5590" t="s">
        <v>11014</v>
      </c>
      <c r="D5590" t="s">
        <v>441</v>
      </c>
      <c r="F5590">
        <v>0</v>
      </c>
      <c r="G5590">
        <v>6.15</v>
      </c>
      <c r="H5590" t="s">
        <v>8588</v>
      </c>
      <c r="I5590">
        <v>6</v>
      </c>
      <c r="J5590" t="s">
        <v>445</v>
      </c>
      <c r="M5590">
        <v>7112</v>
      </c>
      <c r="N5590" t="s">
        <v>16224</v>
      </c>
    </row>
    <row r="5591" spans="1:14">
      <c r="A5591">
        <v>22080102</v>
      </c>
      <c r="B5591">
        <v>3012636</v>
      </c>
      <c r="C5591" t="s">
        <v>2834</v>
      </c>
      <c r="D5591" t="s">
        <v>441</v>
      </c>
      <c r="F5591">
        <v>0</v>
      </c>
      <c r="H5591" t="s">
        <v>8588</v>
      </c>
      <c r="I5591">
        <v>365</v>
      </c>
      <c r="J5591" t="s">
        <v>445</v>
      </c>
      <c r="M5591">
        <v>7113</v>
      </c>
      <c r="N5591" t="s">
        <v>16224</v>
      </c>
    </row>
    <row r="5592" spans="1:14">
      <c r="A5592">
        <v>22080112</v>
      </c>
      <c r="B5592">
        <v>3033749</v>
      </c>
      <c r="C5592" t="s">
        <v>11015</v>
      </c>
      <c r="D5592" t="s">
        <v>441</v>
      </c>
      <c r="F5592">
        <v>0</v>
      </c>
      <c r="H5592" t="s">
        <v>8588</v>
      </c>
      <c r="I5592">
        <v>365</v>
      </c>
      <c r="J5592" t="s">
        <v>445</v>
      </c>
      <c r="M5592">
        <v>7113</v>
      </c>
      <c r="N5592" t="s">
        <v>16224</v>
      </c>
    </row>
    <row r="5593" spans="1:14">
      <c r="A5593">
        <v>22080502</v>
      </c>
      <c r="B5593">
        <v>3006338</v>
      </c>
      <c r="C5593" t="s">
        <v>11016</v>
      </c>
      <c r="D5593" t="s">
        <v>441</v>
      </c>
      <c r="F5593">
        <v>0</v>
      </c>
      <c r="G5593">
        <v>6.77</v>
      </c>
      <c r="H5593" t="s">
        <v>8584</v>
      </c>
      <c r="I5593">
        <v>6</v>
      </c>
      <c r="J5593" t="s">
        <v>445</v>
      </c>
      <c r="K5593" t="s">
        <v>446</v>
      </c>
      <c r="M5593">
        <v>2641</v>
      </c>
    </row>
    <row r="5594" spans="1:14">
      <c r="A5594">
        <v>22080518</v>
      </c>
      <c r="B5594">
        <v>3016060</v>
      </c>
      <c r="C5594" t="s">
        <v>11017</v>
      </c>
      <c r="D5594" t="s">
        <v>441</v>
      </c>
      <c r="F5594">
        <v>0</v>
      </c>
      <c r="G5594">
        <v>6.15</v>
      </c>
      <c r="H5594" t="s">
        <v>8584</v>
      </c>
      <c r="I5594">
        <v>365</v>
      </c>
      <c r="J5594" t="s">
        <v>445</v>
      </c>
      <c r="M5594">
        <v>2502</v>
      </c>
      <c r="N5594" t="s">
        <v>16224</v>
      </c>
    </row>
    <row r="5595" spans="1:14">
      <c r="A5595">
        <v>22080519</v>
      </c>
      <c r="B5595">
        <v>3007913</v>
      </c>
      <c r="C5595" t="s">
        <v>11018</v>
      </c>
      <c r="D5595" t="s">
        <v>441</v>
      </c>
      <c r="F5595">
        <v>0</v>
      </c>
      <c r="G5595">
        <v>7.42</v>
      </c>
      <c r="H5595" t="s">
        <v>8580</v>
      </c>
      <c r="I5595">
        <v>6</v>
      </c>
      <c r="J5595" t="s">
        <v>445</v>
      </c>
      <c r="K5595" t="s">
        <v>446</v>
      </c>
      <c r="M5595">
        <v>2641</v>
      </c>
    </row>
    <row r="5596" spans="1:14">
      <c r="A5596">
        <v>22080526</v>
      </c>
      <c r="B5596">
        <v>3008947</v>
      </c>
      <c r="C5596" t="s">
        <v>11019</v>
      </c>
      <c r="D5596" t="s">
        <v>441</v>
      </c>
      <c r="F5596">
        <v>0</v>
      </c>
      <c r="G5596">
        <v>7.93</v>
      </c>
      <c r="H5596" t="s">
        <v>8580</v>
      </c>
      <c r="I5596">
        <v>6</v>
      </c>
      <c r="J5596" t="s">
        <v>445</v>
      </c>
      <c r="K5596" t="s">
        <v>446</v>
      </c>
      <c r="M5596">
        <v>2641</v>
      </c>
    </row>
    <row r="5597" spans="1:14">
      <c r="A5597">
        <v>22080602</v>
      </c>
      <c r="B5597">
        <v>3007914</v>
      </c>
      <c r="C5597" t="s">
        <v>11020</v>
      </c>
      <c r="D5597" t="s">
        <v>441</v>
      </c>
      <c r="F5597">
        <v>0</v>
      </c>
      <c r="G5597">
        <v>6.66</v>
      </c>
      <c r="H5597" t="s">
        <v>8588</v>
      </c>
      <c r="I5597">
        <v>4</v>
      </c>
      <c r="J5597" t="s">
        <v>445</v>
      </c>
      <c r="M5597">
        <v>2510</v>
      </c>
      <c r="N5597" t="s">
        <v>16224</v>
      </c>
    </row>
    <row r="5598" spans="1:14">
      <c r="A5598">
        <v>22080619</v>
      </c>
      <c r="B5598">
        <v>3007915</v>
      </c>
      <c r="C5598" t="s">
        <v>11021</v>
      </c>
      <c r="D5598" t="s">
        <v>441</v>
      </c>
      <c r="F5598">
        <v>0</v>
      </c>
      <c r="G5598">
        <v>8.09</v>
      </c>
      <c r="H5598" t="s">
        <v>8580</v>
      </c>
      <c r="I5598">
        <v>4</v>
      </c>
      <c r="J5598" t="s">
        <v>445</v>
      </c>
      <c r="K5598" t="s">
        <v>446</v>
      </c>
      <c r="M5598">
        <v>2511</v>
      </c>
    </row>
    <row r="5599" spans="1:14">
      <c r="A5599">
        <v>22080902</v>
      </c>
      <c r="B5599">
        <v>3020310</v>
      </c>
      <c r="C5599" t="s">
        <v>11022</v>
      </c>
      <c r="D5599" t="s">
        <v>441</v>
      </c>
      <c r="F5599">
        <v>0</v>
      </c>
      <c r="H5599" t="s">
        <v>8584</v>
      </c>
      <c r="I5599">
        <v>4</v>
      </c>
      <c r="J5599" t="s">
        <v>445</v>
      </c>
      <c r="M5599">
        <v>6666</v>
      </c>
      <c r="N5599" t="s">
        <v>16224</v>
      </c>
    </row>
    <row r="5600" spans="1:14">
      <c r="A5600">
        <v>22081000</v>
      </c>
      <c r="B5600">
        <v>3017125</v>
      </c>
      <c r="C5600" t="s">
        <v>14390</v>
      </c>
      <c r="D5600" t="s">
        <v>441</v>
      </c>
      <c r="F5600">
        <v>0</v>
      </c>
      <c r="G5600">
        <v>8.1999999999999993</v>
      </c>
      <c r="H5600" t="s">
        <v>8588</v>
      </c>
      <c r="I5600">
        <v>6</v>
      </c>
      <c r="J5600" t="s">
        <v>445</v>
      </c>
      <c r="M5600">
        <v>2391</v>
      </c>
      <c r="N5600" t="s">
        <v>16216</v>
      </c>
    </row>
    <row r="5601" spans="1:14">
      <c r="A5601">
        <v>22081007</v>
      </c>
      <c r="B5601">
        <v>3024998</v>
      </c>
      <c r="C5601" t="s">
        <v>17447</v>
      </c>
      <c r="D5601" t="s">
        <v>441</v>
      </c>
      <c r="F5601">
        <v>0</v>
      </c>
      <c r="G5601">
        <v>8.33</v>
      </c>
      <c r="H5601" t="s">
        <v>8935</v>
      </c>
      <c r="I5601">
        <v>6</v>
      </c>
      <c r="J5601" t="s">
        <v>445</v>
      </c>
      <c r="M5601">
        <v>3111</v>
      </c>
      <c r="N5601" t="s">
        <v>16216</v>
      </c>
    </row>
    <row r="5602" spans="1:14">
      <c r="A5602">
        <v>22081018</v>
      </c>
      <c r="B5602">
        <v>3017144</v>
      </c>
      <c r="C5602" t="s">
        <v>11023</v>
      </c>
      <c r="D5602" t="s">
        <v>441</v>
      </c>
      <c r="F5602">
        <v>0</v>
      </c>
      <c r="G5602">
        <v>6.11</v>
      </c>
      <c r="H5602" t="s">
        <v>8588</v>
      </c>
      <c r="I5602">
        <v>365</v>
      </c>
      <c r="J5602" t="s">
        <v>445</v>
      </c>
      <c r="K5602" t="s">
        <v>446</v>
      </c>
      <c r="M5602">
        <v>2501</v>
      </c>
    </row>
    <row r="5603" spans="1:14">
      <c r="A5603">
        <v>22081075</v>
      </c>
      <c r="B5603">
        <v>3017123</v>
      </c>
      <c r="C5603" t="s">
        <v>11024</v>
      </c>
      <c r="D5603" t="s">
        <v>441</v>
      </c>
      <c r="F5603">
        <v>0</v>
      </c>
      <c r="G5603">
        <v>5.39</v>
      </c>
      <c r="H5603" t="s">
        <v>8588</v>
      </c>
      <c r="I5603">
        <v>6</v>
      </c>
      <c r="J5603" t="s">
        <v>445</v>
      </c>
      <c r="K5603" t="s">
        <v>446</v>
      </c>
      <c r="M5603">
        <v>2641</v>
      </c>
    </row>
    <row r="5604" spans="1:14">
      <c r="A5604">
        <v>22081518</v>
      </c>
      <c r="B5604">
        <v>3017143</v>
      </c>
      <c r="C5604" t="s">
        <v>11025</v>
      </c>
      <c r="D5604" t="s">
        <v>441</v>
      </c>
      <c r="F5604">
        <v>0</v>
      </c>
      <c r="G5604">
        <v>5.87</v>
      </c>
      <c r="H5604" t="s">
        <v>8935</v>
      </c>
      <c r="I5604">
        <v>365</v>
      </c>
      <c r="J5604" t="s">
        <v>445</v>
      </c>
      <c r="K5604" t="s">
        <v>446</v>
      </c>
      <c r="M5604">
        <v>2641</v>
      </c>
    </row>
    <row r="5605" spans="1:14">
      <c r="A5605">
        <v>22081618</v>
      </c>
      <c r="B5605">
        <v>3019085</v>
      </c>
      <c r="C5605" t="s">
        <v>11026</v>
      </c>
      <c r="D5605" t="s">
        <v>441</v>
      </c>
      <c r="F5605">
        <v>0</v>
      </c>
      <c r="G5605">
        <v>6.3</v>
      </c>
      <c r="H5605" t="s">
        <v>8588</v>
      </c>
      <c r="I5605">
        <v>4</v>
      </c>
      <c r="J5605" t="s">
        <v>445</v>
      </c>
      <c r="K5605" t="s">
        <v>446</v>
      </c>
      <c r="M5605">
        <v>2511</v>
      </c>
    </row>
    <row r="5606" spans="1:14">
      <c r="A5606">
        <v>22081900</v>
      </c>
      <c r="B5606">
        <v>3020311</v>
      </c>
      <c r="C5606" t="s">
        <v>14391</v>
      </c>
      <c r="D5606" t="s">
        <v>441</v>
      </c>
      <c r="F5606">
        <v>0</v>
      </c>
      <c r="G5606">
        <v>0</v>
      </c>
      <c r="H5606" t="s">
        <v>8584</v>
      </c>
      <c r="I5606">
        <v>6</v>
      </c>
      <c r="J5606" t="s">
        <v>445</v>
      </c>
      <c r="M5606">
        <v>6666</v>
      </c>
      <c r="N5606" t="s">
        <v>16216</v>
      </c>
    </row>
    <row r="5607" spans="1:14">
      <c r="A5607">
        <v>22081907</v>
      </c>
      <c r="B5607">
        <v>3025258</v>
      </c>
      <c r="C5607" t="s">
        <v>17448</v>
      </c>
      <c r="D5607" t="s">
        <v>441</v>
      </c>
      <c r="F5607">
        <v>0</v>
      </c>
      <c r="G5607">
        <v>0</v>
      </c>
      <c r="H5607" t="s">
        <v>8580</v>
      </c>
      <c r="I5607">
        <v>6</v>
      </c>
      <c r="J5607" t="s">
        <v>445</v>
      </c>
      <c r="M5607">
        <v>6666</v>
      </c>
      <c r="N5607" t="s">
        <v>16216</v>
      </c>
    </row>
    <row r="5608" spans="1:14">
      <c r="A5608">
        <v>22081918</v>
      </c>
      <c r="B5608">
        <v>3020312</v>
      </c>
      <c r="C5608" t="s">
        <v>11027</v>
      </c>
      <c r="D5608" t="s">
        <v>441</v>
      </c>
      <c r="F5608">
        <v>0</v>
      </c>
      <c r="H5608" t="s">
        <v>8584</v>
      </c>
      <c r="I5608">
        <v>4</v>
      </c>
      <c r="J5608" t="s">
        <v>445</v>
      </c>
      <c r="K5608" t="s">
        <v>446</v>
      </c>
      <c r="M5608">
        <v>6666</v>
      </c>
    </row>
    <row r="5609" spans="1:14">
      <c r="A5609">
        <v>22082000</v>
      </c>
      <c r="B5609">
        <v>3009481</v>
      </c>
      <c r="C5609" t="s">
        <v>11028</v>
      </c>
      <c r="D5609" t="s">
        <v>441</v>
      </c>
      <c r="F5609">
        <v>0</v>
      </c>
      <c r="G5609">
        <v>6.05</v>
      </c>
      <c r="H5609" t="s">
        <v>8588</v>
      </c>
      <c r="I5609">
        <v>6</v>
      </c>
      <c r="J5609" t="s">
        <v>445</v>
      </c>
      <c r="M5609">
        <v>2391</v>
      </c>
      <c r="N5609" t="s">
        <v>16225</v>
      </c>
    </row>
    <row r="5610" spans="1:14">
      <c r="A5610">
        <v>22082007</v>
      </c>
      <c r="B5610">
        <v>3017981</v>
      </c>
      <c r="C5610" t="s">
        <v>14392</v>
      </c>
      <c r="D5610" t="s">
        <v>441</v>
      </c>
      <c r="F5610">
        <v>0</v>
      </c>
      <c r="G5610">
        <v>10.24</v>
      </c>
      <c r="H5610" t="s">
        <v>8588</v>
      </c>
      <c r="I5610">
        <v>6</v>
      </c>
      <c r="J5610" t="s">
        <v>445</v>
      </c>
      <c r="M5610">
        <v>3113</v>
      </c>
      <c r="N5610" t="s">
        <v>16225</v>
      </c>
    </row>
    <row r="5611" spans="1:14">
      <c r="A5611">
        <v>22082018</v>
      </c>
      <c r="B5611">
        <v>3017145</v>
      </c>
      <c r="C5611" t="s">
        <v>11029</v>
      </c>
      <c r="D5611" t="s">
        <v>441</v>
      </c>
      <c r="F5611">
        <v>0</v>
      </c>
      <c r="G5611">
        <v>6.49</v>
      </c>
      <c r="H5611" t="s">
        <v>8588</v>
      </c>
      <c r="I5611">
        <v>365</v>
      </c>
      <c r="J5611" t="s">
        <v>445</v>
      </c>
      <c r="M5611">
        <v>7111</v>
      </c>
      <c r="N5611" t="s">
        <v>16225</v>
      </c>
    </row>
    <row r="5612" spans="1:14">
      <c r="A5612">
        <v>22082075</v>
      </c>
      <c r="B5612">
        <v>3017146</v>
      </c>
      <c r="C5612" t="s">
        <v>11030</v>
      </c>
      <c r="D5612" t="s">
        <v>441</v>
      </c>
      <c r="F5612">
        <v>0</v>
      </c>
      <c r="G5612">
        <v>6.15</v>
      </c>
      <c r="H5612" t="s">
        <v>8588</v>
      </c>
      <c r="I5612">
        <v>6</v>
      </c>
      <c r="J5612" t="s">
        <v>445</v>
      </c>
      <c r="L5612">
        <v>2092029</v>
      </c>
      <c r="M5612">
        <v>7112</v>
      </c>
      <c r="N5612" t="s">
        <v>16225</v>
      </c>
    </row>
    <row r="5613" spans="1:14">
      <c r="A5613">
        <v>22082100</v>
      </c>
      <c r="B5613">
        <v>3037106</v>
      </c>
      <c r="C5613" t="s">
        <v>11031</v>
      </c>
      <c r="D5613" t="s">
        <v>441</v>
      </c>
      <c r="F5613">
        <v>0</v>
      </c>
      <c r="H5613" t="s">
        <v>8588</v>
      </c>
      <c r="I5613">
        <v>6</v>
      </c>
      <c r="J5613" t="s">
        <v>445</v>
      </c>
      <c r="M5613">
        <v>7161</v>
      </c>
      <c r="N5613" t="s">
        <v>16225</v>
      </c>
    </row>
    <row r="5614" spans="1:14">
      <c r="A5614">
        <v>22082110</v>
      </c>
      <c r="B5614">
        <v>3033624</v>
      </c>
      <c r="C5614" t="s">
        <v>15638</v>
      </c>
      <c r="D5614" t="s">
        <v>441</v>
      </c>
      <c r="F5614">
        <v>0</v>
      </c>
      <c r="G5614">
        <v>13.27</v>
      </c>
      <c r="H5614" t="s">
        <v>8588</v>
      </c>
      <c r="I5614">
        <v>6</v>
      </c>
      <c r="J5614" t="s">
        <v>445</v>
      </c>
      <c r="M5614">
        <v>0</v>
      </c>
      <c r="N5614" t="s">
        <v>16225</v>
      </c>
    </row>
    <row r="5615" spans="1:14">
      <c r="A5615">
        <v>22082112</v>
      </c>
      <c r="B5615">
        <v>3033762</v>
      </c>
      <c r="C5615" t="s">
        <v>11032</v>
      </c>
      <c r="D5615" t="s">
        <v>441</v>
      </c>
      <c r="F5615">
        <v>0</v>
      </c>
      <c r="H5615" t="s">
        <v>8588</v>
      </c>
      <c r="I5615">
        <v>729</v>
      </c>
      <c r="J5615" t="s">
        <v>445</v>
      </c>
      <c r="M5615">
        <v>7113</v>
      </c>
      <c r="N5615" t="s">
        <v>16225</v>
      </c>
    </row>
    <row r="5616" spans="1:14">
      <c r="A5616">
        <v>22082300</v>
      </c>
      <c r="B5616">
        <v>3043073</v>
      </c>
      <c r="C5616" t="s">
        <v>11033</v>
      </c>
      <c r="D5616" t="s">
        <v>441</v>
      </c>
      <c r="F5616">
        <v>0</v>
      </c>
      <c r="G5616">
        <v>9.1</v>
      </c>
      <c r="H5616" t="s">
        <v>8549</v>
      </c>
      <c r="I5616">
        <v>6</v>
      </c>
      <c r="J5616" t="s">
        <v>445</v>
      </c>
      <c r="M5616">
        <v>2391</v>
      </c>
      <c r="N5616" t="s">
        <v>16225</v>
      </c>
    </row>
    <row r="5617" spans="1:14">
      <c r="A5617">
        <v>22082518</v>
      </c>
      <c r="B5617">
        <v>3017142</v>
      </c>
      <c r="C5617" t="s">
        <v>11034</v>
      </c>
      <c r="D5617" t="s">
        <v>441</v>
      </c>
      <c r="F5617">
        <v>0</v>
      </c>
      <c r="G5617">
        <v>6.15</v>
      </c>
      <c r="H5617" t="s">
        <v>8935</v>
      </c>
      <c r="I5617">
        <v>365</v>
      </c>
      <c r="J5617" t="s">
        <v>445</v>
      </c>
      <c r="M5617">
        <v>2502</v>
      </c>
      <c r="N5617" t="s">
        <v>16225</v>
      </c>
    </row>
    <row r="5618" spans="1:14">
      <c r="A5618">
        <v>22082618</v>
      </c>
      <c r="B5618">
        <v>3020187</v>
      </c>
      <c r="C5618" t="s">
        <v>11035</v>
      </c>
      <c r="D5618" t="s">
        <v>441</v>
      </c>
      <c r="F5618">
        <v>0</v>
      </c>
      <c r="G5618">
        <v>6.66</v>
      </c>
      <c r="H5618" t="s">
        <v>8588</v>
      </c>
      <c r="I5618">
        <v>4</v>
      </c>
      <c r="J5618" t="s">
        <v>445</v>
      </c>
      <c r="M5618">
        <v>2510</v>
      </c>
      <c r="N5618" t="s">
        <v>16225</v>
      </c>
    </row>
    <row r="5619" spans="1:14">
      <c r="A5619">
        <v>22082900</v>
      </c>
      <c r="B5619">
        <v>3020313</v>
      </c>
      <c r="C5619" t="s">
        <v>11036</v>
      </c>
      <c r="D5619" t="s">
        <v>441</v>
      </c>
      <c r="F5619">
        <v>0</v>
      </c>
      <c r="G5619">
        <v>0</v>
      </c>
      <c r="H5619" t="s">
        <v>8584</v>
      </c>
      <c r="I5619">
        <v>6</v>
      </c>
      <c r="J5619" t="s">
        <v>445</v>
      </c>
      <c r="M5619">
        <v>6666</v>
      </c>
      <c r="N5619" t="s">
        <v>16225</v>
      </c>
    </row>
    <row r="5620" spans="1:14">
      <c r="A5620">
        <v>22082907</v>
      </c>
      <c r="B5620">
        <v>3020591</v>
      </c>
      <c r="C5620" t="s">
        <v>14393</v>
      </c>
      <c r="D5620" t="s">
        <v>441</v>
      </c>
      <c r="F5620">
        <v>0</v>
      </c>
      <c r="G5620">
        <v>0</v>
      </c>
      <c r="H5620" t="s">
        <v>8580</v>
      </c>
      <c r="I5620">
        <v>6</v>
      </c>
      <c r="J5620" t="s">
        <v>445</v>
      </c>
      <c r="M5620">
        <v>6666</v>
      </c>
      <c r="N5620" t="s">
        <v>16225</v>
      </c>
    </row>
    <row r="5621" spans="1:14">
      <c r="A5621">
        <v>22082918</v>
      </c>
      <c r="B5621">
        <v>3020927</v>
      </c>
      <c r="C5621" t="s">
        <v>11037</v>
      </c>
      <c r="D5621" t="s">
        <v>441</v>
      </c>
      <c r="F5621">
        <v>0</v>
      </c>
      <c r="H5621" t="s">
        <v>8624</v>
      </c>
      <c r="I5621">
        <v>4</v>
      </c>
      <c r="J5621" t="s">
        <v>445</v>
      </c>
      <c r="M5621">
        <v>6666</v>
      </c>
      <c r="N5621" t="s">
        <v>16225</v>
      </c>
    </row>
    <row r="5622" spans="1:14">
      <c r="A5622">
        <v>22083000</v>
      </c>
      <c r="B5622">
        <v>3016310</v>
      </c>
      <c r="C5622" t="s">
        <v>11038</v>
      </c>
      <c r="D5622" t="s">
        <v>441</v>
      </c>
      <c r="F5622">
        <v>0</v>
      </c>
      <c r="G5622">
        <v>6.05</v>
      </c>
      <c r="H5622" t="s">
        <v>8588</v>
      </c>
      <c r="I5622">
        <v>6</v>
      </c>
      <c r="J5622" t="s">
        <v>445</v>
      </c>
      <c r="M5622">
        <v>2391</v>
      </c>
      <c r="N5622" t="s">
        <v>16224</v>
      </c>
    </row>
    <row r="5623" spans="1:14">
      <c r="A5623">
        <v>22083007</v>
      </c>
      <c r="B5623">
        <v>3029096</v>
      </c>
      <c r="C5623" t="s">
        <v>11039</v>
      </c>
      <c r="D5623" t="s">
        <v>441</v>
      </c>
      <c r="F5623">
        <v>0</v>
      </c>
      <c r="G5623">
        <v>6.15</v>
      </c>
      <c r="H5623" t="s">
        <v>8549</v>
      </c>
      <c r="I5623">
        <v>6</v>
      </c>
      <c r="J5623" t="s">
        <v>445</v>
      </c>
      <c r="M5623">
        <v>3113</v>
      </c>
      <c r="N5623" t="s">
        <v>16224</v>
      </c>
    </row>
    <row r="5624" spans="1:14">
      <c r="A5624">
        <v>22083900</v>
      </c>
      <c r="B5624">
        <v>3020314</v>
      </c>
      <c r="C5624" t="s">
        <v>11040</v>
      </c>
      <c r="D5624" t="s">
        <v>441</v>
      </c>
      <c r="F5624">
        <v>0</v>
      </c>
      <c r="G5624">
        <v>0</v>
      </c>
      <c r="H5624" t="s">
        <v>8584</v>
      </c>
      <c r="I5624">
        <v>6</v>
      </c>
      <c r="J5624" t="s">
        <v>445</v>
      </c>
      <c r="M5624">
        <v>6666</v>
      </c>
      <c r="N5624" t="s">
        <v>16224</v>
      </c>
    </row>
    <row r="5625" spans="1:14">
      <c r="A5625">
        <v>22083907</v>
      </c>
      <c r="B5625">
        <v>3029101</v>
      </c>
      <c r="C5625" t="s">
        <v>11041</v>
      </c>
      <c r="D5625" t="s">
        <v>441</v>
      </c>
      <c r="F5625">
        <v>0</v>
      </c>
      <c r="G5625">
        <v>0</v>
      </c>
      <c r="H5625" t="s">
        <v>8580</v>
      </c>
      <c r="I5625">
        <v>6</v>
      </c>
      <c r="J5625" t="s">
        <v>445</v>
      </c>
      <c r="M5625">
        <v>6666</v>
      </c>
      <c r="N5625" t="s">
        <v>16224</v>
      </c>
    </row>
    <row r="5626" spans="1:14">
      <c r="A5626">
        <v>22084000</v>
      </c>
      <c r="B5626">
        <v>3037419</v>
      </c>
      <c r="C5626" t="s">
        <v>11042</v>
      </c>
      <c r="D5626" t="s">
        <v>441</v>
      </c>
      <c r="F5626">
        <v>0</v>
      </c>
      <c r="G5626">
        <v>6.1</v>
      </c>
      <c r="H5626" t="s">
        <v>8549</v>
      </c>
      <c r="I5626">
        <v>6</v>
      </c>
      <c r="J5626" t="s">
        <v>445</v>
      </c>
      <c r="M5626">
        <v>2391</v>
      </c>
      <c r="N5626" t="s">
        <v>16224</v>
      </c>
    </row>
    <row r="5627" spans="1:14">
      <c r="A5627">
        <v>22084007</v>
      </c>
      <c r="B5627">
        <v>3038861</v>
      </c>
      <c r="C5627" t="s">
        <v>11043</v>
      </c>
      <c r="D5627" t="s">
        <v>441</v>
      </c>
      <c r="F5627">
        <v>0</v>
      </c>
      <c r="G5627">
        <v>7.6</v>
      </c>
      <c r="H5627" t="s">
        <v>8549</v>
      </c>
      <c r="I5627">
        <v>6</v>
      </c>
      <c r="J5627" t="s">
        <v>445</v>
      </c>
      <c r="M5627">
        <v>3111</v>
      </c>
      <c r="N5627" t="s">
        <v>16224</v>
      </c>
    </row>
    <row r="5628" spans="1:14">
      <c r="A5628">
        <v>22084022</v>
      </c>
      <c r="B5628">
        <v>3040950</v>
      </c>
      <c r="C5628" t="s">
        <v>11044</v>
      </c>
      <c r="D5628" t="s">
        <v>441</v>
      </c>
      <c r="F5628">
        <v>0</v>
      </c>
      <c r="G5628">
        <v>10.79</v>
      </c>
      <c r="H5628" t="s">
        <v>8588</v>
      </c>
      <c r="I5628">
        <v>365</v>
      </c>
      <c r="J5628" t="s">
        <v>445</v>
      </c>
      <c r="M5628">
        <v>7111</v>
      </c>
      <c r="N5628" t="s">
        <v>16225</v>
      </c>
    </row>
    <row r="5629" spans="1:14">
      <c r="A5629">
        <v>22084200</v>
      </c>
      <c r="B5629">
        <v>3038275</v>
      </c>
      <c r="C5629" t="s">
        <v>11045</v>
      </c>
      <c r="D5629" t="s">
        <v>441</v>
      </c>
      <c r="F5629">
        <v>0</v>
      </c>
      <c r="G5629">
        <v>6.05</v>
      </c>
      <c r="H5629" t="s">
        <v>8549</v>
      </c>
      <c r="I5629">
        <v>6</v>
      </c>
      <c r="J5629" t="s">
        <v>445</v>
      </c>
      <c r="M5629">
        <v>2391</v>
      </c>
      <c r="N5629" t="s">
        <v>16225</v>
      </c>
    </row>
    <row r="5630" spans="1:14">
      <c r="A5630">
        <v>22084207</v>
      </c>
      <c r="B5630">
        <v>3039346</v>
      </c>
      <c r="C5630" t="s">
        <v>8529</v>
      </c>
      <c r="D5630" t="s">
        <v>441</v>
      </c>
      <c r="F5630">
        <v>0</v>
      </c>
      <c r="G5630">
        <v>6.15</v>
      </c>
      <c r="H5630" t="s">
        <v>8588</v>
      </c>
      <c r="I5630">
        <v>6</v>
      </c>
      <c r="J5630" t="s">
        <v>445</v>
      </c>
      <c r="M5630">
        <v>3113</v>
      </c>
      <c r="N5630" t="s">
        <v>16225</v>
      </c>
    </row>
    <row r="5631" spans="1:14">
      <c r="A5631">
        <v>22084275</v>
      </c>
      <c r="B5631">
        <v>3039538</v>
      </c>
      <c r="C5631" t="s">
        <v>11046</v>
      </c>
      <c r="D5631" t="s">
        <v>441</v>
      </c>
      <c r="F5631">
        <v>0</v>
      </c>
      <c r="G5631">
        <v>6.25</v>
      </c>
      <c r="H5631" t="s">
        <v>8588</v>
      </c>
      <c r="I5631">
        <v>6</v>
      </c>
      <c r="J5631" t="s">
        <v>445</v>
      </c>
      <c r="M5631">
        <v>7112</v>
      </c>
      <c r="N5631" t="s">
        <v>16225</v>
      </c>
    </row>
    <row r="5632" spans="1:14">
      <c r="A5632">
        <v>22084300</v>
      </c>
      <c r="B5632">
        <v>3037493</v>
      </c>
      <c r="C5632" t="s">
        <v>11047</v>
      </c>
      <c r="D5632" t="s">
        <v>441</v>
      </c>
      <c r="F5632">
        <v>0</v>
      </c>
      <c r="G5632">
        <v>7.5</v>
      </c>
      <c r="H5632" t="s">
        <v>8549</v>
      </c>
      <c r="I5632">
        <v>6</v>
      </c>
      <c r="J5632" t="s">
        <v>445</v>
      </c>
      <c r="M5632">
        <v>2391</v>
      </c>
      <c r="N5632" t="s">
        <v>16224</v>
      </c>
    </row>
    <row r="5633" spans="1:14">
      <c r="A5633">
        <v>22084522</v>
      </c>
      <c r="B5633">
        <v>3039778</v>
      </c>
      <c r="C5633" t="s">
        <v>11048</v>
      </c>
      <c r="D5633" t="s">
        <v>441</v>
      </c>
      <c r="F5633">
        <v>0</v>
      </c>
      <c r="G5633">
        <v>6.15</v>
      </c>
      <c r="H5633" t="s">
        <v>8588</v>
      </c>
      <c r="I5633">
        <v>6</v>
      </c>
      <c r="J5633" t="s">
        <v>445</v>
      </c>
      <c r="M5633">
        <v>2502</v>
      </c>
      <c r="N5633" t="s">
        <v>16225</v>
      </c>
    </row>
    <row r="5634" spans="1:14">
      <c r="A5634">
        <v>22084622</v>
      </c>
      <c r="B5634">
        <v>3041007</v>
      </c>
      <c r="C5634" t="s">
        <v>11049</v>
      </c>
      <c r="D5634" t="s">
        <v>441</v>
      </c>
      <c r="F5634">
        <v>0</v>
      </c>
      <c r="G5634">
        <v>6.66</v>
      </c>
      <c r="H5634" t="s">
        <v>8549</v>
      </c>
      <c r="I5634">
        <v>4</v>
      </c>
      <c r="J5634" t="s">
        <v>445</v>
      </c>
      <c r="M5634">
        <v>2510</v>
      </c>
      <c r="N5634" t="s">
        <v>16225</v>
      </c>
    </row>
    <row r="5635" spans="1:14">
      <c r="A5635">
        <v>22084907</v>
      </c>
      <c r="B5635">
        <v>3039062</v>
      </c>
      <c r="C5635" t="s">
        <v>11050</v>
      </c>
      <c r="D5635" t="s">
        <v>441</v>
      </c>
      <c r="F5635">
        <v>0</v>
      </c>
      <c r="H5635" t="s">
        <v>8580</v>
      </c>
      <c r="I5635">
        <v>6</v>
      </c>
      <c r="J5635" t="s">
        <v>445</v>
      </c>
      <c r="M5635">
        <v>6666</v>
      </c>
      <c r="N5635" t="s">
        <v>16224</v>
      </c>
    </row>
    <row r="5636" spans="1:14">
      <c r="A5636">
        <v>22084922</v>
      </c>
      <c r="B5636">
        <v>3041760</v>
      </c>
      <c r="C5636" t="s">
        <v>11051</v>
      </c>
      <c r="D5636" t="s">
        <v>441</v>
      </c>
      <c r="F5636">
        <v>0</v>
      </c>
      <c r="G5636">
        <v>6.66</v>
      </c>
      <c r="H5636" t="s">
        <v>8549</v>
      </c>
      <c r="I5636">
        <v>4</v>
      </c>
      <c r="J5636" t="s">
        <v>445</v>
      </c>
      <c r="M5636">
        <v>6666</v>
      </c>
      <c r="N5636" t="s">
        <v>16225</v>
      </c>
    </row>
    <row r="5637" spans="1:14">
      <c r="A5637">
        <v>22084927</v>
      </c>
      <c r="B5637">
        <v>3039408</v>
      </c>
      <c r="C5637" t="s">
        <v>11052</v>
      </c>
      <c r="D5637" t="s">
        <v>441</v>
      </c>
      <c r="F5637">
        <v>0</v>
      </c>
      <c r="H5637" t="s">
        <v>8634</v>
      </c>
      <c r="I5637">
        <v>6</v>
      </c>
      <c r="J5637" t="s">
        <v>445</v>
      </c>
      <c r="M5637">
        <v>6666</v>
      </c>
      <c r="N5637" t="s">
        <v>16225</v>
      </c>
    </row>
    <row r="5638" spans="1:14">
      <c r="A5638">
        <v>22085000</v>
      </c>
      <c r="B5638">
        <v>3009480</v>
      </c>
      <c r="C5638" t="s">
        <v>11053</v>
      </c>
      <c r="D5638" t="s">
        <v>441</v>
      </c>
      <c r="F5638">
        <v>0</v>
      </c>
      <c r="G5638">
        <v>7.1</v>
      </c>
      <c r="H5638" t="s">
        <v>8583</v>
      </c>
      <c r="I5638">
        <v>6</v>
      </c>
      <c r="J5638" t="s">
        <v>445</v>
      </c>
      <c r="K5638" t="s">
        <v>446</v>
      </c>
      <c r="M5638">
        <v>2390</v>
      </c>
    </row>
    <row r="5639" spans="1:14">
      <c r="A5639">
        <v>22085200</v>
      </c>
      <c r="B5639">
        <v>3043074</v>
      </c>
      <c r="C5639" t="s">
        <v>11054</v>
      </c>
      <c r="D5639" t="s">
        <v>441</v>
      </c>
      <c r="F5639">
        <v>0</v>
      </c>
      <c r="G5639">
        <v>9.1</v>
      </c>
      <c r="H5639" t="s">
        <v>8549</v>
      </c>
      <c r="I5639">
        <v>6</v>
      </c>
      <c r="J5639" t="s">
        <v>445</v>
      </c>
      <c r="M5639">
        <v>2391</v>
      </c>
      <c r="N5639" t="s">
        <v>16225</v>
      </c>
    </row>
    <row r="5640" spans="1:14">
      <c r="A5640">
        <v>22086000</v>
      </c>
      <c r="B5640">
        <v>3023133</v>
      </c>
      <c r="C5640" t="s">
        <v>2835</v>
      </c>
      <c r="D5640" t="s">
        <v>441</v>
      </c>
      <c r="F5640">
        <v>0</v>
      </c>
      <c r="G5640">
        <v>3.65</v>
      </c>
      <c r="H5640" t="s">
        <v>8588</v>
      </c>
      <c r="I5640">
        <v>6</v>
      </c>
      <c r="J5640" t="s">
        <v>445</v>
      </c>
      <c r="M5640">
        <v>2391</v>
      </c>
      <c r="N5640" t="s">
        <v>16226</v>
      </c>
    </row>
    <row r="5641" spans="1:14">
      <c r="A5641">
        <v>22086007</v>
      </c>
      <c r="B5641">
        <v>3024999</v>
      </c>
      <c r="C5641" t="s">
        <v>14394</v>
      </c>
      <c r="D5641" t="s">
        <v>441</v>
      </c>
      <c r="F5641">
        <v>0</v>
      </c>
      <c r="G5641">
        <v>7.14</v>
      </c>
      <c r="H5641" t="s">
        <v>8935</v>
      </c>
      <c r="I5641">
        <v>6</v>
      </c>
      <c r="J5641" t="s">
        <v>445</v>
      </c>
      <c r="M5641">
        <v>3111</v>
      </c>
      <c r="N5641" t="s">
        <v>16226</v>
      </c>
    </row>
    <row r="5642" spans="1:14">
      <c r="A5642">
        <v>22086900</v>
      </c>
      <c r="B5642">
        <v>3023158</v>
      </c>
      <c r="C5642" t="s">
        <v>2836</v>
      </c>
      <c r="D5642" t="s">
        <v>441</v>
      </c>
      <c r="F5642">
        <v>0</v>
      </c>
      <c r="G5642">
        <v>0</v>
      </c>
      <c r="H5642" t="s">
        <v>8580</v>
      </c>
      <c r="I5642">
        <v>6</v>
      </c>
      <c r="J5642" t="s">
        <v>445</v>
      </c>
      <c r="M5642">
        <v>6666</v>
      </c>
      <c r="N5642" t="s">
        <v>16226</v>
      </c>
    </row>
    <row r="5643" spans="1:14">
      <c r="A5643">
        <v>22086907</v>
      </c>
      <c r="B5643">
        <v>3025259</v>
      </c>
      <c r="C5643" t="s">
        <v>14395</v>
      </c>
      <c r="D5643" t="s">
        <v>441</v>
      </c>
      <c r="F5643">
        <v>0</v>
      </c>
      <c r="G5643">
        <v>0</v>
      </c>
      <c r="H5643" t="s">
        <v>8580</v>
      </c>
      <c r="I5643">
        <v>6</v>
      </c>
      <c r="J5643" t="s">
        <v>445</v>
      </c>
      <c r="M5643">
        <v>6666</v>
      </c>
      <c r="N5643" t="s">
        <v>16226</v>
      </c>
    </row>
    <row r="5644" spans="1:14">
      <c r="A5644">
        <v>22087000</v>
      </c>
      <c r="B5644">
        <v>3012449</v>
      </c>
      <c r="C5644" t="s">
        <v>8530</v>
      </c>
      <c r="D5644" t="s">
        <v>441</v>
      </c>
      <c r="F5644">
        <v>0</v>
      </c>
      <c r="G5644">
        <v>6.05</v>
      </c>
      <c r="I5644">
        <v>6</v>
      </c>
      <c r="J5644" t="s">
        <v>445</v>
      </c>
      <c r="M5644">
        <v>2391</v>
      </c>
      <c r="N5644" t="s">
        <v>16226</v>
      </c>
    </row>
    <row r="5645" spans="1:14">
      <c r="A5645">
        <v>22088000</v>
      </c>
      <c r="B5645">
        <v>3012447</v>
      </c>
      <c r="C5645" t="s">
        <v>11055</v>
      </c>
      <c r="D5645" t="s">
        <v>441</v>
      </c>
      <c r="F5645">
        <v>0</v>
      </c>
      <c r="G5645">
        <v>6.05</v>
      </c>
      <c r="H5645" t="s">
        <v>8588</v>
      </c>
      <c r="I5645">
        <v>6</v>
      </c>
      <c r="J5645" t="s">
        <v>445</v>
      </c>
      <c r="M5645">
        <v>2391</v>
      </c>
      <c r="N5645" t="s">
        <v>16226</v>
      </c>
    </row>
    <row r="5646" spans="1:14">
      <c r="A5646">
        <v>22088002</v>
      </c>
      <c r="B5646">
        <v>3037137</v>
      </c>
      <c r="C5646" t="s">
        <v>11056</v>
      </c>
      <c r="D5646" t="s">
        <v>441</v>
      </c>
      <c r="F5646">
        <v>0</v>
      </c>
      <c r="G5646">
        <v>6.49</v>
      </c>
      <c r="H5646" t="s">
        <v>8588</v>
      </c>
      <c r="I5646">
        <v>540</v>
      </c>
      <c r="J5646" t="s">
        <v>445</v>
      </c>
      <c r="M5646">
        <v>7111</v>
      </c>
      <c r="N5646" t="s">
        <v>16226</v>
      </c>
    </row>
    <row r="5647" spans="1:14">
      <c r="A5647">
        <v>22088007</v>
      </c>
      <c r="B5647">
        <v>3035355</v>
      </c>
      <c r="C5647" t="s">
        <v>14232</v>
      </c>
      <c r="D5647" t="s">
        <v>441</v>
      </c>
      <c r="F5647">
        <v>0</v>
      </c>
      <c r="G5647">
        <v>10.24</v>
      </c>
      <c r="H5647" t="s">
        <v>8584</v>
      </c>
      <c r="I5647">
        <v>6</v>
      </c>
      <c r="J5647" t="s">
        <v>445</v>
      </c>
      <c r="M5647">
        <v>3111</v>
      </c>
      <c r="N5647" t="s">
        <v>16226</v>
      </c>
    </row>
    <row r="5648" spans="1:14">
      <c r="A5648">
        <v>22088019</v>
      </c>
      <c r="B5648">
        <v>3012450</v>
      </c>
      <c r="C5648" t="s">
        <v>11057</v>
      </c>
      <c r="D5648" t="s">
        <v>441</v>
      </c>
      <c r="F5648">
        <v>0</v>
      </c>
      <c r="G5648">
        <v>4.05</v>
      </c>
      <c r="H5648" t="s">
        <v>8588</v>
      </c>
      <c r="I5648">
        <v>365</v>
      </c>
      <c r="J5648" t="s">
        <v>445</v>
      </c>
      <c r="M5648">
        <v>7111</v>
      </c>
      <c r="N5648" t="s">
        <v>16226</v>
      </c>
    </row>
    <row r="5649" spans="1:14">
      <c r="A5649">
        <v>22088087</v>
      </c>
      <c r="B5649">
        <v>3012446</v>
      </c>
      <c r="C5649" t="s">
        <v>2837</v>
      </c>
      <c r="D5649" t="s">
        <v>441</v>
      </c>
      <c r="F5649">
        <v>0</v>
      </c>
      <c r="G5649">
        <v>6.16</v>
      </c>
      <c r="H5649" t="s">
        <v>8588</v>
      </c>
      <c r="I5649">
        <v>6</v>
      </c>
      <c r="J5649" t="s">
        <v>445</v>
      </c>
      <c r="M5649">
        <v>7112</v>
      </c>
      <c r="N5649" t="s">
        <v>16226</v>
      </c>
    </row>
    <row r="5650" spans="1:14">
      <c r="A5650">
        <v>22088112</v>
      </c>
      <c r="B5650">
        <v>3034845</v>
      </c>
      <c r="C5650" t="s">
        <v>11058</v>
      </c>
      <c r="D5650" t="s">
        <v>441</v>
      </c>
      <c r="F5650">
        <v>0</v>
      </c>
      <c r="H5650" t="s">
        <v>8588</v>
      </c>
      <c r="I5650">
        <v>365</v>
      </c>
      <c r="J5650" t="s">
        <v>445</v>
      </c>
      <c r="M5650">
        <v>7113</v>
      </c>
      <c r="N5650" t="s">
        <v>16226</v>
      </c>
    </row>
    <row r="5651" spans="1:14">
      <c r="A5651">
        <v>22088502</v>
      </c>
      <c r="B5651">
        <v>3037215</v>
      </c>
      <c r="C5651" t="s">
        <v>11059</v>
      </c>
      <c r="D5651" t="s">
        <v>441</v>
      </c>
      <c r="F5651">
        <v>0</v>
      </c>
      <c r="G5651">
        <v>6.15</v>
      </c>
      <c r="H5651" t="s">
        <v>8549</v>
      </c>
      <c r="I5651">
        <v>540</v>
      </c>
      <c r="J5651" t="s">
        <v>445</v>
      </c>
      <c r="M5651">
        <v>2502</v>
      </c>
      <c r="N5651" t="s">
        <v>16226</v>
      </c>
    </row>
    <row r="5652" spans="1:14">
      <c r="A5652">
        <v>22088519</v>
      </c>
      <c r="B5652">
        <v>3012445</v>
      </c>
      <c r="C5652" t="s">
        <v>11060</v>
      </c>
      <c r="D5652" t="s">
        <v>441</v>
      </c>
      <c r="F5652">
        <v>0</v>
      </c>
      <c r="G5652">
        <v>3.74</v>
      </c>
      <c r="I5652">
        <v>365</v>
      </c>
      <c r="J5652" t="s">
        <v>445</v>
      </c>
      <c r="M5652">
        <v>2502</v>
      </c>
      <c r="N5652" t="s">
        <v>16226</v>
      </c>
    </row>
    <row r="5653" spans="1:14">
      <c r="A5653">
        <v>22088602</v>
      </c>
      <c r="B5653">
        <v>3038447</v>
      </c>
      <c r="C5653" t="s">
        <v>11061</v>
      </c>
      <c r="D5653" t="s">
        <v>441</v>
      </c>
      <c r="F5653">
        <v>0</v>
      </c>
      <c r="G5653">
        <v>6.66</v>
      </c>
      <c r="H5653" t="s">
        <v>8549</v>
      </c>
      <c r="I5653">
        <v>4</v>
      </c>
      <c r="J5653" t="s">
        <v>445</v>
      </c>
      <c r="M5653">
        <v>2510</v>
      </c>
      <c r="N5653" t="s">
        <v>16226</v>
      </c>
    </row>
    <row r="5654" spans="1:14">
      <c r="A5654">
        <v>22088619</v>
      </c>
      <c r="B5654">
        <v>3014442</v>
      </c>
      <c r="C5654" t="s">
        <v>11062</v>
      </c>
      <c r="D5654" t="s">
        <v>441</v>
      </c>
      <c r="F5654">
        <v>0</v>
      </c>
      <c r="G5654">
        <v>3.82</v>
      </c>
      <c r="I5654">
        <v>4</v>
      </c>
      <c r="J5654" t="s">
        <v>445</v>
      </c>
      <c r="K5654" t="s">
        <v>446</v>
      </c>
      <c r="M5654">
        <v>2511</v>
      </c>
      <c r="N5654" t="s">
        <v>16226</v>
      </c>
    </row>
    <row r="5655" spans="1:14">
      <c r="A5655">
        <v>22088900</v>
      </c>
      <c r="B5655">
        <v>3020315</v>
      </c>
      <c r="C5655" t="s">
        <v>11063</v>
      </c>
      <c r="D5655" t="s">
        <v>441</v>
      </c>
      <c r="F5655">
        <v>0</v>
      </c>
      <c r="G5655">
        <v>0</v>
      </c>
      <c r="H5655" t="s">
        <v>8584</v>
      </c>
      <c r="I5655">
        <v>6</v>
      </c>
      <c r="J5655" t="s">
        <v>445</v>
      </c>
      <c r="M5655">
        <v>6666</v>
      </c>
      <c r="N5655" t="s">
        <v>16226</v>
      </c>
    </row>
    <row r="5656" spans="1:14">
      <c r="A5656">
        <v>22088902</v>
      </c>
      <c r="B5656">
        <v>3038490</v>
      </c>
      <c r="C5656" t="s">
        <v>11064</v>
      </c>
      <c r="D5656" t="s">
        <v>441</v>
      </c>
      <c r="F5656">
        <v>0</v>
      </c>
      <c r="H5656" t="s">
        <v>8935</v>
      </c>
      <c r="I5656">
        <v>4</v>
      </c>
      <c r="J5656" t="s">
        <v>445</v>
      </c>
      <c r="M5656">
        <v>6666</v>
      </c>
      <c r="N5656" t="s">
        <v>16226</v>
      </c>
    </row>
    <row r="5657" spans="1:14">
      <c r="A5657">
        <v>22088907</v>
      </c>
      <c r="B5657">
        <v>3035430</v>
      </c>
      <c r="C5657" t="s">
        <v>14396</v>
      </c>
      <c r="D5657" t="s">
        <v>441</v>
      </c>
      <c r="F5657">
        <v>0</v>
      </c>
      <c r="I5657">
        <v>6</v>
      </c>
      <c r="J5657" t="s">
        <v>445</v>
      </c>
      <c r="M5657">
        <v>6666</v>
      </c>
      <c r="N5657" t="s">
        <v>16226</v>
      </c>
    </row>
    <row r="5658" spans="1:14">
      <c r="A5658">
        <v>22088919</v>
      </c>
      <c r="B5658">
        <v>3024255</v>
      </c>
      <c r="C5658" t="s">
        <v>11065</v>
      </c>
      <c r="D5658" t="s">
        <v>441</v>
      </c>
      <c r="F5658">
        <v>0</v>
      </c>
      <c r="I5658">
        <v>4</v>
      </c>
      <c r="J5658" t="s">
        <v>445</v>
      </c>
      <c r="K5658" t="s">
        <v>446</v>
      </c>
      <c r="M5658">
        <v>6666</v>
      </c>
      <c r="N5658" t="s">
        <v>16226</v>
      </c>
    </row>
    <row r="5659" spans="1:14">
      <c r="A5659">
        <v>22088987</v>
      </c>
      <c r="B5659">
        <v>3035376</v>
      </c>
      <c r="C5659" t="s">
        <v>2838</v>
      </c>
      <c r="D5659" t="s">
        <v>441</v>
      </c>
      <c r="F5659">
        <v>0</v>
      </c>
      <c r="H5659" t="s">
        <v>8584</v>
      </c>
      <c r="I5659">
        <v>6</v>
      </c>
      <c r="J5659" t="s">
        <v>445</v>
      </c>
      <c r="M5659">
        <v>6666</v>
      </c>
      <c r="N5659" t="s">
        <v>16226</v>
      </c>
    </row>
    <row r="5660" spans="1:14">
      <c r="A5660">
        <v>22089000</v>
      </c>
      <c r="B5660">
        <v>3023019</v>
      </c>
      <c r="C5660" t="s">
        <v>11066</v>
      </c>
      <c r="D5660" t="s">
        <v>441</v>
      </c>
      <c r="F5660">
        <v>0</v>
      </c>
      <c r="G5660">
        <v>6.05</v>
      </c>
      <c r="H5660" t="s">
        <v>8588</v>
      </c>
      <c r="I5660">
        <v>2</v>
      </c>
      <c r="J5660" t="s">
        <v>445</v>
      </c>
      <c r="M5660">
        <v>3111</v>
      </c>
      <c r="N5660" t="s">
        <v>16224</v>
      </c>
    </row>
    <row r="5661" spans="1:14">
      <c r="A5661">
        <v>22089001</v>
      </c>
      <c r="B5661">
        <v>3027664</v>
      </c>
      <c r="C5661" t="s">
        <v>11067</v>
      </c>
      <c r="D5661" t="s">
        <v>441</v>
      </c>
      <c r="F5661">
        <v>0</v>
      </c>
      <c r="G5661">
        <v>6.05</v>
      </c>
      <c r="H5661" t="s">
        <v>8588</v>
      </c>
      <c r="I5661">
        <v>2</v>
      </c>
      <c r="J5661" t="s">
        <v>445</v>
      </c>
      <c r="M5661">
        <v>3111</v>
      </c>
      <c r="N5661" t="s">
        <v>16225</v>
      </c>
    </row>
    <row r="5662" spans="1:14">
      <c r="A5662">
        <v>22089006</v>
      </c>
      <c r="B5662">
        <v>3028115</v>
      </c>
      <c r="C5662" t="s">
        <v>2839</v>
      </c>
      <c r="D5662" t="s">
        <v>441</v>
      </c>
      <c r="F5662">
        <v>0</v>
      </c>
      <c r="G5662">
        <v>6.05</v>
      </c>
      <c r="H5662" t="s">
        <v>8588</v>
      </c>
      <c r="I5662">
        <v>6</v>
      </c>
      <c r="J5662" t="s">
        <v>445</v>
      </c>
      <c r="M5662">
        <v>3111</v>
      </c>
      <c r="N5662" t="s">
        <v>16226</v>
      </c>
    </row>
    <row r="5663" spans="1:14">
      <c r="A5663">
        <v>22089900</v>
      </c>
      <c r="B5663">
        <v>3023022</v>
      </c>
      <c r="C5663" t="s">
        <v>11068</v>
      </c>
      <c r="D5663" t="s">
        <v>441</v>
      </c>
      <c r="F5663">
        <v>0</v>
      </c>
      <c r="H5663" t="s">
        <v>8580</v>
      </c>
      <c r="I5663">
        <v>2</v>
      </c>
      <c r="J5663" t="s">
        <v>445</v>
      </c>
      <c r="M5663">
        <v>6666</v>
      </c>
      <c r="N5663" t="s">
        <v>16224</v>
      </c>
    </row>
    <row r="5664" spans="1:14">
      <c r="A5664">
        <v>22089901</v>
      </c>
      <c r="B5664">
        <v>3027665</v>
      </c>
      <c r="C5664" t="s">
        <v>11069</v>
      </c>
      <c r="D5664" t="s">
        <v>441</v>
      </c>
      <c r="F5664">
        <v>0</v>
      </c>
      <c r="H5664" t="s">
        <v>8584</v>
      </c>
      <c r="I5664">
        <v>2</v>
      </c>
      <c r="J5664" t="s">
        <v>445</v>
      </c>
      <c r="M5664">
        <v>6666</v>
      </c>
      <c r="N5664" t="s">
        <v>16225</v>
      </c>
    </row>
    <row r="5665" spans="1:14">
      <c r="A5665">
        <v>22089906</v>
      </c>
      <c r="B5665">
        <v>3028134</v>
      </c>
      <c r="C5665" t="s">
        <v>2840</v>
      </c>
      <c r="D5665" t="s">
        <v>441</v>
      </c>
      <c r="F5665">
        <v>0</v>
      </c>
      <c r="H5665" t="s">
        <v>8580</v>
      </c>
      <c r="I5665">
        <v>6</v>
      </c>
      <c r="J5665" t="s">
        <v>445</v>
      </c>
      <c r="M5665">
        <v>6666</v>
      </c>
      <c r="N5665" t="s">
        <v>16226</v>
      </c>
    </row>
    <row r="5666" spans="1:14">
      <c r="A5666">
        <v>22090000</v>
      </c>
      <c r="B5666">
        <v>3015999</v>
      </c>
      <c r="C5666" t="s">
        <v>11070</v>
      </c>
      <c r="D5666" t="s">
        <v>441</v>
      </c>
      <c r="F5666">
        <v>0</v>
      </c>
      <c r="G5666">
        <v>0</v>
      </c>
      <c r="H5666" t="s">
        <v>8584</v>
      </c>
      <c r="I5666">
        <v>6</v>
      </c>
      <c r="J5666" t="s">
        <v>445</v>
      </c>
      <c r="M5666">
        <v>2391</v>
      </c>
      <c r="N5666" t="s">
        <v>16216</v>
      </c>
    </row>
    <row r="5667" spans="1:14">
      <c r="A5667">
        <v>22090018</v>
      </c>
      <c r="B5667">
        <v>3016073</v>
      </c>
      <c r="C5667" t="s">
        <v>14397</v>
      </c>
      <c r="D5667" t="s">
        <v>441</v>
      </c>
      <c r="F5667">
        <v>0</v>
      </c>
      <c r="G5667">
        <v>6.94</v>
      </c>
      <c r="H5667" t="s">
        <v>8588</v>
      </c>
      <c r="I5667">
        <v>365</v>
      </c>
      <c r="J5667" t="s">
        <v>445</v>
      </c>
      <c r="M5667">
        <v>7111</v>
      </c>
      <c r="N5667" t="s">
        <v>16216</v>
      </c>
    </row>
    <row r="5668" spans="1:14">
      <c r="A5668">
        <v>22090019</v>
      </c>
      <c r="B5668">
        <v>3008758</v>
      </c>
      <c r="C5668" t="s">
        <v>11071</v>
      </c>
      <c r="D5668" t="s">
        <v>441</v>
      </c>
      <c r="F5668">
        <v>0</v>
      </c>
      <c r="G5668">
        <v>3.97</v>
      </c>
      <c r="H5668" t="s">
        <v>8588</v>
      </c>
      <c r="I5668">
        <v>365</v>
      </c>
      <c r="J5668" t="s">
        <v>445</v>
      </c>
      <c r="K5668" t="s">
        <v>446</v>
      </c>
      <c r="M5668">
        <v>2501</v>
      </c>
    </row>
    <row r="5669" spans="1:14">
      <c r="A5669">
        <v>22090075</v>
      </c>
      <c r="B5669">
        <v>3007917</v>
      </c>
      <c r="C5669" t="s">
        <v>11072</v>
      </c>
      <c r="D5669" t="s">
        <v>441</v>
      </c>
      <c r="F5669">
        <v>0</v>
      </c>
      <c r="G5669">
        <v>4.59</v>
      </c>
      <c r="H5669" t="s">
        <v>8588</v>
      </c>
      <c r="I5669">
        <v>6</v>
      </c>
      <c r="J5669" t="s">
        <v>445</v>
      </c>
      <c r="K5669" t="s">
        <v>446</v>
      </c>
      <c r="M5669">
        <v>2641</v>
      </c>
    </row>
    <row r="5670" spans="1:14">
      <c r="A5670">
        <v>22090076</v>
      </c>
      <c r="B5670">
        <v>3012603</v>
      </c>
      <c r="C5670" t="s">
        <v>11073</v>
      </c>
      <c r="D5670" t="s">
        <v>441</v>
      </c>
      <c r="F5670">
        <v>0</v>
      </c>
      <c r="G5670">
        <v>5.88</v>
      </c>
      <c r="H5670" t="s">
        <v>8588</v>
      </c>
      <c r="I5670">
        <v>6</v>
      </c>
      <c r="J5670" t="s">
        <v>445</v>
      </c>
      <c r="K5670" t="s">
        <v>446</v>
      </c>
      <c r="M5670">
        <v>2641</v>
      </c>
    </row>
    <row r="5671" spans="1:14">
      <c r="A5671">
        <v>22090080</v>
      </c>
      <c r="B5671">
        <v>3009699</v>
      </c>
      <c r="C5671" t="s">
        <v>11074</v>
      </c>
      <c r="D5671" t="s">
        <v>441</v>
      </c>
      <c r="F5671">
        <v>0</v>
      </c>
      <c r="G5671">
        <v>5.42</v>
      </c>
      <c r="H5671" t="s">
        <v>8588</v>
      </c>
      <c r="I5671">
        <v>6</v>
      </c>
      <c r="J5671" t="s">
        <v>445</v>
      </c>
      <c r="K5671" t="s">
        <v>446</v>
      </c>
      <c r="M5671">
        <v>2641</v>
      </c>
    </row>
    <row r="5672" spans="1:14">
      <c r="A5672">
        <v>22090087</v>
      </c>
      <c r="B5672">
        <v>3012324</v>
      </c>
      <c r="C5672" t="s">
        <v>11075</v>
      </c>
      <c r="D5672" t="s">
        <v>441</v>
      </c>
      <c r="F5672">
        <v>0</v>
      </c>
      <c r="G5672">
        <v>3.9</v>
      </c>
      <c r="H5672" t="s">
        <v>8588</v>
      </c>
      <c r="I5672">
        <v>6</v>
      </c>
      <c r="J5672" t="s">
        <v>445</v>
      </c>
      <c r="M5672">
        <v>7112</v>
      </c>
      <c r="N5672" t="s">
        <v>16216</v>
      </c>
    </row>
    <row r="5673" spans="1:14">
      <c r="A5673">
        <v>22090119</v>
      </c>
      <c r="B5673">
        <v>3013178</v>
      </c>
      <c r="C5673" t="s">
        <v>14398</v>
      </c>
      <c r="D5673" t="s">
        <v>441</v>
      </c>
      <c r="F5673">
        <v>0</v>
      </c>
      <c r="G5673">
        <v>5.66</v>
      </c>
      <c r="H5673" t="s">
        <v>8588</v>
      </c>
      <c r="I5673">
        <v>365</v>
      </c>
      <c r="J5673" t="s">
        <v>445</v>
      </c>
      <c r="M5673">
        <v>0</v>
      </c>
      <c r="N5673" t="s">
        <v>16216</v>
      </c>
    </row>
    <row r="5674" spans="1:14">
      <c r="A5674">
        <v>22090120</v>
      </c>
      <c r="B5674">
        <v>3033631</v>
      </c>
      <c r="C5674" t="s">
        <v>15639</v>
      </c>
      <c r="D5674" t="s">
        <v>441</v>
      </c>
      <c r="F5674">
        <v>0</v>
      </c>
      <c r="G5674">
        <v>8.32</v>
      </c>
      <c r="H5674" t="s">
        <v>8588</v>
      </c>
      <c r="I5674">
        <v>6</v>
      </c>
      <c r="J5674" t="s">
        <v>445</v>
      </c>
      <c r="M5674">
        <v>0</v>
      </c>
      <c r="N5674" t="s">
        <v>16216</v>
      </c>
    </row>
    <row r="5675" spans="1:14">
      <c r="A5675">
        <v>22090518</v>
      </c>
      <c r="B5675">
        <v>3016075</v>
      </c>
      <c r="C5675" t="s">
        <v>14399</v>
      </c>
      <c r="D5675" t="s">
        <v>441</v>
      </c>
      <c r="F5675">
        <v>0</v>
      </c>
      <c r="G5675">
        <v>6.41</v>
      </c>
      <c r="H5675" t="s">
        <v>8935</v>
      </c>
      <c r="I5675">
        <v>365</v>
      </c>
      <c r="J5675" t="s">
        <v>445</v>
      </c>
      <c r="M5675">
        <v>2502</v>
      </c>
      <c r="N5675" t="s">
        <v>16216</v>
      </c>
    </row>
    <row r="5676" spans="1:14">
      <c r="A5676">
        <v>22090519</v>
      </c>
      <c r="B5676">
        <v>3006346</v>
      </c>
      <c r="C5676" t="s">
        <v>11076</v>
      </c>
      <c r="D5676" t="s">
        <v>441</v>
      </c>
      <c r="F5676">
        <v>0</v>
      </c>
      <c r="G5676">
        <v>3.68</v>
      </c>
      <c r="H5676" t="s">
        <v>8637</v>
      </c>
      <c r="I5676">
        <v>4</v>
      </c>
      <c r="J5676" t="s">
        <v>445</v>
      </c>
      <c r="K5676" t="s">
        <v>446</v>
      </c>
      <c r="M5676">
        <v>2641</v>
      </c>
    </row>
    <row r="5677" spans="1:14">
      <c r="A5677">
        <v>22090619</v>
      </c>
      <c r="B5677">
        <v>3007918</v>
      </c>
      <c r="C5677" t="s">
        <v>14400</v>
      </c>
      <c r="D5677" t="s">
        <v>441</v>
      </c>
      <c r="F5677">
        <v>0</v>
      </c>
      <c r="G5677">
        <v>7.14</v>
      </c>
      <c r="H5677" t="s">
        <v>8588</v>
      </c>
      <c r="I5677">
        <v>4</v>
      </c>
      <c r="J5677" t="s">
        <v>445</v>
      </c>
      <c r="M5677">
        <v>2510</v>
      </c>
      <c r="N5677" t="s">
        <v>16216</v>
      </c>
    </row>
    <row r="5678" spans="1:14">
      <c r="A5678">
        <v>22090919</v>
      </c>
      <c r="B5678">
        <v>3020316</v>
      </c>
      <c r="C5678" t="s">
        <v>14401</v>
      </c>
      <c r="D5678" t="s">
        <v>441</v>
      </c>
      <c r="F5678">
        <v>0</v>
      </c>
      <c r="H5678" t="s">
        <v>8584</v>
      </c>
      <c r="I5678">
        <v>4</v>
      </c>
      <c r="J5678" t="s">
        <v>445</v>
      </c>
      <c r="M5678">
        <v>6666</v>
      </c>
      <c r="N5678" t="s">
        <v>16216</v>
      </c>
    </row>
    <row r="5679" spans="1:14">
      <c r="A5679">
        <v>22092000</v>
      </c>
      <c r="B5679">
        <v>3032179</v>
      </c>
      <c r="C5679" t="s">
        <v>14402</v>
      </c>
      <c r="D5679" t="s">
        <v>441</v>
      </c>
      <c r="F5679">
        <v>0</v>
      </c>
      <c r="G5679">
        <v>6.3</v>
      </c>
      <c r="H5679" t="s">
        <v>8549</v>
      </c>
      <c r="I5679">
        <v>6</v>
      </c>
      <c r="J5679" t="s">
        <v>445</v>
      </c>
      <c r="M5679">
        <v>2391</v>
      </c>
      <c r="N5679" t="s">
        <v>16227</v>
      </c>
    </row>
    <row r="5680" spans="1:14">
      <c r="A5680">
        <v>22092007</v>
      </c>
      <c r="B5680">
        <v>3032220</v>
      </c>
      <c r="C5680" t="s">
        <v>14403</v>
      </c>
      <c r="D5680" t="s">
        <v>441</v>
      </c>
      <c r="F5680">
        <v>0</v>
      </c>
      <c r="G5680">
        <v>6.42</v>
      </c>
      <c r="H5680" t="s">
        <v>8588</v>
      </c>
      <c r="I5680">
        <v>6</v>
      </c>
      <c r="J5680" t="s">
        <v>445</v>
      </c>
      <c r="M5680">
        <v>3113</v>
      </c>
      <c r="N5680" t="s">
        <v>16227</v>
      </c>
    </row>
    <row r="5681" spans="1:14">
      <c r="A5681">
        <v>22092300</v>
      </c>
      <c r="B5681">
        <v>3043075</v>
      </c>
      <c r="C5681" t="s">
        <v>14404</v>
      </c>
      <c r="D5681" t="s">
        <v>441</v>
      </c>
      <c r="F5681">
        <v>0</v>
      </c>
      <c r="G5681">
        <v>6.3</v>
      </c>
      <c r="H5681" t="s">
        <v>8549</v>
      </c>
      <c r="I5681">
        <v>6</v>
      </c>
      <c r="J5681" t="s">
        <v>445</v>
      </c>
      <c r="M5681">
        <v>2391</v>
      </c>
      <c r="N5681" t="s">
        <v>16227</v>
      </c>
    </row>
    <row r="5682" spans="1:14">
      <c r="A5682">
        <v>22092907</v>
      </c>
      <c r="B5682">
        <v>3032222</v>
      </c>
      <c r="C5682" t="s">
        <v>14405</v>
      </c>
      <c r="D5682" t="s">
        <v>441</v>
      </c>
      <c r="F5682">
        <v>0</v>
      </c>
      <c r="G5682">
        <v>0</v>
      </c>
      <c r="H5682" t="s">
        <v>8580</v>
      </c>
      <c r="I5682">
        <v>6</v>
      </c>
      <c r="J5682" t="s">
        <v>445</v>
      </c>
      <c r="M5682">
        <v>6666</v>
      </c>
      <c r="N5682" t="s">
        <v>16227</v>
      </c>
    </row>
    <row r="5683" spans="1:14">
      <c r="A5683">
        <v>22093000</v>
      </c>
      <c r="B5683">
        <v>3015245</v>
      </c>
      <c r="C5683" t="s">
        <v>14406</v>
      </c>
      <c r="D5683" t="s">
        <v>441</v>
      </c>
      <c r="F5683">
        <v>0</v>
      </c>
      <c r="G5683">
        <v>6.3</v>
      </c>
      <c r="H5683" t="s">
        <v>8588</v>
      </c>
      <c r="I5683">
        <v>6</v>
      </c>
      <c r="J5683" t="s">
        <v>445</v>
      </c>
      <c r="M5683">
        <v>2391</v>
      </c>
      <c r="N5683" t="s">
        <v>16216</v>
      </c>
    </row>
    <row r="5684" spans="1:14">
      <c r="A5684">
        <v>22093007</v>
      </c>
      <c r="B5684">
        <v>3025000</v>
      </c>
      <c r="C5684" t="s">
        <v>11077</v>
      </c>
      <c r="D5684" t="s">
        <v>441</v>
      </c>
      <c r="F5684">
        <v>0</v>
      </c>
      <c r="G5684">
        <v>3.9</v>
      </c>
      <c r="H5684" t="s">
        <v>8588</v>
      </c>
      <c r="I5684">
        <v>6</v>
      </c>
      <c r="J5684" t="s">
        <v>445</v>
      </c>
      <c r="M5684">
        <v>3113</v>
      </c>
      <c r="N5684" t="s">
        <v>16216</v>
      </c>
    </row>
    <row r="5685" spans="1:14">
      <c r="A5685">
        <v>22093900</v>
      </c>
      <c r="B5685">
        <v>3020317</v>
      </c>
      <c r="C5685" t="s">
        <v>14407</v>
      </c>
      <c r="D5685" t="s">
        <v>441</v>
      </c>
      <c r="F5685">
        <v>0</v>
      </c>
      <c r="G5685">
        <v>0</v>
      </c>
      <c r="H5685" t="s">
        <v>8584</v>
      </c>
      <c r="I5685">
        <v>6</v>
      </c>
      <c r="J5685" t="s">
        <v>445</v>
      </c>
      <c r="M5685">
        <v>6666</v>
      </c>
      <c r="N5685" t="s">
        <v>16216</v>
      </c>
    </row>
    <row r="5686" spans="1:14">
      <c r="A5686">
        <v>22093907</v>
      </c>
      <c r="B5686">
        <v>3025260</v>
      </c>
      <c r="C5686" t="s">
        <v>11078</v>
      </c>
      <c r="D5686" t="s">
        <v>441</v>
      </c>
      <c r="F5686">
        <v>0</v>
      </c>
      <c r="G5686">
        <v>0</v>
      </c>
      <c r="H5686" t="s">
        <v>8584</v>
      </c>
      <c r="I5686">
        <v>6</v>
      </c>
      <c r="J5686" t="s">
        <v>445</v>
      </c>
      <c r="M5686">
        <v>6666</v>
      </c>
      <c r="N5686" t="s">
        <v>16216</v>
      </c>
    </row>
    <row r="5687" spans="1:14">
      <c r="A5687">
        <v>22094000</v>
      </c>
      <c r="B5687">
        <v>3037547</v>
      </c>
      <c r="C5687" t="s">
        <v>11079</v>
      </c>
      <c r="D5687" t="s">
        <v>441</v>
      </c>
      <c r="F5687">
        <v>0</v>
      </c>
      <c r="G5687">
        <v>3.8</v>
      </c>
      <c r="H5687" t="s">
        <v>8588</v>
      </c>
      <c r="I5687">
        <v>6</v>
      </c>
      <c r="J5687" t="s">
        <v>445</v>
      </c>
      <c r="M5687">
        <v>2391</v>
      </c>
      <c r="N5687" t="s">
        <v>16216</v>
      </c>
    </row>
    <row r="5688" spans="1:14">
      <c r="A5688">
        <v>22094002</v>
      </c>
      <c r="B5688">
        <v>3040953</v>
      </c>
      <c r="C5688" t="s">
        <v>14408</v>
      </c>
      <c r="D5688" t="s">
        <v>441</v>
      </c>
      <c r="F5688">
        <v>0</v>
      </c>
      <c r="G5688">
        <v>6.94</v>
      </c>
      <c r="H5688" t="s">
        <v>8588</v>
      </c>
      <c r="I5688">
        <v>365</v>
      </c>
      <c r="J5688" t="s">
        <v>445</v>
      </c>
      <c r="M5688">
        <v>7111</v>
      </c>
      <c r="N5688" t="s">
        <v>16216</v>
      </c>
    </row>
    <row r="5689" spans="1:14">
      <c r="A5689">
        <v>22094007</v>
      </c>
      <c r="B5689">
        <v>3037632</v>
      </c>
      <c r="C5689" t="s">
        <v>11080</v>
      </c>
      <c r="D5689" t="s">
        <v>441</v>
      </c>
      <c r="F5689">
        <v>0</v>
      </c>
      <c r="G5689">
        <v>3.9</v>
      </c>
      <c r="H5689" t="s">
        <v>8588</v>
      </c>
      <c r="I5689">
        <v>6</v>
      </c>
      <c r="J5689" t="s">
        <v>445</v>
      </c>
      <c r="M5689">
        <v>3113</v>
      </c>
      <c r="N5689" t="s">
        <v>16216</v>
      </c>
    </row>
    <row r="5690" spans="1:14">
      <c r="A5690">
        <v>22094017</v>
      </c>
      <c r="B5690">
        <v>3045039</v>
      </c>
      <c r="C5690" t="s">
        <v>15583</v>
      </c>
      <c r="D5690" t="s">
        <v>441</v>
      </c>
      <c r="F5690">
        <v>0</v>
      </c>
      <c r="G5690">
        <v>8.93</v>
      </c>
      <c r="H5690" t="s">
        <v>8588</v>
      </c>
      <c r="I5690">
        <v>365</v>
      </c>
      <c r="J5690" t="s">
        <v>445</v>
      </c>
      <c r="M5690">
        <v>7111</v>
      </c>
      <c r="N5690" t="s">
        <v>16227</v>
      </c>
    </row>
    <row r="5691" spans="1:14">
      <c r="A5691">
        <v>22094110</v>
      </c>
      <c r="B5691">
        <v>3037655</v>
      </c>
      <c r="C5691" t="s">
        <v>14409</v>
      </c>
      <c r="D5691" t="s">
        <v>441</v>
      </c>
      <c r="F5691">
        <v>0</v>
      </c>
      <c r="G5691">
        <v>3.88</v>
      </c>
      <c r="H5691" t="s">
        <v>8588</v>
      </c>
      <c r="I5691">
        <v>6</v>
      </c>
      <c r="J5691" t="s">
        <v>445</v>
      </c>
      <c r="M5691">
        <v>0</v>
      </c>
      <c r="N5691" t="s">
        <v>16216</v>
      </c>
    </row>
    <row r="5692" spans="1:14">
      <c r="A5692">
        <v>22094200</v>
      </c>
      <c r="B5692">
        <v>3039208</v>
      </c>
      <c r="C5692" t="s">
        <v>14410</v>
      </c>
      <c r="D5692" t="s">
        <v>441</v>
      </c>
      <c r="F5692">
        <v>0</v>
      </c>
      <c r="G5692">
        <v>6.3</v>
      </c>
      <c r="H5692" t="s">
        <v>8549</v>
      </c>
      <c r="I5692">
        <v>6</v>
      </c>
      <c r="J5692" t="s">
        <v>445</v>
      </c>
      <c r="M5692">
        <v>2391</v>
      </c>
      <c r="N5692" t="s">
        <v>16227</v>
      </c>
    </row>
    <row r="5693" spans="1:14">
      <c r="A5693">
        <v>22094207</v>
      </c>
      <c r="B5693">
        <v>3039347</v>
      </c>
      <c r="C5693" t="s">
        <v>14411</v>
      </c>
      <c r="D5693" t="s">
        <v>441</v>
      </c>
      <c r="F5693">
        <v>0</v>
      </c>
      <c r="G5693">
        <v>6.41</v>
      </c>
      <c r="H5693" t="s">
        <v>8588</v>
      </c>
      <c r="I5693">
        <v>6</v>
      </c>
      <c r="J5693" t="s">
        <v>445</v>
      </c>
      <c r="M5693">
        <v>3113</v>
      </c>
      <c r="N5693" t="s">
        <v>16227</v>
      </c>
    </row>
    <row r="5694" spans="1:14">
      <c r="A5694">
        <v>22094300</v>
      </c>
      <c r="B5694">
        <v>3037634</v>
      </c>
      <c r="C5694" t="s">
        <v>14412</v>
      </c>
      <c r="D5694" t="s">
        <v>441</v>
      </c>
      <c r="F5694">
        <v>0</v>
      </c>
      <c r="G5694">
        <v>6.3</v>
      </c>
      <c r="H5694" t="s">
        <v>8588</v>
      </c>
      <c r="I5694">
        <v>6</v>
      </c>
      <c r="J5694" t="s">
        <v>445</v>
      </c>
      <c r="M5694">
        <v>2391</v>
      </c>
      <c r="N5694" t="s">
        <v>16216</v>
      </c>
    </row>
    <row r="5695" spans="1:14">
      <c r="A5695">
        <v>22094502</v>
      </c>
      <c r="B5695">
        <v>3039375</v>
      </c>
      <c r="C5695" t="s">
        <v>14413</v>
      </c>
      <c r="D5695" t="s">
        <v>441</v>
      </c>
      <c r="F5695">
        <v>0</v>
      </c>
      <c r="G5695">
        <v>6.41</v>
      </c>
      <c r="H5695" t="s">
        <v>8549</v>
      </c>
      <c r="I5695">
        <v>6</v>
      </c>
      <c r="J5695" t="s">
        <v>445</v>
      </c>
      <c r="M5695">
        <v>2502</v>
      </c>
      <c r="N5695" t="s">
        <v>16216</v>
      </c>
    </row>
    <row r="5696" spans="1:14">
      <c r="A5696">
        <v>22094517</v>
      </c>
      <c r="B5696">
        <v>3045040</v>
      </c>
      <c r="C5696" t="s">
        <v>15584</v>
      </c>
      <c r="D5696" t="s">
        <v>441</v>
      </c>
      <c r="F5696">
        <v>0</v>
      </c>
      <c r="G5696">
        <v>8.33</v>
      </c>
      <c r="H5696" t="s">
        <v>8549</v>
      </c>
      <c r="I5696">
        <v>365</v>
      </c>
      <c r="J5696" t="s">
        <v>445</v>
      </c>
      <c r="M5696">
        <v>2502</v>
      </c>
      <c r="N5696" t="s">
        <v>16227</v>
      </c>
    </row>
    <row r="5697" spans="1:14">
      <c r="A5697">
        <v>22094907</v>
      </c>
      <c r="B5697">
        <v>3040239</v>
      </c>
      <c r="C5697" t="s">
        <v>11081</v>
      </c>
      <c r="D5697" t="s">
        <v>441</v>
      </c>
      <c r="F5697">
        <v>0</v>
      </c>
      <c r="G5697">
        <v>3.29</v>
      </c>
      <c r="H5697" t="s">
        <v>8588</v>
      </c>
      <c r="I5697">
        <v>6</v>
      </c>
      <c r="J5697" t="s">
        <v>445</v>
      </c>
      <c r="M5697">
        <v>6666</v>
      </c>
      <c r="N5697" t="s">
        <v>16216</v>
      </c>
    </row>
    <row r="5698" spans="1:14">
      <c r="A5698">
        <v>22094927</v>
      </c>
      <c r="B5698">
        <v>3039409</v>
      </c>
      <c r="C5698" t="s">
        <v>14414</v>
      </c>
      <c r="D5698" t="s">
        <v>441</v>
      </c>
      <c r="F5698">
        <v>0</v>
      </c>
      <c r="H5698" t="s">
        <v>8634</v>
      </c>
      <c r="I5698">
        <v>6</v>
      </c>
      <c r="J5698" t="s">
        <v>445</v>
      </c>
      <c r="M5698">
        <v>6666</v>
      </c>
      <c r="N5698" t="s">
        <v>16227</v>
      </c>
    </row>
    <row r="5699" spans="1:14">
      <c r="A5699">
        <v>22095200</v>
      </c>
      <c r="B5699">
        <v>3043009</v>
      </c>
      <c r="C5699" t="s">
        <v>14415</v>
      </c>
      <c r="D5699" t="s">
        <v>441</v>
      </c>
      <c r="F5699">
        <v>0</v>
      </c>
      <c r="G5699">
        <v>6.3</v>
      </c>
      <c r="H5699" t="s">
        <v>8549</v>
      </c>
      <c r="I5699">
        <v>6</v>
      </c>
      <c r="J5699" t="s">
        <v>445</v>
      </c>
      <c r="M5699">
        <v>2391</v>
      </c>
      <c r="N5699" t="s">
        <v>16227</v>
      </c>
    </row>
    <row r="5700" spans="1:14">
      <c r="A5700">
        <v>22100000</v>
      </c>
      <c r="B5700">
        <v>3015995</v>
      </c>
      <c r="C5700" t="s">
        <v>2841</v>
      </c>
      <c r="D5700" t="s">
        <v>441</v>
      </c>
      <c r="F5700">
        <v>0</v>
      </c>
      <c r="G5700">
        <v>11.94</v>
      </c>
      <c r="H5700" t="s">
        <v>8580</v>
      </c>
      <c r="I5700">
        <v>6</v>
      </c>
      <c r="J5700" t="s">
        <v>445</v>
      </c>
      <c r="M5700">
        <v>2391</v>
      </c>
      <c r="N5700" t="s">
        <v>16228</v>
      </c>
    </row>
    <row r="5701" spans="1:14">
      <c r="A5701">
        <v>22100002</v>
      </c>
      <c r="B5701">
        <v>3042728</v>
      </c>
      <c r="C5701" t="s">
        <v>2842</v>
      </c>
      <c r="D5701" t="s">
        <v>441</v>
      </c>
      <c r="F5701">
        <v>0</v>
      </c>
      <c r="G5701">
        <v>12.51</v>
      </c>
      <c r="H5701" t="s">
        <v>8549</v>
      </c>
      <c r="I5701">
        <v>365</v>
      </c>
      <c r="J5701" t="s">
        <v>445</v>
      </c>
      <c r="M5701">
        <v>7111</v>
      </c>
      <c r="N5701" t="s">
        <v>16228</v>
      </c>
    </row>
    <row r="5702" spans="1:14">
      <c r="A5702">
        <v>22100007</v>
      </c>
      <c r="B5702">
        <v>3041096</v>
      </c>
      <c r="C5702" t="s">
        <v>2843</v>
      </c>
      <c r="D5702" t="s">
        <v>441</v>
      </c>
      <c r="F5702">
        <v>0</v>
      </c>
      <c r="G5702">
        <v>12.08</v>
      </c>
      <c r="H5702" t="s">
        <v>8588</v>
      </c>
      <c r="I5702">
        <v>6</v>
      </c>
      <c r="J5702" t="s">
        <v>445</v>
      </c>
      <c r="M5702">
        <v>3111</v>
      </c>
      <c r="N5702" t="s">
        <v>16228</v>
      </c>
    </row>
    <row r="5703" spans="1:14">
      <c r="A5703">
        <v>22100020</v>
      </c>
      <c r="B5703">
        <v>4003974</v>
      </c>
      <c r="C5703" t="s">
        <v>11082</v>
      </c>
      <c r="D5703" t="s">
        <v>441</v>
      </c>
      <c r="F5703">
        <v>0</v>
      </c>
      <c r="G5703">
        <v>7.83</v>
      </c>
      <c r="H5703" t="s">
        <v>8588</v>
      </c>
      <c r="I5703">
        <v>6</v>
      </c>
      <c r="J5703" t="s">
        <v>462</v>
      </c>
      <c r="K5703" t="s">
        <v>446</v>
      </c>
      <c r="M5703">
        <v>2641</v>
      </c>
    </row>
    <row r="5704" spans="1:14">
      <c r="A5704">
        <v>22100087</v>
      </c>
      <c r="B5704">
        <v>3041706</v>
      </c>
      <c r="C5704" t="s">
        <v>2844</v>
      </c>
      <c r="D5704" t="s">
        <v>441</v>
      </c>
      <c r="F5704">
        <v>0</v>
      </c>
      <c r="G5704">
        <v>12.08</v>
      </c>
      <c r="H5704" t="s">
        <v>8588</v>
      </c>
      <c r="I5704">
        <v>6</v>
      </c>
      <c r="J5704" t="s">
        <v>445</v>
      </c>
      <c r="M5704">
        <v>7112</v>
      </c>
      <c r="N5704" t="s">
        <v>16228</v>
      </c>
    </row>
    <row r="5705" spans="1:14">
      <c r="A5705">
        <v>22100502</v>
      </c>
      <c r="B5705">
        <v>3042727</v>
      </c>
      <c r="C5705" t="s">
        <v>2845</v>
      </c>
      <c r="D5705" t="s">
        <v>441</v>
      </c>
      <c r="F5705">
        <v>0</v>
      </c>
      <c r="G5705">
        <v>12.08</v>
      </c>
      <c r="H5705" t="s">
        <v>8588</v>
      </c>
      <c r="I5705">
        <v>6</v>
      </c>
      <c r="J5705" t="s">
        <v>445</v>
      </c>
      <c r="M5705">
        <v>2502</v>
      </c>
      <c r="N5705" t="s">
        <v>16228</v>
      </c>
    </row>
    <row r="5706" spans="1:14">
      <c r="A5706">
        <v>22100907</v>
      </c>
      <c r="B5706">
        <v>3041127</v>
      </c>
      <c r="C5706" t="s">
        <v>2846</v>
      </c>
      <c r="D5706" t="s">
        <v>441</v>
      </c>
      <c r="F5706">
        <v>0</v>
      </c>
      <c r="G5706">
        <v>1</v>
      </c>
      <c r="H5706" t="s">
        <v>8588</v>
      </c>
      <c r="I5706">
        <v>6</v>
      </c>
      <c r="J5706" t="s">
        <v>445</v>
      </c>
      <c r="M5706">
        <v>6666</v>
      </c>
      <c r="N5706" t="s">
        <v>16228</v>
      </c>
    </row>
    <row r="5707" spans="1:14">
      <c r="A5707">
        <v>22103000</v>
      </c>
      <c r="B5707">
        <v>3015234</v>
      </c>
      <c r="C5707" t="s">
        <v>2847</v>
      </c>
      <c r="D5707" t="s">
        <v>441</v>
      </c>
      <c r="F5707">
        <v>0</v>
      </c>
      <c r="G5707">
        <v>11.94</v>
      </c>
      <c r="H5707" t="s">
        <v>8580</v>
      </c>
      <c r="I5707">
        <v>10</v>
      </c>
      <c r="J5707" t="s">
        <v>445</v>
      </c>
      <c r="M5707">
        <v>2391</v>
      </c>
      <c r="N5707" t="s">
        <v>16228</v>
      </c>
    </row>
    <row r="5708" spans="1:14">
      <c r="A5708">
        <v>22104000</v>
      </c>
      <c r="B5708">
        <v>3042729</v>
      </c>
      <c r="C5708" t="s">
        <v>11083</v>
      </c>
      <c r="D5708" t="s">
        <v>441</v>
      </c>
      <c r="F5708">
        <v>0</v>
      </c>
      <c r="G5708">
        <v>11.94</v>
      </c>
      <c r="H5708" t="s">
        <v>8549</v>
      </c>
      <c r="I5708">
        <v>6</v>
      </c>
      <c r="J5708" t="s">
        <v>445</v>
      </c>
      <c r="M5708">
        <v>2391</v>
      </c>
      <c r="N5708" t="s">
        <v>16228</v>
      </c>
    </row>
    <row r="5709" spans="1:14">
      <c r="A5709">
        <v>22104007</v>
      </c>
      <c r="B5709">
        <v>3042734</v>
      </c>
      <c r="C5709" t="s">
        <v>11084</v>
      </c>
      <c r="D5709" t="s">
        <v>441</v>
      </c>
      <c r="F5709">
        <v>0</v>
      </c>
      <c r="G5709">
        <v>12.08</v>
      </c>
      <c r="H5709" t="s">
        <v>8588</v>
      </c>
      <c r="I5709">
        <v>6</v>
      </c>
      <c r="J5709" t="s">
        <v>445</v>
      </c>
      <c r="M5709">
        <v>3111</v>
      </c>
      <c r="N5709" t="s">
        <v>16228</v>
      </c>
    </row>
    <row r="5710" spans="1:14">
      <c r="A5710">
        <v>22104300</v>
      </c>
      <c r="B5710">
        <v>3042730</v>
      </c>
      <c r="C5710" t="s">
        <v>11085</v>
      </c>
      <c r="D5710" t="s">
        <v>441</v>
      </c>
      <c r="F5710">
        <v>0</v>
      </c>
      <c r="G5710">
        <v>11.94</v>
      </c>
      <c r="H5710" t="s">
        <v>8549</v>
      </c>
      <c r="I5710">
        <v>6</v>
      </c>
      <c r="J5710" t="s">
        <v>445</v>
      </c>
      <c r="M5710">
        <v>2391</v>
      </c>
      <c r="N5710" t="s">
        <v>16228</v>
      </c>
    </row>
    <row r="5711" spans="1:14">
      <c r="A5711">
        <v>22104907</v>
      </c>
      <c r="B5711">
        <v>3042737</v>
      </c>
      <c r="C5711" t="s">
        <v>11086</v>
      </c>
      <c r="D5711" t="s">
        <v>441</v>
      </c>
      <c r="F5711">
        <v>0</v>
      </c>
      <c r="G5711">
        <v>1</v>
      </c>
      <c r="H5711" t="s">
        <v>8588</v>
      </c>
      <c r="I5711">
        <v>6</v>
      </c>
      <c r="J5711" t="s">
        <v>445</v>
      </c>
      <c r="M5711">
        <v>6666</v>
      </c>
      <c r="N5711" t="s">
        <v>16228</v>
      </c>
    </row>
    <row r="5712" spans="1:14">
      <c r="A5712">
        <v>22110000</v>
      </c>
      <c r="B5712">
        <v>3037036</v>
      </c>
      <c r="C5712" t="s">
        <v>11087</v>
      </c>
      <c r="D5712" t="s">
        <v>441</v>
      </c>
      <c r="F5712">
        <v>0</v>
      </c>
      <c r="G5712">
        <v>7.3</v>
      </c>
      <c r="H5712" t="s">
        <v>8549</v>
      </c>
      <c r="I5712">
        <v>6</v>
      </c>
      <c r="J5712" t="s">
        <v>445</v>
      </c>
      <c r="M5712">
        <v>2391</v>
      </c>
      <c r="N5712" t="s">
        <v>16219</v>
      </c>
    </row>
    <row r="5713" spans="1:14">
      <c r="A5713">
        <v>22110002</v>
      </c>
      <c r="B5713">
        <v>3037118</v>
      </c>
      <c r="C5713" t="s">
        <v>11088</v>
      </c>
      <c r="D5713" t="s">
        <v>441</v>
      </c>
      <c r="F5713">
        <v>0</v>
      </c>
      <c r="G5713">
        <v>7.7</v>
      </c>
      <c r="H5713" t="s">
        <v>8588</v>
      </c>
      <c r="I5713">
        <v>365</v>
      </c>
      <c r="J5713" t="s">
        <v>445</v>
      </c>
      <c r="M5713">
        <v>7111</v>
      </c>
      <c r="N5713" t="s">
        <v>16219</v>
      </c>
    </row>
    <row r="5714" spans="1:14">
      <c r="A5714">
        <v>22110007</v>
      </c>
      <c r="B5714">
        <v>3037035</v>
      </c>
      <c r="C5714" t="s">
        <v>11089</v>
      </c>
      <c r="D5714" t="s">
        <v>441</v>
      </c>
      <c r="F5714">
        <v>0</v>
      </c>
      <c r="G5714">
        <v>7.35</v>
      </c>
      <c r="H5714" t="s">
        <v>8549</v>
      </c>
      <c r="I5714">
        <v>6</v>
      </c>
      <c r="J5714" t="s">
        <v>445</v>
      </c>
      <c r="M5714">
        <v>3111</v>
      </c>
      <c r="N5714" t="s">
        <v>16219</v>
      </c>
    </row>
    <row r="5715" spans="1:14">
      <c r="A5715">
        <v>22110087</v>
      </c>
      <c r="B5715">
        <v>3040954</v>
      </c>
      <c r="C5715" t="s">
        <v>11090</v>
      </c>
      <c r="D5715" t="s">
        <v>441</v>
      </c>
      <c r="F5715">
        <v>0</v>
      </c>
      <c r="G5715">
        <v>7.35</v>
      </c>
      <c r="H5715" t="s">
        <v>8588</v>
      </c>
      <c r="I5715">
        <v>6</v>
      </c>
      <c r="J5715" t="s">
        <v>445</v>
      </c>
      <c r="M5715">
        <v>7112</v>
      </c>
      <c r="N5715" t="s">
        <v>16219</v>
      </c>
    </row>
    <row r="5716" spans="1:14">
      <c r="A5716">
        <v>22110100</v>
      </c>
      <c r="B5716">
        <v>3033992</v>
      </c>
      <c r="C5716" t="s">
        <v>11091</v>
      </c>
      <c r="D5716" t="s">
        <v>441</v>
      </c>
      <c r="F5716">
        <v>0</v>
      </c>
      <c r="G5716">
        <v>8.34</v>
      </c>
      <c r="H5716" t="s">
        <v>8588</v>
      </c>
      <c r="I5716">
        <v>6</v>
      </c>
      <c r="J5716" t="s">
        <v>445</v>
      </c>
      <c r="M5716">
        <v>7161</v>
      </c>
      <c r="N5716" t="s">
        <v>16219</v>
      </c>
    </row>
    <row r="5717" spans="1:14">
      <c r="A5717">
        <v>22110502</v>
      </c>
      <c r="B5717">
        <v>3037117</v>
      </c>
      <c r="C5717" t="s">
        <v>11092</v>
      </c>
      <c r="D5717" t="s">
        <v>441</v>
      </c>
      <c r="F5717">
        <v>0</v>
      </c>
      <c r="G5717">
        <v>7.35</v>
      </c>
      <c r="H5717" t="s">
        <v>8588</v>
      </c>
      <c r="I5717">
        <v>365</v>
      </c>
      <c r="J5717" t="s">
        <v>445</v>
      </c>
      <c r="M5717">
        <v>2502</v>
      </c>
      <c r="N5717" t="s">
        <v>16219</v>
      </c>
    </row>
    <row r="5718" spans="1:14">
      <c r="A5718">
        <v>22110602</v>
      </c>
      <c r="B5718">
        <v>3037119</v>
      </c>
      <c r="C5718" t="s">
        <v>11093</v>
      </c>
      <c r="D5718" t="s">
        <v>441</v>
      </c>
      <c r="F5718">
        <v>0</v>
      </c>
      <c r="G5718">
        <v>7.88</v>
      </c>
      <c r="H5718" t="s">
        <v>8549</v>
      </c>
      <c r="I5718">
        <v>4</v>
      </c>
      <c r="J5718" t="s">
        <v>445</v>
      </c>
      <c r="M5718">
        <v>2510</v>
      </c>
      <c r="N5718" t="s">
        <v>16219</v>
      </c>
    </row>
    <row r="5719" spans="1:14">
      <c r="A5719">
        <v>22110902</v>
      </c>
      <c r="B5719">
        <v>3037143</v>
      </c>
      <c r="C5719" t="s">
        <v>11094</v>
      </c>
      <c r="D5719" t="s">
        <v>441</v>
      </c>
      <c r="F5719">
        <v>0</v>
      </c>
      <c r="H5719" t="s">
        <v>8634</v>
      </c>
      <c r="I5719">
        <v>4</v>
      </c>
      <c r="J5719" t="s">
        <v>445</v>
      </c>
      <c r="M5719">
        <v>6666</v>
      </c>
      <c r="N5719" t="s">
        <v>16219</v>
      </c>
    </row>
    <row r="5720" spans="1:14">
      <c r="A5720">
        <v>22110907</v>
      </c>
      <c r="B5720">
        <v>3037115</v>
      </c>
      <c r="C5720" t="s">
        <v>11095</v>
      </c>
      <c r="D5720" t="s">
        <v>441</v>
      </c>
      <c r="F5720">
        <v>0</v>
      </c>
      <c r="G5720">
        <v>0</v>
      </c>
      <c r="H5720" t="s">
        <v>8580</v>
      </c>
      <c r="I5720">
        <v>6</v>
      </c>
      <c r="J5720" t="s">
        <v>445</v>
      </c>
      <c r="M5720">
        <v>6666</v>
      </c>
      <c r="N5720" t="s">
        <v>16219</v>
      </c>
    </row>
    <row r="5721" spans="1:14">
      <c r="A5721">
        <v>22114000</v>
      </c>
      <c r="B5721">
        <v>3039416</v>
      </c>
      <c r="C5721" t="s">
        <v>11096</v>
      </c>
      <c r="D5721" t="s">
        <v>441</v>
      </c>
      <c r="F5721">
        <v>0</v>
      </c>
      <c r="G5721">
        <v>7.3</v>
      </c>
      <c r="H5721" t="s">
        <v>8588</v>
      </c>
      <c r="I5721">
        <v>6</v>
      </c>
      <c r="J5721" t="s">
        <v>445</v>
      </c>
      <c r="M5721">
        <v>2391</v>
      </c>
      <c r="N5721" t="s">
        <v>16219</v>
      </c>
    </row>
    <row r="5722" spans="1:14">
      <c r="A5722">
        <v>22114002</v>
      </c>
      <c r="B5722">
        <v>3041026</v>
      </c>
      <c r="C5722" t="s">
        <v>11097</v>
      </c>
      <c r="D5722" t="s">
        <v>441</v>
      </c>
      <c r="F5722">
        <v>0</v>
      </c>
      <c r="G5722">
        <v>7.7</v>
      </c>
      <c r="H5722" t="s">
        <v>8588</v>
      </c>
      <c r="I5722">
        <v>365</v>
      </c>
      <c r="J5722" t="s">
        <v>445</v>
      </c>
      <c r="M5722">
        <v>7111</v>
      </c>
      <c r="N5722" t="s">
        <v>16219</v>
      </c>
    </row>
    <row r="5723" spans="1:14">
      <c r="A5723">
        <v>22114007</v>
      </c>
      <c r="B5723">
        <v>3041119</v>
      </c>
      <c r="C5723" t="s">
        <v>11098</v>
      </c>
      <c r="D5723" t="s">
        <v>441</v>
      </c>
      <c r="F5723">
        <v>0</v>
      </c>
      <c r="G5723">
        <v>7.35</v>
      </c>
      <c r="H5723" t="s">
        <v>8588</v>
      </c>
      <c r="I5723">
        <v>6</v>
      </c>
      <c r="J5723" t="s">
        <v>445</v>
      </c>
      <c r="M5723">
        <v>2391</v>
      </c>
      <c r="N5723" t="s">
        <v>16219</v>
      </c>
    </row>
    <row r="5724" spans="1:14">
      <c r="A5724">
        <v>22114502</v>
      </c>
      <c r="B5724">
        <v>3039342</v>
      </c>
      <c r="C5724" t="s">
        <v>11099</v>
      </c>
      <c r="D5724" t="s">
        <v>441</v>
      </c>
      <c r="F5724">
        <v>0</v>
      </c>
      <c r="G5724">
        <v>11.63</v>
      </c>
      <c r="I5724">
        <v>6</v>
      </c>
      <c r="J5724" t="s">
        <v>445</v>
      </c>
      <c r="M5724">
        <v>2502</v>
      </c>
      <c r="N5724" t="s">
        <v>16219</v>
      </c>
    </row>
    <row r="5725" spans="1:14">
      <c r="A5725">
        <v>22114602</v>
      </c>
      <c r="B5725">
        <v>3041031</v>
      </c>
      <c r="C5725" t="s">
        <v>11100</v>
      </c>
      <c r="D5725" t="s">
        <v>441</v>
      </c>
      <c r="F5725">
        <v>0</v>
      </c>
      <c r="G5725">
        <v>12.08</v>
      </c>
      <c r="H5725" t="s">
        <v>8549</v>
      </c>
      <c r="I5725">
        <v>6</v>
      </c>
      <c r="J5725" t="s">
        <v>445</v>
      </c>
      <c r="M5725">
        <v>2510</v>
      </c>
      <c r="N5725" t="s">
        <v>16219</v>
      </c>
    </row>
    <row r="5726" spans="1:14">
      <c r="A5726">
        <v>22114902</v>
      </c>
      <c r="B5726">
        <v>3042963</v>
      </c>
      <c r="C5726" t="s">
        <v>11101</v>
      </c>
      <c r="D5726" t="s">
        <v>441</v>
      </c>
      <c r="F5726">
        <v>0</v>
      </c>
      <c r="G5726">
        <v>12.08</v>
      </c>
      <c r="H5726" t="s">
        <v>8549</v>
      </c>
      <c r="I5726">
        <v>6</v>
      </c>
      <c r="J5726" t="s">
        <v>445</v>
      </c>
      <c r="M5726">
        <v>6666</v>
      </c>
      <c r="N5726" t="s">
        <v>16219</v>
      </c>
    </row>
    <row r="5727" spans="1:14">
      <c r="A5727">
        <v>22114907</v>
      </c>
      <c r="B5727">
        <v>3041875</v>
      </c>
      <c r="C5727" t="s">
        <v>11102</v>
      </c>
      <c r="D5727" t="s">
        <v>441</v>
      </c>
      <c r="F5727">
        <v>0</v>
      </c>
      <c r="G5727">
        <v>7.35</v>
      </c>
      <c r="H5727" t="s">
        <v>8588</v>
      </c>
      <c r="I5727">
        <v>6</v>
      </c>
      <c r="J5727" t="s">
        <v>445</v>
      </c>
      <c r="M5727">
        <v>6666</v>
      </c>
      <c r="N5727" t="s">
        <v>16219</v>
      </c>
    </row>
    <row r="5728" spans="1:14">
      <c r="A5728">
        <v>22120000</v>
      </c>
      <c r="B5728">
        <v>3015991</v>
      </c>
      <c r="C5728" t="s">
        <v>11103</v>
      </c>
      <c r="D5728" t="s">
        <v>441</v>
      </c>
      <c r="F5728">
        <v>0</v>
      </c>
      <c r="G5728">
        <v>0</v>
      </c>
      <c r="H5728" t="s">
        <v>8549</v>
      </c>
      <c r="I5728">
        <v>6</v>
      </c>
      <c r="J5728" t="s">
        <v>445</v>
      </c>
      <c r="M5728">
        <v>2391</v>
      </c>
      <c r="N5728" t="s">
        <v>16002</v>
      </c>
    </row>
    <row r="5729" spans="1:14">
      <c r="A5729">
        <v>22120002</v>
      </c>
      <c r="B5729">
        <v>3021015</v>
      </c>
      <c r="C5729" t="s">
        <v>11104</v>
      </c>
      <c r="D5729" t="s">
        <v>441</v>
      </c>
      <c r="F5729">
        <v>0</v>
      </c>
      <c r="G5729">
        <v>16.010000000000002</v>
      </c>
      <c r="H5729" t="s">
        <v>8588</v>
      </c>
      <c r="I5729">
        <v>365</v>
      </c>
      <c r="J5729" t="s">
        <v>445</v>
      </c>
      <c r="M5729">
        <v>7111</v>
      </c>
      <c r="N5729" t="s">
        <v>16002</v>
      </c>
    </row>
    <row r="5730" spans="1:14">
      <c r="A5730">
        <v>22120007</v>
      </c>
      <c r="B5730">
        <v>3012682</v>
      </c>
      <c r="C5730" t="s">
        <v>2848</v>
      </c>
      <c r="D5730" t="s">
        <v>441</v>
      </c>
      <c r="F5730">
        <v>0</v>
      </c>
      <c r="G5730">
        <v>0</v>
      </c>
      <c r="H5730" t="s">
        <v>8588</v>
      </c>
      <c r="I5730">
        <v>6</v>
      </c>
      <c r="J5730" t="s">
        <v>445</v>
      </c>
      <c r="K5730" t="s">
        <v>446</v>
      </c>
      <c r="M5730">
        <v>0</v>
      </c>
      <c r="N5730" t="s">
        <v>16219</v>
      </c>
    </row>
    <row r="5731" spans="1:14">
      <c r="A5731">
        <v>22120075</v>
      </c>
      <c r="B5731">
        <v>3023088</v>
      </c>
      <c r="C5731" t="s">
        <v>11105</v>
      </c>
      <c r="D5731" t="s">
        <v>441</v>
      </c>
      <c r="F5731">
        <v>0</v>
      </c>
      <c r="G5731">
        <v>10.53</v>
      </c>
      <c r="H5731" t="s">
        <v>8588</v>
      </c>
      <c r="I5731">
        <v>6</v>
      </c>
      <c r="J5731" t="s">
        <v>445</v>
      </c>
      <c r="K5731" t="s">
        <v>446</v>
      </c>
      <c r="M5731">
        <v>2641</v>
      </c>
    </row>
    <row r="5732" spans="1:14">
      <c r="A5732">
        <v>22120080</v>
      </c>
      <c r="B5732">
        <v>3031396</v>
      </c>
      <c r="C5732" t="s">
        <v>11106</v>
      </c>
      <c r="D5732" t="s">
        <v>441</v>
      </c>
      <c r="F5732">
        <v>0</v>
      </c>
      <c r="G5732">
        <v>12.35</v>
      </c>
      <c r="H5732" t="s">
        <v>8588</v>
      </c>
      <c r="I5732">
        <v>6</v>
      </c>
      <c r="J5732" t="s">
        <v>445</v>
      </c>
      <c r="K5732" t="s">
        <v>446</v>
      </c>
      <c r="M5732">
        <v>2641</v>
      </c>
    </row>
    <row r="5733" spans="1:14">
      <c r="A5733">
        <v>22120100</v>
      </c>
      <c r="B5733">
        <v>3034779</v>
      </c>
      <c r="C5733" t="s">
        <v>11107</v>
      </c>
      <c r="D5733" t="s">
        <v>441</v>
      </c>
      <c r="F5733">
        <v>0</v>
      </c>
      <c r="H5733" t="s">
        <v>8549</v>
      </c>
      <c r="I5733">
        <v>7</v>
      </c>
      <c r="J5733" t="s">
        <v>445</v>
      </c>
      <c r="K5733" t="s">
        <v>446</v>
      </c>
      <c r="M5733">
        <v>0</v>
      </c>
      <c r="N5733" t="s">
        <v>16217</v>
      </c>
    </row>
    <row r="5734" spans="1:14">
      <c r="A5734">
        <v>22120110</v>
      </c>
      <c r="B5734">
        <v>3034580</v>
      </c>
      <c r="C5734" t="s">
        <v>11108</v>
      </c>
      <c r="D5734" t="s">
        <v>441</v>
      </c>
      <c r="F5734">
        <v>0</v>
      </c>
      <c r="G5734">
        <v>8.34</v>
      </c>
      <c r="H5734" t="s">
        <v>8588</v>
      </c>
      <c r="I5734">
        <v>6</v>
      </c>
      <c r="J5734" t="s">
        <v>445</v>
      </c>
      <c r="M5734">
        <v>7161</v>
      </c>
      <c r="N5734" t="s">
        <v>16002</v>
      </c>
    </row>
    <row r="5735" spans="1:14">
      <c r="A5735">
        <v>22120112</v>
      </c>
      <c r="B5735">
        <v>3034582</v>
      </c>
      <c r="C5735" t="s">
        <v>11109</v>
      </c>
      <c r="D5735" t="s">
        <v>441</v>
      </c>
      <c r="F5735">
        <v>0</v>
      </c>
      <c r="H5735" t="s">
        <v>8588</v>
      </c>
      <c r="I5735">
        <v>729</v>
      </c>
      <c r="J5735" t="s">
        <v>445</v>
      </c>
      <c r="M5735">
        <v>7113</v>
      </c>
      <c r="N5735" t="s">
        <v>16002</v>
      </c>
    </row>
    <row r="5736" spans="1:14">
      <c r="A5736">
        <v>22120502</v>
      </c>
      <c r="B5736">
        <v>3034589</v>
      </c>
      <c r="C5736" t="s">
        <v>11110</v>
      </c>
      <c r="D5736" t="s">
        <v>441</v>
      </c>
      <c r="F5736">
        <v>0</v>
      </c>
      <c r="G5736">
        <v>7.35</v>
      </c>
      <c r="H5736" t="s">
        <v>8588</v>
      </c>
      <c r="I5736">
        <v>5</v>
      </c>
      <c r="J5736" t="s">
        <v>445</v>
      </c>
      <c r="M5736">
        <v>2502</v>
      </c>
      <c r="N5736" t="s">
        <v>16002</v>
      </c>
    </row>
    <row r="5737" spans="1:14">
      <c r="A5737">
        <v>22120602</v>
      </c>
      <c r="B5737">
        <v>3021016</v>
      </c>
      <c r="C5737" t="s">
        <v>11111</v>
      </c>
      <c r="D5737" t="s">
        <v>441</v>
      </c>
      <c r="F5737">
        <v>0</v>
      </c>
      <c r="G5737">
        <v>16.29</v>
      </c>
      <c r="H5737" t="s">
        <v>8588</v>
      </c>
      <c r="I5737">
        <v>4</v>
      </c>
      <c r="J5737" t="s">
        <v>445</v>
      </c>
      <c r="M5737">
        <v>2510</v>
      </c>
      <c r="N5737" t="s">
        <v>16002</v>
      </c>
    </row>
    <row r="5738" spans="1:14">
      <c r="A5738">
        <v>22120902</v>
      </c>
      <c r="B5738">
        <v>3021027</v>
      </c>
      <c r="C5738" t="s">
        <v>11112</v>
      </c>
      <c r="D5738" t="s">
        <v>441</v>
      </c>
      <c r="F5738">
        <v>0</v>
      </c>
      <c r="H5738" t="s">
        <v>8584</v>
      </c>
      <c r="I5738">
        <v>4</v>
      </c>
      <c r="J5738" t="s">
        <v>445</v>
      </c>
      <c r="M5738">
        <v>6666</v>
      </c>
      <c r="N5738" t="s">
        <v>16002</v>
      </c>
    </row>
    <row r="5739" spans="1:14">
      <c r="A5739">
        <v>22123000</v>
      </c>
      <c r="B5739">
        <v>3016302</v>
      </c>
      <c r="C5739" t="s">
        <v>11113</v>
      </c>
      <c r="D5739" t="s">
        <v>441</v>
      </c>
      <c r="F5739">
        <v>0</v>
      </c>
      <c r="G5739">
        <v>7.25</v>
      </c>
      <c r="H5739" t="s">
        <v>8588</v>
      </c>
      <c r="I5739">
        <v>6</v>
      </c>
      <c r="J5739" t="s">
        <v>445</v>
      </c>
      <c r="M5739">
        <v>2391</v>
      </c>
      <c r="N5739" t="s">
        <v>16002</v>
      </c>
    </row>
    <row r="5740" spans="1:14">
      <c r="A5740">
        <v>22123007</v>
      </c>
      <c r="B5740">
        <v>3025001</v>
      </c>
      <c r="C5740" t="s">
        <v>14416</v>
      </c>
      <c r="D5740" t="s">
        <v>441</v>
      </c>
      <c r="F5740">
        <v>0</v>
      </c>
      <c r="G5740">
        <v>15.47</v>
      </c>
      <c r="H5740" t="s">
        <v>8588</v>
      </c>
      <c r="I5740">
        <v>6</v>
      </c>
      <c r="J5740" t="s">
        <v>445</v>
      </c>
      <c r="M5740">
        <v>3113</v>
      </c>
      <c r="N5740" t="s">
        <v>16002</v>
      </c>
    </row>
    <row r="5741" spans="1:14">
      <c r="A5741">
        <v>22123900</v>
      </c>
      <c r="B5741">
        <v>3020318</v>
      </c>
      <c r="C5741" t="s">
        <v>11114</v>
      </c>
      <c r="D5741" t="s">
        <v>441</v>
      </c>
      <c r="F5741">
        <v>0</v>
      </c>
      <c r="G5741">
        <v>0</v>
      </c>
      <c r="H5741" t="s">
        <v>8584</v>
      </c>
      <c r="I5741">
        <v>6</v>
      </c>
      <c r="J5741" t="s">
        <v>445</v>
      </c>
      <c r="M5741">
        <v>6666</v>
      </c>
      <c r="N5741" t="s">
        <v>16002</v>
      </c>
    </row>
    <row r="5742" spans="1:14">
      <c r="A5742">
        <v>22123907</v>
      </c>
      <c r="B5742">
        <v>3025261</v>
      </c>
      <c r="C5742" t="s">
        <v>14417</v>
      </c>
      <c r="D5742" t="s">
        <v>441</v>
      </c>
      <c r="F5742">
        <v>0</v>
      </c>
      <c r="G5742">
        <v>0</v>
      </c>
      <c r="I5742">
        <v>6</v>
      </c>
      <c r="J5742" t="s">
        <v>445</v>
      </c>
      <c r="M5742">
        <v>6666</v>
      </c>
      <c r="N5742" t="s">
        <v>16002</v>
      </c>
    </row>
    <row r="5743" spans="1:14">
      <c r="A5743">
        <v>22124000</v>
      </c>
      <c r="B5743">
        <v>3038189</v>
      </c>
      <c r="C5743" t="s">
        <v>11115</v>
      </c>
      <c r="D5743" t="s">
        <v>441</v>
      </c>
      <c r="F5743">
        <v>0</v>
      </c>
      <c r="G5743">
        <v>7.3</v>
      </c>
      <c r="H5743" t="s">
        <v>8549</v>
      </c>
      <c r="I5743">
        <v>6</v>
      </c>
      <c r="J5743" t="s">
        <v>445</v>
      </c>
      <c r="M5743">
        <v>2391</v>
      </c>
      <c r="N5743" t="s">
        <v>16002</v>
      </c>
    </row>
    <row r="5744" spans="1:14">
      <c r="A5744">
        <v>22124007</v>
      </c>
      <c r="B5744">
        <v>3039387</v>
      </c>
      <c r="C5744" t="s">
        <v>11116</v>
      </c>
      <c r="D5744" t="s">
        <v>441</v>
      </c>
      <c r="F5744">
        <v>0</v>
      </c>
      <c r="G5744">
        <v>7.35</v>
      </c>
      <c r="H5744" t="s">
        <v>8588</v>
      </c>
      <c r="I5744">
        <v>6</v>
      </c>
      <c r="J5744" t="s">
        <v>445</v>
      </c>
      <c r="M5744">
        <v>3111</v>
      </c>
      <c r="N5744" t="s">
        <v>16002</v>
      </c>
    </row>
    <row r="5745" spans="1:14">
      <c r="A5745">
        <v>22124300</v>
      </c>
      <c r="B5745">
        <v>3038259</v>
      </c>
      <c r="C5745" t="s">
        <v>11117</v>
      </c>
      <c r="D5745" t="s">
        <v>441</v>
      </c>
      <c r="F5745">
        <v>0</v>
      </c>
      <c r="G5745">
        <v>7.25</v>
      </c>
      <c r="H5745" t="s">
        <v>8588</v>
      </c>
      <c r="I5745">
        <v>6</v>
      </c>
      <c r="J5745" t="s">
        <v>445</v>
      </c>
      <c r="M5745">
        <v>2391</v>
      </c>
      <c r="N5745" t="s">
        <v>16002</v>
      </c>
    </row>
    <row r="5746" spans="1:14">
      <c r="A5746">
        <v>22124907</v>
      </c>
      <c r="B5746">
        <v>3040456</v>
      </c>
      <c r="C5746" t="s">
        <v>11118</v>
      </c>
      <c r="D5746" t="s">
        <v>441</v>
      </c>
      <c r="F5746">
        <v>0</v>
      </c>
      <c r="G5746">
        <v>8.3000000000000007</v>
      </c>
      <c r="H5746" t="s">
        <v>8588</v>
      </c>
      <c r="I5746">
        <v>6</v>
      </c>
      <c r="J5746" t="s">
        <v>445</v>
      </c>
      <c r="M5746">
        <v>6666</v>
      </c>
      <c r="N5746" t="s">
        <v>16002</v>
      </c>
    </row>
    <row r="5747" spans="1:14">
      <c r="A5747">
        <v>22129000</v>
      </c>
      <c r="B5747">
        <v>3019065</v>
      </c>
      <c r="C5747" t="s">
        <v>2849</v>
      </c>
      <c r="D5747" t="s">
        <v>441</v>
      </c>
      <c r="F5747">
        <v>0</v>
      </c>
      <c r="G5747">
        <v>15.3</v>
      </c>
      <c r="H5747" t="s">
        <v>8588</v>
      </c>
      <c r="I5747">
        <v>2</v>
      </c>
      <c r="J5747" t="s">
        <v>445</v>
      </c>
      <c r="M5747">
        <v>3111</v>
      </c>
      <c r="N5747" t="s">
        <v>16002</v>
      </c>
    </row>
    <row r="5748" spans="1:14">
      <c r="A5748">
        <v>22129900</v>
      </c>
      <c r="B5748">
        <v>3020319</v>
      </c>
      <c r="C5748" t="s">
        <v>2850</v>
      </c>
      <c r="D5748" t="s">
        <v>441</v>
      </c>
      <c r="F5748">
        <v>0</v>
      </c>
      <c r="H5748" t="s">
        <v>8584</v>
      </c>
      <c r="I5748">
        <v>2</v>
      </c>
      <c r="J5748" t="s">
        <v>445</v>
      </c>
      <c r="M5748">
        <v>6666</v>
      </c>
      <c r="N5748" t="s">
        <v>16002</v>
      </c>
    </row>
    <row r="5749" spans="1:14">
      <c r="A5749">
        <v>22130000</v>
      </c>
      <c r="B5749">
        <v>3015992</v>
      </c>
      <c r="C5749" t="s">
        <v>11119</v>
      </c>
      <c r="D5749" t="s">
        <v>441</v>
      </c>
      <c r="F5749">
        <v>0</v>
      </c>
      <c r="G5749">
        <v>0</v>
      </c>
      <c r="H5749" t="s">
        <v>8580</v>
      </c>
      <c r="I5749">
        <v>6</v>
      </c>
      <c r="J5749" t="s">
        <v>445</v>
      </c>
      <c r="M5749">
        <v>2391</v>
      </c>
      <c r="N5749" t="s">
        <v>16219</v>
      </c>
    </row>
    <row r="5750" spans="1:14">
      <c r="A5750">
        <v>22130002</v>
      </c>
      <c r="B5750">
        <v>3021492</v>
      </c>
      <c r="C5750" t="s">
        <v>11120</v>
      </c>
      <c r="D5750" t="s">
        <v>441</v>
      </c>
      <c r="F5750">
        <v>0</v>
      </c>
      <c r="G5750">
        <v>7.7</v>
      </c>
      <c r="H5750" t="s">
        <v>8588</v>
      </c>
      <c r="I5750">
        <v>365</v>
      </c>
      <c r="J5750" t="s">
        <v>445</v>
      </c>
      <c r="M5750">
        <v>7111</v>
      </c>
      <c r="N5750" t="s">
        <v>16219</v>
      </c>
    </row>
    <row r="5751" spans="1:14">
      <c r="A5751">
        <v>22130075</v>
      </c>
      <c r="B5751">
        <v>3023087</v>
      </c>
      <c r="C5751" t="s">
        <v>11121</v>
      </c>
      <c r="D5751" t="s">
        <v>441</v>
      </c>
      <c r="F5751">
        <v>0</v>
      </c>
      <c r="G5751">
        <v>7.35</v>
      </c>
      <c r="H5751" t="s">
        <v>8588</v>
      </c>
      <c r="I5751">
        <v>6</v>
      </c>
      <c r="J5751" t="s">
        <v>445</v>
      </c>
      <c r="M5751">
        <v>7112</v>
      </c>
      <c r="N5751" t="s">
        <v>16219</v>
      </c>
    </row>
    <row r="5752" spans="1:14">
      <c r="A5752">
        <v>22130080</v>
      </c>
      <c r="B5752">
        <v>3031397</v>
      </c>
      <c r="C5752" t="s">
        <v>11122</v>
      </c>
      <c r="D5752" t="s">
        <v>441</v>
      </c>
      <c r="F5752">
        <v>0</v>
      </c>
      <c r="G5752">
        <v>12.35</v>
      </c>
      <c r="H5752" t="s">
        <v>8588</v>
      </c>
      <c r="I5752">
        <v>6</v>
      </c>
      <c r="J5752" t="s">
        <v>445</v>
      </c>
      <c r="K5752" t="s">
        <v>446</v>
      </c>
      <c r="M5752">
        <v>2641</v>
      </c>
    </row>
    <row r="5753" spans="1:14">
      <c r="A5753">
        <v>22130087</v>
      </c>
      <c r="B5753">
        <v>3040971</v>
      </c>
      <c r="C5753" t="s">
        <v>11123</v>
      </c>
      <c r="D5753" t="s">
        <v>441</v>
      </c>
      <c r="F5753">
        <v>0</v>
      </c>
      <c r="G5753">
        <v>7.35</v>
      </c>
      <c r="H5753" t="s">
        <v>8588</v>
      </c>
      <c r="I5753">
        <v>6</v>
      </c>
      <c r="J5753" t="s">
        <v>445</v>
      </c>
      <c r="M5753">
        <v>7112</v>
      </c>
      <c r="N5753" t="s">
        <v>16219</v>
      </c>
    </row>
    <row r="5754" spans="1:14">
      <c r="A5754">
        <v>22130100</v>
      </c>
      <c r="B5754">
        <v>3012663</v>
      </c>
      <c r="C5754" t="s">
        <v>2851</v>
      </c>
      <c r="D5754" t="s">
        <v>441</v>
      </c>
      <c r="F5754">
        <v>0</v>
      </c>
      <c r="H5754" t="s">
        <v>8588</v>
      </c>
      <c r="I5754">
        <v>6</v>
      </c>
      <c r="J5754" t="s">
        <v>445</v>
      </c>
      <c r="M5754">
        <v>7161</v>
      </c>
      <c r="N5754" t="s">
        <v>16219</v>
      </c>
    </row>
    <row r="5755" spans="1:14">
      <c r="A5755">
        <v>22130102</v>
      </c>
      <c r="B5755">
        <v>3014203</v>
      </c>
      <c r="C5755" t="s">
        <v>11124</v>
      </c>
      <c r="D5755" t="s">
        <v>441</v>
      </c>
      <c r="F5755">
        <v>0</v>
      </c>
      <c r="H5755" t="s">
        <v>8588</v>
      </c>
      <c r="I5755">
        <v>365</v>
      </c>
      <c r="J5755" t="s">
        <v>445</v>
      </c>
      <c r="M5755">
        <v>7113</v>
      </c>
      <c r="N5755" t="s">
        <v>16219</v>
      </c>
    </row>
    <row r="5756" spans="1:14">
      <c r="A5756">
        <v>22130110</v>
      </c>
      <c r="B5756">
        <v>3026940</v>
      </c>
      <c r="C5756" t="s">
        <v>11125</v>
      </c>
      <c r="D5756" t="s">
        <v>441</v>
      </c>
      <c r="F5756">
        <v>0</v>
      </c>
      <c r="H5756" t="s">
        <v>8588</v>
      </c>
      <c r="I5756">
        <v>6</v>
      </c>
      <c r="J5756" t="s">
        <v>445</v>
      </c>
      <c r="M5756">
        <v>0</v>
      </c>
    </row>
    <row r="5757" spans="1:14">
      <c r="A5757">
        <v>22130112</v>
      </c>
      <c r="B5757">
        <v>3012699</v>
      </c>
      <c r="C5757" t="s">
        <v>2852</v>
      </c>
      <c r="D5757" t="s">
        <v>441</v>
      </c>
      <c r="F5757">
        <v>0</v>
      </c>
      <c r="H5757" t="s">
        <v>8588</v>
      </c>
      <c r="I5757">
        <v>365</v>
      </c>
      <c r="J5757" t="s">
        <v>445</v>
      </c>
      <c r="M5757">
        <v>7113</v>
      </c>
      <c r="N5757" t="s">
        <v>16219</v>
      </c>
    </row>
    <row r="5758" spans="1:14">
      <c r="A5758">
        <v>22130122</v>
      </c>
      <c r="B5758">
        <v>3032767</v>
      </c>
      <c r="C5758" t="s">
        <v>2853</v>
      </c>
      <c r="D5758" t="s">
        <v>441</v>
      </c>
      <c r="F5758">
        <v>0</v>
      </c>
      <c r="H5758" t="s">
        <v>8588</v>
      </c>
      <c r="I5758">
        <v>365</v>
      </c>
      <c r="J5758" t="s">
        <v>445</v>
      </c>
      <c r="M5758">
        <v>7113</v>
      </c>
      <c r="N5758" t="s">
        <v>16219</v>
      </c>
    </row>
    <row r="5759" spans="1:14">
      <c r="A5759">
        <v>22130130</v>
      </c>
      <c r="B5759">
        <v>3031753</v>
      </c>
      <c r="C5759" t="s">
        <v>11126</v>
      </c>
      <c r="D5759" t="s">
        <v>441</v>
      </c>
      <c r="F5759">
        <v>0</v>
      </c>
      <c r="H5759" t="s">
        <v>8588</v>
      </c>
      <c r="I5759">
        <v>16</v>
      </c>
      <c r="J5759" t="s">
        <v>445</v>
      </c>
      <c r="K5759" t="s">
        <v>446</v>
      </c>
      <c r="M5759">
        <v>0</v>
      </c>
      <c r="N5759" t="s">
        <v>16219</v>
      </c>
    </row>
    <row r="5760" spans="1:14">
      <c r="A5760">
        <v>22130132</v>
      </c>
      <c r="B5760">
        <v>3006304</v>
      </c>
      <c r="C5760" t="s">
        <v>2854</v>
      </c>
      <c r="D5760" t="s">
        <v>441</v>
      </c>
      <c r="F5760">
        <v>0</v>
      </c>
      <c r="H5760" t="s">
        <v>8588</v>
      </c>
      <c r="I5760">
        <v>365</v>
      </c>
      <c r="J5760" t="s">
        <v>445</v>
      </c>
      <c r="M5760">
        <v>7113</v>
      </c>
      <c r="N5760" t="s">
        <v>16219</v>
      </c>
    </row>
    <row r="5761" spans="1:14">
      <c r="A5761">
        <v>22130140</v>
      </c>
      <c r="B5761">
        <v>3033599</v>
      </c>
      <c r="C5761" t="s">
        <v>11127</v>
      </c>
      <c r="D5761" t="s">
        <v>441</v>
      </c>
      <c r="F5761">
        <v>0</v>
      </c>
      <c r="H5761" t="s">
        <v>8588</v>
      </c>
      <c r="I5761">
        <v>6</v>
      </c>
      <c r="J5761" t="s">
        <v>445</v>
      </c>
      <c r="M5761">
        <v>7161</v>
      </c>
      <c r="N5761" t="s">
        <v>16219</v>
      </c>
    </row>
    <row r="5762" spans="1:14">
      <c r="A5762">
        <v>22130142</v>
      </c>
      <c r="B5762">
        <v>3033597</v>
      </c>
      <c r="C5762" t="s">
        <v>11128</v>
      </c>
      <c r="D5762" t="s">
        <v>441</v>
      </c>
      <c r="F5762">
        <v>0</v>
      </c>
      <c r="H5762" t="s">
        <v>8588</v>
      </c>
      <c r="I5762">
        <v>729</v>
      </c>
      <c r="J5762" t="s">
        <v>445</v>
      </c>
      <c r="M5762">
        <v>7113</v>
      </c>
      <c r="N5762" t="s">
        <v>16219</v>
      </c>
    </row>
    <row r="5763" spans="1:14">
      <c r="A5763">
        <v>22130150</v>
      </c>
      <c r="B5763">
        <v>3036419</v>
      </c>
      <c r="C5763" t="s">
        <v>11129</v>
      </c>
      <c r="D5763" t="s">
        <v>441</v>
      </c>
      <c r="F5763">
        <v>0</v>
      </c>
      <c r="H5763" t="s">
        <v>8588</v>
      </c>
      <c r="I5763">
        <v>6</v>
      </c>
      <c r="J5763" t="s">
        <v>445</v>
      </c>
      <c r="M5763">
        <v>7161</v>
      </c>
      <c r="N5763" t="s">
        <v>16219</v>
      </c>
    </row>
    <row r="5764" spans="1:14">
      <c r="A5764">
        <v>22130152</v>
      </c>
      <c r="B5764">
        <v>3002897</v>
      </c>
      <c r="C5764" t="s">
        <v>2855</v>
      </c>
      <c r="D5764" t="s">
        <v>441</v>
      </c>
      <c r="F5764">
        <v>0</v>
      </c>
      <c r="H5764" t="s">
        <v>8588</v>
      </c>
      <c r="I5764">
        <v>365</v>
      </c>
      <c r="J5764" t="s">
        <v>445</v>
      </c>
      <c r="M5764">
        <v>7113</v>
      </c>
      <c r="N5764" t="s">
        <v>16219</v>
      </c>
    </row>
    <row r="5765" spans="1:14">
      <c r="A5765">
        <v>22130160</v>
      </c>
      <c r="B5765">
        <v>3033601</v>
      </c>
      <c r="C5765" t="s">
        <v>11130</v>
      </c>
      <c r="D5765" t="s">
        <v>441</v>
      </c>
      <c r="F5765">
        <v>0</v>
      </c>
      <c r="H5765" t="s">
        <v>8588</v>
      </c>
      <c r="I5765">
        <v>6</v>
      </c>
      <c r="J5765" t="s">
        <v>445</v>
      </c>
      <c r="M5765">
        <v>7161</v>
      </c>
      <c r="N5765" t="s">
        <v>16219</v>
      </c>
    </row>
    <row r="5766" spans="1:14">
      <c r="A5766">
        <v>22130162</v>
      </c>
      <c r="B5766">
        <v>3031477</v>
      </c>
      <c r="C5766" t="s">
        <v>2856</v>
      </c>
      <c r="D5766" t="s">
        <v>441</v>
      </c>
      <c r="F5766">
        <v>0</v>
      </c>
      <c r="H5766" t="s">
        <v>8588</v>
      </c>
      <c r="I5766">
        <v>730</v>
      </c>
      <c r="J5766" t="s">
        <v>445</v>
      </c>
      <c r="M5766">
        <v>7113</v>
      </c>
      <c r="N5766" t="s">
        <v>16219</v>
      </c>
    </row>
    <row r="5767" spans="1:14">
      <c r="A5767">
        <v>22130502</v>
      </c>
      <c r="B5767">
        <v>3021510</v>
      </c>
      <c r="C5767" t="s">
        <v>11131</v>
      </c>
      <c r="D5767" t="s">
        <v>441</v>
      </c>
      <c r="F5767">
        <v>0</v>
      </c>
      <c r="G5767">
        <v>7.36</v>
      </c>
      <c r="H5767" t="s">
        <v>8588</v>
      </c>
      <c r="I5767">
        <v>6</v>
      </c>
      <c r="J5767" t="s">
        <v>445</v>
      </c>
      <c r="M5767">
        <v>2502</v>
      </c>
      <c r="N5767" t="s">
        <v>16219</v>
      </c>
    </row>
    <row r="5768" spans="1:14">
      <c r="A5768">
        <v>22130602</v>
      </c>
      <c r="B5768">
        <v>3014288</v>
      </c>
      <c r="C5768" t="s">
        <v>11132</v>
      </c>
      <c r="D5768" t="s">
        <v>441</v>
      </c>
      <c r="F5768">
        <v>0</v>
      </c>
      <c r="G5768">
        <v>7.88</v>
      </c>
      <c r="H5768" t="s">
        <v>8549</v>
      </c>
      <c r="I5768">
        <v>5</v>
      </c>
      <c r="J5768" t="s">
        <v>445</v>
      </c>
      <c r="M5768">
        <v>2510</v>
      </c>
      <c r="N5768" t="s">
        <v>16219</v>
      </c>
    </row>
    <row r="5769" spans="1:14">
      <c r="A5769">
        <v>22130662</v>
      </c>
      <c r="B5769">
        <v>3031449</v>
      </c>
      <c r="C5769" t="s">
        <v>11133</v>
      </c>
      <c r="D5769" t="s">
        <v>441</v>
      </c>
      <c r="F5769">
        <v>0</v>
      </c>
      <c r="G5769">
        <v>10.8</v>
      </c>
      <c r="H5769" t="s">
        <v>8549</v>
      </c>
      <c r="I5769">
        <v>4</v>
      </c>
      <c r="J5769" t="s">
        <v>445</v>
      </c>
      <c r="M5769">
        <v>2510</v>
      </c>
      <c r="N5769" t="s">
        <v>16219</v>
      </c>
    </row>
    <row r="5770" spans="1:14">
      <c r="A5770">
        <v>22130902</v>
      </c>
      <c r="B5770">
        <v>3021516</v>
      </c>
      <c r="C5770" t="s">
        <v>11134</v>
      </c>
      <c r="D5770" t="s">
        <v>441</v>
      </c>
      <c r="F5770">
        <v>0</v>
      </c>
      <c r="H5770" t="s">
        <v>8634</v>
      </c>
      <c r="I5770">
        <v>5</v>
      </c>
      <c r="J5770" t="s">
        <v>445</v>
      </c>
      <c r="M5770">
        <v>6666</v>
      </c>
      <c r="N5770" t="s">
        <v>16219</v>
      </c>
    </row>
    <row r="5771" spans="1:14">
      <c r="A5771">
        <v>22130962</v>
      </c>
      <c r="B5771">
        <v>3031490</v>
      </c>
      <c r="C5771" t="s">
        <v>11135</v>
      </c>
      <c r="D5771" t="s">
        <v>441</v>
      </c>
      <c r="F5771">
        <v>0</v>
      </c>
      <c r="H5771" t="s">
        <v>8935</v>
      </c>
      <c r="I5771">
        <v>4</v>
      </c>
      <c r="J5771" t="s">
        <v>445</v>
      </c>
      <c r="M5771">
        <v>6666</v>
      </c>
      <c r="N5771" t="s">
        <v>16219</v>
      </c>
    </row>
    <row r="5772" spans="1:14">
      <c r="A5772">
        <v>22133000</v>
      </c>
      <c r="B5772">
        <v>3016311</v>
      </c>
      <c r="C5772" t="s">
        <v>11136</v>
      </c>
      <c r="D5772" t="s">
        <v>441</v>
      </c>
      <c r="F5772">
        <v>0</v>
      </c>
      <c r="G5772">
        <v>7.25</v>
      </c>
      <c r="H5772" t="s">
        <v>8588</v>
      </c>
      <c r="I5772">
        <v>6</v>
      </c>
      <c r="J5772" t="s">
        <v>445</v>
      </c>
      <c r="M5772">
        <v>2391</v>
      </c>
      <c r="N5772" t="s">
        <v>16219</v>
      </c>
    </row>
    <row r="5773" spans="1:14">
      <c r="A5773">
        <v>22133007</v>
      </c>
      <c r="B5773">
        <v>3025002</v>
      </c>
      <c r="C5773" t="s">
        <v>14418</v>
      </c>
      <c r="D5773" t="s">
        <v>441</v>
      </c>
      <c r="F5773">
        <v>0</v>
      </c>
      <c r="G5773">
        <v>12.45</v>
      </c>
      <c r="H5773" t="s">
        <v>8588</v>
      </c>
      <c r="I5773">
        <v>6</v>
      </c>
      <c r="J5773" t="s">
        <v>445</v>
      </c>
      <c r="M5773">
        <v>3113</v>
      </c>
      <c r="N5773" t="s">
        <v>16219</v>
      </c>
    </row>
    <row r="5774" spans="1:14">
      <c r="A5774">
        <v>22133700</v>
      </c>
      <c r="B5774">
        <v>3032642</v>
      </c>
      <c r="C5774" t="s">
        <v>11137</v>
      </c>
      <c r="D5774" t="s">
        <v>441</v>
      </c>
      <c r="F5774">
        <v>0</v>
      </c>
      <c r="G5774">
        <v>11.3</v>
      </c>
      <c r="H5774" t="s">
        <v>8549</v>
      </c>
      <c r="I5774">
        <v>6</v>
      </c>
      <c r="J5774" t="s">
        <v>445</v>
      </c>
      <c r="M5774">
        <v>2391</v>
      </c>
      <c r="N5774" t="s">
        <v>16219</v>
      </c>
    </row>
    <row r="5775" spans="1:14">
      <c r="A5775">
        <v>22133707</v>
      </c>
      <c r="B5775">
        <v>3032654</v>
      </c>
      <c r="C5775" t="s">
        <v>11138</v>
      </c>
      <c r="D5775" t="s">
        <v>441</v>
      </c>
      <c r="F5775">
        <v>0</v>
      </c>
      <c r="G5775">
        <v>11.36</v>
      </c>
      <c r="H5775" t="s">
        <v>8588</v>
      </c>
      <c r="I5775">
        <v>6</v>
      </c>
      <c r="J5775" t="s">
        <v>445</v>
      </c>
      <c r="M5775">
        <v>2391</v>
      </c>
      <c r="N5775" t="s">
        <v>16219</v>
      </c>
    </row>
    <row r="5776" spans="1:14">
      <c r="A5776">
        <v>22133775</v>
      </c>
      <c r="B5776">
        <v>3032652</v>
      </c>
      <c r="C5776" t="s">
        <v>11139</v>
      </c>
      <c r="D5776" t="s">
        <v>441</v>
      </c>
      <c r="F5776">
        <v>0</v>
      </c>
      <c r="G5776">
        <v>11.52</v>
      </c>
      <c r="H5776" t="s">
        <v>8588</v>
      </c>
      <c r="I5776">
        <v>6</v>
      </c>
      <c r="J5776" t="s">
        <v>445</v>
      </c>
      <c r="M5776">
        <v>7112</v>
      </c>
      <c r="N5776" t="s">
        <v>16219</v>
      </c>
    </row>
    <row r="5777" spans="1:14">
      <c r="A5777">
        <v>22133900</v>
      </c>
      <c r="B5777">
        <v>3020320</v>
      </c>
      <c r="C5777" t="s">
        <v>11140</v>
      </c>
      <c r="D5777" t="s">
        <v>441</v>
      </c>
      <c r="F5777">
        <v>0</v>
      </c>
      <c r="G5777">
        <v>0</v>
      </c>
      <c r="H5777" t="s">
        <v>8584</v>
      </c>
      <c r="I5777">
        <v>6</v>
      </c>
      <c r="J5777" t="s">
        <v>445</v>
      </c>
      <c r="M5777">
        <v>6666</v>
      </c>
      <c r="N5777" t="s">
        <v>16219</v>
      </c>
    </row>
    <row r="5778" spans="1:14">
      <c r="A5778">
        <v>22133907</v>
      </c>
      <c r="B5778">
        <v>3025262</v>
      </c>
      <c r="C5778" t="s">
        <v>14419</v>
      </c>
      <c r="D5778" t="s">
        <v>441</v>
      </c>
      <c r="F5778">
        <v>0</v>
      </c>
      <c r="G5778">
        <v>0</v>
      </c>
      <c r="H5778" t="s">
        <v>8584</v>
      </c>
      <c r="I5778">
        <v>6</v>
      </c>
      <c r="J5778" t="s">
        <v>445</v>
      </c>
      <c r="M5778">
        <v>6666</v>
      </c>
      <c r="N5778" t="s">
        <v>16219</v>
      </c>
    </row>
    <row r="5779" spans="1:14">
      <c r="A5779">
        <v>22134000</v>
      </c>
      <c r="B5779">
        <v>3037554</v>
      </c>
      <c r="C5779" t="s">
        <v>11141</v>
      </c>
      <c r="D5779" t="s">
        <v>441</v>
      </c>
      <c r="F5779">
        <v>0</v>
      </c>
      <c r="G5779">
        <v>7.3</v>
      </c>
      <c r="H5779" t="s">
        <v>8549</v>
      </c>
      <c r="I5779">
        <v>6</v>
      </c>
      <c r="J5779" t="s">
        <v>445</v>
      </c>
      <c r="M5779">
        <v>2391</v>
      </c>
      <c r="N5779" t="s">
        <v>16219</v>
      </c>
    </row>
    <row r="5780" spans="1:14">
      <c r="A5780">
        <v>22134002</v>
      </c>
      <c r="B5780">
        <v>3041025</v>
      </c>
      <c r="C5780" t="s">
        <v>11142</v>
      </c>
      <c r="D5780" t="s">
        <v>441</v>
      </c>
      <c r="F5780">
        <v>0</v>
      </c>
      <c r="G5780">
        <v>7.7</v>
      </c>
      <c r="H5780" t="s">
        <v>8588</v>
      </c>
      <c r="I5780">
        <v>365</v>
      </c>
      <c r="J5780" t="s">
        <v>445</v>
      </c>
      <c r="M5780">
        <v>7111</v>
      </c>
      <c r="N5780" t="s">
        <v>16219</v>
      </c>
    </row>
    <row r="5781" spans="1:14">
      <c r="A5781">
        <v>22134007</v>
      </c>
      <c r="B5781">
        <v>3037726</v>
      </c>
      <c r="C5781" t="s">
        <v>11143</v>
      </c>
      <c r="D5781" t="s">
        <v>441</v>
      </c>
      <c r="F5781">
        <v>0</v>
      </c>
      <c r="G5781">
        <v>7.35</v>
      </c>
      <c r="H5781" t="s">
        <v>8588</v>
      </c>
      <c r="I5781">
        <v>6</v>
      </c>
      <c r="J5781" t="s">
        <v>445</v>
      </c>
      <c r="M5781">
        <v>3113</v>
      </c>
      <c r="N5781" t="s">
        <v>16219</v>
      </c>
    </row>
    <row r="5782" spans="1:14">
      <c r="A5782">
        <v>22134075</v>
      </c>
      <c r="B5782">
        <v>3039534</v>
      </c>
      <c r="C5782" t="s">
        <v>11144</v>
      </c>
      <c r="D5782" t="s">
        <v>441</v>
      </c>
      <c r="F5782">
        <v>0</v>
      </c>
      <c r="G5782">
        <v>7.35</v>
      </c>
      <c r="H5782" t="s">
        <v>8588</v>
      </c>
      <c r="I5782">
        <v>6</v>
      </c>
      <c r="J5782" t="s">
        <v>445</v>
      </c>
      <c r="M5782">
        <v>7112</v>
      </c>
      <c r="N5782" t="s">
        <v>16219</v>
      </c>
    </row>
    <row r="5783" spans="1:14">
      <c r="A5783">
        <v>22134300</v>
      </c>
      <c r="B5783">
        <v>3037670</v>
      </c>
      <c r="C5783" t="s">
        <v>11145</v>
      </c>
      <c r="D5783" t="s">
        <v>441</v>
      </c>
      <c r="F5783">
        <v>0</v>
      </c>
      <c r="G5783">
        <v>7.25</v>
      </c>
      <c r="H5783" t="s">
        <v>8549</v>
      </c>
      <c r="I5783">
        <v>6</v>
      </c>
      <c r="J5783" t="s">
        <v>445</v>
      </c>
      <c r="M5783">
        <v>2391</v>
      </c>
      <c r="N5783" t="s">
        <v>16219</v>
      </c>
    </row>
    <row r="5784" spans="1:14">
      <c r="A5784">
        <v>22134502</v>
      </c>
      <c r="B5784">
        <v>3039326</v>
      </c>
      <c r="C5784" t="s">
        <v>11146</v>
      </c>
      <c r="D5784" t="s">
        <v>441</v>
      </c>
      <c r="F5784">
        <v>0</v>
      </c>
      <c r="G5784">
        <v>7.36</v>
      </c>
      <c r="H5784" t="s">
        <v>8584</v>
      </c>
      <c r="I5784">
        <v>6</v>
      </c>
      <c r="J5784" t="s">
        <v>445</v>
      </c>
      <c r="M5784">
        <v>2502</v>
      </c>
      <c r="N5784" t="s">
        <v>16219</v>
      </c>
    </row>
    <row r="5785" spans="1:14">
      <c r="A5785">
        <v>22134602</v>
      </c>
      <c r="B5785">
        <v>3039555</v>
      </c>
      <c r="C5785" t="s">
        <v>11147</v>
      </c>
      <c r="D5785" t="s">
        <v>441</v>
      </c>
      <c r="F5785">
        <v>0</v>
      </c>
      <c r="G5785">
        <v>7.88</v>
      </c>
      <c r="H5785" t="s">
        <v>8588</v>
      </c>
      <c r="I5785">
        <v>5</v>
      </c>
      <c r="J5785" t="s">
        <v>445</v>
      </c>
      <c r="M5785">
        <v>2510</v>
      </c>
      <c r="N5785" t="s">
        <v>16219</v>
      </c>
    </row>
    <row r="5786" spans="1:14">
      <c r="A5786">
        <v>22134902</v>
      </c>
      <c r="B5786">
        <v>3039557</v>
      </c>
      <c r="C5786" t="s">
        <v>11148</v>
      </c>
      <c r="D5786" t="s">
        <v>441</v>
      </c>
      <c r="F5786">
        <v>0</v>
      </c>
      <c r="G5786">
        <v>8.42</v>
      </c>
      <c r="H5786" t="s">
        <v>8580</v>
      </c>
      <c r="I5786">
        <v>5</v>
      </c>
      <c r="J5786" t="s">
        <v>445</v>
      </c>
      <c r="M5786">
        <v>6666</v>
      </c>
      <c r="N5786" t="s">
        <v>16219</v>
      </c>
    </row>
    <row r="5787" spans="1:14">
      <c r="A5787">
        <v>22134907</v>
      </c>
      <c r="B5787">
        <v>3037768</v>
      </c>
      <c r="C5787" t="s">
        <v>11149</v>
      </c>
      <c r="D5787" t="s">
        <v>441</v>
      </c>
      <c r="F5787">
        <v>0</v>
      </c>
      <c r="G5787">
        <v>0</v>
      </c>
      <c r="H5787" t="s">
        <v>8580</v>
      </c>
      <c r="I5787">
        <v>6</v>
      </c>
      <c r="J5787" t="s">
        <v>445</v>
      </c>
      <c r="M5787">
        <v>6666</v>
      </c>
      <c r="N5787" t="s">
        <v>16219</v>
      </c>
    </row>
    <row r="5788" spans="1:14">
      <c r="A5788">
        <v>22137000</v>
      </c>
      <c r="B5788">
        <v>3032643</v>
      </c>
      <c r="C5788" t="s">
        <v>11150</v>
      </c>
      <c r="D5788" t="s">
        <v>441</v>
      </c>
      <c r="F5788">
        <v>0</v>
      </c>
      <c r="G5788">
        <v>7.3</v>
      </c>
      <c r="H5788" t="s">
        <v>8549</v>
      </c>
      <c r="I5788">
        <v>6</v>
      </c>
      <c r="J5788" t="s">
        <v>445</v>
      </c>
      <c r="M5788">
        <v>2391</v>
      </c>
      <c r="N5788" t="s">
        <v>16219</v>
      </c>
    </row>
    <row r="5789" spans="1:14">
      <c r="A5789">
        <v>22137002</v>
      </c>
      <c r="B5789">
        <v>3042962</v>
      </c>
      <c r="C5789" t="s">
        <v>11151</v>
      </c>
      <c r="D5789" t="s">
        <v>441</v>
      </c>
      <c r="F5789">
        <v>0</v>
      </c>
      <c r="G5789">
        <v>11.86</v>
      </c>
      <c r="H5789" t="s">
        <v>8549</v>
      </c>
      <c r="I5789">
        <v>365</v>
      </c>
      <c r="J5789" t="s">
        <v>445</v>
      </c>
      <c r="M5789">
        <v>7111</v>
      </c>
      <c r="N5789" t="s">
        <v>16219</v>
      </c>
    </row>
    <row r="5790" spans="1:14">
      <c r="A5790">
        <v>22137502</v>
      </c>
      <c r="B5790">
        <v>3042961</v>
      </c>
      <c r="C5790" t="s">
        <v>11152</v>
      </c>
      <c r="D5790" t="s">
        <v>441</v>
      </c>
      <c r="F5790">
        <v>0</v>
      </c>
      <c r="G5790">
        <v>11.44</v>
      </c>
      <c r="H5790" t="s">
        <v>8549</v>
      </c>
      <c r="I5790">
        <v>365</v>
      </c>
      <c r="J5790" t="s">
        <v>445</v>
      </c>
      <c r="M5790">
        <v>2502</v>
      </c>
      <c r="N5790" t="s">
        <v>16219</v>
      </c>
    </row>
    <row r="5791" spans="1:14">
      <c r="A5791">
        <v>22140000</v>
      </c>
      <c r="B5791">
        <v>3007921</v>
      </c>
      <c r="C5791" t="s">
        <v>11153</v>
      </c>
      <c r="D5791" t="s">
        <v>441</v>
      </c>
      <c r="F5791">
        <v>0</v>
      </c>
      <c r="G5791">
        <v>0</v>
      </c>
      <c r="H5791" t="s">
        <v>8588</v>
      </c>
      <c r="I5791">
        <v>6</v>
      </c>
      <c r="J5791" t="s">
        <v>445</v>
      </c>
      <c r="M5791">
        <v>2391</v>
      </c>
      <c r="N5791" t="s">
        <v>16220</v>
      </c>
    </row>
    <row r="5792" spans="1:14">
      <c r="A5792">
        <v>22140002</v>
      </c>
      <c r="B5792">
        <v>3007922</v>
      </c>
      <c r="C5792" t="s">
        <v>11154</v>
      </c>
      <c r="D5792" t="s">
        <v>441</v>
      </c>
      <c r="F5792">
        <v>0</v>
      </c>
      <c r="G5792">
        <v>7.15</v>
      </c>
      <c r="H5792" t="s">
        <v>8549</v>
      </c>
      <c r="I5792">
        <v>365</v>
      </c>
      <c r="J5792" t="s">
        <v>445</v>
      </c>
      <c r="M5792">
        <v>7111</v>
      </c>
      <c r="N5792" t="s">
        <v>16220</v>
      </c>
    </row>
    <row r="5793" spans="1:14">
      <c r="A5793">
        <v>22140007</v>
      </c>
      <c r="B5793">
        <v>3025003</v>
      </c>
      <c r="C5793" t="s">
        <v>11155</v>
      </c>
      <c r="D5793" t="s">
        <v>441</v>
      </c>
      <c r="F5793">
        <v>0</v>
      </c>
      <c r="G5793">
        <v>6.8</v>
      </c>
      <c r="H5793" t="s">
        <v>8588</v>
      </c>
      <c r="I5793">
        <v>6</v>
      </c>
      <c r="J5793" t="s">
        <v>445</v>
      </c>
      <c r="M5793">
        <v>3113</v>
      </c>
      <c r="N5793" t="s">
        <v>16220</v>
      </c>
    </row>
    <row r="5794" spans="1:14">
      <c r="A5794">
        <v>22140017</v>
      </c>
      <c r="B5794">
        <v>3032401</v>
      </c>
      <c r="C5794" t="s">
        <v>11156</v>
      </c>
      <c r="D5794" t="s">
        <v>441</v>
      </c>
      <c r="F5794">
        <v>0</v>
      </c>
      <c r="G5794">
        <v>10.53</v>
      </c>
      <c r="H5794" t="s">
        <v>8588</v>
      </c>
      <c r="I5794">
        <v>365</v>
      </c>
      <c r="J5794" t="s">
        <v>445</v>
      </c>
      <c r="M5794">
        <v>7111</v>
      </c>
      <c r="N5794" t="s">
        <v>16220</v>
      </c>
    </row>
    <row r="5795" spans="1:14">
      <c r="A5795">
        <v>22140100</v>
      </c>
      <c r="B5795">
        <v>3032178</v>
      </c>
      <c r="C5795" t="s">
        <v>2857</v>
      </c>
      <c r="D5795" t="s">
        <v>441</v>
      </c>
      <c r="F5795">
        <v>0</v>
      </c>
      <c r="H5795" t="s">
        <v>8588</v>
      </c>
      <c r="I5795">
        <v>12</v>
      </c>
      <c r="J5795" t="s">
        <v>445</v>
      </c>
      <c r="M5795">
        <v>0</v>
      </c>
      <c r="N5795" t="s">
        <v>16220</v>
      </c>
    </row>
    <row r="5796" spans="1:14">
      <c r="A5796">
        <v>22140102</v>
      </c>
      <c r="B5796">
        <v>3012634</v>
      </c>
      <c r="C5796" t="s">
        <v>2858</v>
      </c>
      <c r="D5796" t="s">
        <v>441</v>
      </c>
      <c r="F5796">
        <v>0</v>
      </c>
      <c r="H5796" t="s">
        <v>8588</v>
      </c>
      <c r="I5796">
        <v>365</v>
      </c>
      <c r="J5796" t="s">
        <v>445</v>
      </c>
      <c r="M5796">
        <v>7113</v>
      </c>
      <c r="N5796" t="s">
        <v>16220</v>
      </c>
    </row>
    <row r="5797" spans="1:14">
      <c r="A5797">
        <v>22140110</v>
      </c>
      <c r="B5797">
        <v>3031200</v>
      </c>
      <c r="C5797" t="s">
        <v>2859</v>
      </c>
      <c r="D5797" t="s">
        <v>441</v>
      </c>
      <c r="F5797">
        <v>0</v>
      </c>
      <c r="H5797" t="s">
        <v>8588</v>
      </c>
      <c r="I5797">
        <v>6</v>
      </c>
      <c r="J5797" t="s">
        <v>445</v>
      </c>
      <c r="M5797">
        <v>7161</v>
      </c>
      <c r="N5797" t="s">
        <v>16220</v>
      </c>
    </row>
    <row r="5798" spans="1:14">
      <c r="A5798">
        <v>22140502</v>
      </c>
      <c r="B5798">
        <v>3007923</v>
      </c>
      <c r="C5798" t="s">
        <v>11157</v>
      </c>
      <c r="D5798" t="s">
        <v>441</v>
      </c>
      <c r="F5798">
        <v>0</v>
      </c>
      <c r="G5798">
        <v>6.8</v>
      </c>
      <c r="H5798" t="s">
        <v>8584</v>
      </c>
      <c r="I5798">
        <v>365</v>
      </c>
      <c r="J5798" t="s">
        <v>445</v>
      </c>
      <c r="M5798">
        <v>2502</v>
      </c>
      <c r="N5798" t="s">
        <v>16220</v>
      </c>
    </row>
    <row r="5799" spans="1:14">
      <c r="A5799">
        <v>22140517</v>
      </c>
      <c r="B5799">
        <v>3032400</v>
      </c>
      <c r="C5799" t="s">
        <v>11158</v>
      </c>
      <c r="D5799" t="s">
        <v>441</v>
      </c>
      <c r="F5799">
        <v>0</v>
      </c>
      <c r="G5799">
        <v>10.11</v>
      </c>
      <c r="H5799" t="s">
        <v>8588</v>
      </c>
      <c r="I5799">
        <v>365</v>
      </c>
      <c r="J5799" t="s">
        <v>445</v>
      </c>
      <c r="M5799">
        <v>2502</v>
      </c>
      <c r="N5799" t="s">
        <v>16220</v>
      </c>
    </row>
    <row r="5800" spans="1:14">
      <c r="A5800">
        <v>22140602</v>
      </c>
      <c r="B5800">
        <v>3007924</v>
      </c>
      <c r="C5800" t="s">
        <v>11159</v>
      </c>
      <c r="D5800" t="s">
        <v>441</v>
      </c>
      <c r="F5800">
        <v>0</v>
      </c>
      <c r="G5800">
        <v>7.33</v>
      </c>
      <c r="H5800" t="s">
        <v>8580</v>
      </c>
      <c r="I5800">
        <v>4</v>
      </c>
      <c r="J5800" t="s">
        <v>445</v>
      </c>
      <c r="M5800">
        <v>2510</v>
      </c>
      <c r="N5800" t="s">
        <v>16220</v>
      </c>
    </row>
    <row r="5801" spans="1:14">
      <c r="A5801">
        <v>22140900</v>
      </c>
      <c r="B5801">
        <v>3020321</v>
      </c>
      <c r="C5801" t="s">
        <v>11160</v>
      </c>
      <c r="D5801" t="s">
        <v>441</v>
      </c>
      <c r="F5801">
        <v>0</v>
      </c>
      <c r="G5801">
        <v>0</v>
      </c>
      <c r="H5801" t="s">
        <v>8580</v>
      </c>
      <c r="I5801">
        <v>6</v>
      </c>
      <c r="J5801" t="s">
        <v>445</v>
      </c>
      <c r="M5801">
        <v>6666</v>
      </c>
      <c r="N5801" t="s">
        <v>16220</v>
      </c>
    </row>
    <row r="5802" spans="1:14">
      <c r="A5802">
        <v>22140902</v>
      </c>
      <c r="B5802">
        <v>3029775</v>
      </c>
      <c r="C5802" t="s">
        <v>11161</v>
      </c>
      <c r="D5802" t="s">
        <v>441</v>
      </c>
      <c r="F5802">
        <v>0</v>
      </c>
      <c r="I5802">
        <v>4</v>
      </c>
      <c r="J5802" t="s">
        <v>445</v>
      </c>
      <c r="M5802">
        <v>6666</v>
      </c>
      <c r="N5802" t="s">
        <v>16220</v>
      </c>
    </row>
    <row r="5803" spans="1:14">
      <c r="A5803">
        <v>22140907</v>
      </c>
      <c r="B5803">
        <v>3025263</v>
      </c>
      <c r="C5803" t="s">
        <v>11162</v>
      </c>
      <c r="D5803" t="s">
        <v>441</v>
      </c>
      <c r="F5803">
        <v>0</v>
      </c>
      <c r="G5803">
        <v>0</v>
      </c>
      <c r="H5803" t="s">
        <v>8580</v>
      </c>
      <c r="I5803">
        <v>6</v>
      </c>
      <c r="J5803" t="s">
        <v>445</v>
      </c>
      <c r="M5803">
        <v>6666</v>
      </c>
      <c r="N5803" t="s">
        <v>16220</v>
      </c>
    </row>
    <row r="5804" spans="1:14">
      <c r="A5804">
        <v>22143000</v>
      </c>
      <c r="B5804">
        <v>3007925</v>
      </c>
      <c r="C5804" t="s">
        <v>11163</v>
      </c>
      <c r="D5804" t="s">
        <v>441</v>
      </c>
      <c r="F5804">
        <v>0</v>
      </c>
      <c r="G5804">
        <v>9.8000000000000007</v>
      </c>
      <c r="I5804">
        <v>6</v>
      </c>
      <c r="J5804" t="s">
        <v>445</v>
      </c>
      <c r="M5804">
        <v>2390</v>
      </c>
      <c r="N5804" t="s">
        <v>16220</v>
      </c>
    </row>
    <row r="5805" spans="1:14">
      <c r="A5805">
        <v>22144000</v>
      </c>
      <c r="B5805">
        <v>3039120</v>
      </c>
      <c r="C5805" t="s">
        <v>11164</v>
      </c>
      <c r="D5805" t="s">
        <v>441</v>
      </c>
      <c r="F5805">
        <v>0</v>
      </c>
      <c r="G5805">
        <v>6.7</v>
      </c>
      <c r="H5805" t="s">
        <v>8549</v>
      </c>
      <c r="I5805">
        <v>6</v>
      </c>
      <c r="J5805" t="s">
        <v>445</v>
      </c>
      <c r="M5805">
        <v>2391</v>
      </c>
      <c r="N5805" t="s">
        <v>16220</v>
      </c>
    </row>
    <row r="5806" spans="1:14">
      <c r="A5806">
        <v>22144002</v>
      </c>
      <c r="B5806">
        <v>3039615</v>
      </c>
      <c r="C5806" t="s">
        <v>11165</v>
      </c>
      <c r="D5806" t="s">
        <v>441</v>
      </c>
      <c r="F5806">
        <v>0</v>
      </c>
      <c r="G5806">
        <v>7.25</v>
      </c>
      <c r="H5806" t="s">
        <v>8549</v>
      </c>
      <c r="I5806">
        <v>365</v>
      </c>
      <c r="J5806" t="s">
        <v>445</v>
      </c>
      <c r="M5806">
        <v>7111</v>
      </c>
      <c r="N5806" t="s">
        <v>16220</v>
      </c>
    </row>
    <row r="5807" spans="1:14">
      <c r="A5807">
        <v>22144007</v>
      </c>
      <c r="B5807">
        <v>3039614</v>
      </c>
      <c r="C5807" t="s">
        <v>11166</v>
      </c>
      <c r="D5807" t="s">
        <v>441</v>
      </c>
      <c r="F5807">
        <v>0</v>
      </c>
      <c r="G5807">
        <v>6.8</v>
      </c>
      <c r="H5807" t="s">
        <v>8588</v>
      </c>
      <c r="I5807">
        <v>6</v>
      </c>
      <c r="J5807" t="s">
        <v>445</v>
      </c>
      <c r="M5807">
        <v>3111</v>
      </c>
      <c r="N5807" t="s">
        <v>16220</v>
      </c>
    </row>
    <row r="5808" spans="1:14">
      <c r="A5808">
        <v>22144110</v>
      </c>
      <c r="B5808">
        <v>3039336</v>
      </c>
      <c r="C5808" t="s">
        <v>15585</v>
      </c>
      <c r="D5808" t="s">
        <v>441</v>
      </c>
      <c r="F5808">
        <v>0</v>
      </c>
      <c r="G5808">
        <v>14.64</v>
      </c>
      <c r="H5808" t="s">
        <v>8588</v>
      </c>
      <c r="I5808">
        <v>365</v>
      </c>
      <c r="J5808" t="s">
        <v>445</v>
      </c>
      <c r="M5808">
        <v>0</v>
      </c>
      <c r="N5808" t="s">
        <v>16220</v>
      </c>
    </row>
    <row r="5809" spans="1:14">
      <c r="A5809">
        <v>22144300</v>
      </c>
      <c r="B5809">
        <v>3043058</v>
      </c>
      <c r="C5809" t="s">
        <v>11167</v>
      </c>
      <c r="D5809" t="s">
        <v>441</v>
      </c>
      <c r="F5809">
        <v>0</v>
      </c>
      <c r="G5809">
        <v>9.8000000000000007</v>
      </c>
      <c r="H5809" t="s">
        <v>8549</v>
      </c>
      <c r="I5809">
        <v>6</v>
      </c>
      <c r="J5809" t="s">
        <v>445</v>
      </c>
      <c r="M5809">
        <v>2391</v>
      </c>
      <c r="N5809" t="s">
        <v>16220</v>
      </c>
    </row>
    <row r="5810" spans="1:14">
      <c r="A5810">
        <v>22144502</v>
      </c>
      <c r="B5810">
        <v>3039340</v>
      </c>
      <c r="C5810" t="s">
        <v>11168</v>
      </c>
      <c r="D5810" t="s">
        <v>441</v>
      </c>
      <c r="F5810">
        <v>0</v>
      </c>
      <c r="G5810">
        <v>6.9</v>
      </c>
      <c r="I5810">
        <v>6</v>
      </c>
      <c r="J5810" t="s">
        <v>445</v>
      </c>
      <c r="M5810">
        <v>2502</v>
      </c>
      <c r="N5810" t="s">
        <v>16220</v>
      </c>
    </row>
    <row r="5811" spans="1:14">
      <c r="A5811">
        <v>22144602</v>
      </c>
      <c r="B5811">
        <v>3041974</v>
      </c>
      <c r="C5811" t="s">
        <v>11169</v>
      </c>
      <c r="D5811" t="s">
        <v>441</v>
      </c>
      <c r="F5811">
        <v>0</v>
      </c>
      <c r="G5811">
        <v>7.46</v>
      </c>
      <c r="H5811" t="s">
        <v>8549</v>
      </c>
      <c r="I5811">
        <v>4</v>
      </c>
      <c r="J5811" t="s">
        <v>445</v>
      </c>
      <c r="M5811">
        <v>2510</v>
      </c>
      <c r="N5811" t="s">
        <v>16220</v>
      </c>
    </row>
    <row r="5812" spans="1:14">
      <c r="A5812">
        <v>22144902</v>
      </c>
      <c r="B5812">
        <v>3041975</v>
      </c>
      <c r="C5812" t="s">
        <v>11170</v>
      </c>
      <c r="D5812" t="s">
        <v>441</v>
      </c>
      <c r="F5812">
        <v>0</v>
      </c>
      <c r="G5812">
        <v>1</v>
      </c>
      <c r="H5812" t="s">
        <v>8549</v>
      </c>
      <c r="I5812">
        <v>4</v>
      </c>
      <c r="J5812" t="s">
        <v>445</v>
      </c>
      <c r="M5812">
        <v>6666</v>
      </c>
      <c r="N5812" t="s">
        <v>16220</v>
      </c>
    </row>
    <row r="5813" spans="1:14">
      <c r="A5813">
        <v>22144907</v>
      </c>
      <c r="B5813">
        <v>3039748</v>
      </c>
      <c r="C5813" t="s">
        <v>11171</v>
      </c>
      <c r="D5813" t="s">
        <v>441</v>
      </c>
      <c r="F5813">
        <v>0</v>
      </c>
      <c r="H5813" t="s">
        <v>8935</v>
      </c>
      <c r="I5813">
        <v>6</v>
      </c>
      <c r="J5813" t="s">
        <v>445</v>
      </c>
      <c r="M5813">
        <v>6666</v>
      </c>
      <c r="N5813" t="s">
        <v>16220</v>
      </c>
    </row>
    <row r="5814" spans="1:14">
      <c r="A5814">
        <v>22147000</v>
      </c>
      <c r="B5814">
        <v>3032411</v>
      </c>
      <c r="C5814" t="s">
        <v>11172</v>
      </c>
      <c r="D5814" t="s">
        <v>441</v>
      </c>
      <c r="F5814">
        <v>0</v>
      </c>
      <c r="G5814">
        <v>6.8</v>
      </c>
      <c r="H5814" t="s">
        <v>8588</v>
      </c>
      <c r="I5814">
        <v>6</v>
      </c>
      <c r="J5814" t="s">
        <v>445</v>
      </c>
      <c r="M5814">
        <v>2391</v>
      </c>
      <c r="N5814" t="s">
        <v>16220</v>
      </c>
    </row>
    <row r="5815" spans="1:14">
      <c r="A5815">
        <v>22147007</v>
      </c>
      <c r="B5815">
        <v>3032415</v>
      </c>
      <c r="C5815" t="s">
        <v>11173</v>
      </c>
      <c r="D5815" t="s">
        <v>441</v>
      </c>
      <c r="F5815">
        <v>0</v>
      </c>
      <c r="G5815">
        <v>9.93</v>
      </c>
      <c r="H5815" t="s">
        <v>8588</v>
      </c>
      <c r="I5815">
        <v>6</v>
      </c>
      <c r="J5815" t="s">
        <v>445</v>
      </c>
      <c r="M5815">
        <v>2391</v>
      </c>
      <c r="N5815" t="s">
        <v>16220</v>
      </c>
    </row>
    <row r="5816" spans="1:14">
      <c r="A5816">
        <v>22150000</v>
      </c>
      <c r="B5816">
        <v>3007926</v>
      </c>
      <c r="C5816" t="s">
        <v>2860</v>
      </c>
      <c r="D5816" t="s">
        <v>441</v>
      </c>
      <c r="F5816">
        <v>0</v>
      </c>
      <c r="G5816">
        <v>3.4</v>
      </c>
      <c r="H5816" t="s">
        <v>8637</v>
      </c>
      <c r="I5816">
        <v>5</v>
      </c>
      <c r="J5816" t="s">
        <v>445</v>
      </c>
      <c r="M5816">
        <v>2143</v>
      </c>
      <c r="N5816" t="s">
        <v>16229</v>
      </c>
    </row>
    <row r="5817" spans="1:14">
      <c r="A5817">
        <v>22150002</v>
      </c>
      <c r="B5817">
        <v>3007927</v>
      </c>
      <c r="C5817" t="s">
        <v>11174</v>
      </c>
      <c r="D5817" t="s">
        <v>441</v>
      </c>
      <c r="F5817">
        <v>0</v>
      </c>
      <c r="G5817">
        <v>5.57</v>
      </c>
      <c r="I5817">
        <v>365</v>
      </c>
      <c r="J5817" t="s">
        <v>445</v>
      </c>
      <c r="K5817" t="s">
        <v>446</v>
      </c>
      <c r="M5817">
        <v>2501</v>
      </c>
    </row>
    <row r="5818" spans="1:14">
      <c r="A5818">
        <v>22150019</v>
      </c>
      <c r="B5818">
        <v>3000190</v>
      </c>
      <c r="C5818" t="s">
        <v>11175</v>
      </c>
      <c r="D5818" t="s">
        <v>441</v>
      </c>
      <c r="F5818">
        <v>0</v>
      </c>
      <c r="H5818" t="s">
        <v>8588</v>
      </c>
      <c r="I5818">
        <v>365</v>
      </c>
      <c r="J5818" t="s">
        <v>445</v>
      </c>
      <c r="K5818" t="s">
        <v>446</v>
      </c>
      <c r="M5818">
        <v>2501</v>
      </c>
    </row>
    <row r="5819" spans="1:14">
      <c r="A5819">
        <v>22150502</v>
      </c>
      <c r="B5819">
        <v>3007928</v>
      </c>
      <c r="C5819" t="s">
        <v>11176</v>
      </c>
      <c r="D5819" t="s">
        <v>441</v>
      </c>
      <c r="F5819">
        <v>0</v>
      </c>
      <c r="G5819">
        <v>5.34</v>
      </c>
      <c r="H5819" t="s">
        <v>8637</v>
      </c>
      <c r="I5819">
        <v>6</v>
      </c>
      <c r="J5819" t="s">
        <v>445</v>
      </c>
      <c r="K5819" t="s">
        <v>446</v>
      </c>
      <c r="M5819">
        <v>2141</v>
      </c>
    </row>
    <row r="5820" spans="1:14">
      <c r="A5820">
        <v>22150519</v>
      </c>
      <c r="B5820">
        <v>3007929</v>
      </c>
      <c r="C5820" t="s">
        <v>11177</v>
      </c>
      <c r="D5820" t="s">
        <v>441</v>
      </c>
      <c r="F5820">
        <v>0</v>
      </c>
      <c r="G5820">
        <v>4.41</v>
      </c>
      <c r="H5820" t="s">
        <v>8584</v>
      </c>
      <c r="I5820">
        <v>6</v>
      </c>
      <c r="J5820" t="s">
        <v>445</v>
      </c>
      <c r="K5820" t="s">
        <v>446</v>
      </c>
      <c r="M5820">
        <v>2641</v>
      </c>
    </row>
    <row r="5821" spans="1:14">
      <c r="A5821">
        <v>22150602</v>
      </c>
      <c r="B5821">
        <v>3018120</v>
      </c>
      <c r="C5821" t="s">
        <v>2861</v>
      </c>
      <c r="D5821" t="s">
        <v>441</v>
      </c>
      <c r="F5821">
        <v>0</v>
      </c>
      <c r="G5821">
        <v>5.83</v>
      </c>
      <c r="H5821" t="s">
        <v>8588</v>
      </c>
      <c r="I5821">
        <v>4</v>
      </c>
      <c r="J5821" t="s">
        <v>445</v>
      </c>
      <c r="K5821" t="s">
        <v>446</v>
      </c>
      <c r="M5821">
        <v>2511</v>
      </c>
    </row>
    <row r="5822" spans="1:14">
      <c r="A5822">
        <v>22150619</v>
      </c>
      <c r="B5822">
        <v>3007931</v>
      </c>
      <c r="C5822" t="s">
        <v>11178</v>
      </c>
      <c r="D5822" t="s">
        <v>441</v>
      </c>
      <c r="F5822">
        <v>0</v>
      </c>
      <c r="G5822">
        <v>4.93</v>
      </c>
      <c r="H5822" t="s">
        <v>8580</v>
      </c>
      <c r="I5822">
        <v>4</v>
      </c>
      <c r="J5822" t="s">
        <v>445</v>
      </c>
      <c r="K5822" t="s">
        <v>446</v>
      </c>
      <c r="M5822">
        <v>2511</v>
      </c>
    </row>
    <row r="5823" spans="1:14">
      <c r="A5823">
        <v>22150902</v>
      </c>
      <c r="B5823">
        <v>3020462</v>
      </c>
      <c r="C5823" t="s">
        <v>2862</v>
      </c>
      <c r="D5823" t="s">
        <v>441</v>
      </c>
      <c r="F5823">
        <v>0</v>
      </c>
      <c r="H5823" t="s">
        <v>8637</v>
      </c>
      <c r="I5823">
        <v>4</v>
      </c>
      <c r="J5823" t="s">
        <v>445</v>
      </c>
      <c r="K5823" t="s">
        <v>446</v>
      </c>
      <c r="M5823">
        <v>6666</v>
      </c>
    </row>
    <row r="5824" spans="1:14">
      <c r="A5824">
        <v>22154000</v>
      </c>
      <c r="B5824">
        <v>3007932</v>
      </c>
      <c r="C5824" t="s">
        <v>11179</v>
      </c>
      <c r="D5824" t="s">
        <v>441</v>
      </c>
      <c r="F5824">
        <v>0</v>
      </c>
      <c r="G5824">
        <v>4.62</v>
      </c>
      <c r="H5824" t="s">
        <v>8580</v>
      </c>
      <c r="I5824">
        <v>6</v>
      </c>
      <c r="J5824" t="s">
        <v>445</v>
      </c>
      <c r="K5824" t="s">
        <v>446</v>
      </c>
      <c r="M5824">
        <v>0</v>
      </c>
    </row>
    <row r="5825" spans="1:14">
      <c r="A5825">
        <v>22164000</v>
      </c>
      <c r="B5825">
        <v>3042468</v>
      </c>
      <c r="C5825" t="s">
        <v>14420</v>
      </c>
      <c r="D5825" t="s">
        <v>441</v>
      </c>
      <c r="F5825">
        <v>0</v>
      </c>
      <c r="G5825">
        <v>12.3</v>
      </c>
      <c r="H5825" t="s">
        <v>8549</v>
      </c>
      <c r="I5825">
        <v>6</v>
      </c>
      <c r="J5825" t="s">
        <v>445</v>
      </c>
      <c r="M5825">
        <v>2391</v>
      </c>
      <c r="N5825" t="s">
        <v>16219</v>
      </c>
    </row>
    <row r="5826" spans="1:14">
      <c r="A5826">
        <v>22164087</v>
      </c>
      <c r="B5826">
        <v>3042490</v>
      </c>
      <c r="C5826" t="s">
        <v>11180</v>
      </c>
      <c r="D5826" t="s">
        <v>441</v>
      </c>
      <c r="F5826">
        <v>0</v>
      </c>
      <c r="G5826">
        <v>11.41</v>
      </c>
      <c r="H5826" t="s">
        <v>8588</v>
      </c>
      <c r="I5826">
        <v>6</v>
      </c>
      <c r="J5826" t="s">
        <v>445</v>
      </c>
      <c r="M5826">
        <v>7112</v>
      </c>
      <c r="N5826" t="s">
        <v>16219</v>
      </c>
    </row>
    <row r="5827" spans="1:14">
      <c r="A5827">
        <v>22170000</v>
      </c>
      <c r="B5827">
        <v>3007933</v>
      </c>
      <c r="C5827" t="s">
        <v>11181</v>
      </c>
      <c r="D5827" t="s">
        <v>441</v>
      </c>
      <c r="F5827">
        <v>0</v>
      </c>
      <c r="G5827">
        <v>9.1300000000000008</v>
      </c>
      <c r="H5827" t="s">
        <v>8580</v>
      </c>
      <c r="I5827">
        <v>6</v>
      </c>
      <c r="J5827" t="s">
        <v>445</v>
      </c>
      <c r="K5827" t="s">
        <v>446</v>
      </c>
      <c r="M5827">
        <v>0</v>
      </c>
    </row>
    <row r="5828" spans="1:14">
      <c r="A5828">
        <v>22170002</v>
      </c>
      <c r="B5828">
        <v>3007934</v>
      </c>
      <c r="C5828" t="s">
        <v>11182</v>
      </c>
      <c r="D5828" t="s">
        <v>441</v>
      </c>
      <c r="F5828">
        <v>0</v>
      </c>
      <c r="G5828">
        <v>11.23</v>
      </c>
      <c r="H5828" t="s">
        <v>8580</v>
      </c>
      <c r="I5828">
        <v>365</v>
      </c>
      <c r="J5828" t="s">
        <v>445</v>
      </c>
      <c r="K5828" t="s">
        <v>446</v>
      </c>
      <c r="M5828">
        <v>2501</v>
      </c>
    </row>
    <row r="5829" spans="1:14">
      <c r="A5829">
        <v>22170018</v>
      </c>
      <c r="B5829">
        <v>3012592</v>
      </c>
      <c r="C5829" t="s">
        <v>11183</v>
      </c>
      <c r="D5829" t="s">
        <v>441</v>
      </c>
      <c r="F5829">
        <v>0</v>
      </c>
      <c r="G5829">
        <v>10.02</v>
      </c>
      <c r="H5829" t="s">
        <v>8588</v>
      </c>
      <c r="I5829">
        <v>365</v>
      </c>
      <c r="J5829" t="s">
        <v>445</v>
      </c>
      <c r="K5829" t="s">
        <v>446</v>
      </c>
      <c r="M5829">
        <v>2501</v>
      </c>
    </row>
    <row r="5830" spans="1:14">
      <c r="A5830">
        <v>22170019</v>
      </c>
      <c r="B5830">
        <v>3002590</v>
      </c>
      <c r="C5830" t="s">
        <v>11184</v>
      </c>
      <c r="D5830" t="s">
        <v>441</v>
      </c>
      <c r="F5830">
        <v>0</v>
      </c>
      <c r="G5830">
        <v>11.6</v>
      </c>
      <c r="H5830" t="s">
        <v>8588</v>
      </c>
      <c r="I5830">
        <v>365</v>
      </c>
      <c r="J5830" t="s">
        <v>445</v>
      </c>
      <c r="K5830" t="s">
        <v>446</v>
      </c>
      <c r="M5830">
        <v>2501</v>
      </c>
    </row>
    <row r="5831" spans="1:14">
      <c r="A5831">
        <v>22170050</v>
      </c>
      <c r="B5831">
        <v>4010571</v>
      </c>
      <c r="C5831" t="s">
        <v>2863</v>
      </c>
      <c r="D5831" t="s">
        <v>441</v>
      </c>
      <c r="F5831">
        <v>0</v>
      </c>
      <c r="G5831">
        <v>10.29</v>
      </c>
      <c r="H5831" t="s">
        <v>8588</v>
      </c>
      <c r="I5831">
        <v>16</v>
      </c>
      <c r="J5831" t="s">
        <v>462</v>
      </c>
      <c r="K5831" t="s">
        <v>446</v>
      </c>
      <c r="M5831">
        <v>2612</v>
      </c>
      <c r="N5831" t="s">
        <v>16012</v>
      </c>
    </row>
    <row r="5832" spans="1:14">
      <c r="A5832">
        <v>22170051</v>
      </c>
      <c r="B5832">
        <v>4012942</v>
      </c>
      <c r="C5832" t="s">
        <v>2864</v>
      </c>
      <c r="D5832" t="s">
        <v>441</v>
      </c>
      <c r="F5832">
        <v>0</v>
      </c>
      <c r="G5832">
        <v>10.65</v>
      </c>
      <c r="H5832" t="s">
        <v>8588</v>
      </c>
      <c r="I5832">
        <v>365</v>
      </c>
      <c r="J5832" t="s">
        <v>462</v>
      </c>
      <c r="K5832" t="s">
        <v>446</v>
      </c>
      <c r="M5832">
        <v>2501</v>
      </c>
      <c r="N5832" t="s">
        <v>16012</v>
      </c>
    </row>
    <row r="5833" spans="1:14">
      <c r="A5833">
        <v>22170075</v>
      </c>
      <c r="B5833">
        <v>4009014</v>
      </c>
      <c r="C5833" t="s">
        <v>11185</v>
      </c>
      <c r="D5833" t="s">
        <v>441</v>
      </c>
      <c r="F5833">
        <v>0</v>
      </c>
      <c r="G5833">
        <v>9.75</v>
      </c>
      <c r="H5833" t="s">
        <v>8588</v>
      </c>
      <c r="I5833">
        <v>6</v>
      </c>
      <c r="J5833" t="s">
        <v>462</v>
      </c>
      <c r="K5833" t="s">
        <v>446</v>
      </c>
      <c r="M5833">
        <v>2641</v>
      </c>
    </row>
    <row r="5834" spans="1:14">
      <c r="A5834">
        <v>22170076</v>
      </c>
      <c r="B5834">
        <v>3009781</v>
      </c>
      <c r="C5834" t="s">
        <v>11186</v>
      </c>
      <c r="D5834" t="s">
        <v>441</v>
      </c>
      <c r="F5834">
        <v>0</v>
      </c>
      <c r="G5834">
        <v>9.75</v>
      </c>
      <c r="H5834" t="s">
        <v>8588</v>
      </c>
      <c r="I5834">
        <v>6</v>
      </c>
      <c r="J5834" t="s">
        <v>445</v>
      </c>
      <c r="K5834" t="s">
        <v>446</v>
      </c>
      <c r="M5834">
        <v>2641</v>
      </c>
    </row>
    <row r="5835" spans="1:14">
      <c r="A5835">
        <v>22170502</v>
      </c>
      <c r="B5835">
        <v>3007935</v>
      </c>
      <c r="C5835" t="s">
        <v>11187</v>
      </c>
      <c r="D5835" t="s">
        <v>441</v>
      </c>
      <c r="F5835">
        <v>0</v>
      </c>
      <c r="G5835">
        <v>10.96</v>
      </c>
      <c r="H5835" t="s">
        <v>8580</v>
      </c>
      <c r="I5835">
        <v>6</v>
      </c>
      <c r="J5835" t="s">
        <v>445</v>
      </c>
      <c r="K5835" t="s">
        <v>446</v>
      </c>
      <c r="M5835">
        <v>2641</v>
      </c>
    </row>
    <row r="5836" spans="1:14">
      <c r="A5836">
        <v>22170518</v>
      </c>
      <c r="B5836">
        <v>3013582</v>
      </c>
      <c r="C5836" t="s">
        <v>11188</v>
      </c>
      <c r="D5836" t="s">
        <v>441</v>
      </c>
      <c r="F5836">
        <v>0</v>
      </c>
      <c r="G5836">
        <v>9.7799999999999994</v>
      </c>
      <c r="H5836" t="s">
        <v>8584</v>
      </c>
      <c r="I5836">
        <v>365</v>
      </c>
      <c r="J5836" t="s">
        <v>445</v>
      </c>
      <c r="K5836" t="s">
        <v>446</v>
      </c>
      <c r="M5836">
        <v>2641</v>
      </c>
    </row>
    <row r="5837" spans="1:14">
      <c r="A5837">
        <v>22170519</v>
      </c>
      <c r="B5837">
        <v>3007936</v>
      </c>
      <c r="C5837" t="s">
        <v>11189</v>
      </c>
      <c r="D5837" t="s">
        <v>441</v>
      </c>
      <c r="F5837">
        <v>0</v>
      </c>
      <c r="G5837">
        <v>9.2899999999999991</v>
      </c>
      <c r="H5837" t="s">
        <v>8580</v>
      </c>
      <c r="I5837">
        <v>6</v>
      </c>
      <c r="J5837" t="s">
        <v>445</v>
      </c>
      <c r="K5837" t="s">
        <v>446</v>
      </c>
      <c r="M5837">
        <v>2641</v>
      </c>
    </row>
    <row r="5838" spans="1:14">
      <c r="A5838">
        <v>22170551</v>
      </c>
      <c r="B5838">
        <v>3018636</v>
      </c>
      <c r="C5838" t="s">
        <v>2865</v>
      </c>
      <c r="D5838" t="s">
        <v>441</v>
      </c>
      <c r="F5838">
        <v>0</v>
      </c>
      <c r="G5838">
        <v>10.43</v>
      </c>
      <c r="H5838" t="s">
        <v>8580</v>
      </c>
      <c r="I5838">
        <v>365</v>
      </c>
      <c r="J5838" t="s">
        <v>445</v>
      </c>
      <c r="K5838" t="s">
        <v>446</v>
      </c>
      <c r="M5838">
        <v>2612</v>
      </c>
      <c r="N5838" t="s">
        <v>16012</v>
      </c>
    </row>
    <row r="5839" spans="1:14">
      <c r="A5839">
        <v>22170602</v>
      </c>
      <c r="B5839">
        <v>3007937</v>
      </c>
      <c r="C5839" t="s">
        <v>11190</v>
      </c>
      <c r="D5839" t="s">
        <v>441</v>
      </c>
      <c r="F5839">
        <v>0</v>
      </c>
      <c r="G5839">
        <v>11.45</v>
      </c>
      <c r="H5839" t="s">
        <v>8580</v>
      </c>
      <c r="I5839">
        <v>4</v>
      </c>
      <c r="J5839" t="s">
        <v>445</v>
      </c>
      <c r="K5839" t="s">
        <v>446</v>
      </c>
      <c r="M5839">
        <v>2511</v>
      </c>
    </row>
    <row r="5840" spans="1:14">
      <c r="A5840">
        <v>22170618</v>
      </c>
      <c r="B5840">
        <v>3013581</v>
      </c>
      <c r="C5840" t="s">
        <v>11191</v>
      </c>
      <c r="D5840" t="s">
        <v>441</v>
      </c>
      <c r="F5840">
        <v>0</v>
      </c>
      <c r="G5840">
        <v>10.23</v>
      </c>
      <c r="H5840" t="s">
        <v>8584</v>
      </c>
      <c r="I5840">
        <v>4</v>
      </c>
      <c r="J5840" t="s">
        <v>445</v>
      </c>
      <c r="K5840" t="s">
        <v>446</v>
      </c>
      <c r="M5840">
        <v>2511</v>
      </c>
    </row>
    <row r="5841" spans="1:14">
      <c r="A5841">
        <v>22170619</v>
      </c>
      <c r="B5841">
        <v>3007938</v>
      </c>
      <c r="C5841" t="s">
        <v>11192</v>
      </c>
      <c r="D5841" t="s">
        <v>441</v>
      </c>
      <c r="F5841">
        <v>0</v>
      </c>
      <c r="G5841">
        <v>12.1</v>
      </c>
      <c r="H5841" t="s">
        <v>8580</v>
      </c>
      <c r="I5841">
        <v>4</v>
      </c>
      <c r="J5841" t="s">
        <v>445</v>
      </c>
      <c r="K5841" t="s">
        <v>446</v>
      </c>
      <c r="M5841">
        <v>2511</v>
      </c>
    </row>
    <row r="5842" spans="1:14">
      <c r="A5842">
        <v>22171050</v>
      </c>
      <c r="B5842">
        <v>4012059</v>
      </c>
      <c r="C5842" t="s">
        <v>2866</v>
      </c>
      <c r="D5842" t="s">
        <v>441</v>
      </c>
      <c r="F5842">
        <v>0</v>
      </c>
      <c r="G5842">
        <v>11.42</v>
      </c>
      <c r="H5842" t="s">
        <v>8588</v>
      </c>
      <c r="I5842">
        <v>16</v>
      </c>
      <c r="J5842" t="s">
        <v>462</v>
      </c>
      <c r="K5842" t="s">
        <v>446</v>
      </c>
      <c r="M5842">
        <v>2612</v>
      </c>
    </row>
    <row r="5843" spans="1:14">
      <c r="A5843">
        <v>22171051</v>
      </c>
      <c r="B5843">
        <v>4012943</v>
      </c>
      <c r="C5843" t="s">
        <v>2867</v>
      </c>
      <c r="D5843" t="s">
        <v>441</v>
      </c>
      <c r="F5843">
        <v>0</v>
      </c>
      <c r="G5843">
        <v>10.65</v>
      </c>
      <c r="H5843" t="s">
        <v>8588</v>
      </c>
      <c r="I5843">
        <v>365</v>
      </c>
      <c r="J5843" t="s">
        <v>462</v>
      </c>
      <c r="K5843" t="s">
        <v>446</v>
      </c>
      <c r="M5843">
        <v>2501</v>
      </c>
      <c r="N5843" t="s">
        <v>16012</v>
      </c>
    </row>
    <row r="5844" spans="1:14">
      <c r="A5844">
        <v>22171551</v>
      </c>
      <c r="B5844">
        <v>3018638</v>
      </c>
      <c r="C5844" t="s">
        <v>2868</v>
      </c>
      <c r="D5844" t="s">
        <v>441</v>
      </c>
      <c r="F5844">
        <v>0</v>
      </c>
      <c r="G5844">
        <v>10.43</v>
      </c>
      <c r="H5844" t="s">
        <v>8580</v>
      </c>
      <c r="I5844">
        <v>365</v>
      </c>
      <c r="J5844" t="s">
        <v>445</v>
      </c>
      <c r="K5844" t="s">
        <v>446</v>
      </c>
      <c r="M5844">
        <v>2612</v>
      </c>
      <c r="N5844" t="s">
        <v>16012</v>
      </c>
    </row>
    <row r="5845" spans="1:14">
      <c r="A5845">
        <v>22173000</v>
      </c>
      <c r="B5845">
        <v>3007939</v>
      </c>
      <c r="C5845" t="s">
        <v>11193</v>
      </c>
      <c r="D5845" t="s">
        <v>441</v>
      </c>
      <c r="F5845">
        <v>0</v>
      </c>
      <c r="G5845">
        <v>9.1300000000000008</v>
      </c>
      <c r="H5845" t="s">
        <v>8580</v>
      </c>
      <c r="I5845">
        <v>6</v>
      </c>
      <c r="J5845" t="s">
        <v>445</v>
      </c>
      <c r="K5845" t="s">
        <v>446</v>
      </c>
      <c r="M5845">
        <v>2390</v>
      </c>
    </row>
    <row r="5846" spans="1:14">
      <c r="A5846">
        <v>22180000</v>
      </c>
      <c r="B5846">
        <v>3016010</v>
      </c>
      <c r="C5846" t="s">
        <v>14421</v>
      </c>
      <c r="D5846" t="s">
        <v>441</v>
      </c>
      <c r="F5846">
        <v>0</v>
      </c>
      <c r="G5846">
        <v>6.3</v>
      </c>
      <c r="H5846" t="s">
        <v>8584</v>
      </c>
      <c r="I5846">
        <v>6</v>
      </c>
      <c r="J5846" t="s">
        <v>445</v>
      </c>
      <c r="M5846">
        <v>2391</v>
      </c>
      <c r="N5846" t="s">
        <v>16227</v>
      </c>
    </row>
    <row r="5847" spans="1:14">
      <c r="A5847">
        <v>22180900</v>
      </c>
      <c r="B5847">
        <v>3024666</v>
      </c>
      <c r="C5847" t="s">
        <v>14422</v>
      </c>
      <c r="D5847" t="s">
        <v>441</v>
      </c>
      <c r="F5847">
        <v>0</v>
      </c>
      <c r="I5847">
        <v>6</v>
      </c>
      <c r="J5847" t="s">
        <v>445</v>
      </c>
      <c r="M5847">
        <v>6666</v>
      </c>
      <c r="N5847" t="s">
        <v>16227</v>
      </c>
    </row>
    <row r="5848" spans="1:14">
      <c r="A5848">
        <v>22190000</v>
      </c>
      <c r="B5848">
        <v>3008822</v>
      </c>
      <c r="C5848" t="s">
        <v>11194</v>
      </c>
      <c r="D5848" t="s">
        <v>441</v>
      </c>
      <c r="F5848">
        <v>0</v>
      </c>
      <c r="G5848">
        <v>4.8</v>
      </c>
      <c r="H5848" t="s">
        <v>8580</v>
      </c>
      <c r="I5848">
        <v>6</v>
      </c>
      <c r="J5848" t="s">
        <v>445</v>
      </c>
      <c r="K5848" t="s">
        <v>446</v>
      </c>
      <c r="M5848">
        <v>0</v>
      </c>
    </row>
    <row r="5849" spans="1:14">
      <c r="A5849">
        <v>22190002</v>
      </c>
      <c r="B5849">
        <v>3007940</v>
      </c>
      <c r="C5849" t="s">
        <v>11195</v>
      </c>
      <c r="D5849" t="s">
        <v>441</v>
      </c>
      <c r="F5849">
        <v>0</v>
      </c>
      <c r="G5849">
        <v>5.33</v>
      </c>
      <c r="H5849" t="s">
        <v>8584</v>
      </c>
      <c r="I5849">
        <v>365</v>
      </c>
      <c r="J5849" t="s">
        <v>445</v>
      </c>
      <c r="K5849" t="s">
        <v>446</v>
      </c>
      <c r="M5849">
        <v>2501</v>
      </c>
    </row>
    <row r="5850" spans="1:14">
      <c r="A5850">
        <v>22190088</v>
      </c>
      <c r="B5850">
        <v>1100150</v>
      </c>
      <c r="C5850" t="s">
        <v>2869</v>
      </c>
      <c r="D5850" t="s">
        <v>441</v>
      </c>
      <c r="F5850">
        <v>0</v>
      </c>
      <c r="G5850">
        <v>0.01</v>
      </c>
      <c r="H5850" t="s">
        <v>8933</v>
      </c>
      <c r="I5850">
        <v>5</v>
      </c>
      <c r="J5850" t="s">
        <v>511</v>
      </c>
      <c r="M5850">
        <v>0</v>
      </c>
      <c r="N5850" t="s">
        <v>15981</v>
      </c>
    </row>
    <row r="5851" spans="1:14">
      <c r="A5851">
        <v>22190502</v>
      </c>
      <c r="B5851">
        <v>3007941</v>
      </c>
      <c r="C5851" t="s">
        <v>11196</v>
      </c>
      <c r="D5851" t="s">
        <v>441</v>
      </c>
      <c r="F5851">
        <v>0</v>
      </c>
      <c r="G5851">
        <v>5.08</v>
      </c>
      <c r="H5851" t="s">
        <v>8584</v>
      </c>
      <c r="I5851">
        <v>6</v>
      </c>
      <c r="J5851" t="s">
        <v>445</v>
      </c>
      <c r="K5851" t="s">
        <v>446</v>
      </c>
      <c r="M5851">
        <v>2641</v>
      </c>
    </row>
    <row r="5852" spans="1:14">
      <c r="A5852">
        <v>22190602</v>
      </c>
      <c r="B5852">
        <v>3007942</v>
      </c>
      <c r="C5852" t="s">
        <v>2870</v>
      </c>
      <c r="D5852" t="s">
        <v>441</v>
      </c>
      <c r="F5852">
        <v>0</v>
      </c>
      <c r="G5852">
        <v>3.83</v>
      </c>
      <c r="H5852" t="s">
        <v>8584</v>
      </c>
      <c r="I5852">
        <v>4</v>
      </c>
      <c r="J5852" t="s">
        <v>445</v>
      </c>
      <c r="K5852" t="s">
        <v>446</v>
      </c>
      <c r="M5852">
        <v>2511</v>
      </c>
    </row>
    <row r="5853" spans="1:14">
      <c r="A5853">
        <v>22200000</v>
      </c>
      <c r="B5853">
        <v>3045106</v>
      </c>
      <c r="C5853" t="s">
        <v>11197</v>
      </c>
      <c r="D5853" t="s">
        <v>441</v>
      </c>
      <c r="F5853">
        <v>0</v>
      </c>
      <c r="G5853">
        <v>8.1999999999999993</v>
      </c>
      <c r="H5853" t="s">
        <v>8588</v>
      </c>
      <c r="I5853">
        <v>6</v>
      </c>
      <c r="J5853" t="s">
        <v>445</v>
      </c>
      <c r="M5853">
        <v>2391</v>
      </c>
      <c r="N5853" t="s">
        <v>16230</v>
      </c>
    </row>
    <row r="5854" spans="1:14">
      <c r="A5854">
        <v>22200002</v>
      </c>
      <c r="B5854">
        <v>3007944</v>
      </c>
      <c r="C5854" t="s">
        <v>11198</v>
      </c>
      <c r="D5854" t="s">
        <v>441</v>
      </c>
      <c r="F5854">
        <v>0</v>
      </c>
      <c r="G5854">
        <v>3.27</v>
      </c>
      <c r="H5854" t="s">
        <v>8588</v>
      </c>
      <c r="I5854">
        <v>365</v>
      </c>
      <c r="J5854" t="s">
        <v>445</v>
      </c>
      <c r="M5854">
        <v>7111</v>
      </c>
      <c r="N5854" t="s">
        <v>16230</v>
      </c>
    </row>
    <row r="5855" spans="1:14">
      <c r="A5855">
        <v>22200007</v>
      </c>
      <c r="B5855">
        <v>3025004</v>
      </c>
      <c r="C5855" t="s">
        <v>14423</v>
      </c>
      <c r="D5855" t="s">
        <v>441</v>
      </c>
      <c r="F5855">
        <v>0</v>
      </c>
      <c r="G5855">
        <v>5.92</v>
      </c>
      <c r="H5855" t="s">
        <v>8935</v>
      </c>
      <c r="I5855">
        <v>6</v>
      </c>
      <c r="J5855" t="s">
        <v>445</v>
      </c>
      <c r="M5855">
        <v>3111</v>
      </c>
      <c r="N5855" t="s">
        <v>16230</v>
      </c>
    </row>
    <row r="5856" spans="1:14">
      <c r="A5856">
        <v>22200018</v>
      </c>
      <c r="B5856">
        <v>3040231</v>
      </c>
      <c r="C5856" t="s">
        <v>11199</v>
      </c>
      <c r="D5856" t="s">
        <v>441</v>
      </c>
      <c r="F5856">
        <v>0</v>
      </c>
      <c r="G5856">
        <v>3.18</v>
      </c>
      <c r="H5856" t="s">
        <v>8588</v>
      </c>
      <c r="I5856">
        <v>365</v>
      </c>
      <c r="J5856" t="s">
        <v>445</v>
      </c>
      <c r="M5856">
        <v>7111</v>
      </c>
      <c r="N5856" t="s">
        <v>16230</v>
      </c>
    </row>
    <row r="5857" spans="1:14">
      <c r="A5857">
        <v>22200019</v>
      </c>
      <c r="B5857">
        <v>3002620</v>
      </c>
      <c r="C5857" t="s">
        <v>11200</v>
      </c>
      <c r="D5857" t="s">
        <v>441</v>
      </c>
      <c r="F5857">
        <v>0</v>
      </c>
      <c r="G5857">
        <v>5.61</v>
      </c>
      <c r="H5857" t="s">
        <v>8588</v>
      </c>
      <c r="I5857">
        <v>365</v>
      </c>
      <c r="J5857" t="s">
        <v>445</v>
      </c>
      <c r="K5857" t="s">
        <v>446</v>
      </c>
      <c r="M5857">
        <v>2501</v>
      </c>
    </row>
    <row r="5858" spans="1:14">
      <c r="A5858">
        <v>22200075</v>
      </c>
      <c r="B5858">
        <v>3029407</v>
      </c>
      <c r="C5858" t="s">
        <v>11201</v>
      </c>
      <c r="D5858" t="s">
        <v>441</v>
      </c>
      <c r="F5858">
        <v>0</v>
      </c>
      <c r="G5858">
        <v>2.87</v>
      </c>
      <c r="H5858" t="s">
        <v>8588</v>
      </c>
      <c r="I5858">
        <v>6</v>
      </c>
      <c r="J5858" t="s">
        <v>445</v>
      </c>
      <c r="M5858">
        <v>7112</v>
      </c>
      <c r="N5858" t="s">
        <v>16230</v>
      </c>
    </row>
    <row r="5859" spans="1:14">
      <c r="A5859">
        <v>22200088</v>
      </c>
      <c r="B5859">
        <v>1100171</v>
      </c>
      <c r="C5859" t="s">
        <v>2871</v>
      </c>
      <c r="D5859" t="s">
        <v>441</v>
      </c>
      <c r="F5859">
        <v>0</v>
      </c>
      <c r="G5859">
        <v>0.01</v>
      </c>
      <c r="H5859" t="s">
        <v>8933</v>
      </c>
      <c r="I5859">
        <v>3</v>
      </c>
      <c r="J5859" t="s">
        <v>511</v>
      </c>
      <c r="M5859">
        <v>9908</v>
      </c>
      <c r="N5859" t="s">
        <v>15981</v>
      </c>
    </row>
    <row r="5860" spans="1:14">
      <c r="A5860">
        <v>22200091</v>
      </c>
      <c r="B5860">
        <v>3018310</v>
      </c>
      <c r="C5860" t="s">
        <v>14424</v>
      </c>
      <c r="D5860" t="s">
        <v>441</v>
      </c>
      <c r="F5860">
        <v>0</v>
      </c>
      <c r="G5860">
        <v>5.84</v>
      </c>
      <c r="H5860" t="s">
        <v>8588</v>
      </c>
      <c r="I5860">
        <v>6</v>
      </c>
      <c r="J5860" t="s">
        <v>445</v>
      </c>
      <c r="M5860">
        <v>7112</v>
      </c>
      <c r="N5860" t="s">
        <v>16230</v>
      </c>
    </row>
    <row r="5861" spans="1:14">
      <c r="A5861">
        <v>22200502</v>
      </c>
      <c r="B5861">
        <v>3007945</v>
      </c>
      <c r="C5861" t="s">
        <v>11202</v>
      </c>
      <c r="D5861" t="s">
        <v>441</v>
      </c>
      <c r="F5861">
        <v>0</v>
      </c>
      <c r="G5861">
        <v>2.96</v>
      </c>
      <c r="H5861" t="s">
        <v>8580</v>
      </c>
      <c r="I5861">
        <v>6</v>
      </c>
      <c r="J5861" t="s">
        <v>445</v>
      </c>
      <c r="M5861">
        <v>2502</v>
      </c>
      <c r="N5861" t="s">
        <v>16230</v>
      </c>
    </row>
    <row r="5862" spans="1:14">
      <c r="A5862">
        <v>22200518</v>
      </c>
      <c r="B5862">
        <v>3040221</v>
      </c>
      <c r="C5862" t="s">
        <v>11203</v>
      </c>
      <c r="D5862" t="s">
        <v>441</v>
      </c>
      <c r="F5862">
        <v>0</v>
      </c>
      <c r="G5862">
        <v>2.87</v>
      </c>
      <c r="H5862" t="s">
        <v>8549</v>
      </c>
      <c r="I5862">
        <v>6</v>
      </c>
      <c r="J5862" t="s">
        <v>445</v>
      </c>
      <c r="M5862">
        <v>2502</v>
      </c>
      <c r="N5862" t="s">
        <v>16230</v>
      </c>
    </row>
    <row r="5863" spans="1:14">
      <c r="A5863">
        <v>22200519</v>
      </c>
      <c r="B5863">
        <v>3007946</v>
      </c>
      <c r="C5863" t="s">
        <v>11204</v>
      </c>
      <c r="D5863" t="s">
        <v>441</v>
      </c>
      <c r="F5863">
        <v>0</v>
      </c>
      <c r="G5863">
        <v>5.38</v>
      </c>
      <c r="H5863" t="s">
        <v>8580</v>
      </c>
      <c r="I5863">
        <v>6</v>
      </c>
      <c r="J5863" t="s">
        <v>445</v>
      </c>
      <c r="K5863" t="s">
        <v>446</v>
      </c>
      <c r="M5863">
        <v>2141</v>
      </c>
    </row>
    <row r="5864" spans="1:14">
      <c r="A5864">
        <v>22200602</v>
      </c>
      <c r="B5864">
        <v>3007947</v>
      </c>
      <c r="C5864" t="s">
        <v>11205</v>
      </c>
      <c r="D5864" t="s">
        <v>441</v>
      </c>
      <c r="F5864">
        <v>0</v>
      </c>
      <c r="G5864">
        <v>3.43</v>
      </c>
      <c r="H5864" t="s">
        <v>8549</v>
      </c>
      <c r="I5864">
        <v>4</v>
      </c>
      <c r="J5864" t="s">
        <v>445</v>
      </c>
      <c r="M5864">
        <v>2510</v>
      </c>
      <c r="N5864" t="s">
        <v>16230</v>
      </c>
    </row>
    <row r="5865" spans="1:14">
      <c r="A5865">
        <v>22200619</v>
      </c>
      <c r="B5865">
        <v>3007948</v>
      </c>
      <c r="C5865" t="s">
        <v>11206</v>
      </c>
      <c r="D5865" t="s">
        <v>441</v>
      </c>
      <c r="F5865">
        <v>0</v>
      </c>
      <c r="G5865">
        <v>3.43</v>
      </c>
      <c r="H5865" t="s">
        <v>8588</v>
      </c>
      <c r="I5865">
        <v>4</v>
      </c>
      <c r="J5865" t="s">
        <v>445</v>
      </c>
      <c r="M5865">
        <v>2510</v>
      </c>
      <c r="N5865" t="s">
        <v>16230</v>
      </c>
    </row>
    <row r="5866" spans="1:14">
      <c r="A5866">
        <v>22200900</v>
      </c>
      <c r="B5866">
        <v>3045164</v>
      </c>
      <c r="C5866" t="s">
        <v>11207</v>
      </c>
      <c r="D5866" t="s">
        <v>441</v>
      </c>
      <c r="F5866">
        <v>0</v>
      </c>
      <c r="G5866">
        <v>8.1999999999999993</v>
      </c>
      <c r="H5866" t="s">
        <v>8588</v>
      </c>
      <c r="I5866">
        <v>6</v>
      </c>
      <c r="J5866" t="s">
        <v>445</v>
      </c>
      <c r="M5866">
        <v>6666</v>
      </c>
      <c r="N5866" t="s">
        <v>16230</v>
      </c>
    </row>
    <row r="5867" spans="1:14">
      <c r="A5867">
        <v>22200902</v>
      </c>
      <c r="B5867">
        <v>3020323</v>
      </c>
      <c r="C5867" t="s">
        <v>11208</v>
      </c>
      <c r="D5867" t="s">
        <v>441</v>
      </c>
      <c r="F5867">
        <v>0</v>
      </c>
      <c r="H5867" t="s">
        <v>8584</v>
      </c>
      <c r="I5867">
        <v>4</v>
      </c>
      <c r="J5867" t="s">
        <v>445</v>
      </c>
      <c r="M5867">
        <v>6666</v>
      </c>
      <c r="N5867" t="s">
        <v>16230</v>
      </c>
    </row>
    <row r="5868" spans="1:14">
      <c r="A5868">
        <v>22200907</v>
      </c>
      <c r="B5868">
        <v>3025264</v>
      </c>
      <c r="C5868" t="s">
        <v>14425</v>
      </c>
      <c r="D5868" t="s">
        <v>441</v>
      </c>
      <c r="F5868">
        <v>0</v>
      </c>
      <c r="G5868">
        <v>0</v>
      </c>
      <c r="H5868" t="s">
        <v>8580</v>
      </c>
      <c r="I5868">
        <v>6</v>
      </c>
      <c r="J5868" t="s">
        <v>445</v>
      </c>
      <c r="M5868">
        <v>6666</v>
      </c>
      <c r="N5868" t="s">
        <v>16230</v>
      </c>
    </row>
    <row r="5869" spans="1:14">
      <c r="A5869">
        <v>22200919</v>
      </c>
      <c r="B5869">
        <v>3020324</v>
      </c>
      <c r="C5869" t="s">
        <v>11209</v>
      </c>
      <c r="D5869" t="s">
        <v>441</v>
      </c>
      <c r="F5869">
        <v>0</v>
      </c>
      <c r="H5869" t="s">
        <v>8584</v>
      </c>
      <c r="I5869">
        <v>4</v>
      </c>
      <c r="J5869" t="s">
        <v>445</v>
      </c>
      <c r="M5869">
        <v>6666</v>
      </c>
      <c r="N5869" t="s">
        <v>16230</v>
      </c>
    </row>
    <row r="5870" spans="1:14">
      <c r="A5870">
        <v>22204000</v>
      </c>
      <c r="B5870">
        <v>3007949</v>
      </c>
      <c r="C5870" t="s">
        <v>2872</v>
      </c>
      <c r="D5870" t="s">
        <v>441</v>
      </c>
      <c r="F5870">
        <v>0</v>
      </c>
      <c r="G5870">
        <v>4.62</v>
      </c>
      <c r="H5870" t="s">
        <v>8580</v>
      </c>
      <c r="I5870">
        <v>6</v>
      </c>
      <c r="J5870" t="s">
        <v>445</v>
      </c>
      <c r="K5870" t="s">
        <v>446</v>
      </c>
      <c r="M5870">
        <v>0</v>
      </c>
    </row>
    <row r="5871" spans="1:14">
      <c r="A5871">
        <v>22209000</v>
      </c>
      <c r="B5871">
        <v>3022866</v>
      </c>
      <c r="C5871" t="s">
        <v>11210</v>
      </c>
      <c r="D5871" t="s">
        <v>441</v>
      </c>
      <c r="F5871">
        <v>0</v>
      </c>
      <c r="G5871">
        <v>2.79</v>
      </c>
      <c r="H5871" t="s">
        <v>8588</v>
      </c>
      <c r="I5871">
        <v>2</v>
      </c>
      <c r="J5871" t="s">
        <v>445</v>
      </c>
      <c r="M5871">
        <v>3111</v>
      </c>
      <c r="N5871" t="s">
        <v>16230</v>
      </c>
    </row>
    <row r="5872" spans="1:14">
      <c r="A5872">
        <v>22209900</v>
      </c>
      <c r="B5872">
        <v>3022868</v>
      </c>
      <c r="C5872" t="s">
        <v>11211</v>
      </c>
      <c r="D5872" t="s">
        <v>441</v>
      </c>
      <c r="F5872">
        <v>0</v>
      </c>
      <c r="G5872">
        <v>0</v>
      </c>
      <c r="H5872" t="s">
        <v>8634</v>
      </c>
      <c r="I5872">
        <v>2</v>
      </c>
      <c r="J5872" t="s">
        <v>445</v>
      </c>
      <c r="M5872">
        <v>6666</v>
      </c>
      <c r="N5872" t="s">
        <v>16230</v>
      </c>
    </row>
    <row r="5873" spans="1:14">
      <c r="A5873">
        <v>22210000</v>
      </c>
      <c r="B5873">
        <v>3007950</v>
      </c>
      <c r="C5873" t="s">
        <v>11212</v>
      </c>
      <c r="D5873" t="s">
        <v>441</v>
      </c>
      <c r="F5873">
        <v>0</v>
      </c>
      <c r="G5873">
        <v>3.8</v>
      </c>
      <c r="H5873" t="s">
        <v>8588</v>
      </c>
      <c r="I5873">
        <v>6</v>
      </c>
      <c r="J5873" t="s">
        <v>445</v>
      </c>
      <c r="M5873">
        <v>2391</v>
      </c>
      <c r="N5873" t="s">
        <v>16172</v>
      </c>
    </row>
    <row r="5874" spans="1:14">
      <c r="A5874">
        <v>22210002</v>
      </c>
      <c r="B5874">
        <v>3007951</v>
      </c>
      <c r="C5874" t="s">
        <v>11213</v>
      </c>
      <c r="D5874" t="s">
        <v>441</v>
      </c>
      <c r="F5874">
        <v>0</v>
      </c>
      <c r="G5874">
        <v>5.57</v>
      </c>
      <c r="H5874" t="s">
        <v>8580</v>
      </c>
      <c r="I5874">
        <v>365</v>
      </c>
      <c r="J5874" t="s">
        <v>445</v>
      </c>
      <c r="K5874" t="s">
        <v>446</v>
      </c>
      <c r="M5874">
        <v>2501</v>
      </c>
    </row>
    <row r="5875" spans="1:14">
      <c r="A5875">
        <v>22210088</v>
      </c>
      <c r="B5875">
        <v>1100172</v>
      </c>
      <c r="C5875" t="s">
        <v>2873</v>
      </c>
      <c r="D5875" t="s">
        <v>441</v>
      </c>
      <c r="F5875">
        <v>0</v>
      </c>
      <c r="G5875">
        <v>0.01</v>
      </c>
      <c r="H5875" t="s">
        <v>8933</v>
      </c>
      <c r="I5875">
        <v>3</v>
      </c>
      <c r="J5875" t="s">
        <v>511</v>
      </c>
      <c r="M5875">
        <v>9908</v>
      </c>
      <c r="N5875" t="s">
        <v>15981</v>
      </c>
    </row>
    <row r="5876" spans="1:14">
      <c r="A5876">
        <v>22210502</v>
      </c>
      <c r="B5876">
        <v>3007952</v>
      </c>
      <c r="C5876" t="s">
        <v>11214</v>
      </c>
      <c r="D5876" t="s">
        <v>441</v>
      </c>
      <c r="F5876">
        <v>0</v>
      </c>
      <c r="G5876">
        <v>5.34</v>
      </c>
      <c r="H5876" t="s">
        <v>8580</v>
      </c>
      <c r="I5876">
        <v>6</v>
      </c>
      <c r="J5876" t="s">
        <v>445</v>
      </c>
      <c r="K5876" t="s">
        <v>446</v>
      </c>
      <c r="M5876">
        <v>2641</v>
      </c>
    </row>
    <row r="5877" spans="1:14">
      <c r="A5877">
        <v>22210602</v>
      </c>
      <c r="B5877">
        <v>3007953</v>
      </c>
      <c r="C5877" t="s">
        <v>11215</v>
      </c>
      <c r="D5877" t="s">
        <v>441</v>
      </c>
      <c r="F5877">
        <v>0</v>
      </c>
      <c r="G5877">
        <v>5.83</v>
      </c>
      <c r="H5877" t="s">
        <v>8580</v>
      </c>
      <c r="I5877">
        <v>4</v>
      </c>
      <c r="J5877" t="s">
        <v>445</v>
      </c>
      <c r="K5877" t="s">
        <v>446</v>
      </c>
      <c r="M5877">
        <v>2511</v>
      </c>
    </row>
    <row r="5878" spans="1:14">
      <c r="A5878">
        <v>22210900</v>
      </c>
      <c r="B5878">
        <v>3020325</v>
      </c>
      <c r="C5878" t="s">
        <v>11216</v>
      </c>
      <c r="D5878" t="s">
        <v>441</v>
      </c>
      <c r="F5878">
        <v>0</v>
      </c>
      <c r="H5878" t="s">
        <v>8584</v>
      </c>
      <c r="I5878">
        <v>6</v>
      </c>
      <c r="J5878" t="s">
        <v>445</v>
      </c>
      <c r="M5878">
        <v>6666</v>
      </c>
      <c r="N5878" t="s">
        <v>16172</v>
      </c>
    </row>
    <row r="5879" spans="1:14">
      <c r="A5879">
        <v>22214000</v>
      </c>
      <c r="B5879">
        <v>3007954</v>
      </c>
      <c r="C5879" t="s">
        <v>2874</v>
      </c>
      <c r="D5879" t="s">
        <v>441</v>
      </c>
      <c r="F5879">
        <v>0</v>
      </c>
      <c r="G5879">
        <v>4.62</v>
      </c>
      <c r="H5879" t="s">
        <v>8580</v>
      </c>
      <c r="I5879">
        <v>6</v>
      </c>
      <c r="J5879" t="s">
        <v>445</v>
      </c>
      <c r="K5879" t="s">
        <v>446</v>
      </c>
      <c r="M5879">
        <v>0</v>
      </c>
    </row>
    <row r="5880" spans="1:14">
      <c r="A5880">
        <v>22220000</v>
      </c>
      <c r="B5880">
        <v>3024516</v>
      </c>
      <c r="C5880" t="s">
        <v>11217</v>
      </c>
      <c r="D5880" t="s">
        <v>441</v>
      </c>
      <c r="F5880">
        <v>0</v>
      </c>
      <c r="G5880">
        <v>3.4</v>
      </c>
      <c r="H5880" t="s">
        <v>8588</v>
      </c>
      <c r="I5880">
        <v>6</v>
      </c>
      <c r="J5880" t="s">
        <v>445</v>
      </c>
      <c r="M5880">
        <v>2143</v>
      </c>
      <c r="N5880" t="s">
        <v>16229</v>
      </c>
    </row>
    <row r="5881" spans="1:14">
      <c r="A5881">
        <v>22220002</v>
      </c>
      <c r="B5881">
        <v>3037207</v>
      </c>
      <c r="C5881" t="s">
        <v>11218</v>
      </c>
      <c r="D5881" t="s">
        <v>441</v>
      </c>
      <c r="F5881">
        <v>0</v>
      </c>
      <c r="G5881">
        <v>4.9800000000000004</v>
      </c>
      <c r="H5881" t="s">
        <v>8549</v>
      </c>
      <c r="I5881">
        <v>365</v>
      </c>
      <c r="J5881" t="s">
        <v>445</v>
      </c>
      <c r="M5881">
        <v>7111</v>
      </c>
      <c r="N5881" t="s">
        <v>16229</v>
      </c>
    </row>
    <row r="5882" spans="1:14">
      <c r="A5882">
        <v>22220007</v>
      </c>
      <c r="B5882">
        <v>3042082</v>
      </c>
      <c r="C5882" t="s">
        <v>11219</v>
      </c>
      <c r="D5882" t="s">
        <v>441</v>
      </c>
      <c r="F5882">
        <v>0</v>
      </c>
      <c r="G5882">
        <v>3.49</v>
      </c>
      <c r="H5882" t="s">
        <v>8588</v>
      </c>
      <c r="I5882">
        <v>6</v>
      </c>
      <c r="J5882" t="s">
        <v>445</v>
      </c>
      <c r="M5882">
        <v>3111</v>
      </c>
      <c r="N5882" t="s">
        <v>16229</v>
      </c>
    </row>
    <row r="5883" spans="1:14">
      <c r="A5883">
        <v>22220018</v>
      </c>
      <c r="B5883">
        <v>3024518</v>
      </c>
      <c r="C5883" t="s">
        <v>11220</v>
      </c>
      <c r="D5883" t="s">
        <v>441</v>
      </c>
      <c r="F5883">
        <v>0</v>
      </c>
      <c r="G5883">
        <v>3.8</v>
      </c>
      <c r="H5883" t="s">
        <v>8549</v>
      </c>
      <c r="I5883">
        <v>365</v>
      </c>
      <c r="J5883" t="s">
        <v>445</v>
      </c>
      <c r="M5883">
        <v>7111</v>
      </c>
      <c r="N5883" t="s">
        <v>16229</v>
      </c>
    </row>
    <row r="5884" spans="1:14">
      <c r="A5884">
        <v>22220075</v>
      </c>
      <c r="B5884">
        <v>3036341</v>
      </c>
      <c r="C5884" t="s">
        <v>11221</v>
      </c>
      <c r="D5884" t="s">
        <v>441</v>
      </c>
      <c r="F5884">
        <v>0</v>
      </c>
      <c r="G5884">
        <v>3.49</v>
      </c>
      <c r="H5884" t="s">
        <v>8549</v>
      </c>
      <c r="I5884">
        <v>6</v>
      </c>
      <c r="J5884" t="s">
        <v>445</v>
      </c>
      <c r="M5884">
        <v>7112</v>
      </c>
      <c r="N5884" t="s">
        <v>16229</v>
      </c>
    </row>
    <row r="5885" spans="1:14">
      <c r="A5885">
        <v>22220118</v>
      </c>
      <c r="B5885">
        <v>3033377</v>
      </c>
      <c r="C5885" t="s">
        <v>11222</v>
      </c>
      <c r="D5885" t="s">
        <v>441</v>
      </c>
      <c r="F5885">
        <v>0</v>
      </c>
      <c r="H5885" t="s">
        <v>8588</v>
      </c>
      <c r="I5885">
        <v>270</v>
      </c>
      <c r="J5885" t="s">
        <v>445</v>
      </c>
      <c r="K5885" t="s">
        <v>446</v>
      </c>
      <c r="M5885">
        <v>0</v>
      </c>
      <c r="N5885" t="s">
        <v>16230</v>
      </c>
    </row>
    <row r="5886" spans="1:14">
      <c r="A5886">
        <v>22220128</v>
      </c>
      <c r="B5886">
        <v>3033637</v>
      </c>
      <c r="C5886" t="s">
        <v>2875</v>
      </c>
      <c r="D5886" t="s">
        <v>441</v>
      </c>
      <c r="F5886">
        <v>0</v>
      </c>
      <c r="G5886">
        <v>3.57</v>
      </c>
      <c r="H5886" t="s">
        <v>8588</v>
      </c>
      <c r="I5886">
        <v>365</v>
      </c>
      <c r="J5886" t="s">
        <v>445</v>
      </c>
      <c r="M5886">
        <v>7161</v>
      </c>
      <c r="N5886" t="s">
        <v>16229</v>
      </c>
    </row>
    <row r="5887" spans="1:14">
      <c r="A5887">
        <v>22220138</v>
      </c>
      <c r="B5887">
        <v>3036069</v>
      </c>
      <c r="C5887" t="s">
        <v>17449</v>
      </c>
      <c r="D5887" t="s">
        <v>441</v>
      </c>
      <c r="F5887">
        <v>0</v>
      </c>
      <c r="G5887">
        <v>8.82</v>
      </c>
      <c r="H5887" t="s">
        <v>8588</v>
      </c>
      <c r="I5887">
        <v>365</v>
      </c>
      <c r="J5887" t="s">
        <v>445</v>
      </c>
      <c r="M5887">
        <v>0</v>
      </c>
      <c r="N5887" t="s">
        <v>16229</v>
      </c>
    </row>
    <row r="5888" spans="1:14">
      <c r="A5888">
        <v>22220502</v>
      </c>
      <c r="B5888">
        <v>3037205</v>
      </c>
      <c r="C5888" t="s">
        <v>11223</v>
      </c>
      <c r="D5888" t="s">
        <v>441</v>
      </c>
      <c r="F5888">
        <v>0</v>
      </c>
      <c r="G5888">
        <v>4.6500000000000004</v>
      </c>
      <c r="H5888" t="s">
        <v>8549</v>
      </c>
      <c r="I5888">
        <v>365</v>
      </c>
      <c r="J5888" t="s">
        <v>445</v>
      </c>
      <c r="M5888">
        <v>2502</v>
      </c>
      <c r="N5888" t="s">
        <v>16229</v>
      </c>
    </row>
    <row r="5889" spans="1:14">
      <c r="A5889">
        <v>22220518</v>
      </c>
      <c r="B5889">
        <v>3024528</v>
      </c>
      <c r="C5889" t="s">
        <v>11224</v>
      </c>
      <c r="D5889" t="s">
        <v>441</v>
      </c>
      <c r="F5889">
        <v>0</v>
      </c>
      <c r="G5889">
        <v>3.49</v>
      </c>
      <c r="H5889" t="s">
        <v>8588</v>
      </c>
      <c r="I5889">
        <v>365</v>
      </c>
      <c r="J5889" t="s">
        <v>445</v>
      </c>
      <c r="M5889">
        <v>2502</v>
      </c>
      <c r="N5889" t="s">
        <v>16229</v>
      </c>
    </row>
    <row r="5890" spans="1:14">
      <c r="A5890">
        <v>22220618</v>
      </c>
      <c r="B5890">
        <v>3033120</v>
      </c>
      <c r="C5890" t="s">
        <v>11225</v>
      </c>
      <c r="D5890" t="s">
        <v>441</v>
      </c>
      <c r="F5890">
        <v>0</v>
      </c>
      <c r="G5890">
        <v>3.96</v>
      </c>
      <c r="H5890" t="s">
        <v>8588</v>
      </c>
      <c r="I5890">
        <v>4</v>
      </c>
      <c r="J5890" t="s">
        <v>445</v>
      </c>
      <c r="M5890">
        <v>2510</v>
      </c>
      <c r="N5890" t="s">
        <v>16229</v>
      </c>
    </row>
    <row r="5891" spans="1:14">
      <c r="A5891">
        <v>22220900</v>
      </c>
      <c r="B5891">
        <v>3033121</v>
      </c>
      <c r="C5891" t="s">
        <v>11226</v>
      </c>
      <c r="D5891" t="s">
        <v>441</v>
      </c>
      <c r="F5891">
        <v>0</v>
      </c>
      <c r="G5891">
        <v>0</v>
      </c>
      <c r="H5891" t="s">
        <v>8580</v>
      </c>
      <c r="I5891">
        <v>6</v>
      </c>
      <c r="J5891" t="s">
        <v>445</v>
      </c>
      <c r="M5891">
        <v>6666</v>
      </c>
      <c r="N5891" t="s">
        <v>16229</v>
      </c>
    </row>
    <row r="5892" spans="1:14">
      <c r="A5892">
        <v>22220907</v>
      </c>
      <c r="B5892">
        <v>3042086</v>
      </c>
      <c r="C5892" t="s">
        <v>11227</v>
      </c>
      <c r="D5892" t="s">
        <v>441</v>
      </c>
      <c r="F5892">
        <v>0</v>
      </c>
      <c r="G5892">
        <v>1</v>
      </c>
      <c r="H5892" t="s">
        <v>8588</v>
      </c>
      <c r="I5892">
        <v>6</v>
      </c>
      <c r="J5892" t="s">
        <v>445</v>
      </c>
      <c r="M5892">
        <v>6666</v>
      </c>
      <c r="N5892" t="s">
        <v>16229</v>
      </c>
    </row>
    <row r="5893" spans="1:14">
      <c r="A5893">
        <v>22220918</v>
      </c>
      <c r="B5893">
        <v>3033125</v>
      </c>
      <c r="C5893" t="s">
        <v>11228</v>
      </c>
      <c r="D5893" t="s">
        <v>441</v>
      </c>
      <c r="F5893">
        <v>0</v>
      </c>
      <c r="H5893" t="s">
        <v>8580</v>
      </c>
      <c r="I5893">
        <v>4</v>
      </c>
      <c r="J5893" t="s">
        <v>445</v>
      </c>
      <c r="M5893">
        <v>6666</v>
      </c>
      <c r="N5893" t="s">
        <v>16229</v>
      </c>
    </row>
    <row r="5894" spans="1:14">
      <c r="A5894">
        <v>22224000</v>
      </c>
      <c r="B5894">
        <v>3037810</v>
      </c>
      <c r="C5894" t="s">
        <v>11229</v>
      </c>
      <c r="D5894" t="s">
        <v>441</v>
      </c>
      <c r="F5894">
        <v>0</v>
      </c>
      <c r="G5894">
        <v>3.4</v>
      </c>
      <c r="H5894" t="s">
        <v>8549</v>
      </c>
      <c r="I5894">
        <v>6</v>
      </c>
      <c r="J5894" t="s">
        <v>445</v>
      </c>
      <c r="M5894">
        <v>2143</v>
      </c>
      <c r="N5894" t="s">
        <v>16229</v>
      </c>
    </row>
    <row r="5895" spans="1:14">
      <c r="A5895">
        <v>22224007</v>
      </c>
      <c r="B5895">
        <v>3042554</v>
      </c>
      <c r="C5895" t="s">
        <v>11230</v>
      </c>
      <c r="D5895" t="s">
        <v>441</v>
      </c>
      <c r="F5895">
        <v>0</v>
      </c>
      <c r="G5895">
        <v>5.71</v>
      </c>
      <c r="H5895" t="s">
        <v>8549</v>
      </c>
      <c r="I5895">
        <v>6</v>
      </c>
      <c r="J5895" t="s">
        <v>445</v>
      </c>
      <c r="M5895">
        <v>3111</v>
      </c>
      <c r="N5895" t="s">
        <v>16229</v>
      </c>
    </row>
    <row r="5896" spans="1:14">
      <c r="A5896">
        <v>22224018</v>
      </c>
      <c r="B5896">
        <v>3041034</v>
      </c>
      <c r="C5896" t="s">
        <v>11231</v>
      </c>
      <c r="D5896" t="s">
        <v>441</v>
      </c>
      <c r="F5896">
        <v>0</v>
      </c>
      <c r="G5896">
        <v>3.8</v>
      </c>
      <c r="H5896" t="s">
        <v>8549</v>
      </c>
      <c r="I5896">
        <v>365</v>
      </c>
      <c r="J5896" t="s">
        <v>445</v>
      </c>
      <c r="M5896">
        <v>7111</v>
      </c>
      <c r="N5896" t="s">
        <v>16229</v>
      </c>
    </row>
    <row r="5897" spans="1:14">
      <c r="A5897">
        <v>22224075</v>
      </c>
      <c r="B5897">
        <v>3040972</v>
      </c>
      <c r="C5897" t="s">
        <v>11232</v>
      </c>
      <c r="D5897" t="s">
        <v>441</v>
      </c>
      <c r="F5897">
        <v>0</v>
      </c>
      <c r="G5897">
        <v>3.49</v>
      </c>
      <c r="H5897" t="s">
        <v>8549</v>
      </c>
      <c r="I5897">
        <v>6</v>
      </c>
      <c r="J5897" t="s">
        <v>445</v>
      </c>
      <c r="M5897">
        <v>7112</v>
      </c>
      <c r="N5897" t="s">
        <v>16229</v>
      </c>
    </row>
    <row r="5898" spans="1:14">
      <c r="A5898">
        <v>22224518</v>
      </c>
      <c r="B5898">
        <v>3041046</v>
      </c>
      <c r="C5898" t="s">
        <v>11233</v>
      </c>
      <c r="D5898" t="s">
        <v>441</v>
      </c>
      <c r="F5898">
        <v>0</v>
      </c>
      <c r="G5898">
        <v>3.49</v>
      </c>
      <c r="H5898" t="s">
        <v>8588</v>
      </c>
      <c r="I5898">
        <v>365</v>
      </c>
      <c r="J5898" t="s">
        <v>445</v>
      </c>
      <c r="M5898">
        <v>2502</v>
      </c>
      <c r="N5898" t="s">
        <v>16229</v>
      </c>
    </row>
    <row r="5899" spans="1:14">
      <c r="A5899">
        <v>22224618</v>
      </c>
      <c r="B5899">
        <v>3041035</v>
      </c>
      <c r="C5899" t="s">
        <v>11234</v>
      </c>
      <c r="D5899" t="s">
        <v>441</v>
      </c>
      <c r="F5899">
        <v>0</v>
      </c>
      <c r="G5899">
        <v>3.96</v>
      </c>
      <c r="H5899" t="s">
        <v>8549</v>
      </c>
      <c r="I5899">
        <v>4</v>
      </c>
      <c r="J5899" t="s">
        <v>445</v>
      </c>
      <c r="M5899">
        <v>2510</v>
      </c>
      <c r="N5899" t="s">
        <v>16229</v>
      </c>
    </row>
    <row r="5900" spans="1:14">
      <c r="A5900">
        <v>22224900</v>
      </c>
      <c r="B5900">
        <v>3038942</v>
      </c>
      <c r="C5900" t="s">
        <v>11235</v>
      </c>
      <c r="D5900" t="s">
        <v>441</v>
      </c>
      <c r="F5900">
        <v>0</v>
      </c>
      <c r="G5900">
        <v>1</v>
      </c>
      <c r="H5900" t="s">
        <v>8580</v>
      </c>
      <c r="I5900">
        <v>6</v>
      </c>
      <c r="J5900" t="s">
        <v>445</v>
      </c>
      <c r="M5900">
        <v>6666</v>
      </c>
      <c r="N5900" t="s">
        <v>16229</v>
      </c>
    </row>
    <row r="5901" spans="1:14">
      <c r="A5901">
        <v>22224907</v>
      </c>
      <c r="B5901">
        <v>3042518</v>
      </c>
      <c r="C5901" t="s">
        <v>11236</v>
      </c>
      <c r="D5901" t="s">
        <v>441</v>
      </c>
      <c r="F5901">
        <v>0</v>
      </c>
      <c r="G5901">
        <v>1</v>
      </c>
      <c r="H5901" t="s">
        <v>8549</v>
      </c>
      <c r="I5901">
        <v>6</v>
      </c>
      <c r="J5901" t="s">
        <v>445</v>
      </c>
      <c r="M5901">
        <v>6666</v>
      </c>
      <c r="N5901" t="s">
        <v>16229</v>
      </c>
    </row>
    <row r="5902" spans="1:14">
      <c r="A5902">
        <v>22224918</v>
      </c>
      <c r="B5902">
        <v>3041038</v>
      </c>
      <c r="C5902" t="s">
        <v>11237</v>
      </c>
      <c r="D5902" t="s">
        <v>441</v>
      </c>
      <c r="F5902">
        <v>0</v>
      </c>
      <c r="G5902">
        <v>1</v>
      </c>
      <c r="H5902" t="s">
        <v>8580</v>
      </c>
      <c r="I5902">
        <v>4</v>
      </c>
      <c r="J5902" t="s">
        <v>445</v>
      </c>
      <c r="M5902">
        <v>6666</v>
      </c>
      <c r="N5902" t="s">
        <v>16229</v>
      </c>
    </row>
    <row r="5903" spans="1:14">
      <c r="A5903">
        <v>22234000</v>
      </c>
      <c r="B5903">
        <v>3037830</v>
      </c>
      <c r="C5903" t="s">
        <v>11238</v>
      </c>
      <c r="D5903" t="s">
        <v>441</v>
      </c>
      <c r="F5903">
        <v>0</v>
      </c>
      <c r="G5903">
        <v>3.8</v>
      </c>
      <c r="H5903" t="s">
        <v>8588</v>
      </c>
      <c r="I5903">
        <v>6</v>
      </c>
      <c r="J5903" t="s">
        <v>445</v>
      </c>
      <c r="M5903">
        <v>2143</v>
      </c>
      <c r="N5903" t="s">
        <v>16230</v>
      </c>
    </row>
    <row r="5904" spans="1:14">
      <c r="A5904">
        <v>22234002</v>
      </c>
      <c r="B5904">
        <v>3043201</v>
      </c>
      <c r="C5904" t="s">
        <v>11239</v>
      </c>
      <c r="D5904" t="s">
        <v>441</v>
      </c>
      <c r="F5904">
        <v>0</v>
      </c>
      <c r="G5904">
        <v>6.28</v>
      </c>
      <c r="H5904" t="s">
        <v>8588</v>
      </c>
      <c r="I5904">
        <v>90</v>
      </c>
      <c r="J5904" t="s">
        <v>445</v>
      </c>
      <c r="M5904">
        <v>7111</v>
      </c>
      <c r="N5904" t="s">
        <v>16230</v>
      </c>
    </row>
    <row r="5905" spans="1:14">
      <c r="A5905">
        <v>22234007</v>
      </c>
      <c r="B5905">
        <v>3043159</v>
      </c>
      <c r="C5905" t="s">
        <v>11240</v>
      </c>
      <c r="D5905" t="s">
        <v>441</v>
      </c>
      <c r="F5905">
        <v>0</v>
      </c>
      <c r="G5905">
        <v>5.71</v>
      </c>
      <c r="H5905" t="s">
        <v>8588</v>
      </c>
      <c r="I5905">
        <v>6</v>
      </c>
      <c r="J5905" t="s">
        <v>445</v>
      </c>
      <c r="M5905">
        <v>3111</v>
      </c>
      <c r="N5905" t="s">
        <v>16230</v>
      </c>
    </row>
    <row r="5906" spans="1:14">
      <c r="A5906">
        <v>22234502</v>
      </c>
      <c r="B5906">
        <v>3043200</v>
      </c>
      <c r="C5906" t="s">
        <v>11241</v>
      </c>
      <c r="D5906" t="s">
        <v>441</v>
      </c>
      <c r="F5906">
        <v>0</v>
      </c>
      <c r="G5906">
        <v>5.86</v>
      </c>
      <c r="H5906" t="s">
        <v>8549</v>
      </c>
      <c r="I5906">
        <v>1</v>
      </c>
      <c r="J5906" t="s">
        <v>445</v>
      </c>
      <c r="M5906">
        <v>2502</v>
      </c>
      <c r="N5906" t="s">
        <v>16230</v>
      </c>
    </row>
    <row r="5907" spans="1:14">
      <c r="A5907">
        <v>22234602</v>
      </c>
      <c r="B5907">
        <v>3043203</v>
      </c>
      <c r="C5907" t="s">
        <v>11242</v>
      </c>
      <c r="D5907" t="s">
        <v>441</v>
      </c>
      <c r="F5907">
        <v>0</v>
      </c>
      <c r="G5907">
        <v>9.1</v>
      </c>
      <c r="H5907" t="s">
        <v>8549</v>
      </c>
      <c r="I5907">
        <v>1</v>
      </c>
      <c r="J5907" t="s">
        <v>445</v>
      </c>
      <c r="M5907">
        <v>2510</v>
      </c>
      <c r="N5907" t="s">
        <v>16230</v>
      </c>
    </row>
    <row r="5908" spans="1:14">
      <c r="A5908">
        <v>22234900</v>
      </c>
      <c r="B5908">
        <v>3037833</v>
      </c>
      <c r="C5908" t="s">
        <v>11243</v>
      </c>
      <c r="D5908" t="s">
        <v>441</v>
      </c>
      <c r="F5908">
        <v>0</v>
      </c>
      <c r="G5908">
        <v>3.01</v>
      </c>
      <c r="H5908" t="s">
        <v>8634</v>
      </c>
      <c r="I5908">
        <v>6</v>
      </c>
      <c r="J5908" t="s">
        <v>445</v>
      </c>
      <c r="M5908">
        <v>6666</v>
      </c>
      <c r="N5908" t="s">
        <v>16230</v>
      </c>
    </row>
    <row r="5909" spans="1:14">
      <c r="A5909">
        <v>22234902</v>
      </c>
      <c r="B5909">
        <v>3043207</v>
      </c>
      <c r="C5909" t="s">
        <v>11244</v>
      </c>
      <c r="D5909" t="s">
        <v>441</v>
      </c>
      <c r="F5909">
        <v>0</v>
      </c>
      <c r="G5909">
        <v>1</v>
      </c>
      <c r="H5909" t="s">
        <v>8549</v>
      </c>
      <c r="I5909">
        <v>3</v>
      </c>
      <c r="J5909" t="s">
        <v>445</v>
      </c>
      <c r="M5909">
        <v>6666</v>
      </c>
      <c r="N5909" t="s">
        <v>16230</v>
      </c>
    </row>
    <row r="5910" spans="1:14">
      <c r="A5910">
        <v>22234907</v>
      </c>
      <c r="B5910">
        <v>3043206</v>
      </c>
      <c r="C5910" t="s">
        <v>11245</v>
      </c>
      <c r="D5910" t="s">
        <v>441</v>
      </c>
      <c r="F5910">
        <v>0</v>
      </c>
      <c r="G5910">
        <v>1</v>
      </c>
      <c r="H5910" t="s">
        <v>8588</v>
      </c>
      <c r="I5910">
        <v>6</v>
      </c>
      <c r="J5910" t="s">
        <v>445</v>
      </c>
      <c r="M5910">
        <v>6666</v>
      </c>
      <c r="N5910" t="s">
        <v>16230</v>
      </c>
    </row>
    <row r="5911" spans="1:14">
      <c r="A5911">
        <v>22240000</v>
      </c>
      <c r="B5911">
        <v>3041721</v>
      </c>
      <c r="C5911" t="s">
        <v>15416</v>
      </c>
      <c r="D5911" t="s">
        <v>441</v>
      </c>
      <c r="F5911">
        <v>0</v>
      </c>
      <c r="G5911">
        <v>2.6</v>
      </c>
      <c r="H5911" t="s">
        <v>8549</v>
      </c>
      <c r="I5911">
        <v>1</v>
      </c>
      <c r="J5911" t="s">
        <v>445</v>
      </c>
      <c r="M5911">
        <v>2391</v>
      </c>
      <c r="N5911" t="s">
        <v>16231</v>
      </c>
    </row>
    <row r="5912" spans="1:14">
      <c r="A5912">
        <v>22240002</v>
      </c>
      <c r="B5912">
        <v>3041723</v>
      </c>
      <c r="C5912" t="s">
        <v>15417</v>
      </c>
      <c r="D5912" t="s">
        <v>441</v>
      </c>
      <c r="F5912">
        <v>0</v>
      </c>
      <c r="G5912">
        <v>3.19</v>
      </c>
      <c r="H5912" t="s">
        <v>8588</v>
      </c>
      <c r="I5912">
        <v>90</v>
      </c>
      <c r="J5912" t="s">
        <v>445</v>
      </c>
      <c r="M5912">
        <v>7111</v>
      </c>
      <c r="N5912" t="s">
        <v>16231</v>
      </c>
    </row>
    <row r="5913" spans="1:14">
      <c r="A5913">
        <v>22240007</v>
      </c>
      <c r="B5913">
        <v>3041770</v>
      </c>
      <c r="C5913" t="s">
        <v>15418</v>
      </c>
      <c r="D5913" t="s">
        <v>441</v>
      </c>
      <c r="F5913">
        <v>0</v>
      </c>
      <c r="G5913">
        <v>3.03</v>
      </c>
      <c r="H5913" t="s">
        <v>8588</v>
      </c>
      <c r="I5913">
        <v>1</v>
      </c>
      <c r="J5913" t="s">
        <v>445</v>
      </c>
      <c r="M5913">
        <v>3113</v>
      </c>
      <c r="N5913" t="s">
        <v>16231</v>
      </c>
    </row>
    <row r="5914" spans="1:14">
      <c r="A5914">
        <v>22240102</v>
      </c>
      <c r="B5914">
        <v>3043918</v>
      </c>
      <c r="C5914" t="s">
        <v>14426</v>
      </c>
      <c r="D5914" t="s">
        <v>441</v>
      </c>
      <c r="F5914">
        <v>0</v>
      </c>
      <c r="G5914">
        <v>4.53</v>
      </c>
      <c r="H5914" t="s">
        <v>8588</v>
      </c>
      <c r="I5914">
        <v>90</v>
      </c>
      <c r="J5914" t="s">
        <v>445</v>
      </c>
      <c r="M5914">
        <v>0</v>
      </c>
      <c r="N5914" t="s">
        <v>16231</v>
      </c>
    </row>
    <row r="5915" spans="1:14">
      <c r="A5915">
        <v>22240502</v>
      </c>
      <c r="B5915">
        <v>3041722</v>
      </c>
      <c r="C5915" t="s">
        <v>15419</v>
      </c>
      <c r="D5915" t="s">
        <v>441</v>
      </c>
      <c r="F5915">
        <v>0</v>
      </c>
      <c r="G5915">
        <v>2.69</v>
      </c>
      <c r="H5915" t="s">
        <v>8588</v>
      </c>
      <c r="I5915">
        <v>1</v>
      </c>
      <c r="J5915" t="s">
        <v>445</v>
      </c>
      <c r="M5915">
        <v>2502</v>
      </c>
      <c r="N5915" t="s">
        <v>16231</v>
      </c>
    </row>
    <row r="5916" spans="1:14">
      <c r="A5916">
        <v>22240602</v>
      </c>
      <c r="B5916">
        <v>3041858</v>
      </c>
      <c r="C5916" t="s">
        <v>15420</v>
      </c>
      <c r="D5916" t="s">
        <v>441</v>
      </c>
      <c r="F5916">
        <v>0</v>
      </c>
      <c r="G5916">
        <v>3.93</v>
      </c>
      <c r="H5916" t="s">
        <v>8634</v>
      </c>
      <c r="I5916">
        <v>1</v>
      </c>
      <c r="J5916" t="s">
        <v>445</v>
      </c>
      <c r="M5916">
        <v>2510</v>
      </c>
      <c r="N5916" t="s">
        <v>16231</v>
      </c>
    </row>
    <row r="5917" spans="1:14">
      <c r="A5917">
        <v>22240902</v>
      </c>
      <c r="B5917">
        <v>3041902</v>
      </c>
      <c r="C5917" t="s">
        <v>15421</v>
      </c>
      <c r="D5917" t="s">
        <v>441</v>
      </c>
      <c r="F5917">
        <v>0</v>
      </c>
      <c r="G5917">
        <v>3.3</v>
      </c>
      <c r="H5917" t="s">
        <v>8549</v>
      </c>
      <c r="I5917">
        <v>1</v>
      </c>
      <c r="J5917" t="s">
        <v>445</v>
      </c>
      <c r="M5917">
        <v>6666</v>
      </c>
      <c r="N5917" t="s">
        <v>16231</v>
      </c>
    </row>
    <row r="5918" spans="1:14">
      <c r="A5918">
        <v>22240907</v>
      </c>
      <c r="B5918">
        <v>3041781</v>
      </c>
      <c r="C5918" t="s">
        <v>15422</v>
      </c>
      <c r="D5918" t="s">
        <v>441</v>
      </c>
      <c r="F5918">
        <v>0</v>
      </c>
      <c r="G5918">
        <v>1</v>
      </c>
      <c r="H5918" t="s">
        <v>8588</v>
      </c>
      <c r="I5918">
        <v>1</v>
      </c>
      <c r="J5918" t="s">
        <v>445</v>
      </c>
      <c r="M5918">
        <v>6666</v>
      </c>
      <c r="N5918" t="s">
        <v>16231</v>
      </c>
    </row>
    <row r="5919" spans="1:14">
      <c r="A5919">
        <v>22250000</v>
      </c>
      <c r="B5919">
        <v>3042648</v>
      </c>
      <c r="C5919" t="s">
        <v>11246</v>
      </c>
      <c r="D5919" t="s">
        <v>441</v>
      </c>
      <c r="F5919">
        <v>0</v>
      </c>
      <c r="G5919">
        <v>4.8499999999999996</v>
      </c>
      <c r="H5919" t="s">
        <v>8588</v>
      </c>
      <c r="I5919">
        <v>6</v>
      </c>
      <c r="J5919" t="s">
        <v>445</v>
      </c>
      <c r="M5919">
        <v>2391</v>
      </c>
      <c r="N5919" t="s">
        <v>16232</v>
      </c>
    </row>
    <row r="5920" spans="1:14">
      <c r="A5920">
        <v>22250007</v>
      </c>
      <c r="B5920">
        <v>3042746</v>
      </c>
      <c r="C5920" t="s">
        <v>11247</v>
      </c>
      <c r="D5920" t="s">
        <v>441</v>
      </c>
      <c r="F5920">
        <v>0</v>
      </c>
      <c r="G5920">
        <v>4.96</v>
      </c>
      <c r="H5920" t="s">
        <v>8588</v>
      </c>
      <c r="I5920">
        <v>6</v>
      </c>
      <c r="J5920" t="s">
        <v>445</v>
      </c>
      <c r="M5920">
        <v>3111</v>
      </c>
      <c r="N5920" t="s">
        <v>16232</v>
      </c>
    </row>
    <row r="5921" spans="1:14">
      <c r="A5921">
        <v>22250087</v>
      </c>
      <c r="B5921">
        <v>3043067</v>
      </c>
      <c r="C5921" t="s">
        <v>11248</v>
      </c>
      <c r="D5921" t="s">
        <v>441</v>
      </c>
      <c r="F5921">
        <v>0</v>
      </c>
      <c r="G5921">
        <v>4.96</v>
      </c>
      <c r="H5921" t="s">
        <v>8588</v>
      </c>
      <c r="I5921">
        <v>6</v>
      </c>
      <c r="J5921" t="s">
        <v>445</v>
      </c>
      <c r="M5921">
        <v>7112</v>
      </c>
      <c r="N5921" t="s">
        <v>16232</v>
      </c>
    </row>
    <row r="5922" spans="1:14">
      <c r="A5922">
        <v>22250907</v>
      </c>
      <c r="B5922">
        <v>3042808</v>
      </c>
      <c r="C5922" t="s">
        <v>11249</v>
      </c>
      <c r="D5922" t="s">
        <v>441</v>
      </c>
      <c r="F5922">
        <v>0</v>
      </c>
      <c r="G5922">
        <v>1</v>
      </c>
      <c r="H5922" t="s">
        <v>8588</v>
      </c>
      <c r="I5922">
        <v>6</v>
      </c>
      <c r="J5922" t="s">
        <v>445</v>
      </c>
      <c r="M5922">
        <v>6666</v>
      </c>
      <c r="N5922" t="s">
        <v>16232</v>
      </c>
    </row>
    <row r="5923" spans="1:14">
      <c r="A5923">
        <v>22254000</v>
      </c>
      <c r="B5923">
        <v>3042738</v>
      </c>
      <c r="C5923" t="s">
        <v>11250</v>
      </c>
      <c r="D5923" t="s">
        <v>441</v>
      </c>
      <c r="F5923">
        <v>0</v>
      </c>
      <c r="G5923">
        <v>4.8499999999999996</v>
      </c>
      <c r="H5923" t="s">
        <v>8549</v>
      </c>
      <c r="I5923">
        <v>6</v>
      </c>
      <c r="J5923" t="s">
        <v>445</v>
      </c>
      <c r="M5923">
        <v>2391</v>
      </c>
      <c r="N5923" t="s">
        <v>16232</v>
      </c>
    </row>
    <row r="5924" spans="1:14">
      <c r="A5924">
        <v>22254007</v>
      </c>
      <c r="B5924">
        <v>3042747</v>
      </c>
      <c r="C5924" t="s">
        <v>11251</v>
      </c>
      <c r="D5924" t="s">
        <v>441</v>
      </c>
      <c r="F5924">
        <v>0</v>
      </c>
      <c r="G5924">
        <v>4.96</v>
      </c>
      <c r="H5924" t="s">
        <v>8588</v>
      </c>
      <c r="I5924">
        <v>6</v>
      </c>
      <c r="J5924" t="s">
        <v>445</v>
      </c>
      <c r="M5924">
        <v>3111</v>
      </c>
      <c r="N5924" t="s">
        <v>16232</v>
      </c>
    </row>
    <row r="5925" spans="1:14">
      <c r="A5925">
        <v>22254087</v>
      </c>
      <c r="B5925">
        <v>3043068</v>
      </c>
      <c r="C5925" t="s">
        <v>11252</v>
      </c>
      <c r="D5925" t="s">
        <v>441</v>
      </c>
      <c r="F5925">
        <v>0</v>
      </c>
      <c r="G5925">
        <v>4.96</v>
      </c>
      <c r="H5925" t="s">
        <v>8588</v>
      </c>
      <c r="I5925">
        <v>6</v>
      </c>
      <c r="J5925" t="s">
        <v>445</v>
      </c>
      <c r="M5925">
        <v>7112</v>
      </c>
      <c r="N5925" t="s">
        <v>16232</v>
      </c>
    </row>
    <row r="5926" spans="1:14">
      <c r="A5926">
        <v>22254907</v>
      </c>
      <c r="B5926">
        <v>3042897</v>
      </c>
      <c r="C5926" t="s">
        <v>11253</v>
      </c>
      <c r="D5926" t="s">
        <v>441</v>
      </c>
      <c r="F5926">
        <v>0</v>
      </c>
      <c r="G5926">
        <v>1</v>
      </c>
      <c r="H5926" t="s">
        <v>8588</v>
      </c>
      <c r="I5926">
        <v>6</v>
      </c>
      <c r="J5926" t="s">
        <v>445</v>
      </c>
      <c r="M5926">
        <v>6666</v>
      </c>
      <c r="N5926" t="s">
        <v>16232</v>
      </c>
    </row>
    <row r="5927" spans="1:14">
      <c r="A5927">
        <v>22260000</v>
      </c>
      <c r="B5927">
        <v>3042646</v>
      </c>
      <c r="C5927" t="s">
        <v>11254</v>
      </c>
      <c r="D5927" t="s">
        <v>441</v>
      </c>
      <c r="F5927">
        <v>0</v>
      </c>
      <c r="G5927">
        <v>1</v>
      </c>
      <c r="H5927" t="s">
        <v>8588</v>
      </c>
      <c r="I5927">
        <v>6</v>
      </c>
      <c r="J5927" t="s">
        <v>445</v>
      </c>
      <c r="K5927" t="s">
        <v>446</v>
      </c>
      <c r="M5927">
        <v>2391</v>
      </c>
      <c r="N5927" t="s">
        <v>16233</v>
      </c>
    </row>
    <row r="5928" spans="1:14">
      <c r="A5928">
        <v>22260007</v>
      </c>
      <c r="B5928">
        <v>3042748</v>
      </c>
      <c r="C5928" t="s">
        <v>11255</v>
      </c>
      <c r="D5928" t="s">
        <v>441</v>
      </c>
      <c r="F5928">
        <v>0</v>
      </c>
      <c r="G5928">
        <v>1</v>
      </c>
      <c r="H5928" t="s">
        <v>8588</v>
      </c>
      <c r="I5928">
        <v>6</v>
      </c>
      <c r="J5928" t="s">
        <v>445</v>
      </c>
      <c r="K5928" t="s">
        <v>446</v>
      </c>
      <c r="M5928">
        <v>3111</v>
      </c>
      <c r="N5928" t="s">
        <v>16233</v>
      </c>
    </row>
    <row r="5929" spans="1:14">
      <c r="A5929">
        <v>22264000</v>
      </c>
      <c r="B5929">
        <v>3042739</v>
      </c>
      <c r="C5929" t="s">
        <v>11256</v>
      </c>
      <c r="D5929" t="s">
        <v>441</v>
      </c>
      <c r="F5929">
        <v>0</v>
      </c>
      <c r="G5929">
        <v>1</v>
      </c>
      <c r="H5929" t="s">
        <v>8549</v>
      </c>
      <c r="I5929">
        <v>6</v>
      </c>
      <c r="J5929" t="s">
        <v>445</v>
      </c>
      <c r="K5929" t="s">
        <v>446</v>
      </c>
      <c r="M5929">
        <v>2391</v>
      </c>
      <c r="N5929" t="s">
        <v>16233</v>
      </c>
    </row>
    <row r="5930" spans="1:14">
      <c r="A5930">
        <v>22264007</v>
      </c>
      <c r="B5930">
        <v>3042749</v>
      </c>
      <c r="C5930" t="s">
        <v>11257</v>
      </c>
      <c r="D5930" t="s">
        <v>441</v>
      </c>
      <c r="F5930">
        <v>0</v>
      </c>
      <c r="G5930">
        <v>1</v>
      </c>
      <c r="H5930" t="s">
        <v>8588</v>
      </c>
      <c r="I5930">
        <v>6</v>
      </c>
      <c r="J5930" t="s">
        <v>445</v>
      </c>
      <c r="K5930" t="s">
        <v>446</v>
      </c>
      <c r="M5930">
        <v>3111</v>
      </c>
      <c r="N5930" t="s">
        <v>16233</v>
      </c>
    </row>
    <row r="5931" spans="1:14">
      <c r="A5931">
        <v>22270000</v>
      </c>
      <c r="B5931">
        <v>3042711</v>
      </c>
      <c r="C5931" t="s">
        <v>11258</v>
      </c>
      <c r="D5931" t="s">
        <v>441</v>
      </c>
      <c r="F5931">
        <v>0</v>
      </c>
      <c r="G5931">
        <v>4.76</v>
      </c>
      <c r="H5931" t="s">
        <v>8549</v>
      </c>
      <c r="I5931">
        <v>6</v>
      </c>
      <c r="J5931" t="s">
        <v>445</v>
      </c>
      <c r="M5931">
        <v>2391</v>
      </c>
      <c r="N5931" t="s">
        <v>16234</v>
      </c>
    </row>
    <row r="5932" spans="1:14">
      <c r="A5932">
        <v>22270007</v>
      </c>
      <c r="B5932">
        <v>3042750</v>
      </c>
      <c r="C5932" t="s">
        <v>11259</v>
      </c>
      <c r="D5932" t="s">
        <v>441</v>
      </c>
      <c r="F5932">
        <v>0</v>
      </c>
      <c r="G5932">
        <v>4.8600000000000003</v>
      </c>
      <c r="H5932" t="s">
        <v>8588</v>
      </c>
      <c r="I5932">
        <v>6</v>
      </c>
      <c r="J5932" t="s">
        <v>445</v>
      </c>
      <c r="M5932">
        <v>3111</v>
      </c>
      <c r="N5932" t="s">
        <v>16234</v>
      </c>
    </row>
    <row r="5933" spans="1:14">
      <c r="A5933">
        <v>22270907</v>
      </c>
      <c r="B5933">
        <v>3042809</v>
      </c>
      <c r="C5933" t="s">
        <v>11260</v>
      </c>
      <c r="D5933" t="s">
        <v>441</v>
      </c>
      <c r="F5933">
        <v>0</v>
      </c>
      <c r="G5933">
        <v>1</v>
      </c>
      <c r="H5933" t="s">
        <v>8588</v>
      </c>
      <c r="I5933">
        <v>6</v>
      </c>
      <c r="J5933" t="s">
        <v>445</v>
      </c>
      <c r="M5933">
        <v>6666</v>
      </c>
      <c r="N5933" t="s">
        <v>16234</v>
      </c>
    </row>
    <row r="5934" spans="1:14">
      <c r="A5934">
        <v>22274000</v>
      </c>
      <c r="B5934">
        <v>3042740</v>
      </c>
      <c r="C5934" t="s">
        <v>11261</v>
      </c>
      <c r="D5934" t="s">
        <v>441</v>
      </c>
      <c r="F5934">
        <v>0</v>
      </c>
      <c r="G5934">
        <v>4.76</v>
      </c>
      <c r="H5934" t="s">
        <v>8549</v>
      </c>
      <c r="I5934">
        <v>6</v>
      </c>
      <c r="J5934" t="s">
        <v>445</v>
      </c>
      <c r="M5934">
        <v>2391</v>
      </c>
      <c r="N5934" t="s">
        <v>16234</v>
      </c>
    </row>
    <row r="5935" spans="1:14">
      <c r="A5935">
        <v>22274007</v>
      </c>
      <c r="B5935">
        <v>3042751</v>
      </c>
      <c r="C5935" t="s">
        <v>11262</v>
      </c>
      <c r="D5935" t="s">
        <v>441</v>
      </c>
      <c r="F5935">
        <v>0</v>
      </c>
      <c r="G5935">
        <v>4.8600000000000003</v>
      </c>
      <c r="H5935" t="s">
        <v>8588</v>
      </c>
      <c r="I5935">
        <v>6</v>
      </c>
      <c r="J5935" t="s">
        <v>445</v>
      </c>
      <c r="M5935">
        <v>3111</v>
      </c>
      <c r="N5935" t="s">
        <v>16234</v>
      </c>
    </row>
    <row r="5936" spans="1:14">
      <c r="A5936">
        <v>22274907</v>
      </c>
      <c r="B5936">
        <v>3042896</v>
      </c>
      <c r="C5936" t="s">
        <v>11263</v>
      </c>
      <c r="D5936" t="s">
        <v>441</v>
      </c>
      <c r="F5936">
        <v>0</v>
      </c>
      <c r="G5936">
        <v>1</v>
      </c>
      <c r="H5936" t="s">
        <v>8588</v>
      </c>
      <c r="I5936">
        <v>6</v>
      </c>
      <c r="J5936" t="s">
        <v>445</v>
      </c>
      <c r="M5936">
        <v>6666</v>
      </c>
      <c r="N5936" t="s">
        <v>16234</v>
      </c>
    </row>
    <row r="5937" spans="1:14">
      <c r="A5937">
        <v>22280000</v>
      </c>
      <c r="B5937">
        <v>3042712</v>
      </c>
      <c r="C5937" t="s">
        <v>11264</v>
      </c>
      <c r="D5937" t="s">
        <v>441</v>
      </c>
      <c r="F5937">
        <v>0</v>
      </c>
      <c r="G5937">
        <v>3.39</v>
      </c>
      <c r="H5937" t="s">
        <v>8549</v>
      </c>
      <c r="I5937">
        <v>6</v>
      </c>
      <c r="J5937" t="s">
        <v>445</v>
      </c>
      <c r="M5937">
        <v>2391</v>
      </c>
      <c r="N5937" t="s">
        <v>16235</v>
      </c>
    </row>
    <row r="5938" spans="1:14">
      <c r="A5938">
        <v>22280007</v>
      </c>
      <c r="B5938">
        <v>3042752</v>
      </c>
      <c r="C5938" t="s">
        <v>11265</v>
      </c>
      <c r="D5938" t="s">
        <v>441</v>
      </c>
      <c r="F5938">
        <v>0</v>
      </c>
      <c r="G5938">
        <v>3.49</v>
      </c>
      <c r="H5938" t="s">
        <v>8588</v>
      </c>
      <c r="I5938">
        <v>6</v>
      </c>
      <c r="J5938" t="s">
        <v>445</v>
      </c>
      <c r="M5938">
        <v>3111</v>
      </c>
      <c r="N5938" t="s">
        <v>16235</v>
      </c>
    </row>
    <row r="5939" spans="1:14">
      <c r="A5939">
        <v>22280907</v>
      </c>
      <c r="B5939">
        <v>3042877</v>
      </c>
      <c r="C5939" t="s">
        <v>11266</v>
      </c>
      <c r="D5939" t="s">
        <v>441</v>
      </c>
      <c r="F5939">
        <v>0</v>
      </c>
      <c r="G5939">
        <v>1</v>
      </c>
      <c r="H5939" t="s">
        <v>8588</v>
      </c>
      <c r="I5939">
        <v>6</v>
      </c>
      <c r="J5939" t="s">
        <v>445</v>
      </c>
      <c r="M5939">
        <v>6666</v>
      </c>
      <c r="N5939" t="s">
        <v>16235</v>
      </c>
    </row>
    <row r="5940" spans="1:14">
      <c r="A5940">
        <v>22284000</v>
      </c>
      <c r="B5940">
        <v>3042741</v>
      </c>
      <c r="C5940" t="s">
        <v>11267</v>
      </c>
      <c r="D5940" t="s">
        <v>441</v>
      </c>
      <c r="F5940">
        <v>0</v>
      </c>
      <c r="G5940">
        <v>3.39</v>
      </c>
      <c r="H5940" t="s">
        <v>8549</v>
      </c>
      <c r="I5940">
        <v>6</v>
      </c>
      <c r="J5940" t="s">
        <v>445</v>
      </c>
      <c r="M5940">
        <v>2391</v>
      </c>
      <c r="N5940" t="s">
        <v>16235</v>
      </c>
    </row>
    <row r="5941" spans="1:14">
      <c r="A5941">
        <v>22284007</v>
      </c>
      <c r="B5941">
        <v>3042753</v>
      </c>
      <c r="C5941" t="s">
        <v>11268</v>
      </c>
      <c r="D5941" t="s">
        <v>441</v>
      </c>
      <c r="F5941">
        <v>0</v>
      </c>
      <c r="G5941">
        <v>3.49</v>
      </c>
      <c r="H5941" t="s">
        <v>8588</v>
      </c>
      <c r="I5941">
        <v>6</v>
      </c>
      <c r="J5941" t="s">
        <v>445</v>
      </c>
      <c r="M5941">
        <v>3111</v>
      </c>
      <c r="N5941" t="s">
        <v>16235</v>
      </c>
    </row>
    <row r="5942" spans="1:14">
      <c r="A5942">
        <v>22284907</v>
      </c>
      <c r="B5942">
        <v>3042898</v>
      </c>
      <c r="C5942" t="s">
        <v>11269</v>
      </c>
      <c r="D5942" t="s">
        <v>441</v>
      </c>
      <c r="F5942">
        <v>0</v>
      </c>
      <c r="G5942">
        <v>1</v>
      </c>
      <c r="H5942" t="s">
        <v>8588</v>
      </c>
      <c r="I5942">
        <v>6</v>
      </c>
      <c r="J5942" t="s">
        <v>445</v>
      </c>
      <c r="M5942">
        <v>6666</v>
      </c>
      <c r="N5942" t="s">
        <v>16235</v>
      </c>
    </row>
    <row r="5943" spans="1:14">
      <c r="A5943">
        <v>22290000</v>
      </c>
      <c r="B5943">
        <v>3043105</v>
      </c>
      <c r="C5943" t="s">
        <v>11270</v>
      </c>
      <c r="D5943" t="s">
        <v>441</v>
      </c>
      <c r="F5943">
        <v>0</v>
      </c>
      <c r="G5943">
        <v>7.4</v>
      </c>
      <c r="H5943" t="s">
        <v>8549</v>
      </c>
      <c r="I5943">
        <v>6</v>
      </c>
      <c r="J5943" t="s">
        <v>445</v>
      </c>
      <c r="M5943">
        <v>2391</v>
      </c>
      <c r="N5943" t="s">
        <v>16236</v>
      </c>
    </row>
    <row r="5944" spans="1:14">
      <c r="A5944">
        <v>22290007</v>
      </c>
      <c r="B5944">
        <v>3043108</v>
      </c>
      <c r="C5944" t="s">
        <v>11271</v>
      </c>
      <c r="D5944" t="s">
        <v>441</v>
      </c>
      <c r="F5944">
        <v>0</v>
      </c>
      <c r="G5944">
        <v>11.64</v>
      </c>
      <c r="H5944" t="s">
        <v>8588</v>
      </c>
      <c r="I5944">
        <v>6</v>
      </c>
      <c r="J5944" t="s">
        <v>445</v>
      </c>
      <c r="M5944">
        <v>3111</v>
      </c>
      <c r="N5944" t="s">
        <v>16236</v>
      </c>
    </row>
    <row r="5945" spans="1:14">
      <c r="A5945">
        <v>22290087</v>
      </c>
      <c r="B5945">
        <v>3043121</v>
      </c>
      <c r="C5945" t="s">
        <v>11272</v>
      </c>
      <c r="D5945" t="s">
        <v>441</v>
      </c>
      <c r="F5945">
        <v>0</v>
      </c>
      <c r="G5945">
        <v>11.64</v>
      </c>
      <c r="H5945" t="s">
        <v>8588</v>
      </c>
      <c r="I5945">
        <v>6</v>
      </c>
      <c r="J5945" t="s">
        <v>445</v>
      </c>
      <c r="M5945">
        <v>3111</v>
      </c>
      <c r="N5945" t="s">
        <v>16236</v>
      </c>
    </row>
    <row r="5946" spans="1:14">
      <c r="A5946">
        <v>22290907</v>
      </c>
      <c r="B5946">
        <v>3043177</v>
      </c>
      <c r="C5946" t="s">
        <v>11273</v>
      </c>
      <c r="D5946" t="s">
        <v>441</v>
      </c>
      <c r="F5946">
        <v>0</v>
      </c>
      <c r="G5946">
        <v>11.64</v>
      </c>
      <c r="H5946" t="s">
        <v>8588</v>
      </c>
      <c r="I5946">
        <v>6</v>
      </c>
      <c r="J5946" t="s">
        <v>445</v>
      </c>
      <c r="M5946">
        <v>6666</v>
      </c>
      <c r="N5946" t="s">
        <v>16236</v>
      </c>
    </row>
    <row r="5947" spans="1:14">
      <c r="A5947">
        <v>22294000</v>
      </c>
      <c r="B5947">
        <v>3043106</v>
      </c>
      <c r="C5947" t="s">
        <v>11274</v>
      </c>
      <c r="D5947" t="s">
        <v>441</v>
      </c>
      <c r="F5947">
        <v>0</v>
      </c>
      <c r="G5947">
        <v>7.4</v>
      </c>
      <c r="H5947" t="s">
        <v>8549</v>
      </c>
      <c r="I5947">
        <v>6</v>
      </c>
      <c r="J5947" t="s">
        <v>445</v>
      </c>
      <c r="M5947">
        <v>2391</v>
      </c>
      <c r="N5947" t="s">
        <v>16236</v>
      </c>
    </row>
    <row r="5948" spans="1:14">
      <c r="A5948">
        <v>22294007</v>
      </c>
      <c r="B5948">
        <v>3043107</v>
      </c>
      <c r="C5948" t="s">
        <v>11275</v>
      </c>
      <c r="D5948" t="s">
        <v>441</v>
      </c>
      <c r="F5948">
        <v>0</v>
      </c>
      <c r="G5948">
        <v>11.64</v>
      </c>
      <c r="H5948" t="s">
        <v>8588</v>
      </c>
      <c r="I5948">
        <v>6</v>
      </c>
      <c r="J5948" t="s">
        <v>445</v>
      </c>
      <c r="M5948">
        <v>3111</v>
      </c>
      <c r="N5948" t="s">
        <v>16236</v>
      </c>
    </row>
    <row r="5949" spans="1:14">
      <c r="A5949">
        <v>22294087</v>
      </c>
      <c r="B5949">
        <v>3043120</v>
      </c>
      <c r="C5949" t="s">
        <v>11276</v>
      </c>
      <c r="D5949" t="s">
        <v>441</v>
      </c>
      <c r="F5949">
        <v>0</v>
      </c>
      <c r="G5949">
        <v>11.64</v>
      </c>
      <c r="H5949" t="s">
        <v>8588</v>
      </c>
      <c r="I5949">
        <v>6</v>
      </c>
      <c r="J5949" t="s">
        <v>445</v>
      </c>
      <c r="M5949">
        <v>3111</v>
      </c>
      <c r="N5949" t="s">
        <v>16236</v>
      </c>
    </row>
    <row r="5950" spans="1:14">
      <c r="A5950">
        <v>22294907</v>
      </c>
      <c r="B5950">
        <v>3043176</v>
      </c>
      <c r="C5950" t="s">
        <v>11277</v>
      </c>
      <c r="D5950" t="s">
        <v>441</v>
      </c>
      <c r="F5950">
        <v>0</v>
      </c>
      <c r="G5950">
        <v>11.64</v>
      </c>
      <c r="H5950" t="s">
        <v>8588</v>
      </c>
      <c r="I5950">
        <v>6</v>
      </c>
      <c r="J5950" t="s">
        <v>445</v>
      </c>
      <c r="M5950">
        <v>6666</v>
      </c>
      <c r="N5950" t="s">
        <v>16236</v>
      </c>
    </row>
    <row r="5951" spans="1:14">
      <c r="A5951">
        <v>22300000</v>
      </c>
      <c r="B5951">
        <v>3044625</v>
      </c>
      <c r="C5951" t="s">
        <v>15270</v>
      </c>
      <c r="D5951" t="s">
        <v>441</v>
      </c>
      <c r="F5951">
        <v>0</v>
      </c>
      <c r="G5951">
        <v>13.3</v>
      </c>
      <c r="H5951" t="s">
        <v>8549</v>
      </c>
      <c r="I5951">
        <v>6</v>
      </c>
      <c r="J5951" t="s">
        <v>445</v>
      </c>
      <c r="M5951">
        <v>2391</v>
      </c>
      <c r="N5951" t="s">
        <v>16219</v>
      </c>
    </row>
    <row r="5952" spans="1:14">
      <c r="A5952">
        <v>22300087</v>
      </c>
      <c r="B5952">
        <v>3044626</v>
      </c>
      <c r="C5952" t="s">
        <v>15271</v>
      </c>
      <c r="D5952" t="s">
        <v>441</v>
      </c>
      <c r="F5952">
        <v>0</v>
      </c>
      <c r="G5952">
        <v>13.44</v>
      </c>
      <c r="H5952" t="s">
        <v>8588</v>
      </c>
      <c r="I5952">
        <v>6</v>
      </c>
      <c r="J5952" t="s">
        <v>445</v>
      </c>
      <c r="M5952">
        <v>7112</v>
      </c>
      <c r="N5952" t="s">
        <v>16219</v>
      </c>
    </row>
    <row r="5953" spans="1:14">
      <c r="A5953">
        <v>22304000</v>
      </c>
      <c r="B5953">
        <v>3044668</v>
      </c>
      <c r="C5953" t="s">
        <v>15320</v>
      </c>
      <c r="D5953" t="s">
        <v>441</v>
      </c>
      <c r="F5953">
        <v>0</v>
      </c>
      <c r="G5953">
        <v>14.3</v>
      </c>
      <c r="H5953" t="s">
        <v>8549</v>
      </c>
      <c r="I5953">
        <v>6</v>
      </c>
      <c r="J5953" t="s">
        <v>445</v>
      </c>
      <c r="M5953">
        <v>2391</v>
      </c>
      <c r="N5953" t="s">
        <v>16219</v>
      </c>
    </row>
    <row r="5954" spans="1:14">
      <c r="A5954">
        <v>22304087</v>
      </c>
      <c r="B5954">
        <v>3044669</v>
      </c>
      <c r="C5954" t="s">
        <v>15321</v>
      </c>
      <c r="D5954" t="s">
        <v>441</v>
      </c>
      <c r="F5954">
        <v>0</v>
      </c>
      <c r="G5954">
        <v>14.45</v>
      </c>
      <c r="H5954" t="s">
        <v>8588</v>
      </c>
      <c r="I5954">
        <v>6</v>
      </c>
      <c r="J5954" t="s">
        <v>445</v>
      </c>
      <c r="M5954">
        <v>7112</v>
      </c>
      <c r="N5954" t="s">
        <v>16219</v>
      </c>
    </row>
    <row r="5955" spans="1:14">
      <c r="A5955">
        <v>22350010</v>
      </c>
      <c r="B5955">
        <v>3025550</v>
      </c>
      <c r="C5955" t="s">
        <v>2876</v>
      </c>
      <c r="D5955" t="s">
        <v>441</v>
      </c>
      <c r="F5955">
        <v>0</v>
      </c>
      <c r="H5955" t="s">
        <v>8588</v>
      </c>
      <c r="I5955">
        <v>6</v>
      </c>
      <c r="J5955" t="s">
        <v>445</v>
      </c>
      <c r="M5955">
        <v>7161</v>
      </c>
      <c r="N5955" t="s">
        <v>16225</v>
      </c>
    </row>
    <row r="5956" spans="1:14">
      <c r="A5956">
        <v>22370000</v>
      </c>
      <c r="B5956">
        <v>3007955</v>
      </c>
      <c r="C5956" t="s">
        <v>11278</v>
      </c>
      <c r="D5956" t="s">
        <v>441</v>
      </c>
      <c r="F5956">
        <v>0</v>
      </c>
      <c r="G5956">
        <v>0.8</v>
      </c>
      <c r="H5956" t="s">
        <v>8580</v>
      </c>
      <c r="I5956">
        <v>5</v>
      </c>
      <c r="J5956" t="s">
        <v>445</v>
      </c>
      <c r="M5956">
        <v>2391</v>
      </c>
      <c r="N5956" t="s">
        <v>16237</v>
      </c>
    </row>
    <row r="5957" spans="1:14">
      <c r="A5957">
        <v>22370120</v>
      </c>
      <c r="B5957">
        <v>3007956</v>
      </c>
      <c r="C5957" t="s">
        <v>11279</v>
      </c>
      <c r="D5957" t="s">
        <v>441</v>
      </c>
      <c r="F5957">
        <v>0</v>
      </c>
      <c r="H5957" t="s">
        <v>8584</v>
      </c>
      <c r="I5957">
        <v>9</v>
      </c>
      <c r="J5957" t="s">
        <v>445</v>
      </c>
      <c r="K5957" t="s">
        <v>446</v>
      </c>
      <c r="M5957">
        <v>0</v>
      </c>
    </row>
    <row r="5958" spans="1:14">
      <c r="A5958">
        <v>22373000</v>
      </c>
      <c r="B5958">
        <v>3024325</v>
      </c>
      <c r="C5958" t="s">
        <v>11280</v>
      </c>
      <c r="D5958" t="s">
        <v>441</v>
      </c>
      <c r="F5958">
        <v>0</v>
      </c>
      <c r="G5958">
        <v>0.8</v>
      </c>
      <c r="H5958" t="s">
        <v>8580</v>
      </c>
      <c r="I5958">
        <v>5</v>
      </c>
      <c r="J5958" t="s">
        <v>445</v>
      </c>
      <c r="M5958">
        <v>2391</v>
      </c>
      <c r="N5958" t="s">
        <v>16237</v>
      </c>
    </row>
    <row r="5959" spans="1:14">
      <c r="A5959">
        <v>22390000</v>
      </c>
      <c r="B5959">
        <v>3015994</v>
      </c>
      <c r="C5959" t="s">
        <v>11281</v>
      </c>
      <c r="D5959" t="s">
        <v>441</v>
      </c>
      <c r="F5959">
        <v>0</v>
      </c>
      <c r="G5959">
        <v>0</v>
      </c>
      <c r="H5959" t="s">
        <v>8580</v>
      </c>
      <c r="I5959">
        <v>6</v>
      </c>
      <c r="J5959" t="s">
        <v>445</v>
      </c>
      <c r="M5959">
        <v>2391</v>
      </c>
      <c r="N5959" t="s">
        <v>16238</v>
      </c>
    </row>
    <row r="5960" spans="1:14">
      <c r="A5960">
        <v>22390002</v>
      </c>
      <c r="B5960">
        <v>3007958</v>
      </c>
      <c r="C5960" t="s">
        <v>2877</v>
      </c>
      <c r="D5960" t="s">
        <v>441</v>
      </c>
      <c r="F5960">
        <v>0</v>
      </c>
      <c r="G5960">
        <v>10.78</v>
      </c>
      <c r="H5960" t="s">
        <v>8584</v>
      </c>
      <c r="I5960">
        <v>365</v>
      </c>
      <c r="J5960" t="s">
        <v>445</v>
      </c>
      <c r="K5960" t="s">
        <v>446</v>
      </c>
      <c r="M5960">
        <v>2501</v>
      </c>
    </row>
    <row r="5961" spans="1:14">
      <c r="A5961">
        <v>22390502</v>
      </c>
      <c r="B5961">
        <v>3006291</v>
      </c>
      <c r="C5961" t="s">
        <v>2878</v>
      </c>
      <c r="D5961" t="s">
        <v>441</v>
      </c>
      <c r="F5961">
        <v>0</v>
      </c>
      <c r="G5961">
        <v>10.51</v>
      </c>
      <c r="H5961" t="s">
        <v>8584</v>
      </c>
      <c r="I5961">
        <v>6</v>
      </c>
      <c r="J5961" t="s">
        <v>445</v>
      </c>
      <c r="K5961" t="s">
        <v>446</v>
      </c>
      <c r="M5961">
        <v>2641</v>
      </c>
    </row>
    <row r="5962" spans="1:14">
      <c r="A5962">
        <v>22390602</v>
      </c>
      <c r="B5962">
        <v>3007959</v>
      </c>
      <c r="C5962" t="s">
        <v>2879</v>
      </c>
      <c r="D5962" t="s">
        <v>441</v>
      </c>
      <c r="F5962">
        <v>0</v>
      </c>
      <c r="G5962">
        <v>11.07</v>
      </c>
      <c r="H5962" t="s">
        <v>8588</v>
      </c>
      <c r="I5962">
        <v>4</v>
      </c>
      <c r="J5962" t="s">
        <v>445</v>
      </c>
      <c r="K5962" t="s">
        <v>446</v>
      </c>
      <c r="M5962">
        <v>2511</v>
      </c>
    </row>
    <row r="5963" spans="1:14">
      <c r="A5963">
        <v>22390902</v>
      </c>
      <c r="B5963">
        <v>3020326</v>
      </c>
      <c r="C5963" t="s">
        <v>2880</v>
      </c>
      <c r="D5963" t="s">
        <v>441</v>
      </c>
      <c r="F5963">
        <v>0</v>
      </c>
      <c r="G5963">
        <v>9.7899999999999991</v>
      </c>
      <c r="H5963" t="s">
        <v>8584</v>
      </c>
      <c r="I5963">
        <v>4</v>
      </c>
      <c r="J5963" t="s">
        <v>445</v>
      </c>
      <c r="K5963" t="s">
        <v>446</v>
      </c>
      <c r="M5963">
        <v>6666</v>
      </c>
    </row>
    <row r="5964" spans="1:14">
      <c r="A5964">
        <v>22393000</v>
      </c>
      <c r="B5964">
        <v>3016312</v>
      </c>
      <c r="C5964" t="s">
        <v>17450</v>
      </c>
      <c r="D5964" t="s">
        <v>441</v>
      </c>
      <c r="F5964">
        <v>0</v>
      </c>
      <c r="G5964">
        <v>15.3</v>
      </c>
      <c r="H5964" t="s">
        <v>8588</v>
      </c>
      <c r="I5964">
        <v>6</v>
      </c>
      <c r="J5964" t="s">
        <v>445</v>
      </c>
      <c r="M5964">
        <v>2391</v>
      </c>
      <c r="N5964" t="s">
        <v>16238</v>
      </c>
    </row>
    <row r="5965" spans="1:14">
      <c r="A5965">
        <v>22393007</v>
      </c>
      <c r="B5965">
        <v>3025005</v>
      </c>
      <c r="C5965" t="s">
        <v>17451</v>
      </c>
      <c r="D5965" t="s">
        <v>441</v>
      </c>
      <c r="F5965">
        <v>0</v>
      </c>
      <c r="G5965">
        <v>15.46</v>
      </c>
      <c r="H5965" t="s">
        <v>8588</v>
      </c>
      <c r="I5965">
        <v>6</v>
      </c>
      <c r="J5965" t="s">
        <v>445</v>
      </c>
      <c r="M5965">
        <v>3113</v>
      </c>
      <c r="N5965" t="s">
        <v>16238</v>
      </c>
    </row>
    <row r="5966" spans="1:14">
      <c r="A5966">
        <v>22393900</v>
      </c>
      <c r="B5966">
        <v>3020327</v>
      </c>
      <c r="C5966" t="s">
        <v>17452</v>
      </c>
      <c r="D5966" t="s">
        <v>441</v>
      </c>
      <c r="F5966">
        <v>0</v>
      </c>
      <c r="G5966">
        <v>0</v>
      </c>
      <c r="H5966" t="s">
        <v>8584</v>
      </c>
      <c r="I5966">
        <v>6</v>
      </c>
      <c r="J5966" t="s">
        <v>445</v>
      </c>
      <c r="M5966">
        <v>6666</v>
      </c>
      <c r="N5966" t="s">
        <v>16238</v>
      </c>
    </row>
    <row r="5967" spans="1:14">
      <c r="A5967">
        <v>22393907</v>
      </c>
      <c r="B5967">
        <v>3025265</v>
      </c>
      <c r="C5967" t="s">
        <v>17453</v>
      </c>
      <c r="D5967" t="s">
        <v>441</v>
      </c>
      <c r="F5967">
        <v>0</v>
      </c>
      <c r="G5967">
        <v>0</v>
      </c>
      <c r="I5967">
        <v>6</v>
      </c>
      <c r="J5967" t="s">
        <v>445</v>
      </c>
      <c r="M5967">
        <v>6666</v>
      </c>
      <c r="N5967" t="s">
        <v>16238</v>
      </c>
    </row>
    <row r="5968" spans="1:14">
      <c r="A5968">
        <v>22394000</v>
      </c>
      <c r="B5968">
        <v>3039625</v>
      </c>
      <c r="C5968" t="s">
        <v>11282</v>
      </c>
      <c r="D5968" t="s">
        <v>441</v>
      </c>
      <c r="F5968">
        <v>0</v>
      </c>
      <c r="G5968">
        <v>7.3</v>
      </c>
      <c r="H5968" t="s">
        <v>8549</v>
      </c>
      <c r="I5968">
        <v>6</v>
      </c>
      <c r="J5968" t="s">
        <v>445</v>
      </c>
      <c r="M5968">
        <v>2391</v>
      </c>
      <c r="N5968" t="s">
        <v>16238</v>
      </c>
    </row>
    <row r="5969" spans="1:14">
      <c r="A5969">
        <v>22394007</v>
      </c>
      <c r="B5969">
        <v>3039052</v>
      </c>
      <c r="C5969" t="s">
        <v>17454</v>
      </c>
      <c r="D5969" t="s">
        <v>441</v>
      </c>
      <c r="F5969">
        <v>0</v>
      </c>
      <c r="G5969">
        <v>15.46</v>
      </c>
      <c r="H5969" t="s">
        <v>8588</v>
      </c>
      <c r="I5969">
        <v>6</v>
      </c>
      <c r="J5969" t="s">
        <v>445</v>
      </c>
      <c r="M5969">
        <v>3113</v>
      </c>
      <c r="N5969" t="s">
        <v>16238</v>
      </c>
    </row>
    <row r="5970" spans="1:14">
      <c r="A5970">
        <v>22394907</v>
      </c>
      <c r="B5970">
        <v>3039068</v>
      </c>
      <c r="C5970" t="s">
        <v>17455</v>
      </c>
      <c r="D5970" t="s">
        <v>441</v>
      </c>
      <c r="F5970">
        <v>0</v>
      </c>
      <c r="H5970" t="s">
        <v>8580</v>
      </c>
      <c r="I5970">
        <v>6</v>
      </c>
      <c r="J5970" t="s">
        <v>445</v>
      </c>
      <c r="M5970">
        <v>6666</v>
      </c>
      <c r="N5970" t="s">
        <v>16238</v>
      </c>
    </row>
    <row r="5971" spans="1:14">
      <c r="A5971">
        <v>22484000</v>
      </c>
      <c r="B5971">
        <v>3041063</v>
      </c>
      <c r="C5971" t="s">
        <v>11283</v>
      </c>
      <c r="D5971" t="s">
        <v>441</v>
      </c>
      <c r="F5971">
        <v>0</v>
      </c>
      <c r="G5971">
        <v>7.5</v>
      </c>
      <c r="H5971" t="s">
        <v>8588</v>
      </c>
      <c r="I5971">
        <v>6</v>
      </c>
      <c r="J5971" t="s">
        <v>445</v>
      </c>
      <c r="M5971">
        <v>2391</v>
      </c>
      <c r="N5971" t="s">
        <v>16226</v>
      </c>
    </row>
    <row r="5972" spans="1:14">
      <c r="A5972">
        <v>22484007</v>
      </c>
      <c r="B5972">
        <v>3041070</v>
      </c>
      <c r="C5972" t="s">
        <v>11284</v>
      </c>
      <c r="D5972" t="s">
        <v>441</v>
      </c>
      <c r="F5972">
        <v>0</v>
      </c>
      <c r="G5972">
        <v>7.6</v>
      </c>
      <c r="H5972" t="s">
        <v>8549</v>
      </c>
      <c r="I5972">
        <v>6</v>
      </c>
      <c r="J5972" t="s">
        <v>445</v>
      </c>
      <c r="M5972">
        <v>2391</v>
      </c>
      <c r="N5972" t="s">
        <v>16226</v>
      </c>
    </row>
    <row r="5973" spans="1:14">
      <c r="A5973">
        <v>22484019</v>
      </c>
      <c r="B5973">
        <v>3041062</v>
      </c>
      <c r="C5973" t="s">
        <v>11285</v>
      </c>
      <c r="D5973" t="s">
        <v>441</v>
      </c>
      <c r="F5973">
        <v>0</v>
      </c>
      <c r="G5973">
        <v>7.96</v>
      </c>
      <c r="H5973" t="s">
        <v>8588</v>
      </c>
      <c r="I5973">
        <v>365</v>
      </c>
      <c r="J5973" t="s">
        <v>445</v>
      </c>
      <c r="M5973">
        <v>7111</v>
      </c>
      <c r="N5973" t="s">
        <v>16226</v>
      </c>
    </row>
    <row r="5974" spans="1:14">
      <c r="A5974">
        <v>22484300</v>
      </c>
      <c r="B5974">
        <v>3041056</v>
      </c>
      <c r="C5974" t="s">
        <v>11286</v>
      </c>
      <c r="D5974" t="s">
        <v>441</v>
      </c>
      <c r="F5974">
        <v>0</v>
      </c>
      <c r="G5974">
        <v>9.1</v>
      </c>
      <c r="H5974" t="s">
        <v>8588</v>
      </c>
      <c r="I5974">
        <v>6</v>
      </c>
      <c r="J5974" t="s">
        <v>445</v>
      </c>
      <c r="M5974">
        <v>2391</v>
      </c>
      <c r="N5974" t="s">
        <v>16226</v>
      </c>
    </row>
    <row r="5975" spans="1:14">
      <c r="A5975">
        <v>22484519</v>
      </c>
      <c r="B5975">
        <v>3041061</v>
      </c>
      <c r="C5975" t="s">
        <v>11287</v>
      </c>
      <c r="D5975" t="s">
        <v>441</v>
      </c>
      <c r="F5975">
        <v>0</v>
      </c>
      <c r="G5975">
        <v>7.61</v>
      </c>
      <c r="I5975">
        <v>365</v>
      </c>
      <c r="J5975" t="s">
        <v>445</v>
      </c>
      <c r="M5975">
        <v>2502</v>
      </c>
      <c r="N5975" t="s">
        <v>16226</v>
      </c>
    </row>
    <row r="5976" spans="1:14">
      <c r="A5976">
        <v>22484619</v>
      </c>
      <c r="B5976">
        <v>3042098</v>
      </c>
      <c r="C5976" t="s">
        <v>11288</v>
      </c>
      <c r="D5976" t="s">
        <v>441</v>
      </c>
      <c r="F5976">
        <v>0</v>
      </c>
      <c r="G5976">
        <v>6.74</v>
      </c>
      <c r="H5976" t="s">
        <v>8549</v>
      </c>
      <c r="I5976">
        <v>4</v>
      </c>
      <c r="J5976" t="s">
        <v>445</v>
      </c>
      <c r="M5976">
        <v>2510</v>
      </c>
      <c r="N5976" t="s">
        <v>16226</v>
      </c>
    </row>
    <row r="5977" spans="1:14">
      <c r="A5977">
        <v>22484919</v>
      </c>
      <c r="B5977">
        <v>3042161</v>
      </c>
      <c r="C5977" t="s">
        <v>11289</v>
      </c>
      <c r="D5977" t="s">
        <v>441</v>
      </c>
      <c r="F5977">
        <v>0</v>
      </c>
      <c r="G5977">
        <v>1</v>
      </c>
      <c r="H5977" t="s">
        <v>8549</v>
      </c>
      <c r="I5977">
        <v>4</v>
      </c>
      <c r="J5977" t="s">
        <v>445</v>
      </c>
      <c r="M5977">
        <v>6666</v>
      </c>
      <c r="N5977" t="s">
        <v>16226</v>
      </c>
    </row>
    <row r="5978" spans="1:14">
      <c r="A5978">
        <v>22550000</v>
      </c>
      <c r="B5978">
        <v>3044059</v>
      </c>
      <c r="C5978" t="s">
        <v>17456</v>
      </c>
      <c r="D5978" t="s">
        <v>441</v>
      </c>
      <c r="F5978">
        <v>0</v>
      </c>
      <c r="G5978">
        <v>5.85</v>
      </c>
      <c r="H5978" t="s">
        <v>8588</v>
      </c>
      <c r="I5978">
        <v>6</v>
      </c>
      <c r="J5978" t="s">
        <v>445</v>
      </c>
      <c r="M5978">
        <v>2143</v>
      </c>
      <c r="N5978" t="s">
        <v>16239</v>
      </c>
    </row>
    <row r="5979" spans="1:14">
      <c r="A5979">
        <v>22550025</v>
      </c>
      <c r="B5979">
        <v>4029063</v>
      </c>
      <c r="C5979" t="s">
        <v>14427</v>
      </c>
      <c r="D5979" t="s">
        <v>442</v>
      </c>
      <c r="E5979" t="s">
        <v>441</v>
      </c>
      <c r="F5979">
        <v>10</v>
      </c>
      <c r="G5979">
        <v>50.82</v>
      </c>
      <c r="H5979" t="s">
        <v>8588</v>
      </c>
      <c r="I5979">
        <v>365</v>
      </c>
      <c r="J5979" t="s">
        <v>462</v>
      </c>
      <c r="L5979" t="s">
        <v>14428</v>
      </c>
      <c r="M5979">
        <v>7111</v>
      </c>
      <c r="N5979" t="s">
        <v>16239</v>
      </c>
    </row>
    <row r="5980" spans="1:14">
      <c r="A5980">
        <v>22550525</v>
      </c>
      <c r="B5980">
        <v>3044094</v>
      </c>
      <c r="C5980" t="s">
        <v>17457</v>
      </c>
      <c r="D5980" t="s">
        <v>442</v>
      </c>
      <c r="E5980" t="s">
        <v>441</v>
      </c>
      <c r="F5980">
        <v>10</v>
      </c>
      <c r="G5980">
        <v>65.33</v>
      </c>
      <c r="H5980" t="s">
        <v>8549</v>
      </c>
      <c r="I5980">
        <v>6</v>
      </c>
      <c r="J5980" t="s">
        <v>445</v>
      </c>
      <c r="M5980">
        <v>2502</v>
      </c>
      <c r="N5980" t="s">
        <v>16239</v>
      </c>
    </row>
    <row r="5981" spans="1:14">
      <c r="A5981">
        <v>22560000</v>
      </c>
      <c r="B5981">
        <v>3036615</v>
      </c>
      <c r="C5981" t="s">
        <v>17458</v>
      </c>
      <c r="D5981" t="s">
        <v>441</v>
      </c>
      <c r="F5981">
        <v>0</v>
      </c>
      <c r="G5981">
        <v>5.04</v>
      </c>
      <c r="H5981" t="s">
        <v>8549</v>
      </c>
      <c r="I5981">
        <v>6</v>
      </c>
      <c r="J5981" t="s">
        <v>445</v>
      </c>
      <c r="M5981">
        <v>2143</v>
      </c>
      <c r="N5981" t="s">
        <v>16240</v>
      </c>
    </row>
    <row r="5982" spans="1:14">
      <c r="A5982">
        <v>22560026</v>
      </c>
      <c r="B5982">
        <v>4025482</v>
      </c>
      <c r="C5982" t="s">
        <v>2881</v>
      </c>
      <c r="D5982" t="s">
        <v>442</v>
      </c>
      <c r="E5982" t="s">
        <v>441</v>
      </c>
      <c r="F5982">
        <v>10</v>
      </c>
      <c r="G5982">
        <v>40.200000000000003</v>
      </c>
      <c r="H5982" t="s">
        <v>8588</v>
      </c>
      <c r="I5982">
        <v>365</v>
      </c>
      <c r="J5982" t="s">
        <v>462</v>
      </c>
      <c r="M5982">
        <v>7111</v>
      </c>
      <c r="N5982" t="s">
        <v>16240</v>
      </c>
    </row>
    <row r="5983" spans="1:14">
      <c r="A5983">
        <v>22560526</v>
      </c>
      <c r="B5983">
        <v>3037753</v>
      </c>
      <c r="C5983" t="s">
        <v>17459</v>
      </c>
      <c r="D5983" t="s">
        <v>442</v>
      </c>
      <c r="E5983" t="s">
        <v>441</v>
      </c>
      <c r="F5983">
        <v>10</v>
      </c>
      <c r="G5983">
        <v>61.61</v>
      </c>
      <c r="H5983" t="s">
        <v>8588</v>
      </c>
      <c r="I5983">
        <v>365</v>
      </c>
      <c r="J5983" t="s">
        <v>445</v>
      </c>
      <c r="M5983">
        <v>2502</v>
      </c>
      <c r="N5983" t="s">
        <v>16240</v>
      </c>
    </row>
    <row r="5984" spans="1:14">
      <c r="A5984">
        <v>22570000</v>
      </c>
      <c r="B5984">
        <v>3016903</v>
      </c>
      <c r="C5984" t="s">
        <v>17460</v>
      </c>
      <c r="D5984" t="s">
        <v>441</v>
      </c>
      <c r="F5984">
        <v>0</v>
      </c>
      <c r="G5984">
        <v>5.98</v>
      </c>
      <c r="H5984" t="s">
        <v>8588</v>
      </c>
      <c r="I5984">
        <v>6</v>
      </c>
      <c r="J5984" t="s">
        <v>445</v>
      </c>
      <c r="M5984">
        <v>2143</v>
      </c>
      <c r="N5984" t="s">
        <v>16241</v>
      </c>
    </row>
    <row r="5985" spans="1:14">
      <c r="A5985">
        <v>22570002</v>
      </c>
      <c r="B5985">
        <v>3021272</v>
      </c>
      <c r="C5985" t="s">
        <v>17461</v>
      </c>
      <c r="D5985" t="s">
        <v>441</v>
      </c>
      <c r="F5985">
        <v>0</v>
      </c>
      <c r="G5985">
        <v>6.62</v>
      </c>
      <c r="H5985" t="s">
        <v>8588</v>
      </c>
      <c r="I5985">
        <v>365</v>
      </c>
      <c r="J5985" t="s">
        <v>445</v>
      </c>
      <c r="M5985">
        <v>7111</v>
      </c>
      <c r="N5985" t="s">
        <v>16241</v>
      </c>
    </row>
    <row r="5986" spans="1:14">
      <c r="A5986">
        <v>22570020</v>
      </c>
      <c r="B5986">
        <v>4028835</v>
      </c>
      <c r="C5986" t="s">
        <v>11290</v>
      </c>
      <c r="D5986" t="s">
        <v>441</v>
      </c>
      <c r="F5986">
        <v>0</v>
      </c>
      <c r="G5986">
        <v>4.2300000000000004</v>
      </c>
      <c r="H5986" t="s">
        <v>8588</v>
      </c>
      <c r="I5986">
        <v>6</v>
      </c>
      <c r="J5986" t="s">
        <v>462</v>
      </c>
      <c r="L5986">
        <v>2052507</v>
      </c>
      <c r="M5986">
        <v>7112</v>
      </c>
      <c r="N5986" t="s">
        <v>16241</v>
      </c>
    </row>
    <row r="5987" spans="1:14">
      <c r="A5987">
        <v>22570025</v>
      </c>
      <c r="B5987">
        <v>4028846</v>
      </c>
      <c r="C5987" t="s">
        <v>14429</v>
      </c>
      <c r="D5987" t="s">
        <v>441</v>
      </c>
      <c r="F5987">
        <v>0</v>
      </c>
      <c r="G5987">
        <v>4.74</v>
      </c>
      <c r="H5987" t="s">
        <v>8588</v>
      </c>
      <c r="I5987">
        <v>365</v>
      </c>
      <c r="J5987" t="s">
        <v>462</v>
      </c>
      <c r="M5987">
        <v>7111</v>
      </c>
      <c r="N5987" t="s">
        <v>16241</v>
      </c>
    </row>
    <row r="5988" spans="1:14">
      <c r="A5988">
        <v>22570026</v>
      </c>
      <c r="B5988">
        <v>4016440</v>
      </c>
      <c r="C5988" t="s">
        <v>11291</v>
      </c>
      <c r="D5988" t="s">
        <v>442</v>
      </c>
      <c r="E5988" t="s">
        <v>441</v>
      </c>
      <c r="F5988">
        <v>10</v>
      </c>
      <c r="G5988">
        <v>29.94</v>
      </c>
      <c r="H5988" t="s">
        <v>8588</v>
      </c>
      <c r="I5988">
        <v>365</v>
      </c>
      <c r="J5988" t="s">
        <v>462</v>
      </c>
      <c r="K5988" t="s">
        <v>446</v>
      </c>
      <c r="M5988">
        <v>2501</v>
      </c>
    </row>
    <row r="5989" spans="1:14">
      <c r="A5989">
        <v>22570027</v>
      </c>
      <c r="B5989">
        <v>4015040</v>
      </c>
      <c r="C5989" t="s">
        <v>2882</v>
      </c>
      <c r="D5989" t="s">
        <v>442</v>
      </c>
      <c r="E5989" t="s">
        <v>441</v>
      </c>
      <c r="F5989">
        <v>10</v>
      </c>
      <c r="G5989">
        <v>38.17</v>
      </c>
      <c r="H5989" t="s">
        <v>8588</v>
      </c>
      <c r="I5989">
        <v>365</v>
      </c>
      <c r="J5989" t="s">
        <v>462</v>
      </c>
      <c r="L5989" t="s">
        <v>11292</v>
      </c>
      <c r="M5989">
        <v>7111</v>
      </c>
      <c r="N5989" t="s">
        <v>16241</v>
      </c>
    </row>
    <row r="5990" spans="1:14">
      <c r="A5990">
        <v>22570028</v>
      </c>
      <c r="B5990">
        <v>4011189</v>
      </c>
      <c r="C5990" t="s">
        <v>11293</v>
      </c>
      <c r="D5990" t="s">
        <v>441</v>
      </c>
      <c r="F5990">
        <v>0</v>
      </c>
      <c r="G5990">
        <v>2.68</v>
      </c>
      <c r="H5990" t="s">
        <v>8588</v>
      </c>
      <c r="I5990">
        <v>365</v>
      </c>
      <c r="J5990" t="s">
        <v>462</v>
      </c>
      <c r="K5990" t="s">
        <v>446</v>
      </c>
      <c r="M5990">
        <v>2501</v>
      </c>
    </row>
    <row r="5991" spans="1:14">
      <c r="A5991">
        <v>22570029</v>
      </c>
      <c r="B5991">
        <v>4024729</v>
      </c>
      <c r="C5991" t="s">
        <v>2883</v>
      </c>
      <c r="D5991" t="s">
        <v>442</v>
      </c>
      <c r="E5991" t="s">
        <v>441</v>
      </c>
      <c r="F5991">
        <v>10</v>
      </c>
      <c r="G5991">
        <v>26.64</v>
      </c>
      <c r="H5991" t="s">
        <v>8588</v>
      </c>
      <c r="I5991">
        <v>365</v>
      </c>
      <c r="J5991" t="s">
        <v>462</v>
      </c>
      <c r="L5991" t="s">
        <v>11292</v>
      </c>
      <c r="M5991">
        <v>7111</v>
      </c>
      <c r="N5991" t="s">
        <v>16241</v>
      </c>
    </row>
    <row r="5992" spans="1:14">
      <c r="A5992">
        <v>22570075</v>
      </c>
      <c r="B5992">
        <v>4024791</v>
      </c>
      <c r="C5992" t="s">
        <v>2884</v>
      </c>
      <c r="D5992" t="s">
        <v>441</v>
      </c>
      <c r="F5992">
        <v>0</v>
      </c>
      <c r="G5992">
        <v>2.08</v>
      </c>
      <c r="H5992" t="s">
        <v>8588</v>
      </c>
      <c r="I5992">
        <v>6</v>
      </c>
      <c r="J5992" t="s">
        <v>462</v>
      </c>
      <c r="M5992">
        <v>7112</v>
      </c>
      <c r="N5992" t="s">
        <v>16241</v>
      </c>
    </row>
    <row r="5993" spans="1:14">
      <c r="A5993">
        <v>22570076</v>
      </c>
      <c r="B5993">
        <v>3037721</v>
      </c>
      <c r="C5993" t="s">
        <v>2885</v>
      </c>
      <c r="D5993" t="s">
        <v>441</v>
      </c>
      <c r="F5993">
        <v>0</v>
      </c>
      <c r="G5993">
        <v>2.08</v>
      </c>
      <c r="H5993" t="s">
        <v>8588</v>
      </c>
      <c r="I5993">
        <v>6</v>
      </c>
      <c r="J5993" t="s">
        <v>445</v>
      </c>
      <c r="M5993">
        <v>7112</v>
      </c>
      <c r="N5993" t="s">
        <v>16241</v>
      </c>
    </row>
    <row r="5994" spans="1:14">
      <c r="A5994">
        <v>22570080</v>
      </c>
      <c r="B5994">
        <v>4026556</v>
      </c>
      <c r="C5994" t="s">
        <v>11294</v>
      </c>
      <c r="D5994" t="s">
        <v>441</v>
      </c>
      <c r="F5994">
        <v>0</v>
      </c>
      <c r="G5994">
        <v>2</v>
      </c>
      <c r="H5994" t="s">
        <v>8588</v>
      </c>
      <c r="I5994">
        <v>6</v>
      </c>
      <c r="J5994" t="s">
        <v>462</v>
      </c>
      <c r="M5994">
        <v>7112</v>
      </c>
      <c r="N5994" t="s">
        <v>16241</v>
      </c>
    </row>
    <row r="5995" spans="1:14">
      <c r="A5995">
        <v>22570502</v>
      </c>
      <c r="B5995">
        <v>3021270</v>
      </c>
      <c r="C5995" t="s">
        <v>17462</v>
      </c>
      <c r="D5995" t="s">
        <v>441</v>
      </c>
      <c r="F5995">
        <v>0</v>
      </c>
      <c r="G5995">
        <v>6.1</v>
      </c>
      <c r="H5995" t="s">
        <v>8588</v>
      </c>
      <c r="I5995">
        <v>6</v>
      </c>
      <c r="J5995" t="s">
        <v>445</v>
      </c>
      <c r="M5995">
        <v>2502</v>
      </c>
      <c r="N5995" t="s">
        <v>16241</v>
      </c>
    </row>
    <row r="5996" spans="1:14">
      <c r="A5996">
        <v>22570525</v>
      </c>
      <c r="B5996">
        <v>3043816</v>
      </c>
      <c r="C5996" t="s">
        <v>17463</v>
      </c>
      <c r="D5996" t="s">
        <v>441</v>
      </c>
      <c r="F5996">
        <v>0</v>
      </c>
      <c r="G5996">
        <v>6.47</v>
      </c>
      <c r="H5996" t="s">
        <v>8588</v>
      </c>
      <c r="I5996">
        <v>6</v>
      </c>
      <c r="J5996" t="s">
        <v>445</v>
      </c>
      <c r="M5996">
        <v>2502</v>
      </c>
      <c r="N5996" t="s">
        <v>16241</v>
      </c>
    </row>
    <row r="5997" spans="1:14">
      <c r="A5997">
        <v>22570526</v>
      </c>
      <c r="B5997">
        <v>3025101</v>
      </c>
      <c r="C5997" t="s">
        <v>11295</v>
      </c>
      <c r="D5997" t="s">
        <v>442</v>
      </c>
      <c r="E5997" t="s">
        <v>441</v>
      </c>
      <c r="F5997">
        <v>10</v>
      </c>
      <c r="G5997">
        <v>28.41</v>
      </c>
      <c r="H5997" t="s">
        <v>8549</v>
      </c>
      <c r="I5997">
        <v>365</v>
      </c>
      <c r="J5997" t="s">
        <v>445</v>
      </c>
      <c r="K5997" t="s">
        <v>446</v>
      </c>
      <c r="M5997">
        <v>2641</v>
      </c>
    </row>
    <row r="5998" spans="1:14">
      <c r="A5998">
        <v>22570527</v>
      </c>
      <c r="B5998">
        <v>3022767</v>
      </c>
      <c r="C5998" t="s">
        <v>17464</v>
      </c>
      <c r="D5998" t="s">
        <v>442</v>
      </c>
      <c r="E5998" t="s">
        <v>441</v>
      </c>
      <c r="F5998">
        <v>10</v>
      </c>
      <c r="G5998">
        <v>66.760000000000005</v>
      </c>
      <c r="H5998" t="s">
        <v>8549</v>
      </c>
      <c r="I5998">
        <v>6</v>
      </c>
      <c r="J5998" t="s">
        <v>445</v>
      </c>
      <c r="M5998">
        <v>2502</v>
      </c>
      <c r="N5998" t="s">
        <v>16241</v>
      </c>
    </row>
    <row r="5999" spans="1:14">
      <c r="A5999">
        <v>22570528</v>
      </c>
      <c r="B5999">
        <v>3016909</v>
      </c>
      <c r="C5999" t="s">
        <v>11296</v>
      </c>
      <c r="D5999" t="s">
        <v>441</v>
      </c>
      <c r="F5999">
        <v>0</v>
      </c>
      <c r="G5999">
        <v>2.4900000000000002</v>
      </c>
      <c r="H5999" t="s">
        <v>8935</v>
      </c>
      <c r="I5999">
        <v>365</v>
      </c>
      <c r="J5999" t="s">
        <v>445</v>
      </c>
      <c r="K5999" t="s">
        <v>446</v>
      </c>
      <c r="M5999">
        <v>2641</v>
      </c>
    </row>
    <row r="6000" spans="1:14">
      <c r="A6000">
        <v>22570529</v>
      </c>
      <c r="B6000">
        <v>3036677</v>
      </c>
      <c r="C6000" t="s">
        <v>2886</v>
      </c>
      <c r="D6000" t="s">
        <v>442</v>
      </c>
      <c r="E6000" t="s">
        <v>441</v>
      </c>
      <c r="F6000">
        <v>10</v>
      </c>
      <c r="G6000">
        <v>24.01</v>
      </c>
      <c r="H6000" t="s">
        <v>8588</v>
      </c>
      <c r="I6000">
        <v>365</v>
      </c>
      <c r="J6000" t="s">
        <v>445</v>
      </c>
      <c r="M6000">
        <v>2502</v>
      </c>
      <c r="N6000" t="s">
        <v>16241</v>
      </c>
    </row>
    <row r="6001" spans="1:14">
      <c r="A6001">
        <v>22570602</v>
      </c>
      <c r="B6001">
        <v>3038799</v>
      </c>
      <c r="C6001" t="s">
        <v>17465</v>
      </c>
      <c r="D6001" t="s">
        <v>441</v>
      </c>
      <c r="F6001">
        <v>0</v>
      </c>
      <c r="G6001">
        <v>71.55</v>
      </c>
      <c r="H6001" t="s">
        <v>8588</v>
      </c>
      <c r="I6001">
        <v>5</v>
      </c>
      <c r="J6001" t="s">
        <v>445</v>
      </c>
      <c r="M6001">
        <v>2510</v>
      </c>
      <c r="N6001" t="s">
        <v>16241</v>
      </c>
    </row>
    <row r="6002" spans="1:14">
      <c r="A6002">
        <v>22570612</v>
      </c>
      <c r="B6002">
        <v>3046000</v>
      </c>
      <c r="C6002" t="s">
        <v>17466</v>
      </c>
      <c r="D6002" t="s">
        <v>441</v>
      </c>
      <c r="F6002">
        <v>0</v>
      </c>
      <c r="G6002">
        <v>7.34</v>
      </c>
      <c r="H6002" t="s">
        <v>8588</v>
      </c>
      <c r="I6002">
        <v>4</v>
      </c>
      <c r="J6002" t="s">
        <v>445</v>
      </c>
      <c r="M6002">
        <v>2510</v>
      </c>
      <c r="N6002" t="s">
        <v>16241</v>
      </c>
    </row>
    <row r="6003" spans="1:14">
      <c r="A6003">
        <v>22570628</v>
      </c>
      <c r="B6003">
        <v>3018694</v>
      </c>
      <c r="C6003" t="s">
        <v>11297</v>
      </c>
      <c r="D6003" t="s">
        <v>441</v>
      </c>
      <c r="F6003">
        <v>0</v>
      </c>
      <c r="G6003">
        <v>2.1</v>
      </c>
      <c r="H6003" t="s">
        <v>8588</v>
      </c>
      <c r="I6003">
        <v>4</v>
      </c>
      <c r="J6003" t="s">
        <v>445</v>
      </c>
      <c r="K6003" t="s">
        <v>446</v>
      </c>
      <c r="M6003">
        <v>2511</v>
      </c>
    </row>
    <row r="6004" spans="1:14">
      <c r="A6004">
        <v>22570900</v>
      </c>
      <c r="B6004">
        <v>3020328</v>
      </c>
      <c r="C6004" t="s">
        <v>17467</v>
      </c>
      <c r="D6004" t="s">
        <v>441</v>
      </c>
      <c r="F6004">
        <v>0</v>
      </c>
      <c r="H6004" t="s">
        <v>8584</v>
      </c>
      <c r="I6004">
        <v>6</v>
      </c>
      <c r="J6004" t="s">
        <v>445</v>
      </c>
      <c r="M6004">
        <v>6666</v>
      </c>
      <c r="N6004" t="s">
        <v>16241</v>
      </c>
    </row>
    <row r="6005" spans="1:14">
      <c r="A6005">
        <v>22570902</v>
      </c>
      <c r="B6005">
        <v>3038824</v>
      </c>
      <c r="C6005" t="s">
        <v>17468</v>
      </c>
      <c r="D6005" t="s">
        <v>441</v>
      </c>
      <c r="F6005">
        <v>0</v>
      </c>
      <c r="G6005">
        <v>3.84</v>
      </c>
      <c r="H6005" t="s">
        <v>8580</v>
      </c>
      <c r="I6005">
        <v>5</v>
      </c>
      <c r="J6005" t="s">
        <v>445</v>
      </c>
      <c r="M6005">
        <v>6666</v>
      </c>
      <c r="N6005" t="s">
        <v>16241</v>
      </c>
    </row>
    <row r="6006" spans="1:14">
      <c r="A6006">
        <v>22570912</v>
      </c>
      <c r="B6006">
        <v>3045995</v>
      </c>
      <c r="C6006" t="s">
        <v>17469</v>
      </c>
      <c r="D6006" t="s">
        <v>441</v>
      </c>
      <c r="F6006">
        <v>0</v>
      </c>
      <c r="G6006">
        <v>1</v>
      </c>
      <c r="H6006" t="s">
        <v>8588</v>
      </c>
      <c r="I6006">
        <v>4</v>
      </c>
      <c r="J6006" t="s">
        <v>445</v>
      </c>
      <c r="M6006">
        <v>6666</v>
      </c>
      <c r="N6006" t="s">
        <v>16241</v>
      </c>
    </row>
    <row r="6007" spans="1:14">
      <c r="A6007">
        <v>22570928</v>
      </c>
      <c r="B6007">
        <v>3020329</v>
      </c>
      <c r="C6007" t="s">
        <v>11298</v>
      </c>
      <c r="D6007" t="s">
        <v>441</v>
      </c>
      <c r="F6007">
        <v>0</v>
      </c>
      <c r="H6007" t="s">
        <v>8584</v>
      </c>
      <c r="I6007">
        <v>4</v>
      </c>
      <c r="J6007" t="s">
        <v>445</v>
      </c>
      <c r="K6007" t="s">
        <v>446</v>
      </c>
      <c r="M6007">
        <v>6666</v>
      </c>
    </row>
    <row r="6008" spans="1:14">
      <c r="A6008">
        <v>22571000</v>
      </c>
      <c r="B6008">
        <v>3025105</v>
      </c>
      <c r="C6008" t="s">
        <v>17470</v>
      </c>
      <c r="D6008" t="s">
        <v>441</v>
      </c>
      <c r="F6008">
        <v>0</v>
      </c>
      <c r="G6008">
        <v>5.98</v>
      </c>
      <c r="H6008" t="s">
        <v>8588</v>
      </c>
      <c r="I6008">
        <v>6</v>
      </c>
      <c r="J6008" t="s">
        <v>445</v>
      </c>
      <c r="M6008">
        <v>2143</v>
      </c>
      <c r="N6008" t="s">
        <v>16241</v>
      </c>
    </row>
    <row r="6009" spans="1:14">
      <c r="A6009">
        <v>22571026</v>
      </c>
      <c r="B6009">
        <v>4016434</v>
      </c>
      <c r="C6009" t="s">
        <v>11299</v>
      </c>
      <c r="D6009" t="s">
        <v>442</v>
      </c>
      <c r="E6009" t="s">
        <v>441</v>
      </c>
      <c r="F6009">
        <v>10</v>
      </c>
      <c r="G6009">
        <v>26.5</v>
      </c>
      <c r="H6009" t="s">
        <v>8588</v>
      </c>
      <c r="I6009">
        <v>365</v>
      </c>
      <c r="J6009" t="s">
        <v>462</v>
      </c>
      <c r="K6009" t="s">
        <v>446</v>
      </c>
      <c r="M6009">
        <v>2501</v>
      </c>
    </row>
    <row r="6010" spans="1:14">
      <c r="A6010">
        <v>22571526</v>
      </c>
      <c r="B6010">
        <v>3025092</v>
      </c>
      <c r="C6010" t="s">
        <v>11300</v>
      </c>
      <c r="D6010" t="s">
        <v>442</v>
      </c>
      <c r="E6010" t="s">
        <v>441</v>
      </c>
      <c r="F6010">
        <v>10</v>
      </c>
      <c r="G6010">
        <v>24.97</v>
      </c>
      <c r="H6010" t="s">
        <v>8549</v>
      </c>
      <c r="I6010">
        <v>365</v>
      </c>
      <c r="J6010" t="s">
        <v>445</v>
      </c>
      <c r="K6010" t="s">
        <v>446</v>
      </c>
      <c r="M6010">
        <v>2641</v>
      </c>
    </row>
    <row r="6011" spans="1:14">
      <c r="A6011">
        <v>22574000</v>
      </c>
      <c r="B6011">
        <v>3045552</v>
      </c>
      <c r="C6011" t="s">
        <v>17471</v>
      </c>
      <c r="D6011" t="s">
        <v>441</v>
      </c>
      <c r="F6011">
        <v>0</v>
      </c>
      <c r="G6011">
        <v>5.98</v>
      </c>
      <c r="H6011" t="s">
        <v>8549</v>
      </c>
      <c r="I6011">
        <v>6</v>
      </c>
      <c r="J6011" t="s">
        <v>445</v>
      </c>
      <c r="M6011">
        <v>2143</v>
      </c>
      <c r="N6011" t="s">
        <v>16241</v>
      </c>
    </row>
    <row r="6012" spans="1:14">
      <c r="A6012">
        <v>22580000</v>
      </c>
      <c r="B6012">
        <v>3016904</v>
      </c>
      <c r="C6012" t="s">
        <v>2887</v>
      </c>
      <c r="D6012" t="s">
        <v>441</v>
      </c>
      <c r="F6012">
        <v>0</v>
      </c>
      <c r="H6012" t="s">
        <v>8588</v>
      </c>
      <c r="I6012">
        <v>6</v>
      </c>
      <c r="J6012" t="s">
        <v>445</v>
      </c>
      <c r="M6012">
        <v>2502</v>
      </c>
      <c r="N6012" t="s">
        <v>16240</v>
      </c>
    </row>
    <row r="6013" spans="1:14">
      <c r="A6013">
        <v>22580026</v>
      </c>
      <c r="B6013">
        <v>4016416</v>
      </c>
      <c r="C6013" t="s">
        <v>11301</v>
      </c>
      <c r="D6013" t="s">
        <v>442</v>
      </c>
      <c r="E6013" t="s">
        <v>441</v>
      </c>
      <c r="F6013">
        <v>15</v>
      </c>
      <c r="G6013">
        <v>49.81</v>
      </c>
      <c r="H6013" t="s">
        <v>8588</v>
      </c>
      <c r="I6013">
        <v>365</v>
      </c>
      <c r="J6013" t="s">
        <v>462</v>
      </c>
      <c r="K6013" t="s">
        <v>446</v>
      </c>
      <c r="M6013">
        <v>2501</v>
      </c>
    </row>
    <row r="6014" spans="1:14">
      <c r="A6014">
        <v>22580028</v>
      </c>
      <c r="B6014">
        <v>4011187</v>
      </c>
      <c r="C6014" t="s">
        <v>11302</v>
      </c>
      <c r="D6014" t="s">
        <v>441</v>
      </c>
      <c r="F6014">
        <v>0</v>
      </c>
      <c r="G6014">
        <v>4.58</v>
      </c>
      <c r="H6014" t="s">
        <v>8588</v>
      </c>
      <c r="I6014">
        <v>365</v>
      </c>
      <c r="J6014" t="s">
        <v>462</v>
      </c>
      <c r="K6014" t="s">
        <v>446</v>
      </c>
      <c r="M6014">
        <v>2501</v>
      </c>
    </row>
    <row r="6015" spans="1:14">
      <c r="A6015">
        <v>22580100</v>
      </c>
      <c r="B6015">
        <v>3018830</v>
      </c>
      <c r="C6015" t="s">
        <v>17472</v>
      </c>
      <c r="D6015" t="s">
        <v>441</v>
      </c>
      <c r="F6015">
        <v>0</v>
      </c>
      <c r="H6015" t="s">
        <v>8588</v>
      </c>
      <c r="I6015">
        <v>4</v>
      </c>
      <c r="J6015" t="s">
        <v>445</v>
      </c>
      <c r="M6015">
        <v>7161</v>
      </c>
      <c r="N6015" t="s">
        <v>16240</v>
      </c>
    </row>
    <row r="6016" spans="1:14">
      <c r="A6016">
        <v>22580102</v>
      </c>
      <c r="B6016">
        <v>3018627</v>
      </c>
      <c r="C6016" t="s">
        <v>17473</v>
      </c>
      <c r="D6016" t="s">
        <v>441</v>
      </c>
      <c r="F6016">
        <v>0</v>
      </c>
      <c r="H6016" t="s">
        <v>8588</v>
      </c>
      <c r="I6016">
        <v>365</v>
      </c>
      <c r="J6016" t="s">
        <v>445</v>
      </c>
      <c r="M6016">
        <v>7113</v>
      </c>
      <c r="N6016" t="s">
        <v>16240</v>
      </c>
    </row>
    <row r="6017" spans="1:14">
      <c r="A6017">
        <v>22580526</v>
      </c>
      <c r="B6017">
        <v>3025054</v>
      </c>
      <c r="C6017" t="s">
        <v>11303</v>
      </c>
      <c r="D6017" t="s">
        <v>442</v>
      </c>
      <c r="E6017" t="s">
        <v>441</v>
      </c>
      <c r="F6017">
        <v>15</v>
      </c>
      <c r="G6017">
        <v>47.21</v>
      </c>
      <c r="H6017" t="s">
        <v>8549</v>
      </c>
      <c r="I6017">
        <v>365</v>
      </c>
      <c r="J6017" t="s">
        <v>445</v>
      </c>
      <c r="K6017" t="s">
        <v>446</v>
      </c>
      <c r="M6017">
        <v>2641</v>
      </c>
    </row>
    <row r="6018" spans="1:14">
      <c r="A6018">
        <v>22580528</v>
      </c>
      <c r="B6018">
        <v>3016907</v>
      </c>
      <c r="C6018" t="s">
        <v>11304</v>
      </c>
      <c r="D6018" t="s">
        <v>441</v>
      </c>
      <c r="F6018">
        <v>0</v>
      </c>
      <c r="G6018">
        <v>4.4000000000000004</v>
      </c>
      <c r="H6018" t="s">
        <v>8935</v>
      </c>
      <c r="I6018">
        <v>365</v>
      </c>
      <c r="J6018" t="s">
        <v>445</v>
      </c>
      <c r="K6018" t="s">
        <v>446</v>
      </c>
      <c r="M6018">
        <v>2641</v>
      </c>
    </row>
    <row r="6019" spans="1:14">
      <c r="A6019">
        <v>22580628</v>
      </c>
      <c r="B6019">
        <v>3018624</v>
      </c>
      <c r="C6019" t="s">
        <v>11305</v>
      </c>
      <c r="D6019" t="s">
        <v>441</v>
      </c>
      <c r="F6019">
        <v>0</v>
      </c>
      <c r="G6019">
        <v>3.87</v>
      </c>
      <c r="H6019" t="s">
        <v>8588</v>
      </c>
      <c r="I6019">
        <v>4</v>
      </c>
      <c r="J6019" t="s">
        <v>445</v>
      </c>
      <c r="K6019" t="s">
        <v>446</v>
      </c>
      <c r="M6019">
        <v>2511</v>
      </c>
    </row>
    <row r="6020" spans="1:14">
      <c r="A6020">
        <v>22580900</v>
      </c>
      <c r="B6020">
        <v>3020330</v>
      </c>
      <c r="C6020" t="s">
        <v>2888</v>
      </c>
      <c r="D6020" t="s">
        <v>441</v>
      </c>
      <c r="F6020">
        <v>0</v>
      </c>
      <c r="H6020" t="s">
        <v>8584</v>
      </c>
      <c r="I6020">
        <v>6</v>
      </c>
      <c r="J6020" t="s">
        <v>445</v>
      </c>
      <c r="M6020">
        <v>6666</v>
      </c>
      <c r="N6020" t="s">
        <v>16240</v>
      </c>
    </row>
    <row r="6021" spans="1:14">
      <c r="A6021">
        <v>22580928</v>
      </c>
      <c r="B6021">
        <v>3020331</v>
      </c>
      <c r="C6021" t="s">
        <v>11306</v>
      </c>
      <c r="D6021" t="s">
        <v>441</v>
      </c>
      <c r="F6021">
        <v>0</v>
      </c>
      <c r="G6021">
        <v>1.66</v>
      </c>
      <c r="H6021" t="s">
        <v>8584</v>
      </c>
      <c r="I6021">
        <v>4</v>
      </c>
      <c r="J6021" t="s">
        <v>445</v>
      </c>
      <c r="K6021" t="s">
        <v>446</v>
      </c>
      <c r="M6021">
        <v>6666</v>
      </c>
    </row>
    <row r="6022" spans="1:14">
      <c r="A6022">
        <v>22581000</v>
      </c>
      <c r="B6022">
        <v>3024700</v>
      </c>
      <c r="C6022" t="s">
        <v>11307</v>
      </c>
      <c r="D6022" t="s">
        <v>441</v>
      </c>
      <c r="F6022">
        <v>0</v>
      </c>
      <c r="G6022">
        <v>1.66</v>
      </c>
      <c r="H6022" t="s">
        <v>8549</v>
      </c>
      <c r="I6022">
        <v>6</v>
      </c>
      <c r="J6022" t="s">
        <v>445</v>
      </c>
      <c r="M6022">
        <v>2143</v>
      </c>
      <c r="N6022" t="s">
        <v>16240</v>
      </c>
    </row>
    <row r="6023" spans="1:14">
      <c r="A6023">
        <v>22581026</v>
      </c>
      <c r="B6023">
        <v>4016415</v>
      </c>
      <c r="C6023" t="s">
        <v>11308</v>
      </c>
      <c r="D6023" t="s">
        <v>442</v>
      </c>
      <c r="E6023" t="s">
        <v>441</v>
      </c>
      <c r="F6023">
        <v>15</v>
      </c>
      <c r="G6023">
        <v>49.81</v>
      </c>
      <c r="H6023" t="s">
        <v>8588</v>
      </c>
      <c r="I6023">
        <v>365</v>
      </c>
      <c r="J6023" t="s">
        <v>462</v>
      </c>
      <c r="K6023" t="s">
        <v>446</v>
      </c>
      <c r="M6023">
        <v>2501</v>
      </c>
    </row>
    <row r="6024" spans="1:14">
      <c r="A6024">
        <v>22581526</v>
      </c>
      <c r="B6024">
        <v>3025056</v>
      </c>
      <c r="C6024" t="s">
        <v>11309</v>
      </c>
      <c r="D6024" t="s">
        <v>442</v>
      </c>
      <c r="E6024" t="s">
        <v>441</v>
      </c>
      <c r="F6024">
        <v>15</v>
      </c>
      <c r="G6024">
        <v>47.21</v>
      </c>
      <c r="H6024" t="s">
        <v>8549</v>
      </c>
      <c r="I6024">
        <v>365</v>
      </c>
      <c r="J6024" t="s">
        <v>445</v>
      </c>
      <c r="K6024" t="s">
        <v>446</v>
      </c>
      <c r="M6024">
        <v>2641</v>
      </c>
    </row>
    <row r="6025" spans="1:14">
      <c r="A6025">
        <v>22590000</v>
      </c>
      <c r="B6025">
        <v>3016182</v>
      </c>
      <c r="C6025" t="s">
        <v>17474</v>
      </c>
      <c r="D6025" t="s">
        <v>441</v>
      </c>
      <c r="F6025">
        <v>0</v>
      </c>
      <c r="G6025">
        <v>9.73</v>
      </c>
      <c r="H6025" t="s">
        <v>8588</v>
      </c>
      <c r="I6025">
        <v>6</v>
      </c>
      <c r="J6025" t="s">
        <v>445</v>
      </c>
      <c r="M6025">
        <v>2143</v>
      </c>
      <c r="N6025" t="s">
        <v>16242</v>
      </c>
    </row>
    <row r="6026" spans="1:14">
      <c r="A6026">
        <v>22590002</v>
      </c>
      <c r="B6026">
        <v>3016184</v>
      </c>
      <c r="C6026" t="s">
        <v>11310</v>
      </c>
      <c r="D6026" t="s">
        <v>441</v>
      </c>
      <c r="F6026">
        <v>0</v>
      </c>
      <c r="G6026">
        <v>2.85</v>
      </c>
      <c r="H6026" t="s">
        <v>8549</v>
      </c>
      <c r="I6026">
        <v>365</v>
      </c>
      <c r="J6026" t="s">
        <v>445</v>
      </c>
      <c r="K6026" t="s">
        <v>446</v>
      </c>
      <c r="M6026">
        <v>2501</v>
      </c>
    </row>
    <row r="6027" spans="1:14">
      <c r="A6027">
        <v>22590100</v>
      </c>
      <c r="B6027">
        <v>3007961</v>
      </c>
      <c r="C6027" t="s">
        <v>11311</v>
      </c>
      <c r="D6027" t="s">
        <v>441</v>
      </c>
      <c r="F6027">
        <v>0</v>
      </c>
      <c r="H6027" t="s">
        <v>8580</v>
      </c>
      <c r="I6027">
        <v>9</v>
      </c>
      <c r="J6027" t="s">
        <v>445</v>
      </c>
      <c r="K6027" t="s">
        <v>446</v>
      </c>
      <c r="M6027">
        <v>0</v>
      </c>
    </row>
    <row r="6028" spans="1:14">
      <c r="A6028">
        <v>22590102</v>
      </c>
      <c r="B6028">
        <v>3006401</v>
      </c>
      <c r="C6028" t="s">
        <v>17475</v>
      </c>
      <c r="D6028" t="s">
        <v>441</v>
      </c>
      <c r="F6028">
        <v>0</v>
      </c>
      <c r="H6028" t="s">
        <v>8588</v>
      </c>
      <c r="I6028">
        <v>365</v>
      </c>
      <c r="J6028" t="s">
        <v>445</v>
      </c>
      <c r="M6028">
        <v>7113</v>
      </c>
      <c r="N6028" t="s">
        <v>16243</v>
      </c>
    </row>
    <row r="6029" spans="1:14">
      <c r="A6029">
        <v>22590103</v>
      </c>
      <c r="B6029">
        <v>3026244</v>
      </c>
      <c r="C6029" t="s">
        <v>17476</v>
      </c>
      <c r="D6029" t="s">
        <v>441</v>
      </c>
      <c r="F6029">
        <v>0</v>
      </c>
      <c r="H6029" t="s">
        <v>8588</v>
      </c>
      <c r="I6029">
        <v>365</v>
      </c>
      <c r="J6029" t="s">
        <v>445</v>
      </c>
      <c r="M6029">
        <v>7161</v>
      </c>
      <c r="N6029" t="s">
        <v>16242</v>
      </c>
    </row>
    <row r="6030" spans="1:14">
      <c r="A6030">
        <v>22590120</v>
      </c>
      <c r="B6030">
        <v>3008527</v>
      </c>
      <c r="C6030" t="s">
        <v>11312</v>
      </c>
      <c r="D6030" t="s">
        <v>441</v>
      </c>
      <c r="F6030">
        <v>0</v>
      </c>
      <c r="H6030" t="s">
        <v>8588</v>
      </c>
      <c r="I6030">
        <v>6</v>
      </c>
      <c r="J6030" t="s">
        <v>445</v>
      </c>
      <c r="M6030">
        <v>7161</v>
      </c>
      <c r="N6030" t="s">
        <v>16242</v>
      </c>
    </row>
    <row r="6031" spans="1:14">
      <c r="A6031">
        <v>22590130</v>
      </c>
      <c r="B6031">
        <v>3006991</v>
      </c>
      <c r="C6031" t="s">
        <v>17477</v>
      </c>
      <c r="D6031" t="s">
        <v>441</v>
      </c>
      <c r="F6031">
        <v>0</v>
      </c>
      <c r="H6031" t="s">
        <v>8588</v>
      </c>
      <c r="I6031">
        <v>6</v>
      </c>
      <c r="J6031" t="s">
        <v>445</v>
      </c>
      <c r="M6031">
        <v>7161</v>
      </c>
      <c r="N6031" t="s">
        <v>16243</v>
      </c>
    </row>
    <row r="6032" spans="1:14">
      <c r="A6032">
        <v>22590140</v>
      </c>
      <c r="B6032">
        <v>3005554</v>
      </c>
      <c r="C6032" t="s">
        <v>17478</v>
      </c>
      <c r="D6032" t="s">
        <v>441</v>
      </c>
      <c r="F6032">
        <v>0</v>
      </c>
      <c r="H6032" t="s">
        <v>8588</v>
      </c>
      <c r="I6032">
        <v>365</v>
      </c>
      <c r="J6032" t="s">
        <v>445</v>
      </c>
      <c r="M6032">
        <v>7113</v>
      </c>
      <c r="N6032" t="s">
        <v>16243</v>
      </c>
    </row>
    <row r="6033" spans="1:14">
      <c r="A6033">
        <v>22590502</v>
      </c>
      <c r="B6033">
        <v>3016183</v>
      </c>
      <c r="C6033" t="s">
        <v>11313</v>
      </c>
      <c r="D6033" t="s">
        <v>441</v>
      </c>
      <c r="F6033">
        <v>0</v>
      </c>
      <c r="G6033">
        <v>2.62</v>
      </c>
      <c r="H6033" t="s">
        <v>8580</v>
      </c>
      <c r="I6033">
        <v>365</v>
      </c>
      <c r="J6033" t="s">
        <v>445</v>
      </c>
      <c r="K6033" t="s">
        <v>446</v>
      </c>
      <c r="M6033">
        <v>2641</v>
      </c>
    </row>
    <row r="6034" spans="1:14">
      <c r="A6034">
        <v>22590602</v>
      </c>
      <c r="B6034">
        <v>3009168</v>
      </c>
      <c r="C6034" t="s">
        <v>11314</v>
      </c>
      <c r="D6034" t="s">
        <v>441</v>
      </c>
      <c r="F6034">
        <v>0</v>
      </c>
      <c r="G6034">
        <v>3.13</v>
      </c>
      <c r="H6034" t="s">
        <v>8588</v>
      </c>
      <c r="I6034">
        <v>4</v>
      </c>
      <c r="J6034" t="s">
        <v>445</v>
      </c>
      <c r="K6034" t="s">
        <v>446</v>
      </c>
      <c r="M6034">
        <v>2511</v>
      </c>
    </row>
    <row r="6035" spans="1:14">
      <c r="A6035">
        <v>22590900</v>
      </c>
      <c r="B6035">
        <v>3020332</v>
      </c>
      <c r="C6035" t="s">
        <v>17479</v>
      </c>
      <c r="D6035" t="s">
        <v>441</v>
      </c>
      <c r="F6035">
        <v>0</v>
      </c>
      <c r="H6035" t="s">
        <v>8584</v>
      </c>
      <c r="I6035">
        <v>6</v>
      </c>
      <c r="J6035" t="s">
        <v>445</v>
      </c>
      <c r="M6035">
        <v>6666</v>
      </c>
      <c r="N6035" t="s">
        <v>16242</v>
      </c>
    </row>
    <row r="6036" spans="1:14">
      <c r="A6036">
        <v>22590902</v>
      </c>
      <c r="B6036">
        <v>3020333</v>
      </c>
      <c r="C6036" t="s">
        <v>11315</v>
      </c>
      <c r="D6036" t="s">
        <v>441</v>
      </c>
      <c r="F6036">
        <v>0</v>
      </c>
      <c r="H6036" t="s">
        <v>8584</v>
      </c>
      <c r="I6036">
        <v>4</v>
      </c>
      <c r="J6036" t="s">
        <v>445</v>
      </c>
      <c r="K6036" t="s">
        <v>446</v>
      </c>
      <c r="M6036">
        <v>6666</v>
      </c>
    </row>
    <row r="6037" spans="1:14">
      <c r="A6037">
        <v>23010000</v>
      </c>
      <c r="B6037">
        <v>3007963</v>
      </c>
      <c r="C6037" t="s">
        <v>11316</v>
      </c>
      <c r="D6037" t="s">
        <v>441</v>
      </c>
      <c r="F6037">
        <v>0</v>
      </c>
      <c r="G6037">
        <v>3.61</v>
      </c>
      <c r="H6037" t="s">
        <v>8580</v>
      </c>
      <c r="I6037">
        <v>6</v>
      </c>
      <c r="J6037" t="s">
        <v>445</v>
      </c>
      <c r="M6037">
        <v>2391</v>
      </c>
      <c r="N6037" t="s">
        <v>16244</v>
      </c>
    </row>
    <row r="6038" spans="1:14">
      <c r="A6038">
        <v>23013000</v>
      </c>
      <c r="B6038">
        <v>3007964</v>
      </c>
      <c r="C6038" t="s">
        <v>11317</v>
      </c>
      <c r="D6038" t="s">
        <v>441</v>
      </c>
      <c r="F6038">
        <v>0</v>
      </c>
      <c r="G6038">
        <v>3.61</v>
      </c>
      <c r="H6038" t="s">
        <v>8580</v>
      </c>
      <c r="I6038">
        <v>6</v>
      </c>
      <c r="J6038" t="s">
        <v>445</v>
      </c>
      <c r="M6038">
        <v>2391</v>
      </c>
      <c r="N6038" t="s">
        <v>16244</v>
      </c>
    </row>
    <row r="6039" spans="1:14">
      <c r="A6039">
        <v>23030000</v>
      </c>
      <c r="B6039">
        <v>3016006</v>
      </c>
      <c r="C6039" t="s">
        <v>11318</v>
      </c>
      <c r="D6039" t="s">
        <v>441</v>
      </c>
      <c r="F6039">
        <v>0</v>
      </c>
      <c r="G6039">
        <v>0</v>
      </c>
      <c r="H6039" t="s">
        <v>8549</v>
      </c>
      <c r="I6039">
        <v>6</v>
      </c>
      <c r="J6039" t="s">
        <v>445</v>
      </c>
      <c r="M6039">
        <v>2391</v>
      </c>
      <c r="N6039" t="s">
        <v>16245</v>
      </c>
    </row>
    <row r="6040" spans="1:14">
      <c r="A6040">
        <v>23030002</v>
      </c>
      <c r="B6040">
        <v>3008974</v>
      </c>
      <c r="C6040" t="s">
        <v>11319</v>
      </c>
      <c r="D6040" t="s">
        <v>441</v>
      </c>
      <c r="F6040">
        <v>0</v>
      </c>
      <c r="G6040">
        <v>3.46</v>
      </c>
      <c r="H6040" t="s">
        <v>8580</v>
      </c>
      <c r="I6040">
        <v>365</v>
      </c>
      <c r="J6040" t="s">
        <v>445</v>
      </c>
      <c r="K6040" t="s">
        <v>446</v>
      </c>
      <c r="M6040">
        <v>2501</v>
      </c>
    </row>
    <row r="6041" spans="1:14">
      <c r="A6041">
        <v>23030020</v>
      </c>
      <c r="B6041">
        <v>4003980</v>
      </c>
      <c r="C6041" t="s">
        <v>14430</v>
      </c>
      <c r="D6041" t="s">
        <v>441</v>
      </c>
      <c r="F6041">
        <v>0</v>
      </c>
      <c r="G6041">
        <v>6.59</v>
      </c>
      <c r="H6041" t="s">
        <v>8588</v>
      </c>
      <c r="I6041">
        <v>6</v>
      </c>
      <c r="J6041" t="s">
        <v>462</v>
      </c>
      <c r="L6041">
        <v>2082339</v>
      </c>
      <c r="M6041">
        <v>7112</v>
      </c>
      <c r="N6041" t="s">
        <v>16245</v>
      </c>
    </row>
    <row r="6042" spans="1:14">
      <c r="A6042">
        <v>23030021</v>
      </c>
      <c r="B6042">
        <v>4008793</v>
      </c>
      <c r="C6042" t="s">
        <v>11320</v>
      </c>
      <c r="D6042" t="s">
        <v>441</v>
      </c>
      <c r="F6042">
        <v>0</v>
      </c>
      <c r="G6042">
        <v>2.3199999999999998</v>
      </c>
      <c r="H6042" t="s">
        <v>8588</v>
      </c>
      <c r="I6042">
        <v>6</v>
      </c>
      <c r="J6042" t="s">
        <v>462</v>
      </c>
      <c r="K6042" t="s">
        <v>446</v>
      </c>
      <c r="M6042">
        <v>2641</v>
      </c>
    </row>
    <row r="6043" spans="1:14">
      <c r="A6043">
        <v>23030025</v>
      </c>
      <c r="B6043">
        <v>3000194</v>
      </c>
      <c r="C6043" t="s">
        <v>11321</v>
      </c>
      <c r="D6043" t="s">
        <v>441</v>
      </c>
      <c r="F6043">
        <v>0</v>
      </c>
      <c r="G6043">
        <v>2.35</v>
      </c>
      <c r="H6043" t="s">
        <v>8588</v>
      </c>
      <c r="I6043">
        <v>365</v>
      </c>
      <c r="J6043" t="s">
        <v>445</v>
      </c>
      <c r="K6043" t="s">
        <v>446</v>
      </c>
      <c r="M6043">
        <v>2501</v>
      </c>
    </row>
    <row r="6044" spans="1:14">
      <c r="A6044">
        <v>23030026</v>
      </c>
      <c r="B6044">
        <v>3012578</v>
      </c>
      <c r="C6044" t="s">
        <v>11321</v>
      </c>
      <c r="D6044" t="s">
        <v>441</v>
      </c>
      <c r="F6044">
        <v>0</v>
      </c>
      <c r="G6044">
        <v>3.45</v>
      </c>
      <c r="H6044" t="s">
        <v>8588</v>
      </c>
      <c r="I6044">
        <v>365</v>
      </c>
      <c r="J6044" t="s">
        <v>445</v>
      </c>
      <c r="K6044" t="s">
        <v>446</v>
      </c>
      <c r="M6044">
        <v>2501</v>
      </c>
    </row>
    <row r="6045" spans="1:14">
      <c r="A6045">
        <v>23030030</v>
      </c>
      <c r="B6045">
        <v>4009773</v>
      </c>
      <c r="C6045" t="s">
        <v>11322</v>
      </c>
      <c r="D6045" t="s">
        <v>441</v>
      </c>
      <c r="F6045">
        <v>0</v>
      </c>
      <c r="G6045">
        <v>6.23</v>
      </c>
      <c r="H6045" t="s">
        <v>8588</v>
      </c>
      <c r="I6045">
        <v>12</v>
      </c>
      <c r="J6045" t="s">
        <v>462</v>
      </c>
      <c r="K6045" t="s">
        <v>446</v>
      </c>
      <c r="M6045">
        <v>2611</v>
      </c>
    </row>
    <row r="6046" spans="1:14">
      <c r="A6046">
        <v>23030040</v>
      </c>
      <c r="B6046">
        <v>4012630</v>
      </c>
      <c r="C6046" t="s">
        <v>11323</v>
      </c>
      <c r="D6046" t="s">
        <v>441</v>
      </c>
      <c r="F6046">
        <v>0</v>
      </c>
      <c r="G6046">
        <v>2.84</v>
      </c>
      <c r="H6046" t="s">
        <v>8588</v>
      </c>
      <c r="I6046">
        <v>10</v>
      </c>
      <c r="J6046" t="s">
        <v>462</v>
      </c>
      <c r="K6046" t="s">
        <v>446</v>
      </c>
      <c r="M6046">
        <v>2612</v>
      </c>
    </row>
    <row r="6047" spans="1:14">
      <c r="A6047">
        <v>23030041</v>
      </c>
      <c r="B6047">
        <v>4012981</v>
      </c>
      <c r="C6047" t="s">
        <v>11324</v>
      </c>
      <c r="D6047" t="s">
        <v>441</v>
      </c>
      <c r="F6047">
        <v>0</v>
      </c>
      <c r="G6047">
        <v>3.05</v>
      </c>
      <c r="H6047" t="s">
        <v>8588</v>
      </c>
      <c r="I6047">
        <v>10</v>
      </c>
      <c r="J6047" t="s">
        <v>462</v>
      </c>
      <c r="K6047" t="s">
        <v>446</v>
      </c>
      <c r="M6047">
        <v>2612</v>
      </c>
    </row>
    <row r="6048" spans="1:14">
      <c r="A6048">
        <v>23030042</v>
      </c>
      <c r="B6048">
        <v>4014886</v>
      </c>
      <c r="C6048" t="s">
        <v>11325</v>
      </c>
      <c r="D6048" t="s">
        <v>441</v>
      </c>
      <c r="F6048">
        <v>0</v>
      </c>
      <c r="G6048">
        <v>3.87</v>
      </c>
      <c r="H6048" t="s">
        <v>8588</v>
      </c>
      <c r="I6048">
        <v>12</v>
      </c>
      <c r="J6048" t="s">
        <v>462</v>
      </c>
      <c r="K6048" t="s">
        <v>446</v>
      </c>
      <c r="M6048">
        <v>2612</v>
      </c>
    </row>
    <row r="6049" spans="1:14">
      <c r="A6049">
        <v>23030043</v>
      </c>
      <c r="B6049">
        <v>4015412</v>
      </c>
      <c r="C6049" t="s">
        <v>11326</v>
      </c>
      <c r="D6049" t="s">
        <v>441</v>
      </c>
      <c r="F6049">
        <v>0</v>
      </c>
      <c r="G6049">
        <v>2.84</v>
      </c>
      <c r="H6049" t="s">
        <v>8588</v>
      </c>
      <c r="I6049">
        <v>16</v>
      </c>
      <c r="J6049" t="s">
        <v>462</v>
      </c>
      <c r="K6049" t="s">
        <v>446</v>
      </c>
      <c r="M6049">
        <v>2612</v>
      </c>
    </row>
    <row r="6050" spans="1:14">
      <c r="A6050">
        <v>23030050</v>
      </c>
      <c r="B6050">
        <v>4014886</v>
      </c>
      <c r="C6050" t="s">
        <v>11327</v>
      </c>
      <c r="D6050" t="s">
        <v>441</v>
      </c>
      <c r="F6050">
        <v>0</v>
      </c>
      <c r="G6050">
        <v>1</v>
      </c>
      <c r="H6050" t="s">
        <v>8588</v>
      </c>
      <c r="I6050">
        <v>10</v>
      </c>
      <c r="J6050" t="s">
        <v>462</v>
      </c>
      <c r="M6050">
        <v>2612</v>
      </c>
    </row>
    <row r="6051" spans="1:14">
      <c r="A6051">
        <v>23030502</v>
      </c>
      <c r="B6051">
        <v>3009129</v>
      </c>
      <c r="C6051" t="s">
        <v>11328</v>
      </c>
      <c r="D6051" t="s">
        <v>441</v>
      </c>
      <c r="F6051">
        <v>0</v>
      </c>
      <c r="G6051">
        <v>3.27</v>
      </c>
      <c r="H6051" t="s">
        <v>8580</v>
      </c>
      <c r="I6051">
        <v>6</v>
      </c>
      <c r="J6051" t="s">
        <v>445</v>
      </c>
      <c r="K6051" t="s">
        <v>446</v>
      </c>
      <c r="M6051">
        <v>2501</v>
      </c>
    </row>
    <row r="6052" spans="1:14">
      <c r="A6052">
        <v>23030525</v>
      </c>
      <c r="B6052">
        <v>3007965</v>
      </c>
      <c r="C6052" t="s">
        <v>11329</v>
      </c>
      <c r="D6052" t="s">
        <v>441</v>
      </c>
      <c r="F6052">
        <v>0</v>
      </c>
      <c r="G6052">
        <v>2.1</v>
      </c>
      <c r="H6052" t="s">
        <v>8580</v>
      </c>
      <c r="I6052">
        <v>6</v>
      </c>
      <c r="J6052" t="s">
        <v>445</v>
      </c>
      <c r="K6052" t="s">
        <v>446</v>
      </c>
      <c r="M6052">
        <v>2641</v>
      </c>
    </row>
    <row r="6053" spans="1:14">
      <c r="A6053">
        <v>23030526</v>
      </c>
      <c r="B6053">
        <v>3013583</v>
      </c>
      <c r="C6053" t="s">
        <v>11330</v>
      </c>
      <c r="D6053" t="s">
        <v>441</v>
      </c>
      <c r="F6053">
        <v>0</v>
      </c>
      <c r="G6053">
        <v>3.26</v>
      </c>
      <c r="H6053" t="s">
        <v>8584</v>
      </c>
      <c r="I6053">
        <v>365</v>
      </c>
      <c r="J6053" t="s">
        <v>445</v>
      </c>
      <c r="K6053" t="s">
        <v>446</v>
      </c>
      <c r="M6053">
        <v>2641</v>
      </c>
    </row>
    <row r="6054" spans="1:14">
      <c r="A6054">
        <v>23030626</v>
      </c>
      <c r="B6054">
        <v>3013585</v>
      </c>
      <c r="C6054" t="s">
        <v>11331</v>
      </c>
      <c r="D6054" t="s">
        <v>441</v>
      </c>
      <c r="F6054">
        <v>0</v>
      </c>
      <c r="G6054">
        <v>3.7</v>
      </c>
      <c r="H6054" t="s">
        <v>8588</v>
      </c>
      <c r="I6054">
        <v>4</v>
      </c>
      <c r="J6054" t="s">
        <v>445</v>
      </c>
      <c r="K6054" t="s">
        <v>446</v>
      </c>
      <c r="M6054">
        <v>2511</v>
      </c>
    </row>
    <row r="6055" spans="1:14">
      <c r="A6055">
        <v>23030926</v>
      </c>
      <c r="B6055">
        <v>3020914</v>
      </c>
      <c r="C6055" t="s">
        <v>11332</v>
      </c>
      <c r="D6055" t="s">
        <v>441</v>
      </c>
      <c r="F6055">
        <v>0</v>
      </c>
      <c r="H6055" t="s">
        <v>8580</v>
      </c>
      <c r="I6055">
        <v>4</v>
      </c>
      <c r="J6055" t="s">
        <v>445</v>
      </c>
      <c r="K6055" t="s">
        <v>446</v>
      </c>
      <c r="M6055">
        <v>6666</v>
      </c>
    </row>
    <row r="6056" spans="1:14">
      <c r="A6056">
        <v>23031042</v>
      </c>
      <c r="B6056">
        <v>4014887</v>
      </c>
      <c r="C6056" t="s">
        <v>11333</v>
      </c>
      <c r="D6056" t="s">
        <v>441</v>
      </c>
      <c r="F6056">
        <v>0</v>
      </c>
      <c r="G6056">
        <v>3.61</v>
      </c>
      <c r="H6056" t="s">
        <v>8588</v>
      </c>
      <c r="I6056">
        <v>10</v>
      </c>
      <c r="J6056" t="s">
        <v>462</v>
      </c>
      <c r="K6056" t="s">
        <v>446</v>
      </c>
      <c r="M6056">
        <v>2612</v>
      </c>
    </row>
    <row r="6057" spans="1:14">
      <c r="A6057">
        <v>23031050</v>
      </c>
      <c r="B6057">
        <v>4014887</v>
      </c>
      <c r="C6057" t="s">
        <v>11334</v>
      </c>
      <c r="D6057" t="s">
        <v>441</v>
      </c>
      <c r="F6057">
        <v>0</v>
      </c>
      <c r="G6057">
        <v>1</v>
      </c>
      <c r="H6057" t="s">
        <v>8588</v>
      </c>
      <c r="I6057">
        <v>10</v>
      </c>
      <c r="J6057" t="s">
        <v>462</v>
      </c>
      <c r="M6057">
        <v>2612</v>
      </c>
    </row>
    <row r="6058" spans="1:14">
      <c r="A6058">
        <v>23033000</v>
      </c>
      <c r="B6058">
        <v>3015270</v>
      </c>
      <c r="C6058" t="s">
        <v>11335</v>
      </c>
      <c r="D6058" t="s">
        <v>441</v>
      </c>
      <c r="F6058">
        <v>0</v>
      </c>
      <c r="G6058">
        <v>4</v>
      </c>
      <c r="H6058" t="s">
        <v>8588</v>
      </c>
      <c r="I6058">
        <v>6</v>
      </c>
      <c r="J6058" t="s">
        <v>445</v>
      </c>
      <c r="M6058">
        <v>2391</v>
      </c>
      <c r="N6058" t="s">
        <v>16245</v>
      </c>
    </row>
    <row r="6059" spans="1:14">
      <c r="A6059">
        <v>23033007</v>
      </c>
      <c r="B6059">
        <v>3025006</v>
      </c>
      <c r="C6059" t="s">
        <v>11336</v>
      </c>
      <c r="D6059" t="s">
        <v>441</v>
      </c>
      <c r="F6059">
        <v>0</v>
      </c>
      <c r="G6059">
        <v>3.26</v>
      </c>
      <c r="H6059" t="s">
        <v>8935</v>
      </c>
      <c r="I6059">
        <v>6</v>
      </c>
      <c r="J6059" t="s">
        <v>445</v>
      </c>
      <c r="K6059" t="s">
        <v>446</v>
      </c>
      <c r="M6059">
        <v>3111</v>
      </c>
    </row>
    <row r="6060" spans="1:14">
      <c r="A6060">
        <v>23033900</v>
      </c>
      <c r="B6060">
        <v>3020334</v>
      </c>
      <c r="C6060" t="s">
        <v>11337</v>
      </c>
      <c r="D6060" t="s">
        <v>441</v>
      </c>
      <c r="F6060">
        <v>0</v>
      </c>
      <c r="H6060" t="s">
        <v>8580</v>
      </c>
      <c r="I6060">
        <v>6</v>
      </c>
      <c r="J6060" t="s">
        <v>445</v>
      </c>
      <c r="M6060">
        <v>6666</v>
      </c>
      <c r="N6060" t="s">
        <v>16245</v>
      </c>
    </row>
    <row r="6061" spans="1:14">
      <c r="A6061">
        <v>23110000</v>
      </c>
      <c r="B6061">
        <v>3016011</v>
      </c>
      <c r="C6061" t="s">
        <v>11338</v>
      </c>
      <c r="D6061" t="s">
        <v>441</v>
      </c>
      <c r="F6061">
        <v>0</v>
      </c>
      <c r="G6061">
        <v>0</v>
      </c>
      <c r="H6061" t="s">
        <v>8584</v>
      </c>
      <c r="I6061">
        <v>7</v>
      </c>
      <c r="J6061" t="s">
        <v>445</v>
      </c>
      <c r="M6061">
        <v>2391</v>
      </c>
      <c r="N6061" t="s">
        <v>16246</v>
      </c>
    </row>
    <row r="6062" spans="1:14">
      <c r="A6062">
        <v>23110002</v>
      </c>
      <c r="B6062">
        <v>4024569</v>
      </c>
      <c r="C6062" t="s">
        <v>11339</v>
      </c>
      <c r="D6062" t="s">
        <v>441</v>
      </c>
      <c r="F6062">
        <v>0</v>
      </c>
      <c r="G6062">
        <v>5.69</v>
      </c>
      <c r="H6062" t="s">
        <v>8549</v>
      </c>
      <c r="I6062">
        <v>540</v>
      </c>
      <c r="J6062" t="s">
        <v>462</v>
      </c>
      <c r="M6062">
        <v>7111</v>
      </c>
      <c r="N6062" t="s">
        <v>16246</v>
      </c>
    </row>
    <row r="6063" spans="1:14">
      <c r="A6063">
        <v>23110019</v>
      </c>
      <c r="B6063">
        <v>3012153</v>
      </c>
      <c r="C6063" t="s">
        <v>2889</v>
      </c>
      <c r="D6063" t="s">
        <v>441</v>
      </c>
      <c r="F6063">
        <v>0</v>
      </c>
      <c r="G6063">
        <v>3.42</v>
      </c>
      <c r="H6063" t="s">
        <v>8588</v>
      </c>
      <c r="I6063">
        <v>540</v>
      </c>
      <c r="J6063" t="s">
        <v>445</v>
      </c>
      <c r="M6063">
        <v>7111</v>
      </c>
      <c r="N6063" t="s">
        <v>16246</v>
      </c>
    </row>
    <row r="6064" spans="1:14">
      <c r="A6064">
        <v>23110025</v>
      </c>
      <c r="B6064">
        <v>4003982</v>
      </c>
      <c r="C6064" t="s">
        <v>11340</v>
      </c>
      <c r="D6064" t="s">
        <v>441</v>
      </c>
      <c r="F6064">
        <v>0</v>
      </c>
      <c r="G6064">
        <v>1.81</v>
      </c>
      <c r="H6064" t="s">
        <v>8588</v>
      </c>
      <c r="I6064">
        <v>365</v>
      </c>
      <c r="J6064" t="s">
        <v>462</v>
      </c>
      <c r="K6064" t="s">
        <v>446</v>
      </c>
      <c r="M6064">
        <v>2501</v>
      </c>
    </row>
    <row r="6065" spans="1:14">
      <c r="A6065">
        <v>23110027</v>
      </c>
      <c r="B6065">
        <v>4021909</v>
      </c>
      <c r="C6065" t="s">
        <v>2890</v>
      </c>
      <c r="D6065" t="s">
        <v>441</v>
      </c>
      <c r="F6065">
        <v>0</v>
      </c>
      <c r="G6065">
        <v>3.45</v>
      </c>
      <c r="H6065" t="s">
        <v>8588</v>
      </c>
      <c r="I6065">
        <v>540</v>
      </c>
      <c r="J6065" t="s">
        <v>462</v>
      </c>
      <c r="L6065" t="s">
        <v>11341</v>
      </c>
      <c r="M6065">
        <v>7111</v>
      </c>
      <c r="N6065" t="s">
        <v>16246</v>
      </c>
    </row>
    <row r="6066" spans="1:14">
      <c r="A6066">
        <v>23110028</v>
      </c>
      <c r="B6066">
        <v>4006280</v>
      </c>
      <c r="C6066" t="s">
        <v>11342</v>
      </c>
      <c r="D6066" t="s">
        <v>441</v>
      </c>
      <c r="F6066">
        <v>0</v>
      </c>
      <c r="G6066">
        <v>4.99</v>
      </c>
      <c r="H6066" t="s">
        <v>8588</v>
      </c>
      <c r="I6066">
        <v>540</v>
      </c>
      <c r="J6066" t="s">
        <v>462</v>
      </c>
      <c r="L6066" t="s">
        <v>11341</v>
      </c>
      <c r="M6066">
        <v>7111</v>
      </c>
      <c r="N6066" t="s">
        <v>16246</v>
      </c>
    </row>
    <row r="6067" spans="1:14">
      <c r="A6067">
        <v>23110075</v>
      </c>
      <c r="B6067">
        <v>3007966</v>
      </c>
      <c r="C6067" t="s">
        <v>11343</v>
      </c>
      <c r="D6067" t="s">
        <v>441</v>
      </c>
      <c r="F6067">
        <v>0</v>
      </c>
      <c r="G6067">
        <v>1.48</v>
      </c>
      <c r="H6067" t="s">
        <v>8580</v>
      </c>
      <c r="I6067">
        <v>7</v>
      </c>
      <c r="J6067" t="s">
        <v>445</v>
      </c>
      <c r="K6067" t="s">
        <v>446</v>
      </c>
      <c r="M6067">
        <v>2641</v>
      </c>
    </row>
    <row r="6068" spans="1:14">
      <c r="A6068">
        <v>23110076</v>
      </c>
      <c r="B6068">
        <v>3033146</v>
      </c>
      <c r="C6068" t="s">
        <v>2891</v>
      </c>
      <c r="D6068" t="s">
        <v>441</v>
      </c>
      <c r="F6068">
        <v>0</v>
      </c>
      <c r="G6068">
        <v>3.17</v>
      </c>
      <c r="H6068" t="s">
        <v>8588</v>
      </c>
      <c r="I6068">
        <v>7</v>
      </c>
      <c r="J6068" t="s">
        <v>445</v>
      </c>
      <c r="M6068">
        <v>7112</v>
      </c>
      <c r="N6068" t="s">
        <v>16246</v>
      </c>
    </row>
    <row r="6069" spans="1:14">
      <c r="A6069">
        <v>23110080</v>
      </c>
      <c r="B6069">
        <v>4011074</v>
      </c>
      <c r="C6069" t="s">
        <v>2892</v>
      </c>
      <c r="D6069" t="s">
        <v>441</v>
      </c>
      <c r="F6069">
        <v>0</v>
      </c>
      <c r="G6069">
        <v>3.15</v>
      </c>
      <c r="H6069" t="s">
        <v>8588</v>
      </c>
      <c r="I6069">
        <v>7</v>
      </c>
      <c r="J6069" t="s">
        <v>462</v>
      </c>
      <c r="M6069">
        <v>7112</v>
      </c>
      <c r="N6069" t="s">
        <v>16246</v>
      </c>
    </row>
    <row r="6070" spans="1:14">
      <c r="A6070">
        <v>23110087</v>
      </c>
      <c r="B6070">
        <v>3006370</v>
      </c>
      <c r="C6070" t="s">
        <v>2893</v>
      </c>
      <c r="D6070" t="s">
        <v>441</v>
      </c>
      <c r="F6070">
        <v>0</v>
      </c>
      <c r="G6070">
        <v>3.13</v>
      </c>
      <c r="H6070" t="s">
        <v>8588</v>
      </c>
      <c r="I6070">
        <v>7</v>
      </c>
      <c r="J6070" t="s">
        <v>445</v>
      </c>
      <c r="M6070">
        <v>7112</v>
      </c>
      <c r="N6070" t="s">
        <v>16246</v>
      </c>
    </row>
    <row r="6071" spans="1:14">
      <c r="A6071">
        <v>23110088</v>
      </c>
      <c r="B6071">
        <v>3029569</v>
      </c>
      <c r="C6071" t="s">
        <v>2894</v>
      </c>
      <c r="D6071" t="s">
        <v>441</v>
      </c>
      <c r="F6071">
        <v>0</v>
      </c>
      <c r="G6071">
        <v>3.08</v>
      </c>
      <c r="H6071" t="s">
        <v>8588</v>
      </c>
      <c r="I6071">
        <v>7</v>
      </c>
      <c r="J6071" t="s">
        <v>445</v>
      </c>
      <c r="M6071">
        <v>7112</v>
      </c>
      <c r="N6071" t="s">
        <v>16246</v>
      </c>
    </row>
    <row r="6072" spans="1:14">
      <c r="A6072">
        <v>23110090</v>
      </c>
      <c r="B6072">
        <v>3018905</v>
      </c>
      <c r="C6072" t="s">
        <v>2895</v>
      </c>
      <c r="D6072" t="s">
        <v>441</v>
      </c>
      <c r="F6072">
        <v>0</v>
      </c>
      <c r="G6072">
        <v>3.12</v>
      </c>
      <c r="H6072" t="s">
        <v>8588</v>
      </c>
      <c r="I6072">
        <v>7</v>
      </c>
      <c r="J6072" t="s">
        <v>445</v>
      </c>
      <c r="M6072">
        <v>7112</v>
      </c>
      <c r="N6072" t="s">
        <v>16246</v>
      </c>
    </row>
    <row r="6073" spans="1:14">
      <c r="A6073">
        <v>23110502</v>
      </c>
      <c r="B6073">
        <v>3036535</v>
      </c>
      <c r="C6073" t="s">
        <v>11344</v>
      </c>
      <c r="D6073" t="s">
        <v>441</v>
      </c>
      <c r="F6073">
        <v>0</v>
      </c>
      <c r="G6073">
        <v>3.13</v>
      </c>
      <c r="H6073" t="s">
        <v>8549</v>
      </c>
      <c r="I6073">
        <v>7</v>
      </c>
      <c r="J6073" t="s">
        <v>445</v>
      </c>
      <c r="M6073">
        <v>2502</v>
      </c>
      <c r="N6073" t="s">
        <v>16246</v>
      </c>
    </row>
    <row r="6074" spans="1:14">
      <c r="A6074">
        <v>23110519</v>
      </c>
      <c r="B6074">
        <v>3012152</v>
      </c>
      <c r="C6074" t="s">
        <v>2896</v>
      </c>
      <c r="D6074" t="s">
        <v>441</v>
      </c>
      <c r="F6074">
        <v>0</v>
      </c>
      <c r="G6074">
        <v>3.11</v>
      </c>
      <c r="H6074" t="s">
        <v>8580</v>
      </c>
      <c r="I6074">
        <v>540</v>
      </c>
      <c r="J6074" t="s">
        <v>445</v>
      </c>
      <c r="M6074">
        <v>2502</v>
      </c>
      <c r="N6074" t="s">
        <v>16246</v>
      </c>
    </row>
    <row r="6075" spans="1:14">
      <c r="A6075">
        <v>23110525</v>
      </c>
      <c r="B6075">
        <v>3007967</v>
      </c>
      <c r="C6075" t="s">
        <v>11345</v>
      </c>
      <c r="D6075" t="s">
        <v>441</v>
      </c>
      <c r="F6075">
        <v>0</v>
      </c>
      <c r="G6075">
        <v>1.63</v>
      </c>
      <c r="H6075" t="s">
        <v>8580</v>
      </c>
      <c r="I6075">
        <v>7</v>
      </c>
      <c r="J6075" t="s">
        <v>445</v>
      </c>
      <c r="K6075" t="s">
        <v>446</v>
      </c>
      <c r="M6075">
        <v>2641</v>
      </c>
    </row>
    <row r="6076" spans="1:14">
      <c r="A6076">
        <v>23110527</v>
      </c>
      <c r="B6076">
        <v>3032940</v>
      </c>
      <c r="C6076" t="s">
        <v>2897</v>
      </c>
      <c r="D6076" t="s">
        <v>441</v>
      </c>
      <c r="F6076">
        <v>0</v>
      </c>
      <c r="G6076">
        <v>3.14</v>
      </c>
      <c r="H6076" t="s">
        <v>8580</v>
      </c>
      <c r="I6076">
        <v>7</v>
      </c>
      <c r="J6076" t="s">
        <v>445</v>
      </c>
      <c r="M6076">
        <v>2502</v>
      </c>
      <c r="N6076" t="s">
        <v>16246</v>
      </c>
    </row>
    <row r="6077" spans="1:14">
      <c r="A6077">
        <v>23110528</v>
      </c>
      <c r="B6077">
        <v>3007968</v>
      </c>
      <c r="C6077" t="s">
        <v>2898</v>
      </c>
      <c r="D6077" t="s">
        <v>441</v>
      </c>
      <c r="F6077">
        <v>0</v>
      </c>
      <c r="G6077">
        <v>3.14</v>
      </c>
      <c r="H6077" t="s">
        <v>8580</v>
      </c>
      <c r="I6077">
        <v>540</v>
      </c>
      <c r="J6077" t="s">
        <v>445</v>
      </c>
      <c r="L6077" t="s">
        <v>11346</v>
      </c>
      <c r="M6077">
        <v>2502</v>
      </c>
      <c r="N6077" t="s">
        <v>16246</v>
      </c>
    </row>
    <row r="6078" spans="1:14">
      <c r="A6078">
        <v>23113000</v>
      </c>
      <c r="B6078">
        <v>3015283</v>
      </c>
      <c r="C6078" t="s">
        <v>2899</v>
      </c>
      <c r="D6078" t="s">
        <v>441</v>
      </c>
      <c r="F6078">
        <v>0</v>
      </c>
      <c r="G6078">
        <v>5.5</v>
      </c>
      <c r="H6078" t="s">
        <v>8580</v>
      </c>
      <c r="I6078">
        <v>7</v>
      </c>
      <c r="J6078" t="s">
        <v>445</v>
      </c>
      <c r="M6078">
        <v>2391</v>
      </c>
      <c r="N6078" t="s">
        <v>16246</v>
      </c>
    </row>
    <row r="6079" spans="1:14">
      <c r="A6079">
        <v>23113007</v>
      </c>
      <c r="B6079">
        <v>3025007</v>
      </c>
      <c r="C6079" t="s">
        <v>14431</v>
      </c>
      <c r="D6079" t="s">
        <v>441</v>
      </c>
      <c r="F6079">
        <v>0</v>
      </c>
      <c r="G6079">
        <v>5.1100000000000003</v>
      </c>
      <c r="H6079" t="s">
        <v>8935</v>
      </c>
      <c r="I6079">
        <v>7</v>
      </c>
      <c r="J6079" t="s">
        <v>445</v>
      </c>
      <c r="M6079">
        <v>3111</v>
      </c>
      <c r="N6079" t="s">
        <v>16246</v>
      </c>
    </row>
    <row r="6080" spans="1:14">
      <c r="A6080">
        <v>23113907</v>
      </c>
      <c r="B6080">
        <v>3025267</v>
      </c>
      <c r="C6080" t="s">
        <v>14432</v>
      </c>
      <c r="D6080" t="s">
        <v>441</v>
      </c>
      <c r="F6080">
        <v>0</v>
      </c>
      <c r="G6080">
        <v>0</v>
      </c>
      <c r="I6080">
        <v>7</v>
      </c>
      <c r="J6080" t="s">
        <v>445</v>
      </c>
      <c r="M6080">
        <v>6666</v>
      </c>
      <c r="N6080" t="s">
        <v>16246</v>
      </c>
    </row>
    <row r="6081" spans="1:14">
      <c r="A6081">
        <v>23140000</v>
      </c>
      <c r="B6081">
        <v>3007969</v>
      </c>
      <c r="C6081" t="s">
        <v>11347</v>
      </c>
      <c r="D6081" t="s">
        <v>441</v>
      </c>
      <c r="F6081">
        <v>0</v>
      </c>
      <c r="G6081">
        <v>3.5</v>
      </c>
      <c r="H6081" t="s">
        <v>8580</v>
      </c>
      <c r="I6081">
        <v>6</v>
      </c>
      <c r="J6081" t="s">
        <v>445</v>
      </c>
      <c r="M6081">
        <v>2391</v>
      </c>
      <c r="N6081" t="s">
        <v>16155</v>
      </c>
    </row>
    <row r="6082" spans="1:14">
      <c r="A6082">
        <v>23140002</v>
      </c>
      <c r="B6082">
        <v>3031393</v>
      </c>
      <c r="C6082" t="s">
        <v>11348</v>
      </c>
      <c r="D6082" t="s">
        <v>441</v>
      </c>
      <c r="F6082">
        <v>0</v>
      </c>
      <c r="G6082">
        <v>4.0999999999999996</v>
      </c>
      <c r="H6082" t="s">
        <v>8549</v>
      </c>
      <c r="I6082">
        <v>540</v>
      </c>
      <c r="J6082" t="s">
        <v>445</v>
      </c>
      <c r="M6082">
        <v>7111</v>
      </c>
      <c r="N6082" t="s">
        <v>16155</v>
      </c>
    </row>
    <row r="6083" spans="1:14">
      <c r="A6083">
        <v>23140019</v>
      </c>
      <c r="B6083">
        <v>4007994</v>
      </c>
      <c r="C6083" t="s">
        <v>11348</v>
      </c>
      <c r="D6083" t="s">
        <v>441</v>
      </c>
      <c r="F6083">
        <v>0</v>
      </c>
      <c r="G6083">
        <v>4.0999999999999996</v>
      </c>
      <c r="H6083" t="s">
        <v>8588</v>
      </c>
      <c r="I6083">
        <v>540</v>
      </c>
      <c r="J6083" t="s">
        <v>462</v>
      </c>
      <c r="M6083">
        <v>7111</v>
      </c>
      <c r="N6083" t="s">
        <v>16155</v>
      </c>
    </row>
    <row r="6084" spans="1:14">
      <c r="A6084">
        <v>23140075</v>
      </c>
      <c r="B6084">
        <v>3008688</v>
      </c>
      <c r="C6084" t="s">
        <v>11349</v>
      </c>
      <c r="D6084" t="s">
        <v>441</v>
      </c>
      <c r="F6084">
        <v>0</v>
      </c>
      <c r="G6084">
        <v>1.47</v>
      </c>
      <c r="H6084" t="s">
        <v>8588</v>
      </c>
      <c r="I6084">
        <v>6</v>
      </c>
      <c r="J6084" t="s">
        <v>445</v>
      </c>
      <c r="K6084" t="s">
        <v>446</v>
      </c>
      <c r="M6084">
        <v>2641</v>
      </c>
    </row>
    <row r="6085" spans="1:14">
      <c r="A6085">
        <v>23140080</v>
      </c>
      <c r="B6085">
        <v>3002593</v>
      </c>
      <c r="C6085" t="s">
        <v>2900</v>
      </c>
      <c r="D6085" t="s">
        <v>441</v>
      </c>
      <c r="F6085">
        <v>0</v>
      </c>
      <c r="G6085">
        <v>3.63</v>
      </c>
      <c r="H6085" t="s">
        <v>8588</v>
      </c>
      <c r="I6085">
        <v>6</v>
      </c>
      <c r="J6085" t="s">
        <v>445</v>
      </c>
      <c r="M6085">
        <v>7112</v>
      </c>
      <c r="N6085" t="s">
        <v>16155</v>
      </c>
    </row>
    <row r="6086" spans="1:14">
      <c r="A6086">
        <v>23140502</v>
      </c>
      <c r="B6086">
        <v>3031391</v>
      </c>
      <c r="C6086" t="s">
        <v>2901</v>
      </c>
      <c r="D6086" t="s">
        <v>441</v>
      </c>
      <c r="F6086">
        <v>0</v>
      </c>
      <c r="G6086">
        <v>3.59</v>
      </c>
      <c r="H6086" t="s">
        <v>8549</v>
      </c>
      <c r="I6086">
        <v>540</v>
      </c>
      <c r="J6086" t="s">
        <v>445</v>
      </c>
      <c r="M6086">
        <v>2502</v>
      </c>
      <c r="N6086" t="s">
        <v>16155</v>
      </c>
    </row>
    <row r="6087" spans="1:14">
      <c r="A6087">
        <v>23140519</v>
      </c>
      <c r="B6087">
        <v>3007970</v>
      </c>
      <c r="C6087" t="s">
        <v>2901</v>
      </c>
      <c r="D6087" t="s">
        <v>441</v>
      </c>
      <c r="F6087">
        <v>0</v>
      </c>
      <c r="G6087">
        <v>3.59</v>
      </c>
      <c r="H6087" t="s">
        <v>8580</v>
      </c>
      <c r="I6087">
        <v>6</v>
      </c>
      <c r="J6087" t="s">
        <v>445</v>
      </c>
      <c r="M6087">
        <v>2502</v>
      </c>
      <c r="N6087" t="s">
        <v>16155</v>
      </c>
    </row>
    <row r="6088" spans="1:14">
      <c r="A6088">
        <v>23140602</v>
      </c>
      <c r="B6088">
        <v>3032394</v>
      </c>
      <c r="C6088" t="s">
        <v>11350</v>
      </c>
      <c r="D6088" t="s">
        <v>441</v>
      </c>
      <c r="F6088">
        <v>0</v>
      </c>
      <c r="G6088">
        <v>4.2699999999999996</v>
      </c>
      <c r="H6088" t="s">
        <v>8588</v>
      </c>
      <c r="I6088">
        <v>4</v>
      </c>
      <c r="J6088" t="s">
        <v>445</v>
      </c>
      <c r="M6088">
        <v>2510</v>
      </c>
      <c r="N6088" t="s">
        <v>16155</v>
      </c>
    </row>
    <row r="6089" spans="1:14">
      <c r="A6089">
        <v>23140619</v>
      </c>
      <c r="B6089">
        <v>3007971</v>
      </c>
      <c r="C6089" t="s">
        <v>11351</v>
      </c>
      <c r="D6089" t="s">
        <v>441</v>
      </c>
      <c r="F6089">
        <v>0</v>
      </c>
      <c r="G6089">
        <v>1.93</v>
      </c>
      <c r="H6089" t="s">
        <v>8588</v>
      </c>
      <c r="I6089">
        <v>4</v>
      </c>
      <c r="J6089" t="s">
        <v>445</v>
      </c>
      <c r="K6089" t="s">
        <v>446</v>
      </c>
      <c r="M6089">
        <v>2511</v>
      </c>
    </row>
    <row r="6090" spans="1:14">
      <c r="A6090">
        <v>23140902</v>
      </c>
      <c r="B6090">
        <v>3032395</v>
      </c>
      <c r="C6090" t="s">
        <v>11352</v>
      </c>
      <c r="D6090" t="s">
        <v>441</v>
      </c>
      <c r="F6090">
        <v>0</v>
      </c>
      <c r="I6090">
        <v>4</v>
      </c>
      <c r="J6090" t="s">
        <v>445</v>
      </c>
      <c r="M6090">
        <v>6666</v>
      </c>
      <c r="N6090" t="s">
        <v>16155</v>
      </c>
    </row>
    <row r="6091" spans="1:14">
      <c r="A6091">
        <v>23140919</v>
      </c>
      <c r="B6091">
        <v>3020335</v>
      </c>
      <c r="C6091" t="s">
        <v>11353</v>
      </c>
      <c r="D6091" t="s">
        <v>441</v>
      </c>
      <c r="F6091">
        <v>0</v>
      </c>
      <c r="H6091" t="s">
        <v>8580</v>
      </c>
      <c r="I6091">
        <v>4</v>
      </c>
      <c r="J6091" t="s">
        <v>445</v>
      </c>
      <c r="K6091" t="s">
        <v>446</v>
      </c>
      <c r="M6091">
        <v>6666</v>
      </c>
    </row>
    <row r="6092" spans="1:14">
      <c r="A6092">
        <v>23143000</v>
      </c>
      <c r="B6092">
        <v>3016313</v>
      </c>
      <c r="C6092" t="s">
        <v>11354</v>
      </c>
      <c r="D6092" t="s">
        <v>441</v>
      </c>
      <c r="F6092">
        <v>0</v>
      </c>
      <c r="G6092">
        <v>3.5</v>
      </c>
      <c r="H6092" t="s">
        <v>8588</v>
      </c>
      <c r="I6092">
        <v>6</v>
      </c>
      <c r="J6092" t="s">
        <v>445</v>
      </c>
      <c r="M6092">
        <v>2391</v>
      </c>
      <c r="N6092" t="s">
        <v>16155</v>
      </c>
    </row>
    <row r="6093" spans="1:14">
      <c r="A6093">
        <v>23143007</v>
      </c>
      <c r="B6093">
        <v>3025008</v>
      </c>
      <c r="C6093" t="s">
        <v>14433</v>
      </c>
      <c r="D6093" t="s">
        <v>441</v>
      </c>
      <c r="F6093">
        <v>0</v>
      </c>
      <c r="G6093">
        <v>3.6</v>
      </c>
      <c r="H6093" t="s">
        <v>8588</v>
      </c>
      <c r="I6093">
        <v>6</v>
      </c>
      <c r="J6093" t="s">
        <v>445</v>
      </c>
      <c r="M6093">
        <v>3113</v>
      </c>
      <c r="N6093" t="s">
        <v>16155</v>
      </c>
    </row>
    <row r="6094" spans="1:14">
      <c r="A6094">
        <v>23143900</v>
      </c>
      <c r="B6094">
        <v>3020336</v>
      </c>
      <c r="C6094" t="s">
        <v>11355</v>
      </c>
      <c r="D6094" t="s">
        <v>441</v>
      </c>
      <c r="F6094">
        <v>0</v>
      </c>
      <c r="G6094">
        <v>0</v>
      </c>
      <c r="H6094" t="s">
        <v>8580</v>
      </c>
      <c r="I6094">
        <v>6</v>
      </c>
      <c r="J6094" t="s">
        <v>445</v>
      </c>
      <c r="M6094">
        <v>6666</v>
      </c>
      <c r="N6094" t="s">
        <v>16155</v>
      </c>
    </row>
    <row r="6095" spans="1:14">
      <c r="A6095">
        <v>23143907</v>
      </c>
      <c r="B6095">
        <v>3025268</v>
      </c>
      <c r="C6095" t="s">
        <v>14434</v>
      </c>
      <c r="D6095" t="s">
        <v>441</v>
      </c>
      <c r="F6095">
        <v>0</v>
      </c>
      <c r="G6095">
        <v>0</v>
      </c>
      <c r="H6095" t="s">
        <v>8580</v>
      </c>
      <c r="I6095">
        <v>6</v>
      </c>
      <c r="J6095" t="s">
        <v>445</v>
      </c>
      <c r="M6095">
        <v>6666</v>
      </c>
      <c r="N6095" t="s">
        <v>16155</v>
      </c>
    </row>
    <row r="6096" spans="1:14">
      <c r="A6096">
        <v>23149000</v>
      </c>
      <c r="B6096">
        <v>3019061</v>
      </c>
      <c r="C6096" t="s">
        <v>11356</v>
      </c>
      <c r="D6096" t="s">
        <v>441</v>
      </c>
      <c r="F6096">
        <v>0</v>
      </c>
      <c r="G6096">
        <v>3.5</v>
      </c>
      <c r="H6096" t="s">
        <v>8588</v>
      </c>
      <c r="I6096">
        <v>2</v>
      </c>
      <c r="J6096" t="s">
        <v>445</v>
      </c>
      <c r="M6096">
        <v>3111</v>
      </c>
      <c r="N6096" t="s">
        <v>16155</v>
      </c>
    </row>
    <row r="6097" spans="1:14">
      <c r="A6097">
        <v>23149900</v>
      </c>
      <c r="B6097">
        <v>3020337</v>
      </c>
      <c r="C6097" t="s">
        <v>11357</v>
      </c>
      <c r="D6097" t="s">
        <v>441</v>
      </c>
      <c r="F6097">
        <v>0</v>
      </c>
      <c r="H6097" t="s">
        <v>8584</v>
      </c>
      <c r="I6097">
        <v>2</v>
      </c>
      <c r="J6097" t="s">
        <v>445</v>
      </c>
      <c r="M6097">
        <v>6666</v>
      </c>
      <c r="N6097" t="s">
        <v>16155</v>
      </c>
    </row>
    <row r="6098" spans="1:14">
      <c r="A6098">
        <v>23160000</v>
      </c>
      <c r="B6098">
        <v>3016008</v>
      </c>
      <c r="C6098" t="s">
        <v>11358</v>
      </c>
      <c r="D6098" t="s">
        <v>441</v>
      </c>
      <c r="F6098">
        <v>0</v>
      </c>
      <c r="G6098">
        <v>0</v>
      </c>
      <c r="H6098" t="s">
        <v>8549</v>
      </c>
      <c r="I6098">
        <v>7</v>
      </c>
      <c r="J6098" t="s">
        <v>445</v>
      </c>
      <c r="M6098">
        <v>2391</v>
      </c>
      <c r="N6098" t="s">
        <v>16247</v>
      </c>
    </row>
    <row r="6099" spans="1:14">
      <c r="A6099">
        <v>23160002</v>
      </c>
      <c r="B6099">
        <v>3007973</v>
      </c>
      <c r="C6099" t="s">
        <v>11359</v>
      </c>
      <c r="D6099" t="s">
        <v>441</v>
      </c>
      <c r="F6099">
        <v>0</v>
      </c>
      <c r="G6099">
        <v>3.56</v>
      </c>
      <c r="I6099">
        <v>540</v>
      </c>
      <c r="J6099" t="s">
        <v>445</v>
      </c>
      <c r="K6099" t="s">
        <v>446</v>
      </c>
      <c r="M6099">
        <v>2501</v>
      </c>
    </row>
    <row r="6100" spans="1:14">
      <c r="A6100">
        <v>23160012</v>
      </c>
      <c r="B6100">
        <v>3002926</v>
      </c>
      <c r="C6100" t="s">
        <v>11360</v>
      </c>
      <c r="D6100" t="s">
        <v>441</v>
      </c>
      <c r="F6100">
        <v>0</v>
      </c>
      <c r="G6100">
        <v>1</v>
      </c>
      <c r="H6100" t="s">
        <v>8549</v>
      </c>
      <c r="I6100">
        <v>365</v>
      </c>
      <c r="J6100" t="s">
        <v>445</v>
      </c>
      <c r="K6100" t="s">
        <v>446</v>
      </c>
      <c r="M6100">
        <v>2501</v>
      </c>
    </row>
    <row r="6101" spans="1:14">
      <c r="A6101">
        <v>23160016</v>
      </c>
      <c r="B6101">
        <v>3034085</v>
      </c>
      <c r="C6101" t="s">
        <v>11361</v>
      </c>
      <c r="D6101" t="s">
        <v>441</v>
      </c>
      <c r="F6101">
        <v>0</v>
      </c>
      <c r="G6101">
        <v>3.74</v>
      </c>
      <c r="H6101" t="s">
        <v>8588</v>
      </c>
      <c r="I6101">
        <v>540</v>
      </c>
      <c r="J6101" t="s">
        <v>445</v>
      </c>
      <c r="L6101" t="s">
        <v>11362</v>
      </c>
      <c r="M6101">
        <v>7111</v>
      </c>
      <c r="N6101" t="s">
        <v>16247</v>
      </c>
    </row>
    <row r="6102" spans="1:14">
      <c r="A6102">
        <v>23160017</v>
      </c>
      <c r="B6102">
        <v>4021964</v>
      </c>
      <c r="C6102" t="s">
        <v>11363</v>
      </c>
      <c r="D6102" t="s">
        <v>441</v>
      </c>
      <c r="F6102">
        <v>0</v>
      </c>
      <c r="G6102">
        <v>3.72</v>
      </c>
      <c r="H6102" t="s">
        <v>8588</v>
      </c>
      <c r="I6102">
        <v>540</v>
      </c>
      <c r="J6102" t="s">
        <v>462</v>
      </c>
      <c r="L6102" t="s">
        <v>11362</v>
      </c>
      <c r="M6102">
        <v>7111</v>
      </c>
      <c r="N6102" t="s">
        <v>16247</v>
      </c>
    </row>
    <row r="6103" spans="1:14">
      <c r="A6103">
        <v>23160018</v>
      </c>
      <c r="B6103">
        <v>3014135</v>
      </c>
      <c r="C6103" t="s">
        <v>11364</v>
      </c>
      <c r="D6103" t="s">
        <v>441</v>
      </c>
      <c r="F6103">
        <v>0</v>
      </c>
      <c r="G6103">
        <v>3.72</v>
      </c>
      <c r="H6103" t="s">
        <v>8588</v>
      </c>
      <c r="I6103">
        <v>540</v>
      </c>
      <c r="J6103" t="s">
        <v>445</v>
      </c>
      <c r="M6103">
        <v>7111</v>
      </c>
      <c r="N6103" t="s">
        <v>16247</v>
      </c>
    </row>
    <row r="6104" spans="1:14">
      <c r="A6104">
        <v>23160019</v>
      </c>
      <c r="B6104">
        <v>4006419</v>
      </c>
      <c r="C6104" t="s">
        <v>11365</v>
      </c>
      <c r="D6104" t="s">
        <v>441</v>
      </c>
      <c r="F6104">
        <v>0</v>
      </c>
      <c r="G6104">
        <v>5.39</v>
      </c>
      <c r="H6104" t="s">
        <v>8588</v>
      </c>
      <c r="I6104">
        <v>540</v>
      </c>
      <c r="J6104" t="s">
        <v>462</v>
      </c>
      <c r="L6104" t="s">
        <v>11366</v>
      </c>
      <c r="M6104">
        <v>7111</v>
      </c>
      <c r="N6104" t="s">
        <v>16247</v>
      </c>
    </row>
    <row r="6105" spans="1:14">
      <c r="A6105">
        <v>23160024</v>
      </c>
      <c r="B6105">
        <v>4022711</v>
      </c>
      <c r="C6105" t="s">
        <v>11367</v>
      </c>
      <c r="D6105" t="s">
        <v>442</v>
      </c>
      <c r="E6105" t="s">
        <v>441</v>
      </c>
      <c r="F6105">
        <v>20</v>
      </c>
      <c r="G6105">
        <v>79.05</v>
      </c>
      <c r="H6105" t="s">
        <v>8588</v>
      </c>
      <c r="I6105">
        <v>540</v>
      </c>
      <c r="J6105" t="s">
        <v>462</v>
      </c>
      <c r="L6105" t="s">
        <v>2902</v>
      </c>
      <c r="M6105">
        <v>7111</v>
      </c>
      <c r="N6105" t="s">
        <v>16247</v>
      </c>
    </row>
    <row r="6106" spans="1:14">
      <c r="A6106">
        <v>23160025</v>
      </c>
      <c r="B6106">
        <v>3008637</v>
      </c>
      <c r="C6106" t="s">
        <v>11368</v>
      </c>
      <c r="D6106" t="s">
        <v>441</v>
      </c>
      <c r="F6106">
        <v>0</v>
      </c>
      <c r="G6106">
        <v>1.87</v>
      </c>
      <c r="H6106" t="s">
        <v>8588</v>
      </c>
      <c r="I6106">
        <v>365</v>
      </c>
      <c r="J6106" t="s">
        <v>445</v>
      </c>
      <c r="K6106" t="s">
        <v>446</v>
      </c>
      <c r="M6106">
        <v>2501</v>
      </c>
    </row>
    <row r="6107" spans="1:14">
      <c r="A6107">
        <v>23160026</v>
      </c>
      <c r="B6107">
        <v>4022246</v>
      </c>
      <c r="C6107" t="s">
        <v>11369</v>
      </c>
      <c r="D6107" t="s">
        <v>442</v>
      </c>
      <c r="E6107" t="s">
        <v>441</v>
      </c>
      <c r="F6107">
        <v>10</v>
      </c>
      <c r="G6107">
        <v>36.299999999999997</v>
      </c>
      <c r="H6107" t="s">
        <v>8588</v>
      </c>
      <c r="I6107">
        <v>540</v>
      </c>
      <c r="J6107" t="s">
        <v>462</v>
      </c>
      <c r="K6107" t="s">
        <v>446</v>
      </c>
      <c r="L6107" t="s">
        <v>2902</v>
      </c>
      <c r="M6107">
        <v>2501</v>
      </c>
    </row>
    <row r="6108" spans="1:14">
      <c r="A6108">
        <v>23160027</v>
      </c>
      <c r="B6108">
        <v>4008158</v>
      </c>
      <c r="C6108" t="s">
        <v>11370</v>
      </c>
      <c r="D6108" t="s">
        <v>441</v>
      </c>
      <c r="F6108">
        <v>0</v>
      </c>
      <c r="G6108">
        <v>1.1000000000000001</v>
      </c>
      <c r="H6108" t="s">
        <v>8588</v>
      </c>
      <c r="I6108">
        <v>365</v>
      </c>
      <c r="J6108" t="s">
        <v>462</v>
      </c>
      <c r="K6108" t="s">
        <v>446</v>
      </c>
      <c r="M6108">
        <v>2501</v>
      </c>
    </row>
    <row r="6109" spans="1:14">
      <c r="A6109">
        <v>23160028</v>
      </c>
      <c r="B6109">
        <v>4001831</v>
      </c>
      <c r="C6109" t="s">
        <v>11371</v>
      </c>
      <c r="D6109" t="s">
        <v>441</v>
      </c>
      <c r="F6109">
        <v>0</v>
      </c>
      <c r="G6109">
        <v>2.74</v>
      </c>
      <c r="H6109" t="s">
        <v>8588</v>
      </c>
      <c r="I6109">
        <v>365</v>
      </c>
      <c r="J6109" t="s">
        <v>462</v>
      </c>
      <c r="K6109" t="s">
        <v>446</v>
      </c>
      <c r="M6109">
        <v>2501</v>
      </c>
    </row>
    <row r="6110" spans="1:14">
      <c r="A6110">
        <v>23160029</v>
      </c>
      <c r="B6110">
        <v>4022198</v>
      </c>
      <c r="C6110" t="s">
        <v>11372</v>
      </c>
      <c r="D6110" t="s">
        <v>442</v>
      </c>
      <c r="E6110" t="s">
        <v>441</v>
      </c>
      <c r="F6110">
        <v>10</v>
      </c>
      <c r="G6110">
        <v>54.98</v>
      </c>
      <c r="H6110" t="s">
        <v>8588</v>
      </c>
      <c r="I6110">
        <v>540</v>
      </c>
      <c r="J6110" t="s">
        <v>462</v>
      </c>
      <c r="M6110">
        <v>7111</v>
      </c>
      <c r="N6110" t="s">
        <v>16247</v>
      </c>
    </row>
    <row r="6111" spans="1:14">
      <c r="A6111">
        <v>23160074</v>
      </c>
      <c r="B6111">
        <v>4024463</v>
      </c>
      <c r="C6111" t="s">
        <v>2903</v>
      </c>
      <c r="D6111" t="s">
        <v>441</v>
      </c>
      <c r="F6111">
        <v>0</v>
      </c>
      <c r="G6111">
        <v>3.47</v>
      </c>
      <c r="H6111" t="s">
        <v>8588</v>
      </c>
      <c r="I6111">
        <v>7</v>
      </c>
      <c r="J6111" t="s">
        <v>462</v>
      </c>
      <c r="M6111">
        <v>7112</v>
      </c>
      <c r="N6111" t="s">
        <v>16247</v>
      </c>
    </row>
    <row r="6112" spans="1:14">
      <c r="A6112">
        <v>23160075</v>
      </c>
      <c r="B6112">
        <v>3008759</v>
      </c>
      <c r="C6112" t="s">
        <v>2904</v>
      </c>
      <c r="D6112" t="s">
        <v>441</v>
      </c>
      <c r="F6112">
        <v>0</v>
      </c>
      <c r="G6112">
        <v>3.45</v>
      </c>
      <c r="H6112" t="s">
        <v>8588</v>
      </c>
      <c r="I6112">
        <v>7</v>
      </c>
      <c r="J6112" t="s">
        <v>445</v>
      </c>
      <c r="M6112">
        <v>7112</v>
      </c>
      <c r="N6112" t="s">
        <v>16247</v>
      </c>
    </row>
    <row r="6113" spans="1:14">
      <c r="A6113">
        <v>23160076</v>
      </c>
      <c r="B6113">
        <v>3003519</v>
      </c>
      <c r="C6113" t="s">
        <v>11373</v>
      </c>
      <c r="D6113" t="s">
        <v>441</v>
      </c>
      <c r="F6113">
        <v>0</v>
      </c>
      <c r="G6113">
        <v>0.85</v>
      </c>
      <c r="H6113" t="s">
        <v>8549</v>
      </c>
      <c r="I6113">
        <v>7</v>
      </c>
      <c r="J6113" t="s">
        <v>445</v>
      </c>
      <c r="K6113" t="s">
        <v>446</v>
      </c>
      <c r="M6113">
        <v>2641</v>
      </c>
    </row>
    <row r="6114" spans="1:14">
      <c r="A6114">
        <v>23160077</v>
      </c>
      <c r="B6114">
        <v>3009431</v>
      </c>
      <c r="C6114" t="s">
        <v>2905</v>
      </c>
      <c r="D6114" t="s">
        <v>441</v>
      </c>
      <c r="F6114">
        <v>0</v>
      </c>
      <c r="G6114">
        <v>2.38</v>
      </c>
      <c r="H6114" t="s">
        <v>8588</v>
      </c>
      <c r="I6114">
        <v>7</v>
      </c>
      <c r="J6114" t="s">
        <v>445</v>
      </c>
      <c r="K6114" t="s">
        <v>446</v>
      </c>
      <c r="M6114">
        <v>2641</v>
      </c>
    </row>
    <row r="6115" spans="1:14">
      <c r="A6115">
        <v>23160078</v>
      </c>
      <c r="B6115">
        <v>4009757</v>
      </c>
      <c r="C6115" t="s">
        <v>2906</v>
      </c>
      <c r="D6115" t="s">
        <v>441</v>
      </c>
      <c r="F6115">
        <v>0</v>
      </c>
      <c r="G6115">
        <v>3.44</v>
      </c>
      <c r="H6115" t="s">
        <v>8588</v>
      </c>
      <c r="I6115">
        <v>7</v>
      </c>
      <c r="J6115" t="s">
        <v>462</v>
      </c>
      <c r="L6115">
        <v>14071</v>
      </c>
      <c r="M6115">
        <v>7112</v>
      </c>
      <c r="N6115" t="s">
        <v>16247</v>
      </c>
    </row>
    <row r="6116" spans="1:14">
      <c r="A6116">
        <v>23160079</v>
      </c>
      <c r="B6116">
        <v>3012607</v>
      </c>
      <c r="C6116" t="s">
        <v>2907</v>
      </c>
      <c r="D6116" t="s">
        <v>441</v>
      </c>
      <c r="F6116">
        <v>0</v>
      </c>
      <c r="G6116">
        <v>3.42</v>
      </c>
      <c r="H6116" t="s">
        <v>8588</v>
      </c>
      <c r="I6116">
        <v>7</v>
      </c>
      <c r="J6116" t="s">
        <v>445</v>
      </c>
      <c r="L6116">
        <v>2092023</v>
      </c>
      <c r="M6116">
        <v>7112</v>
      </c>
      <c r="N6116" t="s">
        <v>16247</v>
      </c>
    </row>
    <row r="6117" spans="1:14">
      <c r="A6117">
        <v>23160080</v>
      </c>
      <c r="B6117">
        <v>3003520</v>
      </c>
      <c r="C6117" t="s">
        <v>2908</v>
      </c>
      <c r="D6117" t="s">
        <v>441</v>
      </c>
      <c r="F6117">
        <v>0</v>
      </c>
      <c r="G6117">
        <v>3.4</v>
      </c>
      <c r="H6117" t="s">
        <v>8549</v>
      </c>
      <c r="I6117">
        <v>7</v>
      </c>
      <c r="J6117" t="s">
        <v>445</v>
      </c>
      <c r="M6117">
        <v>7112</v>
      </c>
      <c r="N6117" t="s">
        <v>16247</v>
      </c>
    </row>
    <row r="6118" spans="1:14">
      <c r="A6118">
        <v>23160081</v>
      </c>
      <c r="B6118">
        <v>3027307</v>
      </c>
      <c r="C6118" t="s">
        <v>11374</v>
      </c>
      <c r="D6118" t="s">
        <v>441</v>
      </c>
      <c r="F6118">
        <v>0</v>
      </c>
      <c r="G6118">
        <v>2.37</v>
      </c>
      <c r="H6118" t="s">
        <v>8549</v>
      </c>
      <c r="I6118">
        <v>7</v>
      </c>
      <c r="J6118" t="s">
        <v>445</v>
      </c>
      <c r="K6118" t="s">
        <v>446</v>
      </c>
      <c r="M6118">
        <v>2641</v>
      </c>
    </row>
    <row r="6119" spans="1:14">
      <c r="A6119">
        <v>23160087</v>
      </c>
      <c r="B6119">
        <v>4003989</v>
      </c>
      <c r="C6119" t="s">
        <v>11375</v>
      </c>
      <c r="D6119" t="s">
        <v>441</v>
      </c>
      <c r="F6119">
        <v>0</v>
      </c>
      <c r="G6119">
        <v>2.37</v>
      </c>
      <c r="H6119" t="s">
        <v>8588</v>
      </c>
      <c r="I6119">
        <v>7</v>
      </c>
      <c r="J6119" t="s">
        <v>462</v>
      </c>
      <c r="K6119" t="s">
        <v>446</v>
      </c>
      <c r="M6119">
        <v>2641</v>
      </c>
    </row>
    <row r="6120" spans="1:14">
      <c r="A6120">
        <v>23160090</v>
      </c>
      <c r="B6120">
        <v>3009726</v>
      </c>
      <c r="C6120" t="s">
        <v>11376</v>
      </c>
      <c r="D6120" t="s">
        <v>441</v>
      </c>
      <c r="F6120">
        <v>0</v>
      </c>
      <c r="G6120">
        <v>1.29</v>
      </c>
      <c r="H6120" t="s">
        <v>8588</v>
      </c>
      <c r="I6120">
        <v>7</v>
      </c>
      <c r="J6120" t="s">
        <v>445</v>
      </c>
      <c r="K6120" t="s">
        <v>446</v>
      </c>
      <c r="M6120">
        <v>2641</v>
      </c>
    </row>
    <row r="6121" spans="1:14">
      <c r="A6121">
        <v>23160091</v>
      </c>
      <c r="B6121">
        <v>3012611</v>
      </c>
      <c r="C6121" t="s">
        <v>2909</v>
      </c>
      <c r="D6121" t="s">
        <v>441</v>
      </c>
      <c r="F6121">
        <v>0</v>
      </c>
      <c r="G6121">
        <v>3.41</v>
      </c>
      <c r="H6121" t="s">
        <v>8588</v>
      </c>
      <c r="I6121">
        <v>7</v>
      </c>
      <c r="J6121" t="s">
        <v>445</v>
      </c>
      <c r="M6121">
        <v>7112</v>
      </c>
      <c r="N6121" t="s">
        <v>16247</v>
      </c>
    </row>
    <row r="6122" spans="1:14">
      <c r="A6122">
        <v>23160100</v>
      </c>
      <c r="B6122">
        <v>3012642</v>
      </c>
      <c r="C6122" t="s">
        <v>11377</v>
      </c>
      <c r="D6122" t="s">
        <v>441</v>
      </c>
      <c r="F6122">
        <v>0</v>
      </c>
      <c r="H6122" t="s">
        <v>8588</v>
      </c>
      <c r="I6122">
        <v>6</v>
      </c>
      <c r="J6122" t="s">
        <v>445</v>
      </c>
      <c r="M6122">
        <v>7161</v>
      </c>
      <c r="N6122" t="s">
        <v>16247</v>
      </c>
    </row>
    <row r="6123" spans="1:14">
      <c r="A6123">
        <v>23160102</v>
      </c>
      <c r="B6123">
        <v>3029884</v>
      </c>
      <c r="C6123" t="s">
        <v>11378</v>
      </c>
      <c r="D6123" t="s">
        <v>441</v>
      </c>
      <c r="F6123">
        <v>0</v>
      </c>
      <c r="H6123" t="s">
        <v>8549</v>
      </c>
      <c r="I6123">
        <v>365</v>
      </c>
      <c r="J6123" t="s">
        <v>445</v>
      </c>
      <c r="M6123">
        <v>7113</v>
      </c>
      <c r="N6123" t="s">
        <v>16247</v>
      </c>
    </row>
    <row r="6124" spans="1:14">
      <c r="A6124">
        <v>23160110</v>
      </c>
      <c r="B6124">
        <v>3031691</v>
      </c>
      <c r="C6124" t="s">
        <v>11379</v>
      </c>
      <c r="D6124" t="s">
        <v>441</v>
      </c>
      <c r="F6124">
        <v>0</v>
      </c>
      <c r="H6124" t="s">
        <v>8588</v>
      </c>
      <c r="I6124">
        <v>6</v>
      </c>
      <c r="J6124" t="s">
        <v>445</v>
      </c>
      <c r="K6124" t="s">
        <v>446</v>
      </c>
      <c r="M6124">
        <v>0</v>
      </c>
      <c r="N6124" t="s">
        <v>16247</v>
      </c>
    </row>
    <row r="6125" spans="1:14">
      <c r="A6125">
        <v>23160112</v>
      </c>
      <c r="B6125">
        <v>3014138</v>
      </c>
      <c r="C6125" t="s">
        <v>11380</v>
      </c>
      <c r="D6125" t="s">
        <v>441</v>
      </c>
      <c r="F6125">
        <v>0</v>
      </c>
      <c r="G6125">
        <v>5.53</v>
      </c>
      <c r="H6125" t="s">
        <v>8588</v>
      </c>
      <c r="I6125">
        <v>540</v>
      </c>
      <c r="J6125" t="s">
        <v>445</v>
      </c>
      <c r="M6125">
        <v>0</v>
      </c>
      <c r="N6125" t="s">
        <v>16247</v>
      </c>
    </row>
    <row r="6126" spans="1:14">
      <c r="A6126">
        <v>23160120</v>
      </c>
      <c r="B6126">
        <v>3033708</v>
      </c>
      <c r="C6126" t="s">
        <v>15630</v>
      </c>
      <c r="D6126" t="s">
        <v>441</v>
      </c>
      <c r="F6126">
        <v>0</v>
      </c>
      <c r="H6126" t="s">
        <v>8588</v>
      </c>
      <c r="I6126">
        <v>6</v>
      </c>
      <c r="J6126" t="s">
        <v>445</v>
      </c>
      <c r="M6126">
        <v>7161</v>
      </c>
      <c r="N6126" t="s">
        <v>16247</v>
      </c>
    </row>
    <row r="6127" spans="1:14">
      <c r="A6127">
        <v>23160122</v>
      </c>
      <c r="B6127">
        <v>3042196</v>
      </c>
      <c r="C6127" t="s">
        <v>11381</v>
      </c>
      <c r="D6127" t="s">
        <v>441</v>
      </c>
      <c r="F6127">
        <v>0</v>
      </c>
      <c r="G6127">
        <v>5.22</v>
      </c>
      <c r="H6127" t="s">
        <v>8588</v>
      </c>
      <c r="I6127">
        <v>540</v>
      </c>
      <c r="J6127" t="s">
        <v>445</v>
      </c>
      <c r="M6127">
        <v>0</v>
      </c>
      <c r="N6127" t="s">
        <v>16247</v>
      </c>
    </row>
    <row r="6128" spans="1:14">
      <c r="A6128">
        <v>23160130</v>
      </c>
      <c r="B6128">
        <v>3042494</v>
      </c>
      <c r="C6128" t="s">
        <v>15640</v>
      </c>
      <c r="D6128" t="s">
        <v>441</v>
      </c>
      <c r="F6128">
        <v>0</v>
      </c>
      <c r="G6128">
        <v>5.01</v>
      </c>
      <c r="H6128" t="s">
        <v>8588</v>
      </c>
      <c r="I6128">
        <v>6</v>
      </c>
      <c r="J6128" t="s">
        <v>445</v>
      </c>
      <c r="M6128">
        <v>0</v>
      </c>
      <c r="N6128" t="s">
        <v>16247</v>
      </c>
    </row>
    <row r="6129" spans="1:14">
      <c r="A6129">
        <v>23160132</v>
      </c>
      <c r="B6129">
        <v>3033702</v>
      </c>
      <c r="C6129" t="s">
        <v>15641</v>
      </c>
      <c r="D6129" t="s">
        <v>441</v>
      </c>
      <c r="F6129">
        <v>0</v>
      </c>
      <c r="G6129">
        <v>6.46</v>
      </c>
      <c r="H6129" t="s">
        <v>8588</v>
      </c>
      <c r="I6129">
        <v>729</v>
      </c>
      <c r="J6129" t="s">
        <v>445</v>
      </c>
      <c r="M6129">
        <v>0</v>
      </c>
      <c r="N6129" t="s">
        <v>16247</v>
      </c>
    </row>
    <row r="6130" spans="1:14">
      <c r="A6130">
        <v>23160140</v>
      </c>
      <c r="B6130">
        <v>3012675</v>
      </c>
      <c r="C6130" t="s">
        <v>15495</v>
      </c>
      <c r="D6130" t="s">
        <v>441</v>
      </c>
      <c r="F6130">
        <v>0</v>
      </c>
      <c r="G6130">
        <v>6.7</v>
      </c>
      <c r="H6130" t="s">
        <v>8588</v>
      </c>
      <c r="I6130">
        <v>6</v>
      </c>
      <c r="J6130" t="s">
        <v>445</v>
      </c>
      <c r="M6130">
        <v>0</v>
      </c>
      <c r="N6130" t="s">
        <v>16247</v>
      </c>
    </row>
    <row r="6131" spans="1:14">
      <c r="A6131">
        <v>23160142</v>
      </c>
      <c r="B6131">
        <v>3043545</v>
      </c>
      <c r="C6131" t="s">
        <v>14435</v>
      </c>
      <c r="D6131" t="s">
        <v>441</v>
      </c>
      <c r="F6131">
        <v>0</v>
      </c>
      <c r="G6131">
        <v>7.02</v>
      </c>
      <c r="H6131" t="s">
        <v>8588</v>
      </c>
      <c r="I6131">
        <v>540</v>
      </c>
      <c r="J6131" t="s">
        <v>445</v>
      </c>
      <c r="M6131">
        <v>0</v>
      </c>
      <c r="N6131" t="s">
        <v>16247</v>
      </c>
    </row>
    <row r="6132" spans="1:14">
      <c r="A6132">
        <v>23160150</v>
      </c>
      <c r="B6132">
        <v>3012673</v>
      </c>
      <c r="C6132" t="s">
        <v>15496</v>
      </c>
      <c r="D6132" t="s">
        <v>441</v>
      </c>
      <c r="F6132">
        <v>0</v>
      </c>
      <c r="G6132">
        <v>6.86</v>
      </c>
      <c r="H6132" t="s">
        <v>8588</v>
      </c>
      <c r="I6132">
        <v>6</v>
      </c>
      <c r="J6132" t="s">
        <v>445</v>
      </c>
      <c r="M6132">
        <v>0</v>
      </c>
      <c r="N6132" t="s">
        <v>16247</v>
      </c>
    </row>
    <row r="6133" spans="1:14">
      <c r="A6133">
        <v>23160160</v>
      </c>
      <c r="B6133">
        <v>3037741</v>
      </c>
      <c r="C6133" t="s">
        <v>15586</v>
      </c>
      <c r="D6133" t="s">
        <v>441</v>
      </c>
      <c r="F6133">
        <v>0</v>
      </c>
      <c r="G6133">
        <v>6.77</v>
      </c>
      <c r="H6133" t="s">
        <v>8588</v>
      </c>
      <c r="I6133">
        <v>6</v>
      </c>
      <c r="J6133" t="s">
        <v>445</v>
      </c>
      <c r="M6133">
        <v>0</v>
      </c>
      <c r="N6133" t="s">
        <v>16247</v>
      </c>
    </row>
    <row r="6134" spans="1:14">
      <c r="A6134">
        <v>23160170</v>
      </c>
      <c r="B6134">
        <v>3031194</v>
      </c>
      <c r="C6134" t="s">
        <v>15950</v>
      </c>
      <c r="D6134" t="s">
        <v>441</v>
      </c>
      <c r="F6134">
        <v>0</v>
      </c>
      <c r="G6134">
        <v>6.89</v>
      </c>
      <c r="H6134" t="s">
        <v>8588</v>
      </c>
      <c r="I6134">
        <v>6</v>
      </c>
      <c r="J6134" t="s">
        <v>445</v>
      </c>
      <c r="M6134">
        <v>0</v>
      </c>
      <c r="N6134" t="s">
        <v>16247</v>
      </c>
    </row>
    <row r="6135" spans="1:14">
      <c r="A6135">
        <v>23160502</v>
      </c>
      <c r="B6135">
        <v>3007974</v>
      </c>
      <c r="C6135" t="s">
        <v>11382</v>
      </c>
      <c r="D6135" t="s">
        <v>441</v>
      </c>
      <c r="F6135">
        <v>0</v>
      </c>
      <c r="G6135">
        <v>3.35</v>
      </c>
      <c r="H6135" t="s">
        <v>8583</v>
      </c>
      <c r="I6135">
        <v>7</v>
      </c>
      <c r="J6135" t="s">
        <v>445</v>
      </c>
      <c r="K6135" t="s">
        <v>446</v>
      </c>
      <c r="M6135">
        <v>2641</v>
      </c>
    </row>
    <row r="6136" spans="1:14">
      <c r="A6136">
        <v>23160512</v>
      </c>
      <c r="B6136">
        <v>3007975</v>
      </c>
      <c r="C6136" t="s">
        <v>11383</v>
      </c>
      <c r="D6136" t="s">
        <v>441</v>
      </c>
      <c r="F6136">
        <v>0</v>
      </c>
      <c r="G6136">
        <v>2.36</v>
      </c>
      <c r="H6136" t="s">
        <v>8583</v>
      </c>
      <c r="I6136">
        <v>7</v>
      </c>
      <c r="J6136" t="s">
        <v>445</v>
      </c>
      <c r="K6136" t="s">
        <v>446</v>
      </c>
      <c r="M6136">
        <v>2641</v>
      </c>
    </row>
    <row r="6137" spans="1:14">
      <c r="A6137">
        <v>23160516</v>
      </c>
      <c r="B6137">
        <v>3034086</v>
      </c>
      <c r="C6137" t="s">
        <v>2910</v>
      </c>
      <c r="D6137" t="s">
        <v>441</v>
      </c>
      <c r="F6137">
        <v>0</v>
      </c>
      <c r="G6137">
        <v>3.43</v>
      </c>
      <c r="H6137" t="s">
        <v>8588</v>
      </c>
      <c r="I6137">
        <v>540</v>
      </c>
      <c r="J6137" t="s">
        <v>445</v>
      </c>
      <c r="M6137">
        <v>2502</v>
      </c>
      <c r="N6137" t="s">
        <v>16247</v>
      </c>
    </row>
    <row r="6138" spans="1:14">
      <c r="A6138">
        <v>23160517</v>
      </c>
      <c r="B6138">
        <v>3032970</v>
      </c>
      <c r="C6138" t="s">
        <v>11384</v>
      </c>
      <c r="D6138" t="s">
        <v>441</v>
      </c>
      <c r="F6138">
        <v>0</v>
      </c>
      <c r="G6138">
        <v>3.43</v>
      </c>
      <c r="H6138" t="s">
        <v>8588</v>
      </c>
      <c r="I6138">
        <v>7</v>
      </c>
      <c r="J6138" t="s">
        <v>445</v>
      </c>
      <c r="L6138" t="s">
        <v>11366</v>
      </c>
      <c r="M6138">
        <v>2502</v>
      </c>
      <c r="N6138" t="s">
        <v>16247</v>
      </c>
    </row>
    <row r="6139" spans="1:14">
      <c r="A6139">
        <v>23160518</v>
      </c>
      <c r="B6139">
        <v>3014136</v>
      </c>
      <c r="C6139" t="s">
        <v>2911</v>
      </c>
      <c r="D6139" t="s">
        <v>441</v>
      </c>
      <c r="F6139">
        <v>0</v>
      </c>
      <c r="G6139">
        <v>3.4</v>
      </c>
      <c r="H6139" t="s">
        <v>8580</v>
      </c>
      <c r="I6139">
        <v>540</v>
      </c>
      <c r="J6139" t="s">
        <v>445</v>
      </c>
      <c r="M6139">
        <v>2502</v>
      </c>
      <c r="N6139" t="s">
        <v>16247</v>
      </c>
    </row>
    <row r="6140" spans="1:14">
      <c r="A6140">
        <v>23160519</v>
      </c>
      <c r="B6140">
        <v>3007976</v>
      </c>
      <c r="C6140" t="s">
        <v>2912</v>
      </c>
      <c r="D6140" t="s">
        <v>441</v>
      </c>
      <c r="F6140">
        <v>0</v>
      </c>
      <c r="G6140">
        <v>3.41</v>
      </c>
      <c r="H6140" t="s">
        <v>8634</v>
      </c>
      <c r="I6140">
        <v>7</v>
      </c>
      <c r="J6140" t="s">
        <v>445</v>
      </c>
      <c r="M6140">
        <v>2502</v>
      </c>
      <c r="N6140" t="s">
        <v>16247</v>
      </c>
    </row>
    <row r="6141" spans="1:14">
      <c r="A6141">
        <v>23160524</v>
      </c>
      <c r="B6141">
        <v>3033930</v>
      </c>
      <c r="C6141" t="s">
        <v>2913</v>
      </c>
      <c r="D6141" t="s">
        <v>442</v>
      </c>
      <c r="E6141" t="s">
        <v>441</v>
      </c>
      <c r="F6141">
        <v>20</v>
      </c>
      <c r="G6141">
        <v>73.78</v>
      </c>
      <c r="H6141" t="s">
        <v>8588</v>
      </c>
      <c r="I6141">
        <v>6</v>
      </c>
      <c r="J6141" t="s">
        <v>445</v>
      </c>
      <c r="M6141">
        <v>2502</v>
      </c>
      <c r="N6141" t="s">
        <v>16247</v>
      </c>
    </row>
    <row r="6142" spans="1:14">
      <c r="A6142">
        <v>23160525</v>
      </c>
      <c r="B6142">
        <v>3007977</v>
      </c>
      <c r="C6142" t="s">
        <v>11385</v>
      </c>
      <c r="D6142" t="s">
        <v>441</v>
      </c>
      <c r="F6142">
        <v>0</v>
      </c>
      <c r="G6142">
        <v>1.59</v>
      </c>
      <c r="H6142" t="s">
        <v>8634</v>
      </c>
      <c r="I6142">
        <v>7</v>
      </c>
      <c r="J6142" t="s">
        <v>445</v>
      </c>
      <c r="K6142" t="s">
        <v>446</v>
      </c>
      <c r="M6142">
        <v>2641</v>
      </c>
    </row>
    <row r="6143" spans="1:14">
      <c r="A6143">
        <v>23160526</v>
      </c>
      <c r="B6143">
        <v>3033312</v>
      </c>
      <c r="C6143" t="s">
        <v>11386</v>
      </c>
      <c r="D6143" t="s">
        <v>442</v>
      </c>
      <c r="E6143" t="s">
        <v>441</v>
      </c>
      <c r="F6143">
        <v>10</v>
      </c>
      <c r="G6143">
        <v>34.76</v>
      </c>
      <c r="H6143" t="s">
        <v>8588</v>
      </c>
      <c r="I6143">
        <v>6</v>
      </c>
      <c r="J6143" t="s">
        <v>445</v>
      </c>
      <c r="K6143" t="s">
        <v>446</v>
      </c>
      <c r="M6143">
        <v>2641</v>
      </c>
    </row>
    <row r="6144" spans="1:14">
      <c r="A6144">
        <v>23160527</v>
      </c>
      <c r="B6144">
        <v>3009313</v>
      </c>
      <c r="C6144" t="s">
        <v>11387</v>
      </c>
      <c r="D6144" t="s">
        <v>441</v>
      </c>
      <c r="F6144">
        <v>0</v>
      </c>
      <c r="G6144">
        <v>2.36</v>
      </c>
      <c r="H6144" t="s">
        <v>8584</v>
      </c>
      <c r="I6144">
        <v>7</v>
      </c>
      <c r="J6144" t="s">
        <v>445</v>
      </c>
      <c r="K6144" t="s">
        <v>446</v>
      </c>
      <c r="M6144">
        <v>2641</v>
      </c>
    </row>
    <row r="6145" spans="1:14">
      <c r="A6145">
        <v>23160528</v>
      </c>
      <c r="B6145">
        <v>3007978</v>
      </c>
      <c r="C6145" t="s">
        <v>11388</v>
      </c>
      <c r="D6145" t="s">
        <v>441</v>
      </c>
      <c r="F6145">
        <v>0</v>
      </c>
      <c r="G6145">
        <v>2.56</v>
      </c>
      <c r="H6145" t="s">
        <v>8634</v>
      </c>
      <c r="I6145">
        <v>7</v>
      </c>
      <c r="J6145" t="s">
        <v>445</v>
      </c>
      <c r="K6145" t="s">
        <v>446</v>
      </c>
      <c r="M6145">
        <v>2641</v>
      </c>
    </row>
    <row r="6146" spans="1:14">
      <c r="A6146">
        <v>23160529</v>
      </c>
      <c r="B6146">
        <v>3031993</v>
      </c>
      <c r="C6146" t="s">
        <v>2914</v>
      </c>
      <c r="D6146" t="s">
        <v>442</v>
      </c>
      <c r="E6146" t="s">
        <v>441</v>
      </c>
      <c r="F6146">
        <v>10</v>
      </c>
      <c r="G6146">
        <v>37.94</v>
      </c>
      <c r="H6146" t="s">
        <v>8588</v>
      </c>
      <c r="I6146">
        <v>6</v>
      </c>
      <c r="J6146" t="s">
        <v>445</v>
      </c>
      <c r="M6146">
        <v>2502</v>
      </c>
      <c r="N6146" t="s">
        <v>16247</v>
      </c>
    </row>
    <row r="6147" spans="1:14">
      <c r="A6147">
        <v>23160602</v>
      </c>
      <c r="B6147">
        <v>3007979</v>
      </c>
      <c r="C6147" t="s">
        <v>11389</v>
      </c>
      <c r="D6147" t="s">
        <v>441</v>
      </c>
      <c r="F6147">
        <v>0</v>
      </c>
      <c r="G6147">
        <v>3.73</v>
      </c>
      <c r="H6147" t="s">
        <v>8588</v>
      </c>
      <c r="I6147">
        <v>4</v>
      </c>
      <c r="J6147" t="s">
        <v>445</v>
      </c>
      <c r="K6147" t="s">
        <v>446</v>
      </c>
      <c r="M6147">
        <v>2511</v>
      </c>
    </row>
    <row r="6148" spans="1:14">
      <c r="A6148">
        <v>23160612</v>
      </c>
      <c r="B6148">
        <v>3007980</v>
      </c>
      <c r="C6148" t="s">
        <v>11390</v>
      </c>
      <c r="D6148" t="s">
        <v>441</v>
      </c>
      <c r="F6148">
        <v>0</v>
      </c>
      <c r="G6148">
        <v>1.9</v>
      </c>
      <c r="H6148" t="s">
        <v>8634</v>
      </c>
      <c r="I6148">
        <v>4</v>
      </c>
      <c r="J6148" t="s">
        <v>445</v>
      </c>
      <c r="K6148" t="s">
        <v>446</v>
      </c>
      <c r="M6148">
        <v>2511</v>
      </c>
    </row>
    <row r="6149" spans="1:14">
      <c r="A6149">
        <v>23160618</v>
      </c>
      <c r="B6149">
        <v>3014125</v>
      </c>
      <c r="C6149" t="s">
        <v>8542</v>
      </c>
      <c r="D6149" t="s">
        <v>441</v>
      </c>
      <c r="F6149">
        <v>0</v>
      </c>
      <c r="G6149">
        <v>3.87</v>
      </c>
      <c r="H6149" t="s">
        <v>8588</v>
      </c>
      <c r="I6149">
        <v>4</v>
      </c>
      <c r="J6149" t="s">
        <v>445</v>
      </c>
      <c r="M6149">
        <v>2510</v>
      </c>
      <c r="N6149" t="s">
        <v>16247</v>
      </c>
    </row>
    <row r="6150" spans="1:14">
      <c r="A6150">
        <v>23160627</v>
      </c>
      <c r="B6150">
        <v>3012001</v>
      </c>
      <c r="C6150" t="s">
        <v>11391</v>
      </c>
      <c r="D6150" t="s">
        <v>441</v>
      </c>
      <c r="F6150">
        <v>0</v>
      </c>
      <c r="G6150">
        <v>1.26</v>
      </c>
      <c r="I6150">
        <v>4</v>
      </c>
      <c r="J6150" t="s">
        <v>445</v>
      </c>
      <c r="K6150" t="s">
        <v>446</v>
      </c>
      <c r="M6150">
        <v>2511</v>
      </c>
    </row>
    <row r="6151" spans="1:14">
      <c r="A6151">
        <v>23160902</v>
      </c>
      <c r="B6151">
        <v>3020338</v>
      </c>
      <c r="C6151" t="s">
        <v>11392</v>
      </c>
      <c r="D6151" t="s">
        <v>441</v>
      </c>
      <c r="F6151">
        <v>0</v>
      </c>
      <c r="H6151" t="s">
        <v>8584</v>
      </c>
      <c r="I6151">
        <v>4</v>
      </c>
      <c r="J6151" t="s">
        <v>445</v>
      </c>
      <c r="K6151" t="s">
        <v>446</v>
      </c>
      <c r="M6151">
        <v>6666</v>
      </c>
    </row>
    <row r="6152" spans="1:14">
      <c r="A6152">
        <v>23160918</v>
      </c>
      <c r="B6152">
        <v>3020339</v>
      </c>
      <c r="C6152" t="s">
        <v>11393</v>
      </c>
      <c r="D6152" t="s">
        <v>441</v>
      </c>
      <c r="F6152">
        <v>0</v>
      </c>
      <c r="H6152" t="s">
        <v>8584</v>
      </c>
      <c r="I6152">
        <v>4</v>
      </c>
      <c r="J6152" t="s">
        <v>445</v>
      </c>
      <c r="M6152">
        <v>6666</v>
      </c>
      <c r="N6152" t="s">
        <v>16247</v>
      </c>
    </row>
    <row r="6153" spans="1:14">
      <c r="A6153">
        <v>23161000</v>
      </c>
      <c r="B6153">
        <v>3009248</v>
      </c>
      <c r="C6153" t="s">
        <v>11394</v>
      </c>
      <c r="D6153" t="s">
        <v>441</v>
      </c>
      <c r="F6153">
        <v>0</v>
      </c>
      <c r="G6153">
        <v>1.4</v>
      </c>
      <c r="H6153" t="s">
        <v>8580</v>
      </c>
      <c r="I6153">
        <v>7</v>
      </c>
      <c r="J6153" t="s">
        <v>445</v>
      </c>
      <c r="K6153" t="s">
        <v>446</v>
      </c>
      <c r="M6153">
        <v>0</v>
      </c>
    </row>
    <row r="6154" spans="1:14">
      <c r="A6154">
        <v>23162000</v>
      </c>
      <c r="B6154">
        <v>3009479</v>
      </c>
      <c r="C6154" t="s">
        <v>11395</v>
      </c>
      <c r="D6154" t="s">
        <v>441</v>
      </c>
      <c r="F6154">
        <v>0</v>
      </c>
      <c r="G6154">
        <v>4.9000000000000004</v>
      </c>
      <c r="H6154" t="s">
        <v>8549</v>
      </c>
      <c r="I6154">
        <v>7</v>
      </c>
      <c r="J6154" t="s">
        <v>445</v>
      </c>
      <c r="M6154">
        <v>2391</v>
      </c>
      <c r="N6154" t="s">
        <v>16247</v>
      </c>
    </row>
    <row r="6155" spans="1:14">
      <c r="A6155">
        <v>23162007</v>
      </c>
      <c r="B6155">
        <v>3025009</v>
      </c>
      <c r="C6155" t="s">
        <v>14436</v>
      </c>
      <c r="D6155" t="s">
        <v>441</v>
      </c>
      <c r="F6155">
        <v>0</v>
      </c>
      <c r="G6155">
        <v>6.42</v>
      </c>
      <c r="H6155" t="s">
        <v>8588</v>
      </c>
      <c r="I6155">
        <v>7</v>
      </c>
      <c r="J6155" t="s">
        <v>445</v>
      </c>
      <c r="M6155">
        <v>3113</v>
      </c>
      <c r="N6155" t="s">
        <v>16247</v>
      </c>
    </row>
    <row r="6156" spans="1:14">
      <c r="A6156">
        <v>23162090</v>
      </c>
      <c r="B6156">
        <v>3032269</v>
      </c>
      <c r="C6156" t="s">
        <v>2915</v>
      </c>
      <c r="D6156" t="s">
        <v>441</v>
      </c>
      <c r="F6156">
        <v>0</v>
      </c>
      <c r="G6156">
        <v>3.43</v>
      </c>
      <c r="H6156" t="s">
        <v>8588</v>
      </c>
      <c r="I6156">
        <v>6</v>
      </c>
      <c r="J6156" t="s">
        <v>445</v>
      </c>
      <c r="M6156">
        <v>7112</v>
      </c>
      <c r="N6156" t="s">
        <v>16247</v>
      </c>
    </row>
    <row r="6157" spans="1:14">
      <c r="A6157">
        <v>23162300</v>
      </c>
      <c r="B6157">
        <v>3013130</v>
      </c>
      <c r="C6157" t="s">
        <v>11396</v>
      </c>
      <c r="D6157" t="s">
        <v>441</v>
      </c>
      <c r="F6157">
        <v>0</v>
      </c>
      <c r="G6157">
        <v>4.9000000000000004</v>
      </c>
      <c r="H6157" t="s">
        <v>8580</v>
      </c>
      <c r="I6157">
        <v>6</v>
      </c>
      <c r="J6157" t="s">
        <v>445</v>
      </c>
      <c r="M6157">
        <v>2391</v>
      </c>
      <c r="N6157" t="s">
        <v>16247</v>
      </c>
    </row>
    <row r="6158" spans="1:14">
      <c r="A6158">
        <v>23162900</v>
      </c>
      <c r="B6158">
        <v>3020340</v>
      </c>
      <c r="C6158" t="s">
        <v>11397</v>
      </c>
      <c r="D6158" t="s">
        <v>441</v>
      </c>
      <c r="F6158">
        <v>0</v>
      </c>
      <c r="G6158">
        <v>0</v>
      </c>
      <c r="H6158" t="s">
        <v>8584</v>
      </c>
      <c r="I6158">
        <v>7</v>
      </c>
      <c r="J6158" t="s">
        <v>445</v>
      </c>
      <c r="M6158">
        <v>6666</v>
      </c>
      <c r="N6158" t="s">
        <v>16247</v>
      </c>
    </row>
    <row r="6159" spans="1:14">
      <c r="A6159">
        <v>23162907</v>
      </c>
      <c r="B6159">
        <v>3025269</v>
      </c>
      <c r="C6159" t="s">
        <v>14437</v>
      </c>
      <c r="D6159" t="s">
        <v>441</v>
      </c>
      <c r="F6159">
        <v>0</v>
      </c>
      <c r="G6159">
        <v>0</v>
      </c>
      <c r="H6159" t="s">
        <v>8584</v>
      </c>
      <c r="I6159">
        <v>7</v>
      </c>
      <c r="J6159" t="s">
        <v>445</v>
      </c>
      <c r="M6159">
        <v>6666</v>
      </c>
      <c r="N6159" t="s">
        <v>16247</v>
      </c>
    </row>
    <row r="6160" spans="1:14">
      <c r="A6160">
        <v>23163000</v>
      </c>
      <c r="B6160">
        <v>3016314</v>
      </c>
      <c r="C6160" t="s">
        <v>11398</v>
      </c>
      <c r="D6160" t="s">
        <v>441</v>
      </c>
      <c r="F6160">
        <v>0</v>
      </c>
      <c r="G6160">
        <v>3.3</v>
      </c>
      <c r="H6160" t="s">
        <v>8588</v>
      </c>
      <c r="I6160">
        <v>7</v>
      </c>
      <c r="J6160" t="s">
        <v>445</v>
      </c>
      <c r="M6160">
        <v>2391</v>
      </c>
      <c r="N6160" t="s">
        <v>16247</v>
      </c>
    </row>
    <row r="6161" spans="1:14">
      <c r="A6161">
        <v>23163007</v>
      </c>
      <c r="B6161">
        <v>3025010</v>
      </c>
      <c r="C6161" t="s">
        <v>14438</v>
      </c>
      <c r="D6161" t="s">
        <v>441</v>
      </c>
      <c r="F6161">
        <v>0</v>
      </c>
      <c r="G6161">
        <v>6.42</v>
      </c>
      <c r="H6161" t="s">
        <v>8588</v>
      </c>
      <c r="I6161">
        <v>7</v>
      </c>
      <c r="J6161" t="s">
        <v>445</v>
      </c>
      <c r="M6161">
        <v>3113</v>
      </c>
      <c r="N6161" t="s">
        <v>16247</v>
      </c>
    </row>
    <row r="6162" spans="1:14">
      <c r="A6162">
        <v>23163900</v>
      </c>
      <c r="B6162">
        <v>3020341</v>
      </c>
      <c r="C6162" t="s">
        <v>11399</v>
      </c>
      <c r="D6162" t="s">
        <v>441</v>
      </c>
      <c r="F6162">
        <v>0</v>
      </c>
      <c r="G6162">
        <v>0</v>
      </c>
      <c r="H6162" t="s">
        <v>8584</v>
      </c>
      <c r="I6162">
        <v>7</v>
      </c>
      <c r="J6162" t="s">
        <v>445</v>
      </c>
      <c r="M6162">
        <v>6666</v>
      </c>
      <c r="N6162" t="s">
        <v>16247</v>
      </c>
    </row>
    <row r="6163" spans="1:14">
      <c r="A6163">
        <v>23163907</v>
      </c>
      <c r="B6163">
        <v>3025270</v>
      </c>
      <c r="C6163" t="s">
        <v>14439</v>
      </c>
      <c r="D6163" t="s">
        <v>441</v>
      </c>
      <c r="F6163">
        <v>0</v>
      </c>
      <c r="G6163">
        <v>0</v>
      </c>
      <c r="H6163" t="s">
        <v>9302</v>
      </c>
      <c r="I6163">
        <v>7</v>
      </c>
      <c r="J6163" t="s">
        <v>445</v>
      </c>
      <c r="M6163">
        <v>6666</v>
      </c>
      <c r="N6163" t="s">
        <v>16247</v>
      </c>
    </row>
    <row r="6164" spans="1:14">
      <c r="A6164">
        <v>23164000</v>
      </c>
      <c r="B6164">
        <v>3037546</v>
      </c>
      <c r="C6164" t="s">
        <v>11400</v>
      </c>
      <c r="D6164" t="s">
        <v>441</v>
      </c>
      <c r="F6164">
        <v>0</v>
      </c>
      <c r="G6164">
        <v>3.3</v>
      </c>
      <c r="H6164" t="s">
        <v>8549</v>
      </c>
      <c r="I6164">
        <v>7</v>
      </c>
      <c r="J6164" t="s">
        <v>445</v>
      </c>
      <c r="M6164">
        <v>2391</v>
      </c>
      <c r="N6164" t="s">
        <v>16247</v>
      </c>
    </row>
    <row r="6165" spans="1:14">
      <c r="A6165">
        <v>23164007</v>
      </c>
      <c r="B6165">
        <v>3037577</v>
      </c>
      <c r="C6165" t="s">
        <v>8531</v>
      </c>
      <c r="D6165" t="s">
        <v>441</v>
      </c>
      <c r="F6165">
        <v>0</v>
      </c>
      <c r="G6165">
        <v>3.38</v>
      </c>
      <c r="H6165" t="s">
        <v>8588</v>
      </c>
      <c r="I6165">
        <v>7</v>
      </c>
      <c r="J6165" t="s">
        <v>445</v>
      </c>
      <c r="M6165">
        <v>3113</v>
      </c>
      <c r="N6165" t="s">
        <v>16247</v>
      </c>
    </row>
    <row r="6166" spans="1:14">
      <c r="A6166">
        <v>23164018</v>
      </c>
      <c r="B6166">
        <v>3040965</v>
      </c>
      <c r="C6166" t="s">
        <v>11401</v>
      </c>
      <c r="D6166" t="s">
        <v>441</v>
      </c>
      <c r="F6166">
        <v>0</v>
      </c>
      <c r="G6166">
        <v>3.72</v>
      </c>
      <c r="H6166" t="s">
        <v>8588</v>
      </c>
      <c r="I6166">
        <v>540</v>
      </c>
      <c r="J6166" t="s">
        <v>445</v>
      </c>
      <c r="M6166">
        <v>7111</v>
      </c>
      <c r="N6166" t="s">
        <v>16247</v>
      </c>
    </row>
    <row r="6167" spans="1:14">
      <c r="A6167">
        <v>23164118</v>
      </c>
      <c r="B6167">
        <v>3039569</v>
      </c>
      <c r="C6167" t="s">
        <v>11402</v>
      </c>
      <c r="D6167" t="s">
        <v>441</v>
      </c>
      <c r="F6167">
        <v>0</v>
      </c>
      <c r="G6167">
        <v>5.27</v>
      </c>
      <c r="H6167" t="s">
        <v>8588</v>
      </c>
      <c r="I6167">
        <v>540</v>
      </c>
      <c r="J6167" t="s">
        <v>445</v>
      </c>
      <c r="M6167">
        <v>0</v>
      </c>
      <c r="N6167" t="s">
        <v>16247</v>
      </c>
    </row>
    <row r="6168" spans="1:14">
      <c r="A6168">
        <v>23164128</v>
      </c>
      <c r="B6168">
        <v>3042197</v>
      </c>
      <c r="C6168" t="s">
        <v>14223</v>
      </c>
      <c r="D6168" t="s">
        <v>441</v>
      </c>
      <c r="F6168">
        <v>0</v>
      </c>
      <c r="G6168">
        <v>6.79</v>
      </c>
      <c r="H6168" t="s">
        <v>8588</v>
      </c>
      <c r="I6168">
        <v>540</v>
      </c>
      <c r="J6168" t="s">
        <v>445</v>
      </c>
      <c r="M6168">
        <v>0</v>
      </c>
      <c r="N6168" t="s">
        <v>16247</v>
      </c>
    </row>
    <row r="6169" spans="1:14">
      <c r="A6169">
        <v>23164140</v>
      </c>
      <c r="B6169">
        <v>3039599</v>
      </c>
      <c r="C6169" t="s">
        <v>15497</v>
      </c>
      <c r="D6169" t="s">
        <v>441</v>
      </c>
      <c r="F6169">
        <v>0</v>
      </c>
      <c r="G6169">
        <v>6.7</v>
      </c>
      <c r="H6169" t="s">
        <v>8588</v>
      </c>
      <c r="I6169">
        <v>6</v>
      </c>
      <c r="J6169" t="s">
        <v>445</v>
      </c>
      <c r="M6169">
        <v>0</v>
      </c>
      <c r="N6169" t="s">
        <v>16247</v>
      </c>
    </row>
    <row r="6170" spans="1:14">
      <c r="A6170">
        <v>23164150</v>
      </c>
      <c r="B6170">
        <v>3039595</v>
      </c>
      <c r="C6170" t="s">
        <v>15498</v>
      </c>
      <c r="D6170" t="s">
        <v>441</v>
      </c>
      <c r="F6170">
        <v>0</v>
      </c>
      <c r="G6170">
        <v>6.86</v>
      </c>
      <c r="H6170" t="s">
        <v>8588</v>
      </c>
      <c r="I6170">
        <v>6</v>
      </c>
      <c r="J6170" t="s">
        <v>445</v>
      </c>
      <c r="M6170">
        <v>0</v>
      </c>
      <c r="N6170" t="s">
        <v>16247</v>
      </c>
    </row>
    <row r="6171" spans="1:14">
      <c r="A6171">
        <v>23164160</v>
      </c>
      <c r="B6171">
        <v>3038340</v>
      </c>
      <c r="C6171" t="s">
        <v>15587</v>
      </c>
      <c r="D6171" t="s">
        <v>441</v>
      </c>
      <c r="F6171">
        <v>0</v>
      </c>
      <c r="G6171">
        <v>6.77</v>
      </c>
      <c r="H6171" t="s">
        <v>8588</v>
      </c>
      <c r="I6171">
        <v>6</v>
      </c>
      <c r="J6171" t="s">
        <v>445</v>
      </c>
      <c r="M6171">
        <v>0</v>
      </c>
      <c r="N6171" t="s">
        <v>16247</v>
      </c>
    </row>
    <row r="6172" spans="1:14">
      <c r="A6172">
        <v>23164180</v>
      </c>
      <c r="B6172">
        <v>3035589</v>
      </c>
      <c r="C6172" t="s">
        <v>15961</v>
      </c>
      <c r="D6172" t="s">
        <v>441</v>
      </c>
      <c r="F6172">
        <v>0</v>
      </c>
      <c r="G6172">
        <v>6.71</v>
      </c>
      <c r="H6172" t="s">
        <v>8588</v>
      </c>
      <c r="I6172">
        <v>6</v>
      </c>
      <c r="J6172" t="s">
        <v>445</v>
      </c>
      <c r="M6172">
        <v>0</v>
      </c>
      <c r="N6172" t="s">
        <v>16247</v>
      </c>
    </row>
    <row r="6173" spans="1:14">
      <c r="A6173">
        <v>23164200</v>
      </c>
      <c r="B6173">
        <v>3038318</v>
      </c>
      <c r="C6173" t="s">
        <v>11403</v>
      </c>
      <c r="D6173" t="s">
        <v>441</v>
      </c>
      <c r="F6173">
        <v>0</v>
      </c>
      <c r="G6173">
        <v>3.3</v>
      </c>
      <c r="H6173" t="s">
        <v>8935</v>
      </c>
      <c r="I6173">
        <v>6</v>
      </c>
      <c r="J6173" t="s">
        <v>445</v>
      </c>
      <c r="M6173">
        <v>2391</v>
      </c>
      <c r="N6173" t="s">
        <v>16247</v>
      </c>
    </row>
    <row r="6174" spans="1:14">
      <c r="A6174">
        <v>23164207</v>
      </c>
      <c r="B6174">
        <v>3039391</v>
      </c>
      <c r="C6174" t="s">
        <v>11404</v>
      </c>
      <c r="D6174" t="s">
        <v>441</v>
      </c>
      <c r="F6174">
        <v>0</v>
      </c>
      <c r="G6174">
        <v>3.38</v>
      </c>
      <c r="H6174" t="s">
        <v>8588</v>
      </c>
      <c r="I6174">
        <v>6</v>
      </c>
      <c r="J6174" t="s">
        <v>445</v>
      </c>
      <c r="M6174">
        <v>3111</v>
      </c>
      <c r="N6174" t="s">
        <v>16247</v>
      </c>
    </row>
    <row r="6175" spans="1:14">
      <c r="A6175">
        <v>23164275</v>
      </c>
      <c r="B6175">
        <v>3039390</v>
      </c>
      <c r="C6175" t="s">
        <v>11405</v>
      </c>
      <c r="D6175" t="s">
        <v>441</v>
      </c>
      <c r="F6175">
        <v>0</v>
      </c>
      <c r="G6175">
        <v>3.38</v>
      </c>
      <c r="H6175" t="s">
        <v>8588</v>
      </c>
      <c r="I6175">
        <v>6</v>
      </c>
      <c r="J6175" t="s">
        <v>445</v>
      </c>
      <c r="M6175">
        <v>7112</v>
      </c>
      <c r="N6175" t="s">
        <v>16247</v>
      </c>
    </row>
    <row r="6176" spans="1:14">
      <c r="A6176">
        <v>23164290</v>
      </c>
      <c r="B6176">
        <v>3039536</v>
      </c>
      <c r="C6176" t="s">
        <v>11406</v>
      </c>
      <c r="D6176" t="s">
        <v>441</v>
      </c>
      <c r="F6176">
        <v>0</v>
      </c>
      <c r="G6176">
        <v>3.43</v>
      </c>
      <c r="H6176" t="s">
        <v>8588</v>
      </c>
      <c r="I6176">
        <v>6</v>
      </c>
      <c r="J6176" t="s">
        <v>445</v>
      </c>
      <c r="M6176">
        <v>7112</v>
      </c>
      <c r="N6176" t="s">
        <v>16247</v>
      </c>
    </row>
    <row r="6177" spans="1:14">
      <c r="A6177">
        <v>23164300</v>
      </c>
      <c r="B6177">
        <v>3037538</v>
      </c>
      <c r="C6177" t="s">
        <v>11407</v>
      </c>
      <c r="D6177" t="s">
        <v>441</v>
      </c>
      <c r="F6177">
        <v>0</v>
      </c>
      <c r="G6177">
        <v>3.3</v>
      </c>
      <c r="H6177" t="s">
        <v>8588</v>
      </c>
      <c r="I6177">
        <v>7</v>
      </c>
      <c r="J6177" t="s">
        <v>445</v>
      </c>
      <c r="M6177">
        <v>2391</v>
      </c>
      <c r="N6177" t="s">
        <v>16247</v>
      </c>
    </row>
    <row r="6178" spans="1:14">
      <c r="A6178">
        <v>23164518</v>
      </c>
      <c r="B6178">
        <v>3039463</v>
      </c>
      <c r="C6178" t="s">
        <v>11408</v>
      </c>
      <c r="D6178" t="s">
        <v>441</v>
      </c>
      <c r="F6178">
        <v>0</v>
      </c>
      <c r="G6178">
        <v>4.7300000000000004</v>
      </c>
      <c r="H6178" t="s">
        <v>8624</v>
      </c>
      <c r="I6178">
        <v>5</v>
      </c>
      <c r="J6178" t="s">
        <v>445</v>
      </c>
      <c r="M6178">
        <v>2502</v>
      </c>
      <c r="N6178" t="s">
        <v>16247</v>
      </c>
    </row>
    <row r="6179" spans="1:14">
      <c r="A6179">
        <v>23164618</v>
      </c>
      <c r="B6179">
        <v>3040964</v>
      </c>
      <c r="C6179" t="s">
        <v>11409</v>
      </c>
      <c r="D6179" t="s">
        <v>441</v>
      </c>
      <c r="F6179">
        <v>0</v>
      </c>
      <c r="G6179">
        <v>3.87</v>
      </c>
      <c r="H6179" t="s">
        <v>8549</v>
      </c>
      <c r="I6179">
        <v>4</v>
      </c>
      <c r="J6179" t="s">
        <v>445</v>
      </c>
      <c r="M6179">
        <v>2510</v>
      </c>
      <c r="N6179" t="s">
        <v>16247</v>
      </c>
    </row>
    <row r="6180" spans="1:14">
      <c r="A6180">
        <v>23164907</v>
      </c>
      <c r="B6180">
        <v>3037728</v>
      </c>
      <c r="C6180" t="s">
        <v>11410</v>
      </c>
      <c r="D6180" t="s">
        <v>441</v>
      </c>
      <c r="F6180">
        <v>0</v>
      </c>
      <c r="H6180" t="s">
        <v>8580</v>
      </c>
      <c r="I6180">
        <v>7</v>
      </c>
      <c r="J6180" t="s">
        <v>445</v>
      </c>
      <c r="M6180">
        <v>6666</v>
      </c>
      <c r="N6180" t="s">
        <v>16247</v>
      </c>
    </row>
    <row r="6181" spans="1:14">
      <c r="A6181">
        <v>23164918</v>
      </c>
      <c r="B6181">
        <v>3040916</v>
      </c>
      <c r="C6181" t="s">
        <v>11411</v>
      </c>
      <c r="D6181" t="s">
        <v>441</v>
      </c>
      <c r="F6181">
        <v>0</v>
      </c>
      <c r="G6181">
        <v>1</v>
      </c>
      <c r="I6181">
        <v>4</v>
      </c>
      <c r="J6181" t="s">
        <v>445</v>
      </c>
      <c r="M6181">
        <v>6666</v>
      </c>
      <c r="N6181" t="s">
        <v>16247</v>
      </c>
    </row>
    <row r="6182" spans="1:14">
      <c r="A6182">
        <v>23164927</v>
      </c>
      <c r="B6182">
        <v>3040502</v>
      </c>
      <c r="C6182" t="s">
        <v>11412</v>
      </c>
      <c r="D6182" t="s">
        <v>441</v>
      </c>
      <c r="F6182">
        <v>0</v>
      </c>
      <c r="G6182">
        <v>2.58</v>
      </c>
      <c r="H6182" t="s">
        <v>8588</v>
      </c>
      <c r="I6182">
        <v>6</v>
      </c>
      <c r="J6182" t="s">
        <v>445</v>
      </c>
      <c r="M6182">
        <v>6666</v>
      </c>
      <c r="N6182" t="s">
        <v>16247</v>
      </c>
    </row>
    <row r="6183" spans="1:14">
      <c r="A6183">
        <v>23165000</v>
      </c>
      <c r="B6183">
        <v>3009478</v>
      </c>
      <c r="C6183" t="s">
        <v>11413</v>
      </c>
      <c r="D6183" t="s">
        <v>441</v>
      </c>
      <c r="F6183">
        <v>0</v>
      </c>
      <c r="G6183">
        <v>1</v>
      </c>
      <c r="H6183" t="s">
        <v>8583</v>
      </c>
      <c r="I6183">
        <v>7</v>
      </c>
      <c r="J6183" t="s">
        <v>445</v>
      </c>
      <c r="K6183" t="s">
        <v>446</v>
      </c>
      <c r="M6183">
        <v>2390</v>
      </c>
    </row>
    <row r="6184" spans="1:14">
      <c r="A6184">
        <v>23165019</v>
      </c>
      <c r="B6184">
        <v>3009691</v>
      </c>
      <c r="C6184" t="s">
        <v>11414</v>
      </c>
      <c r="D6184" t="s">
        <v>441</v>
      </c>
      <c r="F6184">
        <v>0</v>
      </c>
      <c r="G6184">
        <v>3.7</v>
      </c>
      <c r="H6184" t="s">
        <v>8588</v>
      </c>
      <c r="I6184">
        <v>365</v>
      </c>
      <c r="J6184" t="s">
        <v>445</v>
      </c>
      <c r="M6184">
        <v>7111</v>
      </c>
      <c r="N6184" t="s">
        <v>16247</v>
      </c>
    </row>
    <row r="6185" spans="1:14">
      <c r="A6185">
        <v>23165022</v>
      </c>
      <c r="B6185">
        <v>3040915</v>
      </c>
      <c r="C6185" t="s">
        <v>11415</v>
      </c>
      <c r="D6185" t="s">
        <v>441</v>
      </c>
      <c r="F6185">
        <v>0</v>
      </c>
      <c r="G6185">
        <v>3.7</v>
      </c>
      <c r="H6185" t="s">
        <v>8588</v>
      </c>
      <c r="I6185">
        <v>540</v>
      </c>
      <c r="J6185" t="s">
        <v>445</v>
      </c>
      <c r="M6185">
        <v>7111</v>
      </c>
      <c r="N6185" t="s">
        <v>16247</v>
      </c>
    </row>
    <row r="6186" spans="1:14">
      <c r="A6186">
        <v>23165075</v>
      </c>
      <c r="B6186">
        <v>3009692</v>
      </c>
      <c r="C6186" t="s">
        <v>2916</v>
      </c>
      <c r="D6186" t="s">
        <v>441</v>
      </c>
      <c r="F6186">
        <v>0</v>
      </c>
      <c r="G6186">
        <v>3.38</v>
      </c>
      <c r="H6186" t="s">
        <v>8588</v>
      </c>
      <c r="I6186">
        <v>7</v>
      </c>
      <c r="J6186" t="s">
        <v>445</v>
      </c>
      <c r="M6186">
        <v>7112</v>
      </c>
      <c r="N6186" t="s">
        <v>16247</v>
      </c>
    </row>
    <row r="6187" spans="1:14">
      <c r="A6187">
        <v>23165087</v>
      </c>
      <c r="B6187">
        <v>3029596</v>
      </c>
      <c r="C6187" t="s">
        <v>11416</v>
      </c>
      <c r="D6187" t="s">
        <v>441</v>
      </c>
      <c r="F6187">
        <v>0</v>
      </c>
      <c r="G6187">
        <v>3.37</v>
      </c>
      <c r="H6187" t="s">
        <v>8588</v>
      </c>
      <c r="I6187">
        <v>7</v>
      </c>
      <c r="J6187" t="s">
        <v>445</v>
      </c>
      <c r="K6187" t="s">
        <v>446</v>
      </c>
      <c r="M6187">
        <v>2641</v>
      </c>
    </row>
    <row r="6188" spans="1:14">
      <c r="A6188">
        <v>23165100</v>
      </c>
      <c r="B6188">
        <v>3012635</v>
      </c>
      <c r="C6188" t="s">
        <v>11417</v>
      </c>
      <c r="D6188" t="s">
        <v>441</v>
      </c>
      <c r="F6188">
        <v>0</v>
      </c>
      <c r="H6188" t="s">
        <v>8549</v>
      </c>
      <c r="I6188">
        <v>6</v>
      </c>
      <c r="J6188" t="s">
        <v>445</v>
      </c>
      <c r="M6188">
        <v>7161</v>
      </c>
      <c r="N6188" t="s">
        <v>16247</v>
      </c>
    </row>
    <row r="6189" spans="1:14">
      <c r="A6189">
        <v>23165200</v>
      </c>
      <c r="B6189">
        <v>3043079</v>
      </c>
      <c r="C6189" t="s">
        <v>11418</v>
      </c>
      <c r="D6189" t="s">
        <v>441</v>
      </c>
      <c r="F6189">
        <v>0</v>
      </c>
      <c r="G6189">
        <v>4.9000000000000004</v>
      </c>
      <c r="H6189" t="s">
        <v>8549</v>
      </c>
      <c r="I6189">
        <v>6</v>
      </c>
      <c r="J6189" t="s">
        <v>445</v>
      </c>
      <c r="M6189">
        <v>2391</v>
      </c>
      <c r="N6189" t="s">
        <v>16247</v>
      </c>
    </row>
    <row r="6190" spans="1:14">
      <c r="A6190">
        <v>23165519</v>
      </c>
      <c r="B6190">
        <v>3009662</v>
      </c>
      <c r="C6190" t="s">
        <v>11419</v>
      </c>
      <c r="D6190" t="s">
        <v>441</v>
      </c>
      <c r="F6190">
        <v>0</v>
      </c>
      <c r="G6190">
        <v>3.39</v>
      </c>
      <c r="I6190">
        <v>365</v>
      </c>
      <c r="J6190" t="s">
        <v>445</v>
      </c>
      <c r="M6190">
        <v>2502</v>
      </c>
      <c r="N6190" t="s">
        <v>16247</v>
      </c>
    </row>
    <row r="6191" spans="1:14">
      <c r="A6191">
        <v>23165522</v>
      </c>
      <c r="B6191">
        <v>3040967</v>
      </c>
      <c r="C6191" t="s">
        <v>11420</v>
      </c>
      <c r="D6191" t="s">
        <v>441</v>
      </c>
      <c r="F6191">
        <v>0</v>
      </c>
      <c r="G6191">
        <v>3.38</v>
      </c>
      <c r="H6191" t="s">
        <v>8588</v>
      </c>
      <c r="I6191">
        <v>3</v>
      </c>
      <c r="J6191" t="s">
        <v>445</v>
      </c>
      <c r="M6191">
        <v>2502</v>
      </c>
      <c r="N6191" t="s">
        <v>16247</v>
      </c>
    </row>
    <row r="6192" spans="1:14">
      <c r="A6192">
        <v>23166000</v>
      </c>
      <c r="B6192">
        <v>3009245</v>
      </c>
      <c r="C6192" t="s">
        <v>11421</v>
      </c>
      <c r="D6192" t="s">
        <v>441</v>
      </c>
      <c r="F6192">
        <v>0</v>
      </c>
      <c r="G6192">
        <v>1.6</v>
      </c>
      <c r="I6192">
        <v>7</v>
      </c>
      <c r="J6192" t="s">
        <v>445</v>
      </c>
      <c r="K6192" t="s">
        <v>446</v>
      </c>
      <c r="M6192">
        <v>2390</v>
      </c>
    </row>
    <row r="6193" spans="1:14">
      <c r="A6193">
        <v>23169000</v>
      </c>
      <c r="B6193">
        <v>3019062</v>
      </c>
      <c r="C6193" t="s">
        <v>11422</v>
      </c>
      <c r="D6193" t="s">
        <v>441</v>
      </c>
      <c r="F6193">
        <v>0</v>
      </c>
      <c r="G6193">
        <v>3.3</v>
      </c>
      <c r="H6193" t="s">
        <v>8588</v>
      </c>
      <c r="I6193">
        <v>2</v>
      </c>
      <c r="J6193" t="s">
        <v>445</v>
      </c>
      <c r="M6193">
        <v>3111</v>
      </c>
      <c r="N6193" t="s">
        <v>16247</v>
      </c>
    </row>
    <row r="6194" spans="1:14">
      <c r="A6194">
        <v>23169900</v>
      </c>
      <c r="B6194">
        <v>3020342</v>
      </c>
      <c r="C6194" t="s">
        <v>11423</v>
      </c>
      <c r="D6194" t="s">
        <v>441</v>
      </c>
      <c r="F6194">
        <v>0</v>
      </c>
      <c r="H6194" t="s">
        <v>8584</v>
      </c>
      <c r="I6194">
        <v>2</v>
      </c>
      <c r="J6194" t="s">
        <v>445</v>
      </c>
      <c r="M6194">
        <v>6666</v>
      </c>
      <c r="N6194" t="s">
        <v>16247</v>
      </c>
    </row>
    <row r="6195" spans="1:14">
      <c r="A6195">
        <v>23200000</v>
      </c>
      <c r="B6195">
        <v>3007982</v>
      </c>
      <c r="C6195" t="s">
        <v>16248</v>
      </c>
      <c r="D6195" t="s">
        <v>441</v>
      </c>
      <c r="F6195">
        <v>0</v>
      </c>
      <c r="G6195">
        <v>1.2</v>
      </c>
      <c r="H6195" t="s">
        <v>8634</v>
      </c>
      <c r="I6195">
        <v>6</v>
      </c>
      <c r="J6195" t="s">
        <v>445</v>
      </c>
      <c r="K6195" t="s">
        <v>446</v>
      </c>
      <c r="M6195">
        <v>2143</v>
      </c>
      <c r="N6195" t="s">
        <v>16247</v>
      </c>
    </row>
    <row r="6196" spans="1:14">
      <c r="A6196">
        <v>23200025</v>
      </c>
      <c r="B6196">
        <v>4003990</v>
      </c>
      <c r="C6196" t="s">
        <v>16249</v>
      </c>
      <c r="D6196" t="s">
        <v>441</v>
      </c>
      <c r="F6196">
        <v>0</v>
      </c>
      <c r="G6196">
        <v>2.04</v>
      </c>
      <c r="H6196" t="s">
        <v>8588</v>
      </c>
      <c r="I6196">
        <v>540</v>
      </c>
      <c r="J6196" t="s">
        <v>462</v>
      </c>
      <c r="K6196" t="s">
        <v>446</v>
      </c>
      <c r="M6196">
        <v>7111</v>
      </c>
      <c r="N6196" t="s">
        <v>16247</v>
      </c>
    </row>
    <row r="6197" spans="1:14">
      <c r="A6197">
        <v>23200088</v>
      </c>
      <c r="B6197">
        <v>1100161</v>
      </c>
      <c r="C6197" t="s">
        <v>15588</v>
      </c>
      <c r="D6197" t="s">
        <v>441</v>
      </c>
      <c r="F6197">
        <v>0</v>
      </c>
      <c r="G6197">
        <v>2</v>
      </c>
      <c r="H6197" t="s">
        <v>8933</v>
      </c>
      <c r="I6197">
        <v>5</v>
      </c>
      <c r="J6197" t="s">
        <v>511</v>
      </c>
      <c r="M6197">
        <v>9908</v>
      </c>
      <c r="N6197" t="s">
        <v>16250</v>
      </c>
    </row>
    <row r="6198" spans="1:14">
      <c r="A6198">
        <v>23200525</v>
      </c>
      <c r="B6198">
        <v>3007983</v>
      </c>
      <c r="C6198" t="s">
        <v>16251</v>
      </c>
      <c r="D6198" t="s">
        <v>441</v>
      </c>
      <c r="F6198">
        <v>0</v>
      </c>
      <c r="G6198">
        <v>1.57</v>
      </c>
      <c r="H6198" t="s">
        <v>8634</v>
      </c>
      <c r="I6198">
        <v>6</v>
      </c>
      <c r="J6198" t="s">
        <v>445</v>
      </c>
      <c r="K6198" t="s">
        <v>446</v>
      </c>
      <c r="M6198">
        <v>2502</v>
      </c>
      <c r="N6198" t="s">
        <v>16247</v>
      </c>
    </row>
    <row r="6199" spans="1:14">
      <c r="A6199">
        <v>23204000</v>
      </c>
      <c r="B6199">
        <v>3007984</v>
      </c>
      <c r="C6199" t="s">
        <v>11424</v>
      </c>
      <c r="D6199" t="s">
        <v>441</v>
      </c>
      <c r="F6199">
        <v>0</v>
      </c>
      <c r="G6199">
        <v>0.06</v>
      </c>
      <c r="H6199" t="s">
        <v>8634</v>
      </c>
      <c r="I6199">
        <v>6</v>
      </c>
      <c r="J6199" t="s">
        <v>445</v>
      </c>
      <c r="K6199" t="s">
        <v>446</v>
      </c>
      <c r="M6199">
        <v>0</v>
      </c>
    </row>
    <row r="6200" spans="1:14">
      <c r="A6200">
        <v>23220007</v>
      </c>
      <c r="B6200">
        <v>3015279</v>
      </c>
      <c r="C6200" t="s">
        <v>14440</v>
      </c>
      <c r="D6200" t="s">
        <v>441</v>
      </c>
      <c r="F6200">
        <v>0</v>
      </c>
      <c r="H6200" t="s">
        <v>8588</v>
      </c>
      <c r="I6200">
        <v>6</v>
      </c>
      <c r="J6200" t="s">
        <v>445</v>
      </c>
      <c r="M6200">
        <v>7161</v>
      </c>
      <c r="N6200" t="s">
        <v>16247</v>
      </c>
    </row>
    <row r="6201" spans="1:14">
      <c r="A6201">
        <v>23950000</v>
      </c>
      <c r="B6201">
        <v>3016007</v>
      </c>
      <c r="C6201" t="s">
        <v>11425</v>
      </c>
      <c r="D6201" t="s">
        <v>441</v>
      </c>
      <c r="F6201">
        <v>0</v>
      </c>
      <c r="G6201">
        <v>0</v>
      </c>
      <c r="H6201" t="s">
        <v>8584</v>
      </c>
      <c r="I6201">
        <v>6</v>
      </c>
      <c r="J6201" t="s">
        <v>445</v>
      </c>
      <c r="M6201">
        <v>2391</v>
      </c>
      <c r="N6201" t="s">
        <v>16252</v>
      </c>
    </row>
    <row r="6202" spans="1:14">
      <c r="A6202">
        <v>23950017</v>
      </c>
      <c r="B6202">
        <v>3030223</v>
      </c>
      <c r="C6202" t="s">
        <v>11426</v>
      </c>
      <c r="D6202" t="s">
        <v>441</v>
      </c>
      <c r="F6202">
        <v>0</v>
      </c>
      <c r="G6202">
        <v>4.24</v>
      </c>
      <c r="H6202" t="s">
        <v>8588</v>
      </c>
      <c r="I6202">
        <v>540</v>
      </c>
      <c r="J6202" t="s">
        <v>445</v>
      </c>
      <c r="M6202">
        <v>7111</v>
      </c>
      <c r="N6202" t="s">
        <v>16252</v>
      </c>
    </row>
    <row r="6203" spans="1:14">
      <c r="A6203">
        <v>23950018</v>
      </c>
      <c r="B6203">
        <v>3027420</v>
      </c>
      <c r="C6203" t="s">
        <v>11427</v>
      </c>
      <c r="D6203" t="s">
        <v>441</v>
      </c>
      <c r="F6203">
        <v>0</v>
      </c>
      <c r="G6203">
        <v>4.2</v>
      </c>
      <c r="H6203" t="s">
        <v>8588</v>
      </c>
      <c r="I6203">
        <v>540</v>
      </c>
      <c r="J6203" t="s">
        <v>445</v>
      </c>
      <c r="M6203">
        <v>7111</v>
      </c>
      <c r="N6203" t="s">
        <v>16252</v>
      </c>
    </row>
    <row r="6204" spans="1:14">
      <c r="A6204">
        <v>23950019</v>
      </c>
      <c r="B6204">
        <v>4008159</v>
      </c>
      <c r="C6204" t="s">
        <v>11428</v>
      </c>
      <c r="D6204" t="s">
        <v>441</v>
      </c>
      <c r="F6204">
        <v>0</v>
      </c>
      <c r="G6204">
        <v>1.31</v>
      </c>
      <c r="H6204" t="s">
        <v>8588</v>
      </c>
      <c r="I6204">
        <v>365</v>
      </c>
      <c r="J6204" t="s">
        <v>462</v>
      </c>
      <c r="K6204" t="s">
        <v>446</v>
      </c>
      <c r="M6204">
        <v>2501</v>
      </c>
    </row>
    <row r="6205" spans="1:14">
      <c r="A6205">
        <v>23950025</v>
      </c>
      <c r="B6205">
        <v>4001832</v>
      </c>
      <c r="C6205" t="s">
        <v>11429</v>
      </c>
      <c r="D6205" t="s">
        <v>441</v>
      </c>
      <c r="F6205">
        <v>0</v>
      </c>
      <c r="G6205">
        <v>4.1900000000000004</v>
      </c>
      <c r="H6205" t="s">
        <v>8588</v>
      </c>
      <c r="I6205">
        <v>540</v>
      </c>
      <c r="J6205" t="s">
        <v>462</v>
      </c>
      <c r="M6205">
        <v>7111</v>
      </c>
      <c r="N6205" t="s">
        <v>16252</v>
      </c>
    </row>
    <row r="6206" spans="1:14">
      <c r="A6206">
        <v>23950026</v>
      </c>
      <c r="B6206">
        <v>4025184</v>
      </c>
      <c r="C6206" t="s">
        <v>2917</v>
      </c>
      <c r="D6206" t="s">
        <v>442</v>
      </c>
      <c r="E6206" t="s">
        <v>441</v>
      </c>
      <c r="F6206">
        <v>20</v>
      </c>
      <c r="G6206">
        <v>124.13</v>
      </c>
      <c r="H6206" t="s">
        <v>8588</v>
      </c>
      <c r="I6206">
        <v>540</v>
      </c>
      <c r="J6206" t="s">
        <v>462</v>
      </c>
      <c r="M6206">
        <v>7111</v>
      </c>
      <c r="N6206" t="s">
        <v>16252</v>
      </c>
    </row>
    <row r="6207" spans="1:14">
      <c r="A6207">
        <v>23950028</v>
      </c>
      <c r="B6207">
        <v>4001833</v>
      </c>
      <c r="C6207" t="s">
        <v>11430</v>
      </c>
      <c r="D6207" t="s">
        <v>441</v>
      </c>
      <c r="F6207">
        <v>0</v>
      </c>
      <c r="G6207">
        <v>1.52</v>
      </c>
      <c r="H6207" t="s">
        <v>8588</v>
      </c>
      <c r="I6207">
        <v>365</v>
      </c>
      <c r="J6207" t="s">
        <v>462</v>
      </c>
      <c r="K6207" t="s">
        <v>446</v>
      </c>
      <c r="M6207">
        <v>2501</v>
      </c>
    </row>
    <row r="6208" spans="1:14">
      <c r="A6208">
        <v>23950040</v>
      </c>
      <c r="B6208">
        <v>4011100</v>
      </c>
      <c r="C6208" t="s">
        <v>11431</v>
      </c>
      <c r="D6208" t="s">
        <v>441</v>
      </c>
      <c r="F6208">
        <v>0</v>
      </c>
      <c r="G6208">
        <v>4.83</v>
      </c>
      <c r="H6208" t="s">
        <v>8588</v>
      </c>
      <c r="I6208">
        <v>10</v>
      </c>
      <c r="J6208" t="s">
        <v>462</v>
      </c>
      <c r="M6208">
        <v>7112</v>
      </c>
      <c r="N6208" t="s">
        <v>16252</v>
      </c>
    </row>
    <row r="6209" spans="1:14">
      <c r="A6209">
        <v>23950041</v>
      </c>
      <c r="B6209">
        <v>4024674</v>
      </c>
      <c r="C6209" t="s">
        <v>11432</v>
      </c>
      <c r="D6209" t="s">
        <v>441</v>
      </c>
      <c r="F6209">
        <v>0</v>
      </c>
      <c r="G6209">
        <v>4.59</v>
      </c>
      <c r="H6209" t="s">
        <v>8588</v>
      </c>
      <c r="I6209">
        <v>10</v>
      </c>
      <c r="J6209" t="s">
        <v>462</v>
      </c>
      <c r="M6209">
        <v>7112</v>
      </c>
      <c r="N6209" t="s">
        <v>16252</v>
      </c>
    </row>
    <row r="6210" spans="1:14">
      <c r="A6210">
        <v>23950042</v>
      </c>
      <c r="B6210">
        <v>4025281</v>
      </c>
      <c r="C6210" t="s">
        <v>2918</v>
      </c>
      <c r="D6210" t="s">
        <v>441</v>
      </c>
      <c r="F6210">
        <v>0</v>
      </c>
      <c r="G6210">
        <v>4.43</v>
      </c>
      <c r="H6210" t="s">
        <v>8588</v>
      </c>
      <c r="I6210">
        <v>10</v>
      </c>
      <c r="J6210" t="s">
        <v>462</v>
      </c>
      <c r="M6210">
        <v>7112</v>
      </c>
      <c r="N6210" t="s">
        <v>16252</v>
      </c>
    </row>
    <row r="6211" spans="1:14">
      <c r="A6211">
        <v>23950043</v>
      </c>
      <c r="B6211">
        <v>4030117</v>
      </c>
      <c r="C6211" t="s">
        <v>15928</v>
      </c>
      <c r="D6211" t="s">
        <v>441</v>
      </c>
      <c r="F6211">
        <v>0</v>
      </c>
      <c r="G6211">
        <v>7.57</v>
      </c>
      <c r="H6211" t="s">
        <v>8588</v>
      </c>
      <c r="I6211">
        <v>10</v>
      </c>
      <c r="J6211" t="s">
        <v>462</v>
      </c>
      <c r="M6211">
        <v>7112</v>
      </c>
      <c r="N6211" t="s">
        <v>16252</v>
      </c>
    </row>
    <row r="6212" spans="1:14">
      <c r="A6212">
        <v>23950044</v>
      </c>
      <c r="B6212">
        <v>4019625</v>
      </c>
      <c r="C6212" t="s">
        <v>11433</v>
      </c>
      <c r="D6212" t="s">
        <v>441</v>
      </c>
      <c r="F6212">
        <v>0</v>
      </c>
      <c r="G6212">
        <v>4.92</v>
      </c>
      <c r="H6212" t="s">
        <v>8588</v>
      </c>
      <c r="I6212">
        <v>10</v>
      </c>
      <c r="J6212" t="s">
        <v>462</v>
      </c>
      <c r="M6212">
        <v>7112</v>
      </c>
      <c r="N6212" t="s">
        <v>16252</v>
      </c>
    </row>
    <row r="6213" spans="1:14">
      <c r="A6213">
        <v>23950074</v>
      </c>
      <c r="B6213">
        <v>4024464</v>
      </c>
      <c r="C6213" t="s">
        <v>11434</v>
      </c>
      <c r="D6213" t="s">
        <v>441</v>
      </c>
      <c r="F6213">
        <v>0</v>
      </c>
      <c r="G6213">
        <v>3.97</v>
      </c>
      <c r="H6213" t="s">
        <v>8588</v>
      </c>
      <c r="I6213">
        <v>6</v>
      </c>
      <c r="J6213" t="s">
        <v>462</v>
      </c>
      <c r="M6213">
        <v>7112</v>
      </c>
      <c r="N6213" t="s">
        <v>16252</v>
      </c>
    </row>
    <row r="6214" spans="1:14">
      <c r="A6214">
        <v>23950075</v>
      </c>
      <c r="B6214">
        <v>3008673</v>
      </c>
      <c r="C6214" t="s">
        <v>11435</v>
      </c>
      <c r="D6214" t="s">
        <v>441</v>
      </c>
      <c r="F6214">
        <v>0</v>
      </c>
      <c r="G6214">
        <v>4.97</v>
      </c>
      <c r="H6214" t="s">
        <v>8588</v>
      </c>
      <c r="I6214">
        <v>6</v>
      </c>
      <c r="J6214" t="s">
        <v>445</v>
      </c>
      <c r="K6214" t="s">
        <v>446</v>
      </c>
      <c r="M6214">
        <v>2641</v>
      </c>
    </row>
    <row r="6215" spans="1:14">
      <c r="A6215">
        <v>23950076</v>
      </c>
      <c r="B6215">
        <v>4009758</v>
      </c>
      <c r="C6215" t="s">
        <v>11436</v>
      </c>
      <c r="D6215" t="s">
        <v>441</v>
      </c>
      <c r="F6215">
        <v>0</v>
      </c>
      <c r="G6215">
        <v>3.97</v>
      </c>
      <c r="H6215" t="s">
        <v>8588</v>
      </c>
      <c r="I6215">
        <v>6</v>
      </c>
      <c r="J6215" t="s">
        <v>462</v>
      </c>
      <c r="M6215">
        <v>7112</v>
      </c>
      <c r="N6215" t="s">
        <v>16252</v>
      </c>
    </row>
    <row r="6216" spans="1:14">
      <c r="A6216">
        <v>23950080</v>
      </c>
      <c r="B6216">
        <v>3007985</v>
      </c>
      <c r="C6216" t="s">
        <v>11437</v>
      </c>
      <c r="D6216" t="s">
        <v>441</v>
      </c>
      <c r="F6216">
        <v>0</v>
      </c>
      <c r="G6216">
        <v>2.87</v>
      </c>
      <c r="H6216" t="s">
        <v>8634</v>
      </c>
      <c r="I6216">
        <v>6</v>
      </c>
      <c r="J6216" t="s">
        <v>445</v>
      </c>
      <c r="K6216" t="s">
        <v>446</v>
      </c>
      <c r="M6216">
        <v>2641</v>
      </c>
    </row>
    <row r="6217" spans="1:14">
      <c r="A6217">
        <v>23950081</v>
      </c>
      <c r="B6217">
        <v>4027024</v>
      </c>
      <c r="C6217" t="s">
        <v>2919</v>
      </c>
      <c r="D6217" t="s">
        <v>441</v>
      </c>
      <c r="F6217">
        <v>0</v>
      </c>
      <c r="G6217">
        <v>3.94</v>
      </c>
      <c r="H6217" t="s">
        <v>8588</v>
      </c>
      <c r="I6217">
        <v>6</v>
      </c>
      <c r="J6217" t="s">
        <v>462</v>
      </c>
      <c r="M6217">
        <v>7112</v>
      </c>
      <c r="N6217" t="s">
        <v>16252</v>
      </c>
    </row>
    <row r="6218" spans="1:14">
      <c r="A6218">
        <v>23950517</v>
      </c>
      <c r="B6218">
        <v>3030100</v>
      </c>
      <c r="C6218" t="s">
        <v>11438</v>
      </c>
      <c r="D6218" t="s">
        <v>441</v>
      </c>
      <c r="F6218">
        <v>0</v>
      </c>
      <c r="G6218">
        <v>3.92</v>
      </c>
      <c r="H6218" t="s">
        <v>8588</v>
      </c>
      <c r="I6218">
        <v>6</v>
      </c>
      <c r="J6218" t="s">
        <v>445</v>
      </c>
      <c r="M6218">
        <v>2502</v>
      </c>
      <c r="N6218" t="s">
        <v>16252</v>
      </c>
    </row>
    <row r="6219" spans="1:14">
      <c r="A6219">
        <v>23950518</v>
      </c>
      <c r="B6219">
        <v>3027387</v>
      </c>
      <c r="C6219" t="s">
        <v>11439</v>
      </c>
      <c r="D6219" t="s">
        <v>441</v>
      </c>
      <c r="F6219">
        <v>0</v>
      </c>
      <c r="G6219">
        <v>6.53</v>
      </c>
      <c r="H6219" t="s">
        <v>8549</v>
      </c>
      <c r="I6219">
        <v>540</v>
      </c>
      <c r="J6219" t="s">
        <v>445</v>
      </c>
      <c r="M6219">
        <v>2502</v>
      </c>
      <c r="N6219" t="s">
        <v>16252</v>
      </c>
    </row>
    <row r="6220" spans="1:14">
      <c r="A6220">
        <v>23950519</v>
      </c>
      <c r="B6220">
        <v>3009127</v>
      </c>
      <c r="C6220" t="s">
        <v>11440</v>
      </c>
      <c r="D6220" t="s">
        <v>441</v>
      </c>
      <c r="F6220">
        <v>0</v>
      </c>
      <c r="G6220">
        <v>2.87</v>
      </c>
      <c r="H6220" t="s">
        <v>8580</v>
      </c>
      <c r="I6220">
        <v>6</v>
      </c>
      <c r="J6220" t="s">
        <v>445</v>
      </c>
      <c r="K6220" t="s">
        <v>446</v>
      </c>
      <c r="M6220">
        <v>2501</v>
      </c>
    </row>
    <row r="6221" spans="1:14">
      <c r="A6221">
        <v>23950525</v>
      </c>
      <c r="B6221">
        <v>3007986</v>
      </c>
      <c r="C6221" t="s">
        <v>11441</v>
      </c>
      <c r="D6221" t="s">
        <v>441</v>
      </c>
      <c r="F6221">
        <v>0</v>
      </c>
      <c r="G6221">
        <v>3.91</v>
      </c>
      <c r="H6221" t="s">
        <v>8634</v>
      </c>
      <c r="I6221">
        <v>6</v>
      </c>
      <c r="J6221" t="s">
        <v>445</v>
      </c>
      <c r="M6221">
        <v>2502</v>
      </c>
      <c r="N6221" t="s">
        <v>16252</v>
      </c>
    </row>
    <row r="6222" spans="1:14">
      <c r="A6222">
        <v>23950526</v>
      </c>
      <c r="B6222">
        <v>3037131</v>
      </c>
      <c r="C6222" t="s">
        <v>2920</v>
      </c>
      <c r="D6222" t="s">
        <v>442</v>
      </c>
      <c r="E6222" t="s">
        <v>441</v>
      </c>
      <c r="F6222">
        <v>20</v>
      </c>
      <c r="G6222">
        <v>116.74</v>
      </c>
      <c r="H6222" t="s">
        <v>8588</v>
      </c>
      <c r="I6222">
        <v>540</v>
      </c>
      <c r="J6222" t="s">
        <v>445</v>
      </c>
      <c r="M6222">
        <v>2502</v>
      </c>
      <c r="N6222" t="s">
        <v>16252</v>
      </c>
    </row>
    <row r="6223" spans="1:14">
      <c r="A6223">
        <v>23950528</v>
      </c>
      <c r="B6223">
        <v>3007987</v>
      </c>
      <c r="C6223" t="s">
        <v>11442</v>
      </c>
      <c r="D6223" t="s">
        <v>441</v>
      </c>
      <c r="F6223">
        <v>0</v>
      </c>
      <c r="G6223">
        <v>1.41</v>
      </c>
      <c r="H6223" t="s">
        <v>8634</v>
      </c>
      <c r="I6223">
        <v>6</v>
      </c>
      <c r="J6223" t="s">
        <v>445</v>
      </c>
      <c r="K6223" t="s">
        <v>446</v>
      </c>
      <c r="M6223">
        <v>2641</v>
      </c>
    </row>
    <row r="6224" spans="1:14">
      <c r="A6224">
        <v>23950618</v>
      </c>
      <c r="B6224">
        <v>3033380</v>
      </c>
      <c r="C6224" t="s">
        <v>11443</v>
      </c>
      <c r="D6224" t="s">
        <v>441</v>
      </c>
      <c r="F6224">
        <v>0</v>
      </c>
      <c r="G6224">
        <v>4.3499999999999996</v>
      </c>
      <c r="H6224" t="s">
        <v>8588</v>
      </c>
      <c r="I6224">
        <v>4</v>
      </c>
      <c r="J6224" t="s">
        <v>445</v>
      </c>
      <c r="M6224">
        <v>2510</v>
      </c>
      <c r="N6224" t="s">
        <v>16252</v>
      </c>
    </row>
    <row r="6225" spans="1:14">
      <c r="A6225">
        <v>23950619</v>
      </c>
      <c r="B6225">
        <v>3011806</v>
      </c>
      <c r="C6225" t="s">
        <v>11444</v>
      </c>
      <c r="D6225" t="s">
        <v>441</v>
      </c>
      <c r="F6225">
        <v>0</v>
      </c>
      <c r="G6225">
        <v>1.44</v>
      </c>
      <c r="H6225" t="s">
        <v>8584</v>
      </c>
      <c r="I6225">
        <v>4</v>
      </c>
      <c r="J6225" t="s">
        <v>445</v>
      </c>
      <c r="K6225" t="s">
        <v>446</v>
      </c>
      <c r="M6225">
        <v>2511</v>
      </c>
    </row>
    <row r="6226" spans="1:14">
      <c r="A6226">
        <v>23950625</v>
      </c>
      <c r="B6226">
        <v>3010079</v>
      </c>
      <c r="C6226" t="s">
        <v>11445</v>
      </c>
      <c r="D6226" t="s">
        <v>441</v>
      </c>
      <c r="F6226">
        <v>0</v>
      </c>
      <c r="G6226">
        <v>2.3199999999999998</v>
      </c>
      <c r="H6226" t="s">
        <v>8634</v>
      </c>
      <c r="I6226">
        <v>4</v>
      </c>
      <c r="J6226" t="s">
        <v>445</v>
      </c>
      <c r="K6226" t="s">
        <v>446</v>
      </c>
      <c r="M6226">
        <v>2511</v>
      </c>
    </row>
    <row r="6227" spans="1:14">
      <c r="A6227">
        <v>23950628</v>
      </c>
      <c r="B6227">
        <v>3010556</v>
      </c>
      <c r="C6227" t="s">
        <v>11446</v>
      </c>
      <c r="D6227" t="s">
        <v>441</v>
      </c>
      <c r="F6227">
        <v>0</v>
      </c>
      <c r="G6227">
        <v>1.65</v>
      </c>
      <c r="I6227">
        <v>4</v>
      </c>
      <c r="J6227" t="s">
        <v>445</v>
      </c>
      <c r="K6227" t="s">
        <v>446</v>
      </c>
      <c r="M6227">
        <v>2511</v>
      </c>
    </row>
    <row r="6228" spans="1:14">
      <c r="A6228">
        <v>23950918</v>
      </c>
      <c r="B6228">
        <v>3033381</v>
      </c>
      <c r="C6228" t="s">
        <v>11447</v>
      </c>
      <c r="D6228" t="s">
        <v>441</v>
      </c>
      <c r="F6228">
        <v>0</v>
      </c>
      <c r="H6228" t="s">
        <v>8580</v>
      </c>
      <c r="I6228">
        <v>4</v>
      </c>
      <c r="J6228" t="s">
        <v>445</v>
      </c>
      <c r="M6228">
        <v>6666</v>
      </c>
      <c r="N6228" t="s">
        <v>16252</v>
      </c>
    </row>
    <row r="6229" spans="1:14">
      <c r="A6229">
        <v>23951000</v>
      </c>
      <c r="B6229">
        <v>3009218</v>
      </c>
      <c r="C6229" t="s">
        <v>11448</v>
      </c>
      <c r="D6229" t="s">
        <v>441</v>
      </c>
      <c r="F6229">
        <v>0</v>
      </c>
      <c r="G6229">
        <v>2.1</v>
      </c>
      <c r="I6229">
        <v>6</v>
      </c>
      <c r="J6229" t="s">
        <v>445</v>
      </c>
      <c r="K6229" t="s">
        <v>446</v>
      </c>
      <c r="M6229">
        <v>2313</v>
      </c>
    </row>
    <row r="6230" spans="1:14">
      <c r="A6230">
        <v>23953000</v>
      </c>
      <c r="B6230">
        <v>3015273</v>
      </c>
      <c r="C6230" t="s">
        <v>11449</v>
      </c>
      <c r="D6230" t="s">
        <v>441</v>
      </c>
      <c r="F6230">
        <v>0</v>
      </c>
      <c r="G6230">
        <v>3.8</v>
      </c>
      <c r="H6230" t="s">
        <v>8588</v>
      </c>
      <c r="I6230">
        <v>6</v>
      </c>
      <c r="J6230" t="s">
        <v>445</v>
      </c>
      <c r="M6230">
        <v>2391</v>
      </c>
      <c r="N6230" t="s">
        <v>16252</v>
      </c>
    </row>
    <row r="6231" spans="1:14">
      <c r="A6231">
        <v>23953007</v>
      </c>
      <c r="B6231">
        <v>3025011</v>
      </c>
      <c r="C6231" t="s">
        <v>14230</v>
      </c>
      <c r="D6231" t="s">
        <v>441</v>
      </c>
      <c r="F6231">
        <v>0</v>
      </c>
      <c r="G6231">
        <v>6.52</v>
      </c>
      <c r="H6231" t="s">
        <v>8588</v>
      </c>
      <c r="I6231">
        <v>6</v>
      </c>
      <c r="J6231" t="s">
        <v>445</v>
      </c>
      <c r="M6231">
        <v>3111</v>
      </c>
      <c r="N6231" t="s">
        <v>16252</v>
      </c>
    </row>
    <row r="6232" spans="1:14">
      <c r="A6232">
        <v>23953700</v>
      </c>
      <c r="B6232">
        <v>3030648</v>
      </c>
      <c r="C6232" t="s">
        <v>11450</v>
      </c>
      <c r="D6232" t="s">
        <v>441</v>
      </c>
      <c r="F6232">
        <v>0</v>
      </c>
      <c r="G6232">
        <v>3.8</v>
      </c>
      <c r="H6232" t="s">
        <v>8549</v>
      </c>
      <c r="I6232">
        <v>6</v>
      </c>
      <c r="J6232" t="s">
        <v>445</v>
      </c>
      <c r="M6232">
        <v>2391</v>
      </c>
      <c r="N6232" t="s">
        <v>16252</v>
      </c>
    </row>
    <row r="6233" spans="1:14">
      <c r="A6233">
        <v>23953900</v>
      </c>
      <c r="B6233">
        <v>3020343</v>
      </c>
      <c r="C6233" t="s">
        <v>11451</v>
      </c>
      <c r="D6233" t="s">
        <v>441</v>
      </c>
      <c r="F6233">
        <v>0</v>
      </c>
      <c r="G6233">
        <v>0</v>
      </c>
      <c r="H6233" t="s">
        <v>8580</v>
      </c>
      <c r="I6233">
        <v>6</v>
      </c>
      <c r="J6233" t="s">
        <v>445</v>
      </c>
      <c r="M6233">
        <v>6666</v>
      </c>
      <c r="N6233" t="s">
        <v>16252</v>
      </c>
    </row>
    <row r="6234" spans="1:14">
      <c r="A6234">
        <v>23953907</v>
      </c>
      <c r="B6234">
        <v>3025271</v>
      </c>
      <c r="C6234" t="s">
        <v>14441</v>
      </c>
      <c r="D6234" t="s">
        <v>441</v>
      </c>
      <c r="F6234">
        <v>0</v>
      </c>
      <c r="G6234">
        <v>0</v>
      </c>
      <c r="H6234" t="s">
        <v>9302</v>
      </c>
      <c r="I6234">
        <v>6</v>
      </c>
      <c r="J6234" t="s">
        <v>445</v>
      </c>
      <c r="M6234">
        <v>6666</v>
      </c>
      <c r="N6234" t="s">
        <v>16252</v>
      </c>
    </row>
    <row r="6235" spans="1:14">
      <c r="A6235">
        <v>23954000</v>
      </c>
      <c r="B6235">
        <v>3035908</v>
      </c>
      <c r="C6235" t="s">
        <v>11452</v>
      </c>
      <c r="D6235" t="s">
        <v>441</v>
      </c>
      <c r="F6235">
        <v>0</v>
      </c>
      <c r="G6235">
        <v>3.6</v>
      </c>
      <c r="H6235" t="s">
        <v>8549</v>
      </c>
      <c r="I6235">
        <v>6</v>
      </c>
      <c r="J6235" t="s">
        <v>445</v>
      </c>
      <c r="M6235">
        <v>2391</v>
      </c>
      <c r="N6235" t="s">
        <v>16252</v>
      </c>
    </row>
    <row r="6236" spans="1:14">
      <c r="A6236">
        <v>23956000</v>
      </c>
      <c r="B6236">
        <v>3009251</v>
      </c>
      <c r="C6236" t="s">
        <v>11453</v>
      </c>
      <c r="D6236" t="s">
        <v>441</v>
      </c>
      <c r="F6236">
        <v>0</v>
      </c>
      <c r="G6236">
        <v>2.11</v>
      </c>
      <c r="H6236" t="s">
        <v>8580</v>
      </c>
      <c r="I6236">
        <v>6</v>
      </c>
      <c r="J6236" t="s">
        <v>445</v>
      </c>
      <c r="K6236" t="s">
        <v>446</v>
      </c>
      <c r="M6236">
        <v>2390</v>
      </c>
    </row>
    <row r="6237" spans="1:14">
      <c r="A6237">
        <v>23957000</v>
      </c>
      <c r="B6237">
        <v>3030622</v>
      </c>
      <c r="C6237" t="s">
        <v>11454</v>
      </c>
      <c r="D6237" t="s">
        <v>441</v>
      </c>
      <c r="F6237">
        <v>0</v>
      </c>
      <c r="G6237">
        <v>3.6</v>
      </c>
      <c r="H6237" t="s">
        <v>8549</v>
      </c>
      <c r="I6237">
        <v>6</v>
      </c>
      <c r="J6237" t="s">
        <v>445</v>
      </c>
      <c r="M6237">
        <v>2391</v>
      </c>
      <c r="N6237" t="s">
        <v>16252</v>
      </c>
    </row>
    <row r="6238" spans="1:14">
      <c r="A6238">
        <v>23958000</v>
      </c>
      <c r="B6238">
        <v>3037624</v>
      </c>
      <c r="C6238" t="s">
        <v>11455</v>
      </c>
      <c r="D6238" t="s">
        <v>441</v>
      </c>
      <c r="F6238">
        <v>0</v>
      </c>
      <c r="G6238">
        <v>3.8</v>
      </c>
      <c r="H6238" t="s">
        <v>8588</v>
      </c>
      <c r="I6238">
        <v>6</v>
      </c>
      <c r="J6238" t="s">
        <v>445</v>
      </c>
      <c r="M6238">
        <v>2391</v>
      </c>
      <c r="N6238" t="s">
        <v>16252</v>
      </c>
    </row>
    <row r="6239" spans="1:14">
      <c r="A6239">
        <v>23960000</v>
      </c>
      <c r="B6239">
        <v>3027386</v>
      </c>
      <c r="C6239" t="s">
        <v>11456</v>
      </c>
      <c r="D6239" t="s">
        <v>441</v>
      </c>
      <c r="F6239">
        <v>0</v>
      </c>
      <c r="G6239">
        <v>5.23</v>
      </c>
      <c r="H6239" t="s">
        <v>8549</v>
      </c>
      <c r="I6239">
        <v>6</v>
      </c>
      <c r="J6239" t="s">
        <v>445</v>
      </c>
      <c r="M6239">
        <v>2391</v>
      </c>
      <c r="N6239" t="s">
        <v>16252</v>
      </c>
    </row>
    <row r="6240" spans="1:14">
      <c r="A6240">
        <v>23960028</v>
      </c>
      <c r="B6240">
        <v>4020280</v>
      </c>
      <c r="C6240" t="s">
        <v>15272</v>
      </c>
      <c r="D6240" t="s">
        <v>442</v>
      </c>
      <c r="E6240" t="s">
        <v>441</v>
      </c>
      <c r="F6240">
        <v>10</v>
      </c>
      <c r="G6240">
        <v>93.09</v>
      </c>
      <c r="H6240" t="s">
        <v>8588</v>
      </c>
      <c r="I6240">
        <v>540</v>
      </c>
      <c r="J6240" t="s">
        <v>462</v>
      </c>
      <c r="M6240">
        <v>7111</v>
      </c>
      <c r="N6240" t="s">
        <v>16252</v>
      </c>
    </row>
    <row r="6241" spans="1:14">
      <c r="A6241">
        <v>23960076</v>
      </c>
      <c r="B6241">
        <v>3027389</v>
      </c>
      <c r="C6241" t="s">
        <v>11457</v>
      </c>
      <c r="D6241" t="s">
        <v>441</v>
      </c>
      <c r="F6241">
        <v>0</v>
      </c>
      <c r="G6241">
        <v>5.44</v>
      </c>
      <c r="H6241" t="s">
        <v>8588</v>
      </c>
      <c r="I6241">
        <v>6</v>
      </c>
      <c r="J6241" t="s">
        <v>445</v>
      </c>
      <c r="M6241">
        <v>7112</v>
      </c>
      <c r="N6241" t="s">
        <v>16252</v>
      </c>
    </row>
    <row r="6242" spans="1:14">
      <c r="A6242">
        <v>23960528</v>
      </c>
      <c r="B6242">
        <v>3030303</v>
      </c>
      <c r="C6242" t="s">
        <v>11458</v>
      </c>
      <c r="D6242" t="s">
        <v>442</v>
      </c>
      <c r="E6242" t="s">
        <v>441</v>
      </c>
      <c r="F6242">
        <v>10</v>
      </c>
      <c r="G6242">
        <v>88.52</v>
      </c>
      <c r="H6242" t="s">
        <v>8588</v>
      </c>
      <c r="I6242">
        <v>6</v>
      </c>
      <c r="J6242" t="s">
        <v>445</v>
      </c>
      <c r="K6242" t="s">
        <v>446</v>
      </c>
      <c r="M6242">
        <v>2502</v>
      </c>
      <c r="N6242" t="s">
        <v>16252</v>
      </c>
    </row>
    <row r="6243" spans="1:14">
      <c r="A6243">
        <v>23970000</v>
      </c>
      <c r="B6243">
        <v>3033345</v>
      </c>
      <c r="C6243" t="s">
        <v>11459</v>
      </c>
      <c r="D6243" t="s">
        <v>441</v>
      </c>
      <c r="F6243">
        <v>0</v>
      </c>
      <c r="G6243">
        <v>2.9</v>
      </c>
      <c r="H6243" t="s">
        <v>8588</v>
      </c>
      <c r="I6243">
        <v>6</v>
      </c>
      <c r="J6243" t="s">
        <v>445</v>
      </c>
      <c r="M6243">
        <v>2391</v>
      </c>
      <c r="N6243" t="s">
        <v>16252</v>
      </c>
    </row>
    <row r="6244" spans="1:14">
      <c r="A6244">
        <v>23970075</v>
      </c>
      <c r="B6244">
        <v>3040525</v>
      </c>
      <c r="C6244" t="s">
        <v>11460</v>
      </c>
      <c r="D6244" t="s">
        <v>441</v>
      </c>
      <c r="F6244">
        <v>0</v>
      </c>
      <c r="G6244">
        <v>3.04</v>
      </c>
      <c r="H6244" t="s">
        <v>8588</v>
      </c>
      <c r="I6244">
        <v>6</v>
      </c>
      <c r="J6244" t="s">
        <v>445</v>
      </c>
      <c r="M6244">
        <v>7112</v>
      </c>
      <c r="N6244" t="s">
        <v>16252</v>
      </c>
    </row>
    <row r="6245" spans="1:14">
      <c r="A6245">
        <v>23970087</v>
      </c>
      <c r="B6245">
        <v>3040578</v>
      </c>
      <c r="C6245" t="s">
        <v>11461</v>
      </c>
      <c r="D6245" t="s">
        <v>441</v>
      </c>
      <c r="F6245">
        <v>0</v>
      </c>
      <c r="G6245">
        <v>2.99</v>
      </c>
      <c r="H6245" t="s">
        <v>8588</v>
      </c>
      <c r="I6245">
        <v>6</v>
      </c>
      <c r="J6245" t="s">
        <v>445</v>
      </c>
      <c r="M6245">
        <v>7112</v>
      </c>
      <c r="N6245" t="s">
        <v>16252</v>
      </c>
    </row>
    <row r="6246" spans="1:14">
      <c r="A6246">
        <v>23974000</v>
      </c>
      <c r="B6246">
        <v>3037823</v>
      </c>
      <c r="C6246" t="s">
        <v>11462</v>
      </c>
      <c r="D6246" t="s">
        <v>441</v>
      </c>
      <c r="F6246">
        <v>0</v>
      </c>
      <c r="G6246">
        <v>3.6</v>
      </c>
      <c r="H6246" t="s">
        <v>8549</v>
      </c>
      <c r="I6246">
        <v>5</v>
      </c>
      <c r="J6246" t="s">
        <v>445</v>
      </c>
      <c r="M6246">
        <v>2391</v>
      </c>
      <c r="N6246" t="s">
        <v>16252</v>
      </c>
    </row>
    <row r="6247" spans="1:14">
      <c r="A6247">
        <v>23974075</v>
      </c>
      <c r="B6247">
        <v>3040555</v>
      </c>
      <c r="C6247" t="s">
        <v>11463</v>
      </c>
      <c r="D6247" t="s">
        <v>441</v>
      </c>
      <c r="F6247">
        <v>0</v>
      </c>
      <c r="G6247">
        <v>3.95</v>
      </c>
      <c r="H6247" t="s">
        <v>8588</v>
      </c>
      <c r="I6247">
        <v>6</v>
      </c>
      <c r="J6247" t="s">
        <v>445</v>
      </c>
      <c r="M6247">
        <v>7112</v>
      </c>
      <c r="N6247" t="s">
        <v>16252</v>
      </c>
    </row>
    <row r="6248" spans="1:14">
      <c r="A6248">
        <v>23974087</v>
      </c>
      <c r="B6248">
        <v>3040592</v>
      </c>
      <c r="C6248" t="s">
        <v>11464</v>
      </c>
      <c r="D6248" t="s">
        <v>441</v>
      </c>
      <c r="F6248">
        <v>0</v>
      </c>
      <c r="G6248">
        <v>3.9</v>
      </c>
      <c r="H6248" t="s">
        <v>8588</v>
      </c>
      <c r="I6248">
        <v>6</v>
      </c>
      <c r="J6248" t="s">
        <v>445</v>
      </c>
      <c r="M6248">
        <v>7112</v>
      </c>
      <c r="N6248" t="s">
        <v>16252</v>
      </c>
    </row>
    <row r="6249" spans="1:14">
      <c r="A6249">
        <v>24010000</v>
      </c>
      <c r="B6249">
        <v>3015302</v>
      </c>
      <c r="C6249" t="s">
        <v>2921</v>
      </c>
      <c r="D6249" t="s">
        <v>441</v>
      </c>
      <c r="F6249">
        <v>0</v>
      </c>
      <c r="G6249">
        <v>0.01</v>
      </c>
      <c r="H6249" t="s">
        <v>8580</v>
      </c>
      <c r="I6249">
        <v>6</v>
      </c>
      <c r="J6249" t="s">
        <v>445</v>
      </c>
      <c r="M6249">
        <v>2143</v>
      </c>
      <c r="N6249" t="s">
        <v>16253</v>
      </c>
    </row>
    <row r="6250" spans="1:14">
      <c r="A6250">
        <v>24010002</v>
      </c>
      <c r="B6250">
        <v>4024930</v>
      </c>
      <c r="C6250" t="s">
        <v>2922</v>
      </c>
      <c r="D6250" t="s">
        <v>441</v>
      </c>
      <c r="F6250">
        <v>0</v>
      </c>
      <c r="G6250">
        <v>1.54</v>
      </c>
      <c r="H6250" t="s">
        <v>8549</v>
      </c>
      <c r="I6250">
        <v>365</v>
      </c>
      <c r="J6250" t="s">
        <v>462</v>
      </c>
      <c r="M6250">
        <v>7111</v>
      </c>
      <c r="N6250" t="s">
        <v>16253</v>
      </c>
    </row>
    <row r="6251" spans="1:14">
      <c r="A6251">
        <v>24010020</v>
      </c>
      <c r="B6251">
        <v>4003995</v>
      </c>
      <c r="C6251" t="s">
        <v>11465</v>
      </c>
      <c r="D6251" t="s">
        <v>441</v>
      </c>
      <c r="F6251">
        <v>0</v>
      </c>
      <c r="G6251">
        <v>1.72</v>
      </c>
      <c r="H6251" t="s">
        <v>8588</v>
      </c>
      <c r="I6251">
        <v>6</v>
      </c>
      <c r="J6251" t="s">
        <v>462</v>
      </c>
      <c r="K6251" t="s">
        <v>446</v>
      </c>
      <c r="M6251">
        <v>2641</v>
      </c>
    </row>
    <row r="6252" spans="1:14">
      <c r="A6252">
        <v>24010025</v>
      </c>
      <c r="B6252">
        <v>4007996</v>
      </c>
      <c r="C6252" t="s">
        <v>11466</v>
      </c>
      <c r="D6252" t="s">
        <v>441</v>
      </c>
      <c r="F6252">
        <v>0</v>
      </c>
      <c r="G6252">
        <v>1.95</v>
      </c>
      <c r="H6252" t="s">
        <v>8588</v>
      </c>
      <c r="I6252">
        <v>180</v>
      </c>
      <c r="J6252" t="s">
        <v>462</v>
      </c>
      <c r="K6252" t="s">
        <v>446</v>
      </c>
      <c r="M6252">
        <v>2501</v>
      </c>
    </row>
    <row r="6253" spans="1:14">
      <c r="A6253">
        <v>24010027</v>
      </c>
      <c r="B6253">
        <v>4001834</v>
      </c>
      <c r="C6253" t="s">
        <v>11467</v>
      </c>
      <c r="D6253" t="s">
        <v>441</v>
      </c>
      <c r="F6253">
        <v>0</v>
      </c>
      <c r="G6253">
        <v>2.31</v>
      </c>
      <c r="H6253" t="s">
        <v>8588</v>
      </c>
      <c r="I6253">
        <v>180</v>
      </c>
      <c r="J6253" t="s">
        <v>462</v>
      </c>
      <c r="K6253" t="s">
        <v>446</v>
      </c>
      <c r="M6253">
        <v>2501</v>
      </c>
    </row>
    <row r="6254" spans="1:14">
      <c r="A6254">
        <v>24010028</v>
      </c>
      <c r="B6254">
        <v>4001835</v>
      </c>
      <c r="C6254" t="s">
        <v>11468</v>
      </c>
      <c r="D6254" t="s">
        <v>441</v>
      </c>
      <c r="F6254">
        <v>0</v>
      </c>
      <c r="G6254">
        <v>1.84</v>
      </c>
      <c r="H6254" t="s">
        <v>8588</v>
      </c>
      <c r="I6254">
        <v>180</v>
      </c>
      <c r="J6254" t="s">
        <v>462</v>
      </c>
      <c r="K6254" t="s">
        <v>446</v>
      </c>
      <c r="M6254">
        <v>2501</v>
      </c>
    </row>
    <row r="6255" spans="1:14">
      <c r="A6255">
        <v>24010502</v>
      </c>
      <c r="B6255">
        <v>3014902</v>
      </c>
      <c r="C6255" t="s">
        <v>2923</v>
      </c>
      <c r="D6255" t="s">
        <v>441</v>
      </c>
      <c r="F6255">
        <v>0</v>
      </c>
      <c r="G6255">
        <v>1.24</v>
      </c>
      <c r="H6255" t="s">
        <v>8580</v>
      </c>
      <c r="I6255">
        <v>6</v>
      </c>
      <c r="J6255" t="s">
        <v>445</v>
      </c>
      <c r="M6255">
        <v>2502</v>
      </c>
      <c r="N6255" t="s">
        <v>16253</v>
      </c>
    </row>
    <row r="6256" spans="1:14">
      <c r="A6256">
        <v>24010525</v>
      </c>
      <c r="B6256">
        <v>3007988</v>
      </c>
      <c r="C6256" t="s">
        <v>11469</v>
      </c>
      <c r="D6256" t="s">
        <v>441</v>
      </c>
      <c r="F6256">
        <v>0</v>
      </c>
      <c r="G6256">
        <v>1.69</v>
      </c>
      <c r="H6256" t="s">
        <v>8634</v>
      </c>
      <c r="I6256">
        <v>6</v>
      </c>
      <c r="J6256" t="s">
        <v>445</v>
      </c>
      <c r="K6256" t="s">
        <v>446</v>
      </c>
      <c r="M6256">
        <v>2141</v>
      </c>
    </row>
    <row r="6257" spans="1:14">
      <c r="A6257">
        <v>24010527</v>
      </c>
      <c r="B6257">
        <v>3007989</v>
      </c>
      <c r="C6257" t="s">
        <v>11470</v>
      </c>
      <c r="D6257" t="s">
        <v>441</v>
      </c>
      <c r="F6257">
        <v>0</v>
      </c>
      <c r="G6257">
        <v>2.04</v>
      </c>
      <c r="H6257" t="s">
        <v>8634</v>
      </c>
      <c r="I6257">
        <v>6</v>
      </c>
      <c r="J6257" t="s">
        <v>445</v>
      </c>
      <c r="K6257" t="s">
        <v>446</v>
      </c>
      <c r="M6257">
        <v>2141</v>
      </c>
    </row>
    <row r="6258" spans="1:14">
      <c r="A6258">
        <v>24010528</v>
      </c>
      <c r="B6258">
        <v>3007990</v>
      </c>
      <c r="C6258" t="s">
        <v>11471</v>
      </c>
      <c r="D6258" t="s">
        <v>441</v>
      </c>
      <c r="F6258">
        <v>0</v>
      </c>
      <c r="G6258">
        <v>1.57</v>
      </c>
      <c r="H6258" t="s">
        <v>8634</v>
      </c>
      <c r="I6258">
        <v>6</v>
      </c>
      <c r="J6258" t="s">
        <v>445</v>
      </c>
      <c r="K6258" t="s">
        <v>446</v>
      </c>
      <c r="M6258">
        <v>2141</v>
      </c>
    </row>
    <row r="6259" spans="1:14">
      <c r="A6259">
        <v>24014000</v>
      </c>
      <c r="B6259">
        <v>3007991</v>
      </c>
      <c r="C6259" t="s">
        <v>11472</v>
      </c>
      <c r="D6259" t="s">
        <v>441</v>
      </c>
      <c r="F6259">
        <v>0</v>
      </c>
      <c r="G6259">
        <v>1.62</v>
      </c>
      <c r="H6259" t="s">
        <v>8634</v>
      </c>
      <c r="I6259">
        <v>6</v>
      </c>
      <c r="J6259" t="s">
        <v>445</v>
      </c>
      <c r="K6259" t="s">
        <v>446</v>
      </c>
      <c r="M6259">
        <v>0</v>
      </c>
    </row>
    <row r="6260" spans="1:14">
      <c r="A6260">
        <v>24030000</v>
      </c>
      <c r="B6260">
        <v>3015274</v>
      </c>
      <c r="C6260" t="s">
        <v>2924</v>
      </c>
      <c r="D6260" t="s">
        <v>441</v>
      </c>
      <c r="F6260">
        <v>0</v>
      </c>
      <c r="G6260">
        <v>3</v>
      </c>
      <c r="H6260" t="s">
        <v>8580</v>
      </c>
      <c r="I6260">
        <v>6</v>
      </c>
      <c r="J6260" t="s">
        <v>445</v>
      </c>
      <c r="M6260">
        <v>2143</v>
      </c>
      <c r="N6260" t="s">
        <v>16254</v>
      </c>
    </row>
    <row r="6261" spans="1:14">
      <c r="A6261">
        <v>24030002</v>
      </c>
      <c r="B6261">
        <v>3016155</v>
      </c>
      <c r="C6261" t="s">
        <v>2925</v>
      </c>
      <c r="D6261" t="s">
        <v>441</v>
      </c>
      <c r="F6261">
        <v>0</v>
      </c>
      <c r="G6261">
        <v>5.35</v>
      </c>
      <c r="H6261" t="s">
        <v>8588</v>
      </c>
      <c r="I6261">
        <v>365</v>
      </c>
      <c r="J6261" t="s">
        <v>445</v>
      </c>
      <c r="M6261">
        <v>7111</v>
      </c>
      <c r="N6261" t="s">
        <v>16254</v>
      </c>
    </row>
    <row r="6262" spans="1:14">
      <c r="A6262">
        <v>24030020</v>
      </c>
      <c r="B6262">
        <v>4003996</v>
      </c>
      <c r="C6262" t="s">
        <v>11473</v>
      </c>
      <c r="D6262" t="s">
        <v>441</v>
      </c>
      <c r="F6262">
        <v>0</v>
      </c>
      <c r="G6262">
        <v>1.72</v>
      </c>
      <c r="H6262" t="s">
        <v>8588</v>
      </c>
      <c r="I6262">
        <v>7</v>
      </c>
      <c r="J6262" t="s">
        <v>462</v>
      </c>
      <c r="K6262" t="s">
        <v>446</v>
      </c>
      <c r="M6262">
        <v>2641</v>
      </c>
    </row>
    <row r="6263" spans="1:14">
      <c r="A6263">
        <v>24030025</v>
      </c>
      <c r="B6263">
        <v>4003997</v>
      </c>
      <c r="C6263" t="s">
        <v>11474</v>
      </c>
      <c r="D6263" t="s">
        <v>441</v>
      </c>
      <c r="F6263">
        <v>0</v>
      </c>
      <c r="G6263">
        <v>1.95</v>
      </c>
      <c r="H6263" t="s">
        <v>8588</v>
      </c>
      <c r="I6263">
        <v>365</v>
      </c>
      <c r="J6263" t="s">
        <v>462</v>
      </c>
      <c r="K6263" t="s">
        <v>446</v>
      </c>
      <c r="M6263">
        <v>2501</v>
      </c>
    </row>
    <row r="6264" spans="1:14">
      <c r="A6264">
        <v>24030075</v>
      </c>
      <c r="B6264">
        <v>3007992</v>
      </c>
      <c r="C6264" t="s">
        <v>11475</v>
      </c>
      <c r="D6264" t="s">
        <v>441</v>
      </c>
      <c r="F6264">
        <v>0</v>
      </c>
      <c r="G6264">
        <v>1.57</v>
      </c>
      <c r="H6264" t="s">
        <v>8634</v>
      </c>
      <c r="I6264">
        <v>7</v>
      </c>
      <c r="J6264" t="s">
        <v>445</v>
      </c>
      <c r="K6264" t="s">
        <v>446</v>
      </c>
      <c r="M6264">
        <v>2641</v>
      </c>
    </row>
    <row r="6265" spans="1:14">
      <c r="A6265">
        <v>24030080</v>
      </c>
      <c r="B6265">
        <v>4010111</v>
      </c>
      <c r="C6265" t="s">
        <v>2926</v>
      </c>
      <c r="D6265" t="s">
        <v>441</v>
      </c>
      <c r="F6265">
        <v>0</v>
      </c>
      <c r="G6265">
        <v>5</v>
      </c>
      <c r="H6265" t="s">
        <v>8588</v>
      </c>
      <c r="I6265">
        <v>7</v>
      </c>
      <c r="J6265" t="s">
        <v>462</v>
      </c>
      <c r="M6265">
        <v>7112</v>
      </c>
      <c r="N6265" t="s">
        <v>16254</v>
      </c>
    </row>
    <row r="6266" spans="1:14">
      <c r="A6266">
        <v>24030087</v>
      </c>
      <c r="B6266">
        <v>3006361</v>
      </c>
      <c r="C6266" t="s">
        <v>14442</v>
      </c>
      <c r="D6266" t="s">
        <v>441</v>
      </c>
      <c r="F6266">
        <v>0</v>
      </c>
      <c r="G6266">
        <v>4.9000000000000004</v>
      </c>
      <c r="H6266" t="s">
        <v>8588</v>
      </c>
      <c r="I6266">
        <v>7</v>
      </c>
      <c r="J6266" t="s">
        <v>445</v>
      </c>
      <c r="M6266">
        <v>2143</v>
      </c>
      <c r="N6266" t="s">
        <v>16254</v>
      </c>
    </row>
    <row r="6267" spans="1:14">
      <c r="A6267">
        <v>24030090</v>
      </c>
      <c r="B6267">
        <v>3018906</v>
      </c>
      <c r="C6267" t="s">
        <v>2927</v>
      </c>
      <c r="D6267" t="s">
        <v>441</v>
      </c>
      <c r="F6267">
        <v>0</v>
      </c>
      <c r="G6267">
        <v>4.93</v>
      </c>
      <c r="H6267" t="s">
        <v>8588</v>
      </c>
      <c r="I6267">
        <v>7</v>
      </c>
      <c r="J6267" t="s">
        <v>445</v>
      </c>
      <c r="M6267">
        <v>7112</v>
      </c>
      <c r="N6267" t="s">
        <v>16254</v>
      </c>
    </row>
    <row r="6268" spans="1:14">
      <c r="A6268">
        <v>24030502</v>
      </c>
      <c r="B6268">
        <v>3016156</v>
      </c>
      <c r="C6268" t="s">
        <v>2928</v>
      </c>
      <c r="D6268" t="s">
        <v>441</v>
      </c>
      <c r="F6268">
        <v>0</v>
      </c>
      <c r="G6268">
        <v>2.82</v>
      </c>
      <c r="H6268" t="s">
        <v>8584</v>
      </c>
      <c r="I6268">
        <v>365</v>
      </c>
      <c r="J6268" t="s">
        <v>445</v>
      </c>
      <c r="M6268">
        <v>2502</v>
      </c>
      <c r="N6268" t="s">
        <v>16254</v>
      </c>
    </row>
    <row r="6269" spans="1:14">
      <c r="A6269">
        <v>24030525</v>
      </c>
      <c r="B6269">
        <v>3007993</v>
      </c>
      <c r="C6269" t="s">
        <v>11476</v>
      </c>
      <c r="D6269" t="s">
        <v>441</v>
      </c>
      <c r="F6269">
        <v>0</v>
      </c>
      <c r="G6269">
        <v>1.75</v>
      </c>
      <c r="H6269" t="s">
        <v>8634</v>
      </c>
      <c r="I6269">
        <v>7</v>
      </c>
      <c r="J6269" t="s">
        <v>445</v>
      </c>
      <c r="K6269" t="s">
        <v>446</v>
      </c>
      <c r="M6269">
        <v>2141</v>
      </c>
    </row>
    <row r="6270" spans="1:14">
      <c r="A6270">
        <v>24034000</v>
      </c>
      <c r="B6270">
        <v>3007994</v>
      </c>
      <c r="C6270" t="s">
        <v>2929</v>
      </c>
      <c r="D6270" t="s">
        <v>441</v>
      </c>
      <c r="F6270">
        <v>0</v>
      </c>
      <c r="G6270">
        <v>1.88</v>
      </c>
      <c r="H6270" t="s">
        <v>8634</v>
      </c>
      <c r="I6270">
        <v>7</v>
      </c>
      <c r="J6270" t="s">
        <v>445</v>
      </c>
      <c r="K6270" t="s">
        <v>446</v>
      </c>
      <c r="M6270">
        <v>0</v>
      </c>
    </row>
    <row r="6271" spans="1:14">
      <c r="A6271">
        <v>24040000</v>
      </c>
      <c r="B6271">
        <v>3030307</v>
      </c>
      <c r="C6271" t="s">
        <v>2930</v>
      </c>
      <c r="D6271" t="s">
        <v>441</v>
      </c>
      <c r="F6271">
        <v>0</v>
      </c>
      <c r="G6271">
        <v>3</v>
      </c>
      <c r="H6271" t="s">
        <v>8549</v>
      </c>
      <c r="I6271">
        <v>6</v>
      </c>
      <c r="J6271" t="s">
        <v>445</v>
      </c>
      <c r="M6271">
        <v>2143</v>
      </c>
      <c r="N6271" t="s">
        <v>16254</v>
      </c>
    </row>
    <row r="6272" spans="1:14">
      <c r="A6272">
        <v>24040080</v>
      </c>
      <c r="B6272">
        <v>4021219</v>
      </c>
      <c r="C6272" t="s">
        <v>2931</v>
      </c>
      <c r="D6272" t="s">
        <v>441</v>
      </c>
      <c r="F6272">
        <v>0</v>
      </c>
      <c r="G6272">
        <v>4.9800000000000004</v>
      </c>
      <c r="H6272" t="s">
        <v>8588</v>
      </c>
      <c r="I6272">
        <v>6</v>
      </c>
      <c r="J6272" t="s">
        <v>462</v>
      </c>
      <c r="M6272">
        <v>2143</v>
      </c>
      <c r="N6272" t="s">
        <v>16254</v>
      </c>
    </row>
    <row r="6273" spans="1:14">
      <c r="A6273">
        <v>24060000</v>
      </c>
      <c r="B6273">
        <v>3015286</v>
      </c>
      <c r="C6273" t="s">
        <v>11477</v>
      </c>
      <c r="D6273" t="s">
        <v>441</v>
      </c>
      <c r="F6273">
        <v>0</v>
      </c>
      <c r="G6273">
        <v>2</v>
      </c>
      <c r="H6273" t="s">
        <v>8549</v>
      </c>
      <c r="I6273">
        <v>6</v>
      </c>
      <c r="J6273" t="s">
        <v>445</v>
      </c>
      <c r="M6273">
        <v>2143</v>
      </c>
      <c r="N6273" t="s">
        <v>16255</v>
      </c>
    </row>
    <row r="6274" spans="1:14">
      <c r="A6274">
        <v>24060020</v>
      </c>
      <c r="B6274">
        <v>4003999</v>
      </c>
      <c r="C6274" t="s">
        <v>14443</v>
      </c>
      <c r="D6274" t="s">
        <v>441</v>
      </c>
      <c r="F6274">
        <v>0</v>
      </c>
      <c r="G6274">
        <v>4.51</v>
      </c>
      <c r="H6274" t="s">
        <v>8588</v>
      </c>
      <c r="I6274">
        <v>6</v>
      </c>
      <c r="J6274" t="s">
        <v>462</v>
      </c>
      <c r="L6274">
        <v>2082346</v>
      </c>
      <c r="M6274">
        <v>7112</v>
      </c>
      <c r="N6274" t="s">
        <v>16255</v>
      </c>
    </row>
    <row r="6275" spans="1:14">
      <c r="A6275">
        <v>24060021</v>
      </c>
      <c r="B6275">
        <v>3002927</v>
      </c>
      <c r="C6275" t="s">
        <v>11478</v>
      </c>
      <c r="D6275" t="s">
        <v>441</v>
      </c>
      <c r="F6275">
        <v>0</v>
      </c>
      <c r="G6275">
        <v>1.5</v>
      </c>
      <c r="H6275" t="s">
        <v>8588</v>
      </c>
      <c r="I6275">
        <v>6</v>
      </c>
      <c r="J6275" t="s">
        <v>445</v>
      </c>
      <c r="K6275" t="s">
        <v>446</v>
      </c>
      <c r="M6275">
        <v>2612</v>
      </c>
    </row>
    <row r="6276" spans="1:14">
      <c r="A6276">
        <v>24060023</v>
      </c>
      <c r="B6276">
        <v>4008792</v>
      </c>
      <c r="C6276" t="s">
        <v>11479</v>
      </c>
      <c r="D6276" t="s">
        <v>441</v>
      </c>
      <c r="F6276">
        <v>0</v>
      </c>
      <c r="G6276">
        <v>1.49</v>
      </c>
      <c r="H6276" t="s">
        <v>8588</v>
      </c>
      <c r="I6276">
        <v>6</v>
      </c>
      <c r="J6276" t="s">
        <v>462</v>
      </c>
      <c r="K6276" t="s">
        <v>446</v>
      </c>
      <c r="M6276">
        <v>2612</v>
      </c>
    </row>
    <row r="6277" spans="1:14">
      <c r="A6277">
        <v>24060024</v>
      </c>
      <c r="B6277">
        <v>4012228</v>
      </c>
      <c r="C6277" t="s">
        <v>11480</v>
      </c>
      <c r="D6277" t="s">
        <v>441</v>
      </c>
      <c r="F6277">
        <v>0</v>
      </c>
      <c r="G6277">
        <v>1.39</v>
      </c>
      <c r="H6277" t="s">
        <v>8588</v>
      </c>
      <c r="I6277">
        <v>6</v>
      </c>
      <c r="J6277" t="s">
        <v>462</v>
      </c>
      <c r="K6277" t="s">
        <v>446</v>
      </c>
      <c r="M6277">
        <v>2612</v>
      </c>
    </row>
    <row r="6278" spans="1:14">
      <c r="A6278">
        <v>24060025</v>
      </c>
      <c r="B6278">
        <v>4012922</v>
      </c>
      <c r="C6278" t="s">
        <v>11481</v>
      </c>
      <c r="D6278" t="s">
        <v>441</v>
      </c>
      <c r="F6278">
        <v>0</v>
      </c>
      <c r="G6278">
        <v>1.37</v>
      </c>
      <c r="H6278" t="s">
        <v>8588</v>
      </c>
      <c r="I6278">
        <v>6</v>
      </c>
      <c r="J6278" t="s">
        <v>462</v>
      </c>
      <c r="K6278" t="s">
        <v>446</v>
      </c>
      <c r="M6278">
        <v>2641</v>
      </c>
    </row>
    <row r="6279" spans="1:14">
      <c r="A6279">
        <v>24060027</v>
      </c>
      <c r="B6279">
        <v>3008996</v>
      </c>
      <c r="C6279" t="s">
        <v>11482</v>
      </c>
      <c r="D6279" t="s">
        <v>441</v>
      </c>
      <c r="F6279">
        <v>0</v>
      </c>
      <c r="G6279">
        <v>3.75</v>
      </c>
      <c r="H6279" t="s">
        <v>8588</v>
      </c>
      <c r="I6279">
        <v>365</v>
      </c>
      <c r="J6279" t="s">
        <v>445</v>
      </c>
      <c r="M6279">
        <v>7111</v>
      </c>
      <c r="N6279" t="s">
        <v>16255</v>
      </c>
    </row>
    <row r="6280" spans="1:14">
      <c r="A6280">
        <v>24060028</v>
      </c>
      <c r="B6280">
        <v>4001836</v>
      </c>
      <c r="C6280" t="s">
        <v>11483</v>
      </c>
      <c r="D6280" t="s">
        <v>441</v>
      </c>
      <c r="F6280">
        <v>0</v>
      </c>
      <c r="G6280">
        <v>0.99</v>
      </c>
      <c r="H6280" t="s">
        <v>8588</v>
      </c>
      <c r="I6280">
        <v>180</v>
      </c>
      <c r="J6280" t="s">
        <v>462</v>
      </c>
      <c r="K6280" t="s">
        <v>446</v>
      </c>
      <c r="M6280">
        <v>2501</v>
      </c>
    </row>
    <row r="6281" spans="1:14">
      <c r="A6281">
        <v>24060029</v>
      </c>
      <c r="B6281">
        <v>4019979</v>
      </c>
      <c r="C6281" t="s">
        <v>11484</v>
      </c>
      <c r="D6281" t="s">
        <v>441</v>
      </c>
      <c r="F6281">
        <v>0</v>
      </c>
      <c r="G6281">
        <v>3.49</v>
      </c>
      <c r="H6281" t="s">
        <v>8588</v>
      </c>
      <c r="I6281">
        <v>365</v>
      </c>
      <c r="J6281" t="s">
        <v>462</v>
      </c>
      <c r="M6281">
        <v>7111</v>
      </c>
      <c r="N6281" t="s">
        <v>16255</v>
      </c>
    </row>
    <row r="6282" spans="1:14">
      <c r="A6282">
        <v>24060030</v>
      </c>
      <c r="B6282">
        <v>4009085</v>
      </c>
      <c r="C6282" t="s">
        <v>11485</v>
      </c>
      <c r="D6282" t="s">
        <v>442</v>
      </c>
      <c r="E6282" t="s">
        <v>441</v>
      </c>
      <c r="F6282">
        <v>0.4</v>
      </c>
      <c r="G6282">
        <v>2.2999999999999998</v>
      </c>
      <c r="H6282" t="s">
        <v>8588</v>
      </c>
      <c r="I6282">
        <v>7</v>
      </c>
      <c r="J6282" t="s">
        <v>462</v>
      </c>
      <c r="K6282" t="s">
        <v>446</v>
      </c>
      <c r="M6282">
        <v>2611</v>
      </c>
    </row>
    <row r="6283" spans="1:14">
      <c r="A6283">
        <v>24060031</v>
      </c>
      <c r="B6283">
        <v>4015179</v>
      </c>
      <c r="C6283" t="s">
        <v>11486</v>
      </c>
      <c r="D6283" t="s">
        <v>441</v>
      </c>
      <c r="F6283">
        <v>0</v>
      </c>
      <c r="G6283">
        <v>3.74</v>
      </c>
      <c r="H6283" t="s">
        <v>8588</v>
      </c>
      <c r="I6283">
        <v>8</v>
      </c>
      <c r="J6283" t="s">
        <v>462</v>
      </c>
      <c r="K6283" t="s">
        <v>446</v>
      </c>
      <c r="L6283">
        <v>2987600</v>
      </c>
      <c r="M6283">
        <v>2611</v>
      </c>
    </row>
    <row r="6284" spans="1:14">
      <c r="A6284">
        <v>24060032</v>
      </c>
      <c r="B6284">
        <v>4016120</v>
      </c>
      <c r="C6284" t="s">
        <v>15499</v>
      </c>
      <c r="D6284" t="s">
        <v>441</v>
      </c>
      <c r="F6284">
        <v>0</v>
      </c>
      <c r="G6284">
        <v>4.78</v>
      </c>
      <c r="H6284" t="s">
        <v>8588</v>
      </c>
      <c r="I6284">
        <v>6</v>
      </c>
      <c r="J6284" t="s">
        <v>462</v>
      </c>
      <c r="M6284">
        <v>7112</v>
      </c>
      <c r="N6284" t="s">
        <v>16255</v>
      </c>
    </row>
    <row r="6285" spans="1:14">
      <c r="A6285">
        <v>24060033</v>
      </c>
      <c r="B6285">
        <v>4023531</v>
      </c>
      <c r="C6285" t="s">
        <v>11487</v>
      </c>
      <c r="D6285" t="s">
        <v>441</v>
      </c>
      <c r="F6285">
        <v>0</v>
      </c>
      <c r="G6285">
        <v>2.6</v>
      </c>
      <c r="H6285" t="s">
        <v>8588</v>
      </c>
      <c r="I6285">
        <v>6</v>
      </c>
      <c r="J6285" t="s">
        <v>462</v>
      </c>
      <c r="M6285">
        <v>7112</v>
      </c>
      <c r="N6285" t="s">
        <v>16255</v>
      </c>
    </row>
    <row r="6286" spans="1:14">
      <c r="A6286">
        <v>24060034</v>
      </c>
      <c r="B6286">
        <v>4025382</v>
      </c>
      <c r="C6286" t="s">
        <v>11488</v>
      </c>
      <c r="D6286" t="s">
        <v>441</v>
      </c>
      <c r="F6286">
        <v>0</v>
      </c>
      <c r="G6286">
        <v>2.56</v>
      </c>
      <c r="H6286" t="s">
        <v>8588</v>
      </c>
      <c r="I6286">
        <v>6</v>
      </c>
      <c r="J6286" t="s">
        <v>462</v>
      </c>
      <c r="M6286">
        <v>7112</v>
      </c>
      <c r="N6286" t="s">
        <v>16255</v>
      </c>
    </row>
    <row r="6287" spans="1:14">
      <c r="A6287">
        <v>24060035</v>
      </c>
      <c r="B6287">
        <v>4025436</v>
      </c>
      <c r="C6287" t="s">
        <v>11489</v>
      </c>
      <c r="D6287" t="s">
        <v>441</v>
      </c>
      <c r="F6287">
        <v>0</v>
      </c>
      <c r="G6287">
        <v>2.68</v>
      </c>
      <c r="H6287" t="s">
        <v>8588</v>
      </c>
      <c r="I6287">
        <v>6</v>
      </c>
      <c r="J6287" t="s">
        <v>462</v>
      </c>
      <c r="M6287">
        <v>7112</v>
      </c>
      <c r="N6287" t="s">
        <v>16255</v>
      </c>
    </row>
    <row r="6288" spans="1:14">
      <c r="A6288">
        <v>24060036</v>
      </c>
      <c r="B6288">
        <v>4006740</v>
      </c>
      <c r="C6288" t="s">
        <v>11490</v>
      </c>
      <c r="D6288" t="s">
        <v>441</v>
      </c>
      <c r="F6288">
        <v>0</v>
      </c>
      <c r="G6288">
        <v>2.95</v>
      </c>
      <c r="H6288" t="s">
        <v>8588</v>
      </c>
      <c r="I6288">
        <v>7</v>
      </c>
      <c r="J6288" t="s">
        <v>462</v>
      </c>
      <c r="K6288" t="s">
        <v>446</v>
      </c>
      <c r="M6288">
        <v>2611</v>
      </c>
    </row>
    <row r="6289" spans="1:14">
      <c r="A6289">
        <v>24060038</v>
      </c>
      <c r="B6289">
        <v>4004003</v>
      </c>
      <c r="C6289" t="s">
        <v>11491</v>
      </c>
      <c r="D6289" t="s">
        <v>441</v>
      </c>
      <c r="F6289">
        <v>0</v>
      </c>
      <c r="G6289">
        <v>2.95</v>
      </c>
      <c r="H6289" t="s">
        <v>8588</v>
      </c>
      <c r="I6289">
        <v>7</v>
      </c>
      <c r="J6289" t="s">
        <v>462</v>
      </c>
      <c r="K6289" t="s">
        <v>446</v>
      </c>
      <c r="M6289">
        <v>2611</v>
      </c>
    </row>
    <row r="6290" spans="1:14">
      <c r="A6290">
        <v>24060040</v>
      </c>
      <c r="B6290">
        <v>4011262</v>
      </c>
      <c r="C6290" t="s">
        <v>11492</v>
      </c>
      <c r="D6290" t="s">
        <v>441</v>
      </c>
      <c r="F6290">
        <v>0</v>
      </c>
      <c r="G6290">
        <v>1.93</v>
      </c>
      <c r="H6290" t="s">
        <v>8588</v>
      </c>
      <c r="I6290">
        <v>7</v>
      </c>
      <c r="J6290" t="s">
        <v>462</v>
      </c>
      <c r="K6290" t="s">
        <v>446</v>
      </c>
      <c r="M6290">
        <v>2612</v>
      </c>
    </row>
    <row r="6291" spans="1:14">
      <c r="A6291">
        <v>24060043</v>
      </c>
      <c r="B6291">
        <v>4004005</v>
      </c>
      <c r="C6291" t="s">
        <v>11493</v>
      </c>
      <c r="D6291" t="s">
        <v>441</v>
      </c>
      <c r="F6291">
        <v>0</v>
      </c>
      <c r="G6291">
        <v>1.63</v>
      </c>
      <c r="H6291" t="s">
        <v>8588</v>
      </c>
      <c r="I6291">
        <v>7</v>
      </c>
      <c r="J6291" t="s">
        <v>462</v>
      </c>
      <c r="K6291" t="s">
        <v>446</v>
      </c>
      <c r="M6291">
        <v>2612</v>
      </c>
    </row>
    <row r="6292" spans="1:14">
      <c r="A6292">
        <v>24060044</v>
      </c>
      <c r="B6292">
        <v>4019629</v>
      </c>
      <c r="C6292" t="s">
        <v>11494</v>
      </c>
      <c r="D6292" t="s">
        <v>441</v>
      </c>
      <c r="F6292">
        <v>0</v>
      </c>
      <c r="G6292">
        <v>3.51</v>
      </c>
      <c r="H6292" t="s">
        <v>8588</v>
      </c>
      <c r="I6292">
        <v>7</v>
      </c>
      <c r="J6292" t="s">
        <v>462</v>
      </c>
      <c r="M6292">
        <v>7112</v>
      </c>
      <c r="N6292" t="s">
        <v>16255</v>
      </c>
    </row>
    <row r="6293" spans="1:14">
      <c r="A6293">
        <v>24060074</v>
      </c>
      <c r="B6293">
        <v>4025610</v>
      </c>
      <c r="C6293" t="s">
        <v>11495</v>
      </c>
      <c r="D6293" t="s">
        <v>441</v>
      </c>
      <c r="F6293">
        <v>0</v>
      </c>
      <c r="G6293">
        <v>2.5299999999999998</v>
      </c>
      <c r="H6293" t="s">
        <v>8588</v>
      </c>
      <c r="I6293">
        <v>6</v>
      </c>
      <c r="J6293" t="s">
        <v>462</v>
      </c>
      <c r="L6293">
        <v>2052271</v>
      </c>
      <c r="M6293">
        <v>7112</v>
      </c>
      <c r="N6293" t="s">
        <v>16255</v>
      </c>
    </row>
    <row r="6294" spans="1:14">
      <c r="A6294">
        <v>24060075</v>
      </c>
      <c r="B6294">
        <v>3008674</v>
      </c>
      <c r="C6294" t="s">
        <v>11496</v>
      </c>
      <c r="D6294" t="s">
        <v>441</v>
      </c>
      <c r="F6294">
        <v>0</v>
      </c>
      <c r="G6294">
        <v>1.37</v>
      </c>
      <c r="H6294" t="s">
        <v>8588</v>
      </c>
      <c r="I6294">
        <v>6</v>
      </c>
      <c r="J6294" t="s">
        <v>445</v>
      </c>
      <c r="K6294" t="s">
        <v>446</v>
      </c>
      <c r="M6294">
        <v>2641</v>
      </c>
    </row>
    <row r="6295" spans="1:14">
      <c r="A6295">
        <v>24060076</v>
      </c>
      <c r="B6295">
        <v>4007430</v>
      </c>
      <c r="C6295" t="s">
        <v>11497</v>
      </c>
      <c r="D6295" t="s">
        <v>441</v>
      </c>
      <c r="F6295">
        <v>0</v>
      </c>
      <c r="G6295">
        <v>2.56</v>
      </c>
      <c r="H6295" t="s">
        <v>8588</v>
      </c>
      <c r="I6295">
        <v>6</v>
      </c>
      <c r="J6295" t="s">
        <v>462</v>
      </c>
      <c r="M6295">
        <v>7112</v>
      </c>
      <c r="N6295" t="s">
        <v>16255</v>
      </c>
    </row>
    <row r="6296" spans="1:14">
      <c r="A6296">
        <v>24060100</v>
      </c>
      <c r="B6296">
        <v>3012678</v>
      </c>
      <c r="C6296" t="s">
        <v>11498</v>
      </c>
      <c r="D6296" t="s">
        <v>441</v>
      </c>
      <c r="F6296">
        <v>0</v>
      </c>
      <c r="H6296" t="s">
        <v>8588</v>
      </c>
      <c r="I6296">
        <v>365</v>
      </c>
      <c r="J6296" t="s">
        <v>445</v>
      </c>
      <c r="M6296">
        <v>7161</v>
      </c>
      <c r="N6296" t="s">
        <v>16255</v>
      </c>
    </row>
    <row r="6297" spans="1:14">
      <c r="A6297">
        <v>24060525</v>
      </c>
      <c r="B6297">
        <v>3007995</v>
      </c>
      <c r="C6297" t="s">
        <v>11499</v>
      </c>
      <c r="D6297" t="s">
        <v>441</v>
      </c>
      <c r="F6297">
        <v>0</v>
      </c>
      <c r="G6297">
        <v>1.05</v>
      </c>
      <c r="H6297" t="s">
        <v>8624</v>
      </c>
      <c r="I6297">
        <v>6</v>
      </c>
      <c r="J6297" t="s">
        <v>445</v>
      </c>
      <c r="K6297" t="s">
        <v>446</v>
      </c>
      <c r="M6297">
        <v>2141</v>
      </c>
    </row>
    <row r="6298" spans="1:14">
      <c r="A6298">
        <v>24060527</v>
      </c>
      <c r="B6298">
        <v>3008997</v>
      </c>
      <c r="C6298" t="s">
        <v>11500</v>
      </c>
      <c r="D6298" t="s">
        <v>441</v>
      </c>
      <c r="F6298">
        <v>0</v>
      </c>
      <c r="G6298">
        <v>3.43</v>
      </c>
      <c r="H6298" t="s">
        <v>8580</v>
      </c>
      <c r="I6298">
        <v>6</v>
      </c>
      <c r="J6298" t="s">
        <v>445</v>
      </c>
      <c r="M6298">
        <v>2502</v>
      </c>
      <c r="N6298" t="s">
        <v>16255</v>
      </c>
    </row>
    <row r="6299" spans="1:14">
      <c r="A6299">
        <v>24060528</v>
      </c>
      <c r="B6299">
        <v>3007996</v>
      </c>
      <c r="C6299" t="s">
        <v>11501</v>
      </c>
      <c r="D6299" t="s">
        <v>441</v>
      </c>
      <c r="F6299">
        <v>0</v>
      </c>
      <c r="G6299">
        <v>0.68</v>
      </c>
      <c r="H6299" t="s">
        <v>8624</v>
      </c>
      <c r="I6299">
        <v>6</v>
      </c>
      <c r="J6299" t="s">
        <v>445</v>
      </c>
      <c r="K6299" t="s">
        <v>446</v>
      </c>
      <c r="M6299">
        <v>2141</v>
      </c>
    </row>
    <row r="6300" spans="1:14">
      <c r="A6300">
        <v>24060529</v>
      </c>
      <c r="B6300">
        <v>3014894</v>
      </c>
      <c r="C6300" t="s">
        <v>11502</v>
      </c>
      <c r="D6300" t="s">
        <v>441</v>
      </c>
      <c r="F6300">
        <v>0</v>
      </c>
      <c r="G6300">
        <v>2.39</v>
      </c>
      <c r="H6300" t="s">
        <v>8580</v>
      </c>
      <c r="I6300">
        <v>6</v>
      </c>
      <c r="J6300" t="s">
        <v>445</v>
      </c>
      <c r="M6300">
        <v>2502</v>
      </c>
      <c r="N6300" t="s">
        <v>16255</v>
      </c>
    </row>
    <row r="6301" spans="1:14">
      <c r="A6301">
        <v>24060627</v>
      </c>
      <c r="B6301">
        <v>3012076</v>
      </c>
      <c r="C6301" t="s">
        <v>11503</v>
      </c>
      <c r="D6301" t="s">
        <v>441</v>
      </c>
      <c r="F6301">
        <v>0</v>
      </c>
      <c r="G6301">
        <v>3.91</v>
      </c>
      <c r="H6301" t="s">
        <v>8580</v>
      </c>
      <c r="I6301">
        <v>4</v>
      </c>
      <c r="J6301" t="s">
        <v>445</v>
      </c>
      <c r="M6301">
        <v>2510</v>
      </c>
      <c r="N6301" t="s">
        <v>16255</v>
      </c>
    </row>
    <row r="6302" spans="1:14">
      <c r="A6302">
        <v>24060900</v>
      </c>
      <c r="B6302">
        <v>3020344</v>
      </c>
      <c r="C6302" t="s">
        <v>11504</v>
      </c>
      <c r="D6302" t="s">
        <v>441</v>
      </c>
      <c r="F6302">
        <v>0</v>
      </c>
      <c r="H6302" t="s">
        <v>8584</v>
      </c>
      <c r="I6302">
        <v>6</v>
      </c>
      <c r="J6302" t="s">
        <v>445</v>
      </c>
      <c r="M6302">
        <v>6666</v>
      </c>
      <c r="N6302" t="s">
        <v>16255</v>
      </c>
    </row>
    <row r="6303" spans="1:14">
      <c r="A6303">
        <v>24060927</v>
      </c>
      <c r="B6303">
        <v>3022973</v>
      </c>
      <c r="C6303" t="s">
        <v>11505</v>
      </c>
      <c r="D6303" t="s">
        <v>441</v>
      </c>
      <c r="F6303">
        <v>0</v>
      </c>
      <c r="H6303" t="s">
        <v>8580</v>
      </c>
      <c r="I6303">
        <v>4</v>
      </c>
      <c r="J6303" t="s">
        <v>445</v>
      </c>
      <c r="M6303">
        <v>6666</v>
      </c>
      <c r="N6303" t="s">
        <v>16255</v>
      </c>
    </row>
    <row r="6304" spans="1:14">
      <c r="A6304">
        <v>24064000</v>
      </c>
      <c r="B6304">
        <v>3007997</v>
      </c>
      <c r="C6304" t="s">
        <v>11506</v>
      </c>
      <c r="D6304" t="s">
        <v>441</v>
      </c>
      <c r="F6304">
        <v>0</v>
      </c>
      <c r="G6304">
        <v>1.42</v>
      </c>
      <c r="H6304" t="s">
        <v>8634</v>
      </c>
      <c r="I6304">
        <v>6</v>
      </c>
      <c r="J6304" t="s">
        <v>445</v>
      </c>
      <c r="K6304" t="s">
        <v>446</v>
      </c>
      <c r="M6304">
        <v>0</v>
      </c>
    </row>
    <row r="6305" spans="1:14">
      <c r="A6305">
        <v>24065000</v>
      </c>
      <c r="B6305">
        <v>3035693</v>
      </c>
      <c r="C6305" t="s">
        <v>11507</v>
      </c>
      <c r="D6305" t="s">
        <v>441</v>
      </c>
      <c r="F6305">
        <v>0</v>
      </c>
      <c r="G6305">
        <v>2</v>
      </c>
      <c r="H6305" t="s">
        <v>8549</v>
      </c>
      <c r="I6305">
        <v>6</v>
      </c>
      <c r="J6305" t="s">
        <v>445</v>
      </c>
      <c r="M6305">
        <v>2143</v>
      </c>
      <c r="N6305" t="s">
        <v>16255</v>
      </c>
    </row>
    <row r="6306" spans="1:14">
      <c r="A6306">
        <v>24069000</v>
      </c>
      <c r="B6306">
        <v>3023577</v>
      </c>
      <c r="C6306" t="s">
        <v>11508</v>
      </c>
      <c r="D6306" t="s">
        <v>441</v>
      </c>
      <c r="F6306">
        <v>0</v>
      </c>
      <c r="G6306">
        <v>2.19</v>
      </c>
      <c r="H6306" t="s">
        <v>8588</v>
      </c>
      <c r="I6306">
        <v>2</v>
      </c>
      <c r="J6306" t="s">
        <v>445</v>
      </c>
      <c r="M6306">
        <v>3111</v>
      </c>
      <c r="N6306" t="s">
        <v>16255</v>
      </c>
    </row>
    <row r="6307" spans="1:14">
      <c r="A6307">
        <v>24069900</v>
      </c>
      <c r="B6307">
        <v>3023580</v>
      </c>
      <c r="C6307" t="s">
        <v>11509</v>
      </c>
      <c r="D6307" t="s">
        <v>441</v>
      </c>
      <c r="F6307">
        <v>0</v>
      </c>
      <c r="G6307">
        <v>2.19</v>
      </c>
      <c r="H6307" t="s">
        <v>8935</v>
      </c>
      <c r="I6307">
        <v>2</v>
      </c>
      <c r="J6307" t="s">
        <v>445</v>
      </c>
      <c r="M6307">
        <v>6666</v>
      </c>
      <c r="N6307" t="s">
        <v>16255</v>
      </c>
    </row>
    <row r="6308" spans="1:14">
      <c r="A6308">
        <v>24070088</v>
      </c>
      <c r="B6308">
        <v>1100156</v>
      </c>
      <c r="C6308" t="s">
        <v>11510</v>
      </c>
      <c r="D6308" t="s">
        <v>441</v>
      </c>
      <c r="F6308">
        <v>0</v>
      </c>
      <c r="G6308">
        <v>1.3</v>
      </c>
      <c r="H6308" t="s">
        <v>8933</v>
      </c>
      <c r="I6308">
        <v>3</v>
      </c>
      <c r="J6308" t="s">
        <v>511</v>
      </c>
      <c r="M6308">
        <v>9908</v>
      </c>
      <c r="N6308" t="s">
        <v>16256</v>
      </c>
    </row>
    <row r="6309" spans="1:14">
      <c r="A6309">
        <v>24090000</v>
      </c>
      <c r="B6309">
        <v>3015290</v>
      </c>
      <c r="C6309" t="s">
        <v>2932</v>
      </c>
      <c r="D6309" t="s">
        <v>441</v>
      </c>
      <c r="F6309">
        <v>0</v>
      </c>
      <c r="G6309">
        <v>3.6</v>
      </c>
      <c r="H6309" t="s">
        <v>8588</v>
      </c>
      <c r="I6309">
        <v>6</v>
      </c>
      <c r="J6309" t="s">
        <v>445</v>
      </c>
      <c r="M6309">
        <v>2143</v>
      </c>
      <c r="N6309" t="s">
        <v>16257</v>
      </c>
    </row>
    <row r="6310" spans="1:14">
      <c r="A6310">
        <v>24090020</v>
      </c>
      <c r="B6310">
        <v>4004008</v>
      </c>
      <c r="C6310" t="s">
        <v>14444</v>
      </c>
      <c r="D6310" t="s">
        <v>441</v>
      </c>
      <c r="F6310">
        <v>0</v>
      </c>
      <c r="G6310">
        <v>5.19</v>
      </c>
      <c r="H6310" t="s">
        <v>8588</v>
      </c>
      <c r="I6310">
        <v>6</v>
      </c>
      <c r="J6310" t="s">
        <v>462</v>
      </c>
      <c r="L6310">
        <v>2082349</v>
      </c>
      <c r="M6310">
        <v>7112</v>
      </c>
      <c r="N6310" t="s">
        <v>16257</v>
      </c>
    </row>
    <row r="6311" spans="1:14">
      <c r="A6311">
        <v>24090021</v>
      </c>
      <c r="B6311">
        <v>4004009</v>
      </c>
      <c r="C6311" t="s">
        <v>11511</v>
      </c>
      <c r="D6311" t="s">
        <v>441</v>
      </c>
      <c r="F6311">
        <v>0</v>
      </c>
      <c r="G6311">
        <v>1.76</v>
      </c>
      <c r="H6311" t="s">
        <v>8588</v>
      </c>
      <c r="I6311">
        <v>6</v>
      </c>
      <c r="J6311" t="s">
        <v>462</v>
      </c>
      <c r="K6311" t="s">
        <v>446</v>
      </c>
      <c r="M6311">
        <v>2612</v>
      </c>
    </row>
    <row r="6312" spans="1:14">
      <c r="A6312">
        <v>24090023</v>
      </c>
      <c r="B6312">
        <v>4008794</v>
      </c>
      <c r="C6312" t="s">
        <v>11512</v>
      </c>
      <c r="D6312" t="s">
        <v>441</v>
      </c>
      <c r="F6312">
        <v>0</v>
      </c>
      <c r="G6312">
        <v>1.65</v>
      </c>
      <c r="H6312" t="s">
        <v>8588</v>
      </c>
      <c r="I6312">
        <v>6</v>
      </c>
      <c r="J6312" t="s">
        <v>462</v>
      </c>
      <c r="K6312" t="s">
        <v>446</v>
      </c>
      <c r="M6312">
        <v>2641</v>
      </c>
    </row>
    <row r="6313" spans="1:14">
      <c r="A6313">
        <v>24090025</v>
      </c>
      <c r="B6313">
        <v>4001839</v>
      </c>
      <c r="C6313" t="s">
        <v>2933</v>
      </c>
      <c r="D6313" t="s">
        <v>441</v>
      </c>
      <c r="F6313">
        <v>0</v>
      </c>
      <c r="G6313">
        <v>6.58</v>
      </c>
      <c r="H6313" t="s">
        <v>8588</v>
      </c>
      <c r="I6313">
        <v>365</v>
      </c>
      <c r="J6313" t="s">
        <v>462</v>
      </c>
      <c r="M6313">
        <v>7111</v>
      </c>
      <c r="N6313" t="s">
        <v>16257</v>
      </c>
    </row>
    <row r="6314" spans="1:14">
      <c r="A6314">
        <v>24090029</v>
      </c>
      <c r="B6314">
        <v>4020692</v>
      </c>
      <c r="C6314" t="s">
        <v>2934</v>
      </c>
      <c r="D6314" t="s">
        <v>441</v>
      </c>
      <c r="F6314">
        <v>0</v>
      </c>
      <c r="G6314">
        <v>5.29</v>
      </c>
      <c r="H6314" t="s">
        <v>8588</v>
      </c>
      <c r="I6314">
        <v>365</v>
      </c>
      <c r="J6314" t="s">
        <v>462</v>
      </c>
      <c r="M6314">
        <v>7111</v>
      </c>
      <c r="N6314" t="s">
        <v>16257</v>
      </c>
    </row>
    <row r="6315" spans="1:14">
      <c r="A6315">
        <v>24090030</v>
      </c>
      <c r="B6315">
        <v>4019627</v>
      </c>
      <c r="C6315" t="s">
        <v>11513</v>
      </c>
      <c r="D6315" t="s">
        <v>441</v>
      </c>
      <c r="F6315">
        <v>0</v>
      </c>
      <c r="G6315">
        <v>2.33</v>
      </c>
      <c r="H6315" t="s">
        <v>8588</v>
      </c>
      <c r="I6315">
        <v>6</v>
      </c>
      <c r="J6315" t="s">
        <v>462</v>
      </c>
      <c r="K6315" t="s">
        <v>446</v>
      </c>
      <c r="M6315">
        <v>2612</v>
      </c>
    </row>
    <row r="6316" spans="1:14">
      <c r="A6316">
        <v>24090031</v>
      </c>
      <c r="B6316">
        <v>4025437</v>
      </c>
      <c r="C6316" t="s">
        <v>2935</v>
      </c>
      <c r="D6316" t="s">
        <v>441</v>
      </c>
      <c r="F6316">
        <v>0</v>
      </c>
      <c r="G6316">
        <v>4.21</v>
      </c>
      <c r="H6316" t="s">
        <v>8588</v>
      </c>
      <c r="I6316">
        <v>6</v>
      </c>
      <c r="J6316" t="s">
        <v>462</v>
      </c>
      <c r="M6316">
        <v>7112</v>
      </c>
      <c r="N6316" t="s">
        <v>16257</v>
      </c>
    </row>
    <row r="6317" spans="1:14">
      <c r="A6317">
        <v>24090043</v>
      </c>
      <c r="B6317">
        <v>4004013</v>
      </c>
      <c r="C6317" t="s">
        <v>11514</v>
      </c>
      <c r="D6317" t="s">
        <v>441</v>
      </c>
      <c r="F6317">
        <v>0</v>
      </c>
      <c r="G6317">
        <v>2.13</v>
      </c>
      <c r="H6317" t="s">
        <v>8588</v>
      </c>
      <c r="I6317">
        <v>7</v>
      </c>
      <c r="J6317" t="s">
        <v>462</v>
      </c>
      <c r="K6317" t="s">
        <v>446</v>
      </c>
      <c r="M6317">
        <v>2612</v>
      </c>
    </row>
    <row r="6318" spans="1:14">
      <c r="A6318">
        <v>24090044</v>
      </c>
      <c r="B6318">
        <v>4012923</v>
      </c>
      <c r="C6318" t="s">
        <v>11515</v>
      </c>
      <c r="D6318" t="s">
        <v>441</v>
      </c>
      <c r="F6318">
        <v>0</v>
      </c>
      <c r="G6318">
        <v>2.09</v>
      </c>
      <c r="H6318" t="s">
        <v>8588</v>
      </c>
      <c r="I6318">
        <v>7</v>
      </c>
      <c r="J6318" t="s">
        <v>462</v>
      </c>
      <c r="K6318" t="s">
        <v>446</v>
      </c>
      <c r="M6318">
        <v>2612</v>
      </c>
    </row>
    <row r="6319" spans="1:14">
      <c r="A6319">
        <v>24090076</v>
      </c>
      <c r="B6319">
        <v>4007431</v>
      </c>
      <c r="C6319" t="s">
        <v>2936</v>
      </c>
      <c r="D6319" t="s">
        <v>441</v>
      </c>
      <c r="F6319">
        <v>0</v>
      </c>
      <c r="G6319">
        <v>4.1399999999999997</v>
      </c>
      <c r="H6319" t="s">
        <v>8588</v>
      </c>
      <c r="I6319">
        <v>6</v>
      </c>
      <c r="J6319" t="s">
        <v>462</v>
      </c>
      <c r="L6319">
        <v>2082644</v>
      </c>
      <c r="M6319">
        <v>7112</v>
      </c>
      <c r="N6319" t="s">
        <v>16257</v>
      </c>
    </row>
    <row r="6320" spans="1:14">
      <c r="A6320">
        <v>24090525</v>
      </c>
      <c r="B6320">
        <v>3007998</v>
      </c>
      <c r="C6320" t="s">
        <v>2937</v>
      </c>
      <c r="D6320" t="s">
        <v>441</v>
      </c>
      <c r="F6320">
        <v>0</v>
      </c>
      <c r="G6320">
        <v>4.96</v>
      </c>
      <c r="I6320">
        <v>6</v>
      </c>
      <c r="J6320" t="s">
        <v>445</v>
      </c>
      <c r="M6320">
        <v>2502</v>
      </c>
      <c r="N6320" t="s">
        <v>16257</v>
      </c>
    </row>
    <row r="6321" spans="1:14">
      <c r="A6321">
        <v>24090529</v>
      </c>
      <c r="B6321">
        <v>3030967</v>
      </c>
      <c r="C6321" t="s">
        <v>2938</v>
      </c>
      <c r="D6321" t="s">
        <v>441</v>
      </c>
      <c r="F6321">
        <v>0</v>
      </c>
      <c r="G6321">
        <v>4.96</v>
      </c>
      <c r="H6321" t="s">
        <v>8588</v>
      </c>
      <c r="I6321">
        <v>6</v>
      </c>
      <c r="J6321" t="s">
        <v>445</v>
      </c>
      <c r="M6321">
        <v>2502</v>
      </c>
      <c r="N6321" t="s">
        <v>16257</v>
      </c>
    </row>
    <row r="6322" spans="1:14">
      <c r="A6322">
        <v>24090625</v>
      </c>
      <c r="B6322">
        <v>3026776</v>
      </c>
      <c r="C6322" t="s">
        <v>11516</v>
      </c>
      <c r="D6322" t="s">
        <v>441</v>
      </c>
      <c r="F6322">
        <v>0</v>
      </c>
      <c r="G6322">
        <v>2.5</v>
      </c>
      <c r="H6322" t="s">
        <v>8549</v>
      </c>
      <c r="I6322">
        <v>4</v>
      </c>
      <c r="J6322" t="s">
        <v>445</v>
      </c>
      <c r="K6322" t="s">
        <v>446</v>
      </c>
      <c r="M6322">
        <v>2511</v>
      </c>
    </row>
    <row r="6323" spans="1:14">
      <c r="A6323">
        <v>24090925</v>
      </c>
      <c r="B6323">
        <v>3026812</v>
      </c>
      <c r="C6323" t="s">
        <v>11517</v>
      </c>
      <c r="D6323" t="s">
        <v>441</v>
      </c>
      <c r="F6323">
        <v>0</v>
      </c>
      <c r="G6323">
        <v>1</v>
      </c>
      <c r="H6323" t="s">
        <v>8580</v>
      </c>
      <c r="I6323">
        <v>4</v>
      </c>
      <c r="J6323" t="s">
        <v>445</v>
      </c>
      <c r="K6323" t="s">
        <v>446</v>
      </c>
      <c r="M6323">
        <v>6666</v>
      </c>
    </row>
    <row r="6324" spans="1:14">
      <c r="A6324">
        <v>24094000</v>
      </c>
      <c r="B6324">
        <v>3002072</v>
      </c>
      <c r="C6324" t="s">
        <v>11518</v>
      </c>
      <c r="D6324" t="s">
        <v>441</v>
      </c>
      <c r="F6324">
        <v>0</v>
      </c>
      <c r="G6324">
        <v>3.6</v>
      </c>
      <c r="H6324" t="s">
        <v>8588</v>
      </c>
      <c r="I6324">
        <v>4</v>
      </c>
      <c r="J6324" t="s">
        <v>445</v>
      </c>
      <c r="K6324" t="s">
        <v>446</v>
      </c>
      <c r="M6324">
        <v>0</v>
      </c>
    </row>
    <row r="6325" spans="1:14">
      <c r="A6325">
        <v>24095000</v>
      </c>
      <c r="B6325">
        <v>3030968</v>
      </c>
      <c r="C6325" t="s">
        <v>2939</v>
      </c>
      <c r="D6325" t="s">
        <v>441</v>
      </c>
      <c r="F6325">
        <v>0</v>
      </c>
      <c r="G6325">
        <v>3.6</v>
      </c>
      <c r="H6325" t="s">
        <v>8588</v>
      </c>
      <c r="I6325">
        <v>6</v>
      </c>
      <c r="J6325" t="s">
        <v>445</v>
      </c>
      <c r="M6325">
        <v>2143</v>
      </c>
      <c r="N6325" t="s">
        <v>16257</v>
      </c>
    </row>
    <row r="6326" spans="1:14">
      <c r="A6326">
        <v>24130087</v>
      </c>
      <c r="B6326">
        <v>1100151</v>
      </c>
      <c r="C6326" t="s">
        <v>11519</v>
      </c>
      <c r="D6326" t="s">
        <v>441</v>
      </c>
      <c r="F6326">
        <v>0</v>
      </c>
      <c r="G6326">
        <v>0.01</v>
      </c>
      <c r="H6326" t="s">
        <v>8933</v>
      </c>
      <c r="I6326">
        <v>5</v>
      </c>
      <c r="J6326" t="s">
        <v>511</v>
      </c>
      <c r="K6326" t="s">
        <v>446</v>
      </c>
      <c r="M6326">
        <v>9908</v>
      </c>
    </row>
    <row r="6327" spans="1:14">
      <c r="A6327">
        <v>24130088</v>
      </c>
      <c r="B6327">
        <v>1100162</v>
      </c>
      <c r="C6327" t="s">
        <v>2940</v>
      </c>
      <c r="D6327" t="s">
        <v>441</v>
      </c>
      <c r="F6327">
        <v>0</v>
      </c>
      <c r="G6327">
        <v>0.8</v>
      </c>
      <c r="H6327" t="s">
        <v>8933</v>
      </c>
      <c r="I6327">
        <v>3</v>
      </c>
      <c r="J6327" t="s">
        <v>511</v>
      </c>
      <c r="M6327">
        <v>9908</v>
      </c>
      <c r="N6327" t="s">
        <v>16258</v>
      </c>
    </row>
    <row r="6328" spans="1:14">
      <c r="A6328">
        <v>24150000</v>
      </c>
      <c r="B6328">
        <v>3015300</v>
      </c>
      <c r="C6328" t="s">
        <v>11520</v>
      </c>
      <c r="D6328" t="s">
        <v>441</v>
      </c>
      <c r="F6328">
        <v>0</v>
      </c>
      <c r="G6328">
        <v>3.6</v>
      </c>
      <c r="H6328" t="s">
        <v>8580</v>
      </c>
      <c r="I6328">
        <v>6</v>
      </c>
      <c r="J6328" t="s">
        <v>445</v>
      </c>
      <c r="M6328">
        <v>2143</v>
      </c>
      <c r="N6328" t="s">
        <v>16259</v>
      </c>
    </row>
    <row r="6329" spans="1:14">
      <c r="A6329">
        <v>24150002</v>
      </c>
      <c r="B6329">
        <v>3043480</v>
      </c>
      <c r="C6329" t="s">
        <v>11521</v>
      </c>
      <c r="D6329" t="s">
        <v>441</v>
      </c>
      <c r="F6329">
        <v>0</v>
      </c>
      <c r="G6329">
        <v>4.59</v>
      </c>
      <c r="H6329" t="s">
        <v>8588</v>
      </c>
      <c r="I6329">
        <v>365</v>
      </c>
      <c r="J6329" t="s">
        <v>445</v>
      </c>
      <c r="M6329">
        <v>7111</v>
      </c>
      <c r="N6329" t="s">
        <v>16259</v>
      </c>
    </row>
    <row r="6330" spans="1:14">
      <c r="A6330">
        <v>24150018</v>
      </c>
      <c r="B6330">
        <v>3043496</v>
      </c>
      <c r="C6330" t="s">
        <v>11522</v>
      </c>
      <c r="D6330" t="s">
        <v>441</v>
      </c>
      <c r="F6330">
        <v>0</v>
      </c>
      <c r="G6330">
        <v>4.6100000000000003</v>
      </c>
      <c r="H6330" t="s">
        <v>8588</v>
      </c>
      <c r="I6330">
        <v>365</v>
      </c>
      <c r="J6330" t="s">
        <v>445</v>
      </c>
      <c r="M6330">
        <v>7111</v>
      </c>
      <c r="N6330" t="s">
        <v>16259</v>
      </c>
    </row>
    <row r="6331" spans="1:14">
      <c r="A6331">
        <v>24150020</v>
      </c>
      <c r="B6331">
        <v>4004015</v>
      </c>
      <c r="C6331" t="s">
        <v>14445</v>
      </c>
      <c r="D6331" t="s">
        <v>441</v>
      </c>
      <c r="F6331">
        <v>0</v>
      </c>
      <c r="G6331">
        <v>4.26</v>
      </c>
      <c r="H6331" t="s">
        <v>8588</v>
      </c>
      <c r="I6331">
        <v>6</v>
      </c>
      <c r="J6331" t="s">
        <v>462</v>
      </c>
      <c r="L6331">
        <v>2082351</v>
      </c>
      <c r="M6331">
        <v>7112</v>
      </c>
      <c r="N6331" t="s">
        <v>16259</v>
      </c>
    </row>
    <row r="6332" spans="1:14">
      <c r="A6332">
        <v>24150021</v>
      </c>
      <c r="B6332">
        <v>4012227</v>
      </c>
      <c r="C6332" t="s">
        <v>11523</v>
      </c>
      <c r="D6332" t="s">
        <v>441</v>
      </c>
      <c r="F6332">
        <v>0</v>
      </c>
      <c r="G6332">
        <v>8.14</v>
      </c>
      <c r="H6332" t="s">
        <v>8588</v>
      </c>
      <c r="I6332">
        <v>6</v>
      </c>
      <c r="J6332" t="s">
        <v>462</v>
      </c>
      <c r="K6332" t="s">
        <v>446</v>
      </c>
      <c r="M6332">
        <v>2612</v>
      </c>
    </row>
    <row r="6333" spans="1:14">
      <c r="A6333">
        <v>24150022</v>
      </c>
      <c r="B6333">
        <v>4012847</v>
      </c>
      <c r="C6333" t="s">
        <v>11524</v>
      </c>
      <c r="D6333" t="s">
        <v>441</v>
      </c>
      <c r="F6333">
        <v>0</v>
      </c>
      <c r="G6333">
        <v>7.94</v>
      </c>
      <c r="H6333" t="s">
        <v>8588</v>
      </c>
      <c r="I6333">
        <v>6</v>
      </c>
      <c r="J6333" t="s">
        <v>462</v>
      </c>
      <c r="K6333" t="s">
        <v>446</v>
      </c>
      <c r="M6333">
        <v>2641</v>
      </c>
    </row>
    <row r="6334" spans="1:14">
      <c r="A6334">
        <v>24150024</v>
      </c>
      <c r="B6334">
        <v>4019768</v>
      </c>
      <c r="C6334" t="s">
        <v>11525</v>
      </c>
      <c r="D6334" t="s">
        <v>442</v>
      </c>
      <c r="E6334" t="s">
        <v>441</v>
      </c>
      <c r="F6334">
        <v>10</v>
      </c>
      <c r="G6334">
        <v>51.2</v>
      </c>
      <c r="H6334" t="s">
        <v>8588</v>
      </c>
      <c r="I6334">
        <v>365</v>
      </c>
      <c r="J6334" t="s">
        <v>462</v>
      </c>
      <c r="M6334">
        <v>7111</v>
      </c>
      <c r="N6334" t="s">
        <v>16259</v>
      </c>
    </row>
    <row r="6335" spans="1:14">
      <c r="A6335">
        <v>24150025</v>
      </c>
      <c r="B6335">
        <v>4004016</v>
      </c>
      <c r="C6335" t="s">
        <v>14446</v>
      </c>
      <c r="D6335" t="s">
        <v>441</v>
      </c>
      <c r="F6335">
        <v>0</v>
      </c>
      <c r="G6335">
        <v>4.6100000000000003</v>
      </c>
      <c r="H6335" t="s">
        <v>8588</v>
      </c>
      <c r="I6335">
        <v>365</v>
      </c>
      <c r="J6335" t="s">
        <v>462</v>
      </c>
      <c r="M6335">
        <v>7111</v>
      </c>
      <c r="N6335" t="s">
        <v>16259</v>
      </c>
    </row>
    <row r="6336" spans="1:14">
      <c r="A6336">
        <v>24150026</v>
      </c>
      <c r="B6336">
        <v>4016393</v>
      </c>
      <c r="C6336" t="s">
        <v>11526</v>
      </c>
      <c r="D6336" t="s">
        <v>442</v>
      </c>
      <c r="E6336" t="s">
        <v>441</v>
      </c>
      <c r="F6336">
        <v>10</v>
      </c>
      <c r="G6336">
        <v>51.11</v>
      </c>
      <c r="H6336" t="s">
        <v>8588</v>
      </c>
      <c r="I6336">
        <v>365</v>
      </c>
      <c r="J6336" t="s">
        <v>462</v>
      </c>
      <c r="M6336">
        <v>7111</v>
      </c>
      <c r="N6336" t="s">
        <v>16259</v>
      </c>
    </row>
    <row r="6337" spans="1:14">
      <c r="A6337">
        <v>24150027</v>
      </c>
      <c r="B6337">
        <v>4009201</v>
      </c>
      <c r="C6337" t="s">
        <v>11527</v>
      </c>
      <c r="D6337" t="s">
        <v>441</v>
      </c>
      <c r="F6337">
        <v>0</v>
      </c>
      <c r="G6337">
        <v>8.24</v>
      </c>
      <c r="H6337" t="s">
        <v>8588</v>
      </c>
      <c r="I6337">
        <v>365</v>
      </c>
      <c r="J6337" t="s">
        <v>462</v>
      </c>
      <c r="K6337" t="s">
        <v>446</v>
      </c>
      <c r="L6337" t="s">
        <v>11528</v>
      </c>
      <c r="M6337">
        <v>2501</v>
      </c>
    </row>
    <row r="6338" spans="1:14">
      <c r="A6338">
        <v>24150028</v>
      </c>
      <c r="B6338">
        <v>4001841</v>
      </c>
      <c r="C6338" t="s">
        <v>11529</v>
      </c>
      <c r="D6338" t="s">
        <v>441</v>
      </c>
      <c r="F6338">
        <v>0</v>
      </c>
      <c r="G6338">
        <v>8.02</v>
      </c>
      <c r="H6338" t="s">
        <v>8588</v>
      </c>
      <c r="I6338">
        <v>180</v>
      </c>
      <c r="J6338" t="s">
        <v>462</v>
      </c>
      <c r="K6338" t="s">
        <v>446</v>
      </c>
      <c r="M6338">
        <v>2501</v>
      </c>
    </row>
    <row r="6339" spans="1:14">
      <c r="A6339">
        <v>24150030</v>
      </c>
      <c r="B6339">
        <v>4023533</v>
      </c>
      <c r="C6339" t="s">
        <v>11530</v>
      </c>
      <c r="D6339" t="s">
        <v>441</v>
      </c>
      <c r="F6339">
        <v>0</v>
      </c>
      <c r="G6339">
        <v>4.38</v>
      </c>
      <c r="H6339" t="s">
        <v>8588</v>
      </c>
      <c r="I6339">
        <v>6</v>
      </c>
      <c r="J6339" t="s">
        <v>462</v>
      </c>
      <c r="M6339">
        <v>7112</v>
      </c>
      <c r="N6339" t="s">
        <v>16259</v>
      </c>
    </row>
    <row r="6340" spans="1:14">
      <c r="A6340">
        <v>24150040</v>
      </c>
      <c r="B6340">
        <v>4025306</v>
      </c>
      <c r="C6340" t="s">
        <v>14447</v>
      </c>
      <c r="D6340" t="s">
        <v>441</v>
      </c>
      <c r="F6340">
        <v>0</v>
      </c>
      <c r="G6340">
        <v>4.07</v>
      </c>
      <c r="H6340" t="s">
        <v>8588</v>
      </c>
      <c r="I6340">
        <v>6</v>
      </c>
      <c r="J6340" t="s">
        <v>462</v>
      </c>
      <c r="M6340">
        <v>7112</v>
      </c>
      <c r="N6340" t="s">
        <v>16259</v>
      </c>
    </row>
    <row r="6341" spans="1:14">
      <c r="A6341">
        <v>24150041</v>
      </c>
      <c r="B6341">
        <v>4004020</v>
      </c>
      <c r="C6341" t="s">
        <v>11531</v>
      </c>
      <c r="D6341" t="s">
        <v>441</v>
      </c>
      <c r="F6341">
        <v>0</v>
      </c>
      <c r="G6341">
        <v>4.7699999999999996</v>
      </c>
      <c r="H6341" t="s">
        <v>8588</v>
      </c>
      <c r="I6341">
        <v>7</v>
      </c>
      <c r="J6341" t="s">
        <v>462</v>
      </c>
      <c r="K6341" t="s">
        <v>446</v>
      </c>
      <c r="M6341">
        <v>2612</v>
      </c>
      <c r="N6341" t="s">
        <v>16260</v>
      </c>
    </row>
    <row r="6342" spans="1:14">
      <c r="A6342">
        <v>24150042</v>
      </c>
      <c r="B6342">
        <v>4016112</v>
      </c>
      <c r="C6342" t="s">
        <v>11532</v>
      </c>
      <c r="D6342" t="s">
        <v>441</v>
      </c>
      <c r="F6342">
        <v>0</v>
      </c>
      <c r="G6342">
        <v>7.47</v>
      </c>
      <c r="H6342" t="s">
        <v>8588</v>
      </c>
      <c r="I6342">
        <v>7</v>
      </c>
      <c r="J6342" t="s">
        <v>462</v>
      </c>
      <c r="K6342" t="s">
        <v>446</v>
      </c>
      <c r="M6342">
        <v>2612</v>
      </c>
    </row>
    <row r="6343" spans="1:14">
      <c r="A6343">
        <v>24150043</v>
      </c>
      <c r="B6343">
        <v>4025440</v>
      </c>
      <c r="C6343" t="s">
        <v>14448</v>
      </c>
      <c r="D6343" t="s">
        <v>441</v>
      </c>
      <c r="F6343">
        <v>0</v>
      </c>
      <c r="G6343">
        <v>4.18</v>
      </c>
      <c r="H6343" t="s">
        <v>8588</v>
      </c>
      <c r="I6343">
        <v>6</v>
      </c>
      <c r="J6343" t="s">
        <v>462</v>
      </c>
      <c r="M6343">
        <v>7112</v>
      </c>
      <c r="N6343" t="s">
        <v>16259</v>
      </c>
    </row>
    <row r="6344" spans="1:14">
      <c r="A6344">
        <v>24150044</v>
      </c>
      <c r="B6344">
        <v>4004021</v>
      </c>
      <c r="C6344" t="s">
        <v>11533</v>
      </c>
      <c r="D6344" t="s">
        <v>441</v>
      </c>
      <c r="F6344">
        <v>0</v>
      </c>
      <c r="G6344">
        <v>8.23</v>
      </c>
      <c r="H6344" t="s">
        <v>8588</v>
      </c>
      <c r="I6344">
        <v>7</v>
      </c>
      <c r="J6344" t="s">
        <v>462</v>
      </c>
      <c r="K6344" t="s">
        <v>446</v>
      </c>
      <c r="M6344">
        <v>2612</v>
      </c>
    </row>
    <row r="6345" spans="1:14">
      <c r="A6345">
        <v>24150045</v>
      </c>
      <c r="B6345">
        <v>4012924</v>
      </c>
      <c r="C6345" t="s">
        <v>11534</v>
      </c>
      <c r="D6345" t="s">
        <v>441</v>
      </c>
      <c r="F6345">
        <v>0</v>
      </c>
      <c r="G6345">
        <v>8.02</v>
      </c>
      <c r="H6345" t="s">
        <v>8588</v>
      </c>
      <c r="I6345">
        <v>7</v>
      </c>
      <c r="J6345" t="s">
        <v>462</v>
      </c>
      <c r="K6345" t="s">
        <v>446</v>
      </c>
      <c r="M6345">
        <v>2612</v>
      </c>
    </row>
    <row r="6346" spans="1:14">
      <c r="A6346">
        <v>24150076</v>
      </c>
      <c r="B6346">
        <v>4007432</v>
      </c>
      <c r="C6346" t="s">
        <v>14449</v>
      </c>
      <c r="D6346" t="s">
        <v>441</v>
      </c>
      <c r="F6346">
        <v>0</v>
      </c>
      <c r="G6346">
        <v>4.08</v>
      </c>
      <c r="H6346" t="s">
        <v>8588</v>
      </c>
      <c r="I6346">
        <v>6</v>
      </c>
      <c r="J6346" t="s">
        <v>462</v>
      </c>
      <c r="L6346">
        <v>2082645</v>
      </c>
      <c r="M6346">
        <v>7112</v>
      </c>
      <c r="N6346" t="s">
        <v>16259</v>
      </c>
    </row>
    <row r="6347" spans="1:14">
      <c r="A6347">
        <v>24150100</v>
      </c>
      <c r="B6347">
        <v>3024119</v>
      </c>
      <c r="C6347" t="s">
        <v>11535</v>
      </c>
      <c r="D6347" t="s">
        <v>441</v>
      </c>
      <c r="F6347">
        <v>0</v>
      </c>
      <c r="H6347" t="s">
        <v>8588</v>
      </c>
      <c r="I6347">
        <v>365</v>
      </c>
      <c r="J6347" t="s">
        <v>445</v>
      </c>
      <c r="M6347">
        <v>7161</v>
      </c>
      <c r="N6347" t="s">
        <v>16259</v>
      </c>
    </row>
    <row r="6348" spans="1:14">
      <c r="A6348">
        <v>24150502</v>
      </c>
      <c r="B6348">
        <v>3043481</v>
      </c>
      <c r="C6348" t="s">
        <v>11536</v>
      </c>
      <c r="D6348" t="s">
        <v>441</v>
      </c>
      <c r="F6348">
        <v>0</v>
      </c>
      <c r="G6348">
        <v>4.08</v>
      </c>
      <c r="H6348" t="s">
        <v>8549</v>
      </c>
      <c r="I6348">
        <v>6</v>
      </c>
      <c r="J6348" t="s">
        <v>445</v>
      </c>
      <c r="M6348">
        <v>2502</v>
      </c>
      <c r="N6348" t="s">
        <v>16259</v>
      </c>
    </row>
    <row r="6349" spans="1:14">
      <c r="A6349">
        <v>24150518</v>
      </c>
      <c r="B6349">
        <v>3006386</v>
      </c>
      <c r="C6349" t="s">
        <v>11537</v>
      </c>
      <c r="D6349" t="s">
        <v>441</v>
      </c>
      <c r="F6349">
        <v>0</v>
      </c>
      <c r="G6349">
        <v>4.0999999999999996</v>
      </c>
      <c r="H6349" t="s">
        <v>8584</v>
      </c>
      <c r="I6349">
        <v>4</v>
      </c>
      <c r="J6349" t="s">
        <v>445</v>
      </c>
      <c r="M6349">
        <v>2502</v>
      </c>
      <c r="N6349" t="s">
        <v>16259</v>
      </c>
    </row>
    <row r="6350" spans="1:14">
      <c r="A6350">
        <v>24150524</v>
      </c>
      <c r="B6350">
        <v>3029685</v>
      </c>
      <c r="C6350" t="s">
        <v>11538</v>
      </c>
      <c r="D6350" t="s">
        <v>442</v>
      </c>
      <c r="E6350" t="s">
        <v>441</v>
      </c>
      <c r="F6350">
        <v>10</v>
      </c>
      <c r="G6350">
        <v>46.67</v>
      </c>
      <c r="H6350" t="s">
        <v>8588</v>
      </c>
      <c r="I6350">
        <v>365</v>
      </c>
      <c r="J6350" t="s">
        <v>445</v>
      </c>
      <c r="M6350">
        <v>2502</v>
      </c>
      <c r="N6350" t="s">
        <v>16259</v>
      </c>
    </row>
    <row r="6351" spans="1:14">
      <c r="A6351">
        <v>24150525</v>
      </c>
      <c r="B6351">
        <v>3008000</v>
      </c>
      <c r="C6351" t="s">
        <v>14450</v>
      </c>
      <c r="D6351" t="s">
        <v>441</v>
      </c>
      <c r="F6351">
        <v>0</v>
      </c>
      <c r="G6351">
        <v>4.0999999999999996</v>
      </c>
      <c r="I6351">
        <v>6</v>
      </c>
      <c r="J6351" t="s">
        <v>445</v>
      </c>
      <c r="K6351" t="s">
        <v>446</v>
      </c>
      <c r="M6351">
        <v>2502</v>
      </c>
      <c r="N6351" t="s">
        <v>16260</v>
      </c>
    </row>
    <row r="6352" spans="1:14">
      <c r="A6352">
        <v>24150526</v>
      </c>
      <c r="B6352">
        <v>3024832</v>
      </c>
      <c r="C6352" t="s">
        <v>11539</v>
      </c>
      <c r="D6352" t="s">
        <v>442</v>
      </c>
      <c r="E6352" t="s">
        <v>441</v>
      </c>
      <c r="F6352">
        <v>10</v>
      </c>
      <c r="G6352">
        <v>46.57</v>
      </c>
      <c r="H6352" t="s">
        <v>8549</v>
      </c>
      <c r="I6352">
        <v>365</v>
      </c>
      <c r="J6352" t="s">
        <v>445</v>
      </c>
      <c r="M6352">
        <v>2502</v>
      </c>
      <c r="N6352" t="s">
        <v>16259</v>
      </c>
    </row>
    <row r="6353" spans="1:14">
      <c r="A6353">
        <v>24150527</v>
      </c>
      <c r="B6353">
        <v>3010650</v>
      </c>
      <c r="C6353" t="s">
        <v>11540</v>
      </c>
      <c r="D6353" t="s">
        <v>441</v>
      </c>
      <c r="F6353">
        <v>0</v>
      </c>
      <c r="G6353">
        <v>8.06</v>
      </c>
      <c r="I6353">
        <v>365</v>
      </c>
      <c r="J6353" t="s">
        <v>445</v>
      </c>
      <c r="K6353" t="s">
        <v>446</v>
      </c>
      <c r="L6353" t="s">
        <v>11528</v>
      </c>
      <c r="M6353">
        <v>2141</v>
      </c>
    </row>
    <row r="6354" spans="1:14">
      <c r="A6354">
        <v>24150528</v>
      </c>
      <c r="B6354">
        <v>3008001</v>
      </c>
      <c r="C6354" t="s">
        <v>11541</v>
      </c>
      <c r="D6354" t="s">
        <v>441</v>
      </c>
      <c r="F6354">
        <v>0</v>
      </c>
      <c r="G6354">
        <v>7.77</v>
      </c>
      <c r="I6354">
        <v>6</v>
      </c>
      <c r="J6354" t="s">
        <v>445</v>
      </c>
      <c r="K6354" t="s">
        <v>446</v>
      </c>
      <c r="M6354">
        <v>2141</v>
      </c>
    </row>
    <row r="6355" spans="1:14">
      <c r="A6355">
        <v>24150625</v>
      </c>
      <c r="B6355">
        <v>3011849</v>
      </c>
      <c r="C6355" t="s">
        <v>11542</v>
      </c>
      <c r="D6355" t="s">
        <v>441</v>
      </c>
      <c r="F6355">
        <v>0</v>
      </c>
      <c r="G6355">
        <v>7.2</v>
      </c>
      <c r="H6355" t="s">
        <v>8588</v>
      </c>
      <c r="I6355">
        <v>4</v>
      </c>
      <c r="J6355" t="s">
        <v>445</v>
      </c>
      <c r="K6355" t="s">
        <v>446</v>
      </c>
      <c r="M6355">
        <v>2511</v>
      </c>
    </row>
    <row r="6356" spans="1:14">
      <c r="A6356">
        <v>24150900</v>
      </c>
      <c r="B6356">
        <v>3024287</v>
      </c>
      <c r="C6356" t="s">
        <v>11543</v>
      </c>
      <c r="D6356" t="s">
        <v>441</v>
      </c>
      <c r="F6356">
        <v>0</v>
      </c>
      <c r="I6356">
        <v>6</v>
      </c>
      <c r="J6356" t="s">
        <v>445</v>
      </c>
      <c r="M6356">
        <v>6666</v>
      </c>
      <c r="N6356" t="s">
        <v>16259</v>
      </c>
    </row>
    <row r="6357" spans="1:14">
      <c r="A6357">
        <v>24150925</v>
      </c>
      <c r="B6357">
        <v>3020345</v>
      </c>
      <c r="C6357" t="s">
        <v>11544</v>
      </c>
      <c r="D6357" t="s">
        <v>441</v>
      </c>
      <c r="F6357">
        <v>0</v>
      </c>
      <c r="H6357" t="s">
        <v>8584</v>
      </c>
      <c r="I6357">
        <v>4</v>
      </c>
      <c r="J6357" t="s">
        <v>445</v>
      </c>
      <c r="K6357" t="s">
        <v>446</v>
      </c>
      <c r="M6357">
        <v>6666</v>
      </c>
    </row>
    <row r="6358" spans="1:14">
      <c r="A6358">
        <v>24151000</v>
      </c>
      <c r="B6358">
        <v>3024701</v>
      </c>
      <c r="C6358" t="s">
        <v>11545</v>
      </c>
      <c r="D6358" t="s">
        <v>441</v>
      </c>
      <c r="F6358">
        <v>0</v>
      </c>
      <c r="G6358">
        <v>3.6</v>
      </c>
      <c r="H6358" t="s">
        <v>8549</v>
      </c>
      <c r="I6358">
        <v>6</v>
      </c>
      <c r="J6358" t="s">
        <v>445</v>
      </c>
      <c r="M6358">
        <v>2143</v>
      </c>
      <c r="N6358" t="s">
        <v>16259</v>
      </c>
    </row>
    <row r="6359" spans="1:14">
      <c r="A6359">
        <v>24151026</v>
      </c>
      <c r="B6359">
        <v>4016392</v>
      </c>
      <c r="C6359" t="s">
        <v>11546</v>
      </c>
      <c r="D6359" t="s">
        <v>442</v>
      </c>
      <c r="E6359" t="s">
        <v>441</v>
      </c>
      <c r="F6359">
        <v>10</v>
      </c>
      <c r="G6359">
        <v>51.1</v>
      </c>
      <c r="H6359" t="s">
        <v>8588</v>
      </c>
      <c r="I6359">
        <v>365</v>
      </c>
      <c r="J6359" t="s">
        <v>462</v>
      </c>
      <c r="M6359">
        <v>7111</v>
      </c>
      <c r="N6359" t="s">
        <v>16259</v>
      </c>
    </row>
    <row r="6360" spans="1:14">
      <c r="A6360">
        <v>24151526</v>
      </c>
      <c r="B6360">
        <v>3025057</v>
      </c>
      <c r="C6360" t="s">
        <v>11547</v>
      </c>
      <c r="D6360" t="s">
        <v>442</v>
      </c>
      <c r="E6360" t="s">
        <v>441</v>
      </c>
      <c r="F6360">
        <v>10</v>
      </c>
      <c r="G6360">
        <v>46.56</v>
      </c>
      <c r="H6360" t="s">
        <v>8549</v>
      </c>
      <c r="I6360">
        <v>365</v>
      </c>
      <c r="J6360" t="s">
        <v>445</v>
      </c>
      <c r="M6360">
        <v>2502</v>
      </c>
      <c r="N6360" t="s">
        <v>16259</v>
      </c>
    </row>
    <row r="6361" spans="1:14">
      <c r="A6361">
        <v>24154000</v>
      </c>
      <c r="B6361">
        <v>3002073</v>
      </c>
      <c r="C6361" t="s">
        <v>11548</v>
      </c>
      <c r="D6361" t="s">
        <v>441</v>
      </c>
      <c r="F6361">
        <v>0</v>
      </c>
      <c r="G6361">
        <v>3.6</v>
      </c>
      <c r="H6361" t="s">
        <v>8588</v>
      </c>
      <c r="I6361">
        <v>4</v>
      </c>
      <c r="J6361" t="s">
        <v>445</v>
      </c>
      <c r="M6361">
        <v>2143</v>
      </c>
      <c r="N6361" t="s">
        <v>16259</v>
      </c>
    </row>
    <row r="6362" spans="1:14">
      <c r="A6362">
        <v>24154023</v>
      </c>
      <c r="B6362">
        <v>4029523</v>
      </c>
      <c r="C6362" t="s">
        <v>15273</v>
      </c>
      <c r="D6362" t="s">
        <v>441</v>
      </c>
      <c r="F6362">
        <v>0</v>
      </c>
      <c r="G6362">
        <v>4.6399999999999997</v>
      </c>
      <c r="H6362" t="s">
        <v>8588</v>
      </c>
      <c r="I6362">
        <v>5</v>
      </c>
      <c r="J6362" t="s">
        <v>462</v>
      </c>
      <c r="M6362">
        <v>7112</v>
      </c>
      <c r="N6362" t="s">
        <v>16259</v>
      </c>
    </row>
    <row r="6363" spans="1:14">
      <c r="A6363">
        <v>24154046</v>
      </c>
      <c r="B6363">
        <v>4026863</v>
      </c>
      <c r="C6363" t="s">
        <v>11549</v>
      </c>
      <c r="D6363" t="s">
        <v>441</v>
      </c>
      <c r="F6363">
        <v>0</v>
      </c>
      <c r="G6363">
        <v>5.01</v>
      </c>
      <c r="H6363" t="s">
        <v>8588</v>
      </c>
      <c r="I6363">
        <v>6</v>
      </c>
      <c r="J6363" t="s">
        <v>462</v>
      </c>
      <c r="M6363">
        <v>7112</v>
      </c>
      <c r="N6363" t="s">
        <v>16259</v>
      </c>
    </row>
    <row r="6364" spans="1:14">
      <c r="A6364">
        <v>24155000</v>
      </c>
      <c r="B6364">
        <v>3035252</v>
      </c>
      <c r="C6364" t="s">
        <v>11550</v>
      </c>
      <c r="D6364" t="s">
        <v>441</v>
      </c>
      <c r="F6364">
        <v>0</v>
      </c>
      <c r="G6364">
        <v>3.6</v>
      </c>
      <c r="H6364" t="s">
        <v>8549</v>
      </c>
      <c r="I6364">
        <v>6</v>
      </c>
      <c r="J6364" t="s">
        <v>445</v>
      </c>
      <c r="M6364">
        <v>2143</v>
      </c>
      <c r="N6364" t="s">
        <v>16259</v>
      </c>
    </row>
    <row r="6365" spans="1:14">
      <c r="A6365">
        <v>24155026</v>
      </c>
      <c r="B6365">
        <v>4023858</v>
      </c>
      <c r="C6365" t="s">
        <v>11551</v>
      </c>
      <c r="D6365" t="s">
        <v>442</v>
      </c>
      <c r="E6365" t="s">
        <v>441</v>
      </c>
      <c r="F6365">
        <v>10</v>
      </c>
      <c r="G6365">
        <v>51.1</v>
      </c>
      <c r="H6365" t="s">
        <v>8588</v>
      </c>
      <c r="I6365">
        <v>365</v>
      </c>
      <c r="J6365" t="s">
        <v>462</v>
      </c>
      <c r="M6365">
        <v>7111</v>
      </c>
      <c r="N6365" t="s">
        <v>16259</v>
      </c>
    </row>
    <row r="6366" spans="1:14">
      <c r="A6366">
        <v>24155526</v>
      </c>
      <c r="B6366">
        <v>3035243</v>
      </c>
      <c r="C6366" t="s">
        <v>11552</v>
      </c>
      <c r="D6366" t="s">
        <v>442</v>
      </c>
      <c r="E6366" t="s">
        <v>441</v>
      </c>
      <c r="F6366">
        <v>10</v>
      </c>
      <c r="G6366">
        <v>46.56</v>
      </c>
      <c r="H6366" t="s">
        <v>8549</v>
      </c>
      <c r="I6366">
        <v>365</v>
      </c>
      <c r="J6366" t="s">
        <v>445</v>
      </c>
      <c r="M6366">
        <v>2502</v>
      </c>
      <c r="N6366" t="s">
        <v>16259</v>
      </c>
    </row>
    <row r="6367" spans="1:14">
      <c r="A6367">
        <v>24159000</v>
      </c>
      <c r="B6367">
        <v>3022796</v>
      </c>
      <c r="C6367" t="s">
        <v>11553</v>
      </c>
      <c r="D6367" t="s">
        <v>441</v>
      </c>
      <c r="F6367">
        <v>0</v>
      </c>
      <c r="G6367">
        <v>3.6</v>
      </c>
      <c r="H6367" t="s">
        <v>8588</v>
      </c>
      <c r="I6367">
        <v>2</v>
      </c>
      <c r="J6367" t="s">
        <v>445</v>
      </c>
      <c r="M6367">
        <v>3111</v>
      </c>
      <c r="N6367" t="s">
        <v>16259</v>
      </c>
    </row>
    <row r="6368" spans="1:14">
      <c r="A6368">
        <v>24159900</v>
      </c>
      <c r="B6368">
        <v>3022814</v>
      </c>
      <c r="C6368" t="s">
        <v>11554</v>
      </c>
      <c r="D6368" t="s">
        <v>441</v>
      </c>
      <c r="F6368">
        <v>0</v>
      </c>
      <c r="I6368">
        <v>2</v>
      </c>
      <c r="J6368" t="s">
        <v>445</v>
      </c>
      <c r="M6368">
        <v>6666</v>
      </c>
      <c r="N6368" t="s">
        <v>16259</v>
      </c>
    </row>
    <row r="6369" spans="1:14">
      <c r="A6369">
        <v>24200000</v>
      </c>
      <c r="B6369">
        <v>3008002</v>
      </c>
      <c r="C6369" t="s">
        <v>11555</v>
      </c>
      <c r="D6369" t="s">
        <v>441</v>
      </c>
      <c r="F6369">
        <v>0</v>
      </c>
      <c r="G6369">
        <v>3.6</v>
      </c>
      <c r="H6369" t="s">
        <v>8588</v>
      </c>
      <c r="I6369">
        <v>3</v>
      </c>
      <c r="J6369" t="s">
        <v>445</v>
      </c>
      <c r="M6369">
        <v>2143</v>
      </c>
      <c r="N6369" t="s">
        <v>16259</v>
      </c>
    </row>
    <row r="6370" spans="1:14">
      <c r="A6370">
        <v>24200002</v>
      </c>
      <c r="B6370">
        <v>3008003</v>
      </c>
      <c r="C6370" t="s">
        <v>11556</v>
      </c>
      <c r="D6370" t="s">
        <v>441</v>
      </c>
      <c r="F6370">
        <v>0</v>
      </c>
      <c r="G6370">
        <v>4.46</v>
      </c>
      <c r="H6370" t="s">
        <v>8588</v>
      </c>
      <c r="I6370">
        <v>365</v>
      </c>
      <c r="J6370" t="s">
        <v>445</v>
      </c>
      <c r="M6370">
        <v>7111</v>
      </c>
      <c r="N6370" t="s">
        <v>16259</v>
      </c>
    </row>
    <row r="6371" spans="1:14">
      <c r="A6371">
        <v>24200019</v>
      </c>
      <c r="B6371">
        <v>4008646</v>
      </c>
      <c r="C6371" t="s">
        <v>11557</v>
      </c>
      <c r="D6371" t="s">
        <v>441</v>
      </c>
      <c r="F6371">
        <v>0</v>
      </c>
      <c r="G6371">
        <v>8.1</v>
      </c>
      <c r="H6371" t="s">
        <v>8588</v>
      </c>
      <c r="I6371">
        <v>365</v>
      </c>
      <c r="J6371" t="s">
        <v>462</v>
      </c>
      <c r="K6371" t="s">
        <v>446</v>
      </c>
      <c r="M6371">
        <v>2501</v>
      </c>
    </row>
    <row r="6372" spans="1:14">
      <c r="A6372">
        <v>24200502</v>
      </c>
      <c r="B6372">
        <v>3008004</v>
      </c>
      <c r="C6372" t="s">
        <v>11558</v>
      </c>
      <c r="D6372" t="s">
        <v>441</v>
      </c>
      <c r="F6372">
        <v>0</v>
      </c>
      <c r="G6372">
        <v>3.95</v>
      </c>
      <c r="I6372">
        <v>6</v>
      </c>
      <c r="J6372" t="s">
        <v>445</v>
      </c>
      <c r="M6372">
        <v>2502</v>
      </c>
      <c r="N6372" t="s">
        <v>16259</v>
      </c>
    </row>
    <row r="6373" spans="1:14">
      <c r="A6373">
        <v>24200519</v>
      </c>
      <c r="B6373">
        <v>3009414</v>
      </c>
      <c r="C6373" t="s">
        <v>11559</v>
      </c>
      <c r="D6373" t="s">
        <v>441</v>
      </c>
      <c r="F6373">
        <v>0</v>
      </c>
      <c r="G6373">
        <v>7.85</v>
      </c>
      <c r="H6373" t="s">
        <v>8580</v>
      </c>
      <c r="I6373">
        <v>6</v>
      </c>
      <c r="J6373" t="s">
        <v>445</v>
      </c>
      <c r="K6373" t="s">
        <v>446</v>
      </c>
      <c r="M6373">
        <v>2141</v>
      </c>
    </row>
    <row r="6374" spans="1:14">
      <c r="A6374">
        <v>24200602</v>
      </c>
      <c r="B6374">
        <v>3008005</v>
      </c>
      <c r="C6374" t="s">
        <v>11560</v>
      </c>
      <c r="D6374" t="s">
        <v>441</v>
      </c>
      <c r="F6374">
        <v>0</v>
      </c>
      <c r="G6374">
        <v>4.6500000000000004</v>
      </c>
      <c r="H6374" t="s">
        <v>8588</v>
      </c>
      <c r="I6374">
        <v>4</v>
      </c>
      <c r="J6374" t="s">
        <v>445</v>
      </c>
      <c r="M6374">
        <v>2510</v>
      </c>
      <c r="N6374" t="s">
        <v>16259</v>
      </c>
    </row>
    <row r="6375" spans="1:14">
      <c r="A6375">
        <v>24200900</v>
      </c>
      <c r="B6375">
        <v>3020346</v>
      </c>
      <c r="C6375" t="s">
        <v>11561</v>
      </c>
      <c r="D6375" t="s">
        <v>441</v>
      </c>
      <c r="F6375">
        <v>0</v>
      </c>
      <c r="H6375" t="s">
        <v>8584</v>
      </c>
      <c r="I6375">
        <v>3</v>
      </c>
      <c r="J6375" t="s">
        <v>445</v>
      </c>
      <c r="M6375">
        <v>6666</v>
      </c>
      <c r="N6375" t="s">
        <v>16259</v>
      </c>
    </row>
    <row r="6376" spans="1:14">
      <c r="A6376">
        <v>24200902</v>
      </c>
      <c r="B6376">
        <v>3020347</v>
      </c>
      <c r="C6376" t="s">
        <v>11562</v>
      </c>
      <c r="D6376" t="s">
        <v>441</v>
      </c>
      <c r="F6376">
        <v>0</v>
      </c>
      <c r="H6376" t="s">
        <v>9302</v>
      </c>
      <c r="I6376">
        <v>4</v>
      </c>
      <c r="J6376" t="s">
        <v>445</v>
      </c>
      <c r="M6376">
        <v>6666</v>
      </c>
      <c r="N6376" t="s">
        <v>16259</v>
      </c>
    </row>
    <row r="6377" spans="1:14">
      <c r="A6377">
        <v>24204000</v>
      </c>
      <c r="B6377">
        <v>3008006</v>
      </c>
      <c r="C6377" t="s">
        <v>11563</v>
      </c>
      <c r="D6377" t="s">
        <v>441</v>
      </c>
      <c r="F6377">
        <v>0</v>
      </c>
      <c r="G6377">
        <v>8.1</v>
      </c>
      <c r="I6377">
        <v>6</v>
      </c>
      <c r="J6377" t="s">
        <v>445</v>
      </c>
      <c r="K6377" t="s">
        <v>446</v>
      </c>
      <c r="M6377">
        <v>0</v>
      </c>
    </row>
    <row r="6378" spans="1:14">
      <c r="A6378">
        <v>24220000</v>
      </c>
      <c r="B6378">
        <v>3015297</v>
      </c>
      <c r="C6378" t="s">
        <v>2941</v>
      </c>
      <c r="D6378" t="s">
        <v>441</v>
      </c>
      <c r="F6378">
        <v>0</v>
      </c>
      <c r="G6378">
        <v>1.3</v>
      </c>
      <c r="H6378" t="s">
        <v>8588</v>
      </c>
      <c r="I6378">
        <v>6</v>
      </c>
      <c r="J6378" t="s">
        <v>445</v>
      </c>
      <c r="M6378">
        <v>2143</v>
      </c>
      <c r="N6378" t="s">
        <v>16261</v>
      </c>
    </row>
    <row r="6379" spans="1:14">
      <c r="A6379">
        <v>24220020</v>
      </c>
      <c r="B6379">
        <v>4004022</v>
      </c>
      <c r="C6379" t="s">
        <v>14451</v>
      </c>
      <c r="D6379" t="s">
        <v>441</v>
      </c>
      <c r="F6379">
        <v>0</v>
      </c>
      <c r="G6379">
        <v>3.38</v>
      </c>
      <c r="H6379" t="s">
        <v>8588</v>
      </c>
      <c r="I6379">
        <v>6</v>
      </c>
      <c r="J6379" t="s">
        <v>462</v>
      </c>
      <c r="L6379">
        <v>2082355</v>
      </c>
      <c r="M6379">
        <v>7112</v>
      </c>
      <c r="N6379" t="s">
        <v>16261</v>
      </c>
    </row>
    <row r="6380" spans="1:14">
      <c r="A6380">
        <v>24220021</v>
      </c>
      <c r="B6380">
        <v>4008745</v>
      </c>
      <c r="C6380" t="s">
        <v>11564</v>
      </c>
      <c r="D6380" t="s">
        <v>441</v>
      </c>
      <c r="F6380">
        <v>0</v>
      </c>
      <c r="G6380">
        <v>1.19</v>
      </c>
      <c r="H6380" t="s">
        <v>8588</v>
      </c>
      <c r="I6380">
        <v>6</v>
      </c>
      <c r="J6380" t="s">
        <v>462</v>
      </c>
      <c r="K6380" t="s">
        <v>446</v>
      </c>
      <c r="M6380">
        <v>2612</v>
      </c>
    </row>
    <row r="6381" spans="1:14">
      <c r="A6381">
        <v>24220022</v>
      </c>
      <c r="B6381">
        <v>3008675</v>
      </c>
      <c r="C6381" t="s">
        <v>11565</v>
      </c>
      <c r="D6381" t="s">
        <v>441</v>
      </c>
      <c r="F6381">
        <v>0</v>
      </c>
      <c r="G6381">
        <v>1.33</v>
      </c>
      <c r="H6381" t="s">
        <v>8588</v>
      </c>
      <c r="I6381">
        <v>6</v>
      </c>
      <c r="J6381" t="s">
        <v>445</v>
      </c>
      <c r="K6381" t="s">
        <v>446</v>
      </c>
      <c r="M6381">
        <v>2641</v>
      </c>
    </row>
    <row r="6382" spans="1:14">
      <c r="A6382">
        <v>24220023</v>
      </c>
      <c r="B6382">
        <v>4012226</v>
      </c>
      <c r="C6382" t="s">
        <v>11566</v>
      </c>
      <c r="D6382" t="s">
        <v>441</v>
      </c>
      <c r="F6382">
        <v>0</v>
      </c>
      <c r="G6382">
        <v>1.19</v>
      </c>
      <c r="H6382" t="s">
        <v>8588</v>
      </c>
      <c r="I6382">
        <v>6</v>
      </c>
      <c r="J6382" t="s">
        <v>462</v>
      </c>
      <c r="K6382" t="s">
        <v>446</v>
      </c>
      <c r="M6382">
        <v>2612</v>
      </c>
    </row>
    <row r="6383" spans="1:14">
      <c r="A6383">
        <v>24220024</v>
      </c>
      <c r="B6383">
        <v>4012928</v>
      </c>
      <c r="C6383" t="s">
        <v>11567</v>
      </c>
      <c r="D6383" t="s">
        <v>441</v>
      </c>
      <c r="F6383">
        <v>0</v>
      </c>
      <c r="G6383">
        <v>1.17</v>
      </c>
      <c r="H6383" t="s">
        <v>8588</v>
      </c>
      <c r="I6383">
        <v>6</v>
      </c>
      <c r="J6383" t="s">
        <v>462</v>
      </c>
      <c r="K6383" t="s">
        <v>446</v>
      </c>
      <c r="M6383">
        <v>2612</v>
      </c>
    </row>
    <row r="6384" spans="1:14">
      <c r="A6384">
        <v>24220025</v>
      </c>
      <c r="B6384">
        <v>4001842</v>
      </c>
      <c r="C6384" t="s">
        <v>11568</v>
      </c>
      <c r="D6384" t="s">
        <v>441</v>
      </c>
      <c r="F6384">
        <v>0</v>
      </c>
      <c r="G6384">
        <v>1.33</v>
      </c>
      <c r="H6384" t="s">
        <v>8588</v>
      </c>
      <c r="I6384">
        <v>180</v>
      </c>
      <c r="J6384" t="s">
        <v>462</v>
      </c>
      <c r="K6384" t="s">
        <v>446</v>
      </c>
      <c r="M6384">
        <v>2501</v>
      </c>
    </row>
    <row r="6385" spans="1:14">
      <c r="A6385">
        <v>24220026</v>
      </c>
      <c r="B6385">
        <v>4016500</v>
      </c>
      <c r="C6385" t="s">
        <v>2942</v>
      </c>
      <c r="D6385" t="s">
        <v>441</v>
      </c>
      <c r="F6385">
        <v>0</v>
      </c>
      <c r="G6385">
        <v>2.36</v>
      </c>
      <c r="H6385" t="s">
        <v>8588</v>
      </c>
      <c r="I6385">
        <v>365</v>
      </c>
      <c r="J6385" t="s">
        <v>462</v>
      </c>
      <c r="M6385">
        <v>7111</v>
      </c>
      <c r="N6385" t="s">
        <v>16261</v>
      </c>
    </row>
    <row r="6386" spans="1:14">
      <c r="A6386">
        <v>24220027</v>
      </c>
      <c r="B6386">
        <v>4016508</v>
      </c>
      <c r="C6386" t="s">
        <v>2943</v>
      </c>
      <c r="D6386" t="s">
        <v>441</v>
      </c>
      <c r="F6386">
        <v>0</v>
      </c>
      <c r="G6386">
        <v>2.04</v>
      </c>
      <c r="H6386" t="s">
        <v>8588</v>
      </c>
      <c r="I6386">
        <v>365</v>
      </c>
      <c r="J6386" t="s">
        <v>462</v>
      </c>
      <c r="M6386">
        <v>7111</v>
      </c>
      <c r="N6386" t="s">
        <v>16261</v>
      </c>
    </row>
    <row r="6387" spans="1:14">
      <c r="A6387">
        <v>24220028</v>
      </c>
      <c r="B6387">
        <v>4020733</v>
      </c>
      <c r="C6387" t="s">
        <v>2944</v>
      </c>
      <c r="D6387" t="s">
        <v>442</v>
      </c>
      <c r="E6387" t="s">
        <v>441</v>
      </c>
      <c r="F6387">
        <v>10</v>
      </c>
      <c r="G6387">
        <v>30.11</v>
      </c>
      <c r="H6387" t="s">
        <v>8588</v>
      </c>
      <c r="I6387">
        <v>365</v>
      </c>
      <c r="J6387" t="s">
        <v>462</v>
      </c>
      <c r="M6387">
        <v>7111</v>
      </c>
      <c r="N6387" t="s">
        <v>16261</v>
      </c>
    </row>
    <row r="6388" spans="1:14">
      <c r="A6388">
        <v>24220030</v>
      </c>
      <c r="B6388">
        <v>4016087</v>
      </c>
      <c r="C6388" t="s">
        <v>11569</v>
      </c>
      <c r="D6388" t="s">
        <v>441</v>
      </c>
      <c r="F6388">
        <v>0</v>
      </c>
      <c r="G6388">
        <v>1.75</v>
      </c>
      <c r="H6388" t="s">
        <v>8588</v>
      </c>
      <c r="I6388">
        <v>6</v>
      </c>
      <c r="J6388" t="s">
        <v>462</v>
      </c>
      <c r="K6388" t="s">
        <v>446</v>
      </c>
      <c r="M6388">
        <v>2612</v>
      </c>
    </row>
    <row r="6389" spans="1:14">
      <c r="A6389">
        <v>24220031</v>
      </c>
      <c r="B6389">
        <v>4023535</v>
      </c>
      <c r="C6389" t="s">
        <v>2945</v>
      </c>
      <c r="D6389" t="s">
        <v>441</v>
      </c>
      <c r="F6389">
        <v>0</v>
      </c>
      <c r="G6389">
        <v>1.92</v>
      </c>
      <c r="H6389" t="s">
        <v>8588</v>
      </c>
      <c r="I6389">
        <v>6</v>
      </c>
      <c r="J6389" t="s">
        <v>462</v>
      </c>
      <c r="M6389">
        <v>7112</v>
      </c>
      <c r="N6389" t="s">
        <v>16261</v>
      </c>
    </row>
    <row r="6390" spans="1:14">
      <c r="A6390">
        <v>24220032</v>
      </c>
      <c r="B6390">
        <v>4025434</v>
      </c>
      <c r="C6390" t="s">
        <v>11570</v>
      </c>
      <c r="D6390" t="s">
        <v>441</v>
      </c>
      <c r="F6390">
        <v>0</v>
      </c>
      <c r="G6390">
        <v>1.79</v>
      </c>
      <c r="H6390" t="s">
        <v>8588</v>
      </c>
      <c r="I6390">
        <v>6</v>
      </c>
      <c r="J6390" t="s">
        <v>462</v>
      </c>
      <c r="M6390">
        <v>7112</v>
      </c>
      <c r="N6390" t="s">
        <v>16261</v>
      </c>
    </row>
    <row r="6391" spans="1:14">
      <c r="A6391">
        <v>24220040</v>
      </c>
      <c r="B6391">
        <v>4019628</v>
      </c>
      <c r="C6391" t="s">
        <v>11571</v>
      </c>
      <c r="D6391" t="s">
        <v>441</v>
      </c>
      <c r="F6391">
        <v>0</v>
      </c>
      <c r="G6391">
        <v>1.7</v>
      </c>
      <c r="H6391" t="s">
        <v>8588</v>
      </c>
      <c r="I6391">
        <v>6</v>
      </c>
      <c r="J6391" t="s">
        <v>462</v>
      </c>
      <c r="K6391" t="s">
        <v>446</v>
      </c>
      <c r="M6391">
        <v>2612</v>
      </c>
    </row>
    <row r="6392" spans="1:14">
      <c r="A6392">
        <v>24220043</v>
      </c>
      <c r="B6392">
        <v>4004026</v>
      </c>
      <c r="C6392" t="s">
        <v>11572</v>
      </c>
      <c r="D6392" t="s">
        <v>441</v>
      </c>
      <c r="F6392">
        <v>0</v>
      </c>
      <c r="G6392">
        <v>1.83</v>
      </c>
      <c r="H6392" t="s">
        <v>8588</v>
      </c>
      <c r="I6392">
        <v>7</v>
      </c>
      <c r="J6392" t="s">
        <v>462</v>
      </c>
      <c r="K6392" t="s">
        <v>446</v>
      </c>
      <c r="M6392">
        <v>2612</v>
      </c>
    </row>
    <row r="6393" spans="1:14">
      <c r="A6393">
        <v>24220075</v>
      </c>
      <c r="B6393">
        <v>4025291</v>
      </c>
      <c r="C6393" t="s">
        <v>11573</v>
      </c>
      <c r="D6393" t="s">
        <v>441</v>
      </c>
      <c r="F6393">
        <v>0</v>
      </c>
      <c r="G6393">
        <v>1.71</v>
      </c>
      <c r="H6393" t="s">
        <v>8588</v>
      </c>
      <c r="I6393">
        <v>6</v>
      </c>
      <c r="J6393" t="s">
        <v>462</v>
      </c>
      <c r="L6393">
        <v>2052234</v>
      </c>
      <c r="M6393">
        <v>7112</v>
      </c>
      <c r="N6393" t="s">
        <v>16261</v>
      </c>
    </row>
    <row r="6394" spans="1:14">
      <c r="A6394">
        <v>24220525</v>
      </c>
      <c r="B6394">
        <v>3008007</v>
      </c>
      <c r="C6394" t="s">
        <v>11574</v>
      </c>
      <c r="D6394" t="s">
        <v>441</v>
      </c>
      <c r="F6394">
        <v>0</v>
      </c>
      <c r="G6394">
        <v>1.1200000000000001</v>
      </c>
      <c r="I6394">
        <v>6</v>
      </c>
      <c r="J6394" t="s">
        <v>445</v>
      </c>
      <c r="K6394" t="s">
        <v>446</v>
      </c>
      <c r="M6394">
        <v>2141</v>
      </c>
    </row>
    <row r="6395" spans="1:14">
      <c r="A6395">
        <v>24220526</v>
      </c>
      <c r="B6395">
        <v>3006383</v>
      </c>
      <c r="C6395" t="s">
        <v>2946</v>
      </c>
      <c r="D6395" t="s">
        <v>441</v>
      </c>
      <c r="F6395">
        <v>0</v>
      </c>
      <c r="G6395">
        <v>2.0499999999999998</v>
      </c>
      <c r="H6395" t="s">
        <v>8584</v>
      </c>
      <c r="I6395">
        <v>4</v>
      </c>
      <c r="J6395" t="s">
        <v>445</v>
      </c>
      <c r="M6395">
        <v>2502</v>
      </c>
      <c r="N6395" t="s">
        <v>16261</v>
      </c>
    </row>
    <row r="6396" spans="1:14">
      <c r="A6396">
        <v>24220527</v>
      </c>
      <c r="B6396">
        <v>3006384</v>
      </c>
      <c r="C6396" t="s">
        <v>2947</v>
      </c>
      <c r="D6396" t="s">
        <v>441</v>
      </c>
      <c r="F6396">
        <v>0</v>
      </c>
      <c r="G6396">
        <v>1.74</v>
      </c>
      <c r="H6396" t="s">
        <v>8584</v>
      </c>
      <c r="I6396">
        <v>4</v>
      </c>
      <c r="J6396" t="s">
        <v>445</v>
      </c>
      <c r="M6396">
        <v>2502</v>
      </c>
      <c r="N6396" t="s">
        <v>16261</v>
      </c>
    </row>
    <row r="6397" spans="1:14">
      <c r="A6397">
        <v>24220528</v>
      </c>
      <c r="B6397">
        <v>3031022</v>
      </c>
      <c r="C6397" t="s">
        <v>2948</v>
      </c>
      <c r="D6397" t="s">
        <v>442</v>
      </c>
      <c r="E6397" t="s">
        <v>441</v>
      </c>
      <c r="F6397">
        <v>10</v>
      </c>
      <c r="G6397">
        <v>22.62</v>
      </c>
      <c r="H6397" t="s">
        <v>8588</v>
      </c>
      <c r="I6397">
        <v>365</v>
      </c>
      <c r="J6397" t="s">
        <v>445</v>
      </c>
      <c r="M6397">
        <v>2502</v>
      </c>
      <c r="N6397" t="s">
        <v>16261</v>
      </c>
    </row>
    <row r="6398" spans="1:14">
      <c r="A6398">
        <v>24220626</v>
      </c>
      <c r="B6398">
        <v>3026793</v>
      </c>
      <c r="C6398" t="s">
        <v>11575</v>
      </c>
      <c r="D6398" t="s">
        <v>441</v>
      </c>
      <c r="F6398">
        <v>0</v>
      </c>
      <c r="G6398">
        <v>1.69</v>
      </c>
      <c r="H6398" t="s">
        <v>8549</v>
      </c>
      <c r="I6398">
        <v>4</v>
      </c>
      <c r="J6398" t="s">
        <v>445</v>
      </c>
      <c r="K6398" t="s">
        <v>446</v>
      </c>
      <c r="M6398">
        <v>2511</v>
      </c>
    </row>
    <row r="6399" spans="1:14">
      <c r="A6399">
        <v>24220900</v>
      </c>
      <c r="B6399">
        <v>3020348</v>
      </c>
      <c r="C6399" t="s">
        <v>2949</v>
      </c>
      <c r="D6399" t="s">
        <v>441</v>
      </c>
      <c r="F6399">
        <v>0</v>
      </c>
      <c r="H6399" t="s">
        <v>9302</v>
      </c>
      <c r="I6399">
        <v>6</v>
      </c>
      <c r="J6399" t="s">
        <v>445</v>
      </c>
      <c r="M6399">
        <v>6666</v>
      </c>
      <c r="N6399" t="s">
        <v>16261</v>
      </c>
    </row>
    <row r="6400" spans="1:14">
      <c r="A6400">
        <v>24220926</v>
      </c>
      <c r="B6400">
        <v>3026774</v>
      </c>
      <c r="C6400" t="s">
        <v>11576</v>
      </c>
      <c r="D6400" t="s">
        <v>441</v>
      </c>
      <c r="F6400">
        <v>0</v>
      </c>
      <c r="G6400">
        <v>1.64</v>
      </c>
      <c r="H6400" t="s">
        <v>8584</v>
      </c>
      <c r="I6400">
        <v>4</v>
      </c>
      <c r="J6400" t="s">
        <v>445</v>
      </c>
      <c r="K6400" t="s">
        <v>446</v>
      </c>
      <c r="M6400">
        <v>6666</v>
      </c>
    </row>
    <row r="6401" spans="1:14">
      <c r="A6401">
        <v>24224000</v>
      </c>
      <c r="B6401">
        <v>3044601</v>
      </c>
      <c r="C6401" t="s">
        <v>15274</v>
      </c>
      <c r="D6401" t="s">
        <v>441</v>
      </c>
      <c r="F6401">
        <v>0</v>
      </c>
      <c r="G6401">
        <v>2.6</v>
      </c>
      <c r="H6401" t="s">
        <v>8588</v>
      </c>
      <c r="I6401">
        <v>6</v>
      </c>
      <c r="J6401" t="s">
        <v>445</v>
      </c>
      <c r="M6401">
        <v>2143</v>
      </c>
      <c r="N6401" t="s">
        <v>16261</v>
      </c>
    </row>
    <row r="6402" spans="1:14">
      <c r="A6402">
        <v>24224041</v>
      </c>
      <c r="B6402">
        <v>4029525</v>
      </c>
      <c r="C6402" t="s">
        <v>15275</v>
      </c>
      <c r="D6402" t="s">
        <v>441</v>
      </c>
      <c r="F6402">
        <v>0</v>
      </c>
      <c r="G6402">
        <v>3.46</v>
      </c>
      <c r="H6402" t="s">
        <v>8588</v>
      </c>
      <c r="I6402">
        <v>6</v>
      </c>
      <c r="J6402" t="s">
        <v>462</v>
      </c>
      <c r="M6402">
        <v>7112</v>
      </c>
      <c r="N6402" t="s">
        <v>16261</v>
      </c>
    </row>
    <row r="6403" spans="1:14">
      <c r="A6403">
        <v>24229000</v>
      </c>
      <c r="B6403">
        <v>3025497</v>
      </c>
      <c r="C6403" t="s">
        <v>2950</v>
      </c>
      <c r="D6403" t="s">
        <v>441</v>
      </c>
      <c r="F6403">
        <v>0</v>
      </c>
      <c r="G6403">
        <v>1.3</v>
      </c>
      <c r="H6403" t="s">
        <v>8935</v>
      </c>
      <c r="I6403">
        <v>2</v>
      </c>
      <c r="J6403" t="s">
        <v>445</v>
      </c>
      <c r="M6403">
        <v>3111</v>
      </c>
      <c r="N6403" t="s">
        <v>16261</v>
      </c>
    </row>
    <row r="6404" spans="1:14">
      <c r="A6404">
        <v>24230088</v>
      </c>
      <c r="B6404">
        <v>1100183</v>
      </c>
      <c r="C6404" t="s">
        <v>2951</v>
      </c>
      <c r="D6404" t="s">
        <v>441</v>
      </c>
      <c r="F6404">
        <v>0</v>
      </c>
      <c r="G6404">
        <v>1.3</v>
      </c>
      <c r="H6404" t="s">
        <v>8933</v>
      </c>
      <c r="I6404">
        <v>3</v>
      </c>
      <c r="J6404" t="s">
        <v>511</v>
      </c>
      <c r="M6404">
        <v>9908</v>
      </c>
      <c r="N6404" t="s">
        <v>16262</v>
      </c>
    </row>
    <row r="6405" spans="1:14">
      <c r="A6405">
        <v>24250101</v>
      </c>
      <c r="B6405">
        <v>3012204</v>
      </c>
      <c r="C6405" t="s">
        <v>11577</v>
      </c>
      <c r="D6405" t="s">
        <v>441</v>
      </c>
      <c r="F6405">
        <v>0</v>
      </c>
      <c r="G6405">
        <v>7.13</v>
      </c>
      <c r="H6405" t="s">
        <v>8925</v>
      </c>
      <c r="I6405">
        <v>6</v>
      </c>
      <c r="J6405" t="s">
        <v>445</v>
      </c>
      <c r="K6405" t="s">
        <v>446</v>
      </c>
      <c r="M6405">
        <v>7161</v>
      </c>
    </row>
    <row r="6406" spans="1:14">
      <c r="A6406">
        <v>24270000</v>
      </c>
      <c r="B6406">
        <v>3008716</v>
      </c>
      <c r="C6406" t="s">
        <v>2952</v>
      </c>
      <c r="D6406" t="s">
        <v>441</v>
      </c>
      <c r="F6406">
        <v>0</v>
      </c>
      <c r="G6406">
        <v>1.27</v>
      </c>
      <c r="H6406" t="s">
        <v>8580</v>
      </c>
      <c r="I6406">
        <v>6</v>
      </c>
      <c r="J6406" t="s">
        <v>445</v>
      </c>
      <c r="M6406">
        <v>2391</v>
      </c>
      <c r="N6406" t="s">
        <v>16263</v>
      </c>
    </row>
    <row r="6407" spans="1:14">
      <c r="A6407">
        <v>24270025</v>
      </c>
      <c r="B6407">
        <v>4024354</v>
      </c>
      <c r="C6407" t="s">
        <v>11578</v>
      </c>
      <c r="D6407" t="s">
        <v>442</v>
      </c>
      <c r="E6407" t="s">
        <v>441</v>
      </c>
      <c r="F6407">
        <v>10</v>
      </c>
      <c r="G6407">
        <v>20.63</v>
      </c>
      <c r="H6407" t="s">
        <v>8588</v>
      </c>
      <c r="I6407">
        <v>540</v>
      </c>
      <c r="J6407" t="s">
        <v>462</v>
      </c>
      <c r="M6407">
        <v>7111</v>
      </c>
      <c r="N6407" t="s">
        <v>16263</v>
      </c>
    </row>
    <row r="6408" spans="1:14">
      <c r="A6408">
        <v>24270026</v>
      </c>
      <c r="B6408">
        <v>4016433</v>
      </c>
      <c r="C6408" t="s">
        <v>11579</v>
      </c>
      <c r="D6408" t="s">
        <v>442</v>
      </c>
      <c r="E6408" t="s">
        <v>441</v>
      </c>
      <c r="F6408">
        <v>10</v>
      </c>
      <c r="G6408">
        <v>117.89</v>
      </c>
      <c r="H6408" t="s">
        <v>8588</v>
      </c>
      <c r="I6408">
        <v>540</v>
      </c>
      <c r="J6408" t="s">
        <v>462</v>
      </c>
      <c r="K6408" t="s">
        <v>446</v>
      </c>
      <c r="M6408">
        <v>2501</v>
      </c>
    </row>
    <row r="6409" spans="1:14">
      <c r="A6409">
        <v>24270027</v>
      </c>
      <c r="B6409">
        <v>4007588</v>
      </c>
      <c r="C6409" t="s">
        <v>11580</v>
      </c>
      <c r="D6409" t="s">
        <v>441</v>
      </c>
      <c r="F6409">
        <v>0</v>
      </c>
      <c r="G6409">
        <v>16.79</v>
      </c>
      <c r="H6409" t="s">
        <v>8588</v>
      </c>
      <c r="I6409">
        <v>365</v>
      </c>
      <c r="J6409" t="s">
        <v>462</v>
      </c>
      <c r="K6409" t="s">
        <v>446</v>
      </c>
      <c r="M6409">
        <v>2501</v>
      </c>
    </row>
    <row r="6410" spans="1:14">
      <c r="A6410">
        <v>24270028</v>
      </c>
      <c r="B6410">
        <v>4001844</v>
      </c>
      <c r="C6410" t="s">
        <v>11581</v>
      </c>
      <c r="D6410" t="s">
        <v>441</v>
      </c>
      <c r="F6410">
        <v>0</v>
      </c>
      <c r="G6410">
        <v>3.9</v>
      </c>
      <c r="H6410" t="s">
        <v>8588</v>
      </c>
      <c r="I6410">
        <v>365</v>
      </c>
      <c r="J6410" t="s">
        <v>462</v>
      </c>
      <c r="K6410" t="s">
        <v>446</v>
      </c>
      <c r="M6410">
        <v>2501</v>
      </c>
    </row>
    <row r="6411" spans="1:14">
      <c r="A6411">
        <v>24270075</v>
      </c>
      <c r="B6411">
        <v>4026340</v>
      </c>
      <c r="C6411" t="s">
        <v>2953</v>
      </c>
      <c r="D6411" t="s">
        <v>441</v>
      </c>
      <c r="F6411">
        <v>0</v>
      </c>
      <c r="G6411">
        <v>1.4</v>
      </c>
      <c r="H6411" t="s">
        <v>8588</v>
      </c>
      <c r="I6411">
        <v>6</v>
      </c>
      <c r="J6411" t="s">
        <v>462</v>
      </c>
      <c r="L6411">
        <v>2052374</v>
      </c>
      <c r="M6411">
        <v>7112</v>
      </c>
      <c r="N6411" t="s">
        <v>16263</v>
      </c>
    </row>
    <row r="6412" spans="1:14">
      <c r="A6412">
        <v>24270525</v>
      </c>
      <c r="B6412">
        <v>3036236</v>
      </c>
      <c r="C6412" t="s">
        <v>11582</v>
      </c>
      <c r="D6412" t="s">
        <v>442</v>
      </c>
      <c r="E6412" t="s">
        <v>441</v>
      </c>
      <c r="F6412">
        <v>10</v>
      </c>
      <c r="G6412">
        <v>17.989999999999998</v>
      </c>
      <c r="H6412" t="s">
        <v>8588</v>
      </c>
      <c r="I6412">
        <v>540</v>
      </c>
      <c r="J6412" t="s">
        <v>445</v>
      </c>
      <c r="M6412">
        <v>2502</v>
      </c>
      <c r="N6412" t="s">
        <v>16263</v>
      </c>
    </row>
    <row r="6413" spans="1:14">
      <c r="A6413">
        <v>24270526</v>
      </c>
      <c r="B6413">
        <v>3025100</v>
      </c>
      <c r="C6413" t="s">
        <v>11583</v>
      </c>
      <c r="D6413" t="s">
        <v>442</v>
      </c>
      <c r="E6413" t="s">
        <v>441</v>
      </c>
      <c r="F6413">
        <v>10</v>
      </c>
      <c r="G6413">
        <v>116.35</v>
      </c>
      <c r="H6413" t="s">
        <v>8549</v>
      </c>
      <c r="I6413">
        <v>540</v>
      </c>
      <c r="J6413" t="s">
        <v>445</v>
      </c>
      <c r="K6413" t="s">
        <v>446</v>
      </c>
      <c r="M6413">
        <v>2641</v>
      </c>
    </row>
    <row r="6414" spans="1:14">
      <c r="A6414">
        <v>24270527</v>
      </c>
      <c r="B6414">
        <v>3008009</v>
      </c>
      <c r="C6414" t="s">
        <v>11584</v>
      </c>
      <c r="D6414" t="s">
        <v>441</v>
      </c>
      <c r="F6414">
        <v>0</v>
      </c>
      <c r="G6414">
        <v>16.61</v>
      </c>
      <c r="I6414">
        <v>6</v>
      </c>
      <c r="J6414" t="s">
        <v>445</v>
      </c>
      <c r="K6414" t="s">
        <v>446</v>
      </c>
      <c r="M6414">
        <v>2641</v>
      </c>
    </row>
    <row r="6415" spans="1:14">
      <c r="A6415">
        <v>24270528</v>
      </c>
      <c r="B6415">
        <v>3008010</v>
      </c>
      <c r="C6415" t="s">
        <v>2954</v>
      </c>
      <c r="D6415" t="s">
        <v>441</v>
      </c>
      <c r="F6415">
        <v>0</v>
      </c>
      <c r="G6415">
        <v>16.649999999999999</v>
      </c>
      <c r="I6415">
        <v>6</v>
      </c>
      <c r="J6415" t="s">
        <v>445</v>
      </c>
      <c r="K6415" t="s">
        <v>446</v>
      </c>
      <c r="M6415">
        <v>2641</v>
      </c>
    </row>
    <row r="6416" spans="1:14">
      <c r="A6416">
        <v>24271000</v>
      </c>
      <c r="B6416">
        <v>3009067</v>
      </c>
      <c r="C6416" t="s">
        <v>11585</v>
      </c>
      <c r="D6416" t="s">
        <v>441</v>
      </c>
      <c r="F6416">
        <v>0</v>
      </c>
      <c r="G6416">
        <v>1.27</v>
      </c>
      <c r="I6416">
        <v>5</v>
      </c>
      <c r="J6416" t="s">
        <v>445</v>
      </c>
      <c r="M6416">
        <v>2391</v>
      </c>
      <c r="N6416" t="s">
        <v>16263</v>
      </c>
    </row>
    <row r="6417" spans="1:14">
      <c r="A6417">
        <v>24271026</v>
      </c>
      <c r="B6417">
        <v>4016432</v>
      </c>
      <c r="C6417" t="s">
        <v>11586</v>
      </c>
      <c r="D6417" t="s">
        <v>442</v>
      </c>
      <c r="E6417" t="s">
        <v>441</v>
      </c>
      <c r="F6417">
        <v>10</v>
      </c>
      <c r="G6417">
        <v>167.73</v>
      </c>
      <c r="H6417" t="s">
        <v>8588</v>
      </c>
      <c r="I6417">
        <v>365</v>
      </c>
      <c r="J6417" t="s">
        <v>462</v>
      </c>
      <c r="K6417" t="s">
        <v>446</v>
      </c>
      <c r="M6417">
        <v>2501</v>
      </c>
    </row>
    <row r="6418" spans="1:14">
      <c r="A6418">
        <v>24271526</v>
      </c>
      <c r="B6418">
        <v>3025089</v>
      </c>
      <c r="C6418" t="s">
        <v>11587</v>
      </c>
      <c r="D6418" t="s">
        <v>442</v>
      </c>
      <c r="E6418" t="s">
        <v>441</v>
      </c>
      <c r="F6418">
        <v>10</v>
      </c>
      <c r="G6418">
        <v>166.19</v>
      </c>
      <c r="H6418" t="s">
        <v>8549</v>
      </c>
      <c r="I6418">
        <v>365</v>
      </c>
      <c r="J6418" t="s">
        <v>445</v>
      </c>
      <c r="K6418" t="s">
        <v>446</v>
      </c>
      <c r="M6418">
        <v>2641</v>
      </c>
    </row>
    <row r="6419" spans="1:14">
      <c r="A6419">
        <v>24273000</v>
      </c>
      <c r="B6419">
        <v>3016439</v>
      </c>
      <c r="C6419" t="s">
        <v>2955</v>
      </c>
      <c r="D6419" t="s">
        <v>441</v>
      </c>
      <c r="F6419">
        <v>0</v>
      </c>
      <c r="G6419">
        <v>1.27</v>
      </c>
      <c r="H6419" t="s">
        <v>8580</v>
      </c>
      <c r="I6419">
        <v>6</v>
      </c>
      <c r="J6419" t="s">
        <v>445</v>
      </c>
      <c r="M6419">
        <v>2391</v>
      </c>
      <c r="N6419" t="s">
        <v>16263</v>
      </c>
    </row>
    <row r="6420" spans="1:14">
      <c r="A6420">
        <v>24273007</v>
      </c>
      <c r="B6420">
        <v>3025012</v>
      </c>
      <c r="C6420" t="s">
        <v>11588</v>
      </c>
      <c r="D6420" t="s">
        <v>441</v>
      </c>
      <c r="F6420">
        <v>0</v>
      </c>
      <c r="G6420">
        <v>11.08</v>
      </c>
      <c r="H6420" t="s">
        <v>8584</v>
      </c>
      <c r="I6420">
        <v>6</v>
      </c>
      <c r="J6420" t="s">
        <v>445</v>
      </c>
      <c r="K6420" t="s">
        <v>446</v>
      </c>
      <c r="M6420">
        <v>3111</v>
      </c>
    </row>
    <row r="6421" spans="1:14">
      <c r="A6421">
        <v>24274000</v>
      </c>
      <c r="B6421">
        <v>3040430</v>
      </c>
      <c r="C6421" t="s">
        <v>11589</v>
      </c>
      <c r="D6421" t="s">
        <v>441</v>
      </c>
      <c r="F6421">
        <v>0</v>
      </c>
      <c r="G6421">
        <v>1.27</v>
      </c>
      <c r="H6421" t="s">
        <v>8549</v>
      </c>
      <c r="I6421">
        <v>6</v>
      </c>
      <c r="J6421" t="s">
        <v>445</v>
      </c>
      <c r="M6421">
        <v>2391</v>
      </c>
      <c r="N6421" t="s">
        <v>16263</v>
      </c>
    </row>
    <row r="6422" spans="1:14">
      <c r="A6422">
        <v>24274040</v>
      </c>
      <c r="B6422">
        <v>4026871</v>
      </c>
      <c r="C6422" t="s">
        <v>11590</v>
      </c>
      <c r="D6422" t="s">
        <v>441</v>
      </c>
      <c r="F6422">
        <v>0</v>
      </c>
      <c r="G6422">
        <v>2.38</v>
      </c>
      <c r="H6422" t="s">
        <v>8588</v>
      </c>
      <c r="I6422">
        <v>10</v>
      </c>
      <c r="J6422" t="s">
        <v>462</v>
      </c>
      <c r="M6422">
        <v>7112</v>
      </c>
      <c r="N6422" t="s">
        <v>16263</v>
      </c>
    </row>
    <row r="6423" spans="1:14">
      <c r="A6423">
        <v>24276000</v>
      </c>
      <c r="B6423">
        <v>3009068</v>
      </c>
      <c r="C6423" t="s">
        <v>11591</v>
      </c>
      <c r="D6423" t="s">
        <v>441</v>
      </c>
      <c r="F6423">
        <v>0</v>
      </c>
      <c r="G6423">
        <v>3.28</v>
      </c>
      <c r="I6423">
        <v>5</v>
      </c>
      <c r="J6423" t="s">
        <v>445</v>
      </c>
      <c r="K6423" t="s">
        <v>446</v>
      </c>
      <c r="M6423">
        <v>2390</v>
      </c>
    </row>
    <row r="6424" spans="1:14">
      <c r="A6424">
        <v>24300000</v>
      </c>
      <c r="B6424">
        <v>3038705</v>
      </c>
      <c r="C6424" t="s">
        <v>11592</v>
      </c>
      <c r="D6424" t="s">
        <v>441</v>
      </c>
      <c r="F6424">
        <v>0</v>
      </c>
      <c r="G6424">
        <v>4.51</v>
      </c>
      <c r="H6424" t="s">
        <v>8549</v>
      </c>
      <c r="I6424">
        <v>4</v>
      </c>
      <c r="J6424" t="s">
        <v>445</v>
      </c>
      <c r="M6424">
        <v>2123</v>
      </c>
      <c r="N6424" t="s">
        <v>16264</v>
      </c>
    </row>
    <row r="6425" spans="1:14">
      <c r="A6425">
        <v>24300007</v>
      </c>
      <c r="B6425">
        <v>3039231</v>
      </c>
      <c r="C6425" t="s">
        <v>11593</v>
      </c>
      <c r="D6425" t="s">
        <v>442</v>
      </c>
      <c r="E6425" t="s">
        <v>441</v>
      </c>
      <c r="F6425">
        <v>0.55000000000000004</v>
      </c>
      <c r="G6425">
        <v>0.83</v>
      </c>
      <c r="H6425" t="s">
        <v>8549</v>
      </c>
      <c r="I6425">
        <v>540</v>
      </c>
      <c r="J6425" t="s">
        <v>445</v>
      </c>
      <c r="M6425">
        <v>2123</v>
      </c>
      <c r="N6425" t="s">
        <v>16264</v>
      </c>
    </row>
    <row r="6426" spans="1:14">
      <c r="A6426">
        <v>24300008</v>
      </c>
      <c r="B6426">
        <v>3045078</v>
      </c>
      <c r="C6426" t="s">
        <v>15642</v>
      </c>
      <c r="D6426" t="s">
        <v>441</v>
      </c>
      <c r="F6426">
        <v>0</v>
      </c>
      <c r="G6426">
        <v>22.64</v>
      </c>
      <c r="H6426" t="s">
        <v>8549</v>
      </c>
      <c r="I6426">
        <v>4</v>
      </c>
      <c r="J6426" t="s">
        <v>445</v>
      </c>
      <c r="M6426">
        <v>2123</v>
      </c>
      <c r="N6426" t="s">
        <v>16264</v>
      </c>
    </row>
    <row r="6427" spans="1:14">
      <c r="A6427">
        <v>24300018</v>
      </c>
      <c r="B6427">
        <v>4028355</v>
      </c>
      <c r="C6427" t="s">
        <v>11594</v>
      </c>
      <c r="D6427" t="s">
        <v>441</v>
      </c>
      <c r="F6427">
        <v>0</v>
      </c>
      <c r="G6427">
        <v>10.029999999999999</v>
      </c>
      <c r="H6427" t="s">
        <v>8588</v>
      </c>
      <c r="I6427">
        <v>365</v>
      </c>
      <c r="J6427" t="s">
        <v>462</v>
      </c>
      <c r="M6427">
        <v>0</v>
      </c>
      <c r="N6427" t="s">
        <v>16264</v>
      </c>
    </row>
    <row r="6428" spans="1:14">
      <c r="A6428">
        <v>24300026</v>
      </c>
      <c r="B6428">
        <v>4025919</v>
      </c>
      <c r="C6428" t="s">
        <v>11595</v>
      </c>
      <c r="D6428" t="s">
        <v>441</v>
      </c>
      <c r="F6428">
        <v>0</v>
      </c>
      <c r="G6428">
        <v>11.59</v>
      </c>
      <c r="H6428" t="s">
        <v>8588</v>
      </c>
      <c r="I6428">
        <v>365</v>
      </c>
      <c r="J6428" t="s">
        <v>462</v>
      </c>
      <c r="M6428">
        <v>7111</v>
      </c>
      <c r="N6428" t="s">
        <v>16264</v>
      </c>
    </row>
    <row r="6429" spans="1:14">
      <c r="A6429">
        <v>24300027</v>
      </c>
      <c r="B6429">
        <v>4026021</v>
      </c>
      <c r="C6429" t="s">
        <v>14452</v>
      </c>
      <c r="D6429" t="s">
        <v>442</v>
      </c>
      <c r="E6429" t="s">
        <v>441</v>
      </c>
      <c r="F6429">
        <v>10</v>
      </c>
      <c r="G6429">
        <v>40.75</v>
      </c>
      <c r="H6429" t="s">
        <v>8588</v>
      </c>
      <c r="I6429">
        <v>365</v>
      </c>
      <c r="J6429" t="s">
        <v>462</v>
      </c>
      <c r="M6429">
        <v>7111</v>
      </c>
      <c r="N6429" t="s">
        <v>16264</v>
      </c>
    </row>
    <row r="6430" spans="1:14">
      <c r="A6430">
        <v>24300030</v>
      </c>
      <c r="B6430">
        <v>4026201</v>
      </c>
      <c r="C6430" t="s">
        <v>14453</v>
      </c>
      <c r="D6430" t="s">
        <v>442</v>
      </c>
      <c r="E6430" t="s">
        <v>441</v>
      </c>
      <c r="F6430">
        <v>0.55000000000000004</v>
      </c>
      <c r="G6430">
        <v>2.6</v>
      </c>
      <c r="H6430" t="s">
        <v>8588</v>
      </c>
      <c r="I6430">
        <v>540</v>
      </c>
      <c r="J6430" t="s">
        <v>462</v>
      </c>
      <c r="L6430" t="s">
        <v>11596</v>
      </c>
      <c r="M6430">
        <v>7210</v>
      </c>
      <c r="N6430" t="s">
        <v>16264</v>
      </c>
    </row>
    <row r="6431" spans="1:14">
      <c r="A6431">
        <v>24300035</v>
      </c>
      <c r="B6431">
        <v>4026121</v>
      </c>
      <c r="C6431" t="s">
        <v>11597</v>
      </c>
      <c r="D6431" t="s">
        <v>442</v>
      </c>
      <c r="E6431" t="s">
        <v>441</v>
      </c>
      <c r="F6431">
        <v>10</v>
      </c>
      <c r="G6431">
        <v>102.55</v>
      </c>
      <c r="H6431" t="s">
        <v>8588</v>
      </c>
      <c r="I6431">
        <v>540</v>
      </c>
      <c r="J6431" t="s">
        <v>462</v>
      </c>
      <c r="M6431">
        <v>7113</v>
      </c>
      <c r="N6431" t="s">
        <v>16264</v>
      </c>
    </row>
    <row r="6432" spans="1:14">
      <c r="A6432">
        <v>24300086</v>
      </c>
      <c r="B6432">
        <v>3045414</v>
      </c>
      <c r="C6432" t="s">
        <v>16265</v>
      </c>
      <c r="D6432" t="s">
        <v>441</v>
      </c>
      <c r="F6432">
        <v>0</v>
      </c>
      <c r="G6432">
        <v>3.06</v>
      </c>
      <c r="H6432" t="s">
        <v>8588</v>
      </c>
      <c r="I6432">
        <v>6</v>
      </c>
      <c r="J6432" t="s">
        <v>445</v>
      </c>
      <c r="K6432" t="s">
        <v>446</v>
      </c>
      <c r="M6432">
        <v>7210</v>
      </c>
      <c r="N6432" t="s">
        <v>16264</v>
      </c>
    </row>
    <row r="6433" spans="1:14">
      <c r="A6433">
        <v>24300087</v>
      </c>
      <c r="B6433">
        <v>4025962</v>
      </c>
      <c r="C6433" t="s">
        <v>11598</v>
      </c>
      <c r="D6433" t="s">
        <v>441</v>
      </c>
      <c r="F6433">
        <v>0</v>
      </c>
      <c r="G6433">
        <v>1.2</v>
      </c>
      <c r="H6433" t="s">
        <v>8588</v>
      </c>
      <c r="I6433">
        <v>6</v>
      </c>
      <c r="J6433" t="s">
        <v>462</v>
      </c>
      <c r="M6433">
        <v>7210</v>
      </c>
      <c r="N6433" t="s">
        <v>16264</v>
      </c>
    </row>
    <row r="6434" spans="1:14">
      <c r="A6434">
        <v>24300518</v>
      </c>
      <c r="B6434">
        <v>3043111</v>
      </c>
      <c r="C6434" t="s">
        <v>11599</v>
      </c>
      <c r="D6434" t="s">
        <v>441</v>
      </c>
      <c r="F6434">
        <v>0</v>
      </c>
      <c r="G6434">
        <v>11.72</v>
      </c>
      <c r="H6434" t="s">
        <v>8549</v>
      </c>
      <c r="I6434">
        <v>6</v>
      </c>
      <c r="J6434" t="s">
        <v>445</v>
      </c>
      <c r="M6434">
        <v>2502</v>
      </c>
      <c r="N6434" t="s">
        <v>16264</v>
      </c>
    </row>
    <row r="6435" spans="1:14">
      <c r="A6435">
        <v>24300526</v>
      </c>
      <c r="B6435">
        <v>3038733</v>
      </c>
      <c r="C6435" t="s">
        <v>11600</v>
      </c>
      <c r="D6435" t="s">
        <v>441</v>
      </c>
      <c r="F6435">
        <v>0</v>
      </c>
      <c r="G6435">
        <v>11.2</v>
      </c>
      <c r="H6435" t="s">
        <v>8580</v>
      </c>
      <c r="I6435">
        <v>365</v>
      </c>
      <c r="J6435" t="s">
        <v>445</v>
      </c>
      <c r="K6435" t="s">
        <v>446</v>
      </c>
      <c r="M6435">
        <v>2502</v>
      </c>
      <c r="N6435" t="s">
        <v>16264</v>
      </c>
    </row>
    <row r="6436" spans="1:14">
      <c r="A6436">
        <v>24300527</v>
      </c>
      <c r="B6436">
        <v>3038860</v>
      </c>
      <c r="C6436" t="s">
        <v>14454</v>
      </c>
      <c r="D6436" t="s">
        <v>442</v>
      </c>
      <c r="E6436" t="s">
        <v>441</v>
      </c>
      <c r="F6436">
        <v>10</v>
      </c>
      <c r="G6436">
        <v>112.2</v>
      </c>
      <c r="H6436" t="s">
        <v>8588</v>
      </c>
      <c r="I6436">
        <v>365</v>
      </c>
      <c r="J6436" t="s">
        <v>445</v>
      </c>
      <c r="M6436">
        <v>2502</v>
      </c>
      <c r="N6436" t="s">
        <v>16264</v>
      </c>
    </row>
    <row r="6437" spans="1:14">
      <c r="A6437">
        <v>24300535</v>
      </c>
      <c r="B6437">
        <v>3039013</v>
      </c>
      <c r="C6437" t="s">
        <v>11601</v>
      </c>
      <c r="D6437" t="s">
        <v>442</v>
      </c>
      <c r="E6437" t="s">
        <v>441</v>
      </c>
      <c r="F6437">
        <v>10</v>
      </c>
      <c r="G6437">
        <v>98.67</v>
      </c>
      <c r="H6437" t="s">
        <v>8588</v>
      </c>
      <c r="I6437">
        <v>540</v>
      </c>
      <c r="J6437" t="s">
        <v>445</v>
      </c>
      <c r="K6437" t="s">
        <v>446</v>
      </c>
      <c r="M6437">
        <v>2502</v>
      </c>
      <c r="N6437" t="s">
        <v>16264</v>
      </c>
    </row>
    <row r="6438" spans="1:14">
      <c r="A6438">
        <v>24310000</v>
      </c>
      <c r="B6438">
        <v>3038706</v>
      </c>
      <c r="C6438" t="s">
        <v>11602</v>
      </c>
      <c r="D6438" t="s">
        <v>441</v>
      </c>
      <c r="F6438">
        <v>0</v>
      </c>
      <c r="G6438">
        <v>4.55</v>
      </c>
      <c r="H6438" t="s">
        <v>8549</v>
      </c>
      <c r="I6438">
        <v>4</v>
      </c>
      <c r="J6438" t="s">
        <v>445</v>
      </c>
      <c r="M6438">
        <v>2123</v>
      </c>
      <c r="N6438" t="s">
        <v>16266</v>
      </c>
    </row>
    <row r="6439" spans="1:14">
      <c r="A6439">
        <v>24310006</v>
      </c>
      <c r="B6439">
        <v>3041078</v>
      </c>
      <c r="C6439" t="s">
        <v>11603</v>
      </c>
      <c r="D6439" t="s">
        <v>449</v>
      </c>
      <c r="E6439" t="s">
        <v>441</v>
      </c>
      <c r="F6439">
        <v>0.36</v>
      </c>
      <c r="G6439">
        <v>0.79</v>
      </c>
      <c r="H6439" t="s">
        <v>8549</v>
      </c>
      <c r="I6439">
        <v>540</v>
      </c>
      <c r="J6439" t="s">
        <v>445</v>
      </c>
      <c r="M6439">
        <v>2123</v>
      </c>
      <c r="N6439" t="s">
        <v>16266</v>
      </c>
    </row>
    <row r="6440" spans="1:14">
      <c r="A6440">
        <v>24310007</v>
      </c>
      <c r="B6440">
        <v>3039234</v>
      </c>
      <c r="C6440" t="s">
        <v>11604</v>
      </c>
      <c r="D6440" t="s">
        <v>442</v>
      </c>
      <c r="E6440" t="s">
        <v>441</v>
      </c>
      <c r="F6440">
        <v>3.2</v>
      </c>
      <c r="G6440">
        <v>6.96</v>
      </c>
      <c r="H6440" t="s">
        <v>8549</v>
      </c>
      <c r="I6440">
        <v>540</v>
      </c>
      <c r="J6440" t="s">
        <v>445</v>
      </c>
      <c r="M6440">
        <v>2123</v>
      </c>
      <c r="N6440" t="s">
        <v>16266</v>
      </c>
    </row>
    <row r="6441" spans="1:14">
      <c r="A6441">
        <v>24310008</v>
      </c>
      <c r="B6441">
        <v>3040528</v>
      </c>
      <c r="C6441" t="s">
        <v>15423</v>
      </c>
      <c r="D6441" t="s">
        <v>442</v>
      </c>
      <c r="E6441" t="s">
        <v>441</v>
      </c>
      <c r="F6441">
        <v>5.2</v>
      </c>
      <c r="G6441">
        <v>33.700000000000003</v>
      </c>
      <c r="H6441" t="s">
        <v>8549</v>
      </c>
      <c r="I6441">
        <v>540</v>
      </c>
      <c r="J6441" t="s">
        <v>445</v>
      </c>
      <c r="M6441">
        <v>2123</v>
      </c>
      <c r="N6441" t="s">
        <v>16266</v>
      </c>
    </row>
    <row r="6442" spans="1:14">
      <c r="A6442">
        <v>24310009</v>
      </c>
      <c r="B6442">
        <v>3039750</v>
      </c>
      <c r="C6442" t="s">
        <v>11605</v>
      </c>
      <c r="D6442" t="s">
        <v>442</v>
      </c>
      <c r="E6442" t="s">
        <v>441</v>
      </c>
      <c r="F6442">
        <v>3.2</v>
      </c>
      <c r="G6442">
        <v>6.96</v>
      </c>
      <c r="H6442" t="s">
        <v>8549</v>
      </c>
      <c r="I6442">
        <v>540</v>
      </c>
      <c r="J6442" t="s">
        <v>445</v>
      </c>
      <c r="M6442">
        <v>2123</v>
      </c>
      <c r="N6442" t="s">
        <v>16266</v>
      </c>
    </row>
    <row r="6443" spans="1:14">
      <c r="A6443">
        <v>24310010</v>
      </c>
      <c r="B6443">
        <v>3041200</v>
      </c>
      <c r="C6443" t="s">
        <v>15424</v>
      </c>
      <c r="D6443" t="s">
        <v>442</v>
      </c>
      <c r="E6443" t="s">
        <v>441</v>
      </c>
      <c r="F6443">
        <v>5.2</v>
      </c>
      <c r="G6443">
        <v>33.700000000000003</v>
      </c>
      <c r="H6443" t="s">
        <v>8549</v>
      </c>
      <c r="I6443">
        <v>540</v>
      </c>
      <c r="J6443" t="s">
        <v>445</v>
      </c>
      <c r="M6443">
        <v>2123</v>
      </c>
      <c r="N6443" t="s">
        <v>16266</v>
      </c>
    </row>
    <row r="6444" spans="1:14">
      <c r="A6444">
        <v>24310011</v>
      </c>
      <c r="B6444">
        <v>3045225</v>
      </c>
      <c r="C6444" t="s">
        <v>15643</v>
      </c>
      <c r="D6444" t="s">
        <v>442</v>
      </c>
      <c r="E6444" t="s">
        <v>441</v>
      </c>
      <c r="F6444">
        <v>2.6</v>
      </c>
      <c r="G6444">
        <v>15.28</v>
      </c>
      <c r="H6444" t="s">
        <v>8549</v>
      </c>
      <c r="I6444">
        <v>540</v>
      </c>
      <c r="J6444" t="s">
        <v>445</v>
      </c>
      <c r="M6444">
        <v>2123</v>
      </c>
      <c r="N6444" t="s">
        <v>16266</v>
      </c>
    </row>
    <row r="6445" spans="1:14">
      <c r="A6445">
        <v>24310012</v>
      </c>
      <c r="B6445">
        <v>3045727</v>
      </c>
      <c r="C6445" t="s">
        <v>16267</v>
      </c>
      <c r="D6445" t="s">
        <v>442</v>
      </c>
      <c r="E6445" t="s">
        <v>441</v>
      </c>
      <c r="F6445">
        <v>5.3</v>
      </c>
      <c r="G6445">
        <v>31.77</v>
      </c>
      <c r="H6445" t="s">
        <v>8549</v>
      </c>
      <c r="I6445">
        <v>540</v>
      </c>
      <c r="J6445" t="s">
        <v>445</v>
      </c>
      <c r="M6445">
        <v>2123</v>
      </c>
      <c r="N6445" t="s">
        <v>16266</v>
      </c>
    </row>
    <row r="6446" spans="1:14">
      <c r="A6446">
        <v>24310030</v>
      </c>
      <c r="B6446">
        <v>4026066</v>
      </c>
      <c r="C6446" t="s">
        <v>11606</v>
      </c>
      <c r="D6446" t="s">
        <v>442</v>
      </c>
      <c r="E6446" t="s">
        <v>441</v>
      </c>
      <c r="F6446">
        <v>1</v>
      </c>
      <c r="G6446">
        <v>5.62</v>
      </c>
      <c r="H6446" t="s">
        <v>8588</v>
      </c>
      <c r="I6446">
        <v>540</v>
      </c>
      <c r="J6446" t="s">
        <v>462</v>
      </c>
      <c r="K6446" t="s">
        <v>446</v>
      </c>
      <c r="L6446" t="s">
        <v>2956</v>
      </c>
      <c r="M6446">
        <v>0</v>
      </c>
    </row>
    <row r="6447" spans="1:14">
      <c r="A6447">
        <v>24310031</v>
      </c>
      <c r="B6447">
        <v>4026197</v>
      </c>
      <c r="C6447" t="s">
        <v>11607</v>
      </c>
      <c r="D6447" t="s">
        <v>442</v>
      </c>
      <c r="E6447" t="s">
        <v>441</v>
      </c>
      <c r="F6447">
        <v>3.2</v>
      </c>
      <c r="G6447">
        <v>9.67</v>
      </c>
      <c r="H6447" t="s">
        <v>8588</v>
      </c>
      <c r="I6447">
        <v>540</v>
      </c>
      <c r="J6447" t="s">
        <v>462</v>
      </c>
      <c r="L6447" t="s">
        <v>11608</v>
      </c>
      <c r="M6447">
        <v>7210</v>
      </c>
      <c r="N6447" t="s">
        <v>16266</v>
      </c>
    </row>
    <row r="6448" spans="1:14">
      <c r="A6448">
        <v>24310032</v>
      </c>
      <c r="B6448">
        <v>4026376</v>
      </c>
      <c r="C6448" t="s">
        <v>14455</v>
      </c>
      <c r="D6448" t="s">
        <v>442</v>
      </c>
      <c r="E6448" t="s">
        <v>441</v>
      </c>
      <c r="F6448">
        <v>3.2</v>
      </c>
      <c r="G6448">
        <v>18.04</v>
      </c>
      <c r="H6448" t="s">
        <v>8588</v>
      </c>
      <c r="I6448">
        <v>540</v>
      </c>
      <c r="J6448" t="s">
        <v>462</v>
      </c>
      <c r="L6448" t="s">
        <v>11609</v>
      </c>
      <c r="M6448">
        <v>7210</v>
      </c>
      <c r="N6448" t="s">
        <v>16266</v>
      </c>
    </row>
    <row r="6449" spans="1:14">
      <c r="A6449">
        <v>24310033</v>
      </c>
      <c r="B6449">
        <v>4026946</v>
      </c>
      <c r="C6449" t="s">
        <v>15425</v>
      </c>
      <c r="D6449" t="s">
        <v>442</v>
      </c>
      <c r="E6449" t="s">
        <v>441</v>
      </c>
      <c r="F6449">
        <v>5.2</v>
      </c>
      <c r="G6449">
        <v>43.26</v>
      </c>
      <c r="H6449" t="s">
        <v>8588</v>
      </c>
      <c r="I6449">
        <v>540</v>
      </c>
      <c r="J6449" t="s">
        <v>462</v>
      </c>
      <c r="L6449" t="s">
        <v>11610</v>
      </c>
      <c r="M6449">
        <v>7210</v>
      </c>
      <c r="N6449" t="s">
        <v>16266</v>
      </c>
    </row>
    <row r="6450" spans="1:14">
      <c r="A6450">
        <v>24310034</v>
      </c>
      <c r="B6450">
        <v>4027235</v>
      </c>
      <c r="C6450" t="s">
        <v>15644</v>
      </c>
      <c r="D6450" t="s">
        <v>442</v>
      </c>
      <c r="E6450" t="s">
        <v>441</v>
      </c>
      <c r="F6450">
        <v>5.2</v>
      </c>
      <c r="G6450">
        <v>37.340000000000003</v>
      </c>
      <c r="H6450" t="s">
        <v>8588</v>
      </c>
      <c r="I6450">
        <v>540</v>
      </c>
      <c r="J6450" t="s">
        <v>462</v>
      </c>
      <c r="L6450" t="s">
        <v>11611</v>
      </c>
      <c r="M6450">
        <v>7210</v>
      </c>
      <c r="N6450" t="s">
        <v>16266</v>
      </c>
    </row>
    <row r="6451" spans="1:14">
      <c r="A6451">
        <v>24310035</v>
      </c>
      <c r="B6451">
        <v>4029261</v>
      </c>
      <c r="C6451" t="s">
        <v>14456</v>
      </c>
      <c r="D6451" t="s">
        <v>441</v>
      </c>
      <c r="F6451">
        <v>0</v>
      </c>
      <c r="G6451">
        <v>5.0999999999999996</v>
      </c>
      <c r="H6451" t="s">
        <v>8588</v>
      </c>
      <c r="I6451">
        <v>14</v>
      </c>
      <c r="J6451" t="s">
        <v>462</v>
      </c>
      <c r="M6451">
        <v>7210</v>
      </c>
      <c r="N6451" t="s">
        <v>16266</v>
      </c>
    </row>
    <row r="6452" spans="1:14">
      <c r="A6452">
        <v>24310036</v>
      </c>
      <c r="B6452">
        <v>4027194</v>
      </c>
      <c r="C6452" t="s">
        <v>11612</v>
      </c>
      <c r="D6452" t="s">
        <v>449</v>
      </c>
      <c r="E6452" t="s">
        <v>441</v>
      </c>
      <c r="F6452">
        <v>0.36</v>
      </c>
      <c r="G6452">
        <v>1.0900000000000001</v>
      </c>
      <c r="H6452" t="s">
        <v>8588</v>
      </c>
      <c r="I6452">
        <v>540</v>
      </c>
      <c r="J6452" t="s">
        <v>462</v>
      </c>
      <c r="M6452">
        <v>7210</v>
      </c>
      <c r="N6452" t="s">
        <v>16266</v>
      </c>
    </row>
    <row r="6453" spans="1:14">
      <c r="A6453">
        <v>24310037</v>
      </c>
      <c r="B6453">
        <v>4029506</v>
      </c>
      <c r="C6453" t="s">
        <v>14937</v>
      </c>
      <c r="D6453" t="s">
        <v>442</v>
      </c>
      <c r="E6453" t="s">
        <v>441</v>
      </c>
      <c r="F6453">
        <v>0.35</v>
      </c>
      <c r="G6453">
        <v>4.2300000000000004</v>
      </c>
      <c r="H6453" t="s">
        <v>8588</v>
      </c>
      <c r="I6453">
        <v>14</v>
      </c>
      <c r="J6453" t="s">
        <v>462</v>
      </c>
      <c r="M6453">
        <v>7210</v>
      </c>
      <c r="N6453" t="s">
        <v>16266</v>
      </c>
    </row>
    <row r="6454" spans="1:14">
      <c r="A6454">
        <v>24310038</v>
      </c>
      <c r="B6454">
        <v>4029956</v>
      </c>
      <c r="C6454" t="s">
        <v>15645</v>
      </c>
      <c r="D6454" t="s">
        <v>442</v>
      </c>
      <c r="E6454" t="s">
        <v>441</v>
      </c>
      <c r="F6454">
        <v>2.6</v>
      </c>
      <c r="G6454">
        <v>18.43</v>
      </c>
      <c r="H6454" t="s">
        <v>8588</v>
      </c>
      <c r="I6454">
        <v>540</v>
      </c>
      <c r="J6454" t="s">
        <v>462</v>
      </c>
      <c r="L6454" t="s">
        <v>15646</v>
      </c>
      <c r="M6454">
        <v>7210</v>
      </c>
      <c r="N6454" t="s">
        <v>16266</v>
      </c>
    </row>
    <row r="6455" spans="1:14">
      <c r="A6455">
        <v>24310039</v>
      </c>
      <c r="B6455">
        <v>4030286</v>
      </c>
      <c r="C6455" t="s">
        <v>16268</v>
      </c>
      <c r="D6455" t="s">
        <v>442</v>
      </c>
      <c r="E6455" t="s">
        <v>441</v>
      </c>
      <c r="F6455">
        <v>5.3</v>
      </c>
      <c r="G6455">
        <v>36.880000000000003</v>
      </c>
      <c r="H6455" t="s">
        <v>8588</v>
      </c>
      <c r="I6455">
        <v>540</v>
      </c>
      <c r="J6455" t="s">
        <v>462</v>
      </c>
      <c r="L6455" t="s">
        <v>16269</v>
      </c>
      <c r="M6455">
        <v>7210</v>
      </c>
      <c r="N6455" t="s">
        <v>16266</v>
      </c>
    </row>
    <row r="6456" spans="1:14">
      <c r="A6456">
        <v>24310087</v>
      </c>
      <c r="B6456">
        <v>4025963</v>
      </c>
      <c r="C6456" t="s">
        <v>11613</v>
      </c>
      <c r="D6456" t="s">
        <v>441</v>
      </c>
      <c r="F6456">
        <v>0</v>
      </c>
      <c r="G6456">
        <v>1.48</v>
      </c>
      <c r="H6456" t="s">
        <v>8588</v>
      </c>
      <c r="I6456">
        <v>6</v>
      </c>
      <c r="J6456" t="s">
        <v>462</v>
      </c>
      <c r="M6456">
        <v>7210</v>
      </c>
      <c r="N6456" t="s">
        <v>16266</v>
      </c>
    </row>
    <row r="6457" spans="1:14">
      <c r="A6457">
        <v>24310088</v>
      </c>
      <c r="B6457">
        <v>4026309</v>
      </c>
      <c r="C6457" t="s">
        <v>11614</v>
      </c>
      <c r="D6457" t="s">
        <v>442</v>
      </c>
      <c r="E6457" t="s">
        <v>441</v>
      </c>
      <c r="F6457">
        <v>0.36</v>
      </c>
      <c r="G6457">
        <v>0.55000000000000004</v>
      </c>
      <c r="H6457" t="s">
        <v>8588</v>
      </c>
      <c r="I6457">
        <v>6</v>
      </c>
      <c r="J6457" t="s">
        <v>462</v>
      </c>
      <c r="M6457">
        <v>7210</v>
      </c>
      <c r="N6457" t="s">
        <v>16266</v>
      </c>
    </row>
    <row r="6458" spans="1:14">
      <c r="A6458">
        <v>24320000</v>
      </c>
      <c r="B6458">
        <v>3038707</v>
      </c>
      <c r="C6458" t="s">
        <v>11615</v>
      </c>
      <c r="D6458" t="s">
        <v>441</v>
      </c>
      <c r="F6458">
        <v>0</v>
      </c>
      <c r="G6458">
        <v>16.55</v>
      </c>
      <c r="H6458" t="s">
        <v>8549</v>
      </c>
      <c r="I6458">
        <v>4</v>
      </c>
      <c r="J6458" t="s">
        <v>445</v>
      </c>
      <c r="M6458">
        <v>2123</v>
      </c>
      <c r="N6458" t="s">
        <v>16270</v>
      </c>
    </row>
    <row r="6459" spans="1:14">
      <c r="A6459">
        <v>24320007</v>
      </c>
      <c r="B6459">
        <v>3039059</v>
      </c>
      <c r="C6459" t="s">
        <v>14457</v>
      </c>
      <c r="D6459" t="s">
        <v>442</v>
      </c>
      <c r="E6459" t="s">
        <v>441</v>
      </c>
      <c r="F6459">
        <v>0.21</v>
      </c>
      <c r="G6459">
        <v>3.53</v>
      </c>
      <c r="H6459" t="s">
        <v>8549</v>
      </c>
      <c r="I6459">
        <v>540</v>
      </c>
      <c r="J6459" t="s">
        <v>445</v>
      </c>
      <c r="M6459">
        <v>2123</v>
      </c>
      <c r="N6459" t="s">
        <v>16270</v>
      </c>
    </row>
    <row r="6460" spans="1:14">
      <c r="A6460">
        <v>24320008</v>
      </c>
      <c r="B6460">
        <v>3044400</v>
      </c>
      <c r="C6460" t="s">
        <v>14938</v>
      </c>
      <c r="D6460" t="s">
        <v>442</v>
      </c>
      <c r="E6460" t="s">
        <v>441</v>
      </c>
      <c r="F6460">
        <v>0.21</v>
      </c>
      <c r="G6460">
        <v>3.7</v>
      </c>
      <c r="H6460" t="s">
        <v>8549</v>
      </c>
      <c r="I6460">
        <v>540</v>
      </c>
      <c r="J6460" t="s">
        <v>445</v>
      </c>
      <c r="M6460">
        <v>2123</v>
      </c>
      <c r="N6460" t="s">
        <v>16270</v>
      </c>
    </row>
    <row r="6461" spans="1:14">
      <c r="A6461">
        <v>24320009</v>
      </c>
      <c r="B6461">
        <v>3039751</v>
      </c>
      <c r="C6461" t="s">
        <v>14458</v>
      </c>
      <c r="D6461" t="s">
        <v>442</v>
      </c>
      <c r="E6461" t="s">
        <v>441</v>
      </c>
      <c r="F6461">
        <v>0.21</v>
      </c>
      <c r="G6461">
        <v>3.53</v>
      </c>
      <c r="H6461" t="s">
        <v>8549</v>
      </c>
      <c r="I6461">
        <v>540</v>
      </c>
      <c r="J6461" t="s">
        <v>445</v>
      </c>
      <c r="M6461">
        <v>2123</v>
      </c>
      <c r="N6461" t="s">
        <v>16270</v>
      </c>
    </row>
    <row r="6462" spans="1:14">
      <c r="A6462">
        <v>24320010</v>
      </c>
      <c r="B6462">
        <v>3046001</v>
      </c>
      <c r="C6462" t="s">
        <v>17480</v>
      </c>
      <c r="D6462" t="s">
        <v>441</v>
      </c>
      <c r="F6462">
        <v>0</v>
      </c>
      <c r="G6462">
        <v>13.2</v>
      </c>
      <c r="H6462" t="s">
        <v>8549</v>
      </c>
      <c r="I6462">
        <v>4</v>
      </c>
      <c r="J6462" t="s">
        <v>445</v>
      </c>
      <c r="M6462">
        <v>2123</v>
      </c>
      <c r="N6462" t="s">
        <v>16270</v>
      </c>
    </row>
    <row r="6463" spans="1:14">
      <c r="A6463">
        <v>24320011</v>
      </c>
      <c r="B6463">
        <v>3046002</v>
      </c>
      <c r="C6463" t="s">
        <v>17481</v>
      </c>
      <c r="D6463" t="s">
        <v>441</v>
      </c>
      <c r="F6463">
        <v>0</v>
      </c>
      <c r="G6463">
        <v>13.2</v>
      </c>
      <c r="H6463" t="s">
        <v>8549</v>
      </c>
      <c r="I6463">
        <v>4</v>
      </c>
      <c r="J6463" t="s">
        <v>445</v>
      </c>
      <c r="M6463">
        <v>2123</v>
      </c>
      <c r="N6463" t="s">
        <v>16270</v>
      </c>
    </row>
    <row r="6464" spans="1:14">
      <c r="A6464">
        <v>24320012</v>
      </c>
      <c r="B6464">
        <v>3046003</v>
      </c>
      <c r="C6464" t="s">
        <v>17482</v>
      </c>
      <c r="D6464" t="s">
        <v>441</v>
      </c>
      <c r="F6464">
        <v>0</v>
      </c>
      <c r="G6464">
        <v>75.459999999999994</v>
      </c>
      <c r="H6464" t="s">
        <v>8549</v>
      </c>
      <c r="I6464">
        <v>4</v>
      </c>
      <c r="J6464" t="s">
        <v>445</v>
      </c>
      <c r="M6464">
        <v>2123</v>
      </c>
      <c r="N6464" t="s">
        <v>16270</v>
      </c>
    </row>
    <row r="6465" spans="1:14">
      <c r="A6465">
        <v>24320013</v>
      </c>
      <c r="B6465">
        <v>3046004</v>
      </c>
      <c r="C6465" t="s">
        <v>17483</v>
      </c>
      <c r="D6465" t="s">
        <v>441</v>
      </c>
      <c r="F6465">
        <v>0</v>
      </c>
      <c r="G6465">
        <v>75.44</v>
      </c>
      <c r="H6465" t="s">
        <v>8549</v>
      </c>
      <c r="I6465">
        <v>4</v>
      </c>
      <c r="J6465" t="s">
        <v>445</v>
      </c>
      <c r="M6465">
        <v>2123</v>
      </c>
      <c r="N6465" t="s">
        <v>16270</v>
      </c>
    </row>
    <row r="6466" spans="1:14">
      <c r="A6466">
        <v>24320014</v>
      </c>
      <c r="B6466">
        <v>3046005</v>
      </c>
      <c r="C6466" t="s">
        <v>17484</v>
      </c>
      <c r="D6466" t="s">
        <v>441</v>
      </c>
      <c r="F6466">
        <v>0</v>
      </c>
      <c r="G6466">
        <v>75.400000000000006</v>
      </c>
      <c r="H6466" t="s">
        <v>8549</v>
      </c>
      <c r="I6466">
        <v>4</v>
      </c>
      <c r="J6466" t="s">
        <v>445</v>
      </c>
      <c r="M6466">
        <v>2123</v>
      </c>
      <c r="N6466" t="s">
        <v>16270</v>
      </c>
    </row>
    <row r="6467" spans="1:14">
      <c r="A6467">
        <v>24320015</v>
      </c>
      <c r="B6467">
        <v>3046006</v>
      </c>
      <c r="C6467" t="s">
        <v>17485</v>
      </c>
      <c r="D6467" t="s">
        <v>441</v>
      </c>
      <c r="F6467">
        <v>0</v>
      </c>
      <c r="G6467">
        <v>13.2</v>
      </c>
      <c r="H6467" t="s">
        <v>8549</v>
      </c>
      <c r="I6467">
        <v>4</v>
      </c>
      <c r="J6467" t="s">
        <v>445</v>
      </c>
      <c r="M6467">
        <v>2123</v>
      </c>
      <c r="N6467" t="s">
        <v>16270</v>
      </c>
    </row>
    <row r="6468" spans="1:14">
      <c r="A6468">
        <v>24320030</v>
      </c>
      <c r="B6468">
        <v>4026000</v>
      </c>
      <c r="C6468" t="s">
        <v>14459</v>
      </c>
      <c r="D6468" t="s">
        <v>442</v>
      </c>
      <c r="E6468" t="s">
        <v>441</v>
      </c>
      <c r="F6468">
        <v>0.21</v>
      </c>
      <c r="G6468">
        <v>3.66</v>
      </c>
      <c r="H6468" t="s">
        <v>8588</v>
      </c>
      <c r="I6468">
        <v>540</v>
      </c>
      <c r="J6468" t="s">
        <v>462</v>
      </c>
      <c r="L6468" t="s">
        <v>11616</v>
      </c>
      <c r="M6468">
        <v>7210</v>
      </c>
      <c r="N6468" t="s">
        <v>16270</v>
      </c>
    </row>
    <row r="6469" spans="1:14">
      <c r="A6469">
        <v>24320031</v>
      </c>
      <c r="B6469">
        <v>4026180</v>
      </c>
      <c r="C6469" t="s">
        <v>14460</v>
      </c>
      <c r="D6469" t="s">
        <v>442</v>
      </c>
      <c r="E6469" t="s">
        <v>441</v>
      </c>
      <c r="F6469">
        <v>0.21</v>
      </c>
      <c r="G6469">
        <v>3.66</v>
      </c>
      <c r="H6469" t="s">
        <v>8588</v>
      </c>
      <c r="I6469">
        <v>540</v>
      </c>
      <c r="J6469" t="s">
        <v>462</v>
      </c>
      <c r="L6469" t="s">
        <v>11617</v>
      </c>
      <c r="M6469">
        <v>7210</v>
      </c>
      <c r="N6469" t="s">
        <v>16270</v>
      </c>
    </row>
    <row r="6470" spans="1:14">
      <c r="A6470">
        <v>24320032</v>
      </c>
      <c r="B6470">
        <v>4029340</v>
      </c>
      <c r="C6470" t="s">
        <v>14939</v>
      </c>
      <c r="D6470" t="s">
        <v>442</v>
      </c>
      <c r="E6470" t="s">
        <v>441</v>
      </c>
      <c r="F6470">
        <v>0.21</v>
      </c>
      <c r="G6470">
        <v>3.66</v>
      </c>
      <c r="H6470" t="s">
        <v>8588</v>
      </c>
      <c r="I6470">
        <v>540</v>
      </c>
      <c r="J6470" t="s">
        <v>462</v>
      </c>
      <c r="L6470" t="s">
        <v>11616</v>
      </c>
      <c r="M6470">
        <v>7210</v>
      </c>
      <c r="N6470" t="s">
        <v>16270</v>
      </c>
    </row>
    <row r="6471" spans="1:14">
      <c r="A6471">
        <v>24320087</v>
      </c>
      <c r="B6471">
        <v>4026003</v>
      </c>
      <c r="C6471" t="s">
        <v>14461</v>
      </c>
      <c r="D6471" t="s">
        <v>442</v>
      </c>
      <c r="E6471" t="s">
        <v>441</v>
      </c>
      <c r="F6471">
        <v>0.21</v>
      </c>
      <c r="G6471">
        <v>3.73</v>
      </c>
      <c r="H6471" t="s">
        <v>8588</v>
      </c>
      <c r="I6471">
        <v>6</v>
      </c>
      <c r="J6471" t="s">
        <v>462</v>
      </c>
      <c r="L6471" t="s">
        <v>11618</v>
      </c>
      <c r="M6471">
        <v>7111</v>
      </c>
      <c r="N6471" t="s">
        <v>16270</v>
      </c>
    </row>
    <row r="6472" spans="1:14">
      <c r="A6472">
        <v>24320088</v>
      </c>
      <c r="B6472">
        <v>4026092</v>
      </c>
      <c r="C6472" t="s">
        <v>11619</v>
      </c>
      <c r="D6472" t="s">
        <v>442</v>
      </c>
      <c r="E6472" t="s">
        <v>441</v>
      </c>
      <c r="F6472">
        <v>0.2</v>
      </c>
      <c r="G6472">
        <v>3.4</v>
      </c>
      <c r="H6472" t="s">
        <v>8588</v>
      </c>
      <c r="I6472">
        <v>6</v>
      </c>
      <c r="J6472" t="s">
        <v>462</v>
      </c>
      <c r="L6472" t="s">
        <v>11620</v>
      </c>
      <c r="M6472">
        <v>7111</v>
      </c>
      <c r="N6472" t="s">
        <v>16270</v>
      </c>
    </row>
    <row r="6473" spans="1:14">
      <c r="A6473">
        <v>24320089</v>
      </c>
      <c r="B6473">
        <v>4026137</v>
      </c>
      <c r="C6473" t="s">
        <v>14462</v>
      </c>
      <c r="D6473" t="s">
        <v>442</v>
      </c>
      <c r="E6473" t="s">
        <v>441</v>
      </c>
      <c r="F6473">
        <v>0.21</v>
      </c>
      <c r="G6473">
        <v>3.71</v>
      </c>
      <c r="H6473" t="s">
        <v>8588</v>
      </c>
      <c r="I6473">
        <v>6</v>
      </c>
      <c r="J6473" t="s">
        <v>462</v>
      </c>
      <c r="L6473" t="s">
        <v>11621</v>
      </c>
      <c r="M6473">
        <v>7210</v>
      </c>
      <c r="N6473" t="s">
        <v>16270</v>
      </c>
    </row>
    <row r="6474" spans="1:14">
      <c r="A6474">
        <v>24320100</v>
      </c>
      <c r="B6474">
        <v>3044233</v>
      </c>
      <c r="C6474" t="s">
        <v>14463</v>
      </c>
      <c r="D6474" t="s">
        <v>442</v>
      </c>
      <c r="E6474" t="s">
        <v>441</v>
      </c>
      <c r="F6474">
        <v>0.21</v>
      </c>
      <c r="G6474">
        <v>3.43</v>
      </c>
      <c r="H6474" t="s">
        <v>8588</v>
      </c>
      <c r="I6474">
        <v>6</v>
      </c>
      <c r="J6474" t="s">
        <v>445</v>
      </c>
      <c r="M6474">
        <v>0</v>
      </c>
      <c r="N6474" t="s">
        <v>16270</v>
      </c>
    </row>
    <row r="6475" spans="1:14">
      <c r="A6475">
        <v>24320110</v>
      </c>
      <c r="B6475">
        <v>3045877</v>
      </c>
      <c r="C6475" t="s">
        <v>17486</v>
      </c>
      <c r="D6475" t="s">
        <v>442</v>
      </c>
      <c r="E6475" t="s">
        <v>441</v>
      </c>
      <c r="F6475">
        <v>0.21</v>
      </c>
      <c r="G6475">
        <v>5.12</v>
      </c>
      <c r="H6475" t="s">
        <v>8588</v>
      </c>
      <c r="I6475">
        <v>540</v>
      </c>
      <c r="J6475" t="s">
        <v>445</v>
      </c>
      <c r="M6475">
        <v>0</v>
      </c>
      <c r="N6475" t="s">
        <v>16270</v>
      </c>
    </row>
    <row r="6476" spans="1:14">
      <c r="A6476">
        <v>24320120</v>
      </c>
      <c r="B6476">
        <v>3045857</v>
      </c>
      <c r="C6476" t="s">
        <v>17487</v>
      </c>
      <c r="D6476" t="s">
        <v>442</v>
      </c>
      <c r="E6476" t="s">
        <v>441</v>
      </c>
      <c r="F6476">
        <v>0.21</v>
      </c>
      <c r="G6476">
        <v>4.04</v>
      </c>
      <c r="H6476" t="s">
        <v>8588</v>
      </c>
      <c r="I6476">
        <v>540</v>
      </c>
      <c r="J6476" t="s">
        <v>445</v>
      </c>
      <c r="M6476">
        <v>0</v>
      </c>
      <c r="N6476" t="s">
        <v>16270</v>
      </c>
    </row>
    <row r="6477" spans="1:14">
      <c r="A6477">
        <v>24320130</v>
      </c>
      <c r="B6477">
        <v>3046064</v>
      </c>
      <c r="C6477" t="s">
        <v>17488</v>
      </c>
      <c r="D6477" t="s">
        <v>442</v>
      </c>
      <c r="E6477" t="s">
        <v>441</v>
      </c>
      <c r="F6477">
        <v>0.21</v>
      </c>
      <c r="G6477">
        <v>4.21</v>
      </c>
      <c r="H6477" t="s">
        <v>8588</v>
      </c>
      <c r="I6477">
        <v>540</v>
      </c>
      <c r="J6477" t="s">
        <v>445</v>
      </c>
      <c r="M6477">
        <v>0</v>
      </c>
      <c r="N6477" t="s">
        <v>16270</v>
      </c>
    </row>
    <row r="6478" spans="1:14">
      <c r="A6478">
        <v>24330000</v>
      </c>
      <c r="B6478">
        <v>3038708</v>
      </c>
      <c r="C6478" t="s">
        <v>11622</v>
      </c>
      <c r="D6478" t="s">
        <v>441</v>
      </c>
      <c r="F6478">
        <v>0</v>
      </c>
      <c r="G6478">
        <v>0.1</v>
      </c>
      <c r="H6478" t="s">
        <v>8549</v>
      </c>
      <c r="I6478">
        <v>4</v>
      </c>
      <c r="J6478" t="s">
        <v>445</v>
      </c>
      <c r="M6478">
        <v>2123</v>
      </c>
      <c r="N6478" t="s">
        <v>16271</v>
      </c>
    </row>
    <row r="6479" spans="1:14">
      <c r="A6479">
        <v>24330007</v>
      </c>
      <c r="B6479">
        <v>3039189</v>
      </c>
      <c r="C6479" t="s">
        <v>11623</v>
      </c>
      <c r="D6479" t="s">
        <v>442</v>
      </c>
      <c r="E6479" t="s">
        <v>441</v>
      </c>
      <c r="F6479">
        <v>0.2</v>
      </c>
      <c r="G6479">
        <v>1.0900000000000001</v>
      </c>
      <c r="H6479" t="s">
        <v>8549</v>
      </c>
      <c r="I6479">
        <v>540</v>
      </c>
      <c r="J6479" t="s">
        <v>445</v>
      </c>
      <c r="M6479">
        <v>2123</v>
      </c>
      <c r="N6479" t="s">
        <v>16271</v>
      </c>
    </row>
    <row r="6480" spans="1:14">
      <c r="A6480">
        <v>24330008</v>
      </c>
      <c r="B6480">
        <v>3039403</v>
      </c>
      <c r="C6480" t="s">
        <v>11624</v>
      </c>
      <c r="D6480" t="s">
        <v>442</v>
      </c>
      <c r="E6480" t="s">
        <v>441</v>
      </c>
      <c r="F6480">
        <v>0.25</v>
      </c>
      <c r="G6480">
        <v>1.36</v>
      </c>
      <c r="H6480" t="s">
        <v>8549</v>
      </c>
      <c r="I6480">
        <v>540</v>
      </c>
      <c r="J6480" t="s">
        <v>445</v>
      </c>
      <c r="M6480">
        <v>2123</v>
      </c>
      <c r="N6480" t="s">
        <v>16271</v>
      </c>
    </row>
    <row r="6481" spans="1:14">
      <c r="A6481">
        <v>24330009</v>
      </c>
      <c r="B6481">
        <v>3039758</v>
      </c>
      <c r="C6481" t="s">
        <v>11625</v>
      </c>
      <c r="D6481" t="s">
        <v>442</v>
      </c>
      <c r="E6481" t="s">
        <v>441</v>
      </c>
      <c r="F6481">
        <v>0.25</v>
      </c>
      <c r="G6481">
        <v>1.36</v>
      </c>
      <c r="H6481" t="s">
        <v>8549</v>
      </c>
      <c r="I6481">
        <v>540</v>
      </c>
      <c r="J6481" t="s">
        <v>445</v>
      </c>
      <c r="M6481">
        <v>2123</v>
      </c>
      <c r="N6481" t="s">
        <v>16271</v>
      </c>
    </row>
    <row r="6482" spans="1:14">
      <c r="A6482">
        <v>24330030</v>
      </c>
      <c r="B6482">
        <v>4026055</v>
      </c>
      <c r="C6482" t="s">
        <v>11626</v>
      </c>
      <c r="D6482" t="s">
        <v>442</v>
      </c>
      <c r="E6482" t="s">
        <v>441</v>
      </c>
      <c r="F6482">
        <v>0.2</v>
      </c>
      <c r="G6482">
        <v>1.17</v>
      </c>
      <c r="H6482" t="s">
        <v>8588</v>
      </c>
      <c r="I6482">
        <v>540</v>
      </c>
      <c r="J6482" t="s">
        <v>462</v>
      </c>
      <c r="K6482" t="s">
        <v>446</v>
      </c>
      <c r="L6482" t="s">
        <v>11627</v>
      </c>
      <c r="M6482">
        <v>0</v>
      </c>
    </row>
    <row r="6483" spans="1:14">
      <c r="A6483">
        <v>24330031</v>
      </c>
      <c r="B6483">
        <v>4026262</v>
      </c>
      <c r="C6483" t="s">
        <v>11628</v>
      </c>
      <c r="D6483" t="s">
        <v>442</v>
      </c>
      <c r="E6483" t="s">
        <v>441</v>
      </c>
      <c r="F6483">
        <v>0.25</v>
      </c>
      <c r="G6483">
        <v>1.44</v>
      </c>
      <c r="H6483" t="s">
        <v>8588</v>
      </c>
      <c r="I6483">
        <v>540</v>
      </c>
      <c r="J6483" t="s">
        <v>462</v>
      </c>
      <c r="L6483" t="s">
        <v>11629</v>
      </c>
      <c r="M6483">
        <v>7111</v>
      </c>
      <c r="N6483" t="s">
        <v>16271</v>
      </c>
    </row>
    <row r="6484" spans="1:14">
      <c r="A6484">
        <v>24330032</v>
      </c>
      <c r="B6484">
        <v>4026266</v>
      </c>
      <c r="C6484" t="s">
        <v>11630</v>
      </c>
      <c r="D6484" t="s">
        <v>442</v>
      </c>
      <c r="E6484" t="s">
        <v>441</v>
      </c>
      <c r="F6484">
        <v>0.25</v>
      </c>
      <c r="G6484">
        <v>1.44</v>
      </c>
      <c r="H6484" t="s">
        <v>8588</v>
      </c>
      <c r="I6484">
        <v>540</v>
      </c>
      <c r="J6484" t="s">
        <v>462</v>
      </c>
      <c r="L6484" t="s">
        <v>11645</v>
      </c>
      <c r="M6484">
        <v>7210</v>
      </c>
      <c r="N6484" t="s">
        <v>16271</v>
      </c>
    </row>
    <row r="6485" spans="1:14">
      <c r="A6485">
        <v>24330087</v>
      </c>
      <c r="B6485">
        <v>4026037</v>
      </c>
      <c r="C6485" t="s">
        <v>11631</v>
      </c>
      <c r="D6485" t="s">
        <v>441</v>
      </c>
      <c r="F6485">
        <v>0</v>
      </c>
      <c r="G6485">
        <v>0.28999999999999998</v>
      </c>
      <c r="H6485" t="s">
        <v>8588</v>
      </c>
      <c r="I6485">
        <v>6</v>
      </c>
      <c r="J6485" t="s">
        <v>462</v>
      </c>
      <c r="M6485">
        <v>7210</v>
      </c>
      <c r="N6485" t="s">
        <v>16271</v>
      </c>
    </row>
    <row r="6486" spans="1:14">
      <c r="A6486">
        <v>24330088</v>
      </c>
      <c r="B6486">
        <v>4026155</v>
      </c>
      <c r="C6486" t="s">
        <v>11632</v>
      </c>
      <c r="D6486" t="s">
        <v>442</v>
      </c>
      <c r="E6486" t="s">
        <v>441</v>
      </c>
      <c r="F6486">
        <v>0.2</v>
      </c>
      <c r="G6486">
        <v>0.06</v>
      </c>
      <c r="H6486" t="s">
        <v>8588</v>
      </c>
      <c r="I6486">
        <v>6</v>
      </c>
      <c r="J6486" t="s">
        <v>462</v>
      </c>
      <c r="M6486">
        <v>7210</v>
      </c>
      <c r="N6486" t="s">
        <v>16271</v>
      </c>
    </row>
    <row r="6487" spans="1:14">
      <c r="A6487">
        <v>24340000</v>
      </c>
      <c r="B6487">
        <v>3038712</v>
      </c>
      <c r="C6487" t="s">
        <v>11633</v>
      </c>
      <c r="D6487" t="s">
        <v>441</v>
      </c>
      <c r="F6487">
        <v>0</v>
      </c>
      <c r="G6487">
        <v>1.7</v>
      </c>
      <c r="H6487" t="s">
        <v>8549</v>
      </c>
      <c r="I6487">
        <v>4</v>
      </c>
      <c r="J6487" t="s">
        <v>445</v>
      </c>
      <c r="M6487">
        <v>2123</v>
      </c>
      <c r="N6487" t="s">
        <v>16272</v>
      </c>
    </row>
    <row r="6488" spans="1:14">
      <c r="A6488">
        <v>24340004</v>
      </c>
      <c r="B6488">
        <v>3040026</v>
      </c>
      <c r="C6488" t="s">
        <v>11634</v>
      </c>
      <c r="D6488" t="s">
        <v>442</v>
      </c>
      <c r="E6488" t="s">
        <v>441</v>
      </c>
      <c r="F6488">
        <v>0.23</v>
      </c>
      <c r="G6488">
        <v>0.56000000000000005</v>
      </c>
      <c r="H6488" t="s">
        <v>8549</v>
      </c>
      <c r="I6488">
        <v>540</v>
      </c>
      <c r="J6488" t="s">
        <v>445</v>
      </c>
      <c r="M6488">
        <v>2123</v>
      </c>
      <c r="N6488" t="s">
        <v>16272</v>
      </c>
    </row>
    <row r="6489" spans="1:14">
      <c r="A6489">
        <v>24340007</v>
      </c>
      <c r="B6489">
        <v>3039230</v>
      </c>
      <c r="C6489" t="s">
        <v>11635</v>
      </c>
      <c r="D6489" t="s">
        <v>442</v>
      </c>
      <c r="E6489" t="s">
        <v>441</v>
      </c>
      <c r="F6489">
        <v>0.1</v>
      </c>
      <c r="G6489">
        <v>0.24</v>
      </c>
      <c r="H6489" t="s">
        <v>8549</v>
      </c>
      <c r="I6489">
        <v>540</v>
      </c>
      <c r="J6489" t="s">
        <v>445</v>
      </c>
      <c r="M6489">
        <v>2123</v>
      </c>
      <c r="N6489" t="s">
        <v>16272</v>
      </c>
    </row>
    <row r="6490" spans="1:14">
      <c r="A6490">
        <v>24340008</v>
      </c>
      <c r="B6490">
        <v>3039404</v>
      </c>
      <c r="C6490" t="s">
        <v>11636</v>
      </c>
      <c r="D6490" t="s">
        <v>442</v>
      </c>
      <c r="E6490" t="s">
        <v>441</v>
      </c>
      <c r="F6490">
        <v>0.2</v>
      </c>
      <c r="G6490">
        <v>0.45</v>
      </c>
      <c r="H6490" t="s">
        <v>8549</v>
      </c>
      <c r="I6490">
        <v>540</v>
      </c>
      <c r="J6490" t="s">
        <v>445</v>
      </c>
      <c r="M6490">
        <v>2123</v>
      </c>
      <c r="N6490" t="s">
        <v>16272</v>
      </c>
    </row>
    <row r="6491" spans="1:14">
      <c r="A6491">
        <v>24340009</v>
      </c>
      <c r="B6491">
        <v>3039766</v>
      </c>
      <c r="C6491" t="s">
        <v>11637</v>
      </c>
      <c r="D6491" t="s">
        <v>442</v>
      </c>
      <c r="E6491" t="s">
        <v>441</v>
      </c>
      <c r="F6491">
        <v>0.2</v>
      </c>
      <c r="G6491">
        <v>0.46</v>
      </c>
      <c r="H6491" t="s">
        <v>8549</v>
      </c>
      <c r="I6491">
        <v>540</v>
      </c>
      <c r="J6491" t="s">
        <v>445</v>
      </c>
      <c r="M6491">
        <v>2123</v>
      </c>
      <c r="N6491" t="s">
        <v>16272</v>
      </c>
    </row>
    <row r="6492" spans="1:14">
      <c r="A6492">
        <v>24340010</v>
      </c>
      <c r="B6492">
        <v>3039890</v>
      </c>
      <c r="C6492" t="s">
        <v>11638</v>
      </c>
      <c r="D6492" t="s">
        <v>442</v>
      </c>
      <c r="E6492" t="s">
        <v>441</v>
      </c>
      <c r="F6492">
        <v>0.35</v>
      </c>
      <c r="G6492">
        <v>0.85</v>
      </c>
      <c r="H6492" t="s">
        <v>8549</v>
      </c>
      <c r="I6492">
        <v>540</v>
      </c>
      <c r="J6492" t="s">
        <v>445</v>
      </c>
      <c r="M6492">
        <v>2123</v>
      </c>
      <c r="N6492" t="s">
        <v>16272</v>
      </c>
    </row>
    <row r="6493" spans="1:14">
      <c r="A6493">
        <v>24340026</v>
      </c>
      <c r="B6493">
        <v>4025970</v>
      </c>
      <c r="C6493" t="s">
        <v>11639</v>
      </c>
      <c r="D6493" t="s">
        <v>441</v>
      </c>
      <c r="F6493">
        <v>0</v>
      </c>
      <c r="G6493">
        <v>9.27</v>
      </c>
      <c r="H6493" t="s">
        <v>8588</v>
      </c>
      <c r="I6493">
        <v>365</v>
      </c>
      <c r="J6493" t="s">
        <v>462</v>
      </c>
      <c r="M6493">
        <v>7111</v>
      </c>
      <c r="N6493" t="s">
        <v>16272</v>
      </c>
    </row>
    <row r="6494" spans="1:14">
      <c r="A6494">
        <v>24340027</v>
      </c>
      <c r="B6494">
        <v>4026063</v>
      </c>
      <c r="C6494" t="s">
        <v>11640</v>
      </c>
      <c r="D6494" t="s">
        <v>442</v>
      </c>
      <c r="E6494" t="s">
        <v>441</v>
      </c>
      <c r="F6494">
        <v>10</v>
      </c>
      <c r="G6494">
        <v>97.36</v>
      </c>
      <c r="H6494" t="s">
        <v>8588</v>
      </c>
      <c r="I6494">
        <v>365</v>
      </c>
      <c r="J6494" t="s">
        <v>462</v>
      </c>
      <c r="L6494" t="s">
        <v>11641</v>
      </c>
      <c r="M6494">
        <v>7111</v>
      </c>
      <c r="N6494" t="s">
        <v>16272</v>
      </c>
    </row>
    <row r="6495" spans="1:14">
      <c r="A6495">
        <v>24340030</v>
      </c>
      <c r="B6495">
        <v>4026198</v>
      </c>
      <c r="C6495" t="s">
        <v>11642</v>
      </c>
      <c r="D6495" t="s">
        <v>442</v>
      </c>
      <c r="E6495" t="s">
        <v>441</v>
      </c>
      <c r="F6495">
        <v>0.1</v>
      </c>
      <c r="G6495">
        <v>0.27</v>
      </c>
      <c r="H6495" t="s">
        <v>8588</v>
      </c>
      <c r="I6495">
        <v>540</v>
      </c>
      <c r="J6495" t="s">
        <v>462</v>
      </c>
      <c r="K6495" t="s">
        <v>446</v>
      </c>
      <c r="L6495" t="s">
        <v>11643</v>
      </c>
      <c r="M6495">
        <v>0</v>
      </c>
    </row>
    <row r="6496" spans="1:14">
      <c r="A6496">
        <v>24340031</v>
      </c>
      <c r="B6496">
        <v>4026263</v>
      </c>
      <c r="C6496" t="s">
        <v>11644</v>
      </c>
      <c r="D6496" t="s">
        <v>442</v>
      </c>
      <c r="E6496" t="s">
        <v>441</v>
      </c>
      <c r="F6496">
        <v>0.2</v>
      </c>
      <c r="G6496">
        <v>0.51</v>
      </c>
      <c r="H6496" t="s">
        <v>8588</v>
      </c>
      <c r="I6496">
        <v>540</v>
      </c>
      <c r="J6496" t="s">
        <v>462</v>
      </c>
      <c r="L6496" t="s">
        <v>11645</v>
      </c>
      <c r="M6496">
        <v>7210</v>
      </c>
      <c r="N6496" t="s">
        <v>16272</v>
      </c>
    </row>
    <row r="6497" spans="1:14">
      <c r="A6497">
        <v>24340032</v>
      </c>
      <c r="B6497">
        <v>4026383</v>
      </c>
      <c r="C6497" t="s">
        <v>11646</v>
      </c>
      <c r="D6497" t="s">
        <v>442</v>
      </c>
      <c r="E6497" t="s">
        <v>441</v>
      </c>
      <c r="F6497">
        <v>0.2</v>
      </c>
      <c r="G6497">
        <v>0.52</v>
      </c>
      <c r="H6497" t="s">
        <v>8588</v>
      </c>
      <c r="I6497">
        <v>540</v>
      </c>
      <c r="J6497" t="s">
        <v>462</v>
      </c>
      <c r="L6497" t="s">
        <v>11645</v>
      </c>
      <c r="M6497">
        <v>7210</v>
      </c>
      <c r="N6497" t="s">
        <v>16272</v>
      </c>
    </row>
    <row r="6498" spans="1:14">
      <c r="A6498">
        <v>24340033</v>
      </c>
      <c r="B6498">
        <v>4026460</v>
      </c>
      <c r="C6498" t="s">
        <v>11647</v>
      </c>
      <c r="D6498" t="s">
        <v>442</v>
      </c>
      <c r="E6498" t="s">
        <v>441</v>
      </c>
      <c r="F6498">
        <v>0.35</v>
      </c>
      <c r="G6498">
        <v>1</v>
      </c>
      <c r="H6498" t="s">
        <v>8588</v>
      </c>
      <c r="I6498">
        <v>540</v>
      </c>
      <c r="J6498" t="s">
        <v>462</v>
      </c>
      <c r="L6498" t="s">
        <v>11645</v>
      </c>
      <c r="M6498">
        <v>7210</v>
      </c>
      <c r="N6498" t="s">
        <v>16272</v>
      </c>
    </row>
    <row r="6499" spans="1:14">
      <c r="A6499">
        <v>24340034</v>
      </c>
      <c r="B6499">
        <v>4026516</v>
      </c>
      <c r="C6499" t="s">
        <v>11648</v>
      </c>
      <c r="D6499" t="s">
        <v>442</v>
      </c>
      <c r="E6499" t="s">
        <v>441</v>
      </c>
      <c r="F6499">
        <v>0.23</v>
      </c>
      <c r="G6499">
        <v>0.63</v>
      </c>
      <c r="H6499" t="s">
        <v>8588</v>
      </c>
      <c r="I6499">
        <v>540</v>
      </c>
      <c r="J6499" t="s">
        <v>462</v>
      </c>
      <c r="M6499">
        <v>7210</v>
      </c>
      <c r="N6499" t="s">
        <v>16272</v>
      </c>
    </row>
    <row r="6500" spans="1:14">
      <c r="A6500">
        <v>24340087</v>
      </c>
      <c r="B6500">
        <v>4026036</v>
      </c>
      <c r="C6500" t="s">
        <v>11649</v>
      </c>
      <c r="D6500" t="s">
        <v>441</v>
      </c>
      <c r="F6500">
        <v>0</v>
      </c>
      <c r="G6500">
        <v>1.9</v>
      </c>
      <c r="H6500" t="s">
        <v>8588</v>
      </c>
      <c r="I6500">
        <v>6</v>
      </c>
      <c r="J6500" t="s">
        <v>462</v>
      </c>
      <c r="M6500">
        <v>7210</v>
      </c>
      <c r="N6500" t="s">
        <v>16272</v>
      </c>
    </row>
    <row r="6501" spans="1:14">
      <c r="A6501">
        <v>24340526</v>
      </c>
      <c r="B6501">
        <v>3038725</v>
      </c>
      <c r="C6501" t="s">
        <v>11650</v>
      </c>
      <c r="D6501" t="s">
        <v>441</v>
      </c>
      <c r="F6501">
        <v>0</v>
      </c>
      <c r="G6501">
        <v>5.92</v>
      </c>
      <c r="H6501" t="s">
        <v>8580</v>
      </c>
      <c r="I6501">
        <v>365</v>
      </c>
      <c r="J6501" t="s">
        <v>445</v>
      </c>
      <c r="M6501">
        <v>2502</v>
      </c>
      <c r="N6501" t="s">
        <v>16272</v>
      </c>
    </row>
    <row r="6502" spans="1:14">
      <c r="A6502">
        <v>24340527</v>
      </c>
      <c r="B6502">
        <v>3038890</v>
      </c>
      <c r="C6502" t="s">
        <v>11651</v>
      </c>
      <c r="D6502" t="s">
        <v>442</v>
      </c>
      <c r="E6502" t="s">
        <v>441</v>
      </c>
      <c r="F6502">
        <v>10</v>
      </c>
      <c r="G6502">
        <v>59.35</v>
      </c>
      <c r="H6502" t="s">
        <v>8588</v>
      </c>
      <c r="I6502">
        <v>365</v>
      </c>
      <c r="J6502" t="s">
        <v>445</v>
      </c>
      <c r="M6502">
        <v>2502</v>
      </c>
      <c r="N6502" t="s">
        <v>16272</v>
      </c>
    </row>
    <row r="6503" spans="1:14">
      <c r="A6503">
        <v>24350000</v>
      </c>
      <c r="B6503">
        <v>3038701</v>
      </c>
      <c r="C6503" t="s">
        <v>11652</v>
      </c>
      <c r="D6503" t="s">
        <v>441</v>
      </c>
      <c r="F6503">
        <v>0</v>
      </c>
      <c r="G6503">
        <v>0.01</v>
      </c>
      <c r="H6503" t="s">
        <v>8549</v>
      </c>
      <c r="I6503">
        <v>4</v>
      </c>
      <c r="J6503" t="s">
        <v>445</v>
      </c>
      <c r="M6503">
        <v>2123</v>
      </c>
      <c r="N6503" t="s">
        <v>16273</v>
      </c>
    </row>
    <row r="6504" spans="1:14">
      <c r="A6504">
        <v>24350007</v>
      </c>
      <c r="B6504">
        <v>3039382</v>
      </c>
      <c r="C6504" t="s">
        <v>11653</v>
      </c>
      <c r="D6504" t="s">
        <v>442</v>
      </c>
      <c r="E6504" t="s">
        <v>441</v>
      </c>
      <c r="F6504">
        <v>0.04</v>
      </c>
      <c r="G6504">
        <v>0.02</v>
      </c>
      <c r="H6504" t="s">
        <v>8549</v>
      </c>
      <c r="I6504">
        <v>540</v>
      </c>
      <c r="J6504" t="s">
        <v>445</v>
      </c>
      <c r="M6504">
        <v>2123</v>
      </c>
      <c r="N6504" t="s">
        <v>16273</v>
      </c>
    </row>
    <row r="6505" spans="1:14">
      <c r="A6505">
        <v>24350009</v>
      </c>
      <c r="B6505">
        <v>3039752</v>
      </c>
      <c r="C6505" t="s">
        <v>11654</v>
      </c>
      <c r="D6505" t="s">
        <v>442</v>
      </c>
      <c r="E6505" t="s">
        <v>441</v>
      </c>
      <c r="F6505">
        <v>0.04</v>
      </c>
      <c r="G6505">
        <v>0.02</v>
      </c>
      <c r="H6505" t="s">
        <v>8549</v>
      </c>
      <c r="I6505">
        <v>540</v>
      </c>
      <c r="J6505" t="s">
        <v>445</v>
      </c>
      <c r="M6505">
        <v>2123</v>
      </c>
      <c r="N6505" t="s">
        <v>16273</v>
      </c>
    </row>
    <row r="6506" spans="1:14">
      <c r="A6506">
        <v>24350026</v>
      </c>
      <c r="B6506">
        <v>4025946</v>
      </c>
      <c r="C6506" t="s">
        <v>11655</v>
      </c>
      <c r="D6506" t="s">
        <v>441</v>
      </c>
      <c r="F6506">
        <v>0</v>
      </c>
      <c r="G6506">
        <v>11.18</v>
      </c>
      <c r="H6506" t="s">
        <v>8588</v>
      </c>
      <c r="I6506">
        <v>365</v>
      </c>
      <c r="J6506" t="s">
        <v>462</v>
      </c>
      <c r="M6506">
        <v>7111</v>
      </c>
      <c r="N6506" t="s">
        <v>16273</v>
      </c>
    </row>
    <row r="6507" spans="1:14">
      <c r="A6507">
        <v>24350027</v>
      </c>
      <c r="B6507">
        <v>4026064</v>
      </c>
      <c r="C6507" t="s">
        <v>11656</v>
      </c>
      <c r="D6507" t="s">
        <v>442</v>
      </c>
      <c r="E6507" t="s">
        <v>441</v>
      </c>
      <c r="F6507">
        <v>10</v>
      </c>
      <c r="G6507">
        <v>111.99</v>
      </c>
      <c r="H6507" t="s">
        <v>8588</v>
      </c>
      <c r="I6507">
        <v>365</v>
      </c>
      <c r="J6507" t="s">
        <v>462</v>
      </c>
      <c r="M6507">
        <v>7111</v>
      </c>
      <c r="N6507" t="s">
        <v>16273</v>
      </c>
    </row>
    <row r="6508" spans="1:14">
      <c r="A6508">
        <v>24350030</v>
      </c>
      <c r="B6508">
        <v>4025967</v>
      </c>
      <c r="C6508" t="s">
        <v>11657</v>
      </c>
      <c r="D6508" t="s">
        <v>442</v>
      </c>
      <c r="E6508" t="s">
        <v>441</v>
      </c>
      <c r="F6508">
        <v>0.04</v>
      </c>
      <c r="G6508">
        <v>0.06</v>
      </c>
      <c r="H6508" t="s">
        <v>8588</v>
      </c>
      <c r="I6508">
        <v>540</v>
      </c>
      <c r="J6508" t="s">
        <v>462</v>
      </c>
      <c r="L6508" t="s">
        <v>11658</v>
      </c>
      <c r="M6508">
        <v>7210</v>
      </c>
      <c r="N6508" t="s">
        <v>16273</v>
      </c>
    </row>
    <row r="6509" spans="1:14">
      <c r="A6509">
        <v>24350031</v>
      </c>
      <c r="B6509">
        <v>4026272</v>
      </c>
      <c r="C6509" t="s">
        <v>11659</v>
      </c>
      <c r="D6509" t="s">
        <v>442</v>
      </c>
      <c r="E6509" t="s">
        <v>441</v>
      </c>
      <c r="F6509">
        <v>0.04</v>
      </c>
      <c r="G6509">
        <v>0.04</v>
      </c>
      <c r="H6509" t="s">
        <v>8588</v>
      </c>
      <c r="I6509">
        <v>540</v>
      </c>
      <c r="J6509" t="s">
        <v>462</v>
      </c>
      <c r="L6509" t="s">
        <v>11660</v>
      </c>
      <c r="M6509">
        <v>7210</v>
      </c>
      <c r="N6509" t="s">
        <v>16273</v>
      </c>
    </row>
    <row r="6510" spans="1:14">
      <c r="A6510">
        <v>24350087</v>
      </c>
      <c r="B6510">
        <v>4026038</v>
      </c>
      <c r="C6510" t="s">
        <v>11661</v>
      </c>
      <c r="D6510" t="s">
        <v>441</v>
      </c>
      <c r="F6510">
        <v>0</v>
      </c>
      <c r="G6510">
        <v>0.2</v>
      </c>
      <c r="H6510" t="s">
        <v>8588</v>
      </c>
      <c r="I6510">
        <v>6</v>
      </c>
      <c r="J6510" t="s">
        <v>462</v>
      </c>
      <c r="M6510">
        <v>7210</v>
      </c>
      <c r="N6510" t="s">
        <v>16273</v>
      </c>
    </row>
    <row r="6511" spans="1:14">
      <c r="A6511">
        <v>24350526</v>
      </c>
      <c r="B6511">
        <v>3038726</v>
      </c>
      <c r="C6511" t="s">
        <v>11662</v>
      </c>
      <c r="D6511" t="s">
        <v>441</v>
      </c>
      <c r="F6511">
        <v>0</v>
      </c>
      <c r="G6511">
        <v>10.79</v>
      </c>
      <c r="H6511" t="s">
        <v>8580</v>
      </c>
      <c r="I6511">
        <v>365</v>
      </c>
      <c r="J6511" t="s">
        <v>445</v>
      </c>
      <c r="K6511" t="s">
        <v>446</v>
      </c>
      <c r="M6511">
        <v>2502</v>
      </c>
      <c r="N6511" t="s">
        <v>16273</v>
      </c>
    </row>
    <row r="6512" spans="1:14">
      <c r="A6512">
        <v>24350527</v>
      </c>
      <c r="B6512">
        <v>3038891</v>
      </c>
      <c r="C6512" t="s">
        <v>11663</v>
      </c>
      <c r="D6512" t="s">
        <v>442</v>
      </c>
      <c r="E6512" t="s">
        <v>441</v>
      </c>
      <c r="F6512">
        <v>10</v>
      </c>
      <c r="G6512">
        <v>108.11</v>
      </c>
      <c r="H6512" t="s">
        <v>8588</v>
      </c>
      <c r="I6512">
        <v>365</v>
      </c>
      <c r="J6512" t="s">
        <v>445</v>
      </c>
      <c r="K6512" t="s">
        <v>446</v>
      </c>
      <c r="M6512">
        <v>2502</v>
      </c>
      <c r="N6512" t="s">
        <v>16273</v>
      </c>
    </row>
    <row r="6513" spans="1:14">
      <c r="A6513">
        <v>24360000</v>
      </c>
      <c r="B6513">
        <v>3038709</v>
      </c>
      <c r="C6513" t="s">
        <v>11664</v>
      </c>
      <c r="D6513" t="s">
        <v>441</v>
      </c>
      <c r="F6513">
        <v>0</v>
      </c>
      <c r="G6513">
        <v>1</v>
      </c>
      <c r="H6513" t="s">
        <v>8549</v>
      </c>
      <c r="I6513">
        <v>4</v>
      </c>
      <c r="J6513" t="s">
        <v>445</v>
      </c>
      <c r="M6513">
        <v>2123</v>
      </c>
      <c r="N6513" t="s">
        <v>16274</v>
      </c>
    </row>
    <row r="6514" spans="1:14">
      <c r="A6514">
        <v>24360006</v>
      </c>
      <c r="B6514">
        <v>3040908</v>
      </c>
      <c r="C6514" t="s">
        <v>11665</v>
      </c>
      <c r="D6514" t="s">
        <v>449</v>
      </c>
      <c r="E6514" t="s">
        <v>441</v>
      </c>
      <c r="F6514">
        <v>0.19</v>
      </c>
      <c r="G6514">
        <v>0.35</v>
      </c>
      <c r="H6514" t="s">
        <v>8549</v>
      </c>
      <c r="I6514">
        <v>540</v>
      </c>
      <c r="J6514" t="s">
        <v>445</v>
      </c>
      <c r="M6514">
        <v>2123</v>
      </c>
      <c r="N6514" t="s">
        <v>16274</v>
      </c>
    </row>
    <row r="6515" spans="1:14">
      <c r="A6515">
        <v>24360007</v>
      </c>
      <c r="B6515">
        <v>3039232</v>
      </c>
      <c r="C6515" t="s">
        <v>11666</v>
      </c>
      <c r="D6515" t="s">
        <v>442</v>
      </c>
      <c r="E6515" t="s">
        <v>441</v>
      </c>
      <c r="F6515">
        <v>1.7</v>
      </c>
      <c r="G6515">
        <v>3.92</v>
      </c>
      <c r="H6515" t="s">
        <v>8549</v>
      </c>
      <c r="I6515">
        <v>540</v>
      </c>
      <c r="J6515" t="s">
        <v>445</v>
      </c>
      <c r="M6515">
        <v>2123</v>
      </c>
      <c r="N6515" t="s">
        <v>16274</v>
      </c>
    </row>
    <row r="6516" spans="1:14">
      <c r="A6516">
        <v>24360008</v>
      </c>
      <c r="B6516">
        <v>3039613</v>
      </c>
      <c r="C6516" t="s">
        <v>11667</v>
      </c>
      <c r="D6516" t="s">
        <v>442</v>
      </c>
      <c r="E6516" t="s">
        <v>441</v>
      </c>
      <c r="F6516">
        <v>5.3</v>
      </c>
      <c r="G6516">
        <v>9.8000000000000007</v>
      </c>
      <c r="H6516" t="s">
        <v>8549</v>
      </c>
      <c r="I6516">
        <v>540</v>
      </c>
      <c r="J6516" t="s">
        <v>445</v>
      </c>
      <c r="M6516">
        <v>2123</v>
      </c>
      <c r="N6516" t="s">
        <v>16274</v>
      </c>
    </row>
    <row r="6517" spans="1:14">
      <c r="A6517">
        <v>24360009</v>
      </c>
      <c r="B6517">
        <v>3039767</v>
      </c>
      <c r="C6517" t="s">
        <v>11668</v>
      </c>
      <c r="D6517" t="s">
        <v>442</v>
      </c>
      <c r="E6517" t="s">
        <v>441</v>
      </c>
      <c r="F6517">
        <v>1.7</v>
      </c>
      <c r="G6517">
        <v>3.92</v>
      </c>
      <c r="H6517" t="s">
        <v>8549</v>
      </c>
      <c r="I6517">
        <v>540</v>
      </c>
      <c r="J6517" t="s">
        <v>445</v>
      </c>
      <c r="M6517">
        <v>2123</v>
      </c>
      <c r="N6517" t="s">
        <v>16274</v>
      </c>
    </row>
    <row r="6518" spans="1:14">
      <c r="A6518">
        <v>24360010</v>
      </c>
      <c r="B6518">
        <v>3039832</v>
      </c>
      <c r="C6518" t="s">
        <v>11669</v>
      </c>
      <c r="D6518" t="s">
        <v>442</v>
      </c>
      <c r="E6518" t="s">
        <v>441</v>
      </c>
      <c r="F6518">
        <v>1.7</v>
      </c>
      <c r="G6518">
        <v>10.4</v>
      </c>
      <c r="H6518" t="s">
        <v>8549</v>
      </c>
      <c r="I6518">
        <v>540</v>
      </c>
      <c r="J6518" t="s">
        <v>445</v>
      </c>
      <c r="M6518">
        <v>2123</v>
      </c>
      <c r="N6518" t="s">
        <v>16274</v>
      </c>
    </row>
    <row r="6519" spans="1:14">
      <c r="A6519">
        <v>24360011</v>
      </c>
      <c r="B6519">
        <v>3046098</v>
      </c>
      <c r="C6519" t="s">
        <v>17489</v>
      </c>
      <c r="D6519" t="s">
        <v>442</v>
      </c>
      <c r="E6519" t="s">
        <v>441</v>
      </c>
      <c r="F6519">
        <v>1.7</v>
      </c>
      <c r="G6519">
        <v>13.91</v>
      </c>
      <c r="H6519" t="s">
        <v>8549</v>
      </c>
      <c r="I6519">
        <v>540</v>
      </c>
      <c r="J6519" t="s">
        <v>445</v>
      </c>
      <c r="M6519">
        <v>2123</v>
      </c>
      <c r="N6519" t="s">
        <v>16274</v>
      </c>
    </row>
    <row r="6520" spans="1:14">
      <c r="A6520">
        <v>24360030</v>
      </c>
      <c r="B6520">
        <v>4026068</v>
      </c>
      <c r="C6520" t="s">
        <v>11670</v>
      </c>
      <c r="D6520" t="s">
        <v>442</v>
      </c>
      <c r="E6520" t="s">
        <v>441</v>
      </c>
      <c r="F6520">
        <v>0.1</v>
      </c>
      <c r="G6520">
        <v>0.89</v>
      </c>
      <c r="H6520" t="s">
        <v>8588</v>
      </c>
      <c r="I6520">
        <v>540</v>
      </c>
      <c r="J6520" t="s">
        <v>462</v>
      </c>
      <c r="K6520" t="s">
        <v>446</v>
      </c>
      <c r="M6520">
        <v>0</v>
      </c>
    </row>
    <row r="6521" spans="1:14">
      <c r="A6521">
        <v>24360031</v>
      </c>
      <c r="B6521">
        <v>4026199</v>
      </c>
      <c r="C6521" t="s">
        <v>11671</v>
      </c>
      <c r="D6521" t="s">
        <v>442</v>
      </c>
      <c r="E6521" t="s">
        <v>441</v>
      </c>
      <c r="F6521">
        <v>1.7</v>
      </c>
      <c r="G6521">
        <v>4.43</v>
      </c>
      <c r="H6521" t="s">
        <v>8588</v>
      </c>
      <c r="I6521">
        <v>540</v>
      </c>
      <c r="J6521" t="s">
        <v>462</v>
      </c>
      <c r="L6521" t="s">
        <v>11672</v>
      </c>
      <c r="M6521">
        <v>7210</v>
      </c>
      <c r="N6521" t="s">
        <v>16274</v>
      </c>
    </row>
    <row r="6522" spans="1:14">
      <c r="A6522">
        <v>24360032</v>
      </c>
      <c r="B6522">
        <v>4026285</v>
      </c>
      <c r="C6522" t="s">
        <v>11673</v>
      </c>
      <c r="D6522" t="s">
        <v>442</v>
      </c>
      <c r="E6522" t="s">
        <v>441</v>
      </c>
      <c r="F6522">
        <v>1.7</v>
      </c>
      <c r="G6522">
        <v>4.43</v>
      </c>
      <c r="H6522" t="s">
        <v>8588</v>
      </c>
      <c r="I6522">
        <v>540</v>
      </c>
      <c r="J6522" t="s">
        <v>462</v>
      </c>
      <c r="L6522" t="s">
        <v>11674</v>
      </c>
      <c r="M6522">
        <v>7210</v>
      </c>
      <c r="N6522" t="s">
        <v>16274</v>
      </c>
    </row>
    <row r="6523" spans="1:14">
      <c r="A6523">
        <v>24360033</v>
      </c>
      <c r="B6523">
        <v>4026350</v>
      </c>
      <c r="C6523" t="s">
        <v>11675</v>
      </c>
      <c r="D6523" t="s">
        <v>442</v>
      </c>
      <c r="E6523" t="s">
        <v>441</v>
      </c>
      <c r="F6523">
        <v>5.3</v>
      </c>
      <c r="G6523">
        <v>11.31</v>
      </c>
      <c r="H6523" t="s">
        <v>8588</v>
      </c>
      <c r="I6523">
        <v>540</v>
      </c>
      <c r="J6523" t="s">
        <v>462</v>
      </c>
      <c r="L6523" t="s">
        <v>11676</v>
      </c>
      <c r="M6523">
        <v>7210</v>
      </c>
      <c r="N6523" t="s">
        <v>16274</v>
      </c>
    </row>
    <row r="6524" spans="1:14">
      <c r="A6524">
        <v>24360034</v>
      </c>
      <c r="B6524">
        <v>4026384</v>
      </c>
      <c r="C6524" t="s">
        <v>11677</v>
      </c>
      <c r="D6524" t="s">
        <v>442</v>
      </c>
      <c r="E6524" t="s">
        <v>441</v>
      </c>
      <c r="F6524">
        <v>1.7</v>
      </c>
      <c r="G6524">
        <v>4.78</v>
      </c>
      <c r="H6524" t="s">
        <v>8588</v>
      </c>
      <c r="I6524">
        <v>540</v>
      </c>
      <c r="J6524" t="s">
        <v>462</v>
      </c>
      <c r="L6524" t="s">
        <v>11674</v>
      </c>
      <c r="M6524">
        <v>7210</v>
      </c>
      <c r="N6524" t="s">
        <v>16274</v>
      </c>
    </row>
    <row r="6525" spans="1:14">
      <c r="A6525">
        <v>24360035</v>
      </c>
      <c r="B6525">
        <v>4026422</v>
      </c>
      <c r="C6525" t="s">
        <v>11678</v>
      </c>
      <c r="D6525" t="s">
        <v>442</v>
      </c>
      <c r="E6525" t="s">
        <v>441</v>
      </c>
      <c r="F6525">
        <v>1.7</v>
      </c>
      <c r="G6525">
        <v>10.91</v>
      </c>
      <c r="H6525" t="s">
        <v>8588</v>
      </c>
      <c r="I6525">
        <v>540</v>
      </c>
      <c r="J6525" t="s">
        <v>462</v>
      </c>
      <c r="L6525" t="s">
        <v>11674</v>
      </c>
      <c r="M6525">
        <v>7210</v>
      </c>
      <c r="N6525" t="s">
        <v>16274</v>
      </c>
    </row>
    <row r="6526" spans="1:14">
      <c r="A6526">
        <v>24360036</v>
      </c>
      <c r="B6526">
        <v>4027087</v>
      </c>
      <c r="C6526" t="s">
        <v>11679</v>
      </c>
      <c r="D6526" t="s">
        <v>449</v>
      </c>
      <c r="E6526" t="s">
        <v>441</v>
      </c>
      <c r="F6526">
        <v>0.19</v>
      </c>
      <c r="G6526">
        <v>0.4</v>
      </c>
      <c r="H6526" t="s">
        <v>8588</v>
      </c>
      <c r="I6526">
        <v>540</v>
      </c>
      <c r="J6526" t="s">
        <v>462</v>
      </c>
      <c r="L6526" t="s">
        <v>11674</v>
      </c>
      <c r="M6526">
        <v>7210</v>
      </c>
      <c r="N6526" t="s">
        <v>16274</v>
      </c>
    </row>
    <row r="6527" spans="1:14">
      <c r="A6527">
        <v>24360037</v>
      </c>
      <c r="B6527">
        <v>4030529</v>
      </c>
      <c r="C6527" t="s">
        <v>17490</v>
      </c>
      <c r="D6527" t="s">
        <v>442</v>
      </c>
      <c r="E6527" t="s">
        <v>441</v>
      </c>
      <c r="F6527">
        <v>1.7</v>
      </c>
      <c r="G6527">
        <v>14.15</v>
      </c>
      <c r="H6527" t="s">
        <v>8588</v>
      </c>
      <c r="I6527">
        <v>540</v>
      </c>
      <c r="J6527" t="s">
        <v>462</v>
      </c>
      <c r="L6527" t="s">
        <v>11672</v>
      </c>
      <c r="M6527">
        <v>7210</v>
      </c>
      <c r="N6527" t="s">
        <v>16274</v>
      </c>
    </row>
    <row r="6528" spans="1:14">
      <c r="A6528">
        <v>24360087</v>
      </c>
      <c r="B6528">
        <v>4025964</v>
      </c>
      <c r="C6528" t="s">
        <v>11680</v>
      </c>
      <c r="D6528" t="s">
        <v>441</v>
      </c>
      <c r="F6528">
        <v>0</v>
      </c>
      <c r="G6528">
        <v>1.19</v>
      </c>
      <c r="H6528" t="s">
        <v>8588</v>
      </c>
      <c r="I6528">
        <v>6</v>
      </c>
      <c r="J6528" t="s">
        <v>462</v>
      </c>
      <c r="M6528">
        <v>7210</v>
      </c>
      <c r="N6528" t="s">
        <v>16274</v>
      </c>
    </row>
    <row r="6529" spans="1:14">
      <c r="A6529">
        <v>24370000</v>
      </c>
      <c r="B6529">
        <v>3038702</v>
      </c>
      <c r="C6529" t="s">
        <v>11681</v>
      </c>
      <c r="D6529" t="s">
        <v>441</v>
      </c>
      <c r="F6529">
        <v>0</v>
      </c>
      <c r="G6529">
        <v>0.45</v>
      </c>
      <c r="H6529" t="s">
        <v>8549</v>
      </c>
      <c r="I6529">
        <v>4</v>
      </c>
      <c r="J6529" t="s">
        <v>445</v>
      </c>
      <c r="M6529">
        <v>2123</v>
      </c>
      <c r="N6529" t="s">
        <v>16275</v>
      </c>
    </row>
    <row r="6530" spans="1:14">
      <c r="A6530">
        <v>24370087</v>
      </c>
      <c r="B6530">
        <v>4025918</v>
      </c>
      <c r="C6530" t="s">
        <v>11682</v>
      </c>
      <c r="D6530" t="s">
        <v>441</v>
      </c>
      <c r="F6530">
        <v>0</v>
      </c>
      <c r="G6530">
        <v>0.64</v>
      </c>
      <c r="H6530" t="s">
        <v>8588</v>
      </c>
      <c r="I6530">
        <v>6</v>
      </c>
      <c r="J6530" t="s">
        <v>462</v>
      </c>
      <c r="M6530">
        <v>7210</v>
      </c>
      <c r="N6530" t="s">
        <v>16275</v>
      </c>
    </row>
    <row r="6531" spans="1:14">
      <c r="A6531">
        <v>24380000</v>
      </c>
      <c r="B6531">
        <v>3038710</v>
      </c>
      <c r="C6531" t="s">
        <v>2957</v>
      </c>
      <c r="D6531" t="s">
        <v>441</v>
      </c>
      <c r="E6531" t="s">
        <v>442</v>
      </c>
      <c r="F6531">
        <v>0</v>
      </c>
      <c r="G6531">
        <v>3</v>
      </c>
      <c r="H6531" t="s">
        <v>8549</v>
      </c>
      <c r="I6531">
        <v>3</v>
      </c>
      <c r="J6531" t="s">
        <v>445</v>
      </c>
      <c r="M6531">
        <v>2123</v>
      </c>
      <c r="N6531" t="s">
        <v>16276</v>
      </c>
    </row>
    <row r="6532" spans="1:14">
      <c r="A6532">
        <v>24380100</v>
      </c>
      <c r="B6532">
        <v>3041352</v>
      </c>
      <c r="C6532" t="s">
        <v>2958</v>
      </c>
      <c r="D6532" t="s">
        <v>442</v>
      </c>
      <c r="E6532" t="s">
        <v>441</v>
      </c>
      <c r="F6532">
        <v>1.8</v>
      </c>
      <c r="G6532">
        <v>5.25</v>
      </c>
      <c r="H6532" t="s">
        <v>8549</v>
      </c>
      <c r="I6532">
        <v>4</v>
      </c>
      <c r="J6532" t="s">
        <v>445</v>
      </c>
      <c r="M6532">
        <v>7161</v>
      </c>
      <c r="N6532" t="s">
        <v>16276</v>
      </c>
    </row>
    <row r="6533" spans="1:14">
      <c r="A6533">
        <v>24380110</v>
      </c>
      <c r="B6533">
        <v>3042620</v>
      </c>
      <c r="C6533" t="s">
        <v>2959</v>
      </c>
      <c r="D6533" t="s">
        <v>442</v>
      </c>
      <c r="E6533" t="s">
        <v>441</v>
      </c>
      <c r="F6533">
        <v>1.8</v>
      </c>
      <c r="G6533">
        <v>0.86</v>
      </c>
      <c r="H6533" t="s">
        <v>8549</v>
      </c>
      <c r="I6533">
        <v>5</v>
      </c>
      <c r="J6533" t="s">
        <v>445</v>
      </c>
      <c r="M6533">
        <v>0</v>
      </c>
      <c r="N6533" t="s">
        <v>16276</v>
      </c>
    </row>
    <row r="6534" spans="1:14">
      <c r="A6534">
        <v>24380120</v>
      </c>
      <c r="B6534">
        <v>3043814</v>
      </c>
      <c r="C6534" t="s">
        <v>11683</v>
      </c>
      <c r="D6534" t="s">
        <v>441</v>
      </c>
      <c r="F6534">
        <v>0</v>
      </c>
      <c r="G6534">
        <v>10645.92</v>
      </c>
      <c r="H6534" t="s">
        <v>8588</v>
      </c>
      <c r="I6534">
        <v>6</v>
      </c>
      <c r="J6534" t="s">
        <v>445</v>
      </c>
      <c r="M6534">
        <v>0</v>
      </c>
      <c r="N6534" t="s">
        <v>16276</v>
      </c>
    </row>
    <row r="6535" spans="1:14">
      <c r="A6535">
        <v>24380130</v>
      </c>
      <c r="B6535">
        <v>3044216</v>
      </c>
      <c r="C6535" t="s">
        <v>2959</v>
      </c>
      <c r="D6535" t="s">
        <v>442</v>
      </c>
      <c r="E6535" t="s">
        <v>441</v>
      </c>
      <c r="F6535">
        <v>2</v>
      </c>
      <c r="G6535">
        <v>7.14</v>
      </c>
      <c r="H6535" t="s">
        <v>8549</v>
      </c>
      <c r="I6535">
        <v>5</v>
      </c>
      <c r="J6535" t="s">
        <v>445</v>
      </c>
      <c r="M6535">
        <v>0</v>
      </c>
      <c r="N6535" t="s">
        <v>16276</v>
      </c>
    </row>
    <row r="6536" spans="1:14">
      <c r="A6536">
        <v>24380140</v>
      </c>
      <c r="B6536">
        <v>3044208</v>
      </c>
      <c r="C6536" t="s">
        <v>2958</v>
      </c>
      <c r="D6536" t="s">
        <v>442</v>
      </c>
      <c r="E6536" t="s">
        <v>441</v>
      </c>
      <c r="F6536">
        <v>2</v>
      </c>
      <c r="G6536">
        <v>5.29</v>
      </c>
      <c r="H6536" t="s">
        <v>8549</v>
      </c>
      <c r="I6536">
        <v>4</v>
      </c>
      <c r="J6536" t="s">
        <v>445</v>
      </c>
      <c r="M6536">
        <v>0</v>
      </c>
      <c r="N6536" t="s">
        <v>16276</v>
      </c>
    </row>
    <row r="6537" spans="1:14">
      <c r="A6537">
        <v>24380150</v>
      </c>
      <c r="B6537">
        <v>3044209</v>
      </c>
      <c r="C6537" t="s">
        <v>14464</v>
      </c>
      <c r="D6537" t="s">
        <v>442</v>
      </c>
      <c r="E6537" t="s">
        <v>441</v>
      </c>
      <c r="F6537">
        <v>2</v>
      </c>
      <c r="G6537">
        <v>3.27</v>
      </c>
      <c r="H6537" t="s">
        <v>8549</v>
      </c>
      <c r="I6537">
        <v>4</v>
      </c>
      <c r="J6537" t="s">
        <v>445</v>
      </c>
      <c r="M6537">
        <v>0</v>
      </c>
      <c r="N6537" t="s">
        <v>16276</v>
      </c>
    </row>
    <row r="6538" spans="1:14">
      <c r="A6538">
        <v>24390000</v>
      </c>
      <c r="B6538">
        <v>3038703</v>
      </c>
      <c r="C6538" t="s">
        <v>11684</v>
      </c>
      <c r="D6538" t="s">
        <v>441</v>
      </c>
      <c r="F6538">
        <v>0</v>
      </c>
      <c r="G6538">
        <v>0.01</v>
      </c>
      <c r="H6538" t="s">
        <v>8549</v>
      </c>
      <c r="I6538">
        <v>4</v>
      </c>
      <c r="J6538" t="s">
        <v>445</v>
      </c>
      <c r="M6538">
        <v>2123</v>
      </c>
      <c r="N6538" t="s">
        <v>16277</v>
      </c>
    </row>
    <row r="6539" spans="1:14">
      <c r="A6539">
        <v>24390002</v>
      </c>
      <c r="B6539">
        <v>4025947</v>
      </c>
      <c r="C6539" t="s">
        <v>11685</v>
      </c>
      <c r="D6539" t="s">
        <v>441</v>
      </c>
      <c r="F6539">
        <v>0</v>
      </c>
      <c r="G6539">
        <v>11.27</v>
      </c>
      <c r="H6539" t="s">
        <v>8588</v>
      </c>
      <c r="I6539">
        <v>365</v>
      </c>
      <c r="J6539" t="s">
        <v>462</v>
      </c>
      <c r="M6539">
        <v>7113</v>
      </c>
      <c r="N6539" t="s">
        <v>16277</v>
      </c>
    </row>
    <row r="6540" spans="1:14">
      <c r="A6540">
        <v>24390018</v>
      </c>
      <c r="B6540">
        <v>4026020</v>
      </c>
      <c r="C6540" t="s">
        <v>11686</v>
      </c>
      <c r="D6540" t="s">
        <v>442</v>
      </c>
      <c r="E6540" t="s">
        <v>441</v>
      </c>
      <c r="F6540">
        <v>10</v>
      </c>
      <c r="G6540">
        <v>98.35</v>
      </c>
      <c r="H6540" t="s">
        <v>8588</v>
      </c>
      <c r="I6540">
        <v>365</v>
      </c>
      <c r="J6540" t="s">
        <v>462</v>
      </c>
      <c r="M6540">
        <v>7111</v>
      </c>
      <c r="N6540" t="s">
        <v>16277</v>
      </c>
    </row>
    <row r="6541" spans="1:14">
      <c r="A6541">
        <v>24390019</v>
      </c>
      <c r="B6541">
        <v>4026426</v>
      </c>
      <c r="C6541" t="s">
        <v>11687</v>
      </c>
      <c r="D6541" t="s">
        <v>442</v>
      </c>
      <c r="E6541" t="s">
        <v>441</v>
      </c>
      <c r="F6541">
        <v>10</v>
      </c>
      <c r="G6541">
        <v>98.36</v>
      </c>
      <c r="H6541" t="s">
        <v>8549</v>
      </c>
      <c r="I6541">
        <v>365</v>
      </c>
      <c r="J6541" t="s">
        <v>462</v>
      </c>
      <c r="M6541">
        <v>7111</v>
      </c>
      <c r="N6541" t="s">
        <v>16277</v>
      </c>
    </row>
    <row r="6542" spans="1:14">
      <c r="A6542">
        <v>24390026</v>
      </c>
      <c r="B6542">
        <v>4025948</v>
      </c>
      <c r="C6542" t="s">
        <v>11688</v>
      </c>
      <c r="D6542" t="s">
        <v>441</v>
      </c>
      <c r="F6542">
        <v>0</v>
      </c>
      <c r="G6542">
        <v>11.18</v>
      </c>
      <c r="H6542" t="s">
        <v>8588</v>
      </c>
      <c r="I6542">
        <v>365</v>
      </c>
      <c r="J6542" t="s">
        <v>462</v>
      </c>
      <c r="M6542">
        <v>7111</v>
      </c>
      <c r="N6542" t="s">
        <v>16277</v>
      </c>
    </row>
    <row r="6543" spans="1:14">
      <c r="A6543">
        <v>24390027</v>
      </c>
      <c r="B6543">
        <v>4026065</v>
      </c>
      <c r="C6543" t="s">
        <v>11689</v>
      </c>
      <c r="D6543" t="s">
        <v>442</v>
      </c>
      <c r="E6543" t="s">
        <v>441</v>
      </c>
      <c r="F6543">
        <v>10</v>
      </c>
      <c r="G6543">
        <v>111.99</v>
      </c>
      <c r="H6543" t="s">
        <v>8588</v>
      </c>
      <c r="I6543">
        <v>365</v>
      </c>
      <c r="J6543" t="s">
        <v>462</v>
      </c>
      <c r="M6543">
        <v>7111</v>
      </c>
      <c r="N6543" t="s">
        <v>16277</v>
      </c>
    </row>
    <row r="6544" spans="1:14">
      <c r="A6544">
        <v>24390502</v>
      </c>
      <c r="B6544">
        <v>3038727</v>
      </c>
      <c r="C6544" t="s">
        <v>11690</v>
      </c>
      <c r="D6544" t="s">
        <v>441</v>
      </c>
      <c r="F6544">
        <v>0</v>
      </c>
      <c r="G6544">
        <v>10.79</v>
      </c>
      <c r="H6544" t="s">
        <v>8580</v>
      </c>
      <c r="I6544">
        <v>365</v>
      </c>
      <c r="J6544" t="s">
        <v>445</v>
      </c>
      <c r="K6544" t="s">
        <v>446</v>
      </c>
      <c r="M6544">
        <v>2502</v>
      </c>
      <c r="N6544" t="s">
        <v>16277</v>
      </c>
    </row>
    <row r="6545" spans="1:14">
      <c r="A6545">
        <v>24390518</v>
      </c>
      <c r="B6545">
        <v>3038823</v>
      </c>
      <c r="C6545" t="s">
        <v>11691</v>
      </c>
      <c r="D6545" t="s">
        <v>442</v>
      </c>
      <c r="E6545" t="s">
        <v>441</v>
      </c>
      <c r="F6545">
        <v>10</v>
      </c>
      <c r="G6545">
        <v>95.71</v>
      </c>
      <c r="H6545" t="s">
        <v>8588</v>
      </c>
      <c r="I6545">
        <v>365</v>
      </c>
      <c r="J6545" t="s">
        <v>445</v>
      </c>
      <c r="M6545">
        <v>2502</v>
      </c>
      <c r="N6545" t="s">
        <v>16277</v>
      </c>
    </row>
    <row r="6546" spans="1:14">
      <c r="A6546">
        <v>24390519</v>
      </c>
      <c r="B6546">
        <v>3039881</v>
      </c>
      <c r="C6546" t="s">
        <v>11692</v>
      </c>
      <c r="D6546" t="s">
        <v>442</v>
      </c>
      <c r="E6546" t="s">
        <v>441</v>
      </c>
      <c r="F6546">
        <v>10</v>
      </c>
      <c r="G6546">
        <v>95.72</v>
      </c>
      <c r="H6546" t="s">
        <v>8549</v>
      </c>
      <c r="I6546">
        <v>365</v>
      </c>
      <c r="J6546" t="s">
        <v>445</v>
      </c>
      <c r="M6546">
        <v>2502</v>
      </c>
      <c r="N6546" t="s">
        <v>16277</v>
      </c>
    </row>
    <row r="6547" spans="1:14">
      <c r="A6547">
        <v>24390526</v>
      </c>
      <c r="B6547">
        <v>3038728</v>
      </c>
      <c r="C6547" t="s">
        <v>11693</v>
      </c>
      <c r="D6547" t="s">
        <v>441</v>
      </c>
      <c r="F6547">
        <v>0</v>
      </c>
      <c r="G6547">
        <v>10.79</v>
      </c>
      <c r="H6547" t="s">
        <v>8580</v>
      </c>
      <c r="I6547">
        <v>365</v>
      </c>
      <c r="J6547" t="s">
        <v>445</v>
      </c>
      <c r="K6547" t="s">
        <v>446</v>
      </c>
      <c r="M6547">
        <v>2502</v>
      </c>
      <c r="N6547" t="s">
        <v>16277</v>
      </c>
    </row>
    <row r="6548" spans="1:14">
      <c r="A6548">
        <v>24390527</v>
      </c>
      <c r="B6548">
        <v>3038892</v>
      </c>
      <c r="C6548" t="s">
        <v>11694</v>
      </c>
      <c r="D6548" t="s">
        <v>442</v>
      </c>
      <c r="E6548" t="s">
        <v>441</v>
      </c>
      <c r="F6548">
        <v>10</v>
      </c>
      <c r="G6548">
        <v>108.11</v>
      </c>
      <c r="H6548" t="s">
        <v>8588</v>
      </c>
      <c r="I6548">
        <v>365</v>
      </c>
      <c r="J6548" t="s">
        <v>445</v>
      </c>
      <c r="K6548" t="s">
        <v>446</v>
      </c>
      <c r="M6548">
        <v>2502</v>
      </c>
      <c r="N6548" t="s">
        <v>16277</v>
      </c>
    </row>
    <row r="6549" spans="1:14">
      <c r="A6549">
        <v>24400000</v>
      </c>
      <c r="B6549">
        <v>3038704</v>
      </c>
      <c r="C6549" t="s">
        <v>11695</v>
      </c>
      <c r="D6549" t="s">
        <v>441</v>
      </c>
      <c r="F6549">
        <v>0</v>
      </c>
      <c r="G6549">
        <v>0.01</v>
      </c>
      <c r="H6549" t="s">
        <v>8549</v>
      </c>
      <c r="I6549">
        <v>3</v>
      </c>
      <c r="J6549" t="s">
        <v>445</v>
      </c>
      <c r="M6549">
        <v>2123</v>
      </c>
      <c r="N6549" t="s">
        <v>16278</v>
      </c>
    </row>
    <row r="6550" spans="1:14">
      <c r="A6550">
        <v>24400026</v>
      </c>
      <c r="B6550">
        <v>4025949</v>
      </c>
      <c r="C6550" t="s">
        <v>11696</v>
      </c>
      <c r="D6550" t="s">
        <v>441</v>
      </c>
      <c r="F6550">
        <v>0</v>
      </c>
      <c r="G6550">
        <v>7.55</v>
      </c>
      <c r="H6550" t="s">
        <v>8588</v>
      </c>
      <c r="I6550">
        <v>365</v>
      </c>
      <c r="J6550" t="s">
        <v>462</v>
      </c>
      <c r="M6550">
        <v>7111</v>
      </c>
      <c r="N6550" t="s">
        <v>16278</v>
      </c>
    </row>
    <row r="6551" spans="1:14">
      <c r="A6551">
        <v>24400027</v>
      </c>
      <c r="B6551">
        <v>4026067</v>
      </c>
      <c r="C6551" t="s">
        <v>11697</v>
      </c>
      <c r="D6551" t="s">
        <v>442</v>
      </c>
      <c r="E6551" t="s">
        <v>441</v>
      </c>
      <c r="F6551">
        <v>10</v>
      </c>
      <c r="G6551">
        <v>44.83</v>
      </c>
      <c r="H6551" t="s">
        <v>8588</v>
      </c>
      <c r="I6551">
        <v>365</v>
      </c>
      <c r="J6551" t="s">
        <v>462</v>
      </c>
      <c r="M6551">
        <v>7111</v>
      </c>
      <c r="N6551" t="s">
        <v>16278</v>
      </c>
    </row>
    <row r="6552" spans="1:14">
      <c r="A6552">
        <v>24400087</v>
      </c>
      <c r="B6552">
        <v>4026039</v>
      </c>
      <c r="C6552" t="s">
        <v>11698</v>
      </c>
      <c r="D6552" t="s">
        <v>441</v>
      </c>
      <c r="F6552">
        <v>0</v>
      </c>
      <c r="G6552">
        <v>0.2</v>
      </c>
      <c r="H6552" t="s">
        <v>8588</v>
      </c>
      <c r="I6552">
        <v>6</v>
      </c>
      <c r="J6552" t="s">
        <v>462</v>
      </c>
      <c r="M6552">
        <v>7210</v>
      </c>
      <c r="N6552" t="s">
        <v>16278</v>
      </c>
    </row>
    <row r="6553" spans="1:14">
      <c r="A6553">
        <v>24400526</v>
      </c>
      <c r="B6553">
        <v>3038729</v>
      </c>
      <c r="C6553" t="s">
        <v>11699</v>
      </c>
      <c r="D6553" t="s">
        <v>441</v>
      </c>
      <c r="F6553">
        <v>0</v>
      </c>
      <c r="G6553">
        <v>4.21</v>
      </c>
      <c r="H6553" t="s">
        <v>8580</v>
      </c>
      <c r="I6553">
        <v>365</v>
      </c>
      <c r="J6553" t="s">
        <v>445</v>
      </c>
      <c r="M6553">
        <v>2502</v>
      </c>
      <c r="N6553" t="s">
        <v>16278</v>
      </c>
    </row>
    <row r="6554" spans="1:14">
      <c r="A6554">
        <v>24400527</v>
      </c>
      <c r="B6554">
        <v>3038920</v>
      </c>
      <c r="C6554" t="s">
        <v>11700</v>
      </c>
      <c r="D6554" t="s">
        <v>442</v>
      </c>
      <c r="E6554" t="s">
        <v>441</v>
      </c>
      <c r="F6554">
        <v>10</v>
      </c>
      <c r="G6554">
        <v>42.19</v>
      </c>
      <c r="H6554" t="s">
        <v>8588</v>
      </c>
      <c r="I6554">
        <v>365</v>
      </c>
      <c r="J6554" t="s">
        <v>445</v>
      </c>
      <c r="M6554">
        <v>2502</v>
      </c>
      <c r="N6554" t="s">
        <v>16278</v>
      </c>
    </row>
    <row r="6555" spans="1:14">
      <c r="A6555">
        <v>24410087</v>
      </c>
      <c r="B6555">
        <v>4026140</v>
      </c>
      <c r="C6555" t="s">
        <v>2960</v>
      </c>
      <c r="D6555" t="s">
        <v>441</v>
      </c>
      <c r="F6555">
        <v>0</v>
      </c>
      <c r="G6555">
        <v>1.29</v>
      </c>
      <c r="H6555" t="s">
        <v>8588</v>
      </c>
      <c r="I6555">
        <v>6</v>
      </c>
      <c r="J6555" t="s">
        <v>462</v>
      </c>
      <c r="M6555">
        <v>7210</v>
      </c>
      <c r="N6555" t="s">
        <v>16279</v>
      </c>
    </row>
    <row r="6556" spans="1:14">
      <c r="A6556">
        <v>24420035</v>
      </c>
      <c r="B6556">
        <v>4026119</v>
      </c>
      <c r="C6556" t="s">
        <v>2961</v>
      </c>
      <c r="D6556" t="s">
        <v>442</v>
      </c>
      <c r="E6556" t="s">
        <v>441</v>
      </c>
      <c r="F6556">
        <v>10</v>
      </c>
      <c r="G6556">
        <v>107.56</v>
      </c>
      <c r="H6556" t="s">
        <v>8588</v>
      </c>
      <c r="I6556">
        <v>540</v>
      </c>
      <c r="J6556" t="s">
        <v>462</v>
      </c>
      <c r="M6556">
        <v>7111</v>
      </c>
      <c r="N6556" t="s">
        <v>16280</v>
      </c>
    </row>
    <row r="6557" spans="1:14">
      <c r="A6557">
        <v>24420535</v>
      </c>
      <c r="B6557">
        <v>3039006</v>
      </c>
      <c r="C6557" t="s">
        <v>2962</v>
      </c>
      <c r="D6557" t="s">
        <v>442</v>
      </c>
      <c r="E6557" t="s">
        <v>441</v>
      </c>
      <c r="F6557">
        <v>10</v>
      </c>
      <c r="G6557">
        <v>103.02</v>
      </c>
      <c r="H6557" t="s">
        <v>8588</v>
      </c>
      <c r="I6557">
        <v>540</v>
      </c>
      <c r="J6557" t="s">
        <v>445</v>
      </c>
      <c r="M6557">
        <v>2502</v>
      </c>
      <c r="N6557" t="s">
        <v>16280</v>
      </c>
    </row>
    <row r="6558" spans="1:14">
      <c r="A6558">
        <v>24430035</v>
      </c>
      <c r="B6558">
        <v>4026150</v>
      </c>
      <c r="C6558" t="s">
        <v>2963</v>
      </c>
      <c r="D6558" t="s">
        <v>442</v>
      </c>
      <c r="E6558" t="s">
        <v>441</v>
      </c>
      <c r="F6558">
        <v>10</v>
      </c>
      <c r="G6558">
        <v>56.79</v>
      </c>
      <c r="H6558" t="s">
        <v>8588</v>
      </c>
      <c r="I6558">
        <v>540</v>
      </c>
      <c r="J6558" t="s">
        <v>462</v>
      </c>
      <c r="M6558">
        <v>7111</v>
      </c>
      <c r="N6558" t="s">
        <v>16279</v>
      </c>
    </row>
    <row r="6559" spans="1:14">
      <c r="A6559">
        <v>24430535</v>
      </c>
      <c r="B6559">
        <v>3039007</v>
      </c>
      <c r="C6559" t="s">
        <v>2964</v>
      </c>
      <c r="D6559" t="s">
        <v>442</v>
      </c>
      <c r="E6559" t="s">
        <v>441</v>
      </c>
      <c r="F6559">
        <v>10</v>
      </c>
      <c r="G6559">
        <v>54.16</v>
      </c>
      <c r="H6559" t="s">
        <v>8588</v>
      </c>
      <c r="I6559">
        <v>540</v>
      </c>
      <c r="J6559" t="s">
        <v>445</v>
      </c>
      <c r="M6559">
        <v>2502</v>
      </c>
      <c r="N6559" t="s">
        <v>16279</v>
      </c>
    </row>
    <row r="6560" spans="1:14">
      <c r="A6560">
        <v>24440007</v>
      </c>
      <c r="B6560">
        <v>3039545</v>
      </c>
      <c r="C6560" t="s">
        <v>2965</v>
      </c>
      <c r="D6560" t="s">
        <v>442</v>
      </c>
      <c r="E6560" t="s">
        <v>441</v>
      </c>
      <c r="F6560">
        <v>0.35</v>
      </c>
      <c r="G6560">
        <v>1.57</v>
      </c>
      <c r="H6560" t="s">
        <v>8549</v>
      </c>
      <c r="I6560">
        <v>540</v>
      </c>
      <c r="J6560" t="s">
        <v>445</v>
      </c>
      <c r="M6560">
        <v>2123</v>
      </c>
      <c r="N6560" t="s">
        <v>16280</v>
      </c>
    </row>
    <row r="6561" spans="1:14">
      <c r="A6561">
        <v>24440030</v>
      </c>
      <c r="B6561">
        <v>4026286</v>
      </c>
      <c r="C6561" t="s">
        <v>2966</v>
      </c>
      <c r="D6561" t="s">
        <v>442</v>
      </c>
      <c r="E6561" t="s">
        <v>441</v>
      </c>
      <c r="F6561">
        <v>0.35</v>
      </c>
      <c r="G6561">
        <v>1.77</v>
      </c>
      <c r="H6561" t="s">
        <v>8588</v>
      </c>
      <c r="I6561">
        <v>540</v>
      </c>
      <c r="J6561" t="s">
        <v>462</v>
      </c>
      <c r="M6561">
        <v>7210</v>
      </c>
      <c r="N6561" t="s">
        <v>16280</v>
      </c>
    </row>
    <row r="6562" spans="1:14">
      <c r="A6562">
        <v>24450000</v>
      </c>
      <c r="B6562">
        <v>3041341</v>
      </c>
      <c r="C6562" t="s">
        <v>2967</v>
      </c>
      <c r="D6562" t="s">
        <v>441</v>
      </c>
      <c r="F6562">
        <v>0</v>
      </c>
      <c r="G6562">
        <v>5.33</v>
      </c>
      <c r="H6562" t="s">
        <v>8549</v>
      </c>
      <c r="I6562">
        <v>4</v>
      </c>
      <c r="J6562" t="s">
        <v>445</v>
      </c>
      <c r="M6562">
        <v>2123</v>
      </c>
      <c r="N6562" t="s">
        <v>16280</v>
      </c>
    </row>
    <row r="6563" spans="1:14">
      <c r="A6563">
        <v>24450008</v>
      </c>
      <c r="B6563">
        <v>3041313</v>
      </c>
      <c r="C6563" t="s">
        <v>2968</v>
      </c>
      <c r="D6563" t="s">
        <v>442</v>
      </c>
      <c r="E6563" t="s">
        <v>441</v>
      </c>
      <c r="F6563">
        <v>0.3</v>
      </c>
      <c r="G6563">
        <v>1.92</v>
      </c>
      <c r="H6563" t="s">
        <v>8549</v>
      </c>
      <c r="I6563">
        <v>540</v>
      </c>
      <c r="J6563" t="s">
        <v>445</v>
      </c>
      <c r="M6563">
        <v>2123</v>
      </c>
      <c r="N6563" t="s">
        <v>16280</v>
      </c>
    </row>
    <row r="6564" spans="1:14">
      <c r="A6564">
        <v>24450030</v>
      </c>
      <c r="B6564">
        <v>4027275</v>
      </c>
      <c r="C6564" t="s">
        <v>2969</v>
      </c>
      <c r="D6564" t="s">
        <v>442</v>
      </c>
      <c r="E6564" t="s">
        <v>441</v>
      </c>
      <c r="F6564">
        <v>0.3</v>
      </c>
      <c r="G6564">
        <v>2.15</v>
      </c>
      <c r="H6564" t="s">
        <v>8588</v>
      </c>
      <c r="I6564">
        <v>540</v>
      </c>
      <c r="J6564" t="s">
        <v>462</v>
      </c>
      <c r="L6564" t="s">
        <v>11701</v>
      </c>
      <c r="M6564">
        <v>7210</v>
      </c>
      <c r="N6564" t="s">
        <v>16280</v>
      </c>
    </row>
    <row r="6565" spans="1:14">
      <c r="A6565">
        <v>24460000</v>
      </c>
      <c r="B6565">
        <v>3041396</v>
      </c>
      <c r="C6565" t="s">
        <v>2970</v>
      </c>
      <c r="D6565" t="s">
        <v>441</v>
      </c>
      <c r="F6565">
        <v>0</v>
      </c>
      <c r="G6565">
        <v>4.74</v>
      </c>
      <c r="H6565" t="s">
        <v>8549</v>
      </c>
      <c r="I6565">
        <v>4</v>
      </c>
      <c r="J6565" t="s">
        <v>445</v>
      </c>
      <c r="M6565">
        <v>2123</v>
      </c>
      <c r="N6565" t="s">
        <v>16280</v>
      </c>
    </row>
    <row r="6566" spans="1:14">
      <c r="A6566">
        <v>24460008</v>
      </c>
      <c r="B6566">
        <v>3041426</v>
      </c>
      <c r="C6566" t="s">
        <v>2971</v>
      </c>
      <c r="D6566" t="s">
        <v>442</v>
      </c>
      <c r="E6566" t="s">
        <v>441</v>
      </c>
      <c r="F6566">
        <v>0.25</v>
      </c>
      <c r="G6566">
        <v>1.45</v>
      </c>
      <c r="H6566" t="s">
        <v>8549</v>
      </c>
      <c r="I6566">
        <v>540</v>
      </c>
      <c r="J6566" t="s">
        <v>445</v>
      </c>
      <c r="M6566">
        <v>2123</v>
      </c>
      <c r="N6566" t="s">
        <v>16280</v>
      </c>
    </row>
    <row r="6567" spans="1:14">
      <c r="A6567">
        <v>24460030</v>
      </c>
      <c r="B6567">
        <v>4027335</v>
      </c>
      <c r="C6567" t="s">
        <v>2972</v>
      </c>
      <c r="D6567" t="s">
        <v>442</v>
      </c>
      <c r="E6567" t="s">
        <v>441</v>
      </c>
      <c r="F6567">
        <v>0.25</v>
      </c>
      <c r="G6567">
        <v>1.65</v>
      </c>
      <c r="H6567" t="s">
        <v>8588</v>
      </c>
      <c r="I6567">
        <v>540</v>
      </c>
      <c r="J6567" t="s">
        <v>462</v>
      </c>
      <c r="L6567" t="s">
        <v>11701</v>
      </c>
      <c r="M6567">
        <v>7210</v>
      </c>
      <c r="N6567" t="s">
        <v>16280</v>
      </c>
    </row>
    <row r="6568" spans="1:14">
      <c r="A6568">
        <v>24470000</v>
      </c>
      <c r="B6568">
        <v>3044559</v>
      </c>
      <c r="C6568" t="s">
        <v>15276</v>
      </c>
      <c r="D6568" t="s">
        <v>441</v>
      </c>
      <c r="F6568">
        <v>0</v>
      </c>
      <c r="G6568">
        <v>0.8</v>
      </c>
      <c r="H6568" t="s">
        <v>8549</v>
      </c>
      <c r="I6568">
        <v>365</v>
      </c>
      <c r="J6568" t="s">
        <v>445</v>
      </c>
      <c r="M6568">
        <v>2123</v>
      </c>
      <c r="N6568" t="s">
        <v>16281</v>
      </c>
    </row>
    <row r="6569" spans="1:14">
      <c r="A6569">
        <v>24470087</v>
      </c>
      <c r="B6569">
        <v>3044557</v>
      </c>
      <c r="C6569" t="s">
        <v>15322</v>
      </c>
      <c r="D6569" t="s">
        <v>441</v>
      </c>
      <c r="F6569">
        <v>0</v>
      </c>
      <c r="G6569">
        <v>0.84</v>
      </c>
      <c r="H6569" t="s">
        <v>8588</v>
      </c>
      <c r="I6569">
        <v>365</v>
      </c>
      <c r="J6569" t="s">
        <v>445</v>
      </c>
      <c r="M6569">
        <v>7210</v>
      </c>
      <c r="N6569" t="s">
        <v>16281</v>
      </c>
    </row>
    <row r="6570" spans="1:14">
      <c r="A6570">
        <v>24480000</v>
      </c>
      <c r="B6570">
        <v>3044818</v>
      </c>
      <c r="C6570" t="s">
        <v>15500</v>
      </c>
      <c r="D6570" t="s">
        <v>441</v>
      </c>
      <c r="F6570">
        <v>0</v>
      </c>
      <c r="G6570">
        <v>4.75</v>
      </c>
      <c r="H6570" t="s">
        <v>8549</v>
      </c>
      <c r="I6570">
        <v>4</v>
      </c>
      <c r="J6570" t="s">
        <v>445</v>
      </c>
      <c r="M6570">
        <v>2123</v>
      </c>
      <c r="N6570" t="s">
        <v>16282</v>
      </c>
    </row>
    <row r="6571" spans="1:14">
      <c r="A6571">
        <v>24480008</v>
      </c>
      <c r="B6571">
        <v>3044849</v>
      </c>
      <c r="C6571" t="s">
        <v>15501</v>
      </c>
      <c r="D6571" t="s">
        <v>442</v>
      </c>
      <c r="E6571" t="s">
        <v>441</v>
      </c>
      <c r="F6571">
        <v>4.0999999999999996</v>
      </c>
      <c r="G6571">
        <v>23.93</v>
      </c>
      <c r="H6571" t="s">
        <v>8549</v>
      </c>
      <c r="I6571">
        <v>540</v>
      </c>
      <c r="J6571" t="s">
        <v>445</v>
      </c>
      <c r="M6571">
        <v>2123</v>
      </c>
      <c r="N6571" t="s">
        <v>16282</v>
      </c>
    </row>
    <row r="6572" spans="1:14">
      <c r="A6572">
        <v>24480009</v>
      </c>
      <c r="B6572">
        <v>3046061</v>
      </c>
      <c r="C6572" t="s">
        <v>17491</v>
      </c>
      <c r="D6572" t="s">
        <v>442</v>
      </c>
      <c r="E6572" t="s">
        <v>441</v>
      </c>
      <c r="F6572">
        <v>4.0999999999999996</v>
      </c>
      <c r="G6572">
        <v>32.57</v>
      </c>
      <c r="H6572" t="s">
        <v>8549</v>
      </c>
      <c r="I6572">
        <v>540</v>
      </c>
      <c r="J6572" t="s">
        <v>445</v>
      </c>
      <c r="M6572">
        <v>2123</v>
      </c>
      <c r="N6572" t="s">
        <v>16282</v>
      </c>
    </row>
    <row r="6573" spans="1:14">
      <c r="A6573">
        <v>24480030</v>
      </c>
      <c r="B6573">
        <v>4029729</v>
      </c>
      <c r="C6573" t="s">
        <v>15502</v>
      </c>
      <c r="D6573" t="s">
        <v>442</v>
      </c>
      <c r="E6573" t="s">
        <v>441</v>
      </c>
      <c r="F6573">
        <v>4.0999999999999996</v>
      </c>
      <c r="G6573">
        <v>31.31</v>
      </c>
      <c r="H6573" t="s">
        <v>8588</v>
      </c>
      <c r="I6573">
        <v>540</v>
      </c>
      <c r="J6573" t="s">
        <v>462</v>
      </c>
      <c r="L6573" t="s">
        <v>15503</v>
      </c>
      <c r="M6573">
        <v>7210</v>
      </c>
      <c r="N6573" t="s">
        <v>16282</v>
      </c>
    </row>
    <row r="6574" spans="1:14">
      <c r="A6574">
        <v>24480031</v>
      </c>
      <c r="B6574">
        <v>4030509</v>
      </c>
      <c r="C6574" t="s">
        <v>17492</v>
      </c>
      <c r="D6574" t="s">
        <v>442</v>
      </c>
      <c r="E6574" t="s">
        <v>441</v>
      </c>
      <c r="F6574">
        <v>4.0999999999999996</v>
      </c>
      <c r="G6574">
        <v>33.22</v>
      </c>
      <c r="H6574" t="s">
        <v>8588</v>
      </c>
      <c r="I6574">
        <v>540</v>
      </c>
      <c r="J6574" t="s">
        <v>462</v>
      </c>
      <c r="L6574" t="s">
        <v>11610</v>
      </c>
      <c r="M6574">
        <v>7210</v>
      </c>
      <c r="N6574" t="s">
        <v>16282</v>
      </c>
    </row>
    <row r="6575" spans="1:14">
      <c r="A6575">
        <v>25200000</v>
      </c>
      <c r="B6575">
        <v>1200071</v>
      </c>
      <c r="C6575" t="s">
        <v>2973</v>
      </c>
      <c r="D6575" t="s">
        <v>442</v>
      </c>
      <c r="E6575" t="s">
        <v>441</v>
      </c>
      <c r="F6575">
        <v>8.14</v>
      </c>
      <c r="G6575">
        <v>0.01</v>
      </c>
      <c r="H6575" t="s">
        <v>8580</v>
      </c>
      <c r="I6575">
        <v>2</v>
      </c>
      <c r="J6575" t="s">
        <v>510</v>
      </c>
      <c r="M6575">
        <v>2111</v>
      </c>
      <c r="N6575" t="s">
        <v>15974</v>
      </c>
    </row>
    <row r="6576" spans="1:14">
      <c r="A6576">
        <v>25210000</v>
      </c>
      <c r="B6576">
        <v>3008837</v>
      </c>
      <c r="C6576" t="s">
        <v>11702</v>
      </c>
      <c r="D6576" t="s">
        <v>442</v>
      </c>
      <c r="E6576" t="s">
        <v>441</v>
      </c>
      <c r="F6576">
        <v>8.14</v>
      </c>
      <c r="G6576">
        <v>11.85</v>
      </c>
      <c r="H6576" t="s">
        <v>8588</v>
      </c>
      <c r="I6576">
        <v>2</v>
      </c>
      <c r="J6576" t="s">
        <v>445</v>
      </c>
      <c r="M6576">
        <v>2123</v>
      </c>
      <c r="N6576" t="s">
        <v>16283</v>
      </c>
    </row>
    <row r="6577" spans="1:14">
      <c r="A6577">
        <v>25220000</v>
      </c>
      <c r="B6577">
        <v>1200044</v>
      </c>
      <c r="C6577" t="s">
        <v>11703</v>
      </c>
      <c r="D6577" t="s">
        <v>441</v>
      </c>
      <c r="E6577" t="s">
        <v>442</v>
      </c>
      <c r="F6577">
        <v>0</v>
      </c>
      <c r="G6577">
        <v>0.01</v>
      </c>
      <c r="H6577" t="s">
        <v>8584</v>
      </c>
      <c r="I6577">
        <v>3</v>
      </c>
      <c r="J6577" t="s">
        <v>510</v>
      </c>
      <c r="M6577">
        <v>0</v>
      </c>
      <c r="N6577" t="s">
        <v>15974</v>
      </c>
    </row>
    <row r="6578" spans="1:14">
      <c r="A6578">
        <v>25230000</v>
      </c>
      <c r="B6578">
        <v>1200042</v>
      </c>
      <c r="C6578" t="s">
        <v>11704</v>
      </c>
      <c r="D6578" t="s">
        <v>441</v>
      </c>
      <c r="E6578" t="s">
        <v>442</v>
      </c>
      <c r="F6578">
        <v>0</v>
      </c>
      <c r="G6578">
        <v>0.01</v>
      </c>
      <c r="H6578" t="s">
        <v>8933</v>
      </c>
      <c r="I6578">
        <v>3</v>
      </c>
      <c r="J6578" t="s">
        <v>510</v>
      </c>
      <c r="M6578">
        <v>0</v>
      </c>
      <c r="N6578" t="s">
        <v>15974</v>
      </c>
    </row>
    <row r="6579" spans="1:14">
      <c r="A6579">
        <v>25230087</v>
      </c>
      <c r="B6579">
        <v>1200280</v>
      </c>
      <c r="C6579" t="s">
        <v>17493</v>
      </c>
      <c r="D6579" t="s">
        <v>441</v>
      </c>
      <c r="F6579">
        <v>0</v>
      </c>
      <c r="G6579">
        <v>0.01</v>
      </c>
      <c r="H6579" t="s">
        <v>8933</v>
      </c>
      <c r="I6579">
        <v>3</v>
      </c>
      <c r="J6579" t="s">
        <v>510</v>
      </c>
      <c r="M6579">
        <v>2146</v>
      </c>
      <c r="N6579" t="s">
        <v>15974</v>
      </c>
    </row>
    <row r="6580" spans="1:14">
      <c r="A6580">
        <v>25240088</v>
      </c>
      <c r="B6580">
        <v>1100770</v>
      </c>
      <c r="C6580" t="s">
        <v>2974</v>
      </c>
      <c r="D6580" t="s">
        <v>441</v>
      </c>
      <c r="F6580">
        <v>0</v>
      </c>
      <c r="G6580">
        <v>0.01</v>
      </c>
      <c r="H6580" t="s">
        <v>8933</v>
      </c>
      <c r="I6580">
        <v>3</v>
      </c>
      <c r="J6580" t="s">
        <v>511</v>
      </c>
      <c r="M6580">
        <v>0</v>
      </c>
      <c r="N6580" t="s">
        <v>15981</v>
      </c>
    </row>
    <row r="6581" spans="1:14">
      <c r="A6581">
        <v>25250088</v>
      </c>
      <c r="B6581">
        <v>1100771</v>
      </c>
      <c r="C6581" t="s">
        <v>2975</v>
      </c>
      <c r="D6581" t="s">
        <v>441</v>
      </c>
      <c r="F6581">
        <v>0</v>
      </c>
      <c r="G6581">
        <v>0.8</v>
      </c>
      <c r="H6581" t="s">
        <v>8933</v>
      </c>
      <c r="I6581">
        <v>4</v>
      </c>
      <c r="J6581" t="s">
        <v>511</v>
      </c>
      <c r="M6581">
        <v>0</v>
      </c>
      <c r="N6581" t="s">
        <v>16284</v>
      </c>
    </row>
    <row r="6582" spans="1:14">
      <c r="A6582">
        <v>25270100</v>
      </c>
      <c r="B6582">
        <v>3009038</v>
      </c>
      <c r="C6582" t="s">
        <v>11705</v>
      </c>
      <c r="D6582" t="s">
        <v>442</v>
      </c>
      <c r="E6582" t="s">
        <v>441</v>
      </c>
      <c r="F6582">
        <v>1.75</v>
      </c>
      <c r="H6582" t="s">
        <v>8588</v>
      </c>
      <c r="I6582">
        <v>6</v>
      </c>
      <c r="J6582" t="s">
        <v>445</v>
      </c>
      <c r="M6582">
        <v>2142</v>
      </c>
      <c r="N6582" t="s">
        <v>16276</v>
      </c>
    </row>
    <row r="6583" spans="1:14">
      <c r="A6583">
        <v>25390088</v>
      </c>
      <c r="B6583">
        <v>1100164</v>
      </c>
      <c r="C6583" t="s">
        <v>11706</v>
      </c>
      <c r="D6583" t="s">
        <v>441</v>
      </c>
      <c r="F6583">
        <v>0</v>
      </c>
      <c r="G6583">
        <v>0.8</v>
      </c>
      <c r="H6583" t="s">
        <v>8933</v>
      </c>
      <c r="I6583">
        <v>3</v>
      </c>
      <c r="J6583" t="s">
        <v>511</v>
      </c>
      <c r="M6583">
        <v>9908</v>
      </c>
      <c r="N6583" t="s">
        <v>16258</v>
      </c>
    </row>
    <row r="6584" spans="1:14">
      <c r="A6584">
        <v>25400000</v>
      </c>
      <c r="B6584">
        <v>3028822</v>
      </c>
      <c r="C6584" t="s">
        <v>2976</v>
      </c>
      <c r="D6584" t="s">
        <v>441</v>
      </c>
      <c r="F6584">
        <v>0</v>
      </c>
      <c r="G6584">
        <v>0.01</v>
      </c>
      <c r="H6584" t="s">
        <v>8549</v>
      </c>
      <c r="I6584">
        <v>2</v>
      </c>
      <c r="J6584" t="s">
        <v>445</v>
      </c>
      <c r="M6584">
        <v>2143</v>
      </c>
      <c r="N6584" t="s">
        <v>16286</v>
      </c>
    </row>
    <row r="6585" spans="1:14">
      <c r="A6585">
        <v>25400025</v>
      </c>
      <c r="B6585">
        <v>4022044</v>
      </c>
      <c r="C6585" t="s">
        <v>2977</v>
      </c>
      <c r="D6585" t="s">
        <v>442</v>
      </c>
      <c r="E6585" t="s">
        <v>441</v>
      </c>
      <c r="F6585">
        <v>10</v>
      </c>
      <c r="G6585">
        <v>10.119999999999999</v>
      </c>
      <c r="H6585" t="s">
        <v>8588</v>
      </c>
      <c r="I6585">
        <v>365</v>
      </c>
      <c r="J6585" t="s">
        <v>462</v>
      </c>
      <c r="M6585">
        <v>7111</v>
      </c>
      <c r="N6585" t="s">
        <v>16286</v>
      </c>
    </row>
    <row r="6586" spans="1:14">
      <c r="A6586">
        <v>25400525</v>
      </c>
      <c r="B6586">
        <v>3033045</v>
      </c>
      <c r="C6586" t="s">
        <v>11707</v>
      </c>
      <c r="D6586" t="s">
        <v>442</v>
      </c>
      <c r="E6586" t="s">
        <v>441</v>
      </c>
      <c r="F6586">
        <v>10</v>
      </c>
      <c r="G6586">
        <v>7.48</v>
      </c>
      <c r="H6586" t="s">
        <v>8588</v>
      </c>
      <c r="I6586">
        <v>6</v>
      </c>
      <c r="J6586" t="s">
        <v>445</v>
      </c>
      <c r="M6586">
        <v>2502</v>
      </c>
      <c r="N6586" t="s">
        <v>16286</v>
      </c>
    </row>
    <row r="6587" spans="1:14">
      <c r="A6587">
        <v>25404000</v>
      </c>
      <c r="B6587">
        <v>3033310</v>
      </c>
      <c r="C6587" t="s">
        <v>2978</v>
      </c>
      <c r="D6587" t="s">
        <v>441</v>
      </c>
      <c r="F6587">
        <v>0</v>
      </c>
      <c r="G6587">
        <v>0.01</v>
      </c>
      <c r="H6587" t="s">
        <v>8549</v>
      </c>
      <c r="I6587">
        <v>4</v>
      </c>
      <c r="J6587" t="s">
        <v>445</v>
      </c>
      <c r="M6587">
        <v>2143</v>
      </c>
      <c r="N6587" t="s">
        <v>16286</v>
      </c>
    </row>
    <row r="6588" spans="1:14">
      <c r="A6588">
        <v>25410000</v>
      </c>
      <c r="B6588">
        <v>3014934</v>
      </c>
      <c r="C6588" t="s">
        <v>2979</v>
      </c>
      <c r="D6588" t="s">
        <v>441</v>
      </c>
      <c r="F6588">
        <v>0</v>
      </c>
      <c r="G6588">
        <v>0.1</v>
      </c>
      <c r="H6588" t="s">
        <v>8588</v>
      </c>
      <c r="I6588">
        <v>1</v>
      </c>
      <c r="J6588" t="s">
        <v>445</v>
      </c>
      <c r="M6588">
        <v>2143</v>
      </c>
      <c r="N6588" t="s">
        <v>16287</v>
      </c>
    </row>
    <row r="6589" spans="1:14">
      <c r="A6589">
        <v>25410002</v>
      </c>
      <c r="B6589">
        <v>3009485</v>
      </c>
      <c r="C6589" t="s">
        <v>11708</v>
      </c>
      <c r="D6589" t="s">
        <v>441</v>
      </c>
      <c r="F6589">
        <v>0</v>
      </c>
      <c r="G6589">
        <v>1.63</v>
      </c>
      <c r="H6589" t="s">
        <v>8549</v>
      </c>
      <c r="I6589">
        <v>180</v>
      </c>
      <c r="J6589" t="s">
        <v>445</v>
      </c>
      <c r="K6589" t="s">
        <v>446</v>
      </c>
      <c r="M6589">
        <v>7111</v>
      </c>
      <c r="N6589" t="s">
        <v>16287</v>
      </c>
    </row>
    <row r="6590" spans="1:14">
      <c r="A6590">
        <v>25410087</v>
      </c>
      <c r="B6590">
        <v>3044794</v>
      </c>
      <c r="C6590" t="s">
        <v>15589</v>
      </c>
      <c r="D6590" t="s">
        <v>441</v>
      </c>
      <c r="F6590">
        <v>0</v>
      </c>
      <c r="G6590">
        <v>0.18</v>
      </c>
      <c r="H6590" t="s">
        <v>8588</v>
      </c>
      <c r="I6590">
        <v>3</v>
      </c>
      <c r="J6590" t="s">
        <v>445</v>
      </c>
      <c r="M6590">
        <v>7112</v>
      </c>
      <c r="N6590" t="s">
        <v>16287</v>
      </c>
    </row>
    <row r="6591" spans="1:14">
      <c r="A6591">
        <v>25410120</v>
      </c>
      <c r="B6591">
        <v>3014194</v>
      </c>
      <c r="C6591" t="s">
        <v>2980</v>
      </c>
      <c r="D6591" t="s">
        <v>441</v>
      </c>
      <c r="F6591">
        <v>0</v>
      </c>
      <c r="H6591" t="s">
        <v>8549</v>
      </c>
      <c r="I6591">
        <v>180</v>
      </c>
      <c r="J6591" t="s">
        <v>445</v>
      </c>
      <c r="M6591">
        <v>7161</v>
      </c>
      <c r="N6591" t="s">
        <v>16287</v>
      </c>
    </row>
    <row r="6592" spans="1:14">
      <c r="A6592">
        <v>25410502</v>
      </c>
      <c r="B6592">
        <v>3009029</v>
      </c>
      <c r="C6592" t="s">
        <v>2981</v>
      </c>
      <c r="D6592" t="s">
        <v>441</v>
      </c>
      <c r="F6592">
        <v>0</v>
      </c>
      <c r="G6592">
        <v>1.33</v>
      </c>
      <c r="I6592">
        <v>4</v>
      </c>
      <c r="J6592" t="s">
        <v>445</v>
      </c>
      <c r="M6592">
        <v>2502</v>
      </c>
      <c r="N6592" t="s">
        <v>16287</v>
      </c>
    </row>
    <row r="6593" spans="1:14">
      <c r="A6593">
        <v>25410602</v>
      </c>
      <c r="B6593">
        <v>3009486</v>
      </c>
      <c r="C6593" t="s">
        <v>11709</v>
      </c>
      <c r="D6593" t="s">
        <v>441</v>
      </c>
      <c r="F6593">
        <v>0</v>
      </c>
      <c r="G6593">
        <v>1.78</v>
      </c>
      <c r="H6593" t="s">
        <v>8588</v>
      </c>
      <c r="I6593">
        <v>5</v>
      </c>
      <c r="J6593" t="s">
        <v>445</v>
      </c>
      <c r="K6593" t="s">
        <v>446</v>
      </c>
      <c r="M6593">
        <v>2510</v>
      </c>
      <c r="N6593" t="s">
        <v>16287</v>
      </c>
    </row>
    <row r="6594" spans="1:14">
      <c r="A6594">
        <v>25410620</v>
      </c>
      <c r="B6594">
        <v>3014207</v>
      </c>
      <c r="C6594" t="s">
        <v>2982</v>
      </c>
      <c r="D6594" t="s">
        <v>441</v>
      </c>
      <c r="F6594">
        <v>0</v>
      </c>
      <c r="G6594">
        <v>0.85</v>
      </c>
      <c r="H6594" t="s">
        <v>8549</v>
      </c>
      <c r="I6594">
        <v>4</v>
      </c>
      <c r="J6594" t="s">
        <v>445</v>
      </c>
      <c r="K6594" t="s">
        <v>446</v>
      </c>
      <c r="M6594">
        <v>2511</v>
      </c>
    </row>
    <row r="6595" spans="1:14">
      <c r="A6595">
        <v>25410900</v>
      </c>
      <c r="B6595">
        <v>3020349</v>
      </c>
      <c r="C6595" t="s">
        <v>2983</v>
      </c>
      <c r="D6595" t="s">
        <v>441</v>
      </c>
      <c r="F6595">
        <v>0</v>
      </c>
      <c r="H6595" t="s">
        <v>8580</v>
      </c>
      <c r="I6595">
        <v>1</v>
      </c>
      <c r="J6595" t="s">
        <v>445</v>
      </c>
      <c r="M6595">
        <v>6666</v>
      </c>
      <c r="N6595" t="s">
        <v>16287</v>
      </c>
    </row>
    <row r="6596" spans="1:14">
      <c r="A6596">
        <v>25410902</v>
      </c>
      <c r="B6596">
        <v>3020350</v>
      </c>
      <c r="C6596" t="s">
        <v>11710</v>
      </c>
      <c r="D6596" t="s">
        <v>441</v>
      </c>
      <c r="F6596">
        <v>0</v>
      </c>
      <c r="H6596" t="s">
        <v>8580</v>
      </c>
      <c r="I6596">
        <v>5</v>
      </c>
      <c r="J6596" t="s">
        <v>445</v>
      </c>
      <c r="K6596" t="s">
        <v>446</v>
      </c>
      <c r="M6596">
        <v>6666</v>
      </c>
      <c r="N6596" t="s">
        <v>16287</v>
      </c>
    </row>
    <row r="6597" spans="1:14">
      <c r="A6597">
        <v>25414000</v>
      </c>
      <c r="B6597">
        <v>3003446</v>
      </c>
      <c r="C6597" t="s">
        <v>2984</v>
      </c>
      <c r="D6597" t="s">
        <v>441</v>
      </c>
      <c r="F6597">
        <v>0</v>
      </c>
      <c r="G6597">
        <v>0.05</v>
      </c>
      <c r="H6597" t="s">
        <v>8549</v>
      </c>
      <c r="I6597">
        <v>2</v>
      </c>
      <c r="J6597" t="s">
        <v>445</v>
      </c>
      <c r="K6597" t="s">
        <v>446</v>
      </c>
      <c r="M6597">
        <v>0</v>
      </c>
    </row>
    <row r="6598" spans="1:14">
      <c r="A6598">
        <v>25420088</v>
      </c>
      <c r="B6598">
        <v>1100131</v>
      </c>
      <c r="C6598" t="s">
        <v>11711</v>
      </c>
      <c r="D6598" t="s">
        <v>441</v>
      </c>
      <c r="F6598">
        <v>0</v>
      </c>
      <c r="G6598">
        <v>0.8</v>
      </c>
      <c r="H6598" t="s">
        <v>8933</v>
      </c>
      <c r="I6598">
        <v>3</v>
      </c>
      <c r="J6598" t="s">
        <v>511</v>
      </c>
      <c r="M6598">
        <v>9908</v>
      </c>
      <c r="N6598" t="s">
        <v>16288</v>
      </c>
    </row>
    <row r="6599" spans="1:14">
      <c r="A6599">
        <v>25430088</v>
      </c>
      <c r="B6599">
        <v>1100087</v>
      </c>
      <c r="C6599" t="s">
        <v>11712</v>
      </c>
      <c r="D6599" t="s">
        <v>441</v>
      </c>
      <c r="F6599">
        <v>0</v>
      </c>
      <c r="G6599">
        <v>0.3</v>
      </c>
      <c r="H6599" t="s">
        <v>8933</v>
      </c>
      <c r="I6599">
        <v>3</v>
      </c>
      <c r="J6599" t="s">
        <v>511</v>
      </c>
      <c r="M6599">
        <v>9908</v>
      </c>
      <c r="N6599" t="s">
        <v>16289</v>
      </c>
    </row>
    <row r="6600" spans="1:14">
      <c r="A6600">
        <v>25440088</v>
      </c>
      <c r="B6600">
        <v>1100175</v>
      </c>
      <c r="C6600" t="s">
        <v>11713</v>
      </c>
      <c r="D6600" t="s">
        <v>441</v>
      </c>
      <c r="F6600">
        <v>0</v>
      </c>
      <c r="G6600">
        <v>0.01</v>
      </c>
      <c r="H6600" t="s">
        <v>8933</v>
      </c>
      <c r="I6600">
        <v>3</v>
      </c>
      <c r="J6600" t="s">
        <v>511</v>
      </c>
      <c r="M6600">
        <v>9908</v>
      </c>
      <c r="N6600" t="s">
        <v>16290</v>
      </c>
    </row>
    <row r="6601" spans="1:14">
      <c r="A6601">
        <v>25450088</v>
      </c>
      <c r="B6601">
        <v>1100871</v>
      </c>
      <c r="C6601" t="s">
        <v>15590</v>
      </c>
      <c r="D6601" t="s">
        <v>441</v>
      </c>
      <c r="F6601">
        <v>0</v>
      </c>
      <c r="G6601">
        <v>0.01</v>
      </c>
      <c r="H6601" t="s">
        <v>8933</v>
      </c>
      <c r="I6601">
        <v>3</v>
      </c>
      <c r="J6601" t="s">
        <v>511</v>
      </c>
      <c r="M6601">
        <v>0</v>
      </c>
      <c r="N6601" t="s">
        <v>17494</v>
      </c>
    </row>
    <row r="6602" spans="1:14">
      <c r="A6602">
        <v>25560000</v>
      </c>
      <c r="B6602">
        <v>3039065</v>
      </c>
      <c r="C6602" t="s">
        <v>11714</v>
      </c>
      <c r="D6602" t="s">
        <v>441</v>
      </c>
      <c r="F6602">
        <v>0</v>
      </c>
      <c r="G6602">
        <v>0.01</v>
      </c>
      <c r="H6602" t="s">
        <v>8549</v>
      </c>
      <c r="I6602">
        <v>5</v>
      </c>
      <c r="J6602" t="s">
        <v>445</v>
      </c>
      <c r="M6602">
        <v>2391</v>
      </c>
      <c r="N6602" t="s">
        <v>16291</v>
      </c>
    </row>
    <row r="6603" spans="1:14">
      <c r="A6603">
        <v>25560087</v>
      </c>
      <c r="B6603">
        <v>4026146</v>
      </c>
      <c r="C6603" t="s">
        <v>11715</v>
      </c>
      <c r="D6603" t="s">
        <v>441</v>
      </c>
      <c r="F6603">
        <v>0</v>
      </c>
      <c r="G6603">
        <v>0.09</v>
      </c>
      <c r="H6603" t="s">
        <v>8588</v>
      </c>
      <c r="I6603">
        <v>5</v>
      </c>
      <c r="J6603" t="s">
        <v>462</v>
      </c>
      <c r="M6603">
        <v>7112</v>
      </c>
      <c r="N6603" t="s">
        <v>16291</v>
      </c>
    </row>
    <row r="6604" spans="1:14">
      <c r="A6604">
        <v>25570000</v>
      </c>
      <c r="B6604">
        <v>3030836</v>
      </c>
      <c r="C6604" t="s">
        <v>11716</v>
      </c>
      <c r="D6604" t="s">
        <v>441</v>
      </c>
      <c r="F6604">
        <v>0</v>
      </c>
      <c r="G6604">
        <v>1.1299999999999999</v>
      </c>
      <c r="H6604" t="s">
        <v>8549</v>
      </c>
      <c r="I6604">
        <v>5</v>
      </c>
      <c r="J6604" t="s">
        <v>445</v>
      </c>
      <c r="M6604">
        <v>2391</v>
      </c>
      <c r="N6604" t="s">
        <v>16292</v>
      </c>
    </row>
    <row r="6605" spans="1:14">
      <c r="A6605">
        <v>25570028</v>
      </c>
      <c r="B6605">
        <v>4020632</v>
      </c>
      <c r="C6605" t="s">
        <v>11717</v>
      </c>
      <c r="D6605" t="s">
        <v>441</v>
      </c>
      <c r="F6605">
        <v>0</v>
      </c>
      <c r="G6605">
        <v>1.8</v>
      </c>
      <c r="H6605" t="s">
        <v>8588</v>
      </c>
      <c r="I6605">
        <v>540</v>
      </c>
      <c r="J6605" t="s">
        <v>462</v>
      </c>
      <c r="K6605" t="s">
        <v>446</v>
      </c>
      <c r="M6605">
        <v>2501</v>
      </c>
    </row>
    <row r="6606" spans="1:14">
      <c r="A6606">
        <v>25570528</v>
      </c>
      <c r="B6606">
        <v>3030837</v>
      </c>
      <c r="C6606" t="s">
        <v>11718</v>
      </c>
      <c r="D6606" t="s">
        <v>441</v>
      </c>
      <c r="F6606">
        <v>0</v>
      </c>
      <c r="G6606">
        <v>1.62</v>
      </c>
      <c r="H6606" t="s">
        <v>8588</v>
      </c>
      <c r="I6606">
        <v>540</v>
      </c>
      <c r="J6606" t="s">
        <v>445</v>
      </c>
      <c r="K6606" t="s">
        <v>446</v>
      </c>
      <c r="M6606">
        <v>2641</v>
      </c>
    </row>
    <row r="6607" spans="1:14">
      <c r="A6607">
        <v>25580000</v>
      </c>
      <c r="B6607">
        <v>3022109</v>
      </c>
      <c r="C6607" t="s">
        <v>11719</v>
      </c>
      <c r="D6607" t="s">
        <v>441</v>
      </c>
      <c r="F6607">
        <v>0</v>
      </c>
      <c r="G6607">
        <v>0</v>
      </c>
      <c r="H6607" t="s">
        <v>8580</v>
      </c>
      <c r="I6607">
        <v>6</v>
      </c>
      <c r="J6607" t="s">
        <v>445</v>
      </c>
      <c r="M6607">
        <v>2391</v>
      </c>
      <c r="N6607" t="s">
        <v>16293</v>
      </c>
    </row>
    <row r="6608" spans="1:14">
      <c r="A6608">
        <v>25580007</v>
      </c>
      <c r="B6608">
        <v>3025013</v>
      </c>
      <c r="C6608" t="s">
        <v>11720</v>
      </c>
      <c r="D6608" t="s">
        <v>441</v>
      </c>
      <c r="F6608">
        <v>0</v>
      </c>
      <c r="G6608">
        <v>0.08</v>
      </c>
      <c r="I6608">
        <v>6</v>
      </c>
      <c r="J6608" t="s">
        <v>445</v>
      </c>
      <c r="M6608">
        <v>2391</v>
      </c>
      <c r="N6608" t="s">
        <v>16293</v>
      </c>
    </row>
    <row r="6609" spans="1:14">
      <c r="A6609">
        <v>25580020</v>
      </c>
      <c r="B6609">
        <v>4016028</v>
      </c>
      <c r="C6609" t="s">
        <v>14465</v>
      </c>
      <c r="D6609" t="s">
        <v>441</v>
      </c>
      <c r="F6609">
        <v>0</v>
      </c>
      <c r="G6609">
        <v>1.36</v>
      </c>
      <c r="H6609" t="s">
        <v>8588</v>
      </c>
      <c r="I6609">
        <v>6</v>
      </c>
      <c r="J6609" t="s">
        <v>462</v>
      </c>
      <c r="M6609">
        <v>7112</v>
      </c>
      <c r="N6609" t="s">
        <v>16293</v>
      </c>
    </row>
    <row r="6610" spans="1:14">
      <c r="A6610">
        <v>25580026</v>
      </c>
      <c r="B6610">
        <v>4016366</v>
      </c>
      <c r="C6610" t="s">
        <v>11721</v>
      </c>
      <c r="D6610" t="s">
        <v>442</v>
      </c>
      <c r="E6610" t="s">
        <v>441</v>
      </c>
      <c r="F6610">
        <v>10</v>
      </c>
      <c r="G6610">
        <v>5.14</v>
      </c>
      <c r="H6610" t="s">
        <v>8588</v>
      </c>
      <c r="I6610">
        <v>540</v>
      </c>
      <c r="J6610" t="s">
        <v>462</v>
      </c>
      <c r="K6610" t="s">
        <v>446</v>
      </c>
      <c r="M6610">
        <v>2501</v>
      </c>
    </row>
    <row r="6611" spans="1:14">
      <c r="A6611">
        <v>25580526</v>
      </c>
      <c r="B6611">
        <v>3024789</v>
      </c>
      <c r="C6611" t="s">
        <v>11722</v>
      </c>
      <c r="D6611" t="s">
        <v>442</v>
      </c>
      <c r="E6611" t="s">
        <v>441</v>
      </c>
      <c r="F6611">
        <v>10</v>
      </c>
      <c r="G6611">
        <v>3.61</v>
      </c>
      <c r="H6611" t="s">
        <v>8549</v>
      </c>
      <c r="I6611">
        <v>6</v>
      </c>
      <c r="J6611" t="s">
        <v>445</v>
      </c>
      <c r="K6611" t="s">
        <v>446</v>
      </c>
      <c r="M6611">
        <v>2641</v>
      </c>
    </row>
    <row r="6612" spans="1:14">
      <c r="A6612">
        <v>25581000</v>
      </c>
      <c r="B6612">
        <v>3024803</v>
      </c>
      <c r="C6612" t="s">
        <v>11723</v>
      </c>
      <c r="D6612" t="s">
        <v>441</v>
      </c>
      <c r="F6612">
        <v>0</v>
      </c>
      <c r="G6612">
        <v>0.01</v>
      </c>
      <c r="H6612" t="s">
        <v>8549</v>
      </c>
      <c r="I6612">
        <v>5</v>
      </c>
      <c r="J6612" t="s">
        <v>445</v>
      </c>
      <c r="M6612">
        <v>2391</v>
      </c>
      <c r="N6612" t="s">
        <v>16293</v>
      </c>
    </row>
    <row r="6613" spans="1:14">
      <c r="A6613">
        <v>25581026</v>
      </c>
      <c r="B6613">
        <v>4016358</v>
      </c>
      <c r="C6613" t="s">
        <v>11724</v>
      </c>
      <c r="D6613" t="s">
        <v>442</v>
      </c>
      <c r="E6613" t="s">
        <v>441</v>
      </c>
      <c r="F6613">
        <v>10</v>
      </c>
      <c r="G6613">
        <v>5.15</v>
      </c>
      <c r="H6613" t="s">
        <v>8588</v>
      </c>
      <c r="I6613">
        <v>540</v>
      </c>
      <c r="J6613" t="s">
        <v>462</v>
      </c>
      <c r="K6613" t="s">
        <v>446</v>
      </c>
      <c r="M6613">
        <v>2501</v>
      </c>
    </row>
    <row r="6614" spans="1:14">
      <c r="A6614">
        <v>25581526</v>
      </c>
      <c r="B6614">
        <v>3024805</v>
      </c>
      <c r="C6614" t="s">
        <v>11725</v>
      </c>
      <c r="D6614" t="s">
        <v>442</v>
      </c>
      <c r="E6614" t="s">
        <v>441</v>
      </c>
      <c r="F6614">
        <v>10</v>
      </c>
      <c r="G6614">
        <v>3.62</v>
      </c>
      <c r="H6614" t="s">
        <v>8549</v>
      </c>
      <c r="I6614">
        <v>6</v>
      </c>
      <c r="J6614" t="s">
        <v>445</v>
      </c>
      <c r="K6614" t="s">
        <v>446</v>
      </c>
      <c r="M6614">
        <v>2641</v>
      </c>
    </row>
    <row r="6615" spans="1:14">
      <c r="A6615">
        <v>25590000</v>
      </c>
      <c r="B6615">
        <v>3016036</v>
      </c>
      <c r="C6615" t="s">
        <v>11726</v>
      </c>
      <c r="D6615" t="s">
        <v>441</v>
      </c>
      <c r="F6615">
        <v>0</v>
      </c>
      <c r="G6615">
        <v>0</v>
      </c>
      <c r="H6615" t="s">
        <v>8580</v>
      </c>
      <c r="I6615">
        <v>5</v>
      </c>
      <c r="J6615" t="s">
        <v>445</v>
      </c>
      <c r="M6615">
        <v>2391</v>
      </c>
      <c r="N6615" t="s">
        <v>16294</v>
      </c>
    </row>
    <row r="6616" spans="1:14">
      <c r="A6616">
        <v>25590020</v>
      </c>
      <c r="B6616">
        <v>4016189</v>
      </c>
      <c r="C6616" t="s">
        <v>14466</v>
      </c>
      <c r="D6616" t="s">
        <v>441</v>
      </c>
      <c r="F6616">
        <v>0</v>
      </c>
      <c r="G6616">
        <v>2.0499999999999998</v>
      </c>
      <c r="H6616" t="s">
        <v>8588</v>
      </c>
      <c r="I6616">
        <v>6</v>
      </c>
      <c r="J6616" t="s">
        <v>462</v>
      </c>
      <c r="M6616">
        <v>7112</v>
      </c>
      <c r="N6616" t="s">
        <v>16294</v>
      </c>
    </row>
    <row r="6617" spans="1:14">
      <c r="A6617">
        <v>25590021</v>
      </c>
      <c r="B6617">
        <v>4016196</v>
      </c>
      <c r="C6617" t="s">
        <v>11727</v>
      </c>
      <c r="D6617" t="s">
        <v>441</v>
      </c>
      <c r="F6617">
        <v>0</v>
      </c>
      <c r="G6617">
        <v>0.45</v>
      </c>
      <c r="H6617" t="s">
        <v>8588</v>
      </c>
      <c r="I6617">
        <v>6</v>
      </c>
      <c r="J6617" t="s">
        <v>462</v>
      </c>
      <c r="K6617" t="s">
        <v>446</v>
      </c>
      <c r="M6617">
        <v>2641</v>
      </c>
    </row>
    <row r="6618" spans="1:14">
      <c r="A6618">
        <v>25590026</v>
      </c>
      <c r="B6618">
        <v>4016410</v>
      </c>
      <c r="C6618" t="s">
        <v>11728</v>
      </c>
      <c r="D6618" t="s">
        <v>442</v>
      </c>
      <c r="E6618" t="s">
        <v>441</v>
      </c>
      <c r="F6618">
        <v>20</v>
      </c>
      <c r="G6618">
        <v>28.18</v>
      </c>
      <c r="H6618" t="s">
        <v>8588</v>
      </c>
      <c r="I6618">
        <v>540</v>
      </c>
      <c r="J6618" t="s">
        <v>462</v>
      </c>
      <c r="M6618">
        <v>7111</v>
      </c>
      <c r="N6618" t="s">
        <v>16294</v>
      </c>
    </row>
    <row r="6619" spans="1:14">
      <c r="A6619">
        <v>25590028</v>
      </c>
      <c r="B6619">
        <v>4016138</v>
      </c>
      <c r="C6619" t="s">
        <v>11729</v>
      </c>
      <c r="D6619" t="s">
        <v>441</v>
      </c>
      <c r="F6619">
        <v>0</v>
      </c>
      <c r="G6619">
        <v>0.64</v>
      </c>
      <c r="H6619" t="s">
        <v>8588</v>
      </c>
      <c r="I6619">
        <v>365</v>
      </c>
      <c r="J6619" t="s">
        <v>462</v>
      </c>
      <c r="K6619" t="s">
        <v>446</v>
      </c>
      <c r="M6619">
        <v>2501</v>
      </c>
    </row>
    <row r="6620" spans="1:14">
      <c r="A6620">
        <v>25590030</v>
      </c>
      <c r="B6620">
        <v>4025399</v>
      </c>
      <c r="C6620" t="s">
        <v>11730</v>
      </c>
      <c r="D6620" t="s">
        <v>441</v>
      </c>
      <c r="F6620">
        <v>0</v>
      </c>
      <c r="G6620">
        <v>1.36</v>
      </c>
      <c r="H6620" t="s">
        <v>8588</v>
      </c>
      <c r="I6620">
        <v>8</v>
      </c>
      <c r="J6620" t="s">
        <v>462</v>
      </c>
      <c r="M6620">
        <v>7112</v>
      </c>
      <c r="N6620" t="s">
        <v>16294</v>
      </c>
    </row>
    <row r="6621" spans="1:14">
      <c r="A6621">
        <v>25590100</v>
      </c>
      <c r="B6621">
        <v>3024139</v>
      </c>
      <c r="C6621" t="s">
        <v>11731</v>
      </c>
      <c r="D6621" t="s">
        <v>441</v>
      </c>
      <c r="F6621">
        <v>0</v>
      </c>
      <c r="G6621">
        <v>0.76</v>
      </c>
      <c r="H6621" t="s">
        <v>8588</v>
      </c>
      <c r="I6621">
        <v>5</v>
      </c>
      <c r="J6621" t="s">
        <v>445</v>
      </c>
      <c r="M6621">
        <v>0</v>
      </c>
      <c r="N6621" t="s">
        <v>16294</v>
      </c>
    </row>
    <row r="6622" spans="1:14">
      <c r="A6622">
        <v>25590110</v>
      </c>
      <c r="B6622">
        <v>3042632</v>
      </c>
      <c r="C6622" t="s">
        <v>396</v>
      </c>
      <c r="D6622" t="s">
        <v>441</v>
      </c>
      <c r="F6622">
        <v>0</v>
      </c>
      <c r="G6622">
        <v>0.66</v>
      </c>
      <c r="H6622" t="s">
        <v>8588</v>
      </c>
      <c r="I6622">
        <v>5</v>
      </c>
      <c r="J6622" t="s">
        <v>445</v>
      </c>
      <c r="M6622">
        <v>0</v>
      </c>
      <c r="N6622" t="s">
        <v>16294</v>
      </c>
    </row>
    <row r="6623" spans="1:14">
      <c r="A6623">
        <v>25590120</v>
      </c>
      <c r="B6623">
        <v>3042580</v>
      </c>
      <c r="C6623" t="s">
        <v>11732</v>
      </c>
      <c r="D6623" t="s">
        <v>441</v>
      </c>
      <c r="F6623">
        <v>0</v>
      </c>
      <c r="G6623">
        <v>1.68</v>
      </c>
      <c r="H6623" t="s">
        <v>8588</v>
      </c>
      <c r="I6623">
        <v>6</v>
      </c>
      <c r="J6623" t="s">
        <v>445</v>
      </c>
      <c r="M6623">
        <v>0</v>
      </c>
      <c r="N6623" t="s">
        <v>16294</v>
      </c>
    </row>
    <row r="6624" spans="1:14">
      <c r="A6624">
        <v>25590130</v>
      </c>
      <c r="B6624">
        <v>3042581</v>
      </c>
      <c r="C6624" t="s">
        <v>15453</v>
      </c>
      <c r="D6624" t="s">
        <v>441</v>
      </c>
      <c r="F6624">
        <v>0</v>
      </c>
      <c r="G6624">
        <v>0.99</v>
      </c>
      <c r="H6624" t="s">
        <v>8588</v>
      </c>
      <c r="I6624">
        <v>6</v>
      </c>
      <c r="J6624" t="s">
        <v>445</v>
      </c>
      <c r="M6624">
        <v>0</v>
      </c>
      <c r="N6624" t="s">
        <v>16294</v>
      </c>
    </row>
    <row r="6625" spans="1:14">
      <c r="A6625">
        <v>25590140</v>
      </c>
      <c r="B6625">
        <v>3045016</v>
      </c>
      <c r="C6625" t="s">
        <v>15647</v>
      </c>
      <c r="D6625" t="s">
        <v>441</v>
      </c>
      <c r="F6625">
        <v>0</v>
      </c>
      <c r="G6625">
        <v>2.54</v>
      </c>
      <c r="H6625" t="s">
        <v>8588</v>
      </c>
      <c r="I6625">
        <v>5</v>
      </c>
      <c r="J6625" t="s">
        <v>445</v>
      </c>
      <c r="M6625">
        <v>0</v>
      </c>
      <c r="N6625" t="s">
        <v>16294</v>
      </c>
    </row>
    <row r="6626" spans="1:14">
      <c r="A6626">
        <v>25590150</v>
      </c>
      <c r="B6626">
        <v>3045094</v>
      </c>
      <c r="C6626" t="s">
        <v>16295</v>
      </c>
      <c r="D6626" t="s">
        <v>441</v>
      </c>
      <c r="F6626">
        <v>0</v>
      </c>
      <c r="G6626">
        <v>2.35</v>
      </c>
      <c r="H6626" t="s">
        <v>8588</v>
      </c>
      <c r="I6626">
        <v>5</v>
      </c>
      <c r="J6626" t="s">
        <v>445</v>
      </c>
      <c r="M6626">
        <v>0</v>
      </c>
      <c r="N6626" t="s">
        <v>16294</v>
      </c>
    </row>
    <row r="6627" spans="1:14">
      <c r="A6627">
        <v>25590526</v>
      </c>
      <c r="B6627">
        <v>3025062</v>
      </c>
      <c r="C6627" t="s">
        <v>11733</v>
      </c>
      <c r="D6627" t="s">
        <v>442</v>
      </c>
      <c r="E6627" t="s">
        <v>441</v>
      </c>
      <c r="F6627">
        <v>20</v>
      </c>
      <c r="G6627">
        <v>16.34</v>
      </c>
      <c r="H6627" t="s">
        <v>8549</v>
      </c>
      <c r="I6627">
        <v>540</v>
      </c>
      <c r="J6627" t="s">
        <v>445</v>
      </c>
      <c r="M6627">
        <v>2502</v>
      </c>
      <c r="N6627" t="s">
        <v>16294</v>
      </c>
    </row>
    <row r="6628" spans="1:14">
      <c r="A6628">
        <v>25590528</v>
      </c>
      <c r="B6628">
        <v>3024326</v>
      </c>
      <c r="C6628" t="s">
        <v>11734</v>
      </c>
      <c r="D6628" t="s">
        <v>441</v>
      </c>
      <c r="F6628">
        <v>0</v>
      </c>
      <c r="G6628">
        <v>0.44</v>
      </c>
      <c r="H6628" t="s">
        <v>8580</v>
      </c>
      <c r="I6628">
        <v>365</v>
      </c>
      <c r="J6628" t="s">
        <v>445</v>
      </c>
      <c r="K6628" t="s">
        <v>446</v>
      </c>
      <c r="M6628">
        <v>2641</v>
      </c>
    </row>
    <row r="6629" spans="1:14">
      <c r="A6629">
        <v>25591000</v>
      </c>
      <c r="B6629">
        <v>3025061</v>
      </c>
      <c r="C6629" t="s">
        <v>11735</v>
      </c>
      <c r="D6629" t="s">
        <v>441</v>
      </c>
      <c r="F6629">
        <v>0</v>
      </c>
      <c r="G6629">
        <v>0.4</v>
      </c>
      <c r="H6629" t="s">
        <v>8549</v>
      </c>
      <c r="I6629">
        <v>6</v>
      </c>
      <c r="J6629" t="s">
        <v>445</v>
      </c>
      <c r="M6629">
        <v>2391</v>
      </c>
      <c r="N6629" t="s">
        <v>16294</v>
      </c>
    </row>
    <row r="6630" spans="1:14">
      <c r="A6630">
        <v>25591026</v>
      </c>
      <c r="B6630">
        <v>4016349</v>
      </c>
      <c r="C6630" t="s">
        <v>11736</v>
      </c>
      <c r="D6630" t="s">
        <v>442</v>
      </c>
      <c r="E6630" t="s">
        <v>441</v>
      </c>
      <c r="F6630">
        <v>20</v>
      </c>
      <c r="G6630">
        <v>28.18</v>
      </c>
      <c r="H6630" t="s">
        <v>8588</v>
      </c>
      <c r="I6630">
        <v>540</v>
      </c>
      <c r="J6630" t="s">
        <v>462</v>
      </c>
      <c r="M6630">
        <v>7111</v>
      </c>
      <c r="N6630" t="s">
        <v>16294</v>
      </c>
    </row>
    <row r="6631" spans="1:14">
      <c r="A6631">
        <v>25591110</v>
      </c>
      <c r="B6631">
        <v>3035554</v>
      </c>
      <c r="C6631" t="s">
        <v>11737</v>
      </c>
      <c r="D6631" t="s">
        <v>441</v>
      </c>
      <c r="F6631">
        <v>0</v>
      </c>
      <c r="G6631">
        <v>0.66</v>
      </c>
      <c r="H6631" t="s">
        <v>8588</v>
      </c>
      <c r="I6631">
        <v>5</v>
      </c>
      <c r="J6631" t="s">
        <v>445</v>
      </c>
      <c r="M6631">
        <v>0</v>
      </c>
      <c r="N6631" t="s">
        <v>16294</v>
      </c>
    </row>
    <row r="6632" spans="1:14">
      <c r="A6632">
        <v>25591526</v>
      </c>
      <c r="B6632">
        <v>3024859</v>
      </c>
      <c r="C6632" t="s">
        <v>11738</v>
      </c>
      <c r="D6632" t="s">
        <v>442</v>
      </c>
      <c r="E6632" t="s">
        <v>441</v>
      </c>
      <c r="F6632">
        <v>20</v>
      </c>
      <c r="G6632">
        <v>16.36</v>
      </c>
      <c r="H6632" t="s">
        <v>8549</v>
      </c>
      <c r="I6632">
        <v>540</v>
      </c>
      <c r="J6632" t="s">
        <v>445</v>
      </c>
      <c r="M6632">
        <v>2502</v>
      </c>
      <c r="N6632" t="s">
        <v>16294</v>
      </c>
    </row>
    <row r="6633" spans="1:14">
      <c r="A6633">
        <v>25593000</v>
      </c>
      <c r="B6633">
        <v>3015341</v>
      </c>
      <c r="C6633" t="s">
        <v>11739</v>
      </c>
      <c r="D6633" t="s">
        <v>441</v>
      </c>
      <c r="F6633">
        <v>0</v>
      </c>
      <c r="G6633">
        <v>0.4</v>
      </c>
      <c r="H6633" t="s">
        <v>8580</v>
      </c>
      <c r="I6633">
        <v>5</v>
      </c>
      <c r="J6633" t="s">
        <v>445</v>
      </c>
      <c r="M6633">
        <v>2391</v>
      </c>
      <c r="N6633" t="s">
        <v>16294</v>
      </c>
    </row>
    <row r="6634" spans="1:14">
      <c r="A6634">
        <v>25593007</v>
      </c>
      <c r="B6634">
        <v>3015340</v>
      </c>
      <c r="C6634" t="s">
        <v>11740</v>
      </c>
      <c r="D6634" t="s">
        <v>441</v>
      </c>
      <c r="F6634">
        <v>0</v>
      </c>
      <c r="G6634">
        <v>0.47</v>
      </c>
      <c r="H6634" t="s">
        <v>8588</v>
      </c>
      <c r="I6634">
        <v>5</v>
      </c>
      <c r="J6634" t="s">
        <v>445</v>
      </c>
      <c r="M6634">
        <v>2391</v>
      </c>
      <c r="N6634" t="s">
        <v>16294</v>
      </c>
    </row>
    <row r="6635" spans="1:14">
      <c r="A6635">
        <v>25593907</v>
      </c>
      <c r="B6635">
        <v>3025110</v>
      </c>
      <c r="C6635" t="s">
        <v>11741</v>
      </c>
      <c r="D6635" t="s">
        <v>441</v>
      </c>
      <c r="F6635">
        <v>0</v>
      </c>
      <c r="G6635">
        <v>0.36</v>
      </c>
      <c r="H6635" t="s">
        <v>8637</v>
      </c>
      <c r="I6635">
        <v>5</v>
      </c>
      <c r="J6635" t="s">
        <v>445</v>
      </c>
      <c r="M6635">
        <v>6666</v>
      </c>
    </row>
    <row r="6636" spans="1:14">
      <c r="A6636">
        <v>25594000</v>
      </c>
      <c r="B6636">
        <v>3024322</v>
      </c>
      <c r="C6636" t="s">
        <v>11742</v>
      </c>
      <c r="D6636" t="s">
        <v>441</v>
      </c>
      <c r="F6636">
        <v>0</v>
      </c>
      <c r="G6636">
        <v>0.49</v>
      </c>
      <c r="H6636" t="s">
        <v>8588</v>
      </c>
      <c r="I6636">
        <v>5</v>
      </c>
      <c r="J6636" t="s">
        <v>445</v>
      </c>
      <c r="M6636">
        <v>2391</v>
      </c>
      <c r="N6636" t="s">
        <v>16294</v>
      </c>
    </row>
    <row r="6637" spans="1:14">
      <c r="A6637">
        <v>25594110</v>
      </c>
      <c r="B6637">
        <v>3035825</v>
      </c>
      <c r="C6637" t="s">
        <v>11743</v>
      </c>
      <c r="D6637" t="s">
        <v>441</v>
      </c>
      <c r="F6637">
        <v>0</v>
      </c>
      <c r="G6637">
        <v>0.66</v>
      </c>
      <c r="H6637" t="s">
        <v>8588</v>
      </c>
      <c r="I6637">
        <v>5</v>
      </c>
      <c r="J6637" t="s">
        <v>445</v>
      </c>
      <c r="M6637">
        <v>0</v>
      </c>
      <c r="N6637" t="s">
        <v>16294</v>
      </c>
    </row>
    <row r="6638" spans="1:14">
      <c r="A6638">
        <v>25594120</v>
      </c>
      <c r="B6638">
        <v>3045018</v>
      </c>
      <c r="C6638" t="s">
        <v>15648</v>
      </c>
      <c r="D6638" t="s">
        <v>441</v>
      </c>
      <c r="F6638">
        <v>0</v>
      </c>
      <c r="G6638">
        <v>2.54</v>
      </c>
      <c r="H6638" t="s">
        <v>8588</v>
      </c>
      <c r="I6638">
        <v>5</v>
      </c>
      <c r="J6638" t="s">
        <v>445</v>
      </c>
      <c r="M6638">
        <v>0</v>
      </c>
      <c r="N6638" t="s">
        <v>16294</v>
      </c>
    </row>
    <row r="6639" spans="1:14">
      <c r="A6639">
        <v>25594150</v>
      </c>
      <c r="B6639">
        <v>3045168</v>
      </c>
      <c r="C6639" t="s">
        <v>16296</v>
      </c>
      <c r="D6639" t="s">
        <v>441</v>
      </c>
      <c r="F6639">
        <v>0</v>
      </c>
      <c r="G6639">
        <v>2.35</v>
      </c>
      <c r="H6639" t="s">
        <v>8588</v>
      </c>
      <c r="I6639">
        <v>5</v>
      </c>
      <c r="J6639" t="s">
        <v>445</v>
      </c>
      <c r="M6639">
        <v>0</v>
      </c>
      <c r="N6639" t="s">
        <v>16294</v>
      </c>
    </row>
    <row r="6640" spans="1:14">
      <c r="A6640">
        <v>25595000</v>
      </c>
      <c r="B6640">
        <v>3035831</v>
      </c>
      <c r="C6640" t="s">
        <v>15426</v>
      </c>
      <c r="D6640" t="s">
        <v>441</v>
      </c>
      <c r="F6640">
        <v>0</v>
      </c>
      <c r="G6640">
        <v>0.9</v>
      </c>
      <c r="I6640">
        <v>5</v>
      </c>
      <c r="J6640" t="s">
        <v>445</v>
      </c>
      <c r="M6640">
        <v>0</v>
      </c>
      <c r="N6640" t="s">
        <v>16294</v>
      </c>
    </row>
    <row r="6641" spans="1:14">
      <c r="A6641">
        <v>25600000</v>
      </c>
      <c r="B6641">
        <v>3012044</v>
      </c>
      <c r="C6641" t="s">
        <v>11744</v>
      </c>
      <c r="D6641" t="s">
        <v>441</v>
      </c>
      <c r="F6641">
        <v>0</v>
      </c>
      <c r="G6641">
        <v>0.51</v>
      </c>
      <c r="H6641" t="s">
        <v>8580</v>
      </c>
      <c r="I6641">
        <v>5</v>
      </c>
      <c r="J6641" t="s">
        <v>445</v>
      </c>
      <c r="M6641">
        <v>2391</v>
      </c>
      <c r="N6641" t="s">
        <v>16293</v>
      </c>
    </row>
    <row r="6642" spans="1:14">
      <c r="A6642">
        <v>25600007</v>
      </c>
      <c r="B6642">
        <v>3025014</v>
      </c>
      <c r="C6642" t="s">
        <v>11745</v>
      </c>
      <c r="D6642" t="s">
        <v>441</v>
      </c>
      <c r="F6642">
        <v>0</v>
      </c>
      <c r="G6642">
        <v>0.64</v>
      </c>
      <c r="H6642" t="s">
        <v>8935</v>
      </c>
      <c r="I6642">
        <v>5</v>
      </c>
      <c r="J6642" t="s">
        <v>445</v>
      </c>
      <c r="K6642" t="s">
        <v>446</v>
      </c>
      <c r="M6642">
        <v>3111</v>
      </c>
    </row>
    <row r="6643" spans="1:14">
      <c r="A6643">
        <v>25600030</v>
      </c>
      <c r="B6643">
        <v>4011072</v>
      </c>
      <c r="C6643" t="s">
        <v>11746</v>
      </c>
      <c r="D6643" t="s">
        <v>441</v>
      </c>
      <c r="F6643">
        <v>0</v>
      </c>
      <c r="G6643">
        <v>1.47</v>
      </c>
      <c r="H6643" t="s">
        <v>8588</v>
      </c>
      <c r="I6643">
        <v>10</v>
      </c>
      <c r="J6643" t="s">
        <v>462</v>
      </c>
      <c r="K6643" t="s">
        <v>446</v>
      </c>
      <c r="M6643">
        <v>2611</v>
      </c>
    </row>
    <row r="6644" spans="1:14">
      <c r="A6644">
        <v>25600031</v>
      </c>
      <c r="B6644">
        <v>4015458</v>
      </c>
      <c r="C6644" t="s">
        <v>11747</v>
      </c>
      <c r="D6644" t="s">
        <v>441</v>
      </c>
      <c r="F6644">
        <v>0</v>
      </c>
      <c r="G6644">
        <v>1.1299999999999999</v>
      </c>
      <c r="H6644" t="s">
        <v>8588</v>
      </c>
      <c r="I6644">
        <v>10</v>
      </c>
      <c r="J6644" t="s">
        <v>462</v>
      </c>
      <c r="K6644" t="s">
        <v>446</v>
      </c>
      <c r="M6644">
        <v>2612</v>
      </c>
    </row>
    <row r="6645" spans="1:14">
      <c r="A6645">
        <v>25600076</v>
      </c>
      <c r="B6645">
        <v>4027190</v>
      </c>
      <c r="C6645" t="s">
        <v>11748</v>
      </c>
      <c r="D6645" t="s">
        <v>441</v>
      </c>
      <c r="F6645">
        <v>0</v>
      </c>
      <c r="G6645">
        <v>0.84</v>
      </c>
      <c r="H6645" t="s">
        <v>8588</v>
      </c>
      <c r="I6645">
        <v>5</v>
      </c>
      <c r="J6645" t="s">
        <v>462</v>
      </c>
      <c r="L6645">
        <v>2052464</v>
      </c>
      <c r="M6645">
        <v>7112</v>
      </c>
      <c r="N6645" t="s">
        <v>16293</v>
      </c>
    </row>
    <row r="6646" spans="1:14">
      <c r="A6646">
        <v>25600080</v>
      </c>
      <c r="B6646">
        <v>3027552</v>
      </c>
      <c r="C6646" t="s">
        <v>11749</v>
      </c>
      <c r="D6646" t="s">
        <v>441</v>
      </c>
      <c r="F6646">
        <v>0</v>
      </c>
      <c r="G6646">
        <v>0.98</v>
      </c>
      <c r="H6646" t="s">
        <v>8588</v>
      </c>
      <c r="I6646">
        <v>5</v>
      </c>
      <c r="J6646" t="s">
        <v>445</v>
      </c>
      <c r="K6646" t="s">
        <v>446</v>
      </c>
      <c r="M6646">
        <v>2641</v>
      </c>
    </row>
    <row r="6647" spans="1:14">
      <c r="A6647">
        <v>25600087</v>
      </c>
      <c r="B6647">
        <v>3026424</v>
      </c>
      <c r="C6647" t="s">
        <v>14467</v>
      </c>
      <c r="D6647" t="s">
        <v>441</v>
      </c>
      <c r="F6647">
        <v>0</v>
      </c>
      <c r="G6647">
        <v>1.75</v>
      </c>
      <c r="H6647" t="s">
        <v>8588</v>
      </c>
      <c r="I6647">
        <v>5</v>
      </c>
      <c r="J6647" t="s">
        <v>445</v>
      </c>
      <c r="M6647">
        <v>7112</v>
      </c>
      <c r="N6647" t="s">
        <v>16293</v>
      </c>
    </row>
    <row r="6648" spans="1:14">
      <c r="A6648">
        <v>25600088</v>
      </c>
      <c r="B6648">
        <v>4027195</v>
      </c>
      <c r="C6648" t="s">
        <v>11750</v>
      </c>
      <c r="D6648" t="s">
        <v>441</v>
      </c>
      <c r="F6648">
        <v>0</v>
      </c>
      <c r="G6648">
        <v>0.59</v>
      </c>
      <c r="H6648" t="s">
        <v>8588</v>
      </c>
      <c r="I6648">
        <v>5</v>
      </c>
      <c r="J6648" t="s">
        <v>462</v>
      </c>
      <c r="M6648">
        <v>7112</v>
      </c>
      <c r="N6648" t="s">
        <v>16293</v>
      </c>
    </row>
    <row r="6649" spans="1:14">
      <c r="A6649">
        <v>25600100</v>
      </c>
      <c r="B6649">
        <v>3031680</v>
      </c>
      <c r="C6649" t="s">
        <v>11751</v>
      </c>
      <c r="D6649" t="s">
        <v>441</v>
      </c>
      <c r="F6649">
        <v>0</v>
      </c>
      <c r="G6649">
        <v>0.67</v>
      </c>
      <c r="H6649" t="s">
        <v>8588</v>
      </c>
      <c r="I6649">
        <v>6</v>
      </c>
      <c r="J6649" t="s">
        <v>445</v>
      </c>
      <c r="M6649">
        <v>0</v>
      </c>
      <c r="N6649" t="s">
        <v>16293</v>
      </c>
    </row>
    <row r="6650" spans="1:14">
      <c r="A6650">
        <v>25601000</v>
      </c>
      <c r="B6650">
        <v>3017494</v>
      </c>
      <c r="C6650" t="s">
        <v>11752</v>
      </c>
      <c r="D6650" t="s">
        <v>441</v>
      </c>
      <c r="F6650">
        <v>0</v>
      </c>
      <c r="G6650">
        <v>0.12</v>
      </c>
      <c r="I6650">
        <v>5</v>
      </c>
      <c r="J6650" t="s">
        <v>445</v>
      </c>
      <c r="M6650">
        <v>2391</v>
      </c>
      <c r="N6650" t="s">
        <v>16293</v>
      </c>
    </row>
    <row r="6651" spans="1:14">
      <c r="A6651">
        <v>25601007</v>
      </c>
      <c r="B6651">
        <v>3025015</v>
      </c>
      <c r="C6651" t="s">
        <v>11753</v>
      </c>
      <c r="D6651" t="s">
        <v>441</v>
      </c>
      <c r="F6651">
        <v>0</v>
      </c>
      <c r="G6651">
        <v>0.14000000000000001</v>
      </c>
      <c r="H6651" t="s">
        <v>8935</v>
      </c>
      <c r="I6651">
        <v>5</v>
      </c>
      <c r="J6651" t="s">
        <v>445</v>
      </c>
      <c r="K6651" t="s">
        <v>446</v>
      </c>
      <c r="M6651">
        <v>3111</v>
      </c>
    </row>
    <row r="6652" spans="1:14">
      <c r="A6652">
        <v>25601030</v>
      </c>
      <c r="B6652">
        <v>4012142</v>
      </c>
      <c r="C6652" t="s">
        <v>11754</v>
      </c>
      <c r="D6652" t="s">
        <v>441</v>
      </c>
      <c r="F6652">
        <v>0</v>
      </c>
      <c r="G6652">
        <v>1.47</v>
      </c>
      <c r="H6652" t="s">
        <v>8588</v>
      </c>
      <c r="I6652">
        <v>10</v>
      </c>
      <c r="J6652" t="s">
        <v>462</v>
      </c>
      <c r="K6652" t="s">
        <v>446</v>
      </c>
      <c r="M6652">
        <v>2611</v>
      </c>
    </row>
    <row r="6653" spans="1:14">
      <c r="A6653">
        <v>25603000</v>
      </c>
      <c r="B6653">
        <v>3012042</v>
      </c>
      <c r="C6653" t="s">
        <v>11755</v>
      </c>
      <c r="D6653" t="s">
        <v>441</v>
      </c>
      <c r="F6653">
        <v>0</v>
      </c>
      <c r="G6653">
        <v>0.54</v>
      </c>
      <c r="H6653" t="s">
        <v>8580</v>
      </c>
      <c r="I6653">
        <v>5</v>
      </c>
      <c r="J6653" t="s">
        <v>445</v>
      </c>
      <c r="K6653" t="s">
        <v>446</v>
      </c>
      <c r="M6653">
        <v>2390</v>
      </c>
    </row>
    <row r="6654" spans="1:14">
      <c r="A6654">
        <v>25610000</v>
      </c>
      <c r="B6654">
        <v>3016040</v>
      </c>
      <c r="C6654" t="s">
        <v>11756</v>
      </c>
      <c r="D6654" t="s">
        <v>441</v>
      </c>
      <c r="F6654">
        <v>0</v>
      </c>
      <c r="G6654">
        <v>0.01</v>
      </c>
      <c r="H6654" t="s">
        <v>8580</v>
      </c>
      <c r="I6654">
        <v>5</v>
      </c>
      <c r="J6654" t="s">
        <v>445</v>
      </c>
      <c r="M6654">
        <v>0</v>
      </c>
      <c r="N6654" t="s">
        <v>16293</v>
      </c>
    </row>
    <row r="6655" spans="1:14">
      <c r="A6655">
        <v>25610020</v>
      </c>
      <c r="B6655">
        <v>4004034</v>
      </c>
      <c r="C6655" t="s">
        <v>11757</v>
      </c>
      <c r="D6655" t="s">
        <v>441</v>
      </c>
      <c r="F6655">
        <v>0</v>
      </c>
      <c r="G6655">
        <v>0.26</v>
      </c>
      <c r="H6655" t="s">
        <v>8588</v>
      </c>
      <c r="I6655">
        <v>5</v>
      </c>
      <c r="J6655" t="s">
        <v>462</v>
      </c>
      <c r="K6655" t="s">
        <v>446</v>
      </c>
      <c r="M6655">
        <v>2641</v>
      </c>
    </row>
    <row r="6656" spans="1:14">
      <c r="A6656">
        <v>25610025</v>
      </c>
      <c r="B6656">
        <v>4014251</v>
      </c>
      <c r="C6656" t="s">
        <v>11758</v>
      </c>
      <c r="D6656" t="s">
        <v>441</v>
      </c>
      <c r="F6656">
        <v>0</v>
      </c>
      <c r="G6656">
        <v>0.46</v>
      </c>
      <c r="H6656" t="s">
        <v>8588</v>
      </c>
      <c r="I6656">
        <v>540</v>
      </c>
      <c r="J6656" t="s">
        <v>462</v>
      </c>
      <c r="K6656" t="s">
        <v>446</v>
      </c>
      <c r="M6656">
        <v>2501</v>
      </c>
    </row>
    <row r="6657" spans="1:14">
      <c r="A6657">
        <v>25610030</v>
      </c>
      <c r="B6657">
        <v>4009142</v>
      </c>
      <c r="C6657" t="s">
        <v>11759</v>
      </c>
      <c r="D6657" t="s">
        <v>441</v>
      </c>
      <c r="F6657">
        <v>0</v>
      </c>
      <c r="G6657">
        <v>1.54</v>
      </c>
      <c r="H6657" t="s">
        <v>8588</v>
      </c>
      <c r="I6657">
        <v>10</v>
      </c>
      <c r="J6657" t="s">
        <v>462</v>
      </c>
      <c r="K6657" t="s">
        <v>446</v>
      </c>
      <c r="M6657">
        <v>2611</v>
      </c>
    </row>
    <row r="6658" spans="1:14">
      <c r="A6658">
        <v>25610525</v>
      </c>
      <c r="B6658">
        <v>3021975</v>
      </c>
      <c r="C6658" t="s">
        <v>11760</v>
      </c>
      <c r="D6658" t="s">
        <v>441</v>
      </c>
      <c r="F6658">
        <v>0</v>
      </c>
      <c r="G6658">
        <v>0.27</v>
      </c>
      <c r="H6658" t="s">
        <v>8588</v>
      </c>
      <c r="I6658">
        <v>6</v>
      </c>
      <c r="J6658" t="s">
        <v>445</v>
      </c>
      <c r="K6658" t="s">
        <v>446</v>
      </c>
      <c r="M6658">
        <v>2641</v>
      </c>
    </row>
    <row r="6659" spans="1:14">
      <c r="A6659">
        <v>25613000</v>
      </c>
      <c r="B6659">
        <v>3016315</v>
      </c>
      <c r="C6659" t="s">
        <v>11761</v>
      </c>
      <c r="D6659" t="s">
        <v>441</v>
      </c>
      <c r="F6659">
        <v>0</v>
      </c>
      <c r="G6659">
        <v>0.01</v>
      </c>
      <c r="H6659" t="s">
        <v>8580</v>
      </c>
      <c r="I6659">
        <v>5</v>
      </c>
      <c r="J6659" t="s">
        <v>445</v>
      </c>
      <c r="K6659" t="s">
        <v>446</v>
      </c>
      <c r="M6659">
        <v>2390</v>
      </c>
    </row>
    <row r="6660" spans="1:14">
      <c r="A6660">
        <v>25620000</v>
      </c>
      <c r="B6660">
        <v>3008013</v>
      </c>
      <c r="C6660" t="s">
        <v>11762</v>
      </c>
      <c r="D6660" t="s">
        <v>441</v>
      </c>
      <c r="F6660">
        <v>0</v>
      </c>
      <c r="I6660">
        <v>5</v>
      </c>
      <c r="J6660" t="s">
        <v>445</v>
      </c>
      <c r="M6660">
        <v>2391</v>
      </c>
      <c r="N6660" t="s">
        <v>16297</v>
      </c>
    </row>
    <row r="6661" spans="1:14">
      <c r="A6661">
        <v>25620007</v>
      </c>
      <c r="B6661">
        <v>3025016</v>
      </c>
      <c r="C6661" t="s">
        <v>11763</v>
      </c>
      <c r="D6661" t="s">
        <v>441</v>
      </c>
      <c r="F6661">
        <v>0</v>
      </c>
      <c r="G6661">
        <v>0.06</v>
      </c>
      <c r="H6661" t="s">
        <v>8935</v>
      </c>
      <c r="I6661">
        <v>5</v>
      </c>
      <c r="J6661" t="s">
        <v>445</v>
      </c>
      <c r="K6661" t="s">
        <v>446</v>
      </c>
      <c r="M6661">
        <v>3111</v>
      </c>
    </row>
    <row r="6662" spans="1:14">
      <c r="A6662">
        <v>25623000</v>
      </c>
      <c r="B6662">
        <v>3008014</v>
      </c>
      <c r="C6662" t="s">
        <v>11764</v>
      </c>
      <c r="D6662" t="s">
        <v>441</v>
      </c>
      <c r="F6662">
        <v>0</v>
      </c>
      <c r="G6662">
        <v>0.5</v>
      </c>
      <c r="I6662">
        <v>5</v>
      </c>
      <c r="J6662" t="s">
        <v>445</v>
      </c>
      <c r="K6662" t="s">
        <v>446</v>
      </c>
      <c r="M6662">
        <v>2390</v>
      </c>
    </row>
    <row r="6663" spans="1:14">
      <c r="A6663">
        <v>25630000</v>
      </c>
      <c r="B6663">
        <v>3016033</v>
      </c>
      <c r="C6663" t="s">
        <v>11765</v>
      </c>
      <c r="D6663" t="s">
        <v>441</v>
      </c>
      <c r="F6663">
        <v>0</v>
      </c>
      <c r="G6663">
        <v>0</v>
      </c>
      <c r="H6663" t="s">
        <v>8580</v>
      </c>
      <c r="I6663">
        <v>5</v>
      </c>
      <c r="J6663" t="s">
        <v>445</v>
      </c>
      <c r="M6663">
        <v>2391</v>
      </c>
      <c r="N6663" t="s">
        <v>16298</v>
      </c>
    </row>
    <row r="6664" spans="1:14">
      <c r="A6664">
        <v>25630007</v>
      </c>
      <c r="B6664">
        <v>3025017</v>
      </c>
      <c r="C6664" t="s">
        <v>11766</v>
      </c>
      <c r="D6664" t="s">
        <v>441</v>
      </c>
      <c r="F6664">
        <v>0</v>
      </c>
      <c r="G6664">
        <v>0.08</v>
      </c>
      <c r="H6664" t="s">
        <v>8580</v>
      </c>
      <c r="I6664">
        <v>5</v>
      </c>
      <c r="J6664" t="s">
        <v>445</v>
      </c>
      <c r="M6664">
        <v>2391</v>
      </c>
      <c r="N6664" t="s">
        <v>16298</v>
      </c>
    </row>
    <row r="6665" spans="1:14">
      <c r="A6665">
        <v>25630020</v>
      </c>
      <c r="B6665">
        <v>4004035</v>
      </c>
      <c r="C6665" t="s">
        <v>14468</v>
      </c>
      <c r="D6665" t="s">
        <v>441</v>
      </c>
      <c r="F6665">
        <v>0</v>
      </c>
      <c r="G6665">
        <v>1.39</v>
      </c>
      <c r="H6665" t="s">
        <v>8588</v>
      </c>
      <c r="I6665">
        <v>5</v>
      </c>
      <c r="J6665" t="s">
        <v>462</v>
      </c>
      <c r="M6665">
        <v>7112</v>
      </c>
      <c r="N6665" t="s">
        <v>16298</v>
      </c>
    </row>
    <row r="6666" spans="1:14">
      <c r="A6666">
        <v>25633000</v>
      </c>
      <c r="B6666">
        <v>3005185</v>
      </c>
      <c r="C6666" t="s">
        <v>11767</v>
      </c>
      <c r="D6666" t="s">
        <v>441</v>
      </c>
      <c r="F6666">
        <v>0</v>
      </c>
      <c r="G6666">
        <v>0.5</v>
      </c>
      <c r="H6666" t="s">
        <v>8584</v>
      </c>
      <c r="I6666">
        <v>5</v>
      </c>
      <c r="J6666" t="s">
        <v>445</v>
      </c>
      <c r="K6666" t="s">
        <v>446</v>
      </c>
      <c r="M6666">
        <v>2390</v>
      </c>
    </row>
    <row r="6667" spans="1:14">
      <c r="A6667">
        <v>25640000</v>
      </c>
      <c r="B6667">
        <v>3016027</v>
      </c>
      <c r="C6667" t="s">
        <v>11768</v>
      </c>
      <c r="D6667" t="s">
        <v>441</v>
      </c>
      <c r="F6667">
        <v>0</v>
      </c>
      <c r="G6667">
        <v>0.81</v>
      </c>
      <c r="H6667" t="s">
        <v>8624</v>
      </c>
      <c r="I6667">
        <v>5</v>
      </c>
      <c r="J6667" t="s">
        <v>445</v>
      </c>
      <c r="M6667">
        <v>2391</v>
      </c>
      <c r="N6667" t="s">
        <v>16292</v>
      </c>
    </row>
    <row r="6668" spans="1:14">
      <c r="A6668">
        <v>25640007</v>
      </c>
      <c r="B6668">
        <v>3025018</v>
      </c>
      <c r="C6668" t="s">
        <v>11769</v>
      </c>
      <c r="D6668" t="s">
        <v>441</v>
      </c>
      <c r="F6668">
        <v>0</v>
      </c>
      <c r="G6668">
        <v>0.88</v>
      </c>
      <c r="I6668">
        <v>5</v>
      </c>
      <c r="J6668" t="s">
        <v>445</v>
      </c>
      <c r="M6668">
        <v>2391</v>
      </c>
      <c r="N6668" t="s">
        <v>16292</v>
      </c>
    </row>
    <row r="6669" spans="1:14">
      <c r="A6669">
        <v>25640019</v>
      </c>
      <c r="B6669">
        <v>3014170</v>
      </c>
      <c r="C6669" t="s">
        <v>11770</v>
      </c>
      <c r="D6669" t="s">
        <v>441</v>
      </c>
      <c r="F6669">
        <v>0</v>
      </c>
      <c r="G6669">
        <v>0.64</v>
      </c>
      <c r="H6669" t="s">
        <v>8549</v>
      </c>
      <c r="I6669">
        <v>540</v>
      </c>
      <c r="J6669" t="s">
        <v>445</v>
      </c>
      <c r="K6669" t="s">
        <v>446</v>
      </c>
      <c r="M6669">
        <v>2612</v>
      </c>
    </row>
    <row r="6670" spans="1:14">
      <c r="A6670">
        <v>25640025</v>
      </c>
      <c r="B6670">
        <v>4019776</v>
      </c>
      <c r="C6670" t="s">
        <v>11771</v>
      </c>
      <c r="D6670" t="s">
        <v>442</v>
      </c>
      <c r="E6670" t="s">
        <v>441</v>
      </c>
      <c r="F6670">
        <v>15</v>
      </c>
      <c r="G6670">
        <v>32.18</v>
      </c>
      <c r="H6670" t="s">
        <v>8588</v>
      </c>
      <c r="I6670">
        <v>540</v>
      </c>
      <c r="J6670" t="s">
        <v>462</v>
      </c>
      <c r="M6670">
        <v>7111</v>
      </c>
      <c r="N6670" t="s">
        <v>16292</v>
      </c>
    </row>
    <row r="6671" spans="1:14">
      <c r="A6671">
        <v>25640026</v>
      </c>
      <c r="B6671">
        <v>4016348</v>
      </c>
      <c r="C6671" t="s">
        <v>11772</v>
      </c>
      <c r="D6671" t="s">
        <v>442</v>
      </c>
      <c r="E6671" t="s">
        <v>441</v>
      </c>
      <c r="F6671">
        <v>15</v>
      </c>
      <c r="G6671">
        <v>31.98</v>
      </c>
      <c r="H6671" t="s">
        <v>8588</v>
      </c>
      <c r="I6671">
        <v>540</v>
      </c>
      <c r="J6671" t="s">
        <v>462</v>
      </c>
      <c r="M6671">
        <v>7111</v>
      </c>
      <c r="N6671" t="s">
        <v>16292</v>
      </c>
    </row>
    <row r="6672" spans="1:14">
      <c r="A6672">
        <v>25640027</v>
      </c>
      <c r="B6672">
        <v>4007589</v>
      </c>
      <c r="C6672" t="s">
        <v>11773</v>
      </c>
      <c r="D6672" t="s">
        <v>441</v>
      </c>
      <c r="F6672">
        <v>0</v>
      </c>
      <c r="G6672">
        <v>1.89</v>
      </c>
      <c r="H6672" t="s">
        <v>8588</v>
      </c>
      <c r="I6672">
        <v>365</v>
      </c>
      <c r="J6672" t="s">
        <v>462</v>
      </c>
      <c r="K6672" t="s">
        <v>446</v>
      </c>
      <c r="M6672">
        <v>2501</v>
      </c>
    </row>
    <row r="6673" spans="1:14">
      <c r="A6673">
        <v>25640028</v>
      </c>
      <c r="B6673">
        <v>4001849</v>
      </c>
      <c r="C6673" t="s">
        <v>11774</v>
      </c>
      <c r="D6673" t="s">
        <v>441</v>
      </c>
      <c r="F6673">
        <v>0</v>
      </c>
      <c r="G6673">
        <v>1.52</v>
      </c>
      <c r="H6673" t="s">
        <v>8588</v>
      </c>
      <c r="I6673">
        <v>540</v>
      </c>
      <c r="J6673" t="s">
        <v>462</v>
      </c>
      <c r="K6673" t="s">
        <v>446</v>
      </c>
      <c r="M6673">
        <v>2501</v>
      </c>
    </row>
    <row r="6674" spans="1:14">
      <c r="A6674">
        <v>25640029</v>
      </c>
      <c r="B6674">
        <v>4022790</v>
      </c>
      <c r="C6674" t="s">
        <v>11775</v>
      </c>
      <c r="D6674" t="s">
        <v>442</v>
      </c>
      <c r="E6674" t="s">
        <v>441</v>
      </c>
      <c r="F6674">
        <v>10</v>
      </c>
      <c r="G6674">
        <v>16.329999999999998</v>
      </c>
      <c r="H6674" t="s">
        <v>8588</v>
      </c>
      <c r="I6674">
        <v>540</v>
      </c>
      <c r="J6674" t="s">
        <v>462</v>
      </c>
      <c r="L6674" t="s">
        <v>11776</v>
      </c>
      <c r="M6674">
        <v>7111</v>
      </c>
      <c r="N6674" t="s">
        <v>16292</v>
      </c>
    </row>
    <row r="6675" spans="1:14">
      <c r="A6675">
        <v>25640030</v>
      </c>
      <c r="B6675">
        <v>4023322</v>
      </c>
      <c r="C6675" t="s">
        <v>11777</v>
      </c>
      <c r="D6675" t="s">
        <v>441</v>
      </c>
      <c r="F6675">
        <v>0</v>
      </c>
      <c r="G6675">
        <v>1.77</v>
      </c>
      <c r="H6675" t="s">
        <v>8588</v>
      </c>
      <c r="I6675">
        <v>10</v>
      </c>
      <c r="J6675" t="s">
        <v>462</v>
      </c>
      <c r="M6675">
        <v>7112</v>
      </c>
      <c r="N6675" t="s">
        <v>16292</v>
      </c>
    </row>
    <row r="6676" spans="1:14">
      <c r="A6676">
        <v>25640031</v>
      </c>
      <c r="B6676">
        <v>4024580</v>
      </c>
      <c r="C6676" t="s">
        <v>11778</v>
      </c>
      <c r="D6676" t="s">
        <v>441</v>
      </c>
      <c r="F6676">
        <v>0</v>
      </c>
      <c r="G6676">
        <v>1.34</v>
      </c>
      <c r="H6676" t="s">
        <v>8588</v>
      </c>
      <c r="I6676">
        <v>10</v>
      </c>
      <c r="J6676" t="s">
        <v>462</v>
      </c>
      <c r="M6676">
        <v>7112</v>
      </c>
      <c r="N6676" t="s">
        <v>16292</v>
      </c>
    </row>
    <row r="6677" spans="1:14">
      <c r="A6677">
        <v>25640075</v>
      </c>
      <c r="B6677">
        <v>3039589</v>
      </c>
      <c r="C6677" t="s">
        <v>11779</v>
      </c>
      <c r="D6677" t="s">
        <v>441</v>
      </c>
      <c r="F6677">
        <v>0</v>
      </c>
      <c r="G6677">
        <v>1.24</v>
      </c>
      <c r="H6677" t="s">
        <v>8588</v>
      </c>
      <c r="I6677">
        <v>5</v>
      </c>
      <c r="J6677" t="s">
        <v>445</v>
      </c>
      <c r="M6677">
        <v>7112</v>
      </c>
      <c r="N6677" t="s">
        <v>16292</v>
      </c>
    </row>
    <row r="6678" spans="1:14">
      <c r="A6678">
        <v>25640100</v>
      </c>
      <c r="B6678">
        <v>3022728</v>
      </c>
      <c r="C6678" t="s">
        <v>11780</v>
      </c>
      <c r="D6678" t="s">
        <v>441</v>
      </c>
      <c r="F6678">
        <v>0</v>
      </c>
      <c r="G6678">
        <v>1.48</v>
      </c>
      <c r="H6678" t="s">
        <v>8588</v>
      </c>
      <c r="I6678">
        <v>5</v>
      </c>
      <c r="J6678" t="s">
        <v>445</v>
      </c>
      <c r="M6678">
        <v>0</v>
      </c>
      <c r="N6678" t="s">
        <v>16292</v>
      </c>
    </row>
    <row r="6679" spans="1:14">
      <c r="A6679">
        <v>25640110</v>
      </c>
      <c r="B6679">
        <v>3043593</v>
      </c>
      <c r="C6679" t="s">
        <v>15561</v>
      </c>
      <c r="D6679" t="s">
        <v>441</v>
      </c>
      <c r="F6679">
        <v>0</v>
      </c>
      <c r="G6679">
        <v>2.7</v>
      </c>
      <c r="H6679" t="s">
        <v>8588</v>
      </c>
      <c r="I6679">
        <v>6</v>
      </c>
      <c r="J6679" t="s">
        <v>445</v>
      </c>
      <c r="M6679">
        <v>0</v>
      </c>
      <c r="N6679" t="s">
        <v>16292</v>
      </c>
    </row>
    <row r="6680" spans="1:14">
      <c r="A6680">
        <v>25640120</v>
      </c>
      <c r="B6680">
        <v>3045095</v>
      </c>
      <c r="C6680" t="s">
        <v>16299</v>
      </c>
      <c r="D6680" t="s">
        <v>441</v>
      </c>
      <c r="F6680">
        <v>0</v>
      </c>
      <c r="G6680">
        <v>2.75</v>
      </c>
      <c r="H6680" t="s">
        <v>8588</v>
      </c>
      <c r="I6680">
        <v>5</v>
      </c>
      <c r="J6680" t="s">
        <v>445</v>
      </c>
      <c r="M6680">
        <v>0</v>
      </c>
      <c r="N6680" t="s">
        <v>16292</v>
      </c>
    </row>
    <row r="6681" spans="1:14">
      <c r="A6681">
        <v>25640519</v>
      </c>
      <c r="B6681">
        <v>3014180</v>
      </c>
      <c r="C6681" t="s">
        <v>11781</v>
      </c>
      <c r="D6681" t="s">
        <v>441</v>
      </c>
      <c r="F6681">
        <v>0</v>
      </c>
      <c r="G6681">
        <v>0.44</v>
      </c>
      <c r="H6681" t="s">
        <v>8584</v>
      </c>
      <c r="I6681">
        <v>540</v>
      </c>
      <c r="J6681" t="s">
        <v>445</v>
      </c>
      <c r="K6681" t="s">
        <v>446</v>
      </c>
      <c r="M6681">
        <v>2641</v>
      </c>
    </row>
    <row r="6682" spans="1:14">
      <c r="A6682">
        <v>25640525</v>
      </c>
      <c r="B6682">
        <v>3029714</v>
      </c>
      <c r="C6682" t="s">
        <v>11782</v>
      </c>
      <c r="D6682" t="s">
        <v>442</v>
      </c>
      <c r="E6682" t="s">
        <v>441</v>
      </c>
      <c r="F6682">
        <v>15</v>
      </c>
      <c r="G6682">
        <v>18.940000000000001</v>
      </c>
      <c r="H6682" t="s">
        <v>8549</v>
      </c>
      <c r="I6682">
        <v>540</v>
      </c>
      <c r="J6682" t="s">
        <v>445</v>
      </c>
      <c r="M6682">
        <v>2502</v>
      </c>
      <c r="N6682" t="s">
        <v>16292</v>
      </c>
    </row>
    <row r="6683" spans="1:14">
      <c r="A6683">
        <v>25640526</v>
      </c>
      <c r="B6683">
        <v>3024858</v>
      </c>
      <c r="C6683" t="s">
        <v>11783</v>
      </c>
      <c r="D6683" t="s">
        <v>442</v>
      </c>
      <c r="E6683" t="s">
        <v>441</v>
      </c>
      <c r="F6683">
        <v>15</v>
      </c>
      <c r="G6683">
        <v>18.8</v>
      </c>
      <c r="H6683" t="s">
        <v>8588</v>
      </c>
      <c r="I6683">
        <v>540</v>
      </c>
      <c r="J6683" t="s">
        <v>445</v>
      </c>
      <c r="M6683">
        <v>2502</v>
      </c>
      <c r="N6683" t="s">
        <v>16292</v>
      </c>
    </row>
    <row r="6684" spans="1:14">
      <c r="A6684">
        <v>25640527</v>
      </c>
      <c r="B6684">
        <v>3008015</v>
      </c>
      <c r="C6684" t="s">
        <v>11784</v>
      </c>
      <c r="D6684" t="s">
        <v>441</v>
      </c>
      <c r="F6684">
        <v>0</v>
      </c>
      <c r="G6684">
        <v>1.68</v>
      </c>
      <c r="I6684">
        <v>5</v>
      </c>
      <c r="J6684" t="s">
        <v>445</v>
      </c>
      <c r="K6684" t="s">
        <v>446</v>
      </c>
      <c r="M6684">
        <v>2641</v>
      </c>
    </row>
    <row r="6685" spans="1:14">
      <c r="A6685">
        <v>25640528</v>
      </c>
      <c r="B6685">
        <v>3008016</v>
      </c>
      <c r="C6685" t="s">
        <v>11785</v>
      </c>
      <c r="D6685" t="s">
        <v>441</v>
      </c>
      <c r="F6685">
        <v>0</v>
      </c>
      <c r="G6685">
        <v>1.33</v>
      </c>
      <c r="I6685">
        <v>540</v>
      </c>
      <c r="J6685" t="s">
        <v>445</v>
      </c>
      <c r="K6685" t="s">
        <v>446</v>
      </c>
      <c r="M6685">
        <v>2641</v>
      </c>
    </row>
    <row r="6686" spans="1:14">
      <c r="A6686">
        <v>25640529</v>
      </c>
      <c r="B6686">
        <v>3034021</v>
      </c>
      <c r="C6686" t="s">
        <v>11786</v>
      </c>
      <c r="D6686" t="s">
        <v>442</v>
      </c>
      <c r="E6686" t="s">
        <v>441</v>
      </c>
      <c r="F6686">
        <v>10</v>
      </c>
      <c r="G6686">
        <v>13.7</v>
      </c>
      <c r="H6686" t="s">
        <v>8588</v>
      </c>
      <c r="I6686">
        <v>5</v>
      </c>
      <c r="J6686" t="s">
        <v>445</v>
      </c>
      <c r="M6686">
        <v>2502</v>
      </c>
      <c r="N6686" t="s">
        <v>16292</v>
      </c>
    </row>
    <row r="6687" spans="1:14">
      <c r="A6687">
        <v>25641000</v>
      </c>
      <c r="B6687">
        <v>3018105</v>
      </c>
      <c r="C6687" t="s">
        <v>11787</v>
      </c>
      <c r="D6687" t="s">
        <v>441</v>
      </c>
      <c r="F6687">
        <v>0</v>
      </c>
      <c r="G6687">
        <v>0.83</v>
      </c>
      <c r="H6687" t="s">
        <v>8580</v>
      </c>
      <c r="I6687">
        <v>5</v>
      </c>
      <c r="J6687" t="s">
        <v>445</v>
      </c>
      <c r="M6687">
        <v>2391</v>
      </c>
      <c r="N6687" t="s">
        <v>16292</v>
      </c>
    </row>
    <row r="6688" spans="1:14">
      <c r="A6688">
        <v>25641026</v>
      </c>
      <c r="B6688">
        <v>4016406</v>
      </c>
      <c r="C6688" t="s">
        <v>11788</v>
      </c>
      <c r="D6688" t="s">
        <v>442</v>
      </c>
      <c r="E6688" t="s">
        <v>441</v>
      </c>
      <c r="F6688">
        <v>15</v>
      </c>
      <c r="G6688">
        <v>32.21</v>
      </c>
      <c r="H6688" t="s">
        <v>8588</v>
      </c>
      <c r="I6688">
        <v>540</v>
      </c>
      <c r="J6688" t="s">
        <v>462</v>
      </c>
      <c r="M6688">
        <v>7111</v>
      </c>
      <c r="N6688" t="s">
        <v>16292</v>
      </c>
    </row>
    <row r="6689" spans="1:14">
      <c r="A6689">
        <v>25641029</v>
      </c>
      <c r="B6689">
        <v>4022769</v>
      </c>
      <c r="C6689" t="s">
        <v>11789</v>
      </c>
      <c r="D6689" t="s">
        <v>442</v>
      </c>
      <c r="E6689" t="s">
        <v>441</v>
      </c>
      <c r="F6689">
        <v>10</v>
      </c>
      <c r="G6689">
        <v>16.45</v>
      </c>
      <c r="H6689" t="s">
        <v>8588</v>
      </c>
      <c r="I6689">
        <v>540</v>
      </c>
      <c r="J6689" t="s">
        <v>462</v>
      </c>
      <c r="L6689" t="s">
        <v>11776</v>
      </c>
      <c r="M6689">
        <v>7111</v>
      </c>
      <c r="N6689" t="s">
        <v>16292</v>
      </c>
    </row>
    <row r="6690" spans="1:14">
      <c r="A6690">
        <v>25641526</v>
      </c>
      <c r="B6690">
        <v>3024857</v>
      </c>
      <c r="C6690" t="s">
        <v>11790</v>
      </c>
      <c r="D6690" t="s">
        <v>442</v>
      </c>
      <c r="E6690" t="s">
        <v>441</v>
      </c>
      <c r="F6690">
        <v>15</v>
      </c>
      <c r="G6690">
        <v>19.010000000000002</v>
      </c>
      <c r="H6690" t="s">
        <v>8549</v>
      </c>
      <c r="I6690">
        <v>540</v>
      </c>
      <c r="J6690" t="s">
        <v>445</v>
      </c>
      <c r="M6690">
        <v>2502</v>
      </c>
      <c r="N6690" t="s">
        <v>16292</v>
      </c>
    </row>
    <row r="6691" spans="1:14">
      <c r="A6691">
        <v>25641529</v>
      </c>
      <c r="B6691">
        <v>3034020</v>
      </c>
      <c r="C6691" t="s">
        <v>11791</v>
      </c>
      <c r="D6691" t="s">
        <v>442</v>
      </c>
      <c r="E6691" t="s">
        <v>441</v>
      </c>
      <c r="F6691">
        <v>10</v>
      </c>
      <c r="G6691">
        <v>13.81</v>
      </c>
      <c r="H6691" t="s">
        <v>8588</v>
      </c>
      <c r="I6691">
        <v>5</v>
      </c>
      <c r="J6691" t="s">
        <v>445</v>
      </c>
      <c r="M6691">
        <v>2502</v>
      </c>
      <c r="N6691" t="s">
        <v>16292</v>
      </c>
    </row>
    <row r="6692" spans="1:14">
      <c r="A6692">
        <v>25643000</v>
      </c>
      <c r="B6692">
        <v>3005176</v>
      </c>
      <c r="C6692" t="s">
        <v>11792</v>
      </c>
      <c r="D6692" t="s">
        <v>441</v>
      </c>
      <c r="F6692">
        <v>0</v>
      </c>
      <c r="G6692">
        <v>1.33</v>
      </c>
      <c r="H6692" t="s">
        <v>8624</v>
      </c>
      <c r="I6692">
        <v>5</v>
      </c>
      <c r="J6692" t="s">
        <v>445</v>
      </c>
      <c r="K6692" t="s">
        <v>446</v>
      </c>
      <c r="M6692">
        <v>2390</v>
      </c>
    </row>
    <row r="6693" spans="1:14">
      <c r="A6693">
        <v>25645000</v>
      </c>
      <c r="B6693">
        <v>3035272</v>
      </c>
      <c r="C6693" t="s">
        <v>11793</v>
      </c>
      <c r="D6693" t="s">
        <v>441</v>
      </c>
      <c r="F6693">
        <v>0</v>
      </c>
      <c r="G6693">
        <v>0.81</v>
      </c>
      <c r="H6693" t="s">
        <v>8549</v>
      </c>
      <c r="I6693">
        <v>5</v>
      </c>
      <c r="J6693" t="s">
        <v>445</v>
      </c>
      <c r="M6693">
        <v>2391</v>
      </c>
      <c r="N6693" t="s">
        <v>16292</v>
      </c>
    </row>
    <row r="6694" spans="1:14">
      <c r="A6694">
        <v>25645026</v>
      </c>
      <c r="B6694">
        <v>4023901</v>
      </c>
      <c r="C6694" t="s">
        <v>11794</v>
      </c>
      <c r="D6694" t="s">
        <v>442</v>
      </c>
      <c r="E6694" t="s">
        <v>441</v>
      </c>
      <c r="F6694">
        <v>15</v>
      </c>
      <c r="G6694">
        <v>23.11</v>
      </c>
      <c r="H6694" t="s">
        <v>8588</v>
      </c>
      <c r="I6694">
        <v>540</v>
      </c>
      <c r="J6694" t="s">
        <v>462</v>
      </c>
      <c r="M6694">
        <v>7111</v>
      </c>
      <c r="N6694" t="s">
        <v>16292</v>
      </c>
    </row>
    <row r="6695" spans="1:14">
      <c r="A6695">
        <v>25645526</v>
      </c>
      <c r="B6695">
        <v>3035271</v>
      </c>
      <c r="C6695" t="s">
        <v>11795</v>
      </c>
      <c r="D6695" t="s">
        <v>442</v>
      </c>
      <c r="E6695" t="s">
        <v>441</v>
      </c>
      <c r="F6695">
        <v>15</v>
      </c>
      <c r="G6695">
        <v>19.16</v>
      </c>
      <c r="H6695" t="s">
        <v>8588</v>
      </c>
      <c r="I6695">
        <v>540</v>
      </c>
      <c r="J6695" t="s">
        <v>445</v>
      </c>
      <c r="M6695">
        <v>2502</v>
      </c>
      <c r="N6695" t="s">
        <v>16292</v>
      </c>
    </row>
    <row r="6696" spans="1:14">
      <c r="A6696">
        <v>25646000</v>
      </c>
      <c r="B6696">
        <v>3009070</v>
      </c>
      <c r="C6696" t="s">
        <v>11796</v>
      </c>
      <c r="D6696" t="s">
        <v>441</v>
      </c>
      <c r="F6696">
        <v>0</v>
      </c>
      <c r="G6696">
        <v>1.63</v>
      </c>
      <c r="I6696">
        <v>5</v>
      </c>
      <c r="J6696" t="s">
        <v>445</v>
      </c>
      <c r="K6696" t="s">
        <v>446</v>
      </c>
      <c r="M6696">
        <v>2390</v>
      </c>
    </row>
    <row r="6697" spans="1:14">
      <c r="A6697">
        <v>25650000</v>
      </c>
      <c r="B6697">
        <v>3016024</v>
      </c>
      <c r="C6697" t="s">
        <v>11797</v>
      </c>
      <c r="D6697" t="s">
        <v>441</v>
      </c>
      <c r="F6697">
        <v>0</v>
      </c>
      <c r="G6697">
        <v>0</v>
      </c>
      <c r="H6697" t="s">
        <v>8584</v>
      </c>
      <c r="I6697">
        <v>5</v>
      </c>
      <c r="J6697" t="s">
        <v>445</v>
      </c>
      <c r="M6697">
        <v>2391</v>
      </c>
      <c r="N6697" t="s">
        <v>16292</v>
      </c>
    </row>
    <row r="6698" spans="1:14">
      <c r="A6698">
        <v>25650007</v>
      </c>
      <c r="B6698">
        <v>3015330</v>
      </c>
      <c r="C6698" t="s">
        <v>11798</v>
      </c>
      <c r="D6698" t="s">
        <v>441</v>
      </c>
      <c r="F6698">
        <v>0</v>
      </c>
      <c r="G6698">
        <v>1.05</v>
      </c>
      <c r="I6698">
        <v>5</v>
      </c>
      <c r="J6698" t="s">
        <v>445</v>
      </c>
      <c r="K6698" t="s">
        <v>446</v>
      </c>
      <c r="M6698">
        <v>2641</v>
      </c>
    </row>
    <row r="6699" spans="1:14">
      <c r="A6699">
        <v>25650020</v>
      </c>
      <c r="B6699">
        <v>4004036</v>
      </c>
      <c r="C6699" t="s">
        <v>11799</v>
      </c>
      <c r="D6699" t="s">
        <v>441</v>
      </c>
      <c r="F6699">
        <v>0</v>
      </c>
      <c r="G6699">
        <v>1.17</v>
      </c>
      <c r="H6699" t="s">
        <v>8588</v>
      </c>
      <c r="I6699">
        <v>5</v>
      </c>
      <c r="J6699" t="s">
        <v>462</v>
      </c>
      <c r="L6699">
        <v>2082359</v>
      </c>
      <c r="M6699">
        <v>7112</v>
      </c>
      <c r="N6699" t="s">
        <v>16292</v>
      </c>
    </row>
    <row r="6700" spans="1:14">
      <c r="A6700">
        <v>25650021</v>
      </c>
      <c r="B6700">
        <v>4012705</v>
      </c>
      <c r="C6700" t="s">
        <v>11800</v>
      </c>
      <c r="D6700" t="s">
        <v>441</v>
      </c>
      <c r="F6700">
        <v>0</v>
      </c>
      <c r="G6700">
        <v>1.19</v>
      </c>
      <c r="H6700" t="s">
        <v>8588</v>
      </c>
      <c r="I6700">
        <v>5</v>
      </c>
      <c r="J6700" t="s">
        <v>462</v>
      </c>
      <c r="K6700" t="s">
        <v>446</v>
      </c>
      <c r="M6700">
        <v>2612</v>
      </c>
    </row>
    <row r="6701" spans="1:14">
      <c r="A6701">
        <v>25650022</v>
      </c>
      <c r="B6701">
        <v>4016199</v>
      </c>
      <c r="C6701" t="s">
        <v>11801</v>
      </c>
      <c r="D6701" t="s">
        <v>441</v>
      </c>
      <c r="F6701">
        <v>0</v>
      </c>
      <c r="G6701">
        <v>1.29</v>
      </c>
      <c r="H6701" t="s">
        <v>8588</v>
      </c>
      <c r="I6701">
        <v>6</v>
      </c>
      <c r="J6701" t="s">
        <v>462</v>
      </c>
      <c r="K6701" t="s">
        <v>446</v>
      </c>
      <c r="M6701">
        <v>2641</v>
      </c>
    </row>
    <row r="6702" spans="1:14">
      <c r="A6702">
        <v>25650023</v>
      </c>
      <c r="B6702">
        <v>4004037</v>
      </c>
      <c r="C6702" t="s">
        <v>11802</v>
      </c>
      <c r="D6702" t="s">
        <v>441</v>
      </c>
      <c r="F6702">
        <v>0</v>
      </c>
      <c r="G6702">
        <v>1.25</v>
      </c>
      <c r="H6702" t="s">
        <v>8588</v>
      </c>
      <c r="I6702">
        <v>5</v>
      </c>
      <c r="J6702" t="s">
        <v>462</v>
      </c>
      <c r="K6702" t="s">
        <v>446</v>
      </c>
      <c r="M6702">
        <v>2612</v>
      </c>
    </row>
    <row r="6703" spans="1:14">
      <c r="A6703">
        <v>25650024</v>
      </c>
      <c r="B6703">
        <v>4015797</v>
      </c>
      <c r="C6703" t="s">
        <v>11803</v>
      </c>
      <c r="D6703" t="s">
        <v>441</v>
      </c>
      <c r="F6703">
        <v>0</v>
      </c>
      <c r="G6703">
        <v>1.22</v>
      </c>
      <c r="H6703" t="s">
        <v>8588</v>
      </c>
      <c r="I6703">
        <v>5</v>
      </c>
      <c r="J6703" t="s">
        <v>462</v>
      </c>
      <c r="K6703" t="s">
        <v>446</v>
      </c>
      <c r="L6703">
        <v>2615120</v>
      </c>
      <c r="M6703">
        <v>2612</v>
      </c>
    </row>
    <row r="6704" spans="1:14">
      <c r="A6704">
        <v>25650075</v>
      </c>
      <c r="B6704">
        <v>3012360</v>
      </c>
      <c r="C6704" t="s">
        <v>11804</v>
      </c>
      <c r="D6704" t="s">
        <v>441</v>
      </c>
      <c r="F6704">
        <v>0</v>
      </c>
      <c r="G6704">
        <v>1.1399999999999999</v>
      </c>
      <c r="H6704" t="s">
        <v>8588</v>
      </c>
      <c r="I6704">
        <v>5</v>
      </c>
      <c r="J6704" t="s">
        <v>445</v>
      </c>
      <c r="K6704" t="s">
        <v>446</v>
      </c>
      <c r="M6704">
        <v>2641</v>
      </c>
    </row>
    <row r="6705" spans="1:14">
      <c r="A6705">
        <v>25650080</v>
      </c>
      <c r="B6705">
        <v>4012836</v>
      </c>
      <c r="C6705" t="s">
        <v>11805</v>
      </c>
      <c r="D6705" t="s">
        <v>441</v>
      </c>
      <c r="F6705">
        <v>0</v>
      </c>
      <c r="G6705">
        <v>0.44</v>
      </c>
      <c r="H6705" t="s">
        <v>8588</v>
      </c>
      <c r="I6705">
        <v>5</v>
      </c>
      <c r="J6705" t="s">
        <v>462</v>
      </c>
      <c r="K6705" t="s">
        <v>446</v>
      </c>
      <c r="M6705">
        <v>2641</v>
      </c>
    </row>
    <row r="6706" spans="1:14">
      <c r="A6706">
        <v>25650081</v>
      </c>
      <c r="B6706">
        <v>4013040</v>
      </c>
      <c r="C6706" t="s">
        <v>11806</v>
      </c>
      <c r="D6706" t="s">
        <v>441</v>
      </c>
      <c r="F6706">
        <v>0</v>
      </c>
      <c r="G6706">
        <v>0.96</v>
      </c>
      <c r="H6706" t="s">
        <v>8588</v>
      </c>
      <c r="I6706">
        <v>5</v>
      </c>
      <c r="J6706" t="s">
        <v>462</v>
      </c>
      <c r="M6706">
        <v>7112</v>
      </c>
      <c r="N6706" t="s">
        <v>16292</v>
      </c>
    </row>
    <row r="6707" spans="1:14">
      <c r="A6707">
        <v>25650110</v>
      </c>
      <c r="B6707">
        <v>3042631</v>
      </c>
      <c r="C6707" t="s">
        <v>333</v>
      </c>
      <c r="D6707" t="s">
        <v>441</v>
      </c>
      <c r="F6707">
        <v>0</v>
      </c>
      <c r="G6707">
        <v>1.36</v>
      </c>
      <c r="H6707" t="s">
        <v>8588</v>
      </c>
      <c r="I6707">
        <v>5</v>
      </c>
      <c r="J6707" t="s">
        <v>445</v>
      </c>
      <c r="M6707">
        <v>0</v>
      </c>
      <c r="N6707" t="s">
        <v>16292</v>
      </c>
    </row>
    <row r="6708" spans="1:14">
      <c r="A6708">
        <v>25650120</v>
      </c>
      <c r="B6708">
        <v>3045019</v>
      </c>
      <c r="C6708" t="s">
        <v>15649</v>
      </c>
      <c r="D6708" t="s">
        <v>441</v>
      </c>
      <c r="F6708">
        <v>0</v>
      </c>
      <c r="G6708">
        <v>2.93</v>
      </c>
      <c r="H6708" t="s">
        <v>8588</v>
      </c>
      <c r="I6708">
        <v>5</v>
      </c>
      <c r="J6708" t="s">
        <v>445</v>
      </c>
      <c r="M6708">
        <v>0</v>
      </c>
      <c r="N6708" t="s">
        <v>16292</v>
      </c>
    </row>
    <row r="6709" spans="1:14">
      <c r="A6709">
        <v>25650907</v>
      </c>
      <c r="B6709">
        <v>3025097</v>
      </c>
      <c r="C6709" t="s">
        <v>11807</v>
      </c>
      <c r="D6709" t="s">
        <v>441</v>
      </c>
      <c r="F6709">
        <v>0</v>
      </c>
      <c r="G6709">
        <v>1.17</v>
      </c>
      <c r="I6709">
        <v>5</v>
      </c>
      <c r="J6709" t="s">
        <v>445</v>
      </c>
      <c r="M6709">
        <v>6666</v>
      </c>
    </row>
    <row r="6710" spans="1:14">
      <c r="A6710">
        <v>25651110</v>
      </c>
      <c r="B6710">
        <v>3018096</v>
      </c>
      <c r="C6710" t="s">
        <v>11808</v>
      </c>
      <c r="D6710" t="s">
        <v>441</v>
      </c>
      <c r="F6710">
        <v>0</v>
      </c>
      <c r="G6710">
        <v>1.36</v>
      </c>
      <c r="H6710" t="s">
        <v>8588</v>
      </c>
      <c r="I6710">
        <v>5</v>
      </c>
      <c r="J6710" t="s">
        <v>445</v>
      </c>
      <c r="M6710">
        <v>0</v>
      </c>
      <c r="N6710" t="s">
        <v>16292</v>
      </c>
    </row>
    <row r="6711" spans="1:14">
      <c r="A6711">
        <v>25653000</v>
      </c>
      <c r="B6711">
        <v>3008018</v>
      </c>
      <c r="C6711" t="s">
        <v>11809</v>
      </c>
      <c r="D6711" t="s">
        <v>441</v>
      </c>
      <c r="F6711">
        <v>0</v>
      </c>
      <c r="G6711">
        <v>0.6</v>
      </c>
      <c r="I6711">
        <v>5</v>
      </c>
      <c r="J6711" t="s">
        <v>445</v>
      </c>
      <c r="K6711" t="s">
        <v>446</v>
      </c>
      <c r="M6711">
        <v>2390</v>
      </c>
    </row>
    <row r="6712" spans="1:14">
      <c r="A6712">
        <v>25654000</v>
      </c>
      <c r="B6712">
        <v>3036051</v>
      </c>
      <c r="C6712" t="s">
        <v>11810</v>
      </c>
      <c r="D6712" t="s">
        <v>441</v>
      </c>
      <c r="F6712">
        <v>0</v>
      </c>
      <c r="G6712">
        <v>0.8</v>
      </c>
      <c r="H6712" t="s">
        <v>8549</v>
      </c>
      <c r="I6712">
        <v>6</v>
      </c>
      <c r="J6712" t="s">
        <v>445</v>
      </c>
      <c r="M6712">
        <v>2391</v>
      </c>
      <c r="N6712" t="s">
        <v>16292</v>
      </c>
    </row>
    <row r="6713" spans="1:14">
      <c r="A6713">
        <v>25654120</v>
      </c>
      <c r="B6713">
        <v>3045111</v>
      </c>
      <c r="C6713" t="s">
        <v>15650</v>
      </c>
      <c r="D6713" t="s">
        <v>441</v>
      </c>
      <c r="F6713">
        <v>0</v>
      </c>
      <c r="G6713">
        <v>2.94</v>
      </c>
      <c r="H6713" t="s">
        <v>8588</v>
      </c>
      <c r="I6713">
        <v>5</v>
      </c>
      <c r="J6713" t="s">
        <v>445</v>
      </c>
      <c r="M6713">
        <v>0</v>
      </c>
      <c r="N6713" t="s">
        <v>16292</v>
      </c>
    </row>
    <row r="6714" spans="1:14">
      <c r="A6714">
        <v>25655000</v>
      </c>
      <c r="B6714">
        <v>3035253</v>
      </c>
      <c r="C6714" t="s">
        <v>11811</v>
      </c>
      <c r="D6714" t="s">
        <v>441</v>
      </c>
      <c r="F6714">
        <v>0</v>
      </c>
      <c r="G6714">
        <v>0.8</v>
      </c>
      <c r="H6714" t="s">
        <v>8549</v>
      </c>
      <c r="I6714">
        <v>5</v>
      </c>
      <c r="J6714" t="s">
        <v>445</v>
      </c>
      <c r="M6714">
        <v>2391</v>
      </c>
      <c r="N6714" t="s">
        <v>16292</v>
      </c>
    </row>
    <row r="6715" spans="1:14">
      <c r="A6715">
        <v>25660000</v>
      </c>
      <c r="B6715">
        <v>3008019</v>
      </c>
      <c r="C6715" t="s">
        <v>11812</v>
      </c>
      <c r="D6715" t="s">
        <v>441</v>
      </c>
      <c r="F6715">
        <v>0</v>
      </c>
      <c r="G6715">
        <v>0</v>
      </c>
      <c r="H6715" t="s">
        <v>8580</v>
      </c>
      <c r="I6715">
        <v>5</v>
      </c>
      <c r="J6715" t="s">
        <v>445</v>
      </c>
      <c r="M6715">
        <v>2391</v>
      </c>
      <c r="N6715" t="s">
        <v>16293</v>
      </c>
    </row>
    <row r="6716" spans="1:14">
      <c r="A6716">
        <v>25660007</v>
      </c>
      <c r="B6716">
        <v>3025019</v>
      </c>
      <c r="C6716" t="s">
        <v>11813</v>
      </c>
      <c r="D6716" t="s">
        <v>441</v>
      </c>
      <c r="F6716">
        <v>0</v>
      </c>
      <c r="G6716">
        <v>0.47</v>
      </c>
      <c r="H6716" t="s">
        <v>8580</v>
      </c>
      <c r="I6716">
        <v>5</v>
      </c>
      <c r="J6716" t="s">
        <v>445</v>
      </c>
      <c r="M6716">
        <v>2391</v>
      </c>
      <c r="N6716" t="s">
        <v>16293</v>
      </c>
    </row>
    <row r="6717" spans="1:14">
      <c r="A6717">
        <v>25660020</v>
      </c>
      <c r="B6717">
        <v>4004039</v>
      </c>
      <c r="C6717" t="s">
        <v>11814</v>
      </c>
      <c r="D6717" t="s">
        <v>441</v>
      </c>
      <c r="F6717">
        <v>0</v>
      </c>
      <c r="G6717">
        <v>0.79</v>
      </c>
      <c r="H6717" t="s">
        <v>8588</v>
      </c>
      <c r="I6717">
        <v>5</v>
      </c>
      <c r="J6717" t="s">
        <v>462</v>
      </c>
      <c r="L6717">
        <v>2082361</v>
      </c>
      <c r="M6717">
        <v>7112</v>
      </c>
      <c r="N6717" t="s">
        <v>16293</v>
      </c>
    </row>
    <row r="6718" spans="1:14">
      <c r="A6718">
        <v>25660021</v>
      </c>
      <c r="B6718">
        <v>4012225</v>
      </c>
      <c r="C6718" t="s">
        <v>11815</v>
      </c>
      <c r="D6718" t="s">
        <v>441</v>
      </c>
      <c r="F6718">
        <v>0</v>
      </c>
      <c r="G6718">
        <v>0.37</v>
      </c>
      <c r="H6718" t="s">
        <v>8588</v>
      </c>
      <c r="I6718">
        <v>5</v>
      </c>
      <c r="J6718" t="s">
        <v>462</v>
      </c>
      <c r="K6718" t="s">
        <v>446</v>
      </c>
      <c r="M6718">
        <v>2612</v>
      </c>
    </row>
    <row r="6719" spans="1:14">
      <c r="A6719">
        <v>25660023</v>
      </c>
      <c r="B6719">
        <v>4004040</v>
      </c>
      <c r="C6719" t="s">
        <v>11816</v>
      </c>
      <c r="D6719" t="s">
        <v>441</v>
      </c>
      <c r="F6719">
        <v>0</v>
      </c>
      <c r="G6719">
        <v>0.45</v>
      </c>
      <c r="H6719" t="s">
        <v>8588</v>
      </c>
      <c r="I6719">
        <v>5</v>
      </c>
      <c r="J6719" t="s">
        <v>462</v>
      </c>
      <c r="K6719" t="s">
        <v>446</v>
      </c>
      <c r="M6719">
        <v>2612</v>
      </c>
    </row>
    <row r="6720" spans="1:14">
      <c r="A6720">
        <v>25660028</v>
      </c>
      <c r="B6720">
        <v>4009737</v>
      </c>
      <c r="C6720" t="s">
        <v>11817</v>
      </c>
      <c r="D6720" t="s">
        <v>441</v>
      </c>
      <c r="F6720">
        <v>0</v>
      </c>
      <c r="G6720">
        <v>1.1100000000000001</v>
      </c>
      <c r="H6720" t="s">
        <v>8588</v>
      </c>
      <c r="I6720">
        <v>365</v>
      </c>
      <c r="J6720" t="s">
        <v>462</v>
      </c>
      <c r="K6720" t="s">
        <v>446</v>
      </c>
      <c r="M6720">
        <v>2501</v>
      </c>
    </row>
    <row r="6721" spans="1:14">
      <c r="A6721">
        <v>25660030</v>
      </c>
      <c r="B6721">
        <v>4009084</v>
      </c>
      <c r="C6721" t="s">
        <v>11818</v>
      </c>
      <c r="D6721" t="s">
        <v>441</v>
      </c>
      <c r="F6721">
        <v>0</v>
      </c>
      <c r="G6721">
        <v>1.48</v>
      </c>
      <c r="H6721" t="s">
        <v>8588</v>
      </c>
      <c r="I6721">
        <v>10</v>
      </c>
      <c r="J6721" t="s">
        <v>462</v>
      </c>
      <c r="K6721" t="s">
        <v>446</v>
      </c>
      <c r="M6721">
        <v>2611</v>
      </c>
    </row>
    <row r="6722" spans="1:14">
      <c r="A6722">
        <v>25660032</v>
      </c>
      <c r="B6722">
        <v>4015094</v>
      </c>
      <c r="C6722" t="s">
        <v>11819</v>
      </c>
      <c r="D6722" t="s">
        <v>441</v>
      </c>
      <c r="F6722">
        <v>0</v>
      </c>
      <c r="G6722">
        <v>1.19</v>
      </c>
      <c r="H6722" t="s">
        <v>8588</v>
      </c>
      <c r="I6722">
        <v>8</v>
      </c>
      <c r="J6722" t="s">
        <v>462</v>
      </c>
      <c r="K6722" t="s">
        <v>446</v>
      </c>
      <c r="M6722">
        <v>2612</v>
      </c>
    </row>
    <row r="6723" spans="1:14">
      <c r="A6723">
        <v>25660033</v>
      </c>
      <c r="B6723">
        <v>4016068</v>
      </c>
      <c r="C6723" t="s">
        <v>15504</v>
      </c>
      <c r="D6723" t="s">
        <v>441</v>
      </c>
      <c r="F6723">
        <v>0</v>
      </c>
      <c r="G6723">
        <v>1.92</v>
      </c>
      <c r="H6723" t="s">
        <v>8588</v>
      </c>
      <c r="I6723">
        <v>8</v>
      </c>
      <c r="J6723" t="s">
        <v>462</v>
      </c>
      <c r="M6723">
        <v>7112</v>
      </c>
      <c r="N6723" t="s">
        <v>16293</v>
      </c>
    </row>
    <row r="6724" spans="1:14">
      <c r="A6724">
        <v>25660034</v>
      </c>
      <c r="B6724">
        <v>4025546</v>
      </c>
      <c r="C6724" t="s">
        <v>11820</v>
      </c>
      <c r="D6724" t="s">
        <v>441</v>
      </c>
      <c r="F6724">
        <v>0</v>
      </c>
      <c r="G6724">
        <v>1.08</v>
      </c>
      <c r="H6724" t="s">
        <v>8588</v>
      </c>
      <c r="I6724">
        <v>10</v>
      </c>
      <c r="J6724" t="s">
        <v>462</v>
      </c>
      <c r="M6724">
        <v>7112</v>
      </c>
      <c r="N6724" t="s">
        <v>16293</v>
      </c>
    </row>
    <row r="6725" spans="1:14">
      <c r="A6725">
        <v>25660075</v>
      </c>
      <c r="B6725">
        <v>3008020</v>
      </c>
      <c r="C6725" t="s">
        <v>11821</v>
      </c>
      <c r="D6725" t="s">
        <v>441</v>
      </c>
      <c r="F6725">
        <v>0</v>
      </c>
      <c r="G6725">
        <v>0.87</v>
      </c>
      <c r="H6725" t="s">
        <v>8549</v>
      </c>
      <c r="I6725">
        <v>5</v>
      </c>
      <c r="J6725" t="s">
        <v>445</v>
      </c>
      <c r="K6725" t="s">
        <v>446</v>
      </c>
      <c r="M6725">
        <v>2641</v>
      </c>
    </row>
    <row r="6726" spans="1:14">
      <c r="A6726">
        <v>25660081</v>
      </c>
      <c r="B6726">
        <v>4014243</v>
      </c>
      <c r="C6726" t="s">
        <v>11822</v>
      </c>
      <c r="D6726" t="s">
        <v>441</v>
      </c>
      <c r="F6726">
        <v>0</v>
      </c>
      <c r="G6726">
        <v>0.56999999999999995</v>
      </c>
      <c r="H6726" t="s">
        <v>8588</v>
      </c>
      <c r="I6726">
        <v>5</v>
      </c>
      <c r="J6726" t="s">
        <v>462</v>
      </c>
      <c r="M6726">
        <v>7112</v>
      </c>
      <c r="N6726" t="s">
        <v>16293</v>
      </c>
    </row>
    <row r="6727" spans="1:14">
      <c r="A6727">
        <v>25660528</v>
      </c>
      <c r="B6727">
        <v>3012067</v>
      </c>
      <c r="C6727" t="s">
        <v>11823</v>
      </c>
      <c r="D6727" t="s">
        <v>441</v>
      </c>
      <c r="F6727">
        <v>0</v>
      </c>
      <c r="G6727">
        <v>1.1599999999999999</v>
      </c>
      <c r="H6727" t="s">
        <v>8584</v>
      </c>
      <c r="I6727">
        <v>365</v>
      </c>
      <c r="J6727" t="s">
        <v>445</v>
      </c>
      <c r="K6727" t="s">
        <v>446</v>
      </c>
      <c r="M6727">
        <v>2641</v>
      </c>
    </row>
    <row r="6728" spans="1:14">
      <c r="A6728">
        <v>25661000</v>
      </c>
      <c r="B6728">
        <v>3012045</v>
      </c>
      <c r="C6728" t="s">
        <v>11824</v>
      </c>
      <c r="D6728" t="s">
        <v>441</v>
      </c>
      <c r="F6728">
        <v>0</v>
      </c>
      <c r="G6728">
        <v>0.5</v>
      </c>
      <c r="H6728" t="s">
        <v>8580</v>
      </c>
      <c r="I6728">
        <v>6</v>
      </c>
      <c r="J6728" t="s">
        <v>445</v>
      </c>
      <c r="K6728" t="s">
        <v>446</v>
      </c>
      <c r="M6728">
        <v>2313</v>
      </c>
    </row>
    <row r="6729" spans="1:14">
      <c r="A6729">
        <v>25663000</v>
      </c>
      <c r="B6729">
        <v>3008021</v>
      </c>
      <c r="C6729" t="s">
        <v>11825</v>
      </c>
      <c r="D6729" t="s">
        <v>441</v>
      </c>
      <c r="F6729">
        <v>0</v>
      </c>
      <c r="G6729">
        <v>0.5</v>
      </c>
      <c r="H6729" t="s">
        <v>8580</v>
      </c>
      <c r="I6729">
        <v>5</v>
      </c>
      <c r="J6729" t="s">
        <v>445</v>
      </c>
      <c r="K6729" t="s">
        <v>446</v>
      </c>
      <c r="M6729">
        <v>2390</v>
      </c>
    </row>
    <row r="6730" spans="1:14">
      <c r="A6730">
        <v>25666000</v>
      </c>
      <c r="B6730">
        <v>3012048</v>
      </c>
      <c r="C6730" t="s">
        <v>11826</v>
      </c>
      <c r="D6730" t="s">
        <v>441</v>
      </c>
      <c r="F6730">
        <v>0</v>
      </c>
      <c r="G6730">
        <v>0.51</v>
      </c>
      <c r="H6730" t="s">
        <v>8580</v>
      </c>
      <c r="I6730">
        <v>6</v>
      </c>
      <c r="J6730" t="s">
        <v>445</v>
      </c>
      <c r="K6730" t="s">
        <v>446</v>
      </c>
      <c r="M6730">
        <v>2390</v>
      </c>
    </row>
    <row r="6731" spans="1:14">
      <c r="A6731">
        <v>25670086</v>
      </c>
      <c r="B6731">
        <v>1101071</v>
      </c>
      <c r="C6731" t="s">
        <v>17495</v>
      </c>
      <c r="D6731" t="s">
        <v>441</v>
      </c>
      <c r="F6731">
        <v>0</v>
      </c>
      <c r="G6731">
        <v>0.3</v>
      </c>
      <c r="H6731" t="s">
        <v>8933</v>
      </c>
      <c r="I6731">
        <v>5</v>
      </c>
      <c r="J6731" t="s">
        <v>511</v>
      </c>
      <c r="M6731">
        <v>0</v>
      </c>
      <c r="N6731" t="s">
        <v>16300</v>
      </c>
    </row>
    <row r="6732" spans="1:14">
      <c r="A6732">
        <v>25670088</v>
      </c>
      <c r="B6732">
        <v>1100040</v>
      </c>
      <c r="C6732" t="s">
        <v>2985</v>
      </c>
      <c r="D6732" t="s">
        <v>441</v>
      </c>
      <c r="F6732">
        <v>0</v>
      </c>
      <c r="G6732">
        <v>0.3</v>
      </c>
      <c r="H6732" t="s">
        <v>8933</v>
      </c>
      <c r="I6732">
        <v>5</v>
      </c>
      <c r="J6732" t="s">
        <v>511</v>
      </c>
      <c r="M6732">
        <v>0</v>
      </c>
      <c r="N6732" t="s">
        <v>16300</v>
      </c>
    </row>
    <row r="6733" spans="1:14">
      <c r="A6733">
        <v>25680000</v>
      </c>
      <c r="B6733">
        <v>3008022</v>
      </c>
      <c r="C6733" t="s">
        <v>11827</v>
      </c>
      <c r="D6733" t="s">
        <v>441</v>
      </c>
      <c r="F6733">
        <v>0</v>
      </c>
      <c r="G6733">
        <v>0.01</v>
      </c>
      <c r="H6733" t="s">
        <v>8580</v>
      </c>
      <c r="I6733">
        <v>5</v>
      </c>
      <c r="J6733" t="s">
        <v>445</v>
      </c>
      <c r="M6733">
        <v>2143</v>
      </c>
      <c r="N6733" t="s">
        <v>16301</v>
      </c>
    </row>
    <row r="6734" spans="1:14">
      <c r="A6734">
        <v>25690000</v>
      </c>
      <c r="B6734">
        <v>3008023</v>
      </c>
      <c r="C6734" t="s">
        <v>11828</v>
      </c>
      <c r="D6734" t="s">
        <v>441</v>
      </c>
      <c r="F6734">
        <v>0</v>
      </c>
      <c r="H6734" t="s">
        <v>8580</v>
      </c>
      <c r="I6734">
        <v>5</v>
      </c>
      <c r="J6734" t="s">
        <v>445</v>
      </c>
      <c r="M6734">
        <v>2391</v>
      </c>
      <c r="N6734" t="s">
        <v>16291</v>
      </c>
    </row>
    <row r="6735" spans="1:14">
      <c r="A6735">
        <v>25690080</v>
      </c>
      <c r="B6735">
        <v>4014964</v>
      </c>
      <c r="C6735" t="s">
        <v>11829</v>
      </c>
      <c r="D6735" t="s">
        <v>441</v>
      </c>
      <c r="F6735">
        <v>0</v>
      </c>
      <c r="G6735">
        <v>0.16</v>
      </c>
      <c r="H6735" t="s">
        <v>8588</v>
      </c>
      <c r="I6735">
        <v>6</v>
      </c>
      <c r="J6735" t="s">
        <v>462</v>
      </c>
      <c r="M6735">
        <v>7112</v>
      </c>
      <c r="N6735" t="s">
        <v>16291</v>
      </c>
    </row>
    <row r="6736" spans="1:14">
      <c r="A6736">
        <v>25693000</v>
      </c>
      <c r="B6736">
        <v>3016316</v>
      </c>
      <c r="C6736" t="s">
        <v>11830</v>
      </c>
      <c r="D6736" t="s">
        <v>441</v>
      </c>
      <c r="F6736">
        <v>0</v>
      </c>
      <c r="G6736">
        <v>0.01</v>
      </c>
      <c r="H6736" t="s">
        <v>8580</v>
      </c>
      <c r="I6736">
        <v>5</v>
      </c>
      <c r="J6736" t="s">
        <v>445</v>
      </c>
      <c r="M6736">
        <v>2391</v>
      </c>
      <c r="N6736" t="s">
        <v>16291</v>
      </c>
    </row>
    <row r="6737" spans="1:14">
      <c r="A6737">
        <v>25693007</v>
      </c>
      <c r="B6737">
        <v>3025020</v>
      </c>
      <c r="C6737" t="s">
        <v>11831</v>
      </c>
      <c r="D6737" t="s">
        <v>441</v>
      </c>
      <c r="F6737">
        <v>0</v>
      </c>
      <c r="G6737">
        <v>0.08</v>
      </c>
      <c r="H6737" t="s">
        <v>8588</v>
      </c>
      <c r="I6737">
        <v>5</v>
      </c>
      <c r="J6737" t="s">
        <v>445</v>
      </c>
      <c r="M6737">
        <v>2391</v>
      </c>
      <c r="N6737" t="s">
        <v>16291</v>
      </c>
    </row>
    <row r="6738" spans="1:14">
      <c r="A6738">
        <v>25694000</v>
      </c>
      <c r="B6738">
        <v>3044632</v>
      </c>
      <c r="C6738" t="s">
        <v>15277</v>
      </c>
      <c r="D6738" t="s">
        <v>441</v>
      </c>
      <c r="F6738">
        <v>0</v>
      </c>
      <c r="G6738">
        <v>0.4</v>
      </c>
      <c r="H6738" t="s">
        <v>8549</v>
      </c>
      <c r="I6738">
        <v>5</v>
      </c>
      <c r="J6738" t="s">
        <v>445</v>
      </c>
      <c r="M6738">
        <v>2391</v>
      </c>
      <c r="N6738" t="s">
        <v>16291</v>
      </c>
    </row>
    <row r="6739" spans="1:14">
      <c r="A6739">
        <v>25694020</v>
      </c>
      <c r="B6739">
        <v>4029517</v>
      </c>
      <c r="C6739" t="s">
        <v>15278</v>
      </c>
      <c r="D6739" t="s">
        <v>441</v>
      </c>
      <c r="F6739">
        <v>0</v>
      </c>
      <c r="G6739">
        <v>1.3</v>
      </c>
      <c r="H6739" t="s">
        <v>8588</v>
      </c>
      <c r="I6739">
        <v>5</v>
      </c>
      <c r="J6739" t="s">
        <v>462</v>
      </c>
      <c r="M6739">
        <v>0</v>
      </c>
      <c r="N6739" t="s">
        <v>16291</v>
      </c>
    </row>
    <row r="6740" spans="1:14">
      <c r="A6740">
        <v>25694300</v>
      </c>
      <c r="B6740">
        <v>3044624</v>
      </c>
      <c r="C6740" t="s">
        <v>15279</v>
      </c>
      <c r="D6740" t="s">
        <v>441</v>
      </c>
      <c r="F6740">
        <v>0</v>
      </c>
      <c r="G6740">
        <v>0.4</v>
      </c>
      <c r="H6740" t="s">
        <v>8549</v>
      </c>
      <c r="I6740">
        <v>5</v>
      </c>
      <c r="J6740" t="s">
        <v>445</v>
      </c>
      <c r="M6740">
        <v>2391</v>
      </c>
      <c r="N6740" t="s">
        <v>16291</v>
      </c>
    </row>
    <row r="6741" spans="1:14">
      <c r="A6741">
        <v>25700000</v>
      </c>
      <c r="B6741">
        <v>3016026</v>
      </c>
      <c r="C6741" t="s">
        <v>11832</v>
      </c>
      <c r="D6741" t="s">
        <v>441</v>
      </c>
      <c r="F6741">
        <v>0</v>
      </c>
      <c r="H6741" t="s">
        <v>8624</v>
      </c>
      <c r="I6741">
        <v>5</v>
      </c>
      <c r="J6741" t="s">
        <v>445</v>
      </c>
      <c r="M6741">
        <v>2391</v>
      </c>
      <c r="N6741" t="s">
        <v>16291</v>
      </c>
    </row>
    <row r="6742" spans="1:14">
      <c r="A6742">
        <v>25700020</v>
      </c>
      <c r="B6742">
        <v>4004045</v>
      </c>
      <c r="C6742" t="s">
        <v>11833</v>
      </c>
      <c r="D6742" t="s">
        <v>441</v>
      </c>
      <c r="F6742">
        <v>0</v>
      </c>
      <c r="G6742">
        <v>0.26</v>
      </c>
      <c r="H6742" t="s">
        <v>8588</v>
      </c>
      <c r="I6742">
        <v>5</v>
      </c>
      <c r="J6742" t="s">
        <v>462</v>
      </c>
      <c r="K6742" t="s">
        <v>446</v>
      </c>
      <c r="M6742">
        <v>2641</v>
      </c>
    </row>
    <row r="6743" spans="1:14">
      <c r="A6743">
        <v>25700023</v>
      </c>
      <c r="B6743">
        <v>4004046</v>
      </c>
      <c r="C6743" t="s">
        <v>11834</v>
      </c>
      <c r="D6743" t="s">
        <v>441</v>
      </c>
      <c r="F6743">
        <v>0</v>
      </c>
      <c r="G6743">
        <v>0.65</v>
      </c>
      <c r="H6743" t="s">
        <v>8588</v>
      </c>
      <c r="I6743">
        <v>5</v>
      </c>
      <c r="J6743" t="s">
        <v>462</v>
      </c>
      <c r="K6743" t="s">
        <v>446</v>
      </c>
      <c r="M6743">
        <v>2612</v>
      </c>
    </row>
    <row r="6744" spans="1:14">
      <c r="A6744">
        <v>25700026</v>
      </c>
      <c r="B6744">
        <v>4016396</v>
      </c>
      <c r="C6744" t="s">
        <v>11835</v>
      </c>
      <c r="D6744" t="s">
        <v>442</v>
      </c>
      <c r="E6744" t="s">
        <v>441</v>
      </c>
      <c r="F6744">
        <v>10</v>
      </c>
      <c r="G6744">
        <v>5.14</v>
      </c>
      <c r="H6744" t="s">
        <v>8588</v>
      </c>
      <c r="I6744">
        <v>540</v>
      </c>
      <c r="J6744" t="s">
        <v>462</v>
      </c>
      <c r="K6744" t="s">
        <v>446</v>
      </c>
      <c r="M6744">
        <v>2501</v>
      </c>
    </row>
    <row r="6745" spans="1:14">
      <c r="A6745">
        <v>25700028</v>
      </c>
      <c r="B6745">
        <v>4007997</v>
      </c>
      <c r="C6745" t="s">
        <v>11836</v>
      </c>
      <c r="D6745" t="s">
        <v>441</v>
      </c>
      <c r="F6745">
        <v>0</v>
      </c>
      <c r="G6745">
        <v>0.59</v>
      </c>
      <c r="H6745" t="s">
        <v>8588</v>
      </c>
      <c r="I6745">
        <v>365</v>
      </c>
      <c r="J6745" t="s">
        <v>462</v>
      </c>
      <c r="K6745" t="s">
        <v>446</v>
      </c>
      <c r="M6745">
        <v>2501</v>
      </c>
    </row>
    <row r="6746" spans="1:14">
      <c r="A6746">
        <v>25700075</v>
      </c>
      <c r="B6746">
        <v>4004047</v>
      </c>
      <c r="C6746" t="s">
        <v>11837</v>
      </c>
      <c r="D6746" t="s">
        <v>441</v>
      </c>
      <c r="F6746">
        <v>0</v>
      </c>
      <c r="G6746">
        <v>0.11</v>
      </c>
      <c r="H6746" t="s">
        <v>8588</v>
      </c>
      <c r="I6746">
        <v>5</v>
      </c>
      <c r="J6746" t="s">
        <v>462</v>
      </c>
      <c r="K6746" t="s">
        <v>446</v>
      </c>
      <c r="L6746">
        <v>14901</v>
      </c>
      <c r="M6746">
        <v>2641</v>
      </c>
    </row>
    <row r="6747" spans="1:14">
      <c r="A6747">
        <v>25700526</v>
      </c>
      <c r="B6747">
        <v>3024836</v>
      </c>
      <c r="C6747" t="s">
        <v>11838</v>
      </c>
      <c r="D6747" t="s">
        <v>442</v>
      </c>
      <c r="E6747" t="s">
        <v>441</v>
      </c>
      <c r="F6747">
        <v>10</v>
      </c>
      <c r="G6747">
        <v>3.61</v>
      </c>
      <c r="H6747" t="s">
        <v>8549</v>
      </c>
      <c r="I6747">
        <v>540</v>
      </c>
      <c r="J6747" t="s">
        <v>445</v>
      </c>
      <c r="K6747" t="s">
        <v>446</v>
      </c>
      <c r="M6747">
        <v>2641</v>
      </c>
    </row>
    <row r="6748" spans="1:14">
      <c r="A6748">
        <v>25700528</v>
      </c>
      <c r="B6748">
        <v>3008026</v>
      </c>
      <c r="C6748" t="s">
        <v>11839</v>
      </c>
      <c r="D6748" t="s">
        <v>441</v>
      </c>
      <c r="F6748">
        <v>0</v>
      </c>
      <c r="G6748">
        <v>0.39</v>
      </c>
      <c r="H6748" t="s">
        <v>8580</v>
      </c>
      <c r="I6748">
        <v>5</v>
      </c>
      <c r="J6748" t="s">
        <v>445</v>
      </c>
      <c r="K6748" t="s">
        <v>446</v>
      </c>
      <c r="M6748">
        <v>2641</v>
      </c>
    </row>
    <row r="6749" spans="1:14">
      <c r="A6749">
        <v>25701000</v>
      </c>
      <c r="B6749">
        <v>3036055</v>
      </c>
      <c r="C6749" t="s">
        <v>11840</v>
      </c>
      <c r="D6749" t="s">
        <v>441</v>
      </c>
      <c r="F6749">
        <v>0</v>
      </c>
      <c r="G6749">
        <v>0.01</v>
      </c>
      <c r="H6749" t="s">
        <v>8549</v>
      </c>
      <c r="I6749">
        <v>5</v>
      </c>
      <c r="J6749" t="s">
        <v>445</v>
      </c>
      <c r="M6749">
        <v>2391</v>
      </c>
      <c r="N6749" t="s">
        <v>16291</v>
      </c>
    </row>
    <row r="6750" spans="1:14">
      <c r="A6750">
        <v>25701007</v>
      </c>
      <c r="B6750">
        <v>3044809</v>
      </c>
      <c r="C6750" t="s">
        <v>15505</v>
      </c>
      <c r="D6750" t="s">
        <v>441</v>
      </c>
      <c r="F6750">
        <v>0</v>
      </c>
      <c r="G6750">
        <v>0.79</v>
      </c>
      <c r="H6750" t="s">
        <v>8588</v>
      </c>
      <c r="I6750">
        <v>6</v>
      </c>
      <c r="J6750" t="s">
        <v>445</v>
      </c>
      <c r="M6750">
        <v>2391</v>
      </c>
      <c r="N6750" t="s">
        <v>16302</v>
      </c>
    </row>
    <row r="6751" spans="1:14">
      <c r="A6751">
        <v>25701026</v>
      </c>
      <c r="B6751">
        <v>4016395</v>
      </c>
      <c r="C6751" t="s">
        <v>11841</v>
      </c>
      <c r="D6751" t="s">
        <v>442</v>
      </c>
      <c r="E6751" t="s">
        <v>441</v>
      </c>
      <c r="F6751">
        <v>10</v>
      </c>
      <c r="G6751">
        <v>5.14</v>
      </c>
      <c r="H6751" t="s">
        <v>8588</v>
      </c>
      <c r="I6751">
        <v>540</v>
      </c>
      <c r="J6751" t="s">
        <v>462</v>
      </c>
      <c r="K6751" t="s">
        <v>446</v>
      </c>
      <c r="M6751">
        <v>2501</v>
      </c>
    </row>
    <row r="6752" spans="1:14">
      <c r="A6752">
        <v>25701526</v>
      </c>
      <c r="B6752">
        <v>3024835</v>
      </c>
      <c r="C6752" t="s">
        <v>11842</v>
      </c>
      <c r="D6752" t="s">
        <v>442</v>
      </c>
      <c r="E6752" t="s">
        <v>441</v>
      </c>
      <c r="F6752">
        <v>10</v>
      </c>
      <c r="G6752">
        <v>3.61</v>
      </c>
      <c r="H6752" t="s">
        <v>8549</v>
      </c>
      <c r="I6752">
        <v>540</v>
      </c>
      <c r="J6752" t="s">
        <v>445</v>
      </c>
      <c r="K6752" t="s">
        <v>446</v>
      </c>
      <c r="M6752">
        <v>2641</v>
      </c>
    </row>
    <row r="6753" spans="1:14">
      <c r="A6753">
        <v>25703000</v>
      </c>
      <c r="B6753">
        <v>3016303</v>
      </c>
      <c r="C6753" t="s">
        <v>11843</v>
      </c>
      <c r="D6753" t="s">
        <v>441</v>
      </c>
      <c r="F6753">
        <v>0</v>
      </c>
      <c r="G6753">
        <v>0.01</v>
      </c>
      <c r="H6753" t="s">
        <v>8580</v>
      </c>
      <c r="I6753">
        <v>5</v>
      </c>
      <c r="J6753" t="s">
        <v>445</v>
      </c>
      <c r="M6753">
        <v>2391</v>
      </c>
      <c r="N6753" t="s">
        <v>16302</v>
      </c>
    </row>
    <row r="6754" spans="1:14">
      <c r="A6754">
        <v>25703007</v>
      </c>
      <c r="B6754">
        <v>3025021</v>
      </c>
      <c r="C6754" t="s">
        <v>11844</v>
      </c>
      <c r="D6754" t="s">
        <v>441</v>
      </c>
      <c r="F6754">
        <v>0</v>
      </c>
      <c r="G6754">
        <v>0.08</v>
      </c>
      <c r="H6754" t="s">
        <v>8580</v>
      </c>
      <c r="I6754">
        <v>5</v>
      </c>
      <c r="J6754" t="s">
        <v>445</v>
      </c>
      <c r="M6754">
        <v>2391</v>
      </c>
      <c r="N6754" t="s">
        <v>16302</v>
      </c>
    </row>
    <row r="6755" spans="1:14">
      <c r="A6755">
        <v>25705000</v>
      </c>
      <c r="B6755">
        <v>3038623</v>
      </c>
      <c r="C6755" t="s">
        <v>11845</v>
      </c>
      <c r="D6755" t="s">
        <v>441</v>
      </c>
      <c r="F6755">
        <v>0</v>
      </c>
      <c r="G6755">
        <v>0.01</v>
      </c>
      <c r="H6755" t="s">
        <v>8549</v>
      </c>
      <c r="I6755">
        <v>6</v>
      </c>
      <c r="J6755" t="s">
        <v>445</v>
      </c>
      <c r="M6755">
        <v>2391</v>
      </c>
      <c r="N6755" t="s">
        <v>16291</v>
      </c>
    </row>
    <row r="6756" spans="1:14">
      <c r="A6756">
        <v>25710030</v>
      </c>
      <c r="B6756">
        <v>4009701</v>
      </c>
      <c r="C6756" t="s">
        <v>11846</v>
      </c>
      <c r="D6756" t="s">
        <v>441</v>
      </c>
      <c r="F6756">
        <v>0</v>
      </c>
      <c r="G6756">
        <v>2.2599999999999998</v>
      </c>
      <c r="H6756" t="s">
        <v>8588</v>
      </c>
      <c r="I6756">
        <v>11</v>
      </c>
      <c r="J6756" t="s">
        <v>462</v>
      </c>
      <c r="K6756" t="s">
        <v>446</v>
      </c>
      <c r="L6756">
        <v>2984160</v>
      </c>
      <c r="M6756">
        <v>2611</v>
      </c>
    </row>
    <row r="6757" spans="1:14">
      <c r="A6757">
        <v>25710031</v>
      </c>
      <c r="B6757">
        <v>4014266</v>
      </c>
      <c r="C6757" t="s">
        <v>11847</v>
      </c>
      <c r="D6757" t="s">
        <v>441</v>
      </c>
      <c r="F6757">
        <v>0</v>
      </c>
      <c r="G6757">
        <v>2.2000000000000002</v>
      </c>
      <c r="H6757" t="s">
        <v>8588</v>
      </c>
      <c r="I6757">
        <v>11</v>
      </c>
      <c r="J6757" t="s">
        <v>462</v>
      </c>
      <c r="K6757" t="s">
        <v>446</v>
      </c>
      <c r="M6757">
        <v>2611</v>
      </c>
    </row>
    <row r="6758" spans="1:14">
      <c r="A6758">
        <v>25710032</v>
      </c>
      <c r="B6758">
        <v>4015544</v>
      </c>
      <c r="C6758" t="s">
        <v>11848</v>
      </c>
      <c r="D6758" t="s">
        <v>441</v>
      </c>
      <c r="F6758">
        <v>0</v>
      </c>
      <c r="G6758">
        <v>2.84</v>
      </c>
      <c r="H6758" t="s">
        <v>8588</v>
      </c>
      <c r="I6758">
        <v>11</v>
      </c>
      <c r="J6758" t="s">
        <v>462</v>
      </c>
      <c r="K6758" t="s">
        <v>446</v>
      </c>
      <c r="M6758">
        <v>2611</v>
      </c>
    </row>
    <row r="6759" spans="1:14">
      <c r="A6759">
        <v>25720000</v>
      </c>
      <c r="B6759">
        <v>3012434</v>
      </c>
      <c r="C6759" t="s">
        <v>11849</v>
      </c>
      <c r="D6759" t="s">
        <v>441</v>
      </c>
      <c r="F6759">
        <v>0</v>
      </c>
      <c r="G6759">
        <v>0.92</v>
      </c>
      <c r="I6759">
        <v>5</v>
      </c>
      <c r="J6759" t="s">
        <v>445</v>
      </c>
      <c r="M6759">
        <v>2391</v>
      </c>
      <c r="N6759" t="s">
        <v>16292</v>
      </c>
    </row>
    <row r="6760" spans="1:14">
      <c r="A6760">
        <v>25720007</v>
      </c>
      <c r="B6760">
        <v>3025022</v>
      </c>
      <c r="C6760" t="s">
        <v>11850</v>
      </c>
      <c r="D6760" t="s">
        <v>441</v>
      </c>
      <c r="F6760">
        <v>0</v>
      </c>
      <c r="G6760">
        <v>1.1599999999999999</v>
      </c>
      <c r="H6760" t="s">
        <v>8584</v>
      </c>
      <c r="I6760">
        <v>5</v>
      </c>
      <c r="J6760" t="s">
        <v>445</v>
      </c>
      <c r="K6760" t="s">
        <v>446</v>
      </c>
      <c r="M6760">
        <v>3111</v>
      </c>
    </row>
    <row r="6761" spans="1:14">
      <c r="A6761">
        <v>25720030</v>
      </c>
      <c r="B6761">
        <v>4015457</v>
      </c>
      <c r="C6761" t="s">
        <v>11851</v>
      </c>
      <c r="D6761" t="s">
        <v>441</v>
      </c>
      <c r="F6761">
        <v>0</v>
      </c>
      <c r="G6761">
        <v>1.9</v>
      </c>
      <c r="H6761" t="s">
        <v>8588</v>
      </c>
      <c r="I6761">
        <v>10</v>
      </c>
      <c r="J6761" t="s">
        <v>462</v>
      </c>
      <c r="K6761" t="s">
        <v>446</v>
      </c>
      <c r="M6761">
        <v>2612</v>
      </c>
    </row>
    <row r="6762" spans="1:14">
      <c r="A6762">
        <v>25720075</v>
      </c>
      <c r="B6762">
        <v>3013550</v>
      </c>
      <c r="C6762" t="s">
        <v>11852</v>
      </c>
      <c r="D6762" t="s">
        <v>441</v>
      </c>
      <c r="F6762">
        <v>0</v>
      </c>
      <c r="G6762">
        <v>0.55000000000000004</v>
      </c>
      <c r="H6762" t="s">
        <v>8588</v>
      </c>
      <c r="I6762">
        <v>5</v>
      </c>
      <c r="J6762" t="s">
        <v>445</v>
      </c>
      <c r="K6762" t="s">
        <v>446</v>
      </c>
      <c r="M6762">
        <v>2641</v>
      </c>
    </row>
    <row r="6763" spans="1:14">
      <c r="A6763">
        <v>25723000</v>
      </c>
      <c r="B6763">
        <v>3012433</v>
      </c>
      <c r="C6763" t="s">
        <v>11853</v>
      </c>
      <c r="D6763" t="s">
        <v>441</v>
      </c>
      <c r="F6763">
        <v>0</v>
      </c>
      <c r="G6763">
        <v>0.91</v>
      </c>
      <c r="I6763">
        <v>5</v>
      </c>
      <c r="J6763" t="s">
        <v>445</v>
      </c>
      <c r="K6763" t="s">
        <v>446</v>
      </c>
      <c r="M6763">
        <v>2390</v>
      </c>
    </row>
    <row r="6764" spans="1:14">
      <c r="A6764">
        <v>25727000</v>
      </c>
      <c r="B6764">
        <v>3012492</v>
      </c>
      <c r="C6764" t="s">
        <v>11854</v>
      </c>
      <c r="D6764" t="s">
        <v>441</v>
      </c>
      <c r="F6764">
        <v>0</v>
      </c>
      <c r="G6764">
        <v>0.91</v>
      </c>
      <c r="I6764">
        <v>5</v>
      </c>
      <c r="J6764" t="s">
        <v>445</v>
      </c>
      <c r="K6764" t="s">
        <v>446</v>
      </c>
      <c r="M6764">
        <v>2312</v>
      </c>
    </row>
    <row r="6765" spans="1:14">
      <c r="A6765">
        <v>25728000</v>
      </c>
      <c r="B6765">
        <v>3013481</v>
      </c>
      <c r="C6765" t="s">
        <v>11855</v>
      </c>
      <c r="D6765" t="s">
        <v>441</v>
      </c>
      <c r="F6765">
        <v>0</v>
      </c>
      <c r="G6765">
        <v>0.69</v>
      </c>
      <c r="H6765" t="s">
        <v>8584</v>
      </c>
      <c r="I6765">
        <v>5</v>
      </c>
      <c r="J6765" t="s">
        <v>445</v>
      </c>
      <c r="K6765" t="s">
        <v>446</v>
      </c>
      <c r="M6765">
        <v>2390</v>
      </c>
    </row>
    <row r="6766" spans="1:14">
      <c r="A6766">
        <v>25730000</v>
      </c>
      <c r="B6766">
        <v>3008823</v>
      </c>
      <c r="C6766" t="s">
        <v>11856</v>
      </c>
      <c r="D6766" t="s">
        <v>441</v>
      </c>
      <c r="F6766">
        <v>0</v>
      </c>
      <c r="G6766">
        <v>0.68</v>
      </c>
      <c r="H6766" t="s">
        <v>8580</v>
      </c>
      <c r="I6766">
        <v>5</v>
      </c>
      <c r="J6766" t="s">
        <v>445</v>
      </c>
      <c r="K6766" t="s">
        <v>446</v>
      </c>
      <c r="M6766">
        <v>0</v>
      </c>
    </row>
    <row r="6767" spans="1:14">
      <c r="A6767">
        <v>25730027</v>
      </c>
      <c r="B6767">
        <v>4007590</v>
      </c>
      <c r="C6767" t="s">
        <v>11857</v>
      </c>
      <c r="D6767" t="s">
        <v>441</v>
      </c>
      <c r="F6767">
        <v>0</v>
      </c>
      <c r="G6767">
        <v>1.3</v>
      </c>
      <c r="H6767" t="s">
        <v>8588</v>
      </c>
      <c r="I6767">
        <v>365</v>
      </c>
      <c r="J6767" t="s">
        <v>462</v>
      </c>
      <c r="K6767" t="s">
        <v>446</v>
      </c>
      <c r="M6767">
        <v>2501</v>
      </c>
    </row>
    <row r="6768" spans="1:14">
      <c r="A6768">
        <v>25730028</v>
      </c>
      <c r="B6768">
        <v>4007998</v>
      </c>
      <c r="C6768" t="s">
        <v>11858</v>
      </c>
      <c r="D6768" t="s">
        <v>441</v>
      </c>
      <c r="F6768">
        <v>0</v>
      </c>
      <c r="G6768">
        <v>1.3</v>
      </c>
      <c r="H6768" t="s">
        <v>8588</v>
      </c>
      <c r="I6768">
        <v>365</v>
      </c>
      <c r="J6768" t="s">
        <v>462</v>
      </c>
      <c r="K6768" t="s">
        <v>446</v>
      </c>
      <c r="M6768">
        <v>2501</v>
      </c>
    </row>
    <row r="6769" spans="1:14">
      <c r="A6769">
        <v>25730527</v>
      </c>
      <c r="B6769">
        <v>3008027</v>
      </c>
      <c r="C6769" t="s">
        <v>11859</v>
      </c>
      <c r="D6769" t="s">
        <v>441</v>
      </c>
      <c r="F6769">
        <v>0</v>
      </c>
      <c r="G6769">
        <v>1.04</v>
      </c>
      <c r="H6769" t="s">
        <v>8580</v>
      </c>
      <c r="I6769">
        <v>5</v>
      </c>
      <c r="J6769" t="s">
        <v>445</v>
      </c>
      <c r="K6769" t="s">
        <v>446</v>
      </c>
      <c r="M6769">
        <v>2641</v>
      </c>
    </row>
    <row r="6770" spans="1:14">
      <c r="A6770">
        <v>25730528</v>
      </c>
      <c r="B6770">
        <v>3008028</v>
      </c>
      <c r="C6770" t="s">
        <v>11860</v>
      </c>
      <c r="D6770" t="s">
        <v>441</v>
      </c>
      <c r="F6770">
        <v>0</v>
      </c>
      <c r="G6770">
        <v>1.04</v>
      </c>
      <c r="H6770" t="s">
        <v>8580</v>
      </c>
      <c r="I6770">
        <v>5</v>
      </c>
      <c r="J6770" t="s">
        <v>445</v>
      </c>
      <c r="K6770" t="s">
        <v>446</v>
      </c>
      <c r="M6770">
        <v>2641</v>
      </c>
    </row>
    <row r="6771" spans="1:14">
      <c r="A6771">
        <v>25731000</v>
      </c>
      <c r="B6771">
        <v>3009071</v>
      </c>
      <c r="C6771" t="s">
        <v>11861</v>
      </c>
      <c r="D6771" t="s">
        <v>441</v>
      </c>
      <c r="F6771">
        <v>0</v>
      </c>
      <c r="G6771">
        <v>0.68</v>
      </c>
      <c r="I6771">
        <v>5</v>
      </c>
      <c r="J6771" t="s">
        <v>445</v>
      </c>
      <c r="K6771" t="s">
        <v>446</v>
      </c>
      <c r="M6771">
        <v>0</v>
      </c>
    </row>
    <row r="6772" spans="1:14">
      <c r="A6772">
        <v>25736000</v>
      </c>
      <c r="B6772">
        <v>3009072</v>
      </c>
      <c r="C6772" t="s">
        <v>11862</v>
      </c>
      <c r="D6772" t="s">
        <v>441</v>
      </c>
      <c r="F6772">
        <v>0</v>
      </c>
      <c r="G6772">
        <v>0.69</v>
      </c>
      <c r="I6772">
        <v>5</v>
      </c>
      <c r="J6772" t="s">
        <v>445</v>
      </c>
      <c r="K6772" t="s">
        <v>446</v>
      </c>
      <c r="M6772">
        <v>2390</v>
      </c>
    </row>
    <row r="6773" spans="1:14">
      <c r="A6773">
        <v>25740000</v>
      </c>
      <c r="B6773">
        <v>3008824</v>
      </c>
      <c r="C6773" t="s">
        <v>11765</v>
      </c>
      <c r="D6773" t="s">
        <v>441</v>
      </c>
      <c r="F6773">
        <v>0</v>
      </c>
      <c r="G6773">
        <v>0.01</v>
      </c>
      <c r="H6773" t="s">
        <v>8580</v>
      </c>
      <c r="I6773">
        <v>5</v>
      </c>
      <c r="J6773" t="s">
        <v>445</v>
      </c>
      <c r="M6773">
        <v>2391</v>
      </c>
      <c r="N6773" t="s">
        <v>16298</v>
      </c>
    </row>
    <row r="6774" spans="1:14">
      <c r="A6774">
        <v>25740007</v>
      </c>
      <c r="B6774">
        <v>3025023</v>
      </c>
      <c r="C6774" t="s">
        <v>11863</v>
      </c>
      <c r="D6774" t="s">
        <v>441</v>
      </c>
      <c r="F6774">
        <v>0</v>
      </c>
      <c r="G6774">
        <v>0.08</v>
      </c>
      <c r="H6774" t="s">
        <v>8935</v>
      </c>
      <c r="I6774">
        <v>5</v>
      </c>
      <c r="J6774" t="s">
        <v>445</v>
      </c>
      <c r="M6774">
        <v>2391</v>
      </c>
      <c r="N6774" t="s">
        <v>16298</v>
      </c>
    </row>
    <row r="6775" spans="1:14">
      <c r="A6775">
        <v>25740026</v>
      </c>
      <c r="B6775">
        <v>4016430</v>
      </c>
      <c r="C6775" t="s">
        <v>11864</v>
      </c>
      <c r="D6775" t="s">
        <v>442</v>
      </c>
      <c r="E6775" t="s">
        <v>441</v>
      </c>
      <c r="F6775">
        <v>10</v>
      </c>
      <c r="G6775">
        <v>11.92</v>
      </c>
      <c r="H6775" t="s">
        <v>8588</v>
      </c>
      <c r="I6775">
        <v>540</v>
      </c>
      <c r="J6775" t="s">
        <v>462</v>
      </c>
      <c r="M6775">
        <v>7111</v>
      </c>
      <c r="N6775" t="s">
        <v>16298</v>
      </c>
    </row>
    <row r="6776" spans="1:14">
      <c r="A6776">
        <v>25740027</v>
      </c>
      <c r="B6776">
        <v>4007802</v>
      </c>
      <c r="C6776" t="s">
        <v>11865</v>
      </c>
      <c r="D6776" t="s">
        <v>441</v>
      </c>
      <c r="F6776">
        <v>0</v>
      </c>
      <c r="G6776">
        <v>0.5</v>
      </c>
      <c r="H6776" t="s">
        <v>8588</v>
      </c>
      <c r="I6776">
        <v>365</v>
      </c>
      <c r="J6776" t="s">
        <v>462</v>
      </c>
      <c r="K6776" t="s">
        <v>446</v>
      </c>
      <c r="M6776">
        <v>2501</v>
      </c>
    </row>
    <row r="6777" spans="1:14">
      <c r="A6777">
        <v>25740080</v>
      </c>
      <c r="B6777">
        <v>4023633</v>
      </c>
      <c r="C6777" t="s">
        <v>11866</v>
      </c>
      <c r="D6777" t="s">
        <v>441</v>
      </c>
      <c r="F6777">
        <v>0</v>
      </c>
      <c r="G6777">
        <v>0.26</v>
      </c>
      <c r="H6777" t="s">
        <v>8588</v>
      </c>
      <c r="I6777">
        <v>5</v>
      </c>
      <c r="J6777" t="s">
        <v>462</v>
      </c>
      <c r="M6777">
        <v>7112</v>
      </c>
      <c r="N6777" t="s">
        <v>16298</v>
      </c>
    </row>
    <row r="6778" spans="1:14">
      <c r="A6778">
        <v>25740526</v>
      </c>
      <c r="B6778">
        <v>3025087</v>
      </c>
      <c r="C6778" t="s">
        <v>11867</v>
      </c>
      <c r="D6778" t="s">
        <v>442</v>
      </c>
      <c r="E6778" t="s">
        <v>441</v>
      </c>
      <c r="F6778">
        <v>10</v>
      </c>
      <c r="G6778">
        <v>6.29</v>
      </c>
      <c r="H6778" t="s">
        <v>8549</v>
      </c>
      <c r="I6778">
        <v>540</v>
      </c>
      <c r="J6778" t="s">
        <v>445</v>
      </c>
      <c r="M6778">
        <v>2502</v>
      </c>
      <c r="N6778" t="s">
        <v>16298</v>
      </c>
    </row>
    <row r="6779" spans="1:14">
      <c r="A6779">
        <v>25740527</v>
      </c>
      <c r="B6779">
        <v>3008972</v>
      </c>
      <c r="C6779" t="s">
        <v>11868</v>
      </c>
      <c r="D6779" t="s">
        <v>441</v>
      </c>
      <c r="F6779">
        <v>0</v>
      </c>
      <c r="G6779">
        <v>0.3</v>
      </c>
      <c r="H6779" t="s">
        <v>8549</v>
      </c>
      <c r="I6779">
        <v>5</v>
      </c>
      <c r="J6779" t="s">
        <v>445</v>
      </c>
      <c r="K6779" t="s">
        <v>446</v>
      </c>
      <c r="M6779">
        <v>2641</v>
      </c>
    </row>
    <row r="6780" spans="1:14">
      <c r="A6780">
        <v>25741000</v>
      </c>
      <c r="B6780">
        <v>3009073</v>
      </c>
      <c r="C6780" t="s">
        <v>11869</v>
      </c>
      <c r="D6780" t="s">
        <v>441</v>
      </c>
      <c r="F6780">
        <v>0</v>
      </c>
      <c r="G6780">
        <v>0.01</v>
      </c>
      <c r="I6780">
        <v>5</v>
      </c>
      <c r="J6780" t="s">
        <v>445</v>
      </c>
      <c r="M6780">
        <v>2391</v>
      </c>
      <c r="N6780" t="s">
        <v>16298</v>
      </c>
    </row>
    <row r="6781" spans="1:14">
      <c r="A6781">
        <v>25741026</v>
      </c>
      <c r="B6781">
        <v>4016379</v>
      </c>
      <c r="C6781" t="s">
        <v>11870</v>
      </c>
      <c r="D6781" t="s">
        <v>442</v>
      </c>
      <c r="E6781" t="s">
        <v>441</v>
      </c>
      <c r="F6781">
        <v>10</v>
      </c>
      <c r="G6781">
        <v>4.96</v>
      </c>
      <c r="H6781" t="s">
        <v>8588</v>
      </c>
      <c r="I6781">
        <v>540</v>
      </c>
      <c r="J6781" t="s">
        <v>462</v>
      </c>
      <c r="K6781" t="s">
        <v>446</v>
      </c>
      <c r="M6781">
        <v>2501</v>
      </c>
    </row>
    <row r="6782" spans="1:14">
      <c r="A6782">
        <v>25741526</v>
      </c>
      <c r="B6782">
        <v>3025085</v>
      </c>
      <c r="C6782" t="s">
        <v>11871</v>
      </c>
      <c r="D6782" t="s">
        <v>442</v>
      </c>
      <c r="E6782" t="s">
        <v>441</v>
      </c>
      <c r="F6782">
        <v>10</v>
      </c>
      <c r="G6782">
        <v>3.43</v>
      </c>
      <c r="H6782" t="s">
        <v>8549</v>
      </c>
      <c r="I6782">
        <v>540</v>
      </c>
      <c r="J6782" t="s">
        <v>445</v>
      </c>
      <c r="K6782" t="s">
        <v>446</v>
      </c>
      <c r="M6782">
        <v>2641</v>
      </c>
    </row>
    <row r="6783" spans="1:14">
      <c r="A6783">
        <v>25743000</v>
      </c>
      <c r="B6783">
        <v>3009149</v>
      </c>
      <c r="C6783" t="s">
        <v>11872</v>
      </c>
      <c r="D6783" t="s">
        <v>441</v>
      </c>
      <c r="F6783">
        <v>0</v>
      </c>
      <c r="G6783">
        <v>0.5</v>
      </c>
      <c r="I6783">
        <v>5</v>
      </c>
      <c r="J6783" t="s">
        <v>445</v>
      </c>
      <c r="K6783" t="s">
        <v>446</v>
      </c>
      <c r="M6783">
        <v>2390</v>
      </c>
    </row>
    <row r="6784" spans="1:14">
      <c r="A6784">
        <v>25746000</v>
      </c>
      <c r="B6784">
        <v>3009074</v>
      </c>
      <c r="C6784" t="s">
        <v>11873</v>
      </c>
      <c r="D6784" t="s">
        <v>441</v>
      </c>
      <c r="F6784">
        <v>0</v>
      </c>
      <c r="G6784">
        <v>0.83</v>
      </c>
      <c r="H6784" t="s">
        <v>8580</v>
      </c>
      <c r="I6784">
        <v>5</v>
      </c>
      <c r="J6784" t="s">
        <v>445</v>
      </c>
      <c r="K6784" t="s">
        <v>446</v>
      </c>
      <c r="M6784">
        <v>2390</v>
      </c>
    </row>
    <row r="6785" spans="1:14">
      <c r="A6785">
        <v>25750000</v>
      </c>
      <c r="B6785">
        <v>3008029</v>
      </c>
      <c r="C6785" t="s">
        <v>11874</v>
      </c>
      <c r="D6785" t="s">
        <v>441</v>
      </c>
      <c r="F6785">
        <v>0</v>
      </c>
      <c r="G6785">
        <v>0.01</v>
      </c>
      <c r="H6785" t="s">
        <v>8580</v>
      </c>
      <c r="I6785">
        <v>5</v>
      </c>
      <c r="J6785" t="s">
        <v>445</v>
      </c>
      <c r="M6785">
        <v>2391</v>
      </c>
      <c r="N6785" t="s">
        <v>16302</v>
      </c>
    </row>
    <row r="6786" spans="1:14">
      <c r="A6786">
        <v>25750007</v>
      </c>
      <c r="B6786">
        <v>3025024</v>
      </c>
      <c r="C6786" t="s">
        <v>11875</v>
      </c>
      <c r="D6786" t="s">
        <v>441</v>
      </c>
      <c r="F6786">
        <v>0</v>
      </c>
      <c r="G6786">
        <v>0.08</v>
      </c>
      <c r="H6786" t="s">
        <v>8935</v>
      </c>
      <c r="I6786">
        <v>5</v>
      </c>
      <c r="J6786" t="s">
        <v>445</v>
      </c>
      <c r="M6786">
        <v>2391</v>
      </c>
      <c r="N6786" t="s">
        <v>16302</v>
      </c>
    </row>
    <row r="6787" spans="1:14">
      <c r="A6787">
        <v>25750025</v>
      </c>
      <c r="B6787">
        <v>4019769</v>
      </c>
      <c r="C6787" t="s">
        <v>11876</v>
      </c>
      <c r="D6787" t="s">
        <v>442</v>
      </c>
      <c r="E6787" t="s">
        <v>441</v>
      </c>
      <c r="F6787">
        <v>10</v>
      </c>
      <c r="G6787">
        <v>9.68</v>
      </c>
      <c r="H6787" t="s">
        <v>8588</v>
      </c>
      <c r="I6787">
        <v>540</v>
      </c>
      <c r="J6787" t="s">
        <v>462</v>
      </c>
      <c r="M6787">
        <v>7111</v>
      </c>
      <c r="N6787" t="s">
        <v>16302</v>
      </c>
    </row>
    <row r="6788" spans="1:14">
      <c r="A6788">
        <v>25750026</v>
      </c>
      <c r="B6788">
        <v>4016426</v>
      </c>
      <c r="C6788" t="s">
        <v>11877</v>
      </c>
      <c r="D6788" t="s">
        <v>442</v>
      </c>
      <c r="E6788" t="s">
        <v>441</v>
      </c>
      <c r="F6788">
        <v>10</v>
      </c>
      <c r="G6788">
        <v>9.66</v>
      </c>
      <c r="H6788" t="s">
        <v>8588</v>
      </c>
      <c r="I6788">
        <v>540</v>
      </c>
      <c r="J6788" t="s">
        <v>462</v>
      </c>
      <c r="M6788">
        <v>7111</v>
      </c>
      <c r="N6788" t="s">
        <v>16302</v>
      </c>
    </row>
    <row r="6789" spans="1:14">
      <c r="A6789">
        <v>25750027</v>
      </c>
      <c r="B6789">
        <v>4008156</v>
      </c>
      <c r="C6789" t="s">
        <v>11878</v>
      </c>
      <c r="D6789" t="s">
        <v>441</v>
      </c>
      <c r="F6789">
        <v>0</v>
      </c>
      <c r="G6789">
        <v>0.56000000000000005</v>
      </c>
      <c r="H6789" t="s">
        <v>8588</v>
      </c>
      <c r="I6789">
        <v>540</v>
      </c>
      <c r="J6789" t="s">
        <v>462</v>
      </c>
      <c r="K6789" t="s">
        <v>446</v>
      </c>
      <c r="M6789">
        <v>2501</v>
      </c>
    </row>
    <row r="6790" spans="1:14">
      <c r="A6790">
        <v>25750028</v>
      </c>
      <c r="B6790">
        <v>4001851</v>
      </c>
      <c r="C6790" t="s">
        <v>11879</v>
      </c>
      <c r="D6790" t="s">
        <v>441</v>
      </c>
      <c r="F6790">
        <v>0</v>
      </c>
      <c r="G6790">
        <v>0.62</v>
      </c>
      <c r="H6790" t="s">
        <v>8588</v>
      </c>
      <c r="I6790">
        <v>365</v>
      </c>
      <c r="J6790" t="s">
        <v>462</v>
      </c>
      <c r="K6790" t="s">
        <v>446</v>
      </c>
      <c r="M6790">
        <v>2501</v>
      </c>
    </row>
    <row r="6791" spans="1:14">
      <c r="A6791">
        <v>25750087</v>
      </c>
      <c r="B6791">
        <v>4025968</v>
      </c>
      <c r="C6791" t="s">
        <v>11875</v>
      </c>
      <c r="D6791" t="s">
        <v>441</v>
      </c>
      <c r="F6791">
        <v>0</v>
      </c>
      <c r="G6791">
        <v>0.09</v>
      </c>
      <c r="H6791" t="s">
        <v>8588</v>
      </c>
      <c r="I6791">
        <v>6</v>
      </c>
      <c r="J6791" t="s">
        <v>462</v>
      </c>
      <c r="M6791">
        <v>7112</v>
      </c>
      <c r="N6791" t="s">
        <v>16302</v>
      </c>
    </row>
    <row r="6792" spans="1:14">
      <c r="A6792">
        <v>25750090</v>
      </c>
      <c r="B6792">
        <v>4016646</v>
      </c>
      <c r="C6792" t="s">
        <v>11880</v>
      </c>
      <c r="D6792" t="s">
        <v>441</v>
      </c>
      <c r="F6792">
        <v>0</v>
      </c>
      <c r="G6792">
        <v>0.17</v>
      </c>
      <c r="H6792" t="s">
        <v>8588</v>
      </c>
      <c r="I6792">
        <v>5</v>
      </c>
      <c r="J6792" t="s">
        <v>462</v>
      </c>
      <c r="M6792">
        <v>7112</v>
      </c>
      <c r="N6792" t="s">
        <v>16302</v>
      </c>
    </row>
    <row r="6793" spans="1:14">
      <c r="A6793">
        <v>25750525</v>
      </c>
      <c r="B6793">
        <v>3029686</v>
      </c>
      <c r="C6793" t="s">
        <v>11881</v>
      </c>
      <c r="D6793" t="s">
        <v>442</v>
      </c>
      <c r="E6793" t="s">
        <v>441</v>
      </c>
      <c r="F6793">
        <v>10</v>
      </c>
      <c r="G6793">
        <v>4.45</v>
      </c>
      <c r="H6793" t="s">
        <v>8588</v>
      </c>
      <c r="I6793">
        <v>540</v>
      </c>
      <c r="J6793" t="s">
        <v>445</v>
      </c>
      <c r="M6793">
        <v>2502</v>
      </c>
      <c r="N6793" t="s">
        <v>16302</v>
      </c>
    </row>
    <row r="6794" spans="1:14">
      <c r="A6794">
        <v>25750526</v>
      </c>
      <c r="B6794">
        <v>3024834</v>
      </c>
      <c r="C6794" t="s">
        <v>11882</v>
      </c>
      <c r="D6794" t="s">
        <v>442</v>
      </c>
      <c r="E6794" t="s">
        <v>441</v>
      </c>
      <c r="F6794">
        <v>10</v>
      </c>
      <c r="G6794">
        <v>4.4400000000000004</v>
      </c>
      <c r="H6794" t="s">
        <v>8549</v>
      </c>
      <c r="I6794">
        <v>540</v>
      </c>
      <c r="J6794" t="s">
        <v>445</v>
      </c>
      <c r="M6794">
        <v>2502</v>
      </c>
      <c r="N6794" t="s">
        <v>16302</v>
      </c>
    </row>
    <row r="6795" spans="1:14">
      <c r="A6795">
        <v>25750527</v>
      </c>
      <c r="B6795">
        <v>3008919</v>
      </c>
      <c r="C6795" t="s">
        <v>11883</v>
      </c>
      <c r="D6795" t="s">
        <v>441</v>
      </c>
      <c r="F6795">
        <v>0</v>
      </c>
      <c r="G6795">
        <v>0.37</v>
      </c>
      <c r="H6795" t="s">
        <v>8549</v>
      </c>
      <c r="I6795">
        <v>540</v>
      </c>
      <c r="J6795" t="s">
        <v>445</v>
      </c>
      <c r="K6795" t="s">
        <v>446</v>
      </c>
      <c r="M6795">
        <v>2641</v>
      </c>
    </row>
    <row r="6796" spans="1:14">
      <c r="A6796">
        <v>25750528</v>
      </c>
      <c r="B6796">
        <v>3008030</v>
      </c>
      <c r="C6796" t="s">
        <v>11884</v>
      </c>
      <c r="D6796" t="s">
        <v>441</v>
      </c>
      <c r="F6796">
        <v>0</v>
      </c>
      <c r="G6796">
        <v>0.4</v>
      </c>
      <c r="H6796" t="s">
        <v>8580</v>
      </c>
      <c r="I6796">
        <v>5</v>
      </c>
      <c r="J6796" t="s">
        <v>445</v>
      </c>
      <c r="K6796" t="s">
        <v>446</v>
      </c>
      <c r="M6796">
        <v>2641</v>
      </c>
    </row>
    <row r="6797" spans="1:14">
      <c r="A6797">
        <v>25751000</v>
      </c>
      <c r="B6797">
        <v>3009075</v>
      </c>
      <c r="C6797" t="s">
        <v>11885</v>
      </c>
      <c r="D6797" t="s">
        <v>441</v>
      </c>
      <c r="F6797">
        <v>0</v>
      </c>
      <c r="G6797">
        <v>0.01</v>
      </c>
      <c r="H6797" t="s">
        <v>8580</v>
      </c>
      <c r="I6797">
        <v>5</v>
      </c>
      <c r="J6797" t="s">
        <v>445</v>
      </c>
      <c r="M6797">
        <v>2391</v>
      </c>
      <c r="N6797" t="s">
        <v>16302</v>
      </c>
    </row>
    <row r="6798" spans="1:14">
      <c r="A6798">
        <v>25751026</v>
      </c>
      <c r="B6798">
        <v>4016394</v>
      </c>
      <c r="C6798" t="s">
        <v>11886</v>
      </c>
      <c r="D6798" t="s">
        <v>442</v>
      </c>
      <c r="E6798" t="s">
        <v>441</v>
      </c>
      <c r="F6798">
        <v>10</v>
      </c>
      <c r="G6798">
        <v>9.66</v>
      </c>
      <c r="H6798" t="s">
        <v>8588</v>
      </c>
      <c r="I6798">
        <v>540</v>
      </c>
      <c r="J6798" t="s">
        <v>462</v>
      </c>
      <c r="M6798">
        <v>7111</v>
      </c>
      <c r="N6798" t="s">
        <v>16302</v>
      </c>
    </row>
    <row r="6799" spans="1:14">
      <c r="A6799">
        <v>25751526</v>
      </c>
      <c r="B6799">
        <v>3024833</v>
      </c>
      <c r="C6799" t="s">
        <v>11887</v>
      </c>
      <c r="D6799" t="s">
        <v>442</v>
      </c>
      <c r="E6799" t="s">
        <v>441</v>
      </c>
      <c r="F6799">
        <v>10</v>
      </c>
      <c r="G6799">
        <v>4.4400000000000004</v>
      </c>
      <c r="H6799" t="s">
        <v>8549</v>
      </c>
      <c r="I6799">
        <v>540</v>
      </c>
      <c r="J6799" t="s">
        <v>445</v>
      </c>
      <c r="M6799">
        <v>2502</v>
      </c>
      <c r="N6799" t="s">
        <v>16302</v>
      </c>
    </row>
    <row r="6800" spans="1:14">
      <c r="A6800">
        <v>25753000</v>
      </c>
      <c r="B6800">
        <v>3016317</v>
      </c>
      <c r="C6800" t="s">
        <v>11888</v>
      </c>
      <c r="D6800" t="s">
        <v>441</v>
      </c>
      <c r="F6800">
        <v>0</v>
      </c>
      <c r="G6800">
        <v>0.01</v>
      </c>
      <c r="H6800" t="s">
        <v>8580</v>
      </c>
      <c r="I6800">
        <v>5</v>
      </c>
      <c r="J6800" t="s">
        <v>445</v>
      </c>
      <c r="M6800">
        <v>2391</v>
      </c>
      <c r="N6800" t="s">
        <v>16302</v>
      </c>
    </row>
    <row r="6801" spans="1:14">
      <c r="A6801">
        <v>25755000</v>
      </c>
      <c r="B6801">
        <v>3035263</v>
      </c>
      <c r="C6801" t="s">
        <v>11889</v>
      </c>
      <c r="D6801" t="s">
        <v>441</v>
      </c>
      <c r="F6801">
        <v>0</v>
      </c>
      <c r="G6801">
        <v>0.01</v>
      </c>
      <c r="H6801" t="s">
        <v>8549</v>
      </c>
      <c r="I6801">
        <v>5</v>
      </c>
      <c r="J6801" t="s">
        <v>445</v>
      </c>
      <c r="M6801">
        <v>2391</v>
      </c>
      <c r="N6801" t="s">
        <v>16302</v>
      </c>
    </row>
    <row r="6802" spans="1:14">
      <c r="A6802">
        <v>25755026</v>
      </c>
      <c r="B6802">
        <v>4023864</v>
      </c>
      <c r="C6802" t="s">
        <v>11890</v>
      </c>
      <c r="D6802" t="s">
        <v>442</v>
      </c>
      <c r="E6802" t="s">
        <v>441</v>
      </c>
      <c r="F6802">
        <v>10</v>
      </c>
      <c r="G6802">
        <v>9.81</v>
      </c>
      <c r="H6802" t="s">
        <v>8588</v>
      </c>
      <c r="I6802">
        <v>540</v>
      </c>
      <c r="J6802" t="s">
        <v>462</v>
      </c>
      <c r="M6802">
        <v>7111</v>
      </c>
      <c r="N6802" t="s">
        <v>16302</v>
      </c>
    </row>
    <row r="6803" spans="1:14">
      <c r="A6803">
        <v>25755526</v>
      </c>
      <c r="B6803">
        <v>3035273</v>
      </c>
      <c r="C6803" t="s">
        <v>11891</v>
      </c>
      <c r="D6803" t="s">
        <v>442</v>
      </c>
      <c r="E6803" t="s">
        <v>441</v>
      </c>
      <c r="F6803">
        <v>10</v>
      </c>
      <c r="G6803">
        <v>4.54</v>
      </c>
      <c r="H6803" t="s">
        <v>8549</v>
      </c>
      <c r="I6803">
        <v>540</v>
      </c>
      <c r="J6803" t="s">
        <v>445</v>
      </c>
      <c r="M6803">
        <v>2502</v>
      </c>
      <c r="N6803" t="s">
        <v>16302</v>
      </c>
    </row>
    <row r="6804" spans="1:14">
      <c r="A6804">
        <v>25756000</v>
      </c>
      <c r="B6804">
        <v>3009076</v>
      </c>
      <c r="C6804" t="s">
        <v>11892</v>
      </c>
      <c r="D6804" t="s">
        <v>441</v>
      </c>
      <c r="F6804">
        <v>0</v>
      </c>
      <c r="G6804">
        <v>0.35</v>
      </c>
      <c r="H6804" t="s">
        <v>8580</v>
      </c>
      <c r="I6804">
        <v>5</v>
      </c>
      <c r="J6804" t="s">
        <v>445</v>
      </c>
      <c r="K6804" t="s">
        <v>446</v>
      </c>
      <c r="M6804">
        <v>2390</v>
      </c>
    </row>
    <row r="6805" spans="1:14">
      <c r="A6805">
        <v>25760000</v>
      </c>
      <c r="B6805">
        <v>3008032</v>
      </c>
      <c r="C6805" t="s">
        <v>11893</v>
      </c>
      <c r="D6805" t="s">
        <v>441</v>
      </c>
      <c r="F6805">
        <v>0</v>
      </c>
      <c r="G6805">
        <v>0.01</v>
      </c>
      <c r="H6805" t="s">
        <v>8580</v>
      </c>
      <c r="I6805">
        <v>5</v>
      </c>
      <c r="J6805" t="s">
        <v>445</v>
      </c>
      <c r="M6805">
        <v>2391</v>
      </c>
      <c r="N6805" t="s">
        <v>16302</v>
      </c>
    </row>
    <row r="6806" spans="1:14">
      <c r="A6806">
        <v>25760026</v>
      </c>
      <c r="B6806">
        <v>4016398</v>
      </c>
      <c r="C6806" t="s">
        <v>11894</v>
      </c>
      <c r="D6806" t="s">
        <v>442</v>
      </c>
      <c r="E6806" t="s">
        <v>441</v>
      </c>
      <c r="F6806">
        <v>10</v>
      </c>
      <c r="G6806">
        <v>9.66</v>
      </c>
      <c r="H6806" t="s">
        <v>8588</v>
      </c>
      <c r="I6806">
        <v>540</v>
      </c>
      <c r="J6806" t="s">
        <v>462</v>
      </c>
      <c r="M6806">
        <v>7111</v>
      </c>
      <c r="N6806" t="s">
        <v>16302</v>
      </c>
    </row>
    <row r="6807" spans="1:14">
      <c r="A6807">
        <v>25760027</v>
      </c>
      <c r="B6807">
        <v>4007591</v>
      </c>
      <c r="C6807" t="s">
        <v>11895</v>
      </c>
      <c r="D6807" t="s">
        <v>441</v>
      </c>
      <c r="F6807">
        <v>0</v>
      </c>
      <c r="G6807">
        <v>0.57999999999999996</v>
      </c>
      <c r="H6807" t="s">
        <v>8588</v>
      </c>
      <c r="I6807">
        <v>540</v>
      </c>
      <c r="J6807" t="s">
        <v>462</v>
      </c>
      <c r="K6807" t="s">
        <v>446</v>
      </c>
      <c r="M6807">
        <v>2501</v>
      </c>
    </row>
    <row r="6808" spans="1:14">
      <c r="A6808">
        <v>25760526</v>
      </c>
      <c r="B6808">
        <v>3024678</v>
      </c>
      <c r="C6808" t="s">
        <v>11896</v>
      </c>
      <c r="D6808" t="s">
        <v>442</v>
      </c>
      <c r="E6808" t="s">
        <v>441</v>
      </c>
      <c r="F6808">
        <v>10</v>
      </c>
      <c r="G6808">
        <v>4.4400000000000004</v>
      </c>
      <c r="H6808" t="s">
        <v>8549</v>
      </c>
      <c r="I6808">
        <v>540</v>
      </c>
      <c r="J6808" t="s">
        <v>445</v>
      </c>
      <c r="M6808">
        <v>2502</v>
      </c>
      <c r="N6808" t="s">
        <v>16302</v>
      </c>
    </row>
    <row r="6809" spans="1:14">
      <c r="A6809">
        <v>25760527</v>
      </c>
      <c r="B6809">
        <v>3008033</v>
      </c>
      <c r="C6809" t="s">
        <v>11897</v>
      </c>
      <c r="D6809" t="s">
        <v>441</v>
      </c>
      <c r="F6809">
        <v>0</v>
      </c>
      <c r="G6809">
        <v>0.4</v>
      </c>
      <c r="H6809" t="s">
        <v>8580</v>
      </c>
      <c r="I6809">
        <v>540</v>
      </c>
      <c r="J6809" t="s">
        <v>445</v>
      </c>
      <c r="K6809" t="s">
        <v>446</v>
      </c>
      <c r="M6809">
        <v>2641</v>
      </c>
    </row>
    <row r="6810" spans="1:14">
      <c r="A6810">
        <v>25761000</v>
      </c>
      <c r="B6810">
        <v>3009077</v>
      </c>
      <c r="C6810" t="s">
        <v>11898</v>
      </c>
      <c r="D6810" t="s">
        <v>441</v>
      </c>
      <c r="F6810">
        <v>0</v>
      </c>
      <c r="G6810">
        <v>0.02</v>
      </c>
      <c r="H6810" t="s">
        <v>8580</v>
      </c>
      <c r="I6810">
        <v>5</v>
      </c>
      <c r="J6810" t="s">
        <v>445</v>
      </c>
      <c r="M6810">
        <v>2391</v>
      </c>
      <c r="N6810" t="s">
        <v>16302</v>
      </c>
    </row>
    <row r="6811" spans="1:14">
      <c r="A6811">
        <v>25761026</v>
      </c>
      <c r="B6811">
        <v>4016397</v>
      </c>
      <c r="C6811" t="s">
        <v>11899</v>
      </c>
      <c r="D6811" t="s">
        <v>442</v>
      </c>
      <c r="E6811" t="s">
        <v>441</v>
      </c>
      <c r="F6811">
        <v>10</v>
      </c>
      <c r="G6811">
        <v>5.25</v>
      </c>
      <c r="H6811" t="s">
        <v>8588</v>
      </c>
      <c r="I6811">
        <v>540</v>
      </c>
      <c r="J6811" t="s">
        <v>462</v>
      </c>
      <c r="K6811" t="s">
        <v>446</v>
      </c>
      <c r="M6811">
        <v>2501</v>
      </c>
    </row>
    <row r="6812" spans="1:14">
      <c r="A6812">
        <v>25761526</v>
      </c>
      <c r="B6812">
        <v>3024679</v>
      </c>
      <c r="C6812" t="s">
        <v>11900</v>
      </c>
      <c r="D6812" t="s">
        <v>442</v>
      </c>
      <c r="E6812" t="s">
        <v>441</v>
      </c>
      <c r="F6812">
        <v>10</v>
      </c>
      <c r="G6812">
        <v>3.72</v>
      </c>
      <c r="H6812" t="s">
        <v>8549</v>
      </c>
      <c r="I6812">
        <v>365</v>
      </c>
      <c r="J6812" t="s">
        <v>445</v>
      </c>
      <c r="K6812" t="s">
        <v>446</v>
      </c>
      <c r="M6812">
        <v>2641</v>
      </c>
    </row>
    <row r="6813" spans="1:14">
      <c r="A6813">
        <v>25763000</v>
      </c>
      <c r="B6813">
        <v>3008034</v>
      </c>
      <c r="C6813" t="s">
        <v>11901</v>
      </c>
      <c r="D6813" t="s">
        <v>441</v>
      </c>
      <c r="F6813">
        <v>0</v>
      </c>
      <c r="G6813">
        <v>0.05</v>
      </c>
      <c r="H6813" t="s">
        <v>8580</v>
      </c>
      <c r="I6813">
        <v>5</v>
      </c>
      <c r="J6813" t="s">
        <v>445</v>
      </c>
      <c r="K6813" t="s">
        <v>446</v>
      </c>
      <c r="M6813">
        <v>2390</v>
      </c>
    </row>
    <row r="6814" spans="1:14">
      <c r="A6814">
        <v>25766000</v>
      </c>
      <c r="B6814">
        <v>3009078</v>
      </c>
      <c r="C6814" t="s">
        <v>11902</v>
      </c>
      <c r="D6814" t="s">
        <v>441</v>
      </c>
      <c r="F6814">
        <v>0</v>
      </c>
      <c r="G6814">
        <v>0.25</v>
      </c>
      <c r="H6814" t="s">
        <v>8580</v>
      </c>
      <c r="I6814">
        <v>5</v>
      </c>
      <c r="J6814" t="s">
        <v>445</v>
      </c>
      <c r="K6814" t="s">
        <v>446</v>
      </c>
      <c r="M6814">
        <v>2390</v>
      </c>
    </row>
    <row r="6815" spans="1:14">
      <c r="A6815">
        <v>25770000</v>
      </c>
      <c r="B6815">
        <v>3015305</v>
      </c>
      <c r="C6815" t="s">
        <v>11903</v>
      </c>
      <c r="D6815" t="s">
        <v>441</v>
      </c>
      <c r="F6815">
        <v>0</v>
      </c>
      <c r="H6815" t="s">
        <v>8580</v>
      </c>
      <c r="I6815">
        <v>5</v>
      </c>
      <c r="J6815" t="s">
        <v>445</v>
      </c>
      <c r="M6815">
        <v>2391</v>
      </c>
      <c r="N6815" t="s">
        <v>16303</v>
      </c>
    </row>
    <row r="6816" spans="1:14">
      <c r="A6816">
        <v>25770020</v>
      </c>
      <c r="B6816">
        <v>4016162</v>
      </c>
      <c r="C6816" t="s">
        <v>11904</v>
      </c>
      <c r="D6816" t="s">
        <v>441</v>
      </c>
      <c r="F6816">
        <v>0</v>
      </c>
      <c r="G6816">
        <v>0.97</v>
      </c>
      <c r="H6816" t="s">
        <v>8588</v>
      </c>
      <c r="I6816">
        <v>6</v>
      </c>
      <c r="J6816" t="s">
        <v>462</v>
      </c>
      <c r="M6816">
        <v>7112</v>
      </c>
      <c r="N6816" t="s">
        <v>16303</v>
      </c>
    </row>
    <row r="6817" spans="1:14">
      <c r="A6817">
        <v>25770024</v>
      </c>
      <c r="B6817">
        <v>4019777</v>
      </c>
      <c r="C6817" t="s">
        <v>11905</v>
      </c>
      <c r="D6817" t="s">
        <v>442</v>
      </c>
      <c r="E6817" t="s">
        <v>441</v>
      </c>
      <c r="F6817">
        <v>10</v>
      </c>
      <c r="G6817">
        <v>28.81</v>
      </c>
      <c r="H6817" t="s">
        <v>8588</v>
      </c>
      <c r="I6817">
        <v>540</v>
      </c>
      <c r="J6817" t="s">
        <v>462</v>
      </c>
      <c r="M6817">
        <v>7111</v>
      </c>
      <c r="N6817" t="s">
        <v>16303</v>
      </c>
    </row>
    <row r="6818" spans="1:14">
      <c r="A6818">
        <v>25770025</v>
      </c>
      <c r="B6818">
        <v>4016049</v>
      </c>
      <c r="C6818" t="s">
        <v>11906</v>
      </c>
      <c r="D6818" t="s">
        <v>441</v>
      </c>
      <c r="F6818">
        <v>0</v>
      </c>
      <c r="G6818">
        <v>0.51</v>
      </c>
      <c r="H6818" t="s">
        <v>8588</v>
      </c>
      <c r="I6818">
        <v>540</v>
      </c>
      <c r="J6818" t="s">
        <v>462</v>
      </c>
      <c r="K6818" t="s">
        <v>446</v>
      </c>
      <c r="M6818">
        <v>2501</v>
      </c>
    </row>
    <row r="6819" spans="1:14">
      <c r="A6819">
        <v>25770026</v>
      </c>
      <c r="B6819">
        <v>4016377</v>
      </c>
      <c r="C6819" t="s">
        <v>11907</v>
      </c>
      <c r="D6819" t="s">
        <v>442</v>
      </c>
      <c r="E6819" t="s">
        <v>441</v>
      </c>
      <c r="F6819">
        <v>10</v>
      </c>
      <c r="G6819">
        <v>14.93</v>
      </c>
      <c r="H6819" t="s">
        <v>8588</v>
      </c>
      <c r="I6819">
        <v>540</v>
      </c>
      <c r="J6819" t="s">
        <v>462</v>
      </c>
      <c r="M6819">
        <v>7111</v>
      </c>
      <c r="N6819" t="s">
        <v>16303</v>
      </c>
    </row>
    <row r="6820" spans="1:14">
      <c r="A6820">
        <v>25770030</v>
      </c>
      <c r="B6820">
        <v>4023550</v>
      </c>
      <c r="C6820" t="s">
        <v>11908</v>
      </c>
      <c r="D6820" t="s">
        <v>441</v>
      </c>
      <c r="F6820">
        <v>0</v>
      </c>
      <c r="G6820">
        <v>1.22</v>
      </c>
      <c r="H6820" t="s">
        <v>8588</v>
      </c>
      <c r="I6820">
        <v>9</v>
      </c>
      <c r="J6820" t="s">
        <v>462</v>
      </c>
      <c r="M6820">
        <v>7112</v>
      </c>
      <c r="N6820" t="s">
        <v>16303</v>
      </c>
    </row>
    <row r="6821" spans="1:14">
      <c r="A6821">
        <v>25770075</v>
      </c>
      <c r="B6821">
        <v>3039588</v>
      </c>
      <c r="C6821" t="s">
        <v>11909</v>
      </c>
      <c r="D6821" t="s">
        <v>441</v>
      </c>
      <c r="F6821">
        <v>0</v>
      </c>
      <c r="G6821">
        <v>1.02</v>
      </c>
      <c r="H6821" t="s">
        <v>8588</v>
      </c>
      <c r="I6821">
        <v>5</v>
      </c>
      <c r="J6821" t="s">
        <v>445</v>
      </c>
      <c r="M6821">
        <v>7112</v>
      </c>
      <c r="N6821" t="s">
        <v>16303</v>
      </c>
    </row>
    <row r="6822" spans="1:14">
      <c r="A6822">
        <v>25770080</v>
      </c>
      <c r="B6822">
        <v>4018886</v>
      </c>
      <c r="C6822" t="s">
        <v>11910</v>
      </c>
      <c r="D6822" t="s">
        <v>441</v>
      </c>
      <c r="F6822">
        <v>0</v>
      </c>
      <c r="G6822">
        <v>0.11</v>
      </c>
      <c r="H6822" t="s">
        <v>8588</v>
      </c>
      <c r="I6822">
        <v>5</v>
      </c>
      <c r="J6822" t="s">
        <v>462</v>
      </c>
      <c r="K6822" t="s">
        <v>446</v>
      </c>
      <c r="M6822">
        <v>2641</v>
      </c>
    </row>
    <row r="6823" spans="1:14">
      <c r="A6823">
        <v>25770100</v>
      </c>
      <c r="B6823">
        <v>3033650</v>
      </c>
      <c r="C6823" t="s">
        <v>14469</v>
      </c>
      <c r="D6823" t="s">
        <v>441</v>
      </c>
      <c r="F6823">
        <v>0</v>
      </c>
      <c r="G6823">
        <v>1.78</v>
      </c>
      <c r="H6823" t="s">
        <v>8588</v>
      </c>
      <c r="I6823">
        <v>6</v>
      </c>
      <c r="J6823" t="s">
        <v>445</v>
      </c>
      <c r="M6823">
        <v>0</v>
      </c>
      <c r="N6823" t="s">
        <v>16303</v>
      </c>
    </row>
    <row r="6824" spans="1:14">
      <c r="A6824">
        <v>25770524</v>
      </c>
      <c r="B6824">
        <v>3029715</v>
      </c>
      <c r="C6824" t="s">
        <v>11911</v>
      </c>
      <c r="D6824" t="s">
        <v>442</v>
      </c>
      <c r="E6824" t="s">
        <v>441</v>
      </c>
      <c r="F6824">
        <v>10</v>
      </c>
      <c r="G6824">
        <v>12.37</v>
      </c>
      <c r="H6824" t="s">
        <v>8549</v>
      </c>
      <c r="I6824">
        <v>540</v>
      </c>
      <c r="J6824" t="s">
        <v>445</v>
      </c>
      <c r="M6824">
        <v>2502</v>
      </c>
      <c r="N6824" t="s">
        <v>16303</v>
      </c>
    </row>
    <row r="6825" spans="1:14">
      <c r="A6825">
        <v>25770525</v>
      </c>
      <c r="B6825">
        <v>3024360</v>
      </c>
      <c r="C6825" t="s">
        <v>11912</v>
      </c>
      <c r="D6825" t="s">
        <v>441</v>
      </c>
      <c r="F6825">
        <v>0</v>
      </c>
      <c r="G6825">
        <v>0.33</v>
      </c>
      <c r="H6825" t="s">
        <v>8588</v>
      </c>
      <c r="I6825">
        <v>540</v>
      </c>
      <c r="J6825" t="s">
        <v>445</v>
      </c>
      <c r="K6825" t="s">
        <v>446</v>
      </c>
      <c r="M6825">
        <v>2641</v>
      </c>
    </row>
    <row r="6826" spans="1:14">
      <c r="A6826">
        <v>25770526</v>
      </c>
      <c r="B6826">
        <v>3025074</v>
      </c>
      <c r="C6826" t="s">
        <v>11913</v>
      </c>
      <c r="D6826" t="s">
        <v>442</v>
      </c>
      <c r="E6826" t="s">
        <v>441</v>
      </c>
      <c r="F6826">
        <v>10</v>
      </c>
      <c r="G6826">
        <v>12.29</v>
      </c>
      <c r="H6826" t="s">
        <v>8549</v>
      </c>
      <c r="I6826">
        <v>540</v>
      </c>
      <c r="J6826" t="s">
        <v>445</v>
      </c>
      <c r="M6826">
        <v>2502</v>
      </c>
      <c r="N6826" t="s">
        <v>16303</v>
      </c>
    </row>
    <row r="6827" spans="1:14">
      <c r="A6827">
        <v>25770626</v>
      </c>
      <c r="B6827">
        <v>3029469</v>
      </c>
      <c r="C6827" t="s">
        <v>11914</v>
      </c>
      <c r="D6827" t="s">
        <v>441</v>
      </c>
      <c r="F6827">
        <v>0</v>
      </c>
      <c r="G6827">
        <v>0.78</v>
      </c>
      <c r="H6827" t="s">
        <v>8549</v>
      </c>
      <c r="I6827">
        <v>4</v>
      </c>
      <c r="J6827" t="s">
        <v>445</v>
      </c>
      <c r="K6827" t="s">
        <v>446</v>
      </c>
      <c r="M6827">
        <v>2511</v>
      </c>
    </row>
    <row r="6828" spans="1:14">
      <c r="A6828">
        <v>25770926</v>
      </c>
      <c r="B6828">
        <v>3029498</v>
      </c>
      <c r="C6828" t="s">
        <v>11915</v>
      </c>
      <c r="D6828" t="s">
        <v>441</v>
      </c>
      <c r="F6828">
        <v>0</v>
      </c>
      <c r="G6828">
        <v>0.73</v>
      </c>
      <c r="H6828" t="s">
        <v>8580</v>
      </c>
      <c r="I6828">
        <v>4</v>
      </c>
      <c r="J6828" t="s">
        <v>445</v>
      </c>
      <c r="K6828" t="s">
        <v>446</v>
      </c>
      <c r="M6828">
        <v>6666</v>
      </c>
    </row>
    <row r="6829" spans="1:14">
      <c r="A6829">
        <v>25771000</v>
      </c>
      <c r="B6829">
        <v>3017896</v>
      </c>
      <c r="C6829" t="s">
        <v>11916</v>
      </c>
      <c r="D6829" t="s">
        <v>441</v>
      </c>
      <c r="F6829">
        <v>0</v>
      </c>
      <c r="H6829" t="s">
        <v>8580</v>
      </c>
      <c r="I6829">
        <v>6</v>
      </c>
      <c r="J6829" t="s">
        <v>445</v>
      </c>
      <c r="M6829">
        <v>2391</v>
      </c>
      <c r="N6829" t="s">
        <v>16303</v>
      </c>
    </row>
    <row r="6830" spans="1:14">
      <c r="A6830">
        <v>25771026</v>
      </c>
      <c r="B6830">
        <v>4016378</v>
      </c>
      <c r="C6830" t="s">
        <v>11917</v>
      </c>
      <c r="D6830" t="s">
        <v>442</v>
      </c>
      <c r="E6830" t="s">
        <v>441</v>
      </c>
      <c r="F6830">
        <v>10</v>
      </c>
      <c r="G6830">
        <v>28.66</v>
      </c>
      <c r="H6830" t="s">
        <v>8588</v>
      </c>
      <c r="I6830">
        <v>540</v>
      </c>
      <c r="J6830" t="s">
        <v>462</v>
      </c>
      <c r="M6830">
        <v>7111</v>
      </c>
      <c r="N6830" t="s">
        <v>16303</v>
      </c>
    </row>
    <row r="6831" spans="1:14">
      <c r="A6831">
        <v>25771526</v>
      </c>
      <c r="B6831">
        <v>3024459</v>
      </c>
      <c r="C6831" t="s">
        <v>11918</v>
      </c>
      <c r="D6831" t="s">
        <v>442</v>
      </c>
      <c r="E6831" t="s">
        <v>441</v>
      </c>
      <c r="F6831">
        <v>10</v>
      </c>
      <c r="G6831">
        <v>12.27</v>
      </c>
      <c r="H6831" t="s">
        <v>8549</v>
      </c>
      <c r="I6831">
        <v>5</v>
      </c>
      <c r="J6831" t="s">
        <v>445</v>
      </c>
      <c r="M6831">
        <v>2502</v>
      </c>
      <c r="N6831" t="s">
        <v>16303</v>
      </c>
    </row>
    <row r="6832" spans="1:14">
      <c r="A6832">
        <v>25773000</v>
      </c>
      <c r="B6832">
        <v>3018001</v>
      </c>
      <c r="C6832" t="s">
        <v>11919</v>
      </c>
      <c r="D6832" t="s">
        <v>441</v>
      </c>
      <c r="F6832">
        <v>0</v>
      </c>
      <c r="G6832">
        <v>0.6</v>
      </c>
      <c r="H6832" t="s">
        <v>8580</v>
      </c>
      <c r="I6832">
        <v>5</v>
      </c>
      <c r="J6832" t="s">
        <v>445</v>
      </c>
      <c r="M6832">
        <v>2391</v>
      </c>
      <c r="N6832" t="s">
        <v>16303</v>
      </c>
    </row>
    <row r="6833" spans="1:14">
      <c r="A6833">
        <v>25773007</v>
      </c>
      <c r="B6833">
        <v>3025025</v>
      </c>
      <c r="C6833" t="s">
        <v>11920</v>
      </c>
      <c r="D6833" t="s">
        <v>441</v>
      </c>
      <c r="F6833">
        <v>0</v>
      </c>
      <c r="G6833">
        <v>0.67</v>
      </c>
      <c r="H6833" t="s">
        <v>8588</v>
      </c>
      <c r="I6833">
        <v>5</v>
      </c>
      <c r="J6833" t="s">
        <v>445</v>
      </c>
      <c r="M6833">
        <v>2391</v>
      </c>
      <c r="N6833" t="s">
        <v>16303</v>
      </c>
    </row>
    <row r="6834" spans="1:14">
      <c r="A6834">
        <v>25775000</v>
      </c>
      <c r="B6834">
        <v>3035254</v>
      </c>
      <c r="C6834" t="s">
        <v>11921</v>
      </c>
      <c r="D6834" t="s">
        <v>441</v>
      </c>
      <c r="F6834">
        <v>0</v>
      </c>
      <c r="G6834">
        <v>0.6</v>
      </c>
      <c r="H6834" t="s">
        <v>8549</v>
      </c>
      <c r="I6834">
        <v>5</v>
      </c>
      <c r="J6834" t="s">
        <v>445</v>
      </c>
      <c r="M6834">
        <v>2391</v>
      </c>
      <c r="N6834" t="s">
        <v>16303</v>
      </c>
    </row>
    <row r="6835" spans="1:14">
      <c r="A6835">
        <v>25775026</v>
      </c>
      <c r="B6835">
        <v>4023892</v>
      </c>
      <c r="C6835" t="s">
        <v>11922</v>
      </c>
      <c r="D6835" t="s">
        <v>442</v>
      </c>
      <c r="E6835" t="s">
        <v>441</v>
      </c>
      <c r="F6835">
        <v>10</v>
      </c>
      <c r="G6835">
        <v>14.9</v>
      </c>
      <c r="H6835" t="s">
        <v>8588</v>
      </c>
      <c r="I6835">
        <v>540</v>
      </c>
      <c r="J6835" t="s">
        <v>462</v>
      </c>
      <c r="M6835">
        <v>7111</v>
      </c>
      <c r="N6835" t="s">
        <v>16303</v>
      </c>
    </row>
    <row r="6836" spans="1:14">
      <c r="A6836">
        <v>25775526</v>
      </c>
      <c r="B6836">
        <v>3035255</v>
      </c>
      <c r="C6836" t="s">
        <v>11923</v>
      </c>
      <c r="D6836" t="s">
        <v>442</v>
      </c>
      <c r="E6836" t="s">
        <v>441</v>
      </c>
      <c r="F6836">
        <v>10</v>
      </c>
      <c r="G6836">
        <v>12.27</v>
      </c>
      <c r="H6836" t="s">
        <v>8549</v>
      </c>
      <c r="I6836">
        <v>540</v>
      </c>
      <c r="J6836" t="s">
        <v>445</v>
      </c>
      <c r="M6836">
        <v>2502</v>
      </c>
      <c r="N6836" t="s">
        <v>16303</v>
      </c>
    </row>
    <row r="6837" spans="1:14">
      <c r="A6837">
        <v>25776000</v>
      </c>
      <c r="B6837">
        <v>3017941</v>
      </c>
      <c r="C6837" t="s">
        <v>11924</v>
      </c>
      <c r="D6837" t="s">
        <v>441</v>
      </c>
      <c r="F6837">
        <v>0</v>
      </c>
      <c r="G6837">
        <v>0.6</v>
      </c>
      <c r="H6837" t="s">
        <v>8580</v>
      </c>
      <c r="I6837">
        <v>5</v>
      </c>
      <c r="J6837" t="s">
        <v>445</v>
      </c>
      <c r="M6837">
        <v>2391</v>
      </c>
      <c r="N6837" t="s">
        <v>16303</v>
      </c>
    </row>
    <row r="6838" spans="1:14">
      <c r="A6838">
        <v>25776007</v>
      </c>
      <c r="B6838">
        <v>3025026</v>
      </c>
      <c r="C6838" t="s">
        <v>11925</v>
      </c>
      <c r="D6838" t="s">
        <v>441</v>
      </c>
      <c r="F6838">
        <v>0</v>
      </c>
      <c r="G6838">
        <v>0.05</v>
      </c>
      <c r="H6838" t="s">
        <v>8935</v>
      </c>
      <c r="I6838">
        <v>5</v>
      </c>
      <c r="J6838" t="s">
        <v>445</v>
      </c>
      <c r="K6838" t="s">
        <v>446</v>
      </c>
      <c r="M6838">
        <v>3111</v>
      </c>
    </row>
    <row r="6839" spans="1:14">
      <c r="A6839">
        <v>25780000</v>
      </c>
      <c r="B6839">
        <v>3006462</v>
      </c>
      <c r="C6839" t="s">
        <v>11926</v>
      </c>
      <c r="D6839" t="s">
        <v>441</v>
      </c>
      <c r="F6839">
        <v>0</v>
      </c>
      <c r="G6839">
        <v>0.05</v>
      </c>
      <c r="H6839" t="s">
        <v>8584</v>
      </c>
      <c r="I6839">
        <v>5</v>
      </c>
      <c r="J6839" t="s">
        <v>445</v>
      </c>
      <c r="K6839" t="s">
        <v>446</v>
      </c>
      <c r="M6839">
        <v>0</v>
      </c>
    </row>
    <row r="6840" spans="1:14">
      <c r="A6840">
        <v>25780028</v>
      </c>
      <c r="B6840">
        <v>4001852</v>
      </c>
      <c r="C6840" t="s">
        <v>11927</v>
      </c>
      <c r="D6840" t="s">
        <v>441</v>
      </c>
      <c r="F6840">
        <v>0</v>
      </c>
      <c r="G6840">
        <v>0.65</v>
      </c>
      <c r="H6840" t="s">
        <v>8588</v>
      </c>
      <c r="I6840">
        <v>365</v>
      </c>
      <c r="J6840" t="s">
        <v>462</v>
      </c>
      <c r="K6840" t="s">
        <v>446</v>
      </c>
      <c r="M6840">
        <v>2501</v>
      </c>
    </row>
    <row r="6841" spans="1:14">
      <c r="A6841">
        <v>25780528</v>
      </c>
      <c r="B6841">
        <v>3008036</v>
      </c>
      <c r="C6841" t="s">
        <v>11928</v>
      </c>
      <c r="D6841" t="s">
        <v>441</v>
      </c>
      <c r="F6841">
        <v>0</v>
      </c>
      <c r="G6841">
        <v>0.38</v>
      </c>
      <c r="H6841" t="s">
        <v>8580</v>
      </c>
      <c r="I6841">
        <v>5</v>
      </c>
      <c r="J6841" t="s">
        <v>445</v>
      </c>
      <c r="K6841" t="s">
        <v>446</v>
      </c>
      <c r="M6841">
        <v>2641</v>
      </c>
    </row>
    <row r="6842" spans="1:14">
      <c r="A6842">
        <v>25783000</v>
      </c>
      <c r="B6842">
        <v>3008037</v>
      </c>
      <c r="C6842" t="s">
        <v>11929</v>
      </c>
      <c r="D6842" t="s">
        <v>441</v>
      </c>
      <c r="F6842">
        <v>0</v>
      </c>
      <c r="G6842">
        <v>0.06</v>
      </c>
      <c r="H6842" t="s">
        <v>8580</v>
      </c>
      <c r="I6842">
        <v>5</v>
      </c>
      <c r="J6842" t="s">
        <v>445</v>
      </c>
      <c r="K6842" t="s">
        <v>446</v>
      </c>
      <c r="M6842">
        <v>2390</v>
      </c>
    </row>
    <row r="6843" spans="1:14">
      <c r="A6843">
        <v>25790000</v>
      </c>
      <c r="B6843">
        <v>3016029</v>
      </c>
      <c r="C6843" t="s">
        <v>2986</v>
      </c>
      <c r="D6843" t="s">
        <v>441</v>
      </c>
      <c r="F6843">
        <v>0</v>
      </c>
      <c r="G6843">
        <v>0</v>
      </c>
      <c r="H6843" t="s">
        <v>8580</v>
      </c>
      <c r="I6843">
        <v>5</v>
      </c>
      <c r="J6843" t="s">
        <v>445</v>
      </c>
      <c r="M6843">
        <v>2391</v>
      </c>
      <c r="N6843" t="s">
        <v>16304</v>
      </c>
    </row>
    <row r="6844" spans="1:14">
      <c r="A6844">
        <v>25790007</v>
      </c>
      <c r="B6844">
        <v>3025027</v>
      </c>
      <c r="C6844" t="s">
        <v>14470</v>
      </c>
      <c r="D6844" t="s">
        <v>441</v>
      </c>
      <c r="F6844">
        <v>0</v>
      </c>
      <c r="G6844">
        <v>1.9</v>
      </c>
      <c r="H6844" t="s">
        <v>8935</v>
      </c>
      <c r="I6844">
        <v>5</v>
      </c>
      <c r="J6844" t="s">
        <v>445</v>
      </c>
      <c r="M6844">
        <v>2391</v>
      </c>
      <c r="N6844" t="s">
        <v>16304</v>
      </c>
    </row>
    <row r="6845" spans="1:14">
      <c r="A6845">
        <v>25790020</v>
      </c>
      <c r="B6845">
        <v>4004048</v>
      </c>
      <c r="C6845" t="s">
        <v>11930</v>
      </c>
      <c r="D6845" t="s">
        <v>441</v>
      </c>
      <c r="F6845">
        <v>0</v>
      </c>
      <c r="G6845">
        <v>0.21</v>
      </c>
      <c r="H6845" t="s">
        <v>8588</v>
      </c>
      <c r="I6845">
        <v>5</v>
      </c>
      <c r="J6845" t="s">
        <v>462</v>
      </c>
      <c r="K6845" t="s">
        <v>446</v>
      </c>
      <c r="M6845">
        <v>2641</v>
      </c>
    </row>
    <row r="6846" spans="1:14">
      <c r="A6846">
        <v>25790028</v>
      </c>
      <c r="B6846">
        <v>4021327</v>
      </c>
      <c r="C6846" t="s">
        <v>2987</v>
      </c>
      <c r="D6846" t="s">
        <v>442</v>
      </c>
      <c r="E6846" t="s">
        <v>441</v>
      </c>
      <c r="F6846">
        <v>10</v>
      </c>
      <c r="G6846">
        <v>9.8699999999999992</v>
      </c>
      <c r="H6846" t="s">
        <v>8588</v>
      </c>
      <c r="I6846">
        <v>540</v>
      </c>
      <c r="J6846" t="s">
        <v>462</v>
      </c>
      <c r="M6846">
        <v>7111</v>
      </c>
      <c r="N6846" t="s">
        <v>16304</v>
      </c>
    </row>
    <row r="6847" spans="1:14">
      <c r="A6847">
        <v>25790075</v>
      </c>
      <c r="B6847">
        <v>3036556</v>
      </c>
      <c r="C6847" t="s">
        <v>2988</v>
      </c>
      <c r="D6847" t="s">
        <v>441</v>
      </c>
      <c r="F6847">
        <v>0</v>
      </c>
      <c r="G6847">
        <v>0.15</v>
      </c>
      <c r="H6847" t="s">
        <v>8549</v>
      </c>
      <c r="I6847">
        <v>6</v>
      </c>
      <c r="J6847" t="s">
        <v>445</v>
      </c>
      <c r="M6847">
        <v>7112</v>
      </c>
      <c r="N6847" t="s">
        <v>16304</v>
      </c>
    </row>
    <row r="6848" spans="1:14">
      <c r="A6848">
        <v>25790528</v>
      </c>
      <c r="B6848">
        <v>3032018</v>
      </c>
      <c r="C6848" t="s">
        <v>2989</v>
      </c>
      <c r="D6848" t="s">
        <v>442</v>
      </c>
      <c r="E6848" t="s">
        <v>441</v>
      </c>
      <c r="F6848">
        <v>10</v>
      </c>
      <c r="G6848">
        <v>4.58</v>
      </c>
      <c r="H6848" t="s">
        <v>8549</v>
      </c>
      <c r="I6848">
        <v>540</v>
      </c>
      <c r="J6848" t="s">
        <v>445</v>
      </c>
      <c r="M6848">
        <v>2502</v>
      </c>
      <c r="N6848" t="s">
        <v>16304</v>
      </c>
    </row>
    <row r="6849" spans="1:14">
      <c r="A6849">
        <v>25791000</v>
      </c>
      <c r="B6849">
        <v>3035665</v>
      </c>
      <c r="C6849" t="s">
        <v>2990</v>
      </c>
      <c r="D6849" t="s">
        <v>441</v>
      </c>
      <c r="F6849">
        <v>0</v>
      </c>
      <c r="G6849">
        <v>0.01</v>
      </c>
      <c r="H6849" t="s">
        <v>8549</v>
      </c>
      <c r="I6849">
        <v>5</v>
      </c>
      <c r="J6849" t="s">
        <v>445</v>
      </c>
      <c r="M6849">
        <v>2391</v>
      </c>
      <c r="N6849" t="s">
        <v>16304</v>
      </c>
    </row>
    <row r="6850" spans="1:14">
      <c r="A6850">
        <v>25793000</v>
      </c>
      <c r="B6850">
        <v>3015336</v>
      </c>
      <c r="C6850" t="s">
        <v>11931</v>
      </c>
      <c r="D6850" t="s">
        <v>441</v>
      </c>
      <c r="F6850">
        <v>0</v>
      </c>
      <c r="G6850">
        <v>2.21</v>
      </c>
      <c r="H6850" t="s">
        <v>8580</v>
      </c>
      <c r="I6850">
        <v>5</v>
      </c>
      <c r="J6850" t="s">
        <v>445</v>
      </c>
      <c r="K6850" t="s">
        <v>446</v>
      </c>
      <c r="M6850">
        <v>2390</v>
      </c>
    </row>
    <row r="6851" spans="1:14">
      <c r="A6851">
        <v>25800000</v>
      </c>
      <c r="B6851">
        <v>3016041</v>
      </c>
      <c r="C6851" t="s">
        <v>2991</v>
      </c>
      <c r="D6851" t="s">
        <v>441</v>
      </c>
      <c r="F6851">
        <v>0</v>
      </c>
      <c r="G6851">
        <v>0.01</v>
      </c>
      <c r="H6851" t="s">
        <v>8580</v>
      </c>
      <c r="I6851">
        <v>5</v>
      </c>
      <c r="J6851" t="s">
        <v>445</v>
      </c>
      <c r="M6851">
        <v>2391</v>
      </c>
      <c r="N6851" t="s">
        <v>16297</v>
      </c>
    </row>
    <row r="6852" spans="1:14">
      <c r="A6852">
        <v>25810000</v>
      </c>
      <c r="B6852">
        <v>3008038</v>
      </c>
      <c r="C6852" t="s">
        <v>2992</v>
      </c>
      <c r="D6852" t="s">
        <v>441</v>
      </c>
      <c r="F6852">
        <v>0</v>
      </c>
      <c r="G6852">
        <v>10.32</v>
      </c>
      <c r="H6852" t="s">
        <v>8588</v>
      </c>
      <c r="I6852">
        <v>5</v>
      </c>
      <c r="J6852" t="s">
        <v>445</v>
      </c>
      <c r="M6852">
        <v>2391</v>
      </c>
      <c r="N6852" t="s">
        <v>15988</v>
      </c>
    </row>
    <row r="6853" spans="1:14">
      <c r="A6853">
        <v>25810007</v>
      </c>
      <c r="B6853">
        <v>3025028</v>
      </c>
      <c r="C6853" t="s">
        <v>11932</v>
      </c>
      <c r="D6853" t="s">
        <v>441</v>
      </c>
      <c r="F6853">
        <v>0</v>
      </c>
      <c r="G6853">
        <v>11.88</v>
      </c>
      <c r="H6853" t="s">
        <v>8935</v>
      </c>
      <c r="I6853">
        <v>5</v>
      </c>
      <c r="J6853" t="s">
        <v>445</v>
      </c>
      <c r="K6853" t="s">
        <v>446</v>
      </c>
      <c r="M6853">
        <v>3111</v>
      </c>
      <c r="N6853" t="s">
        <v>15988</v>
      </c>
    </row>
    <row r="6854" spans="1:14">
      <c r="A6854">
        <v>25810030</v>
      </c>
      <c r="B6854">
        <v>4029076</v>
      </c>
      <c r="C6854" t="s">
        <v>14471</v>
      </c>
      <c r="D6854" t="s">
        <v>441</v>
      </c>
      <c r="F6854">
        <v>0</v>
      </c>
      <c r="G6854">
        <v>15.15</v>
      </c>
      <c r="H6854" t="s">
        <v>8588</v>
      </c>
      <c r="I6854">
        <v>10</v>
      </c>
      <c r="J6854" t="s">
        <v>462</v>
      </c>
      <c r="M6854">
        <v>7112</v>
      </c>
      <c r="N6854" t="s">
        <v>15988</v>
      </c>
    </row>
    <row r="6855" spans="1:14">
      <c r="A6855">
        <v>25810032</v>
      </c>
      <c r="B6855">
        <v>4029309</v>
      </c>
      <c r="C6855" t="s">
        <v>14472</v>
      </c>
      <c r="D6855" t="s">
        <v>441</v>
      </c>
      <c r="F6855">
        <v>0</v>
      </c>
      <c r="G6855">
        <v>15.74</v>
      </c>
      <c r="H6855" t="s">
        <v>8588</v>
      </c>
      <c r="I6855">
        <v>10</v>
      </c>
      <c r="J6855" t="s">
        <v>462</v>
      </c>
      <c r="M6855">
        <v>7112</v>
      </c>
      <c r="N6855" t="s">
        <v>15988</v>
      </c>
    </row>
    <row r="6856" spans="1:14">
      <c r="A6856">
        <v>25810900</v>
      </c>
      <c r="B6856">
        <v>3020351</v>
      </c>
      <c r="C6856" t="s">
        <v>2993</v>
      </c>
      <c r="D6856" t="s">
        <v>441</v>
      </c>
      <c r="F6856">
        <v>0</v>
      </c>
      <c r="G6856">
        <v>0</v>
      </c>
      <c r="H6856" t="s">
        <v>8580</v>
      </c>
      <c r="I6856">
        <v>5</v>
      </c>
      <c r="J6856" t="s">
        <v>445</v>
      </c>
      <c r="M6856">
        <v>6666</v>
      </c>
      <c r="N6856" t="s">
        <v>15988</v>
      </c>
    </row>
    <row r="6857" spans="1:14">
      <c r="A6857">
        <v>25810907</v>
      </c>
      <c r="B6857">
        <v>3025288</v>
      </c>
      <c r="C6857" t="s">
        <v>11933</v>
      </c>
      <c r="D6857" t="s">
        <v>441</v>
      </c>
      <c r="F6857">
        <v>0</v>
      </c>
      <c r="G6857">
        <v>0</v>
      </c>
      <c r="H6857" t="s">
        <v>8584</v>
      </c>
      <c r="I6857">
        <v>5</v>
      </c>
      <c r="J6857" t="s">
        <v>445</v>
      </c>
      <c r="K6857" t="s">
        <v>446</v>
      </c>
      <c r="M6857">
        <v>6666</v>
      </c>
      <c r="N6857" t="s">
        <v>15988</v>
      </c>
    </row>
    <row r="6858" spans="1:14">
      <c r="A6858">
        <v>25811000</v>
      </c>
      <c r="B6858">
        <v>3017414</v>
      </c>
      <c r="C6858" t="s">
        <v>2994</v>
      </c>
      <c r="D6858" t="s">
        <v>441</v>
      </c>
      <c r="F6858">
        <v>0</v>
      </c>
      <c r="G6858">
        <v>10.32</v>
      </c>
      <c r="H6858" t="s">
        <v>8588</v>
      </c>
      <c r="I6858">
        <v>5</v>
      </c>
      <c r="J6858" t="s">
        <v>445</v>
      </c>
      <c r="M6858">
        <v>2391</v>
      </c>
      <c r="N6858" t="s">
        <v>15988</v>
      </c>
    </row>
    <row r="6859" spans="1:14">
      <c r="A6859">
        <v>25811007</v>
      </c>
      <c r="B6859">
        <v>3025029</v>
      </c>
      <c r="C6859" t="s">
        <v>11934</v>
      </c>
      <c r="D6859" t="s">
        <v>441</v>
      </c>
      <c r="F6859">
        <v>0</v>
      </c>
      <c r="G6859">
        <v>12.15</v>
      </c>
      <c r="H6859" t="s">
        <v>8935</v>
      </c>
      <c r="I6859">
        <v>5</v>
      </c>
      <c r="J6859" t="s">
        <v>445</v>
      </c>
      <c r="K6859" t="s">
        <v>446</v>
      </c>
      <c r="M6859">
        <v>3111</v>
      </c>
      <c r="N6859" t="s">
        <v>15988</v>
      </c>
    </row>
    <row r="6860" spans="1:14">
      <c r="A6860">
        <v>25811900</v>
      </c>
      <c r="B6860">
        <v>3020352</v>
      </c>
      <c r="C6860" t="s">
        <v>2995</v>
      </c>
      <c r="D6860" t="s">
        <v>441</v>
      </c>
      <c r="F6860">
        <v>0</v>
      </c>
      <c r="H6860" t="s">
        <v>8584</v>
      </c>
      <c r="I6860">
        <v>5</v>
      </c>
      <c r="J6860" t="s">
        <v>445</v>
      </c>
      <c r="M6860">
        <v>6666</v>
      </c>
      <c r="N6860" t="s">
        <v>15988</v>
      </c>
    </row>
    <row r="6861" spans="1:14">
      <c r="A6861">
        <v>25814000</v>
      </c>
      <c r="B6861">
        <v>3044314</v>
      </c>
      <c r="C6861" t="s">
        <v>14473</v>
      </c>
      <c r="D6861" t="s">
        <v>441</v>
      </c>
      <c r="F6861">
        <v>0</v>
      </c>
      <c r="G6861">
        <v>15.03</v>
      </c>
      <c r="H6861" t="s">
        <v>8588</v>
      </c>
      <c r="I6861">
        <v>5</v>
      </c>
      <c r="J6861" t="s">
        <v>445</v>
      </c>
      <c r="M6861">
        <v>2391</v>
      </c>
      <c r="N6861" t="s">
        <v>15988</v>
      </c>
    </row>
    <row r="6862" spans="1:14">
      <c r="A6862">
        <v>25814031</v>
      </c>
      <c r="B6862">
        <v>4029372</v>
      </c>
      <c r="C6862" t="s">
        <v>14940</v>
      </c>
      <c r="D6862" t="s">
        <v>441</v>
      </c>
      <c r="F6862">
        <v>0</v>
      </c>
      <c r="G6862">
        <v>16.010000000000002</v>
      </c>
      <c r="H6862" t="s">
        <v>8588</v>
      </c>
      <c r="I6862">
        <v>10</v>
      </c>
      <c r="J6862" t="s">
        <v>462</v>
      </c>
      <c r="M6862">
        <v>7112</v>
      </c>
      <c r="N6862" t="s">
        <v>15988</v>
      </c>
    </row>
    <row r="6863" spans="1:14">
      <c r="A6863">
        <v>25820000</v>
      </c>
      <c r="B6863">
        <v>3008039</v>
      </c>
      <c r="C6863" t="s">
        <v>2996</v>
      </c>
      <c r="D6863" t="s">
        <v>441</v>
      </c>
      <c r="F6863">
        <v>0</v>
      </c>
      <c r="G6863">
        <v>10.09</v>
      </c>
      <c r="H6863" t="s">
        <v>8580</v>
      </c>
      <c r="I6863">
        <v>5</v>
      </c>
      <c r="J6863" t="s">
        <v>445</v>
      </c>
      <c r="K6863" t="s">
        <v>446</v>
      </c>
      <c r="M6863">
        <v>0</v>
      </c>
    </row>
    <row r="6864" spans="1:14">
      <c r="A6864">
        <v>25830000</v>
      </c>
      <c r="B6864">
        <v>1100481</v>
      </c>
      <c r="C6864" t="s">
        <v>11935</v>
      </c>
      <c r="D6864" t="s">
        <v>441</v>
      </c>
      <c r="F6864">
        <v>0</v>
      </c>
      <c r="G6864">
        <v>0.3</v>
      </c>
      <c r="H6864" t="s">
        <v>10588</v>
      </c>
      <c r="I6864">
        <v>5</v>
      </c>
      <c r="J6864" t="s">
        <v>511</v>
      </c>
      <c r="M6864">
        <v>0</v>
      </c>
      <c r="N6864" t="s">
        <v>16300</v>
      </c>
    </row>
    <row r="6865" spans="1:14">
      <c r="A6865">
        <v>25850000</v>
      </c>
      <c r="B6865">
        <v>3008040</v>
      </c>
      <c r="C6865" t="s">
        <v>2997</v>
      </c>
      <c r="D6865" t="s">
        <v>441</v>
      </c>
      <c r="F6865">
        <v>0</v>
      </c>
      <c r="G6865">
        <v>11.7</v>
      </c>
      <c r="I6865">
        <v>5</v>
      </c>
      <c r="J6865" t="s">
        <v>445</v>
      </c>
      <c r="K6865" t="s">
        <v>446</v>
      </c>
      <c r="M6865">
        <v>0</v>
      </c>
    </row>
    <row r="6866" spans="1:14">
      <c r="A6866">
        <v>25860000</v>
      </c>
      <c r="B6866">
        <v>3025751</v>
      </c>
      <c r="C6866" t="s">
        <v>2998</v>
      </c>
      <c r="D6866" t="s">
        <v>441</v>
      </c>
      <c r="F6866">
        <v>0</v>
      </c>
      <c r="G6866">
        <v>0</v>
      </c>
      <c r="H6866" t="s">
        <v>8549</v>
      </c>
      <c r="I6866">
        <v>5</v>
      </c>
      <c r="J6866" t="s">
        <v>445</v>
      </c>
      <c r="M6866">
        <v>2391</v>
      </c>
      <c r="N6866" t="s">
        <v>16098</v>
      </c>
    </row>
    <row r="6867" spans="1:14">
      <c r="A6867">
        <v>25860018</v>
      </c>
      <c r="B6867">
        <v>3044252</v>
      </c>
      <c r="C6867" t="s">
        <v>14474</v>
      </c>
      <c r="D6867" t="s">
        <v>441</v>
      </c>
      <c r="F6867">
        <v>0</v>
      </c>
      <c r="G6867">
        <v>6.43</v>
      </c>
      <c r="H6867" t="s">
        <v>8588</v>
      </c>
      <c r="I6867">
        <v>540</v>
      </c>
      <c r="J6867" t="s">
        <v>445</v>
      </c>
      <c r="M6867">
        <v>7111</v>
      </c>
      <c r="N6867" t="s">
        <v>16098</v>
      </c>
    </row>
    <row r="6868" spans="1:14">
      <c r="A6868">
        <v>25860027</v>
      </c>
      <c r="B6868">
        <v>4016891</v>
      </c>
      <c r="C6868" t="s">
        <v>2999</v>
      </c>
      <c r="D6868" t="s">
        <v>442</v>
      </c>
      <c r="E6868" t="s">
        <v>441</v>
      </c>
      <c r="F6868">
        <v>10</v>
      </c>
      <c r="G6868">
        <v>39.07</v>
      </c>
      <c r="H6868" t="s">
        <v>8588</v>
      </c>
      <c r="I6868">
        <v>540</v>
      </c>
      <c r="J6868" t="s">
        <v>462</v>
      </c>
      <c r="M6868">
        <v>7111</v>
      </c>
      <c r="N6868" t="s">
        <v>16098</v>
      </c>
    </row>
    <row r="6869" spans="1:14">
      <c r="A6869">
        <v>25860077</v>
      </c>
      <c r="B6869">
        <v>4019943</v>
      </c>
      <c r="C6869" t="s">
        <v>3000</v>
      </c>
      <c r="D6869" t="s">
        <v>441</v>
      </c>
      <c r="F6869">
        <v>0</v>
      </c>
      <c r="G6869">
        <v>3.17</v>
      </c>
      <c r="H6869" t="s">
        <v>8588</v>
      </c>
      <c r="I6869">
        <v>6</v>
      </c>
      <c r="J6869" t="s">
        <v>462</v>
      </c>
      <c r="M6869">
        <v>7112</v>
      </c>
      <c r="N6869" t="s">
        <v>16098</v>
      </c>
    </row>
    <row r="6870" spans="1:14">
      <c r="A6870">
        <v>25860518</v>
      </c>
      <c r="B6870">
        <v>3044251</v>
      </c>
      <c r="C6870" t="s">
        <v>14475</v>
      </c>
      <c r="D6870" t="s">
        <v>441</v>
      </c>
      <c r="F6870">
        <v>0</v>
      </c>
      <c r="G6870">
        <v>5.95</v>
      </c>
      <c r="H6870" t="s">
        <v>8588</v>
      </c>
      <c r="I6870">
        <v>6</v>
      </c>
      <c r="J6870" t="s">
        <v>445</v>
      </c>
      <c r="M6870">
        <v>2502</v>
      </c>
      <c r="N6870" t="s">
        <v>16098</v>
      </c>
    </row>
    <row r="6871" spans="1:14">
      <c r="A6871">
        <v>25860527</v>
      </c>
      <c r="B6871">
        <v>3025753</v>
      </c>
      <c r="C6871" t="s">
        <v>3001</v>
      </c>
      <c r="D6871" t="s">
        <v>442</v>
      </c>
      <c r="E6871" t="s">
        <v>441</v>
      </c>
      <c r="F6871">
        <v>10</v>
      </c>
      <c r="G6871">
        <v>34.9</v>
      </c>
      <c r="H6871" t="s">
        <v>10006</v>
      </c>
      <c r="I6871">
        <v>5</v>
      </c>
      <c r="J6871" t="s">
        <v>445</v>
      </c>
      <c r="M6871">
        <v>2502</v>
      </c>
      <c r="N6871" t="s">
        <v>16098</v>
      </c>
    </row>
    <row r="6872" spans="1:14">
      <c r="A6872">
        <v>25861000</v>
      </c>
      <c r="B6872">
        <v>3025752</v>
      </c>
      <c r="C6872" t="s">
        <v>3002</v>
      </c>
      <c r="D6872" t="s">
        <v>441</v>
      </c>
      <c r="F6872">
        <v>0</v>
      </c>
      <c r="G6872">
        <v>0</v>
      </c>
      <c r="H6872" t="s">
        <v>8549</v>
      </c>
      <c r="I6872">
        <v>5</v>
      </c>
      <c r="J6872" t="s">
        <v>445</v>
      </c>
      <c r="M6872">
        <v>2391</v>
      </c>
      <c r="N6872" t="s">
        <v>16098</v>
      </c>
    </row>
    <row r="6873" spans="1:14">
      <c r="A6873">
        <v>25861027</v>
      </c>
      <c r="B6873">
        <v>4016890</v>
      </c>
      <c r="C6873" t="s">
        <v>3003</v>
      </c>
      <c r="D6873" t="s">
        <v>442</v>
      </c>
      <c r="E6873" t="s">
        <v>441</v>
      </c>
      <c r="F6873">
        <v>10</v>
      </c>
      <c r="G6873">
        <v>39.07</v>
      </c>
      <c r="H6873" t="s">
        <v>8588</v>
      </c>
      <c r="I6873">
        <v>540</v>
      </c>
      <c r="J6873" t="s">
        <v>462</v>
      </c>
      <c r="M6873">
        <v>7111</v>
      </c>
      <c r="N6873" t="s">
        <v>16098</v>
      </c>
    </row>
    <row r="6874" spans="1:14">
      <c r="A6874">
        <v>25861527</v>
      </c>
      <c r="B6874">
        <v>3025754</v>
      </c>
      <c r="C6874" t="s">
        <v>3004</v>
      </c>
      <c r="D6874" t="s">
        <v>442</v>
      </c>
      <c r="E6874" t="s">
        <v>441</v>
      </c>
      <c r="F6874">
        <v>10</v>
      </c>
      <c r="G6874">
        <v>34.9</v>
      </c>
      <c r="H6874" t="s">
        <v>10006</v>
      </c>
      <c r="I6874">
        <v>5</v>
      </c>
      <c r="J6874" t="s">
        <v>445</v>
      </c>
      <c r="M6874">
        <v>2502</v>
      </c>
      <c r="N6874" t="s">
        <v>16098</v>
      </c>
    </row>
    <row r="6875" spans="1:14">
      <c r="A6875">
        <v>25864000</v>
      </c>
      <c r="B6875">
        <v>3043919</v>
      </c>
      <c r="C6875" t="s">
        <v>14476</v>
      </c>
      <c r="D6875" t="s">
        <v>441</v>
      </c>
      <c r="F6875">
        <v>0</v>
      </c>
      <c r="G6875">
        <v>5.8</v>
      </c>
      <c r="H6875" t="s">
        <v>8549</v>
      </c>
      <c r="I6875">
        <v>5</v>
      </c>
      <c r="J6875" t="s">
        <v>445</v>
      </c>
      <c r="M6875">
        <v>2391</v>
      </c>
      <c r="N6875" t="s">
        <v>16098</v>
      </c>
    </row>
    <row r="6876" spans="1:14">
      <c r="A6876">
        <v>25864020</v>
      </c>
      <c r="B6876">
        <v>4028828</v>
      </c>
      <c r="C6876" t="s">
        <v>14477</v>
      </c>
      <c r="D6876" t="s">
        <v>441</v>
      </c>
      <c r="F6876">
        <v>0</v>
      </c>
      <c r="G6876">
        <v>6.32</v>
      </c>
      <c r="H6876" t="s">
        <v>8588</v>
      </c>
      <c r="I6876">
        <v>6</v>
      </c>
      <c r="J6876" t="s">
        <v>462</v>
      </c>
      <c r="M6876">
        <v>7112</v>
      </c>
      <c r="N6876" t="s">
        <v>16098</v>
      </c>
    </row>
    <row r="6877" spans="1:14">
      <c r="A6877">
        <v>25864030</v>
      </c>
      <c r="B6877">
        <v>4029058</v>
      </c>
      <c r="C6877" t="s">
        <v>14478</v>
      </c>
      <c r="D6877" t="s">
        <v>441</v>
      </c>
      <c r="F6877">
        <v>0</v>
      </c>
      <c r="G6877">
        <v>6.64</v>
      </c>
      <c r="H6877" t="s">
        <v>8588</v>
      </c>
      <c r="I6877">
        <v>8</v>
      </c>
      <c r="J6877" t="s">
        <v>462</v>
      </c>
      <c r="M6877">
        <v>7112</v>
      </c>
      <c r="N6877" t="s">
        <v>16098</v>
      </c>
    </row>
    <row r="6878" spans="1:14">
      <c r="A6878">
        <v>25870000</v>
      </c>
      <c r="B6878">
        <v>3026403</v>
      </c>
      <c r="C6878" t="s">
        <v>3005</v>
      </c>
      <c r="D6878" t="s">
        <v>441</v>
      </c>
      <c r="F6878">
        <v>0</v>
      </c>
      <c r="G6878">
        <v>0.01</v>
      </c>
      <c r="H6878" t="s">
        <v>8549</v>
      </c>
      <c r="I6878">
        <v>6</v>
      </c>
      <c r="J6878" t="s">
        <v>445</v>
      </c>
      <c r="M6878">
        <v>2391</v>
      </c>
      <c r="N6878" t="s">
        <v>16305</v>
      </c>
    </row>
    <row r="6879" spans="1:14">
      <c r="A6879">
        <v>25870025</v>
      </c>
      <c r="B6879">
        <v>4017985</v>
      </c>
      <c r="C6879" t="s">
        <v>3006</v>
      </c>
      <c r="D6879" t="s">
        <v>441</v>
      </c>
      <c r="F6879">
        <v>0</v>
      </c>
      <c r="G6879">
        <v>0.2</v>
      </c>
      <c r="H6879" t="s">
        <v>8588</v>
      </c>
      <c r="I6879">
        <v>540</v>
      </c>
      <c r="J6879" t="s">
        <v>462</v>
      </c>
      <c r="K6879" t="s">
        <v>446</v>
      </c>
      <c r="M6879">
        <v>2501</v>
      </c>
    </row>
    <row r="6880" spans="1:14">
      <c r="A6880">
        <v>25870525</v>
      </c>
      <c r="B6880">
        <v>3026406</v>
      </c>
      <c r="C6880" t="s">
        <v>3007</v>
      </c>
      <c r="D6880" t="s">
        <v>441</v>
      </c>
      <c r="F6880">
        <v>0</v>
      </c>
      <c r="G6880">
        <v>0.05</v>
      </c>
      <c r="H6880" t="s">
        <v>8588</v>
      </c>
      <c r="I6880">
        <v>5</v>
      </c>
      <c r="J6880" t="s">
        <v>445</v>
      </c>
      <c r="K6880" t="s">
        <v>446</v>
      </c>
      <c r="M6880">
        <v>2641</v>
      </c>
    </row>
    <row r="6881" spans="1:14">
      <c r="A6881">
        <v>25873000</v>
      </c>
      <c r="B6881">
        <v>3026399</v>
      </c>
      <c r="C6881" t="s">
        <v>3008</v>
      </c>
      <c r="D6881" t="s">
        <v>441</v>
      </c>
      <c r="F6881">
        <v>0</v>
      </c>
      <c r="G6881">
        <v>0.01</v>
      </c>
      <c r="H6881" t="s">
        <v>8549</v>
      </c>
      <c r="I6881">
        <v>5</v>
      </c>
      <c r="J6881" t="s">
        <v>445</v>
      </c>
      <c r="M6881">
        <v>2391</v>
      </c>
      <c r="N6881" t="s">
        <v>16305</v>
      </c>
    </row>
    <row r="6882" spans="1:14">
      <c r="A6882">
        <v>25880000</v>
      </c>
      <c r="B6882">
        <v>3008041</v>
      </c>
      <c r="C6882" t="s">
        <v>3009</v>
      </c>
      <c r="D6882" t="s">
        <v>441</v>
      </c>
      <c r="F6882">
        <v>0</v>
      </c>
      <c r="G6882">
        <v>0</v>
      </c>
      <c r="I6882">
        <v>5</v>
      </c>
      <c r="J6882" t="s">
        <v>445</v>
      </c>
      <c r="M6882">
        <v>2391</v>
      </c>
      <c r="N6882" t="s">
        <v>16304</v>
      </c>
    </row>
    <row r="6883" spans="1:14">
      <c r="A6883">
        <v>25880007</v>
      </c>
      <c r="B6883">
        <v>3025030</v>
      </c>
      <c r="C6883" t="s">
        <v>3010</v>
      </c>
      <c r="D6883" t="s">
        <v>441</v>
      </c>
      <c r="F6883">
        <v>0</v>
      </c>
      <c r="G6883">
        <v>2.4700000000000002</v>
      </c>
      <c r="H6883" t="s">
        <v>8935</v>
      </c>
      <c r="I6883">
        <v>5</v>
      </c>
      <c r="J6883" t="s">
        <v>445</v>
      </c>
      <c r="M6883">
        <v>3111</v>
      </c>
    </row>
    <row r="6884" spans="1:14">
      <c r="A6884">
        <v>25880026</v>
      </c>
      <c r="B6884">
        <v>4016351</v>
      </c>
      <c r="C6884" t="s">
        <v>2987</v>
      </c>
      <c r="D6884" t="s">
        <v>442</v>
      </c>
      <c r="E6884" t="s">
        <v>441</v>
      </c>
      <c r="F6884">
        <v>10</v>
      </c>
      <c r="G6884">
        <v>9.66</v>
      </c>
      <c r="H6884" t="s">
        <v>8588</v>
      </c>
      <c r="I6884">
        <v>540</v>
      </c>
      <c r="J6884" t="s">
        <v>462</v>
      </c>
      <c r="M6884">
        <v>7111</v>
      </c>
      <c r="N6884" t="s">
        <v>16304</v>
      </c>
    </row>
    <row r="6885" spans="1:14">
      <c r="A6885">
        <v>25880027</v>
      </c>
      <c r="B6885">
        <v>4007592</v>
      </c>
      <c r="C6885" t="s">
        <v>11936</v>
      </c>
      <c r="D6885" t="s">
        <v>441</v>
      </c>
      <c r="F6885">
        <v>0</v>
      </c>
      <c r="G6885">
        <v>0.62</v>
      </c>
      <c r="H6885" t="s">
        <v>8588</v>
      </c>
      <c r="I6885">
        <v>540</v>
      </c>
      <c r="J6885" t="s">
        <v>462</v>
      </c>
      <c r="K6885" t="s">
        <v>446</v>
      </c>
      <c r="M6885">
        <v>2501</v>
      </c>
    </row>
    <row r="6886" spans="1:14">
      <c r="A6886">
        <v>25880028</v>
      </c>
      <c r="B6886">
        <v>4001853</v>
      </c>
      <c r="C6886" t="s">
        <v>11937</v>
      </c>
      <c r="D6886" t="s">
        <v>441</v>
      </c>
      <c r="F6886">
        <v>0</v>
      </c>
      <c r="G6886">
        <v>2.84</v>
      </c>
      <c r="H6886" t="s">
        <v>8588</v>
      </c>
      <c r="I6886">
        <v>365</v>
      </c>
      <c r="J6886" t="s">
        <v>462</v>
      </c>
      <c r="K6886" t="s">
        <v>446</v>
      </c>
      <c r="M6886">
        <v>2501</v>
      </c>
    </row>
    <row r="6887" spans="1:14">
      <c r="A6887">
        <v>25880526</v>
      </c>
      <c r="B6887">
        <v>3024776</v>
      </c>
      <c r="C6887" t="s">
        <v>2989</v>
      </c>
      <c r="D6887" t="s">
        <v>442</v>
      </c>
      <c r="E6887" t="s">
        <v>441</v>
      </c>
      <c r="F6887">
        <v>10</v>
      </c>
      <c r="G6887">
        <v>4.4400000000000004</v>
      </c>
      <c r="H6887" t="s">
        <v>8549</v>
      </c>
      <c r="I6887">
        <v>6</v>
      </c>
      <c r="J6887" t="s">
        <v>445</v>
      </c>
      <c r="M6887">
        <v>2502</v>
      </c>
      <c r="N6887" t="s">
        <v>16304</v>
      </c>
    </row>
    <row r="6888" spans="1:14">
      <c r="A6888">
        <v>25880527</v>
      </c>
      <c r="B6888">
        <v>3008042</v>
      </c>
      <c r="C6888" t="s">
        <v>11938</v>
      </c>
      <c r="D6888" t="s">
        <v>441</v>
      </c>
      <c r="F6888">
        <v>0</v>
      </c>
      <c r="G6888">
        <v>0.44</v>
      </c>
      <c r="I6888">
        <v>540</v>
      </c>
      <c r="J6888" t="s">
        <v>445</v>
      </c>
      <c r="K6888" t="s">
        <v>446</v>
      </c>
      <c r="M6888">
        <v>2641</v>
      </c>
    </row>
    <row r="6889" spans="1:14">
      <c r="A6889">
        <v>25880528</v>
      </c>
      <c r="B6889">
        <v>3008043</v>
      </c>
      <c r="C6889" t="s">
        <v>11939</v>
      </c>
      <c r="D6889" t="s">
        <v>441</v>
      </c>
      <c r="F6889">
        <v>0</v>
      </c>
      <c r="G6889">
        <v>2.6</v>
      </c>
      <c r="I6889">
        <v>5</v>
      </c>
      <c r="J6889" t="s">
        <v>445</v>
      </c>
      <c r="K6889" t="s">
        <v>446</v>
      </c>
      <c r="M6889">
        <v>2641</v>
      </c>
    </row>
    <row r="6890" spans="1:14">
      <c r="A6890">
        <v>25881000</v>
      </c>
      <c r="B6890">
        <v>3024698</v>
      </c>
      <c r="C6890" t="s">
        <v>11940</v>
      </c>
      <c r="D6890" t="s">
        <v>441</v>
      </c>
      <c r="F6890">
        <v>0</v>
      </c>
      <c r="G6890">
        <v>0.01</v>
      </c>
      <c r="H6890" t="s">
        <v>8588</v>
      </c>
      <c r="I6890">
        <v>6</v>
      </c>
      <c r="J6890" t="s">
        <v>445</v>
      </c>
      <c r="M6890">
        <v>2391</v>
      </c>
      <c r="N6890" t="s">
        <v>16304</v>
      </c>
    </row>
    <row r="6891" spans="1:14">
      <c r="A6891">
        <v>25881026</v>
      </c>
      <c r="B6891">
        <v>4016363</v>
      </c>
      <c r="C6891" t="s">
        <v>11941</v>
      </c>
      <c r="D6891" t="s">
        <v>442</v>
      </c>
      <c r="E6891" t="s">
        <v>441</v>
      </c>
      <c r="F6891">
        <v>10</v>
      </c>
      <c r="G6891">
        <v>5.15</v>
      </c>
      <c r="H6891" t="s">
        <v>8588</v>
      </c>
      <c r="I6891">
        <v>540</v>
      </c>
      <c r="J6891" t="s">
        <v>462</v>
      </c>
      <c r="K6891" t="s">
        <v>446</v>
      </c>
      <c r="M6891">
        <v>2501</v>
      </c>
    </row>
    <row r="6892" spans="1:14">
      <c r="A6892">
        <v>25881526</v>
      </c>
      <c r="B6892">
        <v>3024785</v>
      </c>
      <c r="C6892" t="s">
        <v>11942</v>
      </c>
      <c r="D6892" t="s">
        <v>442</v>
      </c>
      <c r="E6892" t="s">
        <v>441</v>
      </c>
      <c r="F6892">
        <v>10</v>
      </c>
      <c r="G6892">
        <v>3.62</v>
      </c>
      <c r="H6892" t="s">
        <v>8549</v>
      </c>
      <c r="I6892">
        <v>6</v>
      </c>
      <c r="J6892" t="s">
        <v>445</v>
      </c>
      <c r="K6892" t="s">
        <v>446</v>
      </c>
      <c r="M6892">
        <v>2641</v>
      </c>
    </row>
    <row r="6893" spans="1:14">
      <c r="A6893">
        <v>25883000</v>
      </c>
      <c r="B6893">
        <v>3008044</v>
      </c>
      <c r="C6893" t="s">
        <v>11943</v>
      </c>
      <c r="D6893" t="s">
        <v>441</v>
      </c>
      <c r="F6893">
        <v>0</v>
      </c>
      <c r="G6893">
        <v>2.2000000000000002</v>
      </c>
      <c r="I6893">
        <v>5</v>
      </c>
      <c r="J6893" t="s">
        <v>445</v>
      </c>
      <c r="K6893" t="s">
        <v>446</v>
      </c>
      <c r="M6893">
        <v>2390</v>
      </c>
    </row>
    <row r="6894" spans="1:14">
      <c r="A6894">
        <v>25886000</v>
      </c>
      <c r="B6894">
        <v>3009080</v>
      </c>
      <c r="C6894" t="s">
        <v>11944</v>
      </c>
      <c r="D6894" t="s">
        <v>441</v>
      </c>
      <c r="F6894">
        <v>0</v>
      </c>
      <c r="G6894">
        <v>2.2200000000000002</v>
      </c>
      <c r="H6894" t="s">
        <v>8580</v>
      </c>
      <c r="I6894">
        <v>5</v>
      </c>
      <c r="J6894" t="s">
        <v>445</v>
      </c>
      <c r="K6894" t="s">
        <v>446</v>
      </c>
      <c r="M6894">
        <v>2390</v>
      </c>
    </row>
    <row r="6895" spans="1:14">
      <c r="A6895">
        <v>25890000</v>
      </c>
      <c r="B6895">
        <v>3008045</v>
      </c>
      <c r="C6895" t="s">
        <v>11945</v>
      </c>
      <c r="D6895" t="s">
        <v>441</v>
      </c>
      <c r="F6895">
        <v>0</v>
      </c>
      <c r="G6895">
        <v>0.05</v>
      </c>
      <c r="I6895">
        <v>5</v>
      </c>
      <c r="J6895" t="s">
        <v>445</v>
      </c>
      <c r="K6895" t="s">
        <v>446</v>
      </c>
      <c r="M6895">
        <v>0</v>
      </c>
    </row>
    <row r="6896" spans="1:14">
      <c r="A6896">
        <v>25890028</v>
      </c>
      <c r="B6896">
        <v>4001854</v>
      </c>
      <c r="C6896" t="s">
        <v>11946</v>
      </c>
      <c r="D6896" t="s">
        <v>441</v>
      </c>
      <c r="F6896">
        <v>0</v>
      </c>
      <c r="G6896">
        <v>0.69</v>
      </c>
      <c r="H6896" t="s">
        <v>8588</v>
      </c>
      <c r="I6896">
        <v>365</v>
      </c>
      <c r="J6896" t="s">
        <v>462</v>
      </c>
      <c r="K6896" t="s">
        <v>446</v>
      </c>
      <c r="M6896">
        <v>2501</v>
      </c>
    </row>
    <row r="6897" spans="1:14">
      <c r="A6897">
        <v>25890528</v>
      </c>
      <c r="B6897">
        <v>3008046</v>
      </c>
      <c r="C6897" t="s">
        <v>11947</v>
      </c>
      <c r="D6897" t="s">
        <v>441</v>
      </c>
      <c r="F6897">
        <v>0</v>
      </c>
      <c r="G6897">
        <v>0.43</v>
      </c>
      <c r="I6897">
        <v>5</v>
      </c>
      <c r="J6897" t="s">
        <v>445</v>
      </c>
      <c r="K6897" t="s">
        <v>446</v>
      </c>
      <c r="M6897">
        <v>2641</v>
      </c>
    </row>
    <row r="6898" spans="1:14">
      <c r="A6898">
        <v>25893000</v>
      </c>
      <c r="B6898">
        <v>3008047</v>
      </c>
      <c r="C6898" t="s">
        <v>11948</v>
      </c>
      <c r="D6898" t="s">
        <v>441</v>
      </c>
      <c r="F6898">
        <v>0</v>
      </c>
      <c r="G6898">
        <v>0.06</v>
      </c>
      <c r="I6898">
        <v>5</v>
      </c>
      <c r="J6898" t="s">
        <v>445</v>
      </c>
      <c r="K6898" t="s">
        <v>446</v>
      </c>
      <c r="M6898">
        <v>2390</v>
      </c>
    </row>
    <row r="6899" spans="1:14">
      <c r="A6899">
        <v>25900000</v>
      </c>
      <c r="B6899">
        <v>3008048</v>
      </c>
      <c r="C6899" t="s">
        <v>11949</v>
      </c>
      <c r="D6899" t="s">
        <v>441</v>
      </c>
      <c r="F6899">
        <v>0</v>
      </c>
      <c r="G6899">
        <v>1.01</v>
      </c>
      <c r="I6899">
        <v>5</v>
      </c>
      <c r="J6899" t="s">
        <v>445</v>
      </c>
      <c r="M6899">
        <v>2391</v>
      </c>
      <c r="N6899" t="s">
        <v>16293</v>
      </c>
    </row>
    <row r="6900" spans="1:14">
      <c r="A6900">
        <v>25900007</v>
      </c>
      <c r="B6900">
        <v>3025031</v>
      </c>
      <c r="C6900" t="s">
        <v>11950</v>
      </c>
      <c r="D6900" t="s">
        <v>441</v>
      </c>
      <c r="F6900">
        <v>0</v>
      </c>
      <c r="G6900">
        <v>1.43</v>
      </c>
      <c r="H6900" t="s">
        <v>8935</v>
      </c>
      <c r="I6900">
        <v>5</v>
      </c>
      <c r="J6900" t="s">
        <v>445</v>
      </c>
      <c r="K6900" t="s">
        <v>446</v>
      </c>
      <c r="M6900">
        <v>3111</v>
      </c>
    </row>
    <row r="6901" spans="1:14">
      <c r="A6901">
        <v>25900020</v>
      </c>
      <c r="B6901">
        <v>4004050</v>
      </c>
      <c r="C6901" t="s">
        <v>11951</v>
      </c>
      <c r="D6901" t="s">
        <v>441</v>
      </c>
      <c r="F6901">
        <v>0</v>
      </c>
      <c r="G6901">
        <v>1.41</v>
      </c>
      <c r="H6901" t="s">
        <v>8588</v>
      </c>
      <c r="I6901">
        <v>5</v>
      </c>
      <c r="J6901" t="s">
        <v>462</v>
      </c>
      <c r="M6901">
        <v>7112</v>
      </c>
      <c r="N6901" t="s">
        <v>16293</v>
      </c>
    </row>
    <row r="6902" spans="1:14">
      <c r="A6902">
        <v>25900021</v>
      </c>
      <c r="B6902">
        <v>4012894</v>
      </c>
      <c r="C6902" t="s">
        <v>11952</v>
      </c>
      <c r="D6902" t="s">
        <v>441</v>
      </c>
      <c r="F6902">
        <v>0</v>
      </c>
      <c r="G6902">
        <v>1.49</v>
      </c>
      <c r="H6902" t="s">
        <v>8588</v>
      </c>
      <c r="I6902">
        <v>5</v>
      </c>
      <c r="J6902" t="s">
        <v>462</v>
      </c>
      <c r="K6902" t="s">
        <v>446</v>
      </c>
      <c r="M6902">
        <v>2641</v>
      </c>
    </row>
    <row r="6903" spans="1:14">
      <c r="A6903">
        <v>25900026</v>
      </c>
      <c r="B6903">
        <v>4016160</v>
      </c>
      <c r="C6903" t="s">
        <v>11953</v>
      </c>
      <c r="D6903" t="s">
        <v>441</v>
      </c>
      <c r="F6903">
        <v>0</v>
      </c>
      <c r="G6903">
        <v>1.84</v>
      </c>
      <c r="H6903" t="s">
        <v>8588</v>
      </c>
      <c r="I6903">
        <v>540</v>
      </c>
      <c r="J6903" t="s">
        <v>462</v>
      </c>
      <c r="K6903" t="s">
        <v>446</v>
      </c>
      <c r="M6903">
        <v>2501</v>
      </c>
    </row>
    <row r="6904" spans="1:14">
      <c r="A6904">
        <v>25900027</v>
      </c>
      <c r="B6904">
        <v>4016587</v>
      </c>
      <c r="C6904" t="s">
        <v>11954</v>
      </c>
      <c r="D6904" t="s">
        <v>442</v>
      </c>
      <c r="E6904" t="s">
        <v>441</v>
      </c>
      <c r="F6904">
        <v>10</v>
      </c>
      <c r="G6904">
        <v>18.71</v>
      </c>
      <c r="H6904" t="s">
        <v>8588</v>
      </c>
      <c r="I6904">
        <v>540</v>
      </c>
      <c r="J6904" t="s">
        <v>462</v>
      </c>
      <c r="K6904" t="s">
        <v>446</v>
      </c>
      <c r="M6904">
        <v>2501</v>
      </c>
    </row>
    <row r="6905" spans="1:14">
      <c r="A6905">
        <v>25900080</v>
      </c>
      <c r="B6905">
        <v>4013041</v>
      </c>
      <c r="C6905" t="s">
        <v>11955</v>
      </c>
      <c r="D6905" t="s">
        <v>441</v>
      </c>
      <c r="F6905">
        <v>0</v>
      </c>
      <c r="G6905">
        <v>1.44</v>
      </c>
      <c r="H6905" t="s">
        <v>8588</v>
      </c>
      <c r="I6905">
        <v>5</v>
      </c>
      <c r="J6905" t="s">
        <v>462</v>
      </c>
      <c r="K6905" t="s">
        <v>446</v>
      </c>
      <c r="M6905">
        <v>2641</v>
      </c>
    </row>
    <row r="6906" spans="1:14">
      <c r="A6906">
        <v>25900100</v>
      </c>
      <c r="B6906">
        <v>3021960</v>
      </c>
      <c r="C6906" t="s">
        <v>14479</v>
      </c>
      <c r="D6906" t="s">
        <v>441</v>
      </c>
      <c r="F6906">
        <v>0</v>
      </c>
      <c r="G6906">
        <v>0.65</v>
      </c>
      <c r="H6906" t="s">
        <v>8588</v>
      </c>
      <c r="I6906">
        <v>5</v>
      </c>
      <c r="J6906" t="s">
        <v>445</v>
      </c>
      <c r="M6906">
        <v>0</v>
      </c>
      <c r="N6906" t="s">
        <v>16293</v>
      </c>
    </row>
    <row r="6907" spans="1:14">
      <c r="A6907">
        <v>25900526</v>
      </c>
      <c r="B6907">
        <v>3024358</v>
      </c>
      <c r="C6907" t="s">
        <v>11956</v>
      </c>
      <c r="D6907" t="s">
        <v>441</v>
      </c>
      <c r="F6907">
        <v>0</v>
      </c>
      <c r="G6907">
        <v>1.65</v>
      </c>
      <c r="H6907" t="s">
        <v>8584</v>
      </c>
      <c r="I6907">
        <v>540</v>
      </c>
      <c r="J6907" t="s">
        <v>445</v>
      </c>
      <c r="K6907" t="s">
        <v>446</v>
      </c>
      <c r="M6907">
        <v>2641</v>
      </c>
    </row>
    <row r="6908" spans="1:14">
      <c r="A6908">
        <v>25900527</v>
      </c>
      <c r="B6908">
        <v>3025527</v>
      </c>
      <c r="C6908" t="s">
        <v>11957</v>
      </c>
      <c r="D6908" t="s">
        <v>442</v>
      </c>
      <c r="E6908" t="s">
        <v>441</v>
      </c>
      <c r="F6908">
        <v>10</v>
      </c>
      <c r="G6908">
        <v>17.18</v>
      </c>
      <c r="H6908" t="s">
        <v>8549</v>
      </c>
      <c r="I6908">
        <v>540</v>
      </c>
      <c r="J6908" t="s">
        <v>445</v>
      </c>
      <c r="K6908" t="s">
        <v>446</v>
      </c>
      <c r="M6908">
        <v>2641</v>
      </c>
    </row>
    <row r="6909" spans="1:14">
      <c r="A6909">
        <v>25901000</v>
      </c>
      <c r="B6909">
        <v>3025529</v>
      </c>
      <c r="C6909" t="s">
        <v>11958</v>
      </c>
      <c r="D6909" t="s">
        <v>441</v>
      </c>
      <c r="F6909">
        <v>0</v>
      </c>
      <c r="G6909">
        <v>0.01</v>
      </c>
      <c r="H6909" t="s">
        <v>8549</v>
      </c>
      <c r="I6909">
        <v>6</v>
      </c>
      <c r="J6909" t="s">
        <v>445</v>
      </c>
      <c r="K6909" t="s">
        <v>446</v>
      </c>
      <c r="M6909">
        <v>2313</v>
      </c>
    </row>
    <row r="6910" spans="1:14">
      <c r="A6910">
        <v>25901027</v>
      </c>
      <c r="B6910">
        <v>4016586</v>
      </c>
      <c r="C6910" t="s">
        <v>11959</v>
      </c>
      <c r="D6910" t="s">
        <v>442</v>
      </c>
      <c r="E6910" t="s">
        <v>441</v>
      </c>
      <c r="F6910">
        <v>10</v>
      </c>
      <c r="G6910">
        <v>18.71</v>
      </c>
      <c r="H6910" t="s">
        <v>8588</v>
      </c>
      <c r="I6910">
        <v>540</v>
      </c>
      <c r="J6910" t="s">
        <v>462</v>
      </c>
      <c r="K6910" t="s">
        <v>446</v>
      </c>
      <c r="M6910">
        <v>2501</v>
      </c>
    </row>
    <row r="6911" spans="1:14">
      <c r="A6911">
        <v>25901527</v>
      </c>
      <c r="B6911">
        <v>3025526</v>
      </c>
      <c r="C6911" t="s">
        <v>11960</v>
      </c>
      <c r="D6911" t="s">
        <v>442</v>
      </c>
      <c r="E6911" t="s">
        <v>441</v>
      </c>
      <c r="F6911">
        <v>10</v>
      </c>
      <c r="G6911">
        <v>17.18</v>
      </c>
      <c r="H6911" t="s">
        <v>8549</v>
      </c>
      <c r="I6911">
        <v>540</v>
      </c>
      <c r="J6911" t="s">
        <v>445</v>
      </c>
      <c r="K6911" t="s">
        <v>446</v>
      </c>
      <c r="M6911">
        <v>2641</v>
      </c>
    </row>
    <row r="6912" spans="1:14">
      <c r="A6912">
        <v>25903000</v>
      </c>
      <c r="B6912">
        <v>3008049</v>
      </c>
      <c r="C6912" t="s">
        <v>11961</v>
      </c>
      <c r="D6912" t="s">
        <v>441</v>
      </c>
      <c r="F6912">
        <v>0</v>
      </c>
      <c r="G6912">
        <v>1.01</v>
      </c>
      <c r="I6912">
        <v>5</v>
      </c>
      <c r="J6912" t="s">
        <v>445</v>
      </c>
      <c r="M6912">
        <v>2391</v>
      </c>
      <c r="N6912" t="s">
        <v>16293</v>
      </c>
    </row>
    <row r="6913" spans="1:14">
      <c r="A6913">
        <v>25910000</v>
      </c>
      <c r="B6913">
        <v>3016034</v>
      </c>
      <c r="C6913" t="s">
        <v>11893</v>
      </c>
      <c r="D6913" t="s">
        <v>441</v>
      </c>
      <c r="F6913">
        <v>0</v>
      </c>
      <c r="G6913">
        <v>0.01</v>
      </c>
      <c r="H6913" t="s">
        <v>8584</v>
      </c>
      <c r="I6913">
        <v>5</v>
      </c>
      <c r="J6913" t="s">
        <v>445</v>
      </c>
      <c r="M6913">
        <v>2391</v>
      </c>
      <c r="N6913" t="s">
        <v>16302</v>
      </c>
    </row>
    <row r="6914" spans="1:14">
      <c r="A6914">
        <v>25910020</v>
      </c>
      <c r="B6914">
        <v>4019459</v>
      </c>
      <c r="C6914" t="s">
        <v>11962</v>
      </c>
      <c r="D6914" t="s">
        <v>441</v>
      </c>
      <c r="F6914">
        <v>0</v>
      </c>
      <c r="G6914">
        <v>0.38</v>
      </c>
      <c r="H6914" t="s">
        <v>8588</v>
      </c>
      <c r="I6914">
        <v>5</v>
      </c>
      <c r="J6914" t="s">
        <v>462</v>
      </c>
      <c r="M6914">
        <v>7112</v>
      </c>
      <c r="N6914" t="s">
        <v>16302</v>
      </c>
    </row>
    <row r="6915" spans="1:14">
      <c r="A6915">
        <v>25910028</v>
      </c>
      <c r="B6915">
        <v>4001855</v>
      </c>
      <c r="C6915" t="s">
        <v>11963</v>
      </c>
      <c r="D6915" t="s">
        <v>441</v>
      </c>
      <c r="F6915">
        <v>0</v>
      </c>
      <c r="G6915">
        <v>0.56999999999999995</v>
      </c>
      <c r="H6915" t="s">
        <v>8588</v>
      </c>
      <c r="I6915">
        <v>365</v>
      </c>
      <c r="J6915" t="s">
        <v>462</v>
      </c>
      <c r="K6915" t="s">
        <v>446</v>
      </c>
      <c r="M6915">
        <v>2501</v>
      </c>
    </row>
    <row r="6916" spans="1:14">
      <c r="A6916">
        <v>25910528</v>
      </c>
      <c r="B6916">
        <v>3008050</v>
      </c>
      <c r="C6916" t="s">
        <v>11964</v>
      </c>
      <c r="D6916" t="s">
        <v>441</v>
      </c>
      <c r="F6916">
        <v>0</v>
      </c>
      <c r="G6916">
        <v>0.35</v>
      </c>
      <c r="I6916">
        <v>5</v>
      </c>
      <c r="J6916" t="s">
        <v>445</v>
      </c>
      <c r="K6916" t="s">
        <v>446</v>
      </c>
      <c r="M6916">
        <v>2641</v>
      </c>
    </row>
    <row r="6917" spans="1:14">
      <c r="A6917">
        <v>25913000</v>
      </c>
      <c r="B6917">
        <v>3016318</v>
      </c>
      <c r="C6917" t="s">
        <v>11965</v>
      </c>
      <c r="D6917" t="s">
        <v>441</v>
      </c>
      <c r="F6917">
        <v>0</v>
      </c>
      <c r="G6917">
        <v>0.01</v>
      </c>
      <c r="H6917" t="s">
        <v>8580</v>
      </c>
      <c r="I6917">
        <v>5</v>
      </c>
      <c r="J6917" t="s">
        <v>445</v>
      </c>
      <c r="K6917" t="s">
        <v>446</v>
      </c>
      <c r="M6917">
        <v>2390</v>
      </c>
    </row>
    <row r="6918" spans="1:14">
      <c r="A6918">
        <v>25920000</v>
      </c>
      <c r="B6918">
        <v>3009171</v>
      </c>
      <c r="C6918" t="s">
        <v>11966</v>
      </c>
      <c r="D6918" t="s">
        <v>441</v>
      </c>
      <c r="F6918">
        <v>0</v>
      </c>
      <c r="G6918">
        <v>0.01</v>
      </c>
      <c r="H6918" t="s">
        <v>8580</v>
      </c>
      <c r="I6918">
        <v>6</v>
      </c>
      <c r="J6918" t="s">
        <v>445</v>
      </c>
      <c r="K6918" t="s">
        <v>446</v>
      </c>
      <c r="M6918">
        <v>2211</v>
      </c>
    </row>
    <row r="6919" spans="1:14">
      <c r="A6919">
        <v>25923000</v>
      </c>
      <c r="B6919">
        <v>3008899</v>
      </c>
      <c r="C6919" t="s">
        <v>11967</v>
      </c>
      <c r="D6919" t="s">
        <v>441</v>
      </c>
      <c r="F6919">
        <v>0</v>
      </c>
      <c r="G6919">
        <v>0.01</v>
      </c>
      <c r="H6919" t="s">
        <v>8580</v>
      </c>
      <c r="I6919">
        <v>5</v>
      </c>
      <c r="J6919" t="s">
        <v>445</v>
      </c>
      <c r="K6919" t="s">
        <v>446</v>
      </c>
      <c r="M6919">
        <v>2390</v>
      </c>
    </row>
    <row r="6920" spans="1:14">
      <c r="A6920">
        <v>25930000</v>
      </c>
      <c r="B6920">
        <v>3027497</v>
      </c>
      <c r="C6920" t="s">
        <v>11968</v>
      </c>
      <c r="D6920" t="s">
        <v>441</v>
      </c>
      <c r="F6920">
        <v>0</v>
      </c>
      <c r="G6920">
        <v>0.01</v>
      </c>
      <c r="H6920" t="s">
        <v>8549</v>
      </c>
      <c r="I6920">
        <v>6</v>
      </c>
      <c r="J6920" t="s">
        <v>445</v>
      </c>
      <c r="M6920">
        <v>2391</v>
      </c>
      <c r="N6920" t="s">
        <v>16293</v>
      </c>
    </row>
    <row r="6921" spans="1:14">
      <c r="A6921">
        <v>25930007</v>
      </c>
      <c r="B6921">
        <v>3027499</v>
      </c>
      <c r="C6921" t="s">
        <v>11969</v>
      </c>
      <c r="D6921" t="s">
        <v>441</v>
      </c>
      <c r="F6921">
        <v>0</v>
      </c>
      <c r="G6921">
        <v>0.06</v>
      </c>
      <c r="H6921" t="s">
        <v>8588</v>
      </c>
      <c r="I6921">
        <v>6</v>
      </c>
      <c r="J6921" t="s">
        <v>445</v>
      </c>
      <c r="K6921" t="s">
        <v>446</v>
      </c>
      <c r="M6921">
        <v>2641</v>
      </c>
    </row>
    <row r="6922" spans="1:14">
      <c r="A6922">
        <v>25930080</v>
      </c>
      <c r="B6922">
        <v>4018230</v>
      </c>
      <c r="C6922" t="s">
        <v>11970</v>
      </c>
      <c r="D6922" t="s">
        <v>441</v>
      </c>
      <c r="F6922">
        <v>0</v>
      </c>
      <c r="G6922">
        <v>0.12</v>
      </c>
      <c r="H6922" t="s">
        <v>8588</v>
      </c>
      <c r="I6922">
        <v>6</v>
      </c>
      <c r="J6922" t="s">
        <v>462</v>
      </c>
      <c r="K6922" t="s">
        <v>446</v>
      </c>
      <c r="M6922">
        <v>2641</v>
      </c>
    </row>
    <row r="6923" spans="1:14">
      <c r="A6923">
        <v>25940000</v>
      </c>
      <c r="B6923">
        <v>3008052</v>
      </c>
      <c r="C6923" t="s">
        <v>3011</v>
      </c>
      <c r="D6923" t="s">
        <v>441</v>
      </c>
      <c r="F6923">
        <v>0</v>
      </c>
      <c r="G6923">
        <v>0.02</v>
      </c>
      <c r="I6923">
        <v>5</v>
      </c>
      <c r="J6923" t="s">
        <v>445</v>
      </c>
      <c r="M6923">
        <v>2391</v>
      </c>
      <c r="N6923" t="s">
        <v>16297</v>
      </c>
    </row>
    <row r="6924" spans="1:14">
      <c r="A6924">
        <v>25940020</v>
      </c>
      <c r="B6924">
        <v>4005864</v>
      </c>
      <c r="C6924" t="s">
        <v>11971</v>
      </c>
      <c r="D6924" t="s">
        <v>441</v>
      </c>
      <c r="F6924">
        <v>0</v>
      </c>
      <c r="G6924">
        <v>0.22</v>
      </c>
      <c r="H6924" t="s">
        <v>8588</v>
      </c>
      <c r="I6924">
        <v>5</v>
      </c>
      <c r="J6924" t="s">
        <v>462</v>
      </c>
      <c r="K6924" t="s">
        <v>446</v>
      </c>
      <c r="M6924">
        <v>2641</v>
      </c>
    </row>
    <row r="6925" spans="1:14">
      <c r="A6925">
        <v>25943000</v>
      </c>
      <c r="B6925">
        <v>3015346</v>
      </c>
      <c r="C6925" t="s">
        <v>3012</v>
      </c>
      <c r="D6925" t="s">
        <v>441</v>
      </c>
      <c r="F6925">
        <v>0</v>
      </c>
      <c r="G6925">
        <v>1.82</v>
      </c>
      <c r="H6925" t="s">
        <v>8580</v>
      </c>
      <c r="I6925">
        <v>5</v>
      </c>
      <c r="J6925" t="s">
        <v>445</v>
      </c>
      <c r="M6925">
        <v>2391</v>
      </c>
      <c r="N6925" t="s">
        <v>16297</v>
      </c>
    </row>
    <row r="6926" spans="1:14">
      <c r="A6926">
        <v>25950000</v>
      </c>
      <c r="B6926">
        <v>1200074</v>
      </c>
      <c r="C6926" t="s">
        <v>11972</v>
      </c>
      <c r="D6926" t="s">
        <v>441</v>
      </c>
      <c r="F6926">
        <v>0</v>
      </c>
      <c r="G6926">
        <v>0.3</v>
      </c>
      <c r="H6926" t="s">
        <v>8580</v>
      </c>
      <c r="I6926">
        <v>5</v>
      </c>
      <c r="J6926" t="s">
        <v>510</v>
      </c>
      <c r="M6926">
        <v>2411</v>
      </c>
      <c r="N6926" t="s">
        <v>15974</v>
      </c>
    </row>
    <row r="6927" spans="1:14">
      <c r="A6927">
        <v>25950087</v>
      </c>
      <c r="B6927">
        <v>3046172</v>
      </c>
      <c r="C6927" t="s">
        <v>17496</v>
      </c>
      <c r="D6927" t="s">
        <v>441</v>
      </c>
      <c r="F6927">
        <v>0</v>
      </c>
      <c r="G6927">
        <v>0.48</v>
      </c>
      <c r="H6927" t="s">
        <v>8588</v>
      </c>
      <c r="I6927">
        <v>6</v>
      </c>
      <c r="J6927" t="s">
        <v>445</v>
      </c>
      <c r="M6927">
        <v>7112</v>
      </c>
      <c r="N6927" t="s">
        <v>16291</v>
      </c>
    </row>
    <row r="6928" spans="1:14">
      <c r="A6928">
        <v>25960000</v>
      </c>
      <c r="B6928">
        <v>3008053</v>
      </c>
      <c r="C6928" t="s">
        <v>11973</v>
      </c>
      <c r="D6928" t="s">
        <v>441</v>
      </c>
      <c r="F6928">
        <v>0</v>
      </c>
      <c r="G6928">
        <v>0.05</v>
      </c>
      <c r="I6928">
        <v>5</v>
      </c>
      <c r="J6928" t="s">
        <v>445</v>
      </c>
      <c r="K6928" t="s">
        <v>446</v>
      </c>
      <c r="M6928">
        <v>0</v>
      </c>
    </row>
    <row r="6929" spans="1:14">
      <c r="A6929">
        <v>25960028</v>
      </c>
      <c r="B6929">
        <v>4006073</v>
      </c>
      <c r="C6929" t="s">
        <v>11974</v>
      </c>
      <c r="D6929" t="s">
        <v>441</v>
      </c>
      <c r="F6929">
        <v>0</v>
      </c>
      <c r="G6929">
        <v>0.69</v>
      </c>
      <c r="H6929" t="s">
        <v>8588</v>
      </c>
      <c r="I6929">
        <v>365</v>
      </c>
      <c r="J6929" t="s">
        <v>462</v>
      </c>
      <c r="K6929" t="s">
        <v>446</v>
      </c>
      <c r="M6929">
        <v>2501</v>
      </c>
    </row>
    <row r="6930" spans="1:14">
      <c r="A6930">
        <v>25960528</v>
      </c>
      <c r="B6930">
        <v>3008054</v>
      </c>
      <c r="C6930" t="s">
        <v>11975</v>
      </c>
      <c r="D6930" t="s">
        <v>441</v>
      </c>
      <c r="F6930">
        <v>0</v>
      </c>
      <c r="G6930">
        <v>0.43</v>
      </c>
      <c r="I6930">
        <v>5</v>
      </c>
      <c r="J6930" t="s">
        <v>445</v>
      </c>
      <c r="K6930" t="s">
        <v>446</v>
      </c>
      <c r="M6930">
        <v>2641</v>
      </c>
    </row>
    <row r="6931" spans="1:14">
      <c r="A6931">
        <v>25963000</v>
      </c>
      <c r="B6931">
        <v>3008055</v>
      </c>
      <c r="C6931" t="s">
        <v>11976</v>
      </c>
      <c r="D6931" t="s">
        <v>441</v>
      </c>
      <c r="F6931">
        <v>0</v>
      </c>
      <c r="G6931">
        <v>0.06</v>
      </c>
      <c r="I6931">
        <v>5</v>
      </c>
      <c r="J6931" t="s">
        <v>445</v>
      </c>
      <c r="K6931" t="s">
        <v>446</v>
      </c>
      <c r="M6931">
        <v>2390</v>
      </c>
    </row>
    <row r="6932" spans="1:14">
      <c r="A6932">
        <v>25970000</v>
      </c>
      <c r="B6932">
        <v>3008056</v>
      </c>
      <c r="C6932" t="s">
        <v>3013</v>
      </c>
      <c r="D6932" t="s">
        <v>441</v>
      </c>
      <c r="F6932">
        <v>0</v>
      </c>
      <c r="G6932">
        <v>0</v>
      </c>
      <c r="I6932">
        <v>5</v>
      </c>
      <c r="J6932" t="s">
        <v>445</v>
      </c>
      <c r="M6932">
        <v>2391</v>
      </c>
      <c r="N6932" t="s">
        <v>16297</v>
      </c>
    </row>
    <row r="6933" spans="1:14">
      <c r="A6933">
        <v>25970007</v>
      </c>
      <c r="B6933">
        <v>3025032</v>
      </c>
      <c r="C6933" t="s">
        <v>14480</v>
      </c>
      <c r="D6933" t="s">
        <v>441</v>
      </c>
      <c r="F6933">
        <v>0</v>
      </c>
      <c r="G6933">
        <v>1.9</v>
      </c>
      <c r="H6933" t="s">
        <v>8935</v>
      </c>
      <c r="I6933">
        <v>5</v>
      </c>
      <c r="J6933" t="s">
        <v>445</v>
      </c>
      <c r="M6933">
        <v>2391</v>
      </c>
      <c r="N6933" t="s">
        <v>16297</v>
      </c>
    </row>
    <row r="6934" spans="1:14">
      <c r="A6934">
        <v>25970025</v>
      </c>
      <c r="B6934">
        <v>4019767</v>
      </c>
      <c r="C6934" t="s">
        <v>3014</v>
      </c>
      <c r="D6934" t="s">
        <v>442</v>
      </c>
      <c r="E6934" t="s">
        <v>441</v>
      </c>
      <c r="F6934">
        <v>10</v>
      </c>
      <c r="G6934">
        <v>9.81</v>
      </c>
      <c r="H6934" t="s">
        <v>8588</v>
      </c>
      <c r="I6934">
        <v>540</v>
      </c>
      <c r="J6934" t="s">
        <v>462</v>
      </c>
      <c r="M6934">
        <v>7111</v>
      </c>
      <c r="N6934" t="s">
        <v>16297</v>
      </c>
    </row>
    <row r="6935" spans="1:14">
      <c r="A6935">
        <v>25970026</v>
      </c>
      <c r="B6935">
        <v>4016354</v>
      </c>
      <c r="C6935" t="s">
        <v>3015</v>
      </c>
      <c r="D6935" t="s">
        <v>442</v>
      </c>
      <c r="E6935" t="s">
        <v>441</v>
      </c>
      <c r="F6935">
        <v>10</v>
      </c>
      <c r="G6935">
        <v>7.08</v>
      </c>
      <c r="H6935" t="s">
        <v>8588</v>
      </c>
      <c r="I6935">
        <v>540</v>
      </c>
      <c r="J6935" t="s">
        <v>462</v>
      </c>
      <c r="M6935">
        <v>7111</v>
      </c>
      <c r="N6935" t="s">
        <v>16297</v>
      </c>
    </row>
    <row r="6936" spans="1:14">
      <c r="A6936">
        <v>25970027</v>
      </c>
      <c r="B6936">
        <v>4007593</v>
      </c>
      <c r="C6936" t="s">
        <v>11977</v>
      </c>
      <c r="D6936" t="s">
        <v>441</v>
      </c>
      <c r="F6936">
        <v>0</v>
      </c>
      <c r="G6936">
        <v>0.52</v>
      </c>
      <c r="H6936" t="s">
        <v>8588</v>
      </c>
      <c r="I6936">
        <v>540</v>
      </c>
      <c r="J6936" t="s">
        <v>462</v>
      </c>
      <c r="K6936" t="s">
        <v>446</v>
      </c>
      <c r="M6936">
        <v>2501</v>
      </c>
    </row>
    <row r="6937" spans="1:14">
      <c r="A6937">
        <v>25970028</v>
      </c>
      <c r="B6937">
        <v>4006945</v>
      </c>
      <c r="C6937" t="s">
        <v>11978</v>
      </c>
      <c r="D6937" t="s">
        <v>441</v>
      </c>
      <c r="F6937">
        <v>0</v>
      </c>
      <c r="G6937">
        <v>2.92</v>
      </c>
      <c r="H6937" t="s">
        <v>8588</v>
      </c>
      <c r="I6937">
        <v>365</v>
      </c>
      <c r="J6937" t="s">
        <v>462</v>
      </c>
      <c r="K6937" t="s">
        <v>446</v>
      </c>
      <c r="L6937" t="s">
        <v>11979</v>
      </c>
      <c r="M6937">
        <v>2501</v>
      </c>
    </row>
    <row r="6938" spans="1:14">
      <c r="A6938">
        <v>25970525</v>
      </c>
      <c r="B6938">
        <v>3029683</v>
      </c>
      <c r="C6938" t="s">
        <v>3016</v>
      </c>
      <c r="D6938" t="s">
        <v>442</v>
      </c>
      <c r="E6938" t="s">
        <v>441</v>
      </c>
      <c r="F6938">
        <v>10</v>
      </c>
      <c r="G6938">
        <v>4.54</v>
      </c>
      <c r="H6938" t="s">
        <v>8588</v>
      </c>
      <c r="I6938">
        <v>540</v>
      </c>
      <c r="J6938" t="s">
        <v>445</v>
      </c>
      <c r="M6938">
        <v>2502</v>
      </c>
      <c r="N6938" t="s">
        <v>16297</v>
      </c>
    </row>
    <row r="6939" spans="1:14">
      <c r="A6939">
        <v>25970526</v>
      </c>
      <c r="B6939">
        <v>3024778</v>
      </c>
      <c r="C6939" t="s">
        <v>3017</v>
      </c>
      <c r="D6939" t="s">
        <v>442</v>
      </c>
      <c r="E6939" t="s">
        <v>441</v>
      </c>
      <c r="F6939">
        <v>10</v>
      </c>
      <c r="G6939">
        <v>4.45</v>
      </c>
      <c r="H6939" t="s">
        <v>8588</v>
      </c>
      <c r="I6939">
        <v>540</v>
      </c>
      <c r="J6939" t="s">
        <v>445</v>
      </c>
      <c r="M6939">
        <v>2502</v>
      </c>
      <c r="N6939" t="s">
        <v>16297</v>
      </c>
    </row>
    <row r="6940" spans="1:14">
      <c r="A6940">
        <v>25970527</v>
      </c>
      <c r="B6940">
        <v>3008057</v>
      </c>
      <c r="C6940" t="s">
        <v>11980</v>
      </c>
      <c r="D6940" t="s">
        <v>441</v>
      </c>
      <c r="F6940">
        <v>0</v>
      </c>
      <c r="G6940">
        <v>0.34</v>
      </c>
      <c r="H6940" t="s">
        <v>8580</v>
      </c>
      <c r="I6940">
        <v>540</v>
      </c>
      <c r="J6940" t="s">
        <v>445</v>
      </c>
      <c r="K6940" t="s">
        <v>446</v>
      </c>
      <c r="M6940">
        <v>2641</v>
      </c>
    </row>
    <row r="6941" spans="1:14">
      <c r="A6941">
        <v>25970528</v>
      </c>
      <c r="B6941">
        <v>3008058</v>
      </c>
      <c r="C6941" t="s">
        <v>11981</v>
      </c>
      <c r="D6941" t="s">
        <v>441</v>
      </c>
      <c r="F6941">
        <v>0</v>
      </c>
      <c r="G6941">
        <v>2.64</v>
      </c>
      <c r="H6941" t="s">
        <v>8580</v>
      </c>
      <c r="I6941">
        <v>5</v>
      </c>
      <c r="J6941" t="s">
        <v>445</v>
      </c>
      <c r="K6941" t="s">
        <v>446</v>
      </c>
      <c r="M6941">
        <v>2641</v>
      </c>
    </row>
    <row r="6942" spans="1:14">
      <c r="A6942">
        <v>25971000</v>
      </c>
      <c r="B6942">
        <v>3035666</v>
      </c>
      <c r="C6942" t="s">
        <v>3018</v>
      </c>
      <c r="D6942" t="s">
        <v>441</v>
      </c>
      <c r="F6942">
        <v>0</v>
      </c>
      <c r="G6942">
        <v>0.01</v>
      </c>
      <c r="H6942" t="s">
        <v>8549</v>
      </c>
      <c r="I6942">
        <v>5</v>
      </c>
      <c r="J6942" t="s">
        <v>445</v>
      </c>
      <c r="M6942">
        <v>2391</v>
      </c>
      <c r="N6942" t="s">
        <v>16297</v>
      </c>
    </row>
    <row r="6943" spans="1:14">
      <c r="A6943">
        <v>25971026</v>
      </c>
      <c r="B6943">
        <v>4016355</v>
      </c>
      <c r="C6943" t="s">
        <v>3019</v>
      </c>
      <c r="D6943" t="s">
        <v>442</v>
      </c>
      <c r="E6943" t="s">
        <v>441</v>
      </c>
      <c r="F6943">
        <v>10</v>
      </c>
      <c r="G6943">
        <v>8.25</v>
      </c>
      <c r="H6943" t="s">
        <v>8588</v>
      </c>
      <c r="I6943">
        <v>540</v>
      </c>
      <c r="J6943" t="s">
        <v>462</v>
      </c>
      <c r="M6943">
        <v>7111</v>
      </c>
      <c r="N6943" t="s">
        <v>16297</v>
      </c>
    </row>
    <row r="6944" spans="1:14">
      <c r="A6944">
        <v>25971526</v>
      </c>
      <c r="B6944">
        <v>3024779</v>
      </c>
      <c r="C6944" t="s">
        <v>3020</v>
      </c>
      <c r="D6944" t="s">
        <v>442</v>
      </c>
      <c r="E6944" t="s">
        <v>441</v>
      </c>
      <c r="F6944">
        <v>10</v>
      </c>
      <c r="G6944">
        <v>4.45</v>
      </c>
      <c r="H6944" t="s">
        <v>8549</v>
      </c>
      <c r="I6944">
        <v>540</v>
      </c>
      <c r="J6944" t="s">
        <v>445</v>
      </c>
      <c r="M6944">
        <v>2502</v>
      </c>
      <c r="N6944" t="s">
        <v>16297</v>
      </c>
    </row>
    <row r="6945" spans="1:14">
      <c r="A6945">
        <v>25973000</v>
      </c>
      <c r="B6945">
        <v>3016319</v>
      </c>
      <c r="C6945" t="s">
        <v>11982</v>
      </c>
      <c r="D6945" t="s">
        <v>441</v>
      </c>
      <c r="F6945">
        <v>0</v>
      </c>
      <c r="G6945">
        <v>2.21</v>
      </c>
      <c r="H6945" t="s">
        <v>8580</v>
      </c>
      <c r="I6945">
        <v>5</v>
      </c>
      <c r="J6945" t="s">
        <v>445</v>
      </c>
      <c r="K6945" t="s">
        <v>446</v>
      </c>
      <c r="M6945">
        <v>2390</v>
      </c>
    </row>
    <row r="6946" spans="1:14">
      <c r="A6946">
        <v>25975000</v>
      </c>
      <c r="B6946">
        <v>3035256</v>
      </c>
      <c r="C6946" t="s">
        <v>3021</v>
      </c>
      <c r="D6946" t="s">
        <v>441</v>
      </c>
      <c r="F6946">
        <v>0</v>
      </c>
      <c r="G6946">
        <v>0.01</v>
      </c>
      <c r="H6946" t="s">
        <v>8580</v>
      </c>
      <c r="I6946">
        <v>5</v>
      </c>
      <c r="J6946" t="s">
        <v>445</v>
      </c>
      <c r="M6946">
        <v>2391</v>
      </c>
      <c r="N6946" t="s">
        <v>16297</v>
      </c>
    </row>
    <row r="6947" spans="1:14">
      <c r="A6947">
        <v>25975026</v>
      </c>
      <c r="B6947">
        <v>4023893</v>
      </c>
      <c r="C6947" t="s">
        <v>3022</v>
      </c>
      <c r="D6947" t="s">
        <v>442</v>
      </c>
      <c r="E6947" t="s">
        <v>441</v>
      </c>
      <c r="F6947">
        <v>10</v>
      </c>
      <c r="G6947">
        <v>9.82</v>
      </c>
      <c r="H6947" t="s">
        <v>8588</v>
      </c>
      <c r="I6947">
        <v>540</v>
      </c>
      <c r="J6947" t="s">
        <v>462</v>
      </c>
      <c r="M6947">
        <v>7111</v>
      </c>
      <c r="N6947" t="s">
        <v>16297</v>
      </c>
    </row>
    <row r="6948" spans="1:14">
      <c r="A6948">
        <v>25975526</v>
      </c>
      <c r="B6948">
        <v>3035257</v>
      </c>
      <c r="C6948" t="s">
        <v>3023</v>
      </c>
      <c r="D6948" t="s">
        <v>442</v>
      </c>
      <c r="E6948" t="s">
        <v>441</v>
      </c>
      <c r="F6948">
        <v>10</v>
      </c>
      <c r="G6948">
        <v>4.55</v>
      </c>
      <c r="H6948" t="s">
        <v>8588</v>
      </c>
      <c r="I6948">
        <v>540</v>
      </c>
      <c r="J6948" t="s">
        <v>445</v>
      </c>
      <c r="M6948">
        <v>2502</v>
      </c>
      <c r="N6948" t="s">
        <v>16297</v>
      </c>
    </row>
    <row r="6949" spans="1:14">
      <c r="A6949">
        <v>25976000</v>
      </c>
      <c r="B6949">
        <v>3009064</v>
      </c>
      <c r="C6949" t="s">
        <v>11983</v>
      </c>
      <c r="D6949" t="s">
        <v>441</v>
      </c>
      <c r="F6949">
        <v>0</v>
      </c>
      <c r="G6949">
        <v>2.52</v>
      </c>
      <c r="I6949">
        <v>5</v>
      </c>
      <c r="J6949" t="s">
        <v>445</v>
      </c>
      <c r="K6949" t="s">
        <v>446</v>
      </c>
      <c r="M6949">
        <v>2390</v>
      </c>
    </row>
    <row r="6950" spans="1:14">
      <c r="A6950">
        <v>25980000</v>
      </c>
      <c r="B6950">
        <v>3016030</v>
      </c>
      <c r="C6950" t="s">
        <v>11984</v>
      </c>
      <c r="D6950" t="s">
        <v>441</v>
      </c>
      <c r="F6950">
        <v>0</v>
      </c>
      <c r="H6950" t="s">
        <v>8584</v>
      </c>
      <c r="I6950">
        <v>5</v>
      </c>
      <c r="J6950" t="s">
        <v>445</v>
      </c>
      <c r="M6950">
        <v>2391</v>
      </c>
      <c r="N6950" t="s">
        <v>16291</v>
      </c>
    </row>
    <row r="6951" spans="1:14">
      <c r="A6951">
        <v>25990000</v>
      </c>
      <c r="B6951">
        <v>3016032</v>
      </c>
      <c r="C6951" t="s">
        <v>11985</v>
      </c>
      <c r="D6951" t="s">
        <v>441</v>
      </c>
      <c r="F6951">
        <v>0</v>
      </c>
      <c r="I6951">
        <v>5</v>
      </c>
      <c r="J6951" t="s">
        <v>445</v>
      </c>
      <c r="M6951">
        <v>2391</v>
      </c>
      <c r="N6951" t="s">
        <v>16291</v>
      </c>
    </row>
    <row r="6952" spans="1:14">
      <c r="A6952">
        <v>25991000</v>
      </c>
      <c r="B6952">
        <v>3035643</v>
      </c>
      <c r="C6952" t="s">
        <v>11986</v>
      </c>
      <c r="D6952" t="s">
        <v>441</v>
      </c>
      <c r="F6952">
        <v>0</v>
      </c>
      <c r="G6952">
        <v>0.01</v>
      </c>
      <c r="H6952" t="s">
        <v>8549</v>
      </c>
      <c r="I6952">
        <v>5</v>
      </c>
      <c r="J6952" t="s">
        <v>445</v>
      </c>
      <c r="M6952">
        <v>2391</v>
      </c>
      <c r="N6952" t="s">
        <v>16291</v>
      </c>
    </row>
    <row r="6953" spans="1:14">
      <c r="A6953">
        <v>26680087</v>
      </c>
      <c r="B6953">
        <v>1101061</v>
      </c>
      <c r="C6953" t="s">
        <v>17497</v>
      </c>
      <c r="D6953" t="s">
        <v>441</v>
      </c>
      <c r="F6953">
        <v>0</v>
      </c>
      <c r="G6953">
        <v>0.8</v>
      </c>
      <c r="H6953" t="s">
        <v>8933</v>
      </c>
      <c r="I6953">
        <v>120</v>
      </c>
      <c r="J6953" t="s">
        <v>511</v>
      </c>
      <c r="M6953">
        <v>2142</v>
      </c>
      <c r="N6953" t="s">
        <v>17498</v>
      </c>
    </row>
    <row r="6954" spans="1:14">
      <c r="A6954">
        <v>26690087</v>
      </c>
      <c r="B6954">
        <v>1100960</v>
      </c>
      <c r="C6954" t="s">
        <v>14481</v>
      </c>
      <c r="D6954" t="s">
        <v>441</v>
      </c>
      <c r="F6954">
        <v>0</v>
      </c>
      <c r="G6954">
        <v>0.8</v>
      </c>
      <c r="H6954" t="s">
        <v>8933</v>
      </c>
      <c r="I6954">
        <v>365</v>
      </c>
      <c r="J6954" t="s">
        <v>511</v>
      </c>
      <c r="M6954">
        <v>0</v>
      </c>
      <c r="N6954" t="s">
        <v>15981</v>
      </c>
    </row>
    <row r="6955" spans="1:14">
      <c r="A6955">
        <v>26700000</v>
      </c>
      <c r="B6955">
        <v>3041959</v>
      </c>
      <c r="C6955" t="s">
        <v>11987</v>
      </c>
      <c r="D6955" t="s">
        <v>441</v>
      </c>
      <c r="F6955">
        <v>0</v>
      </c>
      <c r="G6955">
        <v>14677.73</v>
      </c>
      <c r="H6955" t="s">
        <v>8588</v>
      </c>
      <c r="I6955">
        <v>1095</v>
      </c>
      <c r="J6955" t="s">
        <v>445</v>
      </c>
      <c r="M6955">
        <v>2142</v>
      </c>
      <c r="N6955" t="s">
        <v>16306</v>
      </c>
    </row>
    <row r="6956" spans="1:14">
      <c r="A6956">
        <v>26700088</v>
      </c>
      <c r="B6956">
        <v>4027786</v>
      </c>
      <c r="C6956" t="s">
        <v>11988</v>
      </c>
      <c r="E6956" t="s">
        <v>441</v>
      </c>
      <c r="F6956">
        <v>0.01</v>
      </c>
      <c r="G6956">
        <v>111.18</v>
      </c>
      <c r="H6956" t="s">
        <v>8588</v>
      </c>
      <c r="I6956">
        <v>1095</v>
      </c>
      <c r="J6956" t="s">
        <v>462</v>
      </c>
      <c r="M6956">
        <v>2142</v>
      </c>
      <c r="N6956" t="s">
        <v>16306</v>
      </c>
    </row>
    <row r="6957" spans="1:14">
      <c r="A6957">
        <v>26710087</v>
      </c>
      <c r="B6957">
        <v>1100891</v>
      </c>
      <c r="C6957" t="s">
        <v>17499</v>
      </c>
      <c r="D6957" t="s">
        <v>441</v>
      </c>
      <c r="F6957">
        <v>0</v>
      </c>
      <c r="G6957">
        <v>0.01</v>
      </c>
      <c r="H6957" t="s">
        <v>8933</v>
      </c>
      <c r="I6957">
        <v>3</v>
      </c>
      <c r="J6957" t="s">
        <v>511</v>
      </c>
      <c r="M6957">
        <v>0</v>
      </c>
      <c r="N6957" t="s">
        <v>16300</v>
      </c>
    </row>
    <row r="6958" spans="1:14">
      <c r="A6958">
        <v>26720087</v>
      </c>
      <c r="B6958">
        <v>1100822</v>
      </c>
      <c r="C6958" t="s">
        <v>15591</v>
      </c>
      <c r="D6958" t="s">
        <v>441</v>
      </c>
      <c r="F6958">
        <v>0</v>
      </c>
      <c r="G6958">
        <v>0.3</v>
      </c>
      <c r="H6958" t="s">
        <v>8933</v>
      </c>
      <c r="I6958">
        <v>3</v>
      </c>
      <c r="J6958" t="s">
        <v>511</v>
      </c>
      <c r="M6958">
        <v>0</v>
      </c>
      <c r="N6958" t="s">
        <v>16300</v>
      </c>
    </row>
    <row r="6959" spans="1:14">
      <c r="A6959">
        <v>26720088</v>
      </c>
      <c r="B6959">
        <v>3046088</v>
      </c>
      <c r="C6959" t="s">
        <v>17500</v>
      </c>
      <c r="D6959" t="s">
        <v>441</v>
      </c>
      <c r="F6959">
        <v>0</v>
      </c>
      <c r="G6959">
        <v>0.48</v>
      </c>
      <c r="H6959" t="s">
        <v>8588</v>
      </c>
      <c r="I6959">
        <v>4</v>
      </c>
      <c r="J6959" t="s">
        <v>445</v>
      </c>
      <c r="M6959">
        <v>7112</v>
      </c>
      <c r="N6959" t="s">
        <v>16291</v>
      </c>
    </row>
    <row r="6960" spans="1:14">
      <c r="A6960">
        <v>26730087</v>
      </c>
      <c r="B6960">
        <v>1100823</v>
      </c>
      <c r="C6960" t="s">
        <v>11989</v>
      </c>
      <c r="D6960" t="s">
        <v>441</v>
      </c>
      <c r="F6960">
        <v>0</v>
      </c>
      <c r="G6960">
        <v>0.01</v>
      </c>
      <c r="H6960" t="s">
        <v>8933</v>
      </c>
      <c r="I6960">
        <v>3</v>
      </c>
      <c r="J6960" t="s">
        <v>511</v>
      </c>
      <c r="M6960">
        <v>0</v>
      </c>
      <c r="N6960" t="s">
        <v>15981</v>
      </c>
    </row>
    <row r="6961" spans="1:14">
      <c r="A6961">
        <v>26740088</v>
      </c>
      <c r="B6961">
        <v>1100793</v>
      </c>
      <c r="C6961" t="s">
        <v>15592</v>
      </c>
      <c r="D6961" t="s">
        <v>441</v>
      </c>
      <c r="F6961">
        <v>0</v>
      </c>
      <c r="G6961">
        <v>0.8</v>
      </c>
      <c r="H6961" t="s">
        <v>8933</v>
      </c>
      <c r="I6961">
        <v>3</v>
      </c>
      <c r="J6961" t="s">
        <v>511</v>
      </c>
      <c r="M6961">
        <v>0</v>
      </c>
      <c r="N6961" t="s">
        <v>16300</v>
      </c>
    </row>
    <row r="6962" spans="1:14">
      <c r="A6962">
        <v>26750088</v>
      </c>
      <c r="B6962">
        <v>1100792</v>
      </c>
      <c r="C6962" t="s">
        <v>3024</v>
      </c>
      <c r="D6962" t="s">
        <v>441</v>
      </c>
      <c r="F6962">
        <v>0</v>
      </c>
      <c r="G6962">
        <v>0.01</v>
      </c>
      <c r="H6962" t="s">
        <v>8933</v>
      </c>
      <c r="I6962">
        <v>3</v>
      </c>
      <c r="J6962" t="s">
        <v>511</v>
      </c>
      <c r="M6962">
        <v>0</v>
      </c>
      <c r="N6962" t="s">
        <v>15981</v>
      </c>
    </row>
    <row r="6963" spans="1:14">
      <c r="A6963">
        <v>26760088</v>
      </c>
      <c r="B6963">
        <v>1100791</v>
      </c>
      <c r="C6963" t="s">
        <v>3025</v>
      </c>
      <c r="D6963" t="s">
        <v>441</v>
      </c>
      <c r="F6963">
        <v>0</v>
      </c>
      <c r="G6963">
        <v>0.01</v>
      </c>
      <c r="H6963" t="s">
        <v>8933</v>
      </c>
      <c r="I6963">
        <v>3</v>
      </c>
      <c r="J6963" t="s">
        <v>511</v>
      </c>
      <c r="M6963">
        <v>0</v>
      </c>
      <c r="N6963" t="s">
        <v>15981</v>
      </c>
    </row>
    <row r="6964" spans="1:14">
      <c r="A6964">
        <v>26770088</v>
      </c>
      <c r="B6964">
        <v>1100790</v>
      </c>
      <c r="C6964" t="s">
        <v>3026</v>
      </c>
      <c r="D6964" t="s">
        <v>441</v>
      </c>
      <c r="F6964">
        <v>0</v>
      </c>
      <c r="G6964">
        <v>0.01</v>
      </c>
      <c r="H6964" t="s">
        <v>8933</v>
      </c>
      <c r="I6964">
        <v>3</v>
      </c>
      <c r="J6964" t="s">
        <v>511</v>
      </c>
      <c r="M6964">
        <v>0</v>
      </c>
      <c r="N6964" t="s">
        <v>15981</v>
      </c>
    </row>
    <row r="6965" spans="1:14">
      <c r="A6965">
        <v>26780088</v>
      </c>
      <c r="B6965">
        <v>1100781</v>
      </c>
      <c r="C6965" t="s">
        <v>3027</v>
      </c>
      <c r="D6965" t="s">
        <v>441</v>
      </c>
      <c r="F6965">
        <v>0</v>
      </c>
      <c r="G6965">
        <v>0.8</v>
      </c>
      <c r="H6965" t="s">
        <v>8933</v>
      </c>
      <c r="I6965">
        <v>3</v>
      </c>
      <c r="J6965" t="s">
        <v>511</v>
      </c>
      <c r="M6965">
        <v>0</v>
      </c>
      <c r="N6965" t="s">
        <v>16307</v>
      </c>
    </row>
    <row r="6966" spans="1:14">
      <c r="A6966">
        <v>26790088</v>
      </c>
      <c r="B6966">
        <v>1100772</v>
      </c>
      <c r="C6966" t="s">
        <v>3028</v>
      </c>
      <c r="D6966" t="s">
        <v>441</v>
      </c>
      <c r="F6966">
        <v>0</v>
      </c>
      <c r="G6966">
        <v>0.01</v>
      </c>
      <c r="H6966" t="s">
        <v>8933</v>
      </c>
      <c r="I6966">
        <v>3</v>
      </c>
      <c r="J6966" t="s">
        <v>511</v>
      </c>
      <c r="M6966">
        <v>0</v>
      </c>
      <c r="N6966" t="s">
        <v>15981</v>
      </c>
    </row>
    <row r="6967" spans="1:14">
      <c r="A6967">
        <v>26800000</v>
      </c>
      <c r="B6967">
        <v>1100084</v>
      </c>
      <c r="C6967" t="s">
        <v>3029</v>
      </c>
      <c r="D6967" t="s">
        <v>441</v>
      </c>
      <c r="F6967">
        <v>0</v>
      </c>
      <c r="G6967">
        <v>0.01</v>
      </c>
      <c r="H6967" t="s">
        <v>8933</v>
      </c>
      <c r="I6967">
        <v>4</v>
      </c>
      <c r="J6967" t="s">
        <v>511</v>
      </c>
      <c r="M6967">
        <v>0</v>
      </c>
      <c r="N6967" t="s">
        <v>15981</v>
      </c>
    </row>
    <row r="6968" spans="1:14">
      <c r="A6968">
        <v>26800087</v>
      </c>
      <c r="B6968">
        <v>1100892</v>
      </c>
      <c r="C6968" t="s">
        <v>3030</v>
      </c>
      <c r="D6968" t="s">
        <v>441</v>
      </c>
      <c r="F6968">
        <v>0</v>
      </c>
      <c r="G6968">
        <v>0.01</v>
      </c>
      <c r="H6968" t="s">
        <v>8933</v>
      </c>
      <c r="I6968">
        <v>3</v>
      </c>
      <c r="J6968" t="s">
        <v>511</v>
      </c>
      <c r="M6968">
        <v>0</v>
      </c>
      <c r="N6968" t="s">
        <v>15981</v>
      </c>
    </row>
    <row r="6969" spans="1:14">
      <c r="A6969">
        <v>26820088</v>
      </c>
      <c r="B6969">
        <v>1100165</v>
      </c>
      <c r="C6969" t="s">
        <v>15593</v>
      </c>
      <c r="D6969" t="s">
        <v>441</v>
      </c>
      <c r="F6969">
        <v>0</v>
      </c>
      <c r="G6969">
        <v>0.8</v>
      </c>
      <c r="H6969" t="s">
        <v>8933</v>
      </c>
      <c r="I6969">
        <v>3</v>
      </c>
      <c r="J6969" t="s">
        <v>511</v>
      </c>
      <c r="M6969">
        <v>9908</v>
      </c>
      <c r="N6969" t="s">
        <v>16308</v>
      </c>
    </row>
    <row r="6970" spans="1:14">
      <c r="A6970">
        <v>26840088</v>
      </c>
      <c r="B6970">
        <v>1100166</v>
      </c>
      <c r="C6970" t="s">
        <v>11990</v>
      </c>
      <c r="D6970" t="s">
        <v>441</v>
      </c>
      <c r="F6970">
        <v>0</v>
      </c>
      <c r="G6970">
        <v>0.01</v>
      </c>
      <c r="H6970" t="s">
        <v>8933</v>
      </c>
      <c r="I6970">
        <v>5</v>
      </c>
      <c r="J6970" t="s">
        <v>511</v>
      </c>
      <c r="K6970" t="s">
        <v>446</v>
      </c>
      <c r="M6970">
        <v>0</v>
      </c>
      <c r="N6970" t="s">
        <v>15981</v>
      </c>
    </row>
    <row r="6971" spans="1:14">
      <c r="A6971">
        <v>26850087</v>
      </c>
      <c r="B6971">
        <v>1100890</v>
      </c>
      <c r="C6971" t="s">
        <v>3031</v>
      </c>
      <c r="D6971" t="s">
        <v>441</v>
      </c>
      <c r="F6971">
        <v>0</v>
      </c>
      <c r="G6971">
        <v>0.01</v>
      </c>
      <c r="H6971" t="s">
        <v>8933</v>
      </c>
      <c r="I6971">
        <v>3</v>
      </c>
      <c r="J6971" t="s">
        <v>511</v>
      </c>
      <c r="M6971">
        <v>0</v>
      </c>
      <c r="N6971" t="s">
        <v>15981</v>
      </c>
    </row>
    <row r="6972" spans="1:14">
      <c r="A6972">
        <v>26850088</v>
      </c>
      <c r="B6972">
        <v>1100060</v>
      </c>
      <c r="C6972" t="s">
        <v>11991</v>
      </c>
      <c r="D6972" t="s">
        <v>441</v>
      </c>
      <c r="F6972">
        <v>0</v>
      </c>
      <c r="G6972">
        <v>0.01</v>
      </c>
      <c r="H6972" t="s">
        <v>8933</v>
      </c>
      <c r="I6972">
        <v>0</v>
      </c>
      <c r="J6972" t="s">
        <v>511</v>
      </c>
      <c r="M6972">
        <v>0</v>
      </c>
      <c r="N6972" t="s">
        <v>15981</v>
      </c>
    </row>
    <row r="6973" spans="1:14">
      <c r="A6973">
        <v>26860086</v>
      </c>
      <c r="B6973">
        <v>1200040</v>
      </c>
      <c r="C6973" t="s">
        <v>11992</v>
      </c>
      <c r="D6973" t="s">
        <v>441</v>
      </c>
      <c r="F6973">
        <v>0</v>
      </c>
      <c r="G6973">
        <v>0.01</v>
      </c>
      <c r="H6973" t="s">
        <v>8933</v>
      </c>
      <c r="I6973">
        <v>5</v>
      </c>
      <c r="J6973" t="s">
        <v>510</v>
      </c>
      <c r="M6973">
        <v>0</v>
      </c>
      <c r="N6973" t="s">
        <v>15974</v>
      </c>
    </row>
    <row r="6974" spans="1:14">
      <c r="A6974">
        <v>26860087</v>
      </c>
      <c r="B6974">
        <v>1100174</v>
      </c>
      <c r="C6974" t="s">
        <v>11993</v>
      </c>
      <c r="D6974" t="s">
        <v>441</v>
      </c>
      <c r="F6974">
        <v>0</v>
      </c>
      <c r="G6974">
        <v>0.01</v>
      </c>
      <c r="H6974" t="s">
        <v>8933</v>
      </c>
      <c r="I6974">
        <v>3</v>
      </c>
      <c r="J6974" t="s">
        <v>511</v>
      </c>
      <c r="K6974" t="s">
        <v>446</v>
      </c>
      <c r="M6974">
        <v>9908</v>
      </c>
    </row>
    <row r="6975" spans="1:14">
      <c r="A6975">
        <v>26870086</v>
      </c>
      <c r="B6975">
        <v>1200240</v>
      </c>
      <c r="C6975" t="s">
        <v>11994</v>
      </c>
      <c r="D6975" t="s">
        <v>441</v>
      </c>
      <c r="F6975">
        <v>0</v>
      </c>
      <c r="G6975">
        <v>0.01</v>
      </c>
      <c r="I6975">
        <v>3</v>
      </c>
      <c r="J6975" t="s">
        <v>510</v>
      </c>
      <c r="M6975">
        <v>0</v>
      </c>
      <c r="N6975" t="s">
        <v>15974</v>
      </c>
    </row>
    <row r="6976" spans="1:14">
      <c r="A6976">
        <v>26870087</v>
      </c>
      <c r="B6976">
        <v>1100173</v>
      </c>
      <c r="C6976" t="s">
        <v>11995</v>
      </c>
      <c r="D6976" t="s">
        <v>441</v>
      </c>
      <c r="F6976">
        <v>0</v>
      </c>
      <c r="G6976">
        <v>0.01</v>
      </c>
      <c r="H6976" t="s">
        <v>8933</v>
      </c>
      <c r="I6976">
        <v>3</v>
      </c>
      <c r="J6976" t="s">
        <v>511</v>
      </c>
      <c r="K6976" t="s">
        <v>446</v>
      </c>
      <c r="M6976">
        <v>9908</v>
      </c>
    </row>
    <row r="6977" spans="1:14">
      <c r="A6977">
        <v>26880087</v>
      </c>
      <c r="B6977">
        <v>1100170</v>
      </c>
      <c r="C6977" t="s">
        <v>3032</v>
      </c>
      <c r="D6977" t="s">
        <v>441</v>
      </c>
      <c r="F6977">
        <v>0</v>
      </c>
      <c r="G6977">
        <v>0.01</v>
      </c>
      <c r="H6977" t="s">
        <v>8933</v>
      </c>
      <c r="I6977">
        <v>3</v>
      </c>
      <c r="J6977" t="s">
        <v>511</v>
      </c>
      <c r="M6977">
        <v>9908</v>
      </c>
      <c r="N6977" t="s">
        <v>15981</v>
      </c>
    </row>
    <row r="6978" spans="1:14">
      <c r="A6978">
        <v>26890000</v>
      </c>
      <c r="B6978">
        <v>1200014</v>
      </c>
      <c r="C6978" t="s">
        <v>11996</v>
      </c>
      <c r="D6978" t="s">
        <v>441</v>
      </c>
      <c r="F6978">
        <v>0</v>
      </c>
      <c r="G6978">
        <v>0.01</v>
      </c>
      <c r="H6978" t="s">
        <v>8933</v>
      </c>
      <c r="I6978">
        <v>5</v>
      </c>
      <c r="J6978" t="s">
        <v>510</v>
      </c>
      <c r="M6978">
        <v>0</v>
      </c>
      <c r="N6978" t="s">
        <v>15974</v>
      </c>
    </row>
    <row r="6979" spans="1:14">
      <c r="A6979">
        <v>26900087</v>
      </c>
      <c r="B6979">
        <v>1100780</v>
      </c>
      <c r="C6979" t="s">
        <v>3033</v>
      </c>
      <c r="D6979" t="s">
        <v>441</v>
      </c>
      <c r="F6979">
        <v>0</v>
      </c>
      <c r="G6979">
        <v>0.01</v>
      </c>
      <c r="H6979" t="s">
        <v>8933</v>
      </c>
      <c r="I6979">
        <v>3</v>
      </c>
      <c r="J6979" t="s">
        <v>511</v>
      </c>
      <c r="M6979">
        <v>0</v>
      </c>
      <c r="N6979" t="s">
        <v>15981</v>
      </c>
    </row>
    <row r="6980" spans="1:14">
      <c r="A6980">
        <v>26900088</v>
      </c>
      <c r="B6980">
        <v>1100601</v>
      </c>
      <c r="C6980" t="s">
        <v>11997</v>
      </c>
      <c r="D6980" t="s">
        <v>441</v>
      </c>
      <c r="F6980">
        <v>0</v>
      </c>
      <c r="G6980">
        <v>0.01</v>
      </c>
      <c r="H6980" t="s">
        <v>8933</v>
      </c>
      <c r="I6980">
        <v>3</v>
      </c>
      <c r="J6980" t="s">
        <v>511</v>
      </c>
      <c r="M6980">
        <v>9908</v>
      </c>
      <c r="N6980" t="s">
        <v>15981</v>
      </c>
    </row>
    <row r="6981" spans="1:14">
      <c r="A6981">
        <v>26910000</v>
      </c>
      <c r="B6981">
        <v>1100320</v>
      </c>
      <c r="C6981" t="s">
        <v>11998</v>
      </c>
      <c r="D6981" t="s">
        <v>441</v>
      </c>
      <c r="F6981">
        <v>0</v>
      </c>
      <c r="G6981">
        <v>0.01</v>
      </c>
      <c r="I6981">
        <v>180</v>
      </c>
      <c r="J6981" t="s">
        <v>511</v>
      </c>
      <c r="M6981">
        <v>0</v>
      </c>
      <c r="N6981" t="s">
        <v>15981</v>
      </c>
    </row>
    <row r="6982" spans="1:14">
      <c r="A6982">
        <v>26910088</v>
      </c>
      <c r="B6982">
        <v>1100321</v>
      </c>
      <c r="C6982" t="s">
        <v>11999</v>
      </c>
      <c r="D6982" t="s">
        <v>441</v>
      </c>
      <c r="F6982">
        <v>0</v>
      </c>
      <c r="G6982">
        <v>0.01</v>
      </c>
      <c r="H6982" t="s">
        <v>8933</v>
      </c>
      <c r="I6982">
        <v>180</v>
      </c>
      <c r="J6982" t="s">
        <v>511</v>
      </c>
      <c r="M6982">
        <v>9908</v>
      </c>
      <c r="N6982" t="s">
        <v>15981</v>
      </c>
    </row>
    <row r="6983" spans="1:14">
      <c r="A6983">
        <v>26920000</v>
      </c>
      <c r="B6983">
        <v>1200075</v>
      </c>
      <c r="C6983" t="s">
        <v>12000</v>
      </c>
      <c r="D6983" t="s">
        <v>441</v>
      </c>
      <c r="F6983">
        <v>0</v>
      </c>
      <c r="G6983">
        <v>0.01</v>
      </c>
      <c r="I6983">
        <v>2</v>
      </c>
      <c r="J6983" t="s">
        <v>510</v>
      </c>
      <c r="M6983">
        <v>0</v>
      </c>
      <c r="N6983" t="s">
        <v>15974</v>
      </c>
    </row>
    <row r="6984" spans="1:14">
      <c r="A6984">
        <v>26920085</v>
      </c>
      <c r="B6984">
        <v>1200281</v>
      </c>
      <c r="C6984" t="s">
        <v>17501</v>
      </c>
      <c r="D6984" t="s">
        <v>441</v>
      </c>
      <c r="F6984">
        <v>0</v>
      </c>
      <c r="G6984">
        <v>0.01</v>
      </c>
      <c r="H6984" t="s">
        <v>8933</v>
      </c>
      <c r="I6984">
        <v>3</v>
      </c>
      <c r="J6984" t="s">
        <v>510</v>
      </c>
      <c r="M6984">
        <v>2146</v>
      </c>
      <c r="N6984" t="s">
        <v>15974</v>
      </c>
    </row>
    <row r="6985" spans="1:14">
      <c r="A6985">
        <v>26920086</v>
      </c>
      <c r="B6985">
        <v>1200043</v>
      </c>
      <c r="C6985" t="s">
        <v>3034</v>
      </c>
      <c r="D6985" t="s">
        <v>441</v>
      </c>
      <c r="E6985" t="s">
        <v>442</v>
      </c>
      <c r="F6985">
        <v>0</v>
      </c>
      <c r="G6985">
        <v>0.01</v>
      </c>
      <c r="I6985">
        <v>3</v>
      </c>
      <c r="J6985" t="s">
        <v>510</v>
      </c>
      <c r="M6985">
        <v>0</v>
      </c>
      <c r="N6985" t="s">
        <v>15974</v>
      </c>
    </row>
    <row r="6986" spans="1:14">
      <c r="A6986">
        <v>26920087</v>
      </c>
      <c r="B6986">
        <v>1100169</v>
      </c>
      <c r="C6986" t="s">
        <v>12001</v>
      </c>
      <c r="D6986" t="s">
        <v>441</v>
      </c>
      <c r="E6986" t="s">
        <v>442</v>
      </c>
      <c r="F6986">
        <v>0</v>
      </c>
      <c r="G6986">
        <v>0.01</v>
      </c>
      <c r="H6986" t="s">
        <v>8933</v>
      </c>
      <c r="I6986">
        <v>3</v>
      </c>
      <c r="J6986" t="s">
        <v>511</v>
      </c>
      <c r="K6986" t="s">
        <v>446</v>
      </c>
      <c r="M6986">
        <v>0</v>
      </c>
    </row>
    <row r="6987" spans="1:14">
      <c r="A6987">
        <v>26920088</v>
      </c>
      <c r="B6987">
        <v>1200079</v>
      </c>
      <c r="C6987" t="s">
        <v>12002</v>
      </c>
      <c r="D6987" t="s">
        <v>441</v>
      </c>
      <c r="F6987">
        <v>0</v>
      </c>
      <c r="G6987">
        <v>0.01</v>
      </c>
      <c r="H6987" t="s">
        <v>8933</v>
      </c>
      <c r="I6987">
        <v>3</v>
      </c>
      <c r="J6987" t="s">
        <v>510</v>
      </c>
      <c r="M6987">
        <v>0</v>
      </c>
      <c r="N6987" t="s">
        <v>15974</v>
      </c>
    </row>
    <row r="6988" spans="1:14">
      <c r="A6988">
        <v>26930000</v>
      </c>
      <c r="B6988">
        <v>1100089</v>
      </c>
      <c r="C6988" t="s">
        <v>12003</v>
      </c>
      <c r="D6988" t="s">
        <v>441</v>
      </c>
      <c r="F6988">
        <v>0</v>
      </c>
      <c r="G6988">
        <v>0.01</v>
      </c>
      <c r="H6988" t="s">
        <v>8933</v>
      </c>
      <c r="I6988">
        <v>5</v>
      </c>
      <c r="J6988" t="s">
        <v>511</v>
      </c>
      <c r="M6988">
        <v>0</v>
      </c>
      <c r="N6988" t="s">
        <v>15981</v>
      </c>
    </row>
    <row r="6989" spans="1:14">
      <c r="A6989">
        <v>26930088</v>
      </c>
      <c r="B6989">
        <v>1100158</v>
      </c>
      <c r="C6989" t="s">
        <v>14482</v>
      </c>
      <c r="D6989" t="s">
        <v>441</v>
      </c>
      <c r="F6989">
        <v>0</v>
      </c>
      <c r="G6989">
        <v>0.8</v>
      </c>
      <c r="H6989" t="s">
        <v>8933</v>
      </c>
      <c r="I6989">
        <v>3</v>
      </c>
      <c r="J6989" t="s">
        <v>511</v>
      </c>
      <c r="M6989">
        <v>0</v>
      </c>
      <c r="N6989" t="s">
        <v>15981</v>
      </c>
    </row>
    <row r="6990" spans="1:14">
      <c r="A6990">
        <v>26940000</v>
      </c>
      <c r="B6990">
        <v>1100044</v>
      </c>
      <c r="C6990" t="s">
        <v>12004</v>
      </c>
      <c r="D6990" t="s">
        <v>441</v>
      </c>
      <c r="F6990">
        <v>0</v>
      </c>
      <c r="G6990">
        <v>0.01</v>
      </c>
      <c r="H6990" t="s">
        <v>8933</v>
      </c>
      <c r="I6990">
        <v>3</v>
      </c>
      <c r="J6990" t="s">
        <v>511</v>
      </c>
      <c r="M6990">
        <v>0</v>
      </c>
      <c r="N6990" t="s">
        <v>16309</v>
      </c>
    </row>
    <row r="6991" spans="1:14">
      <c r="A6991">
        <v>26940087</v>
      </c>
      <c r="B6991">
        <v>1101030</v>
      </c>
      <c r="C6991" t="s">
        <v>15651</v>
      </c>
      <c r="D6991" t="s">
        <v>441</v>
      </c>
      <c r="F6991">
        <v>0</v>
      </c>
      <c r="G6991">
        <v>0.01</v>
      </c>
      <c r="H6991" t="s">
        <v>8933</v>
      </c>
      <c r="I6991">
        <v>3</v>
      </c>
      <c r="J6991" t="s">
        <v>511</v>
      </c>
      <c r="M6991">
        <v>2162</v>
      </c>
    </row>
    <row r="6992" spans="1:14">
      <c r="A6992">
        <v>26950000</v>
      </c>
      <c r="B6992">
        <v>1100152</v>
      </c>
      <c r="C6992" t="s">
        <v>12005</v>
      </c>
      <c r="D6992" t="s">
        <v>441</v>
      </c>
      <c r="F6992">
        <v>0</v>
      </c>
      <c r="G6992">
        <v>0.01</v>
      </c>
      <c r="I6992">
        <v>5</v>
      </c>
      <c r="J6992" t="s">
        <v>511</v>
      </c>
      <c r="K6992" t="s">
        <v>446</v>
      </c>
      <c r="M6992">
        <v>0</v>
      </c>
      <c r="N6992" t="s">
        <v>15981</v>
      </c>
    </row>
    <row r="6993" spans="1:14">
      <c r="A6993">
        <v>26950088</v>
      </c>
      <c r="B6993">
        <v>1100061</v>
      </c>
      <c r="C6993" t="s">
        <v>12006</v>
      </c>
      <c r="D6993" t="s">
        <v>441</v>
      </c>
      <c r="F6993">
        <v>0</v>
      </c>
      <c r="G6993">
        <v>0.01</v>
      </c>
      <c r="H6993" t="s">
        <v>8933</v>
      </c>
      <c r="I6993">
        <v>0</v>
      </c>
      <c r="J6993" t="s">
        <v>511</v>
      </c>
      <c r="K6993" t="s">
        <v>446</v>
      </c>
      <c r="M6993">
        <v>0</v>
      </c>
      <c r="N6993" t="s">
        <v>15981</v>
      </c>
    </row>
    <row r="6994" spans="1:14">
      <c r="A6994">
        <v>26960000</v>
      </c>
      <c r="B6994">
        <v>1100153</v>
      </c>
      <c r="C6994" t="s">
        <v>12007</v>
      </c>
      <c r="D6994" t="s">
        <v>441</v>
      </c>
      <c r="F6994">
        <v>0</v>
      </c>
      <c r="G6994">
        <v>0.01</v>
      </c>
      <c r="I6994">
        <v>5</v>
      </c>
      <c r="J6994" t="s">
        <v>511</v>
      </c>
      <c r="K6994" t="s">
        <v>446</v>
      </c>
      <c r="M6994">
        <v>0</v>
      </c>
      <c r="N6994" t="s">
        <v>15981</v>
      </c>
    </row>
    <row r="6995" spans="1:14">
      <c r="A6995">
        <v>26970087</v>
      </c>
      <c r="B6995">
        <v>4009558</v>
      </c>
      <c r="C6995" t="s">
        <v>12008</v>
      </c>
      <c r="D6995" t="s">
        <v>441</v>
      </c>
      <c r="F6995">
        <v>0</v>
      </c>
      <c r="G6995">
        <v>3.98</v>
      </c>
      <c r="H6995" t="s">
        <v>8587</v>
      </c>
      <c r="I6995">
        <v>6</v>
      </c>
      <c r="J6995" t="s">
        <v>462</v>
      </c>
      <c r="K6995" t="s">
        <v>446</v>
      </c>
      <c r="M6995">
        <v>2142</v>
      </c>
      <c r="N6995" t="s">
        <v>16285</v>
      </c>
    </row>
    <row r="6996" spans="1:14">
      <c r="A6996">
        <v>26980080</v>
      </c>
      <c r="B6996">
        <v>3041906</v>
      </c>
      <c r="C6996" t="s">
        <v>3035</v>
      </c>
      <c r="D6996" t="s">
        <v>441</v>
      </c>
      <c r="F6996">
        <v>0</v>
      </c>
      <c r="G6996">
        <v>10715.14</v>
      </c>
      <c r="H6996" t="s">
        <v>8588</v>
      </c>
      <c r="I6996">
        <v>1095</v>
      </c>
      <c r="J6996" t="s">
        <v>445</v>
      </c>
      <c r="M6996">
        <v>2142</v>
      </c>
      <c r="N6996" t="s">
        <v>16285</v>
      </c>
    </row>
    <row r="6997" spans="1:14">
      <c r="A6997">
        <v>26980087</v>
      </c>
      <c r="B6997">
        <v>4006920</v>
      </c>
      <c r="C6997" t="s">
        <v>12009</v>
      </c>
      <c r="D6997" t="s">
        <v>441</v>
      </c>
      <c r="F6997">
        <v>0</v>
      </c>
      <c r="G6997">
        <v>1939.17</v>
      </c>
      <c r="H6997" t="s">
        <v>8587</v>
      </c>
      <c r="I6997">
        <v>0</v>
      </c>
      <c r="J6997" t="s">
        <v>462</v>
      </c>
      <c r="K6997" t="s">
        <v>446</v>
      </c>
      <c r="M6997">
        <v>2142</v>
      </c>
      <c r="N6997" t="s">
        <v>16285</v>
      </c>
    </row>
    <row r="6998" spans="1:14">
      <c r="A6998">
        <v>26980088</v>
      </c>
      <c r="B6998">
        <v>4021441</v>
      </c>
      <c r="C6998" t="s">
        <v>12010</v>
      </c>
      <c r="D6998" t="s">
        <v>441</v>
      </c>
      <c r="F6998">
        <v>0</v>
      </c>
      <c r="G6998">
        <v>10203.379999999999</v>
      </c>
      <c r="H6998" t="s">
        <v>8587</v>
      </c>
      <c r="I6998">
        <v>0</v>
      </c>
      <c r="J6998" t="s">
        <v>462</v>
      </c>
      <c r="M6998">
        <v>2142</v>
      </c>
      <c r="N6998" t="s">
        <v>16285</v>
      </c>
    </row>
    <row r="6999" spans="1:14">
      <c r="A6999">
        <v>26980100</v>
      </c>
      <c r="B6999">
        <v>3043826</v>
      </c>
      <c r="C6999" t="s">
        <v>12011</v>
      </c>
      <c r="E6999" t="s">
        <v>441</v>
      </c>
      <c r="F6999">
        <v>1.2999999999999999E-2</v>
      </c>
      <c r="G6999">
        <v>10645.92</v>
      </c>
      <c r="H6999" t="s">
        <v>8588</v>
      </c>
      <c r="I6999">
        <v>6</v>
      </c>
      <c r="J6999" t="s">
        <v>445</v>
      </c>
      <c r="M6999">
        <v>0</v>
      </c>
      <c r="N6999" t="s">
        <v>16285</v>
      </c>
    </row>
    <row r="7000" spans="1:14">
      <c r="A7000">
        <v>26990088</v>
      </c>
      <c r="B7000">
        <v>1100330</v>
      </c>
      <c r="C7000" t="s">
        <v>15594</v>
      </c>
      <c r="D7000" t="s">
        <v>441</v>
      </c>
      <c r="F7000">
        <v>0</v>
      </c>
      <c r="G7000">
        <v>3.6</v>
      </c>
      <c r="H7000" t="s">
        <v>8933</v>
      </c>
      <c r="I7000">
        <v>5</v>
      </c>
      <c r="J7000" t="s">
        <v>511</v>
      </c>
      <c r="M7000">
        <v>9908</v>
      </c>
      <c r="N7000" t="s">
        <v>16310</v>
      </c>
    </row>
    <row r="7001" spans="1:14">
      <c r="A7001">
        <v>27000000</v>
      </c>
      <c r="B7001">
        <v>1200077</v>
      </c>
      <c r="C7001" t="s">
        <v>12012</v>
      </c>
      <c r="D7001" t="s">
        <v>441</v>
      </c>
      <c r="F7001">
        <v>0</v>
      </c>
      <c r="G7001">
        <v>0.01</v>
      </c>
      <c r="I7001">
        <v>9</v>
      </c>
      <c r="J7001" t="s">
        <v>510</v>
      </c>
      <c r="K7001" t="s">
        <v>446</v>
      </c>
      <c r="M7001">
        <v>2142</v>
      </c>
      <c r="N7001" t="s">
        <v>15974</v>
      </c>
    </row>
    <row r="7002" spans="1:14">
      <c r="A7002">
        <v>27010000</v>
      </c>
      <c r="B7002">
        <v>3018789</v>
      </c>
      <c r="C7002" t="s">
        <v>3036</v>
      </c>
      <c r="D7002" t="s">
        <v>441</v>
      </c>
      <c r="F7002">
        <v>0</v>
      </c>
      <c r="G7002">
        <v>6.48</v>
      </c>
      <c r="H7002" t="s">
        <v>8935</v>
      </c>
      <c r="I7002">
        <v>6</v>
      </c>
      <c r="J7002" t="s">
        <v>445</v>
      </c>
      <c r="M7002">
        <v>2391</v>
      </c>
      <c r="N7002" t="s">
        <v>16017</v>
      </c>
    </row>
    <row r="7003" spans="1:14">
      <c r="A7003">
        <v>27010076</v>
      </c>
      <c r="B7003">
        <v>4019330</v>
      </c>
      <c r="C7003" t="s">
        <v>3037</v>
      </c>
      <c r="D7003" t="s">
        <v>441</v>
      </c>
      <c r="F7003">
        <v>0</v>
      </c>
      <c r="G7003">
        <v>6.68</v>
      </c>
      <c r="H7003" t="s">
        <v>8549</v>
      </c>
      <c r="I7003">
        <v>6</v>
      </c>
      <c r="J7003" t="s">
        <v>462</v>
      </c>
      <c r="M7003">
        <v>7112</v>
      </c>
      <c r="N7003" t="s">
        <v>16017</v>
      </c>
    </row>
    <row r="7004" spans="1:14">
      <c r="A7004">
        <v>27020000</v>
      </c>
      <c r="B7004">
        <v>3018812</v>
      </c>
      <c r="C7004" t="s">
        <v>3038</v>
      </c>
      <c r="D7004" t="s">
        <v>441</v>
      </c>
      <c r="F7004">
        <v>0</v>
      </c>
      <c r="G7004">
        <v>6.48</v>
      </c>
      <c r="H7004" t="s">
        <v>8935</v>
      </c>
      <c r="I7004">
        <v>6</v>
      </c>
      <c r="J7004" t="s">
        <v>445</v>
      </c>
      <c r="M7004">
        <v>2391</v>
      </c>
      <c r="N7004" t="s">
        <v>16017</v>
      </c>
    </row>
    <row r="7005" spans="1:14">
      <c r="A7005">
        <v>27020076</v>
      </c>
      <c r="B7005">
        <v>4019331</v>
      </c>
      <c r="C7005" t="s">
        <v>3039</v>
      </c>
      <c r="D7005" t="s">
        <v>441</v>
      </c>
      <c r="F7005">
        <v>0</v>
      </c>
      <c r="G7005">
        <v>6.68</v>
      </c>
      <c r="H7005" t="s">
        <v>8549</v>
      </c>
      <c r="I7005">
        <v>6</v>
      </c>
      <c r="J7005" t="s">
        <v>462</v>
      </c>
      <c r="M7005">
        <v>7112</v>
      </c>
      <c r="N7005" t="s">
        <v>16017</v>
      </c>
    </row>
    <row r="7006" spans="1:14">
      <c r="A7006">
        <v>27030076</v>
      </c>
      <c r="B7006">
        <v>4019332</v>
      </c>
      <c r="C7006" t="s">
        <v>3040</v>
      </c>
      <c r="D7006" t="s">
        <v>441</v>
      </c>
      <c r="F7006">
        <v>0</v>
      </c>
      <c r="G7006">
        <v>6.68</v>
      </c>
      <c r="H7006" t="s">
        <v>8549</v>
      </c>
      <c r="I7006">
        <v>6</v>
      </c>
      <c r="J7006" t="s">
        <v>462</v>
      </c>
      <c r="M7006">
        <v>7112</v>
      </c>
      <c r="N7006" t="s">
        <v>16017</v>
      </c>
    </row>
    <row r="7007" spans="1:14">
      <c r="A7007">
        <v>27200000</v>
      </c>
      <c r="B7007">
        <v>3008061</v>
      </c>
      <c r="C7007" t="s">
        <v>3041</v>
      </c>
      <c r="D7007" t="s">
        <v>441</v>
      </c>
      <c r="F7007">
        <v>0</v>
      </c>
      <c r="G7007">
        <v>8.89</v>
      </c>
      <c r="H7007" t="s">
        <v>8580</v>
      </c>
      <c r="I7007">
        <v>6</v>
      </c>
      <c r="J7007" t="s">
        <v>445</v>
      </c>
      <c r="K7007" t="s">
        <v>446</v>
      </c>
      <c r="M7007">
        <v>0</v>
      </c>
    </row>
    <row r="7008" spans="1:14">
      <c r="A7008">
        <v>27600000</v>
      </c>
      <c r="B7008">
        <v>3010075</v>
      </c>
      <c r="C7008" t="s">
        <v>17502</v>
      </c>
      <c r="D7008" t="s">
        <v>441</v>
      </c>
      <c r="F7008">
        <v>0</v>
      </c>
      <c r="G7008">
        <v>17.53</v>
      </c>
      <c r="H7008" t="s">
        <v>8634</v>
      </c>
      <c r="I7008">
        <v>6</v>
      </c>
      <c r="J7008" t="s">
        <v>445</v>
      </c>
      <c r="M7008">
        <v>2391</v>
      </c>
      <c r="N7008" t="s">
        <v>16021</v>
      </c>
    </row>
    <row r="7009" spans="1:14">
      <c r="A7009">
        <v>27600020</v>
      </c>
      <c r="B7009">
        <v>4009119</v>
      </c>
      <c r="C7009" t="s">
        <v>14483</v>
      </c>
      <c r="D7009" t="s">
        <v>441</v>
      </c>
      <c r="F7009">
        <v>0</v>
      </c>
      <c r="G7009">
        <v>16.18</v>
      </c>
      <c r="H7009" t="s">
        <v>8588</v>
      </c>
      <c r="I7009">
        <v>6</v>
      </c>
      <c r="J7009" t="s">
        <v>462</v>
      </c>
      <c r="M7009">
        <v>7112</v>
      </c>
      <c r="N7009" t="s">
        <v>16311</v>
      </c>
    </row>
    <row r="7010" spans="1:14">
      <c r="A7010">
        <v>27600050</v>
      </c>
      <c r="B7010">
        <v>4010563</v>
      </c>
      <c r="C7010" t="s">
        <v>3042</v>
      </c>
      <c r="D7010" t="s">
        <v>441</v>
      </c>
      <c r="F7010">
        <v>0</v>
      </c>
      <c r="G7010">
        <v>11.37</v>
      </c>
      <c r="H7010" t="s">
        <v>8588</v>
      </c>
      <c r="I7010">
        <v>16</v>
      </c>
      <c r="J7010" t="s">
        <v>462</v>
      </c>
      <c r="K7010" t="s">
        <v>446</v>
      </c>
      <c r="M7010">
        <v>2612</v>
      </c>
    </row>
    <row r="7011" spans="1:14">
      <c r="A7011">
        <v>27600051</v>
      </c>
      <c r="B7011">
        <v>4010557</v>
      </c>
      <c r="C7011" t="s">
        <v>3043</v>
      </c>
      <c r="D7011" t="s">
        <v>441</v>
      </c>
      <c r="F7011">
        <v>0</v>
      </c>
      <c r="G7011">
        <v>9.51</v>
      </c>
      <c r="H7011" t="s">
        <v>8588</v>
      </c>
      <c r="I7011">
        <v>16</v>
      </c>
      <c r="J7011" t="s">
        <v>462</v>
      </c>
      <c r="K7011" t="s">
        <v>446</v>
      </c>
      <c r="M7011">
        <v>2612</v>
      </c>
      <c r="N7011" t="s">
        <v>16311</v>
      </c>
    </row>
    <row r="7012" spans="1:14">
      <c r="A7012">
        <v>27600052</v>
      </c>
      <c r="B7012">
        <v>4012956</v>
      </c>
      <c r="C7012" t="s">
        <v>3044</v>
      </c>
      <c r="D7012" t="s">
        <v>441</v>
      </c>
      <c r="F7012">
        <v>0</v>
      </c>
      <c r="G7012">
        <v>10.65</v>
      </c>
      <c r="H7012" t="s">
        <v>8588</v>
      </c>
      <c r="I7012">
        <v>365</v>
      </c>
      <c r="J7012" t="s">
        <v>462</v>
      </c>
      <c r="K7012" t="s">
        <v>446</v>
      </c>
      <c r="M7012">
        <v>2501</v>
      </c>
      <c r="N7012" t="s">
        <v>16012</v>
      </c>
    </row>
    <row r="7013" spans="1:14">
      <c r="A7013">
        <v>27600075</v>
      </c>
      <c r="B7013">
        <v>4009951</v>
      </c>
      <c r="C7013" t="s">
        <v>3045</v>
      </c>
      <c r="D7013" t="s">
        <v>441</v>
      </c>
      <c r="F7013">
        <v>0</v>
      </c>
      <c r="G7013">
        <v>8.51</v>
      </c>
      <c r="H7013" t="s">
        <v>8588</v>
      </c>
      <c r="I7013">
        <v>6</v>
      </c>
      <c r="J7013" t="s">
        <v>462</v>
      </c>
      <c r="M7013">
        <v>7112</v>
      </c>
      <c r="N7013" t="s">
        <v>16311</v>
      </c>
    </row>
    <row r="7014" spans="1:14">
      <c r="A7014">
        <v>27600076</v>
      </c>
      <c r="B7014">
        <v>3032571</v>
      </c>
      <c r="C7014" t="s">
        <v>3046</v>
      </c>
      <c r="D7014" t="s">
        <v>441</v>
      </c>
      <c r="F7014">
        <v>0</v>
      </c>
      <c r="G7014">
        <v>8.5399999999999991</v>
      </c>
      <c r="H7014" t="s">
        <v>8549</v>
      </c>
      <c r="I7014">
        <v>6</v>
      </c>
      <c r="J7014" t="s">
        <v>445</v>
      </c>
      <c r="M7014">
        <v>7112</v>
      </c>
      <c r="N7014" t="s">
        <v>16311</v>
      </c>
    </row>
    <row r="7015" spans="1:14">
      <c r="A7015">
        <v>27600077</v>
      </c>
      <c r="B7015">
        <v>4022654</v>
      </c>
      <c r="C7015" t="s">
        <v>3047</v>
      </c>
      <c r="D7015" t="s">
        <v>441</v>
      </c>
      <c r="F7015">
        <v>0</v>
      </c>
      <c r="G7015">
        <v>8.57</v>
      </c>
      <c r="H7015" t="s">
        <v>8588</v>
      </c>
      <c r="I7015">
        <v>6</v>
      </c>
      <c r="J7015" t="s">
        <v>462</v>
      </c>
      <c r="M7015">
        <v>7112</v>
      </c>
      <c r="N7015" t="s">
        <v>16311</v>
      </c>
    </row>
    <row r="7016" spans="1:14">
      <c r="A7016">
        <v>27600552</v>
      </c>
      <c r="B7016">
        <v>3018644</v>
      </c>
      <c r="C7016" t="s">
        <v>3048</v>
      </c>
      <c r="D7016" t="s">
        <v>441</v>
      </c>
      <c r="F7016">
        <v>0</v>
      </c>
      <c r="G7016">
        <v>10.43</v>
      </c>
      <c r="H7016" t="s">
        <v>8580</v>
      </c>
      <c r="I7016">
        <v>365</v>
      </c>
      <c r="J7016" t="s">
        <v>445</v>
      </c>
      <c r="K7016" t="s">
        <v>446</v>
      </c>
      <c r="M7016">
        <v>2612</v>
      </c>
      <c r="N7016" t="s">
        <v>16012</v>
      </c>
    </row>
    <row r="7017" spans="1:14">
      <c r="A7017">
        <v>27601020</v>
      </c>
      <c r="B7017">
        <v>4011886</v>
      </c>
      <c r="C7017" t="s">
        <v>3049</v>
      </c>
      <c r="D7017" t="s">
        <v>441</v>
      </c>
      <c r="F7017">
        <v>0</v>
      </c>
      <c r="G7017">
        <v>10.88</v>
      </c>
      <c r="H7017" t="s">
        <v>8588</v>
      </c>
      <c r="I7017">
        <v>6</v>
      </c>
      <c r="J7017" t="s">
        <v>462</v>
      </c>
      <c r="K7017" t="s">
        <v>446</v>
      </c>
      <c r="M7017">
        <v>2641</v>
      </c>
    </row>
    <row r="7018" spans="1:14">
      <c r="A7018">
        <v>27601050</v>
      </c>
      <c r="B7018">
        <v>4012057</v>
      </c>
      <c r="C7018" t="s">
        <v>3050</v>
      </c>
      <c r="D7018" t="s">
        <v>441</v>
      </c>
      <c r="F7018">
        <v>0</v>
      </c>
      <c r="G7018">
        <v>11.37</v>
      </c>
      <c r="H7018" t="s">
        <v>8588</v>
      </c>
      <c r="I7018">
        <v>16</v>
      </c>
      <c r="J7018" t="s">
        <v>462</v>
      </c>
      <c r="K7018" t="s">
        <v>446</v>
      </c>
      <c r="M7018">
        <v>2612</v>
      </c>
    </row>
    <row r="7019" spans="1:14">
      <c r="A7019">
        <v>27601051</v>
      </c>
      <c r="B7019">
        <v>4012054</v>
      </c>
      <c r="C7019" t="s">
        <v>3051</v>
      </c>
      <c r="D7019" t="s">
        <v>441</v>
      </c>
      <c r="F7019">
        <v>0</v>
      </c>
      <c r="G7019">
        <v>11.36</v>
      </c>
      <c r="H7019" t="s">
        <v>8588</v>
      </c>
      <c r="I7019">
        <v>16</v>
      </c>
      <c r="J7019" t="s">
        <v>462</v>
      </c>
      <c r="K7019" t="s">
        <v>446</v>
      </c>
      <c r="M7019">
        <v>2612</v>
      </c>
    </row>
    <row r="7020" spans="1:14">
      <c r="A7020">
        <v>27601052</v>
      </c>
      <c r="B7020">
        <v>4012957</v>
      </c>
      <c r="C7020" t="s">
        <v>3052</v>
      </c>
      <c r="D7020" t="s">
        <v>441</v>
      </c>
      <c r="F7020">
        <v>0</v>
      </c>
      <c r="G7020">
        <v>10.65</v>
      </c>
      <c r="H7020" t="s">
        <v>8588</v>
      </c>
      <c r="I7020">
        <v>365</v>
      </c>
      <c r="J7020" t="s">
        <v>462</v>
      </c>
      <c r="K7020" t="s">
        <v>446</v>
      </c>
      <c r="M7020">
        <v>2501</v>
      </c>
      <c r="N7020" t="s">
        <v>16012</v>
      </c>
    </row>
    <row r="7021" spans="1:14">
      <c r="A7021">
        <v>27601075</v>
      </c>
      <c r="B7021">
        <v>4012006</v>
      </c>
      <c r="C7021" t="s">
        <v>3053</v>
      </c>
      <c r="D7021" t="s">
        <v>441</v>
      </c>
      <c r="F7021">
        <v>0</v>
      </c>
      <c r="G7021">
        <v>12.9</v>
      </c>
      <c r="H7021" t="s">
        <v>8588</v>
      </c>
      <c r="I7021">
        <v>6</v>
      </c>
      <c r="J7021" t="s">
        <v>462</v>
      </c>
      <c r="K7021" t="s">
        <v>446</v>
      </c>
      <c r="M7021">
        <v>2641</v>
      </c>
      <c r="N7021" t="s">
        <v>16311</v>
      </c>
    </row>
    <row r="7022" spans="1:14">
      <c r="A7022">
        <v>27601552</v>
      </c>
      <c r="B7022">
        <v>3018645</v>
      </c>
      <c r="C7022" t="s">
        <v>3054</v>
      </c>
      <c r="D7022" t="s">
        <v>441</v>
      </c>
      <c r="F7022">
        <v>0</v>
      </c>
      <c r="G7022">
        <v>10.43</v>
      </c>
      <c r="H7022" t="s">
        <v>8580</v>
      </c>
      <c r="I7022">
        <v>365</v>
      </c>
      <c r="J7022" t="s">
        <v>445</v>
      </c>
      <c r="K7022" t="s">
        <v>446</v>
      </c>
      <c r="M7022">
        <v>2612</v>
      </c>
      <c r="N7022" t="s">
        <v>16012</v>
      </c>
    </row>
    <row r="7023" spans="1:14">
      <c r="A7023">
        <v>27604076</v>
      </c>
      <c r="B7023">
        <v>3036438</v>
      </c>
      <c r="C7023" t="s">
        <v>3055</v>
      </c>
      <c r="D7023" t="s">
        <v>441</v>
      </c>
      <c r="F7023">
        <v>0</v>
      </c>
      <c r="G7023">
        <v>8.5399999999999991</v>
      </c>
      <c r="H7023" t="s">
        <v>8549</v>
      </c>
      <c r="I7023">
        <v>6</v>
      </c>
      <c r="J7023" t="s">
        <v>445</v>
      </c>
      <c r="M7023">
        <v>7112</v>
      </c>
      <c r="N7023" t="s">
        <v>16311</v>
      </c>
    </row>
    <row r="7024" spans="1:14">
      <c r="A7024">
        <v>27610000</v>
      </c>
      <c r="B7024">
        <v>3011816</v>
      </c>
      <c r="C7024" t="s">
        <v>12013</v>
      </c>
      <c r="D7024" t="s">
        <v>441</v>
      </c>
      <c r="F7024">
        <v>0</v>
      </c>
      <c r="G7024">
        <v>12.03</v>
      </c>
      <c r="H7024" t="s">
        <v>8935</v>
      </c>
      <c r="I7024">
        <v>6</v>
      </c>
      <c r="J7024" t="s">
        <v>445</v>
      </c>
      <c r="K7024" t="s">
        <v>446</v>
      </c>
      <c r="M7024">
        <v>2390</v>
      </c>
    </row>
    <row r="7025" spans="1:14">
      <c r="A7025">
        <v>27610050</v>
      </c>
      <c r="B7025">
        <v>4010562</v>
      </c>
      <c r="C7025" t="s">
        <v>3056</v>
      </c>
      <c r="D7025" t="s">
        <v>441</v>
      </c>
      <c r="F7025">
        <v>0</v>
      </c>
      <c r="G7025">
        <v>10.84</v>
      </c>
      <c r="H7025" t="s">
        <v>8588</v>
      </c>
      <c r="I7025">
        <v>16</v>
      </c>
      <c r="J7025" t="s">
        <v>462</v>
      </c>
      <c r="K7025" t="s">
        <v>446</v>
      </c>
      <c r="M7025">
        <v>2612</v>
      </c>
    </row>
    <row r="7026" spans="1:14">
      <c r="A7026">
        <v>27610051</v>
      </c>
      <c r="B7026">
        <v>4010559</v>
      </c>
      <c r="C7026" t="s">
        <v>3057</v>
      </c>
      <c r="D7026" t="s">
        <v>441</v>
      </c>
      <c r="F7026">
        <v>0</v>
      </c>
      <c r="G7026">
        <v>10.28</v>
      </c>
      <c r="H7026" t="s">
        <v>8588</v>
      </c>
      <c r="I7026">
        <v>16</v>
      </c>
      <c r="J7026" t="s">
        <v>462</v>
      </c>
      <c r="K7026" t="s">
        <v>446</v>
      </c>
      <c r="M7026">
        <v>2612</v>
      </c>
      <c r="N7026" t="s">
        <v>16012</v>
      </c>
    </row>
    <row r="7027" spans="1:14">
      <c r="A7027">
        <v>27610052</v>
      </c>
      <c r="B7027">
        <v>4012946</v>
      </c>
      <c r="C7027" t="s">
        <v>3058</v>
      </c>
      <c r="D7027" t="s">
        <v>441</v>
      </c>
      <c r="F7027">
        <v>0</v>
      </c>
      <c r="G7027">
        <v>10.65</v>
      </c>
      <c r="H7027" t="s">
        <v>8588</v>
      </c>
      <c r="I7027">
        <v>365</v>
      </c>
      <c r="J7027" t="s">
        <v>462</v>
      </c>
      <c r="K7027" t="s">
        <v>446</v>
      </c>
      <c r="M7027">
        <v>2501</v>
      </c>
      <c r="N7027" t="s">
        <v>16012</v>
      </c>
    </row>
    <row r="7028" spans="1:14">
      <c r="A7028">
        <v>27610552</v>
      </c>
      <c r="B7028">
        <v>3018639</v>
      </c>
      <c r="C7028" t="s">
        <v>3059</v>
      </c>
      <c r="D7028" t="s">
        <v>441</v>
      </c>
      <c r="F7028">
        <v>0</v>
      </c>
      <c r="G7028">
        <v>10.43</v>
      </c>
      <c r="H7028" t="s">
        <v>8580</v>
      </c>
      <c r="I7028">
        <v>365</v>
      </c>
      <c r="J7028" t="s">
        <v>445</v>
      </c>
      <c r="K7028" t="s">
        <v>446</v>
      </c>
      <c r="M7028">
        <v>2612</v>
      </c>
      <c r="N7028" t="s">
        <v>16012</v>
      </c>
    </row>
    <row r="7029" spans="1:14">
      <c r="A7029">
        <v>27611050</v>
      </c>
      <c r="B7029">
        <v>4012056</v>
      </c>
      <c r="C7029" t="s">
        <v>3060</v>
      </c>
      <c r="D7029" t="s">
        <v>441</v>
      </c>
      <c r="F7029">
        <v>0</v>
      </c>
      <c r="G7029">
        <v>10.84</v>
      </c>
      <c r="H7029" t="s">
        <v>8588</v>
      </c>
      <c r="I7029">
        <v>16</v>
      </c>
      <c r="J7029" t="s">
        <v>462</v>
      </c>
      <c r="K7029" t="s">
        <v>446</v>
      </c>
      <c r="M7029">
        <v>2612</v>
      </c>
    </row>
    <row r="7030" spans="1:14">
      <c r="A7030">
        <v>27611051</v>
      </c>
      <c r="B7030">
        <v>4012055</v>
      </c>
      <c r="C7030" t="s">
        <v>3061</v>
      </c>
      <c r="D7030" t="s">
        <v>441</v>
      </c>
      <c r="F7030">
        <v>0</v>
      </c>
      <c r="G7030">
        <v>11.36</v>
      </c>
      <c r="H7030" t="s">
        <v>8588</v>
      </c>
      <c r="I7030">
        <v>16</v>
      </c>
      <c r="J7030" t="s">
        <v>462</v>
      </c>
      <c r="K7030" t="s">
        <v>446</v>
      </c>
      <c r="M7030">
        <v>2612</v>
      </c>
    </row>
    <row r="7031" spans="1:14">
      <c r="A7031">
        <v>27611052</v>
      </c>
      <c r="B7031">
        <v>4012947</v>
      </c>
      <c r="C7031" t="s">
        <v>3062</v>
      </c>
      <c r="D7031" t="s">
        <v>441</v>
      </c>
      <c r="F7031">
        <v>0</v>
      </c>
      <c r="G7031">
        <v>14.68</v>
      </c>
      <c r="H7031" t="s">
        <v>8588</v>
      </c>
      <c r="I7031">
        <v>365</v>
      </c>
      <c r="J7031" t="s">
        <v>462</v>
      </c>
      <c r="K7031" t="s">
        <v>446</v>
      </c>
      <c r="M7031">
        <v>2501</v>
      </c>
      <c r="N7031" t="s">
        <v>16012</v>
      </c>
    </row>
    <row r="7032" spans="1:14">
      <c r="A7032">
        <v>27611552</v>
      </c>
      <c r="B7032">
        <v>3018640</v>
      </c>
      <c r="C7032" t="s">
        <v>3063</v>
      </c>
      <c r="D7032" t="s">
        <v>441</v>
      </c>
      <c r="F7032">
        <v>0</v>
      </c>
      <c r="G7032">
        <v>14.48</v>
      </c>
      <c r="H7032" t="s">
        <v>8580</v>
      </c>
      <c r="I7032">
        <v>365</v>
      </c>
      <c r="J7032" t="s">
        <v>445</v>
      </c>
      <c r="K7032" t="s">
        <v>446</v>
      </c>
      <c r="M7032">
        <v>2612</v>
      </c>
      <c r="N7032" t="s">
        <v>16012</v>
      </c>
    </row>
    <row r="7033" spans="1:14">
      <c r="A7033">
        <v>27628800</v>
      </c>
      <c r="B7033">
        <v>3000057</v>
      </c>
      <c r="C7033" t="s">
        <v>3064</v>
      </c>
      <c r="D7033" t="s">
        <v>441</v>
      </c>
      <c r="F7033">
        <v>0</v>
      </c>
      <c r="H7033" t="s">
        <v>8549</v>
      </c>
      <c r="I7033">
        <v>5</v>
      </c>
      <c r="J7033" t="s">
        <v>445</v>
      </c>
      <c r="K7033" t="s">
        <v>446</v>
      </c>
      <c r="M7033">
        <v>7161</v>
      </c>
    </row>
    <row r="7034" spans="1:14">
      <c r="A7034">
        <v>27628802</v>
      </c>
      <c r="B7034">
        <v>3008062</v>
      </c>
      <c r="C7034" t="s">
        <v>3065</v>
      </c>
      <c r="D7034" t="s">
        <v>441</v>
      </c>
      <c r="F7034">
        <v>0</v>
      </c>
      <c r="H7034" t="s">
        <v>8580</v>
      </c>
      <c r="I7034">
        <v>9</v>
      </c>
      <c r="J7034" t="s">
        <v>445</v>
      </c>
      <c r="K7034" t="s">
        <v>446</v>
      </c>
      <c r="M7034">
        <v>0</v>
      </c>
    </row>
    <row r="7035" spans="1:14">
      <c r="A7035">
        <v>27630000</v>
      </c>
      <c r="B7035">
        <v>3010053</v>
      </c>
      <c r="C7035" t="s">
        <v>12014</v>
      </c>
      <c r="D7035" t="s">
        <v>441</v>
      </c>
      <c r="F7035">
        <v>0</v>
      </c>
      <c r="G7035">
        <v>12.02</v>
      </c>
      <c r="H7035" t="s">
        <v>8619</v>
      </c>
      <c r="I7035">
        <v>6</v>
      </c>
      <c r="J7035" t="s">
        <v>445</v>
      </c>
      <c r="K7035" t="s">
        <v>446</v>
      </c>
      <c r="M7035">
        <v>2390</v>
      </c>
    </row>
    <row r="7036" spans="1:14">
      <c r="A7036">
        <v>27630002</v>
      </c>
      <c r="B7036">
        <v>3044362</v>
      </c>
      <c r="C7036" t="s">
        <v>16312</v>
      </c>
      <c r="D7036" t="s">
        <v>441</v>
      </c>
      <c r="F7036">
        <v>0</v>
      </c>
      <c r="G7036">
        <v>17.68</v>
      </c>
      <c r="H7036" t="s">
        <v>8588</v>
      </c>
      <c r="I7036">
        <v>540</v>
      </c>
      <c r="J7036" t="s">
        <v>445</v>
      </c>
      <c r="M7036">
        <v>7111</v>
      </c>
      <c r="N7036" t="s">
        <v>16313</v>
      </c>
    </row>
    <row r="7037" spans="1:14">
      <c r="A7037">
        <v>27630020</v>
      </c>
      <c r="B7037">
        <v>4009110</v>
      </c>
      <c r="C7037" t="s">
        <v>14484</v>
      </c>
      <c r="D7037" t="s">
        <v>441</v>
      </c>
      <c r="F7037">
        <v>0</v>
      </c>
      <c r="G7037">
        <v>15.92</v>
      </c>
      <c r="H7037" t="s">
        <v>8588</v>
      </c>
      <c r="I7037">
        <v>6</v>
      </c>
      <c r="J7037" t="s">
        <v>462</v>
      </c>
      <c r="M7037">
        <v>7112</v>
      </c>
      <c r="N7037" t="s">
        <v>16313</v>
      </c>
    </row>
    <row r="7038" spans="1:14">
      <c r="A7038">
        <v>27630024</v>
      </c>
      <c r="B7038">
        <v>4009839</v>
      </c>
      <c r="C7038" t="s">
        <v>3066</v>
      </c>
      <c r="D7038" t="s">
        <v>441</v>
      </c>
      <c r="F7038">
        <v>0</v>
      </c>
      <c r="G7038">
        <v>10.36</v>
      </c>
      <c r="H7038" t="s">
        <v>8588</v>
      </c>
      <c r="I7038">
        <v>6</v>
      </c>
      <c r="J7038" t="s">
        <v>462</v>
      </c>
      <c r="K7038" t="s">
        <v>446</v>
      </c>
      <c r="M7038">
        <v>2641</v>
      </c>
      <c r="N7038" t="s">
        <v>16313</v>
      </c>
    </row>
    <row r="7039" spans="1:14">
      <c r="A7039">
        <v>27630025</v>
      </c>
      <c r="B7039">
        <v>4009747</v>
      </c>
      <c r="C7039" t="s">
        <v>3067</v>
      </c>
      <c r="D7039" t="s">
        <v>441</v>
      </c>
      <c r="F7039">
        <v>0</v>
      </c>
      <c r="G7039">
        <v>12.99</v>
      </c>
      <c r="H7039" t="s">
        <v>8588</v>
      </c>
      <c r="I7039">
        <v>365</v>
      </c>
      <c r="J7039" t="s">
        <v>462</v>
      </c>
      <c r="K7039" t="s">
        <v>446</v>
      </c>
      <c r="M7039">
        <v>2501</v>
      </c>
      <c r="N7039" t="s">
        <v>16313</v>
      </c>
    </row>
    <row r="7040" spans="1:14">
      <c r="A7040">
        <v>27630040</v>
      </c>
      <c r="B7040">
        <v>4009716</v>
      </c>
      <c r="C7040" t="s">
        <v>3068</v>
      </c>
      <c r="D7040" t="s">
        <v>441</v>
      </c>
      <c r="F7040">
        <v>0</v>
      </c>
      <c r="G7040">
        <v>13.65</v>
      </c>
      <c r="H7040" t="s">
        <v>8588</v>
      </c>
      <c r="I7040">
        <v>16</v>
      </c>
      <c r="J7040" t="s">
        <v>462</v>
      </c>
      <c r="M7040">
        <v>7112</v>
      </c>
      <c r="N7040" t="s">
        <v>16313</v>
      </c>
    </row>
    <row r="7041" spans="1:14">
      <c r="A7041">
        <v>27630041</v>
      </c>
      <c r="B7041">
        <v>4012785</v>
      </c>
      <c r="C7041" t="s">
        <v>3069</v>
      </c>
      <c r="D7041" t="s">
        <v>441</v>
      </c>
      <c r="F7041">
        <v>0</v>
      </c>
      <c r="G7041">
        <v>15.82</v>
      </c>
      <c r="H7041" t="s">
        <v>8588</v>
      </c>
      <c r="I7041">
        <v>16</v>
      </c>
      <c r="J7041" t="s">
        <v>462</v>
      </c>
      <c r="M7041">
        <v>7112</v>
      </c>
      <c r="N7041" t="s">
        <v>16313</v>
      </c>
    </row>
    <row r="7042" spans="1:14">
      <c r="A7042">
        <v>27630050</v>
      </c>
      <c r="B7042">
        <v>4009969</v>
      </c>
      <c r="C7042" t="s">
        <v>3070</v>
      </c>
      <c r="D7042" t="s">
        <v>441</v>
      </c>
      <c r="F7042">
        <v>0</v>
      </c>
      <c r="G7042">
        <v>13.24</v>
      </c>
      <c r="H7042" t="s">
        <v>8588</v>
      </c>
      <c r="I7042">
        <v>16</v>
      </c>
      <c r="J7042" t="s">
        <v>462</v>
      </c>
      <c r="K7042" t="s">
        <v>446</v>
      </c>
      <c r="M7042">
        <v>2612</v>
      </c>
      <c r="N7042" t="s">
        <v>16313</v>
      </c>
    </row>
    <row r="7043" spans="1:14">
      <c r="A7043">
        <v>27630051</v>
      </c>
      <c r="B7043">
        <v>4010010</v>
      </c>
      <c r="C7043" t="s">
        <v>3071</v>
      </c>
      <c r="D7043" t="s">
        <v>441</v>
      </c>
      <c r="F7043">
        <v>0</v>
      </c>
      <c r="G7043">
        <v>9.02</v>
      </c>
      <c r="H7043" t="s">
        <v>8588</v>
      </c>
      <c r="I7043">
        <v>16</v>
      </c>
      <c r="J7043" t="s">
        <v>462</v>
      </c>
      <c r="M7043">
        <v>7112</v>
      </c>
      <c r="N7043" t="s">
        <v>16313</v>
      </c>
    </row>
    <row r="7044" spans="1:14">
      <c r="A7044">
        <v>27630052</v>
      </c>
      <c r="B7044">
        <v>4015274</v>
      </c>
      <c r="C7044" t="s">
        <v>15595</v>
      </c>
      <c r="D7044" t="s">
        <v>441</v>
      </c>
      <c r="F7044">
        <v>0</v>
      </c>
      <c r="G7044">
        <v>16.8</v>
      </c>
      <c r="H7044" t="s">
        <v>8588</v>
      </c>
      <c r="I7044">
        <v>16</v>
      </c>
      <c r="J7044" t="s">
        <v>462</v>
      </c>
      <c r="M7044">
        <v>7112</v>
      </c>
      <c r="N7044" t="s">
        <v>16313</v>
      </c>
    </row>
    <row r="7045" spans="1:14">
      <c r="A7045">
        <v>27630053</v>
      </c>
      <c r="B7045">
        <v>4024963</v>
      </c>
      <c r="C7045" t="s">
        <v>3072</v>
      </c>
      <c r="D7045" t="s">
        <v>441</v>
      </c>
      <c r="F7045">
        <v>0</v>
      </c>
      <c r="G7045">
        <v>9.01</v>
      </c>
      <c r="H7045" t="s">
        <v>8588</v>
      </c>
      <c r="I7045">
        <v>16</v>
      </c>
      <c r="J7045" t="s">
        <v>462</v>
      </c>
      <c r="M7045">
        <v>7112</v>
      </c>
      <c r="N7045" t="s">
        <v>16313</v>
      </c>
    </row>
    <row r="7046" spans="1:14">
      <c r="A7046">
        <v>27630061</v>
      </c>
      <c r="B7046">
        <v>4009746</v>
      </c>
      <c r="C7046" t="s">
        <v>3073</v>
      </c>
      <c r="D7046" t="s">
        <v>441</v>
      </c>
      <c r="F7046">
        <v>0</v>
      </c>
      <c r="G7046">
        <v>9.42</v>
      </c>
      <c r="H7046" t="s">
        <v>8588</v>
      </c>
      <c r="I7046">
        <v>365</v>
      </c>
      <c r="J7046" t="s">
        <v>462</v>
      </c>
      <c r="K7046" t="s">
        <v>446</v>
      </c>
      <c r="M7046">
        <v>2501</v>
      </c>
    </row>
    <row r="7047" spans="1:14">
      <c r="A7047">
        <v>27630075</v>
      </c>
      <c r="B7047">
        <v>4009949</v>
      </c>
      <c r="C7047" t="s">
        <v>3074</v>
      </c>
      <c r="D7047" t="s">
        <v>441</v>
      </c>
      <c r="F7047">
        <v>0</v>
      </c>
      <c r="G7047">
        <v>13.61</v>
      </c>
      <c r="H7047" t="s">
        <v>8588</v>
      </c>
      <c r="I7047">
        <v>6</v>
      </c>
      <c r="J7047" t="s">
        <v>462</v>
      </c>
      <c r="M7047">
        <v>7112</v>
      </c>
      <c r="N7047" t="s">
        <v>16313</v>
      </c>
    </row>
    <row r="7048" spans="1:14">
      <c r="A7048">
        <v>27630076</v>
      </c>
      <c r="B7048">
        <v>3014329</v>
      </c>
      <c r="C7048" t="s">
        <v>3075</v>
      </c>
      <c r="D7048" t="s">
        <v>441</v>
      </c>
      <c r="F7048">
        <v>0</v>
      </c>
      <c r="G7048">
        <v>12.65</v>
      </c>
      <c r="H7048" t="s">
        <v>8588</v>
      </c>
      <c r="I7048">
        <v>6</v>
      </c>
      <c r="J7048" t="s">
        <v>445</v>
      </c>
      <c r="K7048" t="s">
        <v>446</v>
      </c>
      <c r="M7048">
        <v>2641</v>
      </c>
      <c r="N7048" t="s">
        <v>16313</v>
      </c>
    </row>
    <row r="7049" spans="1:14">
      <c r="A7049">
        <v>27630077</v>
      </c>
      <c r="B7049">
        <v>3032572</v>
      </c>
      <c r="C7049" t="s">
        <v>3076</v>
      </c>
      <c r="D7049" t="s">
        <v>441</v>
      </c>
      <c r="F7049">
        <v>0</v>
      </c>
      <c r="G7049">
        <v>13.35</v>
      </c>
      <c r="H7049" t="s">
        <v>8549</v>
      </c>
      <c r="I7049">
        <v>6</v>
      </c>
      <c r="J7049" t="s">
        <v>445</v>
      </c>
      <c r="M7049">
        <v>7112</v>
      </c>
      <c r="N7049" t="s">
        <v>16313</v>
      </c>
    </row>
    <row r="7050" spans="1:14">
      <c r="A7050">
        <v>27630087</v>
      </c>
      <c r="B7050">
        <v>3043405</v>
      </c>
      <c r="C7050" t="s">
        <v>3077</v>
      </c>
      <c r="D7050" t="s">
        <v>441</v>
      </c>
      <c r="F7050">
        <v>0</v>
      </c>
      <c r="G7050">
        <v>13.89</v>
      </c>
      <c r="H7050" t="s">
        <v>8549</v>
      </c>
      <c r="I7050">
        <v>6</v>
      </c>
      <c r="J7050" t="s">
        <v>445</v>
      </c>
      <c r="M7050">
        <v>7112</v>
      </c>
      <c r="N7050" t="s">
        <v>16313</v>
      </c>
    </row>
    <row r="7051" spans="1:14">
      <c r="A7051">
        <v>27630502</v>
      </c>
      <c r="B7051">
        <v>3044351</v>
      </c>
      <c r="C7051" t="s">
        <v>14485</v>
      </c>
      <c r="D7051" t="s">
        <v>441</v>
      </c>
      <c r="F7051">
        <v>0</v>
      </c>
      <c r="G7051">
        <v>15.16</v>
      </c>
      <c r="H7051" t="s">
        <v>8549</v>
      </c>
      <c r="I7051">
        <v>365</v>
      </c>
      <c r="J7051" t="s">
        <v>445</v>
      </c>
      <c r="M7051">
        <v>2641</v>
      </c>
      <c r="N7051" t="s">
        <v>16313</v>
      </c>
    </row>
    <row r="7052" spans="1:14">
      <c r="A7052">
        <v>27630525</v>
      </c>
      <c r="B7052">
        <v>3012102</v>
      </c>
      <c r="C7052" t="s">
        <v>3078</v>
      </c>
      <c r="D7052" t="s">
        <v>441</v>
      </c>
      <c r="F7052">
        <v>0</v>
      </c>
      <c r="G7052">
        <v>12.8</v>
      </c>
      <c r="H7052" t="s">
        <v>8580</v>
      </c>
      <c r="I7052">
        <v>365</v>
      </c>
      <c r="J7052" t="s">
        <v>445</v>
      </c>
      <c r="K7052" t="s">
        <v>446</v>
      </c>
      <c r="M7052">
        <v>2641</v>
      </c>
      <c r="N7052" t="s">
        <v>16313</v>
      </c>
    </row>
    <row r="7053" spans="1:14">
      <c r="A7053">
        <v>27630561</v>
      </c>
      <c r="B7053">
        <v>3012101</v>
      </c>
      <c r="C7053" t="s">
        <v>3079</v>
      </c>
      <c r="D7053" t="s">
        <v>441</v>
      </c>
      <c r="F7053">
        <v>0</v>
      </c>
      <c r="G7053">
        <v>13.08</v>
      </c>
      <c r="H7053" t="s">
        <v>8580</v>
      </c>
      <c r="I7053">
        <v>365</v>
      </c>
      <c r="J7053" t="s">
        <v>445</v>
      </c>
      <c r="K7053" t="s">
        <v>446</v>
      </c>
      <c r="M7053">
        <v>2612</v>
      </c>
      <c r="N7053" t="s">
        <v>16313</v>
      </c>
    </row>
    <row r="7054" spans="1:14">
      <c r="A7054">
        <v>27631002</v>
      </c>
      <c r="B7054">
        <v>3042973</v>
      </c>
      <c r="C7054" t="s">
        <v>3080</v>
      </c>
      <c r="D7054" t="s">
        <v>441</v>
      </c>
      <c r="F7054">
        <v>0</v>
      </c>
      <c r="G7054">
        <v>13.67</v>
      </c>
      <c r="H7054" t="s">
        <v>8588</v>
      </c>
      <c r="I7054">
        <v>540</v>
      </c>
      <c r="J7054" t="s">
        <v>445</v>
      </c>
      <c r="M7054">
        <v>7111</v>
      </c>
      <c r="N7054" t="s">
        <v>16313</v>
      </c>
    </row>
    <row r="7055" spans="1:14">
      <c r="A7055">
        <v>27631020</v>
      </c>
      <c r="B7055">
        <v>4011885</v>
      </c>
      <c r="C7055" t="s">
        <v>14486</v>
      </c>
      <c r="D7055" t="s">
        <v>441</v>
      </c>
      <c r="F7055">
        <v>0</v>
      </c>
      <c r="G7055">
        <v>15.92</v>
      </c>
      <c r="H7055" t="s">
        <v>8588</v>
      </c>
      <c r="I7055">
        <v>6</v>
      </c>
      <c r="J7055" t="s">
        <v>462</v>
      </c>
      <c r="M7055">
        <v>2641</v>
      </c>
      <c r="N7055" t="s">
        <v>16313</v>
      </c>
    </row>
    <row r="7056" spans="1:14">
      <c r="A7056">
        <v>27631024</v>
      </c>
      <c r="B7056">
        <v>4011972</v>
      </c>
      <c r="C7056" t="s">
        <v>3081</v>
      </c>
      <c r="D7056" t="s">
        <v>441</v>
      </c>
      <c r="F7056">
        <v>0</v>
      </c>
      <c r="G7056">
        <v>10.36</v>
      </c>
      <c r="H7056" t="s">
        <v>8588</v>
      </c>
      <c r="I7056">
        <v>6</v>
      </c>
      <c r="J7056" t="s">
        <v>462</v>
      </c>
      <c r="K7056" t="s">
        <v>446</v>
      </c>
      <c r="M7056">
        <v>2641</v>
      </c>
      <c r="N7056" t="s">
        <v>16313</v>
      </c>
    </row>
    <row r="7057" spans="1:14">
      <c r="A7057">
        <v>27631025</v>
      </c>
      <c r="B7057">
        <v>4011966</v>
      </c>
      <c r="C7057" t="s">
        <v>3082</v>
      </c>
      <c r="D7057" t="s">
        <v>441</v>
      </c>
      <c r="F7057">
        <v>0</v>
      </c>
      <c r="G7057">
        <v>12.99</v>
      </c>
      <c r="H7057" t="s">
        <v>8588</v>
      </c>
      <c r="I7057">
        <v>365</v>
      </c>
      <c r="J7057" t="s">
        <v>462</v>
      </c>
      <c r="K7057" t="s">
        <v>446</v>
      </c>
      <c r="M7057">
        <v>2501</v>
      </c>
      <c r="N7057" t="s">
        <v>16313</v>
      </c>
    </row>
    <row r="7058" spans="1:14">
      <c r="A7058">
        <v>27631040</v>
      </c>
      <c r="B7058">
        <v>4011961</v>
      </c>
      <c r="C7058" t="s">
        <v>3083</v>
      </c>
      <c r="D7058" t="s">
        <v>441</v>
      </c>
      <c r="F7058">
        <v>0</v>
      </c>
      <c r="G7058">
        <v>13.05</v>
      </c>
      <c r="H7058" t="s">
        <v>8588</v>
      </c>
      <c r="I7058">
        <v>16</v>
      </c>
      <c r="J7058" t="s">
        <v>462</v>
      </c>
      <c r="M7058">
        <v>2612</v>
      </c>
      <c r="N7058" t="s">
        <v>16313</v>
      </c>
    </row>
    <row r="7059" spans="1:14">
      <c r="A7059">
        <v>27631041</v>
      </c>
      <c r="B7059">
        <v>4012786</v>
      </c>
      <c r="C7059" t="s">
        <v>3084</v>
      </c>
      <c r="D7059" t="s">
        <v>441</v>
      </c>
      <c r="F7059">
        <v>0</v>
      </c>
      <c r="G7059">
        <v>13.14</v>
      </c>
      <c r="H7059" t="s">
        <v>8588</v>
      </c>
      <c r="I7059">
        <v>13</v>
      </c>
      <c r="J7059" t="s">
        <v>462</v>
      </c>
      <c r="K7059" t="s">
        <v>446</v>
      </c>
      <c r="M7059">
        <v>2612</v>
      </c>
      <c r="N7059" t="s">
        <v>16313</v>
      </c>
    </row>
    <row r="7060" spans="1:14">
      <c r="A7060">
        <v>27631050</v>
      </c>
      <c r="B7060">
        <v>4012008</v>
      </c>
      <c r="C7060" t="s">
        <v>3085</v>
      </c>
      <c r="D7060" t="s">
        <v>441</v>
      </c>
      <c r="F7060">
        <v>0</v>
      </c>
      <c r="G7060">
        <v>10.79</v>
      </c>
      <c r="H7060" t="s">
        <v>8588</v>
      </c>
      <c r="I7060">
        <v>16</v>
      </c>
      <c r="J7060" t="s">
        <v>462</v>
      </c>
      <c r="K7060" t="s">
        <v>446</v>
      </c>
      <c r="M7060">
        <v>2612</v>
      </c>
      <c r="N7060" t="s">
        <v>16313</v>
      </c>
    </row>
    <row r="7061" spans="1:14">
      <c r="A7061">
        <v>27631051</v>
      </c>
      <c r="B7061">
        <v>4012018</v>
      </c>
      <c r="C7061" t="s">
        <v>12015</v>
      </c>
      <c r="D7061" t="s">
        <v>441</v>
      </c>
      <c r="F7061">
        <v>0</v>
      </c>
      <c r="G7061">
        <v>12.44</v>
      </c>
      <c r="H7061" t="s">
        <v>8588</v>
      </c>
      <c r="I7061">
        <v>16</v>
      </c>
      <c r="J7061" t="s">
        <v>462</v>
      </c>
      <c r="K7061" t="s">
        <v>446</v>
      </c>
      <c r="M7061">
        <v>2612</v>
      </c>
    </row>
    <row r="7062" spans="1:14">
      <c r="A7062">
        <v>27631061</v>
      </c>
      <c r="B7062">
        <v>4011965</v>
      </c>
      <c r="C7062" t="s">
        <v>3086</v>
      </c>
      <c r="D7062" t="s">
        <v>441</v>
      </c>
      <c r="F7062">
        <v>0</v>
      </c>
      <c r="G7062">
        <v>13.28</v>
      </c>
      <c r="H7062" t="s">
        <v>8588</v>
      </c>
      <c r="I7062">
        <v>365</v>
      </c>
      <c r="J7062" t="s">
        <v>462</v>
      </c>
      <c r="K7062" t="s">
        <v>446</v>
      </c>
      <c r="M7062">
        <v>2501</v>
      </c>
      <c r="N7062" t="s">
        <v>16313</v>
      </c>
    </row>
    <row r="7063" spans="1:14">
      <c r="A7063">
        <v>27631075</v>
      </c>
      <c r="B7063">
        <v>4012005</v>
      </c>
      <c r="C7063" t="s">
        <v>3087</v>
      </c>
      <c r="D7063" t="s">
        <v>441</v>
      </c>
      <c r="F7063">
        <v>0</v>
      </c>
      <c r="G7063">
        <v>12.65</v>
      </c>
      <c r="H7063" t="s">
        <v>8588</v>
      </c>
      <c r="I7063">
        <v>6</v>
      </c>
      <c r="J7063" t="s">
        <v>462</v>
      </c>
      <c r="K7063" t="s">
        <v>446</v>
      </c>
      <c r="M7063">
        <v>2641</v>
      </c>
      <c r="N7063" t="s">
        <v>16313</v>
      </c>
    </row>
    <row r="7064" spans="1:14">
      <c r="A7064">
        <v>27631077</v>
      </c>
      <c r="B7064">
        <v>3043008</v>
      </c>
      <c r="C7064" t="s">
        <v>3088</v>
      </c>
      <c r="D7064" t="s">
        <v>441</v>
      </c>
      <c r="F7064">
        <v>0</v>
      </c>
      <c r="G7064">
        <v>13.35</v>
      </c>
      <c r="H7064" t="s">
        <v>8549</v>
      </c>
      <c r="I7064">
        <v>6</v>
      </c>
      <c r="J7064" t="s">
        <v>445</v>
      </c>
      <c r="M7064">
        <v>7112</v>
      </c>
      <c r="N7064" t="s">
        <v>16313</v>
      </c>
    </row>
    <row r="7065" spans="1:14">
      <c r="A7065">
        <v>27631502</v>
      </c>
      <c r="B7065">
        <v>3042992</v>
      </c>
      <c r="C7065" t="s">
        <v>3089</v>
      </c>
      <c r="D7065" t="s">
        <v>441</v>
      </c>
      <c r="F7065">
        <v>0</v>
      </c>
      <c r="G7065">
        <v>13.23</v>
      </c>
      <c r="H7065" t="s">
        <v>8549</v>
      </c>
      <c r="I7065">
        <v>365</v>
      </c>
      <c r="J7065" t="s">
        <v>445</v>
      </c>
      <c r="M7065">
        <v>2502</v>
      </c>
      <c r="N7065" t="s">
        <v>16313</v>
      </c>
    </row>
    <row r="7066" spans="1:14">
      <c r="A7066">
        <v>27631525</v>
      </c>
      <c r="B7066">
        <v>3017502</v>
      </c>
      <c r="C7066" t="s">
        <v>3090</v>
      </c>
      <c r="D7066" t="s">
        <v>441</v>
      </c>
      <c r="F7066">
        <v>0</v>
      </c>
      <c r="G7066">
        <v>12.8</v>
      </c>
      <c r="I7066">
        <v>365</v>
      </c>
      <c r="J7066" t="s">
        <v>445</v>
      </c>
      <c r="K7066" t="s">
        <v>446</v>
      </c>
      <c r="M7066">
        <v>2641</v>
      </c>
      <c r="N7066" t="s">
        <v>16313</v>
      </c>
    </row>
    <row r="7067" spans="1:14">
      <c r="A7067">
        <v>27631561</v>
      </c>
      <c r="B7067">
        <v>3017501</v>
      </c>
      <c r="C7067" t="s">
        <v>3091</v>
      </c>
      <c r="D7067" t="s">
        <v>441</v>
      </c>
      <c r="F7067">
        <v>0</v>
      </c>
      <c r="G7067">
        <v>13.08</v>
      </c>
      <c r="H7067" t="s">
        <v>8580</v>
      </c>
      <c r="I7067">
        <v>365</v>
      </c>
      <c r="J7067" t="s">
        <v>445</v>
      </c>
      <c r="K7067" t="s">
        <v>446</v>
      </c>
      <c r="M7067">
        <v>2612</v>
      </c>
      <c r="N7067" t="s">
        <v>16313</v>
      </c>
    </row>
    <row r="7068" spans="1:14">
      <c r="A7068">
        <v>27634002</v>
      </c>
      <c r="B7068">
        <v>3042974</v>
      </c>
      <c r="C7068" t="s">
        <v>3092</v>
      </c>
      <c r="D7068" t="s">
        <v>441</v>
      </c>
      <c r="F7068">
        <v>0</v>
      </c>
      <c r="G7068">
        <v>13.67</v>
      </c>
      <c r="H7068" t="s">
        <v>8588</v>
      </c>
      <c r="I7068">
        <v>540</v>
      </c>
      <c r="J7068" t="s">
        <v>445</v>
      </c>
      <c r="M7068">
        <v>7111</v>
      </c>
      <c r="N7068" t="s">
        <v>16313</v>
      </c>
    </row>
    <row r="7069" spans="1:14">
      <c r="A7069">
        <v>27634042</v>
      </c>
      <c r="B7069">
        <v>4024709</v>
      </c>
      <c r="C7069" t="s">
        <v>3093</v>
      </c>
      <c r="D7069" t="s">
        <v>441</v>
      </c>
      <c r="F7069">
        <v>0</v>
      </c>
      <c r="G7069">
        <v>8.91</v>
      </c>
      <c r="H7069" t="s">
        <v>8588</v>
      </c>
      <c r="I7069">
        <v>14</v>
      </c>
      <c r="J7069" t="s">
        <v>462</v>
      </c>
      <c r="M7069">
        <v>7112</v>
      </c>
      <c r="N7069" t="s">
        <v>16313</v>
      </c>
    </row>
    <row r="7070" spans="1:14">
      <c r="A7070">
        <v>27634043</v>
      </c>
      <c r="B7070">
        <v>4028246</v>
      </c>
      <c r="C7070" t="s">
        <v>3094</v>
      </c>
      <c r="D7070" t="s">
        <v>441</v>
      </c>
      <c r="F7070">
        <v>0</v>
      </c>
      <c r="G7070">
        <v>13.76</v>
      </c>
      <c r="H7070" t="s">
        <v>8588</v>
      </c>
      <c r="I7070">
        <v>14</v>
      </c>
      <c r="J7070" t="s">
        <v>462</v>
      </c>
      <c r="M7070">
        <v>7112</v>
      </c>
      <c r="N7070" t="s">
        <v>16313</v>
      </c>
    </row>
    <row r="7071" spans="1:14">
      <c r="A7071">
        <v>27634077</v>
      </c>
      <c r="B7071">
        <v>3035882</v>
      </c>
      <c r="C7071" t="s">
        <v>3095</v>
      </c>
      <c r="D7071" t="s">
        <v>441</v>
      </c>
      <c r="F7071">
        <v>0</v>
      </c>
      <c r="G7071">
        <v>13.35</v>
      </c>
      <c r="H7071" t="s">
        <v>8588</v>
      </c>
      <c r="I7071">
        <v>6</v>
      </c>
      <c r="J7071" t="s">
        <v>445</v>
      </c>
      <c r="M7071">
        <v>7112</v>
      </c>
      <c r="N7071" t="s">
        <v>16313</v>
      </c>
    </row>
    <row r="7072" spans="1:14">
      <c r="A7072">
        <v>27634502</v>
      </c>
      <c r="B7072">
        <v>3042972</v>
      </c>
      <c r="C7072" t="s">
        <v>3096</v>
      </c>
      <c r="D7072" t="s">
        <v>441</v>
      </c>
      <c r="F7072">
        <v>0</v>
      </c>
      <c r="G7072">
        <v>13.23</v>
      </c>
      <c r="H7072" t="s">
        <v>8549</v>
      </c>
      <c r="I7072">
        <v>365</v>
      </c>
      <c r="J7072" t="s">
        <v>445</v>
      </c>
      <c r="M7072">
        <v>2502</v>
      </c>
      <c r="N7072" t="s">
        <v>16313</v>
      </c>
    </row>
    <row r="7073" spans="1:14">
      <c r="A7073">
        <v>27640000</v>
      </c>
      <c r="B7073">
        <v>3010072</v>
      </c>
      <c r="C7073" t="s">
        <v>12016</v>
      </c>
      <c r="D7073" t="s">
        <v>441</v>
      </c>
      <c r="F7073">
        <v>0</v>
      </c>
      <c r="G7073">
        <v>12.02</v>
      </c>
      <c r="H7073" t="s">
        <v>8634</v>
      </c>
      <c r="I7073">
        <v>6</v>
      </c>
      <c r="J7073" t="s">
        <v>445</v>
      </c>
      <c r="K7073" t="s">
        <v>446</v>
      </c>
      <c r="M7073">
        <v>2390</v>
      </c>
    </row>
    <row r="7074" spans="1:14">
      <c r="A7074">
        <v>27640020</v>
      </c>
      <c r="B7074">
        <v>4009104</v>
      </c>
      <c r="C7074" t="s">
        <v>14487</v>
      </c>
      <c r="D7074" t="s">
        <v>441</v>
      </c>
      <c r="F7074">
        <v>0</v>
      </c>
      <c r="G7074">
        <v>17.98</v>
      </c>
      <c r="H7074" t="s">
        <v>8588</v>
      </c>
      <c r="I7074">
        <v>6</v>
      </c>
      <c r="J7074" t="s">
        <v>462</v>
      </c>
      <c r="M7074">
        <v>7112</v>
      </c>
      <c r="N7074" t="s">
        <v>16037</v>
      </c>
    </row>
    <row r="7075" spans="1:14">
      <c r="A7075">
        <v>27641020</v>
      </c>
      <c r="B7075">
        <v>4011884</v>
      </c>
      <c r="C7075" t="s">
        <v>3097</v>
      </c>
      <c r="D7075" t="s">
        <v>441</v>
      </c>
      <c r="F7075">
        <v>0</v>
      </c>
      <c r="G7075">
        <v>13.52</v>
      </c>
      <c r="H7075" t="s">
        <v>8588</v>
      </c>
      <c r="I7075">
        <v>6</v>
      </c>
      <c r="J7075" t="s">
        <v>462</v>
      </c>
      <c r="K7075" t="s">
        <v>446</v>
      </c>
      <c r="M7075">
        <v>2641</v>
      </c>
      <c r="N7075" t="s">
        <v>16037</v>
      </c>
    </row>
    <row r="7076" spans="1:14">
      <c r="A7076">
        <v>27650000</v>
      </c>
      <c r="B7076">
        <v>3015901</v>
      </c>
      <c r="C7076" t="s">
        <v>17503</v>
      </c>
      <c r="D7076" t="s">
        <v>441</v>
      </c>
      <c r="F7076">
        <v>0</v>
      </c>
      <c r="G7076">
        <v>17.53</v>
      </c>
      <c r="H7076" t="s">
        <v>8588</v>
      </c>
      <c r="I7076">
        <v>6</v>
      </c>
      <c r="J7076" t="s">
        <v>445</v>
      </c>
      <c r="M7076">
        <v>2391</v>
      </c>
      <c r="N7076" t="s">
        <v>16021</v>
      </c>
    </row>
    <row r="7077" spans="1:14">
      <c r="A7077">
        <v>27651000</v>
      </c>
      <c r="B7077">
        <v>3017733</v>
      </c>
      <c r="C7077" t="s">
        <v>17504</v>
      </c>
      <c r="D7077" t="s">
        <v>441</v>
      </c>
      <c r="F7077">
        <v>0</v>
      </c>
      <c r="G7077">
        <v>17.53</v>
      </c>
      <c r="H7077" t="s">
        <v>8588</v>
      </c>
      <c r="I7077">
        <v>6</v>
      </c>
      <c r="J7077" t="s">
        <v>445</v>
      </c>
      <c r="M7077">
        <v>2391</v>
      </c>
      <c r="N7077" t="s">
        <v>16021</v>
      </c>
    </row>
    <row r="7078" spans="1:14">
      <c r="A7078">
        <v>27660000</v>
      </c>
      <c r="B7078">
        <v>3031849</v>
      </c>
      <c r="C7078" t="s">
        <v>3098</v>
      </c>
      <c r="D7078" t="s">
        <v>441</v>
      </c>
      <c r="F7078">
        <v>0</v>
      </c>
      <c r="G7078">
        <v>8.52</v>
      </c>
      <c r="H7078" t="s">
        <v>8549</v>
      </c>
      <c r="I7078">
        <v>6</v>
      </c>
      <c r="J7078" t="s">
        <v>445</v>
      </c>
      <c r="M7078">
        <v>2391</v>
      </c>
      <c r="N7078" t="s">
        <v>16314</v>
      </c>
    </row>
    <row r="7079" spans="1:14">
      <c r="A7079">
        <v>27660083</v>
      </c>
      <c r="B7079">
        <v>4021269</v>
      </c>
      <c r="C7079" t="s">
        <v>3099</v>
      </c>
      <c r="D7079" t="s">
        <v>441</v>
      </c>
      <c r="F7079">
        <v>0</v>
      </c>
      <c r="G7079">
        <v>17.32</v>
      </c>
      <c r="H7079" t="s">
        <v>8588</v>
      </c>
      <c r="I7079">
        <v>6</v>
      </c>
      <c r="J7079" t="s">
        <v>462</v>
      </c>
      <c r="M7079">
        <v>7112</v>
      </c>
      <c r="N7079" t="s">
        <v>16314</v>
      </c>
    </row>
    <row r="7080" spans="1:14">
      <c r="A7080">
        <v>27660084</v>
      </c>
      <c r="B7080">
        <v>4021223</v>
      </c>
      <c r="C7080" t="s">
        <v>3100</v>
      </c>
      <c r="D7080" t="s">
        <v>441</v>
      </c>
      <c r="F7080">
        <v>0</v>
      </c>
      <c r="G7080">
        <v>8.64</v>
      </c>
      <c r="H7080" t="s">
        <v>8588</v>
      </c>
      <c r="I7080">
        <v>6</v>
      </c>
      <c r="J7080" t="s">
        <v>462</v>
      </c>
      <c r="M7080">
        <v>7112</v>
      </c>
      <c r="N7080" t="s">
        <v>16314</v>
      </c>
    </row>
    <row r="7081" spans="1:14">
      <c r="A7081">
        <v>27660085</v>
      </c>
      <c r="B7081">
        <v>4021224</v>
      </c>
      <c r="C7081" t="s">
        <v>3101</v>
      </c>
      <c r="D7081" t="s">
        <v>441</v>
      </c>
      <c r="F7081">
        <v>0</v>
      </c>
      <c r="G7081">
        <v>17.32</v>
      </c>
      <c r="H7081" t="s">
        <v>8588</v>
      </c>
      <c r="I7081">
        <v>6</v>
      </c>
      <c r="J7081" t="s">
        <v>462</v>
      </c>
      <c r="M7081">
        <v>7112</v>
      </c>
      <c r="N7081" t="s">
        <v>16314</v>
      </c>
    </row>
    <row r="7082" spans="1:14">
      <c r="A7082">
        <v>27660086</v>
      </c>
      <c r="B7082">
        <v>4021225</v>
      </c>
      <c r="C7082" t="s">
        <v>3102</v>
      </c>
      <c r="D7082" t="s">
        <v>441</v>
      </c>
      <c r="F7082">
        <v>0</v>
      </c>
      <c r="G7082">
        <v>8.64</v>
      </c>
      <c r="H7082" t="s">
        <v>8588</v>
      </c>
      <c r="I7082">
        <v>6</v>
      </c>
      <c r="J7082" t="s">
        <v>462</v>
      </c>
      <c r="M7082">
        <v>7112</v>
      </c>
      <c r="N7082" t="s">
        <v>16314</v>
      </c>
    </row>
    <row r="7083" spans="1:14">
      <c r="A7083">
        <v>27660087</v>
      </c>
      <c r="B7083">
        <v>4021241</v>
      </c>
      <c r="C7083" t="s">
        <v>3103</v>
      </c>
      <c r="D7083" t="s">
        <v>441</v>
      </c>
      <c r="F7083">
        <v>0</v>
      </c>
      <c r="G7083">
        <v>8.64</v>
      </c>
      <c r="H7083" t="s">
        <v>8588</v>
      </c>
      <c r="I7083">
        <v>6</v>
      </c>
      <c r="J7083" t="s">
        <v>462</v>
      </c>
      <c r="M7083">
        <v>7112</v>
      </c>
      <c r="N7083" t="s">
        <v>16314</v>
      </c>
    </row>
    <row r="7084" spans="1:14">
      <c r="A7084">
        <v>27660088</v>
      </c>
      <c r="B7084">
        <v>4021226</v>
      </c>
      <c r="C7084" t="s">
        <v>3104</v>
      </c>
      <c r="D7084" t="s">
        <v>441</v>
      </c>
      <c r="F7084">
        <v>0</v>
      </c>
      <c r="G7084">
        <v>8.64</v>
      </c>
      <c r="H7084" t="s">
        <v>8588</v>
      </c>
      <c r="I7084">
        <v>6</v>
      </c>
      <c r="J7084" t="s">
        <v>462</v>
      </c>
      <c r="M7084">
        <v>7112</v>
      </c>
      <c r="N7084" t="s">
        <v>16314</v>
      </c>
    </row>
    <row r="7085" spans="1:14">
      <c r="A7085">
        <v>27660089</v>
      </c>
      <c r="B7085">
        <v>4021227</v>
      </c>
      <c r="C7085" t="s">
        <v>3105</v>
      </c>
      <c r="D7085" t="s">
        <v>441</v>
      </c>
      <c r="F7085">
        <v>0</v>
      </c>
      <c r="G7085">
        <v>13.47</v>
      </c>
      <c r="H7085" t="s">
        <v>8588</v>
      </c>
      <c r="I7085">
        <v>6</v>
      </c>
      <c r="J7085" t="s">
        <v>462</v>
      </c>
      <c r="M7085">
        <v>7112</v>
      </c>
      <c r="N7085" t="s">
        <v>16314</v>
      </c>
    </row>
    <row r="7086" spans="1:14">
      <c r="A7086">
        <v>27670000</v>
      </c>
      <c r="B7086">
        <v>3032102</v>
      </c>
      <c r="C7086" t="s">
        <v>3106</v>
      </c>
      <c r="D7086" t="s">
        <v>441</v>
      </c>
      <c r="F7086">
        <v>0</v>
      </c>
      <c r="G7086">
        <v>7.72</v>
      </c>
      <c r="H7086" t="s">
        <v>8549</v>
      </c>
      <c r="I7086">
        <v>6</v>
      </c>
      <c r="J7086" t="s">
        <v>445</v>
      </c>
      <c r="M7086">
        <v>2391</v>
      </c>
      <c r="N7086" t="s">
        <v>16315</v>
      </c>
    </row>
    <row r="7087" spans="1:14">
      <c r="A7087">
        <v>27670007</v>
      </c>
      <c r="B7087">
        <v>3032103</v>
      </c>
      <c r="C7087" t="s">
        <v>3107</v>
      </c>
      <c r="D7087" t="s">
        <v>441</v>
      </c>
      <c r="F7087">
        <v>0</v>
      </c>
      <c r="G7087">
        <v>7.79</v>
      </c>
      <c r="H7087" t="s">
        <v>8588</v>
      </c>
      <c r="I7087">
        <v>6</v>
      </c>
      <c r="J7087" t="s">
        <v>445</v>
      </c>
      <c r="M7087">
        <v>2391</v>
      </c>
      <c r="N7087" t="s">
        <v>16315</v>
      </c>
    </row>
    <row r="7088" spans="1:14">
      <c r="A7088">
        <v>27670087</v>
      </c>
      <c r="B7088">
        <v>3032104</v>
      </c>
      <c r="C7088" t="s">
        <v>3108</v>
      </c>
      <c r="D7088" t="s">
        <v>441</v>
      </c>
      <c r="F7088">
        <v>0</v>
      </c>
      <c r="G7088">
        <v>7.83</v>
      </c>
      <c r="H7088" t="s">
        <v>8588</v>
      </c>
      <c r="I7088">
        <v>6</v>
      </c>
      <c r="J7088" t="s">
        <v>445</v>
      </c>
      <c r="M7088">
        <v>7112</v>
      </c>
      <c r="N7088" t="s">
        <v>16315</v>
      </c>
    </row>
    <row r="7089" spans="1:14">
      <c r="A7089">
        <v>27674000</v>
      </c>
      <c r="B7089">
        <v>3036158</v>
      </c>
      <c r="C7089" t="s">
        <v>3109</v>
      </c>
      <c r="D7089" t="s">
        <v>441</v>
      </c>
      <c r="F7089">
        <v>0</v>
      </c>
      <c r="G7089">
        <v>7.72</v>
      </c>
      <c r="H7089" t="s">
        <v>8549</v>
      </c>
      <c r="I7089">
        <v>6</v>
      </c>
      <c r="J7089" t="s">
        <v>445</v>
      </c>
      <c r="M7089">
        <v>2391</v>
      </c>
      <c r="N7089" t="s">
        <v>16315</v>
      </c>
    </row>
    <row r="7090" spans="1:14">
      <c r="A7090">
        <v>27674087</v>
      </c>
      <c r="B7090">
        <v>3036159</v>
      </c>
      <c r="C7090" t="s">
        <v>3110</v>
      </c>
      <c r="D7090" t="s">
        <v>441</v>
      </c>
      <c r="F7090">
        <v>0</v>
      </c>
      <c r="G7090">
        <v>7.77</v>
      </c>
      <c r="H7090" t="s">
        <v>8588</v>
      </c>
      <c r="I7090">
        <v>6</v>
      </c>
      <c r="J7090" t="s">
        <v>445</v>
      </c>
      <c r="M7090">
        <v>7112</v>
      </c>
      <c r="N7090" t="s">
        <v>16315</v>
      </c>
    </row>
    <row r="7091" spans="1:14">
      <c r="A7091">
        <v>27680000</v>
      </c>
      <c r="B7091">
        <v>3032714</v>
      </c>
      <c r="C7091" t="s">
        <v>3111</v>
      </c>
      <c r="D7091" t="s">
        <v>441</v>
      </c>
      <c r="F7091">
        <v>0</v>
      </c>
      <c r="G7091">
        <v>8.52</v>
      </c>
      <c r="H7091" t="s">
        <v>8549</v>
      </c>
      <c r="I7091">
        <v>6</v>
      </c>
      <c r="J7091" t="s">
        <v>445</v>
      </c>
      <c r="M7091">
        <v>2391</v>
      </c>
      <c r="N7091" t="s">
        <v>16314</v>
      </c>
    </row>
    <row r="7092" spans="1:14">
      <c r="A7092">
        <v>27680002</v>
      </c>
      <c r="B7092">
        <v>3032868</v>
      </c>
      <c r="C7092" t="s">
        <v>3112</v>
      </c>
      <c r="D7092" t="s">
        <v>441</v>
      </c>
      <c r="F7092">
        <v>0</v>
      </c>
      <c r="G7092">
        <v>8.99</v>
      </c>
      <c r="H7092" t="s">
        <v>8549</v>
      </c>
      <c r="I7092">
        <v>540</v>
      </c>
      <c r="J7092" t="s">
        <v>445</v>
      </c>
      <c r="M7092">
        <v>7111</v>
      </c>
      <c r="N7092" t="s">
        <v>16314</v>
      </c>
    </row>
    <row r="7093" spans="1:14">
      <c r="A7093">
        <v>27680007</v>
      </c>
      <c r="B7093">
        <v>3032741</v>
      </c>
      <c r="C7093" t="s">
        <v>403</v>
      </c>
      <c r="D7093" t="s">
        <v>441</v>
      </c>
      <c r="F7093">
        <v>0</v>
      </c>
      <c r="G7093">
        <v>8.6300000000000008</v>
      </c>
      <c r="H7093" t="s">
        <v>8588</v>
      </c>
      <c r="I7093">
        <v>6</v>
      </c>
      <c r="J7093" t="s">
        <v>445</v>
      </c>
      <c r="M7093">
        <v>3111</v>
      </c>
      <c r="N7093" t="s">
        <v>16314</v>
      </c>
    </row>
    <row r="7094" spans="1:14">
      <c r="A7094">
        <v>27680075</v>
      </c>
      <c r="B7094">
        <v>3032715</v>
      </c>
      <c r="C7094" t="s">
        <v>3113</v>
      </c>
      <c r="D7094" t="s">
        <v>441</v>
      </c>
      <c r="F7094">
        <v>0</v>
      </c>
      <c r="G7094">
        <v>8.6999999999999993</v>
      </c>
      <c r="H7094" t="s">
        <v>8588</v>
      </c>
      <c r="I7094">
        <v>6</v>
      </c>
      <c r="J7094" t="s">
        <v>445</v>
      </c>
      <c r="M7094">
        <v>7112</v>
      </c>
      <c r="N7094" t="s">
        <v>16314</v>
      </c>
    </row>
    <row r="7095" spans="1:14">
      <c r="A7095">
        <v>27680502</v>
      </c>
      <c r="B7095">
        <v>3032867</v>
      </c>
      <c r="C7095" t="s">
        <v>3114</v>
      </c>
      <c r="D7095" t="s">
        <v>441</v>
      </c>
      <c r="F7095">
        <v>0</v>
      </c>
      <c r="G7095">
        <v>8.6300000000000008</v>
      </c>
      <c r="H7095" t="s">
        <v>8549</v>
      </c>
      <c r="I7095">
        <v>6</v>
      </c>
      <c r="J7095" t="s">
        <v>445</v>
      </c>
      <c r="M7095">
        <v>2502</v>
      </c>
      <c r="N7095" t="s">
        <v>16314</v>
      </c>
    </row>
    <row r="7096" spans="1:14">
      <c r="A7096">
        <v>27680602</v>
      </c>
      <c r="B7096">
        <v>3033005</v>
      </c>
      <c r="C7096" t="s">
        <v>3115</v>
      </c>
      <c r="D7096" t="s">
        <v>441</v>
      </c>
      <c r="F7096">
        <v>0</v>
      </c>
      <c r="G7096">
        <v>9.26</v>
      </c>
      <c r="H7096" t="s">
        <v>8549</v>
      </c>
      <c r="I7096">
        <v>4</v>
      </c>
      <c r="J7096" t="s">
        <v>445</v>
      </c>
      <c r="M7096">
        <v>2510</v>
      </c>
      <c r="N7096" t="s">
        <v>16314</v>
      </c>
    </row>
    <row r="7097" spans="1:14">
      <c r="A7097">
        <v>27680902</v>
      </c>
      <c r="B7097">
        <v>3032985</v>
      </c>
      <c r="C7097" t="s">
        <v>3116</v>
      </c>
      <c r="D7097" t="s">
        <v>441</v>
      </c>
      <c r="F7097">
        <v>0</v>
      </c>
      <c r="I7097">
        <v>4</v>
      </c>
      <c r="J7097" t="s">
        <v>445</v>
      </c>
      <c r="M7097">
        <v>6666</v>
      </c>
      <c r="N7097" t="s">
        <v>16314</v>
      </c>
    </row>
    <row r="7098" spans="1:14">
      <c r="A7098">
        <v>27680907</v>
      </c>
      <c r="B7098">
        <v>3032745</v>
      </c>
      <c r="C7098" t="s">
        <v>3117</v>
      </c>
      <c r="D7098" t="s">
        <v>441</v>
      </c>
      <c r="F7098">
        <v>0</v>
      </c>
      <c r="I7098">
        <v>6</v>
      </c>
      <c r="J7098" t="s">
        <v>445</v>
      </c>
      <c r="M7098">
        <v>6666</v>
      </c>
      <c r="N7098" t="s">
        <v>16314</v>
      </c>
    </row>
    <row r="7099" spans="1:14">
      <c r="A7099">
        <v>27684000</v>
      </c>
      <c r="B7099">
        <v>3041129</v>
      </c>
      <c r="C7099" t="s">
        <v>3118</v>
      </c>
      <c r="D7099" t="s">
        <v>441</v>
      </c>
      <c r="F7099">
        <v>0</v>
      </c>
      <c r="G7099">
        <v>8.52</v>
      </c>
      <c r="H7099" t="s">
        <v>8549</v>
      </c>
      <c r="I7099">
        <v>6</v>
      </c>
      <c r="J7099" t="s">
        <v>445</v>
      </c>
      <c r="M7099">
        <v>2391</v>
      </c>
      <c r="N7099" t="s">
        <v>16314</v>
      </c>
    </row>
    <row r="7100" spans="1:14">
      <c r="A7100">
        <v>27684007</v>
      </c>
      <c r="B7100">
        <v>3041150</v>
      </c>
      <c r="C7100" t="s">
        <v>3119</v>
      </c>
      <c r="D7100" t="s">
        <v>441</v>
      </c>
      <c r="F7100">
        <v>0</v>
      </c>
      <c r="G7100">
        <v>8.6300000000000008</v>
      </c>
      <c r="H7100" t="s">
        <v>8588</v>
      </c>
      <c r="I7100">
        <v>6</v>
      </c>
      <c r="J7100" t="s">
        <v>445</v>
      </c>
      <c r="M7100">
        <v>3111</v>
      </c>
      <c r="N7100" t="s">
        <v>16314</v>
      </c>
    </row>
    <row r="7101" spans="1:14">
      <c r="A7101">
        <v>27684087</v>
      </c>
      <c r="B7101">
        <v>3043185</v>
      </c>
      <c r="C7101" t="s">
        <v>3120</v>
      </c>
      <c r="D7101" t="s">
        <v>441</v>
      </c>
      <c r="F7101">
        <v>0</v>
      </c>
      <c r="G7101">
        <v>13.85</v>
      </c>
      <c r="H7101" t="s">
        <v>8588</v>
      </c>
      <c r="I7101">
        <v>6</v>
      </c>
      <c r="J7101" t="s">
        <v>445</v>
      </c>
      <c r="M7101">
        <v>7112</v>
      </c>
      <c r="N7101" t="s">
        <v>16314</v>
      </c>
    </row>
    <row r="7102" spans="1:14">
      <c r="A7102">
        <v>27684907</v>
      </c>
      <c r="B7102">
        <v>3041137</v>
      </c>
      <c r="C7102" t="s">
        <v>3121</v>
      </c>
      <c r="D7102" t="s">
        <v>441</v>
      </c>
      <c r="F7102">
        <v>0</v>
      </c>
      <c r="G7102">
        <v>1</v>
      </c>
      <c r="H7102" t="s">
        <v>8588</v>
      </c>
      <c r="I7102">
        <v>6</v>
      </c>
      <c r="J7102" t="s">
        <v>445</v>
      </c>
      <c r="M7102">
        <v>6666</v>
      </c>
      <c r="N7102" t="s">
        <v>16314</v>
      </c>
    </row>
    <row r="7103" spans="1:14">
      <c r="A7103">
        <v>27820000</v>
      </c>
      <c r="B7103">
        <v>3008063</v>
      </c>
      <c r="C7103" t="s">
        <v>3122</v>
      </c>
      <c r="D7103" t="s">
        <v>441</v>
      </c>
      <c r="F7103">
        <v>0</v>
      </c>
      <c r="G7103">
        <v>6.52</v>
      </c>
      <c r="H7103" t="s">
        <v>8580</v>
      </c>
      <c r="I7103">
        <v>6</v>
      </c>
      <c r="J7103" t="s">
        <v>445</v>
      </c>
      <c r="K7103" t="s">
        <v>446</v>
      </c>
      <c r="M7103">
        <v>0</v>
      </c>
    </row>
    <row r="7104" spans="1:14">
      <c r="A7104">
        <v>27830000</v>
      </c>
      <c r="B7104">
        <v>3008064</v>
      </c>
      <c r="C7104" t="s">
        <v>3123</v>
      </c>
      <c r="D7104" t="s">
        <v>441</v>
      </c>
      <c r="F7104">
        <v>0</v>
      </c>
      <c r="G7104">
        <v>6.23</v>
      </c>
      <c r="H7104" t="s">
        <v>8580</v>
      </c>
      <c r="I7104">
        <v>6</v>
      </c>
      <c r="J7104" t="s">
        <v>445</v>
      </c>
      <c r="K7104" t="s">
        <v>446</v>
      </c>
      <c r="M7104">
        <v>0</v>
      </c>
    </row>
    <row r="7105" spans="1:14">
      <c r="A7105">
        <v>27840000</v>
      </c>
      <c r="B7105">
        <v>3027566</v>
      </c>
      <c r="C7105" t="s">
        <v>3124</v>
      </c>
      <c r="D7105" t="s">
        <v>441</v>
      </c>
      <c r="F7105">
        <v>0</v>
      </c>
      <c r="G7105">
        <v>8.77</v>
      </c>
      <c r="H7105" t="s">
        <v>8549</v>
      </c>
      <c r="I7105">
        <v>6</v>
      </c>
      <c r="J7105" t="s">
        <v>445</v>
      </c>
      <c r="M7105">
        <v>2391</v>
      </c>
      <c r="N7105" t="s">
        <v>16316</v>
      </c>
    </row>
    <row r="7106" spans="1:14">
      <c r="A7106">
        <v>27840002</v>
      </c>
      <c r="B7106">
        <v>3035510</v>
      </c>
      <c r="C7106" t="s">
        <v>3125</v>
      </c>
      <c r="D7106" t="s">
        <v>441</v>
      </c>
      <c r="F7106">
        <v>0</v>
      </c>
      <c r="G7106">
        <v>9.2200000000000006</v>
      </c>
      <c r="H7106" t="s">
        <v>8549</v>
      </c>
      <c r="I7106">
        <v>540</v>
      </c>
      <c r="J7106" t="s">
        <v>445</v>
      </c>
      <c r="M7106">
        <v>7111</v>
      </c>
      <c r="N7106" t="s">
        <v>16316</v>
      </c>
    </row>
    <row r="7107" spans="1:14">
      <c r="A7107">
        <v>27840007</v>
      </c>
      <c r="B7107">
        <v>3027567</v>
      </c>
      <c r="C7107" t="s">
        <v>3126</v>
      </c>
      <c r="D7107" t="s">
        <v>441</v>
      </c>
      <c r="F7107">
        <v>0</v>
      </c>
      <c r="G7107">
        <v>8.89</v>
      </c>
      <c r="H7107" t="s">
        <v>8588</v>
      </c>
      <c r="I7107">
        <v>6</v>
      </c>
      <c r="J7107" t="s">
        <v>445</v>
      </c>
      <c r="M7107">
        <v>2391</v>
      </c>
      <c r="N7107" t="s">
        <v>16316</v>
      </c>
    </row>
    <row r="7108" spans="1:14">
      <c r="A7108">
        <v>27840502</v>
      </c>
      <c r="B7108">
        <v>3035500</v>
      </c>
      <c r="C7108" t="s">
        <v>3127</v>
      </c>
      <c r="D7108" t="s">
        <v>441</v>
      </c>
      <c r="F7108">
        <v>0</v>
      </c>
      <c r="G7108">
        <v>8.86</v>
      </c>
      <c r="H7108" t="s">
        <v>8588</v>
      </c>
      <c r="I7108">
        <v>6</v>
      </c>
      <c r="J7108" t="s">
        <v>445</v>
      </c>
      <c r="M7108">
        <v>2502</v>
      </c>
      <c r="N7108" t="s">
        <v>16316</v>
      </c>
    </row>
    <row r="7109" spans="1:14">
      <c r="A7109">
        <v>27844000</v>
      </c>
      <c r="B7109">
        <v>3039530</v>
      </c>
      <c r="C7109" t="s">
        <v>3128</v>
      </c>
      <c r="D7109" t="s">
        <v>441</v>
      </c>
      <c r="F7109">
        <v>0</v>
      </c>
      <c r="G7109">
        <v>8.77</v>
      </c>
      <c r="H7109" t="s">
        <v>8549</v>
      </c>
      <c r="I7109">
        <v>6</v>
      </c>
      <c r="J7109" t="s">
        <v>445</v>
      </c>
      <c r="M7109">
        <v>2391</v>
      </c>
      <c r="N7109" t="s">
        <v>16316</v>
      </c>
    </row>
    <row r="7110" spans="1:14">
      <c r="A7110">
        <v>27844007</v>
      </c>
      <c r="B7110">
        <v>3039531</v>
      </c>
      <c r="C7110" t="s">
        <v>3129</v>
      </c>
      <c r="D7110" t="s">
        <v>441</v>
      </c>
      <c r="F7110">
        <v>0</v>
      </c>
      <c r="G7110">
        <v>8.89</v>
      </c>
      <c r="H7110" t="s">
        <v>8588</v>
      </c>
      <c r="I7110">
        <v>6</v>
      </c>
      <c r="J7110" t="s">
        <v>445</v>
      </c>
      <c r="M7110">
        <v>2391</v>
      </c>
      <c r="N7110" t="s">
        <v>16316</v>
      </c>
    </row>
    <row r="7111" spans="1:14">
      <c r="A7111">
        <v>27860000</v>
      </c>
      <c r="B7111">
        <v>3015897</v>
      </c>
      <c r="C7111" t="s">
        <v>3130</v>
      </c>
      <c r="D7111" t="s">
        <v>441</v>
      </c>
      <c r="F7111">
        <v>0</v>
      </c>
      <c r="G7111">
        <v>8.5500000000000007</v>
      </c>
      <c r="H7111" t="s">
        <v>8580</v>
      </c>
      <c r="I7111">
        <v>6</v>
      </c>
      <c r="J7111" t="s">
        <v>445</v>
      </c>
      <c r="M7111">
        <v>2391</v>
      </c>
      <c r="N7111" t="s">
        <v>16037</v>
      </c>
    </row>
    <row r="7112" spans="1:14">
      <c r="A7112">
        <v>27860007</v>
      </c>
      <c r="B7112">
        <v>3025033</v>
      </c>
      <c r="C7112" t="s">
        <v>3131</v>
      </c>
      <c r="D7112" t="s">
        <v>441</v>
      </c>
      <c r="F7112">
        <v>0</v>
      </c>
      <c r="G7112">
        <v>13.34</v>
      </c>
      <c r="H7112" t="s">
        <v>8935</v>
      </c>
      <c r="I7112">
        <v>6</v>
      </c>
      <c r="J7112" t="s">
        <v>445</v>
      </c>
      <c r="K7112" t="s">
        <v>446</v>
      </c>
      <c r="M7112">
        <v>3111</v>
      </c>
      <c r="N7112" t="s">
        <v>16037</v>
      </c>
    </row>
    <row r="7113" spans="1:14">
      <c r="A7113">
        <v>27860020</v>
      </c>
      <c r="B7113">
        <v>4015778</v>
      </c>
      <c r="C7113" t="s">
        <v>3132</v>
      </c>
      <c r="D7113" t="s">
        <v>441</v>
      </c>
      <c r="F7113">
        <v>0</v>
      </c>
      <c r="G7113">
        <v>11.51</v>
      </c>
      <c r="H7113" t="s">
        <v>8588</v>
      </c>
      <c r="I7113">
        <v>6</v>
      </c>
      <c r="J7113" t="s">
        <v>462</v>
      </c>
      <c r="K7113" t="s">
        <v>446</v>
      </c>
      <c r="M7113">
        <v>2641</v>
      </c>
      <c r="N7113" t="s">
        <v>16037</v>
      </c>
    </row>
    <row r="7114" spans="1:14">
      <c r="A7114">
        <v>27860907</v>
      </c>
      <c r="B7114">
        <v>3025293</v>
      </c>
      <c r="C7114" t="s">
        <v>3133</v>
      </c>
      <c r="D7114" t="s">
        <v>441</v>
      </c>
      <c r="F7114">
        <v>0</v>
      </c>
      <c r="G7114">
        <v>0</v>
      </c>
      <c r="H7114" t="s">
        <v>8584</v>
      </c>
      <c r="I7114">
        <v>6</v>
      </c>
      <c r="J7114" t="s">
        <v>445</v>
      </c>
      <c r="K7114" t="s">
        <v>446</v>
      </c>
      <c r="M7114">
        <v>6666</v>
      </c>
      <c r="N7114" t="s">
        <v>16037</v>
      </c>
    </row>
    <row r="7115" spans="1:14">
      <c r="A7115">
        <v>27861000</v>
      </c>
      <c r="B7115">
        <v>3021449</v>
      </c>
      <c r="C7115" t="s">
        <v>3134</v>
      </c>
      <c r="D7115" t="s">
        <v>441</v>
      </c>
      <c r="F7115">
        <v>0</v>
      </c>
      <c r="G7115">
        <v>8.5500000000000007</v>
      </c>
      <c r="H7115" t="s">
        <v>8549</v>
      </c>
      <c r="I7115">
        <v>6</v>
      </c>
      <c r="J7115" t="s">
        <v>445</v>
      </c>
      <c r="M7115">
        <v>2391</v>
      </c>
      <c r="N7115" t="s">
        <v>16037</v>
      </c>
    </row>
    <row r="7116" spans="1:14">
      <c r="A7116">
        <v>27861007</v>
      </c>
      <c r="B7116">
        <v>3025034</v>
      </c>
      <c r="C7116" t="s">
        <v>3135</v>
      </c>
      <c r="D7116" t="s">
        <v>441</v>
      </c>
      <c r="F7116">
        <v>0</v>
      </c>
      <c r="G7116">
        <v>13.34</v>
      </c>
      <c r="H7116" t="s">
        <v>8935</v>
      </c>
      <c r="I7116">
        <v>6</v>
      </c>
      <c r="J7116" t="s">
        <v>445</v>
      </c>
      <c r="K7116" t="s">
        <v>446</v>
      </c>
      <c r="M7116">
        <v>3111</v>
      </c>
      <c r="N7116" t="s">
        <v>16037</v>
      </c>
    </row>
    <row r="7117" spans="1:14">
      <c r="A7117">
        <v>27861020</v>
      </c>
      <c r="B7117">
        <v>4015779</v>
      </c>
      <c r="C7117" t="s">
        <v>3136</v>
      </c>
      <c r="D7117" t="s">
        <v>441</v>
      </c>
      <c r="F7117">
        <v>0</v>
      </c>
      <c r="G7117">
        <v>11.51</v>
      </c>
      <c r="H7117" t="s">
        <v>8588</v>
      </c>
      <c r="I7117">
        <v>6</v>
      </c>
      <c r="J7117" t="s">
        <v>462</v>
      </c>
      <c r="K7117" t="s">
        <v>446</v>
      </c>
      <c r="M7117">
        <v>2641</v>
      </c>
      <c r="N7117" t="s">
        <v>16037</v>
      </c>
    </row>
    <row r="7118" spans="1:14">
      <c r="A7118">
        <v>27861907</v>
      </c>
      <c r="B7118">
        <v>3025294</v>
      </c>
      <c r="C7118" t="s">
        <v>3137</v>
      </c>
      <c r="D7118" t="s">
        <v>441</v>
      </c>
      <c r="F7118">
        <v>0</v>
      </c>
      <c r="G7118">
        <v>0</v>
      </c>
      <c r="H7118" t="s">
        <v>8584</v>
      </c>
      <c r="I7118">
        <v>6</v>
      </c>
      <c r="J7118" t="s">
        <v>445</v>
      </c>
      <c r="K7118" t="s">
        <v>446</v>
      </c>
      <c r="M7118">
        <v>6666</v>
      </c>
      <c r="N7118" t="s">
        <v>16037</v>
      </c>
    </row>
    <row r="7119" spans="1:14">
      <c r="A7119">
        <v>27864000</v>
      </c>
      <c r="B7119">
        <v>3041221</v>
      </c>
      <c r="C7119" t="s">
        <v>17505</v>
      </c>
      <c r="D7119" t="s">
        <v>441</v>
      </c>
      <c r="F7119">
        <v>0</v>
      </c>
      <c r="G7119">
        <v>17.53</v>
      </c>
      <c r="I7119">
        <v>6</v>
      </c>
      <c r="J7119" t="s">
        <v>445</v>
      </c>
      <c r="M7119">
        <v>2391</v>
      </c>
      <c r="N7119" t="s">
        <v>16037</v>
      </c>
    </row>
    <row r="7120" spans="1:14">
      <c r="A7120">
        <v>27870000</v>
      </c>
      <c r="B7120">
        <v>3015973</v>
      </c>
      <c r="C7120" t="s">
        <v>3138</v>
      </c>
      <c r="D7120" t="s">
        <v>441</v>
      </c>
      <c r="F7120">
        <v>0</v>
      </c>
      <c r="G7120">
        <v>8.33</v>
      </c>
      <c r="H7120" t="s">
        <v>8588</v>
      </c>
      <c r="I7120">
        <v>6</v>
      </c>
      <c r="J7120" t="s">
        <v>445</v>
      </c>
      <c r="M7120">
        <v>2391</v>
      </c>
      <c r="N7120" t="s">
        <v>16311</v>
      </c>
    </row>
    <row r="7121" spans="1:14">
      <c r="A7121">
        <v>27870007</v>
      </c>
      <c r="B7121">
        <v>3025035</v>
      </c>
      <c r="C7121" t="s">
        <v>3139</v>
      </c>
      <c r="D7121" t="s">
        <v>441</v>
      </c>
      <c r="F7121">
        <v>0</v>
      </c>
      <c r="G7121">
        <v>12.81</v>
      </c>
      <c r="I7121">
        <v>6</v>
      </c>
      <c r="J7121" t="s">
        <v>445</v>
      </c>
      <c r="K7121" t="s">
        <v>446</v>
      </c>
      <c r="M7121">
        <v>3111</v>
      </c>
      <c r="N7121" t="s">
        <v>16311</v>
      </c>
    </row>
    <row r="7122" spans="1:14">
      <c r="A7122">
        <v>27870900</v>
      </c>
      <c r="B7122">
        <v>3020353</v>
      </c>
      <c r="C7122" t="s">
        <v>3140</v>
      </c>
      <c r="D7122" t="s">
        <v>441</v>
      </c>
      <c r="F7122">
        <v>0</v>
      </c>
      <c r="G7122">
        <v>0</v>
      </c>
      <c r="H7122" t="s">
        <v>9302</v>
      </c>
      <c r="I7122">
        <v>6</v>
      </c>
      <c r="J7122" t="s">
        <v>445</v>
      </c>
      <c r="M7122">
        <v>6666</v>
      </c>
      <c r="N7122" t="s">
        <v>16311</v>
      </c>
    </row>
    <row r="7123" spans="1:14">
      <c r="A7123">
        <v>27870907</v>
      </c>
      <c r="B7123">
        <v>3025295</v>
      </c>
      <c r="C7123" t="s">
        <v>3141</v>
      </c>
      <c r="D7123" t="s">
        <v>441</v>
      </c>
      <c r="F7123">
        <v>0</v>
      </c>
      <c r="G7123">
        <v>0</v>
      </c>
      <c r="H7123" t="s">
        <v>8584</v>
      </c>
      <c r="I7123">
        <v>6</v>
      </c>
      <c r="J7123" t="s">
        <v>445</v>
      </c>
      <c r="K7123" t="s">
        <v>446</v>
      </c>
      <c r="M7123">
        <v>6666</v>
      </c>
      <c r="N7123" t="s">
        <v>16311</v>
      </c>
    </row>
    <row r="7124" spans="1:14">
      <c r="A7124">
        <v>27871000</v>
      </c>
      <c r="B7124">
        <v>3017797</v>
      </c>
      <c r="C7124" t="s">
        <v>3142</v>
      </c>
      <c r="D7124" t="s">
        <v>441</v>
      </c>
      <c r="F7124">
        <v>0</v>
      </c>
      <c r="G7124">
        <v>13.25</v>
      </c>
      <c r="H7124" t="s">
        <v>8549</v>
      </c>
      <c r="I7124">
        <v>6</v>
      </c>
      <c r="J7124" t="s">
        <v>445</v>
      </c>
      <c r="M7124">
        <v>2391</v>
      </c>
      <c r="N7124" t="s">
        <v>16311</v>
      </c>
    </row>
    <row r="7125" spans="1:14">
      <c r="A7125">
        <v>27871007</v>
      </c>
      <c r="B7125">
        <v>3025036</v>
      </c>
      <c r="C7125" t="s">
        <v>3143</v>
      </c>
      <c r="D7125" t="s">
        <v>441</v>
      </c>
      <c r="F7125">
        <v>0</v>
      </c>
      <c r="G7125">
        <v>12.87</v>
      </c>
      <c r="H7125" t="s">
        <v>8580</v>
      </c>
      <c r="I7125">
        <v>6</v>
      </c>
      <c r="J7125" t="s">
        <v>445</v>
      </c>
      <c r="K7125" t="s">
        <v>446</v>
      </c>
      <c r="M7125">
        <v>3111</v>
      </c>
      <c r="N7125" t="s">
        <v>16311</v>
      </c>
    </row>
    <row r="7126" spans="1:14">
      <c r="A7126">
        <v>27871907</v>
      </c>
      <c r="B7126">
        <v>3025296</v>
      </c>
      <c r="C7126" t="s">
        <v>3144</v>
      </c>
      <c r="D7126" t="s">
        <v>441</v>
      </c>
      <c r="F7126">
        <v>0</v>
      </c>
      <c r="G7126">
        <v>0</v>
      </c>
      <c r="H7126" t="s">
        <v>8584</v>
      </c>
      <c r="I7126">
        <v>6</v>
      </c>
      <c r="J7126" t="s">
        <v>445</v>
      </c>
      <c r="K7126" t="s">
        <v>446</v>
      </c>
      <c r="M7126">
        <v>6666</v>
      </c>
      <c r="N7126" t="s">
        <v>16311</v>
      </c>
    </row>
    <row r="7127" spans="1:14">
      <c r="A7127">
        <v>27874000</v>
      </c>
      <c r="B7127">
        <v>3035829</v>
      </c>
      <c r="C7127" t="s">
        <v>3145</v>
      </c>
      <c r="D7127" t="s">
        <v>441</v>
      </c>
      <c r="F7127">
        <v>0</v>
      </c>
      <c r="G7127">
        <v>13.25</v>
      </c>
      <c r="H7127" t="s">
        <v>8588</v>
      </c>
      <c r="I7127">
        <v>6</v>
      </c>
      <c r="J7127" t="s">
        <v>445</v>
      </c>
      <c r="M7127">
        <v>2391</v>
      </c>
      <c r="N7127" t="s">
        <v>16311</v>
      </c>
    </row>
    <row r="7128" spans="1:14">
      <c r="A7128">
        <v>27880000</v>
      </c>
      <c r="B7128">
        <v>3010069</v>
      </c>
      <c r="C7128" t="s">
        <v>12017</v>
      </c>
      <c r="D7128" t="s">
        <v>441</v>
      </c>
      <c r="F7128">
        <v>0</v>
      </c>
      <c r="G7128">
        <v>11.02</v>
      </c>
      <c r="H7128" t="s">
        <v>8634</v>
      </c>
      <c r="I7128">
        <v>6</v>
      </c>
      <c r="J7128" t="s">
        <v>445</v>
      </c>
      <c r="K7128" t="s">
        <v>446</v>
      </c>
      <c r="M7128">
        <v>2311</v>
      </c>
    </row>
    <row r="7129" spans="1:14">
      <c r="A7129">
        <v>27890000</v>
      </c>
      <c r="B7129">
        <v>3010068</v>
      </c>
      <c r="C7129" t="s">
        <v>12018</v>
      </c>
      <c r="D7129" t="s">
        <v>441</v>
      </c>
      <c r="F7129">
        <v>0</v>
      </c>
      <c r="G7129">
        <v>10.97</v>
      </c>
      <c r="H7129" t="s">
        <v>8634</v>
      </c>
      <c r="I7129">
        <v>6</v>
      </c>
      <c r="J7129" t="s">
        <v>445</v>
      </c>
      <c r="K7129" t="s">
        <v>446</v>
      </c>
      <c r="M7129">
        <v>2311</v>
      </c>
    </row>
    <row r="7130" spans="1:14">
      <c r="A7130">
        <v>27900000</v>
      </c>
      <c r="B7130">
        <v>3010067</v>
      </c>
      <c r="C7130" t="s">
        <v>3146</v>
      </c>
      <c r="D7130" t="s">
        <v>441</v>
      </c>
      <c r="F7130">
        <v>0</v>
      </c>
      <c r="G7130">
        <v>11.62</v>
      </c>
      <c r="H7130" t="s">
        <v>8634</v>
      </c>
      <c r="I7130">
        <v>6</v>
      </c>
      <c r="J7130" t="s">
        <v>445</v>
      </c>
      <c r="K7130" t="s">
        <v>446</v>
      </c>
      <c r="M7130">
        <v>2311</v>
      </c>
      <c r="N7130" t="s">
        <v>16317</v>
      </c>
    </row>
    <row r="7131" spans="1:14">
      <c r="A7131">
        <v>27901000</v>
      </c>
      <c r="B7131">
        <v>3017457</v>
      </c>
      <c r="C7131" t="s">
        <v>3147</v>
      </c>
      <c r="D7131" t="s">
        <v>441</v>
      </c>
      <c r="F7131">
        <v>0</v>
      </c>
      <c r="G7131">
        <v>11.62</v>
      </c>
      <c r="H7131" t="s">
        <v>8549</v>
      </c>
      <c r="I7131">
        <v>6</v>
      </c>
      <c r="J7131" t="s">
        <v>445</v>
      </c>
      <c r="K7131" t="s">
        <v>446</v>
      </c>
      <c r="M7131">
        <v>2311</v>
      </c>
      <c r="N7131" t="s">
        <v>16317</v>
      </c>
    </row>
    <row r="7132" spans="1:14">
      <c r="A7132">
        <v>27910000</v>
      </c>
      <c r="B7132">
        <v>3010073</v>
      </c>
      <c r="C7132" t="s">
        <v>12019</v>
      </c>
      <c r="D7132" t="s">
        <v>441</v>
      </c>
      <c r="F7132">
        <v>0</v>
      </c>
      <c r="G7132">
        <v>11.02</v>
      </c>
      <c r="H7132" t="s">
        <v>8634</v>
      </c>
      <c r="I7132">
        <v>6</v>
      </c>
      <c r="J7132" t="s">
        <v>445</v>
      </c>
      <c r="K7132" t="s">
        <v>446</v>
      </c>
      <c r="M7132">
        <v>2311</v>
      </c>
    </row>
    <row r="7133" spans="1:14">
      <c r="A7133">
        <v>27920000</v>
      </c>
      <c r="B7133">
        <v>3010074</v>
      </c>
      <c r="C7133" t="s">
        <v>12020</v>
      </c>
      <c r="D7133" t="s">
        <v>441</v>
      </c>
      <c r="F7133">
        <v>0</v>
      </c>
      <c r="G7133">
        <v>10.97</v>
      </c>
      <c r="H7133" t="s">
        <v>8634</v>
      </c>
      <c r="I7133">
        <v>6</v>
      </c>
      <c r="J7133" t="s">
        <v>445</v>
      </c>
      <c r="K7133" t="s">
        <v>446</v>
      </c>
      <c r="M7133">
        <v>2311</v>
      </c>
    </row>
    <row r="7134" spans="1:14">
      <c r="A7134">
        <v>27930000</v>
      </c>
      <c r="B7134">
        <v>3011808</v>
      </c>
      <c r="C7134" t="s">
        <v>3148</v>
      </c>
      <c r="D7134" t="s">
        <v>441</v>
      </c>
      <c r="F7134">
        <v>0</v>
      </c>
      <c r="G7134">
        <v>8.5500000000000007</v>
      </c>
      <c r="H7134" t="s">
        <v>8588</v>
      </c>
      <c r="I7134">
        <v>6</v>
      </c>
      <c r="J7134" t="s">
        <v>445</v>
      </c>
      <c r="M7134">
        <v>2391</v>
      </c>
      <c r="N7134" t="s">
        <v>16318</v>
      </c>
    </row>
    <row r="7135" spans="1:14">
      <c r="A7135">
        <v>27930002</v>
      </c>
      <c r="B7135">
        <v>3019851</v>
      </c>
      <c r="C7135" t="s">
        <v>3149</v>
      </c>
      <c r="D7135" t="s">
        <v>441</v>
      </c>
      <c r="F7135">
        <v>0</v>
      </c>
      <c r="G7135">
        <v>13.3</v>
      </c>
      <c r="I7135">
        <v>540</v>
      </c>
      <c r="J7135" t="s">
        <v>445</v>
      </c>
      <c r="K7135" t="s">
        <v>446</v>
      </c>
      <c r="M7135">
        <v>2501</v>
      </c>
      <c r="N7135" t="s">
        <v>16318</v>
      </c>
    </row>
    <row r="7136" spans="1:14">
      <c r="A7136">
        <v>27930007</v>
      </c>
      <c r="B7136">
        <v>3025037</v>
      </c>
      <c r="C7136" t="s">
        <v>17506</v>
      </c>
      <c r="D7136" t="s">
        <v>441</v>
      </c>
      <c r="F7136">
        <v>0</v>
      </c>
      <c r="G7136">
        <v>17.7</v>
      </c>
      <c r="H7136" t="s">
        <v>8588</v>
      </c>
      <c r="I7136">
        <v>6</v>
      </c>
      <c r="J7136" t="s">
        <v>445</v>
      </c>
      <c r="M7136">
        <v>3113</v>
      </c>
      <c r="N7136" t="s">
        <v>16318</v>
      </c>
    </row>
    <row r="7137" spans="1:14">
      <c r="A7137">
        <v>27930502</v>
      </c>
      <c r="B7137">
        <v>3019156</v>
      </c>
      <c r="C7137" t="s">
        <v>3150</v>
      </c>
      <c r="D7137" t="s">
        <v>441</v>
      </c>
      <c r="F7137">
        <v>0</v>
      </c>
      <c r="G7137">
        <v>13.01</v>
      </c>
      <c r="H7137" t="s">
        <v>8580</v>
      </c>
      <c r="I7137">
        <v>540</v>
      </c>
      <c r="J7137" t="s">
        <v>445</v>
      </c>
      <c r="K7137" t="s">
        <v>446</v>
      </c>
      <c r="M7137">
        <v>2641</v>
      </c>
      <c r="N7137" t="s">
        <v>16318</v>
      </c>
    </row>
    <row r="7138" spans="1:14">
      <c r="A7138">
        <v>27930602</v>
      </c>
      <c r="B7138">
        <v>3019852</v>
      </c>
      <c r="C7138" t="s">
        <v>3151</v>
      </c>
      <c r="D7138" t="s">
        <v>441</v>
      </c>
      <c r="F7138">
        <v>0</v>
      </c>
      <c r="G7138">
        <v>13.67</v>
      </c>
      <c r="H7138" t="s">
        <v>8588</v>
      </c>
      <c r="I7138">
        <v>4</v>
      </c>
      <c r="J7138" t="s">
        <v>445</v>
      </c>
      <c r="K7138" t="s">
        <v>446</v>
      </c>
      <c r="M7138">
        <v>2511</v>
      </c>
      <c r="N7138" t="s">
        <v>16318</v>
      </c>
    </row>
    <row r="7139" spans="1:14">
      <c r="A7139">
        <v>27930900</v>
      </c>
      <c r="B7139">
        <v>3020354</v>
      </c>
      <c r="C7139" t="s">
        <v>3152</v>
      </c>
      <c r="D7139" t="s">
        <v>441</v>
      </c>
      <c r="F7139">
        <v>0</v>
      </c>
      <c r="G7139">
        <v>0</v>
      </c>
      <c r="H7139" t="s">
        <v>8584</v>
      </c>
      <c r="I7139">
        <v>6</v>
      </c>
      <c r="J7139" t="s">
        <v>445</v>
      </c>
      <c r="M7139">
        <v>6666</v>
      </c>
      <c r="N7139" t="s">
        <v>16318</v>
      </c>
    </row>
    <row r="7140" spans="1:14">
      <c r="A7140">
        <v>27930902</v>
      </c>
      <c r="B7140">
        <v>3021201</v>
      </c>
      <c r="C7140" t="s">
        <v>3153</v>
      </c>
      <c r="D7140" t="s">
        <v>441</v>
      </c>
      <c r="F7140">
        <v>0</v>
      </c>
      <c r="I7140">
        <v>4</v>
      </c>
      <c r="J7140" t="s">
        <v>445</v>
      </c>
      <c r="K7140" t="s">
        <v>446</v>
      </c>
      <c r="M7140">
        <v>6666</v>
      </c>
      <c r="N7140" t="s">
        <v>16318</v>
      </c>
    </row>
    <row r="7141" spans="1:14">
      <c r="A7141">
        <v>27930907</v>
      </c>
      <c r="B7141">
        <v>3025297</v>
      </c>
      <c r="C7141" t="s">
        <v>17507</v>
      </c>
      <c r="D7141" t="s">
        <v>441</v>
      </c>
      <c r="F7141">
        <v>0</v>
      </c>
      <c r="G7141">
        <v>0</v>
      </c>
      <c r="H7141" t="s">
        <v>8580</v>
      </c>
      <c r="I7141">
        <v>6</v>
      </c>
      <c r="J7141" t="s">
        <v>445</v>
      </c>
      <c r="M7141">
        <v>6666</v>
      </c>
      <c r="N7141" t="s">
        <v>16318</v>
      </c>
    </row>
    <row r="7142" spans="1:14">
      <c r="A7142">
        <v>27931000</v>
      </c>
      <c r="B7142">
        <v>3017479</v>
      </c>
      <c r="C7142" t="s">
        <v>3154</v>
      </c>
      <c r="D7142" t="s">
        <v>441</v>
      </c>
      <c r="F7142">
        <v>0</v>
      </c>
      <c r="G7142">
        <v>8.5500000000000007</v>
      </c>
      <c r="H7142" t="s">
        <v>8588</v>
      </c>
      <c r="I7142">
        <v>6</v>
      </c>
      <c r="J7142" t="s">
        <v>445</v>
      </c>
      <c r="M7142">
        <v>2391</v>
      </c>
      <c r="N7142" t="s">
        <v>16318</v>
      </c>
    </row>
    <row r="7143" spans="1:14">
      <c r="A7143">
        <v>27931007</v>
      </c>
      <c r="B7143">
        <v>3025038</v>
      </c>
      <c r="C7143" t="s">
        <v>3155</v>
      </c>
      <c r="D7143" t="s">
        <v>441</v>
      </c>
      <c r="F7143">
        <v>0</v>
      </c>
      <c r="G7143">
        <v>13.01</v>
      </c>
      <c r="H7143" t="s">
        <v>8584</v>
      </c>
      <c r="I7143">
        <v>6</v>
      </c>
      <c r="J7143" t="s">
        <v>445</v>
      </c>
      <c r="K7143" t="s">
        <v>446</v>
      </c>
      <c r="M7143">
        <v>3111</v>
      </c>
      <c r="N7143" t="s">
        <v>16318</v>
      </c>
    </row>
    <row r="7144" spans="1:14">
      <c r="A7144">
        <v>27931900</v>
      </c>
      <c r="B7144">
        <v>3020355</v>
      </c>
      <c r="C7144" t="s">
        <v>3156</v>
      </c>
      <c r="D7144" t="s">
        <v>441</v>
      </c>
      <c r="F7144">
        <v>0</v>
      </c>
      <c r="G7144">
        <v>0</v>
      </c>
      <c r="H7144" t="s">
        <v>8584</v>
      </c>
      <c r="I7144">
        <v>6</v>
      </c>
      <c r="J7144" t="s">
        <v>445</v>
      </c>
      <c r="M7144">
        <v>6666</v>
      </c>
      <c r="N7144" t="s">
        <v>16318</v>
      </c>
    </row>
    <row r="7145" spans="1:14">
      <c r="A7145">
        <v>27931907</v>
      </c>
      <c r="B7145">
        <v>3025298</v>
      </c>
      <c r="C7145" t="s">
        <v>3157</v>
      </c>
      <c r="D7145" t="s">
        <v>441</v>
      </c>
      <c r="F7145">
        <v>0</v>
      </c>
      <c r="G7145">
        <v>0</v>
      </c>
      <c r="H7145" t="s">
        <v>8584</v>
      </c>
      <c r="I7145">
        <v>6</v>
      </c>
      <c r="J7145" t="s">
        <v>445</v>
      </c>
      <c r="K7145" t="s">
        <v>446</v>
      </c>
      <c r="M7145">
        <v>6666</v>
      </c>
      <c r="N7145" t="s">
        <v>16318</v>
      </c>
    </row>
    <row r="7146" spans="1:14">
      <c r="A7146">
        <v>27940000</v>
      </c>
      <c r="B7146">
        <v>3011818</v>
      </c>
      <c r="C7146" t="s">
        <v>12021</v>
      </c>
      <c r="D7146" t="s">
        <v>441</v>
      </c>
      <c r="F7146">
        <v>0</v>
      </c>
      <c r="G7146">
        <v>11.02</v>
      </c>
      <c r="I7146">
        <v>6</v>
      </c>
      <c r="J7146" t="s">
        <v>445</v>
      </c>
      <c r="K7146" t="s">
        <v>446</v>
      </c>
      <c r="M7146">
        <v>2311</v>
      </c>
    </row>
    <row r="7147" spans="1:14">
      <c r="A7147">
        <v>27950000</v>
      </c>
      <c r="B7147">
        <v>3011819</v>
      </c>
      <c r="C7147" t="s">
        <v>12022</v>
      </c>
      <c r="D7147" t="s">
        <v>441</v>
      </c>
      <c r="F7147">
        <v>0</v>
      </c>
      <c r="G7147">
        <v>10.97</v>
      </c>
      <c r="H7147" t="s">
        <v>8580</v>
      </c>
      <c r="I7147">
        <v>6</v>
      </c>
      <c r="J7147" t="s">
        <v>445</v>
      </c>
      <c r="K7147" t="s">
        <v>446</v>
      </c>
      <c r="M7147">
        <v>2311</v>
      </c>
    </row>
    <row r="7148" spans="1:14">
      <c r="A7148">
        <v>27960000</v>
      </c>
      <c r="B7148">
        <v>3015913</v>
      </c>
      <c r="C7148" t="s">
        <v>371</v>
      </c>
      <c r="D7148" t="s">
        <v>441</v>
      </c>
      <c r="F7148">
        <v>0</v>
      </c>
      <c r="G7148">
        <v>8.2200000000000006</v>
      </c>
      <c r="I7148">
        <v>6</v>
      </c>
      <c r="J7148" t="s">
        <v>445</v>
      </c>
      <c r="M7148">
        <v>2391</v>
      </c>
      <c r="N7148" t="s">
        <v>16313</v>
      </c>
    </row>
    <row r="7149" spans="1:14">
      <c r="A7149">
        <v>27960007</v>
      </c>
      <c r="B7149">
        <v>3011315</v>
      </c>
      <c r="C7149" t="s">
        <v>3158</v>
      </c>
      <c r="D7149" t="s">
        <v>441</v>
      </c>
      <c r="F7149">
        <v>0</v>
      </c>
      <c r="G7149">
        <v>8.33</v>
      </c>
      <c r="H7149" t="s">
        <v>8588</v>
      </c>
      <c r="I7149">
        <v>6</v>
      </c>
      <c r="J7149" t="s">
        <v>445</v>
      </c>
      <c r="M7149">
        <v>3111</v>
      </c>
      <c r="N7149" t="s">
        <v>16313</v>
      </c>
    </row>
    <row r="7150" spans="1:14">
      <c r="A7150">
        <v>27960907</v>
      </c>
      <c r="B7150">
        <v>3025096</v>
      </c>
      <c r="C7150" t="s">
        <v>3159</v>
      </c>
      <c r="D7150" t="s">
        <v>441</v>
      </c>
      <c r="F7150">
        <v>0</v>
      </c>
      <c r="G7150">
        <v>11.39</v>
      </c>
      <c r="I7150">
        <v>6</v>
      </c>
      <c r="J7150" t="s">
        <v>445</v>
      </c>
      <c r="M7150">
        <v>6666</v>
      </c>
      <c r="N7150" t="s">
        <v>16313</v>
      </c>
    </row>
    <row r="7151" spans="1:14">
      <c r="A7151">
        <v>27961000</v>
      </c>
      <c r="B7151">
        <v>3017897</v>
      </c>
      <c r="C7151" t="s">
        <v>3160</v>
      </c>
      <c r="D7151" t="s">
        <v>441</v>
      </c>
      <c r="F7151">
        <v>0</v>
      </c>
      <c r="G7151">
        <v>13.08</v>
      </c>
      <c r="H7151" t="s">
        <v>8580</v>
      </c>
      <c r="I7151">
        <v>6</v>
      </c>
      <c r="J7151" t="s">
        <v>445</v>
      </c>
      <c r="M7151">
        <v>2391</v>
      </c>
      <c r="N7151" t="s">
        <v>16313</v>
      </c>
    </row>
    <row r="7152" spans="1:14">
      <c r="A7152">
        <v>27961007</v>
      </c>
      <c r="B7152">
        <v>3017472</v>
      </c>
      <c r="C7152" t="s">
        <v>15427</v>
      </c>
      <c r="D7152" t="s">
        <v>441</v>
      </c>
      <c r="F7152">
        <v>0</v>
      </c>
      <c r="G7152">
        <v>14.2</v>
      </c>
      <c r="H7152" t="s">
        <v>8588</v>
      </c>
      <c r="I7152">
        <v>6</v>
      </c>
      <c r="J7152" t="s">
        <v>445</v>
      </c>
      <c r="M7152">
        <v>3111</v>
      </c>
      <c r="N7152" t="s">
        <v>16313</v>
      </c>
    </row>
    <row r="7153" spans="1:14">
      <c r="A7153">
        <v>27961907</v>
      </c>
      <c r="B7153">
        <v>3044728</v>
      </c>
      <c r="C7153" t="s">
        <v>15428</v>
      </c>
      <c r="D7153" t="s">
        <v>441</v>
      </c>
      <c r="F7153">
        <v>0</v>
      </c>
      <c r="G7153">
        <v>1</v>
      </c>
      <c r="H7153" t="s">
        <v>8588</v>
      </c>
      <c r="I7153">
        <v>6</v>
      </c>
      <c r="J7153" t="s">
        <v>445</v>
      </c>
      <c r="M7153">
        <v>6666</v>
      </c>
      <c r="N7153" t="s">
        <v>16313</v>
      </c>
    </row>
    <row r="7154" spans="1:14">
      <c r="A7154">
        <v>27964000</v>
      </c>
      <c r="B7154">
        <v>3035856</v>
      </c>
      <c r="C7154" t="s">
        <v>3161</v>
      </c>
      <c r="D7154" t="s">
        <v>441</v>
      </c>
      <c r="F7154">
        <v>0</v>
      </c>
      <c r="G7154">
        <v>8.2200000000000006</v>
      </c>
      <c r="H7154" t="s">
        <v>8549</v>
      </c>
      <c r="I7154">
        <v>6</v>
      </c>
      <c r="J7154" t="s">
        <v>445</v>
      </c>
      <c r="M7154">
        <v>2391</v>
      </c>
      <c r="N7154" t="s">
        <v>16313</v>
      </c>
    </row>
    <row r="7155" spans="1:14">
      <c r="A7155">
        <v>27964007</v>
      </c>
      <c r="B7155">
        <v>3035803</v>
      </c>
      <c r="C7155" t="s">
        <v>14229</v>
      </c>
      <c r="D7155" t="s">
        <v>441</v>
      </c>
      <c r="F7155">
        <v>0</v>
      </c>
      <c r="G7155">
        <v>13.93</v>
      </c>
      <c r="H7155" t="s">
        <v>8588</v>
      </c>
      <c r="I7155">
        <v>6</v>
      </c>
      <c r="J7155" t="s">
        <v>445</v>
      </c>
      <c r="M7155">
        <v>3111</v>
      </c>
      <c r="N7155" t="s">
        <v>16313</v>
      </c>
    </row>
    <row r="7156" spans="1:14">
      <c r="A7156">
        <v>27964907</v>
      </c>
      <c r="B7156">
        <v>3044068</v>
      </c>
      <c r="C7156" t="s">
        <v>14488</v>
      </c>
      <c r="D7156" t="s">
        <v>441</v>
      </c>
      <c r="F7156">
        <v>0</v>
      </c>
      <c r="G7156">
        <v>13.7</v>
      </c>
      <c r="H7156" t="s">
        <v>8588</v>
      </c>
      <c r="I7156">
        <v>6</v>
      </c>
      <c r="J7156" t="s">
        <v>445</v>
      </c>
      <c r="M7156">
        <v>6666</v>
      </c>
      <c r="N7156" t="s">
        <v>16313</v>
      </c>
    </row>
    <row r="7157" spans="1:14">
      <c r="A7157">
        <v>27969000</v>
      </c>
      <c r="B7157">
        <v>3044027</v>
      </c>
      <c r="C7157" t="s">
        <v>14489</v>
      </c>
      <c r="D7157" t="s">
        <v>441</v>
      </c>
      <c r="F7157">
        <v>0</v>
      </c>
      <c r="G7157">
        <v>13.78</v>
      </c>
      <c r="H7157" t="s">
        <v>8549</v>
      </c>
      <c r="I7157">
        <v>2</v>
      </c>
      <c r="J7157" t="s">
        <v>445</v>
      </c>
      <c r="M7157">
        <v>3111</v>
      </c>
      <c r="N7157" t="s">
        <v>16313</v>
      </c>
    </row>
    <row r="7158" spans="1:14">
      <c r="A7158">
        <v>27969900</v>
      </c>
      <c r="B7158">
        <v>3044028</v>
      </c>
      <c r="C7158" t="s">
        <v>14490</v>
      </c>
      <c r="D7158" t="s">
        <v>441</v>
      </c>
      <c r="F7158">
        <v>0</v>
      </c>
      <c r="G7158">
        <v>1</v>
      </c>
      <c r="H7158" t="s">
        <v>8549</v>
      </c>
      <c r="I7158">
        <v>2</v>
      </c>
      <c r="J7158" t="s">
        <v>445</v>
      </c>
      <c r="M7158">
        <v>6666</v>
      </c>
      <c r="N7158" t="s">
        <v>16313</v>
      </c>
    </row>
    <row r="7159" spans="1:14">
      <c r="A7159">
        <v>27970000</v>
      </c>
      <c r="B7159">
        <v>3010055</v>
      </c>
      <c r="C7159" t="s">
        <v>12023</v>
      </c>
      <c r="D7159" t="s">
        <v>441</v>
      </c>
      <c r="F7159">
        <v>0</v>
      </c>
      <c r="G7159">
        <v>11.02</v>
      </c>
      <c r="H7159" t="s">
        <v>8584</v>
      </c>
      <c r="I7159">
        <v>6</v>
      </c>
      <c r="J7159" t="s">
        <v>445</v>
      </c>
      <c r="K7159" t="s">
        <v>446</v>
      </c>
      <c r="M7159">
        <v>2311</v>
      </c>
    </row>
    <row r="7160" spans="1:14">
      <c r="A7160">
        <v>27980000</v>
      </c>
      <c r="B7160">
        <v>3010056</v>
      </c>
      <c r="C7160" t="s">
        <v>12024</v>
      </c>
      <c r="D7160" t="s">
        <v>441</v>
      </c>
      <c r="F7160">
        <v>0</v>
      </c>
      <c r="G7160">
        <v>10.97</v>
      </c>
      <c r="H7160" t="s">
        <v>8580</v>
      </c>
      <c r="I7160">
        <v>6</v>
      </c>
      <c r="J7160" t="s">
        <v>445</v>
      </c>
      <c r="K7160" t="s">
        <v>446</v>
      </c>
      <c r="M7160">
        <v>2311</v>
      </c>
    </row>
    <row r="7161" spans="1:14">
      <c r="A7161">
        <v>27990000</v>
      </c>
      <c r="B7161">
        <v>3006303</v>
      </c>
      <c r="C7161" t="s">
        <v>3162</v>
      </c>
      <c r="D7161" t="s">
        <v>441</v>
      </c>
      <c r="F7161">
        <v>0</v>
      </c>
      <c r="G7161">
        <v>7.3</v>
      </c>
      <c r="H7161" t="s">
        <v>8584</v>
      </c>
      <c r="I7161">
        <v>6</v>
      </c>
      <c r="J7161" t="s">
        <v>445</v>
      </c>
      <c r="M7161">
        <v>2391</v>
      </c>
      <c r="N7161" t="s">
        <v>16217</v>
      </c>
    </row>
    <row r="7162" spans="1:14">
      <c r="A7162">
        <v>27993000</v>
      </c>
      <c r="B7162">
        <v>3006310</v>
      </c>
      <c r="C7162" t="s">
        <v>12025</v>
      </c>
      <c r="D7162" t="s">
        <v>441</v>
      </c>
      <c r="F7162">
        <v>0</v>
      </c>
      <c r="G7162">
        <v>9.6999999999999993</v>
      </c>
      <c r="H7162" t="s">
        <v>8584</v>
      </c>
      <c r="I7162">
        <v>6</v>
      </c>
      <c r="J7162" t="s">
        <v>445</v>
      </c>
      <c r="K7162" t="s">
        <v>446</v>
      </c>
      <c r="M7162">
        <v>2390</v>
      </c>
    </row>
    <row r="7163" spans="1:14">
      <c r="A7163">
        <v>28000000</v>
      </c>
      <c r="B7163">
        <v>3011814</v>
      </c>
      <c r="C7163" t="s">
        <v>12026</v>
      </c>
      <c r="D7163" t="s">
        <v>441</v>
      </c>
      <c r="F7163">
        <v>0</v>
      </c>
      <c r="G7163">
        <v>9.5399999999999991</v>
      </c>
      <c r="H7163" t="s">
        <v>8935</v>
      </c>
      <c r="I7163">
        <v>6</v>
      </c>
      <c r="J7163" t="s">
        <v>445</v>
      </c>
      <c r="K7163" t="s">
        <v>446</v>
      </c>
      <c r="M7163">
        <v>2311</v>
      </c>
    </row>
    <row r="7164" spans="1:14">
      <c r="A7164">
        <v>28010000</v>
      </c>
      <c r="B7164">
        <v>3011813</v>
      </c>
      <c r="C7164" t="s">
        <v>12027</v>
      </c>
      <c r="D7164" t="s">
        <v>441</v>
      </c>
      <c r="F7164">
        <v>0</v>
      </c>
      <c r="G7164">
        <v>8.15</v>
      </c>
      <c r="H7164" t="s">
        <v>8935</v>
      </c>
      <c r="I7164">
        <v>6</v>
      </c>
      <c r="J7164" t="s">
        <v>445</v>
      </c>
      <c r="K7164" t="s">
        <v>446</v>
      </c>
      <c r="M7164">
        <v>2311</v>
      </c>
    </row>
    <row r="7165" spans="1:14">
      <c r="A7165">
        <v>28020000</v>
      </c>
      <c r="B7165">
        <v>3006285</v>
      </c>
      <c r="C7165" t="s">
        <v>3163</v>
      </c>
      <c r="D7165" t="s">
        <v>441</v>
      </c>
      <c r="F7165">
        <v>0</v>
      </c>
      <c r="G7165">
        <v>7.3</v>
      </c>
      <c r="H7165" t="s">
        <v>8584</v>
      </c>
      <c r="I7165">
        <v>6</v>
      </c>
      <c r="J7165" t="s">
        <v>445</v>
      </c>
      <c r="M7165">
        <v>2391</v>
      </c>
      <c r="N7165" t="s">
        <v>16218</v>
      </c>
    </row>
    <row r="7166" spans="1:14">
      <c r="A7166">
        <v>28023000</v>
      </c>
      <c r="B7166">
        <v>3006297</v>
      </c>
      <c r="C7166" t="s">
        <v>12028</v>
      </c>
      <c r="D7166" t="s">
        <v>441</v>
      </c>
      <c r="F7166">
        <v>0</v>
      </c>
      <c r="G7166">
        <v>9.6999999999999993</v>
      </c>
      <c r="H7166" t="s">
        <v>8584</v>
      </c>
      <c r="I7166">
        <v>6</v>
      </c>
      <c r="J7166" t="s">
        <v>445</v>
      </c>
      <c r="K7166" t="s">
        <v>446</v>
      </c>
      <c r="M7166">
        <v>2390</v>
      </c>
    </row>
    <row r="7167" spans="1:14">
      <c r="A7167">
        <v>28030000</v>
      </c>
      <c r="B7167">
        <v>3011812</v>
      </c>
      <c r="C7167" t="s">
        <v>12029</v>
      </c>
      <c r="D7167" t="s">
        <v>441</v>
      </c>
      <c r="F7167">
        <v>0</v>
      </c>
      <c r="G7167">
        <v>9.9499999999999993</v>
      </c>
      <c r="H7167" t="s">
        <v>8935</v>
      </c>
      <c r="I7167">
        <v>6</v>
      </c>
      <c r="J7167" t="s">
        <v>445</v>
      </c>
      <c r="K7167" t="s">
        <v>446</v>
      </c>
      <c r="M7167">
        <v>2311</v>
      </c>
    </row>
    <row r="7168" spans="1:14">
      <c r="A7168">
        <v>28040000</v>
      </c>
      <c r="B7168">
        <v>3011811</v>
      </c>
      <c r="C7168" t="s">
        <v>12030</v>
      </c>
      <c r="D7168" t="s">
        <v>441</v>
      </c>
      <c r="F7168">
        <v>0</v>
      </c>
      <c r="G7168">
        <v>8.5500000000000007</v>
      </c>
      <c r="H7168" t="s">
        <v>8935</v>
      </c>
      <c r="I7168">
        <v>6</v>
      </c>
      <c r="J7168" t="s">
        <v>445</v>
      </c>
      <c r="K7168" t="s">
        <v>446</v>
      </c>
      <c r="M7168">
        <v>2311</v>
      </c>
    </row>
    <row r="7169" spans="1:14">
      <c r="A7169">
        <v>28050000</v>
      </c>
      <c r="B7169">
        <v>3023511</v>
      </c>
      <c r="C7169" t="s">
        <v>3164</v>
      </c>
      <c r="D7169" t="s">
        <v>441</v>
      </c>
      <c r="F7169">
        <v>0</v>
      </c>
      <c r="G7169">
        <v>8.1999999999999993</v>
      </c>
      <c r="H7169" t="s">
        <v>8588</v>
      </c>
      <c r="I7169">
        <v>6</v>
      </c>
      <c r="J7169" t="s">
        <v>445</v>
      </c>
      <c r="M7169">
        <v>2391</v>
      </c>
      <c r="N7169" t="s">
        <v>16015</v>
      </c>
    </row>
    <row r="7170" spans="1:14">
      <c r="A7170">
        <v>28050002</v>
      </c>
      <c r="B7170">
        <v>3036319</v>
      </c>
      <c r="C7170" t="s">
        <v>3165</v>
      </c>
      <c r="D7170" t="s">
        <v>441</v>
      </c>
      <c r="F7170">
        <v>0</v>
      </c>
      <c r="G7170">
        <v>8.64</v>
      </c>
      <c r="H7170" t="s">
        <v>8588</v>
      </c>
      <c r="I7170">
        <v>540</v>
      </c>
      <c r="J7170" t="s">
        <v>445</v>
      </c>
      <c r="M7170">
        <v>7111</v>
      </c>
      <c r="N7170" t="s">
        <v>16015</v>
      </c>
    </row>
    <row r="7171" spans="1:14">
      <c r="A7171">
        <v>28050007</v>
      </c>
      <c r="B7171">
        <v>3023510</v>
      </c>
      <c r="C7171" t="s">
        <v>3166</v>
      </c>
      <c r="D7171" t="s">
        <v>441</v>
      </c>
      <c r="F7171">
        <v>0</v>
      </c>
      <c r="G7171">
        <v>8.3000000000000007</v>
      </c>
      <c r="H7171" t="s">
        <v>8588</v>
      </c>
      <c r="I7171">
        <v>6</v>
      </c>
      <c r="J7171" t="s">
        <v>445</v>
      </c>
      <c r="M7171">
        <v>3111</v>
      </c>
      <c r="N7171" t="s">
        <v>16015</v>
      </c>
    </row>
    <row r="7172" spans="1:14">
      <c r="A7172">
        <v>28050100</v>
      </c>
      <c r="B7172">
        <v>3033912</v>
      </c>
      <c r="C7172" t="s">
        <v>3167</v>
      </c>
      <c r="D7172" t="s">
        <v>441</v>
      </c>
      <c r="F7172">
        <v>0</v>
      </c>
      <c r="H7172" t="s">
        <v>8588</v>
      </c>
      <c r="I7172">
        <v>6</v>
      </c>
      <c r="J7172" t="s">
        <v>445</v>
      </c>
      <c r="K7172" t="s">
        <v>446</v>
      </c>
      <c r="M7172">
        <v>7161</v>
      </c>
      <c r="N7172" t="s">
        <v>16015</v>
      </c>
    </row>
    <row r="7173" spans="1:14">
      <c r="A7173">
        <v>28050502</v>
      </c>
      <c r="B7173">
        <v>3036318</v>
      </c>
      <c r="C7173" t="s">
        <v>3168</v>
      </c>
      <c r="D7173" t="s">
        <v>441</v>
      </c>
      <c r="F7173">
        <v>0</v>
      </c>
      <c r="G7173">
        <v>8.2899999999999991</v>
      </c>
      <c r="H7173" t="s">
        <v>8588</v>
      </c>
      <c r="I7173">
        <v>540</v>
      </c>
      <c r="J7173" t="s">
        <v>445</v>
      </c>
      <c r="M7173">
        <v>2502</v>
      </c>
      <c r="N7173" t="s">
        <v>16015</v>
      </c>
    </row>
    <row r="7174" spans="1:14">
      <c r="A7174">
        <v>28050602</v>
      </c>
      <c r="B7174">
        <v>3036306</v>
      </c>
      <c r="C7174" t="s">
        <v>3169</v>
      </c>
      <c r="D7174" t="s">
        <v>441</v>
      </c>
      <c r="F7174">
        <v>0</v>
      </c>
      <c r="G7174">
        <v>8.92</v>
      </c>
      <c r="H7174" t="s">
        <v>8549</v>
      </c>
      <c r="I7174">
        <v>4</v>
      </c>
      <c r="J7174" t="s">
        <v>445</v>
      </c>
      <c r="M7174">
        <v>2510</v>
      </c>
      <c r="N7174" t="s">
        <v>16015</v>
      </c>
    </row>
    <row r="7175" spans="1:14">
      <c r="A7175">
        <v>28050902</v>
      </c>
      <c r="B7175">
        <v>3036377</v>
      </c>
      <c r="C7175" t="s">
        <v>3170</v>
      </c>
      <c r="D7175" t="s">
        <v>441</v>
      </c>
      <c r="F7175">
        <v>0</v>
      </c>
      <c r="I7175">
        <v>4</v>
      </c>
      <c r="J7175" t="s">
        <v>445</v>
      </c>
      <c r="M7175">
        <v>6666</v>
      </c>
      <c r="N7175" t="s">
        <v>16015</v>
      </c>
    </row>
    <row r="7176" spans="1:14">
      <c r="A7176">
        <v>28050907</v>
      </c>
      <c r="B7176">
        <v>3023588</v>
      </c>
      <c r="C7176" t="s">
        <v>3171</v>
      </c>
      <c r="D7176" t="s">
        <v>441</v>
      </c>
      <c r="F7176">
        <v>0</v>
      </c>
      <c r="H7176" t="s">
        <v>8580</v>
      </c>
      <c r="I7176">
        <v>6</v>
      </c>
      <c r="J7176" t="s">
        <v>445</v>
      </c>
      <c r="M7176">
        <v>6666</v>
      </c>
      <c r="N7176" t="s">
        <v>16015</v>
      </c>
    </row>
    <row r="7177" spans="1:14">
      <c r="A7177">
        <v>28060000</v>
      </c>
      <c r="B7177">
        <v>3004561</v>
      </c>
      <c r="C7177" t="s">
        <v>3172</v>
      </c>
      <c r="D7177" t="s">
        <v>441</v>
      </c>
      <c r="F7177">
        <v>0</v>
      </c>
      <c r="G7177">
        <v>11.89</v>
      </c>
      <c r="H7177" t="s">
        <v>8580</v>
      </c>
      <c r="I7177">
        <v>6</v>
      </c>
      <c r="J7177" t="s">
        <v>445</v>
      </c>
      <c r="K7177" t="s">
        <v>446</v>
      </c>
      <c r="M7177">
        <v>2390</v>
      </c>
    </row>
    <row r="7178" spans="1:14">
      <c r="A7178">
        <v>28060002</v>
      </c>
      <c r="B7178">
        <v>3016162</v>
      </c>
      <c r="C7178" t="s">
        <v>3173</v>
      </c>
      <c r="D7178" t="s">
        <v>441</v>
      </c>
      <c r="F7178">
        <v>0</v>
      </c>
      <c r="G7178">
        <v>8.64</v>
      </c>
      <c r="H7178" t="s">
        <v>8588</v>
      </c>
      <c r="I7178">
        <v>540</v>
      </c>
      <c r="J7178" t="s">
        <v>445</v>
      </c>
      <c r="M7178">
        <v>7111</v>
      </c>
      <c r="N7178" t="s">
        <v>16015</v>
      </c>
    </row>
    <row r="7179" spans="1:14">
      <c r="A7179">
        <v>28060050</v>
      </c>
      <c r="B7179">
        <v>4010561</v>
      </c>
      <c r="C7179" t="s">
        <v>12031</v>
      </c>
      <c r="D7179" t="s">
        <v>441</v>
      </c>
      <c r="F7179">
        <v>0</v>
      </c>
      <c r="G7179">
        <v>12.02</v>
      </c>
      <c r="H7179" t="s">
        <v>8588</v>
      </c>
      <c r="I7179">
        <v>16</v>
      </c>
      <c r="J7179" t="s">
        <v>462</v>
      </c>
      <c r="K7179" t="s">
        <v>446</v>
      </c>
      <c r="M7179">
        <v>2612</v>
      </c>
    </row>
    <row r="7180" spans="1:14">
      <c r="A7180">
        <v>28060075</v>
      </c>
      <c r="B7180">
        <v>3011364</v>
      </c>
      <c r="C7180" t="s">
        <v>3174</v>
      </c>
      <c r="D7180" t="s">
        <v>441</v>
      </c>
      <c r="F7180">
        <v>0</v>
      </c>
      <c r="G7180">
        <v>8.3800000000000008</v>
      </c>
      <c r="H7180" t="s">
        <v>8588</v>
      </c>
      <c r="I7180">
        <v>6</v>
      </c>
      <c r="J7180" t="s">
        <v>445</v>
      </c>
      <c r="M7180">
        <v>7112</v>
      </c>
      <c r="N7180" t="s">
        <v>16015</v>
      </c>
    </row>
    <row r="7181" spans="1:14">
      <c r="A7181">
        <v>28060102</v>
      </c>
      <c r="B7181">
        <v>3040284</v>
      </c>
      <c r="C7181" t="s">
        <v>12032</v>
      </c>
      <c r="D7181" t="s">
        <v>441</v>
      </c>
      <c r="F7181">
        <v>0</v>
      </c>
      <c r="G7181">
        <v>8.5299999999999994</v>
      </c>
      <c r="H7181" t="s">
        <v>8588</v>
      </c>
      <c r="I7181">
        <v>540</v>
      </c>
      <c r="J7181" t="s">
        <v>445</v>
      </c>
      <c r="K7181" t="s">
        <v>446</v>
      </c>
      <c r="M7181">
        <v>7113</v>
      </c>
      <c r="N7181" t="s">
        <v>16319</v>
      </c>
    </row>
    <row r="7182" spans="1:14">
      <c r="A7182">
        <v>28060502</v>
      </c>
      <c r="B7182">
        <v>3016161</v>
      </c>
      <c r="C7182" t="s">
        <v>3175</v>
      </c>
      <c r="D7182" t="s">
        <v>441</v>
      </c>
      <c r="F7182">
        <v>0</v>
      </c>
      <c r="G7182">
        <v>8.2899999999999991</v>
      </c>
      <c r="H7182" t="s">
        <v>8580</v>
      </c>
      <c r="I7182">
        <v>540</v>
      </c>
      <c r="J7182" t="s">
        <v>445</v>
      </c>
      <c r="M7182">
        <v>2502</v>
      </c>
      <c r="N7182" t="s">
        <v>16015</v>
      </c>
    </row>
    <row r="7183" spans="1:14">
      <c r="A7183">
        <v>28060602</v>
      </c>
      <c r="B7183">
        <v>3016163</v>
      </c>
      <c r="C7183" t="s">
        <v>3176</v>
      </c>
      <c r="D7183" t="s">
        <v>441</v>
      </c>
      <c r="F7183">
        <v>0</v>
      </c>
      <c r="G7183">
        <v>8.92</v>
      </c>
      <c r="H7183" t="s">
        <v>8588</v>
      </c>
      <c r="I7183">
        <v>4</v>
      </c>
      <c r="J7183" t="s">
        <v>445</v>
      </c>
      <c r="M7183">
        <v>2510</v>
      </c>
      <c r="N7183" t="s">
        <v>16015</v>
      </c>
    </row>
    <row r="7184" spans="1:14">
      <c r="A7184">
        <v>28060902</v>
      </c>
      <c r="B7184">
        <v>3020356</v>
      </c>
      <c r="C7184" t="s">
        <v>3177</v>
      </c>
      <c r="D7184" t="s">
        <v>441</v>
      </c>
      <c r="F7184">
        <v>0</v>
      </c>
      <c r="H7184" t="s">
        <v>8584</v>
      </c>
      <c r="I7184">
        <v>4</v>
      </c>
      <c r="J7184" t="s">
        <v>445</v>
      </c>
      <c r="M7184">
        <v>6666</v>
      </c>
      <c r="N7184" t="s">
        <v>16015</v>
      </c>
    </row>
    <row r="7185" spans="1:14">
      <c r="A7185">
        <v>28061002</v>
      </c>
      <c r="B7185">
        <v>3044705</v>
      </c>
      <c r="C7185" t="s">
        <v>15382</v>
      </c>
      <c r="D7185" t="s">
        <v>441</v>
      </c>
      <c r="F7185">
        <v>0</v>
      </c>
      <c r="G7185">
        <v>10.71</v>
      </c>
      <c r="H7185" t="s">
        <v>8588</v>
      </c>
      <c r="I7185">
        <v>540</v>
      </c>
      <c r="J7185" t="s">
        <v>445</v>
      </c>
      <c r="M7185">
        <v>7111</v>
      </c>
      <c r="N7185" t="s">
        <v>16015</v>
      </c>
    </row>
    <row r="7186" spans="1:14">
      <c r="A7186">
        <v>28061502</v>
      </c>
      <c r="B7186">
        <v>3044696</v>
      </c>
      <c r="C7186" t="s">
        <v>15383</v>
      </c>
      <c r="D7186" t="s">
        <v>441</v>
      </c>
      <c r="F7186">
        <v>0</v>
      </c>
      <c r="G7186">
        <v>10.09</v>
      </c>
      <c r="H7186" t="s">
        <v>8588</v>
      </c>
      <c r="I7186">
        <v>6</v>
      </c>
      <c r="J7186" t="s">
        <v>445</v>
      </c>
      <c r="M7186">
        <v>2502</v>
      </c>
      <c r="N7186" t="s">
        <v>16015</v>
      </c>
    </row>
    <row r="7187" spans="1:14">
      <c r="A7187">
        <v>28061602</v>
      </c>
      <c r="B7187">
        <v>3044706</v>
      </c>
      <c r="C7187" t="s">
        <v>15384</v>
      </c>
      <c r="D7187" t="s">
        <v>441</v>
      </c>
      <c r="F7187">
        <v>0</v>
      </c>
      <c r="G7187">
        <v>11.09</v>
      </c>
      <c r="H7187" t="s">
        <v>8549</v>
      </c>
      <c r="I7187">
        <v>4</v>
      </c>
      <c r="J7187" t="s">
        <v>445</v>
      </c>
      <c r="M7187">
        <v>2510</v>
      </c>
      <c r="N7187" t="s">
        <v>16015</v>
      </c>
    </row>
    <row r="7188" spans="1:14">
      <c r="A7188">
        <v>28061902</v>
      </c>
      <c r="B7188">
        <v>3044715</v>
      </c>
      <c r="C7188" t="s">
        <v>15385</v>
      </c>
      <c r="D7188" t="s">
        <v>441</v>
      </c>
      <c r="F7188">
        <v>0</v>
      </c>
      <c r="G7188">
        <v>1</v>
      </c>
      <c r="H7188" t="s">
        <v>8549</v>
      </c>
      <c r="I7188">
        <v>4</v>
      </c>
      <c r="J7188" t="s">
        <v>445</v>
      </c>
      <c r="M7188">
        <v>6666</v>
      </c>
      <c r="N7188" t="s">
        <v>16015</v>
      </c>
    </row>
    <row r="7189" spans="1:14">
      <c r="A7189">
        <v>28064002</v>
      </c>
      <c r="B7189">
        <v>3039831</v>
      </c>
      <c r="C7189" t="s">
        <v>3178</v>
      </c>
      <c r="D7189" t="s">
        <v>441</v>
      </c>
      <c r="F7189">
        <v>0</v>
      </c>
      <c r="G7189">
        <v>8.64</v>
      </c>
      <c r="H7189" t="s">
        <v>8549</v>
      </c>
      <c r="I7189">
        <v>540</v>
      </c>
      <c r="J7189" t="s">
        <v>445</v>
      </c>
      <c r="M7189">
        <v>7111</v>
      </c>
      <c r="N7189" t="s">
        <v>16015</v>
      </c>
    </row>
    <row r="7190" spans="1:14">
      <c r="A7190">
        <v>28064075</v>
      </c>
      <c r="B7190">
        <v>3035871</v>
      </c>
      <c r="C7190" t="s">
        <v>3179</v>
      </c>
      <c r="D7190" t="s">
        <v>441</v>
      </c>
      <c r="F7190">
        <v>0</v>
      </c>
      <c r="G7190">
        <v>8.3800000000000008</v>
      </c>
      <c r="H7190" t="s">
        <v>8588</v>
      </c>
      <c r="I7190">
        <v>6</v>
      </c>
      <c r="J7190" t="s">
        <v>445</v>
      </c>
      <c r="M7190">
        <v>7112</v>
      </c>
      <c r="N7190" t="s">
        <v>16015</v>
      </c>
    </row>
    <row r="7191" spans="1:14">
      <c r="A7191">
        <v>28064502</v>
      </c>
      <c r="B7191">
        <v>3038880</v>
      </c>
      <c r="C7191" t="s">
        <v>3180</v>
      </c>
      <c r="D7191" t="s">
        <v>441</v>
      </c>
      <c r="F7191">
        <v>0</v>
      </c>
      <c r="G7191">
        <v>8.2899999999999991</v>
      </c>
      <c r="H7191" t="s">
        <v>8580</v>
      </c>
      <c r="I7191">
        <v>6</v>
      </c>
      <c r="J7191" t="s">
        <v>445</v>
      </c>
      <c r="M7191">
        <v>2502</v>
      </c>
      <c r="N7191" t="s">
        <v>16015</v>
      </c>
    </row>
    <row r="7192" spans="1:14">
      <c r="A7192">
        <v>28064602</v>
      </c>
      <c r="B7192">
        <v>3038578</v>
      </c>
      <c r="C7192" t="s">
        <v>3181</v>
      </c>
      <c r="D7192" t="s">
        <v>441</v>
      </c>
      <c r="F7192">
        <v>0</v>
      </c>
      <c r="G7192">
        <v>11.12</v>
      </c>
      <c r="H7192" t="s">
        <v>8588</v>
      </c>
      <c r="I7192">
        <v>5</v>
      </c>
      <c r="J7192" t="s">
        <v>445</v>
      </c>
      <c r="M7192">
        <v>2510</v>
      </c>
      <c r="N7192" t="s">
        <v>16015</v>
      </c>
    </row>
    <row r="7193" spans="1:14">
      <c r="A7193">
        <v>28064902</v>
      </c>
      <c r="B7193">
        <v>3038621</v>
      </c>
      <c r="C7193" t="s">
        <v>3182</v>
      </c>
      <c r="D7193" t="s">
        <v>441</v>
      </c>
      <c r="F7193">
        <v>0</v>
      </c>
      <c r="G7193">
        <v>1</v>
      </c>
      <c r="H7193" t="s">
        <v>8935</v>
      </c>
      <c r="I7193">
        <v>5</v>
      </c>
      <c r="J7193" t="s">
        <v>445</v>
      </c>
      <c r="M7193">
        <v>6666</v>
      </c>
      <c r="N7193" t="s">
        <v>16015</v>
      </c>
    </row>
    <row r="7194" spans="1:14">
      <c r="A7194">
        <v>28070000</v>
      </c>
      <c r="B7194">
        <v>3004554</v>
      </c>
      <c r="C7194" t="s">
        <v>3183</v>
      </c>
      <c r="D7194" t="s">
        <v>441</v>
      </c>
      <c r="F7194">
        <v>0</v>
      </c>
      <c r="G7194">
        <v>11.82</v>
      </c>
      <c r="H7194" t="s">
        <v>8580</v>
      </c>
      <c r="I7194">
        <v>6</v>
      </c>
      <c r="J7194" t="s">
        <v>445</v>
      </c>
      <c r="K7194" t="s">
        <v>446</v>
      </c>
      <c r="M7194">
        <v>2311</v>
      </c>
    </row>
    <row r="7195" spans="1:14">
      <c r="A7195">
        <v>28080000</v>
      </c>
      <c r="B7195">
        <v>3015968</v>
      </c>
      <c r="C7195" t="s">
        <v>3184</v>
      </c>
      <c r="D7195" t="s">
        <v>441</v>
      </c>
      <c r="F7195">
        <v>0</v>
      </c>
      <c r="G7195">
        <v>8.1999999999999993</v>
      </c>
      <c r="H7195" t="s">
        <v>8588</v>
      </c>
      <c r="I7195">
        <v>6</v>
      </c>
      <c r="J7195" t="s">
        <v>445</v>
      </c>
      <c r="M7195">
        <v>2391</v>
      </c>
      <c r="N7195" t="s">
        <v>16015</v>
      </c>
    </row>
    <row r="7196" spans="1:14">
      <c r="A7196">
        <v>28080007</v>
      </c>
      <c r="B7196">
        <v>3024723</v>
      </c>
      <c r="C7196" t="s">
        <v>3185</v>
      </c>
      <c r="D7196" t="s">
        <v>441</v>
      </c>
      <c r="F7196">
        <v>0</v>
      </c>
      <c r="G7196">
        <v>8.3000000000000007</v>
      </c>
      <c r="H7196" t="s">
        <v>8588</v>
      </c>
      <c r="I7196">
        <v>6</v>
      </c>
      <c r="J7196" t="s">
        <v>445</v>
      </c>
      <c r="M7196">
        <v>3111</v>
      </c>
      <c r="N7196" t="s">
        <v>16015</v>
      </c>
    </row>
    <row r="7197" spans="1:14">
      <c r="A7197">
        <v>28080020</v>
      </c>
      <c r="B7197">
        <v>4028834</v>
      </c>
      <c r="C7197" t="s">
        <v>12033</v>
      </c>
      <c r="D7197" t="s">
        <v>441</v>
      </c>
      <c r="F7197">
        <v>0</v>
      </c>
      <c r="G7197">
        <v>16.559999999999999</v>
      </c>
      <c r="H7197" t="s">
        <v>8588</v>
      </c>
      <c r="I7197">
        <v>6</v>
      </c>
      <c r="J7197" t="s">
        <v>462</v>
      </c>
      <c r="L7197">
        <v>2052508</v>
      </c>
      <c r="M7197">
        <v>7112</v>
      </c>
      <c r="N7197" t="s">
        <v>16015</v>
      </c>
    </row>
    <row r="7198" spans="1:14">
      <c r="A7198">
        <v>28080025</v>
      </c>
      <c r="B7198">
        <v>4028849</v>
      </c>
      <c r="C7198" t="s">
        <v>14491</v>
      </c>
      <c r="D7198" t="s">
        <v>441</v>
      </c>
      <c r="F7198">
        <v>0</v>
      </c>
      <c r="G7198">
        <v>16</v>
      </c>
      <c r="H7198" t="s">
        <v>8588</v>
      </c>
      <c r="I7198">
        <v>540</v>
      </c>
      <c r="J7198" t="s">
        <v>462</v>
      </c>
      <c r="M7198">
        <v>7111</v>
      </c>
      <c r="N7198" t="s">
        <v>16015</v>
      </c>
    </row>
    <row r="7199" spans="1:14">
      <c r="A7199">
        <v>28080078</v>
      </c>
      <c r="B7199">
        <v>3025452</v>
      </c>
      <c r="C7199" t="s">
        <v>12034</v>
      </c>
      <c r="D7199" t="s">
        <v>441</v>
      </c>
      <c r="F7199">
        <v>0</v>
      </c>
      <c r="G7199">
        <v>12.85</v>
      </c>
      <c r="H7199" t="s">
        <v>8588</v>
      </c>
      <c r="I7199">
        <v>6</v>
      </c>
      <c r="J7199" t="s">
        <v>445</v>
      </c>
      <c r="K7199" t="s">
        <v>446</v>
      </c>
      <c r="M7199">
        <v>2641</v>
      </c>
      <c r="N7199" t="s">
        <v>16015</v>
      </c>
    </row>
    <row r="7200" spans="1:14">
      <c r="A7200">
        <v>28080100</v>
      </c>
      <c r="B7200">
        <v>3019889</v>
      </c>
      <c r="C7200" t="s">
        <v>3186</v>
      </c>
      <c r="D7200" t="s">
        <v>441</v>
      </c>
      <c r="F7200">
        <v>0</v>
      </c>
      <c r="H7200" t="s">
        <v>8588</v>
      </c>
      <c r="I7200">
        <v>540</v>
      </c>
      <c r="J7200" t="s">
        <v>445</v>
      </c>
      <c r="M7200">
        <v>7161</v>
      </c>
      <c r="N7200" t="s">
        <v>16015</v>
      </c>
    </row>
    <row r="7201" spans="1:14">
      <c r="A7201">
        <v>28080110</v>
      </c>
      <c r="B7201">
        <v>3024787</v>
      </c>
      <c r="C7201" t="s">
        <v>3187</v>
      </c>
      <c r="D7201" t="s">
        <v>441</v>
      </c>
      <c r="F7201">
        <v>0</v>
      </c>
      <c r="H7201" t="s">
        <v>8588</v>
      </c>
      <c r="I7201">
        <v>6</v>
      </c>
      <c r="J7201" t="s">
        <v>445</v>
      </c>
      <c r="M7201">
        <v>7161</v>
      </c>
      <c r="N7201" t="s">
        <v>16015</v>
      </c>
    </row>
    <row r="7202" spans="1:14">
      <c r="A7202">
        <v>28080525</v>
      </c>
      <c r="B7202">
        <v>3043860</v>
      </c>
      <c r="C7202" t="s">
        <v>14492</v>
      </c>
      <c r="D7202" t="s">
        <v>441</v>
      </c>
      <c r="F7202">
        <v>0</v>
      </c>
      <c r="G7202">
        <v>15.55</v>
      </c>
      <c r="H7202" t="s">
        <v>8588</v>
      </c>
      <c r="I7202">
        <v>6</v>
      </c>
      <c r="J7202" t="s">
        <v>445</v>
      </c>
      <c r="M7202">
        <v>2502</v>
      </c>
      <c r="N7202" t="s">
        <v>16015</v>
      </c>
    </row>
    <row r="7203" spans="1:14">
      <c r="A7203">
        <v>28080900</v>
      </c>
      <c r="B7203">
        <v>3020357</v>
      </c>
      <c r="C7203" t="s">
        <v>3188</v>
      </c>
      <c r="D7203" t="s">
        <v>441</v>
      </c>
      <c r="F7203">
        <v>0</v>
      </c>
      <c r="G7203">
        <v>0</v>
      </c>
      <c r="H7203" t="s">
        <v>9302</v>
      </c>
      <c r="I7203">
        <v>6</v>
      </c>
      <c r="J7203" t="s">
        <v>445</v>
      </c>
      <c r="M7203">
        <v>6666</v>
      </c>
      <c r="N7203" t="s">
        <v>16015</v>
      </c>
    </row>
    <row r="7204" spans="1:14">
      <c r="A7204">
        <v>28080907</v>
      </c>
      <c r="B7204">
        <v>3025111</v>
      </c>
      <c r="C7204" t="s">
        <v>3189</v>
      </c>
      <c r="D7204" t="s">
        <v>441</v>
      </c>
      <c r="F7204">
        <v>0</v>
      </c>
      <c r="G7204">
        <v>0</v>
      </c>
      <c r="H7204" t="s">
        <v>8627</v>
      </c>
      <c r="I7204">
        <v>6</v>
      </c>
      <c r="J7204" t="s">
        <v>445</v>
      </c>
      <c r="M7204">
        <v>6666</v>
      </c>
      <c r="N7204" t="s">
        <v>16015</v>
      </c>
    </row>
    <row r="7205" spans="1:14">
      <c r="A7205">
        <v>28081000</v>
      </c>
      <c r="B7205">
        <v>3044697</v>
      </c>
      <c r="C7205" t="s">
        <v>15386</v>
      </c>
      <c r="D7205" t="s">
        <v>441</v>
      </c>
      <c r="F7205">
        <v>0</v>
      </c>
      <c r="G7205">
        <v>9.99</v>
      </c>
      <c r="H7205" t="s">
        <v>8549</v>
      </c>
      <c r="I7205">
        <v>6</v>
      </c>
      <c r="J7205" t="s">
        <v>445</v>
      </c>
      <c r="M7205">
        <v>2391</v>
      </c>
      <c r="N7205" t="s">
        <v>16015</v>
      </c>
    </row>
    <row r="7206" spans="1:14">
      <c r="A7206">
        <v>28084000</v>
      </c>
      <c r="B7206">
        <v>3036149</v>
      </c>
      <c r="C7206" t="s">
        <v>3190</v>
      </c>
      <c r="D7206" t="s">
        <v>441</v>
      </c>
      <c r="F7206">
        <v>0</v>
      </c>
      <c r="G7206">
        <v>8.1999999999999993</v>
      </c>
      <c r="H7206" t="s">
        <v>8549</v>
      </c>
      <c r="I7206">
        <v>6</v>
      </c>
      <c r="J7206" t="s">
        <v>445</v>
      </c>
      <c r="M7206">
        <v>2391</v>
      </c>
      <c r="N7206" t="s">
        <v>16015</v>
      </c>
    </row>
    <row r="7207" spans="1:14">
      <c r="A7207">
        <v>28084007</v>
      </c>
      <c r="B7207">
        <v>3039067</v>
      </c>
      <c r="C7207" t="s">
        <v>3191</v>
      </c>
      <c r="D7207" t="s">
        <v>441</v>
      </c>
      <c r="F7207">
        <v>0</v>
      </c>
      <c r="G7207">
        <v>8.3000000000000007</v>
      </c>
      <c r="H7207" t="s">
        <v>8588</v>
      </c>
      <c r="I7207">
        <v>6</v>
      </c>
      <c r="J7207" t="s">
        <v>445</v>
      </c>
      <c r="M7207">
        <v>3111</v>
      </c>
      <c r="N7207" t="s">
        <v>16015</v>
      </c>
    </row>
    <row r="7208" spans="1:14">
      <c r="A7208">
        <v>28084907</v>
      </c>
      <c r="B7208">
        <v>3039073</v>
      </c>
      <c r="C7208" t="s">
        <v>239</v>
      </c>
      <c r="D7208" t="s">
        <v>441</v>
      </c>
      <c r="F7208">
        <v>0</v>
      </c>
      <c r="H7208" t="s">
        <v>8580</v>
      </c>
      <c r="I7208">
        <v>6</v>
      </c>
      <c r="J7208" t="s">
        <v>445</v>
      </c>
      <c r="M7208">
        <v>6666</v>
      </c>
      <c r="N7208" t="s">
        <v>16015</v>
      </c>
    </row>
    <row r="7209" spans="1:14">
      <c r="A7209">
        <v>28089000</v>
      </c>
      <c r="B7209">
        <v>3019063</v>
      </c>
      <c r="C7209" t="s">
        <v>3192</v>
      </c>
      <c r="D7209" t="s">
        <v>441</v>
      </c>
      <c r="F7209">
        <v>0</v>
      </c>
      <c r="G7209">
        <v>8.1999999999999993</v>
      </c>
      <c r="H7209" t="s">
        <v>8588</v>
      </c>
      <c r="I7209">
        <v>2</v>
      </c>
      <c r="J7209" t="s">
        <v>445</v>
      </c>
      <c r="M7209">
        <v>3111</v>
      </c>
      <c r="N7209" t="s">
        <v>16015</v>
      </c>
    </row>
    <row r="7210" spans="1:14">
      <c r="A7210">
        <v>28089900</v>
      </c>
      <c r="B7210">
        <v>3020358</v>
      </c>
      <c r="C7210" t="s">
        <v>3193</v>
      </c>
      <c r="D7210" t="s">
        <v>441</v>
      </c>
      <c r="F7210">
        <v>0</v>
      </c>
      <c r="H7210" t="s">
        <v>8584</v>
      </c>
      <c r="I7210">
        <v>2</v>
      </c>
      <c r="J7210" t="s">
        <v>445</v>
      </c>
      <c r="M7210">
        <v>6666</v>
      </c>
      <c r="N7210" t="s">
        <v>16015</v>
      </c>
    </row>
    <row r="7211" spans="1:14">
      <c r="A7211">
        <v>28090000</v>
      </c>
      <c r="B7211">
        <v>3004562</v>
      </c>
      <c r="C7211" t="s">
        <v>3194</v>
      </c>
      <c r="D7211" t="s">
        <v>441</v>
      </c>
      <c r="F7211">
        <v>0</v>
      </c>
      <c r="G7211">
        <v>10.35</v>
      </c>
      <c r="I7211">
        <v>6</v>
      </c>
      <c r="J7211" t="s">
        <v>445</v>
      </c>
      <c r="K7211" t="s">
        <v>446</v>
      </c>
      <c r="M7211">
        <v>2311</v>
      </c>
    </row>
    <row r="7212" spans="1:14">
      <c r="A7212">
        <v>28100000</v>
      </c>
      <c r="B7212">
        <v>3008067</v>
      </c>
      <c r="C7212" t="s">
        <v>12035</v>
      </c>
      <c r="D7212" t="s">
        <v>441</v>
      </c>
      <c r="F7212">
        <v>0</v>
      </c>
      <c r="H7212" t="s">
        <v>8580</v>
      </c>
      <c r="I7212">
        <v>6</v>
      </c>
      <c r="J7212" t="s">
        <v>445</v>
      </c>
      <c r="K7212" t="s">
        <v>446</v>
      </c>
      <c r="M7212">
        <v>0</v>
      </c>
    </row>
    <row r="7213" spans="1:14">
      <c r="A7213">
        <v>28101000</v>
      </c>
      <c r="B7213">
        <v>3017415</v>
      </c>
      <c r="C7213" t="s">
        <v>12036</v>
      </c>
      <c r="D7213" t="s">
        <v>441</v>
      </c>
      <c r="F7213">
        <v>0</v>
      </c>
      <c r="G7213">
        <v>0</v>
      </c>
      <c r="H7213" t="s">
        <v>8627</v>
      </c>
      <c r="I7213">
        <v>6</v>
      </c>
      <c r="J7213" t="s">
        <v>445</v>
      </c>
      <c r="K7213" t="s">
        <v>446</v>
      </c>
      <c r="M7213">
        <v>0</v>
      </c>
    </row>
    <row r="7214" spans="1:14">
      <c r="A7214">
        <v>28110000</v>
      </c>
      <c r="B7214">
        <v>3008068</v>
      </c>
      <c r="C7214" t="s">
        <v>3195</v>
      </c>
      <c r="D7214" t="s">
        <v>441</v>
      </c>
      <c r="F7214">
        <v>0</v>
      </c>
      <c r="G7214">
        <v>8.6</v>
      </c>
      <c r="H7214" t="s">
        <v>8588</v>
      </c>
      <c r="I7214">
        <v>6</v>
      </c>
      <c r="J7214" t="s">
        <v>445</v>
      </c>
      <c r="K7214" t="s">
        <v>446</v>
      </c>
      <c r="M7214">
        <v>0</v>
      </c>
      <c r="N7214" t="s">
        <v>16071</v>
      </c>
    </row>
    <row r="7215" spans="1:14">
      <c r="A7215">
        <v>28110007</v>
      </c>
      <c r="B7215">
        <v>3025039</v>
      </c>
      <c r="C7215" t="s">
        <v>3196</v>
      </c>
      <c r="D7215" t="s">
        <v>441</v>
      </c>
      <c r="F7215">
        <v>0</v>
      </c>
      <c r="G7215">
        <v>11.64</v>
      </c>
      <c r="H7215" t="s">
        <v>8584</v>
      </c>
      <c r="I7215">
        <v>6</v>
      </c>
      <c r="J7215" t="s">
        <v>445</v>
      </c>
      <c r="K7215" t="s">
        <v>446</v>
      </c>
      <c r="M7215">
        <v>3111</v>
      </c>
      <c r="N7215" t="s">
        <v>16071</v>
      </c>
    </row>
    <row r="7216" spans="1:14">
      <c r="A7216">
        <v>28110900</v>
      </c>
      <c r="B7216">
        <v>3020359</v>
      </c>
      <c r="C7216" t="s">
        <v>3197</v>
      </c>
      <c r="D7216" t="s">
        <v>441</v>
      </c>
      <c r="F7216">
        <v>0</v>
      </c>
      <c r="G7216">
        <v>0</v>
      </c>
      <c r="H7216" t="s">
        <v>8584</v>
      </c>
      <c r="I7216">
        <v>6</v>
      </c>
      <c r="J7216" t="s">
        <v>445</v>
      </c>
      <c r="K7216" t="s">
        <v>446</v>
      </c>
      <c r="M7216">
        <v>6666</v>
      </c>
      <c r="N7216" t="s">
        <v>16071</v>
      </c>
    </row>
    <row r="7217" spans="1:14">
      <c r="A7217">
        <v>28110907</v>
      </c>
      <c r="B7217">
        <v>3025299</v>
      </c>
      <c r="C7217" t="s">
        <v>3198</v>
      </c>
      <c r="D7217" t="s">
        <v>441</v>
      </c>
      <c r="F7217">
        <v>0</v>
      </c>
      <c r="G7217">
        <v>0</v>
      </c>
      <c r="H7217" t="s">
        <v>8580</v>
      </c>
      <c r="I7217">
        <v>6</v>
      </c>
      <c r="J7217" t="s">
        <v>445</v>
      </c>
      <c r="K7217" t="s">
        <v>446</v>
      </c>
      <c r="M7217">
        <v>6666</v>
      </c>
      <c r="N7217" t="s">
        <v>16071</v>
      </c>
    </row>
    <row r="7218" spans="1:14">
      <c r="A7218">
        <v>28111000</v>
      </c>
      <c r="B7218">
        <v>3009104</v>
      </c>
      <c r="C7218" t="s">
        <v>3199</v>
      </c>
      <c r="D7218" t="s">
        <v>441</v>
      </c>
      <c r="F7218">
        <v>0</v>
      </c>
      <c r="G7218">
        <v>8.59</v>
      </c>
      <c r="H7218" t="s">
        <v>8580</v>
      </c>
      <c r="I7218">
        <v>6</v>
      </c>
      <c r="J7218" t="s">
        <v>445</v>
      </c>
      <c r="K7218" t="s">
        <v>446</v>
      </c>
      <c r="M7218">
        <v>2314</v>
      </c>
    </row>
    <row r="7219" spans="1:14">
      <c r="A7219">
        <v>28113000</v>
      </c>
      <c r="B7219">
        <v>3016102</v>
      </c>
      <c r="C7219" t="s">
        <v>3200</v>
      </c>
      <c r="D7219" t="s">
        <v>441</v>
      </c>
      <c r="F7219">
        <v>0</v>
      </c>
      <c r="G7219">
        <v>10.38</v>
      </c>
      <c r="H7219" t="s">
        <v>8634</v>
      </c>
      <c r="I7219">
        <v>6</v>
      </c>
      <c r="J7219" t="s">
        <v>445</v>
      </c>
      <c r="K7219" t="s">
        <v>446</v>
      </c>
      <c r="M7219">
        <v>2390</v>
      </c>
    </row>
    <row r="7220" spans="1:14">
      <c r="A7220">
        <v>28120000</v>
      </c>
      <c r="B7220">
        <v>3026194</v>
      </c>
      <c r="C7220" t="s">
        <v>14941</v>
      </c>
      <c r="D7220" t="s">
        <v>441</v>
      </c>
      <c r="F7220">
        <v>0</v>
      </c>
      <c r="G7220">
        <v>12.22</v>
      </c>
      <c r="H7220" t="s">
        <v>8588</v>
      </c>
      <c r="I7220">
        <v>6</v>
      </c>
      <c r="J7220" t="s">
        <v>445</v>
      </c>
      <c r="K7220" t="s">
        <v>446</v>
      </c>
      <c r="M7220">
        <v>2391</v>
      </c>
      <c r="N7220" t="s">
        <v>16091</v>
      </c>
    </row>
    <row r="7221" spans="1:14">
      <c r="A7221">
        <v>28120007</v>
      </c>
      <c r="B7221">
        <v>3026193</v>
      </c>
      <c r="C7221" t="s">
        <v>12037</v>
      </c>
      <c r="D7221" t="s">
        <v>441</v>
      </c>
      <c r="F7221">
        <v>0</v>
      </c>
      <c r="G7221">
        <v>9.76</v>
      </c>
      <c r="H7221" t="s">
        <v>8588</v>
      </c>
      <c r="I7221">
        <v>6</v>
      </c>
      <c r="J7221" t="s">
        <v>445</v>
      </c>
      <c r="M7221">
        <v>2641</v>
      </c>
      <c r="N7221" t="s">
        <v>16093</v>
      </c>
    </row>
    <row r="7222" spans="1:14">
      <c r="A7222">
        <v>28120076</v>
      </c>
      <c r="B7222">
        <v>3026174</v>
      </c>
      <c r="C7222" t="s">
        <v>12038</v>
      </c>
      <c r="D7222" t="s">
        <v>441</v>
      </c>
      <c r="F7222">
        <v>0</v>
      </c>
      <c r="G7222">
        <v>9.18</v>
      </c>
      <c r="H7222" t="s">
        <v>8588</v>
      </c>
      <c r="I7222">
        <v>6</v>
      </c>
      <c r="J7222" t="s">
        <v>445</v>
      </c>
      <c r="K7222" t="s">
        <v>446</v>
      </c>
      <c r="M7222">
        <v>2641</v>
      </c>
      <c r="N7222" t="s">
        <v>16093</v>
      </c>
    </row>
    <row r="7223" spans="1:14">
      <c r="A7223">
        <v>28120087</v>
      </c>
      <c r="B7223">
        <v>3040479</v>
      </c>
      <c r="C7223" t="s">
        <v>14942</v>
      </c>
      <c r="D7223" t="s">
        <v>441</v>
      </c>
      <c r="F7223">
        <v>0</v>
      </c>
      <c r="G7223">
        <v>12.36</v>
      </c>
      <c r="H7223" t="s">
        <v>8588</v>
      </c>
      <c r="I7223">
        <v>6</v>
      </c>
      <c r="J7223" t="s">
        <v>445</v>
      </c>
      <c r="K7223" t="s">
        <v>446</v>
      </c>
      <c r="M7223">
        <v>7112</v>
      </c>
      <c r="N7223" t="s">
        <v>16091</v>
      </c>
    </row>
    <row r="7224" spans="1:14">
      <c r="A7224">
        <v>28120907</v>
      </c>
      <c r="B7224">
        <v>3026203</v>
      </c>
      <c r="C7224" t="s">
        <v>12039</v>
      </c>
      <c r="D7224" t="s">
        <v>441</v>
      </c>
      <c r="F7224">
        <v>0</v>
      </c>
      <c r="G7224">
        <v>9.76</v>
      </c>
      <c r="H7224" t="s">
        <v>9302</v>
      </c>
      <c r="I7224">
        <v>6</v>
      </c>
      <c r="J7224" t="s">
        <v>445</v>
      </c>
      <c r="K7224" t="s">
        <v>446</v>
      </c>
      <c r="M7224">
        <v>6666</v>
      </c>
      <c r="N7224" t="s">
        <v>16093</v>
      </c>
    </row>
    <row r="7225" spans="1:14">
      <c r="A7225">
        <v>28121000</v>
      </c>
      <c r="B7225">
        <v>3026190</v>
      </c>
      <c r="C7225" t="s">
        <v>14943</v>
      </c>
      <c r="D7225" t="s">
        <v>441</v>
      </c>
      <c r="F7225">
        <v>0</v>
      </c>
      <c r="G7225">
        <v>12.22</v>
      </c>
      <c r="H7225" t="s">
        <v>8588</v>
      </c>
      <c r="I7225">
        <v>6</v>
      </c>
      <c r="J7225" t="s">
        <v>445</v>
      </c>
      <c r="K7225" t="s">
        <v>446</v>
      </c>
      <c r="M7225">
        <v>2391</v>
      </c>
      <c r="N7225" t="s">
        <v>16091</v>
      </c>
    </row>
    <row r="7226" spans="1:14">
      <c r="A7226">
        <v>28124000</v>
      </c>
      <c r="B7226">
        <v>3038773</v>
      </c>
      <c r="C7226" t="s">
        <v>14944</v>
      </c>
      <c r="D7226" t="s">
        <v>441</v>
      </c>
      <c r="F7226">
        <v>0</v>
      </c>
      <c r="G7226">
        <v>12.22</v>
      </c>
      <c r="H7226" t="s">
        <v>8549</v>
      </c>
      <c r="I7226">
        <v>6</v>
      </c>
      <c r="J7226" t="s">
        <v>445</v>
      </c>
      <c r="M7226">
        <v>2391</v>
      </c>
      <c r="N7226" t="s">
        <v>16091</v>
      </c>
    </row>
    <row r="7227" spans="1:14">
      <c r="A7227">
        <v>28124087</v>
      </c>
      <c r="B7227">
        <v>3040511</v>
      </c>
      <c r="C7227" t="s">
        <v>14945</v>
      </c>
      <c r="D7227" t="s">
        <v>441</v>
      </c>
      <c r="F7227">
        <v>0</v>
      </c>
      <c r="G7227">
        <v>12.36</v>
      </c>
      <c r="H7227" t="s">
        <v>8588</v>
      </c>
      <c r="I7227">
        <v>6</v>
      </c>
      <c r="J7227" t="s">
        <v>445</v>
      </c>
      <c r="M7227">
        <v>7112</v>
      </c>
      <c r="N7227" t="s">
        <v>16091</v>
      </c>
    </row>
    <row r="7228" spans="1:14">
      <c r="A7228">
        <v>28130000</v>
      </c>
      <c r="B7228">
        <v>3024151</v>
      </c>
      <c r="C7228" t="s">
        <v>14736</v>
      </c>
      <c r="D7228" t="s">
        <v>441</v>
      </c>
      <c r="F7228">
        <v>0</v>
      </c>
      <c r="G7228">
        <v>12.19</v>
      </c>
      <c r="H7228" t="s">
        <v>8549</v>
      </c>
      <c r="I7228">
        <v>6</v>
      </c>
      <c r="J7228" t="s">
        <v>445</v>
      </c>
      <c r="M7228">
        <v>2391</v>
      </c>
      <c r="N7228" t="s">
        <v>16091</v>
      </c>
    </row>
    <row r="7229" spans="1:14">
      <c r="A7229">
        <v>28130002</v>
      </c>
      <c r="B7229">
        <v>3045458</v>
      </c>
      <c r="C7229" t="s">
        <v>16320</v>
      </c>
      <c r="D7229" t="s">
        <v>441</v>
      </c>
      <c r="F7229">
        <v>0</v>
      </c>
      <c r="G7229">
        <v>13.96</v>
      </c>
      <c r="H7229" t="s">
        <v>8588</v>
      </c>
      <c r="I7229">
        <v>540</v>
      </c>
      <c r="J7229" t="s">
        <v>445</v>
      </c>
      <c r="M7229">
        <v>7111</v>
      </c>
      <c r="N7229" t="s">
        <v>16091</v>
      </c>
    </row>
    <row r="7230" spans="1:14">
      <c r="A7230">
        <v>28130007</v>
      </c>
      <c r="B7230">
        <v>3045456</v>
      </c>
      <c r="C7230" t="s">
        <v>16321</v>
      </c>
      <c r="D7230" t="s">
        <v>441</v>
      </c>
      <c r="F7230">
        <v>0</v>
      </c>
      <c r="G7230">
        <v>13.28</v>
      </c>
      <c r="H7230" t="s">
        <v>8549</v>
      </c>
      <c r="I7230">
        <v>6</v>
      </c>
      <c r="J7230" t="s">
        <v>445</v>
      </c>
      <c r="M7230">
        <v>3111</v>
      </c>
      <c r="N7230" t="s">
        <v>16091</v>
      </c>
    </row>
    <row r="7231" spans="1:14">
      <c r="A7231">
        <v>28130087</v>
      </c>
      <c r="B7231">
        <v>3040522</v>
      </c>
      <c r="C7231" t="s">
        <v>14946</v>
      </c>
      <c r="D7231" t="s">
        <v>441</v>
      </c>
      <c r="F7231">
        <v>0</v>
      </c>
      <c r="G7231">
        <v>12.33</v>
      </c>
      <c r="H7231" t="s">
        <v>8588</v>
      </c>
      <c r="I7231">
        <v>6</v>
      </c>
      <c r="J7231" t="s">
        <v>445</v>
      </c>
      <c r="M7231">
        <v>7112</v>
      </c>
      <c r="N7231" t="s">
        <v>16091</v>
      </c>
    </row>
    <row r="7232" spans="1:14">
      <c r="A7232">
        <v>28130100</v>
      </c>
      <c r="B7232">
        <v>3039423</v>
      </c>
      <c r="C7232" t="s">
        <v>17508</v>
      </c>
      <c r="D7232" t="s">
        <v>441</v>
      </c>
      <c r="F7232">
        <v>0</v>
      </c>
      <c r="G7232">
        <v>13.86</v>
      </c>
      <c r="H7232" t="s">
        <v>8588</v>
      </c>
      <c r="I7232">
        <v>6</v>
      </c>
      <c r="J7232" t="s">
        <v>445</v>
      </c>
      <c r="M7232">
        <v>0</v>
      </c>
      <c r="N7232" t="s">
        <v>16091</v>
      </c>
    </row>
    <row r="7233" spans="1:14">
      <c r="A7233">
        <v>28130502</v>
      </c>
      <c r="B7233">
        <v>3045457</v>
      </c>
      <c r="C7233" t="s">
        <v>16322</v>
      </c>
      <c r="D7233" t="s">
        <v>441</v>
      </c>
      <c r="F7233">
        <v>0</v>
      </c>
      <c r="G7233">
        <v>13.37</v>
      </c>
      <c r="H7233" t="s">
        <v>8588</v>
      </c>
      <c r="I7233">
        <v>540</v>
      </c>
      <c r="J7233" t="s">
        <v>445</v>
      </c>
      <c r="M7233">
        <v>2502</v>
      </c>
      <c r="N7233" t="s">
        <v>16091</v>
      </c>
    </row>
    <row r="7234" spans="1:14">
      <c r="A7234">
        <v>28130602</v>
      </c>
      <c r="B7234">
        <v>3045459</v>
      </c>
      <c r="C7234" t="s">
        <v>16323</v>
      </c>
      <c r="D7234" t="s">
        <v>441</v>
      </c>
      <c r="F7234">
        <v>0</v>
      </c>
      <c r="G7234">
        <v>14.89</v>
      </c>
      <c r="H7234" t="s">
        <v>8549</v>
      </c>
      <c r="I7234">
        <v>4</v>
      </c>
      <c r="J7234" t="s">
        <v>445</v>
      </c>
      <c r="M7234">
        <v>2510</v>
      </c>
      <c r="N7234" t="s">
        <v>16091</v>
      </c>
    </row>
    <row r="7235" spans="1:14">
      <c r="A7235">
        <v>28130902</v>
      </c>
      <c r="B7235">
        <v>3045434</v>
      </c>
      <c r="C7235" t="s">
        <v>16324</v>
      </c>
      <c r="D7235" t="s">
        <v>441</v>
      </c>
      <c r="F7235">
        <v>0</v>
      </c>
      <c r="G7235">
        <v>14.89</v>
      </c>
      <c r="H7235" t="s">
        <v>8549</v>
      </c>
      <c r="I7235">
        <v>4</v>
      </c>
      <c r="J7235" t="s">
        <v>445</v>
      </c>
      <c r="M7235">
        <v>6666</v>
      </c>
      <c r="N7235" t="s">
        <v>16091</v>
      </c>
    </row>
    <row r="7236" spans="1:14">
      <c r="A7236">
        <v>28130907</v>
      </c>
      <c r="B7236">
        <v>3045433</v>
      </c>
      <c r="C7236" t="s">
        <v>16325</v>
      </c>
      <c r="D7236" t="s">
        <v>441</v>
      </c>
      <c r="F7236">
        <v>0</v>
      </c>
      <c r="G7236">
        <v>13.28</v>
      </c>
      <c r="H7236" t="s">
        <v>8549</v>
      </c>
      <c r="I7236">
        <v>6</v>
      </c>
      <c r="J7236" t="s">
        <v>445</v>
      </c>
      <c r="M7236">
        <v>6666</v>
      </c>
      <c r="N7236" t="s">
        <v>16091</v>
      </c>
    </row>
    <row r="7237" spans="1:14">
      <c r="A7237">
        <v>28134000</v>
      </c>
      <c r="B7237">
        <v>3038801</v>
      </c>
      <c r="C7237" t="s">
        <v>14947</v>
      </c>
      <c r="D7237" t="s">
        <v>441</v>
      </c>
      <c r="F7237">
        <v>0</v>
      </c>
      <c r="G7237">
        <v>12.19</v>
      </c>
      <c r="H7237" t="s">
        <v>8549</v>
      </c>
      <c r="I7237">
        <v>6</v>
      </c>
      <c r="J7237" t="s">
        <v>445</v>
      </c>
      <c r="M7237">
        <v>2391</v>
      </c>
      <c r="N7237" t="s">
        <v>16091</v>
      </c>
    </row>
    <row r="7238" spans="1:14">
      <c r="A7238">
        <v>28134087</v>
      </c>
      <c r="B7238">
        <v>3040521</v>
      </c>
      <c r="C7238" t="s">
        <v>14948</v>
      </c>
      <c r="D7238" t="s">
        <v>441</v>
      </c>
      <c r="F7238">
        <v>0</v>
      </c>
      <c r="G7238">
        <v>12.34</v>
      </c>
      <c r="H7238" t="s">
        <v>8588</v>
      </c>
      <c r="I7238">
        <v>6</v>
      </c>
      <c r="J7238" t="s">
        <v>445</v>
      </c>
      <c r="M7238">
        <v>7112</v>
      </c>
      <c r="N7238" t="s">
        <v>16091</v>
      </c>
    </row>
    <row r="7239" spans="1:14">
      <c r="A7239">
        <v>28140000</v>
      </c>
      <c r="B7239">
        <v>3011820</v>
      </c>
      <c r="C7239" t="s">
        <v>12040</v>
      </c>
      <c r="D7239" t="s">
        <v>441</v>
      </c>
      <c r="F7239">
        <v>0</v>
      </c>
      <c r="G7239">
        <v>10</v>
      </c>
      <c r="H7239" t="s">
        <v>8584</v>
      </c>
      <c r="I7239">
        <v>6</v>
      </c>
      <c r="J7239" t="s">
        <v>445</v>
      </c>
      <c r="K7239" t="s">
        <v>446</v>
      </c>
      <c r="M7239">
        <v>2311</v>
      </c>
    </row>
    <row r="7240" spans="1:14">
      <c r="A7240">
        <v>28150000</v>
      </c>
      <c r="B7240">
        <v>3011821</v>
      </c>
      <c r="C7240" t="s">
        <v>12041</v>
      </c>
      <c r="D7240" t="s">
        <v>441</v>
      </c>
      <c r="F7240">
        <v>0</v>
      </c>
      <c r="G7240">
        <v>4.32</v>
      </c>
      <c r="H7240" t="s">
        <v>8584</v>
      </c>
      <c r="I7240">
        <v>6</v>
      </c>
      <c r="J7240" t="s">
        <v>445</v>
      </c>
      <c r="K7240" t="s">
        <v>446</v>
      </c>
      <c r="M7240">
        <v>2311</v>
      </c>
    </row>
    <row r="7241" spans="1:14">
      <c r="A7241">
        <v>28160000</v>
      </c>
      <c r="B7241">
        <v>3010756</v>
      </c>
      <c r="C7241" t="s">
        <v>12042</v>
      </c>
      <c r="D7241" t="s">
        <v>441</v>
      </c>
      <c r="F7241">
        <v>0</v>
      </c>
      <c r="G7241">
        <v>10.97</v>
      </c>
      <c r="H7241" t="s">
        <v>8549</v>
      </c>
      <c r="I7241">
        <v>6</v>
      </c>
      <c r="J7241" t="s">
        <v>445</v>
      </c>
      <c r="K7241" t="s">
        <v>446</v>
      </c>
      <c r="M7241">
        <v>2311</v>
      </c>
    </row>
    <row r="7242" spans="1:14">
      <c r="A7242">
        <v>28160076</v>
      </c>
      <c r="B7242">
        <v>3026174</v>
      </c>
      <c r="C7242" t="s">
        <v>3201</v>
      </c>
      <c r="D7242" t="s">
        <v>441</v>
      </c>
      <c r="F7242">
        <v>0</v>
      </c>
      <c r="G7242">
        <v>9.8000000000000007</v>
      </c>
      <c r="H7242" t="s">
        <v>8588</v>
      </c>
      <c r="I7242">
        <v>6</v>
      </c>
      <c r="J7242" t="s">
        <v>445</v>
      </c>
      <c r="M7242">
        <v>2641</v>
      </c>
      <c r="N7242" t="s">
        <v>16093</v>
      </c>
    </row>
    <row r="7243" spans="1:14">
      <c r="A7243">
        <v>28170000</v>
      </c>
      <c r="B7243">
        <v>3015911</v>
      </c>
      <c r="C7243" t="s">
        <v>17509</v>
      </c>
      <c r="D7243" t="s">
        <v>441</v>
      </c>
      <c r="F7243">
        <v>0</v>
      </c>
      <c r="G7243">
        <v>11.67</v>
      </c>
      <c r="I7243">
        <v>6</v>
      </c>
      <c r="J7243" t="s">
        <v>445</v>
      </c>
      <c r="M7243">
        <v>2311</v>
      </c>
      <c r="N7243" t="s">
        <v>17510</v>
      </c>
    </row>
    <row r="7244" spans="1:14">
      <c r="A7244">
        <v>28170087</v>
      </c>
      <c r="B7244">
        <v>3046295</v>
      </c>
      <c r="C7244" t="s">
        <v>17511</v>
      </c>
      <c r="D7244" t="s">
        <v>441</v>
      </c>
      <c r="F7244">
        <v>0</v>
      </c>
      <c r="G7244">
        <v>26.78</v>
      </c>
      <c r="H7244" t="s">
        <v>8588</v>
      </c>
      <c r="I7244">
        <v>6</v>
      </c>
      <c r="J7244" t="s">
        <v>445</v>
      </c>
      <c r="M7244">
        <v>7112</v>
      </c>
      <c r="N7244" t="s">
        <v>17510</v>
      </c>
    </row>
    <row r="7245" spans="1:14">
      <c r="A7245">
        <v>28180000</v>
      </c>
      <c r="B7245">
        <v>3031734</v>
      </c>
      <c r="C7245" t="s">
        <v>3202</v>
      </c>
      <c r="D7245" t="s">
        <v>441</v>
      </c>
      <c r="F7245">
        <v>0</v>
      </c>
      <c r="G7245">
        <v>8.1999999999999993</v>
      </c>
      <c r="H7245" t="s">
        <v>8588</v>
      </c>
      <c r="I7245">
        <v>6</v>
      </c>
      <c r="J7245" t="s">
        <v>445</v>
      </c>
      <c r="M7245">
        <v>2391</v>
      </c>
      <c r="N7245" t="s">
        <v>16110</v>
      </c>
    </row>
    <row r="7246" spans="1:14">
      <c r="A7246">
        <v>28180002</v>
      </c>
      <c r="B7246">
        <v>3032385</v>
      </c>
      <c r="C7246" t="s">
        <v>14493</v>
      </c>
      <c r="D7246" t="s">
        <v>441</v>
      </c>
      <c r="F7246">
        <v>0</v>
      </c>
      <c r="G7246">
        <v>15.76</v>
      </c>
      <c r="H7246" t="s">
        <v>8580</v>
      </c>
      <c r="I7246">
        <v>540</v>
      </c>
      <c r="J7246" t="s">
        <v>445</v>
      </c>
      <c r="M7246">
        <v>7111</v>
      </c>
      <c r="N7246" t="s">
        <v>16110</v>
      </c>
    </row>
    <row r="7247" spans="1:14">
      <c r="A7247">
        <v>28180007</v>
      </c>
      <c r="B7247">
        <v>3031735</v>
      </c>
      <c r="C7247" t="s">
        <v>232</v>
      </c>
      <c r="D7247" t="s">
        <v>441</v>
      </c>
      <c r="F7247">
        <v>0</v>
      </c>
      <c r="G7247">
        <v>8.3000000000000007</v>
      </c>
      <c r="H7247" t="s">
        <v>8588</v>
      </c>
      <c r="I7247">
        <v>6</v>
      </c>
      <c r="J7247" t="s">
        <v>445</v>
      </c>
      <c r="M7247">
        <v>3111</v>
      </c>
      <c r="N7247" t="s">
        <v>16110</v>
      </c>
    </row>
    <row r="7248" spans="1:14">
      <c r="A7248">
        <v>28180100</v>
      </c>
      <c r="B7248">
        <v>3034743</v>
      </c>
      <c r="C7248" t="s">
        <v>3203</v>
      </c>
      <c r="D7248" t="s">
        <v>441</v>
      </c>
      <c r="F7248">
        <v>0</v>
      </c>
      <c r="H7248" t="s">
        <v>8588</v>
      </c>
      <c r="I7248">
        <v>6</v>
      </c>
      <c r="J7248" t="s">
        <v>445</v>
      </c>
      <c r="M7248">
        <v>7161</v>
      </c>
      <c r="N7248" t="s">
        <v>16110</v>
      </c>
    </row>
    <row r="7249" spans="1:14">
      <c r="A7249">
        <v>28180110</v>
      </c>
      <c r="B7249">
        <v>3042264</v>
      </c>
      <c r="C7249" t="s">
        <v>419</v>
      </c>
      <c r="D7249" t="s">
        <v>441</v>
      </c>
      <c r="F7249">
        <v>0</v>
      </c>
      <c r="G7249">
        <v>14.7</v>
      </c>
      <c r="H7249" t="s">
        <v>8588</v>
      </c>
      <c r="I7249">
        <v>6</v>
      </c>
      <c r="J7249" t="s">
        <v>445</v>
      </c>
      <c r="M7249">
        <v>0</v>
      </c>
      <c r="N7249" t="s">
        <v>16110</v>
      </c>
    </row>
    <row r="7250" spans="1:14">
      <c r="A7250">
        <v>28180502</v>
      </c>
      <c r="B7250">
        <v>3032384</v>
      </c>
      <c r="C7250" t="s">
        <v>15387</v>
      </c>
      <c r="D7250" t="s">
        <v>441</v>
      </c>
      <c r="F7250">
        <v>0</v>
      </c>
      <c r="G7250">
        <v>14.48</v>
      </c>
      <c r="H7250" t="s">
        <v>8549</v>
      </c>
      <c r="I7250">
        <v>540</v>
      </c>
      <c r="J7250" t="s">
        <v>445</v>
      </c>
      <c r="M7250">
        <v>2502</v>
      </c>
      <c r="N7250" t="s">
        <v>16110</v>
      </c>
    </row>
    <row r="7251" spans="1:14">
      <c r="A7251">
        <v>28180602</v>
      </c>
      <c r="B7251">
        <v>3032387</v>
      </c>
      <c r="C7251" t="s">
        <v>381</v>
      </c>
      <c r="D7251" t="s">
        <v>441</v>
      </c>
      <c r="F7251">
        <v>0</v>
      </c>
      <c r="G7251">
        <v>8.94</v>
      </c>
      <c r="H7251" t="s">
        <v>8588</v>
      </c>
      <c r="I7251">
        <v>4</v>
      </c>
      <c r="J7251" t="s">
        <v>445</v>
      </c>
      <c r="M7251">
        <v>2510</v>
      </c>
      <c r="N7251" t="s">
        <v>16110</v>
      </c>
    </row>
    <row r="7252" spans="1:14">
      <c r="A7252">
        <v>28180902</v>
      </c>
      <c r="B7252">
        <v>3032393</v>
      </c>
      <c r="C7252" t="s">
        <v>3204</v>
      </c>
      <c r="D7252" t="s">
        <v>441</v>
      </c>
      <c r="F7252">
        <v>0</v>
      </c>
      <c r="I7252">
        <v>4</v>
      </c>
      <c r="J7252" t="s">
        <v>445</v>
      </c>
      <c r="M7252">
        <v>6666</v>
      </c>
      <c r="N7252" t="s">
        <v>16110</v>
      </c>
    </row>
    <row r="7253" spans="1:14">
      <c r="A7253">
        <v>28180907</v>
      </c>
      <c r="B7253">
        <v>3031738</v>
      </c>
      <c r="C7253" t="s">
        <v>3205</v>
      </c>
      <c r="D7253" t="s">
        <v>441</v>
      </c>
      <c r="F7253">
        <v>0</v>
      </c>
      <c r="H7253" t="s">
        <v>8935</v>
      </c>
      <c r="I7253">
        <v>6</v>
      </c>
      <c r="J7253" t="s">
        <v>445</v>
      </c>
      <c r="M7253">
        <v>6666</v>
      </c>
      <c r="N7253" t="s">
        <v>16110</v>
      </c>
    </row>
    <row r="7254" spans="1:14">
      <c r="A7254">
        <v>28190000</v>
      </c>
      <c r="B7254">
        <v>3008069</v>
      </c>
      <c r="C7254" t="s">
        <v>12043</v>
      </c>
      <c r="D7254" t="s">
        <v>441</v>
      </c>
      <c r="F7254">
        <v>0</v>
      </c>
      <c r="G7254">
        <v>0.6</v>
      </c>
      <c r="H7254" t="s">
        <v>8580</v>
      </c>
      <c r="I7254">
        <v>6</v>
      </c>
      <c r="J7254" t="s">
        <v>445</v>
      </c>
      <c r="K7254" t="s">
        <v>446</v>
      </c>
      <c r="M7254">
        <v>0</v>
      </c>
    </row>
    <row r="7255" spans="1:14">
      <c r="A7255">
        <v>28200000</v>
      </c>
      <c r="B7255">
        <v>3028074</v>
      </c>
      <c r="C7255" t="s">
        <v>3206</v>
      </c>
      <c r="D7255" t="s">
        <v>441</v>
      </c>
      <c r="F7255">
        <v>0</v>
      </c>
      <c r="G7255">
        <v>8.73</v>
      </c>
      <c r="H7255" t="s">
        <v>8588</v>
      </c>
      <c r="I7255">
        <v>6</v>
      </c>
      <c r="J7255" t="s">
        <v>445</v>
      </c>
      <c r="M7255">
        <v>2391</v>
      </c>
      <c r="N7255" t="s">
        <v>16326</v>
      </c>
    </row>
    <row r="7256" spans="1:14">
      <c r="A7256">
        <v>28200076</v>
      </c>
      <c r="B7256">
        <v>3028427</v>
      </c>
      <c r="C7256" t="s">
        <v>3207</v>
      </c>
      <c r="D7256" t="s">
        <v>441</v>
      </c>
      <c r="F7256">
        <v>0</v>
      </c>
      <c r="G7256">
        <v>8.85</v>
      </c>
      <c r="H7256" t="s">
        <v>8588</v>
      </c>
      <c r="I7256">
        <v>6</v>
      </c>
      <c r="J7256" t="s">
        <v>445</v>
      </c>
      <c r="M7256">
        <v>7112</v>
      </c>
      <c r="N7256" t="s">
        <v>16326</v>
      </c>
    </row>
    <row r="7257" spans="1:14">
      <c r="A7257">
        <v>28200087</v>
      </c>
      <c r="B7257">
        <v>3029408</v>
      </c>
      <c r="C7257" t="s">
        <v>3208</v>
      </c>
      <c r="D7257" t="s">
        <v>441</v>
      </c>
      <c r="F7257">
        <v>0</v>
      </c>
      <c r="G7257">
        <v>8.85</v>
      </c>
      <c r="H7257" t="s">
        <v>8588</v>
      </c>
      <c r="I7257">
        <v>6</v>
      </c>
      <c r="J7257" t="s">
        <v>445</v>
      </c>
      <c r="M7257">
        <v>7112</v>
      </c>
      <c r="N7257" t="s">
        <v>16326</v>
      </c>
    </row>
    <row r="7258" spans="1:14">
      <c r="A7258">
        <v>28210000</v>
      </c>
      <c r="B7258">
        <v>3004478</v>
      </c>
      <c r="C7258" t="s">
        <v>3209</v>
      </c>
      <c r="D7258" t="s">
        <v>441</v>
      </c>
      <c r="F7258">
        <v>0</v>
      </c>
      <c r="G7258">
        <v>8.61</v>
      </c>
      <c r="H7258" t="s">
        <v>8584</v>
      </c>
      <c r="I7258">
        <v>6</v>
      </c>
      <c r="J7258" t="s">
        <v>445</v>
      </c>
      <c r="K7258" t="s">
        <v>446</v>
      </c>
      <c r="M7258">
        <v>0</v>
      </c>
    </row>
    <row r="7259" spans="1:14">
      <c r="A7259">
        <v>28210028</v>
      </c>
      <c r="B7259">
        <v>4006746</v>
      </c>
      <c r="C7259" t="s">
        <v>12044</v>
      </c>
      <c r="D7259" t="s">
        <v>441</v>
      </c>
      <c r="F7259">
        <v>0</v>
      </c>
      <c r="G7259">
        <v>9.59</v>
      </c>
      <c r="H7259" t="s">
        <v>8588</v>
      </c>
      <c r="I7259">
        <v>365</v>
      </c>
      <c r="J7259" t="s">
        <v>462</v>
      </c>
      <c r="K7259" t="s">
        <v>446</v>
      </c>
      <c r="M7259">
        <v>2501</v>
      </c>
    </row>
    <row r="7260" spans="1:14">
      <c r="A7260">
        <v>28210528</v>
      </c>
      <c r="B7260">
        <v>3008070</v>
      </c>
      <c r="C7260" t="s">
        <v>3210</v>
      </c>
      <c r="D7260" t="s">
        <v>441</v>
      </c>
      <c r="F7260">
        <v>0</v>
      </c>
      <c r="G7260">
        <v>9.32</v>
      </c>
      <c r="H7260" t="s">
        <v>8580</v>
      </c>
      <c r="I7260">
        <v>6</v>
      </c>
      <c r="J7260" t="s">
        <v>445</v>
      </c>
      <c r="K7260" t="s">
        <v>446</v>
      </c>
      <c r="M7260">
        <v>2641</v>
      </c>
    </row>
    <row r="7261" spans="1:14">
      <c r="A7261">
        <v>28210628</v>
      </c>
      <c r="B7261">
        <v>3014128</v>
      </c>
      <c r="C7261" t="s">
        <v>3211</v>
      </c>
      <c r="D7261" t="s">
        <v>441</v>
      </c>
      <c r="F7261">
        <v>0</v>
      </c>
      <c r="G7261">
        <v>9.83</v>
      </c>
      <c r="H7261" t="s">
        <v>8627</v>
      </c>
      <c r="I7261">
        <v>4</v>
      </c>
      <c r="J7261" t="s">
        <v>445</v>
      </c>
      <c r="K7261" t="s">
        <v>446</v>
      </c>
      <c r="M7261">
        <v>2511</v>
      </c>
    </row>
    <row r="7262" spans="1:14">
      <c r="A7262">
        <v>28211000</v>
      </c>
      <c r="B7262">
        <v>3009262</v>
      </c>
      <c r="C7262" t="s">
        <v>3212</v>
      </c>
      <c r="D7262" t="s">
        <v>441</v>
      </c>
      <c r="F7262">
        <v>0</v>
      </c>
      <c r="G7262">
        <v>8.6999999999999993</v>
      </c>
      <c r="I7262">
        <v>6</v>
      </c>
      <c r="J7262" t="s">
        <v>445</v>
      </c>
      <c r="K7262" t="s">
        <v>446</v>
      </c>
      <c r="M7262">
        <v>2314</v>
      </c>
    </row>
    <row r="7263" spans="1:14">
      <c r="A7263">
        <v>28216000</v>
      </c>
      <c r="B7263">
        <v>3009213</v>
      </c>
      <c r="C7263" t="s">
        <v>3213</v>
      </c>
      <c r="D7263" t="s">
        <v>441</v>
      </c>
      <c r="F7263">
        <v>0</v>
      </c>
      <c r="G7263">
        <v>8.7100000000000009</v>
      </c>
      <c r="I7263">
        <v>6</v>
      </c>
      <c r="J7263" t="s">
        <v>445</v>
      </c>
      <c r="K7263" t="s">
        <v>446</v>
      </c>
      <c r="M7263">
        <v>2390</v>
      </c>
    </row>
    <row r="7264" spans="1:14">
      <c r="A7264">
        <v>28220000</v>
      </c>
      <c r="B7264">
        <v>3004481</v>
      </c>
      <c r="C7264" t="s">
        <v>3214</v>
      </c>
      <c r="D7264" t="s">
        <v>441</v>
      </c>
      <c r="F7264">
        <v>0</v>
      </c>
      <c r="G7264">
        <v>8.5</v>
      </c>
      <c r="H7264" t="s">
        <v>8634</v>
      </c>
      <c r="I7264">
        <v>6</v>
      </c>
      <c r="J7264" t="s">
        <v>445</v>
      </c>
      <c r="K7264" t="s">
        <v>446</v>
      </c>
      <c r="M7264">
        <v>0</v>
      </c>
    </row>
    <row r="7265" spans="1:14">
      <c r="A7265">
        <v>28220028</v>
      </c>
      <c r="B7265">
        <v>4006747</v>
      </c>
      <c r="C7265" t="s">
        <v>12045</v>
      </c>
      <c r="D7265" t="s">
        <v>441</v>
      </c>
      <c r="F7265">
        <v>0</v>
      </c>
      <c r="G7265">
        <v>9.3699999999999992</v>
      </c>
      <c r="H7265" t="s">
        <v>8588</v>
      </c>
      <c r="I7265">
        <v>365</v>
      </c>
      <c r="J7265" t="s">
        <v>462</v>
      </c>
      <c r="K7265" t="s">
        <v>446</v>
      </c>
      <c r="M7265">
        <v>2501</v>
      </c>
    </row>
    <row r="7266" spans="1:14">
      <c r="A7266">
        <v>28220528</v>
      </c>
      <c r="B7266">
        <v>3008071</v>
      </c>
      <c r="C7266" t="s">
        <v>3215</v>
      </c>
      <c r="D7266" t="s">
        <v>441</v>
      </c>
      <c r="F7266">
        <v>0</v>
      </c>
      <c r="G7266">
        <v>9.1199999999999992</v>
      </c>
      <c r="H7266" t="s">
        <v>8580</v>
      </c>
      <c r="I7266">
        <v>6</v>
      </c>
      <c r="J7266" t="s">
        <v>445</v>
      </c>
      <c r="K7266" t="s">
        <v>446</v>
      </c>
      <c r="M7266">
        <v>2641</v>
      </c>
    </row>
    <row r="7267" spans="1:14">
      <c r="A7267">
        <v>28220628</v>
      </c>
      <c r="B7267">
        <v>3010588</v>
      </c>
      <c r="C7267" t="s">
        <v>3216</v>
      </c>
      <c r="D7267" t="s">
        <v>441</v>
      </c>
      <c r="F7267">
        <v>0</v>
      </c>
      <c r="G7267">
        <v>9.51</v>
      </c>
      <c r="H7267" t="s">
        <v>8580</v>
      </c>
      <c r="I7267">
        <v>4</v>
      </c>
      <c r="J7267" t="s">
        <v>445</v>
      </c>
      <c r="K7267" t="s">
        <v>446</v>
      </c>
      <c r="M7267">
        <v>2511</v>
      </c>
    </row>
    <row r="7268" spans="1:14">
      <c r="A7268">
        <v>28221000</v>
      </c>
      <c r="B7268">
        <v>3009264</v>
      </c>
      <c r="C7268" t="s">
        <v>3217</v>
      </c>
      <c r="D7268" t="s">
        <v>441</v>
      </c>
      <c r="F7268">
        <v>0</v>
      </c>
      <c r="G7268">
        <v>8.5</v>
      </c>
      <c r="I7268">
        <v>6</v>
      </c>
      <c r="J7268" t="s">
        <v>445</v>
      </c>
      <c r="K7268" t="s">
        <v>446</v>
      </c>
      <c r="M7268">
        <v>2314</v>
      </c>
    </row>
    <row r="7269" spans="1:14">
      <c r="A7269">
        <v>28226000</v>
      </c>
      <c r="B7269">
        <v>3009297</v>
      </c>
      <c r="C7269" t="s">
        <v>3218</v>
      </c>
      <c r="D7269" t="s">
        <v>441</v>
      </c>
      <c r="F7269">
        <v>0</v>
      </c>
      <c r="G7269">
        <v>8.51</v>
      </c>
      <c r="H7269" t="s">
        <v>8624</v>
      </c>
      <c r="I7269">
        <v>6</v>
      </c>
      <c r="J7269" t="s">
        <v>445</v>
      </c>
      <c r="K7269" t="s">
        <v>446</v>
      </c>
      <c r="M7269">
        <v>2390</v>
      </c>
    </row>
    <row r="7270" spans="1:14">
      <c r="A7270">
        <v>28230000</v>
      </c>
      <c r="B7270">
        <v>3012141</v>
      </c>
      <c r="C7270" t="s">
        <v>3219</v>
      </c>
      <c r="D7270" t="s">
        <v>441</v>
      </c>
      <c r="F7270">
        <v>0</v>
      </c>
      <c r="G7270">
        <v>11.3</v>
      </c>
      <c r="H7270" t="s">
        <v>8580</v>
      </c>
      <c r="I7270">
        <v>6</v>
      </c>
      <c r="J7270" t="s">
        <v>445</v>
      </c>
      <c r="K7270" t="s">
        <v>446</v>
      </c>
      <c r="M7270">
        <v>2311</v>
      </c>
    </row>
    <row r="7271" spans="1:14">
      <c r="A7271">
        <v>28240000</v>
      </c>
      <c r="B7271">
        <v>3012142</v>
      </c>
      <c r="C7271" t="s">
        <v>3220</v>
      </c>
      <c r="D7271" t="s">
        <v>441</v>
      </c>
      <c r="F7271">
        <v>0</v>
      </c>
      <c r="G7271">
        <v>11.49</v>
      </c>
      <c r="H7271" t="s">
        <v>8580</v>
      </c>
      <c r="I7271">
        <v>6</v>
      </c>
      <c r="J7271" t="s">
        <v>445</v>
      </c>
      <c r="K7271" t="s">
        <v>446</v>
      </c>
      <c r="M7271">
        <v>2311</v>
      </c>
    </row>
    <row r="7272" spans="1:14">
      <c r="A7272">
        <v>28250000</v>
      </c>
      <c r="B7272">
        <v>3012143</v>
      </c>
      <c r="C7272" t="s">
        <v>3221</v>
      </c>
      <c r="D7272" t="s">
        <v>441</v>
      </c>
      <c r="F7272">
        <v>0</v>
      </c>
      <c r="G7272">
        <v>11.36</v>
      </c>
      <c r="H7272" t="s">
        <v>8580</v>
      </c>
      <c r="I7272">
        <v>6</v>
      </c>
      <c r="J7272" t="s">
        <v>445</v>
      </c>
      <c r="K7272" t="s">
        <v>446</v>
      </c>
      <c r="M7272">
        <v>2311</v>
      </c>
    </row>
    <row r="7273" spans="1:14">
      <c r="A7273">
        <v>28260000</v>
      </c>
      <c r="B7273">
        <v>3028561</v>
      </c>
      <c r="C7273" t="s">
        <v>12046</v>
      </c>
      <c r="D7273" t="s">
        <v>441</v>
      </c>
      <c r="F7273">
        <v>0</v>
      </c>
      <c r="G7273">
        <v>7.28</v>
      </c>
      <c r="H7273" t="s">
        <v>8549</v>
      </c>
      <c r="I7273">
        <v>6</v>
      </c>
      <c r="J7273" t="s">
        <v>445</v>
      </c>
      <c r="K7273" t="s">
        <v>446</v>
      </c>
      <c r="M7273">
        <v>2314</v>
      </c>
      <c r="N7273" t="s">
        <v>16093</v>
      </c>
    </row>
    <row r="7274" spans="1:14">
      <c r="A7274">
        <v>28260075</v>
      </c>
      <c r="B7274">
        <v>4018951</v>
      </c>
      <c r="C7274" t="s">
        <v>12047</v>
      </c>
      <c r="D7274" t="s">
        <v>441</v>
      </c>
      <c r="F7274">
        <v>0</v>
      </c>
      <c r="G7274">
        <v>7.39</v>
      </c>
      <c r="H7274" t="s">
        <v>9888</v>
      </c>
      <c r="I7274">
        <v>6</v>
      </c>
      <c r="J7274" t="s">
        <v>462</v>
      </c>
      <c r="K7274" t="s">
        <v>446</v>
      </c>
      <c r="M7274">
        <v>2641</v>
      </c>
      <c r="N7274" t="s">
        <v>16093</v>
      </c>
    </row>
    <row r="7275" spans="1:14">
      <c r="A7275">
        <v>28270000</v>
      </c>
      <c r="B7275">
        <v>3028162</v>
      </c>
      <c r="C7275" t="s">
        <v>14949</v>
      </c>
      <c r="D7275" t="s">
        <v>441</v>
      </c>
      <c r="F7275">
        <v>0</v>
      </c>
      <c r="G7275">
        <v>13.34</v>
      </c>
      <c r="H7275" t="s">
        <v>8588</v>
      </c>
      <c r="I7275">
        <v>6</v>
      </c>
      <c r="J7275" t="s">
        <v>445</v>
      </c>
      <c r="K7275" t="s">
        <v>446</v>
      </c>
      <c r="M7275">
        <v>2391</v>
      </c>
      <c r="N7275" t="s">
        <v>16327</v>
      </c>
    </row>
    <row r="7276" spans="1:14">
      <c r="A7276">
        <v>28270007</v>
      </c>
      <c r="B7276">
        <v>3029001</v>
      </c>
      <c r="C7276" t="s">
        <v>12048</v>
      </c>
      <c r="D7276" t="s">
        <v>441</v>
      </c>
      <c r="F7276">
        <v>0</v>
      </c>
      <c r="G7276">
        <v>10.89</v>
      </c>
      <c r="H7276" t="s">
        <v>8588</v>
      </c>
      <c r="I7276">
        <v>6</v>
      </c>
      <c r="J7276" t="s">
        <v>445</v>
      </c>
      <c r="K7276" t="s">
        <v>446</v>
      </c>
      <c r="M7276">
        <v>2641</v>
      </c>
      <c r="N7276" t="s">
        <v>16328</v>
      </c>
    </row>
    <row r="7277" spans="1:14">
      <c r="A7277">
        <v>28280000</v>
      </c>
      <c r="B7277">
        <v>3008072</v>
      </c>
      <c r="C7277" t="s">
        <v>3222</v>
      </c>
      <c r="D7277" t="s">
        <v>441</v>
      </c>
      <c r="F7277">
        <v>0</v>
      </c>
      <c r="G7277">
        <v>8.7899999999999991</v>
      </c>
      <c r="H7277" t="s">
        <v>8580</v>
      </c>
      <c r="I7277">
        <v>6</v>
      </c>
      <c r="J7277" t="s">
        <v>445</v>
      </c>
      <c r="K7277" t="s">
        <v>446</v>
      </c>
      <c r="M7277">
        <v>0</v>
      </c>
    </row>
    <row r="7278" spans="1:14">
      <c r="A7278">
        <v>28290000</v>
      </c>
      <c r="B7278">
        <v>3008888</v>
      </c>
      <c r="C7278" t="s">
        <v>3223</v>
      </c>
      <c r="D7278" t="s">
        <v>441</v>
      </c>
      <c r="F7278">
        <v>0</v>
      </c>
      <c r="G7278">
        <v>9.9600000000000009</v>
      </c>
      <c r="H7278" t="s">
        <v>8580</v>
      </c>
      <c r="I7278">
        <v>6</v>
      </c>
      <c r="J7278" t="s">
        <v>445</v>
      </c>
      <c r="K7278" t="s">
        <v>446</v>
      </c>
      <c r="M7278">
        <v>0</v>
      </c>
    </row>
    <row r="7279" spans="1:14">
      <c r="A7279">
        <v>28300000</v>
      </c>
      <c r="B7279">
        <v>3012146</v>
      </c>
      <c r="C7279" t="s">
        <v>3224</v>
      </c>
      <c r="D7279" t="s">
        <v>441</v>
      </c>
      <c r="F7279">
        <v>0</v>
      </c>
      <c r="G7279">
        <v>11.34</v>
      </c>
      <c r="H7279" t="s">
        <v>8580</v>
      </c>
      <c r="I7279">
        <v>6</v>
      </c>
      <c r="J7279" t="s">
        <v>445</v>
      </c>
      <c r="K7279" t="s">
        <v>446</v>
      </c>
      <c r="M7279">
        <v>2311</v>
      </c>
    </row>
    <row r="7280" spans="1:14">
      <c r="A7280">
        <v>28310000</v>
      </c>
      <c r="B7280">
        <v>3012114</v>
      </c>
      <c r="C7280" t="s">
        <v>3225</v>
      </c>
      <c r="D7280" t="s">
        <v>441</v>
      </c>
      <c r="F7280">
        <v>0</v>
      </c>
      <c r="G7280">
        <v>8.5500000000000007</v>
      </c>
      <c r="H7280" t="s">
        <v>8588</v>
      </c>
      <c r="I7280">
        <v>6</v>
      </c>
      <c r="J7280" t="s">
        <v>445</v>
      </c>
      <c r="M7280">
        <v>2391</v>
      </c>
      <c r="N7280" t="s">
        <v>16021</v>
      </c>
    </row>
    <row r="7281" spans="1:14">
      <c r="A7281">
        <v>28310007</v>
      </c>
      <c r="B7281">
        <v>3025040</v>
      </c>
      <c r="C7281" t="s">
        <v>17512</v>
      </c>
      <c r="D7281" t="s">
        <v>441</v>
      </c>
      <c r="F7281">
        <v>0</v>
      </c>
      <c r="G7281">
        <v>17.7</v>
      </c>
      <c r="H7281" t="s">
        <v>8588</v>
      </c>
      <c r="I7281">
        <v>6</v>
      </c>
      <c r="J7281" t="s">
        <v>445</v>
      </c>
      <c r="M7281">
        <v>3111</v>
      </c>
      <c r="N7281" t="s">
        <v>16021</v>
      </c>
    </row>
    <row r="7282" spans="1:14">
      <c r="A7282">
        <v>28310020</v>
      </c>
      <c r="B7282">
        <v>4024684</v>
      </c>
      <c r="C7282" t="s">
        <v>17513</v>
      </c>
      <c r="D7282" t="s">
        <v>441</v>
      </c>
      <c r="F7282">
        <v>0</v>
      </c>
      <c r="G7282">
        <v>18.03</v>
      </c>
      <c r="H7282" t="s">
        <v>8588</v>
      </c>
      <c r="I7282">
        <v>6</v>
      </c>
      <c r="J7282" t="s">
        <v>462</v>
      </c>
      <c r="L7282">
        <v>2058187</v>
      </c>
      <c r="M7282">
        <v>7112</v>
      </c>
      <c r="N7282" t="s">
        <v>16021</v>
      </c>
    </row>
    <row r="7283" spans="1:14">
      <c r="A7283">
        <v>28310025</v>
      </c>
      <c r="B7283">
        <v>4028848</v>
      </c>
      <c r="C7283" t="s">
        <v>17514</v>
      </c>
      <c r="D7283" t="s">
        <v>441</v>
      </c>
      <c r="F7283">
        <v>0</v>
      </c>
      <c r="G7283">
        <v>18.5</v>
      </c>
      <c r="H7283" t="s">
        <v>8588</v>
      </c>
      <c r="I7283">
        <v>540</v>
      </c>
      <c r="J7283" t="s">
        <v>462</v>
      </c>
      <c r="M7283">
        <v>7111</v>
      </c>
      <c r="N7283" t="s">
        <v>16021</v>
      </c>
    </row>
    <row r="7284" spans="1:14">
      <c r="A7284">
        <v>28310075</v>
      </c>
      <c r="B7284">
        <v>3027003</v>
      </c>
      <c r="C7284" t="s">
        <v>17515</v>
      </c>
      <c r="D7284" t="s">
        <v>441</v>
      </c>
      <c r="F7284">
        <v>0</v>
      </c>
      <c r="G7284">
        <v>17.77</v>
      </c>
      <c r="H7284" t="s">
        <v>8588</v>
      </c>
      <c r="I7284">
        <v>6</v>
      </c>
      <c r="J7284" t="s">
        <v>445</v>
      </c>
      <c r="M7284">
        <v>7112</v>
      </c>
      <c r="N7284" t="s">
        <v>16021</v>
      </c>
    </row>
    <row r="7285" spans="1:14">
      <c r="A7285">
        <v>28310100</v>
      </c>
      <c r="B7285">
        <v>3012693</v>
      </c>
      <c r="C7285" t="s">
        <v>3226</v>
      </c>
      <c r="D7285" t="s">
        <v>441</v>
      </c>
      <c r="F7285">
        <v>0</v>
      </c>
      <c r="H7285" t="s">
        <v>8588</v>
      </c>
      <c r="I7285">
        <v>6</v>
      </c>
      <c r="J7285" t="s">
        <v>445</v>
      </c>
      <c r="M7285">
        <v>7161</v>
      </c>
      <c r="N7285" t="s">
        <v>16021</v>
      </c>
    </row>
    <row r="7286" spans="1:14">
      <c r="A7286">
        <v>28310110</v>
      </c>
      <c r="B7286">
        <v>3012107</v>
      </c>
      <c r="C7286" t="s">
        <v>17516</v>
      </c>
      <c r="D7286" t="s">
        <v>441</v>
      </c>
      <c r="F7286">
        <v>0</v>
      </c>
      <c r="H7286" t="s">
        <v>8588</v>
      </c>
      <c r="I7286">
        <v>540</v>
      </c>
      <c r="J7286" t="s">
        <v>445</v>
      </c>
      <c r="M7286">
        <v>7161</v>
      </c>
      <c r="N7286" t="s">
        <v>16021</v>
      </c>
    </row>
    <row r="7287" spans="1:14">
      <c r="A7287">
        <v>28310120</v>
      </c>
      <c r="B7287">
        <v>3034802</v>
      </c>
      <c r="C7287" t="s">
        <v>17517</v>
      </c>
      <c r="D7287" t="s">
        <v>441</v>
      </c>
      <c r="F7287">
        <v>0</v>
      </c>
      <c r="H7287" t="s">
        <v>8588</v>
      </c>
      <c r="I7287">
        <v>6</v>
      </c>
      <c r="J7287" t="s">
        <v>445</v>
      </c>
      <c r="M7287">
        <v>7161</v>
      </c>
      <c r="N7287" t="s">
        <v>16021</v>
      </c>
    </row>
    <row r="7288" spans="1:14">
      <c r="A7288">
        <v>28310525</v>
      </c>
      <c r="B7288">
        <v>3043817</v>
      </c>
      <c r="C7288" t="s">
        <v>17518</v>
      </c>
      <c r="D7288" t="s">
        <v>441</v>
      </c>
      <c r="F7288">
        <v>0</v>
      </c>
      <c r="G7288">
        <v>18.03</v>
      </c>
      <c r="H7288" t="s">
        <v>8588</v>
      </c>
      <c r="I7288">
        <v>6</v>
      </c>
      <c r="J7288" t="s">
        <v>445</v>
      </c>
      <c r="M7288">
        <v>2502</v>
      </c>
      <c r="N7288" t="s">
        <v>16021</v>
      </c>
    </row>
    <row r="7289" spans="1:14">
      <c r="A7289">
        <v>28310610</v>
      </c>
      <c r="B7289">
        <v>3032056</v>
      </c>
      <c r="C7289" t="s">
        <v>17519</v>
      </c>
      <c r="D7289" t="s">
        <v>441</v>
      </c>
      <c r="F7289">
        <v>0</v>
      </c>
      <c r="G7289">
        <v>18.260000000000002</v>
      </c>
      <c r="H7289" t="s">
        <v>8588</v>
      </c>
      <c r="I7289">
        <v>4</v>
      </c>
      <c r="J7289" t="s">
        <v>445</v>
      </c>
      <c r="M7289">
        <v>2510</v>
      </c>
      <c r="N7289" t="s">
        <v>16021</v>
      </c>
    </row>
    <row r="7290" spans="1:14">
      <c r="A7290">
        <v>28310900</v>
      </c>
      <c r="B7290">
        <v>3020360</v>
      </c>
      <c r="C7290" t="s">
        <v>3227</v>
      </c>
      <c r="D7290" t="s">
        <v>441</v>
      </c>
      <c r="F7290">
        <v>0</v>
      </c>
      <c r="G7290">
        <v>0</v>
      </c>
      <c r="H7290" t="s">
        <v>8584</v>
      </c>
      <c r="I7290">
        <v>6</v>
      </c>
      <c r="J7290" t="s">
        <v>445</v>
      </c>
      <c r="M7290">
        <v>6666</v>
      </c>
      <c r="N7290" t="s">
        <v>16021</v>
      </c>
    </row>
    <row r="7291" spans="1:14">
      <c r="A7291">
        <v>28310907</v>
      </c>
      <c r="B7291">
        <v>3025300</v>
      </c>
      <c r="C7291" t="s">
        <v>17520</v>
      </c>
      <c r="D7291" t="s">
        <v>441</v>
      </c>
      <c r="F7291">
        <v>0</v>
      </c>
      <c r="G7291">
        <v>0</v>
      </c>
      <c r="H7291" t="s">
        <v>8584</v>
      </c>
      <c r="I7291">
        <v>6</v>
      </c>
      <c r="J7291" t="s">
        <v>445</v>
      </c>
      <c r="M7291">
        <v>6666</v>
      </c>
      <c r="N7291" t="s">
        <v>16021</v>
      </c>
    </row>
    <row r="7292" spans="1:14">
      <c r="A7292">
        <v>28311000</v>
      </c>
      <c r="B7292">
        <v>3017506</v>
      </c>
      <c r="C7292" t="s">
        <v>17521</v>
      </c>
      <c r="D7292" t="s">
        <v>441</v>
      </c>
      <c r="F7292">
        <v>0</v>
      </c>
      <c r="G7292">
        <v>17.53</v>
      </c>
      <c r="H7292" t="s">
        <v>8588</v>
      </c>
      <c r="I7292">
        <v>6</v>
      </c>
      <c r="J7292" t="s">
        <v>445</v>
      </c>
      <c r="M7292">
        <v>2391</v>
      </c>
      <c r="N7292" t="s">
        <v>16021</v>
      </c>
    </row>
    <row r="7293" spans="1:14">
      <c r="A7293">
        <v>28311007</v>
      </c>
      <c r="B7293">
        <v>3025041</v>
      </c>
      <c r="C7293" t="s">
        <v>17522</v>
      </c>
      <c r="D7293" t="s">
        <v>441</v>
      </c>
      <c r="F7293">
        <v>0</v>
      </c>
      <c r="G7293">
        <v>17.7</v>
      </c>
      <c r="H7293" t="s">
        <v>8580</v>
      </c>
      <c r="I7293">
        <v>6</v>
      </c>
      <c r="J7293" t="s">
        <v>445</v>
      </c>
      <c r="M7293">
        <v>3111</v>
      </c>
      <c r="N7293" t="s">
        <v>16021</v>
      </c>
    </row>
    <row r="7294" spans="1:14">
      <c r="A7294">
        <v>28311075</v>
      </c>
      <c r="B7294">
        <v>3044734</v>
      </c>
      <c r="C7294" t="s">
        <v>17523</v>
      </c>
      <c r="D7294" t="s">
        <v>441</v>
      </c>
      <c r="F7294">
        <v>0</v>
      </c>
      <c r="G7294">
        <v>17.77</v>
      </c>
      <c r="H7294" t="s">
        <v>8588</v>
      </c>
      <c r="I7294">
        <v>6</v>
      </c>
      <c r="J7294" t="s">
        <v>445</v>
      </c>
      <c r="M7294">
        <v>7112</v>
      </c>
      <c r="N7294" t="s">
        <v>16021</v>
      </c>
    </row>
    <row r="7295" spans="1:14">
      <c r="A7295">
        <v>28311110</v>
      </c>
      <c r="B7295">
        <v>3017504</v>
      </c>
      <c r="C7295" t="s">
        <v>17524</v>
      </c>
      <c r="D7295" t="s">
        <v>441</v>
      </c>
      <c r="F7295">
        <v>0</v>
      </c>
      <c r="H7295" t="s">
        <v>8588</v>
      </c>
      <c r="I7295">
        <v>540</v>
      </c>
      <c r="J7295" t="s">
        <v>445</v>
      </c>
      <c r="K7295" t="s">
        <v>446</v>
      </c>
      <c r="M7295">
        <v>7161</v>
      </c>
      <c r="N7295" t="s">
        <v>16021</v>
      </c>
    </row>
    <row r="7296" spans="1:14">
      <c r="A7296">
        <v>28311900</v>
      </c>
      <c r="B7296">
        <v>3020361</v>
      </c>
      <c r="C7296" t="s">
        <v>17525</v>
      </c>
      <c r="D7296" t="s">
        <v>441</v>
      </c>
      <c r="F7296">
        <v>0</v>
      </c>
      <c r="G7296">
        <v>0</v>
      </c>
      <c r="H7296" t="s">
        <v>8584</v>
      </c>
      <c r="I7296">
        <v>6</v>
      </c>
      <c r="J7296" t="s">
        <v>445</v>
      </c>
      <c r="M7296">
        <v>6666</v>
      </c>
      <c r="N7296" t="s">
        <v>16021</v>
      </c>
    </row>
    <row r="7297" spans="1:14">
      <c r="A7297">
        <v>28311907</v>
      </c>
      <c r="B7297">
        <v>3025301</v>
      </c>
      <c r="C7297" t="s">
        <v>17526</v>
      </c>
      <c r="D7297" t="s">
        <v>441</v>
      </c>
      <c r="F7297">
        <v>0</v>
      </c>
      <c r="G7297">
        <v>0</v>
      </c>
      <c r="H7297" t="s">
        <v>8584</v>
      </c>
      <c r="I7297">
        <v>6</v>
      </c>
      <c r="J7297" t="s">
        <v>445</v>
      </c>
      <c r="M7297">
        <v>6666</v>
      </c>
      <c r="N7297" t="s">
        <v>16021</v>
      </c>
    </row>
    <row r="7298" spans="1:14">
      <c r="A7298">
        <v>28314000</v>
      </c>
      <c r="B7298">
        <v>3038907</v>
      </c>
      <c r="C7298" t="s">
        <v>3228</v>
      </c>
      <c r="D7298" t="s">
        <v>441</v>
      </c>
      <c r="F7298">
        <v>0</v>
      </c>
      <c r="G7298">
        <v>8.5500000000000007</v>
      </c>
      <c r="H7298" t="s">
        <v>8549</v>
      </c>
      <c r="I7298">
        <v>6</v>
      </c>
      <c r="J7298" t="s">
        <v>445</v>
      </c>
      <c r="M7298">
        <v>2391</v>
      </c>
      <c r="N7298" t="s">
        <v>16021</v>
      </c>
    </row>
    <row r="7299" spans="1:14">
      <c r="A7299">
        <v>28314007</v>
      </c>
      <c r="B7299">
        <v>3039055</v>
      </c>
      <c r="C7299" t="s">
        <v>3229</v>
      </c>
      <c r="D7299" t="s">
        <v>441</v>
      </c>
      <c r="F7299">
        <v>0</v>
      </c>
      <c r="G7299">
        <v>8.66</v>
      </c>
      <c r="H7299" t="s">
        <v>8588</v>
      </c>
      <c r="I7299">
        <v>6</v>
      </c>
      <c r="J7299" t="s">
        <v>445</v>
      </c>
      <c r="M7299">
        <v>3111</v>
      </c>
      <c r="N7299" t="s">
        <v>16021</v>
      </c>
    </row>
    <row r="7300" spans="1:14">
      <c r="A7300">
        <v>28314075</v>
      </c>
      <c r="B7300">
        <v>3039306</v>
      </c>
      <c r="C7300" t="s">
        <v>17527</v>
      </c>
      <c r="D7300" t="s">
        <v>441</v>
      </c>
      <c r="F7300">
        <v>0</v>
      </c>
      <c r="G7300">
        <v>17.77</v>
      </c>
      <c r="H7300" t="s">
        <v>8588</v>
      </c>
      <c r="I7300">
        <v>6</v>
      </c>
      <c r="J7300" t="s">
        <v>445</v>
      </c>
      <c r="M7300">
        <v>7112</v>
      </c>
      <c r="N7300" t="s">
        <v>16021</v>
      </c>
    </row>
    <row r="7301" spans="1:14">
      <c r="A7301">
        <v>28314907</v>
      </c>
      <c r="B7301">
        <v>3039070</v>
      </c>
      <c r="C7301" t="s">
        <v>3230</v>
      </c>
      <c r="D7301" t="s">
        <v>441</v>
      </c>
      <c r="F7301">
        <v>0</v>
      </c>
      <c r="H7301" t="s">
        <v>8580</v>
      </c>
      <c r="I7301">
        <v>6</v>
      </c>
      <c r="J7301" t="s">
        <v>445</v>
      </c>
      <c r="M7301">
        <v>6666</v>
      </c>
      <c r="N7301" t="s">
        <v>16021</v>
      </c>
    </row>
    <row r="7302" spans="1:14">
      <c r="A7302">
        <v>28319000</v>
      </c>
      <c r="B7302">
        <v>3036770</v>
      </c>
      <c r="C7302" t="s">
        <v>17528</v>
      </c>
      <c r="D7302" t="s">
        <v>441</v>
      </c>
      <c r="F7302">
        <v>0</v>
      </c>
      <c r="G7302">
        <v>17.53</v>
      </c>
      <c r="H7302" t="s">
        <v>8549</v>
      </c>
      <c r="I7302">
        <v>2</v>
      </c>
      <c r="J7302" t="s">
        <v>445</v>
      </c>
      <c r="M7302">
        <v>3111</v>
      </c>
      <c r="N7302" t="s">
        <v>16021</v>
      </c>
    </row>
    <row r="7303" spans="1:14">
      <c r="A7303">
        <v>28319900</v>
      </c>
      <c r="B7303">
        <v>3036771</v>
      </c>
      <c r="C7303" t="s">
        <v>17529</v>
      </c>
      <c r="D7303" t="s">
        <v>441</v>
      </c>
      <c r="F7303">
        <v>0</v>
      </c>
      <c r="H7303" t="s">
        <v>8580</v>
      </c>
      <c r="I7303">
        <v>2</v>
      </c>
      <c r="J7303" t="s">
        <v>445</v>
      </c>
      <c r="M7303">
        <v>6666</v>
      </c>
      <c r="N7303" t="s">
        <v>16021</v>
      </c>
    </row>
    <row r="7304" spans="1:14">
      <c r="A7304">
        <v>28320000</v>
      </c>
      <c r="B7304">
        <v>3012113</v>
      </c>
      <c r="C7304" t="s">
        <v>3231</v>
      </c>
      <c r="D7304" t="s">
        <v>441</v>
      </c>
      <c r="F7304">
        <v>0</v>
      </c>
      <c r="G7304">
        <v>11.4</v>
      </c>
      <c r="I7304">
        <v>6</v>
      </c>
      <c r="J7304" t="s">
        <v>445</v>
      </c>
      <c r="K7304" t="s">
        <v>446</v>
      </c>
      <c r="M7304">
        <v>2311</v>
      </c>
    </row>
    <row r="7305" spans="1:14">
      <c r="A7305">
        <v>28330000</v>
      </c>
      <c r="B7305">
        <v>3026112</v>
      </c>
      <c r="C7305" t="s">
        <v>14950</v>
      </c>
      <c r="D7305" t="s">
        <v>441</v>
      </c>
      <c r="F7305">
        <v>0</v>
      </c>
      <c r="G7305">
        <v>12.39</v>
      </c>
      <c r="H7305" t="s">
        <v>8549</v>
      </c>
      <c r="I7305">
        <v>6</v>
      </c>
      <c r="J7305" t="s">
        <v>445</v>
      </c>
      <c r="K7305" t="s">
        <v>446</v>
      </c>
      <c r="M7305">
        <v>2391</v>
      </c>
      <c r="N7305" t="s">
        <v>16329</v>
      </c>
    </row>
    <row r="7306" spans="1:14">
      <c r="A7306">
        <v>28330027</v>
      </c>
      <c r="B7306">
        <v>4017382</v>
      </c>
      <c r="C7306" t="s">
        <v>12049</v>
      </c>
      <c r="D7306" t="s">
        <v>441</v>
      </c>
      <c r="F7306">
        <v>0</v>
      </c>
      <c r="G7306">
        <v>10.56</v>
      </c>
      <c r="H7306" t="s">
        <v>8588</v>
      </c>
      <c r="I7306">
        <v>540</v>
      </c>
      <c r="J7306" t="s">
        <v>462</v>
      </c>
      <c r="K7306" t="s">
        <v>446</v>
      </c>
      <c r="M7306">
        <v>2501</v>
      </c>
      <c r="N7306" t="s">
        <v>16330</v>
      </c>
    </row>
    <row r="7307" spans="1:14">
      <c r="A7307">
        <v>28330527</v>
      </c>
      <c r="B7307">
        <v>3026115</v>
      </c>
      <c r="C7307" t="s">
        <v>3232</v>
      </c>
      <c r="D7307" t="s">
        <v>441</v>
      </c>
      <c r="F7307">
        <v>0</v>
      </c>
      <c r="G7307">
        <v>10.38</v>
      </c>
      <c r="H7307" t="s">
        <v>8588</v>
      </c>
      <c r="I7307">
        <v>6</v>
      </c>
      <c r="J7307" t="s">
        <v>445</v>
      </c>
      <c r="K7307" t="s">
        <v>446</v>
      </c>
      <c r="M7307">
        <v>2641</v>
      </c>
      <c r="N7307" t="s">
        <v>16330</v>
      </c>
    </row>
    <row r="7308" spans="1:14">
      <c r="A7308">
        <v>28331000</v>
      </c>
      <c r="B7308">
        <v>3026113</v>
      </c>
      <c r="C7308" t="s">
        <v>14951</v>
      </c>
      <c r="D7308" t="s">
        <v>441</v>
      </c>
      <c r="F7308">
        <v>0</v>
      </c>
      <c r="G7308">
        <v>12.39</v>
      </c>
      <c r="H7308" t="s">
        <v>8549</v>
      </c>
      <c r="I7308">
        <v>6</v>
      </c>
      <c r="J7308" t="s">
        <v>445</v>
      </c>
      <c r="M7308">
        <v>2391</v>
      </c>
      <c r="N7308" t="s">
        <v>16329</v>
      </c>
    </row>
    <row r="7309" spans="1:14">
      <c r="A7309">
        <v>28331027</v>
      </c>
      <c r="B7309">
        <v>4017383</v>
      </c>
      <c r="C7309" t="s">
        <v>12050</v>
      </c>
      <c r="D7309" t="s">
        <v>441</v>
      </c>
      <c r="F7309">
        <v>0</v>
      </c>
      <c r="G7309">
        <v>10.56</v>
      </c>
      <c r="H7309" t="s">
        <v>8588</v>
      </c>
      <c r="I7309">
        <v>540</v>
      </c>
      <c r="J7309" t="s">
        <v>462</v>
      </c>
      <c r="K7309" t="s">
        <v>446</v>
      </c>
      <c r="M7309">
        <v>2501</v>
      </c>
      <c r="N7309" t="s">
        <v>16330</v>
      </c>
    </row>
    <row r="7310" spans="1:14">
      <c r="A7310">
        <v>28331527</v>
      </c>
      <c r="B7310">
        <v>3026116</v>
      </c>
      <c r="C7310" t="s">
        <v>3233</v>
      </c>
      <c r="D7310" t="s">
        <v>441</v>
      </c>
      <c r="F7310">
        <v>0</v>
      </c>
      <c r="G7310">
        <v>9.6</v>
      </c>
      <c r="H7310" t="s">
        <v>8588</v>
      </c>
      <c r="I7310">
        <v>6</v>
      </c>
      <c r="J7310" t="s">
        <v>445</v>
      </c>
      <c r="K7310" t="s">
        <v>446</v>
      </c>
      <c r="M7310">
        <v>2641</v>
      </c>
      <c r="N7310" t="s">
        <v>16330</v>
      </c>
    </row>
    <row r="7311" spans="1:14">
      <c r="A7311">
        <v>28340000</v>
      </c>
      <c r="B7311">
        <v>3026986</v>
      </c>
      <c r="C7311" t="s">
        <v>17530</v>
      </c>
      <c r="D7311" t="s">
        <v>441</v>
      </c>
      <c r="F7311">
        <v>0</v>
      </c>
      <c r="G7311">
        <v>17.53</v>
      </c>
      <c r="H7311" t="s">
        <v>8588</v>
      </c>
      <c r="I7311">
        <v>6</v>
      </c>
      <c r="J7311" t="s">
        <v>445</v>
      </c>
      <c r="M7311">
        <v>2391</v>
      </c>
      <c r="N7311" t="s">
        <v>16021</v>
      </c>
    </row>
    <row r="7312" spans="1:14">
      <c r="A7312">
        <v>28340002</v>
      </c>
      <c r="B7312">
        <v>3029955</v>
      </c>
      <c r="C7312" t="s">
        <v>17531</v>
      </c>
      <c r="D7312" t="s">
        <v>441</v>
      </c>
      <c r="F7312">
        <v>0</v>
      </c>
      <c r="G7312">
        <v>18.29</v>
      </c>
      <c r="H7312" t="s">
        <v>8549</v>
      </c>
      <c r="I7312">
        <v>540</v>
      </c>
      <c r="J7312" t="s">
        <v>445</v>
      </c>
      <c r="M7312">
        <v>7111</v>
      </c>
      <c r="N7312" t="s">
        <v>16021</v>
      </c>
    </row>
    <row r="7313" spans="1:14">
      <c r="A7313">
        <v>28340007</v>
      </c>
      <c r="B7313">
        <v>3027011</v>
      </c>
      <c r="C7313" t="s">
        <v>17532</v>
      </c>
      <c r="D7313" t="s">
        <v>441</v>
      </c>
      <c r="F7313">
        <v>0</v>
      </c>
      <c r="G7313">
        <v>17.7</v>
      </c>
      <c r="H7313" t="s">
        <v>8549</v>
      </c>
      <c r="I7313">
        <v>6</v>
      </c>
      <c r="J7313" t="s">
        <v>445</v>
      </c>
      <c r="M7313">
        <v>3111</v>
      </c>
      <c r="N7313" t="s">
        <v>16021</v>
      </c>
    </row>
    <row r="7314" spans="1:14">
      <c r="A7314">
        <v>28340502</v>
      </c>
      <c r="B7314">
        <v>3029956</v>
      </c>
      <c r="C7314" t="s">
        <v>3234</v>
      </c>
      <c r="D7314" t="s">
        <v>441</v>
      </c>
      <c r="F7314">
        <v>0</v>
      </c>
      <c r="G7314">
        <v>8.64</v>
      </c>
      <c r="H7314" t="s">
        <v>8549</v>
      </c>
      <c r="I7314">
        <v>540</v>
      </c>
      <c r="J7314" t="s">
        <v>445</v>
      </c>
      <c r="M7314">
        <v>2502</v>
      </c>
      <c r="N7314" t="s">
        <v>16021</v>
      </c>
    </row>
    <row r="7315" spans="1:14">
      <c r="A7315">
        <v>28340602</v>
      </c>
      <c r="B7315">
        <v>3030111</v>
      </c>
      <c r="C7315" t="s">
        <v>17533</v>
      </c>
      <c r="D7315" t="s">
        <v>441</v>
      </c>
      <c r="F7315">
        <v>0</v>
      </c>
      <c r="G7315">
        <v>18.760000000000002</v>
      </c>
      <c r="H7315" t="s">
        <v>8549</v>
      </c>
      <c r="I7315">
        <v>4</v>
      </c>
      <c r="J7315" t="s">
        <v>445</v>
      </c>
      <c r="M7315">
        <v>2510</v>
      </c>
      <c r="N7315" t="s">
        <v>16021</v>
      </c>
    </row>
    <row r="7316" spans="1:14">
      <c r="A7316">
        <v>28340902</v>
      </c>
      <c r="B7316">
        <v>3030115</v>
      </c>
      <c r="C7316" t="s">
        <v>17534</v>
      </c>
      <c r="D7316" t="s">
        <v>441</v>
      </c>
      <c r="F7316">
        <v>0</v>
      </c>
      <c r="H7316" t="s">
        <v>8580</v>
      </c>
      <c r="I7316">
        <v>4</v>
      </c>
      <c r="J7316" t="s">
        <v>445</v>
      </c>
      <c r="M7316">
        <v>6666</v>
      </c>
      <c r="N7316" t="s">
        <v>16021</v>
      </c>
    </row>
    <row r="7317" spans="1:14">
      <c r="A7317">
        <v>28340907</v>
      </c>
      <c r="B7317">
        <v>3027068</v>
      </c>
      <c r="C7317" t="s">
        <v>17535</v>
      </c>
      <c r="D7317" t="s">
        <v>441</v>
      </c>
      <c r="F7317">
        <v>0</v>
      </c>
      <c r="H7317" t="s">
        <v>8580</v>
      </c>
      <c r="I7317">
        <v>6</v>
      </c>
      <c r="J7317" t="s">
        <v>445</v>
      </c>
      <c r="M7317">
        <v>6666</v>
      </c>
      <c r="N7317" t="s">
        <v>16021</v>
      </c>
    </row>
    <row r="7318" spans="1:14">
      <c r="A7318">
        <v>28341000</v>
      </c>
      <c r="B7318">
        <v>3026987</v>
      </c>
      <c r="C7318" t="s">
        <v>17536</v>
      </c>
      <c r="D7318" t="s">
        <v>441</v>
      </c>
      <c r="F7318">
        <v>0</v>
      </c>
      <c r="G7318">
        <v>17.53</v>
      </c>
      <c r="H7318" t="s">
        <v>8588</v>
      </c>
      <c r="I7318">
        <v>6</v>
      </c>
      <c r="J7318" t="s">
        <v>445</v>
      </c>
      <c r="M7318">
        <v>2391</v>
      </c>
      <c r="N7318" t="s">
        <v>16021</v>
      </c>
    </row>
    <row r="7319" spans="1:14">
      <c r="A7319">
        <v>28341007</v>
      </c>
      <c r="B7319">
        <v>3027012</v>
      </c>
      <c r="C7319" t="s">
        <v>12051</v>
      </c>
      <c r="D7319" t="s">
        <v>441</v>
      </c>
      <c r="F7319">
        <v>0</v>
      </c>
      <c r="G7319">
        <v>13.34</v>
      </c>
      <c r="H7319" t="s">
        <v>8549</v>
      </c>
      <c r="I7319">
        <v>6</v>
      </c>
      <c r="J7319" t="s">
        <v>445</v>
      </c>
      <c r="K7319" t="s">
        <v>446</v>
      </c>
      <c r="M7319">
        <v>3111</v>
      </c>
      <c r="N7319" t="s">
        <v>16021</v>
      </c>
    </row>
    <row r="7320" spans="1:14">
      <c r="A7320">
        <v>28341907</v>
      </c>
      <c r="B7320">
        <v>3027067</v>
      </c>
      <c r="C7320" t="s">
        <v>12052</v>
      </c>
      <c r="D7320" t="s">
        <v>441</v>
      </c>
      <c r="F7320">
        <v>0</v>
      </c>
      <c r="G7320">
        <v>9.84</v>
      </c>
      <c r="H7320" t="s">
        <v>8580</v>
      </c>
      <c r="I7320">
        <v>6</v>
      </c>
      <c r="J7320" t="s">
        <v>445</v>
      </c>
      <c r="K7320" t="s">
        <v>446</v>
      </c>
      <c r="M7320">
        <v>6666</v>
      </c>
      <c r="N7320" t="s">
        <v>16021</v>
      </c>
    </row>
    <row r="7321" spans="1:14">
      <c r="A7321">
        <v>28344000</v>
      </c>
      <c r="B7321">
        <v>3040994</v>
      </c>
      <c r="C7321" t="s">
        <v>17537</v>
      </c>
      <c r="D7321" t="s">
        <v>441</v>
      </c>
      <c r="F7321">
        <v>0</v>
      </c>
      <c r="G7321">
        <v>17.53</v>
      </c>
      <c r="H7321" t="s">
        <v>8549</v>
      </c>
      <c r="I7321">
        <v>6</v>
      </c>
      <c r="J7321" t="s">
        <v>445</v>
      </c>
      <c r="M7321">
        <v>2391</v>
      </c>
      <c r="N7321" t="s">
        <v>16021</v>
      </c>
    </row>
    <row r="7322" spans="1:14">
      <c r="A7322">
        <v>28344007</v>
      </c>
      <c r="B7322">
        <v>3040995</v>
      </c>
      <c r="C7322" t="s">
        <v>17538</v>
      </c>
      <c r="D7322" t="s">
        <v>441</v>
      </c>
      <c r="F7322">
        <v>0</v>
      </c>
      <c r="G7322">
        <v>17.7</v>
      </c>
      <c r="H7322" t="s">
        <v>8549</v>
      </c>
      <c r="I7322">
        <v>6</v>
      </c>
      <c r="J7322" t="s">
        <v>445</v>
      </c>
      <c r="M7322">
        <v>3111</v>
      </c>
      <c r="N7322" t="s">
        <v>16021</v>
      </c>
    </row>
    <row r="7323" spans="1:14">
      <c r="A7323">
        <v>28344907</v>
      </c>
      <c r="B7323">
        <v>3040996</v>
      </c>
      <c r="C7323" t="s">
        <v>17539</v>
      </c>
      <c r="D7323" t="s">
        <v>441</v>
      </c>
      <c r="F7323">
        <v>0</v>
      </c>
      <c r="G7323">
        <v>1</v>
      </c>
      <c r="H7323" t="s">
        <v>8549</v>
      </c>
      <c r="I7323">
        <v>6</v>
      </c>
      <c r="J7323" t="s">
        <v>445</v>
      </c>
      <c r="M7323">
        <v>6666</v>
      </c>
      <c r="N7323" t="s">
        <v>16021</v>
      </c>
    </row>
    <row r="7324" spans="1:14">
      <c r="A7324">
        <v>28350000</v>
      </c>
      <c r="B7324">
        <v>3027253</v>
      </c>
      <c r="C7324" t="s">
        <v>14952</v>
      </c>
      <c r="D7324" t="s">
        <v>441</v>
      </c>
      <c r="F7324">
        <v>0</v>
      </c>
      <c r="G7324">
        <v>12.52</v>
      </c>
      <c r="H7324" t="s">
        <v>8549</v>
      </c>
      <c r="I7324">
        <v>6</v>
      </c>
      <c r="J7324" t="s">
        <v>445</v>
      </c>
      <c r="K7324" t="s">
        <v>446</v>
      </c>
      <c r="M7324">
        <v>2391</v>
      </c>
      <c r="N7324" t="s">
        <v>16331</v>
      </c>
    </row>
    <row r="7325" spans="1:14">
      <c r="A7325">
        <v>28351000</v>
      </c>
      <c r="B7325">
        <v>3027254</v>
      </c>
      <c r="C7325" t="s">
        <v>14953</v>
      </c>
      <c r="D7325" t="s">
        <v>441</v>
      </c>
      <c r="F7325">
        <v>0</v>
      </c>
      <c r="G7325">
        <v>12.52</v>
      </c>
      <c r="H7325" t="s">
        <v>8549</v>
      </c>
      <c r="I7325">
        <v>6</v>
      </c>
      <c r="J7325" t="s">
        <v>445</v>
      </c>
      <c r="K7325" t="s">
        <v>446</v>
      </c>
      <c r="M7325">
        <v>2391</v>
      </c>
      <c r="N7325" t="s">
        <v>16331</v>
      </c>
    </row>
    <row r="7326" spans="1:14">
      <c r="A7326">
        <v>28360000</v>
      </c>
      <c r="B7326">
        <v>3027256</v>
      </c>
      <c r="C7326" t="s">
        <v>14954</v>
      </c>
      <c r="D7326" t="s">
        <v>441</v>
      </c>
      <c r="F7326">
        <v>0</v>
      </c>
      <c r="G7326">
        <v>12.55</v>
      </c>
      <c r="H7326" t="s">
        <v>8549</v>
      </c>
      <c r="I7326">
        <v>6</v>
      </c>
      <c r="J7326" t="s">
        <v>445</v>
      </c>
      <c r="M7326">
        <v>2391</v>
      </c>
      <c r="N7326" t="s">
        <v>16331</v>
      </c>
    </row>
    <row r="7327" spans="1:14">
      <c r="A7327">
        <v>28361000</v>
      </c>
      <c r="B7327">
        <v>3027255</v>
      </c>
      <c r="C7327" t="s">
        <v>14955</v>
      </c>
      <c r="D7327" t="s">
        <v>441</v>
      </c>
      <c r="F7327">
        <v>0</v>
      </c>
      <c r="G7327">
        <v>12.55</v>
      </c>
      <c r="H7327" t="s">
        <v>8549</v>
      </c>
      <c r="I7327">
        <v>6</v>
      </c>
      <c r="J7327" t="s">
        <v>445</v>
      </c>
      <c r="K7327" t="s">
        <v>446</v>
      </c>
      <c r="M7327">
        <v>2391</v>
      </c>
      <c r="N7327" t="s">
        <v>16331</v>
      </c>
    </row>
    <row r="7328" spans="1:14">
      <c r="A7328">
        <v>28370000</v>
      </c>
      <c r="B7328">
        <v>3027257</v>
      </c>
      <c r="C7328" t="s">
        <v>14956</v>
      </c>
      <c r="D7328" t="s">
        <v>441</v>
      </c>
      <c r="F7328">
        <v>0</v>
      </c>
      <c r="G7328">
        <v>10.72</v>
      </c>
      <c r="H7328" t="s">
        <v>8549</v>
      </c>
      <c r="I7328">
        <v>6</v>
      </c>
      <c r="J7328" t="s">
        <v>445</v>
      </c>
      <c r="K7328" t="s">
        <v>446</v>
      </c>
      <c r="M7328">
        <v>2391</v>
      </c>
      <c r="N7328" t="s">
        <v>16331</v>
      </c>
    </row>
    <row r="7329" spans="1:14">
      <c r="A7329">
        <v>28371000</v>
      </c>
      <c r="B7329">
        <v>3027258</v>
      </c>
      <c r="C7329" t="s">
        <v>14957</v>
      </c>
      <c r="D7329" t="s">
        <v>441</v>
      </c>
      <c r="F7329">
        <v>0</v>
      </c>
      <c r="G7329">
        <v>10.72</v>
      </c>
      <c r="H7329" t="s">
        <v>8549</v>
      </c>
      <c r="I7329">
        <v>6</v>
      </c>
      <c r="J7329" t="s">
        <v>445</v>
      </c>
      <c r="K7329" t="s">
        <v>446</v>
      </c>
      <c r="M7329">
        <v>2391</v>
      </c>
      <c r="N7329" t="s">
        <v>16331</v>
      </c>
    </row>
    <row r="7330" spans="1:14">
      <c r="A7330">
        <v>28380000</v>
      </c>
      <c r="B7330">
        <v>3027259</v>
      </c>
      <c r="C7330" t="s">
        <v>14958</v>
      </c>
      <c r="D7330" t="s">
        <v>441</v>
      </c>
      <c r="F7330">
        <v>0</v>
      </c>
      <c r="G7330">
        <v>12.45</v>
      </c>
      <c r="H7330" t="s">
        <v>8549</v>
      </c>
      <c r="I7330">
        <v>6</v>
      </c>
      <c r="J7330" t="s">
        <v>445</v>
      </c>
      <c r="K7330" t="s">
        <v>446</v>
      </c>
      <c r="M7330">
        <v>2391</v>
      </c>
      <c r="N7330" t="s">
        <v>16331</v>
      </c>
    </row>
    <row r="7331" spans="1:14">
      <c r="A7331">
        <v>28380028</v>
      </c>
      <c r="B7331">
        <v>4018141</v>
      </c>
      <c r="C7331" t="s">
        <v>14959</v>
      </c>
      <c r="D7331" t="s">
        <v>441</v>
      </c>
      <c r="F7331">
        <v>0</v>
      </c>
      <c r="G7331">
        <v>13.27</v>
      </c>
      <c r="H7331" t="s">
        <v>8588</v>
      </c>
      <c r="I7331">
        <v>540</v>
      </c>
      <c r="J7331" t="s">
        <v>462</v>
      </c>
      <c r="L7331" t="s">
        <v>9637</v>
      </c>
      <c r="M7331">
        <v>7111</v>
      </c>
      <c r="N7331" t="s">
        <v>16331</v>
      </c>
    </row>
    <row r="7332" spans="1:14">
      <c r="A7332">
        <v>28380029</v>
      </c>
      <c r="B7332">
        <v>4019293</v>
      </c>
      <c r="C7332" t="s">
        <v>12053</v>
      </c>
      <c r="D7332" t="s">
        <v>441</v>
      </c>
      <c r="F7332">
        <v>0</v>
      </c>
      <c r="G7332">
        <v>9.74</v>
      </c>
      <c r="H7332" t="s">
        <v>8588</v>
      </c>
      <c r="I7332">
        <v>365</v>
      </c>
      <c r="J7332" t="s">
        <v>462</v>
      </c>
      <c r="K7332" t="s">
        <v>446</v>
      </c>
      <c r="M7332">
        <v>2501</v>
      </c>
      <c r="N7332" t="s">
        <v>15975</v>
      </c>
    </row>
    <row r="7333" spans="1:14">
      <c r="A7333">
        <v>28380528</v>
      </c>
      <c r="B7333">
        <v>3027291</v>
      </c>
      <c r="C7333" t="s">
        <v>14960</v>
      </c>
      <c r="D7333" t="s">
        <v>441</v>
      </c>
      <c r="F7333">
        <v>0</v>
      </c>
      <c r="G7333">
        <v>12.79</v>
      </c>
      <c r="H7333" t="s">
        <v>8588</v>
      </c>
      <c r="I7333">
        <v>6</v>
      </c>
      <c r="J7333" t="s">
        <v>445</v>
      </c>
      <c r="K7333" t="s">
        <v>446</v>
      </c>
      <c r="M7333">
        <v>2502</v>
      </c>
      <c r="N7333" t="s">
        <v>16331</v>
      </c>
    </row>
    <row r="7334" spans="1:14">
      <c r="A7334">
        <v>28380529</v>
      </c>
      <c r="B7334">
        <v>3029143</v>
      </c>
      <c r="C7334" t="s">
        <v>12054</v>
      </c>
      <c r="D7334" t="s">
        <v>441</v>
      </c>
      <c r="F7334">
        <v>0</v>
      </c>
      <c r="G7334">
        <v>9.56</v>
      </c>
      <c r="H7334" t="s">
        <v>8588</v>
      </c>
      <c r="I7334">
        <v>365</v>
      </c>
      <c r="J7334" t="s">
        <v>445</v>
      </c>
      <c r="K7334" t="s">
        <v>446</v>
      </c>
      <c r="M7334">
        <v>2641</v>
      </c>
      <c r="N7334" t="s">
        <v>15975</v>
      </c>
    </row>
    <row r="7335" spans="1:14">
      <c r="A7335">
        <v>28381000</v>
      </c>
      <c r="B7335">
        <v>3027290</v>
      </c>
      <c r="C7335" t="s">
        <v>14961</v>
      </c>
      <c r="D7335" t="s">
        <v>441</v>
      </c>
      <c r="F7335">
        <v>0</v>
      </c>
      <c r="G7335">
        <v>12.45</v>
      </c>
      <c r="H7335" t="s">
        <v>8549</v>
      </c>
      <c r="I7335">
        <v>6</v>
      </c>
      <c r="J7335" t="s">
        <v>445</v>
      </c>
      <c r="K7335" t="s">
        <v>446</v>
      </c>
      <c r="M7335">
        <v>2391</v>
      </c>
      <c r="N7335" t="s">
        <v>16331</v>
      </c>
    </row>
    <row r="7336" spans="1:14">
      <c r="A7336">
        <v>28381028</v>
      </c>
      <c r="B7336">
        <v>4018140</v>
      </c>
      <c r="C7336" t="s">
        <v>12055</v>
      </c>
      <c r="D7336" t="s">
        <v>441</v>
      </c>
      <c r="F7336">
        <v>0</v>
      </c>
      <c r="G7336">
        <v>9.74</v>
      </c>
      <c r="H7336" t="s">
        <v>8588</v>
      </c>
      <c r="I7336">
        <v>365</v>
      </c>
      <c r="J7336" t="s">
        <v>462</v>
      </c>
      <c r="K7336" t="s">
        <v>446</v>
      </c>
      <c r="M7336">
        <v>2501</v>
      </c>
      <c r="N7336" t="s">
        <v>15975</v>
      </c>
    </row>
    <row r="7337" spans="1:14">
      <c r="A7337">
        <v>28381528</v>
      </c>
      <c r="B7337">
        <v>3027292</v>
      </c>
      <c r="C7337" t="s">
        <v>3235</v>
      </c>
      <c r="D7337" t="s">
        <v>441</v>
      </c>
      <c r="F7337">
        <v>0</v>
      </c>
      <c r="G7337">
        <v>9.56</v>
      </c>
      <c r="H7337" t="s">
        <v>8588</v>
      </c>
      <c r="I7337">
        <v>6</v>
      </c>
      <c r="J7337" t="s">
        <v>445</v>
      </c>
      <c r="K7337" t="s">
        <v>446</v>
      </c>
      <c r="M7337">
        <v>2641</v>
      </c>
      <c r="N7337" t="s">
        <v>15975</v>
      </c>
    </row>
    <row r="7338" spans="1:14">
      <c r="A7338">
        <v>28390000</v>
      </c>
      <c r="B7338">
        <v>3024748</v>
      </c>
      <c r="C7338" t="s">
        <v>14872</v>
      </c>
      <c r="D7338" t="s">
        <v>441</v>
      </c>
      <c r="F7338">
        <v>0</v>
      </c>
      <c r="G7338">
        <v>12.53</v>
      </c>
      <c r="H7338" t="s">
        <v>8624</v>
      </c>
      <c r="I7338">
        <v>6</v>
      </c>
      <c r="J7338" t="s">
        <v>445</v>
      </c>
      <c r="K7338" t="s">
        <v>446</v>
      </c>
      <c r="M7338">
        <v>2391</v>
      </c>
      <c r="N7338" t="s">
        <v>16182</v>
      </c>
    </row>
    <row r="7339" spans="1:14">
      <c r="A7339">
        <v>28390028</v>
      </c>
      <c r="B7339">
        <v>4017797</v>
      </c>
      <c r="C7339" t="s">
        <v>14962</v>
      </c>
      <c r="D7339" t="s">
        <v>441</v>
      </c>
      <c r="F7339">
        <v>0</v>
      </c>
      <c r="G7339">
        <v>13.42</v>
      </c>
      <c r="H7339" t="s">
        <v>8588</v>
      </c>
      <c r="I7339">
        <v>540</v>
      </c>
      <c r="J7339" t="s">
        <v>462</v>
      </c>
      <c r="M7339">
        <v>7111</v>
      </c>
      <c r="N7339" t="s">
        <v>16182</v>
      </c>
    </row>
    <row r="7340" spans="1:14">
      <c r="A7340">
        <v>28390075</v>
      </c>
      <c r="B7340">
        <v>4027250</v>
      </c>
      <c r="C7340" t="s">
        <v>15429</v>
      </c>
      <c r="D7340" t="s">
        <v>441</v>
      </c>
      <c r="F7340">
        <v>0</v>
      </c>
      <c r="G7340">
        <v>12.84</v>
      </c>
      <c r="H7340" t="s">
        <v>8588</v>
      </c>
      <c r="I7340">
        <v>6</v>
      </c>
      <c r="J7340" t="s">
        <v>462</v>
      </c>
      <c r="M7340">
        <v>7112</v>
      </c>
      <c r="N7340" t="s">
        <v>16182</v>
      </c>
    </row>
    <row r="7341" spans="1:14">
      <c r="A7341">
        <v>28390087</v>
      </c>
      <c r="B7341">
        <v>4026023</v>
      </c>
      <c r="C7341" t="s">
        <v>15430</v>
      </c>
      <c r="D7341" t="s">
        <v>441</v>
      </c>
      <c r="F7341">
        <v>0</v>
      </c>
      <c r="G7341">
        <v>12.77</v>
      </c>
      <c r="H7341" t="s">
        <v>8588</v>
      </c>
      <c r="I7341">
        <v>6</v>
      </c>
      <c r="J7341" t="s">
        <v>462</v>
      </c>
      <c r="M7341">
        <v>7112</v>
      </c>
      <c r="N7341" t="s">
        <v>16182</v>
      </c>
    </row>
    <row r="7342" spans="1:14">
      <c r="A7342">
        <v>28390528</v>
      </c>
      <c r="B7342">
        <v>3026823</v>
      </c>
      <c r="C7342" t="s">
        <v>14963</v>
      </c>
      <c r="D7342" t="s">
        <v>441</v>
      </c>
      <c r="F7342">
        <v>0</v>
      </c>
      <c r="G7342">
        <v>12.94</v>
      </c>
      <c r="H7342" t="s">
        <v>8588</v>
      </c>
      <c r="I7342">
        <v>6</v>
      </c>
      <c r="J7342" t="s">
        <v>445</v>
      </c>
      <c r="K7342" t="s">
        <v>446</v>
      </c>
      <c r="M7342">
        <v>2502</v>
      </c>
      <c r="N7342" t="s">
        <v>16182</v>
      </c>
    </row>
    <row r="7343" spans="1:14">
      <c r="A7343">
        <v>28400000</v>
      </c>
      <c r="B7343">
        <v>3026696</v>
      </c>
      <c r="C7343" t="s">
        <v>12056</v>
      </c>
      <c r="D7343" t="s">
        <v>441</v>
      </c>
      <c r="F7343">
        <v>0</v>
      </c>
      <c r="G7343">
        <v>11.95</v>
      </c>
      <c r="H7343" t="s">
        <v>8588</v>
      </c>
      <c r="I7343">
        <v>6</v>
      </c>
      <c r="J7343" t="s">
        <v>445</v>
      </c>
      <c r="K7343" t="s">
        <v>446</v>
      </c>
      <c r="M7343">
        <v>2612</v>
      </c>
      <c r="N7343" t="s">
        <v>15977</v>
      </c>
    </row>
    <row r="7344" spans="1:14">
      <c r="A7344">
        <v>28400025</v>
      </c>
      <c r="B7344">
        <v>4017695</v>
      </c>
      <c r="C7344" t="s">
        <v>12057</v>
      </c>
      <c r="D7344" t="s">
        <v>441</v>
      </c>
      <c r="F7344">
        <v>0</v>
      </c>
      <c r="G7344">
        <v>13.48</v>
      </c>
      <c r="H7344" t="s">
        <v>8588</v>
      </c>
      <c r="I7344">
        <v>365</v>
      </c>
      <c r="J7344" t="s">
        <v>462</v>
      </c>
      <c r="K7344" t="s">
        <v>446</v>
      </c>
      <c r="M7344">
        <v>2501</v>
      </c>
      <c r="N7344" t="s">
        <v>15977</v>
      </c>
    </row>
    <row r="7345" spans="1:14">
      <c r="A7345">
        <v>28400525</v>
      </c>
      <c r="B7345">
        <v>3026619</v>
      </c>
      <c r="C7345" t="s">
        <v>12058</v>
      </c>
      <c r="D7345" t="s">
        <v>441</v>
      </c>
      <c r="F7345">
        <v>0</v>
      </c>
      <c r="G7345">
        <v>13.27</v>
      </c>
      <c r="H7345" t="s">
        <v>8588</v>
      </c>
      <c r="I7345">
        <v>365</v>
      </c>
      <c r="J7345" t="s">
        <v>445</v>
      </c>
      <c r="K7345" t="s">
        <v>446</v>
      </c>
      <c r="M7345">
        <v>2612</v>
      </c>
      <c r="N7345" t="s">
        <v>15977</v>
      </c>
    </row>
    <row r="7346" spans="1:14">
      <c r="A7346">
        <v>28410000</v>
      </c>
      <c r="B7346">
        <v>3008825</v>
      </c>
      <c r="C7346" t="s">
        <v>3236</v>
      </c>
      <c r="D7346" t="s">
        <v>441</v>
      </c>
      <c r="F7346">
        <v>0</v>
      </c>
      <c r="G7346">
        <v>9.92</v>
      </c>
      <c r="H7346" t="s">
        <v>8580</v>
      </c>
      <c r="I7346">
        <v>6</v>
      </c>
      <c r="J7346" t="s">
        <v>445</v>
      </c>
      <c r="K7346" t="s">
        <v>446</v>
      </c>
      <c r="M7346">
        <v>0</v>
      </c>
    </row>
    <row r="7347" spans="1:14">
      <c r="A7347">
        <v>28420000</v>
      </c>
      <c r="B7347">
        <v>3008826</v>
      </c>
      <c r="C7347" t="s">
        <v>3237</v>
      </c>
      <c r="D7347" t="s">
        <v>441</v>
      </c>
      <c r="F7347">
        <v>0</v>
      </c>
      <c r="G7347">
        <v>10.23</v>
      </c>
      <c r="H7347" t="s">
        <v>8580</v>
      </c>
      <c r="I7347">
        <v>6</v>
      </c>
      <c r="J7347" t="s">
        <v>445</v>
      </c>
      <c r="K7347" t="s">
        <v>446</v>
      </c>
      <c r="M7347">
        <v>2390</v>
      </c>
      <c r="N7347" t="s">
        <v>16071</v>
      </c>
    </row>
    <row r="7348" spans="1:14">
      <c r="A7348">
        <v>28430000</v>
      </c>
      <c r="B7348">
        <v>3027988</v>
      </c>
      <c r="C7348" t="s">
        <v>14964</v>
      </c>
      <c r="D7348" t="s">
        <v>441</v>
      </c>
      <c r="F7348">
        <v>0</v>
      </c>
      <c r="G7348">
        <v>12.5</v>
      </c>
      <c r="H7348" t="s">
        <v>8549</v>
      </c>
      <c r="I7348">
        <v>6</v>
      </c>
      <c r="J7348" t="s">
        <v>445</v>
      </c>
      <c r="K7348" t="s">
        <v>446</v>
      </c>
      <c r="M7348">
        <v>2391</v>
      </c>
      <c r="N7348" t="s">
        <v>16182</v>
      </c>
    </row>
    <row r="7349" spans="1:14">
      <c r="A7349">
        <v>28440000</v>
      </c>
      <c r="B7349">
        <v>3008827</v>
      </c>
      <c r="C7349" t="s">
        <v>3238</v>
      </c>
      <c r="D7349" t="s">
        <v>441</v>
      </c>
      <c r="F7349">
        <v>0</v>
      </c>
      <c r="G7349">
        <v>9.52</v>
      </c>
      <c r="H7349" t="s">
        <v>8580</v>
      </c>
      <c r="I7349">
        <v>6</v>
      </c>
      <c r="J7349" t="s">
        <v>445</v>
      </c>
      <c r="K7349" t="s">
        <v>446</v>
      </c>
      <c r="M7349">
        <v>2390</v>
      </c>
    </row>
    <row r="7350" spans="1:14">
      <c r="A7350">
        <v>28440028</v>
      </c>
      <c r="B7350">
        <v>4001857</v>
      </c>
      <c r="C7350" t="s">
        <v>12059</v>
      </c>
      <c r="D7350" t="s">
        <v>441</v>
      </c>
      <c r="F7350">
        <v>0</v>
      </c>
      <c r="G7350">
        <v>10.87</v>
      </c>
      <c r="H7350" t="s">
        <v>8588</v>
      </c>
      <c r="I7350">
        <v>365</v>
      </c>
      <c r="J7350" t="s">
        <v>462</v>
      </c>
      <c r="K7350" t="s">
        <v>446</v>
      </c>
      <c r="M7350">
        <v>2501</v>
      </c>
    </row>
    <row r="7351" spans="1:14">
      <c r="A7351">
        <v>28440061</v>
      </c>
      <c r="B7351">
        <v>4010671</v>
      </c>
      <c r="C7351" t="s">
        <v>12060</v>
      </c>
      <c r="D7351" t="s">
        <v>441</v>
      </c>
      <c r="F7351">
        <v>0</v>
      </c>
      <c r="G7351">
        <v>10.34</v>
      </c>
      <c r="H7351" t="s">
        <v>8588</v>
      </c>
      <c r="I7351">
        <v>365</v>
      </c>
      <c r="J7351" t="s">
        <v>462</v>
      </c>
      <c r="K7351" t="s">
        <v>446</v>
      </c>
      <c r="M7351">
        <v>2611</v>
      </c>
    </row>
    <row r="7352" spans="1:14">
      <c r="A7352">
        <v>28440528</v>
      </c>
      <c r="B7352">
        <v>3009128</v>
      </c>
      <c r="C7352" t="s">
        <v>3239</v>
      </c>
      <c r="D7352" t="s">
        <v>441</v>
      </c>
      <c r="F7352">
        <v>0</v>
      </c>
      <c r="G7352">
        <v>10.199999999999999</v>
      </c>
      <c r="H7352" t="s">
        <v>8580</v>
      </c>
      <c r="I7352">
        <v>6</v>
      </c>
      <c r="J7352" t="s">
        <v>445</v>
      </c>
      <c r="K7352" t="s">
        <v>446</v>
      </c>
      <c r="M7352">
        <v>2501</v>
      </c>
      <c r="N7352" t="s">
        <v>16332</v>
      </c>
    </row>
    <row r="7353" spans="1:14">
      <c r="A7353">
        <v>28440561</v>
      </c>
      <c r="B7353">
        <v>3014510</v>
      </c>
      <c r="C7353" t="s">
        <v>3240</v>
      </c>
      <c r="D7353" t="s">
        <v>441</v>
      </c>
      <c r="F7353">
        <v>0</v>
      </c>
      <c r="G7353">
        <v>10.1</v>
      </c>
      <c r="H7353" t="s">
        <v>8580</v>
      </c>
      <c r="I7353">
        <v>365</v>
      </c>
      <c r="J7353" t="s">
        <v>445</v>
      </c>
      <c r="K7353" t="s">
        <v>446</v>
      </c>
      <c r="L7353" t="s">
        <v>12061</v>
      </c>
      <c r="M7353">
        <v>2641</v>
      </c>
      <c r="N7353" t="s">
        <v>16332</v>
      </c>
    </row>
    <row r="7354" spans="1:14">
      <c r="A7354">
        <v>28441028</v>
      </c>
      <c r="B7354">
        <v>4011479</v>
      </c>
      <c r="C7354" t="s">
        <v>12062</v>
      </c>
      <c r="D7354" t="s">
        <v>441</v>
      </c>
      <c r="F7354">
        <v>0</v>
      </c>
      <c r="G7354">
        <v>10.87</v>
      </c>
      <c r="H7354" t="s">
        <v>8588</v>
      </c>
      <c r="I7354">
        <v>365</v>
      </c>
      <c r="J7354" t="s">
        <v>462</v>
      </c>
      <c r="K7354" t="s">
        <v>446</v>
      </c>
      <c r="M7354">
        <v>2501</v>
      </c>
    </row>
    <row r="7355" spans="1:14">
      <c r="A7355">
        <v>28441061</v>
      </c>
      <c r="B7355">
        <v>4012067</v>
      </c>
      <c r="C7355" t="s">
        <v>12063</v>
      </c>
      <c r="D7355" t="s">
        <v>441</v>
      </c>
      <c r="F7355">
        <v>0</v>
      </c>
      <c r="G7355">
        <v>10.35</v>
      </c>
      <c r="H7355" t="s">
        <v>8588</v>
      </c>
      <c r="I7355">
        <v>365</v>
      </c>
      <c r="J7355" t="s">
        <v>462</v>
      </c>
      <c r="K7355" t="s">
        <v>446</v>
      </c>
      <c r="M7355">
        <v>2611</v>
      </c>
    </row>
    <row r="7356" spans="1:14">
      <c r="A7356">
        <v>28450000</v>
      </c>
      <c r="B7356">
        <v>3015947</v>
      </c>
      <c r="C7356" t="s">
        <v>3241</v>
      </c>
      <c r="D7356" t="s">
        <v>441</v>
      </c>
      <c r="F7356">
        <v>0</v>
      </c>
      <c r="G7356">
        <v>7.46</v>
      </c>
      <c r="H7356" t="s">
        <v>8580</v>
      </c>
      <c r="I7356">
        <v>6</v>
      </c>
      <c r="J7356" t="s">
        <v>445</v>
      </c>
      <c r="K7356" t="s">
        <v>446</v>
      </c>
      <c r="M7356">
        <v>0</v>
      </c>
    </row>
    <row r="7357" spans="1:14">
      <c r="A7357">
        <v>28451000</v>
      </c>
      <c r="B7357">
        <v>3017780</v>
      </c>
      <c r="C7357" t="s">
        <v>3242</v>
      </c>
      <c r="D7357" t="s">
        <v>441</v>
      </c>
      <c r="F7357">
        <v>0</v>
      </c>
      <c r="G7357">
        <v>7.46</v>
      </c>
      <c r="H7357" t="s">
        <v>8634</v>
      </c>
      <c r="I7357">
        <v>6</v>
      </c>
      <c r="J7357" t="s">
        <v>445</v>
      </c>
      <c r="K7357" t="s">
        <v>446</v>
      </c>
      <c r="M7357">
        <v>0</v>
      </c>
    </row>
    <row r="7358" spans="1:14">
      <c r="A7358">
        <v>28463000</v>
      </c>
      <c r="B7358">
        <v>3028040</v>
      </c>
      <c r="C7358" t="s">
        <v>14965</v>
      </c>
      <c r="D7358" t="s">
        <v>441</v>
      </c>
      <c r="F7358">
        <v>0</v>
      </c>
      <c r="G7358">
        <v>12.52</v>
      </c>
      <c r="H7358" t="s">
        <v>8549</v>
      </c>
      <c r="I7358">
        <v>6</v>
      </c>
      <c r="J7358" t="s">
        <v>445</v>
      </c>
      <c r="K7358" t="s">
        <v>446</v>
      </c>
      <c r="M7358">
        <v>2391</v>
      </c>
      <c r="N7358" t="s">
        <v>16182</v>
      </c>
    </row>
    <row r="7359" spans="1:14">
      <c r="A7359">
        <v>28470000</v>
      </c>
      <c r="B7359">
        <v>3008828</v>
      </c>
      <c r="C7359" t="s">
        <v>3243</v>
      </c>
      <c r="D7359" t="s">
        <v>441</v>
      </c>
      <c r="F7359">
        <v>0</v>
      </c>
      <c r="G7359">
        <v>8.83</v>
      </c>
      <c r="H7359" t="s">
        <v>8580</v>
      </c>
      <c r="I7359">
        <v>6</v>
      </c>
      <c r="J7359" t="s">
        <v>445</v>
      </c>
      <c r="K7359" t="s">
        <v>446</v>
      </c>
      <c r="M7359">
        <v>2390</v>
      </c>
      <c r="N7359" t="s">
        <v>15977</v>
      </c>
    </row>
    <row r="7360" spans="1:14">
      <c r="A7360">
        <v>28470027</v>
      </c>
      <c r="B7360">
        <v>4007594</v>
      </c>
      <c r="C7360" t="s">
        <v>12064</v>
      </c>
      <c r="D7360" t="s">
        <v>441</v>
      </c>
      <c r="F7360">
        <v>0</v>
      </c>
      <c r="G7360">
        <v>11.6</v>
      </c>
      <c r="H7360" t="s">
        <v>8588</v>
      </c>
      <c r="I7360">
        <v>365</v>
      </c>
      <c r="J7360" t="s">
        <v>462</v>
      </c>
      <c r="K7360" t="s">
        <v>446</v>
      </c>
      <c r="M7360">
        <v>2501</v>
      </c>
      <c r="N7360" t="s">
        <v>15977</v>
      </c>
    </row>
    <row r="7361" spans="1:14">
      <c r="A7361">
        <v>28470527</v>
      </c>
      <c r="B7361">
        <v>3008073</v>
      </c>
      <c r="C7361" t="s">
        <v>12065</v>
      </c>
      <c r="D7361" t="s">
        <v>441</v>
      </c>
      <c r="F7361">
        <v>0</v>
      </c>
      <c r="G7361">
        <v>11.41</v>
      </c>
      <c r="H7361" t="s">
        <v>8580</v>
      </c>
      <c r="I7361">
        <v>6</v>
      </c>
      <c r="J7361" t="s">
        <v>445</v>
      </c>
      <c r="K7361" t="s">
        <v>446</v>
      </c>
      <c r="M7361">
        <v>2641</v>
      </c>
      <c r="N7361" t="s">
        <v>15977</v>
      </c>
    </row>
    <row r="7362" spans="1:14">
      <c r="A7362">
        <v>28471000</v>
      </c>
      <c r="B7362">
        <v>3009090</v>
      </c>
      <c r="C7362" t="s">
        <v>3244</v>
      </c>
      <c r="D7362" t="s">
        <v>441</v>
      </c>
      <c r="F7362">
        <v>0</v>
      </c>
      <c r="G7362">
        <v>9.27</v>
      </c>
      <c r="H7362" t="s">
        <v>8580</v>
      </c>
      <c r="I7362">
        <v>5</v>
      </c>
      <c r="J7362" t="s">
        <v>445</v>
      </c>
      <c r="K7362" t="s">
        <v>446</v>
      </c>
      <c r="M7362">
        <v>0</v>
      </c>
    </row>
    <row r="7363" spans="1:14">
      <c r="A7363">
        <v>28471027</v>
      </c>
      <c r="B7363">
        <v>4011752</v>
      </c>
      <c r="C7363" t="s">
        <v>12066</v>
      </c>
      <c r="D7363" t="s">
        <v>441</v>
      </c>
      <c r="F7363">
        <v>0</v>
      </c>
      <c r="G7363">
        <v>11.57</v>
      </c>
      <c r="H7363" t="s">
        <v>8588</v>
      </c>
      <c r="I7363">
        <v>365</v>
      </c>
      <c r="J7363" t="s">
        <v>462</v>
      </c>
      <c r="K7363" t="s">
        <v>446</v>
      </c>
      <c r="M7363">
        <v>2501</v>
      </c>
      <c r="N7363" t="s">
        <v>15977</v>
      </c>
    </row>
    <row r="7364" spans="1:14">
      <c r="A7364">
        <v>28471527</v>
      </c>
      <c r="B7364">
        <v>3017416</v>
      </c>
      <c r="C7364" t="s">
        <v>12067</v>
      </c>
      <c r="D7364" t="s">
        <v>441</v>
      </c>
      <c r="F7364">
        <v>0</v>
      </c>
      <c r="G7364">
        <v>11.39</v>
      </c>
      <c r="H7364" t="s">
        <v>8627</v>
      </c>
      <c r="I7364">
        <v>6</v>
      </c>
      <c r="J7364" t="s">
        <v>445</v>
      </c>
      <c r="K7364" t="s">
        <v>446</v>
      </c>
      <c r="M7364">
        <v>2641</v>
      </c>
      <c r="N7364" t="s">
        <v>15977</v>
      </c>
    </row>
    <row r="7365" spans="1:14">
      <c r="A7365">
        <v>28476000</v>
      </c>
      <c r="B7365">
        <v>3009091</v>
      </c>
      <c r="C7365" t="s">
        <v>3245</v>
      </c>
      <c r="D7365" t="s">
        <v>441</v>
      </c>
      <c r="F7365">
        <v>0</v>
      </c>
      <c r="G7365">
        <v>9.2799999999999994</v>
      </c>
      <c r="H7365" t="s">
        <v>8580</v>
      </c>
      <c r="I7365">
        <v>5</v>
      </c>
      <c r="J7365" t="s">
        <v>445</v>
      </c>
      <c r="K7365" t="s">
        <v>446</v>
      </c>
      <c r="M7365">
        <v>2390</v>
      </c>
    </row>
    <row r="7366" spans="1:14">
      <c r="A7366">
        <v>28480000</v>
      </c>
      <c r="B7366">
        <v>3015936</v>
      </c>
      <c r="C7366" t="s">
        <v>14966</v>
      </c>
      <c r="D7366" t="s">
        <v>441</v>
      </c>
      <c r="F7366">
        <v>0</v>
      </c>
      <c r="G7366">
        <v>14.03</v>
      </c>
      <c r="H7366" t="s">
        <v>8580</v>
      </c>
      <c r="I7366">
        <v>6</v>
      </c>
      <c r="J7366" t="s">
        <v>445</v>
      </c>
      <c r="M7366">
        <v>2391</v>
      </c>
      <c r="N7366" t="s">
        <v>15977</v>
      </c>
    </row>
    <row r="7367" spans="1:14">
      <c r="A7367">
        <v>28480007</v>
      </c>
      <c r="B7367">
        <v>3025042</v>
      </c>
      <c r="C7367" t="s">
        <v>14967</v>
      </c>
      <c r="D7367" t="s">
        <v>441</v>
      </c>
      <c r="F7367">
        <v>0</v>
      </c>
      <c r="G7367">
        <v>14.18</v>
      </c>
      <c r="I7367">
        <v>6</v>
      </c>
      <c r="J7367" t="s">
        <v>445</v>
      </c>
      <c r="M7367">
        <v>3111</v>
      </c>
      <c r="N7367" t="s">
        <v>15977</v>
      </c>
    </row>
    <row r="7368" spans="1:14">
      <c r="A7368">
        <v>28480019</v>
      </c>
      <c r="B7368">
        <v>4011421</v>
      </c>
      <c r="C7368" t="s">
        <v>12068</v>
      </c>
      <c r="D7368" t="s">
        <v>441</v>
      </c>
      <c r="F7368">
        <v>0</v>
      </c>
      <c r="G7368">
        <v>11.37</v>
      </c>
      <c r="H7368" t="s">
        <v>8588</v>
      </c>
      <c r="I7368">
        <v>365</v>
      </c>
      <c r="J7368" t="s">
        <v>462</v>
      </c>
      <c r="K7368" t="s">
        <v>446</v>
      </c>
      <c r="M7368">
        <v>2501</v>
      </c>
      <c r="N7368" t="s">
        <v>15977</v>
      </c>
    </row>
    <row r="7369" spans="1:14">
      <c r="A7369">
        <v>28480020</v>
      </c>
      <c r="B7369">
        <v>4012605</v>
      </c>
      <c r="C7369" t="s">
        <v>14968</v>
      </c>
      <c r="D7369" t="s">
        <v>441</v>
      </c>
      <c r="F7369">
        <v>0</v>
      </c>
      <c r="G7369">
        <v>14.45</v>
      </c>
      <c r="H7369" t="s">
        <v>8588</v>
      </c>
      <c r="I7369">
        <v>6</v>
      </c>
      <c r="J7369" t="s">
        <v>462</v>
      </c>
      <c r="M7369">
        <v>7112</v>
      </c>
      <c r="N7369" t="s">
        <v>15977</v>
      </c>
    </row>
    <row r="7370" spans="1:14">
      <c r="A7370">
        <v>28480025</v>
      </c>
      <c r="B7370">
        <v>4015260</v>
      </c>
      <c r="C7370" t="s">
        <v>14969</v>
      </c>
      <c r="D7370" t="s">
        <v>441</v>
      </c>
      <c r="F7370">
        <v>0</v>
      </c>
      <c r="G7370">
        <v>15.02</v>
      </c>
      <c r="H7370" t="s">
        <v>8588</v>
      </c>
      <c r="I7370">
        <v>540</v>
      </c>
      <c r="J7370" t="s">
        <v>462</v>
      </c>
      <c r="M7370">
        <v>7111</v>
      </c>
      <c r="N7370" t="s">
        <v>15977</v>
      </c>
    </row>
    <row r="7371" spans="1:14">
      <c r="A7371">
        <v>28480041</v>
      </c>
      <c r="B7371">
        <v>4013652</v>
      </c>
      <c r="C7371" t="s">
        <v>12069</v>
      </c>
      <c r="D7371" t="s">
        <v>441</v>
      </c>
      <c r="F7371">
        <v>0</v>
      </c>
      <c r="G7371">
        <v>9.91</v>
      </c>
      <c r="H7371" t="s">
        <v>8588</v>
      </c>
      <c r="I7371">
        <v>16</v>
      </c>
      <c r="J7371" t="s">
        <v>462</v>
      </c>
      <c r="K7371" t="s">
        <v>446</v>
      </c>
      <c r="M7371">
        <v>2612</v>
      </c>
      <c r="N7371" t="s">
        <v>15977</v>
      </c>
    </row>
    <row r="7372" spans="1:14">
      <c r="A7372">
        <v>28480050</v>
      </c>
      <c r="B7372">
        <v>4012708</v>
      </c>
      <c r="C7372" t="s">
        <v>12070</v>
      </c>
      <c r="D7372" t="s">
        <v>441</v>
      </c>
      <c r="F7372">
        <v>0</v>
      </c>
      <c r="G7372">
        <v>9.3699999999999992</v>
      </c>
      <c r="H7372" t="s">
        <v>8588</v>
      </c>
      <c r="I7372">
        <v>13</v>
      </c>
      <c r="J7372" t="s">
        <v>462</v>
      </c>
      <c r="K7372" t="s">
        <v>446</v>
      </c>
      <c r="M7372">
        <v>2612</v>
      </c>
      <c r="N7372" t="s">
        <v>15977</v>
      </c>
    </row>
    <row r="7373" spans="1:14">
      <c r="A7373">
        <v>28480051</v>
      </c>
      <c r="B7373">
        <v>4012804</v>
      </c>
      <c r="C7373" t="s">
        <v>12071</v>
      </c>
      <c r="D7373" t="s">
        <v>441</v>
      </c>
      <c r="F7373">
        <v>0</v>
      </c>
      <c r="G7373">
        <v>11.73</v>
      </c>
      <c r="H7373" t="s">
        <v>8588</v>
      </c>
      <c r="I7373">
        <v>13</v>
      </c>
      <c r="J7373" t="s">
        <v>462</v>
      </c>
      <c r="K7373" t="s">
        <v>446</v>
      </c>
      <c r="M7373">
        <v>2612</v>
      </c>
      <c r="N7373" t="s">
        <v>15977</v>
      </c>
    </row>
    <row r="7374" spans="1:14">
      <c r="A7374">
        <v>28480075</v>
      </c>
      <c r="B7374">
        <v>4012325</v>
      </c>
      <c r="C7374" t="s">
        <v>12072</v>
      </c>
      <c r="D7374" t="s">
        <v>441</v>
      </c>
      <c r="F7374">
        <v>0</v>
      </c>
      <c r="G7374">
        <v>11.85</v>
      </c>
      <c r="H7374" t="s">
        <v>8588</v>
      </c>
      <c r="I7374">
        <v>6</v>
      </c>
      <c r="J7374" t="s">
        <v>462</v>
      </c>
      <c r="K7374" t="s">
        <v>446</v>
      </c>
      <c r="M7374">
        <v>2641</v>
      </c>
      <c r="N7374" t="s">
        <v>15977</v>
      </c>
    </row>
    <row r="7375" spans="1:14">
      <c r="A7375">
        <v>28480087</v>
      </c>
      <c r="B7375">
        <v>3040500</v>
      </c>
      <c r="C7375" t="s">
        <v>14970</v>
      </c>
      <c r="D7375" t="s">
        <v>441</v>
      </c>
      <c r="F7375">
        <v>0</v>
      </c>
      <c r="G7375">
        <v>14.18</v>
      </c>
      <c r="H7375" t="s">
        <v>8588</v>
      </c>
      <c r="I7375">
        <v>6</v>
      </c>
      <c r="J7375" t="s">
        <v>445</v>
      </c>
      <c r="M7375">
        <v>7112</v>
      </c>
      <c r="N7375" t="s">
        <v>15977</v>
      </c>
    </row>
    <row r="7376" spans="1:14">
      <c r="A7376">
        <v>28480519</v>
      </c>
      <c r="B7376">
        <v>3017268</v>
      </c>
      <c r="C7376" t="s">
        <v>12073</v>
      </c>
      <c r="D7376" t="s">
        <v>441</v>
      </c>
      <c r="F7376">
        <v>0</v>
      </c>
      <c r="G7376">
        <v>11.1</v>
      </c>
      <c r="H7376" t="s">
        <v>8935</v>
      </c>
      <c r="I7376">
        <v>365</v>
      </c>
      <c r="J7376" t="s">
        <v>445</v>
      </c>
      <c r="K7376" t="s">
        <v>446</v>
      </c>
      <c r="M7376">
        <v>2641</v>
      </c>
      <c r="N7376" t="s">
        <v>15977</v>
      </c>
    </row>
    <row r="7377" spans="1:14">
      <c r="A7377">
        <v>28480525</v>
      </c>
      <c r="B7377">
        <v>3022499</v>
      </c>
      <c r="C7377" t="s">
        <v>14971</v>
      </c>
      <c r="D7377" t="s">
        <v>441</v>
      </c>
      <c r="F7377">
        <v>0</v>
      </c>
      <c r="G7377">
        <v>14.54</v>
      </c>
      <c r="H7377" t="s">
        <v>8580</v>
      </c>
      <c r="I7377">
        <v>6</v>
      </c>
      <c r="J7377" t="s">
        <v>445</v>
      </c>
      <c r="M7377">
        <v>2502</v>
      </c>
      <c r="N7377" t="s">
        <v>15977</v>
      </c>
    </row>
    <row r="7378" spans="1:14">
      <c r="A7378">
        <v>28480526</v>
      </c>
      <c r="B7378">
        <v>3026700</v>
      </c>
      <c r="C7378" t="s">
        <v>12074</v>
      </c>
      <c r="D7378" t="s">
        <v>441</v>
      </c>
      <c r="F7378">
        <v>0</v>
      </c>
      <c r="G7378">
        <v>13.34</v>
      </c>
      <c r="H7378" t="s">
        <v>8584</v>
      </c>
      <c r="I7378">
        <v>365</v>
      </c>
      <c r="J7378" t="s">
        <v>445</v>
      </c>
      <c r="K7378" t="s">
        <v>446</v>
      </c>
      <c r="M7378">
        <v>2612</v>
      </c>
      <c r="N7378" t="s">
        <v>15977</v>
      </c>
    </row>
    <row r="7379" spans="1:14">
      <c r="A7379">
        <v>28480907</v>
      </c>
      <c r="B7379">
        <v>3025302</v>
      </c>
      <c r="C7379" t="s">
        <v>14972</v>
      </c>
      <c r="D7379" t="s">
        <v>441</v>
      </c>
      <c r="F7379">
        <v>0</v>
      </c>
      <c r="G7379">
        <v>0</v>
      </c>
      <c r="H7379" t="s">
        <v>8584</v>
      </c>
      <c r="I7379">
        <v>6</v>
      </c>
      <c r="J7379" t="s">
        <v>445</v>
      </c>
      <c r="M7379">
        <v>6666</v>
      </c>
      <c r="N7379" t="s">
        <v>15977</v>
      </c>
    </row>
    <row r="7380" spans="1:14">
      <c r="A7380">
        <v>28481000</v>
      </c>
      <c r="B7380">
        <v>3017772</v>
      </c>
      <c r="C7380" t="s">
        <v>14973</v>
      </c>
      <c r="D7380" t="s">
        <v>441</v>
      </c>
      <c r="F7380">
        <v>0</v>
      </c>
      <c r="G7380">
        <v>14.03</v>
      </c>
      <c r="H7380" t="s">
        <v>8634</v>
      </c>
      <c r="I7380">
        <v>6</v>
      </c>
      <c r="J7380" t="s">
        <v>445</v>
      </c>
      <c r="M7380">
        <v>2391</v>
      </c>
      <c r="N7380" t="s">
        <v>15977</v>
      </c>
    </row>
    <row r="7381" spans="1:14">
      <c r="A7381">
        <v>28481007</v>
      </c>
      <c r="B7381">
        <v>3025043</v>
      </c>
      <c r="C7381" t="s">
        <v>12075</v>
      </c>
      <c r="D7381" t="s">
        <v>441</v>
      </c>
      <c r="F7381">
        <v>0</v>
      </c>
      <c r="G7381">
        <v>11.05</v>
      </c>
      <c r="H7381" t="s">
        <v>8580</v>
      </c>
      <c r="I7381">
        <v>6</v>
      </c>
      <c r="J7381" t="s">
        <v>445</v>
      </c>
      <c r="K7381" t="s">
        <v>446</v>
      </c>
      <c r="M7381">
        <v>3111</v>
      </c>
      <c r="N7381" t="s">
        <v>15977</v>
      </c>
    </row>
    <row r="7382" spans="1:14">
      <c r="A7382">
        <v>28481019</v>
      </c>
      <c r="B7382">
        <v>4011430</v>
      </c>
      <c r="C7382" t="s">
        <v>12076</v>
      </c>
      <c r="D7382" t="s">
        <v>441</v>
      </c>
      <c r="F7382">
        <v>0</v>
      </c>
      <c r="G7382">
        <v>11.37</v>
      </c>
      <c r="H7382" t="s">
        <v>8588</v>
      </c>
      <c r="I7382">
        <v>365</v>
      </c>
      <c r="J7382" t="s">
        <v>462</v>
      </c>
      <c r="K7382" t="s">
        <v>446</v>
      </c>
      <c r="M7382">
        <v>2501</v>
      </c>
      <c r="N7382" t="s">
        <v>15977</v>
      </c>
    </row>
    <row r="7383" spans="1:14">
      <c r="A7383">
        <v>28481050</v>
      </c>
      <c r="B7383">
        <v>4012709</v>
      </c>
      <c r="C7383" t="s">
        <v>12077</v>
      </c>
      <c r="D7383" t="s">
        <v>441</v>
      </c>
      <c r="F7383">
        <v>0</v>
      </c>
      <c r="G7383">
        <v>9.3699999999999992</v>
      </c>
      <c r="H7383" t="s">
        <v>8588</v>
      </c>
      <c r="I7383">
        <v>13</v>
      </c>
      <c r="J7383" t="s">
        <v>462</v>
      </c>
      <c r="K7383" t="s">
        <v>446</v>
      </c>
      <c r="M7383">
        <v>2612</v>
      </c>
      <c r="N7383" t="s">
        <v>15977</v>
      </c>
    </row>
    <row r="7384" spans="1:14">
      <c r="A7384">
        <v>28481051</v>
      </c>
      <c r="B7384">
        <v>4012805</v>
      </c>
      <c r="C7384" t="s">
        <v>12078</v>
      </c>
      <c r="D7384" t="s">
        <v>441</v>
      </c>
      <c r="F7384">
        <v>0</v>
      </c>
      <c r="G7384">
        <v>11.73</v>
      </c>
      <c r="H7384" t="s">
        <v>8588</v>
      </c>
      <c r="I7384">
        <v>13</v>
      </c>
      <c r="J7384" t="s">
        <v>462</v>
      </c>
      <c r="K7384" t="s">
        <v>446</v>
      </c>
      <c r="M7384">
        <v>2612</v>
      </c>
      <c r="N7384" t="s">
        <v>15977</v>
      </c>
    </row>
    <row r="7385" spans="1:14">
      <c r="A7385">
        <v>28481075</v>
      </c>
      <c r="B7385">
        <v>4012324</v>
      </c>
      <c r="C7385" t="s">
        <v>12079</v>
      </c>
      <c r="D7385" t="s">
        <v>441</v>
      </c>
      <c r="F7385">
        <v>0</v>
      </c>
      <c r="G7385">
        <v>11.08</v>
      </c>
      <c r="H7385" t="s">
        <v>8588</v>
      </c>
      <c r="I7385">
        <v>6</v>
      </c>
      <c r="J7385" t="s">
        <v>462</v>
      </c>
      <c r="K7385" t="s">
        <v>446</v>
      </c>
      <c r="M7385">
        <v>2641</v>
      </c>
      <c r="N7385" t="s">
        <v>15977</v>
      </c>
    </row>
    <row r="7386" spans="1:14">
      <c r="A7386">
        <v>28481519</v>
      </c>
      <c r="B7386">
        <v>3017296</v>
      </c>
      <c r="C7386" t="s">
        <v>12080</v>
      </c>
      <c r="D7386" t="s">
        <v>441</v>
      </c>
      <c r="F7386">
        <v>0</v>
      </c>
      <c r="G7386">
        <v>11.1</v>
      </c>
      <c r="H7386" t="s">
        <v>8935</v>
      </c>
      <c r="I7386">
        <v>365</v>
      </c>
      <c r="J7386" t="s">
        <v>445</v>
      </c>
      <c r="K7386" t="s">
        <v>446</v>
      </c>
      <c r="M7386">
        <v>2641</v>
      </c>
      <c r="N7386" t="s">
        <v>15977</v>
      </c>
    </row>
    <row r="7387" spans="1:14">
      <c r="A7387">
        <v>28481907</v>
      </c>
      <c r="B7387">
        <v>3025303</v>
      </c>
      <c r="C7387" t="s">
        <v>12081</v>
      </c>
      <c r="D7387" t="s">
        <v>441</v>
      </c>
      <c r="F7387">
        <v>0</v>
      </c>
      <c r="G7387">
        <v>0</v>
      </c>
      <c r="H7387" t="s">
        <v>8580</v>
      </c>
      <c r="I7387">
        <v>6</v>
      </c>
      <c r="J7387" t="s">
        <v>445</v>
      </c>
      <c r="K7387" t="s">
        <v>446</v>
      </c>
      <c r="M7387">
        <v>6666</v>
      </c>
      <c r="N7387" t="s">
        <v>15977</v>
      </c>
    </row>
    <row r="7388" spans="1:14">
      <c r="A7388">
        <v>28490000</v>
      </c>
      <c r="B7388">
        <v>3008842</v>
      </c>
      <c r="C7388" t="s">
        <v>3246</v>
      </c>
      <c r="D7388" t="s">
        <v>441</v>
      </c>
      <c r="F7388">
        <v>0</v>
      </c>
      <c r="G7388">
        <v>9.36</v>
      </c>
      <c r="H7388" t="s">
        <v>8549</v>
      </c>
      <c r="I7388">
        <v>6</v>
      </c>
      <c r="J7388" t="s">
        <v>445</v>
      </c>
      <c r="K7388" t="s">
        <v>446</v>
      </c>
      <c r="M7388">
        <v>0</v>
      </c>
    </row>
    <row r="7389" spans="1:14">
      <c r="A7389">
        <v>28491000</v>
      </c>
      <c r="B7389">
        <v>3009106</v>
      </c>
      <c r="C7389" t="s">
        <v>3247</v>
      </c>
      <c r="D7389" t="s">
        <v>441</v>
      </c>
      <c r="F7389">
        <v>0</v>
      </c>
      <c r="G7389">
        <v>9.2100000000000009</v>
      </c>
      <c r="H7389" t="s">
        <v>8580</v>
      </c>
      <c r="I7389">
        <v>6</v>
      </c>
      <c r="J7389" t="s">
        <v>445</v>
      </c>
      <c r="K7389" t="s">
        <v>446</v>
      </c>
      <c r="M7389">
        <v>2314</v>
      </c>
    </row>
    <row r="7390" spans="1:14">
      <c r="A7390">
        <v>28500000</v>
      </c>
      <c r="B7390">
        <v>3008074</v>
      </c>
      <c r="C7390" t="s">
        <v>3248</v>
      </c>
      <c r="D7390" t="s">
        <v>441</v>
      </c>
      <c r="F7390">
        <v>0</v>
      </c>
      <c r="G7390">
        <v>7.79</v>
      </c>
      <c r="I7390">
        <v>6</v>
      </c>
      <c r="J7390" t="s">
        <v>445</v>
      </c>
      <c r="M7390">
        <v>2391</v>
      </c>
      <c r="N7390" t="s">
        <v>16046</v>
      </c>
    </row>
    <row r="7391" spans="1:14">
      <c r="A7391">
        <v>28500002</v>
      </c>
      <c r="B7391">
        <v>3008075</v>
      </c>
      <c r="C7391" t="s">
        <v>3249</v>
      </c>
      <c r="D7391" t="s">
        <v>441</v>
      </c>
      <c r="F7391">
        <v>0</v>
      </c>
      <c r="G7391">
        <v>11.27</v>
      </c>
      <c r="H7391" t="s">
        <v>8580</v>
      </c>
      <c r="I7391">
        <v>365</v>
      </c>
      <c r="J7391" t="s">
        <v>445</v>
      </c>
      <c r="K7391" t="s">
        <v>446</v>
      </c>
      <c r="M7391">
        <v>2501</v>
      </c>
      <c r="N7391" t="s">
        <v>16046</v>
      </c>
    </row>
    <row r="7392" spans="1:14">
      <c r="A7392">
        <v>28500020</v>
      </c>
      <c r="B7392">
        <v>4007537</v>
      </c>
      <c r="C7392" t="s">
        <v>14494</v>
      </c>
      <c r="D7392" t="s">
        <v>441</v>
      </c>
      <c r="F7392">
        <v>0</v>
      </c>
      <c r="G7392">
        <v>14.03</v>
      </c>
      <c r="H7392" t="s">
        <v>8588</v>
      </c>
      <c r="I7392">
        <v>6</v>
      </c>
      <c r="J7392" t="s">
        <v>462</v>
      </c>
      <c r="L7392">
        <v>2831820</v>
      </c>
      <c r="M7392">
        <v>7112</v>
      </c>
      <c r="N7392" t="s">
        <v>16046</v>
      </c>
    </row>
    <row r="7393" spans="1:14">
      <c r="A7393">
        <v>28500040</v>
      </c>
      <c r="B7393">
        <v>4028000</v>
      </c>
      <c r="C7393" t="s">
        <v>3250</v>
      </c>
      <c r="D7393" t="s">
        <v>441</v>
      </c>
      <c r="F7393">
        <v>0</v>
      </c>
      <c r="G7393">
        <v>13.56</v>
      </c>
      <c r="H7393" t="s">
        <v>8588</v>
      </c>
      <c r="I7393">
        <v>16</v>
      </c>
      <c r="J7393" t="s">
        <v>462</v>
      </c>
      <c r="M7393">
        <v>7112</v>
      </c>
      <c r="N7393" t="s">
        <v>16046</v>
      </c>
    </row>
    <row r="7394" spans="1:14">
      <c r="A7394">
        <v>28500041</v>
      </c>
      <c r="B7394">
        <v>4007760</v>
      </c>
      <c r="C7394" t="s">
        <v>12082</v>
      </c>
      <c r="D7394" t="s">
        <v>441</v>
      </c>
      <c r="F7394">
        <v>0</v>
      </c>
      <c r="G7394">
        <v>8.1</v>
      </c>
      <c r="H7394" t="s">
        <v>8588</v>
      </c>
      <c r="I7394">
        <v>13</v>
      </c>
      <c r="J7394" t="s">
        <v>462</v>
      </c>
      <c r="K7394" t="s">
        <v>446</v>
      </c>
      <c r="M7394">
        <v>2612</v>
      </c>
      <c r="N7394" t="s">
        <v>16046</v>
      </c>
    </row>
    <row r="7395" spans="1:14">
      <c r="A7395">
        <v>28500042</v>
      </c>
      <c r="B7395">
        <v>4008824</v>
      </c>
      <c r="C7395" t="s">
        <v>3251</v>
      </c>
      <c r="D7395" t="s">
        <v>441</v>
      </c>
      <c r="F7395">
        <v>0</v>
      </c>
      <c r="G7395">
        <v>13.48</v>
      </c>
      <c r="H7395" t="s">
        <v>8588</v>
      </c>
      <c r="I7395">
        <v>16</v>
      </c>
      <c r="J7395" t="s">
        <v>462</v>
      </c>
      <c r="M7395">
        <v>7112</v>
      </c>
      <c r="N7395" t="s">
        <v>16046</v>
      </c>
    </row>
    <row r="7396" spans="1:14">
      <c r="A7396">
        <v>28500043</v>
      </c>
      <c r="B7396">
        <v>4015413</v>
      </c>
      <c r="C7396" t="s">
        <v>12083</v>
      </c>
      <c r="D7396" t="s">
        <v>441</v>
      </c>
      <c r="F7396">
        <v>0</v>
      </c>
      <c r="G7396">
        <v>11.4</v>
      </c>
      <c r="H7396" t="s">
        <v>8588</v>
      </c>
      <c r="I7396">
        <v>16</v>
      </c>
      <c r="J7396" t="s">
        <v>462</v>
      </c>
      <c r="K7396" t="s">
        <v>446</v>
      </c>
      <c r="M7396">
        <v>2612</v>
      </c>
      <c r="N7396" t="s">
        <v>16046</v>
      </c>
    </row>
    <row r="7397" spans="1:14">
      <c r="A7397">
        <v>28500044</v>
      </c>
      <c r="B7397">
        <v>4030521</v>
      </c>
      <c r="C7397" t="s">
        <v>17540</v>
      </c>
      <c r="D7397" t="s">
        <v>441</v>
      </c>
      <c r="F7397">
        <v>0</v>
      </c>
      <c r="G7397">
        <v>18</v>
      </c>
      <c r="H7397" t="s">
        <v>8588</v>
      </c>
      <c r="I7397">
        <v>16</v>
      </c>
      <c r="J7397" t="s">
        <v>462</v>
      </c>
      <c r="M7397">
        <v>7112</v>
      </c>
      <c r="N7397" t="s">
        <v>16046</v>
      </c>
    </row>
    <row r="7398" spans="1:14">
      <c r="A7398">
        <v>28500050</v>
      </c>
      <c r="B7398">
        <v>4010129</v>
      </c>
      <c r="C7398" t="s">
        <v>12084</v>
      </c>
      <c r="D7398" t="s">
        <v>441</v>
      </c>
      <c r="F7398">
        <v>0</v>
      </c>
      <c r="G7398">
        <v>8.77</v>
      </c>
      <c r="H7398" t="s">
        <v>8588</v>
      </c>
      <c r="I7398">
        <v>16</v>
      </c>
      <c r="J7398" t="s">
        <v>462</v>
      </c>
      <c r="K7398" t="s">
        <v>446</v>
      </c>
      <c r="M7398">
        <v>2612</v>
      </c>
    </row>
    <row r="7399" spans="1:14">
      <c r="A7399">
        <v>28500057</v>
      </c>
      <c r="B7399">
        <v>4030478</v>
      </c>
      <c r="C7399" t="s">
        <v>17541</v>
      </c>
      <c r="D7399" t="s">
        <v>441</v>
      </c>
      <c r="F7399">
        <v>0</v>
      </c>
      <c r="G7399">
        <v>17.21</v>
      </c>
      <c r="H7399" t="s">
        <v>8588</v>
      </c>
      <c r="I7399">
        <v>16</v>
      </c>
      <c r="J7399" t="s">
        <v>462</v>
      </c>
      <c r="M7399">
        <v>7112</v>
      </c>
      <c r="N7399" t="s">
        <v>16046</v>
      </c>
    </row>
    <row r="7400" spans="1:14">
      <c r="A7400">
        <v>28500058</v>
      </c>
      <c r="B7400">
        <v>4019396</v>
      </c>
      <c r="C7400" t="s">
        <v>3252</v>
      </c>
      <c r="D7400" t="s">
        <v>441</v>
      </c>
      <c r="F7400">
        <v>0</v>
      </c>
      <c r="G7400">
        <v>8.4499999999999993</v>
      </c>
      <c r="H7400" t="s">
        <v>8588</v>
      </c>
      <c r="I7400">
        <v>16</v>
      </c>
      <c r="J7400" t="s">
        <v>462</v>
      </c>
      <c r="M7400">
        <v>7112</v>
      </c>
      <c r="N7400" t="s">
        <v>16046</v>
      </c>
    </row>
    <row r="7401" spans="1:14">
      <c r="A7401">
        <v>28500078</v>
      </c>
      <c r="B7401">
        <v>4015344</v>
      </c>
      <c r="C7401" t="s">
        <v>12085</v>
      </c>
      <c r="D7401" t="s">
        <v>441</v>
      </c>
      <c r="F7401">
        <v>0</v>
      </c>
      <c r="G7401">
        <v>11.03</v>
      </c>
      <c r="H7401" t="s">
        <v>8588</v>
      </c>
      <c r="I7401">
        <v>6</v>
      </c>
      <c r="J7401" t="s">
        <v>462</v>
      </c>
      <c r="K7401" t="s">
        <v>446</v>
      </c>
      <c r="L7401">
        <v>2630910</v>
      </c>
      <c r="M7401">
        <v>2641</v>
      </c>
      <c r="N7401" t="s">
        <v>16046</v>
      </c>
    </row>
    <row r="7402" spans="1:14">
      <c r="A7402">
        <v>28500502</v>
      </c>
      <c r="B7402">
        <v>3008076</v>
      </c>
      <c r="C7402" t="s">
        <v>3253</v>
      </c>
      <c r="D7402" t="s">
        <v>441</v>
      </c>
      <c r="F7402">
        <v>0</v>
      </c>
      <c r="G7402">
        <v>11</v>
      </c>
      <c r="H7402" t="s">
        <v>8580</v>
      </c>
      <c r="I7402">
        <v>6</v>
      </c>
      <c r="J7402" t="s">
        <v>445</v>
      </c>
      <c r="K7402" t="s">
        <v>446</v>
      </c>
      <c r="M7402">
        <v>2641</v>
      </c>
      <c r="N7402" t="s">
        <v>16046</v>
      </c>
    </row>
    <row r="7403" spans="1:14">
      <c r="A7403">
        <v>28500602</v>
      </c>
      <c r="B7403">
        <v>3008077</v>
      </c>
      <c r="C7403" t="s">
        <v>3254</v>
      </c>
      <c r="D7403" t="s">
        <v>441</v>
      </c>
      <c r="F7403">
        <v>0</v>
      </c>
      <c r="G7403">
        <v>11.68</v>
      </c>
      <c r="H7403" t="s">
        <v>8637</v>
      </c>
      <c r="I7403">
        <v>4</v>
      </c>
      <c r="J7403" t="s">
        <v>445</v>
      </c>
      <c r="K7403" t="s">
        <v>446</v>
      </c>
      <c r="M7403">
        <v>2511</v>
      </c>
      <c r="N7403" t="s">
        <v>16046</v>
      </c>
    </row>
    <row r="7404" spans="1:14">
      <c r="A7404">
        <v>28501020</v>
      </c>
      <c r="B7404">
        <v>4011743</v>
      </c>
      <c r="C7404" t="s">
        <v>12086</v>
      </c>
      <c r="D7404" t="s">
        <v>441</v>
      </c>
      <c r="F7404">
        <v>0</v>
      </c>
      <c r="G7404">
        <v>11.16</v>
      </c>
      <c r="H7404" t="s">
        <v>8588</v>
      </c>
      <c r="I7404">
        <v>6</v>
      </c>
      <c r="J7404" t="s">
        <v>462</v>
      </c>
      <c r="K7404" t="s">
        <v>446</v>
      </c>
      <c r="L7404">
        <v>11151</v>
      </c>
      <c r="M7404">
        <v>2641</v>
      </c>
      <c r="N7404" t="s">
        <v>16046</v>
      </c>
    </row>
    <row r="7405" spans="1:14">
      <c r="A7405">
        <v>28501041</v>
      </c>
      <c r="B7405">
        <v>4011754</v>
      </c>
      <c r="C7405" t="s">
        <v>15280</v>
      </c>
      <c r="D7405" t="s">
        <v>441</v>
      </c>
      <c r="F7405">
        <v>0</v>
      </c>
      <c r="G7405">
        <v>13.24</v>
      </c>
      <c r="H7405" t="s">
        <v>8588</v>
      </c>
      <c r="I7405">
        <v>16</v>
      </c>
      <c r="J7405" t="s">
        <v>462</v>
      </c>
      <c r="M7405">
        <v>2612</v>
      </c>
      <c r="N7405" t="s">
        <v>16046</v>
      </c>
    </row>
    <row r="7406" spans="1:14">
      <c r="A7406">
        <v>28501042</v>
      </c>
      <c r="B7406">
        <v>4011850</v>
      </c>
      <c r="C7406" t="s">
        <v>15323</v>
      </c>
      <c r="D7406" t="s">
        <v>441</v>
      </c>
      <c r="F7406">
        <v>0</v>
      </c>
      <c r="G7406">
        <v>11.43</v>
      </c>
      <c r="H7406" t="s">
        <v>8588</v>
      </c>
      <c r="I7406">
        <v>16</v>
      </c>
      <c r="J7406" t="s">
        <v>462</v>
      </c>
      <c r="M7406">
        <v>7112</v>
      </c>
      <c r="N7406" t="s">
        <v>16046</v>
      </c>
    </row>
    <row r="7407" spans="1:14">
      <c r="A7407">
        <v>28501050</v>
      </c>
      <c r="B7407">
        <v>4012029</v>
      </c>
      <c r="C7407" t="s">
        <v>12087</v>
      </c>
      <c r="D7407" t="s">
        <v>441</v>
      </c>
      <c r="F7407">
        <v>0</v>
      </c>
      <c r="G7407">
        <v>8.77</v>
      </c>
      <c r="H7407" t="s">
        <v>8588</v>
      </c>
      <c r="I7407">
        <v>16</v>
      </c>
      <c r="J7407" t="s">
        <v>462</v>
      </c>
      <c r="K7407" t="s">
        <v>446</v>
      </c>
      <c r="M7407">
        <v>2612</v>
      </c>
    </row>
    <row r="7408" spans="1:14">
      <c r="A7408">
        <v>28501078</v>
      </c>
      <c r="B7408">
        <v>4015347</v>
      </c>
      <c r="C7408" t="s">
        <v>12088</v>
      </c>
      <c r="D7408" t="s">
        <v>441</v>
      </c>
      <c r="F7408">
        <v>0</v>
      </c>
      <c r="G7408">
        <v>11.02</v>
      </c>
      <c r="H7408" t="s">
        <v>8588</v>
      </c>
      <c r="I7408">
        <v>6</v>
      </c>
      <c r="J7408" t="s">
        <v>462</v>
      </c>
      <c r="K7408" t="s">
        <v>446</v>
      </c>
      <c r="L7408">
        <v>2630910</v>
      </c>
      <c r="M7408">
        <v>2641</v>
      </c>
      <c r="N7408" t="s">
        <v>16046</v>
      </c>
    </row>
    <row r="7409" spans="1:14">
      <c r="A7409">
        <v>28510000</v>
      </c>
      <c r="B7409">
        <v>3008078</v>
      </c>
      <c r="C7409" t="s">
        <v>3255</v>
      </c>
      <c r="D7409" t="s">
        <v>441</v>
      </c>
      <c r="F7409">
        <v>0</v>
      </c>
      <c r="G7409">
        <v>9.19</v>
      </c>
      <c r="H7409" t="s">
        <v>8580</v>
      </c>
      <c r="I7409">
        <v>6</v>
      </c>
      <c r="J7409" t="s">
        <v>445</v>
      </c>
      <c r="K7409" t="s">
        <v>446</v>
      </c>
      <c r="M7409">
        <v>0</v>
      </c>
    </row>
    <row r="7410" spans="1:14">
      <c r="A7410">
        <v>28510002</v>
      </c>
      <c r="B7410">
        <v>3008079</v>
      </c>
      <c r="C7410" t="s">
        <v>3256</v>
      </c>
      <c r="D7410" t="s">
        <v>441</v>
      </c>
      <c r="F7410">
        <v>0</v>
      </c>
      <c r="G7410">
        <v>9.5399999999999991</v>
      </c>
      <c r="H7410" t="s">
        <v>8580</v>
      </c>
      <c r="I7410">
        <v>365</v>
      </c>
      <c r="J7410" t="s">
        <v>445</v>
      </c>
      <c r="K7410" t="s">
        <v>446</v>
      </c>
      <c r="M7410">
        <v>2501</v>
      </c>
    </row>
    <row r="7411" spans="1:14">
      <c r="A7411">
        <v>28510502</v>
      </c>
      <c r="B7411">
        <v>3008080</v>
      </c>
      <c r="C7411" t="s">
        <v>3257</v>
      </c>
      <c r="D7411" t="s">
        <v>441</v>
      </c>
      <c r="F7411">
        <v>0</v>
      </c>
      <c r="G7411">
        <v>9.17</v>
      </c>
      <c r="H7411" t="s">
        <v>8584</v>
      </c>
      <c r="I7411">
        <v>6</v>
      </c>
      <c r="J7411" t="s">
        <v>445</v>
      </c>
      <c r="K7411" t="s">
        <v>446</v>
      </c>
      <c r="M7411">
        <v>2641</v>
      </c>
    </row>
    <row r="7412" spans="1:14">
      <c r="A7412">
        <v>28520000</v>
      </c>
      <c r="B7412">
        <v>3008081</v>
      </c>
      <c r="C7412" t="s">
        <v>12089</v>
      </c>
      <c r="D7412" t="s">
        <v>441</v>
      </c>
      <c r="F7412">
        <v>0</v>
      </c>
      <c r="G7412">
        <v>9.56</v>
      </c>
      <c r="H7412" t="s">
        <v>8588</v>
      </c>
      <c r="I7412">
        <v>6</v>
      </c>
      <c r="J7412" t="s">
        <v>445</v>
      </c>
      <c r="K7412" t="s">
        <v>446</v>
      </c>
      <c r="M7412">
        <v>0</v>
      </c>
    </row>
    <row r="7413" spans="1:14">
      <c r="A7413">
        <v>28520002</v>
      </c>
      <c r="B7413">
        <v>3008082</v>
      </c>
      <c r="C7413" t="s">
        <v>3258</v>
      </c>
      <c r="D7413" t="s">
        <v>441</v>
      </c>
      <c r="F7413">
        <v>0</v>
      </c>
      <c r="G7413">
        <v>10.38</v>
      </c>
      <c r="H7413" t="s">
        <v>8580</v>
      </c>
      <c r="I7413">
        <v>540</v>
      </c>
      <c r="J7413" t="s">
        <v>445</v>
      </c>
      <c r="K7413" t="s">
        <v>446</v>
      </c>
      <c r="M7413">
        <v>2501</v>
      </c>
      <c r="N7413" t="s">
        <v>16046</v>
      </c>
    </row>
    <row r="7414" spans="1:14">
      <c r="A7414">
        <v>28520100</v>
      </c>
      <c r="B7414">
        <v>3015185</v>
      </c>
      <c r="C7414" t="s">
        <v>3259</v>
      </c>
      <c r="D7414" t="s">
        <v>441</v>
      </c>
      <c r="F7414">
        <v>0</v>
      </c>
      <c r="H7414" t="s">
        <v>8588</v>
      </c>
      <c r="I7414">
        <v>6</v>
      </c>
      <c r="J7414" t="s">
        <v>445</v>
      </c>
      <c r="M7414">
        <v>7161</v>
      </c>
      <c r="N7414" t="s">
        <v>16046</v>
      </c>
    </row>
    <row r="7415" spans="1:14">
      <c r="A7415">
        <v>28520502</v>
      </c>
      <c r="B7415">
        <v>3008083</v>
      </c>
      <c r="C7415" t="s">
        <v>3260</v>
      </c>
      <c r="D7415" t="s">
        <v>441</v>
      </c>
      <c r="F7415">
        <v>0</v>
      </c>
      <c r="G7415">
        <v>11</v>
      </c>
      <c r="H7415" t="s">
        <v>8580</v>
      </c>
      <c r="I7415">
        <v>6</v>
      </c>
      <c r="J7415" t="s">
        <v>445</v>
      </c>
      <c r="K7415" t="s">
        <v>446</v>
      </c>
      <c r="M7415">
        <v>2641</v>
      </c>
      <c r="N7415" t="s">
        <v>16046</v>
      </c>
    </row>
    <row r="7416" spans="1:14">
      <c r="A7416">
        <v>28520900</v>
      </c>
      <c r="B7416">
        <v>3020879</v>
      </c>
      <c r="C7416" t="s">
        <v>12090</v>
      </c>
      <c r="D7416" t="s">
        <v>441</v>
      </c>
      <c r="F7416">
        <v>0</v>
      </c>
      <c r="G7416">
        <v>7.7</v>
      </c>
      <c r="H7416" t="s">
        <v>8634</v>
      </c>
      <c r="I7416">
        <v>6</v>
      </c>
      <c r="J7416" t="s">
        <v>445</v>
      </c>
      <c r="K7416" t="s">
        <v>446</v>
      </c>
      <c r="M7416">
        <v>6666</v>
      </c>
    </row>
    <row r="7417" spans="1:14">
      <c r="A7417">
        <v>28521000</v>
      </c>
      <c r="B7417">
        <v>3017417</v>
      </c>
      <c r="C7417" t="s">
        <v>12091</v>
      </c>
      <c r="D7417" t="s">
        <v>441</v>
      </c>
      <c r="F7417">
        <v>0</v>
      </c>
      <c r="G7417">
        <v>8.33</v>
      </c>
      <c r="H7417" t="s">
        <v>8588</v>
      </c>
      <c r="I7417">
        <v>6</v>
      </c>
      <c r="J7417" t="s">
        <v>445</v>
      </c>
      <c r="K7417" t="s">
        <v>446</v>
      </c>
      <c r="M7417">
        <v>0</v>
      </c>
    </row>
    <row r="7418" spans="1:14">
      <c r="A7418">
        <v>28521900</v>
      </c>
      <c r="B7418">
        <v>3020880</v>
      </c>
      <c r="C7418" t="s">
        <v>12092</v>
      </c>
      <c r="D7418" t="s">
        <v>441</v>
      </c>
      <c r="F7418">
        <v>0</v>
      </c>
      <c r="G7418">
        <v>7.7</v>
      </c>
      <c r="H7418" t="s">
        <v>8634</v>
      </c>
      <c r="I7418">
        <v>6</v>
      </c>
      <c r="J7418" t="s">
        <v>445</v>
      </c>
      <c r="K7418" t="s">
        <v>446</v>
      </c>
      <c r="M7418">
        <v>6666</v>
      </c>
    </row>
    <row r="7419" spans="1:14">
      <c r="A7419">
        <v>28530000</v>
      </c>
      <c r="B7419">
        <v>3008084</v>
      </c>
      <c r="C7419" t="s">
        <v>3261</v>
      </c>
      <c r="D7419" t="s">
        <v>441</v>
      </c>
      <c r="F7419">
        <v>0</v>
      </c>
      <c r="G7419">
        <v>9.02</v>
      </c>
      <c r="H7419" t="s">
        <v>8584</v>
      </c>
      <c r="I7419">
        <v>6</v>
      </c>
      <c r="J7419" t="s">
        <v>445</v>
      </c>
      <c r="K7419" t="s">
        <v>446</v>
      </c>
      <c r="M7419">
        <v>0</v>
      </c>
    </row>
    <row r="7420" spans="1:14">
      <c r="A7420">
        <v>28530002</v>
      </c>
      <c r="B7420">
        <v>3008085</v>
      </c>
      <c r="C7420" t="s">
        <v>3262</v>
      </c>
      <c r="D7420" t="s">
        <v>441</v>
      </c>
      <c r="F7420">
        <v>0</v>
      </c>
      <c r="G7420">
        <v>9.33</v>
      </c>
      <c r="H7420" t="s">
        <v>8580</v>
      </c>
      <c r="I7420">
        <v>365</v>
      </c>
      <c r="J7420" t="s">
        <v>445</v>
      </c>
      <c r="K7420" t="s">
        <v>446</v>
      </c>
      <c r="M7420">
        <v>2501</v>
      </c>
    </row>
    <row r="7421" spans="1:14">
      <c r="A7421">
        <v>28530502</v>
      </c>
      <c r="B7421">
        <v>3008086</v>
      </c>
      <c r="C7421" t="s">
        <v>3263</v>
      </c>
      <c r="D7421" t="s">
        <v>441</v>
      </c>
      <c r="F7421">
        <v>0</v>
      </c>
      <c r="G7421">
        <v>9.08</v>
      </c>
      <c r="H7421" t="s">
        <v>8584</v>
      </c>
      <c r="I7421">
        <v>6</v>
      </c>
      <c r="J7421" t="s">
        <v>445</v>
      </c>
      <c r="K7421" t="s">
        <v>446</v>
      </c>
      <c r="M7421">
        <v>2641</v>
      </c>
    </row>
    <row r="7422" spans="1:14">
      <c r="A7422">
        <v>28540000</v>
      </c>
      <c r="B7422">
        <v>3008087</v>
      </c>
      <c r="C7422" t="s">
        <v>3264</v>
      </c>
      <c r="D7422" t="s">
        <v>441</v>
      </c>
      <c r="F7422">
        <v>0</v>
      </c>
      <c r="G7422">
        <v>10.52</v>
      </c>
      <c r="H7422" t="s">
        <v>8584</v>
      </c>
      <c r="I7422">
        <v>6</v>
      </c>
      <c r="J7422" t="s">
        <v>445</v>
      </c>
      <c r="M7422">
        <v>2391</v>
      </c>
      <c r="N7422" t="s">
        <v>16061</v>
      </c>
    </row>
    <row r="7423" spans="1:14">
      <c r="A7423">
        <v>28540002</v>
      </c>
      <c r="B7423">
        <v>3008088</v>
      </c>
      <c r="C7423" t="s">
        <v>3265</v>
      </c>
      <c r="D7423" t="s">
        <v>441</v>
      </c>
      <c r="F7423">
        <v>0</v>
      </c>
      <c r="G7423">
        <v>14.57</v>
      </c>
      <c r="H7423" t="s">
        <v>8588</v>
      </c>
      <c r="I7423">
        <v>365</v>
      </c>
      <c r="J7423" t="s">
        <v>445</v>
      </c>
      <c r="K7423" t="s">
        <v>446</v>
      </c>
      <c r="M7423">
        <v>2501</v>
      </c>
      <c r="N7423" t="s">
        <v>16061</v>
      </c>
    </row>
    <row r="7424" spans="1:14">
      <c r="A7424">
        <v>28540020</v>
      </c>
      <c r="B7424">
        <v>4007538</v>
      </c>
      <c r="C7424" t="s">
        <v>14495</v>
      </c>
      <c r="D7424" t="s">
        <v>441</v>
      </c>
      <c r="F7424">
        <v>0</v>
      </c>
      <c r="G7424">
        <v>18.32</v>
      </c>
      <c r="H7424" t="s">
        <v>8588</v>
      </c>
      <c r="I7424">
        <v>6</v>
      </c>
      <c r="J7424" t="s">
        <v>462</v>
      </c>
      <c r="M7424">
        <v>7112</v>
      </c>
      <c r="N7424" t="s">
        <v>16061</v>
      </c>
    </row>
    <row r="7425" spans="1:14">
      <c r="A7425">
        <v>28540021</v>
      </c>
      <c r="B7425">
        <v>4010515</v>
      </c>
      <c r="C7425" t="s">
        <v>3266</v>
      </c>
      <c r="D7425" t="s">
        <v>441</v>
      </c>
      <c r="F7425">
        <v>0</v>
      </c>
      <c r="G7425">
        <v>11.04</v>
      </c>
      <c r="H7425" t="s">
        <v>8588</v>
      </c>
      <c r="I7425">
        <v>6</v>
      </c>
      <c r="J7425" t="s">
        <v>462</v>
      </c>
      <c r="M7425">
        <v>7112</v>
      </c>
      <c r="N7425" t="s">
        <v>16061</v>
      </c>
    </row>
    <row r="7426" spans="1:14">
      <c r="A7426">
        <v>28540022</v>
      </c>
      <c r="B7426">
        <v>4012221</v>
      </c>
      <c r="C7426" t="s">
        <v>12093</v>
      </c>
      <c r="D7426" t="s">
        <v>441</v>
      </c>
      <c r="F7426">
        <v>0</v>
      </c>
      <c r="G7426">
        <v>11.2</v>
      </c>
      <c r="H7426" t="s">
        <v>8588</v>
      </c>
      <c r="I7426">
        <v>6</v>
      </c>
      <c r="J7426" t="s">
        <v>462</v>
      </c>
      <c r="K7426" t="s">
        <v>446</v>
      </c>
      <c r="L7426">
        <v>263051</v>
      </c>
      <c r="M7426">
        <v>2612</v>
      </c>
      <c r="N7426" t="s">
        <v>16061</v>
      </c>
    </row>
    <row r="7427" spans="1:14">
      <c r="A7427">
        <v>28540025</v>
      </c>
      <c r="B7427">
        <v>3033391</v>
      </c>
      <c r="C7427" t="s">
        <v>3267</v>
      </c>
      <c r="D7427" t="s">
        <v>441</v>
      </c>
      <c r="F7427">
        <v>0</v>
      </c>
      <c r="G7427">
        <v>10.96</v>
      </c>
      <c r="H7427" t="s">
        <v>8549</v>
      </c>
      <c r="I7427">
        <v>540</v>
      </c>
      <c r="J7427" t="s">
        <v>445</v>
      </c>
      <c r="M7427">
        <v>7111</v>
      </c>
      <c r="N7427" t="s">
        <v>16061</v>
      </c>
    </row>
    <row r="7428" spans="1:14">
      <c r="A7428">
        <v>28540040</v>
      </c>
      <c r="B7428">
        <v>4027519</v>
      </c>
      <c r="C7428" t="s">
        <v>3268</v>
      </c>
      <c r="D7428" t="s">
        <v>441</v>
      </c>
      <c r="F7428">
        <v>0</v>
      </c>
      <c r="G7428">
        <v>11.23</v>
      </c>
      <c r="H7428" t="s">
        <v>8588</v>
      </c>
      <c r="I7428">
        <v>16</v>
      </c>
      <c r="J7428" t="s">
        <v>462</v>
      </c>
      <c r="M7428">
        <v>7112</v>
      </c>
      <c r="N7428" t="s">
        <v>16061</v>
      </c>
    </row>
    <row r="7429" spans="1:14">
      <c r="A7429">
        <v>28540041</v>
      </c>
      <c r="B7429">
        <v>4007761</v>
      </c>
      <c r="C7429" t="s">
        <v>3269</v>
      </c>
      <c r="D7429" t="s">
        <v>441</v>
      </c>
      <c r="F7429">
        <v>0</v>
      </c>
      <c r="G7429">
        <v>17.43</v>
      </c>
      <c r="H7429" t="s">
        <v>8588</v>
      </c>
      <c r="I7429">
        <v>16</v>
      </c>
      <c r="J7429" t="s">
        <v>462</v>
      </c>
      <c r="M7429">
        <v>7112</v>
      </c>
      <c r="N7429" t="s">
        <v>16061</v>
      </c>
    </row>
    <row r="7430" spans="1:14">
      <c r="A7430">
        <v>28540042</v>
      </c>
      <c r="B7430">
        <v>4009862</v>
      </c>
      <c r="C7430" t="s">
        <v>12094</v>
      </c>
      <c r="D7430" t="s">
        <v>441</v>
      </c>
      <c r="F7430">
        <v>0</v>
      </c>
      <c r="G7430">
        <v>15.17</v>
      </c>
      <c r="H7430" t="s">
        <v>8588</v>
      </c>
      <c r="I7430">
        <v>365</v>
      </c>
      <c r="J7430" t="s">
        <v>462</v>
      </c>
      <c r="K7430" t="s">
        <v>446</v>
      </c>
      <c r="M7430">
        <v>2501</v>
      </c>
      <c r="N7430" t="s">
        <v>16061</v>
      </c>
    </row>
    <row r="7431" spans="1:14">
      <c r="A7431">
        <v>28540043</v>
      </c>
      <c r="B7431">
        <v>4015300</v>
      </c>
      <c r="C7431" t="s">
        <v>12095</v>
      </c>
      <c r="D7431" t="s">
        <v>441</v>
      </c>
      <c r="F7431">
        <v>0</v>
      </c>
      <c r="G7431">
        <v>14.95</v>
      </c>
      <c r="H7431" t="s">
        <v>8588</v>
      </c>
      <c r="I7431">
        <v>16</v>
      </c>
      <c r="J7431" t="s">
        <v>462</v>
      </c>
      <c r="K7431" t="s">
        <v>446</v>
      </c>
      <c r="M7431">
        <v>2612</v>
      </c>
      <c r="N7431" t="s">
        <v>16061</v>
      </c>
    </row>
    <row r="7432" spans="1:14">
      <c r="A7432">
        <v>28540050</v>
      </c>
      <c r="B7432">
        <v>4009896</v>
      </c>
      <c r="C7432" t="s">
        <v>12096</v>
      </c>
      <c r="D7432" t="s">
        <v>441</v>
      </c>
      <c r="F7432">
        <v>0</v>
      </c>
      <c r="G7432">
        <v>14.86</v>
      </c>
      <c r="H7432" t="s">
        <v>8588</v>
      </c>
      <c r="I7432">
        <v>16</v>
      </c>
      <c r="J7432" t="s">
        <v>462</v>
      </c>
      <c r="K7432" t="s">
        <v>446</v>
      </c>
      <c r="M7432">
        <v>2612</v>
      </c>
      <c r="N7432" t="s">
        <v>16061</v>
      </c>
    </row>
    <row r="7433" spans="1:14">
      <c r="A7433">
        <v>28540051</v>
      </c>
      <c r="B7433">
        <v>4010130</v>
      </c>
      <c r="C7433" t="s">
        <v>12097</v>
      </c>
      <c r="D7433" t="s">
        <v>441</v>
      </c>
      <c r="F7433">
        <v>0</v>
      </c>
      <c r="G7433">
        <v>8.07</v>
      </c>
      <c r="H7433" t="s">
        <v>8588</v>
      </c>
      <c r="I7433">
        <v>16</v>
      </c>
      <c r="J7433" t="s">
        <v>462</v>
      </c>
      <c r="K7433" t="s">
        <v>446</v>
      </c>
      <c r="M7433">
        <v>2612</v>
      </c>
    </row>
    <row r="7434" spans="1:14">
      <c r="A7434">
        <v>28540052</v>
      </c>
      <c r="B7434">
        <v>4010774</v>
      </c>
      <c r="C7434" t="s">
        <v>3270</v>
      </c>
      <c r="D7434" t="s">
        <v>441</v>
      </c>
      <c r="F7434">
        <v>0</v>
      </c>
      <c r="G7434">
        <v>10.33</v>
      </c>
      <c r="H7434" t="s">
        <v>8588</v>
      </c>
      <c r="I7434">
        <v>10</v>
      </c>
      <c r="J7434" t="s">
        <v>462</v>
      </c>
      <c r="K7434" t="s">
        <v>446</v>
      </c>
      <c r="M7434">
        <v>2612</v>
      </c>
      <c r="N7434" t="s">
        <v>16061</v>
      </c>
    </row>
    <row r="7435" spans="1:14">
      <c r="A7435">
        <v>28540054</v>
      </c>
      <c r="B7435">
        <v>4017137</v>
      </c>
      <c r="C7435" t="s">
        <v>3271</v>
      </c>
      <c r="D7435" t="s">
        <v>441</v>
      </c>
      <c r="F7435">
        <v>0</v>
      </c>
      <c r="G7435">
        <v>18.12</v>
      </c>
      <c r="H7435" t="s">
        <v>8588</v>
      </c>
      <c r="I7435">
        <v>540</v>
      </c>
      <c r="J7435" t="s">
        <v>462</v>
      </c>
      <c r="M7435">
        <v>7111</v>
      </c>
      <c r="N7435" t="s">
        <v>16061</v>
      </c>
    </row>
    <row r="7436" spans="1:14">
      <c r="A7436">
        <v>28540055</v>
      </c>
      <c r="B7436">
        <v>4017167</v>
      </c>
      <c r="C7436" t="s">
        <v>3272</v>
      </c>
      <c r="D7436" t="s">
        <v>441</v>
      </c>
      <c r="F7436">
        <v>0</v>
      </c>
      <c r="G7436">
        <v>11.29</v>
      </c>
      <c r="H7436" t="s">
        <v>8588</v>
      </c>
      <c r="I7436">
        <v>16</v>
      </c>
      <c r="J7436" t="s">
        <v>462</v>
      </c>
      <c r="M7436">
        <v>7112</v>
      </c>
      <c r="N7436" t="s">
        <v>16061</v>
      </c>
    </row>
    <row r="7437" spans="1:14">
      <c r="A7437">
        <v>28540061</v>
      </c>
      <c r="B7437">
        <v>3011402</v>
      </c>
      <c r="C7437" t="s">
        <v>3273</v>
      </c>
      <c r="D7437" t="s">
        <v>441</v>
      </c>
      <c r="F7437">
        <v>0</v>
      </c>
      <c r="G7437">
        <v>10.64</v>
      </c>
      <c r="H7437" t="s">
        <v>8549</v>
      </c>
      <c r="I7437">
        <v>365</v>
      </c>
      <c r="J7437" t="s">
        <v>445</v>
      </c>
      <c r="K7437" t="s">
        <v>446</v>
      </c>
      <c r="M7437">
        <v>2501</v>
      </c>
      <c r="N7437" t="s">
        <v>16061</v>
      </c>
    </row>
    <row r="7438" spans="1:14">
      <c r="A7438">
        <v>28540062</v>
      </c>
      <c r="B7438">
        <v>4015954</v>
      </c>
      <c r="C7438" t="s">
        <v>12098</v>
      </c>
      <c r="D7438" t="s">
        <v>441</v>
      </c>
      <c r="F7438">
        <v>0</v>
      </c>
      <c r="G7438">
        <v>10.75</v>
      </c>
      <c r="H7438" t="s">
        <v>8588</v>
      </c>
      <c r="I7438">
        <v>365</v>
      </c>
      <c r="J7438" t="s">
        <v>462</v>
      </c>
      <c r="K7438" t="s">
        <v>446</v>
      </c>
      <c r="L7438" t="s">
        <v>12099</v>
      </c>
      <c r="M7438">
        <v>2501</v>
      </c>
      <c r="N7438" t="s">
        <v>16061</v>
      </c>
    </row>
    <row r="7439" spans="1:14">
      <c r="A7439">
        <v>28540063</v>
      </c>
      <c r="B7439">
        <v>4016094</v>
      </c>
      <c r="C7439" t="s">
        <v>12100</v>
      </c>
      <c r="D7439" t="s">
        <v>441</v>
      </c>
      <c r="F7439">
        <v>0</v>
      </c>
      <c r="G7439">
        <v>15.01</v>
      </c>
      <c r="H7439" t="s">
        <v>8588</v>
      </c>
      <c r="I7439">
        <v>365</v>
      </c>
      <c r="J7439" t="s">
        <v>462</v>
      </c>
      <c r="K7439" t="s">
        <v>446</v>
      </c>
      <c r="M7439">
        <v>2501</v>
      </c>
      <c r="N7439" t="s">
        <v>16061</v>
      </c>
    </row>
    <row r="7440" spans="1:14">
      <c r="A7440">
        <v>28540076</v>
      </c>
      <c r="B7440">
        <v>3012388</v>
      </c>
      <c r="C7440" t="s">
        <v>3274</v>
      </c>
      <c r="D7440" t="s">
        <v>441</v>
      </c>
      <c r="F7440">
        <v>0</v>
      </c>
      <c r="G7440">
        <v>14.29</v>
      </c>
      <c r="H7440" t="s">
        <v>8588</v>
      </c>
      <c r="I7440">
        <v>6</v>
      </c>
      <c r="J7440" t="s">
        <v>445</v>
      </c>
      <c r="K7440" t="s">
        <v>446</v>
      </c>
      <c r="M7440">
        <v>2641</v>
      </c>
      <c r="N7440" t="s">
        <v>16061</v>
      </c>
    </row>
    <row r="7441" spans="1:14">
      <c r="A7441">
        <v>28540077</v>
      </c>
      <c r="B7441">
        <v>4013271</v>
      </c>
      <c r="C7441" t="s">
        <v>12101</v>
      </c>
      <c r="D7441" t="s">
        <v>441</v>
      </c>
      <c r="F7441">
        <v>0</v>
      </c>
      <c r="G7441">
        <v>14.29</v>
      </c>
      <c r="H7441" t="s">
        <v>8588</v>
      </c>
      <c r="I7441">
        <v>6</v>
      </c>
      <c r="J7441" t="s">
        <v>462</v>
      </c>
      <c r="K7441" t="s">
        <v>446</v>
      </c>
      <c r="M7441">
        <v>2641</v>
      </c>
      <c r="N7441" t="s">
        <v>16061</v>
      </c>
    </row>
    <row r="7442" spans="1:14">
      <c r="A7442">
        <v>28540078</v>
      </c>
      <c r="B7442">
        <v>4015246</v>
      </c>
      <c r="C7442" t="s">
        <v>12102</v>
      </c>
      <c r="D7442" t="s">
        <v>441</v>
      </c>
      <c r="F7442">
        <v>0</v>
      </c>
      <c r="G7442">
        <v>12.7</v>
      </c>
      <c r="H7442" t="s">
        <v>8588</v>
      </c>
      <c r="I7442">
        <v>6</v>
      </c>
      <c r="J7442" t="s">
        <v>462</v>
      </c>
      <c r="K7442" t="s">
        <v>446</v>
      </c>
      <c r="L7442">
        <v>2630510</v>
      </c>
      <c r="M7442">
        <v>2641</v>
      </c>
      <c r="N7442" t="s">
        <v>16061</v>
      </c>
    </row>
    <row r="7443" spans="1:14">
      <c r="A7443">
        <v>28540079</v>
      </c>
      <c r="B7443">
        <v>3033451</v>
      </c>
      <c r="C7443" t="s">
        <v>3275</v>
      </c>
      <c r="D7443" t="s">
        <v>441</v>
      </c>
      <c r="F7443">
        <v>0</v>
      </c>
      <c r="G7443">
        <v>10.74</v>
      </c>
      <c r="H7443" t="s">
        <v>8588</v>
      </c>
      <c r="I7443">
        <v>6</v>
      </c>
      <c r="J7443" t="s">
        <v>445</v>
      </c>
      <c r="M7443">
        <v>7112</v>
      </c>
      <c r="N7443" t="s">
        <v>16061</v>
      </c>
    </row>
    <row r="7444" spans="1:14">
      <c r="A7444">
        <v>28540087</v>
      </c>
      <c r="B7444">
        <v>3031769</v>
      </c>
      <c r="C7444" t="s">
        <v>3276</v>
      </c>
      <c r="D7444" t="s">
        <v>441</v>
      </c>
      <c r="F7444">
        <v>0</v>
      </c>
      <c r="G7444">
        <v>10.64</v>
      </c>
      <c r="H7444" t="s">
        <v>8588</v>
      </c>
      <c r="I7444">
        <v>6</v>
      </c>
      <c r="J7444" t="s">
        <v>445</v>
      </c>
      <c r="M7444">
        <v>7112</v>
      </c>
      <c r="N7444" t="s">
        <v>16061</v>
      </c>
    </row>
    <row r="7445" spans="1:14">
      <c r="A7445">
        <v>28540100</v>
      </c>
      <c r="B7445">
        <v>3014716</v>
      </c>
      <c r="C7445" t="s">
        <v>3277</v>
      </c>
      <c r="D7445" t="s">
        <v>441</v>
      </c>
      <c r="F7445">
        <v>0</v>
      </c>
      <c r="G7445">
        <v>15.87</v>
      </c>
      <c r="H7445" t="s">
        <v>8588</v>
      </c>
      <c r="I7445">
        <v>265</v>
      </c>
      <c r="J7445" t="s">
        <v>445</v>
      </c>
      <c r="K7445" t="s">
        <v>446</v>
      </c>
      <c r="M7445">
        <v>3741</v>
      </c>
    </row>
    <row r="7446" spans="1:14">
      <c r="A7446">
        <v>28540102</v>
      </c>
      <c r="B7446">
        <v>3011344</v>
      </c>
      <c r="C7446" t="s">
        <v>3278</v>
      </c>
      <c r="D7446" t="s">
        <v>441</v>
      </c>
      <c r="F7446">
        <v>0</v>
      </c>
      <c r="H7446" t="s">
        <v>8588</v>
      </c>
      <c r="I7446">
        <v>365</v>
      </c>
      <c r="J7446" t="s">
        <v>445</v>
      </c>
      <c r="K7446" t="s">
        <v>446</v>
      </c>
      <c r="M7446">
        <v>7113</v>
      </c>
    </row>
    <row r="7447" spans="1:14">
      <c r="A7447">
        <v>28540110</v>
      </c>
      <c r="B7447">
        <v>3014814</v>
      </c>
      <c r="C7447" t="s">
        <v>3279</v>
      </c>
      <c r="D7447" t="s">
        <v>441</v>
      </c>
      <c r="F7447">
        <v>0</v>
      </c>
      <c r="H7447" t="s">
        <v>8588</v>
      </c>
      <c r="I7447">
        <v>540</v>
      </c>
      <c r="J7447" t="s">
        <v>445</v>
      </c>
      <c r="M7447">
        <v>7161</v>
      </c>
      <c r="N7447" t="s">
        <v>16058</v>
      </c>
    </row>
    <row r="7448" spans="1:14">
      <c r="A7448">
        <v>28540120</v>
      </c>
      <c r="B7448">
        <v>3010696</v>
      </c>
      <c r="C7448" t="s">
        <v>3280</v>
      </c>
      <c r="D7448" t="s">
        <v>441</v>
      </c>
      <c r="F7448">
        <v>0</v>
      </c>
      <c r="H7448" t="s">
        <v>8549</v>
      </c>
      <c r="I7448">
        <v>6</v>
      </c>
      <c r="J7448" t="s">
        <v>445</v>
      </c>
      <c r="M7448">
        <v>7161</v>
      </c>
      <c r="N7448" t="s">
        <v>16061</v>
      </c>
    </row>
    <row r="7449" spans="1:14">
      <c r="A7449">
        <v>28540130</v>
      </c>
      <c r="B7449">
        <v>3032426</v>
      </c>
      <c r="C7449" t="s">
        <v>3281</v>
      </c>
      <c r="D7449" t="s">
        <v>441</v>
      </c>
      <c r="F7449">
        <v>0</v>
      </c>
      <c r="H7449" t="s">
        <v>8588</v>
      </c>
      <c r="I7449">
        <v>6</v>
      </c>
      <c r="J7449" t="s">
        <v>445</v>
      </c>
      <c r="K7449" t="s">
        <v>446</v>
      </c>
      <c r="M7449">
        <v>0</v>
      </c>
      <c r="N7449" t="s">
        <v>16061</v>
      </c>
    </row>
    <row r="7450" spans="1:14">
      <c r="A7450">
        <v>28540140</v>
      </c>
      <c r="B7450">
        <v>3011815</v>
      </c>
      <c r="C7450" t="s">
        <v>3282</v>
      </c>
      <c r="D7450" t="s">
        <v>441</v>
      </c>
      <c r="F7450">
        <v>0</v>
      </c>
      <c r="H7450" t="s">
        <v>8588</v>
      </c>
      <c r="I7450">
        <v>540</v>
      </c>
      <c r="J7450" t="s">
        <v>445</v>
      </c>
      <c r="M7450">
        <v>7113</v>
      </c>
      <c r="N7450" t="s">
        <v>16061</v>
      </c>
    </row>
    <row r="7451" spans="1:14">
      <c r="A7451">
        <v>28540150</v>
      </c>
      <c r="B7451">
        <v>3010788</v>
      </c>
      <c r="C7451" t="s">
        <v>3283</v>
      </c>
      <c r="D7451" t="s">
        <v>441</v>
      </c>
      <c r="F7451">
        <v>0</v>
      </c>
      <c r="H7451" t="s">
        <v>8549</v>
      </c>
      <c r="I7451">
        <v>540</v>
      </c>
      <c r="J7451" t="s">
        <v>445</v>
      </c>
      <c r="M7451">
        <v>7113</v>
      </c>
      <c r="N7451" t="s">
        <v>16061</v>
      </c>
    </row>
    <row r="7452" spans="1:14">
      <c r="A7452">
        <v>28540152</v>
      </c>
      <c r="B7452">
        <v>3011997</v>
      </c>
      <c r="C7452" t="s">
        <v>3284</v>
      </c>
      <c r="D7452" t="s">
        <v>441</v>
      </c>
      <c r="F7452">
        <v>0</v>
      </c>
      <c r="H7452" t="s">
        <v>8588</v>
      </c>
      <c r="I7452">
        <v>540</v>
      </c>
      <c r="J7452" t="s">
        <v>445</v>
      </c>
      <c r="M7452">
        <v>7113</v>
      </c>
      <c r="N7452" t="s">
        <v>16061</v>
      </c>
    </row>
    <row r="7453" spans="1:14">
      <c r="A7453">
        <v>28540160</v>
      </c>
      <c r="B7453">
        <v>3015085</v>
      </c>
      <c r="C7453" t="s">
        <v>3285</v>
      </c>
      <c r="D7453" t="s">
        <v>441</v>
      </c>
      <c r="F7453">
        <v>0</v>
      </c>
      <c r="H7453" t="s">
        <v>8588</v>
      </c>
      <c r="I7453">
        <v>6</v>
      </c>
      <c r="J7453" t="s">
        <v>445</v>
      </c>
      <c r="M7453">
        <v>7161</v>
      </c>
      <c r="N7453" t="s">
        <v>16061</v>
      </c>
    </row>
    <row r="7454" spans="1:14">
      <c r="A7454">
        <v>28540502</v>
      </c>
      <c r="B7454">
        <v>3008089</v>
      </c>
      <c r="C7454" t="s">
        <v>3286</v>
      </c>
      <c r="D7454" t="s">
        <v>441</v>
      </c>
      <c r="F7454">
        <v>0</v>
      </c>
      <c r="G7454">
        <v>14.27</v>
      </c>
      <c r="H7454" t="s">
        <v>8580</v>
      </c>
      <c r="I7454">
        <v>6</v>
      </c>
      <c r="J7454" t="s">
        <v>445</v>
      </c>
      <c r="K7454" t="s">
        <v>446</v>
      </c>
      <c r="M7454">
        <v>2641</v>
      </c>
      <c r="N7454" t="s">
        <v>16061</v>
      </c>
    </row>
    <row r="7455" spans="1:14">
      <c r="A7455">
        <v>28540525</v>
      </c>
      <c r="B7455">
        <v>3033390</v>
      </c>
      <c r="C7455" t="s">
        <v>3287</v>
      </c>
      <c r="D7455" t="s">
        <v>441</v>
      </c>
      <c r="F7455">
        <v>0</v>
      </c>
      <c r="G7455">
        <v>10.62</v>
      </c>
      <c r="H7455" t="s">
        <v>8549</v>
      </c>
      <c r="I7455">
        <v>6</v>
      </c>
      <c r="J7455" t="s">
        <v>445</v>
      </c>
      <c r="M7455">
        <v>2502</v>
      </c>
      <c r="N7455" t="s">
        <v>16061</v>
      </c>
    </row>
    <row r="7456" spans="1:14">
      <c r="A7456">
        <v>28540542</v>
      </c>
      <c r="B7456">
        <v>3012291</v>
      </c>
      <c r="C7456" t="s">
        <v>12103</v>
      </c>
      <c r="D7456" t="s">
        <v>441</v>
      </c>
      <c r="F7456">
        <v>0</v>
      </c>
      <c r="G7456">
        <v>14.89</v>
      </c>
      <c r="H7456" t="s">
        <v>8580</v>
      </c>
      <c r="I7456">
        <v>365</v>
      </c>
      <c r="J7456" t="s">
        <v>445</v>
      </c>
      <c r="K7456" t="s">
        <v>446</v>
      </c>
      <c r="M7456">
        <v>2612</v>
      </c>
      <c r="N7456" t="s">
        <v>16061</v>
      </c>
    </row>
    <row r="7457" spans="1:14">
      <c r="A7457">
        <v>28540554</v>
      </c>
      <c r="B7457">
        <v>3024128</v>
      </c>
      <c r="C7457" t="s">
        <v>3288</v>
      </c>
      <c r="D7457" t="s">
        <v>441</v>
      </c>
      <c r="F7457">
        <v>0</v>
      </c>
      <c r="G7457">
        <v>11.27</v>
      </c>
      <c r="H7457" t="s">
        <v>9884</v>
      </c>
      <c r="I7457">
        <v>6</v>
      </c>
      <c r="J7457" t="s">
        <v>445</v>
      </c>
      <c r="M7457">
        <v>2502</v>
      </c>
      <c r="N7457" t="s">
        <v>16061</v>
      </c>
    </row>
    <row r="7458" spans="1:14">
      <c r="A7458">
        <v>28540561</v>
      </c>
      <c r="B7458">
        <v>3011401</v>
      </c>
      <c r="C7458" t="s">
        <v>12104</v>
      </c>
      <c r="D7458" t="s">
        <v>441</v>
      </c>
      <c r="F7458">
        <v>0</v>
      </c>
      <c r="G7458">
        <v>10.43</v>
      </c>
      <c r="H7458" t="s">
        <v>8584</v>
      </c>
      <c r="I7458">
        <v>365</v>
      </c>
      <c r="J7458" t="s">
        <v>445</v>
      </c>
      <c r="K7458" t="s">
        <v>446</v>
      </c>
      <c r="M7458">
        <v>2612</v>
      </c>
      <c r="N7458" t="s">
        <v>16061</v>
      </c>
    </row>
    <row r="7459" spans="1:14">
      <c r="A7459">
        <v>28540562</v>
      </c>
      <c r="B7459">
        <v>3024089</v>
      </c>
      <c r="C7459" t="s">
        <v>12105</v>
      </c>
      <c r="D7459" t="s">
        <v>441</v>
      </c>
      <c r="F7459">
        <v>0</v>
      </c>
      <c r="G7459">
        <v>10.48</v>
      </c>
      <c r="H7459" t="s">
        <v>8588</v>
      </c>
      <c r="I7459">
        <v>365</v>
      </c>
      <c r="J7459" t="s">
        <v>445</v>
      </c>
      <c r="K7459" t="s">
        <v>446</v>
      </c>
      <c r="M7459">
        <v>2641</v>
      </c>
      <c r="N7459" t="s">
        <v>16061</v>
      </c>
    </row>
    <row r="7460" spans="1:14">
      <c r="A7460">
        <v>28540563</v>
      </c>
      <c r="B7460">
        <v>3024256</v>
      </c>
      <c r="C7460" t="s">
        <v>12106</v>
      </c>
      <c r="D7460" t="s">
        <v>441</v>
      </c>
      <c r="F7460">
        <v>0</v>
      </c>
      <c r="G7460">
        <v>14.8</v>
      </c>
      <c r="H7460" t="s">
        <v>8588</v>
      </c>
      <c r="I7460">
        <v>365</v>
      </c>
      <c r="J7460" t="s">
        <v>445</v>
      </c>
      <c r="K7460" t="s">
        <v>446</v>
      </c>
      <c r="M7460">
        <v>2641</v>
      </c>
      <c r="N7460" t="s">
        <v>16061</v>
      </c>
    </row>
    <row r="7461" spans="1:14">
      <c r="A7461">
        <v>28540602</v>
      </c>
      <c r="B7461">
        <v>3008090</v>
      </c>
      <c r="C7461" t="s">
        <v>3289</v>
      </c>
      <c r="D7461" t="s">
        <v>441</v>
      </c>
      <c r="F7461">
        <v>0</v>
      </c>
      <c r="G7461">
        <v>15.03</v>
      </c>
      <c r="H7461" t="s">
        <v>8588</v>
      </c>
      <c r="I7461">
        <v>4</v>
      </c>
      <c r="J7461" t="s">
        <v>445</v>
      </c>
      <c r="K7461" t="s">
        <v>446</v>
      </c>
      <c r="M7461">
        <v>2511</v>
      </c>
      <c r="N7461" t="s">
        <v>16061</v>
      </c>
    </row>
    <row r="7462" spans="1:14">
      <c r="A7462">
        <v>28540652</v>
      </c>
      <c r="B7462">
        <v>3012100</v>
      </c>
      <c r="C7462" t="s">
        <v>3290</v>
      </c>
      <c r="D7462" t="s">
        <v>441</v>
      </c>
      <c r="F7462">
        <v>0</v>
      </c>
      <c r="G7462">
        <v>15.03</v>
      </c>
      <c r="H7462" t="s">
        <v>8588</v>
      </c>
      <c r="I7462">
        <v>4</v>
      </c>
      <c r="J7462" t="s">
        <v>445</v>
      </c>
      <c r="K7462" t="s">
        <v>446</v>
      </c>
      <c r="M7462">
        <v>2511</v>
      </c>
      <c r="N7462" t="s">
        <v>16061</v>
      </c>
    </row>
    <row r="7463" spans="1:14">
      <c r="A7463">
        <v>28540661</v>
      </c>
      <c r="B7463">
        <v>3011403</v>
      </c>
      <c r="C7463" t="s">
        <v>3291</v>
      </c>
      <c r="D7463" t="s">
        <v>441</v>
      </c>
      <c r="F7463">
        <v>0</v>
      </c>
      <c r="G7463">
        <v>11.07</v>
      </c>
      <c r="H7463" t="s">
        <v>8588</v>
      </c>
      <c r="I7463">
        <v>4</v>
      </c>
      <c r="J7463" t="s">
        <v>445</v>
      </c>
      <c r="K7463" t="s">
        <v>446</v>
      </c>
      <c r="M7463">
        <v>2511</v>
      </c>
      <c r="N7463" t="s">
        <v>16061</v>
      </c>
    </row>
    <row r="7464" spans="1:14">
      <c r="A7464">
        <v>28540902</v>
      </c>
      <c r="B7464">
        <v>3020362</v>
      </c>
      <c r="C7464" t="s">
        <v>3292</v>
      </c>
      <c r="D7464" t="s">
        <v>441</v>
      </c>
      <c r="F7464">
        <v>0</v>
      </c>
      <c r="G7464">
        <v>9.08</v>
      </c>
      <c r="H7464" t="s">
        <v>8580</v>
      </c>
      <c r="I7464">
        <v>4</v>
      </c>
      <c r="J7464" t="s">
        <v>445</v>
      </c>
      <c r="K7464" t="s">
        <v>446</v>
      </c>
      <c r="M7464">
        <v>6666</v>
      </c>
      <c r="N7464" t="s">
        <v>16061</v>
      </c>
    </row>
    <row r="7465" spans="1:14">
      <c r="A7465">
        <v>28540952</v>
      </c>
      <c r="B7465">
        <v>3020363</v>
      </c>
      <c r="C7465" t="s">
        <v>3293</v>
      </c>
      <c r="D7465" t="s">
        <v>441</v>
      </c>
      <c r="F7465">
        <v>0</v>
      </c>
      <c r="G7465">
        <v>9.08</v>
      </c>
      <c r="H7465" t="s">
        <v>8580</v>
      </c>
      <c r="I7465">
        <v>4</v>
      </c>
      <c r="J7465" t="s">
        <v>445</v>
      </c>
      <c r="K7465" t="s">
        <v>446</v>
      </c>
      <c r="M7465">
        <v>6666</v>
      </c>
      <c r="N7465" t="s">
        <v>16061</v>
      </c>
    </row>
    <row r="7466" spans="1:14">
      <c r="A7466">
        <v>28540961</v>
      </c>
      <c r="B7466">
        <v>3020364</v>
      </c>
      <c r="C7466" t="s">
        <v>3294</v>
      </c>
      <c r="D7466" t="s">
        <v>441</v>
      </c>
      <c r="F7466">
        <v>0</v>
      </c>
      <c r="G7466">
        <v>9</v>
      </c>
      <c r="I7466">
        <v>4</v>
      </c>
      <c r="J7466" t="s">
        <v>445</v>
      </c>
      <c r="K7466" t="s">
        <v>446</v>
      </c>
      <c r="M7466">
        <v>6666</v>
      </c>
      <c r="N7466" t="s">
        <v>16061</v>
      </c>
    </row>
    <row r="7467" spans="1:14">
      <c r="A7467">
        <v>28541020</v>
      </c>
      <c r="B7467">
        <v>4011744</v>
      </c>
      <c r="C7467" t="s">
        <v>12107</v>
      </c>
      <c r="D7467" t="s">
        <v>441</v>
      </c>
      <c r="F7467">
        <v>0</v>
      </c>
      <c r="G7467">
        <v>14.44</v>
      </c>
      <c r="H7467" t="s">
        <v>8588</v>
      </c>
      <c r="I7467">
        <v>6</v>
      </c>
      <c r="J7467" t="s">
        <v>462</v>
      </c>
      <c r="K7467" t="s">
        <v>446</v>
      </c>
      <c r="M7467">
        <v>2641</v>
      </c>
      <c r="N7467" t="s">
        <v>16061</v>
      </c>
    </row>
    <row r="7468" spans="1:14">
      <c r="A7468">
        <v>28541021</v>
      </c>
      <c r="B7468">
        <v>4012040</v>
      </c>
      <c r="C7468" t="s">
        <v>3295</v>
      </c>
      <c r="D7468" t="s">
        <v>441</v>
      </c>
      <c r="F7468">
        <v>0</v>
      </c>
      <c r="G7468">
        <v>11.77</v>
      </c>
      <c r="H7468" t="s">
        <v>8588</v>
      </c>
      <c r="I7468">
        <v>6</v>
      </c>
      <c r="J7468" t="s">
        <v>462</v>
      </c>
      <c r="K7468" t="s">
        <v>446</v>
      </c>
      <c r="M7468">
        <v>2612</v>
      </c>
    </row>
    <row r="7469" spans="1:14">
      <c r="A7469">
        <v>28541022</v>
      </c>
      <c r="B7469">
        <v>4012222</v>
      </c>
      <c r="C7469" t="s">
        <v>12108</v>
      </c>
      <c r="D7469" t="s">
        <v>441</v>
      </c>
      <c r="F7469">
        <v>0</v>
      </c>
      <c r="G7469">
        <v>11.2</v>
      </c>
      <c r="H7469" t="s">
        <v>8588</v>
      </c>
      <c r="I7469">
        <v>6</v>
      </c>
      <c r="J7469" t="s">
        <v>462</v>
      </c>
      <c r="K7469" t="s">
        <v>446</v>
      </c>
      <c r="M7469">
        <v>2612</v>
      </c>
      <c r="N7469" t="s">
        <v>16061</v>
      </c>
    </row>
    <row r="7470" spans="1:14">
      <c r="A7470">
        <v>28541041</v>
      </c>
      <c r="B7470">
        <v>4011755</v>
      </c>
      <c r="C7470" t="s">
        <v>12109</v>
      </c>
      <c r="D7470" t="s">
        <v>441</v>
      </c>
      <c r="F7470">
        <v>0</v>
      </c>
      <c r="G7470">
        <v>10.75</v>
      </c>
      <c r="H7470" t="s">
        <v>8588</v>
      </c>
      <c r="I7470">
        <v>16</v>
      </c>
      <c r="J7470" t="s">
        <v>462</v>
      </c>
      <c r="K7470" t="s">
        <v>446</v>
      </c>
      <c r="M7470">
        <v>2612</v>
      </c>
      <c r="N7470" t="s">
        <v>16061</v>
      </c>
    </row>
    <row r="7471" spans="1:14">
      <c r="A7471">
        <v>28541042</v>
      </c>
      <c r="B7471">
        <v>4011976</v>
      </c>
      <c r="C7471" t="s">
        <v>12110</v>
      </c>
      <c r="D7471" t="s">
        <v>441</v>
      </c>
      <c r="F7471">
        <v>0</v>
      </c>
      <c r="G7471">
        <v>12.44</v>
      </c>
      <c r="H7471" t="s">
        <v>8588</v>
      </c>
      <c r="I7471">
        <v>365</v>
      </c>
      <c r="J7471" t="s">
        <v>462</v>
      </c>
      <c r="K7471" t="s">
        <v>446</v>
      </c>
      <c r="M7471">
        <v>2501</v>
      </c>
    </row>
    <row r="7472" spans="1:14">
      <c r="A7472">
        <v>28541043</v>
      </c>
      <c r="B7472">
        <v>4015352</v>
      </c>
      <c r="C7472" t="s">
        <v>12111</v>
      </c>
      <c r="D7472" t="s">
        <v>441</v>
      </c>
      <c r="F7472">
        <v>0</v>
      </c>
      <c r="G7472">
        <v>14.95</v>
      </c>
      <c r="H7472" t="s">
        <v>8588</v>
      </c>
      <c r="I7472">
        <v>16</v>
      </c>
      <c r="J7472" t="s">
        <v>462</v>
      </c>
      <c r="K7472" t="s">
        <v>446</v>
      </c>
      <c r="M7472">
        <v>2612</v>
      </c>
      <c r="N7472" t="s">
        <v>16061</v>
      </c>
    </row>
    <row r="7473" spans="1:14">
      <c r="A7473">
        <v>28541050</v>
      </c>
      <c r="B7473">
        <v>4011988</v>
      </c>
      <c r="C7473" t="s">
        <v>12112</v>
      </c>
      <c r="D7473" t="s">
        <v>441</v>
      </c>
      <c r="F7473">
        <v>0</v>
      </c>
      <c r="G7473">
        <v>14.86</v>
      </c>
      <c r="H7473" t="s">
        <v>8588</v>
      </c>
      <c r="I7473">
        <v>16</v>
      </c>
      <c r="J7473" t="s">
        <v>462</v>
      </c>
      <c r="K7473" t="s">
        <v>446</v>
      </c>
      <c r="M7473">
        <v>2612</v>
      </c>
      <c r="N7473" t="s">
        <v>16061</v>
      </c>
    </row>
    <row r="7474" spans="1:14">
      <c r="A7474">
        <v>28541051</v>
      </c>
      <c r="B7474">
        <v>4012030</v>
      </c>
      <c r="C7474" t="s">
        <v>12113</v>
      </c>
      <c r="D7474" t="s">
        <v>441</v>
      </c>
      <c r="F7474">
        <v>0</v>
      </c>
      <c r="G7474">
        <v>14.72</v>
      </c>
      <c r="H7474" t="s">
        <v>8588</v>
      </c>
      <c r="I7474">
        <v>16</v>
      </c>
      <c r="J7474" t="s">
        <v>462</v>
      </c>
      <c r="K7474" t="s">
        <v>446</v>
      </c>
      <c r="M7474">
        <v>2612</v>
      </c>
      <c r="N7474" t="s">
        <v>16061</v>
      </c>
    </row>
    <row r="7475" spans="1:14">
      <c r="A7475">
        <v>28541052</v>
      </c>
      <c r="B7475">
        <v>4012103</v>
      </c>
      <c r="C7475" t="s">
        <v>3296</v>
      </c>
      <c r="D7475" t="s">
        <v>441</v>
      </c>
      <c r="F7475">
        <v>0</v>
      </c>
      <c r="G7475">
        <v>10.36</v>
      </c>
      <c r="H7475" t="s">
        <v>8588</v>
      </c>
      <c r="I7475">
        <v>10</v>
      </c>
      <c r="J7475" t="s">
        <v>462</v>
      </c>
      <c r="K7475" t="s">
        <v>446</v>
      </c>
      <c r="M7475">
        <v>2612</v>
      </c>
      <c r="N7475" t="s">
        <v>16061</v>
      </c>
    </row>
    <row r="7476" spans="1:14">
      <c r="A7476">
        <v>28541063</v>
      </c>
      <c r="B7476">
        <v>4016175</v>
      </c>
      <c r="C7476" t="s">
        <v>12114</v>
      </c>
      <c r="D7476" t="s">
        <v>441</v>
      </c>
      <c r="F7476">
        <v>0</v>
      </c>
      <c r="G7476">
        <v>15.01</v>
      </c>
      <c r="H7476" t="s">
        <v>8588</v>
      </c>
      <c r="I7476">
        <v>365</v>
      </c>
      <c r="J7476" t="s">
        <v>462</v>
      </c>
      <c r="K7476" t="s">
        <v>446</v>
      </c>
      <c r="M7476">
        <v>2501</v>
      </c>
      <c r="N7476" t="s">
        <v>16061</v>
      </c>
    </row>
    <row r="7477" spans="1:14">
      <c r="A7477">
        <v>28541077</v>
      </c>
      <c r="B7477">
        <v>4013272</v>
      </c>
      <c r="C7477" t="s">
        <v>12115</v>
      </c>
      <c r="D7477" t="s">
        <v>441</v>
      </c>
      <c r="F7477">
        <v>0</v>
      </c>
      <c r="G7477">
        <v>14.29</v>
      </c>
      <c r="H7477" t="s">
        <v>8588</v>
      </c>
      <c r="I7477">
        <v>6</v>
      </c>
      <c r="J7477" t="s">
        <v>462</v>
      </c>
      <c r="K7477" t="s">
        <v>446</v>
      </c>
      <c r="M7477">
        <v>2641</v>
      </c>
      <c r="N7477" t="s">
        <v>16061</v>
      </c>
    </row>
    <row r="7478" spans="1:14">
      <c r="A7478">
        <v>28541542</v>
      </c>
      <c r="B7478">
        <v>3017515</v>
      </c>
      <c r="C7478" t="s">
        <v>12116</v>
      </c>
      <c r="D7478" t="s">
        <v>441</v>
      </c>
      <c r="F7478">
        <v>0</v>
      </c>
      <c r="G7478">
        <v>12.19</v>
      </c>
      <c r="H7478" t="s">
        <v>8580</v>
      </c>
      <c r="I7478">
        <v>6</v>
      </c>
      <c r="J7478" t="s">
        <v>445</v>
      </c>
      <c r="K7478" t="s">
        <v>446</v>
      </c>
      <c r="M7478">
        <v>2612</v>
      </c>
    </row>
    <row r="7479" spans="1:14">
      <c r="A7479">
        <v>28541561</v>
      </c>
      <c r="B7479">
        <v>3017475</v>
      </c>
      <c r="C7479" t="s">
        <v>12117</v>
      </c>
      <c r="D7479" t="s">
        <v>441</v>
      </c>
      <c r="F7479">
        <v>0</v>
      </c>
      <c r="G7479">
        <v>10.43</v>
      </c>
      <c r="H7479" t="s">
        <v>8584</v>
      </c>
      <c r="I7479">
        <v>365</v>
      </c>
      <c r="J7479" t="s">
        <v>445</v>
      </c>
      <c r="K7479" t="s">
        <v>446</v>
      </c>
      <c r="M7479">
        <v>2612</v>
      </c>
      <c r="N7479" t="s">
        <v>16061</v>
      </c>
    </row>
    <row r="7480" spans="1:14">
      <c r="A7480">
        <v>28541563</v>
      </c>
      <c r="B7480">
        <v>3024417</v>
      </c>
      <c r="C7480" t="s">
        <v>12118</v>
      </c>
      <c r="D7480" t="s">
        <v>441</v>
      </c>
      <c r="F7480">
        <v>0</v>
      </c>
      <c r="G7480">
        <v>14.8</v>
      </c>
      <c r="H7480" t="s">
        <v>8588</v>
      </c>
      <c r="I7480">
        <v>365</v>
      </c>
      <c r="J7480" t="s">
        <v>445</v>
      </c>
      <c r="K7480" t="s">
        <v>446</v>
      </c>
      <c r="M7480">
        <v>2641</v>
      </c>
      <c r="N7480" t="s">
        <v>16061</v>
      </c>
    </row>
    <row r="7481" spans="1:14">
      <c r="A7481">
        <v>28544087</v>
      </c>
      <c r="B7481">
        <v>3035458</v>
      </c>
      <c r="C7481" t="s">
        <v>3297</v>
      </c>
      <c r="D7481" t="s">
        <v>441</v>
      </c>
      <c r="F7481">
        <v>0</v>
      </c>
      <c r="G7481">
        <v>10.64</v>
      </c>
      <c r="H7481" t="s">
        <v>8549</v>
      </c>
      <c r="I7481">
        <v>6</v>
      </c>
      <c r="J7481" t="s">
        <v>445</v>
      </c>
      <c r="M7481">
        <v>7112</v>
      </c>
      <c r="N7481" t="s">
        <v>16061</v>
      </c>
    </row>
    <row r="7482" spans="1:14">
      <c r="A7482">
        <v>28544102</v>
      </c>
      <c r="B7482">
        <v>3039471</v>
      </c>
      <c r="C7482" t="s">
        <v>3298</v>
      </c>
      <c r="D7482" t="s">
        <v>441</v>
      </c>
      <c r="F7482">
        <v>0</v>
      </c>
      <c r="G7482">
        <v>11</v>
      </c>
      <c r="H7482" t="s">
        <v>8588</v>
      </c>
      <c r="I7482">
        <v>729</v>
      </c>
      <c r="J7482" t="s">
        <v>445</v>
      </c>
      <c r="M7482">
        <v>7113</v>
      </c>
      <c r="N7482" t="s">
        <v>16061</v>
      </c>
    </row>
    <row r="7483" spans="1:14">
      <c r="A7483">
        <v>28550000</v>
      </c>
      <c r="B7483">
        <v>3008091</v>
      </c>
      <c r="C7483" t="s">
        <v>3299</v>
      </c>
      <c r="D7483" t="s">
        <v>441</v>
      </c>
      <c r="F7483">
        <v>0</v>
      </c>
      <c r="G7483">
        <v>10.41</v>
      </c>
      <c r="H7483" t="s">
        <v>8634</v>
      </c>
      <c r="I7483">
        <v>6</v>
      </c>
      <c r="J7483" t="s">
        <v>445</v>
      </c>
      <c r="K7483" t="s">
        <v>446</v>
      </c>
      <c r="M7483">
        <v>0</v>
      </c>
    </row>
    <row r="7484" spans="1:14">
      <c r="A7484">
        <v>28550002</v>
      </c>
      <c r="B7484">
        <v>3008092</v>
      </c>
      <c r="C7484" t="s">
        <v>3300</v>
      </c>
      <c r="D7484" t="s">
        <v>441</v>
      </c>
      <c r="F7484">
        <v>0</v>
      </c>
      <c r="G7484">
        <v>10.69</v>
      </c>
      <c r="H7484" t="s">
        <v>8634</v>
      </c>
      <c r="I7484">
        <v>365</v>
      </c>
      <c r="J7484" t="s">
        <v>445</v>
      </c>
      <c r="K7484" t="s">
        <v>446</v>
      </c>
      <c r="M7484">
        <v>2501</v>
      </c>
    </row>
    <row r="7485" spans="1:14">
      <c r="A7485">
        <v>28550502</v>
      </c>
      <c r="B7485">
        <v>3008093</v>
      </c>
      <c r="C7485" t="s">
        <v>3301</v>
      </c>
      <c r="D7485" t="s">
        <v>441</v>
      </c>
      <c r="F7485">
        <v>0</v>
      </c>
      <c r="G7485">
        <v>10.41</v>
      </c>
      <c r="H7485" t="s">
        <v>8634</v>
      </c>
      <c r="I7485">
        <v>6</v>
      </c>
      <c r="J7485" t="s">
        <v>445</v>
      </c>
      <c r="K7485" t="s">
        <v>446</v>
      </c>
      <c r="M7485">
        <v>2641</v>
      </c>
    </row>
    <row r="7486" spans="1:14">
      <c r="A7486">
        <v>28560000</v>
      </c>
      <c r="B7486">
        <v>3015924</v>
      </c>
      <c r="C7486" t="s">
        <v>3302</v>
      </c>
      <c r="D7486" t="s">
        <v>441</v>
      </c>
      <c r="F7486">
        <v>0</v>
      </c>
      <c r="G7486">
        <v>10.52</v>
      </c>
      <c r="H7486" t="s">
        <v>8588</v>
      </c>
      <c r="I7486">
        <v>6</v>
      </c>
      <c r="J7486" t="s">
        <v>445</v>
      </c>
      <c r="M7486">
        <v>2391</v>
      </c>
      <c r="N7486" t="s">
        <v>16061</v>
      </c>
    </row>
    <row r="7487" spans="1:14">
      <c r="A7487">
        <v>28560002</v>
      </c>
      <c r="B7487">
        <v>3008095</v>
      </c>
      <c r="C7487" t="s">
        <v>3303</v>
      </c>
      <c r="D7487" t="s">
        <v>441</v>
      </c>
      <c r="F7487">
        <v>0</v>
      </c>
      <c r="G7487">
        <v>13.91</v>
      </c>
      <c r="H7487" t="s">
        <v>8634</v>
      </c>
      <c r="I7487">
        <v>540</v>
      </c>
      <c r="J7487" t="s">
        <v>445</v>
      </c>
      <c r="K7487" t="s">
        <v>446</v>
      </c>
      <c r="M7487">
        <v>2501</v>
      </c>
      <c r="N7487" t="s">
        <v>16061</v>
      </c>
    </row>
    <row r="7488" spans="1:14">
      <c r="A7488">
        <v>28560007</v>
      </c>
      <c r="B7488">
        <v>3011986</v>
      </c>
      <c r="C7488" t="s">
        <v>3304</v>
      </c>
      <c r="D7488" t="s">
        <v>441</v>
      </c>
      <c r="F7488">
        <v>0</v>
      </c>
      <c r="G7488">
        <v>10.64</v>
      </c>
      <c r="H7488" t="s">
        <v>8588</v>
      </c>
      <c r="I7488">
        <v>6</v>
      </c>
      <c r="J7488" t="s">
        <v>445</v>
      </c>
      <c r="M7488">
        <v>3111</v>
      </c>
      <c r="N7488" t="s">
        <v>16061</v>
      </c>
    </row>
    <row r="7489" spans="1:14">
      <c r="A7489">
        <v>28560502</v>
      </c>
      <c r="B7489">
        <v>3008096</v>
      </c>
      <c r="C7489" t="s">
        <v>3305</v>
      </c>
      <c r="D7489" t="s">
        <v>441</v>
      </c>
      <c r="F7489">
        <v>0</v>
      </c>
      <c r="G7489">
        <v>10.62</v>
      </c>
      <c r="H7489" t="s">
        <v>8634</v>
      </c>
      <c r="I7489">
        <v>6</v>
      </c>
      <c r="J7489" t="s">
        <v>445</v>
      </c>
      <c r="M7489">
        <v>2502</v>
      </c>
      <c r="N7489" t="s">
        <v>16061</v>
      </c>
    </row>
    <row r="7490" spans="1:14">
      <c r="A7490">
        <v>28560900</v>
      </c>
      <c r="B7490">
        <v>3020365</v>
      </c>
      <c r="C7490" t="s">
        <v>3306</v>
      </c>
      <c r="D7490" t="s">
        <v>441</v>
      </c>
      <c r="F7490">
        <v>0</v>
      </c>
      <c r="G7490">
        <v>0</v>
      </c>
      <c r="H7490" t="s">
        <v>8584</v>
      </c>
      <c r="I7490">
        <v>6</v>
      </c>
      <c r="J7490" t="s">
        <v>445</v>
      </c>
      <c r="M7490">
        <v>6666</v>
      </c>
      <c r="N7490" t="s">
        <v>16061</v>
      </c>
    </row>
    <row r="7491" spans="1:14">
      <c r="A7491">
        <v>28560907</v>
      </c>
      <c r="B7491">
        <v>3020519</v>
      </c>
      <c r="C7491" t="s">
        <v>3307</v>
      </c>
      <c r="D7491" t="s">
        <v>441</v>
      </c>
      <c r="F7491">
        <v>0</v>
      </c>
      <c r="G7491">
        <v>0</v>
      </c>
      <c r="H7491" t="s">
        <v>8584</v>
      </c>
      <c r="I7491">
        <v>6</v>
      </c>
      <c r="J7491" t="s">
        <v>445</v>
      </c>
      <c r="M7491">
        <v>6666</v>
      </c>
      <c r="N7491" t="s">
        <v>16061</v>
      </c>
    </row>
    <row r="7492" spans="1:14">
      <c r="A7492">
        <v>28561000</v>
      </c>
      <c r="B7492">
        <v>3017760</v>
      </c>
      <c r="C7492" t="s">
        <v>3308</v>
      </c>
      <c r="D7492" t="s">
        <v>441</v>
      </c>
      <c r="F7492">
        <v>0</v>
      </c>
      <c r="G7492">
        <v>10.51</v>
      </c>
      <c r="H7492" t="s">
        <v>8588</v>
      </c>
      <c r="I7492">
        <v>6</v>
      </c>
      <c r="J7492" t="s">
        <v>445</v>
      </c>
      <c r="M7492">
        <v>2391</v>
      </c>
      <c r="N7492" t="s">
        <v>16061</v>
      </c>
    </row>
    <row r="7493" spans="1:14">
      <c r="A7493">
        <v>28561007</v>
      </c>
      <c r="B7493">
        <v>3017492</v>
      </c>
      <c r="C7493" t="s">
        <v>3309</v>
      </c>
      <c r="D7493" t="s">
        <v>441</v>
      </c>
      <c r="F7493">
        <v>0</v>
      </c>
      <c r="G7493">
        <v>14.27</v>
      </c>
      <c r="H7493" t="s">
        <v>8588</v>
      </c>
      <c r="I7493">
        <v>6</v>
      </c>
      <c r="J7493" t="s">
        <v>445</v>
      </c>
      <c r="K7493" t="s">
        <v>446</v>
      </c>
      <c r="M7493">
        <v>2641</v>
      </c>
      <c r="N7493" t="s">
        <v>16061</v>
      </c>
    </row>
    <row r="7494" spans="1:14">
      <c r="A7494">
        <v>28561900</v>
      </c>
      <c r="B7494">
        <v>3020366</v>
      </c>
      <c r="C7494" t="s">
        <v>3310</v>
      </c>
      <c r="D7494" t="s">
        <v>441</v>
      </c>
      <c r="F7494">
        <v>0</v>
      </c>
      <c r="G7494">
        <v>0</v>
      </c>
      <c r="H7494" t="s">
        <v>8584</v>
      </c>
      <c r="I7494">
        <v>6</v>
      </c>
      <c r="J7494" t="s">
        <v>445</v>
      </c>
      <c r="M7494">
        <v>6666</v>
      </c>
      <c r="N7494" t="s">
        <v>16061</v>
      </c>
    </row>
    <row r="7495" spans="1:14">
      <c r="A7495">
        <v>28561907</v>
      </c>
      <c r="B7495">
        <v>3020524</v>
      </c>
      <c r="C7495" t="s">
        <v>3311</v>
      </c>
      <c r="D7495" t="s">
        <v>441</v>
      </c>
      <c r="F7495">
        <v>0</v>
      </c>
      <c r="G7495">
        <v>12.01</v>
      </c>
      <c r="H7495" t="s">
        <v>8584</v>
      </c>
      <c r="I7495">
        <v>6</v>
      </c>
      <c r="J7495" t="s">
        <v>445</v>
      </c>
      <c r="M7495">
        <v>6666</v>
      </c>
      <c r="N7495" t="s">
        <v>16061</v>
      </c>
    </row>
    <row r="7496" spans="1:14">
      <c r="A7496">
        <v>28564000</v>
      </c>
      <c r="B7496">
        <v>3035455</v>
      </c>
      <c r="C7496" t="s">
        <v>3312</v>
      </c>
      <c r="D7496" t="s">
        <v>441</v>
      </c>
      <c r="F7496">
        <v>0</v>
      </c>
      <c r="G7496">
        <v>10.52</v>
      </c>
      <c r="H7496" t="s">
        <v>8549</v>
      </c>
      <c r="I7496">
        <v>6</v>
      </c>
      <c r="J7496" t="s">
        <v>445</v>
      </c>
      <c r="M7496">
        <v>2391</v>
      </c>
      <c r="N7496" t="s">
        <v>16061</v>
      </c>
    </row>
    <row r="7497" spans="1:14">
      <c r="A7497">
        <v>28569000</v>
      </c>
      <c r="B7497">
        <v>3027671</v>
      </c>
      <c r="C7497" t="s">
        <v>3313</v>
      </c>
      <c r="D7497" t="s">
        <v>441</v>
      </c>
      <c r="F7497">
        <v>0</v>
      </c>
      <c r="G7497">
        <v>10.52</v>
      </c>
      <c r="H7497" t="s">
        <v>8588</v>
      </c>
      <c r="I7497">
        <v>2</v>
      </c>
      <c r="J7497" t="s">
        <v>445</v>
      </c>
      <c r="M7497">
        <v>3111</v>
      </c>
      <c r="N7497" t="s">
        <v>16061</v>
      </c>
    </row>
    <row r="7498" spans="1:14">
      <c r="A7498">
        <v>28569900</v>
      </c>
      <c r="B7498">
        <v>3027644</v>
      </c>
      <c r="C7498" t="s">
        <v>3314</v>
      </c>
      <c r="D7498" t="s">
        <v>441</v>
      </c>
      <c r="F7498">
        <v>0</v>
      </c>
      <c r="H7498" t="s">
        <v>8580</v>
      </c>
      <c r="I7498">
        <v>2</v>
      </c>
      <c r="J7498" t="s">
        <v>445</v>
      </c>
      <c r="M7498">
        <v>6666</v>
      </c>
      <c r="N7498" t="s">
        <v>16061</v>
      </c>
    </row>
    <row r="7499" spans="1:14">
      <c r="A7499">
        <v>28570000</v>
      </c>
      <c r="B7499">
        <v>3008097</v>
      </c>
      <c r="C7499" t="s">
        <v>3315</v>
      </c>
      <c r="D7499" t="s">
        <v>441</v>
      </c>
      <c r="F7499">
        <v>0</v>
      </c>
      <c r="G7499">
        <v>10.27</v>
      </c>
      <c r="H7499" t="s">
        <v>8634</v>
      </c>
      <c r="I7499">
        <v>6</v>
      </c>
      <c r="J7499" t="s">
        <v>445</v>
      </c>
      <c r="K7499" t="s">
        <v>446</v>
      </c>
      <c r="M7499">
        <v>0</v>
      </c>
    </row>
    <row r="7500" spans="1:14">
      <c r="A7500">
        <v>28570002</v>
      </c>
      <c r="B7500">
        <v>3008098</v>
      </c>
      <c r="C7500" t="s">
        <v>3316</v>
      </c>
      <c r="D7500" t="s">
        <v>441</v>
      </c>
      <c r="F7500">
        <v>0</v>
      </c>
      <c r="G7500">
        <v>10.67</v>
      </c>
      <c r="H7500" t="s">
        <v>8634</v>
      </c>
      <c r="I7500">
        <v>365</v>
      </c>
      <c r="J7500" t="s">
        <v>445</v>
      </c>
      <c r="K7500" t="s">
        <v>446</v>
      </c>
      <c r="M7500">
        <v>2501</v>
      </c>
    </row>
    <row r="7501" spans="1:14">
      <c r="A7501">
        <v>28570502</v>
      </c>
      <c r="B7501">
        <v>3008099</v>
      </c>
      <c r="C7501" t="s">
        <v>3317</v>
      </c>
      <c r="D7501" t="s">
        <v>441</v>
      </c>
      <c r="F7501">
        <v>0</v>
      </c>
      <c r="G7501">
        <v>10.32</v>
      </c>
      <c r="H7501" t="s">
        <v>8634</v>
      </c>
      <c r="I7501">
        <v>6</v>
      </c>
      <c r="J7501" t="s">
        <v>445</v>
      </c>
      <c r="K7501" t="s">
        <v>446</v>
      </c>
      <c r="M7501">
        <v>2641</v>
      </c>
    </row>
    <row r="7502" spans="1:14">
      <c r="A7502">
        <v>28580000</v>
      </c>
      <c r="B7502">
        <v>3028037</v>
      </c>
      <c r="C7502" t="s">
        <v>14974</v>
      </c>
      <c r="D7502" t="s">
        <v>441</v>
      </c>
      <c r="F7502">
        <v>0</v>
      </c>
      <c r="G7502">
        <v>12.52</v>
      </c>
      <c r="H7502" t="s">
        <v>8549</v>
      </c>
      <c r="I7502">
        <v>6</v>
      </c>
      <c r="J7502" t="s">
        <v>445</v>
      </c>
      <c r="K7502" t="s">
        <v>446</v>
      </c>
      <c r="M7502">
        <v>2391</v>
      </c>
      <c r="N7502" t="s">
        <v>16331</v>
      </c>
    </row>
    <row r="7503" spans="1:14">
      <c r="A7503">
        <v>28580025</v>
      </c>
      <c r="B7503">
        <v>4018749</v>
      </c>
      <c r="C7503" t="s">
        <v>12119</v>
      </c>
      <c r="D7503" t="s">
        <v>441</v>
      </c>
      <c r="F7503">
        <v>0</v>
      </c>
      <c r="G7503">
        <v>10.55</v>
      </c>
      <c r="H7503" t="s">
        <v>8588</v>
      </c>
      <c r="I7503">
        <v>540</v>
      </c>
      <c r="J7503" t="s">
        <v>462</v>
      </c>
      <c r="K7503" t="s">
        <v>446</v>
      </c>
      <c r="M7503">
        <v>2501</v>
      </c>
      <c r="N7503" t="s">
        <v>15975</v>
      </c>
    </row>
    <row r="7504" spans="1:14">
      <c r="A7504">
        <v>28580076</v>
      </c>
      <c r="B7504">
        <v>3028035</v>
      </c>
      <c r="C7504" t="s">
        <v>14975</v>
      </c>
      <c r="D7504" t="s">
        <v>441</v>
      </c>
      <c r="F7504">
        <v>0</v>
      </c>
      <c r="G7504">
        <v>12.69</v>
      </c>
      <c r="H7504" t="s">
        <v>8588</v>
      </c>
      <c r="I7504">
        <v>6</v>
      </c>
      <c r="J7504" t="s">
        <v>445</v>
      </c>
      <c r="K7504" t="s">
        <v>446</v>
      </c>
      <c r="M7504">
        <v>7112</v>
      </c>
      <c r="N7504" t="s">
        <v>16331</v>
      </c>
    </row>
    <row r="7505" spans="1:14">
      <c r="A7505">
        <v>28580525</v>
      </c>
      <c r="B7505">
        <v>3028377</v>
      </c>
      <c r="C7505" t="s">
        <v>12120</v>
      </c>
      <c r="D7505" t="s">
        <v>441</v>
      </c>
      <c r="F7505">
        <v>0</v>
      </c>
      <c r="G7505">
        <v>10.36</v>
      </c>
      <c r="H7505" t="s">
        <v>8588</v>
      </c>
      <c r="I7505">
        <v>540</v>
      </c>
      <c r="J7505" t="s">
        <v>445</v>
      </c>
      <c r="K7505" t="s">
        <v>446</v>
      </c>
      <c r="M7505">
        <v>2641</v>
      </c>
      <c r="N7505" t="s">
        <v>15975</v>
      </c>
    </row>
    <row r="7506" spans="1:14">
      <c r="A7506">
        <v>28587000</v>
      </c>
      <c r="B7506">
        <v>3030713</v>
      </c>
      <c r="C7506" t="s">
        <v>14976</v>
      </c>
      <c r="D7506" t="s">
        <v>441</v>
      </c>
      <c r="F7506">
        <v>0</v>
      </c>
      <c r="G7506">
        <v>12.52</v>
      </c>
      <c r="H7506" t="s">
        <v>8549</v>
      </c>
      <c r="I7506">
        <v>6</v>
      </c>
      <c r="J7506" t="s">
        <v>445</v>
      </c>
      <c r="K7506" t="s">
        <v>446</v>
      </c>
      <c r="M7506">
        <v>2391</v>
      </c>
      <c r="N7506" t="s">
        <v>16331</v>
      </c>
    </row>
    <row r="7507" spans="1:14">
      <c r="A7507">
        <v>28590000</v>
      </c>
      <c r="B7507">
        <v>3028495</v>
      </c>
      <c r="C7507" t="s">
        <v>3318</v>
      </c>
      <c r="D7507" t="s">
        <v>441</v>
      </c>
      <c r="F7507">
        <v>0</v>
      </c>
      <c r="G7507">
        <v>10.52</v>
      </c>
      <c r="H7507" t="s">
        <v>8588</v>
      </c>
      <c r="I7507">
        <v>6</v>
      </c>
      <c r="J7507" t="s">
        <v>445</v>
      </c>
      <c r="M7507">
        <v>2391</v>
      </c>
      <c r="N7507" t="s">
        <v>16061</v>
      </c>
    </row>
    <row r="7508" spans="1:14">
      <c r="A7508">
        <v>28590040</v>
      </c>
      <c r="B7508">
        <v>4026527</v>
      </c>
      <c r="C7508" t="s">
        <v>3319</v>
      </c>
      <c r="D7508" t="s">
        <v>441</v>
      </c>
      <c r="F7508">
        <v>0</v>
      </c>
      <c r="G7508">
        <v>11.36</v>
      </c>
      <c r="H7508" t="s">
        <v>8588</v>
      </c>
      <c r="I7508">
        <v>16</v>
      </c>
      <c r="J7508" t="s">
        <v>462</v>
      </c>
      <c r="M7508">
        <v>7112</v>
      </c>
      <c r="N7508" t="s">
        <v>16061</v>
      </c>
    </row>
    <row r="7509" spans="1:14">
      <c r="A7509">
        <v>28590076</v>
      </c>
      <c r="B7509">
        <v>3028499</v>
      </c>
      <c r="C7509" t="s">
        <v>12121</v>
      </c>
      <c r="D7509" t="s">
        <v>441</v>
      </c>
      <c r="F7509">
        <v>0</v>
      </c>
      <c r="G7509">
        <v>14.31</v>
      </c>
      <c r="H7509" t="s">
        <v>8588</v>
      </c>
      <c r="I7509">
        <v>6</v>
      </c>
      <c r="J7509" t="s">
        <v>445</v>
      </c>
      <c r="K7509" t="s">
        <v>446</v>
      </c>
      <c r="M7509">
        <v>2641</v>
      </c>
      <c r="N7509" t="s">
        <v>16061</v>
      </c>
    </row>
    <row r="7510" spans="1:14">
      <c r="A7510">
        <v>28590102</v>
      </c>
      <c r="B7510">
        <v>3004745</v>
      </c>
      <c r="C7510" t="s">
        <v>12122</v>
      </c>
      <c r="D7510" t="s">
        <v>441</v>
      </c>
      <c r="F7510">
        <v>0</v>
      </c>
      <c r="G7510">
        <v>20.420000000000002</v>
      </c>
      <c r="H7510" t="s">
        <v>8588</v>
      </c>
      <c r="I7510">
        <v>365</v>
      </c>
      <c r="J7510" t="s">
        <v>445</v>
      </c>
      <c r="K7510" t="s">
        <v>446</v>
      </c>
      <c r="M7510">
        <v>7161</v>
      </c>
    </row>
    <row r="7511" spans="1:14">
      <c r="A7511">
        <v>28590104</v>
      </c>
      <c r="B7511">
        <v>4006791</v>
      </c>
      <c r="C7511" t="s">
        <v>12123</v>
      </c>
      <c r="D7511" t="s">
        <v>441</v>
      </c>
      <c r="F7511">
        <v>0</v>
      </c>
      <c r="G7511">
        <v>19.41</v>
      </c>
      <c r="H7511" t="s">
        <v>8588</v>
      </c>
      <c r="I7511">
        <v>365</v>
      </c>
      <c r="J7511" t="s">
        <v>462</v>
      </c>
      <c r="K7511" t="s">
        <v>446</v>
      </c>
      <c r="M7511">
        <v>7161</v>
      </c>
    </row>
    <row r="7512" spans="1:14">
      <c r="A7512">
        <v>28600000</v>
      </c>
      <c r="B7512">
        <v>3027256</v>
      </c>
      <c r="C7512" t="s">
        <v>14954</v>
      </c>
      <c r="D7512" t="s">
        <v>441</v>
      </c>
      <c r="F7512">
        <v>0</v>
      </c>
      <c r="G7512">
        <v>12.55</v>
      </c>
      <c r="H7512" t="s">
        <v>8549</v>
      </c>
      <c r="I7512">
        <v>6</v>
      </c>
      <c r="J7512" t="s">
        <v>445</v>
      </c>
      <c r="M7512">
        <v>2391</v>
      </c>
      <c r="N7512" t="s">
        <v>16331</v>
      </c>
    </row>
    <row r="7513" spans="1:14">
      <c r="A7513">
        <v>28600025</v>
      </c>
      <c r="B7513">
        <v>4018768</v>
      </c>
      <c r="C7513" t="s">
        <v>14977</v>
      </c>
      <c r="D7513" t="s">
        <v>441</v>
      </c>
      <c r="F7513">
        <v>0</v>
      </c>
      <c r="G7513">
        <v>13.37</v>
      </c>
      <c r="H7513" t="s">
        <v>8588</v>
      </c>
      <c r="I7513">
        <v>540</v>
      </c>
      <c r="J7513" t="s">
        <v>462</v>
      </c>
      <c r="M7513">
        <v>7111</v>
      </c>
      <c r="N7513" t="s">
        <v>16331</v>
      </c>
    </row>
    <row r="7514" spans="1:14">
      <c r="A7514">
        <v>28600076</v>
      </c>
      <c r="B7514">
        <v>3028203</v>
      </c>
      <c r="C7514" t="s">
        <v>12124</v>
      </c>
      <c r="D7514" t="s">
        <v>441</v>
      </c>
      <c r="F7514">
        <v>0</v>
      </c>
      <c r="G7514">
        <v>9.42</v>
      </c>
      <c r="H7514" t="s">
        <v>8588</v>
      </c>
      <c r="I7514">
        <v>6</v>
      </c>
      <c r="J7514" t="s">
        <v>445</v>
      </c>
      <c r="K7514" t="s">
        <v>446</v>
      </c>
      <c r="M7514">
        <v>2641</v>
      </c>
      <c r="N7514" t="s">
        <v>15975</v>
      </c>
    </row>
    <row r="7515" spans="1:14">
      <c r="A7515">
        <v>28600525</v>
      </c>
      <c r="B7515">
        <v>3028379</v>
      </c>
      <c r="C7515" t="s">
        <v>14978</v>
      </c>
      <c r="D7515" t="s">
        <v>441</v>
      </c>
      <c r="F7515">
        <v>0</v>
      </c>
      <c r="G7515">
        <v>12.89</v>
      </c>
      <c r="H7515" t="s">
        <v>8588</v>
      </c>
      <c r="I7515">
        <v>540</v>
      </c>
      <c r="J7515" t="s">
        <v>445</v>
      </c>
      <c r="M7515">
        <v>2502</v>
      </c>
      <c r="N7515" t="s">
        <v>16331</v>
      </c>
    </row>
    <row r="7516" spans="1:14">
      <c r="A7516">
        <v>28607000</v>
      </c>
      <c r="B7516">
        <v>3030714</v>
      </c>
      <c r="C7516" t="s">
        <v>14979</v>
      </c>
      <c r="D7516" t="s">
        <v>441</v>
      </c>
      <c r="F7516">
        <v>0</v>
      </c>
      <c r="G7516">
        <v>12.55</v>
      </c>
      <c r="H7516" t="s">
        <v>8549</v>
      </c>
      <c r="I7516">
        <v>6</v>
      </c>
      <c r="J7516" t="s">
        <v>445</v>
      </c>
      <c r="K7516" t="s">
        <v>446</v>
      </c>
      <c r="M7516">
        <v>2391</v>
      </c>
      <c r="N7516" t="s">
        <v>16331</v>
      </c>
    </row>
    <row r="7517" spans="1:14">
      <c r="A7517">
        <v>28610000</v>
      </c>
      <c r="B7517">
        <v>3029262</v>
      </c>
      <c r="C7517" t="s">
        <v>3320</v>
      </c>
      <c r="D7517" t="s">
        <v>441</v>
      </c>
      <c r="F7517">
        <v>0</v>
      </c>
      <c r="G7517">
        <v>7.59</v>
      </c>
      <c r="H7517" t="s">
        <v>8549</v>
      </c>
      <c r="I7517">
        <v>6</v>
      </c>
      <c r="J7517" t="s">
        <v>445</v>
      </c>
      <c r="M7517">
        <v>2391</v>
      </c>
      <c r="N7517" t="s">
        <v>16014</v>
      </c>
    </row>
    <row r="7518" spans="1:14">
      <c r="A7518">
        <v>28610050</v>
      </c>
      <c r="B7518">
        <v>4019431</v>
      </c>
      <c r="C7518" t="s">
        <v>12125</v>
      </c>
      <c r="D7518" t="s">
        <v>441</v>
      </c>
      <c r="F7518">
        <v>0</v>
      </c>
      <c r="G7518">
        <v>11.72</v>
      </c>
      <c r="H7518" t="s">
        <v>8588</v>
      </c>
      <c r="I7518">
        <v>16</v>
      </c>
      <c r="J7518" t="s">
        <v>462</v>
      </c>
      <c r="K7518" t="s">
        <v>446</v>
      </c>
      <c r="M7518">
        <v>2612</v>
      </c>
      <c r="N7518" t="s">
        <v>16014</v>
      </c>
    </row>
    <row r="7519" spans="1:14">
      <c r="A7519">
        <v>28610051</v>
      </c>
      <c r="B7519">
        <v>4019475</v>
      </c>
      <c r="C7519" t="s">
        <v>3321</v>
      </c>
      <c r="D7519" t="s">
        <v>441</v>
      </c>
      <c r="F7519">
        <v>0</v>
      </c>
      <c r="G7519">
        <v>8.23</v>
      </c>
      <c r="H7519" t="s">
        <v>8588</v>
      </c>
      <c r="I7519">
        <v>16</v>
      </c>
      <c r="J7519" t="s">
        <v>462</v>
      </c>
      <c r="M7519">
        <v>7112</v>
      </c>
      <c r="N7519" t="s">
        <v>16014</v>
      </c>
    </row>
    <row r="7520" spans="1:14">
      <c r="A7520">
        <v>28620000</v>
      </c>
      <c r="B7520">
        <v>3029263</v>
      </c>
      <c r="C7520" t="s">
        <v>3322</v>
      </c>
      <c r="D7520" t="s">
        <v>441</v>
      </c>
      <c r="F7520">
        <v>0</v>
      </c>
      <c r="G7520">
        <v>7.59</v>
      </c>
      <c r="H7520" t="s">
        <v>8549</v>
      </c>
      <c r="I7520">
        <v>6</v>
      </c>
      <c r="J7520" t="s">
        <v>445</v>
      </c>
      <c r="M7520">
        <v>2391</v>
      </c>
      <c r="N7520" t="s">
        <v>16014</v>
      </c>
    </row>
    <row r="7521" spans="1:14">
      <c r="A7521">
        <v>28620050</v>
      </c>
      <c r="B7521">
        <v>4019432</v>
      </c>
      <c r="C7521" t="s">
        <v>12126</v>
      </c>
      <c r="D7521" t="s">
        <v>441</v>
      </c>
      <c r="F7521">
        <v>0</v>
      </c>
      <c r="G7521">
        <v>11.74</v>
      </c>
      <c r="H7521" t="s">
        <v>8588</v>
      </c>
      <c r="I7521">
        <v>16</v>
      </c>
      <c r="J7521" t="s">
        <v>462</v>
      </c>
      <c r="K7521" t="s">
        <v>446</v>
      </c>
      <c r="M7521">
        <v>2612</v>
      </c>
      <c r="N7521" t="s">
        <v>16014</v>
      </c>
    </row>
    <row r="7522" spans="1:14">
      <c r="A7522">
        <v>28620051</v>
      </c>
      <c r="B7522">
        <v>4019457</v>
      </c>
      <c r="C7522" t="s">
        <v>3323</v>
      </c>
      <c r="D7522" t="s">
        <v>441</v>
      </c>
      <c r="F7522">
        <v>0</v>
      </c>
      <c r="G7522">
        <v>8.18</v>
      </c>
      <c r="H7522" t="s">
        <v>8588</v>
      </c>
      <c r="I7522">
        <v>16</v>
      </c>
      <c r="J7522" t="s">
        <v>462</v>
      </c>
      <c r="M7522">
        <v>7112</v>
      </c>
      <c r="N7522" t="s">
        <v>16014</v>
      </c>
    </row>
    <row r="7523" spans="1:14">
      <c r="A7523">
        <v>28630000</v>
      </c>
      <c r="B7523">
        <v>3030715</v>
      </c>
      <c r="C7523" t="s">
        <v>14980</v>
      </c>
      <c r="D7523" t="s">
        <v>441</v>
      </c>
      <c r="F7523">
        <v>0</v>
      </c>
      <c r="G7523">
        <v>12.54</v>
      </c>
      <c r="H7523" t="s">
        <v>8549</v>
      </c>
      <c r="I7523">
        <v>6</v>
      </c>
      <c r="J7523" t="s">
        <v>445</v>
      </c>
      <c r="K7523" t="s">
        <v>446</v>
      </c>
      <c r="M7523">
        <v>2391</v>
      </c>
      <c r="N7523" t="s">
        <v>16331</v>
      </c>
    </row>
    <row r="7524" spans="1:14">
      <c r="A7524">
        <v>28630025</v>
      </c>
      <c r="B7524">
        <v>4020541</v>
      </c>
      <c r="C7524" t="s">
        <v>12127</v>
      </c>
      <c r="D7524" t="s">
        <v>441</v>
      </c>
      <c r="F7524">
        <v>0</v>
      </c>
      <c r="G7524">
        <v>9.7799999999999994</v>
      </c>
      <c r="H7524" t="s">
        <v>8588</v>
      </c>
      <c r="I7524">
        <v>365</v>
      </c>
      <c r="J7524" t="s">
        <v>462</v>
      </c>
      <c r="K7524" t="s">
        <v>446</v>
      </c>
      <c r="M7524">
        <v>2501</v>
      </c>
      <c r="N7524" t="s">
        <v>15975</v>
      </c>
    </row>
    <row r="7525" spans="1:14">
      <c r="A7525">
        <v>28630525</v>
      </c>
      <c r="B7525">
        <v>3030716</v>
      </c>
      <c r="C7525" t="s">
        <v>12128</v>
      </c>
      <c r="D7525" t="s">
        <v>441</v>
      </c>
      <c r="F7525">
        <v>0</v>
      </c>
      <c r="G7525">
        <v>9.59</v>
      </c>
      <c r="H7525" t="s">
        <v>8588</v>
      </c>
      <c r="I7525">
        <v>365</v>
      </c>
      <c r="J7525" t="s">
        <v>445</v>
      </c>
      <c r="K7525" t="s">
        <v>446</v>
      </c>
      <c r="M7525">
        <v>2641</v>
      </c>
      <c r="N7525" t="s">
        <v>15975</v>
      </c>
    </row>
    <row r="7526" spans="1:14">
      <c r="A7526">
        <v>28640100</v>
      </c>
      <c r="B7526">
        <v>3032091</v>
      </c>
      <c r="C7526" t="s">
        <v>3324</v>
      </c>
      <c r="D7526" t="s">
        <v>441</v>
      </c>
      <c r="F7526">
        <v>0</v>
      </c>
      <c r="H7526" t="s">
        <v>8588</v>
      </c>
      <c r="I7526">
        <v>6</v>
      </c>
      <c r="J7526" t="s">
        <v>445</v>
      </c>
      <c r="K7526" t="s">
        <v>446</v>
      </c>
      <c r="M7526">
        <v>0</v>
      </c>
      <c r="N7526" t="s">
        <v>16333</v>
      </c>
    </row>
    <row r="7527" spans="1:14">
      <c r="A7527">
        <v>28650000</v>
      </c>
      <c r="B7527">
        <v>3034737</v>
      </c>
      <c r="C7527" t="s">
        <v>3325</v>
      </c>
      <c r="D7527" t="s">
        <v>441</v>
      </c>
      <c r="F7527">
        <v>0</v>
      </c>
      <c r="G7527">
        <v>6.08</v>
      </c>
      <c r="H7527" t="s">
        <v>8588</v>
      </c>
      <c r="I7527">
        <v>6</v>
      </c>
      <c r="J7527" t="s">
        <v>445</v>
      </c>
      <c r="M7527">
        <v>2391</v>
      </c>
      <c r="N7527" t="s">
        <v>16334</v>
      </c>
    </row>
    <row r="7528" spans="1:14">
      <c r="A7528">
        <v>28650076</v>
      </c>
      <c r="B7528">
        <v>4023395</v>
      </c>
      <c r="C7528" t="s">
        <v>3326</v>
      </c>
      <c r="D7528" t="s">
        <v>441</v>
      </c>
      <c r="F7528">
        <v>0</v>
      </c>
      <c r="G7528">
        <v>6.24</v>
      </c>
      <c r="H7528" t="s">
        <v>8588</v>
      </c>
      <c r="I7528">
        <v>6</v>
      </c>
      <c r="J7528" t="s">
        <v>462</v>
      </c>
      <c r="M7528">
        <v>7112</v>
      </c>
      <c r="N7528" t="s">
        <v>16334</v>
      </c>
    </row>
    <row r="7529" spans="1:14">
      <c r="A7529">
        <v>28660000</v>
      </c>
      <c r="B7529">
        <v>3036857</v>
      </c>
      <c r="C7529" t="s">
        <v>3327</v>
      </c>
      <c r="D7529" t="s">
        <v>441</v>
      </c>
      <c r="F7529">
        <v>0</v>
      </c>
      <c r="G7529">
        <v>8.39</v>
      </c>
      <c r="H7529" t="s">
        <v>8588</v>
      </c>
      <c r="I7529">
        <v>6</v>
      </c>
      <c r="J7529" t="s">
        <v>445</v>
      </c>
      <c r="M7529">
        <v>2391</v>
      </c>
      <c r="N7529" t="s">
        <v>16335</v>
      </c>
    </row>
    <row r="7530" spans="1:14">
      <c r="A7530">
        <v>28660002</v>
      </c>
      <c r="B7530">
        <v>3036864</v>
      </c>
      <c r="C7530" t="s">
        <v>3328</v>
      </c>
      <c r="D7530" t="s">
        <v>441</v>
      </c>
      <c r="F7530">
        <v>0</v>
      </c>
      <c r="G7530">
        <v>8.84</v>
      </c>
      <c r="H7530" t="s">
        <v>8588</v>
      </c>
      <c r="I7530">
        <v>540</v>
      </c>
      <c r="J7530" t="s">
        <v>445</v>
      </c>
      <c r="M7530">
        <v>7111</v>
      </c>
      <c r="N7530" t="s">
        <v>16335</v>
      </c>
    </row>
    <row r="7531" spans="1:14">
      <c r="A7531">
        <v>28660007</v>
      </c>
      <c r="B7531">
        <v>3036858</v>
      </c>
      <c r="C7531" t="s">
        <v>3329</v>
      </c>
      <c r="D7531" t="s">
        <v>441</v>
      </c>
      <c r="F7531">
        <v>0</v>
      </c>
      <c r="G7531">
        <v>8.5</v>
      </c>
      <c r="H7531" t="s">
        <v>8588</v>
      </c>
      <c r="I7531">
        <v>6</v>
      </c>
      <c r="J7531" t="s">
        <v>445</v>
      </c>
      <c r="M7531">
        <v>3111</v>
      </c>
      <c r="N7531" t="s">
        <v>16335</v>
      </c>
    </row>
    <row r="7532" spans="1:14">
      <c r="A7532">
        <v>28660100</v>
      </c>
      <c r="B7532">
        <v>3036865</v>
      </c>
      <c r="C7532" t="s">
        <v>3330</v>
      </c>
      <c r="D7532" t="s">
        <v>441</v>
      </c>
      <c r="F7532">
        <v>0</v>
      </c>
      <c r="H7532" t="s">
        <v>8588</v>
      </c>
      <c r="I7532">
        <v>6</v>
      </c>
      <c r="J7532" t="s">
        <v>445</v>
      </c>
      <c r="M7532">
        <v>7161</v>
      </c>
      <c r="N7532" t="s">
        <v>16335</v>
      </c>
    </row>
    <row r="7533" spans="1:14">
      <c r="A7533">
        <v>28660502</v>
      </c>
      <c r="B7533">
        <v>3036859</v>
      </c>
      <c r="C7533" t="s">
        <v>3331</v>
      </c>
      <c r="D7533" t="s">
        <v>441</v>
      </c>
      <c r="F7533">
        <v>0</v>
      </c>
      <c r="G7533">
        <v>8.48</v>
      </c>
      <c r="H7533" t="s">
        <v>8549</v>
      </c>
      <c r="I7533">
        <v>6</v>
      </c>
      <c r="J7533" t="s">
        <v>445</v>
      </c>
      <c r="M7533">
        <v>2502</v>
      </c>
      <c r="N7533" t="s">
        <v>16335</v>
      </c>
    </row>
    <row r="7534" spans="1:14">
      <c r="A7534">
        <v>28660602</v>
      </c>
      <c r="B7534">
        <v>3036860</v>
      </c>
      <c r="C7534" t="s">
        <v>3332</v>
      </c>
      <c r="D7534" t="s">
        <v>441</v>
      </c>
      <c r="F7534">
        <v>0</v>
      </c>
      <c r="G7534">
        <v>9.1199999999999992</v>
      </c>
      <c r="H7534" t="s">
        <v>8549</v>
      </c>
      <c r="I7534">
        <v>4</v>
      </c>
      <c r="J7534" t="s">
        <v>445</v>
      </c>
      <c r="M7534">
        <v>2510</v>
      </c>
      <c r="N7534" t="s">
        <v>16335</v>
      </c>
    </row>
    <row r="7535" spans="1:14">
      <c r="A7535">
        <v>28660902</v>
      </c>
      <c r="B7535">
        <v>3036768</v>
      </c>
      <c r="C7535" t="s">
        <v>3333</v>
      </c>
      <c r="D7535" t="s">
        <v>441</v>
      </c>
      <c r="F7535">
        <v>0</v>
      </c>
      <c r="H7535" t="s">
        <v>8580</v>
      </c>
      <c r="I7535">
        <v>4</v>
      </c>
      <c r="J7535" t="s">
        <v>445</v>
      </c>
      <c r="M7535">
        <v>6666</v>
      </c>
      <c r="N7535" t="s">
        <v>16335</v>
      </c>
    </row>
    <row r="7536" spans="1:14">
      <c r="A7536">
        <v>28660907</v>
      </c>
      <c r="B7536">
        <v>3036867</v>
      </c>
      <c r="C7536" t="s">
        <v>3334</v>
      </c>
      <c r="D7536" t="s">
        <v>441</v>
      </c>
      <c r="F7536">
        <v>0</v>
      </c>
      <c r="H7536" t="s">
        <v>8580</v>
      </c>
      <c r="I7536">
        <v>6</v>
      </c>
      <c r="J7536" t="s">
        <v>445</v>
      </c>
      <c r="M7536">
        <v>6666</v>
      </c>
      <c r="N7536" t="s">
        <v>16335</v>
      </c>
    </row>
    <row r="7537" spans="1:14">
      <c r="A7537">
        <v>28700102</v>
      </c>
      <c r="B7537">
        <v>3041598</v>
      </c>
      <c r="C7537" t="s">
        <v>17542</v>
      </c>
      <c r="D7537" t="s">
        <v>441</v>
      </c>
      <c r="F7537">
        <v>0</v>
      </c>
      <c r="G7537">
        <v>12.35</v>
      </c>
      <c r="H7537" t="s">
        <v>8588</v>
      </c>
      <c r="I7537">
        <v>729</v>
      </c>
      <c r="J7537" t="s">
        <v>445</v>
      </c>
      <c r="M7537">
        <v>0</v>
      </c>
      <c r="N7537" t="s">
        <v>17543</v>
      </c>
    </row>
    <row r="7538" spans="1:14">
      <c r="A7538">
        <v>28710000</v>
      </c>
      <c r="B7538">
        <v>3010747</v>
      </c>
      <c r="C7538" t="s">
        <v>3335</v>
      </c>
      <c r="D7538" t="s">
        <v>441</v>
      </c>
      <c r="F7538">
        <v>0</v>
      </c>
      <c r="G7538">
        <v>10.15</v>
      </c>
      <c r="I7538">
        <v>6</v>
      </c>
      <c r="J7538" t="s">
        <v>445</v>
      </c>
      <c r="K7538" t="s">
        <v>446</v>
      </c>
      <c r="M7538">
        <v>2314</v>
      </c>
    </row>
    <row r="7539" spans="1:14">
      <c r="A7539">
        <v>28720000</v>
      </c>
      <c r="B7539">
        <v>3030833</v>
      </c>
      <c r="C7539" t="s">
        <v>14981</v>
      </c>
      <c r="D7539" t="s">
        <v>441</v>
      </c>
      <c r="F7539">
        <v>0</v>
      </c>
      <c r="G7539">
        <v>19.829999999999998</v>
      </c>
      <c r="H7539" t="s">
        <v>8549</v>
      </c>
      <c r="I7539">
        <v>6</v>
      </c>
      <c r="J7539" t="s">
        <v>445</v>
      </c>
      <c r="K7539" t="s">
        <v>446</v>
      </c>
      <c r="M7539">
        <v>2391</v>
      </c>
      <c r="N7539" t="s">
        <v>16336</v>
      </c>
    </row>
    <row r="7540" spans="1:14">
      <c r="A7540">
        <v>28720020</v>
      </c>
      <c r="B7540">
        <v>4021721</v>
      </c>
      <c r="C7540" t="s">
        <v>14982</v>
      </c>
      <c r="D7540" t="s">
        <v>441</v>
      </c>
      <c r="F7540">
        <v>0</v>
      </c>
      <c r="G7540">
        <v>20.34</v>
      </c>
      <c r="H7540" t="s">
        <v>8588</v>
      </c>
      <c r="I7540">
        <v>6</v>
      </c>
      <c r="J7540" t="s">
        <v>462</v>
      </c>
      <c r="M7540">
        <v>7112</v>
      </c>
      <c r="N7540" t="s">
        <v>16336</v>
      </c>
    </row>
    <row r="7541" spans="1:14">
      <c r="A7541">
        <v>28730000</v>
      </c>
      <c r="B7541">
        <v>3032695</v>
      </c>
      <c r="C7541" t="s">
        <v>14983</v>
      </c>
      <c r="D7541" t="s">
        <v>441</v>
      </c>
      <c r="F7541">
        <v>0</v>
      </c>
      <c r="G7541">
        <v>11.17</v>
      </c>
      <c r="H7541" t="s">
        <v>8549</v>
      </c>
      <c r="I7541">
        <v>6</v>
      </c>
      <c r="J7541" t="s">
        <v>445</v>
      </c>
      <c r="K7541" t="s">
        <v>446</v>
      </c>
      <c r="M7541">
        <v>2391</v>
      </c>
      <c r="N7541" t="s">
        <v>16089</v>
      </c>
    </row>
    <row r="7542" spans="1:14">
      <c r="A7542">
        <v>28730080</v>
      </c>
      <c r="B7542">
        <v>4021735</v>
      </c>
      <c r="C7542" t="s">
        <v>14984</v>
      </c>
      <c r="D7542" t="s">
        <v>441</v>
      </c>
      <c r="F7542">
        <v>0</v>
      </c>
      <c r="G7542">
        <v>11.38</v>
      </c>
      <c r="H7542" t="s">
        <v>8588</v>
      </c>
      <c r="I7542">
        <v>6</v>
      </c>
      <c r="J7542" t="s">
        <v>462</v>
      </c>
      <c r="M7542">
        <v>7112</v>
      </c>
      <c r="N7542" t="s">
        <v>16089</v>
      </c>
    </row>
    <row r="7543" spans="1:14">
      <c r="A7543">
        <v>28730087</v>
      </c>
      <c r="B7543">
        <v>3040692</v>
      </c>
      <c r="C7543" t="s">
        <v>14985</v>
      </c>
      <c r="D7543" t="s">
        <v>441</v>
      </c>
      <c r="F7543">
        <v>0</v>
      </c>
      <c r="G7543">
        <v>11.31</v>
      </c>
      <c r="H7543" t="s">
        <v>8588</v>
      </c>
      <c r="I7543">
        <v>6</v>
      </c>
      <c r="J7543" t="s">
        <v>445</v>
      </c>
      <c r="K7543" t="s">
        <v>446</v>
      </c>
      <c r="M7543">
        <v>7112</v>
      </c>
      <c r="N7543" t="s">
        <v>16089</v>
      </c>
    </row>
    <row r="7544" spans="1:14">
      <c r="A7544">
        <v>28740000</v>
      </c>
      <c r="B7544">
        <v>3032879</v>
      </c>
      <c r="C7544" t="s">
        <v>14986</v>
      </c>
      <c r="D7544" t="s">
        <v>441</v>
      </c>
      <c r="F7544">
        <v>0</v>
      </c>
      <c r="G7544">
        <v>14.35</v>
      </c>
      <c r="H7544" t="s">
        <v>8549</v>
      </c>
      <c r="I7544">
        <v>6</v>
      </c>
      <c r="J7544" t="s">
        <v>445</v>
      </c>
      <c r="M7544">
        <v>2391</v>
      </c>
      <c r="N7544" t="s">
        <v>16337</v>
      </c>
    </row>
    <row r="7545" spans="1:14">
      <c r="A7545">
        <v>28740025</v>
      </c>
      <c r="B7545">
        <v>4021873</v>
      </c>
      <c r="C7545" t="s">
        <v>14987</v>
      </c>
      <c r="D7545" t="s">
        <v>441</v>
      </c>
      <c r="F7545">
        <v>0</v>
      </c>
      <c r="G7545">
        <v>15.28</v>
      </c>
      <c r="H7545" t="s">
        <v>8588</v>
      </c>
      <c r="I7545">
        <v>540</v>
      </c>
      <c r="J7545" t="s">
        <v>462</v>
      </c>
      <c r="M7545">
        <v>7111</v>
      </c>
      <c r="N7545" t="s">
        <v>16337</v>
      </c>
    </row>
    <row r="7546" spans="1:14">
      <c r="A7546">
        <v>28740080</v>
      </c>
      <c r="B7546">
        <v>3033713</v>
      </c>
      <c r="C7546" t="s">
        <v>14988</v>
      </c>
      <c r="D7546" t="s">
        <v>441</v>
      </c>
      <c r="F7546">
        <v>0</v>
      </c>
      <c r="G7546">
        <v>14.57</v>
      </c>
      <c r="H7546" t="s">
        <v>8588</v>
      </c>
      <c r="I7546">
        <v>6</v>
      </c>
      <c r="J7546" t="s">
        <v>445</v>
      </c>
      <c r="M7546">
        <v>7112</v>
      </c>
      <c r="N7546" t="s">
        <v>16337</v>
      </c>
    </row>
    <row r="7547" spans="1:14">
      <c r="A7547">
        <v>28740525</v>
      </c>
      <c r="B7547">
        <v>3032880</v>
      </c>
      <c r="C7547" t="s">
        <v>14989</v>
      </c>
      <c r="D7547" t="s">
        <v>441</v>
      </c>
      <c r="F7547">
        <v>0</v>
      </c>
      <c r="G7547">
        <v>14.8</v>
      </c>
      <c r="H7547" t="s">
        <v>8580</v>
      </c>
      <c r="I7547">
        <v>6</v>
      </c>
      <c r="J7547" t="s">
        <v>445</v>
      </c>
      <c r="M7547">
        <v>2502</v>
      </c>
      <c r="N7547" t="s">
        <v>16337</v>
      </c>
    </row>
    <row r="7548" spans="1:14">
      <c r="A7548">
        <v>28741000</v>
      </c>
      <c r="B7548">
        <v>3034011</v>
      </c>
      <c r="C7548" t="s">
        <v>14990</v>
      </c>
      <c r="D7548" t="s">
        <v>441</v>
      </c>
      <c r="F7548">
        <v>0</v>
      </c>
      <c r="G7548">
        <v>14.35</v>
      </c>
      <c r="H7548" t="s">
        <v>8549</v>
      </c>
      <c r="I7548">
        <v>6</v>
      </c>
      <c r="J7548" t="s">
        <v>445</v>
      </c>
      <c r="M7548">
        <v>2391</v>
      </c>
      <c r="N7548" t="s">
        <v>16337</v>
      </c>
    </row>
    <row r="7549" spans="1:14">
      <c r="A7549">
        <v>28741025</v>
      </c>
      <c r="B7549">
        <v>4022782</v>
      </c>
      <c r="C7549" t="s">
        <v>14991</v>
      </c>
      <c r="D7549" t="s">
        <v>441</v>
      </c>
      <c r="F7549">
        <v>0</v>
      </c>
      <c r="G7549">
        <v>15.28</v>
      </c>
      <c r="H7549" t="s">
        <v>8588</v>
      </c>
      <c r="I7549">
        <v>540</v>
      </c>
      <c r="J7549" t="s">
        <v>462</v>
      </c>
      <c r="M7549">
        <v>7111</v>
      </c>
      <c r="N7549" t="s">
        <v>16337</v>
      </c>
    </row>
    <row r="7550" spans="1:14">
      <c r="A7550">
        <v>28741525</v>
      </c>
      <c r="B7550">
        <v>3034015</v>
      </c>
      <c r="C7550" t="s">
        <v>14992</v>
      </c>
      <c r="D7550" t="s">
        <v>441</v>
      </c>
      <c r="F7550">
        <v>0</v>
      </c>
      <c r="G7550">
        <v>14.8</v>
      </c>
      <c r="H7550" t="s">
        <v>8588</v>
      </c>
      <c r="I7550">
        <v>6</v>
      </c>
      <c r="J7550" t="s">
        <v>445</v>
      </c>
      <c r="M7550">
        <v>2502</v>
      </c>
      <c r="N7550" t="s">
        <v>16337</v>
      </c>
    </row>
    <row r="7551" spans="1:14">
      <c r="A7551">
        <v>28745000</v>
      </c>
      <c r="B7551">
        <v>3035232</v>
      </c>
      <c r="C7551" t="s">
        <v>14993</v>
      </c>
      <c r="D7551" t="s">
        <v>441</v>
      </c>
      <c r="F7551">
        <v>0</v>
      </c>
      <c r="G7551">
        <v>14.35</v>
      </c>
      <c r="H7551" t="s">
        <v>8549</v>
      </c>
      <c r="I7551">
        <v>6</v>
      </c>
      <c r="J7551" t="s">
        <v>445</v>
      </c>
      <c r="M7551">
        <v>2391</v>
      </c>
      <c r="N7551" t="s">
        <v>16337</v>
      </c>
    </row>
    <row r="7552" spans="1:14">
      <c r="A7552">
        <v>28745025</v>
      </c>
      <c r="B7552">
        <v>4023853</v>
      </c>
      <c r="C7552" t="s">
        <v>14994</v>
      </c>
      <c r="D7552" t="s">
        <v>441</v>
      </c>
      <c r="F7552">
        <v>0</v>
      </c>
      <c r="G7552">
        <v>15.28</v>
      </c>
      <c r="H7552" t="s">
        <v>8588</v>
      </c>
      <c r="I7552">
        <v>540</v>
      </c>
      <c r="J7552" t="s">
        <v>462</v>
      </c>
      <c r="M7552">
        <v>7111</v>
      </c>
      <c r="N7552" t="s">
        <v>16337</v>
      </c>
    </row>
    <row r="7553" spans="1:14">
      <c r="A7553">
        <v>28745525</v>
      </c>
      <c r="B7553">
        <v>3035226</v>
      </c>
      <c r="C7553" t="s">
        <v>14995</v>
      </c>
      <c r="D7553" t="s">
        <v>441</v>
      </c>
      <c r="F7553">
        <v>0</v>
      </c>
      <c r="G7553">
        <v>14.8</v>
      </c>
      <c r="I7553">
        <v>6</v>
      </c>
      <c r="J7553" t="s">
        <v>445</v>
      </c>
      <c r="M7553">
        <v>2502</v>
      </c>
      <c r="N7553" t="s">
        <v>16337</v>
      </c>
    </row>
    <row r="7554" spans="1:14">
      <c r="A7554">
        <v>28750000</v>
      </c>
      <c r="B7554">
        <v>3044596</v>
      </c>
      <c r="C7554" t="s">
        <v>15652</v>
      </c>
      <c r="D7554" t="s">
        <v>441</v>
      </c>
      <c r="F7554">
        <v>0</v>
      </c>
      <c r="G7554">
        <v>14.34</v>
      </c>
      <c r="H7554" t="s">
        <v>8549</v>
      </c>
      <c r="I7554">
        <v>6</v>
      </c>
      <c r="J7554" t="s">
        <v>445</v>
      </c>
      <c r="M7554">
        <v>2391</v>
      </c>
      <c r="N7554" t="s">
        <v>16338</v>
      </c>
    </row>
    <row r="7555" spans="1:14">
      <c r="A7555">
        <v>28750100</v>
      </c>
      <c r="B7555">
        <v>3032906</v>
      </c>
      <c r="C7555" t="s">
        <v>3324</v>
      </c>
      <c r="D7555" t="s">
        <v>441</v>
      </c>
      <c r="F7555">
        <v>0</v>
      </c>
      <c r="H7555" t="s">
        <v>8588</v>
      </c>
      <c r="I7555">
        <v>6</v>
      </c>
      <c r="J7555" t="s">
        <v>445</v>
      </c>
      <c r="K7555" t="s">
        <v>446</v>
      </c>
      <c r="M7555">
        <v>0</v>
      </c>
      <c r="N7555" t="s">
        <v>16339</v>
      </c>
    </row>
    <row r="7556" spans="1:14">
      <c r="A7556">
        <v>28760000</v>
      </c>
      <c r="B7556">
        <v>3036629</v>
      </c>
      <c r="C7556" t="s">
        <v>15596</v>
      </c>
      <c r="D7556" t="s">
        <v>441</v>
      </c>
      <c r="F7556">
        <v>0</v>
      </c>
      <c r="G7556">
        <v>14.36</v>
      </c>
      <c r="H7556" t="s">
        <v>8549</v>
      </c>
      <c r="I7556">
        <v>6</v>
      </c>
      <c r="J7556" t="s">
        <v>445</v>
      </c>
      <c r="M7556">
        <v>2391</v>
      </c>
      <c r="N7556" t="s">
        <v>16340</v>
      </c>
    </row>
    <row r="7557" spans="1:14">
      <c r="A7557">
        <v>28760087</v>
      </c>
      <c r="B7557">
        <v>4029800</v>
      </c>
      <c r="C7557" t="s">
        <v>15597</v>
      </c>
      <c r="D7557" t="s">
        <v>441</v>
      </c>
      <c r="F7557">
        <v>0</v>
      </c>
      <c r="G7557">
        <v>14.62</v>
      </c>
      <c r="H7557" t="s">
        <v>8588</v>
      </c>
      <c r="I7557">
        <v>6</v>
      </c>
      <c r="J7557" t="s">
        <v>462</v>
      </c>
      <c r="M7557">
        <v>7112</v>
      </c>
      <c r="N7557" t="s">
        <v>16340</v>
      </c>
    </row>
    <row r="7558" spans="1:14">
      <c r="A7558">
        <v>28770000</v>
      </c>
      <c r="B7558">
        <v>3015934</v>
      </c>
      <c r="C7558" t="s">
        <v>14983</v>
      </c>
      <c r="D7558" t="s">
        <v>441</v>
      </c>
      <c r="F7558">
        <v>0</v>
      </c>
      <c r="G7558">
        <v>11.17</v>
      </c>
      <c r="I7558">
        <v>6</v>
      </c>
      <c r="J7558" t="s">
        <v>445</v>
      </c>
      <c r="K7558" t="s">
        <v>446</v>
      </c>
      <c r="M7558">
        <v>2391</v>
      </c>
      <c r="N7558" t="s">
        <v>16089</v>
      </c>
    </row>
    <row r="7559" spans="1:14">
      <c r="A7559">
        <v>28771000</v>
      </c>
      <c r="B7559">
        <v>3015940</v>
      </c>
      <c r="C7559" t="s">
        <v>14996</v>
      </c>
      <c r="D7559" t="s">
        <v>441</v>
      </c>
      <c r="F7559">
        <v>0</v>
      </c>
      <c r="G7559">
        <v>11.17</v>
      </c>
      <c r="H7559" t="s">
        <v>8580</v>
      </c>
      <c r="I7559">
        <v>6</v>
      </c>
      <c r="J7559" t="s">
        <v>445</v>
      </c>
      <c r="K7559" t="s">
        <v>446</v>
      </c>
      <c r="M7559">
        <v>2391</v>
      </c>
      <c r="N7559" t="s">
        <v>16089</v>
      </c>
    </row>
    <row r="7560" spans="1:14">
      <c r="A7560">
        <v>28780020</v>
      </c>
      <c r="B7560">
        <v>4021906</v>
      </c>
      <c r="C7560" t="s">
        <v>14997</v>
      </c>
      <c r="D7560" t="s">
        <v>441</v>
      </c>
      <c r="F7560">
        <v>0</v>
      </c>
      <c r="G7560">
        <v>13.56</v>
      </c>
      <c r="H7560" t="s">
        <v>8588</v>
      </c>
      <c r="I7560">
        <v>6</v>
      </c>
      <c r="J7560" t="s">
        <v>462</v>
      </c>
      <c r="M7560">
        <v>7112</v>
      </c>
      <c r="N7560" t="s">
        <v>16089</v>
      </c>
    </row>
    <row r="7561" spans="1:14">
      <c r="A7561">
        <v>28780080</v>
      </c>
      <c r="B7561">
        <v>4021859</v>
      </c>
      <c r="C7561" t="s">
        <v>14998</v>
      </c>
      <c r="D7561" t="s">
        <v>441</v>
      </c>
      <c r="F7561">
        <v>0</v>
      </c>
      <c r="G7561">
        <v>13.31</v>
      </c>
      <c r="H7561" t="s">
        <v>8588</v>
      </c>
      <c r="I7561">
        <v>6</v>
      </c>
      <c r="J7561" t="s">
        <v>462</v>
      </c>
      <c r="M7561">
        <v>7112</v>
      </c>
      <c r="N7561" t="s">
        <v>16089</v>
      </c>
    </row>
    <row r="7562" spans="1:14">
      <c r="A7562">
        <v>28780087</v>
      </c>
      <c r="B7562">
        <v>3040585</v>
      </c>
      <c r="C7562" t="s">
        <v>14999</v>
      </c>
      <c r="D7562" t="s">
        <v>441</v>
      </c>
      <c r="F7562">
        <v>0</v>
      </c>
      <c r="G7562">
        <v>13.24</v>
      </c>
      <c r="H7562" t="s">
        <v>8588</v>
      </c>
      <c r="I7562">
        <v>6</v>
      </c>
      <c r="J7562" t="s">
        <v>445</v>
      </c>
      <c r="K7562" t="s">
        <v>446</v>
      </c>
      <c r="M7562">
        <v>7112</v>
      </c>
      <c r="N7562" t="s">
        <v>16089</v>
      </c>
    </row>
    <row r="7563" spans="1:14">
      <c r="A7563">
        <v>28781080</v>
      </c>
      <c r="B7563">
        <v>4022737</v>
      </c>
      <c r="C7563" t="s">
        <v>15000</v>
      </c>
      <c r="D7563" t="s">
        <v>441</v>
      </c>
      <c r="F7563">
        <v>0</v>
      </c>
      <c r="G7563">
        <v>13.31</v>
      </c>
      <c r="H7563" t="s">
        <v>8588</v>
      </c>
      <c r="I7563">
        <v>6</v>
      </c>
      <c r="J7563" t="s">
        <v>462</v>
      </c>
      <c r="M7563">
        <v>7112</v>
      </c>
      <c r="N7563" t="s">
        <v>16089</v>
      </c>
    </row>
    <row r="7564" spans="1:14">
      <c r="A7564">
        <v>28783000</v>
      </c>
      <c r="B7564">
        <v>3032907</v>
      </c>
      <c r="C7564" t="s">
        <v>15001</v>
      </c>
      <c r="D7564" t="s">
        <v>441</v>
      </c>
      <c r="F7564">
        <v>0</v>
      </c>
      <c r="G7564">
        <v>13.1</v>
      </c>
      <c r="H7564" t="s">
        <v>8549</v>
      </c>
      <c r="I7564">
        <v>6</v>
      </c>
      <c r="J7564" t="s">
        <v>445</v>
      </c>
      <c r="K7564" t="s">
        <v>446</v>
      </c>
      <c r="M7564">
        <v>2391</v>
      </c>
      <c r="N7564" t="s">
        <v>16089</v>
      </c>
    </row>
    <row r="7565" spans="1:14">
      <c r="A7565">
        <v>28786000</v>
      </c>
      <c r="B7565">
        <v>3033924</v>
      </c>
      <c r="C7565" t="s">
        <v>15002</v>
      </c>
      <c r="D7565" t="s">
        <v>441</v>
      </c>
      <c r="F7565">
        <v>0</v>
      </c>
      <c r="G7565">
        <v>13.1</v>
      </c>
      <c r="H7565" t="s">
        <v>8549</v>
      </c>
      <c r="I7565">
        <v>6</v>
      </c>
      <c r="J7565" t="s">
        <v>445</v>
      </c>
      <c r="K7565" t="s">
        <v>446</v>
      </c>
      <c r="M7565">
        <v>2391</v>
      </c>
      <c r="N7565" t="s">
        <v>16089</v>
      </c>
    </row>
    <row r="7566" spans="1:14">
      <c r="A7566">
        <v>28790000</v>
      </c>
      <c r="B7566">
        <v>3030405</v>
      </c>
      <c r="C7566" t="s">
        <v>15003</v>
      </c>
      <c r="D7566" t="s">
        <v>441</v>
      </c>
      <c r="F7566">
        <v>0</v>
      </c>
      <c r="G7566">
        <v>16.010000000000002</v>
      </c>
      <c r="H7566" t="s">
        <v>8549</v>
      </c>
      <c r="I7566">
        <v>6</v>
      </c>
      <c r="J7566" t="s">
        <v>445</v>
      </c>
      <c r="M7566">
        <v>2391</v>
      </c>
      <c r="N7566" t="s">
        <v>16340</v>
      </c>
    </row>
    <row r="7567" spans="1:14">
      <c r="A7567">
        <v>28790080</v>
      </c>
      <c r="B7567">
        <v>4022671</v>
      </c>
      <c r="C7567" t="s">
        <v>15004</v>
      </c>
      <c r="D7567" t="s">
        <v>441</v>
      </c>
      <c r="F7567">
        <v>0</v>
      </c>
      <c r="G7567">
        <v>16.27</v>
      </c>
      <c r="H7567" t="s">
        <v>8588</v>
      </c>
      <c r="I7567">
        <v>6</v>
      </c>
      <c r="J7567" t="s">
        <v>462</v>
      </c>
      <c r="M7567">
        <v>7112</v>
      </c>
      <c r="N7567" t="s">
        <v>16340</v>
      </c>
    </row>
    <row r="7568" spans="1:14">
      <c r="A7568">
        <v>28790087</v>
      </c>
      <c r="B7568">
        <v>3033379</v>
      </c>
      <c r="C7568" t="s">
        <v>15005</v>
      </c>
      <c r="D7568" t="s">
        <v>441</v>
      </c>
      <c r="F7568">
        <v>0</v>
      </c>
      <c r="G7568">
        <v>16.18</v>
      </c>
      <c r="H7568" t="s">
        <v>8588</v>
      </c>
      <c r="I7568">
        <v>6</v>
      </c>
      <c r="J7568" t="s">
        <v>445</v>
      </c>
      <c r="M7568">
        <v>7112</v>
      </c>
      <c r="N7568" t="s">
        <v>16340</v>
      </c>
    </row>
    <row r="7569" spans="1:14">
      <c r="A7569">
        <v>28791000</v>
      </c>
      <c r="B7569">
        <v>3030406</v>
      </c>
      <c r="C7569" t="s">
        <v>15006</v>
      </c>
      <c r="D7569" t="s">
        <v>441</v>
      </c>
      <c r="F7569">
        <v>0</v>
      </c>
      <c r="G7569">
        <v>16.010000000000002</v>
      </c>
      <c r="H7569" t="s">
        <v>8549</v>
      </c>
      <c r="I7569">
        <v>6</v>
      </c>
      <c r="J7569" t="s">
        <v>445</v>
      </c>
      <c r="M7569">
        <v>2391</v>
      </c>
      <c r="N7569" t="s">
        <v>16340</v>
      </c>
    </row>
    <row r="7570" spans="1:14">
      <c r="A7570">
        <v>28791087</v>
      </c>
      <c r="B7570">
        <v>3033925</v>
      </c>
      <c r="C7570" t="s">
        <v>15007</v>
      </c>
      <c r="D7570" t="s">
        <v>441</v>
      </c>
      <c r="F7570">
        <v>0</v>
      </c>
      <c r="G7570">
        <v>16.170000000000002</v>
      </c>
      <c r="H7570" t="s">
        <v>8588</v>
      </c>
      <c r="I7570">
        <v>6</v>
      </c>
      <c r="J7570" t="s">
        <v>445</v>
      </c>
      <c r="M7570">
        <v>7112</v>
      </c>
      <c r="N7570" t="s">
        <v>16340</v>
      </c>
    </row>
    <row r="7571" spans="1:14">
      <c r="A7571">
        <v>28800000</v>
      </c>
      <c r="B7571">
        <v>3028485</v>
      </c>
      <c r="C7571" t="s">
        <v>15008</v>
      </c>
      <c r="D7571" t="s">
        <v>441</v>
      </c>
      <c r="F7571">
        <v>0</v>
      </c>
      <c r="G7571">
        <v>13.93</v>
      </c>
      <c r="H7571" t="s">
        <v>8549</v>
      </c>
      <c r="I7571">
        <v>6</v>
      </c>
      <c r="J7571" t="s">
        <v>445</v>
      </c>
      <c r="M7571">
        <v>2391</v>
      </c>
      <c r="N7571" t="s">
        <v>16341</v>
      </c>
    </row>
    <row r="7572" spans="1:14">
      <c r="A7572">
        <v>28800025</v>
      </c>
      <c r="B7572">
        <v>4019566</v>
      </c>
      <c r="C7572" t="s">
        <v>15009</v>
      </c>
      <c r="D7572" t="s">
        <v>441</v>
      </c>
      <c r="F7572">
        <v>0</v>
      </c>
      <c r="G7572">
        <v>14.81</v>
      </c>
      <c r="H7572" t="s">
        <v>8588</v>
      </c>
      <c r="I7572">
        <v>540</v>
      </c>
      <c r="J7572" t="s">
        <v>462</v>
      </c>
      <c r="M7572">
        <v>7111</v>
      </c>
      <c r="N7572" t="s">
        <v>16341</v>
      </c>
    </row>
    <row r="7573" spans="1:14">
      <c r="A7573">
        <v>28800525</v>
      </c>
      <c r="B7573">
        <v>3028563</v>
      </c>
      <c r="C7573" t="s">
        <v>15010</v>
      </c>
      <c r="D7573" t="s">
        <v>441</v>
      </c>
      <c r="F7573">
        <v>0</v>
      </c>
      <c r="G7573">
        <v>14.32</v>
      </c>
      <c r="H7573" t="s">
        <v>8588</v>
      </c>
      <c r="I7573">
        <v>6</v>
      </c>
      <c r="J7573" t="s">
        <v>445</v>
      </c>
      <c r="M7573">
        <v>2502</v>
      </c>
      <c r="N7573" t="s">
        <v>16341</v>
      </c>
    </row>
    <row r="7574" spans="1:14">
      <c r="A7574">
        <v>28801000</v>
      </c>
      <c r="B7574">
        <v>3028562</v>
      </c>
      <c r="C7574" t="s">
        <v>15011</v>
      </c>
      <c r="D7574" t="s">
        <v>441</v>
      </c>
      <c r="F7574">
        <v>0</v>
      </c>
      <c r="G7574">
        <v>13.96</v>
      </c>
      <c r="H7574" t="s">
        <v>8549</v>
      </c>
      <c r="I7574">
        <v>6</v>
      </c>
      <c r="J7574" t="s">
        <v>445</v>
      </c>
      <c r="K7574" t="s">
        <v>446</v>
      </c>
      <c r="M7574">
        <v>2391</v>
      </c>
      <c r="N7574" t="s">
        <v>16341</v>
      </c>
    </row>
    <row r="7575" spans="1:14">
      <c r="A7575">
        <v>28801025</v>
      </c>
      <c r="B7575">
        <v>4022783</v>
      </c>
      <c r="C7575" t="s">
        <v>15012</v>
      </c>
      <c r="D7575" t="s">
        <v>441</v>
      </c>
      <c r="F7575">
        <v>0</v>
      </c>
      <c r="G7575">
        <v>14.84</v>
      </c>
      <c r="H7575" t="s">
        <v>8588</v>
      </c>
      <c r="I7575">
        <v>540</v>
      </c>
      <c r="J7575" t="s">
        <v>462</v>
      </c>
      <c r="M7575">
        <v>7111</v>
      </c>
      <c r="N7575" t="s">
        <v>16341</v>
      </c>
    </row>
    <row r="7576" spans="1:14">
      <c r="A7576">
        <v>28801525</v>
      </c>
      <c r="B7576">
        <v>3028564</v>
      </c>
      <c r="C7576" t="s">
        <v>15013</v>
      </c>
      <c r="D7576" t="s">
        <v>441</v>
      </c>
      <c r="F7576">
        <v>0</v>
      </c>
      <c r="G7576">
        <v>14.36</v>
      </c>
      <c r="H7576" t="s">
        <v>8588</v>
      </c>
      <c r="I7576">
        <v>6</v>
      </c>
      <c r="J7576" t="s">
        <v>445</v>
      </c>
      <c r="K7576" t="s">
        <v>446</v>
      </c>
      <c r="M7576">
        <v>2502</v>
      </c>
      <c r="N7576" t="s">
        <v>16341</v>
      </c>
    </row>
    <row r="7577" spans="1:14">
      <c r="A7577">
        <v>28810000</v>
      </c>
      <c r="B7577">
        <v>3015966</v>
      </c>
      <c r="C7577" t="s">
        <v>15014</v>
      </c>
      <c r="D7577" t="s">
        <v>441</v>
      </c>
      <c r="F7577">
        <v>0</v>
      </c>
      <c r="G7577">
        <v>13.61</v>
      </c>
      <c r="I7577">
        <v>6</v>
      </c>
      <c r="J7577" t="s">
        <v>445</v>
      </c>
      <c r="M7577">
        <v>2391</v>
      </c>
      <c r="N7577" t="s">
        <v>16342</v>
      </c>
    </row>
    <row r="7578" spans="1:14">
      <c r="A7578">
        <v>28810025</v>
      </c>
      <c r="B7578">
        <v>4019601</v>
      </c>
      <c r="C7578" t="s">
        <v>15015</v>
      </c>
      <c r="D7578" t="s">
        <v>441</v>
      </c>
      <c r="F7578">
        <v>0</v>
      </c>
      <c r="G7578">
        <v>14.49</v>
      </c>
      <c r="H7578" t="s">
        <v>8588</v>
      </c>
      <c r="I7578">
        <v>540</v>
      </c>
      <c r="J7578" t="s">
        <v>462</v>
      </c>
      <c r="L7578" t="s">
        <v>12129</v>
      </c>
      <c r="M7578">
        <v>7111</v>
      </c>
      <c r="N7578" t="s">
        <v>16342</v>
      </c>
    </row>
    <row r="7579" spans="1:14">
      <c r="A7579">
        <v>28810075</v>
      </c>
      <c r="B7579">
        <v>4026152</v>
      </c>
      <c r="C7579" t="s">
        <v>15016</v>
      </c>
      <c r="D7579" t="s">
        <v>441</v>
      </c>
      <c r="F7579">
        <v>0</v>
      </c>
      <c r="G7579">
        <v>13.92</v>
      </c>
      <c r="H7579" t="s">
        <v>8588</v>
      </c>
      <c r="I7579">
        <v>6</v>
      </c>
      <c r="J7579" t="s">
        <v>462</v>
      </c>
      <c r="L7579">
        <v>2052318</v>
      </c>
      <c r="M7579">
        <v>7112</v>
      </c>
      <c r="N7579" t="s">
        <v>16342</v>
      </c>
    </row>
    <row r="7580" spans="1:14">
      <c r="A7580">
        <v>28810525</v>
      </c>
      <c r="B7580">
        <v>3016819</v>
      </c>
      <c r="C7580" t="s">
        <v>15017</v>
      </c>
      <c r="D7580" t="s">
        <v>441</v>
      </c>
      <c r="F7580">
        <v>0</v>
      </c>
      <c r="G7580">
        <v>14.01</v>
      </c>
      <c r="H7580" t="s">
        <v>8588</v>
      </c>
      <c r="I7580">
        <v>6</v>
      </c>
      <c r="J7580" t="s">
        <v>445</v>
      </c>
      <c r="M7580">
        <v>2502</v>
      </c>
      <c r="N7580" t="s">
        <v>16342</v>
      </c>
    </row>
    <row r="7581" spans="1:14">
      <c r="A7581">
        <v>28811000</v>
      </c>
      <c r="B7581">
        <v>3034009</v>
      </c>
      <c r="C7581" t="s">
        <v>15018</v>
      </c>
      <c r="D7581" t="s">
        <v>441</v>
      </c>
      <c r="F7581">
        <v>0</v>
      </c>
      <c r="G7581">
        <v>13.61</v>
      </c>
      <c r="H7581" t="s">
        <v>8549</v>
      </c>
      <c r="I7581">
        <v>6</v>
      </c>
      <c r="J7581" t="s">
        <v>445</v>
      </c>
      <c r="M7581">
        <v>2391</v>
      </c>
      <c r="N7581" t="s">
        <v>16342</v>
      </c>
    </row>
    <row r="7582" spans="1:14">
      <c r="A7582">
        <v>28811025</v>
      </c>
      <c r="B7582">
        <v>4022779</v>
      </c>
      <c r="C7582" t="s">
        <v>15019</v>
      </c>
      <c r="D7582" t="s">
        <v>441</v>
      </c>
      <c r="F7582">
        <v>0</v>
      </c>
      <c r="G7582">
        <v>14.49</v>
      </c>
      <c r="H7582" t="s">
        <v>8588</v>
      </c>
      <c r="I7582">
        <v>540</v>
      </c>
      <c r="J7582" t="s">
        <v>462</v>
      </c>
      <c r="L7582" t="s">
        <v>12129</v>
      </c>
      <c r="M7582">
        <v>7111</v>
      </c>
      <c r="N7582" t="s">
        <v>16342</v>
      </c>
    </row>
    <row r="7583" spans="1:14">
      <c r="A7583">
        <v>28811525</v>
      </c>
      <c r="B7583">
        <v>3034013</v>
      </c>
      <c r="C7583" t="s">
        <v>15020</v>
      </c>
      <c r="D7583" t="s">
        <v>441</v>
      </c>
      <c r="F7583">
        <v>0</v>
      </c>
      <c r="G7583">
        <v>14.01</v>
      </c>
      <c r="H7583" t="s">
        <v>8588</v>
      </c>
      <c r="I7583">
        <v>6</v>
      </c>
      <c r="J7583" t="s">
        <v>445</v>
      </c>
      <c r="M7583">
        <v>2502</v>
      </c>
      <c r="N7583" t="s">
        <v>16342</v>
      </c>
    </row>
    <row r="7584" spans="1:14">
      <c r="A7584">
        <v>28820000</v>
      </c>
      <c r="B7584">
        <v>3029657</v>
      </c>
      <c r="C7584" t="s">
        <v>14983</v>
      </c>
      <c r="D7584" t="s">
        <v>441</v>
      </c>
      <c r="F7584">
        <v>0</v>
      </c>
      <c r="G7584">
        <v>11.17</v>
      </c>
      <c r="H7584" t="s">
        <v>8549</v>
      </c>
      <c r="I7584">
        <v>6</v>
      </c>
      <c r="J7584" t="s">
        <v>445</v>
      </c>
      <c r="K7584" t="s">
        <v>446</v>
      </c>
      <c r="M7584">
        <v>2391</v>
      </c>
      <c r="N7584" t="s">
        <v>16089</v>
      </c>
    </row>
    <row r="7585" spans="1:14">
      <c r="A7585">
        <v>28820076</v>
      </c>
      <c r="B7585">
        <v>4019679</v>
      </c>
      <c r="C7585" t="s">
        <v>15021</v>
      </c>
      <c r="D7585" t="s">
        <v>441</v>
      </c>
      <c r="F7585">
        <v>0</v>
      </c>
      <c r="G7585">
        <v>11.37</v>
      </c>
      <c r="H7585" t="s">
        <v>8588</v>
      </c>
      <c r="I7585">
        <v>6</v>
      </c>
      <c r="J7585" t="s">
        <v>462</v>
      </c>
      <c r="M7585">
        <v>7112</v>
      </c>
      <c r="N7585" t="s">
        <v>16089</v>
      </c>
    </row>
    <row r="7586" spans="1:14">
      <c r="A7586">
        <v>28830000</v>
      </c>
      <c r="B7586">
        <v>3029626</v>
      </c>
      <c r="C7586" t="s">
        <v>15022</v>
      </c>
      <c r="D7586" t="s">
        <v>441</v>
      </c>
      <c r="F7586">
        <v>0</v>
      </c>
      <c r="G7586">
        <v>18.239999999999998</v>
      </c>
      <c r="H7586" t="s">
        <v>8549</v>
      </c>
      <c r="I7586">
        <v>6</v>
      </c>
      <c r="J7586" t="s">
        <v>445</v>
      </c>
      <c r="K7586" t="s">
        <v>446</v>
      </c>
      <c r="M7586">
        <v>2391</v>
      </c>
      <c r="N7586" t="s">
        <v>16343</v>
      </c>
    </row>
    <row r="7587" spans="1:14">
      <c r="A7587">
        <v>28830030</v>
      </c>
      <c r="B7587">
        <v>4019832</v>
      </c>
      <c r="C7587" t="s">
        <v>12130</v>
      </c>
      <c r="D7587" t="s">
        <v>441</v>
      </c>
      <c r="F7587">
        <v>0</v>
      </c>
      <c r="G7587">
        <v>12.32</v>
      </c>
      <c r="H7587" t="s">
        <v>8588</v>
      </c>
      <c r="I7587">
        <v>13</v>
      </c>
      <c r="J7587" t="s">
        <v>462</v>
      </c>
      <c r="K7587" t="s">
        <v>446</v>
      </c>
      <c r="M7587">
        <v>2612</v>
      </c>
      <c r="N7587" t="s">
        <v>16344</v>
      </c>
    </row>
    <row r="7588" spans="1:14">
      <c r="A7588">
        <v>28830525</v>
      </c>
      <c r="B7588">
        <v>3029629</v>
      </c>
      <c r="C7588" t="s">
        <v>3336</v>
      </c>
      <c r="D7588" t="s">
        <v>441</v>
      </c>
      <c r="F7588">
        <v>0</v>
      </c>
      <c r="G7588">
        <v>15.44</v>
      </c>
      <c r="H7588" t="s">
        <v>8588</v>
      </c>
      <c r="I7588">
        <v>6</v>
      </c>
      <c r="J7588" t="s">
        <v>445</v>
      </c>
      <c r="K7588" t="s">
        <v>446</v>
      </c>
      <c r="M7588">
        <v>2641</v>
      </c>
      <c r="N7588" t="s">
        <v>16344</v>
      </c>
    </row>
    <row r="7589" spans="1:14">
      <c r="A7589">
        <v>28831000</v>
      </c>
      <c r="B7589">
        <v>3029627</v>
      </c>
      <c r="C7589" t="s">
        <v>15023</v>
      </c>
      <c r="D7589" t="s">
        <v>441</v>
      </c>
      <c r="F7589">
        <v>0</v>
      </c>
      <c r="G7589">
        <v>18.399999999999999</v>
      </c>
      <c r="H7589" t="s">
        <v>8549</v>
      </c>
      <c r="I7589">
        <v>6</v>
      </c>
      <c r="J7589" t="s">
        <v>445</v>
      </c>
      <c r="K7589" t="s">
        <v>446</v>
      </c>
      <c r="M7589">
        <v>2391</v>
      </c>
      <c r="N7589" t="s">
        <v>16343</v>
      </c>
    </row>
    <row r="7590" spans="1:14">
      <c r="A7590">
        <v>28831525</v>
      </c>
      <c r="B7590">
        <v>3029628</v>
      </c>
      <c r="C7590" t="s">
        <v>3337</v>
      </c>
      <c r="D7590" t="s">
        <v>441</v>
      </c>
      <c r="F7590">
        <v>0</v>
      </c>
      <c r="G7590">
        <v>15.44</v>
      </c>
      <c r="H7590" t="s">
        <v>8588</v>
      </c>
      <c r="I7590">
        <v>6</v>
      </c>
      <c r="J7590" t="s">
        <v>445</v>
      </c>
      <c r="K7590" t="s">
        <v>446</v>
      </c>
      <c r="M7590">
        <v>2641</v>
      </c>
      <c r="N7590" t="s">
        <v>16344</v>
      </c>
    </row>
    <row r="7591" spans="1:14">
      <c r="A7591">
        <v>28840000</v>
      </c>
      <c r="B7591">
        <v>3026518</v>
      </c>
      <c r="C7591" t="s">
        <v>15024</v>
      </c>
      <c r="D7591" t="s">
        <v>441</v>
      </c>
      <c r="F7591">
        <v>0</v>
      </c>
      <c r="G7591">
        <v>14.29</v>
      </c>
      <c r="H7591" t="s">
        <v>8549</v>
      </c>
      <c r="I7591">
        <v>6</v>
      </c>
      <c r="J7591" t="s">
        <v>445</v>
      </c>
      <c r="M7591">
        <v>2391</v>
      </c>
      <c r="N7591" t="s">
        <v>16345</v>
      </c>
    </row>
    <row r="7592" spans="1:14">
      <c r="A7592">
        <v>28840028</v>
      </c>
      <c r="B7592">
        <v>4020594</v>
      </c>
      <c r="C7592" t="s">
        <v>15025</v>
      </c>
      <c r="D7592" t="s">
        <v>441</v>
      </c>
      <c r="F7592">
        <v>0</v>
      </c>
      <c r="G7592">
        <v>15.18</v>
      </c>
      <c r="H7592" t="s">
        <v>8588</v>
      </c>
      <c r="I7592">
        <v>540</v>
      </c>
      <c r="J7592" t="s">
        <v>462</v>
      </c>
      <c r="L7592" t="s">
        <v>12129</v>
      </c>
      <c r="M7592">
        <v>7111</v>
      </c>
      <c r="N7592" t="s">
        <v>16345</v>
      </c>
    </row>
    <row r="7593" spans="1:14">
      <c r="A7593">
        <v>28840075</v>
      </c>
      <c r="B7593">
        <v>4029798</v>
      </c>
      <c r="C7593" t="s">
        <v>15506</v>
      </c>
      <c r="D7593" t="s">
        <v>441</v>
      </c>
      <c r="F7593">
        <v>0</v>
      </c>
      <c r="G7593">
        <v>14.34</v>
      </c>
      <c r="H7593" t="s">
        <v>8588</v>
      </c>
      <c r="I7593">
        <v>6</v>
      </c>
      <c r="J7593" t="s">
        <v>462</v>
      </c>
      <c r="L7593">
        <v>2052616</v>
      </c>
      <c r="M7593">
        <v>7112</v>
      </c>
      <c r="N7593" t="s">
        <v>16345</v>
      </c>
    </row>
    <row r="7594" spans="1:14">
      <c r="A7594">
        <v>28840528</v>
      </c>
      <c r="B7594">
        <v>3026517</v>
      </c>
      <c r="C7594" t="s">
        <v>15026</v>
      </c>
      <c r="D7594" t="s">
        <v>441</v>
      </c>
      <c r="F7594">
        <v>0</v>
      </c>
      <c r="G7594">
        <v>14.69</v>
      </c>
      <c r="H7594" t="s">
        <v>8588</v>
      </c>
      <c r="I7594">
        <v>6</v>
      </c>
      <c r="J7594" t="s">
        <v>445</v>
      </c>
      <c r="M7594">
        <v>2502</v>
      </c>
      <c r="N7594" t="s">
        <v>16345</v>
      </c>
    </row>
    <row r="7595" spans="1:14">
      <c r="A7595">
        <v>28850000</v>
      </c>
      <c r="B7595">
        <v>3030475</v>
      </c>
      <c r="C7595" t="s">
        <v>15027</v>
      </c>
      <c r="D7595" t="s">
        <v>441</v>
      </c>
      <c r="F7595">
        <v>0</v>
      </c>
      <c r="G7595">
        <v>12.88</v>
      </c>
      <c r="H7595" t="s">
        <v>8549</v>
      </c>
      <c r="I7595">
        <v>6</v>
      </c>
      <c r="J7595" t="s">
        <v>445</v>
      </c>
      <c r="K7595" t="s">
        <v>446</v>
      </c>
      <c r="M7595">
        <v>2391</v>
      </c>
      <c r="N7595" t="s">
        <v>16346</v>
      </c>
    </row>
    <row r="7596" spans="1:14">
      <c r="A7596">
        <v>28850002</v>
      </c>
      <c r="B7596">
        <v>3031133</v>
      </c>
      <c r="C7596" t="s">
        <v>15028</v>
      </c>
      <c r="D7596" t="s">
        <v>441</v>
      </c>
      <c r="F7596">
        <v>0</v>
      </c>
      <c r="G7596">
        <v>13.58</v>
      </c>
      <c r="H7596" t="s">
        <v>8549</v>
      </c>
      <c r="I7596">
        <v>540</v>
      </c>
      <c r="J7596" t="s">
        <v>445</v>
      </c>
      <c r="K7596" t="s">
        <v>446</v>
      </c>
      <c r="M7596">
        <v>7111</v>
      </c>
      <c r="N7596" t="s">
        <v>16346</v>
      </c>
    </row>
    <row r="7597" spans="1:14">
      <c r="A7597">
        <v>28850087</v>
      </c>
      <c r="B7597">
        <v>3031023</v>
      </c>
      <c r="C7597" t="s">
        <v>15029</v>
      </c>
      <c r="D7597" t="s">
        <v>441</v>
      </c>
      <c r="F7597">
        <v>0</v>
      </c>
      <c r="G7597">
        <v>13.02</v>
      </c>
      <c r="H7597" t="s">
        <v>8588</v>
      </c>
      <c r="I7597">
        <v>6</v>
      </c>
      <c r="J7597" t="s">
        <v>445</v>
      </c>
      <c r="K7597" t="s">
        <v>446</v>
      </c>
      <c r="M7597">
        <v>7112</v>
      </c>
      <c r="N7597" t="s">
        <v>16346</v>
      </c>
    </row>
    <row r="7598" spans="1:14">
      <c r="A7598">
        <v>28850100</v>
      </c>
      <c r="B7598">
        <v>3033130</v>
      </c>
      <c r="C7598" t="s">
        <v>3338</v>
      </c>
      <c r="D7598" t="s">
        <v>441</v>
      </c>
      <c r="F7598">
        <v>0</v>
      </c>
      <c r="H7598" t="s">
        <v>8588</v>
      </c>
      <c r="I7598">
        <v>6</v>
      </c>
      <c r="J7598" t="s">
        <v>445</v>
      </c>
      <c r="K7598" t="s">
        <v>446</v>
      </c>
      <c r="M7598">
        <v>0</v>
      </c>
      <c r="N7598" t="s">
        <v>16347</v>
      </c>
    </row>
    <row r="7599" spans="1:14">
      <c r="A7599">
        <v>28850502</v>
      </c>
      <c r="B7599">
        <v>3031130</v>
      </c>
      <c r="C7599" t="s">
        <v>15030</v>
      </c>
      <c r="D7599" t="s">
        <v>441</v>
      </c>
      <c r="F7599">
        <v>0</v>
      </c>
      <c r="G7599">
        <v>12.99</v>
      </c>
      <c r="H7599" t="s">
        <v>8549</v>
      </c>
      <c r="I7599">
        <v>540</v>
      </c>
      <c r="J7599" t="s">
        <v>445</v>
      </c>
      <c r="K7599" t="s">
        <v>446</v>
      </c>
      <c r="M7599">
        <v>2502</v>
      </c>
      <c r="N7599" t="s">
        <v>16346</v>
      </c>
    </row>
    <row r="7600" spans="1:14">
      <c r="A7600">
        <v>28860000</v>
      </c>
      <c r="B7600">
        <v>3030453</v>
      </c>
      <c r="C7600" t="s">
        <v>15031</v>
      </c>
      <c r="D7600" t="s">
        <v>441</v>
      </c>
      <c r="F7600">
        <v>0</v>
      </c>
      <c r="G7600">
        <v>14.35</v>
      </c>
      <c r="H7600" t="s">
        <v>8588</v>
      </c>
      <c r="I7600">
        <v>6</v>
      </c>
      <c r="J7600" t="s">
        <v>445</v>
      </c>
      <c r="M7600">
        <v>2391</v>
      </c>
      <c r="N7600" t="s">
        <v>16348</v>
      </c>
    </row>
    <row r="7601" spans="1:14">
      <c r="A7601">
        <v>28860040</v>
      </c>
      <c r="B7601">
        <v>4027846</v>
      </c>
      <c r="C7601" t="s">
        <v>15032</v>
      </c>
      <c r="D7601" t="s">
        <v>441</v>
      </c>
      <c r="F7601">
        <v>0</v>
      </c>
      <c r="G7601">
        <v>15.32</v>
      </c>
      <c r="H7601" t="s">
        <v>8588</v>
      </c>
      <c r="I7601">
        <v>16</v>
      </c>
      <c r="J7601" t="s">
        <v>462</v>
      </c>
      <c r="M7601">
        <v>7112</v>
      </c>
      <c r="N7601" t="s">
        <v>16348</v>
      </c>
    </row>
    <row r="7602" spans="1:14">
      <c r="A7602">
        <v>28860080</v>
      </c>
      <c r="B7602">
        <v>4021432</v>
      </c>
      <c r="C7602" t="s">
        <v>15033</v>
      </c>
      <c r="D7602" t="s">
        <v>441</v>
      </c>
      <c r="F7602">
        <v>0</v>
      </c>
      <c r="G7602">
        <v>14.53</v>
      </c>
      <c r="H7602" t="s">
        <v>8588</v>
      </c>
      <c r="I7602">
        <v>6</v>
      </c>
      <c r="J7602" t="s">
        <v>462</v>
      </c>
      <c r="M7602">
        <v>7112</v>
      </c>
      <c r="N7602" t="s">
        <v>16348</v>
      </c>
    </row>
    <row r="7603" spans="1:14">
      <c r="A7603">
        <v>28860087</v>
      </c>
      <c r="B7603">
        <v>3031187</v>
      </c>
      <c r="C7603" t="s">
        <v>15034</v>
      </c>
      <c r="D7603" t="s">
        <v>441</v>
      </c>
      <c r="F7603">
        <v>0</v>
      </c>
      <c r="G7603">
        <v>14.51</v>
      </c>
      <c r="H7603" t="s">
        <v>8588</v>
      </c>
      <c r="I7603">
        <v>6</v>
      </c>
      <c r="J7603" t="s">
        <v>445</v>
      </c>
      <c r="M7603">
        <v>7112</v>
      </c>
      <c r="N7603" t="s">
        <v>16348</v>
      </c>
    </row>
    <row r="7604" spans="1:14">
      <c r="A7604">
        <v>28870000</v>
      </c>
      <c r="B7604">
        <v>3029450</v>
      </c>
      <c r="C7604" t="s">
        <v>15035</v>
      </c>
      <c r="D7604" t="s">
        <v>441</v>
      </c>
      <c r="F7604">
        <v>0</v>
      </c>
      <c r="G7604">
        <v>14.54</v>
      </c>
      <c r="H7604" t="s">
        <v>8549</v>
      </c>
      <c r="I7604">
        <v>6</v>
      </c>
      <c r="J7604" t="s">
        <v>445</v>
      </c>
      <c r="K7604" t="s">
        <v>446</v>
      </c>
      <c r="M7604">
        <v>2391</v>
      </c>
      <c r="N7604" t="s">
        <v>16349</v>
      </c>
    </row>
    <row r="7605" spans="1:14">
      <c r="A7605">
        <v>28870028</v>
      </c>
      <c r="B7605">
        <v>4021284</v>
      </c>
      <c r="C7605" t="s">
        <v>15036</v>
      </c>
      <c r="D7605" t="s">
        <v>441</v>
      </c>
      <c r="F7605">
        <v>0</v>
      </c>
      <c r="G7605">
        <v>15.44</v>
      </c>
      <c r="H7605" t="s">
        <v>8588</v>
      </c>
      <c r="I7605">
        <v>540</v>
      </c>
      <c r="J7605" t="s">
        <v>462</v>
      </c>
      <c r="L7605" t="s">
        <v>12131</v>
      </c>
      <c r="M7605">
        <v>7111</v>
      </c>
      <c r="N7605" t="s">
        <v>16349</v>
      </c>
    </row>
    <row r="7606" spans="1:14">
      <c r="A7606">
        <v>28870528</v>
      </c>
      <c r="B7606">
        <v>3029453</v>
      </c>
      <c r="C7606" t="s">
        <v>15037</v>
      </c>
      <c r="D7606" t="s">
        <v>441</v>
      </c>
      <c r="F7606">
        <v>0</v>
      </c>
      <c r="G7606">
        <v>14.95</v>
      </c>
      <c r="H7606" t="s">
        <v>8588</v>
      </c>
      <c r="I7606">
        <v>6</v>
      </c>
      <c r="J7606" t="s">
        <v>445</v>
      </c>
      <c r="K7606" t="s">
        <v>446</v>
      </c>
      <c r="M7606">
        <v>2502</v>
      </c>
      <c r="N7606" t="s">
        <v>16349</v>
      </c>
    </row>
    <row r="7607" spans="1:14">
      <c r="A7607">
        <v>28880000</v>
      </c>
      <c r="B7607">
        <v>3035055</v>
      </c>
      <c r="C7607" t="s">
        <v>15038</v>
      </c>
      <c r="D7607" t="s">
        <v>441</v>
      </c>
      <c r="F7607">
        <v>0</v>
      </c>
      <c r="G7607">
        <v>14.31</v>
      </c>
      <c r="H7607" t="s">
        <v>8549</v>
      </c>
      <c r="I7607">
        <v>6</v>
      </c>
      <c r="J7607" t="s">
        <v>445</v>
      </c>
      <c r="M7607">
        <v>2391</v>
      </c>
      <c r="N7607" t="s">
        <v>16348</v>
      </c>
    </row>
    <row r="7608" spans="1:14">
      <c r="A7608">
        <v>28880075</v>
      </c>
      <c r="B7608">
        <v>3041522</v>
      </c>
      <c r="C7608" t="s">
        <v>15039</v>
      </c>
      <c r="D7608" t="s">
        <v>441</v>
      </c>
      <c r="F7608">
        <v>0</v>
      </c>
      <c r="G7608">
        <v>14.54</v>
      </c>
      <c r="H7608" t="s">
        <v>8588</v>
      </c>
      <c r="I7608">
        <v>6</v>
      </c>
      <c r="J7608" t="s">
        <v>445</v>
      </c>
      <c r="M7608">
        <v>7112</v>
      </c>
      <c r="N7608" t="s">
        <v>16348</v>
      </c>
    </row>
    <row r="7609" spans="1:14">
      <c r="A7609">
        <v>28880087</v>
      </c>
      <c r="B7609">
        <v>3041479</v>
      </c>
      <c r="C7609" t="s">
        <v>15040</v>
      </c>
      <c r="D7609" t="s">
        <v>441</v>
      </c>
      <c r="F7609">
        <v>0</v>
      </c>
      <c r="G7609">
        <v>14.46</v>
      </c>
      <c r="H7609" t="s">
        <v>8588</v>
      </c>
      <c r="I7609">
        <v>6</v>
      </c>
      <c r="J7609" t="s">
        <v>445</v>
      </c>
      <c r="M7609">
        <v>7112</v>
      </c>
      <c r="N7609" t="s">
        <v>16348</v>
      </c>
    </row>
    <row r="7610" spans="1:14">
      <c r="A7610">
        <v>28884000</v>
      </c>
      <c r="B7610">
        <v>3040565</v>
      </c>
      <c r="C7610" t="s">
        <v>15041</v>
      </c>
      <c r="D7610" t="s">
        <v>441</v>
      </c>
      <c r="F7610">
        <v>0</v>
      </c>
      <c r="G7610">
        <v>14.31</v>
      </c>
      <c r="H7610" t="s">
        <v>8549</v>
      </c>
      <c r="I7610">
        <v>6</v>
      </c>
      <c r="J7610" t="s">
        <v>445</v>
      </c>
      <c r="M7610">
        <v>2391</v>
      </c>
      <c r="N7610" t="s">
        <v>16348</v>
      </c>
    </row>
    <row r="7611" spans="1:14">
      <c r="A7611">
        <v>28884075</v>
      </c>
      <c r="B7611">
        <v>3041496</v>
      </c>
      <c r="C7611" t="s">
        <v>15042</v>
      </c>
      <c r="D7611" t="s">
        <v>441</v>
      </c>
      <c r="F7611">
        <v>0</v>
      </c>
      <c r="G7611">
        <v>14.54</v>
      </c>
      <c r="H7611" t="s">
        <v>8588</v>
      </c>
      <c r="I7611">
        <v>6</v>
      </c>
      <c r="J7611" t="s">
        <v>445</v>
      </c>
      <c r="M7611">
        <v>7112</v>
      </c>
      <c r="N7611" t="s">
        <v>16348</v>
      </c>
    </row>
    <row r="7612" spans="1:14">
      <c r="A7612">
        <v>28884087</v>
      </c>
      <c r="B7612">
        <v>3041520</v>
      </c>
      <c r="C7612" t="s">
        <v>15043</v>
      </c>
      <c r="D7612" t="s">
        <v>441</v>
      </c>
      <c r="F7612">
        <v>0</v>
      </c>
      <c r="G7612">
        <v>14.46</v>
      </c>
      <c r="H7612" t="s">
        <v>8588</v>
      </c>
      <c r="I7612">
        <v>6</v>
      </c>
      <c r="J7612" t="s">
        <v>445</v>
      </c>
      <c r="M7612">
        <v>7112</v>
      </c>
      <c r="N7612" t="s">
        <v>16348</v>
      </c>
    </row>
    <row r="7613" spans="1:14">
      <c r="A7613">
        <v>28890000</v>
      </c>
      <c r="B7613">
        <v>3027913</v>
      </c>
      <c r="C7613" t="s">
        <v>14774</v>
      </c>
      <c r="D7613" t="s">
        <v>441</v>
      </c>
      <c r="F7613">
        <v>0</v>
      </c>
      <c r="G7613">
        <v>13.31</v>
      </c>
      <c r="H7613" t="s">
        <v>8549</v>
      </c>
      <c r="I7613">
        <v>6</v>
      </c>
      <c r="J7613" t="s">
        <v>445</v>
      </c>
      <c r="M7613">
        <v>2391</v>
      </c>
      <c r="N7613" t="s">
        <v>16089</v>
      </c>
    </row>
    <row r="7614" spans="1:14">
      <c r="A7614">
        <v>28890025</v>
      </c>
      <c r="B7614">
        <v>4019509</v>
      </c>
      <c r="C7614" t="s">
        <v>12132</v>
      </c>
      <c r="D7614" t="s">
        <v>441</v>
      </c>
      <c r="F7614">
        <v>0</v>
      </c>
      <c r="G7614">
        <v>11.2</v>
      </c>
      <c r="H7614" t="s">
        <v>8588</v>
      </c>
      <c r="I7614">
        <v>540</v>
      </c>
      <c r="J7614" t="s">
        <v>462</v>
      </c>
      <c r="K7614" t="s">
        <v>446</v>
      </c>
      <c r="M7614">
        <v>2501</v>
      </c>
      <c r="N7614" t="s">
        <v>16088</v>
      </c>
    </row>
    <row r="7615" spans="1:14">
      <c r="A7615">
        <v>28890087</v>
      </c>
      <c r="B7615">
        <v>3040691</v>
      </c>
      <c r="C7615" t="s">
        <v>15044</v>
      </c>
      <c r="D7615" t="s">
        <v>441</v>
      </c>
      <c r="F7615">
        <v>0</v>
      </c>
      <c r="G7615">
        <v>13.46</v>
      </c>
      <c r="H7615" t="s">
        <v>8588</v>
      </c>
      <c r="I7615">
        <v>6</v>
      </c>
      <c r="J7615" t="s">
        <v>445</v>
      </c>
      <c r="M7615">
        <v>7112</v>
      </c>
      <c r="N7615" t="s">
        <v>16089</v>
      </c>
    </row>
    <row r="7616" spans="1:14">
      <c r="A7616">
        <v>28890525</v>
      </c>
      <c r="B7616">
        <v>3027915</v>
      </c>
      <c r="C7616" t="s">
        <v>3339</v>
      </c>
      <c r="D7616" t="s">
        <v>441</v>
      </c>
      <c r="F7616">
        <v>0</v>
      </c>
      <c r="G7616">
        <v>11.01</v>
      </c>
      <c r="H7616" t="s">
        <v>8588</v>
      </c>
      <c r="I7616">
        <v>6</v>
      </c>
      <c r="J7616" t="s">
        <v>445</v>
      </c>
      <c r="K7616" t="s">
        <v>446</v>
      </c>
      <c r="M7616">
        <v>2641</v>
      </c>
      <c r="N7616" t="s">
        <v>16088</v>
      </c>
    </row>
    <row r="7617" spans="1:14">
      <c r="A7617">
        <v>28900000</v>
      </c>
      <c r="B7617">
        <v>3029394</v>
      </c>
      <c r="C7617" t="s">
        <v>15045</v>
      </c>
      <c r="D7617" t="s">
        <v>441</v>
      </c>
      <c r="F7617">
        <v>0</v>
      </c>
      <c r="G7617">
        <v>11.34</v>
      </c>
      <c r="H7617" t="s">
        <v>8549</v>
      </c>
      <c r="I7617">
        <v>6</v>
      </c>
      <c r="J7617" t="s">
        <v>445</v>
      </c>
      <c r="K7617" t="s">
        <v>446</v>
      </c>
      <c r="M7617">
        <v>2391</v>
      </c>
      <c r="N7617" t="s">
        <v>16072</v>
      </c>
    </row>
    <row r="7618" spans="1:14">
      <c r="A7618">
        <v>28900025</v>
      </c>
      <c r="B7618">
        <v>4019513</v>
      </c>
      <c r="C7618" t="s">
        <v>12133</v>
      </c>
      <c r="D7618" t="s">
        <v>441</v>
      </c>
      <c r="F7618">
        <v>0</v>
      </c>
      <c r="G7618">
        <v>9.49</v>
      </c>
      <c r="H7618" t="s">
        <v>8588</v>
      </c>
      <c r="I7618">
        <v>540</v>
      </c>
      <c r="J7618" t="s">
        <v>462</v>
      </c>
      <c r="K7618" t="s">
        <v>446</v>
      </c>
      <c r="M7618">
        <v>2501</v>
      </c>
      <c r="N7618" t="s">
        <v>16350</v>
      </c>
    </row>
    <row r="7619" spans="1:14">
      <c r="A7619">
        <v>28900525</v>
      </c>
      <c r="B7619">
        <v>3029395</v>
      </c>
      <c r="C7619" t="s">
        <v>12134</v>
      </c>
      <c r="D7619" t="s">
        <v>441</v>
      </c>
      <c r="F7619">
        <v>0</v>
      </c>
      <c r="G7619">
        <v>9.3000000000000007</v>
      </c>
      <c r="H7619" t="s">
        <v>8549</v>
      </c>
      <c r="I7619">
        <v>540</v>
      </c>
      <c r="J7619" t="s">
        <v>445</v>
      </c>
      <c r="K7619" t="s">
        <v>446</v>
      </c>
      <c r="M7619">
        <v>2641</v>
      </c>
      <c r="N7619" t="s">
        <v>16350</v>
      </c>
    </row>
    <row r="7620" spans="1:14">
      <c r="A7620">
        <v>28910000</v>
      </c>
      <c r="B7620">
        <v>3015930</v>
      </c>
      <c r="C7620" t="s">
        <v>3340</v>
      </c>
      <c r="D7620" t="s">
        <v>441</v>
      </c>
      <c r="F7620">
        <v>0</v>
      </c>
      <c r="G7620">
        <v>9.81</v>
      </c>
      <c r="H7620" t="s">
        <v>8584</v>
      </c>
      <c r="I7620">
        <v>6</v>
      </c>
      <c r="J7620" t="s">
        <v>445</v>
      </c>
      <c r="K7620" t="s">
        <v>446</v>
      </c>
      <c r="M7620">
        <v>2314</v>
      </c>
      <c r="N7620" t="s">
        <v>16351</v>
      </c>
    </row>
    <row r="7621" spans="1:14">
      <c r="A7621">
        <v>28910025</v>
      </c>
      <c r="B7621">
        <v>4017769</v>
      </c>
      <c r="C7621" t="s">
        <v>12135</v>
      </c>
      <c r="D7621" t="s">
        <v>441</v>
      </c>
      <c r="F7621">
        <v>0</v>
      </c>
      <c r="G7621">
        <v>12.51</v>
      </c>
      <c r="H7621" t="s">
        <v>8588</v>
      </c>
      <c r="I7621">
        <v>540</v>
      </c>
      <c r="J7621" t="s">
        <v>462</v>
      </c>
      <c r="K7621" t="s">
        <v>446</v>
      </c>
      <c r="M7621">
        <v>2501</v>
      </c>
      <c r="N7621" t="s">
        <v>16351</v>
      </c>
    </row>
    <row r="7622" spans="1:14">
      <c r="A7622">
        <v>28910525</v>
      </c>
      <c r="B7622">
        <v>3027024</v>
      </c>
      <c r="C7622" t="s">
        <v>12136</v>
      </c>
      <c r="D7622" t="s">
        <v>441</v>
      </c>
      <c r="F7622">
        <v>0</v>
      </c>
      <c r="G7622">
        <v>12.22</v>
      </c>
      <c r="H7622" t="s">
        <v>8549</v>
      </c>
      <c r="I7622">
        <v>6</v>
      </c>
      <c r="J7622" t="s">
        <v>445</v>
      </c>
      <c r="K7622" t="s">
        <v>446</v>
      </c>
      <c r="M7622">
        <v>2641</v>
      </c>
      <c r="N7622" t="s">
        <v>16351</v>
      </c>
    </row>
    <row r="7623" spans="1:14">
      <c r="A7623">
        <v>28911000</v>
      </c>
      <c r="B7623">
        <v>3026973</v>
      </c>
      <c r="C7623" t="s">
        <v>12137</v>
      </c>
      <c r="D7623" t="s">
        <v>441</v>
      </c>
      <c r="F7623">
        <v>0</v>
      </c>
      <c r="G7623">
        <v>9.81</v>
      </c>
      <c r="H7623" t="s">
        <v>8588</v>
      </c>
      <c r="I7623">
        <v>6</v>
      </c>
      <c r="J7623" t="s">
        <v>445</v>
      </c>
      <c r="K7623" t="s">
        <v>446</v>
      </c>
      <c r="M7623">
        <v>2314</v>
      </c>
      <c r="N7623" t="s">
        <v>16351</v>
      </c>
    </row>
    <row r="7624" spans="1:14">
      <c r="A7624">
        <v>28911025</v>
      </c>
      <c r="B7624">
        <v>4017768</v>
      </c>
      <c r="C7624" t="s">
        <v>12138</v>
      </c>
      <c r="D7624" t="s">
        <v>441</v>
      </c>
      <c r="F7624">
        <v>0</v>
      </c>
      <c r="G7624">
        <v>11.56</v>
      </c>
      <c r="H7624" t="s">
        <v>8588</v>
      </c>
      <c r="I7624">
        <v>365</v>
      </c>
      <c r="J7624" t="s">
        <v>462</v>
      </c>
      <c r="K7624" t="s">
        <v>446</v>
      </c>
      <c r="M7624">
        <v>2501</v>
      </c>
      <c r="N7624" t="s">
        <v>16351</v>
      </c>
    </row>
    <row r="7625" spans="1:14">
      <c r="A7625">
        <v>28911525</v>
      </c>
      <c r="B7625">
        <v>3027013</v>
      </c>
      <c r="C7625" t="s">
        <v>3341</v>
      </c>
      <c r="D7625" t="s">
        <v>441</v>
      </c>
      <c r="F7625">
        <v>0</v>
      </c>
      <c r="G7625">
        <v>10.76</v>
      </c>
      <c r="H7625" t="s">
        <v>8549</v>
      </c>
      <c r="I7625">
        <v>6</v>
      </c>
      <c r="J7625" t="s">
        <v>445</v>
      </c>
      <c r="M7625">
        <v>2641</v>
      </c>
      <c r="N7625" t="s">
        <v>16351</v>
      </c>
    </row>
    <row r="7626" spans="1:14">
      <c r="A7626">
        <v>28920000</v>
      </c>
      <c r="B7626">
        <v>3026972</v>
      </c>
      <c r="C7626" t="s">
        <v>3342</v>
      </c>
      <c r="D7626" t="s">
        <v>441</v>
      </c>
      <c r="F7626">
        <v>0</v>
      </c>
      <c r="G7626">
        <v>8.25</v>
      </c>
      <c r="H7626" t="s">
        <v>8588</v>
      </c>
      <c r="I7626">
        <v>6</v>
      </c>
      <c r="J7626" t="s">
        <v>445</v>
      </c>
      <c r="K7626" t="s">
        <v>446</v>
      </c>
      <c r="M7626">
        <v>2314</v>
      </c>
      <c r="N7626" t="s">
        <v>16351</v>
      </c>
    </row>
    <row r="7627" spans="1:14">
      <c r="A7627">
        <v>28920025</v>
      </c>
      <c r="B7627">
        <v>4017908</v>
      </c>
      <c r="C7627" t="s">
        <v>12139</v>
      </c>
      <c r="D7627" t="s">
        <v>441</v>
      </c>
      <c r="F7627">
        <v>0</v>
      </c>
      <c r="G7627">
        <v>11.46</v>
      </c>
      <c r="H7627" t="s">
        <v>8588</v>
      </c>
      <c r="I7627">
        <v>540</v>
      </c>
      <c r="J7627" t="s">
        <v>462</v>
      </c>
      <c r="K7627" t="s">
        <v>446</v>
      </c>
      <c r="M7627">
        <v>2501</v>
      </c>
      <c r="N7627" t="s">
        <v>16351</v>
      </c>
    </row>
    <row r="7628" spans="1:14">
      <c r="A7628">
        <v>28920525</v>
      </c>
      <c r="B7628">
        <v>3027002</v>
      </c>
      <c r="C7628" t="s">
        <v>12140</v>
      </c>
      <c r="D7628" t="s">
        <v>441</v>
      </c>
      <c r="F7628">
        <v>0</v>
      </c>
      <c r="G7628">
        <v>11.18</v>
      </c>
      <c r="H7628" t="s">
        <v>8549</v>
      </c>
      <c r="I7628">
        <v>6</v>
      </c>
      <c r="J7628" t="s">
        <v>445</v>
      </c>
      <c r="K7628" t="s">
        <v>446</v>
      </c>
      <c r="M7628">
        <v>2641</v>
      </c>
      <c r="N7628" t="s">
        <v>16351</v>
      </c>
    </row>
    <row r="7629" spans="1:14">
      <c r="A7629">
        <v>28921000</v>
      </c>
      <c r="B7629">
        <v>3026971</v>
      </c>
      <c r="C7629" t="s">
        <v>3343</v>
      </c>
      <c r="D7629" t="s">
        <v>441</v>
      </c>
      <c r="F7629">
        <v>0</v>
      </c>
      <c r="G7629">
        <v>8.25</v>
      </c>
      <c r="H7629" t="s">
        <v>8588</v>
      </c>
      <c r="I7629">
        <v>6</v>
      </c>
      <c r="J7629" t="s">
        <v>445</v>
      </c>
      <c r="K7629" t="s">
        <v>446</v>
      </c>
      <c r="M7629">
        <v>2314</v>
      </c>
      <c r="N7629" t="s">
        <v>16351</v>
      </c>
    </row>
    <row r="7630" spans="1:14">
      <c r="A7630">
        <v>28921025</v>
      </c>
      <c r="B7630">
        <v>4017909</v>
      </c>
      <c r="C7630" t="s">
        <v>12141</v>
      </c>
      <c r="D7630" t="s">
        <v>441</v>
      </c>
      <c r="F7630">
        <v>0</v>
      </c>
      <c r="G7630">
        <v>8.57</v>
      </c>
      <c r="H7630" t="s">
        <v>8588</v>
      </c>
      <c r="I7630">
        <v>540</v>
      </c>
      <c r="J7630" t="s">
        <v>462</v>
      </c>
      <c r="K7630" t="s">
        <v>446</v>
      </c>
      <c r="M7630">
        <v>2501</v>
      </c>
      <c r="N7630" t="s">
        <v>16351</v>
      </c>
    </row>
    <row r="7631" spans="1:14">
      <c r="A7631">
        <v>28921525</v>
      </c>
      <c r="B7631">
        <v>3027001</v>
      </c>
      <c r="C7631" t="s">
        <v>12142</v>
      </c>
      <c r="D7631" t="s">
        <v>441</v>
      </c>
      <c r="F7631">
        <v>0</v>
      </c>
      <c r="G7631">
        <v>10.38</v>
      </c>
      <c r="H7631" t="s">
        <v>8549</v>
      </c>
      <c r="I7631">
        <v>6</v>
      </c>
      <c r="J7631" t="s">
        <v>445</v>
      </c>
      <c r="K7631" t="s">
        <v>446</v>
      </c>
      <c r="M7631">
        <v>2641</v>
      </c>
      <c r="N7631" t="s">
        <v>16351</v>
      </c>
    </row>
    <row r="7632" spans="1:14">
      <c r="A7632">
        <v>28930000</v>
      </c>
      <c r="B7632">
        <v>3008100</v>
      </c>
      <c r="C7632" t="s">
        <v>3344</v>
      </c>
      <c r="D7632" t="s">
        <v>441</v>
      </c>
      <c r="F7632">
        <v>0</v>
      </c>
      <c r="G7632">
        <v>10.47</v>
      </c>
      <c r="H7632" t="s">
        <v>8634</v>
      </c>
      <c r="I7632">
        <v>6</v>
      </c>
      <c r="J7632" t="s">
        <v>445</v>
      </c>
      <c r="K7632" t="s">
        <v>446</v>
      </c>
      <c r="M7632">
        <v>2390</v>
      </c>
    </row>
    <row r="7633" spans="1:13">
      <c r="A7633">
        <v>28930002</v>
      </c>
      <c r="B7633">
        <v>3009512</v>
      </c>
      <c r="C7633" t="s">
        <v>3345</v>
      </c>
      <c r="D7633" t="s">
        <v>441</v>
      </c>
      <c r="F7633">
        <v>0</v>
      </c>
      <c r="G7633">
        <v>9.99</v>
      </c>
      <c r="H7633" t="s">
        <v>8580</v>
      </c>
      <c r="I7633">
        <v>365</v>
      </c>
      <c r="J7633" t="s">
        <v>445</v>
      </c>
      <c r="K7633" t="s">
        <v>446</v>
      </c>
      <c r="M7633">
        <v>2501</v>
      </c>
    </row>
    <row r="7634" spans="1:13">
      <c r="A7634">
        <v>28930019</v>
      </c>
      <c r="B7634">
        <v>4011090</v>
      </c>
      <c r="C7634" t="s">
        <v>12143</v>
      </c>
      <c r="D7634" t="s">
        <v>441</v>
      </c>
      <c r="F7634">
        <v>0</v>
      </c>
      <c r="G7634">
        <v>0</v>
      </c>
      <c r="H7634" t="s">
        <v>8588</v>
      </c>
      <c r="I7634">
        <v>365</v>
      </c>
      <c r="J7634" t="s">
        <v>462</v>
      </c>
      <c r="K7634" t="s">
        <v>446</v>
      </c>
      <c r="M7634">
        <v>2501</v>
      </c>
    </row>
    <row r="7635" spans="1:13">
      <c r="A7635">
        <v>28930027</v>
      </c>
      <c r="B7635">
        <v>4007595</v>
      </c>
      <c r="C7635" t="s">
        <v>12144</v>
      </c>
      <c r="D7635" t="s">
        <v>441</v>
      </c>
      <c r="F7635">
        <v>0</v>
      </c>
      <c r="G7635">
        <v>9.91</v>
      </c>
      <c r="H7635" t="s">
        <v>8588</v>
      </c>
      <c r="I7635">
        <v>365</v>
      </c>
      <c r="J7635" t="s">
        <v>462</v>
      </c>
      <c r="K7635" t="s">
        <v>446</v>
      </c>
      <c r="M7635">
        <v>2501</v>
      </c>
    </row>
    <row r="7636" spans="1:13">
      <c r="A7636">
        <v>28930028</v>
      </c>
      <c r="B7636">
        <v>4001859</v>
      </c>
      <c r="C7636" t="s">
        <v>12145</v>
      </c>
      <c r="D7636" t="s">
        <v>441</v>
      </c>
      <c r="F7636">
        <v>0</v>
      </c>
      <c r="G7636">
        <v>9.91</v>
      </c>
      <c r="H7636" t="s">
        <v>8588</v>
      </c>
      <c r="I7636">
        <v>365</v>
      </c>
      <c r="J7636" t="s">
        <v>462</v>
      </c>
      <c r="K7636" t="s">
        <v>446</v>
      </c>
      <c r="M7636">
        <v>2501</v>
      </c>
    </row>
    <row r="7637" spans="1:13">
      <c r="A7637">
        <v>28930061</v>
      </c>
      <c r="B7637">
        <v>4007412</v>
      </c>
      <c r="C7637" t="s">
        <v>12146</v>
      </c>
      <c r="D7637" t="s">
        <v>441</v>
      </c>
      <c r="F7637">
        <v>0</v>
      </c>
      <c r="G7637">
        <v>0</v>
      </c>
      <c r="H7637" t="s">
        <v>8588</v>
      </c>
      <c r="I7637">
        <v>365</v>
      </c>
      <c r="J7637" t="s">
        <v>462</v>
      </c>
      <c r="K7637" t="s">
        <v>446</v>
      </c>
      <c r="L7637" t="s">
        <v>12147</v>
      </c>
      <c r="M7637">
        <v>2501</v>
      </c>
    </row>
    <row r="7638" spans="1:13">
      <c r="A7638">
        <v>28930502</v>
      </c>
      <c r="B7638">
        <v>3009513</v>
      </c>
      <c r="C7638" t="s">
        <v>3346</v>
      </c>
      <c r="D7638" t="s">
        <v>441</v>
      </c>
      <c r="F7638">
        <v>0</v>
      </c>
      <c r="G7638">
        <v>9.85</v>
      </c>
      <c r="H7638" t="s">
        <v>8580</v>
      </c>
      <c r="I7638">
        <v>6</v>
      </c>
      <c r="J7638" t="s">
        <v>445</v>
      </c>
      <c r="K7638" t="s">
        <v>446</v>
      </c>
      <c r="M7638">
        <v>2641</v>
      </c>
    </row>
    <row r="7639" spans="1:13">
      <c r="A7639">
        <v>28930519</v>
      </c>
      <c r="B7639">
        <v>3016449</v>
      </c>
      <c r="C7639" t="s">
        <v>12148</v>
      </c>
      <c r="D7639" t="s">
        <v>441</v>
      </c>
      <c r="F7639">
        <v>0</v>
      </c>
      <c r="G7639">
        <v>0</v>
      </c>
      <c r="H7639" t="s">
        <v>8580</v>
      </c>
      <c r="I7639">
        <v>365</v>
      </c>
      <c r="J7639" t="s">
        <v>445</v>
      </c>
      <c r="K7639" t="s">
        <v>446</v>
      </c>
      <c r="M7639">
        <v>2641</v>
      </c>
    </row>
    <row r="7640" spans="1:13">
      <c r="A7640">
        <v>28930527</v>
      </c>
      <c r="B7640">
        <v>3008101</v>
      </c>
      <c r="C7640" t="s">
        <v>12149</v>
      </c>
      <c r="D7640" t="s">
        <v>441</v>
      </c>
      <c r="F7640">
        <v>0</v>
      </c>
      <c r="G7640">
        <v>10.63</v>
      </c>
      <c r="H7640" t="s">
        <v>8634</v>
      </c>
      <c r="I7640">
        <v>6</v>
      </c>
      <c r="J7640" t="s">
        <v>445</v>
      </c>
      <c r="K7640" t="s">
        <v>446</v>
      </c>
      <c r="M7640">
        <v>2641</v>
      </c>
    </row>
    <row r="7641" spans="1:13">
      <c r="A7641">
        <v>28930528</v>
      </c>
      <c r="B7641">
        <v>3008102</v>
      </c>
      <c r="C7641" t="s">
        <v>12150</v>
      </c>
      <c r="D7641" t="s">
        <v>441</v>
      </c>
      <c r="F7641">
        <v>0</v>
      </c>
      <c r="G7641">
        <v>10.63</v>
      </c>
      <c r="H7641" t="s">
        <v>8634</v>
      </c>
      <c r="I7641">
        <v>6</v>
      </c>
      <c r="J7641" t="s">
        <v>445</v>
      </c>
      <c r="K7641" t="s">
        <v>446</v>
      </c>
      <c r="M7641">
        <v>2641</v>
      </c>
    </row>
    <row r="7642" spans="1:13">
      <c r="A7642">
        <v>28930561</v>
      </c>
      <c r="B7642">
        <v>3008103</v>
      </c>
      <c r="C7642" t="s">
        <v>12151</v>
      </c>
      <c r="D7642" t="s">
        <v>441</v>
      </c>
      <c r="F7642">
        <v>0</v>
      </c>
      <c r="G7642">
        <v>0</v>
      </c>
      <c r="H7642" t="s">
        <v>8634</v>
      </c>
      <c r="I7642">
        <v>6</v>
      </c>
      <c r="J7642" t="s">
        <v>445</v>
      </c>
      <c r="K7642" t="s">
        <v>446</v>
      </c>
      <c r="L7642" t="s">
        <v>12152</v>
      </c>
      <c r="M7642">
        <v>2612</v>
      </c>
    </row>
    <row r="7643" spans="1:13">
      <c r="A7643">
        <v>28930602</v>
      </c>
      <c r="B7643">
        <v>3009511</v>
      </c>
      <c r="C7643" t="s">
        <v>3347</v>
      </c>
      <c r="D7643" t="s">
        <v>441</v>
      </c>
      <c r="F7643">
        <v>0</v>
      </c>
      <c r="G7643">
        <v>10.06</v>
      </c>
      <c r="H7643" t="s">
        <v>8580</v>
      </c>
      <c r="I7643">
        <v>4</v>
      </c>
      <c r="J7643" t="s">
        <v>445</v>
      </c>
      <c r="K7643" t="s">
        <v>446</v>
      </c>
      <c r="M7643">
        <v>2511</v>
      </c>
    </row>
    <row r="7644" spans="1:13">
      <c r="A7644">
        <v>28930628</v>
      </c>
      <c r="B7644">
        <v>3014140</v>
      </c>
      <c r="C7644" t="s">
        <v>3348</v>
      </c>
      <c r="D7644" t="s">
        <v>441</v>
      </c>
      <c r="F7644">
        <v>0</v>
      </c>
      <c r="G7644">
        <v>10.55</v>
      </c>
      <c r="H7644" t="s">
        <v>8634</v>
      </c>
      <c r="I7644">
        <v>4</v>
      </c>
      <c r="J7644" t="s">
        <v>445</v>
      </c>
      <c r="K7644" t="s">
        <v>446</v>
      </c>
      <c r="M7644">
        <v>2511</v>
      </c>
    </row>
    <row r="7645" spans="1:13">
      <c r="A7645">
        <v>28931000</v>
      </c>
      <c r="B7645">
        <v>3009089</v>
      </c>
      <c r="C7645" t="s">
        <v>3349</v>
      </c>
      <c r="D7645" t="s">
        <v>441</v>
      </c>
      <c r="F7645">
        <v>0</v>
      </c>
      <c r="G7645">
        <v>8.56</v>
      </c>
      <c r="I7645">
        <v>5</v>
      </c>
      <c r="J7645" t="s">
        <v>445</v>
      </c>
      <c r="K7645" t="s">
        <v>446</v>
      </c>
      <c r="M7645">
        <v>0</v>
      </c>
    </row>
    <row r="7646" spans="1:13">
      <c r="A7646">
        <v>28931019</v>
      </c>
      <c r="B7646">
        <v>4012148</v>
      </c>
      <c r="C7646" t="s">
        <v>12153</v>
      </c>
      <c r="D7646" t="s">
        <v>441</v>
      </c>
      <c r="F7646">
        <v>0</v>
      </c>
      <c r="H7646" t="s">
        <v>8588</v>
      </c>
      <c r="I7646">
        <v>365</v>
      </c>
      <c r="J7646" t="s">
        <v>462</v>
      </c>
      <c r="K7646" t="s">
        <v>446</v>
      </c>
      <c r="M7646">
        <v>2501</v>
      </c>
    </row>
    <row r="7647" spans="1:13">
      <c r="A7647">
        <v>28931027</v>
      </c>
      <c r="B7647">
        <v>4011753</v>
      </c>
      <c r="C7647" t="s">
        <v>12154</v>
      </c>
      <c r="D7647" t="s">
        <v>441</v>
      </c>
      <c r="F7647">
        <v>0</v>
      </c>
      <c r="G7647">
        <v>9.91</v>
      </c>
      <c r="H7647" t="s">
        <v>8588</v>
      </c>
      <c r="I7647">
        <v>365</v>
      </c>
      <c r="J7647" t="s">
        <v>462</v>
      </c>
      <c r="K7647" t="s">
        <v>446</v>
      </c>
      <c r="M7647">
        <v>2501</v>
      </c>
    </row>
    <row r="7648" spans="1:13">
      <c r="A7648">
        <v>28931028</v>
      </c>
      <c r="B7648">
        <v>4011480</v>
      </c>
      <c r="C7648" t="s">
        <v>12155</v>
      </c>
      <c r="D7648" t="s">
        <v>441</v>
      </c>
      <c r="F7648">
        <v>0</v>
      </c>
      <c r="G7648">
        <v>9.91</v>
      </c>
      <c r="H7648" t="s">
        <v>8588</v>
      </c>
      <c r="I7648">
        <v>365</v>
      </c>
      <c r="J7648" t="s">
        <v>462</v>
      </c>
      <c r="K7648" t="s">
        <v>446</v>
      </c>
      <c r="M7648">
        <v>2501</v>
      </c>
    </row>
    <row r="7649" spans="1:14">
      <c r="A7649">
        <v>28931061</v>
      </c>
      <c r="B7649">
        <v>4011736</v>
      </c>
      <c r="C7649" t="s">
        <v>12156</v>
      </c>
      <c r="D7649" t="s">
        <v>441</v>
      </c>
      <c r="F7649">
        <v>0</v>
      </c>
      <c r="H7649" t="s">
        <v>8588</v>
      </c>
      <c r="I7649">
        <v>365</v>
      </c>
      <c r="J7649" t="s">
        <v>462</v>
      </c>
      <c r="K7649" t="s">
        <v>446</v>
      </c>
      <c r="M7649">
        <v>2501</v>
      </c>
    </row>
    <row r="7650" spans="1:14">
      <c r="A7650">
        <v>28931519</v>
      </c>
      <c r="B7650">
        <v>3017826</v>
      </c>
      <c r="C7650" t="s">
        <v>12157</v>
      </c>
      <c r="D7650" t="s">
        <v>441</v>
      </c>
      <c r="F7650">
        <v>0</v>
      </c>
      <c r="I7650">
        <v>365</v>
      </c>
      <c r="J7650" t="s">
        <v>445</v>
      </c>
      <c r="K7650" t="s">
        <v>446</v>
      </c>
      <c r="M7650">
        <v>2641</v>
      </c>
    </row>
    <row r="7651" spans="1:14">
      <c r="A7651">
        <v>28931527</v>
      </c>
      <c r="B7651">
        <v>3017418</v>
      </c>
      <c r="C7651" t="s">
        <v>12158</v>
      </c>
      <c r="D7651" t="s">
        <v>441</v>
      </c>
      <c r="F7651">
        <v>0</v>
      </c>
      <c r="G7651">
        <v>10.63</v>
      </c>
      <c r="H7651" t="s">
        <v>8627</v>
      </c>
      <c r="I7651">
        <v>6</v>
      </c>
      <c r="J7651" t="s">
        <v>445</v>
      </c>
      <c r="K7651" t="s">
        <v>446</v>
      </c>
      <c r="M7651">
        <v>2641</v>
      </c>
    </row>
    <row r="7652" spans="1:14">
      <c r="A7652">
        <v>28931528</v>
      </c>
      <c r="B7652">
        <v>3017419</v>
      </c>
      <c r="C7652" t="s">
        <v>12159</v>
      </c>
      <c r="D7652" t="s">
        <v>441</v>
      </c>
      <c r="F7652">
        <v>0</v>
      </c>
      <c r="G7652">
        <v>10.63</v>
      </c>
      <c r="I7652">
        <v>6</v>
      </c>
      <c r="J7652" t="s">
        <v>445</v>
      </c>
      <c r="K7652" t="s">
        <v>446</v>
      </c>
      <c r="M7652">
        <v>2641</v>
      </c>
    </row>
    <row r="7653" spans="1:14">
      <c r="A7653">
        <v>28931561</v>
      </c>
      <c r="B7653">
        <v>3017420</v>
      </c>
      <c r="C7653" t="s">
        <v>12160</v>
      </c>
      <c r="D7653" t="s">
        <v>441</v>
      </c>
      <c r="F7653">
        <v>0</v>
      </c>
      <c r="H7653" t="s">
        <v>8935</v>
      </c>
      <c r="I7653">
        <v>6</v>
      </c>
      <c r="J7653" t="s">
        <v>445</v>
      </c>
      <c r="K7653" t="s">
        <v>446</v>
      </c>
      <c r="M7653">
        <v>2612</v>
      </c>
    </row>
    <row r="7654" spans="1:14">
      <c r="A7654">
        <v>28936000</v>
      </c>
      <c r="B7654">
        <v>3009088</v>
      </c>
      <c r="C7654" t="s">
        <v>3350</v>
      </c>
      <c r="D7654" t="s">
        <v>441</v>
      </c>
      <c r="F7654">
        <v>0</v>
      </c>
      <c r="G7654">
        <v>8.7899999999999991</v>
      </c>
      <c r="I7654">
        <v>5</v>
      </c>
      <c r="J7654" t="s">
        <v>445</v>
      </c>
      <c r="K7654" t="s">
        <v>446</v>
      </c>
      <c r="M7654">
        <v>2390</v>
      </c>
    </row>
    <row r="7655" spans="1:14">
      <c r="A7655">
        <v>28940000</v>
      </c>
      <c r="B7655">
        <v>3034772</v>
      </c>
      <c r="C7655" t="s">
        <v>15046</v>
      </c>
      <c r="D7655" t="s">
        <v>441</v>
      </c>
      <c r="F7655">
        <v>0</v>
      </c>
      <c r="G7655">
        <v>15.61</v>
      </c>
      <c r="H7655" t="s">
        <v>8549</v>
      </c>
      <c r="I7655">
        <v>6</v>
      </c>
      <c r="J7655" t="s">
        <v>445</v>
      </c>
      <c r="M7655">
        <v>2391</v>
      </c>
      <c r="N7655" t="s">
        <v>16352</v>
      </c>
    </row>
    <row r="7656" spans="1:14">
      <c r="A7656">
        <v>28940025</v>
      </c>
      <c r="B7656">
        <v>4026240</v>
      </c>
      <c r="C7656" t="s">
        <v>15047</v>
      </c>
      <c r="D7656" t="s">
        <v>441</v>
      </c>
      <c r="F7656">
        <v>0</v>
      </c>
      <c r="G7656">
        <v>16.489999999999998</v>
      </c>
      <c r="H7656" t="s">
        <v>8588</v>
      </c>
      <c r="I7656">
        <v>540</v>
      </c>
      <c r="J7656" t="s">
        <v>462</v>
      </c>
      <c r="M7656">
        <v>7111</v>
      </c>
      <c r="N7656" t="s">
        <v>16352</v>
      </c>
    </row>
    <row r="7657" spans="1:14">
      <c r="A7657">
        <v>28940087</v>
      </c>
      <c r="B7657">
        <v>3039850</v>
      </c>
      <c r="C7657" t="s">
        <v>15048</v>
      </c>
      <c r="D7657" t="s">
        <v>441</v>
      </c>
      <c r="F7657">
        <v>0</v>
      </c>
      <c r="G7657">
        <v>15.77</v>
      </c>
      <c r="H7657" t="s">
        <v>8549</v>
      </c>
      <c r="I7657">
        <v>6</v>
      </c>
      <c r="J7657" t="s">
        <v>445</v>
      </c>
      <c r="M7657">
        <v>7112</v>
      </c>
      <c r="N7657" t="s">
        <v>16352</v>
      </c>
    </row>
    <row r="7658" spans="1:14">
      <c r="A7658">
        <v>28940525</v>
      </c>
      <c r="B7658">
        <v>3039248</v>
      </c>
      <c r="C7658" t="s">
        <v>15049</v>
      </c>
      <c r="D7658" t="s">
        <v>441</v>
      </c>
      <c r="F7658">
        <v>0</v>
      </c>
      <c r="G7658">
        <v>16</v>
      </c>
      <c r="H7658" t="s">
        <v>8935</v>
      </c>
      <c r="I7658">
        <v>540</v>
      </c>
      <c r="J7658" t="s">
        <v>445</v>
      </c>
      <c r="M7658">
        <v>2502</v>
      </c>
      <c r="N7658" t="s">
        <v>16352</v>
      </c>
    </row>
    <row r="7659" spans="1:14">
      <c r="A7659">
        <v>28950000</v>
      </c>
      <c r="B7659">
        <v>3035131</v>
      </c>
      <c r="C7659" t="s">
        <v>15050</v>
      </c>
      <c r="D7659" t="s">
        <v>441</v>
      </c>
      <c r="F7659">
        <v>0</v>
      </c>
      <c r="G7659">
        <v>14.35</v>
      </c>
      <c r="H7659" t="s">
        <v>8588</v>
      </c>
      <c r="I7659">
        <v>6</v>
      </c>
      <c r="J7659" t="s">
        <v>445</v>
      </c>
      <c r="K7659" t="s">
        <v>446</v>
      </c>
      <c r="M7659">
        <v>2391</v>
      </c>
      <c r="N7659" t="s">
        <v>16337</v>
      </c>
    </row>
    <row r="7660" spans="1:14">
      <c r="A7660">
        <v>28950025</v>
      </c>
      <c r="B7660">
        <v>4023771</v>
      </c>
      <c r="C7660" t="s">
        <v>15051</v>
      </c>
      <c r="D7660" t="s">
        <v>441</v>
      </c>
      <c r="F7660">
        <v>0</v>
      </c>
      <c r="G7660">
        <v>15.28</v>
      </c>
      <c r="H7660" t="s">
        <v>8588</v>
      </c>
      <c r="I7660">
        <v>540</v>
      </c>
      <c r="J7660" t="s">
        <v>462</v>
      </c>
      <c r="M7660">
        <v>7111</v>
      </c>
      <c r="N7660" t="s">
        <v>16337</v>
      </c>
    </row>
    <row r="7661" spans="1:14">
      <c r="A7661">
        <v>28950525</v>
      </c>
      <c r="B7661">
        <v>3035132</v>
      </c>
      <c r="C7661" t="s">
        <v>15052</v>
      </c>
      <c r="D7661" t="s">
        <v>441</v>
      </c>
      <c r="F7661">
        <v>0</v>
      </c>
      <c r="G7661">
        <v>14.8</v>
      </c>
      <c r="H7661" t="s">
        <v>8588</v>
      </c>
      <c r="I7661">
        <v>540</v>
      </c>
      <c r="J7661" t="s">
        <v>445</v>
      </c>
      <c r="K7661" t="s">
        <v>446</v>
      </c>
      <c r="M7661">
        <v>2502</v>
      </c>
      <c r="N7661" t="s">
        <v>16337</v>
      </c>
    </row>
    <row r="7662" spans="1:14">
      <c r="A7662">
        <v>28951000</v>
      </c>
      <c r="B7662">
        <v>3035130</v>
      </c>
      <c r="C7662" t="s">
        <v>15053</v>
      </c>
      <c r="D7662" t="s">
        <v>441</v>
      </c>
      <c r="F7662">
        <v>0</v>
      </c>
      <c r="G7662">
        <v>14.35</v>
      </c>
      <c r="H7662" t="s">
        <v>8549</v>
      </c>
      <c r="I7662">
        <v>6</v>
      </c>
      <c r="J7662" t="s">
        <v>445</v>
      </c>
      <c r="K7662" t="s">
        <v>446</v>
      </c>
      <c r="M7662">
        <v>2391</v>
      </c>
      <c r="N7662" t="s">
        <v>16337</v>
      </c>
    </row>
    <row r="7663" spans="1:14">
      <c r="A7663">
        <v>28951025</v>
      </c>
      <c r="B7663">
        <v>4023772</v>
      </c>
      <c r="C7663" t="s">
        <v>15054</v>
      </c>
      <c r="D7663" t="s">
        <v>441</v>
      </c>
      <c r="F7663">
        <v>0</v>
      </c>
      <c r="G7663">
        <v>15.28</v>
      </c>
      <c r="H7663" t="s">
        <v>8588</v>
      </c>
      <c r="I7663">
        <v>540</v>
      </c>
      <c r="J7663" t="s">
        <v>462</v>
      </c>
      <c r="M7663">
        <v>7111</v>
      </c>
      <c r="N7663" t="s">
        <v>16337</v>
      </c>
    </row>
    <row r="7664" spans="1:14">
      <c r="A7664">
        <v>28951525</v>
      </c>
      <c r="B7664">
        <v>3035133</v>
      </c>
      <c r="C7664" t="s">
        <v>15055</v>
      </c>
      <c r="D7664" t="s">
        <v>441</v>
      </c>
      <c r="F7664">
        <v>0</v>
      </c>
      <c r="G7664">
        <v>14.8</v>
      </c>
      <c r="H7664" t="s">
        <v>8588</v>
      </c>
      <c r="I7664">
        <v>540</v>
      </c>
      <c r="J7664" t="s">
        <v>445</v>
      </c>
      <c r="K7664" t="s">
        <v>446</v>
      </c>
      <c r="M7664">
        <v>2502</v>
      </c>
      <c r="N7664" t="s">
        <v>16337</v>
      </c>
    </row>
    <row r="7665" spans="1:14">
      <c r="A7665">
        <v>28960000</v>
      </c>
      <c r="B7665">
        <v>3024681</v>
      </c>
      <c r="C7665" t="s">
        <v>15056</v>
      </c>
      <c r="D7665" t="s">
        <v>441</v>
      </c>
      <c r="F7665">
        <v>0</v>
      </c>
      <c r="G7665">
        <v>15.46</v>
      </c>
      <c r="H7665" t="s">
        <v>8549</v>
      </c>
      <c r="I7665">
        <v>6</v>
      </c>
      <c r="J7665" t="s">
        <v>445</v>
      </c>
      <c r="M7665">
        <v>2391</v>
      </c>
      <c r="N7665" t="s">
        <v>16353</v>
      </c>
    </row>
    <row r="7666" spans="1:14">
      <c r="A7666">
        <v>28960040</v>
      </c>
      <c r="B7666">
        <v>4026238</v>
      </c>
      <c r="C7666" t="s">
        <v>15057</v>
      </c>
      <c r="D7666" t="s">
        <v>441</v>
      </c>
      <c r="F7666">
        <v>0</v>
      </c>
      <c r="G7666">
        <v>16.41</v>
      </c>
      <c r="H7666" t="s">
        <v>8588</v>
      </c>
      <c r="I7666">
        <v>16</v>
      </c>
      <c r="J7666" t="s">
        <v>462</v>
      </c>
      <c r="M7666">
        <v>7112</v>
      </c>
      <c r="N7666" t="s">
        <v>16353</v>
      </c>
    </row>
    <row r="7667" spans="1:14">
      <c r="A7667">
        <v>28970000</v>
      </c>
      <c r="B7667">
        <v>3008104</v>
      </c>
      <c r="C7667" t="s">
        <v>3351</v>
      </c>
      <c r="D7667" t="s">
        <v>441</v>
      </c>
      <c r="F7667">
        <v>0</v>
      </c>
      <c r="G7667">
        <v>9.5</v>
      </c>
      <c r="H7667" t="s">
        <v>8634</v>
      </c>
      <c r="I7667">
        <v>6</v>
      </c>
      <c r="J7667" t="s">
        <v>445</v>
      </c>
      <c r="K7667" t="s">
        <v>446</v>
      </c>
      <c r="M7667">
        <v>0</v>
      </c>
    </row>
    <row r="7668" spans="1:14">
      <c r="A7668">
        <v>28970028</v>
      </c>
      <c r="B7668">
        <v>4007999</v>
      </c>
      <c r="C7668" t="s">
        <v>3352</v>
      </c>
      <c r="D7668" t="s">
        <v>441</v>
      </c>
      <c r="F7668">
        <v>0</v>
      </c>
      <c r="G7668">
        <v>10.43</v>
      </c>
      <c r="H7668" t="s">
        <v>8588</v>
      </c>
      <c r="I7668">
        <v>365</v>
      </c>
      <c r="J7668" t="s">
        <v>462</v>
      </c>
      <c r="K7668" t="s">
        <v>446</v>
      </c>
      <c r="M7668">
        <v>2501</v>
      </c>
    </row>
    <row r="7669" spans="1:14">
      <c r="A7669">
        <v>28970528</v>
      </c>
      <c r="B7669">
        <v>3008105</v>
      </c>
      <c r="C7669" t="s">
        <v>3353</v>
      </c>
      <c r="D7669" t="s">
        <v>441</v>
      </c>
      <c r="F7669">
        <v>0</v>
      </c>
      <c r="G7669">
        <v>10.17</v>
      </c>
      <c r="H7669" t="s">
        <v>8634</v>
      </c>
      <c r="I7669">
        <v>6</v>
      </c>
      <c r="J7669" t="s">
        <v>445</v>
      </c>
      <c r="K7669" t="s">
        <v>446</v>
      </c>
      <c r="M7669">
        <v>2641</v>
      </c>
    </row>
    <row r="7670" spans="1:14">
      <c r="A7670">
        <v>28980000</v>
      </c>
      <c r="B7670">
        <v>3008106</v>
      </c>
      <c r="C7670" t="s">
        <v>3354</v>
      </c>
      <c r="D7670" t="s">
        <v>441</v>
      </c>
      <c r="F7670">
        <v>0</v>
      </c>
      <c r="G7670">
        <v>9.06</v>
      </c>
      <c r="H7670" t="s">
        <v>8634</v>
      </c>
      <c r="I7670">
        <v>6</v>
      </c>
      <c r="J7670" t="s">
        <v>445</v>
      </c>
      <c r="K7670" t="s">
        <v>446</v>
      </c>
      <c r="M7670">
        <v>0</v>
      </c>
    </row>
    <row r="7671" spans="1:14">
      <c r="A7671">
        <v>28980028</v>
      </c>
      <c r="B7671">
        <v>4008000</v>
      </c>
      <c r="C7671" t="s">
        <v>3355</v>
      </c>
      <c r="D7671" t="s">
        <v>441</v>
      </c>
      <c r="F7671">
        <v>0</v>
      </c>
      <c r="G7671">
        <v>10</v>
      </c>
      <c r="H7671" t="s">
        <v>8588</v>
      </c>
      <c r="I7671">
        <v>365</v>
      </c>
      <c r="J7671" t="s">
        <v>462</v>
      </c>
      <c r="K7671" t="s">
        <v>446</v>
      </c>
      <c r="M7671">
        <v>2501</v>
      </c>
    </row>
    <row r="7672" spans="1:14">
      <c r="A7672">
        <v>28980528</v>
      </c>
      <c r="B7672">
        <v>3008107</v>
      </c>
      <c r="C7672" t="s">
        <v>3356</v>
      </c>
      <c r="D7672" t="s">
        <v>441</v>
      </c>
      <c r="F7672">
        <v>0</v>
      </c>
      <c r="G7672">
        <v>9.73</v>
      </c>
      <c r="H7672" t="s">
        <v>8634</v>
      </c>
      <c r="I7672">
        <v>6</v>
      </c>
      <c r="J7672" t="s">
        <v>445</v>
      </c>
      <c r="K7672" t="s">
        <v>446</v>
      </c>
      <c r="M7672">
        <v>2641</v>
      </c>
    </row>
    <row r="7673" spans="1:14">
      <c r="A7673">
        <v>29000061</v>
      </c>
      <c r="B7673">
        <v>4001862</v>
      </c>
      <c r="C7673" t="s">
        <v>3357</v>
      </c>
      <c r="D7673" t="s">
        <v>441</v>
      </c>
      <c r="F7673">
        <v>0</v>
      </c>
      <c r="G7673">
        <v>11.03</v>
      </c>
      <c r="H7673" t="s">
        <v>8588</v>
      </c>
      <c r="I7673">
        <v>365</v>
      </c>
      <c r="J7673" t="s">
        <v>462</v>
      </c>
      <c r="K7673" t="s">
        <v>446</v>
      </c>
      <c r="M7673">
        <v>2501</v>
      </c>
    </row>
    <row r="7674" spans="1:14">
      <c r="A7674">
        <v>29000561</v>
      </c>
      <c r="B7674">
        <v>3008108</v>
      </c>
      <c r="C7674" t="s">
        <v>3358</v>
      </c>
      <c r="D7674" t="s">
        <v>441</v>
      </c>
      <c r="F7674">
        <v>0</v>
      </c>
      <c r="G7674">
        <v>10.77</v>
      </c>
      <c r="H7674" t="s">
        <v>8634</v>
      </c>
      <c r="I7674">
        <v>6</v>
      </c>
      <c r="J7674" t="s">
        <v>445</v>
      </c>
      <c r="K7674" t="s">
        <v>446</v>
      </c>
      <c r="M7674">
        <v>2612</v>
      </c>
    </row>
    <row r="7675" spans="1:14">
      <c r="A7675">
        <v>29010000</v>
      </c>
      <c r="B7675">
        <v>3033801</v>
      </c>
      <c r="C7675" t="s">
        <v>15058</v>
      </c>
      <c r="D7675" t="s">
        <v>441</v>
      </c>
      <c r="F7675">
        <v>0</v>
      </c>
      <c r="G7675">
        <v>14.04</v>
      </c>
      <c r="H7675" t="s">
        <v>8549</v>
      </c>
      <c r="I7675">
        <v>6</v>
      </c>
      <c r="J7675" t="s">
        <v>445</v>
      </c>
      <c r="K7675" t="s">
        <v>446</v>
      </c>
      <c r="M7675">
        <v>2391</v>
      </c>
      <c r="N7675" t="s">
        <v>16354</v>
      </c>
    </row>
    <row r="7676" spans="1:14">
      <c r="A7676">
        <v>29010061</v>
      </c>
      <c r="B7676">
        <v>4001863</v>
      </c>
      <c r="C7676" t="s">
        <v>3359</v>
      </c>
      <c r="D7676" t="s">
        <v>441</v>
      </c>
      <c r="F7676">
        <v>0</v>
      </c>
      <c r="G7676">
        <v>10.19</v>
      </c>
      <c r="H7676" t="s">
        <v>8588</v>
      </c>
      <c r="I7676">
        <v>365</v>
      </c>
      <c r="J7676" t="s">
        <v>462</v>
      </c>
      <c r="K7676" t="s">
        <v>446</v>
      </c>
      <c r="M7676">
        <v>2501</v>
      </c>
    </row>
    <row r="7677" spans="1:14">
      <c r="A7677">
        <v>29010087</v>
      </c>
      <c r="B7677">
        <v>3040490</v>
      </c>
      <c r="C7677" t="s">
        <v>15059</v>
      </c>
      <c r="D7677" t="s">
        <v>441</v>
      </c>
      <c r="F7677">
        <v>0</v>
      </c>
      <c r="G7677">
        <v>14.19</v>
      </c>
      <c r="H7677" t="s">
        <v>8588</v>
      </c>
      <c r="I7677">
        <v>6</v>
      </c>
      <c r="J7677" t="s">
        <v>445</v>
      </c>
      <c r="K7677" t="s">
        <v>446</v>
      </c>
      <c r="M7677">
        <v>7112</v>
      </c>
      <c r="N7677" t="s">
        <v>16354</v>
      </c>
    </row>
    <row r="7678" spans="1:14">
      <c r="A7678">
        <v>29010561</v>
      </c>
      <c r="B7678">
        <v>3008109</v>
      </c>
      <c r="C7678" t="s">
        <v>3360</v>
      </c>
      <c r="D7678" t="s">
        <v>441</v>
      </c>
      <c r="F7678">
        <v>0</v>
      </c>
      <c r="G7678">
        <v>9.92</v>
      </c>
      <c r="H7678" t="s">
        <v>8634</v>
      </c>
      <c r="I7678">
        <v>6</v>
      </c>
      <c r="J7678" t="s">
        <v>445</v>
      </c>
      <c r="K7678" t="s">
        <v>446</v>
      </c>
      <c r="M7678">
        <v>2612</v>
      </c>
    </row>
    <row r="7679" spans="1:14">
      <c r="A7679">
        <v>29014000</v>
      </c>
      <c r="B7679">
        <v>3039284</v>
      </c>
      <c r="C7679" t="s">
        <v>15060</v>
      </c>
      <c r="D7679" t="s">
        <v>441</v>
      </c>
      <c r="F7679">
        <v>0</v>
      </c>
      <c r="G7679">
        <v>14.04</v>
      </c>
      <c r="H7679" t="s">
        <v>8549</v>
      </c>
      <c r="I7679">
        <v>6</v>
      </c>
      <c r="J7679" t="s">
        <v>445</v>
      </c>
      <c r="K7679" t="s">
        <v>446</v>
      </c>
      <c r="M7679">
        <v>2391</v>
      </c>
      <c r="N7679" t="s">
        <v>16354</v>
      </c>
    </row>
    <row r="7680" spans="1:14">
      <c r="A7680">
        <v>29014087</v>
      </c>
      <c r="B7680">
        <v>3040501</v>
      </c>
      <c r="C7680" t="s">
        <v>15061</v>
      </c>
      <c r="D7680" t="s">
        <v>441</v>
      </c>
      <c r="F7680">
        <v>0</v>
      </c>
      <c r="G7680">
        <v>14.19</v>
      </c>
      <c r="H7680" t="s">
        <v>8588</v>
      </c>
      <c r="I7680">
        <v>6</v>
      </c>
      <c r="J7680" t="s">
        <v>445</v>
      </c>
      <c r="K7680" t="s">
        <v>446</v>
      </c>
      <c r="M7680">
        <v>7112</v>
      </c>
      <c r="N7680" t="s">
        <v>16354</v>
      </c>
    </row>
    <row r="7681" spans="1:14">
      <c r="A7681">
        <v>29020000</v>
      </c>
      <c r="B7681">
        <v>3016046</v>
      </c>
      <c r="C7681" t="s">
        <v>15062</v>
      </c>
      <c r="D7681" t="s">
        <v>441</v>
      </c>
      <c r="F7681">
        <v>0</v>
      </c>
      <c r="G7681">
        <v>15.3</v>
      </c>
      <c r="H7681" t="s">
        <v>8584</v>
      </c>
      <c r="I7681">
        <v>6</v>
      </c>
      <c r="J7681" t="s">
        <v>445</v>
      </c>
      <c r="M7681">
        <v>2391</v>
      </c>
      <c r="N7681" t="s">
        <v>16355</v>
      </c>
    </row>
    <row r="7682" spans="1:14">
      <c r="A7682">
        <v>29020025</v>
      </c>
      <c r="B7682">
        <v>4015398</v>
      </c>
      <c r="C7682" t="s">
        <v>15431</v>
      </c>
      <c r="D7682" t="s">
        <v>441</v>
      </c>
      <c r="F7682">
        <v>0</v>
      </c>
      <c r="G7682">
        <v>16.18</v>
      </c>
      <c r="H7682" t="s">
        <v>8588</v>
      </c>
      <c r="I7682">
        <v>540</v>
      </c>
      <c r="J7682" t="s">
        <v>462</v>
      </c>
      <c r="L7682" t="s">
        <v>12131</v>
      </c>
      <c r="M7682">
        <v>7111</v>
      </c>
      <c r="N7682" t="s">
        <v>16355</v>
      </c>
    </row>
    <row r="7683" spans="1:14">
      <c r="A7683">
        <v>29020040</v>
      </c>
      <c r="B7683">
        <v>4025294</v>
      </c>
      <c r="C7683" t="s">
        <v>15063</v>
      </c>
      <c r="D7683" t="s">
        <v>441</v>
      </c>
      <c r="F7683">
        <v>0</v>
      </c>
      <c r="G7683">
        <v>15.82</v>
      </c>
      <c r="H7683" t="s">
        <v>8588</v>
      </c>
      <c r="I7683">
        <v>16</v>
      </c>
      <c r="J7683" t="s">
        <v>462</v>
      </c>
      <c r="M7683">
        <v>7112</v>
      </c>
      <c r="N7683" t="s">
        <v>16355</v>
      </c>
    </row>
    <row r="7684" spans="1:14">
      <c r="A7684">
        <v>29020075</v>
      </c>
      <c r="B7684">
        <v>4024760</v>
      </c>
      <c r="C7684" t="s">
        <v>15064</v>
      </c>
      <c r="D7684" t="s">
        <v>441</v>
      </c>
      <c r="F7684">
        <v>0</v>
      </c>
      <c r="G7684">
        <v>15.57</v>
      </c>
      <c r="H7684" t="s">
        <v>8588</v>
      </c>
      <c r="I7684">
        <v>6</v>
      </c>
      <c r="J7684" t="s">
        <v>462</v>
      </c>
      <c r="L7684">
        <v>2624860</v>
      </c>
      <c r="M7684">
        <v>7112</v>
      </c>
      <c r="N7684" t="s">
        <v>16355</v>
      </c>
    </row>
    <row r="7685" spans="1:14">
      <c r="A7685">
        <v>29020525</v>
      </c>
      <c r="B7685">
        <v>3023273</v>
      </c>
      <c r="C7685" t="s">
        <v>15065</v>
      </c>
      <c r="D7685" t="s">
        <v>441</v>
      </c>
      <c r="F7685">
        <v>0</v>
      </c>
      <c r="G7685">
        <v>15.7</v>
      </c>
      <c r="H7685" t="s">
        <v>8588</v>
      </c>
      <c r="I7685">
        <v>6</v>
      </c>
      <c r="J7685" t="s">
        <v>445</v>
      </c>
      <c r="K7685" t="s">
        <v>446</v>
      </c>
      <c r="M7685">
        <v>2502</v>
      </c>
      <c r="N7685" t="s">
        <v>16356</v>
      </c>
    </row>
    <row r="7686" spans="1:14">
      <c r="A7686">
        <v>29040000</v>
      </c>
      <c r="B7686">
        <v>3009493</v>
      </c>
      <c r="C7686" t="s">
        <v>15066</v>
      </c>
      <c r="D7686" t="s">
        <v>441</v>
      </c>
      <c r="F7686">
        <v>0</v>
      </c>
      <c r="G7686">
        <v>14.08</v>
      </c>
      <c r="H7686" t="s">
        <v>8588</v>
      </c>
      <c r="I7686">
        <v>6</v>
      </c>
      <c r="J7686" t="s">
        <v>445</v>
      </c>
      <c r="M7686">
        <v>2391</v>
      </c>
      <c r="N7686" t="s">
        <v>15977</v>
      </c>
    </row>
    <row r="7687" spans="1:14">
      <c r="A7687">
        <v>29040002</v>
      </c>
      <c r="B7687">
        <v>3021467</v>
      </c>
      <c r="C7687" t="s">
        <v>15067</v>
      </c>
      <c r="D7687" t="s">
        <v>441</v>
      </c>
      <c r="F7687">
        <v>0</v>
      </c>
      <c r="G7687">
        <v>14.9</v>
      </c>
      <c r="H7687" t="s">
        <v>8588</v>
      </c>
      <c r="I7687">
        <v>540</v>
      </c>
      <c r="J7687" t="s">
        <v>445</v>
      </c>
      <c r="M7687">
        <v>7111</v>
      </c>
      <c r="N7687" t="s">
        <v>15977</v>
      </c>
    </row>
    <row r="7688" spans="1:14">
      <c r="A7688">
        <v>29040007</v>
      </c>
      <c r="B7688">
        <v>3025044</v>
      </c>
      <c r="C7688" t="s">
        <v>15068</v>
      </c>
      <c r="D7688" t="s">
        <v>441</v>
      </c>
      <c r="F7688">
        <v>0</v>
      </c>
      <c r="G7688">
        <v>14.23</v>
      </c>
      <c r="H7688" t="s">
        <v>8935</v>
      </c>
      <c r="I7688">
        <v>6</v>
      </c>
      <c r="J7688" t="s">
        <v>445</v>
      </c>
      <c r="M7688">
        <v>3111</v>
      </c>
      <c r="N7688" t="s">
        <v>15977</v>
      </c>
    </row>
    <row r="7689" spans="1:14">
      <c r="A7689">
        <v>29040075</v>
      </c>
      <c r="B7689">
        <v>3038723</v>
      </c>
      <c r="C7689" t="s">
        <v>15069</v>
      </c>
      <c r="D7689" t="s">
        <v>441</v>
      </c>
      <c r="F7689">
        <v>0</v>
      </c>
      <c r="G7689">
        <v>14.31</v>
      </c>
      <c r="H7689" t="s">
        <v>8588</v>
      </c>
      <c r="I7689">
        <v>6</v>
      </c>
      <c r="J7689" t="s">
        <v>445</v>
      </c>
      <c r="M7689">
        <v>7112</v>
      </c>
      <c r="N7689" t="s">
        <v>15977</v>
      </c>
    </row>
    <row r="7690" spans="1:14">
      <c r="A7690">
        <v>29040100</v>
      </c>
      <c r="B7690">
        <v>3023787</v>
      </c>
      <c r="C7690" t="s">
        <v>15070</v>
      </c>
      <c r="D7690" t="s">
        <v>441</v>
      </c>
      <c r="F7690">
        <v>0</v>
      </c>
      <c r="H7690" t="s">
        <v>8588</v>
      </c>
      <c r="I7690">
        <v>6</v>
      </c>
      <c r="J7690" t="s">
        <v>445</v>
      </c>
      <c r="K7690" t="s">
        <v>446</v>
      </c>
      <c r="M7690">
        <v>7161</v>
      </c>
      <c r="N7690" t="s">
        <v>16357</v>
      </c>
    </row>
    <row r="7691" spans="1:14">
      <c r="A7691">
        <v>29040502</v>
      </c>
      <c r="B7691">
        <v>3022074</v>
      </c>
      <c r="C7691" t="s">
        <v>15071</v>
      </c>
      <c r="D7691" t="s">
        <v>441</v>
      </c>
      <c r="F7691">
        <v>0</v>
      </c>
      <c r="G7691">
        <v>14.31</v>
      </c>
      <c r="H7691" t="s">
        <v>8588</v>
      </c>
      <c r="I7691">
        <v>6</v>
      </c>
      <c r="J7691" t="s">
        <v>445</v>
      </c>
      <c r="M7691">
        <v>2502</v>
      </c>
      <c r="N7691" t="s">
        <v>15977</v>
      </c>
    </row>
    <row r="7692" spans="1:14">
      <c r="A7692">
        <v>29040602</v>
      </c>
      <c r="B7692">
        <v>3022080</v>
      </c>
      <c r="C7692" t="s">
        <v>14688</v>
      </c>
      <c r="D7692" t="s">
        <v>441</v>
      </c>
      <c r="F7692">
        <v>0</v>
      </c>
      <c r="G7692">
        <v>15.3</v>
      </c>
      <c r="H7692" t="s">
        <v>8588</v>
      </c>
      <c r="I7692">
        <v>4</v>
      </c>
      <c r="J7692" t="s">
        <v>445</v>
      </c>
      <c r="M7692">
        <v>2510</v>
      </c>
      <c r="N7692" t="s">
        <v>15977</v>
      </c>
    </row>
    <row r="7693" spans="1:14">
      <c r="A7693">
        <v>29040900</v>
      </c>
      <c r="B7693">
        <v>3020367</v>
      </c>
      <c r="C7693" t="s">
        <v>15072</v>
      </c>
      <c r="D7693" t="s">
        <v>441</v>
      </c>
      <c r="F7693">
        <v>0</v>
      </c>
      <c r="G7693">
        <v>0</v>
      </c>
      <c r="H7693" t="s">
        <v>8584</v>
      </c>
      <c r="I7693">
        <v>6</v>
      </c>
      <c r="J7693" t="s">
        <v>445</v>
      </c>
      <c r="M7693">
        <v>6666</v>
      </c>
      <c r="N7693" t="s">
        <v>15977</v>
      </c>
    </row>
    <row r="7694" spans="1:14">
      <c r="A7694">
        <v>29040902</v>
      </c>
      <c r="B7694">
        <v>3022082</v>
      </c>
      <c r="C7694" t="s">
        <v>15073</v>
      </c>
      <c r="D7694" t="s">
        <v>441</v>
      </c>
      <c r="F7694">
        <v>0</v>
      </c>
      <c r="H7694" t="s">
        <v>8580</v>
      </c>
      <c r="I7694">
        <v>4</v>
      </c>
      <c r="J7694" t="s">
        <v>445</v>
      </c>
      <c r="M7694">
        <v>6666</v>
      </c>
      <c r="N7694" t="s">
        <v>15977</v>
      </c>
    </row>
    <row r="7695" spans="1:14">
      <c r="A7695">
        <v>29040907</v>
      </c>
      <c r="B7695">
        <v>3025304</v>
      </c>
      <c r="C7695" t="s">
        <v>15074</v>
      </c>
      <c r="D7695" t="s">
        <v>441</v>
      </c>
      <c r="F7695">
        <v>0</v>
      </c>
      <c r="G7695">
        <v>0</v>
      </c>
      <c r="H7695" t="s">
        <v>8584</v>
      </c>
      <c r="I7695">
        <v>6</v>
      </c>
      <c r="J7695" t="s">
        <v>445</v>
      </c>
      <c r="M7695">
        <v>6666</v>
      </c>
      <c r="N7695" t="s">
        <v>15977</v>
      </c>
    </row>
    <row r="7696" spans="1:14">
      <c r="A7696">
        <v>29041000</v>
      </c>
      <c r="B7696">
        <v>3017450</v>
      </c>
      <c r="C7696" t="s">
        <v>15075</v>
      </c>
      <c r="D7696" t="s">
        <v>441</v>
      </c>
      <c r="F7696">
        <v>0</v>
      </c>
      <c r="G7696">
        <v>14.08</v>
      </c>
      <c r="H7696" t="s">
        <v>8549</v>
      </c>
      <c r="I7696">
        <v>6</v>
      </c>
      <c r="J7696" t="s">
        <v>445</v>
      </c>
      <c r="M7696">
        <v>2391</v>
      </c>
      <c r="N7696" t="s">
        <v>15977</v>
      </c>
    </row>
    <row r="7697" spans="1:14">
      <c r="A7697">
        <v>29041002</v>
      </c>
      <c r="B7697">
        <v>3021468</v>
      </c>
      <c r="C7697" t="s">
        <v>12161</v>
      </c>
      <c r="D7697" t="s">
        <v>441</v>
      </c>
      <c r="F7697">
        <v>0</v>
      </c>
      <c r="G7697">
        <v>11.29</v>
      </c>
      <c r="H7697" t="s">
        <v>8588</v>
      </c>
      <c r="I7697">
        <v>365</v>
      </c>
      <c r="J7697" t="s">
        <v>445</v>
      </c>
      <c r="K7697" t="s">
        <v>446</v>
      </c>
      <c r="M7697">
        <v>2501</v>
      </c>
      <c r="N7697" t="s">
        <v>15977</v>
      </c>
    </row>
    <row r="7698" spans="1:14">
      <c r="A7698">
        <v>29041007</v>
      </c>
      <c r="B7698">
        <v>3025045</v>
      </c>
      <c r="C7698" t="s">
        <v>15076</v>
      </c>
      <c r="D7698" t="s">
        <v>441</v>
      </c>
      <c r="F7698">
        <v>0</v>
      </c>
      <c r="G7698">
        <v>14.23</v>
      </c>
      <c r="H7698" t="s">
        <v>8935</v>
      </c>
      <c r="I7698">
        <v>6</v>
      </c>
      <c r="J7698" t="s">
        <v>445</v>
      </c>
      <c r="M7698">
        <v>3111</v>
      </c>
      <c r="N7698" t="s">
        <v>15977</v>
      </c>
    </row>
    <row r="7699" spans="1:14">
      <c r="A7699">
        <v>29041502</v>
      </c>
      <c r="B7699">
        <v>3022075</v>
      </c>
      <c r="C7699" t="s">
        <v>12162</v>
      </c>
      <c r="D7699" t="s">
        <v>441</v>
      </c>
      <c r="F7699">
        <v>0</v>
      </c>
      <c r="G7699">
        <v>11.02</v>
      </c>
      <c r="H7699" t="s">
        <v>8588</v>
      </c>
      <c r="I7699">
        <v>6</v>
      </c>
      <c r="J7699" t="s">
        <v>445</v>
      </c>
      <c r="K7699" t="s">
        <v>446</v>
      </c>
      <c r="M7699">
        <v>2641</v>
      </c>
      <c r="N7699" t="s">
        <v>15977</v>
      </c>
    </row>
    <row r="7700" spans="1:14">
      <c r="A7700">
        <v>29041602</v>
      </c>
      <c r="B7700">
        <v>3022081</v>
      </c>
      <c r="C7700" t="s">
        <v>12163</v>
      </c>
      <c r="D7700" t="s">
        <v>441</v>
      </c>
      <c r="F7700">
        <v>0</v>
      </c>
      <c r="G7700">
        <v>11.7</v>
      </c>
      <c r="H7700" t="s">
        <v>8588</v>
      </c>
      <c r="I7700">
        <v>4</v>
      </c>
      <c r="J7700" t="s">
        <v>445</v>
      </c>
      <c r="K7700" t="s">
        <v>446</v>
      </c>
      <c r="M7700">
        <v>2511</v>
      </c>
      <c r="N7700" t="s">
        <v>15977</v>
      </c>
    </row>
    <row r="7701" spans="1:14">
      <c r="A7701">
        <v>29041902</v>
      </c>
      <c r="B7701">
        <v>3022083</v>
      </c>
      <c r="C7701" t="s">
        <v>12164</v>
      </c>
      <c r="D7701" t="s">
        <v>441</v>
      </c>
      <c r="F7701">
        <v>0</v>
      </c>
      <c r="H7701" t="s">
        <v>8580</v>
      </c>
      <c r="I7701">
        <v>4</v>
      </c>
      <c r="J7701" t="s">
        <v>445</v>
      </c>
      <c r="K7701" t="s">
        <v>446</v>
      </c>
      <c r="M7701">
        <v>6666</v>
      </c>
      <c r="N7701" t="s">
        <v>15977</v>
      </c>
    </row>
    <row r="7702" spans="1:14">
      <c r="A7702">
        <v>29041907</v>
      </c>
      <c r="B7702">
        <v>3025305</v>
      </c>
      <c r="C7702" t="s">
        <v>15077</v>
      </c>
      <c r="D7702" t="s">
        <v>441</v>
      </c>
      <c r="F7702">
        <v>0</v>
      </c>
      <c r="G7702">
        <v>0</v>
      </c>
      <c r="H7702" t="s">
        <v>8580</v>
      </c>
      <c r="I7702">
        <v>6</v>
      </c>
      <c r="J7702" t="s">
        <v>445</v>
      </c>
      <c r="M7702">
        <v>6666</v>
      </c>
      <c r="N7702" t="s">
        <v>15977</v>
      </c>
    </row>
    <row r="7703" spans="1:14">
      <c r="A7703">
        <v>29044000</v>
      </c>
      <c r="B7703">
        <v>3039392</v>
      </c>
      <c r="C7703" t="s">
        <v>15078</v>
      </c>
      <c r="D7703" t="s">
        <v>441</v>
      </c>
      <c r="F7703">
        <v>0</v>
      </c>
      <c r="G7703">
        <v>14.08</v>
      </c>
      <c r="H7703" t="s">
        <v>8588</v>
      </c>
      <c r="I7703">
        <v>6</v>
      </c>
      <c r="J7703" t="s">
        <v>445</v>
      </c>
      <c r="M7703">
        <v>2391</v>
      </c>
      <c r="N7703" t="s">
        <v>15977</v>
      </c>
    </row>
    <row r="7704" spans="1:14">
      <c r="A7704">
        <v>29044007</v>
      </c>
      <c r="B7704">
        <v>3039388</v>
      </c>
      <c r="C7704" t="s">
        <v>15653</v>
      </c>
      <c r="D7704" t="s">
        <v>441</v>
      </c>
      <c r="F7704">
        <v>0</v>
      </c>
      <c r="G7704">
        <v>14.45</v>
      </c>
      <c r="H7704" t="s">
        <v>8588</v>
      </c>
      <c r="I7704">
        <v>6</v>
      </c>
      <c r="J7704" t="s">
        <v>445</v>
      </c>
      <c r="M7704">
        <v>2391</v>
      </c>
      <c r="N7704" t="s">
        <v>15977</v>
      </c>
    </row>
    <row r="7705" spans="1:14">
      <c r="A7705">
        <v>29044075</v>
      </c>
      <c r="B7705">
        <v>3039389</v>
      </c>
      <c r="C7705" t="s">
        <v>15079</v>
      </c>
      <c r="D7705" t="s">
        <v>441</v>
      </c>
      <c r="F7705">
        <v>0</v>
      </c>
      <c r="G7705">
        <v>14.31</v>
      </c>
      <c r="H7705" t="s">
        <v>8588</v>
      </c>
      <c r="I7705">
        <v>6</v>
      </c>
      <c r="J7705" t="s">
        <v>445</v>
      </c>
      <c r="M7705">
        <v>7112</v>
      </c>
      <c r="N7705" t="s">
        <v>15977</v>
      </c>
    </row>
    <row r="7706" spans="1:14">
      <c r="A7706">
        <v>29050000</v>
      </c>
      <c r="B7706">
        <v>3009491</v>
      </c>
      <c r="C7706" t="s">
        <v>3361</v>
      </c>
      <c r="D7706" t="s">
        <v>441</v>
      </c>
      <c r="F7706">
        <v>0</v>
      </c>
      <c r="G7706">
        <v>9.19</v>
      </c>
      <c r="H7706" t="s">
        <v>8580</v>
      </c>
      <c r="I7706">
        <v>6</v>
      </c>
      <c r="J7706" t="s">
        <v>445</v>
      </c>
      <c r="K7706" t="s">
        <v>446</v>
      </c>
      <c r="M7706">
        <v>2314</v>
      </c>
    </row>
    <row r="7707" spans="1:14">
      <c r="A7707">
        <v>29060000</v>
      </c>
      <c r="B7707">
        <v>3021916</v>
      </c>
      <c r="C7707" t="s">
        <v>12165</v>
      </c>
      <c r="D7707" t="s">
        <v>441</v>
      </c>
      <c r="F7707">
        <v>0</v>
      </c>
      <c r="G7707">
        <v>10.08</v>
      </c>
      <c r="H7707" t="s">
        <v>8588</v>
      </c>
      <c r="I7707">
        <v>6</v>
      </c>
      <c r="J7707" t="s">
        <v>445</v>
      </c>
      <c r="K7707" t="s">
        <v>446</v>
      </c>
      <c r="M7707">
        <v>2314</v>
      </c>
      <c r="N7707" t="s">
        <v>16358</v>
      </c>
    </row>
    <row r="7708" spans="1:14">
      <c r="A7708">
        <v>29060007</v>
      </c>
      <c r="B7708">
        <v>3027388</v>
      </c>
      <c r="C7708" t="s">
        <v>12166</v>
      </c>
      <c r="D7708" t="s">
        <v>441</v>
      </c>
      <c r="F7708">
        <v>0</v>
      </c>
      <c r="G7708">
        <v>12.84</v>
      </c>
      <c r="H7708" t="s">
        <v>8588</v>
      </c>
      <c r="I7708">
        <v>6</v>
      </c>
      <c r="J7708" t="s">
        <v>445</v>
      </c>
      <c r="K7708" t="s">
        <v>446</v>
      </c>
      <c r="M7708">
        <v>2641</v>
      </c>
      <c r="N7708" t="s">
        <v>16358</v>
      </c>
    </row>
    <row r="7709" spans="1:14">
      <c r="A7709">
        <v>29060076</v>
      </c>
      <c r="B7709">
        <v>3027410</v>
      </c>
      <c r="C7709" t="s">
        <v>12167</v>
      </c>
      <c r="D7709" t="s">
        <v>441</v>
      </c>
      <c r="F7709">
        <v>0</v>
      </c>
      <c r="G7709">
        <v>10.18</v>
      </c>
      <c r="H7709" t="s">
        <v>8588</v>
      </c>
      <c r="I7709">
        <v>6</v>
      </c>
      <c r="J7709" t="s">
        <v>445</v>
      </c>
      <c r="K7709" t="s">
        <v>446</v>
      </c>
      <c r="M7709">
        <v>2641</v>
      </c>
      <c r="N7709" t="s">
        <v>16358</v>
      </c>
    </row>
    <row r="7710" spans="1:14">
      <c r="A7710">
        <v>29060900</v>
      </c>
      <c r="B7710">
        <v>3021904</v>
      </c>
      <c r="C7710" t="s">
        <v>12168</v>
      </c>
      <c r="D7710" t="s">
        <v>441</v>
      </c>
      <c r="F7710">
        <v>0</v>
      </c>
      <c r="H7710" t="s">
        <v>8950</v>
      </c>
      <c r="I7710">
        <v>6</v>
      </c>
      <c r="J7710" t="s">
        <v>445</v>
      </c>
      <c r="K7710" t="s">
        <v>446</v>
      </c>
      <c r="M7710">
        <v>6666</v>
      </c>
      <c r="N7710" t="s">
        <v>16358</v>
      </c>
    </row>
    <row r="7711" spans="1:14">
      <c r="A7711">
        <v>29061000</v>
      </c>
      <c r="B7711">
        <v>3021917</v>
      </c>
      <c r="C7711" t="s">
        <v>12169</v>
      </c>
      <c r="D7711" t="s">
        <v>441</v>
      </c>
      <c r="F7711">
        <v>0</v>
      </c>
      <c r="G7711">
        <v>10.08</v>
      </c>
      <c r="H7711" t="s">
        <v>8588</v>
      </c>
      <c r="I7711">
        <v>6</v>
      </c>
      <c r="J7711" t="s">
        <v>445</v>
      </c>
      <c r="K7711" t="s">
        <v>446</v>
      </c>
      <c r="M7711">
        <v>2314</v>
      </c>
      <c r="N7711" t="s">
        <v>16358</v>
      </c>
    </row>
    <row r="7712" spans="1:14">
      <c r="A7712">
        <v>29061900</v>
      </c>
      <c r="B7712">
        <v>3021903</v>
      </c>
      <c r="C7712" t="s">
        <v>12170</v>
      </c>
      <c r="D7712" t="s">
        <v>441</v>
      </c>
      <c r="F7712">
        <v>0</v>
      </c>
      <c r="H7712" t="s">
        <v>8950</v>
      </c>
      <c r="I7712">
        <v>6</v>
      </c>
      <c r="J7712" t="s">
        <v>445</v>
      </c>
      <c r="K7712" t="s">
        <v>446</v>
      </c>
      <c r="M7712">
        <v>6666</v>
      </c>
      <c r="N7712" t="s">
        <v>16358</v>
      </c>
    </row>
    <row r="7713" spans="1:14">
      <c r="A7713">
        <v>29070000</v>
      </c>
      <c r="B7713">
        <v>3022124</v>
      </c>
      <c r="C7713" t="s">
        <v>3362</v>
      </c>
      <c r="D7713" t="s">
        <v>441</v>
      </c>
      <c r="F7713">
        <v>0</v>
      </c>
      <c r="G7713">
        <v>10.07</v>
      </c>
      <c r="H7713" t="s">
        <v>8588</v>
      </c>
      <c r="I7713">
        <v>6</v>
      </c>
      <c r="J7713" t="s">
        <v>445</v>
      </c>
      <c r="K7713" t="s">
        <v>446</v>
      </c>
      <c r="M7713">
        <v>2314</v>
      </c>
      <c r="N7713" t="s">
        <v>16358</v>
      </c>
    </row>
    <row r="7714" spans="1:14">
      <c r="A7714">
        <v>29070002</v>
      </c>
      <c r="B7714">
        <v>3025434</v>
      </c>
      <c r="C7714" t="s">
        <v>12171</v>
      </c>
      <c r="D7714" t="s">
        <v>441</v>
      </c>
      <c r="F7714">
        <v>0</v>
      </c>
      <c r="G7714">
        <v>12.52</v>
      </c>
      <c r="H7714" t="s">
        <v>8588</v>
      </c>
      <c r="I7714">
        <v>365</v>
      </c>
      <c r="J7714" t="s">
        <v>445</v>
      </c>
      <c r="K7714" t="s">
        <v>446</v>
      </c>
      <c r="M7714">
        <v>2501</v>
      </c>
      <c r="N7714" t="s">
        <v>16358</v>
      </c>
    </row>
    <row r="7715" spans="1:14">
      <c r="A7715">
        <v>29070007</v>
      </c>
      <c r="B7715">
        <v>3025416</v>
      </c>
      <c r="C7715" t="s">
        <v>12172</v>
      </c>
      <c r="D7715" t="s">
        <v>441</v>
      </c>
      <c r="F7715">
        <v>0</v>
      </c>
      <c r="G7715">
        <v>12.84</v>
      </c>
      <c r="H7715" t="s">
        <v>8588</v>
      </c>
      <c r="I7715">
        <v>6</v>
      </c>
      <c r="J7715" t="s">
        <v>445</v>
      </c>
      <c r="K7715" t="s">
        <v>446</v>
      </c>
      <c r="M7715">
        <v>2641</v>
      </c>
      <c r="N7715" t="s">
        <v>16358</v>
      </c>
    </row>
    <row r="7716" spans="1:14">
      <c r="A7716">
        <v>29070076</v>
      </c>
      <c r="B7716">
        <v>3028704</v>
      </c>
      <c r="C7716" t="s">
        <v>12173</v>
      </c>
      <c r="D7716" t="s">
        <v>441</v>
      </c>
      <c r="F7716">
        <v>0</v>
      </c>
      <c r="G7716">
        <v>10.18</v>
      </c>
      <c r="H7716" t="s">
        <v>8588</v>
      </c>
      <c r="I7716">
        <v>6</v>
      </c>
      <c r="J7716" t="s">
        <v>445</v>
      </c>
      <c r="K7716" t="s">
        <v>446</v>
      </c>
      <c r="M7716">
        <v>2314</v>
      </c>
      <c r="N7716" t="s">
        <v>16358</v>
      </c>
    </row>
    <row r="7717" spans="1:14">
      <c r="A7717">
        <v>29070087</v>
      </c>
      <c r="B7717">
        <v>3029641</v>
      </c>
      <c r="C7717" t="s">
        <v>12174</v>
      </c>
      <c r="D7717" t="s">
        <v>441</v>
      </c>
      <c r="F7717">
        <v>0</v>
      </c>
      <c r="G7717">
        <v>12.1</v>
      </c>
      <c r="H7717" t="s">
        <v>8588</v>
      </c>
      <c r="I7717">
        <v>6</v>
      </c>
      <c r="J7717" t="s">
        <v>445</v>
      </c>
      <c r="K7717" t="s">
        <v>446</v>
      </c>
      <c r="M7717">
        <v>2641</v>
      </c>
      <c r="N7717" t="s">
        <v>16358</v>
      </c>
    </row>
    <row r="7718" spans="1:14">
      <c r="A7718">
        <v>29070502</v>
      </c>
      <c r="B7718">
        <v>3025433</v>
      </c>
      <c r="C7718" t="s">
        <v>12175</v>
      </c>
      <c r="D7718" t="s">
        <v>441</v>
      </c>
      <c r="F7718">
        <v>0</v>
      </c>
      <c r="G7718">
        <v>12.23</v>
      </c>
      <c r="H7718" t="s">
        <v>8588</v>
      </c>
      <c r="I7718">
        <v>365</v>
      </c>
      <c r="J7718" t="s">
        <v>445</v>
      </c>
      <c r="K7718" t="s">
        <v>446</v>
      </c>
      <c r="M7718">
        <v>2641</v>
      </c>
      <c r="N7718" t="s">
        <v>16358</v>
      </c>
    </row>
    <row r="7719" spans="1:14">
      <c r="A7719">
        <v>29070602</v>
      </c>
      <c r="B7719">
        <v>3025561</v>
      </c>
      <c r="C7719" t="s">
        <v>12176</v>
      </c>
      <c r="D7719" t="s">
        <v>441</v>
      </c>
      <c r="F7719">
        <v>0</v>
      </c>
      <c r="G7719">
        <v>12.94</v>
      </c>
      <c r="H7719" t="s">
        <v>8588</v>
      </c>
      <c r="I7719">
        <v>4</v>
      </c>
      <c r="J7719" t="s">
        <v>445</v>
      </c>
      <c r="K7719" t="s">
        <v>446</v>
      </c>
      <c r="M7719">
        <v>2501</v>
      </c>
      <c r="N7719" t="s">
        <v>16358</v>
      </c>
    </row>
    <row r="7720" spans="1:14">
      <c r="A7720">
        <v>29070900</v>
      </c>
      <c r="B7720">
        <v>3022117</v>
      </c>
      <c r="C7720" t="s">
        <v>12177</v>
      </c>
      <c r="D7720" t="s">
        <v>441</v>
      </c>
      <c r="F7720">
        <v>0</v>
      </c>
      <c r="G7720">
        <v>0</v>
      </c>
      <c r="H7720" t="s">
        <v>8580</v>
      </c>
      <c r="I7720">
        <v>6</v>
      </c>
      <c r="J7720" t="s">
        <v>445</v>
      </c>
      <c r="K7720" t="s">
        <v>446</v>
      </c>
      <c r="M7720">
        <v>6666</v>
      </c>
      <c r="N7720" t="s">
        <v>16358</v>
      </c>
    </row>
    <row r="7721" spans="1:14">
      <c r="A7721">
        <v>29070902</v>
      </c>
      <c r="B7721">
        <v>3025568</v>
      </c>
      <c r="C7721" t="s">
        <v>12178</v>
      </c>
      <c r="D7721" t="s">
        <v>441</v>
      </c>
      <c r="F7721">
        <v>0</v>
      </c>
      <c r="G7721">
        <v>14.29</v>
      </c>
      <c r="H7721" t="s">
        <v>8950</v>
      </c>
      <c r="I7721">
        <v>365</v>
      </c>
      <c r="J7721" t="s">
        <v>445</v>
      </c>
      <c r="K7721" t="s">
        <v>446</v>
      </c>
      <c r="M7721">
        <v>6666</v>
      </c>
      <c r="N7721" t="s">
        <v>16358</v>
      </c>
    </row>
    <row r="7722" spans="1:14">
      <c r="A7722">
        <v>29070907</v>
      </c>
      <c r="B7722">
        <v>3025418</v>
      </c>
      <c r="C7722" t="s">
        <v>12179</v>
      </c>
      <c r="D7722" t="s">
        <v>441</v>
      </c>
      <c r="F7722">
        <v>0</v>
      </c>
      <c r="G7722">
        <v>0</v>
      </c>
      <c r="H7722" t="s">
        <v>8637</v>
      </c>
      <c r="I7722">
        <v>6</v>
      </c>
      <c r="J7722" t="s">
        <v>445</v>
      </c>
      <c r="K7722" t="s">
        <v>446</v>
      </c>
      <c r="M7722">
        <v>6666</v>
      </c>
      <c r="N7722" t="s">
        <v>16358</v>
      </c>
    </row>
    <row r="7723" spans="1:14">
      <c r="A7723">
        <v>29071000</v>
      </c>
      <c r="B7723">
        <v>3022125</v>
      </c>
      <c r="C7723" t="s">
        <v>3363</v>
      </c>
      <c r="D7723" t="s">
        <v>441</v>
      </c>
      <c r="F7723">
        <v>0</v>
      </c>
      <c r="G7723">
        <v>10.07</v>
      </c>
      <c r="H7723" t="s">
        <v>8588</v>
      </c>
      <c r="I7723">
        <v>6</v>
      </c>
      <c r="J7723" t="s">
        <v>445</v>
      </c>
      <c r="K7723" t="s">
        <v>446</v>
      </c>
      <c r="M7723">
        <v>2314</v>
      </c>
      <c r="N7723" t="s">
        <v>16358</v>
      </c>
    </row>
    <row r="7724" spans="1:14">
      <c r="A7724">
        <v>29071007</v>
      </c>
      <c r="B7724">
        <v>3025417</v>
      </c>
      <c r="C7724" t="s">
        <v>12180</v>
      </c>
      <c r="D7724" t="s">
        <v>441</v>
      </c>
      <c r="F7724">
        <v>0</v>
      </c>
      <c r="G7724">
        <v>12.09</v>
      </c>
      <c r="H7724" t="s">
        <v>8588</v>
      </c>
      <c r="I7724">
        <v>6</v>
      </c>
      <c r="J7724" t="s">
        <v>445</v>
      </c>
      <c r="K7724" t="s">
        <v>446</v>
      </c>
      <c r="M7724">
        <v>2641</v>
      </c>
      <c r="N7724" t="s">
        <v>16358</v>
      </c>
    </row>
    <row r="7725" spans="1:14">
      <c r="A7725">
        <v>29071900</v>
      </c>
      <c r="B7725">
        <v>3022118</v>
      </c>
      <c r="C7725" t="s">
        <v>12181</v>
      </c>
      <c r="D7725" t="s">
        <v>441</v>
      </c>
      <c r="F7725">
        <v>0</v>
      </c>
      <c r="G7725">
        <v>0</v>
      </c>
      <c r="H7725" t="s">
        <v>8580</v>
      </c>
      <c r="I7725">
        <v>6</v>
      </c>
      <c r="J7725" t="s">
        <v>445</v>
      </c>
      <c r="K7725" t="s">
        <v>446</v>
      </c>
      <c r="M7725">
        <v>6666</v>
      </c>
      <c r="N7725" t="s">
        <v>16358</v>
      </c>
    </row>
    <row r="7726" spans="1:14">
      <c r="A7726">
        <v>29071907</v>
      </c>
      <c r="B7726">
        <v>3025314</v>
      </c>
      <c r="C7726" t="s">
        <v>12182</v>
      </c>
      <c r="D7726" t="s">
        <v>441</v>
      </c>
      <c r="F7726">
        <v>0</v>
      </c>
      <c r="G7726">
        <v>0</v>
      </c>
      <c r="H7726" t="s">
        <v>8584</v>
      </c>
      <c r="I7726">
        <v>6</v>
      </c>
      <c r="J7726" t="s">
        <v>445</v>
      </c>
      <c r="K7726" t="s">
        <v>446</v>
      </c>
      <c r="M7726">
        <v>6666</v>
      </c>
      <c r="N7726" t="s">
        <v>16358</v>
      </c>
    </row>
    <row r="7727" spans="1:14">
      <c r="A7727">
        <v>29080000</v>
      </c>
      <c r="B7727">
        <v>3022127</v>
      </c>
      <c r="C7727" t="s">
        <v>12183</v>
      </c>
      <c r="D7727" t="s">
        <v>441</v>
      </c>
      <c r="F7727">
        <v>0</v>
      </c>
      <c r="G7727">
        <v>10.65</v>
      </c>
      <c r="H7727" t="s">
        <v>8588</v>
      </c>
      <c r="I7727">
        <v>6</v>
      </c>
      <c r="J7727" t="s">
        <v>445</v>
      </c>
      <c r="K7727" t="s">
        <v>446</v>
      </c>
      <c r="M7727">
        <v>2314</v>
      </c>
      <c r="N7727" t="s">
        <v>16088</v>
      </c>
    </row>
    <row r="7728" spans="1:14">
      <c r="A7728">
        <v>29080900</v>
      </c>
      <c r="B7728">
        <v>3022250</v>
      </c>
      <c r="C7728" t="s">
        <v>12184</v>
      </c>
      <c r="D7728" t="s">
        <v>441</v>
      </c>
      <c r="F7728">
        <v>0</v>
      </c>
      <c r="I7728">
        <v>6</v>
      </c>
      <c r="J7728" t="s">
        <v>445</v>
      </c>
      <c r="K7728" t="s">
        <v>446</v>
      </c>
      <c r="M7728">
        <v>6666</v>
      </c>
      <c r="N7728" t="s">
        <v>16088</v>
      </c>
    </row>
    <row r="7729" spans="1:14">
      <c r="A7729">
        <v>29081000</v>
      </c>
      <c r="B7729">
        <v>3022128</v>
      </c>
      <c r="C7729" t="s">
        <v>12185</v>
      </c>
      <c r="D7729" t="s">
        <v>441</v>
      </c>
      <c r="F7729">
        <v>0</v>
      </c>
      <c r="G7729">
        <v>10.65</v>
      </c>
      <c r="H7729" t="s">
        <v>8588</v>
      </c>
      <c r="I7729">
        <v>6</v>
      </c>
      <c r="J7729" t="s">
        <v>445</v>
      </c>
      <c r="K7729" t="s">
        <v>446</v>
      </c>
      <c r="M7729">
        <v>2314</v>
      </c>
      <c r="N7729" t="s">
        <v>16088</v>
      </c>
    </row>
    <row r="7730" spans="1:14">
      <c r="A7730">
        <v>29081900</v>
      </c>
      <c r="B7730">
        <v>3022252</v>
      </c>
      <c r="C7730" t="s">
        <v>12186</v>
      </c>
      <c r="D7730" t="s">
        <v>441</v>
      </c>
      <c r="F7730">
        <v>0</v>
      </c>
      <c r="I7730">
        <v>6</v>
      </c>
      <c r="J7730" t="s">
        <v>445</v>
      </c>
      <c r="K7730" t="s">
        <v>446</v>
      </c>
      <c r="M7730">
        <v>6666</v>
      </c>
      <c r="N7730" t="s">
        <v>16088</v>
      </c>
    </row>
    <row r="7731" spans="1:14">
      <c r="A7731">
        <v>29090000</v>
      </c>
      <c r="B7731">
        <v>3021374</v>
      </c>
      <c r="C7731" t="s">
        <v>15080</v>
      </c>
      <c r="D7731" t="s">
        <v>441</v>
      </c>
      <c r="F7731">
        <v>0</v>
      </c>
      <c r="G7731">
        <v>14.77</v>
      </c>
      <c r="H7731" t="s">
        <v>8549</v>
      </c>
      <c r="I7731">
        <v>6</v>
      </c>
      <c r="J7731" t="s">
        <v>445</v>
      </c>
      <c r="M7731">
        <v>2391</v>
      </c>
      <c r="N7731" t="s">
        <v>16357</v>
      </c>
    </row>
    <row r="7732" spans="1:14">
      <c r="A7732">
        <v>29090007</v>
      </c>
      <c r="B7732">
        <v>3025046</v>
      </c>
      <c r="C7732" t="s">
        <v>15654</v>
      </c>
      <c r="D7732" t="s">
        <v>441</v>
      </c>
      <c r="F7732">
        <v>0</v>
      </c>
      <c r="G7732">
        <v>14.94</v>
      </c>
      <c r="H7732" t="s">
        <v>8588</v>
      </c>
      <c r="I7732">
        <v>6</v>
      </c>
      <c r="J7732" t="s">
        <v>445</v>
      </c>
      <c r="M7732">
        <v>3111</v>
      </c>
      <c r="N7732" t="s">
        <v>16357</v>
      </c>
    </row>
    <row r="7733" spans="1:14">
      <c r="A7733">
        <v>29090025</v>
      </c>
      <c r="B7733">
        <v>4015496</v>
      </c>
      <c r="C7733" t="s">
        <v>12187</v>
      </c>
      <c r="D7733" t="s">
        <v>441</v>
      </c>
      <c r="F7733">
        <v>0</v>
      </c>
      <c r="G7733">
        <v>12.41</v>
      </c>
      <c r="H7733" t="s">
        <v>8588</v>
      </c>
      <c r="I7733">
        <v>365</v>
      </c>
      <c r="J7733" t="s">
        <v>462</v>
      </c>
      <c r="K7733" t="s">
        <v>446</v>
      </c>
      <c r="M7733">
        <v>2501</v>
      </c>
      <c r="N7733" t="s">
        <v>16092</v>
      </c>
    </row>
    <row r="7734" spans="1:14">
      <c r="A7734">
        <v>29090041</v>
      </c>
      <c r="B7734">
        <v>4015841</v>
      </c>
      <c r="C7734" t="s">
        <v>15081</v>
      </c>
      <c r="D7734" t="s">
        <v>441</v>
      </c>
      <c r="F7734">
        <v>0</v>
      </c>
      <c r="G7734">
        <v>15.6</v>
      </c>
      <c r="H7734" t="s">
        <v>8588</v>
      </c>
      <c r="I7734">
        <v>14</v>
      </c>
      <c r="J7734" t="s">
        <v>462</v>
      </c>
      <c r="L7734">
        <v>299744</v>
      </c>
      <c r="M7734">
        <v>7112</v>
      </c>
      <c r="N7734" t="s">
        <v>16357</v>
      </c>
    </row>
    <row r="7735" spans="1:14">
      <c r="A7735">
        <v>29090042</v>
      </c>
      <c r="B7735">
        <v>4019589</v>
      </c>
      <c r="C7735" t="s">
        <v>12188</v>
      </c>
      <c r="D7735" t="s">
        <v>441</v>
      </c>
      <c r="F7735">
        <v>0</v>
      </c>
      <c r="G7735">
        <v>13.1</v>
      </c>
      <c r="H7735" t="s">
        <v>8588</v>
      </c>
      <c r="I7735">
        <v>14</v>
      </c>
      <c r="J7735" t="s">
        <v>462</v>
      </c>
      <c r="K7735" t="s">
        <v>446</v>
      </c>
      <c r="M7735">
        <v>2612</v>
      </c>
      <c r="N7735" t="s">
        <v>16092</v>
      </c>
    </row>
    <row r="7736" spans="1:14">
      <c r="A7736">
        <v>29090050</v>
      </c>
      <c r="B7736">
        <v>4019605</v>
      </c>
      <c r="C7736" t="s">
        <v>15082</v>
      </c>
      <c r="D7736" t="s">
        <v>441</v>
      </c>
      <c r="F7736">
        <v>0</v>
      </c>
      <c r="G7736">
        <v>15.73</v>
      </c>
      <c r="H7736" t="s">
        <v>8588</v>
      </c>
      <c r="I7736">
        <v>14</v>
      </c>
      <c r="J7736" t="s">
        <v>462</v>
      </c>
      <c r="M7736">
        <v>7112</v>
      </c>
      <c r="N7736" t="s">
        <v>16357</v>
      </c>
    </row>
    <row r="7737" spans="1:14">
      <c r="A7737">
        <v>29090073</v>
      </c>
      <c r="B7737">
        <v>4026723</v>
      </c>
      <c r="C7737" t="s">
        <v>15083</v>
      </c>
      <c r="D7737" t="s">
        <v>441</v>
      </c>
      <c r="F7737">
        <v>0</v>
      </c>
      <c r="G7737">
        <v>15.6</v>
      </c>
      <c r="H7737" t="s">
        <v>8588</v>
      </c>
      <c r="I7737">
        <v>14</v>
      </c>
      <c r="J7737" t="s">
        <v>462</v>
      </c>
      <c r="M7737">
        <v>7112</v>
      </c>
      <c r="N7737" t="s">
        <v>16357</v>
      </c>
    </row>
    <row r="7738" spans="1:14">
      <c r="A7738">
        <v>29090525</v>
      </c>
      <c r="B7738">
        <v>3023425</v>
      </c>
      <c r="C7738" t="s">
        <v>12189</v>
      </c>
      <c r="D7738" t="s">
        <v>441</v>
      </c>
      <c r="F7738">
        <v>0</v>
      </c>
      <c r="G7738">
        <v>12.22</v>
      </c>
      <c r="H7738" t="s">
        <v>8588</v>
      </c>
      <c r="I7738">
        <v>6</v>
      </c>
      <c r="J7738" t="s">
        <v>445</v>
      </c>
      <c r="K7738" t="s">
        <v>446</v>
      </c>
      <c r="M7738">
        <v>2641</v>
      </c>
      <c r="N7738" t="s">
        <v>16092</v>
      </c>
    </row>
    <row r="7739" spans="1:14">
      <c r="A7739">
        <v>29090907</v>
      </c>
      <c r="B7739">
        <v>3025306</v>
      </c>
      <c r="C7739" t="s">
        <v>15655</v>
      </c>
      <c r="D7739" t="s">
        <v>441</v>
      </c>
      <c r="F7739">
        <v>0</v>
      </c>
      <c r="H7739" t="s">
        <v>8580</v>
      </c>
      <c r="I7739">
        <v>6</v>
      </c>
      <c r="J7739" t="s">
        <v>445</v>
      </c>
      <c r="M7739">
        <v>6666</v>
      </c>
      <c r="N7739" t="s">
        <v>16357</v>
      </c>
    </row>
    <row r="7740" spans="1:14">
      <c r="A7740">
        <v>29094000</v>
      </c>
      <c r="B7740">
        <v>3035626</v>
      </c>
      <c r="C7740" t="s">
        <v>15084</v>
      </c>
      <c r="D7740" t="s">
        <v>441</v>
      </c>
      <c r="F7740">
        <v>0</v>
      </c>
      <c r="G7740">
        <v>14.77</v>
      </c>
      <c r="H7740" t="s">
        <v>8549</v>
      </c>
      <c r="I7740">
        <v>6</v>
      </c>
      <c r="J7740" t="s">
        <v>445</v>
      </c>
      <c r="M7740">
        <v>2391</v>
      </c>
      <c r="N7740" t="s">
        <v>16357</v>
      </c>
    </row>
    <row r="7741" spans="1:14">
      <c r="A7741">
        <v>29099000</v>
      </c>
      <c r="B7741">
        <v>3032813</v>
      </c>
      <c r="C7741" t="s">
        <v>15085</v>
      </c>
      <c r="D7741" t="s">
        <v>441</v>
      </c>
      <c r="F7741">
        <v>0</v>
      </c>
      <c r="G7741">
        <v>14.77</v>
      </c>
      <c r="H7741" t="s">
        <v>8588</v>
      </c>
      <c r="I7741">
        <v>2</v>
      </c>
      <c r="J7741" t="s">
        <v>445</v>
      </c>
      <c r="M7741">
        <v>3111</v>
      </c>
      <c r="N7741" t="s">
        <v>16357</v>
      </c>
    </row>
    <row r="7742" spans="1:14">
      <c r="A7742">
        <v>29099900</v>
      </c>
      <c r="B7742">
        <v>3032815</v>
      </c>
      <c r="C7742" t="s">
        <v>15086</v>
      </c>
      <c r="D7742" t="s">
        <v>441</v>
      </c>
      <c r="F7742">
        <v>0</v>
      </c>
      <c r="H7742" t="s">
        <v>8580</v>
      </c>
      <c r="I7742">
        <v>2</v>
      </c>
      <c r="J7742" t="s">
        <v>445</v>
      </c>
      <c r="M7742">
        <v>6666</v>
      </c>
      <c r="N7742" t="s">
        <v>16357</v>
      </c>
    </row>
    <row r="7743" spans="1:14">
      <c r="A7743">
        <v>29100000</v>
      </c>
      <c r="B7743">
        <v>3024850</v>
      </c>
      <c r="C7743" t="s">
        <v>15087</v>
      </c>
      <c r="D7743" t="s">
        <v>441</v>
      </c>
      <c r="F7743">
        <v>0</v>
      </c>
      <c r="G7743">
        <v>11.68</v>
      </c>
      <c r="H7743" t="s">
        <v>8549</v>
      </c>
      <c r="I7743">
        <v>6</v>
      </c>
      <c r="J7743" t="s">
        <v>445</v>
      </c>
      <c r="M7743">
        <v>2391</v>
      </c>
      <c r="N7743" t="s">
        <v>16081</v>
      </c>
    </row>
    <row r="7744" spans="1:14">
      <c r="A7744">
        <v>29100002</v>
      </c>
      <c r="B7744">
        <v>3027886</v>
      </c>
      <c r="C7744" t="s">
        <v>15088</v>
      </c>
      <c r="D7744" t="s">
        <v>441</v>
      </c>
      <c r="F7744">
        <v>0</v>
      </c>
      <c r="G7744">
        <v>12.48</v>
      </c>
      <c r="H7744" t="s">
        <v>8549</v>
      </c>
      <c r="I7744">
        <v>540</v>
      </c>
      <c r="J7744" t="s">
        <v>445</v>
      </c>
      <c r="M7744">
        <v>7111</v>
      </c>
      <c r="N7744" t="s">
        <v>16081</v>
      </c>
    </row>
    <row r="7745" spans="1:14">
      <c r="A7745">
        <v>29100007</v>
      </c>
      <c r="B7745">
        <v>3026045</v>
      </c>
      <c r="C7745" t="s">
        <v>14689</v>
      </c>
      <c r="D7745" t="s">
        <v>441</v>
      </c>
      <c r="F7745">
        <v>0</v>
      </c>
      <c r="G7745">
        <v>11.83</v>
      </c>
      <c r="H7745" t="s">
        <v>8588</v>
      </c>
      <c r="I7745">
        <v>6</v>
      </c>
      <c r="J7745" t="s">
        <v>445</v>
      </c>
      <c r="M7745">
        <v>3111</v>
      </c>
      <c r="N7745" t="s">
        <v>16081</v>
      </c>
    </row>
    <row r="7746" spans="1:14">
      <c r="A7746">
        <v>29100100</v>
      </c>
      <c r="B7746">
        <v>3025328</v>
      </c>
      <c r="C7746" t="s">
        <v>15089</v>
      </c>
      <c r="D7746" t="s">
        <v>441</v>
      </c>
      <c r="F7746">
        <v>0</v>
      </c>
      <c r="H7746" t="s">
        <v>8588</v>
      </c>
      <c r="I7746">
        <v>6</v>
      </c>
      <c r="J7746" t="s">
        <v>445</v>
      </c>
      <c r="M7746">
        <v>7161</v>
      </c>
      <c r="N7746" t="s">
        <v>16081</v>
      </c>
    </row>
    <row r="7747" spans="1:14">
      <c r="A7747">
        <v>29100102</v>
      </c>
      <c r="B7747">
        <v>3033921</v>
      </c>
      <c r="C7747" t="s">
        <v>12190</v>
      </c>
      <c r="D7747" t="s">
        <v>441</v>
      </c>
      <c r="F7747">
        <v>0</v>
      </c>
      <c r="H7747" t="s">
        <v>8588</v>
      </c>
      <c r="I7747">
        <v>729</v>
      </c>
      <c r="J7747" t="s">
        <v>445</v>
      </c>
      <c r="K7747" t="s">
        <v>446</v>
      </c>
      <c r="M7747">
        <v>0</v>
      </c>
      <c r="N7747" t="s">
        <v>16359</v>
      </c>
    </row>
    <row r="7748" spans="1:14">
      <c r="A7748">
        <v>29100110</v>
      </c>
      <c r="B7748">
        <v>3031836</v>
      </c>
      <c r="C7748" t="s">
        <v>3364</v>
      </c>
      <c r="D7748" t="s">
        <v>441</v>
      </c>
      <c r="F7748">
        <v>0</v>
      </c>
      <c r="H7748" t="s">
        <v>8588</v>
      </c>
      <c r="I7748">
        <v>5</v>
      </c>
      <c r="J7748" t="s">
        <v>445</v>
      </c>
      <c r="K7748" t="s">
        <v>446</v>
      </c>
      <c r="M7748">
        <v>0</v>
      </c>
      <c r="N7748" t="s">
        <v>16359</v>
      </c>
    </row>
    <row r="7749" spans="1:14">
      <c r="A7749">
        <v>29100112</v>
      </c>
      <c r="B7749">
        <v>3033563</v>
      </c>
      <c r="C7749" t="s">
        <v>15090</v>
      </c>
      <c r="D7749" t="s">
        <v>441</v>
      </c>
      <c r="F7749">
        <v>0</v>
      </c>
      <c r="H7749" t="s">
        <v>8588</v>
      </c>
      <c r="I7749">
        <v>729</v>
      </c>
      <c r="J7749" t="s">
        <v>445</v>
      </c>
      <c r="M7749">
        <v>7113</v>
      </c>
      <c r="N7749" t="s">
        <v>16081</v>
      </c>
    </row>
    <row r="7750" spans="1:14">
      <c r="A7750">
        <v>29100120</v>
      </c>
      <c r="B7750">
        <v>3029583</v>
      </c>
      <c r="C7750" t="s">
        <v>15091</v>
      </c>
      <c r="D7750" t="s">
        <v>441</v>
      </c>
      <c r="F7750">
        <v>0</v>
      </c>
      <c r="H7750" t="s">
        <v>8588</v>
      </c>
      <c r="I7750">
        <v>6</v>
      </c>
      <c r="J7750" t="s">
        <v>445</v>
      </c>
      <c r="M7750">
        <v>7161</v>
      </c>
      <c r="N7750" t="s">
        <v>16081</v>
      </c>
    </row>
    <row r="7751" spans="1:14">
      <c r="A7751">
        <v>29100122</v>
      </c>
      <c r="B7751">
        <v>3026556</v>
      </c>
      <c r="C7751" t="s">
        <v>15092</v>
      </c>
      <c r="D7751" t="s">
        <v>441</v>
      </c>
      <c r="F7751">
        <v>0</v>
      </c>
      <c r="G7751">
        <v>7.15</v>
      </c>
      <c r="H7751" t="s">
        <v>8588</v>
      </c>
      <c r="I7751">
        <v>540</v>
      </c>
      <c r="J7751" t="s">
        <v>445</v>
      </c>
      <c r="M7751">
        <v>7113</v>
      </c>
      <c r="N7751" t="s">
        <v>16081</v>
      </c>
    </row>
    <row r="7752" spans="1:14">
      <c r="A7752">
        <v>29100130</v>
      </c>
      <c r="B7752">
        <v>3033565</v>
      </c>
      <c r="C7752" t="s">
        <v>15093</v>
      </c>
      <c r="D7752" t="s">
        <v>441</v>
      </c>
      <c r="F7752">
        <v>0</v>
      </c>
      <c r="H7752" t="s">
        <v>8588</v>
      </c>
      <c r="I7752">
        <v>6</v>
      </c>
      <c r="J7752" t="s">
        <v>445</v>
      </c>
      <c r="M7752">
        <v>7161</v>
      </c>
      <c r="N7752" t="s">
        <v>16081</v>
      </c>
    </row>
    <row r="7753" spans="1:14">
      <c r="A7753">
        <v>29100132</v>
      </c>
      <c r="B7753">
        <v>3044338</v>
      </c>
      <c r="C7753" t="s">
        <v>15281</v>
      </c>
      <c r="D7753" t="s">
        <v>441</v>
      </c>
      <c r="F7753">
        <v>0</v>
      </c>
      <c r="G7753">
        <v>11.92</v>
      </c>
      <c r="H7753" t="s">
        <v>8588</v>
      </c>
      <c r="I7753">
        <v>540</v>
      </c>
      <c r="J7753" t="s">
        <v>445</v>
      </c>
      <c r="M7753">
        <v>0</v>
      </c>
      <c r="N7753" t="s">
        <v>16081</v>
      </c>
    </row>
    <row r="7754" spans="1:14">
      <c r="A7754">
        <v>29100140</v>
      </c>
      <c r="B7754">
        <v>3035901</v>
      </c>
      <c r="C7754" t="s">
        <v>15094</v>
      </c>
      <c r="D7754" t="s">
        <v>441</v>
      </c>
      <c r="F7754">
        <v>0</v>
      </c>
      <c r="H7754" t="s">
        <v>8588</v>
      </c>
      <c r="I7754">
        <v>6</v>
      </c>
      <c r="J7754" t="s">
        <v>445</v>
      </c>
      <c r="M7754">
        <v>7161</v>
      </c>
      <c r="N7754" t="s">
        <v>16081</v>
      </c>
    </row>
    <row r="7755" spans="1:14">
      <c r="A7755">
        <v>29100142</v>
      </c>
      <c r="B7755">
        <v>3025500</v>
      </c>
      <c r="C7755" t="s">
        <v>16360</v>
      </c>
      <c r="D7755" t="s">
        <v>441</v>
      </c>
      <c r="F7755">
        <v>0</v>
      </c>
      <c r="G7755">
        <v>13.32</v>
      </c>
      <c r="H7755" t="s">
        <v>8549</v>
      </c>
      <c r="I7755">
        <v>540</v>
      </c>
      <c r="J7755" t="s">
        <v>445</v>
      </c>
      <c r="M7755">
        <v>0</v>
      </c>
      <c r="N7755" t="s">
        <v>16081</v>
      </c>
    </row>
    <row r="7756" spans="1:14">
      <c r="A7756">
        <v>29100150</v>
      </c>
      <c r="B7756">
        <v>3040288</v>
      </c>
      <c r="C7756" t="s">
        <v>15095</v>
      </c>
      <c r="D7756" t="s">
        <v>441</v>
      </c>
      <c r="F7756">
        <v>0</v>
      </c>
      <c r="G7756">
        <v>7.57</v>
      </c>
      <c r="H7756" t="s">
        <v>8588</v>
      </c>
      <c r="I7756">
        <v>10</v>
      </c>
      <c r="J7756" t="s">
        <v>445</v>
      </c>
      <c r="M7756">
        <v>7161</v>
      </c>
      <c r="N7756" t="s">
        <v>16081</v>
      </c>
    </row>
    <row r="7757" spans="1:14">
      <c r="A7757">
        <v>29100502</v>
      </c>
      <c r="B7757">
        <v>3027879</v>
      </c>
      <c r="C7757" t="s">
        <v>15096</v>
      </c>
      <c r="D7757" t="s">
        <v>441</v>
      </c>
      <c r="F7757">
        <v>0</v>
      </c>
      <c r="G7757">
        <v>11.9</v>
      </c>
      <c r="H7757" t="s">
        <v>8549</v>
      </c>
      <c r="I7757">
        <v>540</v>
      </c>
      <c r="J7757" t="s">
        <v>445</v>
      </c>
      <c r="M7757">
        <v>2502</v>
      </c>
      <c r="N7757" t="s">
        <v>16081</v>
      </c>
    </row>
    <row r="7758" spans="1:14">
      <c r="A7758">
        <v>29100602</v>
      </c>
      <c r="B7758">
        <v>3025734</v>
      </c>
      <c r="C7758" t="s">
        <v>15097</v>
      </c>
      <c r="D7758" t="s">
        <v>441</v>
      </c>
      <c r="F7758">
        <v>0</v>
      </c>
      <c r="G7758">
        <v>13.31</v>
      </c>
      <c r="H7758" t="s">
        <v>8588</v>
      </c>
      <c r="I7758">
        <v>6</v>
      </c>
      <c r="J7758" t="s">
        <v>445</v>
      </c>
      <c r="M7758">
        <v>2510</v>
      </c>
      <c r="N7758" t="s">
        <v>16081</v>
      </c>
    </row>
    <row r="7759" spans="1:14">
      <c r="A7759">
        <v>29100902</v>
      </c>
      <c r="B7759">
        <v>3025735</v>
      </c>
      <c r="C7759" t="s">
        <v>15098</v>
      </c>
      <c r="D7759" t="s">
        <v>441</v>
      </c>
      <c r="F7759">
        <v>0</v>
      </c>
      <c r="H7759" t="s">
        <v>8580</v>
      </c>
      <c r="I7759">
        <v>6</v>
      </c>
      <c r="J7759" t="s">
        <v>445</v>
      </c>
      <c r="M7759">
        <v>6666</v>
      </c>
      <c r="N7759" t="s">
        <v>16081</v>
      </c>
    </row>
    <row r="7760" spans="1:14">
      <c r="A7760">
        <v>29100907</v>
      </c>
      <c r="B7760">
        <v>3026521</v>
      </c>
      <c r="C7760" t="s">
        <v>15099</v>
      </c>
      <c r="D7760" t="s">
        <v>441</v>
      </c>
      <c r="F7760">
        <v>0</v>
      </c>
      <c r="H7760" t="s">
        <v>8584</v>
      </c>
      <c r="I7760">
        <v>6</v>
      </c>
      <c r="J7760" t="s">
        <v>445</v>
      </c>
      <c r="M7760">
        <v>6666</v>
      </c>
      <c r="N7760" t="s">
        <v>16081</v>
      </c>
    </row>
    <row r="7761" spans="1:14">
      <c r="A7761">
        <v>29101000</v>
      </c>
      <c r="B7761">
        <v>3040455</v>
      </c>
      <c r="C7761" t="s">
        <v>15100</v>
      </c>
      <c r="D7761" t="s">
        <v>441</v>
      </c>
      <c r="F7761">
        <v>0</v>
      </c>
      <c r="G7761">
        <v>11.69</v>
      </c>
      <c r="H7761" t="s">
        <v>8549</v>
      </c>
      <c r="I7761">
        <v>6</v>
      </c>
      <c r="J7761" t="s">
        <v>445</v>
      </c>
      <c r="M7761">
        <v>2391</v>
      </c>
      <c r="N7761" t="s">
        <v>16081</v>
      </c>
    </row>
    <row r="7762" spans="1:14">
      <c r="A7762">
        <v>29101007</v>
      </c>
      <c r="B7762">
        <v>3043288</v>
      </c>
      <c r="C7762" t="s">
        <v>15101</v>
      </c>
      <c r="D7762" t="s">
        <v>441</v>
      </c>
      <c r="F7762">
        <v>0</v>
      </c>
      <c r="G7762">
        <v>11.83</v>
      </c>
      <c r="H7762" t="s">
        <v>8588</v>
      </c>
      <c r="I7762">
        <v>6</v>
      </c>
      <c r="J7762" t="s">
        <v>445</v>
      </c>
      <c r="M7762">
        <v>3111</v>
      </c>
      <c r="N7762" t="s">
        <v>16081</v>
      </c>
    </row>
    <row r="7763" spans="1:14">
      <c r="A7763">
        <v>29101907</v>
      </c>
      <c r="B7763">
        <v>3043289</v>
      </c>
      <c r="C7763" t="s">
        <v>15102</v>
      </c>
      <c r="D7763" t="s">
        <v>441</v>
      </c>
      <c r="F7763">
        <v>0</v>
      </c>
      <c r="G7763">
        <v>1</v>
      </c>
      <c r="H7763" t="s">
        <v>8588</v>
      </c>
      <c r="I7763">
        <v>6</v>
      </c>
      <c r="J7763" t="s">
        <v>445</v>
      </c>
      <c r="M7763">
        <v>6666</v>
      </c>
      <c r="N7763" t="s">
        <v>16081</v>
      </c>
    </row>
    <row r="7764" spans="1:14">
      <c r="A7764">
        <v>29104000</v>
      </c>
      <c r="B7764">
        <v>3037707</v>
      </c>
      <c r="C7764" t="s">
        <v>15103</v>
      </c>
      <c r="D7764" t="s">
        <v>441</v>
      </c>
      <c r="F7764">
        <v>0</v>
      </c>
      <c r="G7764">
        <v>11.68</v>
      </c>
      <c r="H7764" t="s">
        <v>8549</v>
      </c>
      <c r="I7764">
        <v>6</v>
      </c>
      <c r="J7764" t="s">
        <v>445</v>
      </c>
      <c r="M7764">
        <v>2391</v>
      </c>
      <c r="N7764" t="s">
        <v>16081</v>
      </c>
    </row>
    <row r="7765" spans="1:14">
      <c r="A7765">
        <v>29104002</v>
      </c>
      <c r="B7765">
        <v>3039308</v>
      </c>
      <c r="C7765" t="s">
        <v>15104</v>
      </c>
      <c r="D7765" t="s">
        <v>441</v>
      </c>
      <c r="F7765">
        <v>0</v>
      </c>
      <c r="G7765">
        <v>12.48</v>
      </c>
      <c r="H7765" t="s">
        <v>8549</v>
      </c>
      <c r="I7765">
        <v>540</v>
      </c>
      <c r="J7765" t="s">
        <v>445</v>
      </c>
      <c r="M7765">
        <v>7111</v>
      </c>
      <c r="N7765" t="s">
        <v>16081</v>
      </c>
    </row>
    <row r="7766" spans="1:14">
      <c r="A7766">
        <v>29104007</v>
      </c>
      <c r="B7766">
        <v>3037725</v>
      </c>
      <c r="C7766" t="s">
        <v>14683</v>
      </c>
      <c r="D7766" t="s">
        <v>441</v>
      </c>
      <c r="F7766">
        <v>0</v>
      </c>
      <c r="G7766">
        <v>11.82</v>
      </c>
      <c r="H7766" t="s">
        <v>8588</v>
      </c>
      <c r="I7766">
        <v>6</v>
      </c>
      <c r="J7766" t="s">
        <v>445</v>
      </c>
      <c r="M7766">
        <v>3111</v>
      </c>
      <c r="N7766" t="s">
        <v>16081</v>
      </c>
    </row>
    <row r="7767" spans="1:14">
      <c r="A7767">
        <v>29104100</v>
      </c>
      <c r="B7767">
        <v>3043152</v>
      </c>
      <c r="C7767" t="s">
        <v>15105</v>
      </c>
      <c r="D7767" t="s">
        <v>441</v>
      </c>
      <c r="F7767">
        <v>0</v>
      </c>
      <c r="G7767">
        <v>10.44</v>
      </c>
      <c r="H7767" t="s">
        <v>8588</v>
      </c>
      <c r="I7767">
        <v>6</v>
      </c>
      <c r="J7767" t="s">
        <v>445</v>
      </c>
      <c r="M7767">
        <v>0</v>
      </c>
      <c r="N7767" t="s">
        <v>16081</v>
      </c>
    </row>
    <row r="7768" spans="1:14">
      <c r="A7768">
        <v>29104130</v>
      </c>
      <c r="B7768">
        <v>3035551</v>
      </c>
      <c r="C7768" t="s">
        <v>15106</v>
      </c>
      <c r="D7768" t="s">
        <v>441</v>
      </c>
      <c r="F7768">
        <v>0</v>
      </c>
      <c r="G7768">
        <v>8.1300000000000008</v>
      </c>
      <c r="H7768" t="s">
        <v>8588</v>
      </c>
      <c r="I7768">
        <v>6</v>
      </c>
      <c r="J7768" t="s">
        <v>445</v>
      </c>
      <c r="M7768">
        <v>0</v>
      </c>
      <c r="N7768" t="s">
        <v>16081</v>
      </c>
    </row>
    <row r="7769" spans="1:14">
      <c r="A7769">
        <v>29104502</v>
      </c>
      <c r="B7769">
        <v>3039309</v>
      </c>
      <c r="C7769" t="s">
        <v>15107</v>
      </c>
      <c r="D7769" t="s">
        <v>441</v>
      </c>
      <c r="F7769">
        <v>0</v>
      </c>
      <c r="G7769">
        <v>11.9</v>
      </c>
      <c r="H7769" t="s">
        <v>8549</v>
      </c>
      <c r="I7769">
        <v>540</v>
      </c>
      <c r="J7769" t="s">
        <v>445</v>
      </c>
      <c r="M7769">
        <v>2502</v>
      </c>
      <c r="N7769" t="s">
        <v>16081</v>
      </c>
    </row>
    <row r="7770" spans="1:14">
      <c r="A7770">
        <v>29104602</v>
      </c>
      <c r="B7770">
        <v>3039359</v>
      </c>
      <c r="C7770" t="s">
        <v>14684</v>
      </c>
      <c r="D7770" t="s">
        <v>441</v>
      </c>
      <c r="F7770">
        <v>0</v>
      </c>
      <c r="G7770">
        <v>13.31</v>
      </c>
      <c r="H7770" t="s">
        <v>8588</v>
      </c>
      <c r="I7770">
        <v>3</v>
      </c>
      <c r="J7770" t="s">
        <v>445</v>
      </c>
      <c r="M7770">
        <v>2510</v>
      </c>
      <c r="N7770" t="s">
        <v>16081</v>
      </c>
    </row>
    <row r="7771" spans="1:14">
      <c r="A7771">
        <v>29104902</v>
      </c>
      <c r="B7771">
        <v>3042011</v>
      </c>
      <c r="C7771" t="s">
        <v>15108</v>
      </c>
      <c r="D7771" t="s">
        <v>441</v>
      </c>
      <c r="F7771">
        <v>0</v>
      </c>
      <c r="G7771">
        <v>8.08</v>
      </c>
      <c r="H7771" t="s">
        <v>8549</v>
      </c>
      <c r="I7771">
        <v>3</v>
      </c>
      <c r="J7771" t="s">
        <v>445</v>
      </c>
      <c r="M7771">
        <v>6666</v>
      </c>
      <c r="N7771" t="s">
        <v>16081</v>
      </c>
    </row>
    <row r="7772" spans="1:14">
      <c r="A7772">
        <v>29104907</v>
      </c>
      <c r="B7772">
        <v>3037767</v>
      </c>
      <c r="C7772" t="s">
        <v>15109</v>
      </c>
      <c r="D7772" t="s">
        <v>441</v>
      </c>
      <c r="F7772">
        <v>0</v>
      </c>
      <c r="H7772" t="s">
        <v>8580</v>
      </c>
      <c r="I7772">
        <v>6</v>
      </c>
      <c r="J7772" t="s">
        <v>445</v>
      </c>
      <c r="M7772">
        <v>6666</v>
      </c>
      <c r="N7772" t="s">
        <v>16081</v>
      </c>
    </row>
    <row r="7773" spans="1:14">
      <c r="A7773">
        <v>29109000</v>
      </c>
      <c r="B7773">
        <v>3031074</v>
      </c>
      <c r="C7773" t="s">
        <v>15110</v>
      </c>
      <c r="D7773" t="s">
        <v>441</v>
      </c>
      <c r="F7773">
        <v>0</v>
      </c>
      <c r="G7773">
        <v>11.68</v>
      </c>
      <c r="H7773" t="s">
        <v>8588</v>
      </c>
      <c r="I7773">
        <v>2</v>
      </c>
      <c r="J7773" t="s">
        <v>445</v>
      </c>
      <c r="M7773">
        <v>3111</v>
      </c>
      <c r="N7773" t="s">
        <v>16081</v>
      </c>
    </row>
    <row r="7774" spans="1:14">
      <c r="A7774">
        <v>29109900</v>
      </c>
      <c r="B7774">
        <v>3031075</v>
      </c>
      <c r="C7774" t="s">
        <v>15111</v>
      </c>
      <c r="D7774" t="s">
        <v>441</v>
      </c>
      <c r="F7774">
        <v>0</v>
      </c>
      <c r="H7774" t="s">
        <v>8584</v>
      </c>
      <c r="I7774">
        <v>2</v>
      </c>
      <c r="J7774" t="s">
        <v>445</v>
      </c>
      <c r="M7774">
        <v>6666</v>
      </c>
      <c r="N7774" t="s">
        <v>16081</v>
      </c>
    </row>
    <row r="7775" spans="1:14">
      <c r="A7775">
        <v>29110000</v>
      </c>
      <c r="B7775">
        <v>3025963</v>
      </c>
      <c r="C7775" t="s">
        <v>15112</v>
      </c>
      <c r="D7775" t="s">
        <v>441</v>
      </c>
      <c r="F7775">
        <v>0</v>
      </c>
      <c r="G7775">
        <v>14.72</v>
      </c>
      <c r="H7775" t="s">
        <v>8588</v>
      </c>
      <c r="I7775">
        <v>6</v>
      </c>
      <c r="J7775" t="s">
        <v>445</v>
      </c>
      <c r="K7775" t="s">
        <v>446</v>
      </c>
      <c r="M7775">
        <v>2391</v>
      </c>
      <c r="N7775" t="s">
        <v>16357</v>
      </c>
    </row>
    <row r="7776" spans="1:14">
      <c r="A7776">
        <v>29110007</v>
      </c>
      <c r="B7776">
        <v>3025988</v>
      </c>
      <c r="C7776" t="s">
        <v>3365</v>
      </c>
      <c r="D7776" t="s">
        <v>441</v>
      </c>
      <c r="F7776">
        <v>0</v>
      </c>
      <c r="G7776">
        <v>12.58</v>
      </c>
      <c r="H7776" t="s">
        <v>8588</v>
      </c>
      <c r="I7776">
        <v>6</v>
      </c>
      <c r="J7776" t="s">
        <v>445</v>
      </c>
      <c r="K7776" t="s">
        <v>446</v>
      </c>
      <c r="M7776">
        <v>2641</v>
      </c>
      <c r="N7776" t="s">
        <v>16092</v>
      </c>
    </row>
    <row r="7777" spans="1:14">
      <c r="A7777">
        <v>29111000</v>
      </c>
      <c r="B7777">
        <v>3025964</v>
      </c>
      <c r="C7777" t="s">
        <v>15113</v>
      </c>
      <c r="D7777" t="s">
        <v>441</v>
      </c>
      <c r="F7777">
        <v>0</v>
      </c>
      <c r="G7777">
        <v>14.72</v>
      </c>
      <c r="H7777" t="s">
        <v>8588</v>
      </c>
      <c r="I7777">
        <v>6</v>
      </c>
      <c r="J7777" t="s">
        <v>445</v>
      </c>
      <c r="K7777" t="s">
        <v>446</v>
      </c>
      <c r="M7777">
        <v>2391</v>
      </c>
      <c r="N7777" t="s">
        <v>16357</v>
      </c>
    </row>
    <row r="7778" spans="1:14">
      <c r="A7778">
        <v>29111007</v>
      </c>
      <c r="B7778">
        <v>3026046</v>
      </c>
      <c r="C7778" t="s">
        <v>12191</v>
      </c>
      <c r="D7778" t="s">
        <v>441</v>
      </c>
      <c r="F7778">
        <v>0</v>
      </c>
      <c r="G7778">
        <v>11.86</v>
      </c>
      <c r="H7778" t="s">
        <v>8588</v>
      </c>
      <c r="I7778">
        <v>6</v>
      </c>
      <c r="J7778" t="s">
        <v>445</v>
      </c>
      <c r="K7778" t="s">
        <v>446</v>
      </c>
      <c r="M7778">
        <v>2641</v>
      </c>
      <c r="N7778" t="s">
        <v>16092</v>
      </c>
    </row>
    <row r="7779" spans="1:14">
      <c r="A7779">
        <v>29120000</v>
      </c>
      <c r="B7779">
        <v>3006284</v>
      </c>
      <c r="C7779" t="s">
        <v>3366</v>
      </c>
      <c r="D7779" t="s">
        <v>441</v>
      </c>
      <c r="F7779">
        <v>0</v>
      </c>
      <c r="G7779">
        <v>0</v>
      </c>
      <c r="H7779" t="s">
        <v>8588</v>
      </c>
      <c r="I7779">
        <v>6</v>
      </c>
      <c r="J7779" t="s">
        <v>445</v>
      </c>
      <c r="M7779">
        <v>2391</v>
      </c>
      <c r="N7779" t="s">
        <v>16218</v>
      </c>
    </row>
    <row r="7780" spans="1:14">
      <c r="A7780">
        <v>29120002</v>
      </c>
      <c r="B7780">
        <v>3008110</v>
      </c>
      <c r="C7780" t="s">
        <v>12192</v>
      </c>
      <c r="D7780" t="s">
        <v>441</v>
      </c>
      <c r="F7780">
        <v>0</v>
      </c>
      <c r="G7780">
        <v>10.119999999999999</v>
      </c>
      <c r="H7780" t="s">
        <v>8588</v>
      </c>
      <c r="I7780">
        <v>365</v>
      </c>
      <c r="J7780" t="s">
        <v>445</v>
      </c>
      <c r="K7780" t="s">
        <v>446</v>
      </c>
      <c r="M7780">
        <v>2501</v>
      </c>
    </row>
    <row r="7781" spans="1:14">
      <c r="A7781">
        <v>29120007</v>
      </c>
      <c r="B7781">
        <v>3025047</v>
      </c>
      <c r="C7781" t="s">
        <v>3367</v>
      </c>
      <c r="D7781" t="s">
        <v>441</v>
      </c>
      <c r="F7781">
        <v>0</v>
      </c>
      <c r="G7781">
        <v>7.35</v>
      </c>
      <c r="H7781" t="s">
        <v>8588</v>
      </c>
      <c r="I7781">
        <v>6</v>
      </c>
      <c r="J7781" t="s">
        <v>445</v>
      </c>
      <c r="M7781">
        <v>3113</v>
      </c>
      <c r="N7781" t="s">
        <v>16218</v>
      </c>
    </row>
    <row r="7782" spans="1:14">
      <c r="A7782">
        <v>29120019</v>
      </c>
      <c r="B7782">
        <v>3008670</v>
      </c>
      <c r="C7782" t="s">
        <v>3368</v>
      </c>
      <c r="D7782" t="s">
        <v>441</v>
      </c>
      <c r="F7782">
        <v>0</v>
      </c>
      <c r="G7782">
        <v>7.7</v>
      </c>
      <c r="H7782" t="s">
        <v>8549</v>
      </c>
      <c r="I7782">
        <v>540</v>
      </c>
      <c r="J7782" t="s">
        <v>445</v>
      </c>
      <c r="M7782">
        <v>7111</v>
      </c>
      <c r="N7782" t="s">
        <v>16218</v>
      </c>
    </row>
    <row r="7783" spans="1:14">
      <c r="A7783">
        <v>29120075</v>
      </c>
      <c r="B7783">
        <v>3010628</v>
      </c>
      <c r="C7783" t="s">
        <v>12193</v>
      </c>
      <c r="D7783" t="s">
        <v>441</v>
      </c>
      <c r="F7783">
        <v>0</v>
      </c>
      <c r="G7783">
        <v>10.52</v>
      </c>
      <c r="H7783" t="s">
        <v>8588</v>
      </c>
      <c r="I7783">
        <v>6</v>
      </c>
      <c r="J7783" t="s">
        <v>445</v>
      </c>
      <c r="K7783" t="s">
        <v>446</v>
      </c>
      <c r="M7783">
        <v>2641</v>
      </c>
    </row>
    <row r="7784" spans="1:14">
      <c r="A7784">
        <v>29120080</v>
      </c>
      <c r="B7784">
        <v>3010612</v>
      </c>
      <c r="C7784" t="s">
        <v>3369</v>
      </c>
      <c r="D7784" t="s">
        <v>441</v>
      </c>
      <c r="F7784">
        <v>0</v>
      </c>
      <c r="G7784">
        <v>7.39</v>
      </c>
      <c r="H7784" t="s">
        <v>8588</v>
      </c>
      <c r="I7784">
        <v>6</v>
      </c>
      <c r="J7784" t="s">
        <v>445</v>
      </c>
      <c r="M7784">
        <v>7112</v>
      </c>
      <c r="N7784" t="s">
        <v>16218</v>
      </c>
    </row>
    <row r="7785" spans="1:14">
      <c r="A7785">
        <v>29120502</v>
      </c>
      <c r="B7785">
        <v>3006292</v>
      </c>
      <c r="C7785" t="s">
        <v>3370</v>
      </c>
      <c r="D7785" t="s">
        <v>441</v>
      </c>
      <c r="F7785">
        <v>0</v>
      </c>
      <c r="G7785">
        <v>9.77</v>
      </c>
      <c r="H7785" t="s">
        <v>8584</v>
      </c>
      <c r="I7785">
        <v>6</v>
      </c>
      <c r="J7785" t="s">
        <v>445</v>
      </c>
      <c r="K7785" t="s">
        <v>446</v>
      </c>
      <c r="M7785">
        <v>2641</v>
      </c>
    </row>
    <row r="7786" spans="1:14">
      <c r="A7786">
        <v>29120519</v>
      </c>
      <c r="B7786">
        <v>3008946</v>
      </c>
      <c r="C7786" t="s">
        <v>3371</v>
      </c>
      <c r="D7786" t="s">
        <v>441</v>
      </c>
      <c r="F7786">
        <v>0</v>
      </c>
      <c r="G7786">
        <v>7.36</v>
      </c>
      <c r="H7786" t="s">
        <v>8580</v>
      </c>
      <c r="I7786">
        <v>540</v>
      </c>
      <c r="J7786" t="s">
        <v>445</v>
      </c>
      <c r="M7786">
        <v>2502</v>
      </c>
      <c r="N7786" t="s">
        <v>16218</v>
      </c>
    </row>
    <row r="7787" spans="1:14">
      <c r="A7787">
        <v>29120602</v>
      </c>
      <c r="B7787">
        <v>3008111</v>
      </c>
      <c r="C7787" t="s">
        <v>3372</v>
      </c>
      <c r="D7787" t="s">
        <v>441</v>
      </c>
      <c r="F7787">
        <v>0</v>
      </c>
      <c r="G7787">
        <v>7.89</v>
      </c>
      <c r="H7787" t="s">
        <v>8588</v>
      </c>
      <c r="I7787">
        <v>4</v>
      </c>
      <c r="J7787" t="s">
        <v>445</v>
      </c>
      <c r="M7787">
        <v>2510</v>
      </c>
      <c r="N7787" t="s">
        <v>16218</v>
      </c>
    </row>
    <row r="7788" spans="1:14">
      <c r="A7788">
        <v>29120900</v>
      </c>
      <c r="B7788">
        <v>3020368</v>
      </c>
      <c r="C7788" t="s">
        <v>3373</v>
      </c>
      <c r="D7788" t="s">
        <v>441</v>
      </c>
      <c r="F7788">
        <v>0</v>
      </c>
      <c r="G7788">
        <v>0</v>
      </c>
      <c r="H7788" t="s">
        <v>8584</v>
      </c>
      <c r="I7788">
        <v>6</v>
      </c>
      <c r="J7788" t="s">
        <v>445</v>
      </c>
      <c r="M7788">
        <v>6666</v>
      </c>
      <c r="N7788" t="s">
        <v>16218</v>
      </c>
    </row>
    <row r="7789" spans="1:14">
      <c r="A7789">
        <v>29120902</v>
      </c>
      <c r="B7789">
        <v>3020369</v>
      </c>
      <c r="C7789" t="s">
        <v>3374</v>
      </c>
      <c r="D7789" t="s">
        <v>441</v>
      </c>
      <c r="F7789">
        <v>0</v>
      </c>
      <c r="H7789" t="s">
        <v>8584</v>
      </c>
      <c r="I7789">
        <v>4</v>
      </c>
      <c r="J7789" t="s">
        <v>445</v>
      </c>
      <c r="M7789">
        <v>6666</v>
      </c>
      <c r="N7789" t="s">
        <v>16218</v>
      </c>
    </row>
    <row r="7790" spans="1:14">
      <c r="A7790">
        <v>29120907</v>
      </c>
      <c r="B7790">
        <v>3025307</v>
      </c>
      <c r="C7790" t="s">
        <v>3375</v>
      </c>
      <c r="D7790" t="s">
        <v>441</v>
      </c>
      <c r="F7790">
        <v>0</v>
      </c>
      <c r="G7790">
        <v>0</v>
      </c>
      <c r="H7790" t="s">
        <v>8580</v>
      </c>
      <c r="I7790">
        <v>6</v>
      </c>
      <c r="J7790" t="s">
        <v>445</v>
      </c>
      <c r="M7790">
        <v>6666</v>
      </c>
      <c r="N7790" t="s">
        <v>16218</v>
      </c>
    </row>
    <row r="7791" spans="1:14">
      <c r="A7791">
        <v>29121502</v>
      </c>
      <c r="B7791">
        <v>3017366</v>
      </c>
      <c r="C7791" t="s">
        <v>3376</v>
      </c>
      <c r="D7791" t="s">
        <v>441</v>
      </c>
      <c r="F7791">
        <v>0</v>
      </c>
      <c r="G7791">
        <v>9.75</v>
      </c>
      <c r="H7791" t="s">
        <v>8935</v>
      </c>
      <c r="I7791">
        <v>6</v>
      </c>
      <c r="J7791" t="s">
        <v>445</v>
      </c>
      <c r="K7791" t="s">
        <v>446</v>
      </c>
      <c r="M7791">
        <v>2641</v>
      </c>
    </row>
    <row r="7792" spans="1:14">
      <c r="A7792">
        <v>29121519</v>
      </c>
      <c r="B7792">
        <v>3017429</v>
      </c>
      <c r="C7792" t="s">
        <v>3377</v>
      </c>
      <c r="D7792" t="s">
        <v>441</v>
      </c>
      <c r="F7792">
        <v>0</v>
      </c>
      <c r="G7792">
        <v>9.86</v>
      </c>
      <c r="H7792" t="s">
        <v>8624</v>
      </c>
      <c r="I7792">
        <v>6</v>
      </c>
      <c r="J7792" t="s">
        <v>445</v>
      </c>
      <c r="K7792" t="s">
        <v>446</v>
      </c>
      <c r="M7792">
        <v>2641</v>
      </c>
    </row>
    <row r="7793" spans="1:14">
      <c r="A7793">
        <v>29123000</v>
      </c>
      <c r="B7793">
        <v>3006296</v>
      </c>
      <c r="C7793" t="s">
        <v>3378</v>
      </c>
      <c r="D7793" t="s">
        <v>441</v>
      </c>
      <c r="F7793">
        <v>0</v>
      </c>
      <c r="G7793">
        <v>9.6999999999999993</v>
      </c>
      <c r="H7793" t="s">
        <v>8584</v>
      </c>
      <c r="I7793">
        <v>6</v>
      </c>
      <c r="J7793" t="s">
        <v>445</v>
      </c>
      <c r="K7793" t="s">
        <v>446</v>
      </c>
      <c r="M7793">
        <v>2390</v>
      </c>
    </row>
    <row r="7794" spans="1:14">
      <c r="A7794">
        <v>29124000</v>
      </c>
      <c r="B7794">
        <v>3039040</v>
      </c>
      <c r="C7794" t="s">
        <v>3379</v>
      </c>
      <c r="D7794" t="s">
        <v>441</v>
      </c>
      <c r="F7794">
        <v>0</v>
      </c>
      <c r="G7794">
        <v>7.3</v>
      </c>
      <c r="H7794" t="s">
        <v>8588</v>
      </c>
      <c r="I7794">
        <v>6</v>
      </c>
      <c r="J7794" t="s">
        <v>445</v>
      </c>
      <c r="M7794">
        <v>2391</v>
      </c>
      <c r="N7794" t="s">
        <v>16218</v>
      </c>
    </row>
    <row r="7795" spans="1:14">
      <c r="A7795">
        <v>29124007</v>
      </c>
      <c r="B7795">
        <v>3040194</v>
      </c>
      <c r="C7795" t="s">
        <v>413</v>
      </c>
      <c r="D7795" t="s">
        <v>441</v>
      </c>
      <c r="F7795">
        <v>0</v>
      </c>
      <c r="G7795">
        <v>7.35</v>
      </c>
      <c r="H7795" t="s">
        <v>8588</v>
      </c>
      <c r="I7795">
        <v>6</v>
      </c>
      <c r="J7795" t="s">
        <v>445</v>
      </c>
      <c r="M7795">
        <v>3113</v>
      </c>
      <c r="N7795" t="s">
        <v>16218</v>
      </c>
    </row>
    <row r="7796" spans="1:14">
      <c r="A7796">
        <v>29124907</v>
      </c>
      <c r="B7796">
        <v>3040260</v>
      </c>
      <c r="C7796" t="s">
        <v>3380</v>
      </c>
      <c r="D7796" t="s">
        <v>441</v>
      </c>
      <c r="F7796">
        <v>0</v>
      </c>
      <c r="G7796">
        <v>1</v>
      </c>
      <c r="H7796" t="s">
        <v>8588</v>
      </c>
      <c r="I7796">
        <v>6</v>
      </c>
      <c r="J7796" t="s">
        <v>445</v>
      </c>
      <c r="M7796">
        <v>6666</v>
      </c>
      <c r="N7796" t="s">
        <v>16218</v>
      </c>
    </row>
    <row r="7797" spans="1:14">
      <c r="A7797">
        <v>29130000</v>
      </c>
      <c r="B7797">
        <v>3023094</v>
      </c>
      <c r="C7797" t="s">
        <v>15114</v>
      </c>
      <c r="D7797" t="s">
        <v>441</v>
      </c>
      <c r="F7797">
        <v>0</v>
      </c>
      <c r="G7797">
        <v>14.08</v>
      </c>
      <c r="H7797" t="s">
        <v>8588</v>
      </c>
      <c r="I7797">
        <v>6</v>
      </c>
      <c r="J7797" t="s">
        <v>445</v>
      </c>
      <c r="M7797">
        <v>2391</v>
      </c>
      <c r="N7797" t="s">
        <v>16354</v>
      </c>
    </row>
    <row r="7798" spans="1:14">
      <c r="A7798">
        <v>29130087</v>
      </c>
      <c r="B7798">
        <v>3040498</v>
      </c>
      <c r="C7798" t="s">
        <v>15115</v>
      </c>
      <c r="D7798" t="s">
        <v>441</v>
      </c>
      <c r="F7798">
        <v>0</v>
      </c>
      <c r="G7798">
        <v>14.23</v>
      </c>
      <c r="H7798" t="s">
        <v>8588</v>
      </c>
      <c r="I7798">
        <v>6</v>
      </c>
      <c r="J7798" t="s">
        <v>445</v>
      </c>
      <c r="M7798">
        <v>7112</v>
      </c>
      <c r="N7798" t="s">
        <v>16354</v>
      </c>
    </row>
    <row r="7799" spans="1:14">
      <c r="A7799">
        <v>29134000</v>
      </c>
      <c r="B7799">
        <v>3040477</v>
      </c>
      <c r="C7799" t="s">
        <v>15116</v>
      </c>
      <c r="D7799" t="s">
        <v>441</v>
      </c>
      <c r="F7799">
        <v>0</v>
      </c>
      <c r="G7799">
        <v>13.65</v>
      </c>
      <c r="H7799" t="s">
        <v>8549</v>
      </c>
      <c r="I7799">
        <v>6</v>
      </c>
      <c r="J7799" t="s">
        <v>445</v>
      </c>
      <c r="M7799">
        <v>2391</v>
      </c>
      <c r="N7799" t="s">
        <v>16354</v>
      </c>
    </row>
    <row r="7800" spans="1:14">
      <c r="A7800">
        <v>29134087</v>
      </c>
      <c r="B7800">
        <v>3040478</v>
      </c>
      <c r="C7800" t="s">
        <v>15117</v>
      </c>
      <c r="D7800" t="s">
        <v>441</v>
      </c>
      <c r="F7800">
        <v>0</v>
      </c>
      <c r="G7800">
        <v>13.8</v>
      </c>
      <c r="H7800" t="s">
        <v>8588</v>
      </c>
      <c r="I7800">
        <v>6</v>
      </c>
      <c r="J7800" t="s">
        <v>445</v>
      </c>
      <c r="M7800">
        <v>7112</v>
      </c>
      <c r="N7800" t="s">
        <v>16354</v>
      </c>
    </row>
    <row r="7801" spans="1:14">
      <c r="A7801">
        <v>29140000</v>
      </c>
      <c r="B7801">
        <v>3041696</v>
      </c>
      <c r="C7801" t="s">
        <v>15656</v>
      </c>
      <c r="D7801" t="s">
        <v>441</v>
      </c>
      <c r="F7801">
        <v>0</v>
      </c>
      <c r="G7801">
        <v>11.86</v>
      </c>
      <c r="H7801" t="s">
        <v>8549</v>
      </c>
      <c r="I7801">
        <v>6</v>
      </c>
      <c r="J7801" t="s">
        <v>445</v>
      </c>
      <c r="M7801">
        <v>2391</v>
      </c>
      <c r="N7801" t="s">
        <v>16081</v>
      </c>
    </row>
    <row r="7802" spans="1:14">
      <c r="A7802">
        <v>29140007</v>
      </c>
      <c r="B7802">
        <v>3041716</v>
      </c>
      <c r="C7802" t="s">
        <v>15657</v>
      </c>
      <c r="D7802" t="s">
        <v>441</v>
      </c>
      <c r="F7802">
        <v>0</v>
      </c>
      <c r="G7802">
        <v>12</v>
      </c>
      <c r="H7802" t="s">
        <v>8588</v>
      </c>
      <c r="I7802">
        <v>6</v>
      </c>
      <c r="J7802" t="s">
        <v>445</v>
      </c>
      <c r="M7802">
        <v>3111</v>
      </c>
      <c r="N7802" t="s">
        <v>16081</v>
      </c>
    </row>
    <row r="7803" spans="1:14">
      <c r="A7803">
        <v>29140087</v>
      </c>
      <c r="B7803">
        <v>3045067</v>
      </c>
      <c r="C7803" t="s">
        <v>15658</v>
      </c>
      <c r="D7803" t="s">
        <v>441</v>
      </c>
      <c r="F7803">
        <v>0</v>
      </c>
      <c r="G7803">
        <v>13.81</v>
      </c>
      <c r="H7803" t="s">
        <v>8588</v>
      </c>
      <c r="I7803">
        <v>6</v>
      </c>
      <c r="J7803" t="s">
        <v>445</v>
      </c>
      <c r="M7803">
        <v>7112</v>
      </c>
      <c r="N7803" t="s">
        <v>16089</v>
      </c>
    </row>
    <row r="7804" spans="1:14">
      <c r="A7804">
        <v>29140100</v>
      </c>
      <c r="B7804">
        <v>3040445</v>
      </c>
      <c r="C7804" t="s">
        <v>15118</v>
      </c>
      <c r="D7804" t="s">
        <v>441</v>
      </c>
      <c r="F7804">
        <v>0</v>
      </c>
      <c r="G7804">
        <v>7.01</v>
      </c>
      <c r="H7804" t="s">
        <v>8588</v>
      </c>
      <c r="I7804">
        <v>6</v>
      </c>
      <c r="J7804" t="s">
        <v>445</v>
      </c>
      <c r="M7804">
        <v>7161</v>
      </c>
      <c r="N7804" t="s">
        <v>16081</v>
      </c>
    </row>
    <row r="7805" spans="1:14">
      <c r="A7805">
        <v>29140102</v>
      </c>
      <c r="B7805">
        <v>3040449</v>
      </c>
      <c r="C7805" t="s">
        <v>15119</v>
      </c>
      <c r="D7805" t="s">
        <v>441</v>
      </c>
      <c r="F7805">
        <v>0</v>
      </c>
      <c r="G7805">
        <v>7.22</v>
      </c>
      <c r="H7805" t="s">
        <v>8588</v>
      </c>
      <c r="I7805">
        <v>540</v>
      </c>
      <c r="J7805" t="s">
        <v>445</v>
      </c>
      <c r="M7805">
        <v>7113</v>
      </c>
      <c r="N7805" t="s">
        <v>16081</v>
      </c>
    </row>
    <row r="7806" spans="1:14">
      <c r="A7806">
        <v>29140907</v>
      </c>
      <c r="B7806">
        <v>3041726</v>
      </c>
      <c r="C7806" t="s">
        <v>15659</v>
      </c>
      <c r="D7806" t="s">
        <v>441</v>
      </c>
      <c r="F7806">
        <v>0</v>
      </c>
      <c r="G7806">
        <v>1</v>
      </c>
      <c r="H7806" t="s">
        <v>8588</v>
      </c>
      <c r="I7806">
        <v>6</v>
      </c>
      <c r="J7806" t="s">
        <v>445</v>
      </c>
      <c r="M7806">
        <v>6666</v>
      </c>
      <c r="N7806" t="s">
        <v>16081</v>
      </c>
    </row>
    <row r="7807" spans="1:14">
      <c r="A7807">
        <v>29144000</v>
      </c>
      <c r="B7807">
        <v>3041699</v>
      </c>
      <c r="C7807" t="s">
        <v>15660</v>
      </c>
      <c r="D7807" t="s">
        <v>441</v>
      </c>
      <c r="F7807">
        <v>0</v>
      </c>
      <c r="G7807">
        <v>11.86</v>
      </c>
      <c r="H7807" t="s">
        <v>8549</v>
      </c>
      <c r="I7807">
        <v>6</v>
      </c>
      <c r="J7807" t="s">
        <v>445</v>
      </c>
      <c r="M7807">
        <v>2391</v>
      </c>
      <c r="N7807" t="s">
        <v>16081</v>
      </c>
    </row>
    <row r="7808" spans="1:14">
      <c r="A7808">
        <v>29144002</v>
      </c>
      <c r="B7808">
        <v>3041844</v>
      </c>
      <c r="C7808" t="s">
        <v>15120</v>
      </c>
      <c r="D7808" t="s">
        <v>441</v>
      </c>
      <c r="F7808">
        <v>0</v>
      </c>
      <c r="G7808">
        <v>12.81</v>
      </c>
      <c r="H7808" t="s">
        <v>8588</v>
      </c>
      <c r="I7808">
        <v>540</v>
      </c>
      <c r="J7808" t="s">
        <v>445</v>
      </c>
      <c r="M7808">
        <v>7111</v>
      </c>
      <c r="N7808" t="s">
        <v>16081</v>
      </c>
    </row>
    <row r="7809" spans="1:14">
      <c r="A7809">
        <v>29144007</v>
      </c>
      <c r="B7809">
        <v>3041715</v>
      </c>
      <c r="C7809" t="s">
        <v>15661</v>
      </c>
      <c r="D7809" t="s">
        <v>441</v>
      </c>
      <c r="F7809">
        <v>0</v>
      </c>
      <c r="G7809">
        <v>12</v>
      </c>
      <c r="H7809" t="s">
        <v>8588</v>
      </c>
      <c r="I7809">
        <v>6</v>
      </c>
      <c r="J7809" t="s">
        <v>445</v>
      </c>
      <c r="M7809">
        <v>3111</v>
      </c>
      <c r="N7809" t="s">
        <v>16081</v>
      </c>
    </row>
    <row r="7810" spans="1:14">
      <c r="A7810">
        <v>29144502</v>
      </c>
      <c r="B7810">
        <v>3041956</v>
      </c>
      <c r="C7810" t="s">
        <v>15662</v>
      </c>
      <c r="D7810" t="s">
        <v>441</v>
      </c>
      <c r="F7810">
        <v>0</v>
      </c>
      <c r="G7810">
        <v>12.45</v>
      </c>
      <c r="H7810" t="s">
        <v>8588</v>
      </c>
      <c r="I7810">
        <v>540</v>
      </c>
      <c r="J7810" t="s">
        <v>445</v>
      </c>
      <c r="M7810">
        <v>2502</v>
      </c>
      <c r="N7810" t="s">
        <v>16081</v>
      </c>
    </row>
    <row r="7811" spans="1:14">
      <c r="A7811">
        <v>29144602</v>
      </c>
      <c r="B7811">
        <v>3041819</v>
      </c>
      <c r="C7811" t="s">
        <v>15663</v>
      </c>
      <c r="D7811" t="s">
        <v>441</v>
      </c>
      <c r="F7811">
        <v>0</v>
      </c>
      <c r="G7811">
        <v>13.99</v>
      </c>
      <c r="H7811" t="s">
        <v>8549</v>
      </c>
      <c r="I7811">
        <v>4</v>
      </c>
      <c r="J7811" t="s">
        <v>445</v>
      </c>
      <c r="M7811">
        <v>2510</v>
      </c>
      <c r="N7811" t="s">
        <v>16081</v>
      </c>
    </row>
    <row r="7812" spans="1:14">
      <c r="A7812">
        <v>29144902</v>
      </c>
      <c r="B7812">
        <v>3041834</v>
      </c>
      <c r="C7812" t="s">
        <v>15664</v>
      </c>
      <c r="D7812" t="s">
        <v>441</v>
      </c>
      <c r="F7812">
        <v>0</v>
      </c>
      <c r="G7812">
        <v>1</v>
      </c>
      <c r="H7812" t="s">
        <v>8549</v>
      </c>
      <c r="I7812">
        <v>4</v>
      </c>
      <c r="J7812" t="s">
        <v>445</v>
      </c>
      <c r="M7812">
        <v>6666</v>
      </c>
      <c r="N7812" t="s">
        <v>16081</v>
      </c>
    </row>
    <row r="7813" spans="1:14">
      <c r="A7813">
        <v>29144907</v>
      </c>
      <c r="B7813">
        <v>3041725</v>
      </c>
      <c r="C7813" t="s">
        <v>15665</v>
      </c>
      <c r="D7813" t="s">
        <v>441</v>
      </c>
      <c r="F7813">
        <v>0</v>
      </c>
      <c r="G7813">
        <v>1</v>
      </c>
      <c r="H7813" t="s">
        <v>8588</v>
      </c>
      <c r="I7813">
        <v>6</v>
      </c>
      <c r="J7813" t="s">
        <v>445</v>
      </c>
      <c r="M7813">
        <v>6666</v>
      </c>
      <c r="N7813" t="s">
        <v>16081</v>
      </c>
    </row>
    <row r="7814" spans="1:14">
      <c r="A7814">
        <v>29150000</v>
      </c>
      <c r="B7814">
        <v>3042765</v>
      </c>
      <c r="C7814" t="s">
        <v>15121</v>
      </c>
      <c r="D7814" t="s">
        <v>441</v>
      </c>
      <c r="F7814">
        <v>0</v>
      </c>
      <c r="G7814">
        <v>9.83</v>
      </c>
      <c r="H7814" t="s">
        <v>8588</v>
      </c>
      <c r="I7814">
        <v>6</v>
      </c>
      <c r="J7814" t="s">
        <v>445</v>
      </c>
      <c r="M7814">
        <v>2391</v>
      </c>
      <c r="N7814" t="s">
        <v>16361</v>
      </c>
    </row>
    <row r="7815" spans="1:14">
      <c r="A7815">
        <v>29150007</v>
      </c>
      <c r="B7815">
        <v>3042796</v>
      </c>
      <c r="C7815" t="s">
        <v>15122</v>
      </c>
      <c r="D7815" t="s">
        <v>441</v>
      </c>
      <c r="F7815">
        <v>0</v>
      </c>
      <c r="G7815">
        <v>9.9600000000000009</v>
      </c>
      <c r="H7815" t="s">
        <v>8588</v>
      </c>
      <c r="I7815">
        <v>6</v>
      </c>
      <c r="J7815" t="s">
        <v>445</v>
      </c>
      <c r="M7815">
        <v>3111</v>
      </c>
      <c r="N7815" t="s">
        <v>16361</v>
      </c>
    </row>
    <row r="7816" spans="1:14">
      <c r="A7816">
        <v>29150907</v>
      </c>
      <c r="B7816">
        <v>3042890</v>
      </c>
      <c r="C7816" t="s">
        <v>15123</v>
      </c>
      <c r="D7816" t="s">
        <v>441</v>
      </c>
      <c r="F7816">
        <v>0</v>
      </c>
      <c r="G7816">
        <v>1</v>
      </c>
      <c r="H7816" t="s">
        <v>8588</v>
      </c>
      <c r="I7816">
        <v>6</v>
      </c>
      <c r="J7816" t="s">
        <v>445</v>
      </c>
      <c r="M7816">
        <v>6666</v>
      </c>
      <c r="N7816" t="s">
        <v>16361</v>
      </c>
    </row>
    <row r="7817" spans="1:14">
      <c r="A7817">
        <v>29154000</v>
      </c>
      <c r="B7817">
        <v>3042766</v>
      </c>
      <c r="C7817" t="s">
        <v>15124</v>
      </c>
      <c r="D7817" t="s">
        <v>441</v>
      </c>
      <c r="F7817">
        <v>0</v>
      </c>
      <c r="G7817">
        <v>9.83</v>
      </c>
      <c r="H7817" t="s">
        <v>8588</v>
      </c>
      <c r="I7817">
        <v>6</v>
      </c>
      <c r="J7817" t="s">
        <v>445</v>
      </c>
      <c r="M7817">
        <v>2391</v>
      </c>
      <c r="N7817" t="s">
        <v>16361</v>
      </c>
    </row>
    <row r="7818" spans="1:14">
      <c r="A7818">
        <v>29154007</v>
      </c>
      <c r="B7818">
        <v>3042797</v>
      </c>
      <c r="C7818" t="s">
        <v>15125</v>
      </c>
      <c r="D7818" t="s">
        <v>441</v>
      </c>
      <c r="F7818">
        <v>0</v>
      </c>
      <c r="G7818">
        <v>9.9600000000000009</v>
      </c>
      <c r="H7818" t="s">
        <v>8588</v>
      </c>
      <c r="I7818">
        <v>6</v>
      </c>
      <c r="J7818" t="s">
        <v>445</v>
      </c>
      <c r="M7818">
        <v>3111</v>
      </c>
      <c r="N7818" t="s">
        <v>16361</v>
      </c>
    </row>
    <row r="7819" spans="1:14">
      <c r="A7819">
        <v>29154907</v>
      </c>
      <c r="B7819">
        <v>3042919</v>
      </c>
      <c r="C7819" t="s">
        <v>15126</v>
      </c>
      <c r="D7819" t="s">
        <v>441</v>
      </c>
      <c r="F7819">
        <v>0</v>
      </c>
      <c r="G7819">
        <v>1</v>
      </c>
      <c r="H7819" t="s">
        <v>8588</v>
      </c>
      <c r="I7819">
        <v>6</v>
      </c>
      <c r="J7819" t="s">
        <v>445</v>
      </c>
      <c r="M7819">
        <v>6666</v>
      </c>
      <c r="N7819" t="s">
        <v>16361</v>
      </c>
    </row>
    <row r="7820" spans="1:14">
      <c r="A7820">
        <v>29160000</v>
      </c>
      <c r="B7820">
        <v>3042767</v>
      </c>
      <c r="C7820" t="s">
        <v>15127</v>
      </c>
      <c r="D7820" t="s">
        <v>441</v>
      </c>
      <c r="F7820">
        <v>0</v>
      </c>
      <c r="G7820">
        <v>12.88</v>
      </c>
      <c r="H7820" t="s">
        <v>8549</v>
      </c>
      <c r="I7820">
        <v>6</v>
      </c>
      <c r="J7820" t="s">
        <v>445</v>
      </c>
      <c r="M7820">
        <v>2391</v>
      </c>
      <c r="N7820" t="s">
        <v>16362</v>
      </c>
    </row>
    <row r="7821" spans="1:14">
      <c r="A7821">
        <v>29160007</v>
      </c>
      <c r="B7821">
        <v>3042798</v>
      </c>
      <c r="C7821" t="s">
        <v>15128</v>
      </c>
      <c r="D7821" t="s">
        <v>441</v>
      </c>
      <c r="F7821">
        <v>0</v>
      </c>
      <c r="G7821">
        <v>13.03</v>
      </c>
      <c r="H7821" t="s">
        <v>8588</v>
      </c>
      <c r="I7821">
        <v>6</v>
      </c>
      <c r="J7821" t="s">
        <v>445</v>
      </c>
      <c r="M7821">
        <v>3111</v>
      </c>
      <c r="N7821" t="s">
        <v>16362</v>
      </c>
    </row>
    <row r="7822" spans="1:14">
      <c r="A7822">
        <v>29160907</v>
      </c>
      <c r="B7822">
        <v>3042883</v>
      </c>
      <c r="C7822" t="s">
        <v>15129</v>
      </c>
      <c r="D7822" t="s">
        <v>441</v>
      </c>
      <c r="F7822">
        <v>0</v>
      </c>
      <c r="G7822">
        <v>1</v>
      </c>
      <c r="H7822" t="s">
        <v>8588</v>
      </c>
      <c r="I7822">
        <v>6</v>
      </c>
      <c r="J7822" t="s">
        <v>445</v>
      </c>
      <c r="M7822">
        <v>6666</v>
      </c>
      <c r="N7822" t="s">
        <v>16362</v>
      </c>
    </row>
    <row r="7823" spans="1:14">
      <c r="A7823">
        <v>29164000</v>
      </c>
      <c r="B7823">
        <v>3042768</v>
      </c>
      <c r="C7823" t="s">
        <v>15130</v>
      </c>
      <c r="D7823" t="s">
        <v>441</v>
      </c>
      <c r="F7823">
        <v>0</v>
      </c>
      <c r="G7823">
        <v>12.88</v>
      </c>
      <c r="H7823" t="s">
        <v>8549</v>
      </c>
      <c r="I7823">
        <v>6</v>
      </c>
      <c r="J7823" t="s">
        <v>445</v>
      </c>
      <c r="M7823">
        <v>2391</v>
      </c>
      <c r="N7823" t="s">
        <v>16362</v>
      </c>
    </row>
    <row r="7824" spans="1:14">
      <c r="A7824">
        <v>29164007</v>
      </c>
      <c r="B7824">
        <v>3042799</v>
      </c>
      <c r="C7824" t="s">
        <v>15131</v>
      </c>
      <c r="D7824" t="s">
        <v>441</v>
      </c>
      <c r="F7824">
        <v>0</v>
      </c>
      <c r="G7824">
        <v>13.03</v>
      </c>
      <c r="H7824" t="s">
        <v>8588</v>
      </c>
      <c r="I7824">
        <v>6</v>
      </c>
      <c r="J7824" t="s">
        <v>445</v>
      </c>
      <c r="M7824">
        <v>3111</v>
      </c>
      <c r="N7824" t="s">
        <v>16362</v>
      </c>
    </row>
    <row r="7825" spans="1:14">
      <c r="A7825">
        <v>29164907</v>
      </c>
      <c r="B7825">
        <v>3042920</v>
      </c>
      <c r="C7825" t="s">
        <v>15132</v>
      </c>
      <c r="D7825" t="s">
        <v>441</v>
      </c>
      <c r="F7825">
        <v>0</v>
      </c>
      <c r="G7825">
        <v>1</v>
      </c>
      <c r="H7825" t="s">
        <v>8588</v>
      </c>
      <c r="I7825">
        <v>6</v>
      </c>
      <c r="J7825" t="s">
        <v>445</v>
      </c>
      <c r="M7825">
        <v>6666</v>
      </c>
      <c r="N7825" t="s">
        <v>16362</v>
      </c>
    </row>
    <row r="7826" spans="1:14">
      <c r="A7826">
        <v>29170000</v>
      </c>
      <c r="B7826">
        <v>3008980</v>
      </c>
      <c r="C7826" t="s">
        <v>12194</v>
      </c>
      <c r="D7826" t="s">
        <v>441</v>
      </c>
      <c r="F7826">
        <v>0</v>
      </c>
      <c r="G7826">
        <v>10.15</v>
      </c>
      <c r="H7826" t="s">
        <v>8580</v>
      </c>
      <c r="I7826">
        <v>6</v>
      </c>
      <c r="J7826" t="s">
        <v>445</v>
      </c>
      <c r="K7826" t="s">
        <v>446</v>
      </c>
      <c r="M7826">
        <v>2390</v>
      </c>
    </row>
    <row r="7827" spans="1:14">
      <c r="A7827">
        <v>29170020</v>
      </c>
      <c r="B7827">
        <v>4004065</v>
      </c>
      <c r="C7827" t="s">
        <v>12195</v>
      </c>
      <c r="D7827" t="s">
        <v>441</v>
      </c>
      <c r="F7827">
        <v>0</v>
      </c>
      <c r="G7827">
        <v>9.02</v>
      </c>
      <c r="H7827" t="s">
        <v>8588</v>
      </c>
      <c r="I7827">
        <v>6</v>
      </c>
      <c r="J7827" t="s">
        <v>462</v>
      </c>
      <c r="K7827" t="s">
        <v>446</v>
      </c>
      <c r="M7827">
        <v>2641</v>
      </c>
    </row>
    <row r="7828" spans="1:14">
      <c r="A7828">
        <v>29170051</v>
      </c>
      <c r="B7828">
        <v>4006892</v>
      </c>
      <c r="C7828" t="s">
        <v>12196</v>
      </c>
      <c r="D7828" t="s">
        <v>441</v>
      </c>
      <c r="F7828">
        <v>0</v>
      </c>
      <c r="G7828">
        <v>9.49</v>
      </c>
      <c r="H7828" t="s">
        <v>8588</v>
      </c>
      <c r="I7828">
        <v>11</v>
      </c>
      <c r="J7828" t="s">
        <v>462</v>
      </c>
      <c r="K7828" t="s">
        <v>446</v>
      </c>
      <c r="M7828">
        <v>2612</v>
      </c>
    </row>
    <row r="7829" spans="1:14">
      <c r="A7829">
        <v>29171000</v>
      </c>
      <c r="B7829">
        <v>3017344</v>
      </c>
      <c r="C7829" t="s">
        <v>3381</v>
      </c>
      <c r="D7829" t="s">
        <v>441</v>
      </c>
      <c r="F7829">
        <v>0</v>
      </c>
      <c r="G7829">
        <v>8.75</v>
      </c>
      <c r="H7829" t="s">
        <v>8935</v>
      </c>
      <c r="I7829">
        <v>6</v>
      </c>
      <c r="J7829" t="s">
        <v>445</v>
      </c>
      <c r="K7829" t="s">
        <v>446</v>
      </c>
      <c r="M7829">
        <v>2390</v>
      </c>
    </row>
    <row r="7830" spans="1:14">
      <c r="A7830">
        <v>29171020</v>
      </c>
      <c r="B7830">
        <v>4011625</v>
      </c>
      <c r="C7830" t="s">
        <v>12197</v>
      </c>
      <c r="D7830" t="s">
        <v>441</v>
      </c>
      <c r="F7830">
        <v>0</v>
      </c>
      <c r="G7830">
        <v>9.02</v>
      </c>
      <c r="H7830" t="s">
        <v>8588</v>
      </c>
      <c r="I7830">
        <v>6</v>
      </c>
      <c r="J7830" t="s">
        <v>462</v>
      </c>
      <c r="K7830" t="s">
        <v>446</v>
      </c>
      <c r="M7830">
        <v>2641</v>
      </c>
    </row>
    <row r="7831" spans="1:14">
      <c r="A7831">
        <v>29171051</v>
      </c>
      <c r="B7831">
        <v>4011676</v>
      </c>
      <c r="C7831" t="s">
        <v>12198</v>
      </c>
      <c r="D7831" t="s">
        <v>441</v>
      </c>
      <c r="F7831">
        <v>0</v>
      </c>
      <c r="G7831">
        <v>9.49</v>
      </c>
      <c r="H7831" t="s">
        <v>8588</v>
      </c>
      <c r="I7831">
        <v>11</v>
      </c>
      <c r="J7831" t="s">
        <v>462</v>
      </c>
      <c r="K7831" t="s">
        <v>446</v>
      </c>
      <c r="M7831">
        <v>2612</v>
      </c>
    </row>
    <row r="7832" spans="1:14">
      <c r="A7832">
        <v>29180019</v>
      </c>
      <c r="B7832">
        <v>4009544</v>
      </c>
      <c r="C7832" t="s">
        <v>3382</v>
      </c>
      <c r="D7832" t="s">
        <v>441</v>
      </c>
      <c r="F7832">
        <v>0</v>
      </c>
      <c r="G7832">
        <v>9.24</v>
      </c>
      <c r="H7832" t="s">
        <v>8588</v>
      </c>
      <c r="I7832">
        <v>365</v>
      </c>
      <c r="J7832" t="s">
        <v>462</v>
      </c>
      <c r="K7832" t="s">
        <v>446</v>
      </c>
      <c r="M7832">
        <v>2501</v>
      </c>
    </row>
    <row r="7833" spans="1:14">
      <c r="A7833">
        <v>29180028</v>
      </c>
      <c r="B7833">
        <v>4009543</v>
      </c>
      <c r="C7833" t="s">
        <v>3383</v>
      </c>
      <c r="D7833" t="s">
        <v>441</v>
      </c>
      <c r="F7833">
        <v>0</v>
      </c>
      <c r="G7833">
        <v>9.77</v>
      </c>
      <c r="H7833" t="s">
        <v>8588</v>
      </c>
      <c r="I7833">
        <v>365</v>
      </c>
      <c r="J7833" t="s">
        <v>462</v>
      </c>
      <c r="K7833" t="s">
        <v>446</v>
      </c>
      <c r="M7833">
        <v>2501</v>
      </c>
    </row>
    <row r="7834" spans="1:14">
      <c r="A7834">
        <v>29180519</v>
      </c>
      <c r="B7834">
        <v>3011803</v>
      </c>
      <c r="C7834" t="s">
        <v>3384</v>
      </c>
      <c r="D7834" t="s">
        <v>441</v>
      </c>
      <c r="F7834">
        <v>0</v>
      </c>
      <c r="G7834">
        <v>8.98</v>
      </c>
      <c r="H7834" t="s">
        <v>8580</v>
      </c>
      <c r="I7834">
        <v>6</v>
      </c>
      <c r="J7834" t="s">
        <v>445</v>
      </c>
      <c r="K7834" t="s">
        <v>446</v>
      </c>
      <c r="M7834">
        <v>2641</v>
      </c>
    </row>
    <row r="7835" spans="1:14">
      <c r="A7835">
        <v>29180528</v>
      </c>
      <c r="B7835">
        <v>3011795</v>
      </c>
      <c r="C7835" t="s">
        <v>3385</v>
      </c>
      <c r="D7835" t="s">
        <v>441</v>
      </c>
      <c r="F7835">
        <v>0</v>
      </c>
      <c r="G7835">
        <v>9.5</v>
      </c>
      <c r="H7835" t="s">
        <v>8580</v>
      </c>
      <c r="I7835">
        <v>6</v>
      </c>
      <c r="J7835" t="s">
        <v>445</v>
      </c>
      <c r="K7835" t="s">
        <v>446</v>
      </c>
      <c r="M7835">
        <v>2641</v>
      </c>
    </row>
    <row r="7836" spans="1:14">
      <c r="A7836">
        <v>29180619</v>
      </c>
      <c r="B7836">
        <v>3011804</v>
      </c>
      <c r="C7836" t="s">
        <v>3386</v>
      </c>
      <c r="D7836" t="s">
        <v>441</v>
      </c>
      <c r="F7836">
        <v>0</v>
      </c>
      <c r="G7836">
        <v>9.83</v>
      </c>
      <c r="I7836">
        <v>4</v>
      </c>
      <c r="J7836" t="s">
        <v>445</v>
      </c>
      <c r="K7836" t="s">
        <v>446</v>
      </c>
      <c r="M7836">
        <v>2511</v>
      </c>
    </row>
    <row r="7837" spans="1:14">
      <c r="A7837">
        <v>29180628</v>
      </c>
      <c r="B7837">
        <v>3011802</v>
      </c>
      <c r="C7837" t="s">
        <v>3387</v>
      </c>
      <c r="D7837" t="s">
        <v>441</v>
      </c>
      <c r="F7837">
        <v>0</v>
      </c>
      <c r="G7837">
        <v>10.38</v>
      </c>
      <c r="H7837" t="s">
        <v>8583</v>
      </c>
      <c r="I7837">
        <v>4</v>
      </c>
      <c r="J7837" t="s">
        <v>445</v>
      </c>
      <c r="K7837" t="s">
        <v>446</v>
      </c>
      <c r="M7837">
        <v>2511</v>
      </c>
    </row>
    <row r="7838" spans="1:14">
      <c r="A7838">
        <v>29181000</v>
      </c>
      <c r="B7838">
        <v>3011794</v>
      </c>
      <c r="C7838" t="s">
        <v>3388</v>
      </c>
      <c r="D7838" t="s">
        <v>441</v>
      </c>
      <c r="F7838">
        <v>0</v>
      </c>
      <c r="G7838">
        <v>8.82</v>
      </c>
      <c r="H7838" t="s">
        <v>8584</v>
      </c>
      <c r="I7838">
        <v>6</v>
      </c>
      <c r="J7838" t="s">
        <v>445</v>
      </c>
      <c r="K7838" t="s">
        <v>446</v>
      </c>
      <c r="M7838">
        <v>2314</v>
      </c>
    </row>
    <row r="7839" spans="1:14">
      <c r="A7839">
        <v>29186000</v>
      </c>
      <c r="B7839">
        <v>3011793</v>
      </c>
      <c r="C7839" t="s">
        <v>3389</v>
      </c>
      <c r="D7839" t="s">
        <v>441</v>
      </c>
      <c r="F7839">
        <v>0</v>
      </c>
      <c r="G7839">
        <v>8.83</v>
      </c>
      <c r="I7839">
        <v>6</v>
      </c>
      <c r="J7839" t="s">
        <v>445</v>
      </c>
      <c r="K7839" t="s">
        <v>446</v>
      </c>
      <c r="M7839">
        <v>2390</v>
      </c>
    </row>
    <row r="7840" spans="1:14">
      <c r="A7840">
        <v>29190000</v>
      </c>
      <c r="B7840">
        <v>3042769</v>
      </c>
      <c r="C7840" t="s">
        <v>15133</v>
      </c>
      <c r="D7840" t="s">
        <v>441</v>
      </c>
      <c r="F7840">
        <v>0</v>
      </c>
      <c r="G7840">
        <v>10.47</v>
      </c>
      <c r="H7840" t="s">
        <v>8549</v>
      </c>
      <c r="I7840">
        <v>6</v>
      </c>
      <c r="J7840" t="s">
        <v>445</v>
      </c>
      <c r="M7840">
        <v>2391</v>
      </c>
      <c r="N7840" t="s">
        <v>16363</v>
      </c>
    </row>
    <row r="7841" spans="1:14">
      <c r="A7841">
        <v>29190007</v>
      </c>
      <c r="B7841">
        <v>3042800</v>
      </c>
      <c r="C7841" t="s">
        <v>15134</v>
      </c>
      <c r="D7841" t="s">
        <v>441</v>
      </c>
      <c r="F7841">
        <v>0</v>
      </c>
      <c r="G7841">
        <v>10.6</v>
      </c>
      <c r="H7841" t="s">
        <v>8588</v>
      </c>
      <c r="I7841">
        <v>6</v>
      </c>
      <c r="J7841" t="s">
        <v>445</v>
      </c>
      <c r="M7841">
        <v>3111</v>
      </c>
      <c r="N7841" t="s">
        <v>16363</v>
      </c>
    </row>
    <row r="7842" spans="1:14">
      <c r="A7842">
        <v>29190020</v>
      </c>
      <c r="B7842">
        <v>4004066</v>
      </c>
      <c r="C7842" t="s">
        <v>12199</v>
      </c>
      <c r="D7842" t="s">
        <v>441</v>
      </c>
      <c r="F7842">
        <v>0</v>
      </c>
      <c r="G7842">
        <v>7.13</v>
      </c>
      <c r="H7842" t="s">
        <v>8588</v>
      </c>
      <c r="I7842">
        <v>6</v>
      </c>
      <c r="J7842" t="s">
        <v>462</v>
      </c>
      <c r="K7842" t="s">
        <v>446</v>
      </c>
      <c r="M7842">
        <v>2641</v>
      </c>
    </row>
    <row r="7843" spans="1:14">
      <c r="A7843">
        <v>29190907</v>
      </c>
      <c r="B7843">
        <v>3042891</v>
      </c>
      <c r="C7843" t="s">
        <v>15135</v>
      </c>
      <c r="D7843" t="s">
        <v>441</v>
      </c>
      <c r="F7843">
        <v>0</v>
      </c>
      <c r="G7843">
        <v>1</v>
      </c>
      <c r="H7843" t="s">
        <v>8588</v>
      </c>
      <c r="I7843">
        <v>6</v>
      </c>
      <c r="J7843" t="s">
        <v>445</v>
      </c>
      <c r="M7843">
        <v>6666</v>
      </c>
      <c r="N7843" t="s">
        <v>16363</v>
      </c>
    </row>
    <row r="7844" spans="1:14">
      <c r="A7844">
        <v>29194000</v>
      </c>
      <c r="B7844">
        <v>3042770</v>
      </c>
      <c r="C7844" t="s">
        <v>15136</v>
      </c>
      <c r="D7844" t="s">
        <v>441</v>
      </c>
      <c r="F7844">
        <v>0</v>
      </c>
      <c r="G7844">
        <v>10.47</v>
      </c>
      <c r="H7844" t="s">
        <v>8549</v>
      </c>
      <c r="I7844">
        <v>6</v>
      </c>
      <c r="J7844" t="s">
        <v>445</v>
      </c>
      <c r="M7844">
        <v>2391</v>
      </c>
      <c r="N7844" t="s">
        <v>16363</v>
      </c>
    </row>
    <row r="7845" spans="1:14">
      <c r="A7845">
        <v>29194007</v>
      </c>
      <c r="B7845">
        <v>3042792</v>
      </c>
      <c r="C7845" t="s">
        <v>15137</v>
      </c>
      <c r="D7845" t="s">
        <v>441</v>
      </c>
      <c r="F7845">
        <v>0</v>
      </c>
      <c r="G7845">
        <v>10.6</v>
      </c>
      <c r="H7845" t="s">
        <v>8588</v>
      </c>
      <c r="I7845">
        <v>6</v>
      </c>
      <c r="J7845" t="s">
        <v>445</v>
      </c>
      <c r="M7845">
        <v>3111</v>
      </c>
      <c r="N7845" t="s">
        <v>16363</v>
      </c>
    </row>
    <row r="7846" spans="1:14">
      <c r="A7846">
        <v>29194907</v>
      </c>
      <c r="B7846">
        <v>3042930</v>
      </c>
      <c r="C7846" t="s">
        <v>15138</v>
      </c>
      <c r="D7846" t="s">
        <v>441</v>
      </c>
      <c r="F7846">
        <v>0</v>
      </c>
      <c r="G7846">
        <v>1</v>
      </c>
      <c r="H7846" t="s">
        <v>8588</v>
      </c>
      <c r="I7846">
        <v>6</v>
      </c>
      <c r="J7846" t="s">
        <v>445</v>
      </c>
      <c r="M7846">
        <v>6666</v>
      </c>
      <c r="N7846" t="s">
        <v>16363</v>
      </c>
    </row>
    <row r="7847" spans="1:14">
      <c r="A7847">
        <v>29200000</v>
      </c>
      <c r="B7847">
        <v>3024686</v>
      </c>
      <c r="C7847" t="s">
        <v>15139</v>
      </c>
      <c r="D7847" t="s">
        <v>441</v>
      </c>
      <c r="F7847">
        <v>0</v>
      </c>
      <c r="G7847">
        <v>11.34</v>
      </c>
      <c r="H7847" t="s">
        <v>8549</v>
      </c>
      <c r="I7847">
        <v>6</v>
      </c>
      <c r="J7847" t="s">
        <v>445</v>
      </c>
      <c r="M7847">
        <v>2391</v>
      </c>
      <c r="N7847" t="s">
        <v>16072</v>
      </c>
    </row>
    <row r="7848" spans="1:14">
      <c r="A7848">
        <v>29200900</v>
      </c>
      <c r="B7848">
        <v>3024814</v>
      </c>
      <c r="C7848" t="s">
        <v>15140</v>
      </c>
      <c r="D7848" t="s">
        <v>441</v>
      </c>
      <c r="F7848">
        <v>0</v>
      </c>
      <c r="H7848" t="s">
        <v>8634</v>
      </c>
      <c r="I7848">
        <v>6</v>
      </c>
      <c r="J7848" t="s">
        <v>445</v>
      </c>
      <c r="M7848">
        <v>6666</v>
      </c>
      <c r="N7848" t="s">
        <v>16072</v>
      </c>
    </row>
    <row r="7849" spans="1:14">
      <c r="A7849">
        <v>29201000</v>
      </c>
      <c r="B7849">
        <v>3024687</v>
      </c>
      <c r="C7849" t="s">
        <v>15141</v>
      </c>
      <c r="D7849" t="s">
        <v>441</v>
      </c>
      <c r="F7849">
        <v>0</v>
      </c>
      <c r="G7849">
        <v>11.34</v>
      </c>
      <c r="H7849" t="s">
        <v>8549</v>
      </c>
      <c r="I7849">
        <v>6</v>
      </c>
      <c r="J7849" t="s">
        <v>445</v>
      </c>
      <c r="M7849">
        <v>2391</v>
      </c>
      <c r="N7849" t="s">
        <v>16072</v>
      </c>
    </row>
    <row r="7850" spans="1:14">
      <c r="A7850">
        <v>29201900</v>
      </c>
      <c r="B7850">
        <v>3024815</v>
      </c>
      <c r="C7850" t="s">
        <v>15142</v>
      </c>
      <c r="D7850" t="s">
        <v>441</v>
      </c>
      <c r="F7850">
        <v>0</v>
      </c>
      <c r="H7850" t="s">
        <v>8634</v>
      </c>
      <c r="I7850">
        <v>6</v>
      </c>
      <c r="J7850" t="s">
        <v>445</v>
      </c>
      <c r="M7850">
        <v>6666</v>
      </c>
      <c r="N7850" t="s">
        <v>16072</v>
      </c>
    </row>
    <row r="7851" spans="1:14">
      <c r="A7851">
        <v>29210000</v>
      </c>
      <c r="B7851">
        <v>3024688</v>
      </c>
      <c r="C7851" t="s">
        <v>15143</v>
      </c>
      <c r="D7851" t="s">
        <v>441</v>
      </c>
      <c r="F7851">
        <v>0</v>
      </c>
      <c r="G7851">
        <v>11.36</v>
      </c>
      <c r="H7851" t="s">
        <v>8549</v>
      </c>
      <c r="I7851">
        <v>6</v>
      </c>
      <c r="J7851" t="s">
        <v>445</v>
      </c>
      <c r="M7851">
        <v>2391</v>
      </c>
      <c r="N7851" t="s">
        <v>16072</v>
      </c>
    </row>
    <row r="7852" spans="1:14">
      <c r="A7852">
        <v>29211000</v>
      </c>
      <c r="B7852">
        <v>3024689</v>
      </c>
      <c r="C7852" t="s">
        <v>15144</v>
      </c>
      <c r="D7852" t="s">
        <v>441</v>
      </c>
      <c r="F7852">
        <v>0</v>
      </c>
      <c r="G7852">
        <v>11.36</v>
      </c>
      <c r="H7852" t="s">
        <v>8549</v>
      </c>
      <c r="I7852">
        <v>6</v>
      </c>
      <c r="J7852" t="s">
        <v>445</v>
      </c>
      <c r="M7852">
        <v>2391</v>
      </c>
      <c r="N7852" t="s">
        <v>16072</v>
      </c>
    </row>
    <row r="7853" spans="1:14">
      <c r="A7853">
        <v>29220000</v>
      </c>
      <c r="B7853">
        <v>3024710</v>
      </c>
      <c r="C7853" t="s">
        <v>15145</v>
      </c>
      <c r="D7853" t="s">
        <v>441</v>
      </c>
      <c r="F7853">
        <v>0</v>
      </c>
      <c r="G7853">
        <v>9.8699999999999992</v>
      </c>
      <c r="H7853" t="s">
        <v>8549</v>
      </c>
      <c r="I7853">
        <v>6</v>
      </c>
      <c r="J7853" t="s">
        <v>445</v>
      </c>
      <c r="M7853">
        <v>2391</v>
      </c>
      <c r="N7853" t="s">
        <v>16072</v>
      </c>
    </row>
    <row r="7854" spans="1:14">
      <c r="A7854">
        <v>29221000</v>
      </c>
      <c r="B7854">
        <v>3024719</v>
      </c>
      <c r="C7854" t="s">
        <v>15146</v>
      </c>
      <c r="D7854" t="s">
        <v>441</v>
      </c>
      <c r="F7854">
        <v>0</v>
      </c>
      <c r="G7854">
        <v>9.8699999999999992</v>
      </c>
      <c r="H7854" t="s">
        <v>8588</v>
      </c>
      <c r="I7854">
        <v>6</v>
      </c>
      <c r="J7854" t="s">
        <v>445</v>
      </c>
      <c r="M7854">
        <v>2391</v>
      </c>
      <c r="N7854" t="s">
        <v>16072</v>
      </c>
    </row>
    <row r="7855" spans="1:14">
      <c r="A7855">
        <v>29230028</v>
      </c>
      <c r="B7855">
        <v>4016304</v>
      </c>
      <c r="C7855" t="s">
        <v>15147</v>
      </c>
      <c r="D7855" t="s">
        <v>441</v>
      </c>
      <c r="F7855">
        <v>0</v>
      </c>
      <c r="G7855">
        <v>12.08</v>
      </c>
      <c r="H7855" t="s">
        <v>8588</v>
      </c>
      <c r="I7855">
        <v>540</v>
      </c>
      <c r="J7855" t="s">
        <v>462</v>
      </c>
      <c r="M7855">
        <v>7111</v>
      </c>
      <c r="N7855" t="s">
        <v>16072</v>
      </c>
    </row>
    <row r="7856" spans="1:14">
      <c r="A7856">
        <v>29230029</v>
      </c>
      <c r="B7856">
        <v>4021682</v>
      </c>
      <c r="C7856" t="s">
        <v>12200</v>
      </c>
      <c r="D7856" t="s">
        <v>441</v>
      </c>
      <c r="F7856">
        <v>0</v>
      </c>
      <c r="G7856">
        <v>9.5299999999999994</v>
      </c>
      <c r="H7856" t="s">
        <v>8588</v>
      </c>
      <c r="I7856">
        <v>540</v>
      </c>
      <c r="J7856" t="s">
        <v>462</v>
      </c>
      <c r="K7856" t="s">
        <v>446</v>
      </c>
      <c r="M7856">
        <v>2501</v>
      </c>
      <c r="N7856" t="s">
        <v>16350</v>
      </c>
    </row>
    <row r="7857" spans="1:14">
      <c r="A7857">
        <v>29230528</v>
      </c>
      <c r="B7857">
        <v>3024714</v>
      </c>
      <c r="C7857" t="s">
        <v>15148</v>
      </c>
      <c r="D7857" t="s">
        <v>441</v>
      </c>
      <c r="F7857">
        <v>0</v>
      </c>
      <c r="G7857">
        <v>11.6</v>
      </c>
      <c r="H7857" t="s">
        <v>8588</v>
      </c>
      <c r="I7857">
        <v>540</v>
      </c>
      <c r="J7857" t="s">
        <v>445</v>
      </c>
      <c r="K7857" t="s">
        <v>446</v>
      </c>
      <c r="M7857">
        <v>2502</v>
      </c>
      <c r="N7857" t="s">
        <v>16072</v>
      </c>
    </row>
    <row r="7858" spans="1:14">
      <c r="A7858">
        <v>29230529</v>
      </c>
      <c r="B7858">
        <v>3032627</v>
      </c>
      <c r="C7858" t="s">
        <v>12201</v>
      </c>
      <c r="D7858" t="s">
        <v>441</v>
      </c>
      <c r="F7858">
        <v>0</v>
      </c>
      <c r="G7858">
        <v>9.33</v>
      </c>
      <c r="H7858" t="s">
        <v>8588</v>
      </c>
      <c r="I7858">
        <v>540</v>
      </c>
      <c r="J7858" t="s">
        <v>445</v>
      </c>
      <c r="K7858" t="s">
        <v>446</v>
      </c>
      <c r="M7858">
        <v>2641</v>
      </c>
      <c r="N7858" t="s">
        <v>16350</v>
      </c>
    </row>
    <row r="7859" spans="1:14">
      <c r="A7859">
        <v>29231028</v>
      </c>
      <c r="B7859">
        <v>4016303</v>
      </c>
      <c r="C7859" t="s">
        <v>12202</v>
      </c>
      <c r="D7859" t="s">
        <v>441</v>
      </c>
      <c r="F7859">
        <v>0</v>
      </c>
      <c r="G7859">
        <v>8.68</v>
      </c>
      <c r="H7859" t="s">
        <v>8588</v>
      </c>
      <c r="I7859">
        <v>365</v>
      </c>
      <c r="J7859" t="s">
        <v>462</v>
      </c>
      <c r="K7859" t="s">
        <v>446</v>
      </c>
      <c r="M7859">
        <v>2501</v>
      </c>
      <c r="N7859" t="s">
        <v>16350</v>
      </c>
    </row>
    <row r="7860" spans="1:14">
      <c r="A7860">
        <v>29231528</v>
      </c>
      <c r="B7860">
        <v>3024716</v>
      </c>
      <c r="C7860" t="s">
        <v>3390</v>
      </c>
      <c r="D7860" t="s">
        <v>441</v>
      </c>
      <c r="F7860">
        <v>0</v>
      </c>
      <c r="G7860">
        <v>8.49</v>
      </c>
      <c r="H7860" t="s">
        <v>8588</v>
      </c>
      <c r="I7860">
        <v>540</v>
      </c>
      <c r="J7860" t="s">
        <v>445</v>
      </c>
      <c r="K7860" t="s">
        <v>446</v>
      </c>
      <c r="M7860">
        <v>2641</v>
      </c>
      <c r="N7860" t="s">
        <v>16350</v>
      </c>
    </row>
    <row r="7861" spans="1:14">
      <c r="A7861">
        <v>29233000</v>
      </c>
      <c r="B7861">
        <v>3024712</v>
      </c>
      <c r="C7861" t="s">
        <v>15149</v>
      </c>
      <c r="D7861" t="s">
        <v>441</v>
      </c>
      <c r="F7861">
        <v>0</v>
      </c>
      <c r="G7861">
        <v>11.28</v>
      </c>
      <c r="H7861" t="s">
        <v>8588</v>
      </c>
      <c r="I7861">
        <v>6</v>
      </c>
      <c r="J7861" t="s">
        <v>445</v>
      </c>
      <c r="K7861" t="s">
        <v>446</v>
      </c>
      <c r="M7861">
        <v>2391</v>
      </c>
      <c r="N7861" t="s">
        <v>16072</v>
      </c>
    </row>
    <row r="7862" spans="1:14">
      <c r="A7862">
        <v>29236000</v>
      </c>
      <c r="B7862">
        <v>3024713</v>
      </c>
      <c r="C7862" t="s">
        <v>15150</v>
      </c>
      <c r="D7862" t="s">
        <v>441</v>
      </c>
      <c r="F7862">
        <v>0</v>
      </c>
      <c r="G7862">
        <v>11.13</v>
      </c>
      <c r="H7862" t="s">
        <v>8588</v>
      </c>
      <c r="I7862">
        <v>6</v>
      </c>
      <c r="J7862" t="s">
        <v>445</v>
      </c>
      <c r="K7862" t="s">
        <v>446</v>
      </c>
      <c r="M7862">
        <v>2391</v>
      </c>
      <c r="N7862" t="s">
        <v>16072</v>
      </c>
    </row>
    <row r="7863" spans="1:14">
      <c r="A7863">
        <v>29240000</v>
      </c>
      <c r="B7863">
        <v>3024717</v>
      </c>
      <c r="C7863" t="s">
        <v>15151</v>
      </c>
      <c r="D7863" t="s">
        <v>441</v>
      </c>
      <c r="F7863">
        <v>0</v>
      </c>
      <c r="G7863">
        <v>11.34</v>
      </c>
      <c r="H7863" t="s">
        <v>8588</v>
      </c>
      <c r="I7863">
        <v>6</v>
      </c>
      <c r="J7863" t="s">
        <v>445</v>
      </c>
      <c r="M7863">
        <v>2391</v>
      </c>
      <c r="N7863" t="s">
        <v>16072</v>
      </c>
    </row>
    <row r="7864" spans="1:14">
      <c r="A7864">
        <v>29240002</v>
      </c>
      <c r="B7864">
        <v>3027890</v>
      </c>
      <c r="C7864" t="s">
        <v>15152</v>
      </c>
      <c r="D7864" t="s">
        <v>441</v>
      </c>
      <c r="F7864">
        <v>0</v>
      </c>
      <c r="G7864">
        <v>12.13</v>
      </c>
      <c r="H7864" t="s">
        <v>8549</v>
      </c>
      <c r="I7864">
        <v>540</v>
      </c>
      <c r="J7864" t="s">
        <v>445</v>
      </c>
      <c r="M7864">
        <v>7111</v>
      </c>
      <c r="N7864" t="s">
        <v>16072</v>
      </c>
    </row>
    <row r="7865" spans="1:14">
      <c r="A7865">
        <v>29240007</v>
      </c>
      <c r="B7865">
        <v>3025496</v>
      </c>
      <c r="C7865" t="s">
        <v>15153</v>
      </c>
      <c r="D7865" t="s">
        <v>441</v>
      </c>
      <c r="F7865">
        <v>0</v>
      </c>
      <c r="G7865">
        <v>11.47</v>
      </c>
      <c r="H7865" t="s">
        <v>8588</v>
      </c>
      <c r="I7865">
        <v>6</v>
      </c>
      <c r="J7865" t="s">
        <v>445</v>
      </c>
      <c r="M7865">
        <v>3111</v>
      </c>
      <c r="N7865" t="s">
        <v>16072</v>
      </c>
    </row>
    <row r="7866" spans="1:14">
      <c r="A7866">
        <v>29240100</v>
      </c>
      <c r="B7866">
        <v>3030637</v>
      </c>
      <c r="C7866" t="s">
        <v>15154</v>
      </c>
      <c r="D7866" t="s">
        <v>441</v>
      </c>
      <c r="F7866">
        <v>0</v>
      </c>
      <c r="H7866" t="s">
        <v>8588</v>
      </c>
      <c r="I7866">
        <v>6</v>
      </c>
      <c r="J7866" t="s">
        <v>445</v>
      </c>
      <c r="M7866">
        <v>7161</v>
      </c>
      <c r="N7866" t="s">
        <v>16072</v>
      </c>
    </row>
    <row r="7867" spans="1:14">
      <c r="A7867">
        <v>29240110</v>
      </c>
      <c r="B7867">
        <v>3033561</v>
      </c>
      <c r="C7867" t="s">
        <v>15155</v>
      </c>
      <c r="D7867" t="s">
        <v>441</v>
      </c>
      <c r="F7867">
        <v>0</v>
      </c>
      <c r="H7867" t="s">
        <v>8588</v>
      </c>
      <c r="I7867">
        <v>6</v>
      </c>
      <c r="J7867" t="s">
        <v>445</v>
      </c>
      <c r="M7867">
        <v>7161</v>
      </c>
      <c r="N7867" t="s">
        <v>16072</v>
      </c>
    </row>
    <row r="7868" spans="1:14">
      <c r="A7868">
        <v>29240502</v>
      </c>
      <c r="B7868">
        <v>3027887</v>
      </c>
      <c r="C7868" t="s">
        <v>15156</v>
      </c>
      <c r="D7868" t="s">
        <v>441</v>
      </c>
      <c r="F7868">
        <v>0</v>
      </c>
      <c r="G7868">
        <v>11.55</v>
      </c>
      <c r="H7868" t="s">
        <v>8549</v>
      </c>
      <c r="I7868">
        <v>540</v>
      </c>
      <c r="J7868" t="s">
        <v>445</v>
      </c>
      <c r="M7868">
        <v>2502</v>
      </c>
      <c r="N7868" t="s">
        <v>16072</v>
      </c>
    </row>
    <row r="7869" spans="1:14">
      <c r="A7869">
        <v>29240602</v>
      </c>
      <c r="B7869">
        <v>3028400</v>
      </c>
      <c r="C7869" t="s">
        <v>15157</v>
      </c>
      <c r="D7869" t="s">
        <v>441</v>
      </c>
      <c r="F7869">
        <v>0</v>
      </c>
      <c r="G7869">
        <v>12.36</v>
      </c>
      <c r="H7869" t="s">
        <v>8588</v>
      </c>
      <c r="I7869">
        <v>4</v>
      </c>
      <c r="J7869" t="s">
        <v>445</v>
      </c>
      <c r="M7869">
        <v>2510</v>
      </c>
      <c r="N7869" t="s">
        <v>16072</v>
      </c>
    </row>
    <row r="7870" spans="1:14">
      <c r="A7870">
        <v>29240900</v>
      </c>
      <c r="B7870">
        <v>3025326</v>
      </c>
      <c r="C7870" t="s">
        <v>15158</v>
      </c>
      <c r="D7870" t="s">
        <v>441</v>
      </c>
      <c r="F7870">
        <v>0</v>
      </c>
      <c r="H7870" t="s">
        <v>8584</v>
      </c>
      <c r="I7870">
        <v>6</v>
      </c>
      <c r="J7870" t="s">
        <v>445</v>
      </c>
      <c r="M7870">
        <v>6666</v>
      </c>
      <c r="N7870" t="s">
        <v>16072</v>
      </c>
    </row>
    <row r="7871" spans="1:14">
      <c r="A7871">
        <v>29240902</v>
      </c>
      <c r="B7871">
        <v>3028402</v>
      </c>
      <c r="C7871" t="s">
        <v>15159</v>
      </c>
      <c r="D7871" t="s">
        <v>441</v>
      </c>
      <c r="F7871">
        <v>0</v>
      </c>
      <c r="I7871">
        <v>4</v>
      </c>
      <c r="J7871" t="s">
        <v>445</v>
      </c>
      <c r="M7871">
        <v>6666</v>
      </c>
      <c r="N7871" t="s">
        <v>16072</v>
      </c>
    </row>
    <row r="7872" spans="1:14">
      <c r="A7872">
        <v>29240907</v>
      </c>
      <c r="B7872">
        <v>3025498</v>
      </c>
      <c r="C7872" t="s">
        <v>15160</v>
      </c>
      <c r="D7872" t="s">
        <v>441</v>
      </c>
      <c r="F7872">
        <v>0</v>
      </c>
      <c r="H7872" t="s">
        <v>8935</v>
      </c>
      <c r="I7872">
        <v>6</v>
      </c>
      <c r="J7872" t="s">
        <v>445</v>
      </c>
      <c r="M7872">
        <v>6666</v>
      </c>
      <c r="N7872" t="s">
        <v>16072</v>
      </c>
    </row>
    <row r="7873" spans="1:14">
      <c r="A7873">
        <v>29241000</v>
      </c>
      <c r="B7873">
        <v>3024715</v>
      </c>
      <c r="C7873" t="s">
        <v>15161</v>
      </c>
      <c r="D7873" t="s">
        <v>441</v>
      </c>
      <c r="F7873">
        <v>0</v>
      </c>
      <c r="G7873">
        <v>11.34</v>
      </c>
      <c r="H7873" t="s">
        <v>8588</v>
      </c>
      <c r="I7873">
        <v>6</v>
      </c>
      <c r="J7873" t="s">
        <v>445</v>
      </c>
      <c r="K7873" t="s">
        <v>446</v>
      </c>
      <c r="M7873">
        <v>2391</v>
      </c>
      <c r="N7873" t="s">
        <v>16072</v>
      </c>
    </row>
    <row r="7874" spans="1:14">
      <c r="A7874">
        <v>29250000</v>
      </c>
      <c r="B7874">
        <v>3018265</v>
      </c>
      <c r="C7874" t="s">
        <v>15162</v>
      </c>
      <c r="D7874" t="s">
        <v>441</v>
      </c>
      <c r="F7874">
        <v>0</v>
      </c>
      <c r="G7874">
        <v>15.72</v>
      </c>
      <c r="H7874" t="s">
        <v>8580</v>
      </c>
      <c r="I7874">
        <v>6</v>
      </c>
      <c r="J7874" t="s">
        <v>445</v>
      </c>
      <c r="K7874" t="s">
        <v>446</v>
      </c>
      <c r="M7874">
        <v>2391</v>
      </c>
      <c r="N7874" t="s">
        <v>16352</v>
      </c>
    </row>
    <row r="7875" spans="1:14">
      <c r="A7875">
        <v>29250007</v>
      </c>
      <c r="B7875">
        <v>3026026</v>
      </c>
      <c r="C7875" t="s">
        <v>15163</v>
      </c>
      <c r="D7875" t="s">
        <v>441</v>
      </c>
      <c r="F7875">
        <v>0</v>
      </c>
      <c r="G7875">
        <v>15.88</v>
      </c>
      <c r="H7875" t="s">
        <v>8588</v>
      </c>
      <c r="I7875">
        <v>6</v>
      </c>
      <c r="J7875" t="s">
        <v>445</v>
      </c>
      <c r="K7875" t="s">
        <v>446</v>
      </c>
      <c r="M7875">
        <v>2391</v>
      </c>
      <c r="N7875" t="s">
        <v>16352</v>
      </c>
    </row>
    <row r="7876" spans="1:14">
      <c r="A7876">
        <v>29250080</v>
      </c>
      <c r="B7876">
        <v>3027478</v>
      </c>
      <c r="C7876" t="s">
        <v>15164</v>
      </c>
      <c r="D7876" t="s">
        <v>441</v>
      </c>
      <c r="F7876">
        <v>0</v>
      </c>
      <c r="G7876">
        <v>15.9</v>
      </c>
      <c r="H7876" t="s">
        <v>8588</v>
      </c>
      <c r="I7876">
        <v>6</v>
      </c>
      <c r="J7876" t="s">
        <v>445</v>
      </c>
      <c r="K7876" t="s">
        <v>446</v>
      </c>
      <c r="M7876">
        <v>7112</v>
      </c>
      <c r="N7876" t="s">
        <v>16352</v>
      </c>
    </row>
    <row r="7877" spans="1:14">
      <c r="A7877">
        <v>29254000</v>
      </c>
      <c r="B7877">
        <v>3041305</v>
      </c>
      <c r="C7877" t="s">
        <v>15165</v>
      </c>
      <c r="D7877" t="s">
        <v>441</v>
      </c>
      <c r="F7877">
        <v>0</v>
      </c>
      <c r="G7877">
        <v>15.72</v>
      </c>
      <c r="H7877" t="s">
        <v>8549</v>
      </c>
      <c r="I7877">
        <v>6</v>
      </c>
      <c r="J7877" t="s">
        <v>445</v>
      </c>
      <c r="K7877" t="s">
        <v>446</v>
      </c>
      <c r="M7877">
        <v>2391</v>
      </c>
      <c r="N7877" t="s">
        <v>16352</v>
      </c>
    </row>
    <row r="7878" spans="1:14">
      <c r="A7878">
        <v>29254007</v>
      </c>
      <c r="B7878">
        <v>3041239</v>
      </c>
      <c r="C7878" t="s">
        <v>15166</v>
      </c>
      <c r="D7878" t="s">
        <v>441</v>
      </c>
      <c r="F7878">
        <v>0</v>
      </c>
      <c r="G7878">
        <v>15.88</v>
      </c>
      <c r="H7878" t="s">
        <v>8588</v>
      </c>
      <c r="I7878">
        <v>6</v>
      </c>
      <c r="J7878" t="s">
        <v>445</v>
      </c>
      <c r="K7878" t="s">
        <v>446</v>
      </c>
      <c r="M7878">
        <v>2391</v>
      </c>
      <c r="N7878" t="s">
        <v>16352</v>
      </c>
    </row>
    <row r="7879" spans="1:14">
      <c r="A7879">
        <v>29260000</v>
      </c>
      <c r="B7879">
        <v>3012584</v>
      </c>
      <c r="C7879" t="s">
        <v>14733</v>
      </c>
      <c r="D7879" t="s">
        <v>441</v>
      </c>
      <c r="F7879">
        <v>0</v>
      </c>
      <c r="G7879">
        <v>13.31</v>
      </c>
      <c r="H7879" t="s">
        <v>8580</v>
      </c>
      <c r="I7879">
        <v>6</v>
      </c>
      <c r="J7879" t="s">
        <v>445</v>
      </c>
      <c r="M7879">
        <v>2391</v>
      </c>
      <c r="N7879" t="s">
        <v>16089</v>
      </c>
    </row>
    <row r="7880" spans="1:14">
      <c r="A7880">
        <v>29261000</v>
      </c>
      <c r="B7880">
        <v>3026230</v>
      </c>
      <c r="C7880" t="s">
        <v>15167</v>
      </c>
      <c r="D7880" t="s">
        <v>441</v>
      </c>
      <c r="F7880">
        <v>0</v>
      </c>
      <c r="G7880">
        <v>13.31</v>
      </c>
      <c r="H7880" t="s">
        <v>8588</v>
      </c>
      <c r="I7880">
        <v>6</v>
      </c>
      <c r="J7880" t="s">
        <v>445</v>
      </c>
      <c r="K7880" t="s">
        <v>446</v>
      </c>
      <c r="M7880">
        <v>2391</v>
      </c>
      <c r="N7880" t="s">
        <v>16089</v>
      </c>
    </row>
    <row r="7881" spans="1:14">
      <c r="A7881">
        <v>29270000</v>
      </c>
      <c r="B7881">
        <v>3008891</v>
      </c>
      <c r="C7881" t="s">
        <v>3391</v>
      </c>
      <c r="D7881" t="s">
        <v>441</v>
      </c>
      <c r="F7881">
        <v>0</v>
      </c>
      <c r="G7881">
        <v>10.63</v>
      </c>
      <c r="H7881" t="s">
        <v>8580</v>
      </c>
      <c r="I7881">
        <v>6</v>
      </c>
      <c r="J7881" t="s">
        <v>445</v>
      </c>
      <c r="K7881" t="s">
        <v>446</v>
      </c>
      <c r="M7881">
        <v>0</v>
      </c>
    </row>
    <row r="7882" spans="1:14">
      <c r="A7882">
        <v>29270028</v>
      </c>
      <c r="B7882">
        <v>4008157</v>
      </c>
      <c r="C7882" t="s">
        <v>3392</v>
      </c>
      <c r="D7882" t="s">
        <v>441</v>
      </c>
      <c r="F7882">
        <v>0</v>
      </c>
      <c r="G7882">
        <v>11.4</v>
      </c>
      <c r="H7882" t="s">
        <v>8588</v>
      </c>
      <c r="I7882">
        <v>365</v>
      </c>
      <c r="J7882" t="s">
        <v>462</v>
      </c>
      <c r="K7882" t="s">
        <v>446</v>
      </c>
      <c r="M7882">
        <v>2501</v>
      </c>
    </row>
    <row r="7883" spans="1:14">
      <c r="A7883">
        <v>29270528</v>
      </c>
      <c r="B7883">
        <v>3008962</v>
      </c>
      <c r="C7883" t="s">
        <v>3393</v>
      </c>
      <c r="D7883" t="s">
        <v>441</v>
      </c>
      <c r="F7883">
        <v>0</v>
      </c>
      <c r="G7883">
        <v>11.14</v>
      </c>
      <c r="H7883" t="s">
        <v>8580</v>
      </c>
      <c r="I7883">
        <v>6</v>
      </c>
      <c r="J7883" t="s">
        <v>445</v>
      </c>
      <c r="K7883" t="s">
        <v>446</v>
      </c>
      <c r="M7883">
        <v>2641</v>
      </c>
    </row>
    <row r="7884" spans="1:14">
      <c r="A7884">
        <v>29270628</v>
      </c>
      <c r="B7884">
        <v>3010589</v>
      </c>
      <c r="C7884" t="s">
        <v>3394</v>
      </c>
      <c r="D7884" t="s">
        <v>441</v>
      </c>
      <c r="F7884">
        <v>0</v>
      </c>
      <c r="G7884">
        <v>11.5</v>
      </c>
      <c r="H7884" t="s">
        <v>8580</v>
      </c>
      <c r="I7884">
        <v>4</v>
      </c>
      <c r="J7884" t="s">
        <v>445</v>
      </c>
      <c r="K7884" t="s">
        <v>446</v>
      </c>
      <c r="M7884">
        <v>2511</v>
      </c>
    </row>
    <row r="7885" spans="1:14">
      <c r="A7885">
        <v>29271000</v>
      </c>
      <c r="B7885">
        <v>3009214</v>
      </c>
      <c r="C7885" t="s">
        <v>3395</v>
      </c>
      <c r="D7885" t="s">
        <v>441</v>
      </c>
      <c r="F7885">
        <v>0</v>
      </c>
      <c r="G7885">
        <v>10.63</v>
      </c>
      <c r="H7885" t="s">
        <v>8549</v>
      </c>
      <c r="I7885">
        <v>6</v>
      </c>
      <c r="J7885" t="s">
        <v>445</v>
      </c>
      <c r="K7885" t="s">
        <v>446</v>
      </c>
      <c r="M7885">
        <v>2314</v>
      </c>
    </row>
    <row r="7886" spans="1:14">
      <c r="A7886">
        <v>29273000</v>
      </c>
      <c r="B7886">
        <v>3008890</v>
      </c>
      <c r="C7886" t="s">
        <v>3396</v>
      </c>
      <c r="D7886" t="s">
        <v>441</v>
      </c>
      <c r="F7886">
        <v>0</v>
      </c>
      <c r="G7886">
        <v>10.64</v>
      </c>
      <c r="H7886" t="s">
        <v>8580</v>
      </c>
      <c r="I7886">
        <v>6</v>
      </c>
      <c r="J7886" t="s">
        <v>445</v>
      </c>
      <c r="K7886" t="s">
        <v>446</v>
      </c>
      <c r="M7886">
        <v>2390</v>
      </c>
    </row>
    <row r="7887" spans="1:14">
      <c r="A7887">
        <v>29276000</v>
      </c>
      <c r="B7887">
        <v>3009215</v>
      </c>
      <c r="C7887" t="s">
        <v>3397</v>
      </c>
      <c r="D7887" t="s">
        <v>441</v>
      </c>
      <c r="F7887">
        <v>0</v>
      </c>
      <c r="G7887">
        <v>10.64</v>
      </c>
      <c r="I7887">
        <v>6</v>
      </c>
      <c r="J7887" t="s">
        <v>445</v>
      </c>
      <c r="K7887" t="s">
        <v>446</v>
      </c>
      <c r="M7887">
        <v>2390</v>
      </c>
    </row>
    <row r="7888" spans="1:14">
      <c r="A7888">
        <v>29280000</v>
      </c>
      <c r="B7888">
        <v>3008112</v>
      </c>
      <c r="C7888" t="s">
        <v>12203</v>
      </c>
      <c r="D7888" t="s">
        <v>441</v>
      </c>
      <c r="F7888">
        <v>0</v>
      </c>
      <c r="G7888">
        <v>11.65</v>
      </c>
      <c r="H7888" t="s">
        <v>8634</v>
      </c>
      <c r="I7888">
        <v>6</v>
      </c>
      <c r="J7888" t="s">
        <v>445</v>
      </c>
      <c r="K7888" t="s">
        <v>446</v>
      </c>
      <c r="M7888">
        <v>2390</v>
      </c>
    </row>
    <row r="7889" spans="1:14">
      <c r="A7889">
        <v>29280002</v>
      </c>
      <c r="B7889">
        <v>3008113</v>
      </c>
      <c r="C7889" t="s">
        <v>12204</v>
      </c>
      <c r="D7889" t="s">
        <v>441</v>
      </c>
      <c r="F7889">
        <v>0</v>
      </c>
      <c r="G7889">
        <v>12.21</v>
      </c>
      <c r="H7889" t="s">
        <v>8634</v>
      </c>
      <c r="I7889">
        <v>365</v>
      </c>
      <c r="J7889" t="s">
        <v>445</v>
      </c>
      <c r="K7889" t="s">
        <v>446</v>
      </c>
      <c r="M7889">
        <v>2501</v>
      </c>
    </row>
    <row r="7890" spans="1:14">
      <c r="A7890">
        <v>29280502</v>
      </c>
      <c r="B7890">
        <v>3008114</v>
      </c>
      <c r="C7890" t="s">
        <v>12205</v>
      </c>
      <c r="D7890" t="s">
        <v>441</v>
      </c>
      <c r="F7890">
        <v>0</v>
      </c>
      <c r="G7890">
        <v>11.82</v>
      </c>
      <c r="H7890" t="s">
        <v>8634</v>
      </c>
      <c r="I7890">
        <v>6</v>
      </c>
      <c r="J7890" t="s">
        <v>445</v>
      </c>
      <c r="K7890" t="s">
        <v>446</v>
      </c>
      <c r="M7890">
        <v>2641</v>
      </c>
    </row>
    <row r="7891" spans="1:14">
      <c r="A7891">
        <v>29280602</v>
      </c>
      <c r="B7891">
        <v>3008115</v>
      </c>
      <c r="C7891" t="s">
        <v>12206</v>
      </c>
      <c r="D7891" t="s">
        <v>441</v>
      </c>
      <c r="F7891">
        <v>0</v>
      </c>
      <c r="G7891">
        <v>12.95</v>
      </c>
      <c r="H7891" t="s">
        <v>8634</v>
      </c>
      <c r="I7891">
        <v>4</v>
      </c>
      <c r="J7891" t="s">
        <v>445</v>
      </c>
      <c r="K7891" t="s">
        <v>446</v>
      </c>
      <c r="M7891">
        <v>2511</v>
      </c>
    </row>
    <row r="7892" spans="1:14">
      <c r="A7892">
        <v>29290000</v>
      </c>
      <c r="B7892">
        <v>3008116</v>
      </c>
      <c r="C7892" t="s">
        <v>12207</v>
      </c>
      <c r="D7892" t="s">
        <v>441</v>
      </c>
      <c r="F7892">
        <v>0</v>
      </c>
      <c r="G7892">
        <v>11.65</v>
      </c>
      <c r="H7892" t="s">
        <v>8580</v>
      </c>
      <c r="I7892">
        <v>6</v>
      </c>
      <c r="J7892" t="s">
        <v>445</v>
      </c>
      <c r="K7892" t="s">
        <v>446</v>
      </c>
      <c r="M7892">
        <v>2390</v>
      </c>
    </row>
    <row r="7893" spans="1:14">
      <c r="A7893">
        <v>29290002</v>
      </c>
      <c r="B7893">
        <v>3008117</v>
      </c>
      <c r="C7893" t="s">
        <v>12208</v>
      </c>
      <c r="D7893" t="s">
        <v>441</v>
      </c>
      <c r="F7893">
        <v>0</v>
      </c>
      <c r="G7893">
        <v>12.09</v>
      </c>
      <c r="H7893" t="s">
        <v>8580</v>
      </c>
      <c r="I7893">
        <v>365</v>
      </c>
      <c r="J7893" t="s">
        <v>445</v>
      </c>
      <c r="K7893" t="s">
        <v>446</v>
      </c>
      <c r="M7893">
        <v>2501</v>
      </c>
    </row>
    <row r="7894" spans="1:14">
      <c r="A7894">
        <v>29290502</v>
      </c>
      <c r="B7894">
        <v>3008118</v>
      </c>
      <c r="C7894" t="s">
        <v>12209</v>
      </c>
      <c r="D7894" t="s">
        <v>441</v>
      </c>
      <c r="F7894">
        <v>0</v>
      </c>
      <c r="G7894">
        <v>11.7</v>
      </c>
      <c r="H7894" t="s">
        <v>8580</v>
      </c>
      <c r="I7894">
        <v>6</v>
      </c>
      <c r="J7894" t="s">
        <v>445</v>
      </c>
      <c r="K7894" t="s">
        <v>446</v>
      </c>
      <c r="M7894">
        <v>2641</v>
      </c>
    </row>
    <row r="7895" spans="1:14">
      <c r="A7895">
        <v>29290602</v>
      </c>
      <c r="B7895">
        <v>3008119</v>
      </c>
      <c r="C7895" t="s">
        <v>12210</v>
      </c>
      <c r="D7895" t="s">
        <v>441</v>
      </c>
      <c r="F7895">
        <v>0</v>
      </c>
      <c r="G7895">
        <v>12.82</v>
      </c>
      <c r="H7895" t="s">
        <v>8580</v>
      </c>
      <c r="I7895">
        <v>4</v>
      </c>
      <c r="J7895" t="s">
        <v>445</v>
      </c>
      <c r="K7895" t="s">
        <v>446</v>
      </c>
      <c r="M7895">
        <v>2511</v>
      </c>
    </row>
    <row r="7896" spans="1:14">
      <c r="A7896">
        <v>29300000</v>
      </c>
      <c r="B7896">
        <v>3027504</v>
      </c>
      <c r="C7896" t="s">
        <v>15168</v>
      </c>
      <c r="D7896" t="s">
        <v>441</v>
      </c>
      <c r="F7896">
        <v>0</v>
      </c>
      <c r="G7896">
        <v>15.66</v>
      </c>
      <c r="H7896" t="s">
        <v>10973</v>
      </c>
      <c r="I7896">
        <v>6</v>
      </c>
      <c r="J7896" t="s">
        <v>445</v>
      </c>
      <c r="K7896" t="s">
        <v>446</v>
      </c>
      <c r="M7896">
        <v>2391</v>
      </c>
      <c r="N7896" t="s">
        <v>16352</v>
      </c>
    </row>
    <row r="7897" spans="1:14">
      <c r="A7897">
        <v>29300007</v>
      </c>
      <c r="B7897">
        <v>3027505</v>
      </c>
      <c r="C7897" t="s">
        <v>15169</v>
      </c>
      <c r="D7897" t="s">
        <v>441</v>
      </c>
      <c r="F7897">
        <v>0</v>
      </c>
      <c r="G7897">
        <v>15.82</v>
      </c>
      <c r="H7897" t="s">
        <v>8588</v>
      </c>
      <c r="I7897">
        <v>6</v>
      </c>
      <c r="J7897" t="s">
        <v>445</v>
      </c>
      <c r="K7897" t="s">
        <v>446</v>
      </c>
      <c r="M7897">
        <v>2391</v>
      </c>
      <c r="N7897" t="s">
        <v>16352</v>
      </c>
    </row>
    <row r="7898" spans="1:14">
      <c r="A7898">
        <v>29300080</v>
      </c>
      <c r="B7898">
        <v>4021448</v>
      </c>
      <c r="C7898" t="s">
        <v>15170</v>
      </c>
      <c r="D7898" t="s">
        <v>441</v>
      </c>
      <c r="F7898">
        <v>0</v>
      </c>
      <c r="G7898">
        <v>15.84</v>
      </c>
      <c r="H7898" t="s">
        <v>8588</v>
      </c>
      <c r="I7898">
        <v>6</v>
      </c>
      <c r="J7898" t="s">
        <v>462</v>
      </c>
      <c r="M7898">
        <v>7112</v>
      </c>
      <c r="N7898" t="s">
        <v>16352</v>
      </c>
    </row>
    <row r="7899" spans="1:14">
      <c r="A7899">
        <v>29300087</v>
      </c>
      <c r="B7899">
        <v>3027507</v>
      </c>
      <c r="C7899" t="s">
        <v>15171</v>
      </c>
      <c r="D7899" t="s">
        <v>441</v>
      </c>
      <c r="F7899">
        <v>0</v>
      </c>
      <c r="G7899">
        <v>15.81</v>
      </c>
      <c r="H7899" t="s">
        <v>8588</v>
      </c>
      <c r="I7899">
        <v>6</v>
      </c>
      <c r="J7899" t="s">
        <v>445</v>
      </c>
      <c r="K7899" t="s">
        <v>446</v>
      </c>
      <c r="M7899">
        <v>7112</v>
      </c>
      <c r="N7899" t="s">
        <v>16352</v>
      </c>
    </row>
    <row r="7900" spans="1:14">
      <c r="A7900">
        <v>29310000</v>
      </c>
      <c r="B7900">
        <v>3028103</v>
      </c>
      <c r="C7900" t="s">
        <v>15172</v>
      </c>
      <c r="D7900" t="s">
        <v>441</v>
      </c>
      <c r="F7900">
        <v>0</v>
      </c>
      <c r="G7900">
        <v>18</v>
      </c>
      <c r="H7900" t="s">
        <v>10973</v>
      </c>
      <c r="I7900">
        <v>6</v>
      </c>
      <c r="J7900" t="s">
        <v>445</v>
      </c>
      <c r="M7900">
        <v>2391</v>
      </c>
      <c r="N7900" t="s">
        <v>16364</v>
      </c>
    </row>
    <row r="7901" spans="1:14">
      <c r="A7901">
        <v>29310040</v>
      </c>
      <c r="B7901">
        <v>4026239</v>
      </c>
      <c r="C7901" t="s">
        <v>15173</v>
      </c>
      <c r="D7901" t="s">
        <v>441</v>
      </c>
      <c r="F7901">
        <v>0</v>
      </c>
      <c r="G7901">
        <v>18.96</v>
      </c>
      <c r="H7901" t="s">
        <v>8588</v>
      </c>
      <c r="I7901">
        <v>16</v>
      </c>
      <c r="J7901" t="s">
        <v>462</v>
      </c>
      <c r="M7901">
        <v>7112</v>
      </c>
      <c r="N7901" t="s">
        <v>16364</v>
      </c>
    </row>
    <row r="7902" spans="1:14">
      <c r="A7902">
        <v>29310076</v>
      </c>
      <c r="B7902">
        <v>3028374</v>
      </c>
      <c r="C7902" t="s">
        <v>15174</v>
      </c>
      <c r="D7902" t="s">
        <v>441</v>
      </c>
      <c r="F7902">
        <v>0</v>
      </c>
      <c r="G7902">
        <v>18.190000000000001</v>
      </c>
      <c r="H7902" t="s">
        <v>8588</v>
      </c>
      <c r="I7902">
        <v>6</v>
      </c>
      <c r="J7902" t="s">
        <v>445</v>
      </c>
      <c r="M7902">
        <v>7112</v>
      </c>
      <c r="N7902" t="s">
        <v>16364</v>
      </c>
    </row>
    <row r="7903" spans="1:14">
      <c r="A7903">
        <v>29320000</v>
      </c>
      <c r="B7903">
        <v>3008830</v>
      </c>
      <c r="C7903" t="s">
        <v>3398</v>
      </c>
      <c r="D7903" t="s">
        <v>441</v>
      </c>
      <c r="F7903">
        <v>0</v>
      </c>
      <c r="G7903">
        <v>10</v>
      </c>
      <c r="H7903" t="s">
        <v>8580</v>
      </c>
      <c r="I7903">
        <v>6</v>
      </c>
      <c r="J7903" t="s">
        <v>445</v>
      </c>
      <c r="K7903" t="s">
        <v>446</v>
      </c>
      <c r="M7903">
        <v>2390</v>
      </c>
    </row>
    <row r="7904" spans="1:14">
      <c r="A7904">
        <v>29320075</v>
      </c>
      <c r="B7904">
        <v>3008120</v>
      </c>
      <c r="C7904" t="s">
        <v>3399</v>
      </c>
      <c r="D7904" t="s">
        <v>441</v>
      </c>
      <c r="F7904">
        <v>0</v>
      </c>
      <c r="G7904">
        <v>10.130000000000001</v>
      </c>
      <c r="H7904" t="s">
        <v>8588</v>
      </c>
      <c r="I7904">
        <v>6</v>
      </c>
      <c r="J7904" t="s">
        <v>445</v>
      </c>
      <c r="K7904" t="s">
        <v>446</v>
      </c>
      <c r="M7904">
        <v>2641</v>
      </c>
    </row>
    <row r="7905" spans="1:14">
      <c r="A7905">
        <v>29330000</v>
      </c>
      <c r="B7905">
        <v>3008831</v>
      </c>
      <c r="C7905" t="s">
        <v>3400</v>
      </c>
      <c r="D7905" t="s">
        <v>441</v>
      </c>
      <c r="F7905">
        <v>0</v>
      </c>
      <c r="G7905">
        <v>8.81</v>
      </c>
      <c r="H7905" t="s">
        <v>8580</v>
      </c>
      <c r="I7905">
        <v>6</v>
      </c>
      <c r="J7905" t="s">
        <v>445</v>
      </c>
      <c r="K7905" t="s">
        <v>446</v>
      </c>
      <c r="M7905">
        <v>2390</v>
      </c>
    </row>
    <row r="7906" spans="1:14">
      <c r="A7906">
        <v>29330002</v>
      </c>
      <c r="B7906">
        <v>3010575</v>
      </c>
      <c r="C7906" t="s">
        <v>3401</v>
      </c>
      <c r="D7906" t="s">
        <v>441</v>
      </c>
      <c r="F7906">
        <v>0</v>
      </c>
      <c r="G7906">
        <v>12.72</v>
      </c>
      <c r="H7906" t="s">
        <v>8588</v>
      </c>
      <c r="I7906">
        <v>365</v>
      </c>
      <c r="J7906" t="s">
        <v>445</v>
      </c>
      <c r="K7906" t="s">
        <v>446</v>
      </c>
      <c r="M7906">
        <v>2501</v>
      </c>
      <c r="N7906" t="s">
        <v>16070</v>
      </c>
    </row>
    <row r="7907" spans="1:14">
      <c r="A7907">
        <v>29330030</v>
      </c>
      <c r="B7907">
        <v>4009771</v>
      </c>
      <c r="C7907" t="s">
        <v>12211</v>
      </c>
      <c r="D7907" t="s">
        <v>441</v>
      </c>
      <c r="F7907">
        <v>0</v>
      </c>
      <c r="G7907">
        <v>11.13</v>
      </c>
      <c r="H7907" t="s">
        <v>8588</v>
      </c>
      <c r="I7907">
        <v>12</v>
      </c>
      <c r="J7907" t="s">
        <v>462</v>
      </c>
      <c r="K7907" t="s">
        <v>446</v>
      </c>
      <c r="M7907">
        <v>2611</v>
      </c>
    </row>
    <row r="7908" spans="1:14">
      <c r="A7908">
        <v>29330102</v>
      </c>
      <c r="B7908">
        <v>3009277</v>
      </c>
      <c r="C7908" t="s">
        <v>12212</v>
      </c>
      <c r="D7908" t="s">
        <v>441</v>
      </c>
      <c r="F7908">
        <v>0</v>
      </c>
      <c r="H7908" t="s">
        <v>8588</v>
      </c>
      <c r="I7908">
        <v>365</v>
      </c>
      <c r="J7908" t="s">
        <v>445</v>
      </c>
      <c r="K7908" t="s">
        <v>446</v>
      </c>
      <c r="M7908">
        <v>7161</v>
      </c>
    </row>
    <row r="7909" spans="1:14">
      <c r="A7909">
        <v>29330152</v>
      </c>
      <c r="B7909">
        <v>3021383</v>
      </c>
      <c r="C7909" t="s">
        <v>15175</v>
      </c>
      <c r="D7909" t="s">
        <v>441</v>
      </c>
      <c r="F7909">
        <v>0</v>
      </c>
      <c r="H7909" t="s">
        <v>8549</v>
      </c>
      <c r="I7909">
        <v>540</v>
      </c>
      <c r="J7909" t="s">
        <v>445</v>
      </c>
      <c r="K7909" t="s">
        <v>446</v>
      </c>
      <c r="M7909">
        <v>7113</v>
      </c>
      <c r="N7909" t="s">
        <v>16086</v>
      </c>
    </row>
    <row r="7910" spans="1:14">
      <c r="A7910">
        <v>29330400</v>
      </c>
      <c r="B7910">
        <v>3002592</v>
      </c>
      <c r="C7910" t="s">
        <v>12213</v>
      </c>
      <c r="D7910" t="s">
        <v>441</v>
      </c>
      <c r="F7910">
        <v>0</v>
      </c>
      <c r="G7910">
        <v>8.18</v>
      </c>
      <c r="H7910" t="s">
        <v>8588</v>
      </c>
      <c r="I7910">
        <v>6</v>
      </c>
      <c r="J7910" t="s">
        <v>445</v>
      </c>
      <c r="K7910" t="s">
        <v>446</v>
      </c>
      <c r="M7910">
        <v>2641</v>
      </c>
    </row>
    <row r="7911" spans="1:14">
      <c r="A7911">
        <v>29330502</v>
      </c>
      <c r="B7911">
        <v>3010576</v>
      </c>
      <c r="C7911" t="s">
        <v>3402</v>
      </c>
      <c r="D7911" t="s">
        <v>441</v>
      </c>
      <c r="F7911">
        <v>0</v>
      </c>
      <c r="G7911">
        <v>12.44</v>
      </c>
      <c r="H7911" t="s">
        <v>8580</v>
      </c>
      <c r="I7911">
        <v>6</v>
      </c>
      <c r="J7911" t="s">
        <v>445</v>
      </c>
      <c r="K7911" t="s">
        <v>446</v>
      </c>
      <c r="M7911">
        <v>2641</v>
      </c>
      <c r="N7911" t="s">
        <v>16070</v>
      </c>
    </row>
    <row r="7912" spans="1:14">
      <c r="A7912">
        <v>29330602</v>
      </c>
      <c r="B7912">
        <v>3010574</v>
      </c>
      <c r="C7912" t="s">
        <v>3403</v>
      </c>
      <c r="D7912" t="s">
        <v>441</v>
      </c>
      <c r="F7912">
        <v>0</v>
      </c>
      <c r="G7912">
        <v>13.15</v>
      </c>
      <c r="H7912" t="s">
        <v>8588</v>
      </c>
      <c r="I7912">
        <v>4</v>
      </c>
      <c r="J7912" t="s">
        <v>445</v>
      </c>
      <c r="K7912" t="s">
        <v>446</v>
      </c>
      <c r="M7912">
        <v>2511</v>
      </c>
      <c r="N7912" t="s">
        <v>16070</v>
      </c>
    </row>
    <row r="7913" spans="1:14">
      <c r="A7913">
        <v>29330652</v>
      </c>
      <c r="B7913">
        <v>3013607</v>
      </c>
      <c r="C7913" t="s">
        <v>3404</v>
      </c>
      <c r="D7913" t="s">
        <v>441</v>
      </c>
      <c r="F7913">
        <v>0</v>
      </c>
      <c r="G7913">
        <v>9.1300000000000008</v>
      </c>
      <c r="H7913" t="s">
        <v>8627</v>
      </c>
      <c r="I7913">
        <v>4</v>
      </c>
      <c r="J7913" t="s">
        <v>445</v>
      </c>
      <c r="K7913" t="s">
        <v>446</v>
      </c>
      <c r="M7913">
        <v>2511</v>
      </c>
    </row>
    <row r="7914" spans="1:14">
      <c r="A7914">
        <v>29330902</v>
      </c>
      <c r="B7914">
        <v>3020370</v>
      </c>
      <c r="C7914" t="s">
        <v>3405</v>
      </c>
      <c r="D7914" t="s">
        <v>441</v>
      </c>
      <c r="F7914">
        <v>0</v>
      </c>
      <c r="G7914">
        <v>8.69</v>
      </c>
      <c r="H7914" t="s">
        <v>8584</v>
      </c>
      <c r="I7914">
        <v>4</v>
      </c>
      <c r="J7914" t="s">
        <v>445</v>
      </c>
      <c r="K7914" t="s">
        <v>446</v>
      </c>
      <c r="M7914">
        <v>6666</v>
      </c>
      <c r="N7914" t="s">
        <v>16070</v>
      </c>
    </row>
    <row r="7915" spans="1:14">
      <c r="A7915">
        <v>29340000</v>
      </c>
      <c r="B7915">
        <v>3026491</v>
      </c>
      <c r="C7915" t="s">
        <v>15176</v>
      </c>
      <c r="D7915" t="s">
        <v>441</v>
      </c>
      <c r="F7915">
        <v>0</v>
      </c>
      <c r="G7915">
        <v>11.71</v>
      </c>
      <c r="H7915" t="s">
        <v>8549</v>
      </c>
      <c r="I7915">
        <v>6</v>
      </c>
      <c r="J7915" t="s">
        <v>445</v>
      </c>
      <c r="M7915">
        <v>2391</v>
      </c>
      <c r="N7915" t="s">
        <v>16081</v>
      </c>
    </row>
    <row r="7916" spans="1:14">
      <c r="A7916">
        <v>29340030</v>
      </c>
      <c r="B7916">
        <v>4017600</v>
      </c>
      <c r="C7916" t="s">
        <v>12214</v>
      </c>
      <c r="D7916" t="s">
        <v>441</v>
      </c>
      <c r="F7916">
        <v>0</v>
      </c>
      <c r="G7916">
        <v>6.9</v>
      </c>
      <c r="H7916" t="s">
        <v>8588</v>
      </c>
      <c r="I7916">
        <v>8</v>
      </c>
      <c r="J7916" t="s">
        <v>462</v>
      </c>
      <c r="K7916" t="s">
        <v>446</v>
      </c>
      <c r="M7916">
        <v>0</v>
      </c>
      <c r="N7916" t="s">
        <v>16359</v>
      </c>
    </row>
    <row r="7917" spans="1:14">
      <c r="A7917">
        <v>29340040</v>
      </c>
      <c r="B7917">
        <v>4017614</v>
      </c>
      <c r="C7917" t="s">
        <v>15177</v>
      </c>
      <c r="D7917" t="s">
        <v>441</v>
      </c>
      <c r="F7917">
        <v>0</v>
      </c>
      <c r="G7917">
        <v>12.24</v>
      </c>
      <c r="H7917" t="s">
        <v>8588</v>
      </c>
      <c r="I7917">
        <v>14</v>
      </c>
      <c r="J7917" t="s">
        <v>462</v>
      </c>
      <c r="M7917">
        <v>7112</v>
      </c>
      <c r="N7917" t="s">
        <v>16081</v>
      </c>
    </row>
    <row r="7918" spans="1:14">
      <c r="A7918">
        <v>29340041</v>
      </c>
      <c r="B7918">
        <v>4017613</v>
      </c>
      <c r="C7918" t="s">
        <v>15178</v>
      </c>
      <c r="D7918" t="s">
        <v>441</v>
      </c>
      <c r="F7918">
        <v>0</v>
      </c>
      <c r="G7918">
        <v>12.34</v>
      </c>
      <c r="H7918" t="s">
        <v>8588</v>
      </c>
      <c r="I7918">
        <v>16</v>
      </c>
      <c r="J7918" t="s">
        <v>462</v>
      </c>
      <c r="M7918">
        <v>7112</v>
      </c>
      <c r="N7918" t="s">
        <v>16081</v>
      </c>
    </row>
    <row r="7919" spans="1:14">
      <c r="A7919">
        <v>29340042</v>
      </c>
      <c r="B7919">
        <v>4017651</v>
      </c>
      <c r="C7919" t="s">
        <v>12215</v>
      </c>
      <c r="D7919" t="s">
        <v>441</v>
      </c>
      <c r="F7919">
        <v>0</v>
      </c>
      <c r="G7919">
        <v>9.1999999999999993</v>
      </c>
      <c r="H7919" t="s">
        <v>8588</v>
      </c>
      <c r="I7919">
        <v>16</v>
      </c>
      <c r="J7919" t="s">
        <v>462</v>
      </c>
      <c r="K7919" t="s">
        <v>446</v>
      </c>
      <c r="M7919">
        <v>0</v>
      </c>
      <c r="N7919" t="s">
        <v>16359</v>
      </c>
    </row>
    <row r="7920" spans="1:14">
      <c r="A7920">
        <v>29340110</v>
      </c>
      <c r="B7920">
        <v>3042537</v>
      </c>
      <c r="C7920" t="s">
        <v>15179</v>
      </c>
      <c r="D7920" t="s">
        <v>441</v>
      </c>
      <c r="F7920">
        <v>0</v>
      </c>
      <c r="G7920">
        <v>9.8000000000000007</v>
      </c>
      <c r="H7920" t="s">
        <v>8588</v>
      </c>
      <c r="I7920">
        <v>6</v>
      </c>
      <c r="J7920" t="s">
        <v>445</v>
      </c>
      <c r="M7920">
        <v>0</v>
      </c>
      <c r="N7920" t="s">
        <v>16081</v>
      </c>
    </row>
    <row r="7921" spans="1:14">
      <c r="A7921">
        <v>29341000</v>
      </c>
      <c r="B7921">
        <v>3026492</v>
      </c>
      <c r="C7921" t="s">
        <v>15180</v>
      </c>
      <c r="D7921" t="s">
        <v>441</v>
      </c>
      <c r="F7921">
        <v>0</v>
      </c>
      <c r="G7921">
        <v>11.71</v>
      </c>
      <c r="H7921" t="s">
        <v>8549</v>
      </c>
      <c r="I7921">
        <v>6</v>
      </c>
      <c r="J7921" t="s">
        <v>445</v>
      </c>
      <c r="M7921">
        <v>2391</v>
      </c>
      <c r="N7921" t="s">
        <v>16081</v>
      </c>
    </row>
    <row r="7922" spans="1:14">
      <c r="A7922">
        <v>29341030</v>
      </c>
      <c r="B7922">
        <v>4017439</v>
      </c>
      <c r="C7922" t="s">
        <v>12216</v>
      </c>
      <c r="D7922" t="s">
        <v>441</v>
      </c>
      <c r="F7922">
        <v>0</v>
      </c>
      <c r="G7922">
        <v>6.9</v>
      </c>
      <c r="H7922" t="s">
        <v>8588</v>
      </c>
      <c r="I7922">
        <v>8</v>
      </c>
      <c r="J7922" t="s">
        <v>462</v>
      </c>
      <c r="K7922" t="s">
        <v>446</v>
      </c>
      <c r="M7922">
        <v>0</v>
      </c>
      <c r="N7922" t="s">
        <v>16359</v>
      </c>
    </row>
    <row r="7923" spans="1:14">
      <c r="A7923">
        <v>29341040</v>
      </c>
      <c r="B7923">
        <v>4017615</v>
      </c>
      <c r="C7923" t="s">
        <v>12217</v>
      </c>
      <c r="D7923" t="s">
        <v>441</v>
      </c>
      <c r="F7923">
        <v>0</v>
      </c>
      <c r="G7923">
        <v>9.02</v>
      </c>
      <c r="H7923" t="s">
        <v>8588</v>
      </c>
      <c r="I7923">
        <v>8</v>
      </c>
      <c r="J7923" t="s">
        <v>462</v>
      </c>
      <c r="K7923" t="s">
        <v>446</v>
      </c>
      <c r="M7923">
        <v>0</v>
      </c>
      <c r="N7923" t="s">
        <v>16359</v>
      </c>
    </row>
    <row r="7924" spans="1:14">
      <c r="A7924">
        <v>29341041</v>
      </c>
      <c r="B7924">
        <v>4017612</v>
      </c>
      <c r="C7924" t="s">
        <v>12218</v>
      </c>
      <c r="D7924" t="s">
        <v>441</v>
      </c>
      <c r="F7924">
        <v>0</v>
      </c>
      <c r="G7924">
        <v>9.1999999999999993</v>
      </c>
      <c r="H7924" t="s">
        <v>8588</v>
      </c>
      <c r="I7924">
        <v>13</v>
      </c>
      <c r="J7924" t="s">
        <v>462</v>
      </c>
      <c r="K7924" t="s">
        <v>446</v>
      </c>
      <c r="M7924">
        <v>0</v>
      </c>
      <c r="N7924" t="s">
        <v>16359</v>
      </c>
    </row>
    <row r="7925" spans="1:14">
      <c r="A7925">
        <v>29341042</v>
      </c>
      <c r="B7925">
        <v>4017650</v>
      </c>
      <c r="C7925" t="s">
        <v>12219</v>
      </c>
      <c r="D7925" t="s">
        <v>441</v>
      </c>
      <c r="F7925">
        <v>0</v>
      </c>
      <c r="G7925">
        <v>9.1999999999999993</v>
      </c>
      <c r="H7925" t="s">
        <v>8588</v>
      </c>
      <c r="I7925">
        <v>16</v>
      </c>
      <c r="J7925" t="s">
        <v>462</v>
      </c>
      <c r="K7925" t="s">
        <v>446</v>
      </c>
      <c r="M7925">
        <v>0</v>
      </c>
      <c r="N7925" t="s">
        <v>16359</v>
      </c>
    </row>
    <row r="7926" spans="1:14">
      <c r="A7926">
        <v>29350000</v>
      </c>
      <c r="B7926">
        <v>3015935</v>
      </c>
      <c r="C7926" t="s">
        <v>15181</v>
      </c>
      <c r="D7926" t="s">
        <v>441</v>
      </c>
      <c r="F7926">
        <v>0</v>
      </c>
      <c r="G7926">
        <v>16.14</v>
      </c>
      <c r="H7926" t="s">
        <v>8588</v>
      </c>
      <c r="I7926">
        <v>6</v>
      </c>
      <c r="J7926" t="s">
        <v>445</v>
      </c>
      <c r="M7926">
        <v>2391</v>
      </c>
      <c r="N7926" t="s">
        <v>16086</v>
      </c>
    </row>
    <row r="7927" spans="1:14">
      <c r="A7927">
        <v>29350007</v>
      </c>
      <c r="B7927">
        <v>3025048</v>
      </c>
      <c r="C7927" t="s">
        <v>12220</v>
      </c>
      <c r="D7927" t="s">
        <v>441</v>
      </c>
      <c r="F7927">
        <v>0</v>
      </c>
      <c r="G7927">
        <v>12.43</v>
      </c>
      <c r="H7927" t="s">
        <v>8935</v>
      </c>
      <c r="I7927">
        <v>6</v>
      </c>
      <c r="J7927" t="s">
        <v>445</v>
      </c>
      <c r="K7927" t="s">
        <v>446</v>
      </c>
      <c r="M7927">
        <v>3111</v>
      </c>
      <c r="N7927" t="s">
        <v>16070</v>
      </c>
    </row>
    <row r="7928" spans="1:14">
      <c r="A7928">
        <v>29350020</v>
      </c>
      <c r="B7928">
        <v>4026471</v>
      </c>
      <c r="C7928" t="s">
        <v>15182</v>
      </c>
      <c r="D7928" t="s">
        <v>441</v>
      </c>
      <c r="F7928">
        <v>0</v>
      </c>
      <c r="G7928">
        <v>16.57</v>
      </c>
      <c r="H7928" t="s">
        <v>8588</v>
      </c>
      <c r="I7928">
        <v>6</v>
      </c>
      <c r="J7928" t="s">
        <v>462</v>
      </c>
      <c r="L7928">
        <v>2052394</v>
      </c>
      <c r="M7928">
        <v>7112</v>
      </c>
      <c r="N7928" t="s">
        <v>16086</v>
      </c>
    </row>
    <row r="7929" spans="1:14">
      <c r="A7929">
        <v>29350025</v>
      </c>
      <c r="B7929">
        <v>4015397</v>
      </c>
      <c r="C7929" t="s">
        <v>12221</v>
      </c>
      <c r="D7929" t="s">
        <v>441</v>
      </c>
      <c r="F7929">
        <v>0</v>
      </c>
      <c r="G7929">
        <v>12.84</v>
      </c>
      <c r="H7929" t="s">
        <v>8588</v>
      </c>
      <c r="I7929">
        <v>365</v>
      </c>
      <c r="J7929" t="s">
        <v>462</v>
      </c>
      <c r="K7929" t="s">
        <v>446</v>
      </c>
      <c r="M7929">
        <v>2501</v>
      </c>
      <c r="N7929" t="s">
        <v>16070</v>
      </c>
    </row>
    <row r="7930" spans="1:14">
      <c r="A7930">
        <v>29350030</v>
      </c>
      <c r="B7930">
        <v>4013485</v>
      </c>
      <c r="C7930" t="s">
        <v>15598</v>
      </c>
      <c r="D7930" t="s">
        <v>441</v>
      </c>
      <c r="F7930">
        <v>0</v>
      </c>
      <c r="G7930">
        <v>15.99</v>
      </c>
      <c r="H7930" t="s">
        <v>8588</v>
      </c>
      <c r="I7930">
        <v>8</v>
      </c>
      <c r="J7930" t="s">
        <v>462</v>
      </c>
      <c r="M7930">
        <v>7112</v>
      </c>
      <c r="N7930" t="s">
        <v>16086</v>
      </c>
    </row>
    <row r="7931" spans="1:14">
      <c r="A7931">
        <v>29350040</v>
      </c>
      <c r="B7931">
        <v>4013713</v>
      </c>
      <c r="C7931" t="s">
        <v>12222</v>
      </c>
      <c r="D7931" t="s">
        <v>441</v>
      </c>
      <c r="F7931">
        <v>0</v>
      </c>
      <c r="G7931">
        <v>11.06</v>
      </c>
      <c r="H7931" t="s">
        <v>8588</v>
      </c>
      <c r="I7931">
        <v>16</v>
      </c>
      <c r="J7931" t="s">
        <v>462</v>
      </c>
      <c r="K7931" t="s">
        <v>446</v>
      </c>
      <c r="M7931">
        <v>2612</v>
      </c>
      <c r="N7931" t="s">
        <v>16070</v>
      </c>
    </row>
    <row r="7932" spans="1:14">
      <c r="A7932">
        <v>29350041</v>
      </c>
      <c r="B7932">
        <v>4026447</v>
      </c>
      <c r="C7932" t="s">
        <v>15183</v>
      </c>
      <c r="D7932" t="s">
        <v>441</v>
      </c>
      <c r="F7932">
        <v>0</v>
      </c>
      <c r="G7932">
        <v>16.97</v>
      </c>
      <c r="H7932" t="s">
        <v>8588</v>
      </c>
      <c r="I7932">
        <v>16</v>
      </c>
      <c r="J7932" t="s">
        <v>462</v>
      </c>
      <c r="M7932">
        <v>7112</v>
      </c>
      <c r="N7932" t="s">
        <v>16086</v>
      </c>
    </row>
    <row r="7933" spans="1:14">
      <c r="A7933">
        <v>29350075</v>
      </c>
      <c r="B7933">
        <v>3014570</v>
      </c>
      <c r="C7933" t="s">
        <v>3406</v>
      </c>
      <c r="D7933" t="s">
        <v>441</v>
      </c>
      <c r="F7933">
        <v>0</v>
      </c>
      <c r="G7933">
        <v>8.92</v>
      </c>
      <c r="H7933" t="s">
        <v>8588</v>
      </c>
      <c r="I7933">
        <v>6</v>
      </c>
      <c r="J7933" t="s">
        <v>445</v>
      </c>
      <c r="K7933" t="s">
        <v>446</v>
      </c>
      <c r="M7933">
        <v>2641</v>
      </c>
    </row>
    <row r="7934" spans="1:14">
      <c r="A7934">
        <v>29350100</v>
      </c>
      <c r="B7934">
        <v>3014820</v>
      </c>
      <c r="C7934" t="s">
        <v>15184</v>
      </c>
      <c r="D7934" t="s">
        <v>441</v>
      </c>
      <c r="F7934">
        <v>0</v>
      </c>
      <c r="H7934" t="s">
        <v>8549</v>
      </c>
      <c r="I7934">
        <v>540</v>
      </c>
      <c r="J7934" t="s">
        <v>445</v>
      </c>
      <c r="M7934">
        <v>7161</v>
      </c>
      <c r="N7934" t="s">
        <v>16365</v>
      </c>
    </row>
    <row r="7935" spans="1:14">
      <c r="A7935">
        <v>29350110</v>
      </c>
      <c r="B7935">
        <v>3015127</v>
      </c>
      <c r="C7935" t="s">
        <v>15185</v>
      </c>
      <c r="D7935" t="s">
        <v>441</v>
      </c>
      <c r="F7935">
        <v>0</v>
      </c>
      <c r="H7935" t="s">
        <v>8588</v>
      </c>
      <c r="I7935">
        <v>6</v>
      </c>
      <c r="J7935" t="s">
        <v>445</v>
      </c>
      <c r="M7935">
        <v>7161</v>
      </c>
      <c r="N7935" t="s">
        <v>16086</v>
      </c>
    </row>
    <row r="7936" spans="1:14">
      <c r="A7936">
        <v>29350525</v>
      </c>
      <c r="B7936">
        <v>3023274</v>
      </c>
      <c r="C7936" t="s">
        <v>12223</v>
      </c>
      <c r="D7936" t="s">
        <v>441</v>
      </c>
      <c r="F7936">
        <v>0</v>
      </c>
      <c r="G7936">
        <v>12.65</v>
      </c>
      <c r="H7936" t="s">
        <v>8588</v>
      </c>
      <c r="I7936">
        <v>6</v>
      </c>
      <c r="J7936" t="s">
        <v>445</v>
      </c>
      <c r="K7936" t="s">
        <v>446</v>
      </c>
      <c r="M7936">
        <v>2641</v>
      </c>
      <c r="N7936" t="s">
        <v>16070</v>
      </c>
    </row>
    <row r="7937" spans="1:14">
      <c r="A7937">
        <v>29350900</v>
      </c>
      <c r="B7937">
        <v>3020371</v>
      </c>
      <c r="C7937" t="s">
        <v>15186</v>
      </c>
      <c r="D7937" t="s">
        <v>441</v>
      </c>
      <c r="F7937">
        <v>0</v>
      </c>
      <c r="G7937">
        <v>0</v>
      </c>
      <c r="H7937" t="s">
        <v>8584</v>
      </c>
      <c r="I7937">
        <v>6</v>
      </c>
      <c r="J7937" t="s">
        <v>445</v>
      </c>
      <c r="M7937">
        <v>6666</v>
      </c>
      <c r="N7937" t="s">
        <v>16086</v>
      </c>
    </row>
    <row r="7938" spans="1:14">
      <c r="A7938">
        <v>29350907</v>
      </c>
      <c r="B7938">
        <v>3025308</v>
      </c>
      <c r="C7938" t="s">
        <v>12224</v>
      </c>
      <c r="D7938" t="s">
        <v>441</v>
      </c>
      <c r="F7938">
        <v>0</v>
      </c>
      <c r="G7938">
        <v>0</v>
      </c>
      <c r="H7938" t="s">
        <v>8580</v>
      </c>
      <c r="I7938">
        <v>6</v>
      </c>
      <c r="J7938" t="s">
        <v>445</v>
      </c>
      <c r="K7938" t="s">
        <v>446</v>
      </c>
      <c r="M7938">
        <v>6666</v>
      </c>
      <c r="N7938" t="s">
        <v>16070</v>
      </c>
    </row>
    <row r="7939" spans="1:14">
      <c r="A7939">
        <v>29351000</v>
      </c>
      <c r="B7939">
        <v>3017770</v>
      </c>
      <c r="C7939" t="s">
        <v>15187</v>
      </c>
      <c r="D7939" t="s">
        <v>441</v>
      </c>
      <c r="F7939">
        <v>0</v>
      </c>
      <c r="G7939">
        <v>16.149999999999999</v>
      </c>
      <c r="H7939" t="s">
        <v>8588</v>
      </c>
      <c r="I7939">
        <v>6</v>
      </c>
      <c r="J7939" t="s">
        <v>445</v>
      </c>
      <c r="M7939">
        <v>2391</v>
      </c>
      <c r="N7939" t="s">
        <v>16086</v>
      </c>
    </row>
    <row r="7940" spans="1:14">
      <c r="A7940">
        <v>29351007</v>
      </c>
      <c r="B7940">
        <v>3025049</v>
      </c>
      <c r="C7940" t="s">
        <v>12225</v>
      </c>
      <c r="D7940" t="s">
        <v>441</v>
      </c>
      <c r="F7940">
        <v>0</v>
      </c>
      <c r="G7940">
        <v>12.43</v>
      </c>
      <c r="H7940" t="s">
        <v>8935</v>
      </c>
      <c r="I7940">
        <v>6</v>
      </c>
      <c r="J7940" t="s">
        <v>445</v>
      </c>
      <c r="K7940" t="s">
        <v>446</v>
      </c>
      <c r="M7940">
        <v>3111</v>
      </c>
      <c r="N7940" t="s">
        <v>16070</v>
      </c>
    </row>
    <row r="7941" spans="1:14">
      <c r="A7941">
        <v>29351020</v>
      </c>
      <c r="B7941">
        <v>4026472</v>
      </c>
      <c r="C7941" t="s">
        <v>15188</v>
      </c>
      <c r="D7941" t="s">
        <v>441</v>
      </c>
      <c r="F7941">
        <v>0</v>
      </c>
      <c r="G7941">
        <v>16.579999999999998</v>
      </c>
      <c r="H7941" t="s">
        <v>8588</v>
      </c>
      <c r="I7941">
        <v>6</v>
      </c>
      <c r="J7941" t="s">
        <v>462</v>
      </c>
      <c r="L7941">
        <v>2051384</v>
      </c>
      <c r="M7941">
        <v>7112</v>
      </c>
      <c r="N7941" t="s">
        <v>16086</v>
      </c>
    </row>
    <row r="7942" spans="1:14">
      <c r="A7942">
        <v>29351030</v>
      </c>
      <c r="B7942">
        <v>4013486</v>
      </c>
      <c r="C7942" t="s">
        <v>12226</v>
      </c>
      <c r="D7942" t="s">
        <v>441</v>
      </c>
      <c r="F7942">
        <v>0</v>
      </c>
      <c r="G7942">
        <v>10.029999999999999</v>
      </c>
      <c r="H7942" t="s">
        <v>8588</v>
      </c>
      <c r="I7942">
        <v>7</v>
      </c>
      <c r="J7942" t="s">
        <v>462</v>
      </c>
      <c r="K7942" t="s">
        <v>446</v>
      </c>
      <c r="M7942">
        <v>2612</v>
      </c>
      <c r="N7942" t="s">
        <v>16070</v>
      </c>
    </row>
    <row r="7943" spans="1:14">
      <c r="A7943">
        <v>29351040</v>
      </c>
      <c r="B7943">
        <v>4013712</v>
      </c>
      <c r="C7943" t="s">
        <v>12227</v>
      </c>
      <c r="D7943" t="s">
        <v>441</v>
      </c>
      <c r="F7943">
        <v>0</v>
      </c>
      <c r="G7943">
        <v>11.06</v>
      </c>
      <c r="H7943" t="s">
        <v>8588</v>
      </c>
      <c r="I7943">
        <v>16</v>
      </c>
      <c r="J7943" t="s">
        <v>462</v>
      </c>
      <c r="K7943" t="s">
        <v>446</v>
      </c>
      <c r="M7943">
        <v>2612</v>
      </c>
      <c r="N7943" t="s">
        <v>16070</v>
      </c>
    </row>
    <row r="7944" spans="1:14">
      <c r="A7944">
        <v>29351041</v>
      </c>
      <c r="B7944">
        <v>4026448</v>
      </c>
      <c r="C7944" t="s">
        <v>15189</v>
      </c>
      <c r="D7944" t="s">
        <v>441</v>
      </c>
      <c r="F7944">
        <v>0</v>
      </c>
      <c r="G7944">
        <v>16.98</v>
      </c>
      <c r="H7944" t="s">
        <v>8588</v>
      </c>
      <c r="I7944">
        <v>16</v>
      </c>
      <c r="J7944" t="s">
        <v>462</v>
      </c>
      <c r="M7944">
        <v>7112</v>
      </c>
      <c r="N7944" t="s">
        <v>16086</v>
      </c>
    </row>
    <row r="7945" spans="1:14">
      <c r="A7945">
        <v>29351900</v>
      </c>
      <c r="B7945">
        <v>3020372</v>
      </c>
      <c r="C7945" t="s">
        <v>15190</v>
      </c>
      <c r="D7945" t="s">
        <v>441</v>
      </c>
      <c r="F7945">
        <v>0</v>
      </c>
      <c r="G7945">
        <v>0</v>
      </c>
      <c r="H7945" t="s">
        <v>8584</v>
      </c>
      <c r="I7945">
        <v>6</v>
      </c>
      <c r="J7945" t="s">
        <v>445</v>
      </c>
      <c r="M7945">
        <v>6666</v>
      </c>
      <c r="N7945" t="s">
        <v>16086</v>
      </c>
    </row>
    <row r="7946" spans="1:14">
      <c r="A7946">
        <v>29351907</v>
      </c>
      <c r="B7946">
        <v>3025309</v>
      </c>
      <c r="C7946" t="s">
        <v>12228</v>
      </c>
      <c r="D7946" t="s">
        <v>441</v>
      </c>
      <c r="F7946">
        <v>0</v>
      </c>
      <c r="G7946">
        <v>0</v>
      </c>
      <c r="H7946" t="s">
        <v>8580</v>
      </c>
      <c r="I7946">
        <v>6</v>
      </c>
      <c r="J7946" t="s">
        <v>445</v>
      </c>
      <c r="K7946" t="s">
        <v>446</v>
      </c>
      <c r="M7946">
        <v>6666</v>
      </c>
      <c r="N7946" t="s">
        <v>16070</v>
      </c>
    </row>
    <row r="7947" spans="1:14">
      <c r="A7947">
        <v>29359000</v>
      </c>
      <c r="B7947">
        <v>3019064</v>
      </c>
      <c r="C7947" t="s">
        <v>15191</v>
      </c>
      <c r="D7947" t="s">
        <v>441</v>
      </c>
      <c r="F7947">
        <v>0</v>
      </c>
      <c r="G7947">
        <v>16.14</v>
      </c>
      <c r="H7947" t="s">
        <v>8588</v>
      </c>
      <c r="I7947">
        <v>2</v>
      </c>
      <c r="J7947" t="s">
        <v>445</v>
      </c>
      <c r="M7947">
        <v>3111</v>
      </c>
      <c r="N7947" t="s">
        <v>16086</v>
      </c>
    </row>
    <row r="7948" spans="1:14">
      <c r="A7948">
        <v>29359900</v>
      </c>
      <c r="B7948">
        <v>3020373</v>
      </c>
      <c r="C7948" t="s">
        <v>15192</v>
      </c>
      <c r="D7948" t="s">
        <v>441</v>
      </c>
      <c r="F7948">
        <v>0</v>
      </c>
      <c r="H7948" t="s">
        <v>8580</v>
      </c>
      <c r="I7948">
        <v>2</v>
      </c>
      <c r="J7948" t="s">
        <v>445</v>
      </c>
      <c r="M7948">
        <v>6666</v>
      </c>
      <c r="N7948" t="s">
        <v>16086</v>
      </c>
    </row>
    <row r="7949" spans="1:14">
      <c r="A7949">
        <v>29360000</v>
      </c>
      <c r="B7949">
        <v>3009444</v>
      </c>
      <c r="C7949" t="s">
        <v>3407</v>
      </c>
      <c r="D7949" t="s">
        <v>441</v>
      </c>
      <c r="F7949">
        <v>0</v>
      </c>
      <c r="G7949">
        <v>9.19</v>
      </c>
      <c r="H7949" t="s">
        <v>8580</v>
      </c>
      <c r="I7949">
        <v>6</v>
      </c>
      <c r="J7949" t="s">
        <v>445</v>
      </c>
      <c r="K7949" t="s">
        <v>446</v>
      </c>
      <c r="M7949">
        <v>2390</v>
      </c>
    </row>
    <row r="7950" spans="1:14">
      <c r="A7950">
        <v>29360002</v>
      </c>
      <c r="B7950">
        <v>3009446</v>
      </c>
      <c r="C7950" t="s">
        <v>3408</v>
      </c>
      <c r="D7950" t="s">
        <v>441</v>
      </c>
      <c r="F7950">
        <v>0</v>
      </c>
      <c r="G7950">
        <v>8.5500000000000007</v>
      </c>
      <c r="H7950" t="s">
        <v>8580</v>
      </c>
      <c r="I7950">
        <v>365</v>
      </c>
      <c r="J7950" t="s">
        <v>445</v>
      </c>
      <c r="K7950" t="s">
        <v>446</v>
      </c>
      <c r="M7950">
        <v>2501</v>
      </c>
    </row>
    <row r="7951" spans="1:14">
      <c r="A7951">
        <v>29360100</v>
      </c>
      <c r="B7951">
        <v>3008121</v>
      </c>
      <c r="C7951" t="s">
        <v>15193</v>
      </c>
      <c r="D7951" t="s">
        <v>441</v>
      </c>
      <c r="F7951">
        <v>0</v>
      </c>
      <c r="H7951" t="s">
        <v>8580</v>
      </c>
      <c r="I7951">
        <v>9</v>
      </c>
      <c r="J7951" t="s">
        <v>445</v>
      </c>
      <c r="K7951" t="s">
        <v>446</v>
      </c>
      <c r="M7951">
        <v>7161</v>
      </c>
      <c r="N7951" t="s">
        <v>16080</v>
      </c>
    </row>
    <row r="7952" spans="1:14">
      <c r="A7952">
        <v>29360502</v>
      </c>
      <c r="B7952">
        <v>3009445</v>
      </c>
      <c r="C7952" t="s">
        <v>3409</v>
      </c>
      <c r="D7952" t="s">
        <v>441</v>
      </c>
      <c r="F7952">
        <v>0</v>
      </c>
      <c r="G7952">
        <v>8.3000000000000007</v>
      </c>
      <c r="H7952" t="s">
        <v>8584</v>
      </c>
      <c r="I7952">
        <v>6</v>
      </c>
      <c r="J7952" t="s">
        <v>445</v>
      </c>
      <c r="K7952" t="s">
        <v>446</v>
      </c>
      <c r="M7952">
        <v>2641</v>
      </c>
    </row>
    <row r="7953" spans="1:14">
      <c r="A7953">
        <v>29360602</v>
      </c>
      <c r="B7953">
        <v>3009442</v>
      </c>
      <c r="C7953" t="s">
        <v>3410</v>
      </c>
      <c r="D7953" t="s">
        <v>441</v>
      </c>
      <c r="F7953">
        <v>0</v>
      </c>
      <c r="G7953">
        <v>8.69</v>
      </c>
      <c r="H7953" t="s">
        <v>8580</v>
      </c>
      <c r="I7953">
        <v>4</v>
      </c>
      <c r="J7953" t="s">
        <v>445</v>
      </c>
      <c r="K7953" t="s">
        <v>446</v>
      </c>
      <c r="M7953">
        <v>2511</v>
      </c>
    </row>
    <row r="7954" spans="1:14">
      <c r="A7954">
        <v>29370000</v>
      </c>
      <c r="B7954">
        <v>3009443</v>
      </c>
      <c r="C7954" t="s">
        <v>3411</v>
      </c>
      <c r="D7954" t="s">
        <v>441</v>
      </c>
      <c r="F7954">
        <v>0</v>
      </c>
      <c r="G7954">
        <v>7.78</v>
      </c>
      <c r="I7954">
        <v>6</v>
      </c>
      <c r="J7954" t="s">
        <v>445</v>
      </c>
      <c r="K7954" t="s">
        <v>446</v>
      </c>
      <c r="M7954">
        <v>2314</v>
      </c>
    </row>
    <row r="7955" spans="1:14">
      <c r="A7955">
        <v>29380000</v>
      </c>
      <c r="B7955">
        <v>3008122</v>
      </c>
      <c r="C7955" t="s">
        <v>12229</v>
      </c>
      <c r="D7955" t="s">
        <v>441</v>
      </c>
      <c r="F7955">
        <v>0</v>
      </c>
      <c r="G7955">
        <v>8.27</v>
      </c>
      <c r="H7955" t="s">
        <v>8580</v>
      </c>
      <c r="I7955">
        <v>6</v>
      </c>
      <c r="J7955" t="s">
        <v>445</v>
      </c>
      <c r="K7955" t="s">
        <v>446</v>
      </c>
      <c r="M7955">
        <v>0</v>
      </c>
    </row>
    <row r="7956" spans="1:14">
      <c r="A7956">
        <v>29381000</v>
      </c>
      <c r="B7956">
        <v>3017421</v>
      </c>
      <c r="C7956" t="s">
        <v>12230</v>
      </c>
      <c r="D7956" t="s">
        <v>441</v>
      </c>
      <c r="F7956">
        <v>0</v>
      </c>
      <c r="G7956">
        <v>8.27</v>
      </c>
      <c r="H7956" t="s">
        <v>8584</v>
      </c>
      <c r="I7956">
        <v>6</v>
      </c>
      <c r="J7956" t="s">
        <v>445</v>
      </c>
      <c r="K7956" t="s">
        <v>446</v>
      </c>
      <c r="M7956">
        <v>0</v>
      </c>
    </row>
    <row r="7957" spans="1:14">
      <c r="A7957">
        <v>29390000</v>
      </c>
      <c r="B7957">
        <v>3008123</v>
      </c>
      <c r="C7957" t="s">
        <v>3412</v>
      </c>
      <c r="D7957" t="s">
        <v>441</v>
      </c>
      <c r="F7957">
        <v>0</v>
      </c>
      <c r="G7957">
        <v>9.26</v>
      </c>
      <c r="H7957" t="s">
        <v>8580</v>
      </c>
      <c r="I7957">
        <v>6</v>
      </c>
      <c r="J7957" t="s">
        <v>445</v>
      </c>
      <c r="K7957" t="s">
        <v>446</v>
      </c>
      <c r="M7957">
        <v>2611</v>
      </c>
    </row>
    <row r="7958" spans="1:14">
      <c r="A7958">
        <v>29394000</v>
      </c>
      <c r="B7958">
        <v>3008124</v>
      </c>
      <c r="C7958" t="s">
        <v>3413</v>
      </c>
      <c r="D7958" t="s">
        <v>441</v>
      </c>
      <c r="F7958">
        <v>0</v>
      </c>
      <c r="G7958">
        <v>9.11</v>
      </c>
      <c r="H7958" t="s">
        <v>8580</v>
      </c>
      <c r="I7958">
        <v>6</v>
      </c>
      <c r="J7958" t="s">
        <v>445</v>
      </c>
      <c r="K7958" t="s">
        <v>446</v>
      </c>
      <c r="M7958">
        <v>0</v>
      </c>
    </row>
    <row r="7959" spans="1:14">
      <c r="A7959">
        <v>29400030</v>
      </c>
      <c r="B7959">
        <v>4007271</v>
      </c>
      <c r="C7959" t="s">
        <v>12231</v>
      </c>
      <c r="D7959" t="s">
        <v>442</v>
      </c>
      <c r="E7959" t="s">
        <v>441</v>
      </c>
      <c r="F7959">
        <v>1</v>
      </c>
      <c r="G7959">
        <v>15.42</v>
      </c>
      <c r="H7959" t="s">
        <v>8587</v>
      </c>
      <c r="I7959">
        <v>12</v>
      </c>
      <c r="J7959" t="s">
        <v>462</v>
      </c>
      <c r="K7959" t="s">
        <v>446</v>
      </c>
      <c r="M7959">
        <v>2611</v>
      </c>
    </row>
    <row r="7960" spans="1:14">
      <c r="A7960">
        <v>29400031</v>
      </c>
      <c r="B7960">
        <v>4008166</v>
      </c>
      <c r="C7960" t="s">
        <v>12232</v>
      </c>
      <c r="D7960" t="s">
        <v>442</v>
      </c>
      <c r="E7960" t="s">
        <v>441</v>
      </c>
      <c r="F7960">
        <v>1</v>
      </c>
      <c r="G7960">
        <v>15.35</v>
      </c>
      <c r="H7960" t="s">
        <v>8587</v>
      </c>
      <c r="I7960">
        <v>12</v>
      </c>
      <c r="J7960" t="s">
        <v>462</v>
      </c>
      <c r="K7960" t="s">
        <v>446</v>
      </c>
      <c r="M7960">
        <v>2611</v>
      </c>
    </row>
    <row r="7961" spans="1:14">
      <c r="A7961">
        <v>29410000</v>
      </c>
      <c r="B7961">
        <v>3041555</v>
      </c>
      <c r="C7961" t="s">
        <v>15666</v>
      </c>
      <c r="D7961" t="s">
        <v>441</v>
      </c>
      <c r="F7961">
        <v>0</v>
      </c>
      <c r="G7961">
        <v>13.65</v>
      </c>
      <c r="H7961" t="s">
        <v>8549</v>
      </c>
      <c r="I7961">
        <v>6</v>
      </c>
      <c r="J7961" t="s">
        <v>445</v>
      </c>
      <c r="M7961">
        <v>2391</v>
      </c>
      <c r="N7961" t="s">
        <v>16089</v>
      </c>
    </row>
    <row r="7962" spans="1:14">
      <c r="A7962">
        <v>29410030</v>
      </c>
      <c r="B7962">
        <v>4007272</v>
      </c>
      <c r="C7962" t="s">
        <v>12233</v>
      </c>
      <c r="D7962" t="s">
        <v>442</v>
      </c>
      <c r="E7962" t="s">
        <v>441</v>
      </c>
      <c r="F7962">
        <v>0.45</v>
      </c>
      <c r="G7962">
        <v>7.61</v>
      </c>
      <c r="H7962" t="s">
        <v>8587</v>
      </c>
      <c r="I7962">
        <v>12</v>
      </c>
      <c r="J7962" t="s">
        <v>462</v>
      </c>
      <c r="K7962" t="s">
        <v>446</v>
      </c>
      <c r="M7962">
        <v>2611</v>
      </c>
    </row>
    <row r="7963" spans="1:14">
      <c r="A7963">
        <v>29410031</v>
      </c>
      <c r="B7963">
        <v>4008167</v>
      </c>
      <c r="C7963" t="s">
        <v>12234</v>
      </c>
      <c r="D7963" t="s">
        <v>442</v>
      </c>
      <c r="E7963" t="s">
        <v>441</v>
      </c>
      <c r="F7963">
        <v>0.45</v>
      </c>
      <c r="G7963">
        <v>7.66</v>
      </c>
      <c r="H7963" t="s">
        <v>8587</v>
      </c>
      <c r="I7963">
        <v>12</v>
      </c>
      <c r="J7963" t="s">
        <v>462</v>
      </c>
      <c r="K7963" t="s">
        <v>446</v>
      </c>
      <c r="M7963">
        <v>2611</v>
      </c>
    </row>
    <row r="7964" spans="1:14">
      <c r="A7964">
        <v>29410087</v>
      </c>
      <c r="B7964">
        <v>3045067</v>
      </c>
      <c r="C7964" t="s">
        <v>15658</v>
      </c>
      <c r="D7964" t="s">
        <v>441</v>
      </c>
      <c r="F7964">
        <v>0</v>
      </c>
      <c r="G7964">
        <v>13.81</v>
      </c>
      <c r="H7964" t="s">
        <v>8588</v>
      </c>
      <c r="I7964">
        <v>6</v>
      </c>
      <c r="J7964" t="s">
        <v>445</v>
      </c>
      <c r="M7964">
        <v>7112</v>
      </c>
      <c r="N7964" t="s">
        <v>16089</v>
      </c>
    </row>
    <row r="7965" spans="1:14">
      <c r="A7965">
        <v>29420030</v>
      </c>
      <c r="B7965">
        <v>4007273</v>
      </c>
      <c r="C7965" t="s">
        <v>3414</v>
      </c>
      <c r="D7965" t="s">
        <v>442</v>
      </c>
      <c r="E7965" t="s">
        <v>441</v>
      </c>
      <c r="F7965">
        <v>0.375</v>
      </c>
      <c r="G7965">
        <v>5.39</v>
      </c>
      <c r="H7965" t="s">
        <v>8587</v>
      </c>
      <c r="I7965">
        <v>12</v>
      </c>
      <c r="J7965" t="s">
        <v>462</v>
      </c>
      <c r="K7965" t="s">
        <v>446</v>
      </c>
      <c r="M7965">
        <v>2611</v>
      </c>
    </row>
    <row r="7966" spans="1:14">
      <c r="A7966">
        <v>29420031</v>
      </c>
      <c r="B7966">
        <v>4008169</v>
      </c>
      <c r="C7966" t="s">
        <v>3415</v>
      </c>
      <c r="D7966" t="s">
        <v>442</v>
      </c>
      <c r="E7966" t="s">
        <v>441</v>
      </c>
      <c r="F7966">
        <v>0.375</v>
      </c>
      <c r="G7966">
        <v>7.06</v>
      </c>
      <c r="H7966" t="s">
        <v>8587</v>
      </c>
      <c r="I7966">
        <v>12</v>
      </c>
      <c r="J7966" t="s">
        <v>462</v>
      </c>
      <c r="K7966" t="s">
        <v>446</v>
      </c>
      <c r="M7966">
        <v>2611</v>
      </c>
    </row>
    <row r="7967" spans="1:14">
      <c r="A7967">
        <v>29430030</v>
      </c>
      <c r="B7967">
        <v>4007274</v>
      </c>
      <c r="C7967" t="s">
        <v>12235</v>
      </c>
      <c r="D7967" t="s">
        <v>442</v>
      </c>
      <c r="E7967" t="s">
        <v>441</v>
      </c>
      <c r="F7967">
        <v>1</v>
      </c>
      <c r="G7967">
        <v>12.87</v>
      </c>
      <c r="H7967" t="s">
        <v>8587</v>
      </c>
      <c r="I7967">
        <v>12</v>
      </c>
      <c r="J7967" t="s">
        <v>462</v>
      </c>
      <c r="K7967" t="s">
        <v>446</v>
      </c>
      <c r="M7967">
        <v>2611</v>
      </c>
    </row>
    <row r="7968" spans="1:14">
      <c r="A7968">
        <v>29430031</v>
      </c>
      <c r="B7968">
        <v>4008168</v>
      </c>
      <c r="C7968" t="s">
        <v>12236</v>
      </c>
      <c r="D7968" t="s">
        <v>442</v>
      </c>
      <c r="E7968" t="s">
        <v>441</v>
      </c>
      <c r="F7968">
        <v>1</v>
      </c>
      <c r="G7968">
        <v>12.9</v>
      </c>
      <c r="H7968" t="s">
        <v>8587</v>
      </c>
      <c r="I7968">
        <v>12</v>
      </c>
      <c r="J7968" t="s">
        <v>462</v>
      </c>
      <c r="K7968" t="s">
        <v>446</v>
      </c>
      <c r="M7968">
        <v>2611</v>
      </c>
    </row>
    <row r="7969" spans="1:14">
      <c r="A7969">
        <v>29440030</v>
      </c>
      <c r="B7969">
        <v>4007275</v>
      </c>
      <c r="C7969" t="s">
        <v>3416</v>
      </c>
      <c r="D7969" t="s">
        <v>442</v>
      </c>
      <c r="E7969" t="s">
        <v>441</v>
      </c>
      <c r="F7969">
        <v>0.5</v>
      </c>
      <c r="G7969">
        <v>8.1999999999999993</v>
      </c>
      <c r="H7969" t="s">
        <v>8587</v>
      </c>
      <c r="I7969">
        <v>12</v>
      </c>
      <c r="J7969" t="s">
        <v>462</v>
      </c>
      <c r="K7969" t="s">
        <v>446</v>
      </c>
      <c r="M7969">
        <v>2611</v>
      </c>
    </row>
    <row r="7970" spans="1:14">
      <c r="A7970">
        <v>29440031</v>
      </c>
      <c r="B7970">
        <v>4008181</v>
      </c>
      <c r="C7970" t="s">
        <v>12237</v>
      </c>
      <c r="D7970" t="s">
        <v>442</v>
      </c>
      <c r="E7970" t="s">
        <v>441</v>
      </c>
      <c r="F7970">
        <v>0.5</v>
      </c>
      <c r="G7970">
        <v>7.16</v>
      </c>
      <c r="H7970" t="s">
        <v>8587</v>
      </c>
      <c r="I7970">
        <v>12</v>
      </c>
      <c r="J7970" t="s">
        <v>462</v>
      </c>
      <c r="K7970" t="s">
        <v>446</v>
      </c>
      <c r="M7970">
        <v>2611</v>
      </c>
    </row>
    <row r="7971" spans="1:14">
      <c r="A7971">
        <v>29450000</v>
      </c>
      <c r="B7971">
        <v>3030717</v>
      </c>
      <c r="C7971" t="s">
        <v>15194</v>
      </c>
      <c r="D7971" t="s">
        <v>441</v>
      </c>
      <c r="F7971">
        <v>0</v>
      </c>
      <c r="G7971">
        <v>11.36</v>
      </c>
      <c r="H7971" t="s">
        <v>8549</v>
      </c>
      <c r="I7971">
        <v>6</v>
      </c>
      <c r="J7971" t="s">
        <v>445</v>
      </c>
      <c r="M7971">
        <v>2391</v>
      </c>
      <c r="N7971" t="s">
        <v>16072</v>
      </c>
    </row>
    <row r="7972" spans="1:14">
      <c r="A7972">
        <v>29450007</v>
      </c>
      <c r="B7972">
        <v>3030718</v>
      </c>
      <c r="C7972" t="s">
        <v>15195</v>
      </c>
      <c r="D7972" t="s">
        <v>441</v>
      </c>
      <c r="F7972">
        <v>0</v>
      </c>
      <c r="G7972">
        <v>11.5</v>
      </c>
      <c r="H7972" t="s">
        <v>8588</v>
      </c>
      <c r="I7972">
        <v>6</v>
      </c>
      <c r="J7972" t="s">
        <v>445</v>
      </c>
      <c r="M7972">
        <v>2391</v>
      </c>
      <c r="N7972" t="s">
        <v>16072</v>
      </c>
    </row>
    <row r="7973" spans="1:14">
      <c r="A7973">
        <v>29450100</v>
      </c>
      <c r="B7973">
        <v>3031960</v>
      </c>
      <c r="C7973" t="s">
        <v>3417</v>
      </c>
      <c r="D7973" t="s">
        <v>441</v>
      </c>
      <c r="F7973">
        <v>0</v>
      </c>
      <c r="H7973" t="s">
        <v>8588</v>
      </c>
      <c r="I7973">
        <v>6</v>
      </c>
      <c r="J7973" t="s">
        <v>445</v>
      </c>
      <c r="K7973" t="s">
        <v>446</v>
      </c>
      <c r="M7973">
        <v>0</v>
      </c>
      <c r="N7973" t="s">
        <v>16350</v>
      </c>
    </row>
    <row r="7974" spans="1:14">
      <c r="A7974">
        <v>29460030</v>
      </c>
      <c r="B7974">
        <v>4007276</v>
      </c>
      <c r="C7974" t="s">
        <v>12238</v>
      </c>
      <c r="D7974" t="s">
        <v>442</v>
      </c>
      <c r="E7974" t="s">
        <v>441</v>
      </c>
      <c r="F7974">
        <v>0.75</v>
      </c>
      <c r="G7974">
        <v>11.18</v>
      </c>
      <c r="H7974" t="s">
        <v>8587</v>
      </c>
      <c r="I7974">
        <v>12</v>
      </c>
      <c r="J7974" t="s">
        <v>462</v>
      </c>
      <c r="K7974" t="s">
        <v>446</v>
      </c>
      <c r="M7974">
        <v>2611</v>
      </c>
    </row>
    <row r="7975" spans="1:14">
      <c r="A7975">
        <v>29460031</v>
      </c>
      <c r="B7975">
        <v>4008182</v>
      </c>
      <c r="C7975" t="s">
        <v>12239</v>
      </c>
      <c r="D7975" t="s">
        <v>442</v>
      </c>
      <c r="E7975" t="s">
        <v>441</v>
      </c>
      <c r="F7975">
        <v>0.75</v>
      </c>
      <c r="G7975">
        <v>11.29</v>
      </c>
      <c r="H7975" t="s">
        <v>8587</v>
      </c>
      <c r="I7975">
        <v>12</v>
      </c>
      <c r="J7975" t="s">
        <v>462</v>
      </c>
      <c r="K7975" t="s">
        <v>446</v>
      </c>
      <c r="M7975">
        <v>2611</v>
      </c>
    </row>
    <row r="7976" spans="1:14">
      <c r="A7976">
        <v>29470030</v>
      </c>
      <c r="B7976">
        <v>4007277</v>
      </c>
      <c r="C7976" t="s">
        <v>3418</v>
      </c>
      <c r="D7976" t="s">
        <v>442</v>
      </c>
      <c r="E7976" t="s">
        <v>441</v>
      </c>
      <c r="F7976">
        <v>0.75</v>
      </c>
      <c r="G7976">
        <v>10.41</v>
      </c>
      <c r="H7976" t="s">
        <v>8587</v>
      </c>
      <c r="I7976">
        <v>12</v>
      </c>
      <c r="J7976" t="s">
        <v>462</v>
      </c>
      <c r="K7976" t="s">
        <v>446</v>
      </c>
      <c r="M7976">
        <v>2611</v>
      </c>
    </row>
    <row r="7977" spans="1:14">
      <c r="A7977">
        <v>29470031</v>
      </c>
      <c r="B7977">
        <v>4008183</v>
      </c>
      <c r="C7977" t="s">
        <v>3419</v>
      </c>
      <c r="D7977" t="s">
        <v>442</v>
      </c>
      <c r="E7977" t="s">
        <v>441</v>
      </c>
      <c r="F7977">
        <v>0.75</v>
      </c>
      <c r="G7977">
        <v>10.47</v>
      </c>
      <c r="H7977" t="s">
        <v>8587</v>
      </c>
      <c r="I7977">
        <v>12</v>
      </c>
      <c r="J7977" t="s">
        <v>462</v>
      </c>
      <c r="K7977" t="s">
        <v>446</v>
      </c>
      <c r="M7977">
        <v>2611</v>
      </c>
    </row>
    <row r="7978" spans="1:14">
      <c r="A7978">
        <v>29480030</v>
      </c>
      <c r="B7978">
        <v>4007278</v>
      </c>
      <c r="C7978" t="s">
        <v>3420</v>
      </c>
      <c r="D7978" t="s">
        <v>442</v>
      </c>
      <c r="E7978" t="s">
        <v>441</v>
      </c>
      <c r="F7978">
        <v>0.75</v>
      </c>
      <c r="G7978">
        <v>12.88</v>
      </c>
      <c r="H7978" t="s">
        <v>8587</v>
      </c>
      <c r="I7978">
        <v>12</v>
      </c>
      <c r="J7978" t="s">
        <v>462</v>
      </c>
      <c r="K7978" t="s">
        <v>446</v>
      </c>
      <c r="M7978">
        <v>2611</v>
      </c>
    </row>
    <row r="7979" spans="1:14">
      <c r="A7979">
        <v>29480031</v>
      </c>
      <c r="B7979">
        <v>4008184</v>
      </c>
      <c r="C7979" t="s">
        <v>3421</v>
      </c>
      <c r="D7979" t="s">
        <v>442</v>
      </c>
      <c r="E7979" t="s">
        <v>441</v>
      </c>
      <c r="F7979">
        <v>0.75</v>
      </c>
      <c r="G7979">
        <v>12.98</v>
      </c>
      <c r="H7979" t="s">
        <v>8587</v>
      </c>
      <c r="I7979">
        <v>12</v>
      </c>
      <c r="J7979" t="s">
        <v>462</v>
      </c>
      <c r="K7979" t="s">
        <v>446</v>
      </c>
      <c r="M7979">
        <v>2611</v>
      </c>
    </row>
    <row r="7980" spans="1:14">
      <c r="A7980">
        <v>29490030</v>
      </c>
      <c r="B7980">
        <v>4007279</v>
      </c>
      <c r="C7980" t="s">
        <v>3422</v>
      </c>
      <c r="D7980" t="s">
        <v>442</v>
      </c>
      <c r="E7980" t="s">
        <v>441</v>
      </c>
      <c r="F7980">
        <v>0.32</v>
      </c>
      <c r="G7980">
        <v>6.45</v>
      </c>
      <c r="H7980" t="s">
        <v>8587</v>
      </c>
      <c r="I7980">
        <v>12</v>
      </c>
      <c r="J7980" t="s">
        <v>462</v>
      </c>
      <c r="K7980" t="s">
        <v>446</v>
      </c>
      <c r="M7980">
        <v>2611</v>
      </c>
    </row>
    <row r="7981" spans="1:14">
      <c r="A7981">
        <v>29490031</v>
      </c>
      <c r="B7981">
        <v>4008165</v>
      </c>
      <c r="C7981" t="s">
        <v>12240</v>
      </c>
      <c r="D7981" t="s">
        <v>442</v>
      </c>
      <c r="E7981" t="s">
        <v>441</v>
      </c>
      <c r="F7981">
        <v>0.32</v>
      </c>
      <c r="G7981">
        <v>6.39</v>
      </c>
      <c r="H7981" t="s">
        <v>8587</v>
      </c>
      <c r="I7981">
        <v>12</v>
      </c>
      <c r="J7981" t="s">
        <v>462</v>
      </c>
      <c r="K7981" t="s">
        <v>446</v>
      </c>
      <c r="M7981">
        <v>2611</v>
      </c>
    </row>
    <row r="7982" spans="1:14">
      <c r="A7982">
        <v>29500030</v>
      </c>
      <c r="B7982">
        <v>4007311</v>
      </c>
      <c r="C7982" t="s">
        <v>12241</v>
      </c>
      <c r="D7982" t="s">
        <v>442</v>
      </c>
      <c r="E7982" t="s">
        <v>441</v>
      </c>
      <c r="F7982">
        <v>1</v>
      </c>
      <c r="G7982">
        <v>11.56</v>
      </c>
      <c r="H7982" t="s">
        <v>8587</v>
      </c>
      <c r="I7982">
        <v>12</v>
      </c>
      <c r="J7982" t="s">
        <v>462</v>
      </c>
      <c r="K7982" t="s">
        <v>446</v>
      </c>
      <c r="M7982">
        <v>2611</v>
      </c>
    </row>
    <row r="7983" spans="1:14">
      <c r="A7983">
        <v>29500031</v>
      </c>
      <c r="B7983">
        <v>4008164</v>
      </c>
      <c r="C7983" t="s">
        <v>12242</v>
      </c>
      <c r="D7983" t="s">
        <v>442</v>
      </c>
      <c r="E7983" t="s">
        <v>441</v>
      </c>
      <c r="F7983">
        <v>1</v>
      </c>
      <c r="G7983">
        <v>11.72</v>
      </c>
      <c r="H7983" t="s">
        <v>8587</v>
      </c>
      <c r="I7983">
        <v>12</v>
      </c>
      <c r="J7983" t="s">
        <v>462</v>
      </c>
      <c r="K7983" t="s">
        <v>446</v>
      </c>
      <c r="M7983">
        <v>2611</v>
      </c>
    </row>
    <row r="7984" spans="1:14">
      <c r="A7984">
        <v>29510019</v>
      </c>
      <c r="B7984">
        <v>4012745</v>
      </c>
      <c r="C7984" t="s">
        <v>3423</v>
      </c>
      <c r="D7984" t="s">
        <v>441</v>
      </c>
      <c r="F7984">
        <v>0</v>
      </c>
      <c r="G7984">
        <v>10.23</v>
      </c>
      <c r="H7984" t="s">
        <v>8588</v>
      </c>
      <c r="I7984">
        <v>365</v>
      </c>
      <c r="J7984" t="s">
        <v>462</v>
      </c>
      <c r="K7984" t="s">
        <v>446</v>
      </c>
      <c r="M7984">
        <v>2501</v>
      </c>
      <c r="N7984" t="s">
        <v>16083</v>
      </c>
    </row>
    <row r="7985" spans="1:14">
      <c r="A7985">
        <v>29510050</v>
      </c>
      <c r="B7985">
        <v>4012706</v>
      </c>
      <c r="C7985" t="s">
        <v>12243</v>
      </c>
      <c r="D7985" t="s">
        <v>441</v>
      </c>
      <c r="F7985">
        <v>0</v>
      </c>
      <c r="G7985">
        <v>10.14</v>
      </c>
      <c r="H7985" t="s">
        <v>8588</v>
      </c>
      <c r="I7985">
        <v>10</v>
      </c>
      <c r="J7985" t="s">
        <v>462</v>
      </c>
      <c r="K7985" t="s">
        <v>446</v>
      </c>
      <c r="M7985">
        <v>2612</v>
      </c>
      <c r="N7985" t="s">
        <v>16087</v>
      </c>
    </row>
    <row r="7986" spans="1:14">
      <c r="A7986">
        <v>29510075</v>
      </c>
      <c r="B7986">
        <v>3008676</v>
      </c>
      <c r="C7986" t="s">
        <v>15196</v>
      </c>
      <c r="D7986" t="s">
        <v>441</v>
      </c>
      <c r="F7986">
        <v>0</v>
      </c>
      <c r="G7986">
        <v>13.38</v>
      </c>
      <c r="H7986" t="s">
        <v>8588</v>
      </c>
      <c r="I7986">
        <v>6</v>
      </c>
      <c r="J7986" t="s">
        <v>445</v>
      </c>
      <c r="K7986" t="s">
        <v>446</v>
      </c>
      <c r="M7986">
        <v>7112</v>
      </c>
      <c r="N7986" t="s">
        <v>16073</v>
      </c>
    </row>
    <row r="7987" spans="1:14">
      <c r="A7987">
        <v>29510076</v>
      </c>
      <c r="B7987">
        <v>4009756</v>
      </c>
      <c r="C7987" t="s">
        <v>12244</v>
      </c>
      <c r="D7987" t="s">
        <v>441</v>
      </c>
      <c r="F7987">
        <v>0</v>
      </c>
      <c r="G7987">
        <v>9.9499999999999993</v>
      </c>
      <c r="H7987" t="s">
        <v>8588</v>
      </c>
      <c r="I7987">
        <v>6</v>
      </c>
      <c r="J7987" t="s">
        <v>462</v>
      </c>
      <c r="K7987" t="s">
        <v>446</v>
      </c>
      <c r="M7987">
        <v>2641</v>
      </c>
      <c r="N7987" t="s">
        <v>16083</v>
      </c>
    </row>
    <row r="7988" spans="1:14">
      <c r="A7988">
        <v>29510080</v>
      </c>
      <c r="B7988">
        <v>4007361</v>
      </c>
      <c r="C7988" t="s">
        <v>12245</v>
      </c>
      <c r="D7988" t="s">
        <v>441</v>
      </c>
      <c r="F7988">
        <v>0</v>
      </c>
      <c r="G7988">
        <v>10</v>
      </c>
      <c r="H7988" t="s">
        <v>8588</v>
      </c>
      <c r="I7988">
        <v>6</v>
      </c>
      <c r="J7988" t="s">
        <v>462</v>
      </c>
      <c r="K7988" t="s">
        <v>446</v>
      </c>
      <c r="M7988">
        <v>2641</v>
      </c>
      <c r="N7988" t="s">
        <v>16083</v>
      </c>
    </row>
    <row r="7989" spans="1:14">
      <c r="A7989">
        <v>29510519</v>
      </c>
      <c r="B7989">
        <v>3018435</v>
      </c>
      <c r="C7989" t="s">
        <v>3424</v>
      </c>
      <c r="D7989" t="s">
        <v>441</v>
      </c>
      <c r="F7989">
        <v>0</v>
      </c>
      <c r="G7989">
        <v>9.9700000000000006</v>
      </c>
      <c r="H7989" t="s">
        <v>8935</v>
      </c>
      <c r="I7989">
        <v>365</v>
      </c>
      <c r="J7989" t="s">
        <v>445</v>
      </c>
      <c r="K7989" t="s">
        <v>446</v>
      </c>
      <c r="M7989">
        <v>2641</v>
      </c>
      <c r="N7989" t="s">
        <v>16083</v>
      </c>
    </row>
    <row r="7990" spans="1:14">
      <c r="A7990">
        <v>29511050</v>
      </c>
      <c r="B7990">
        <v>4012707</v>
      </c>
      <c r="C7990" t="s">
        <v>12246</v>
      </c>
      <c r="D7990" t="s">
        <v>441</v>
      </c>
      <c r="F7990">
        <v>0</v>
      </c>
      <c r="G7990">
        <v>10.14</v>
      </c>
      <c r="H7990" t="s">
        <v>8588</v>
      </c>
      <c r="I7990">
        <v>10</v>
      </c>
      <c r="J7990" t="s">
        <v>462</v>
      </c>
      <c r="K7990" t="s">
        <v>446</v>
      </c>
      <c r="M7990">
        <v>2612</v>
      </c>
      <c r="N7990" t="s">
        <v>16087</v>
      </c>
    </row>
    <row r="7991" spans="1:14">
      <c r="A7991">
        <v>29511076</v>
      </c>
      <c r="B7991">
        <v>4011967</v>
      </c>
      <c r="C7991" t="s">
        <v>12247</v>
      </c>
      <c r="D7991" t="s">
        <v>441</v>
      </c>
      <c r="F7991">
        <v>0</v>
      </c>
      <c r="G7991">
        <v>9.9499999999999993</v>
      </c>
      <c r="H7991" t="s">
        <v>8588</v>
      </c>
      <c r="I7991">
        <v>6</v>
      </c>
      <c r="J7991" t="s">
        <v>462</v>
      </c>
      <c r="K7991" t="s">
        <v>446</v>
      </c>
      <c r="M7991">
        <v>2641</v>
      </c>
      <c r="N7991" t="s">
        <v>16083</v>
      </c>
    </row>
    <row r="7992" spans="1:14">
      <c r="A7992">
        <v>29511080</v>
      </c>
      <c r="B7992">
        <v>4011724</v>
      </c>
      <c r="C7992" t="s">
        <v>12248</v>
      </c>
      <c r="D7992" t="s">
        <v>441</v>
      </c>
      <c r="F7992">
        <v>0</v>
      </c>
      <c r="G7992">
        <v>10</v>
      </c>
      <c r="H7992" t="s">
        <v>8588</v>
      </c>
      <c r="I7992">
        <v>6</v>
      </c>
      <c r="J7992" t="s">
        <v>462</v>
      </c>
      <c r="K7992" t="s">
        <v>446</v>
      </c>
      <c r="M7992">
        <v>2641</v>
      </c>
      <c r="N7992" t="s">
        <v>16083</v>
      </c>
    </row>
    <row r="7993" spans="1:14">
      <c r="A7993">
        <v>29513000</v>
      </c>
      <c r="B7993">
        <v>3008883</v>
      </c>
      <c r="C7993" t="s">
        <v>3425</v>
      </c>
      <c r="D7993" t="s">
        <v>441</v>
      </c>
      <c r="F7993">
        <v>0</v>
      </c>
      <c r="G7993">
        <v>7.65</v>
      </c>
      <c r="H7993" t="s">
        <v>8580</v>
      </c>
      <c r="I7993">
        <v>6</v>
      </c>
      <c r="J7993" t="s">
        <v>445</v>
      </c>
      <c r="K7993" t="s">
        <v>446</v>
      </c>
      <c r="M7993">
        <v>2390</v>
      </c>
    </row>
    <row r="7994" spans="1:14">
      <c r="A7994">
        <v>29520000</v>
      </c>
      <c r="B7994">
        <v>3008126</v>
      </c>
      <c r="C7994" t="s">
        <v>12249</v>
      </c>
      <c r="D7994" t="s">
        <v>441</v>
      </c>
      <c r="F7994">
        <v>0</v>
      </c>
      <c r="G7994">
        <v>11.65</v>
      </c>
      <c r="H7994" t="s">
        <v>8580</v>
      </c>
      <c r="I7994">
        <v>5</v>
      </c>
      <c r="J7994" t="s">
        <v>445</v>
      </c>
      <c r="K7994" t="s">
        <v>446</v>
      </c>
      <c r="M7994">
        <v>2390</v>
      </c>
    </row>
    <row r="7995" spans="1:14">
      <c r="A7995">
        <v>29520075</v>
      </c>
      <c r="B7995">
        <v>4007358</v>
      </c>
      <c r="C7995" t="s">
        <v>3426</v>
      </c>
      <c r="D7995" t="s">
        <v>441</v>
      </c>
      <c r="F7995">
        <v>0</v>
      </c>
      <c r="G7995">
        <v>11.82</v>
      </c>
      <c r="H7995" t="s">
        <v>8588</v>
      </c>
      <c r="I7995">
        <v>6</v>
      </c>
      <c r="J7995" t="s">
        <v>462</v>
      </c>
      <c r="K7995" t="s">
        <v>446</v>
      </c>
      <c r="M7995">
        <v>2641</v>
      </c>
    </row>
    <row r="7996" spans="1:14">
      <c r="A7996">
        <v>29530000</v>
      </c>
      <c r="B7996">
        <v>3008127</v>
      </c>
      <c r="C7996" t="s">
        <v>12250</v>
      </c>
      <c r="D7996" t="s">
        <v>441</v>
      </c>
      <c r="F7996">
        <v>0</v>
      </c>
      <c r="G7996">
        <v>11.65</v>
      </c>
      <c r="H7996" t="s">
        <v>8584</v>
      </c>
      <c r="I7996">
        <v>6</v>
      </c>
      <c r="J7996" t="s">
        <v>445</v>
      </c>
      <c r="K7996" t="s">
        <v>446</v>
      </c>
      <c r="M7996">
        <v>2390</v>
      </c>
    </row>
    <row r="7997" spans="1:14">
      <c r="A7997">
        <v>29530075</v>
      </c>
      <c r="B7997">
        <v>4007370</v>
      </c>
      <c r="C7997" t="s">
        <v>3427</v>
      </c>
      <c r="D7997" t="s">
        <v>441</v>
      </c>
      <c r="F7997">
        <v>0</v>
      </c>
      <c r="G7997">
        <v>11.83</v>
      </c>
      <c r="H7997" t="s">
        <v>8588</v>
      </c>
      <c r="I7997">
        <v>6</v>
      </c>
      <c r="J7997" t="s">
        <v>462</v>
      </c>
      <c r="K7997" t="s">
        <v>446</v>
      </c>
      <c r="L7997">
        <v>11001</v>
      </c>
      <c r="M7997">
        <v>2641</v>
      </c>
    </row>
    <row r="7998" spans="1:14">
      <c r="A7998">
        <v>29540000</v>
      </c>
      <c r="B7998">
        <v>3015902</v>
      </c>
      <c r="C7998" t="s">
        <v>17544</v>
      </c>
      <c r="D7998" t="s">
        <v>441</v>
      </c>
      <c r="F7998">
        <v>0</v>
      </c>
      <c r="G7998">
        <v>17.53</v>
      </c>
      <c r="I7998">
        <v>6</v>
      </c>
      <c r="J7998" t="s">
        <v>445</v>
      </c>
      <c r="M7998">
        <v>2391</v>
      </c>
      <c r="N7998" t="s">
        <v>16366</v>
      </c>
    </row>
    <row r="7999" spans="1:14">
      <c r="A7999">
        <v>29540007</v>
      </c>
      <c r="B7999">
        <v>3026909</v>
      </c>
      <c r="C7999" t="s">
        <v>17545</v>
      </c>
      <c r="D7999" t="s">
        <v>441</v>
      </c>
      <c r="F7999">
        <v>0</v>
      </c>
      <c r="G7999">
        <v>17.7</v>
      </c>
      <c r="H7999" t="s">
        <v>8549</v>
      </c>
      <c r="I7999">
        <v>6</v>
      </c>
      <c r="J7999" t="s">
        <v>445</v>
      </c>
      <c r="M7999">
        <v>3111</v>
      </c>
      <c r="N7999" t="s">
        <v>16366</v>
      </c>
    </row>
    <row r="8000" spans="1:14">
      <c r="A8000">
        <v>29540020</v>
      </c>
      <c r="B8000">
        <v>4015942</v>
      </c>
      <c r="C8000" t="s">
        <v>3428</v>
      </c>
      <c r="D8000" t="s">
        <v>441</v>
      </c>
      <c r="F8000">
        <v>0</v>
      </c>
      <c r="G8000">
        <v>13.55</v>
      </c>
      <c r="H8000" t="s">
        <v>10655</v>
      </c>
      <c r="I8000">
        <v>6</v>
      </c>
      <c r="J8000" t="s">
        <v>462</v>
      </c>
      <c r="K8000" t="s">
        <v>446</v>
      </c>
      <c r="M8000">
        <v>0</v>
      </c>
      <c r="N8000" t="s">
        <v>16366</v>
      </c>
    </row>
    <row r="8001" spans="1:14">
      <c r="A8001">
        <v>29540059</v>
      </c>
      <c r="B8001">
        <v>4026548</v>
      </c>
      <c r="C8001" t="s">
        <v>3429</v>
      </c>
      <c r="D8001" t="s">
        <v>441</v>
      </c>
      <c r="F8001">
        <v>0</v>
      </c>
      <c r="G8001">
        <v>9.2100000000000009</v>
      </c>
      <c r="H8001" t="s">
        <v>8588</v>
      </c>
      <c r="I8001">
        <v>16</v>
      </c>
      <c r="J8001" t="s">
        <v>462</v>
      </c>
      <c r="M8001">
        <v>7112</v>
      </c>
      <c r="N8001" t="s">
        <v>16366</v>
      </c>
    </row>
    <row r="8002" spans="1:14">
      <c r="A8002">
        <v>29540075</v>
      </c>
      <c r="B8002">
        <v>4007372</v>
      </c>
      <c r="C8002" t="s">
        <v>3430</v>
      </c>
      <c r="D8002" t="s">
        <v>441</v>
      </c>
      <c r="F8002">
        <v>0</v>
      </c>
      <c r="G8002">
        <v>13.37</v>
      </c>
      <c r="H8002" t="s">
        <v>10655</v>
      </c>
      <c r="I8002">
        <v>6</v>
      </c>
      <c r="J8002" t="s">
        <v>462</v>
      </c>
      <c r="K8002" t="s">
        <v>446</v>
      </c>
      <c r="L8002">
        <v>11286</v>
      </c>
      <c r="M8002">
        <v>2641</v>
      </c>
      <c r="N8002" t="s">
        <v>16366</v>
      </c>
    </row>
    <row r="8003" spans="1:14">
      <c r="A8003">
        <v>29540076</v>
      </c>
      <c r="B8003">
        <v>3026952</v>
      </c>
      <c r="C8003" t="s">
        <v>17546</v>
      </c>
      <c r="D8003" t="s">
        <v>441</v>
      </c>
      <c r="F8003">
        <v>0</v>
      </c>
      <c r="G8003">
        <v>17.71</v>
      </c>
      <c r="H8003" t="s">
        <v>8588</v>
      </c>
      <c r="I8003">
        <v>6</v>
      </c>
      <c r="J8003" t="s">
        <v>445</v>
      </c>
      <c r="M8003">
        <v>7112</v>
      </c>
      <c r="N8003" t="s">
        <v>16366</v>
      </c>
    </row>
    <row r="8004" spans="1:14">
      <c r="A8004">
        <v>29540907</v>
      </c>
      <c r="B8004">
        <v>3030504</v>
      </c>
      <c r="C8004" t="s">
        <v>17547</v>
      </c>
      <c r="D8004" t="s">
        <v>441</v>
      </c>
      <c r="F8004">
        <v>0</v>
      </c>
      <c r="H8004" t="s">
        <v>8935</v>
      </c>
      <c r="I8004">
        <v>6</v>
      </c>
      <c r="J8004" t="s">
        <v>445</v>
      </c>
      <c r="M8004">
        <v>6666</v>
      </c>
      <c r="N8004" t="s">
        <v>16366</v>
      </c>
    </row>
    <row r="8005" spans="1:14">
      <c r="A8005">
        <v>29541000</v>
      </c>
      <c r="B8005">
        <v>3017734</v>
      </c>
      <c r="C8005" t="s">
        <v>17548</v>
      </c>
      <c r="D8005" t="s">
        <v>441</v>
      </c>
      <c r="F8005">
        <v>0</v>
      </c>
      <c r="G8005">
        <v>17.53</v>
      </c>
      <c r="H8005" t="s">
        <v>8634</v>
      </c>
      <c r="I8005">
        <v>6</v>
      </c>
      <c r="J8005" t="s">
        <v>445</v>
      </c>
      <c r="M8005">
        <v>2391</v>
      </c>
      <c r="N8005" t="s">
        <v>16366</v>
      </c>
    </row>
    <row r="8006" spans="1:14">
      <c r="A8006">
        <v>29541075</v>
      </c>
      <c r="B8006">
        <v>4013214</v>
      </c>
      <c r="C8006" t="s">
        <v>3431</v>
      </c>
      <c r="D8006" t="s">
        <v>441</v>
      </c>
      <c r="F8006">
        <v>0</v>
      </c>
      <c r="G8006">
        <v>13.37</v>
      </c>
      <c r="H8006" t="s">
        <v>10655</v>
      </c>
      <c r="I8006">
        <v>6</v>
      </c>
      <c r="J8006" t="s">
        <v>462</v>
      </c>
      <c r="K8006" t="s">
        <v>446</v>
      </c>
      <c r="L8006">
        <v>11286</v>
      </c>
      <c r="M8006">
        <v>2641</v>
      </c>
      <c r="N8006" t="s">
        <v>16366</v>
      </c>
    </row>
    <row r="8007" spans="1:14">
      <c r="A8007">
        <v>29550000</v>
      </c>
      <c r="B8007">
        <v>3008129</v>
      </c>
      <c r="C8007" t="s">
        <v>3432</v>
      </c>
      <c r="D8007" t="s">
        <v>441</v>
      </c>
      <c r="F8007">
        <v>0</v>
      </c>
      <c r="G8007">
        <v>11.44</v>
      </c>
      <c r="H8007" t="s">
        <v>8637</v>
      </c>
      <c r="I8007">
        <v>6</v>
      </c>
      <c r="J8007" t="s">
        <v>445</v>
      </c>
      <c r="K8007" t="s">
        <v>446</v>
      </c>
      <c r="M8007">
        <v>2390</v>
      </c>
    </row>
    <row r="8008" spans="1:14">
      <c r="A8008">
        <v>29550050</v>
      </c>
      <c r="B8008">
        <v>4010558</v>
      </c>
      <c r="C8008" t="s">
        <v>3433</v>
      </c>
      <c r="D8008" t="s">
        <v>441</v>
      </c>
      <c r="F8008">
        <v>0</v>
      </c>
      <c r="G8008">
        <v>10.26</v>
      </c>
      <c r="H8008" t="s">
        <v>8588</v>
      </c>
      <c r="I8008">
        <v>16</v>
      </c>
      <c r="J8008" t="s">
        <v>462</v>
      </c>
      <c r="K8008" t="s">
        <v>446</v>
      </c>
      <c r="M8008">
        <v>2612</v>
      </c>
      <c r="N8008" t="s">
        <v>16012</v>
      </c>
    </row>
    <row r="8009" spans="1:14">
      <c r="A8009">
        <v>29550052</v>
      </c>
      <c r="B8009">
        <v>4012954</v>
      </c>
      <c r="C8009" t="s">
        <v>3434</v>
      </c>
      <c r="D8009" t="s">
        <v>441</v>
      </c>
      <c r="F8009">
        <v>0</v>
      </c>
      <c r="G8009">
        <v>10.65</v>
      </c>
      <c r="H8009" t="s">
        <v>8588</v>
      </c>
      <c r="I8009">
        <v>365</v>
      </c>
      <c r="J8009" t="s">
        <v>462</v>
      </c>
      <c r="K8009" t="s">
        <v>446</v>
      </c>
      <c r="M8009">
        <v>2501</v>
      </c>
      <c r="N8009" t="s">
        <v>16012</v>
      </c>
    </row>
    <row r="8010" spans="1:14">
      <c r="A8010">
        <v>29550075</v>
      </c>
      <c r="B8010">
        <v>4007374</v>
      </c>
      <c r="C8010" t="s">
        <v>3435</v>
      </c>
      <c r="D8010" t="s">
        <v>441</v>
      </c>
      <c r="F8010">
        <v>0</v>
      </c>
      <c r="G8010">
        <v>11.69</v>
      </c>
      <c r="H8010" t="s">
        <v>10655</v>
      </c>
      <c r="I8010">
        <v>6</v>
      </c>
      <c r="J8010" t="s">
        <v>462</v>
      </c>
      <c r="K8010" t="s">
        <v>446</v>
      </c>
      <c r="L8010">
        <v>11021</v>
      </c>
      <c r="M8010">
        <v>2641</v>
      </c>
    </row>
    <row r="8011" spans="1:14">
      <c r="A8011">
        <v>29550552</v>
      </c>
      <c r="B8011">
        <v>3018643</v>
      </c>
      <c r="C8011" t="s">
        <v>3436</v>
      </c>
      <c r="D8011" t="s">
        <v>441</v>
      </c>
      <c r="F8011">
        <v>0</v>
      </c>
      <c r="G8011">
        <v>10.43</v>
      </c>
      <c r="H8011" t="s">
        <v>8580</v>
      </c>
      <c r="I8011">
        <v>365</v>
      </c>
      <c r="J8011" t="s">
        <v>445</v>
      </c>
      <c r="K8011" t="s">
        <v>446</v>
      </c>
      <c r="M8011">
        <v>2612</v>
      </c>
      <c r="N8011" t="s">
        <v>16012</v>
      </c>
    </row>
    <row r="8012" spans="1:14">
      <c r="A8012">
        <v>29551052</v>
      </c>
      <c r="B8012">
        <v>4012955</v>
      </c>
      <c r="C8012" t="s">
        <v>3437</v>
      </c>
      <c r="D8012" t="s">
        <v>441</v>
      </c>
      <c r="F8012">
        <v>0</v>
      </c>
      <c r="G8012">
        <v>10.65</v>
      </c>
      <c r="H8012" t="s">
        <v>8588</v>
      </c>
      <c r="I8012">
        <v>365</v>
      </c>
      <c r="J8012" t="s">
        <v>462</v>
      </c>
      <c r="K8012" t="s">
        <v>446</v>
      </c>
      <c r="M8012">
        <v>2501</v>
      </c>
      <c r="N8012" t="s">
        <v>16012</v>
      </c>
    </row>
    <row r="8013" spans="1:14">
      <c r="A8013">
        <v>29551552</v>
      </c>
      <c r="B8013">
        <v>3018646</v>
      </c>
      <c r="C8013" t="s">
        <v>3438</v>
      </c>
      <c r="D8013" t="s">
        <v>441</v>
      </c>
      <c r="F8013">
        <v>0</v>
      </c>
      <c r="G8013">
        <v>10.43</v>
      </c>
      <c r="H8013" t="s">
        <v>8584</v>
      </c>
      <c r="I8013">
        <v>365</v>
      </c>
      <c r="J8013" t="s">
        <v>445</v>
      </c>
      <c r="K8013" t="s">
        <v>446</v>
      </c>
      <c r="M8013">
        <v>2612</v>
      </c>
      <c r="N8013" t="s">
        <v>16012</v>
      </c>
    </row>
    <row r="8014" spans="1:14">
      <c r="A8014">
        <v>29560000</v>
      </c>
      <c r="B8014">
        <v>3008130</v>
      </c>
      <c r="C8014" t="s">
        <v>3439</v>
      </c>
      <c r="D8014" t="s">
        <v>441</v>
      </c>
      <c r="F8014">
        <v>0</v>
      </c>
      <c r="G8014">
        <v>12.93</v>
      </c>
      <c r="H8014" t="s">
        <v>8584</v>
      </c>
      <c r="I8014">
        <v>6</v>
      </c>
      <c r="J8014" t="s">
        <v>445</v>
      </c>
      <c r="K8014" t="s">
        <v>446</v>
      </c>
      <c r="M8014">
        <v>2390</v>
      </c>
    </row>
    <row r="8015" spans="1:14">
      <c r="A8015">
        <v>29560002</v>
      </c>
      <c r="B8015">
        <v>3019120</v>
      </c>
      <c r="C8015" t="s">
        <v>17549</v>
      </c>
      <c r="D8015" t="s">
        <v>441</v>
      </c>
      <c r="F8015">
        <v>0</v>
      </c>
      <c r="G8015">
        <v>18.309999999999999</v>
      </c>
      <c r="H8015" t="s">
        <v>8634</v>
      </c>
      <c r="I8015">
        <v>540</v>
      </c>
      <c r="J8015" t="s">
        <v>445</v>
      </c>
      <c r="M8015">
        <v>7111</v>
      </c>
      <c r="N8015" t="s">
        <v>16021</v>
      </c>
    </row>
    <row r="8016" spans="1:14">
      <c r="A8016">
        <v>29560020</v>
      </c>
      <c r="B8016">
        <v>4011340</v>
      </c>
      <c r="C8016" t="s">
        <v>3440</v>
      </c>
      <c r="D8016" t="s">
        <v>441</v>
      </c>
      <c r="F8016">
        <v>0</v>
      </c>
      <c r="G8016">
        <v>13.48</v>
      </c>
      <c r="H8016" t="s">
        <v>8588</v>
      </c>
      <c r="I8016">
        <v>6</v>
      </c>
      <c r="J8016" t="s">
        <v>462</v>
      </c>
      <c r="K8016" t="s">
        <v>446</v>
      </c>
      <c r="M8016">
        <v>2641</v>
      </c>
      <c r="N8016" t="s">
        <v>16021</v>
      </c>
    </row>
    <row r="8017" spans="1:14">
      <c r="A8017">
        <v>29560050</v>
      </c>
      <c r="B8017">
        <v>4010986</v>
      </c>
      <c r="C8017" t="s">
        <v>3441</v>
      </c>
      <c r="D8017" t="s">
        <v>441</v>
      </c>
      <c r="F8017">
        <v>0</v>
      </c>
      <c r="G8017">
        <v>9.7100000000000009</v>
      </c>
      <c r="H8017" t="s">
        <v>10655</v>
      </c>
      <c r="I8017">
        <v>16</v>
      </c>
      <c r="J8017" t="s">
        <v>462</v>
      </c>
      <c r="K8017" t="s">
        <v>446</v>
      </c>
      <c r="M8017">
        <v>2612</v>
      </c>
      <c r="N8017" t="s">
        <v>16021</v>
      </c>
    </row>
    <row r="8018" spans="1:14">
      <c r="A8018">
        <v>29560075</v>
      </c>
      <c r="B8018">
        <v>4007376</v>
      </c>
      <c r="C8018" t="s">
        <v>3442</v>
      </c>
      <c r="D8018" t="s">
        <v>441</v>
      </c>
      <c r="F8018">
        <v>0</v>
      </c>
      <c r="G8018">
        <v>13.37</v>
      </c>
      <c r="H8018" t="s">
        <v>10655</v>
      </c>
      <c r="I8018">
        <v>6</v>
      </c>
      <c r="J8018" t="s">
        <v>462</v>
      </c>
      <c r="K8018" t="s">
        <v>446</v>
      </c>
      <c r="L8018">
        <v>11031</v>
      </c>
      <c r="M8018">
        <v>2641</v>
      </c>
      <c r="N8018" t="s">
        <v>16021</v>
      </c>
    </row>
    <row r="8019" spans="1:14">
      <c r="A8019">
        <v>29560502</v>
      </c>
      <c r="B8019">
        <v>3019119</v>
      </c>
      <c r="C8019" t="s">
        <v>3443</v>
      </c>
      <c r="D8019" t="s">
        <v>441</v>
      </c>
      <c r="F8019">
        <v>0</v>
      </c>
      <c r="G8019">
        <v>8.66</v>
      </c>
      <c r="H8019" t="s">
        <v>8634</v>
      </c>
      <c r="I8019">
        <v>540</v>
      </c>
      <c r="J8019" t="s">
        <v>445</v>
      </c>
      <c r="M8019">
        <v>2502</v>
      </c>
      <c r="N8019" t="s">
        <v>16021</v>
      </c>
    </row>
    <row r="8020" spans="1:14">
      <c r="A8020">
        <v>29560602</v>
      </c>
      <c r="B8020">
        <v>3019121</v>
      </c>
      <c r="C8020" t="s">
        <v>17550</v>
      </c>
      <c r="D8020" t="s">
        <v>441</v>
      </c>
      <c r="F8020">
        <v>0</v>
      </c>
      <c r="G8020">
        <v>18.79</v>
      </c>
      <c r="H8020" t="s">
        <v>8588</v>
      </c>
      <c r="I8020">
        <v>4</v>
      </c>
      <c r="J8020" t="s">
        <v>445</v>
      </c>
      <c r="M8020">
        <v>2510</v>
      </c>
      <c r="N8020" t="s">
        <v>16021</v>
      </c>
    </row>
    <row r="8021" spans="1:14">
      <c r="A8021">
        <v>29560902</v>
      </c>
      <c r="B8021">
        <v>3020374</v>
      </c>
      <c r="C8021" t="s">
        <v>17551</v>
      </c>
      <c r="D8021" t="s">
        <v>441</v>
      </c>
      <c r="F8021">
        <v>0</v>
      </c>
      <c r="H8021" t="s">
        <v>8580</v>
      </c>
      <c r="I8021">
        <v>4</v>
      </c>
      <c r="J8021" t="s">
        <v>445</v>
      </c>
      <c r="M8021">
        <v>6666</v>
      </c>
      <c r="N8021" t="s">
        <v>16021</v>
      </c>
    </row>
    <row r="8022" spans="1:14">
      <c r="A8022">
        <v>29561020</v>
      </c>
      <c r="B8022">
        <v>4012184</v>
      </c>
      <c r="C8022" t="s">
        <v>3444</v>
      </c>
      <c r="D8022" t="s">
        <v>441</v>
      </c>
      <c r="F8022">
        <v>0</v>
      </c>
      <c r="G8022">
        <v>13.48</v>
      </c>
      <c r="H8022" t="s">
        <v>8588</v>
      </c>
      <c r="I8022">
        <v>6</v>
      </c>
      <c r="J8022" t="s">
        <v>462</v>
      </c>
      <c r="K8022" t="s">
        <v>446</v>
      </c>
      <c r="M8022">
        <v>2641</v>
      </c>
      <c r="N8022" t="s">
        <v>16021</v>
      </c>
    </row>
    <row r="8023" spans="1:14">
      <c r="A8023">
        <v>29561050</v>
      </c>
      <c r="B8023">
        <v>4012130</v>
      </c>
      <c r="C8023" t="s">
        <v>3445</v>
      </c>
      <c r="D8023" t="s">
        <v>441</v>
      </c>
      <c r="F8023">
        <v>0</v>
      </c>
      <c r="G8023">
        <v>11.26</v>
      </c>
      <c r="H8023" t="s">
        <v>10655</v>
      </c>
      <c r="I8023">
        <v>16</v>
      </c>
      <c r="J8023" t="s">
        <v>462</v>
      </c>
      <c r="K8023" t="s">
        <v>446</v>
      </c>
      <c r="M8023">
        <v>2612</v>
      </c>
      <c r="N8023" t="s">
        <v>16021</v>
      </c>
    </row>
    <row r="8024" spans="1:14">
      <c r="A8024">
        <v>29561075</v>
      </c>
      <c r="B8024">
        <v>4011725</v>
      </c>
      <c r="C8024" t="s">
        <v>3446</v>
      </c>
      <c r="D8024" t="s">
        <v>441</v>
      </c>
      <c r="F8024">
        <v>0</v>
      </c>
      <c r="G8024">
        <v>13.37</v>
      </c>
      <c r="H8024" t="s">
        <v>10655</v>
      </c>
      <c r="I8024">
        <v>6</v>
      </c>
      <c r="J8024" t="s">
        <v>462</v>
      </c>
      <c r="K8024" t="s">
        <v>446</v>
      </c>
      <c r="M8024">
        <v>2641</v>
      </c>
      <c r="N8024" t="s">
        <v>16021</v>
      </c>
    </row>
    <row r="8025" spans="1:14">
      <c r="A8025">
        <v>29570000</v>
      </c>
      <c r="B8025">
        <v>3008131</v>
      </c>
      <c r="C8025" t="s">
        <v>3447</v>
      </c>
      <c r="D8025" t="s">
        <v>441</v>
      </c>
      <c r="F8025">
        <v>0</v>
      </c>
      <c r="G8025">
        <v>6.2</v>
      </c>
      <c r="H8025" t="s">
        <v>8584</v>
      </c>
      <c r="I8025">
        <v>6</v>
      </c>
      <c r="J8025" t="s">
        <v>445</v>
      </c>
      <c r="K8025" t="s">
        <v>446</v>
      </c>
      <c r="M8025">
        <v>0</v>
      </c>
    </row>
    <row r="8026" spans="1:14">
      <c r="A8026">
        <v>29573000</v>
      </c>
      <c r="B8026">
        <v>3008132</v>
      </c>
      <c r="C8026" t="s">
        <v>2057</v>
      </c>
      <c r="D8026" t="s">
        <v>441</v>
      </c>
      <c r="F8026">
        <v>0</v>
      </c>
      <c r="G8026">
        <v>6.21</v>
      </c>
      <c r="H8026" t="s">
        <v>8580</v>
      </c>
      <c r="I8026">
        <v>6</v>
      </c>
      <c r="J8026" t="s">
        <v>445</v>
      </c>
      <c r="K8026" t="s">
        <v>446</v>
      </c>
      <c r="M8026">
        <v>2390</v>
      </c>
    </row>
    <row r="8027" spans="1:14">
      <c r="A8027">
        <v>29580000</v>
      </c>
      <c r="B8027">
        <v>3008717</v>
      </c>
      <c r="C8027" t="s">
        <v>3448</v>
      </c>
      <c r="D8027" t="s">
        <v>441</v>
      </c>
      <c r="F8027">
        <v>0</v>
      </c>
      <c r="G8027">
        <v>9.01</v>
      </c>
      <c r="I8027">
        <v>6</v>
      </c>
      <c r="J8027" t="s">
        <v>445</v>
      </c>
      <c r="K8027" t="s">
        <v>446</v>
      </c>
      <c r="M8027">
        <v>2390</v>
      </c>
    </row>
    <row r="8028" spans="1:14">
      <c r="A8028">
        <v>29580002</v>
      </c>
      <c r="B8028">
        <v>3008718</v>
      </c>
      <c r="C8028" t="s">
        <v>3449</v>
      </c>
      <c r="D8028" t="s">
        <v>441</v>
      </c>
      <c r="F8028">
        <v>0</v>
      </c>
      <c r="G8028">
        <v>8.4</v>
      </c>
      <c r="H8028" t="s">
        <v>8637</v>
      </c>
      <c r="I8028">
        <v>365</v>
      </c>
      <c r="J8028" t="s">
        <v>445</v>
      </c>
      <c r="K8028" t="s">
        <v>446</v>
      </c>
      <c r="M8028">
        <v>2501</v>
      </c>
    </row>
    <row r="8029" spans="1:14">
      <c r="A8029">
        <v>29580502</v>
      </c>
      <c r="B8029">
        <v>3009024</v>
      </c>
      <c r="C8029" t="s">
        <v>3450</v>
      </c>
      <c r="D8029" t="s">
        <v>441</v>
      </c>
      <c r="F8029">
        <v>0</v>
      </c>
      <c r="G8029">
        <v>8.15</v>
      </c>
      <c r="H8029" t="s">
        <v>8580</v>
      </c>
      <c r="I8029">
        <v>6</v>
      </c>
      <c r="J8029" t="s">
        <v>445</v>
      </c>
      <c r="K8029" t="s">
        <v>446</v>
      </c>
      <c r="M8029">
        <v>2641</v>
      </c>
    </row>
    <row r="8030" spans="1:14">
      <c r="A8030">
        <v>29580602</v>
      </c>
      <c r="B8030">
        <v>3012455</v>
      </c>
      <c r="C8030" t="s">
        <v>3451</v>
      </c>
      <c r="D8030" t="s">
        <v>441</v>
      </c>
      <c r="F8030">
        <v>0</v>
      </c>
      <c r="G8030">
        <v>8.9700000000000006</v>
      </c>
      <c r="H8030" t="s">
        <v>8580</v>
      </c>
      <c r="I8030">
        <v>4</v>
      </c>
      <c r="J8030" t="s">
        <v>445</v>
      </c>
      <c r="K8030" t="s">
        <v>446</v>
      </c>
      <c r="M8030">
        <v>2511</v>
      </c>
    </row>
    <row r="8031" spans="1:14">
      <c r="A8031">
        <v>29590000</v>
      </c>
      <c r="B8031">
        <v>3008719</v>
      </c>
      <c r="C8031" t="s">
        <v>3452</v>
      </c>
      <c r="D8031" t="s">
        <v>441</v>
      </c>
      <c r="F8031">
        <v>0</v>
      </c>
      <c r="G8031">
        <v>8.2799999999999994</v>
      </c>
      <c r="H8031" t="s">
        <v>8637</v>
      </c>
      <c r="I8031">
        <v>6</v>
      </c>
      <c r="J8031" t="s">
        <v>445</v>
      </c>
      <c r="K8031" t="s">
        <v>446</v>
      </c>
      <c r="M8031">
        <v>0</v>
      </c>
    </row>
    <row r="8032" spans="1:14">
      <c r="A8032">
        <v>29600000</v>
      </c>
      <c r="B8032">
        <v>3008721</v>
      </c>
      <c r="C8032" t="s">
        <v>3453</v>
      </c>
      <c r="D8032" t="s">
        <v>441</v>
      </c>
      <c r="F8032">
        <v>0</v>
      </c>
      <c r="G8032">
        <v>8.07</v>
      </c>
      <c r="H8032" t="s">
        <v>8584</v>
      </c>
      <c r="I8032">
        <v>6</v>
      </c>
      <c r="J8032" t="s">
        <v>445</v>
      </c>
      <c r="K8032" t="s">
        <v>446</v>
      </c>
      <c r="M8032">
        <v>0</v>
      </c>
    </row>
    <row r="8033" spans="1:14">
      <c r="A8033">
        <v>29610000</v>
      </c>
      <c r="B8033">
        <v>3008723</v>
      </c>
      <c r="C8033" t="s">
        <v>3454</v>
      </c>
      <c r="D8033" t="s">
        <v>441</v>
      </c>
      <c r="F8033">
        <v>0</v>
      </c>
      <c r="G8033">
        <v>10.35</v>
      </c>
      <c r="H8033" t="s">
        <v>8584</v>
      </c>
      <c r="I8033">
        <v>6</v>
      </c>
      <c r="J8033" t="s">
        <v>445</v>
      </c>
      <c r="K8033" t="s">
        <v>446</v>
      </c>
      <c r="M8033">
        <v>2390</v>
      </c>
    </row>
    <row r="8034" spans="1:14">
      <c r="A8034">
        <v>29610028</v>
      </c>
      <c r="B8034">
        <v>4007926</v>
      </c>
      <c r="C8034" t="s">
        <v>12251</v>
      </c>
      <c r="D8034" t="s">
        <v>441</v>
      </c>
      <c r="F8034">
        <v>0</v>
      </c>
      <c r="G8034">
        <v>11.18</v>
      </c>
      <c r="H8034" t="s">
        <v>8588</v>
      </c>
      <c r="I8034">
        <v>365</v>
      </c>
      <c r="J8034" t="s">
        <v>462</v>
      </c>
      <c r="K8034" t="s">
        <v>446</v>
      </c>
      <c r="L8034" t="s">
        <v>3455</v>
      </c>
      <c r="M8034">
        <v>2501</v>
      </c>
    </row>
    <row r="8035" spans="1:14">
      <c r="A8035">
        <v>29610061</v>
      </c>
      <c r="B8035">
        <v>4008014</v>
      </c>
      <c r="C8035" t="s">
        <v>3456</v>
      </c>
      <c r="D8035" t="s">
        <v>441</v>
      </c>
      <c r="F8035">
        <v>0</v>
      </c>
      <c r="G8035">
        <v>11.3</v>
      </c>
      <c r="H8035" t="s">
        <v>8588</v>
      </c>
      <c r="I8035">
        <v>365</v>
      </c>
      <c r="J8035" t="s">
        <v>462</v>
      </c>
      <c r="K8035" t="s">
        <v>446</v>
      </c>
      <c r="M8035">
        <v>2501</v>
      </c>
    </row>
    <row r="8036" spans="1:14">
      <c r="A8036">
        <v>29610528</v>
      </c>
      <c r="B8036">
        <v>3008930</v>
      </c>
      <c r="C8036" t="s">
        <v>3457</v>
      </c>
      <c r="D8036" t="s">
        <v>441</v>
      </c>
      <c r="F8036">
        <v>0</v>
      </c>
      <c r="G8036">
        <v>10.91</v>
      </c>
      <c r="H8036" t="s">
        <v>8580</v>
      </c>
      <c r="I8036">
        <v>6</v>
      </c>
      <c r="J8036" t="s">
        <v>445</v>
      </c>
      <c r="K8036" t="s">
        <v>446</v>
      </c>
      <c r="M8036">
        <v>2641</v>
      </c>
    </row>
    <row r="8037" spans="1:14">
      <c r="A8037">
        <v>29610561</v>
      </c>
      <c r="B8037">
        <v>3008725</v>
      </c>
      <c r="C8037" t="s">
        <v>3458</v>
      </c>
      <c r="D8037" t="s">
        <v>441</v>
      </c>
      <c r="F8037">
        <v>0</v>
      </c>
      <c r="G8037">
        <v>11.04</v>
      </c>
      <c r="H8037" t="s">
        <v>8637</v>
      </c>
      <c r="I8037">
        <v>6</v>
      </c>
      <c r="J8037" t="s">
        <v>445</v>
      </c>
      <c r="K8037" t="s">
        <v>446</v>
      </c>
      <c r="M8037">
        <v>2641</v>
      </c>
    </row>
    <row r="8038" spans="1:14">
      <c r="A8038">
        <v>29610628</v>
      </c>
      <c r="B8038">
        <v>3010694</v>
      </c>
      <c r="C8038" t="s">
        <v>3459</v>
      </c>
      <c r="D8038" t="s">
        <v>441</v>
      </c>
      <c r="F8038">
        <v>0</v>
      </c>
      <c r="G8038">
        <v>11.86</v>
      </c>
      <c r="H8038" t="s">
        <v>8580</v>
      </c>
      <c r="I8038">
        <v>6</v>
      </c>
      <c r="J8038" t="s">
        <v>445</v>
      </c>
      <c r="K8038" t="s">
        <v>446</v>
      </c>
      <c r="M8038">
        <v>2511</v>
      </c>
    </row>
    <row r="8039" spans="1:14">
      <c r="A8039">
        <v>29610661</v>
      </c>
      <c r="B8039">
        <v>3014310</v>
      </c>
      <c r="C8039" t="s">
        <v>3460</v>
      </c>
      <c r="D8039" t="s">
        <v>441</v>
      </c>
      <c r="F8039">
        <v>0</v>
      </c>
      <c r="G8039">
        <v>11.99</v>
      </c>
      <c r="H8039" t="s">
        <v>8580</v>
      </c>
      <c r="I8039">
        <v>4</v>
      </c>
      <c r="J8039" t="s">
        <v>445</v>
      </c>
      <c r="K8039" t="s">
        <v>446</v>
      </c>
      <c r="M8039">
        <v>2511</v>
      </c>
    </row>
    <row r="8040" spans="1:14">
      <c r="A8040">
        <v>29616000</v>
      </c>
      <c r="B8040">
        <v>3009300</v>
      </c>
      <c r="C8040" t="s">
        <v>3461</v>
      </c>
      <c r="D8040" t="s">
        <v>441</v>
      </c>
      <c r="F8040">
        <v>0</v>
      </c>
      <c r="G8040">
        <v>10.41</v>
      </c>
      <c r="H8040" t="s">
        <v>8580</v>
      </c>
      <c r="I8040">
        <v>6</v>
      </c>
      <c r="J8040" t="s">
        <v>445</v>
      </c>
      <c r="K8040" t="s">
        <v>446</v>
      </c>
      <c r="M8040">
        <v>2390</v>
      </c>
    </row>
    <row r="8041" spans="1:14">
      <c r="A8041">
        <v>29620000</v>
      </c>
      <c r="B8041">
        <v>3008726</v>
      </c>
      <c r="C8041" t="s">
        <v>3462</v>
      </c>
      <c r="D8041" t="s">
        <v>441</v>
      </c>
      <c r="F8041">
        <v>0</v>
      </c>
      <c r="G8041">
        <v>10.53</v>
      </c>
      <c r="H8041" t="s">
        <v>8637</v>
      </c>
      <c r="I8041">
        <v>6</v>
      </c>
      <c r="J8041" t="s">
        <v>445</v>
      </c>
      <c r="K8041" t="s">
        <v>446</v>
      </c>
      <c r="M8041">
        <v>0</v>
      </c>
    </row>
    <row r="8042" spans="1:14">
      <c r="A8042">
        <v>29621000</v>
      </c>
      <c r="B8042">
        <v>3009217</v>
      </c>
      <c r="C8042" t="s">
        <v>3463</v>
      </c>
      <c r="D8042" t="s">
        <v>441</v>
      </c>
      <c r="F8042">
        <v>0</v>
      </c>
      <c r="G8042">
        <v>10.53</v>
      </c>
      <c r="I8042">
        <v>6</v>
      </c>
      <c r="J8042" t="s">
        <v>445</v>
      </c>
      <c r="K8042" t="s">
        <v>446</v>
      </c>
      <c r="M8042">
        <v>2314</v>
      </c>
    </row>
    <row r="8043" spans="1:14">
      <c r="A8043">
        <v>29630000</v>
      </c>
      <c r="B8043">
        <v>3008728</v>
      </c>
      <c r="C8043" t="s">
        <v>3464</v>
      </c>
      <c r="D8043" t="s">
        <v>441</v>
      </c>
      <c r="F8043">
        <v>0</v>
      </c>
      <c r="G8043">
        <v>9.4700000000000006</v>
      </c>
      <c r="H8043" t="s">
        <v>8580</v>
      </c>
      <c r="I8043">
        <v>6</v>
      </c>
      <c r="J8043" t="s">
        <v>445</v>
      </c>
      <c r="K8043" t="s">
        <v>446</v>
      </c>
      <c r="M8043">
        <v>0</v>
      </c>
    </row>
    <row r="8044" spans="1:14">
      <c r="A8044">
        <v>29631000</v>
      </c>
      <c r="B8044">
        <v>3009263</v>
      </c>
      <c r="C8044" t="s">
        <v>3465</v>
      </c>
      <c r="D8044" t="s">
        <v>441</v>
      </c>
      <c r="F8044">
        <v>0</v>
      </c>
      <c r="G8044">
        <v>9.4700000000000006</v>
      </c>
      <c r="I8044">
        <v>6</v>
      </c>
      <c r="J8044" t="s">
        <v>445</v>
      </c>
      <c r="K8044" t="s">
        <v>446</v>
      </c>
      <c r="M8044">
        <v>2314</v>
      </c>
    </row>
    <row r="8045" spans="1:14">
      <c r="A8045">
        <v>29640000</v>
      </c>
      <c r="B8045">
        <v>3008730</v>
      </c>
      <c r="C8045" t="s">
        <v>3466</v>
      </c>
      <c r="D8045" t="s">
        <v>441</v>
      </c>
      <c r="F8045">
        <v>0</v>
      </c>
      <c r="G8045">
        <v>8.44</v>
      </c>
      <c r="H8045" t="s">
        <v>8580</v>
      </c>
      <c r="I8045">
        <v>6</v>
      </c>
      <c r="J8045" t="s">
        <v>445</v>
      </c>
      <c r="K8045" t="s">
        <v>446</v>
      </c>
      <c r="M8045">
        <v>2390</v>
      </c>
    </row>
    <row r="8046" spans="1:14">
      <c r="A8046">
        <v>29640020</v>
      </c>
      <c r="B8046">
        <v>3008677</v>
      </c>
      <c r="C8046" t="s">
        <v>12252</v>
      </c>
      <c r="D8046" t="s">
        <v>441</v>
      </c>
      <c r="F8046">
        <v>0</v>
      </c>
      <c r="G8046">
        <v>10.42</v>
      </c>
      <c r="H8046" t="s">
        <v>8588</v>
      </c>
      <c r="I8046">
        <v>6</v>
      </c>
      <c r="J8046" t="s">
        <v>445</v>
      </c>
      <c r="K8046" t="s">
        <v>446</v>
      </c>
      <c r="M8046">
        <v>2641</v>
      </c>
      <c r="N8046" t="s">
        <v>16367</v>
      </c>
    </row>
    <row r="8047" spans="1:14">
      <c r="A8047">
        <v>29640080</v>
      </c>
      <c r="B8047">
        <v>4009469</v>
      </c>
      <c r="C8047" t="s">
        <v>12253</v>
      </c>
      <c r="D8047" t="s">
        <v>441</v>
      </c>
      <c r="F8047">
        <v>0</v>
      </c>
      <c r="G8047">
        <v>10.33</v>
      </c>
      <c r="H8047" t="s">
        <v>8588</v>
      </c>
      <c r="I8047">
        <v>6</v>
      </c>
      <c r="J8047" t="s">
        <v>462</v>
      </c>
      <c r="K8047" t="s">
        <v>446</v>
      </c>
      <c r="M8047">
        <v>2641</v>
      </c>
      <c r="N8047" t="s">
        <v>16367</v>
      </c>
    </row>
    <row r="8048" spans="1:14">
      <c r="A8048">
        <v>29641020</v>
      </c>
      <c r="B8048">
        <v>3017422</v>
      </c>
      <c r="C8048" t="s">
        <v>12254</v>
      </c>
      <c r="D8048" t="s">
        <v>441</v>
      </c>
      <c r="F8048">
        <v>0</v>
      </c>
      <c r="G8048">
        <v>10.42</v>
      </c>
      <c r="H8048" t="s">
        <v>8588</v>
      </c>
      <c r="I8048">
        <v>6</v>
      </c>
      <c r="J8048" t="s">
        <v>445</v>
      </c>
      <c r="K8048" t="s">
        <v>446</v>
      </c>
      <c r="M8048">
        <v>2641</v>
      </c>
      <c r="N8048" t="s">
        <v>16367</v>
      </c>
    </row>
    <row r="8049" spans="1:14">
      <c r="A8049">
        <v>29641080</v>
      </c>
      <c r="B8049">
        <v>4011925</v>
      </c>
      <c r="C8049" t="s">
        <v>12255</v>
      </c>
      <c r="D8049" t="s">
        <v>441</v>
      </c>
      <c r="F8049">
        <v>0</v>
      </c>
      <c r="G8049">
        <v>10.33</v>
      </c>
      <c r="H8049" t="s">
        <v>8588</v>
      </c>
      <c r="I8049">
        <v>6</v>
      </c>
      <c r="J8049" t="s">
        <v>462</v>
      </c>
      <c r="K8049" t="s">
        <v>446</v>
      </c>
      <c r="M8049">
        <v>2641</v>
      </c>
      <c r="N8049" t="s">
        <v>16367</v>
      </c>
    </row>
    <row r="8050" spans="1:14">
      <c r="A8050">
        <v>29650000</v>
      </c>
      <c r="B8050">
        <v>3008732</v>
      </c>
      <c r="C8050" t="s">
        <v>12256</v>
      </c>
      <c r="D8050" t="s">
        <v>441</v>
      </c>
      <c r="F8050">
        <v>0</v>
      </c>
      <c r="G8050">
        <v>8.7100000000000009</v>
      </c>
      <c r="H8050" t="s">
        <v>8580</v>
      </c>
      <c r="I8050">
        <v>6</v>
      </c>
      <c r="J8050" t="s">
        <v>445</v>
      </c>
      <c r="K8050" t="s">
        <v>446</v>
      </c>
      <c r="M8050">
        <v>0</v>
      </c>
      <c r="N8050" t="s">
        <v>16367</v>
      </c>
    </row>
    <row r="8051" spans="1:14">
      <c r="A8051">
        <v>29651000</v>
      </c>
      <c r="B8051">
        <v>3017423</v>
      </c>
      <c r="C8051" t="s">
        <v>12257</v>
      </c>
      <c r="D8051" t="s">
        <v>441</v>
      </c>
      <c r="F8051">
        <v>0</v>
      </c>
      <c r="G8051">
        <v>8.7100000000000009</v>
      </c>
      <c r="H8051" t="s">
        <v>8584</v>
      </c>
      <c r="I8051">
        <v>6</v>
      </c>
      <c r="J8051" t="s">
        <v>445</v>
      </c>
      <c r="K8051" t="s">
        <v>446</v>
      </c>
      <c r="M8051">
        <v>0</v>
      </c>
      <c r="N8051" t="s">
        <v>16367</v>
      </c>
    </row>
    <row r="8052" spans="1:14">
      <c r="A8052">
        <v>29660000</v>
      </c>
      <c r="B8052">
        <v>3008734</v>
      </c>
      <c r="C8052" t="s">
        <v>3467</v>
      </c>
      <c r="D8052" t="s">
        <v>441</v>
      </c>
      <c r="F8052">
        <v>0</v>
      </c>
      <c r="G8052">
        <v>7.61</v>
      </c>
      <c r="H8052" t="s">
        <v>8584</v>
      </c>
      <c r="I8052">
        <v>6</v>
      </c>
      <c r="J8052" t="s">
        <v>445</v>
      </c>
      <c r="K8052" t="s">
        <v>446</v>
      </c>
      <c r="M8052">
        <v>0</v>
      </c>
    </row>
    <row r="8053" spans="1:14">
      <c r="A8053">
        <v>29670000</v>
      </c>
      <c r="B8053">
        <v>3008736</v>
      </c>
      <c r="C8053" t="s">
        <v>3468</v>
      </c>
      <c r="D8053" t="s">
        <v>441</v>
      </c>
      <c r="F8053">
        <v>0</v>
      </c>
      <c r="G8053">
        <v>7.9</v>
      </c>
      <c r="H8053" t="s">
        <v>8584</v>
      </c>
      <c r="I8053">
        <v>6</v>
      </c>
      <c r="J8053" t="s">
        <v>445</v>
      </c>
      <c r="K8053" t="s">
        <v>446</v>
      </c>
      <c r="M8053">
        <v>0</v>
      </c>
    </row>
    <row r="8054" spans="1:14">
      <c r="A8054">
        <v>29670075</v>
      </c>
      <c r="B8054">
        <v>3008678</v>
      </c>
      <c r="C8054" t="s">
        <v>12258</v>
      </c>
      <c r="D8054" t="s">
        <v>441</v>
      </c>
      <c r="F8054">
        <v>0</v>
      </c>
      <c r="G8054">
        <v>7.97</v>
      </c>
      <c r="H8054" t="s">
        <v>8588</v>
      </c>
      <c r="I8054">
        <v>6</v>
      </c>
      <c r="J8054" t="s">
        <v>445</v>
      </c>
      <c r="K8054" t="s">
        <v>446</v>
      </c>
      <c r="M8054">
        <v>2641</v>
      </c>
    </row>
    <row r="8055" spans="1:14">
      <c r="A8055">
        <v>29680000</v>
      </c>
      <c r="B8055">
        <v>3008737</v>
      </c>
      <c r="C8055" t="s">
        <v>3469</v>
      </c>
      <c r="D8055" t="s">
        <v>441</v>
      </c>
      <c r="F8055">
        <v>0</v>
      </c>
      <c r="G8055">
        <v>7.16</v>
      </c>
      <c r="I8055">
        <v>6</v>
      </c>
      <c r="J8055" t="s">
        <v>445</v>
      </c>
      <c r="K8055" t="s">
        <v>446</v>
      </c>
      <c r="M8055">
        <v>0</v>
      </c>
    </row>
    <row r="8056" spans="1:14">
      <c r="A8056">
        <v>29690000</v>
      </c>
      <c r="B8056">
        <v>3008915</v>
      </c>
      <c r="C8056" t="s">
        <v>12259</v>
      </c>
      <c r="D8056" t="s">
        <v>441</v>
      </c>
      <c r="F8056">
        <v>0</v>
      </c>
      <c r="G8056">
        <v>10.59</v>
      </c>
      <c r="H8056" t="s">
        <v>8925</v>
      </c>
      <c r="I8056">
        <v>6</v>
      </c>
      <c r="J8056" t="s">
        <v>445</v>
      </c>
      <c r="K8056" t="s">
        <v>446</v>
      </c>
      <c r="M8056">
        <v>0</v>
      </c>
    </row>
    <row r="8057" spans="1:14">
      <c r="A8057">
        <v>29690026</v>
      </c>
      <c r="B8057">
        <v>4008101</v>
      </c>
      <c r="C8057" t="s">
        <v>12260</v>
      </c>
      <c r="D8057" t="s">
        <v>441</v>
      </c>
      <c r="F8057">
        <v>0</v>
      </c>
      <c r="G8057">
        <v>11.04</v>
      </c>
      <c r="H8057" t="s">
        <v>8588</v>
      </c>
      <c r="I8057">
        <v>365</v>
      </c>
      <c r="J8057" t="s">
        <v>462</v>
      </c>
      <c r="K8057" t="s">
        <v>446</v>
      </c>
      <c r="M8057">
        <v>2501</v>
      </c>
    </row>
    <row r="8058" spans="1:14">
      <c r="A8058">
        <v>29690526</v>
      </c>
      <c r="B8058">
        <v>3008931</v>
      </c>
      <c r="C8058" t="s">
        <v>12261</v>
      </c>
      <c r="D8058" t="s">
        <v>441</v>
      </c>
      <c r="F8058">
        <v>0</v>
      </c>
      <c r="G8058">
        <v>10.77</v>
      </c>
      <c r="H8058" t="s">
        <v>8580</v>
      </c>
      <c r="I8058">
        <v>6</v>
      </c>
      <c r="J8058" t="s">
        <v>445</v>
      </c>
      <c r="K8058" t="s">
        <v>446</v>
      </c>
      <c r="M8058">
        <v>2641</v>
      </c>
    </row>
    <row r="8059" spans="1:14">
      <c r="A8059">
        <v>29690626</v>
      </c>
      <c r="B8059">
        <v>3010010</v>
      </c>
      <c r="C8059" t="s">
        <v>12262</v>
      </c>
      <c r="D8059" t="s">
        <v>441</v>
      </c>
      <c r="F8059">
        <v>0</v>
      </c>
      <c r="G8059">
        <v>11.72</v>
      </c>
      <c r="H8059" t="s">
        <v>8586</v>
      </c>
      <c r="I8059">
        <v>4</v>
      </c>
      <c r="J8059" t="s">
        <v>445</v>
      </c>
      <c r="K8059" t="s">
        <v>446</v>
      </c>
      <c r="M8059">
        <v>2511</v>
      </c>
    </row>
    <row r="8060" spans="1:14">
      <c r="A8060">
        <v>29691000</v>
      </c>
      <c r="B8060">
        <v>3009261</v>
      </c>
      <c r="C8060" t="s">
        <v>12263</v>
      </c>
      <c r="D8060" t="s">
        <v>441</v>
      </c>
      <c r="F8060">
        <v>0</v>
      </c>
      <c r="G8060">
        <v>10.57</v>
      </c>
      <c r="H8060" t="s">
        <v>8925</v>
      </c>
      <c r="I8060">
        <v>6</v>
      </c>
      <c r="J8060" t="s">
        <v>445</v>
      </c>
      <c r="K8060" t="s">
        <v>446</v>
      </c>
      <c r="M8060">
        <v>2211</v>
      </c>
    </row>
    <row r="8061" spans="1:14">
      <c r="A8061">
        <v>29693000</v>
      </c>
      <c r="B8061">
        <v>3008907</v>
      </c>
      <c r="C8061" t="s">
        <v>12264</v>
      </c>
      <c r="D8061" t="s">
        <v>441</v>
      </c>
      <c r="F8061">
        <v>0</v>
      </c>
      <c r="G8061">
        <v>10.6</v>
      </c>
      <c r="H8061" t="s">
        <v>8549</v>
      </c>
      <c r="I8061">
        <v>6</v>
      </c>
      <c r="J8061" t="s">
        <v>445</v>
      </c>
      <c r="K8061" t="s">
        <v>446</v>
      </c>
      <c r="M8061">
        <v>2390</v>
      </c>
    </row>
    <row r="8062" spans="1:14">
      <c r="A8062">
        <v>29696000</v>
      </c>
      <c r="B8062">
        <v>3009260</v>
      </c>
      <c r="C8062" t="s">
        <v>12265</v>
      </c>
      <c r="D8062" t="s">
        <v>441</v>
      </c>
      <c r="F8062">
        <v>0</v>
      </c>
      <c r="G8062">
        <v>10.58</v>
      </c>
      <c r="H8062" t="s">
        <v>8549</v>
      </c>
      <c r="I8062">
        <v>6</v>
      </c>
      <c r="J8062" t="s">
        <v>445</v>
      </c>
      <c r="K8062" t="s">
        <v>446</v>
      </c>
      <c r="M8062">
        <v>2390</v>
      </c>
    </row>
    <row r="8063" spans="1:14">
      <c r="A8063">
        <v>29700000</v>
      </c>
      <c r="B8063">
        <v>3008916</v>
      </c>
      <c r="C8063" t="s">
        <v>12266</v>
      </c>
      <c r="D8063" t="s">
        <v>441</v>
      </c>
      <c r="F8063">
        <v>0</v>
      </c>
      <c r="H8063" t="s">
        <v>8925</v>
      </c>
      <c r="I8063">
        <v>6</v>
      </c>
      <c r="J8063" t="s">
        <v>445</v>
      </c>
      <c r="K8063" t="s">
        <v>446</v>
      </c>
      <c r="M8063">
        <v>0</v>
      </c>
    </row>
    <row r="8064" spans="1:14">
      <c r="A8064">
        <v>29700026</v>
      </c>
      <c r="B8064">
        <v>4008102</v>
      </c>
      <c r="C8064" t="s">
        <v>12267</v>
      </c>
      <c r="D8064" t="s">
        <v>441</v>
      </c>
      <c r="F8064">
        <v>0</v>
      </c>
      <c r="G8064">
        <v>10.83</v>
      </c>
      <c r="H8064" t="s">
        <v>8588</v>
      </c>
      <c r="I8064">
        <v>365</v>
      </c>
      <c r="J8064" t="s">
        <v>462</v>
      </c>
      <c r="K8064" t="s">
        <v>446</v>
      </c>
      <c r="M8064">
        <v>2501</v>
      </c>
    </row>
    <row r="8065" spans="1:14">
      <c r="A8065">
        <v>29700076</v>
      </c>
      <c r="B8065">
        <v>4012898</v>
      </c>
      <c r="C8065" t="s">
        <v>12268</v>
      </c>
      <c r="D8065" t="s">
        <v>441</v>
      </c>
      <c r="F8065">
        <v>0</v>
      </c>
      <c r="H8065" t="s">
        <v>8588</v>
      </c>
      <c r="I8065">
        <v>6</v>
      </c>
      <c r="J8065" t="s">
        <v>462</v>
      </c>
      <c r="K8065" t="s">
        <v>446</v>
      </c>
      <c r="M8065">
        <v>2641</v>
      </c>
    </row>
    <row r="8066" spans="1:14">
      <c r="A8066">
        <v>29700526</v>
      </c>
      <c r="B8066">
        <v>3008927</v>
      </c>
      <c r="C8066" t="s">
        <v>12269</v>
      </c>
      <c r="D8066" t="s">
        <v>441</v>
      </c>
      <c r="F8066">
        <v>0</v>
      </c>
      <c r="G8066">
        <v>10.57</v>
      </c>
      <c r="H8066" t="s">
        <v>8580</v>
      </c>
      <c r="I8066">
        <v>6</v>
      </c>
      <c r="J8066" t="s">
        <v>445</v>
      </c>
      <c r="K8066" t="s">
        <v>446</v>
      </c>
      <c r="M8066">
        <v>2641</v>
      </c>
    </row>
    <row r="8067" spans="1:14">
      <c r="A8067">
        <v>29701000</v>
      </c>
      <c r="B8067">
        <v>3009231</v>
      </c>
      <c r="C8067" t="s">
        <v>12270</v>
      </c>
      <c r="D8067" t="s">
        <v>441</v>
      </c>
      <c r="F8067">
        <v>0</v>
      </c>
      <c r="G8067">
        <v>10.36</v>
      </c>
      <c r="H8067" t="s">
        <v>8925</v>
      </c>
      <c r="I8067">
        <v>6</v>
      </c>
      <c r="J8067" t="s">
        <v>445</v>
      </c>
      <c r="K8067" t="s">
        <v>446</v>
      </c>
      <c r="M8067">
        <v>2211</v>
      </c>
    </row>
    <row r="8068" spans="1:14">
      <c r="A8068">
        <v>29703000</v>
      </c>
      <c r="B8068">
        <v>3008908</v>
      </c>
      <c r="C8068" t="s">
        <v>12271</v>
      </c>
      <c r="D8068" t="s">
        <v>441</v>
      </c>
      <c r="F8068">
        <v>0</v>
      </c>
      <c r="G8068">
        <v>10.37</v>
      </c>
      <c r="I8068">
        <v>6</v>
      </c>
      <c r="J8068" t="s">
        <v>445</v>
      </c>
      <c r="K8068" t="s">
        <v>446</v>
      </c>
      <c r="M8068">
        <v>2390</v>
      </c>
    </row>
    <row r="8069" spans="1:14">
      <c r="A8069">
        <v>29706000</v>
      </c>
      <c r="B8069">
        <v>3009272</v>
      </c>
      <c r="C8069" t="s">
        <v>12272</v>
      </c>
      <c r="D8069" t="s">
        <v>441</v>
      </c>
      <c r="F8069">
        <v>0</v>
      </c>
      <c r="G8069">
        <v>10.37</v>
      </c>
      <c r="H8069" t="s">
        <v>8925</v>
      </c>
      <c r="I8069">
        <v>6</v>
      </c>
      <c r="J8069" t="s">
        <v>445</v>
      </c>
      <c r="K8069" t="s">
        <v>446</v>
      </c>
      <c r="M8069">
        <v>2390</v>
      </c>
    </row>
    <row r="8070" spans="1:14">
      <c r="A8070">
        <v>29710000</v>
      </c>
      <c r="B8070">
        <v>3009001</v>
      </c>
      <c r="C8070" t="s">
        <v>3470</v>
      </c>
      <c r="D8070" t="s">
        <v>441</v>
      </c>
      <c r="F8070">
        <v>0</v>
      </c>
      <c r="G8070">
        <v>5.33</v>
      </c>
      <c r="H8070" t="s">
        <v>8580</v>
      </c>
      <c r="I8070">
        <v>5</v>
      </c>
      <c r="J8070" t="s">
        <v>445</v>
      </c>
      <c r="K8070" t="s">
        <v>446</v>
      </c>
      <c r="M8070">
        <v>2390</v>
      </c>
    </row>
    <row r="8071" spans="1:14">
      <c r="A8071">
        <v>29710028</v>
      </c>
      <c r="B8071">
        <v>4008364</v>
      </c>
      <c r="C8071" t="s">
        <v>3471</v>
      </c>
      <c r="D8071" t="s">
        <v>441</v>
      </c>
      <c r="F8071">
        <v>0</v>
      </c>
      <c r="G8071">
        <v>7.27</v>
      </c>
      <c r="H8071" t="s">
        <v>8588</v>
      </c>
      <c r="I8071">
        <v>365</v>
      </c>
      <c r="J8071" t="s">
        <v>462</v>
      </c>
      <c r="K8071" t="s">
        <v>446</v>
      </c>
      <c r="M8071">
        <v>2501</v>
      </c>
    </row>
    <row r="8072" spans="1:14">
      <c r="A8072">
        <v>29710528</v>
      </c>
      <c r="B8072">
        <v>3008989</v>
      </c>
      <c r="C8072" t="s">
        <v>3472</v>
      </c>
      <c r="D8072" t="s">
        <v>441</v>
      </c>
      <c r="F8072">
        <v>0</v>
      </c>
      <c r="G8072">
        <v>7.01</v>
      </c>
      <c r="H8072" t="s">
        <v>8580</v>
      </c>
      <c r="I8072">
        <v>365</v>
      </c>
      <c r="J8072" t="s">
        <v>445</v>
      </c>
      <c r="K8072" t="s">
        <v>446</v>
      </c>
      <c r="M8072">
        <v>2641</v>
      </c>
    </row>
    <row r="8073" spans="1:14">
      <c r="A8073">
        <v>29711000</v>
      </c>
      <c r="B8073">
        <v>3009087</v>
      </c>
      <c r="C8073" t="s">
        <v>3473</v>
      </c>
      <c r="D8073" t="s">
        <v>441</v>
      </c>
      <c r="F8073">
        <v>0</v>
      </c>
      <c r="G8073">
        <v>5.32</v>
      </c>
      <c r="I8073">
        <v>5</v>
      </c>
      <c r="J8073" t="s">
        <v>445</v>
      </c>
      <c r="K8073" t="s">
        <v>446</v>
      </c>
      <c r="M8073">
        <v>0</v>
      </c>
    </row>
    <row r="8074" spans="1:14">
      <c r="A8074">
        <v>29716000</v>
      </c>
      <c r="B8074">
        <v>3009086</v>
      </c>
      <c r="C8074" t="s">
        <v>3474</v>
      </c>
      <c r="D8074" t="s">
        <v>441</v>
      </c>
      <c r="F8074">
        <v>0</v>
      </c>
      <c r="G8074">
        <v>6.61</v>
      </c>
      <c r="I8074">
        <v>5</v>
      </c>
      <c r="J8074" t="s">
        <v>445</v>
      </c>
      <c r="K8074" t="s">
        <v>446</v>
      </c>
      <c r="M8074">
        <v>2390</v>
      </c>
    </row>
    <row r="8075" spans="1:14">
      <c r="A8075">
        <v>29720000</v>
      </c>
      <c r="B8075">
        <v>3009134</v>
      </c>
      <c r="C8075" t="s">
        <v>3475</v>
      </c>
      <c r="D8075" t="s">
        <v>441</v>
      </c>
      <c r="F8075">
        <v>0</v>
      </c>
      <c r="G8075">
        <v>9.18</v>
      </c>
      <c r="I8075">
        <v>6</v>
      </c>
      <c r="J8075" t="s">
        <v>445</v>
      </c>
      <c r="K8075" t="s">
        <v>446</v>
      </c>
      <c r="M8075">
        <v>2390</v>
      </c>
    </row>
    <row r="8076" spans="1:14">
      <c r="A8076">
        <v>29720019</v>
      </c>
      <c r="B8076">
        <v>4008436</v>
      </c>
      <c r="C8076" t="s">
        <v>3476</v>
      </c>
      <c r="D8076" t="s">
        <v>441</v>
      </c>
      <c r="F8076">
        <v>0</v>
      </c>
      <c r="G8076">
        <v>9.5</v>
      </c>
      <c r="H8076" t="s">
        <v>8588</v>
      </c>
      <c r="I8076">
        <v>365</v>
      </c>
      <c r="J8076" t="s">
        <v>462</v>
      </c>
      <c r="K8076" t="s">
        <v>446</v>
      </c>
      <c r="M8076">
        <v>2501</v>
      </c>
    </row>
    <row r="8077" spans="1:14">
      <c r="A8077">
        <v>29720519</v>
      </c>
      <c r="B8077">
        <v>3009132</v>
      </c>
      <c r="C8077" t="s">
        <v>3477</v>
      </c>
      <c r="D8077" t="s">
        <v>441</v>
      </c>
      <c r="F8077">
        <v>0</v>
      </c>
      <c r="G8077">
        <v>9.24</v>
      </c>
      <c r="H8077" t="s">
        <v>8580</v>
      </c>
      <c r="I8077">
        <v>6</v>
      </c>
      <c r="J8077" t="s">
        <v>445</v>
      </c>
      <c r="K8077" t="s">
        <v>446</v>
      </c>
      <c r="M8077">
        <v>2641</v>
      </c>
    </row>
    <row r="8078" spans="1:14">
      <c r="A8078">
        <v>29730000</v>
      </c>
      <c r="B8078">
        <v>3009135</v>
      </c>
      <c r="C8078" t="s">
        <v>3478</v>
      </c>
      <c r="D8078" t="s">
        <v>441</v>
      </c>
      <c r="F8078">
        <v>0</v>
      </c>
      <c r="G8078">
        <v>9.0299999999999994</v>
      </c>
      <c r="I8078">
        <v>6</v>
      </c>
      <c r="J8078" t="s">
        <v>445</v>
      </c>
      <c r="K8078" t="s">
        <v>446</v>
      </c>
      <c r="M8078">
        <v>2314</v>
      </c>
    </row>
    <row r="8079" spans="1:14">
      <c r="A8079">
        <v>29734000</v>
      </c>
      <c r="B8079">
        <v>3039749</v>
      </c>
      <c r="C8079" t="s">
        <v>12273</v>
      </c>
      <c r="D8079" t="s">
        <v>441</v>
      </c>
      <c r="F8079">
        <v>0</v>
      </c>
      <c r="G8079">
        <v>8.19</v>
      </c>
      <c r="H8079" t="s">
        <v>8549</v>
      </c>
      <c r="I8079">
        <v>6</v>
      </c>
      <c r="J8079" t="s">
        <v>445</v>
      </c>
      <c r="M8079">
        <v>2391</v>
      </c>
      <c r="N8079" t="s">
        <v>16368</v>
      </c>
    </row>
    <row r="8080" spans="1:14">
      <c r="A8080">
        <v>29734087</v>
      </c>
      <c r="B8080">
        <v>3040325</v>
      </c>
      <c r="C8080" t="s">
        <v>12274</v>
      </c>
      <c r="D8080" t="s">
        <v>441</v>
      </c>
      <c r="F8080">
        <v>0</v>
      </c>
      <c r="G8080">
        <v>8.23</v>
      </c>
      <c r="H8080" t="s">
        <v>8588</v>
      </c>
      <c r="I8080">
        <v>6</v>
      </c>
      <c r="J8080" t="s">
        <v>445</v>
      </c>
      <c r="M8080">
        <v>7112</v>
      </c>
      <c r="N8080" t="s">
        <v>16368</v>
      </c>
    </row>
    <row r="8081" spans="1:13">
      <c r="A8081">
        <v>29740000</v>
      </c>
      <c r="B8081">
        <v>3009136</v>
      </c>
      <c r="C8081" t="s">
        <v>3479</v>
      </c>
      <c r="D8081" t="s">
        <v>441</v>
      </c>
      <c r="F8081">
        <v>0</v>
      </c>
      <c r="G8081">
        <v>9.19</v>
      </c>
      <c r="I8081">
        <v>6</v>
      </c>
      <c r="J8081" t="s">
        <v>445</v>
      </c>
      <c r="K8081" t="s">
        <v>446</v>
      </c>
      <c r="M8081">
        <v>2314</v>
      </c>
    </row>
    <row r="8082" spans="1:13">
      <c r="A8082">
        <v>29750000</v>
      </c>
      <c r="B8082">
        <v>3009361</v>
      </c>
      <c r="C8082" t="s">
        <v>3480</v>
      </c>
      <c r="D8082" t="s">
        <v>441</v>
      </c>
      <c r="F8082">
        <v>0</v>
      </c>
      <c r="G8082">
        <v>10.33</v>
      </c>
      <c r="H8082" t="s">
        <v>10089</v>
      </c>
      <c r="I8082">
        <v>6</v>
      </c>
      <c r="J8082" t="s">
        <v>445</v>
      </c>
      <c r="K8082" t="s">
        <v>446</v>
      </c>
      <c r="M8082">
        <v>2314</v>
      </c>
    </row>
    <row r="8083" spans="1:13">
      <c r="A8083">
        <v>29751000</v>
      </c>
      <c r="B8083">
        <v>3009327</v>
      </c>
      <c r="C8083" t="s">
        <v>3481</v>
      </c>
      <c r="D8083" t="s">
        <v>441</v>
      </c>
      <c r="F8083">
        <v>0</v>
      </c>
      <c r="G8083">
        <v>10.33</v>
      </c>
      <c r="H8083" t="s">
        <v>8634</v>
      </c>
      <c r="I8083">
        <v>6</v>
      </c>
      <c r="J8083" t="s">
        <v>445</v>
      </c>
      <c r="K8083" t="s">
        <v>446</v>
      </c>
      <c r="M8083">
        <v>2314</v>
      </c>
    </row>
    <row r="8084" spans="1:13">
      <c r="A8084">
        <v>29756000</v>
      </c>
      <c r="B8084">
        <v>3009328</v>
      </c>
      <c r="C8084" t="s">
        <v>3482</v>
      </c>
      <c r="D8084" t="s">
        <v>441</v>
      </c>
      <c r="F8084">
        <v>0</v>
      </c>
      <c r="G8084">
        <v>1</v>
      </c>
      <c r="H8084" t="s">
        <v>8634</v>
      </c>
      <c r="I8084">
        <v>6</v>
      </c>
      <c r="J8084" t="s">
        <v>445</v>
      </c>
      <c r="K8084" t="s">
        <v>446</v>
      </c>
      <c r="M8084">
        <v>2390</v>
      </c>
    </row>
    <row r="8085" spans="1:13">
      <c r="A8085">
        <v>29760000</v>
      </c>
      <c r="B8085">
        <v>3009360</v>
      </c>
      <c r="C8085" t="s">
        <v>3483</v>
      </c>
      <c r="D8085" t="s">
        <v>441</v>
      </c>
      <c r="F8085">
        <v>0</v>
      </c>
      <c r="G8085">
        <v>9.4499999999999993</v>
      </c>
      <c r="H8085" t="s">
        <v>10089</v>
      </c>
      <c r="I8085">
        <v>6</v>
      </c>
      <c r="J8085" t="s">
        <v>445</v>
      </c>
      <c r="K8085" t="s">
        <v>446</v>
      </c>
      <c r="M8085">
        <v>2314</v>
      </c>
    </row>
    <row r="8086" spans="1:13">
      <c r="A8086">
        <v>29761000</v>
      </c>
      <c r="B8086">
        <v>3009349</v>
      </c>
      <c r="C8086" t="s">
        <v>3484</v>
      </c>
      <c r="D8086" t="s">
        <v>441</v>
      </c>
      <c r="F8086">
        <v>0</v>
      </c>
      <c r="G8086">
        <v>8.83</v>
      </c>
      <c r="H8086" t="s">
        <v>10089</v>
      </c>
      <c r="I8086">
        <v>6</v>
      </c>
      <c r="J8086" t="s">
        <v>445</v>
      </c>
      <c r="K8086" t="s">
        <v>446</v>
      </c>
      <c r="M8086">
        <v>2314</v>
      </c>
    </row>
    <row r="8087" spans="1:13">
      <c r="A8087">
        <v>29770000</v>
      </c>
      <c r="B8087">
        <v>3009435</v>
      </c>
      <c r="C8087" t="s">
        <v>3485</v>
      </c>
      <c r="D8087" t="s">
        <v>441</v>
      </c>
      <c r="F8087">
        <v>0</v>
      </c>
      <c r="G8087">
        <v>10.82</v>
      </c>
      <c r="H8087" t="s">
        <v>8580</v>
      </c>
      <c r="I8087">
        <v>6</v>
      </c>
      <c r="J8087" t="s">
        <v>445</v>
      </c>
      <c r="K8087" t="s">
        <v>446</v>
      </c>
      <c r="M8087">
        <v>2314</v>
      </c>
    </row>
    <row r="8088" spans="1:13">
      <c r="A8088">
        <v>29771000</v>
      </c>
      <c r="B8088">
        <v>3009436</v>
      </c>
      <c r="C8088" t="s">
        <v>3486</v>
      </c>
      <c r="D8088" t="s">
        <v>441</v>
      </c>
      <c r="F8088">
        <v>0</v>
      </c>
      <c r="G8088">
        <v>10.97</v>
      </c>
      <c r="H8088" t="s">
        <v>8549</v>
      </c>
      <c r="I8088">
        <v>6</v>
      </c>
      <c r="J8088" t="s">
        <v>445</v>
      </c>
      <c r="K8088" t="s">
        <v>446</v>
      </c>
      <c r="M8088">
        <v>2314</v>
      </c>
    </row>
    <row r="8089" spans="1:13">
      <c r="A8089">
        <v>29780000</v>
      </c>
      <c r="B8089">
        <v>3009425</v>
      </c>
      <c r="C8089" t="s">
        <v>3487</v>
      </c>
      <c r="D8089" t="s">
        <v>441</v>
      </c>
      <c r="F8089">
        <v>0</v>
      </c>
      <c r="G8089">
        <v>11.05</v>
      </c>
      <c r="I8089">
        <v>6</v>
      </c>
      <c r="J8089" t="s">
        <v>445</v>
      </c>
      <c r="K8089" t="s">
        <v>446</v>
      </c>
      <c r="M8089">
        <v>2314</v>
      </c>
    </row>
    <row r="8090" spans="1:13">
      <c r="A8090">
        <v>29781000</v>
      </c>
      <c r="B8090">
        <v>3009424</v>
      </c>
      <c r="C8090" t="s">
        <v>3488</v>
      </c>
      <c r="D8090" t="s">
        <v>441</v>
      </c>
      <c r="F8090">
        <v>0</v>
      </c>
      <c r="G8090">
        <v>11.05</v>
      </c>
      <c r="H8090" t="s">
        <v>8549</v>
      </c>
      <c r="I8090">
        <v>6</v>
      </c>
      <c r="J8090" t="s">
        <v>445</v>
      </c>
      <c r="K8090" t="s">
        <v>446</v>
      </c>
      <c r="M8090">
        <v>2314</v>
      </c>
    </row>
    <row r="8091" spans="1:13">
      <c r="A8091">
        <v>29790061</v>
      </c>
      <c r="B8091">
        <v>4008704</v>
      </c>
      <c r="C8091" t="s">
        <v>3489</v>
      </c>
      <c r="D8091" t="s">
        <v>441</v>
      </c>
      <c r="F8091">
        <v>0</v>
      </c>
      <c r="G8091">
        <v>12.12</v>
      </c>
      <c r="H8091" t="s">
        <v>8588</v>
      </c>
      <c r="I8091">
        <v>365</v>
      </c>
      <c r="J8091" t="s">
        <v>462</v>
      </c>
      <c r="K8091" t="s">
        <v>446</v>
      </c>
      <c r="L8091" t="s">
        <v>3490</v>
      </c>
      <c r="M8091">
        <v>2501</v>
      </c>
    </row>
    <row r="8092" spans="1:13">
      <c r="A8092">
        <v>29790102</v>
      </c>
      <c r="B8092">
        <v>3009000</v>
      </c>
      <c r="C8092" t="s">
        <v>3491</v>
      </c>
      <c r="D8092" t="s">
        <v>441</v>
      </c>
      <c r="F8092">
        <v>0</v>
      </c>
      <c r="G8092">
        <v>12.85</v>
      </c>
      <c r="H8092" t="s">
        <v>8588</v>
      </c>
      <c r="I8092">
        <v>365</v>
      </c>
      <c r="J8092" t="s">
        <v>445</v>
      </c>
      <c r="K8092" t="s">
        <v>446</v>
      </c>
      <c r="M8092">
        <v>7161</v>
      </c>
    </row>
    <row r="8093" spans="1:13">
      <c r="A8093">
        <v>29790561</v>
      </c>
      <c r="B8093">
        <v>3009433</v>
      </c>
      <c r="C8093" t="s">
        <v>3492</v>
      </c>
      <c r="D8093" t="s">
        <v>441</v>
      </c>
      <c r="F8093">
        <v>0</v>
      </c>
      <c r="G8093">
        <v>11.86</v>
      </c>
      <c r="H8093" t="s">
        <v>8580</v>
      </c>
      <c r="I8093">
        <v>6</v>
      </c>
      <c r="J8093" t="s">
        <v>445</v>
      </c>
      <c r="K8093" t="s">
        <v>446</v>
      </c>
      <c r="M8093">
        <v>2641</v>
      </c>
    </row>
    <row r="8094" spans="1:13">
      <c r="A8094">
        <v>29790602</v>
      </c>
      <c r="B8094">
        <v>3014435</v>
      </c>
      <c r="C8094" t="s">
        <v>3493</v>
      </c>
      <c r="D8094" t="s">
        <v>441</v>
      </c>
      <c r="F8094">
        <v>0</v>
      </c>
      <c r="G8094">
        <v>12.86</v>
      </c>
      <c r="I8094">
        <v>4</v>
      </c>
      <c r="J8094" t="s">
        <v>445</v>
      </c>
      <c r="K8094" t="s">
        <v>446</v>
      </c>
      <c r="M8094">
        <v>2511</v>
      </c>
    </row>
    <row r="8095" spans="1:13">
      <c r="A8095">
        <v>29790661</v>
      </c>
      <c r="B8095">
        <v>3014129</v>
      </c>
      <c r="C8095" t="s">
        <v>3494</v>
      </c>
      <c r="D8095" t="s">
        <v>441</v>
      </c>
      <c r="F8095">
        <v>0</v>
      </c>
      <c r="G8095">
        <v>12.86</v>
      </c>
      <c r="H8095" t="s">
        <v>8584</v>
      </c>
      <c r="I8095">
        <v>4</v>
      </c>
      <c r="J8095" t="s">
        <v>445</v>
      </c>
      <c r="K8095" t="s">
        <v>446</v>
      </c>
      <c r="M8095">
        <v>2511</v>
      </c>
    </row>
    <row r="8096" spans="1:13">
      <c r="A8096">
        <v>29796000</v>
      </c>
      <c r="B8096">
        <v>3009434</v>
      </c>
      <c r="C8096" t="s">
        <v>3495</v>
      </c>
      <c r="D8096" t="s">
        <v>441</v>
      </c>
      <c r="F8096">
        <v>0</v>
      </c>
      <c r="G8096">
        <v>11.02</v>
      </c>
      <c r="H8096" t="s">
        <v>8580</v>
      </c>
      <c r="I8096">
        <v>6</v>
      </c>
      <c r="J8096" t="s">
        <v>445</v>
      </c>
      <c r="K8096" t="s">
        <v>446</v>
      </c>
      <c r="M8096">
        <v>2390</v>
      </c>
    </row>
    <row r="8097" spans="1:14">
      <c r="A8097">
        <v>29800000</v>
      </c>
      <c r="B8097">
        <v>3012303</v>
      </c>
      <c r="C8097" t="s">
        <v>12275</v>
      </c>
      <c r="D8097" t="s">
        <v>441</v>
      </c>
      <c r="F8097">
        <v>0</v>
      </c>
      <c r="G8097">
        <v>6.91</v>
      </c>
      <c r="I8097">
        <v>6</v>
      </c>
      <c r="J8097" t="s">
        <v>445</v>
      </c>
      <c r="K8097" t="s">
        <v>446</v>
      </c>
      <c r="M8097">
        <v>2314</v>
      </c>
    </row>
    <row r="8098" spans="1:14">
      <c r="A8098">
        <v>29801000</v>
      </c>
      <c r="B8098">
        <v>3017516</v>
      </c>
      <c r="C8098" t="s">
        <v>12276</v>
      </c>
      <c r="D8098" t="s">
        <v>441</v>
      </c>
      <c r="F8098">
        <v>0</v>
      </c>
      <c r="G8098">
        <v>6.91</v>
      </c>
      <c r="H8098" t="s">
        <v>8580</v>
      </c>
      <c r="I8098">
        <v>6</v>
      </c>
      <c r="J8098" t="s">
        <v>445</v>
      </c>
      <c r="K8098" t="s">
        <v>446</v>
      </c>
      <c r="M8098">
        <v>2314</v>
      </c>
    </row>
    <row r="8099" spans="1:14">
      <c r="A8099">
        <v>29810000</v>
      </c>
      <c r="B8099">
        <v>3016187</v>
      </c>
      <c r="C8099" t="s">
        <v>12277</v>
      </c>
      <c r="D8099" t="s">
        <v>441</v>
      </c>
      <c r="F8099">
        <v>0</v>
      </c>
      <c r="G8099">
        <v>7.3</v>
      </c>
      <c r="H8099" t="s">
        <v>8580</v>
      </c>
      <c r="I8099">
        <v>6</v>
      </c>
      <c r="J8099" t="s">
        <v>445</v>
      </c>
      <c r="K8099" t="s">
        <v>446</v>
      </c>
      <c r="M8099">
        <v>2111</v>
      </c>
    </row>
    <row r="8100" spans="1:14">
      <c r="A8100">
        <v>29820000</v>
      </c>
      <c r="B8100">
        <v>3034451</v>
      </c>
      <c r="C8100" t="s">
        <v>14496</v>
      </c>
      <c r="D8100" t="s">
        <v>441</v>
      </c>
      <c r="F8100">
        <v>0</v>
      </c>
      <c r="G8100">
        <v>13.44</v>
      </c>
      <c r="H8100" t="s">
        <v>8549</v>
      </c>
      <c r="I8100">
        <v>6</v>
      </c>
      <c r="J8100" t="s">
        <v>445</v>
      </c>
      <c r="K8100" t="s">
        <v>446</v>
      </c>
      <c r="M8100">
        <v>2391</v>
      </c>
      <c r="N8100" t="s">
        <v>16369</v>
      </c>
    </row>
    <row r="8101" spans="1:14">
      <c r="A8101">
        <v>29820002</v>
      </c>
      <c r="B8101">
        <v>3034483</v>
      </c>
      <c r="C8101" t="s">
        <v>14497</v>
      </c>
      <c r="D8101" t="s">
        <v>441</v>
      </c>
      <c r="F8101">
        <v>0</v>
      </c>
      <c r="G8101">
        <v>14.15</v>
      </c>
      <c r="H8101" t="s">
        <v>8549</v>
      </c>
      <c r="I8101">
        <v>540</v>
      </c>
      <c r="J8101" t="s">
        <v>445</v>
      </c>
      <c r="K8101" t="s">
        <v>446</v>
      </c>
      <c r="M8101">
        <v>7111</v>
      </c>
      <c r="N8101" t="s">
        <v>16369</v>
      </c>
    </row>
    <row r="8102" spans="1:14">
      <c r="A8102">
        <v>29820007</v>
      </c>
      <c r="B8102">
        <v>3034422</v>
      </c>
      <c r="C8102" t="s">
        <v>3496</v>
      </c>
      <c r="D8102" t="s">
        <v>441</v>
      </c>
      <c r="F8102">
        <v>0</v>
      </c>
      <c r="G8102">
        <v>13.59</v>
      </c>
      <c r="H8102" t="s">
        <v>8549</v>
      </c>
      <c r="I8102">
        <v>6</v>
      </c>
      <c r="J8102" t="s">
        <v>445</v>
      </c>
      <c r="K8102" t="s">
        <v>446</v>
      </c>
      <c r="M8102">
        <v>3111</v>
      </c>
      <c r="N8102" t="s">
        <v>16369</v>
      </c>
    </row>
    <row r="8103" spans="1:14">
      <c r="A8103">
        <v>29820502</v>
      </c>
      <c r="B8103">
        <v>3034482</v>
      </c>
      <c r="C8103" t="s">
        <v>14498</v>
      </c>
      <c r="D8103" t="s">
        <v>441</v>
      </c>
      <c r="F8103">
        <v>0</v>
      </c>
      <c r="G8103">
        <v>13.56</v>
      </c>
      <c r="H8103" t="s">
        <v>8549</v>
      </c>
      <c r="I8103">
        <v>6</v>
      </c>
      <c r="J8103" t="s">
        <v>445</v>
      </c>
      <c r="K8103" t="s">
        <v>446</v>
      </c>
      <c r="M8103">
        <v>2502</v>
      </c>
      <c r="N8103" t="s">
        <v>16369</v>
      </c>
    </row>
    <row r="8104" spans="1:14">
      <c r="A8104">
        <v>29820602</v>
      </c>
      <c r="B8104">
        <v>3034484</v>
      </c>
      <c r="C8104" t="s">
        <v>14499</v>
      </c>
      <c r="D8104" t="s">
        <v>441</v>
      </c>
      <c r="F8104">
        <v>0</v>
      </c>
      <c r="G8104">
        <v>15.06</v>
      </c>
      <c r="H8104" t="s">
        <v>8549</v>
      </c>
      <c r="I8104">
        <v>4</v>
      </c>
      <c r="J8104" t="s">
        <v>445</v>
      </c>
      <c r="K8104" t="s">
        <v>446</v>
      </c>
      <c r="M8104">
        <v>2510</v>
      </c>
      <c r="N8104" t="s">
        <v>16369</v>
      </c>
    </row>
    <row r="8105" spans="1:14">
      <c r="A8105">
        <v>29820902</v>
      </c>
      <c r="B8105">
        <v>3034485</v>
      </c>
      <c r="C8105" t="s">
        <v>14500</v>
      </c>
      <c r="D8105" t="s">
        <v>441</v>
      </c>
      <c r="F8105">
        <v>0</v>
      </c>
      <c r="H8105" t="s">
        <v>8580</v>
      </c>
      <c r="I8105">
        <v>4</v>
      </c>
      <c r="J8105" t="s">
        <v>445</v>
      </c>
      <c r="K8105" t="s">
        <v>446</v>
      </c>
      <c r="M8105">
        <v>6666</v>
      </c>
      <c r="N8105" t="s">
        <v>16369</v>
      </c>
    </row>
    <row r="8106" spans="1:14">
      <c r="A8106">
        <v>29820907</v>
      </c>
      <c r="B8106">
        <v>3034430</v>
      </c>
      <c r="C8106" t="s">
        <v>3497</v>
      </c>
      <c r="D8106" t="s">
        <v>441</v>
      </c>
      <c r="F8106">
        <v>0</v>
      </c>
      <c r="H8106" t="s">
        <v>8637</v>
      </c>
      <c r="I8106">
        <v>6</v>
      </c>
      <c r="J8106" t="s">
        <v>445</v>
      </c>
      <c r="K8106" t="s">
        <v>446</v>
      </c>
      <c r="M8106">
        <v>6666</v>
      </c>
      <c r="N8106" t="s">
        <v>16369</v>
      </c>
    </row>
    <row r="8107" spans="1:14">
      <c r="A8107">
        <v>29830000</v>
      </c>
      <c r="B8107">
        <v>3030022</v>
      </c>
      <c r="C8107" t="s">
        <v>15197</v>
      </c>
      <c r="D8107" t="s">
        <v>441</v>
      </c>
      <c r="F8107">
        <v>0</v>
      </c>
      <c r="G8107">
        <v>13.98</v>
      </c>
      <c r="H8107" t="s">
        <v>8549</v>
      </c>
      <c r="I8107">
        <v>6</v>
      </c>
      <c r="J8107" t="s">
        <v>445</v>
      </c>
      <c r="K8107" t="s">
        <v>446</v>
      </c>
      <c r="M8107">
        <v>2391</v>
      </c>
      <c r="N8107" t="s">
        <v>16370</v>
      </c>
    </row>
    <row r="8108" spans="1:14">
      <c r="A8108">
        <v>29830025</v>
      </c>
      <c r="B8108">
        <v>4023298</v>
      </c>
      <c r="C8108" t="s">
        <v>15198</v>
      </c>
      <c r="D8108" t="s">
        <v>441</v>
      </c>
      <c r="F8108">
        <v>0</v>
      </c>
      <c r="G8108">
        <v>14.86</v>
      </c>
      <c r="H8108" t="s">
        <v>8588</v>
      </c>
      <c r="I8108">
        <v>540</v>
      </c>
      <c r="J8108" t="s">
        <v>462</v>
      </c>
      <c r="M8108">
        <v>7111</v>
      </c>
      <c r="N8108" t="s">
        <v>16370</v>
      </c>
    </row>
    <row r="8109" spans="1:14">
      <c r="A8109">
        <v>29830525</v>
      </c>
      <c r="B8109">
        <v>3030025</v>
      </c>
      <c r="C8109" t="s">
        <v>15199</v>
      </c>
      <c r="D8109" t="s">
        <v>441</v>
      </c>
      <c r="F8109">
        <v>0</v>
      </c>
      <c r="G8109">
        <v>14.38</v>
      </c>
      <c r="H8109" t="s">
        <v>8588</v>
      </c>
      <c r="I8109">
        <v>6</v>
      </c>
      <c r="J8109" t="s">
        <v>445</v>
      </c>
      <c r="K8109" t="s">
        <v>446</v>
      </c>
      <c r="M8109">
        <v>2502</v>
      </c>
      <c r="N8109" t="s">
        <v>16370</v>
      </c>
    </row>
    <row r="8110" spans="1:14">
      <c r="A8110">
        <v>29831000</v>
      </c>
      <c r="B8110">
        <v>3030021</v>
      </c>
      <c r="C8110" t="s">
        <v>15200</v>
      </c>
      <c r="D8110" t="s">
        <v>441</v>
      </c>
      <c r="F8110">
        <v>0</v>
      </c>
      <c r="G8110">
        <v>13.98</v>
      </c>
      <c r="H8110" t="s">
        <v>8549</v>
      </c>
      <c r="I8110">
        <v>6</v>
      </c>
      <c r="J8110" t="s">
        <v>445</v>
      </c>
      <c r="K8110" t="s">
        <v>446</v>
      </c>
      <c r="M8110">
        <v>2391</v>
      </c>
      <c r="N8110" t="s">
        <v>16370</v>
      </c>
    </row>
    <row r="8111" spans="1:14">
      <c r="A8111">
        <v>29831025</v>
      </c>
      <c r="B8111">
        <v>4023318</v>
      </c>
      <c r="C8111" t="s">
        <v>15201</v>
      </c>
      <c r="D8111" t="s">
        <v>441</v>
      </c>
      <c r="F8111">
        <v>0</v>
      </c>
      <c r="G8111">
        <v>14.86</v>
      </c>
      <c r="H8111" t="s">
        <v>8588</v>
      </c>
      <c r="I8111">
        <v>540</v>
      </c>
      <c r="J8111" t="s">
        <v>462</v>
      </c>
      <c r="M8111">
        <v>7111</v>
      </c>
      <c r="N8111" t="s">
        <v>16370</v>
      </c>
    </row>
    <row r="8112" spans="1:14">
      <c r="A8112">
        <v>29831525</v>
      </c>
      <c r="B8112">
        <v>3030026</v>
      </c>
      <c r="C8112" t="s">
        <v>15202</v>
      </c>
      <c r="D8112" t="s">
        <v>441</v>
      </c>
      <c r="F8112">
        <v>0</v>
      </c>
      <c r="G8112">
        <v>14.38</v>
      </c>
      <c r="H8112" t="s">
        <v>8588</v>
      </c>
      <c r="I8112">
        <v>6</v>
      </c>
      <c r="J8112" t="s">
        <v>445</v>
      </c>
      <c r="K8112" t="s">
        <v>446</v>
      </c>
      <c r="M8112">
        <v>2502</v>
      </c>
      <c r="N8112" t="s">
        <v>16370</v>
      </c>
    </row>
    <row r="8113" spans="1:14">
      <c r="A8113">
        <v>29840000</v>
      </c>
      <c r="B8113">
        <v>3008762</v>
      </c>
      <c r="C8113" t="s">
        <v>3498</v>
      </c>
      <c r="D8113" t="s">
        <v>441</v>
      </c>
      <c r="F8113">
        <v>0</v>
      </c>
      <c r="G8113">
        <v>1.04</v>
      </c>
      <c r="H8113" t="s">
        <v>8549</v>
      </c>
      <c r="I8113">
        <v>6</v>
      </c>
      <c r="J8113" t="s">
        <v>445</v>
      </c>
      <c r="M8113">
        <v>2143</v>
      </c>
      <c r="N8113" t="s">
        <v>16371</v>
      </c>
    </row>
    <row r="8114" spans="1:14">
      <c r="A8114">
        <v>29840002</v>
      </c>
      <c r="B8114">
        <v>3022913</v>
      </c>
      <c r="C8114" t="s">
        <v>3499</v>
      </c>
      <c r="D8114" t="s">
        <v>441</v>
      </c>
      <c r="F8114">
        <v>0</v>
      </c>
      <c r="G8114">
        <v>1.43</v>
      </c>
      <c r="H8114" t="s">
        <v>8588</v>
      </c>
      <c r="I8114">
        <v>540</v>
      </c>
      <c r="J8114" t="s">
        <v>445</v>
      </c>
      <c r="M8114">
        <v>7111</v>
      </c>
      <c r="N8114" t="s">
        <v>16371</v>
      </c>
    </row>
    <row r="8115" spans="1:14">
      <c r="A8115">
        <v>29840028</v>
      </c>
      <c r="B8115">
        <v>4009857</v>
      </c>
      <c r="C8115" t="s">
        <v>12278</v>
      </c>
      <c r="D8115" t="s">
        <v>441</v>
      </c>
      <c r="F8115">
        <v>0</v>
      </c>
      <c r="G8115">
        <v>1.82</v>
      </c>
      <c r="H8115" t="s">
        <v>8588</v>
      </c>
      <c r="I8115">
        <v>365</v>
      </c>
      <c r="J8115" t="s">
        <v>462</v>
      </c>
      <c r="K8115" t="s">
        <v>446</v>
      </c>
      <c r="M8115">
        <v>2501</v>
      </c>
    </row>
    <row r="8116" spans="1:14">
      <c r="A8116">
        <v>29840080</v>
      </c>
      <c r="B8116">
        <v>4008226</v>
      </c>
      <c r="C8116" t="s">
        <v>12279</v>
      </c>
      <c r="D8116" t="s">
        <v>441</v>
      </c>
      <c r="F8116">
        <v>0</v>
      </c>
      <c r="G8116">
        <v>2.02</v>
      </c>
      <c r="H8116" t="s">
        <v>8588</v>
      </c>
      <c r="I8116">
        <v>6</v>
      </c>
      <c r="J8116" t="s">
        <v>462</v>
      </c>
      <c r="K8116" t="s">
        <v>446</v>
      </c>
      <c r="M8116">
        <v>2641</v>
      </c>
    </row>
    <row r="8117" spans="1:14">
      <c r="A8117">
        <v>29840100</v>
      </c>
      <c r="B8117">
        <v>3033643</v>
      </c>
      <c r="C8117" t="s">
        <v>3500</v>
      </c>
      <c r="D8117" t="s">
        <v>441</v>
      </c>
      <c r="F8117">
        <v>0</v>
      </c>
      <c r="H8117" t="s">
        <v>8588</v>
      </c>
      <c r="I8117">
        <v>6</v>
      </c>
      <c r="J8117" t="s">
        <v>445</v>
      </c>
      <c r="M8117">
        <v>7161</v>
      </c>
      <c r="N8117" t="s">
        <v>16371</v>
      </c>
    </row>
    <row r="8118" spans="1:14">
      <c r="A8118">
        <v>29840110</v>
      </c>
      <c r="B8118">
        <v>3037579</v>
      </c>
      <c r="C8118" t="s">
        <v>3501</v>
      </c>
      <c r="D8118" t="s">
        <v>441</v>
      </c>
      <c r="F8118">
        <v>0</v>
      </c>
      <c r="H8118" t="s">
        <v>8588</v>
      </c>
      <c r="I8118">
        <v>6</v>
      </c>
      <c r="J8118" t="s">
        <v>445</v>
      </c>
      <c r="M8118">
        <v>7161</v>
      </c>
      <c r="N8118" t="s">
        <v>16371</v>
      </c>
    </row>
    <row r="8119" spans="1:14">
      <c r="A8119">
        <v>29840120</v>
      </c>
      <c r="B8119">
        <v>3037592</v>
      </c>
      <c r="C8119" t="s">
        <v>3502</v>
      </c>
      <c r="D8119" t="s">
        <v>441</v>
      </c>
      <c r="F8119">
        <v>0</v>
      </c>
      <c r="H8119" t="s">
        <v>8588</v>
      </c>
      <c r="I8119">
        <v>6</v>
      </c>
      <c r="J8119" t="s">
        <v>445</v>
      </c>
      <c r="M8119">
        <v>7161</v>
      </c>
      <c r="N8119" t="s">
        <v>16371</v>
      </c>
    </row>
    <row r="8120" spans="1:14">
      <c r="A8120">
        <v>29840130</v>
      </c>
      <c r="B8120">
        <v>3038590</v>
      </c>
      <c r="C8120" t="s">
        <v>3503</v>
      </c>
      <c r="D8120" t="s">
        <v>441</v>
      </c>
      <c r="F8120">
        <v>0</v>
      </c>
      <c r="G8120">
        <v>1.5</v>
      </c>
      <c r="H8120" t="s">
        <v>8549</v>
      </c>
      <c r="I8120">
        <v>6</v>
      </c>
      <c r="J8120" t="s">
        <v>445</v>
      </c>
      <c r="M8120">
        <v>7161</v>
      </c>
      <c r="N8120" t="s">
        <v>16371</v>
      </c>
    </row>
    <row r="8121" spans="1:14">
      <c r="A8121">
        <v>29840140</v>
      </c>
      <c r="B8121">
        <v>3039032</v>
      </c>
      <c r="C8121" t="s">
        <v>3504</v>
      </c>
      <c r="D8121" t="s">
        <v>441</v>
      </c>
      <c r="F8121">
        <v>0</v>
      </c>
      <c r="H8121" t="s">
        <v>8588</v>
      </c>
      <c r="I8121">
        <v>6</v>
      </c>
      <c r="J8121" t="s">
        <v>445</v>
      </c>
      <c r="M8121">
        <v>7161</v>
      </c>
      <c r="N8121" t="s">
        <v>16371</v>
      </c>
    </row>
    <row r="8122" spans="1:14">
      <c r="A8122">
        <v>29840502</v>
      </c>
      <c r="B8122">
        <v>3022912</v>
      </c>
      <c r="C8122" t="s">
        <v>3505</v>
      </c>
      <c r="D8122" t="s">
        <v>441</v>
      </c>
      <c r="F8122">
        <v>0</v>
      </c>
      <c r="G8122">
        <v>1.1299999999999999</v>
      </c>
      <c r="H8122" t="s">
        <v>8588</v>
      </c>
      <c r="I8122">
        <v>6</v>
      </c>
      <c r="J8122" t="s">
        <v>445</v>
      </c>
      <c r="M8122">
        <v>2502</v>
      </c>
      <c r="N8122" t="s">
        <v>16371</v>
      </c>
    </row>
    <row r="8123" spans="1:14">
      <c r="A8123">
        <v>29840528</v>
      </c>
      <c r="B8123">
        <v>3012278</v>
      </c>
      <c r="C8123" t="s">
        <v>3506</v>
      </c>
      <c r="D8123" t="s">
        <v>441</v>
      </c>
      <c r="F8123">
        <v>0</v>
      </c>
      <c r="G8123">
        <v>1.77</v>
      </c>
      <c r="H8123" t="s">
        <v>8580</v>
      </c>
      <c r="I8123">
        <v>365</v>
      </c>
      <c r="J8123" t="s">
        <v>445</v>
      </c>
      <c r="K8123" t="s">
        <v>446</v>
      </c>
      <c r="M8123">
        <v>2641</v>
      </c>
    </row>
    <row r="8124" spans="1:14">
      <c r="A8124">
        <v>29840602</v>
      </c>
      <c r="B8124">
        <v>3022914</v>
      </c>
      <c r="C8124" t="s">
        <v>15203</v>
      </c>
      <c r="D8124" t="s">
        <v>441</v>
      </c>
      <c r="F8124">
        <v>0</v>
      </c>
      <c r="G8124">
        <v>3.08</v>
      </c>
      <c r="H8124" t="s">
        <v>8588</v>
      </c>
      <c r="I8124">
        <v>4</v>
      </c>
      <c r="J8124" t="s">
        <v>445</v>
      </c>
      <c r="M8124">
        <v>2510</v>
      </c>
      <c r="N8124" t="s">
        <v>16371</v>
      </c>
    </row>
    <row r="8125" spans="1:14">
      <c r="A8125">
        <v>29840628</v>
      </c>
      <c r="B8125">
        <v>3012529</v>
      </c>
      <c r="C8125" t="s">
        <v>12280</v>
      </c>
      <c r="D8125" t="s">
        <v>441</v>
      </c>
      <c r="F8125">
        <v>0</v>
      </c>
      <c r="G8125">
        <v>1.97</v>
      </c>
      <c r="I8125">
        <v>4</v>
      </c>
      <c r="J8125" t="s">
        <v>445</v>
      </c>
      <c r="K8125" t="s">
        <v>446</v>
      </c>
      <c r="M8125">
        <v>2511</v>
      </c>
    </row>
    <row r="8126" spans="1:14">
      <c r="A8126">
        <v>29840900</v>
      </c>
      <c r="B8126">
        <v>3026655</v>
      </c>
      <c r="C8126" t="s">
        <v>3507</v>
      </c>
      <c r="D8126" t="s">
        <v>441</v>
      </c>
      <c r="F8126">
        <v>0</v>
      </c>
      <c r="G8126">
        <v>2.0699999999999998</v>
      </c>
      <c r="H8126" t="s">
        <v>8584</v>
      </c>
      <c r="I8126">
        <v>6</v>
      </c>
      <c r="J8126" t="s">
        <v>445</v>
      </c>
      <c r="M8126">
        <v>6666</v>
      </c>
    </row>
    <row r="8127" spans="1:14">
      <c r="A8127">
        <v>29840902</v>
      </c>
      <c r="B8127">
        <v>3023098</v>
      </c>
      <c r="C8127" t="s">
        <v>15204</v>
      </c>
      <c r="D8127" t="s">
        <v>441</v>
      </c>
      <c r="F8127">
        <v>0</v>
      </c>
      <c r="G8127">
        <v>3.08</v>
      </c>
      <c r="H8127" t="s">
        <v>8580</v>
      </c>
      <c r="I8127">
        <v>4</v>
      </c>
      <c r="J8127" t="s">
        <v>445</v>
      </c>
      <c r="M8127">
        <v>6666</v>
      </c>
      <c r="N8127" t="s">
        <v>16371</v>
      </c>
    </row>
    <row r="8128" spans="1:14">
      <c r="A8128">
        <v>29840907</v>
      </c>
      <c r="B8128">
        <v>3026655</v>
      </c>
      <c r="C8128" t="s">
        <v>3508</v>
      </c>
      <c r="D8128" t="s">
        <v>441</v>
      </c>
      <c r="F8128">
        <v>0</v>
      </c>
      <c r="H8128" t="s">
        <v>8584</v>
      </c>
      <c r="I8128">
        <v>6</v>
      </c>
      <c r="J8128" t="s">
        <v>445</v>
      </c>
      <c r="M8128">
        <v>6666</v>
      </c>
      <c r="N8128" t="s">
        <v>16371</v>
      </c>
    </row>
    <row r="8129" spans="1:14">
      <c r="A8129">
        <v>29841000</v>
      </c>
      <c r="B8129">
        <v>3012277</v>
      </c>
      <c r="C8129" t="s">
        <v>12281</v>
      </c>
      <c r="D8129" t="s">
        <v>441</v>
      </c>
      <c r="F8129">
        <v>0</v>
      </c>
      <c r="G8129">
        <v>1.31</v>
      </c>
      <c r="H8129" t="s">
        <v>8580</v>
      </c>
      <c r="I8129">
        <v>6</v>
      </c>
      <c r="J8129" t="s">
        <v>445</v>
      </c>
      <c r="K8129" t="s">
        <v>446</v>
      </c>
      <c r="M8129">
        <v>2211</v>
      </c>
    </row>
    <row r="8130" spans="1:14">
      <c r="A8130">
        <v>29843000</v>
      </c>
      <c r="B8130">
        <v>3008940</v>
      </c>
      <c r="C8130" t="s">
        <v>3509</v>
      </c>
      <c r="D8130" t="s">
        <v>441</v>
      </c>
      <c r="F8130">
        <v>0</v>
      </c>
      <c r="G8130">
        <v>1.04</v>
      </c>
      <c r="H8130" t="s">
        <v>8549</v>
      </c>
      <c r="I8130">
        <v>6</v>
      </c>
      <c r="J8130" t="s">
        <v>445</v>
      </c>
      <c r="M8130">
        <v>2143</v>
      </c>
      <c r="N8130" t="s">
        <v>16371</v>
      </c>
    </row>
    <row r="8131" spans="1:14">
      <c r="A8131">
        <v>29846000</v>
      </c>
      <c r="B8131">
        <v>3012275</v>
      </c>
      <c r="C8131" t="s">
        <v>12282</v>
      </c>
      <c r="D8131" t="s">
        <v>441</v>
      </c>
      <c r="F8131">
        <v>0</v>
      </c>
      <c r="G8131">
        <v>1.32</v>
      </c>
      <c r="H8131" t="s">
        <v>8549</v>
      </c>
      <c r="I8131">
        <v>6</v>
      </c>
      <c r="J8131" t="s">
        <v>445</v>
      </c>
      <c r="K8131" t="s">
        <v>446</v>
      </c>
      <c r="M8131">
        <v>2390</v>
      </c>
    </row>
    <row r="8132" spans="1:14">
      <c r="A8132">
        <v>29850000</v>
      </c>
      <c r="B8132">
        <v>3008133</v>
      </c>
      <c r="C8132" t="s">
        <v>12283</v>
      </c>
      <c r="D8132" t="s">
        <v>441</v>
      </c>
      <c r="F8132">
        <v>0</v>
      </c>
      <c r="H8132" t="s">
        <v>8580</v>
      </c>
      <c r="I8132">
        <v>6</v>
      </c>
      <c r="J8132" t="s">
        <v>445</v>
      </c>
      <c r="M8132">
        <v>2143</v>
      </c>
      <c r="N8132" t="s">
        <v>16146</v>
      </c>
    </row>
    <row r="8133" spans="1:14">
      <c r="A8133">
        <v>29850026</v>
      </c>
      <c r="B8133">
        <v>4016414</v>
      </c>
      <c r="C8133" t="s">
        <v>12284</v>
      </c>
      <c r="D8133" t="s">
        <v>442</v>
      </c>
      <c r="E8133" t="s">
        <v>441</v>
      </c>
      <c r="F8133">
        <v>10</v>
      </c>
      <c r="G8133">
        <v>59.56</v>
      </c>
      <c r="H8133" t="s">
        <v>8588</v>
      </c>
      <c r="I8133">
        <v>540</v>
      </c>
      <c r="J8133" t="s">
        <v>462</v>
      </c>
      <c r="M8133">
        <v>7111</v>
      </c>
      <c r="N8133" t="s">
        <v>16146</v>
      </c>
    </row>
    <row r="8134" spans="1:14">
      <c r="A8134">
        <v>29850028</v>
      </c>
      <c r="B8134">
        <v>4001866</v>
      </c>
      <c r="C8134" t="s">
        <v>12285</v>
      </c>
      <c r="D8134" t="s">
        <v>441</v>
      </c>
      <c r="F8134">
        <v>0</v>
      </c>
      <c r="G8134">
        <v>10.35</v>
      </c>
      <c r="H8134" t="s">
        <v>8588</v>
      </c>
      <c r="I8134">
        <v>365</v>
      </c>
      <c r="J8134" t="s">
        <v>462</v>
      </c>
      <c r="K8134" t="s">
        <v>446</v>
      </c>
      <c r="M8134">
        <v>2501</v>
      </c>
    </row>
    <row r="8135" spans="1:14">
      <c r="A8135">
        <v>29850526</v>
      </c>
      <c r="B8135">
        <v>3024846</v>
      </c>
      <c r="C8135" t="s">
        <v>12286</v>
      </c>
      <c r="D8135" t="s">
        <v>442</v>
      </c>
      <c r="E8135" t="s">
        <v>441</v>
      </c>
      <c r="F8135">
        <v>10</v>
      </c>
      <c r="G8135">
        <v>55.47</v>
      </c>
      <c r="H8135" t="s">
        <v>8549</v>
      </c>
      <c r="I8135">
        <v>540</v>
      </c>
      <c r="J8135" t="s">
        <v>445</v>
      </c>
      <c r="M8135">
        <v>2502</v>
      </c>
      <c r="N8135" t="s">
        <v>16146</v>
      </c>
    </row>
    <row r="8136" spans="1:14">
      <c r="A8136">
        <v>29850528</v>
      </c>
      <c r="B8136">
        <v>3008134</v>
      </c>
      <c r="C8136" t="s">
        <v>12287</v>
      </c>
      <c r="D8136" t="s">
        <v>441</v>
      </c>
      <c r="F8136">
        <v>0</v>
      </c>
      <c r="G8136">
        <v>10.17</v>
      </c>
      <c r="H8136" t="s">
        <v>8580</v>
      </c>
      <c r="I8136">
        <v>6</v>
      </c>
      <c r="J8136" t="s">
        <v>445</v>
      </c>
      <c r="K8136" t="s">
        <v>446</v>
      </c>
      <c r="M8136">
        <v>2641</v>
      </c>
    </row>
    <row r="8137" spans="1:14">
      <c r="A8137">
        <v>29851000</v>
      </c>
      <c r="B8137">
        <v>3024711</v>
      </c>
      <c r="C8137" t="s">
        <v>12288</v>
      </c>
      <c r="D8137" t="s">
        <v>441</v>
      </c>
      <c r="F8137">
        <v>0</v>
      </c>
      <c r="G8137">
        <v>4.8</v>
      </c>
      <c r="H8137" t="s">
        <v>8549</v>
      </c>
      <c r="I8137">
        <v>6</v>
      </c>
      <c r="J8137" t="s">
        <v>445</v>
      </c>
      <c r="M8137">
        <v>2143</v>
      </c>
      <c r="N8137" t="s">
        <v>16146</v>
      </c>
    </row>
    <row r="8138" spans="1:14">
      <c r="A8138">
        <v>29851026</v>
      </c>
      <c r="B8138">
        <v>4016413</v>
      </c>
      <c r="C8138" t="s">
        <v>12289</v>
      </c>
      <c r="D8138" t="s">
        <v>442</v>
      </c>
      <c r="E8138" t="s">
        <v>441</v>
      </c>
      <c r="F8138">
        <v>10</v>
      </c>
      <c r="G8138">
        <v>59.56</v>
      </c>
      <c r="H8138" t="s">
        <v>8588</v>
      </c>
      <c r="I8138">
        <v>540</v>
      </c>
      <c r="J8138" t="s">
        <v>462</v>
      </c>
      <c r="M8138">
        <v>7111</v>
      </c>
      <c r="N8138" t="s">
        <v>16146</v>
      </c>
    </row>
    <row r="8139" spans="1:14">
      <c r="A8139">
        <v>29851526</v>
      </c>
      <c r="B8139">
        <v>3024816</v>
      </c>
      <c r="C8139" t="s">
        <v>12290</v>
      </c>
      <c r="D8139" t="s">
        <v>442</v>
      </c>
      <c r="E8139" t="s">
        <v>441</v>
      </c>
      <c r="F8139">
        <v>10</v>
      </c>
      <c r="G8139">
        <v>55.47</v>
      </c>
      <c r="H8139" t="s">
        <v>8549</v>
      </c>
      <c r="I8139">
        <v>540</v>
      </c>
      <c r="J8139" t="s">
        <v>445</v>
      </c>
      <c r="M8139">
        <v>2502</v>
      </c>
      <c r="N8139" t="s">
        <v>16146</v>
      </c>
    </row>
    <row r="8140" spans="1:14">
      <c r="A8140">
        <v>29853000</v>
      </c>
      <c r="B8140">
        <v>3017985</v>
      </c>
      <c r="C8140" t="s">
        <v>3510</v>
      </c>
      <c r="D8140" t="s">
        <v>441</v>
      </c>
      <c r="F8140">
        <v>0</v>
      </c>
      <c r="G8140">
        <v>4.8</v>
      </c>
      <c r="H8140" t="s">
        <v>8583</v>
      </c>
      <c r="I8140">
        <v>6</v>
      </c>
      <c r="J8140" t="s">
        <v>445</v>
      </c>
      <c r="M8140">
        <v>2391</v>
      </c>
      <c r="N8140" t="s">
        <v>16146</v>
      </c>
    </row>
    <row r="8141" spans="1:14">
      <c r="A8141">
        <v>29853007</v>
      </c>
      <c r="B8141">
        <v>3025050</v>
      </c>
      <c r="C8141" t="s">
        <v>14501</v>
      </c>
      <c r="D8141" t="s">
        <v>441</v>
      </c>
      <c r="F8141">
        <v>0</v>
      </c>
      <c r="G8141">
        <v>4.91</v>
      </c>
      <c r="H8141" t="s">
        <v>8935</v>
      </c>
      <c r="I8141">
        <v>6</v>
      </c>
      <c r="J8141" t="s">
        <v>445</v>
      </c>
      <c r="M8141">
        <v>2391</v>
      </c>
      <c r="N8141" t="s">
        <v>16146</v>
      </c>
    </row>
    <row r="8142" spans="1:14">
      <c r="A8142">
        <v>29855000</v>
      </c>
      <c r="B8142">
        <v>3035246</v>
      </c>
      <c r="C8142" t="s">
        <v>12291</v>
      </c>
      <c r="D8142" t="s">
        <v>441</v>
      </c>
      <c r="F8142">
        <v>0</v>
      </c>
      <c r="G8142">
        <v>4.8</v>
      </c>
      <c r="H8142" t="s">
        <v>8580</v>
      </c>
      <c r="I8142">
        <v>6</v>
      </c>
      <c r="J8142" t="s">
        <v>445</v>
      </c>
      <c r="M8142">
        <v>2143</v>
      </c>
      <c r="N8142" t="s">
        <v>16146</v>
      </c>
    </row>
    <row r="8143" spans="1:14">
      <c r="A8143">
        <v>29855026</v>
      </c>
      <c r="B8143">
        <v>4023914</v>
      </c>
      <c r="C8143" t="s">
        <v>12292</v>
      </c>
      <c r="D8143" t="s">
        <v>442</v>
      </c>
      <c r="E8143" t="s">
        <v>441</v>
      </c>
      <c r="F8143">
        <v>10</v>
      </c>
      <c r="G8143">
        <v>59.71</v>
      </c>
      <c r="H8143" t="s">
        <v>8588</v>
      </c>
      <c r="I8143">
        <v>540</v>
      </c>
      <c r="J8143" t="s">
        <v>462</v>
      </c>
      <c r="M8143">
        <v>7111</v>
      </c>
      <c r="N8143" t="s">
        <v>16146</v>
      </c>
    </row>
    <row r="8144" spans="1:14">
      <c r="A8144">
        <v>29855526</v>
      </c>
      <c r="B8144">
        <v>3035247</v>
      </c>
      <c r="C8144" t="s">
        <v>12293</v>
      </c>
      <c r="D8144" t="s">
        <v>442</v>
      </c>
      <c r="E8144" t="s">
        <v>441</v>
      </c>
      <c r="F8144">
        <v>10</v>
      </c>
      <c r="G8144">
        <v>55.58</v>
      </c>
      <c r="H8144" t="s">
        <v>8549</v>
      </c>
      <c r="I8144">
        <v>540</v>
      </c>
      <c r="J8144" t="s">
        <v>445</v>
      </c>
      <c r="M8144">
        <v>2502</v>
      </c>
      <c r="N8144" t="s">
        <v>16146</v>
      </c>
    </row>
    <row r="8145" spans="1:14">
      <c r="A8145">
        <v>29860000</v>
      </c>
      <c r="B8145">
        <v>3008135</v>
      </c>
      <c r="C8145" t="s">
        <v>3511</v>
      </c>
      <c r="D8145" t="s">
        <v>441</v>
      </c>
      <c r="F8145">
        <v>0</v>
      </c>
      <c r="G8145">
        <v>0</v>
      </c>
      <c r="H8145" t="s">
        <v>8588</v>
      </c>
      <c r="I8145">
        <v>6</v>
      </c>
      <c r="J8145" t="s">
        <v>445</v>
      </c>
      <c r="M8145">
        <v>2143</v>
      </c>
      <c r="N8145" t="s">
        <v>16145</v>
      </c>
    </row>
    <row r="8146" spans="1:14">
      <c r="A8146">
        <v>29860028</v>
      </c>
      <c r="B8146">
        <v>4009856</v>
      </c>
      <c r="C8146" t="s">
        <v>12294</v>
      </c>
      <c r="D8146" t="s">
        <v>441</v>
      </c>
      <c r="F8146">
        <v>0</v>
      </c>
      <c r="G8146">
        <v>2.0099999999999998</v>
      </c>
      <c r="H8146" t="s">
        <v>8588</v>
      </c>
      <c r="I8146">
        <v>540</v>
      </c>
      <c r="J8146" t="s">
        <v>462</v>
      </c>
      <c r="K8146" t="s">
        <v>446</v>
      </c>
      <c r="M8146">
        <v>2501</v>
      </c>
    </row>
    <row r="8147" spans="1:14">
      <c r="A8147">
        <v>29860080</v>
      </c>
      <c r="B8147">
        <v>4004068</v>
      </c>
      <c r="C8147" t="s">
        <v>3512</v>
      </c>
      <c r="D8147" t="s">
        <v>441</v>
      </c>
      <c r="F8147">
        <v>0</v>
      </c>
      <c r="G8147">
        <v>0.96</v>
      </c>
      <c r="H8147" t="s">
        <v>8588</v>
      </c>
      <c r="I8147">
        <v>6</v>
      </c>
      <c r="J8147" t="s">
        <v>462</v>
      </c>
      <c r="M8147">
        <v>7112</v>
      </c>
      <c r="N8147" t="s">
        <v>16145</v>
      </c>
    </row>
    <row r="8148" spans="1:14">
      <c r="A8148">
        <v>29860081</v>
      </c>
      <c r="B8148">
        <v>4020745</v>
      </c>
      <c r="C8148" t="s">
        <v>3513</v>
      </c>
      <c r="D8148" t="s">
        <v>441</v>
      </c>
      <c r="F8148">
        <v>0</v>
      </c>
      <c r="G8148">
        <v>0.96</v>
      </c>
      <c r="H8148" t="s">
        <v>8588</v>
      </c>
      <c r="I8148">
        <v>6</v>
      </c>
      <c r="J8148" t="s">
        <v>462</v>
      </c>
      <c r="M8148">
        <v>7112</v>
      </c>
      <c r="N8148" t="s">
        <v>16145</v>
      </c>
    </row>
    <row r="8149" spans="1:14">
      <c r="A8149">
        <v>29860087</v>
      </c>
      <c r="B8149">
        <v>4016595</v>
      </c>
      <c r="C8149" t="s">
        <v>12295</v>
      </c>
      <c r="D8149" t="s">
        <v>441</v>
      </c>
      <c r="F8149">
        <v>0</v>
      </c>
      <c r="G8149">
        <v>1.46</v>
      </c>
      <c r="H8149" t="s">
        <v>8588</v>
      </c>
      <c r="I8149">
        <v>6</v>
      </c>
      <c r="J8149" t="s">
        <v>462</v>
      </c>
      <c r="K8149" t="s">
        <v>446</v>
      </c>
      <c r="M8149">
        <v>0</v>
      </c>
    </row>
    <row r="8150" spans="1:14">
      <c r="A8150">
        <v>29860090</v>
      </c>
      <c r="B8150">
        <v>3008644</v>
      </c>
      <c r="C8150" t="s">
        <v>12296</v>
      </c>
      <c r="D8150" t="s">
        <v>441</v>
      </c>
      <c r="F8150">
        <v>0</v>
      </c>
      <c r="G8150">
        <v>0.73</v>
      </c>
      <c r="H8150" t="s">
        <v>8588</v>
      </c>
      <c r="I8150">
        <v>6</v>
      </c>
      <c r="J8150" t="s">
        <v>445</v>
      </c>
      <c r="K8150" t="s">
        <v>446</v>
      </c>
      <c r="M8150">
        <v>2641</v>
      </c>
    </row>
    <row r="8151" spans="1:14">
      <c r="A8151">
        <v>29860091</v>
      </c>
      <c r="B8151">
        <v>3008646</v>
      </c>
      <c r="C8151" t="s">
        <v>12297</v>
      </c>
      <c r="D8151" t="s">
        <v>441</v>
      </c>
      <c r="F8151">
        <v>0</v>
      </c>
      <c r="G8151">
        <v>1.45</v>
      </c>
      <c r="H8151" t="s">
        <v>8588</v>
      </c>
      <c r="I8151">
        <v>6</v>
      </c>
      <c r="J8151" t="s">
        <v>445</v>
      </c>
      <c r="K8151" t="s">
        <v>446</v>
      </c>
      <c r="M8151">
        <v>2641</v>
      </c>
    </row>
    <row r="8152" spans="1:14">
      <c r="A8152">
        <v>29860100</v>
      </c>
      <c r="B8152">
        <v>3014907</v>
      </c>
      <c r="C8152" t="s">
        <v>3514</v>
      </c>
      <c r="D8152" t="s">
        <v>441</v>
      </c>
      <c r="F8152">
        <v>0</v>
      </c>
      <c r="H8152" t="s">
        <v>8588</v>
      </c>
      <c r="I8152">
        <v>540</v>
      </c>
      <c r="J8152" t="s">
        <v>445</v>
      </c>
      <c r="M8152">
        <v>7161</v>
      </c>
      <c r="N8152" t="s">
        <v>16145</v>
      </c>
    </row>
    <row r="8153" spans="1:14">
      <c r="A8153">
        <v>29860110</v>
      </c>
      <c r="B8153">
        <v>3037360</v>
      </c>
      <c r="C8153" t="s">
        <v>3515</v>
      </c>
      <c r="D8153" t="s">
        <v>441</v>
      </c>
      <c r="F8153">
        <v>0</v>
      </c>
      <c r="H8153" t="s">
        <v>8588</v>
      </c>
      <c r="I8153">
        <v>5</v>
      </c>
      <c r="J8153" t="s">
        <v>445</v>
      </c>
      <c r="M8153">
        <v>7161</v>
      </c>
      <c r="N8153" t="s">
        <v>16145</v>
      </c>
    </row>
    <row r="8154" spans="1:14">
      <c r="A8154">
        <v>29860120</v>
      </c>
      <c r="B8154">
        <v>3037406</v>
      </c>
      <c r="C8154" t="s">
        <v>3516</v>
      </c>
      <c r="D8154" t="s">
        <v>441</v>
      </c>
      <c r="F8154">
        <v>0</v>
      </c>
      <c r="H8154" t="s">
        <v>8588</v>
      </c>
      <c r="I8154">
        <v>6</v>
      </c>
      <c r="J8154" t="s">
        <v>445</v>
      </c>
      <c r="M8154">
        <v>7161</v>
      </c>
      <c r="N8154" t="s">
        <v>16145</v>
      </c>
    </row>
    <row r="8155" spans="1:14">
      <c r="A8155">
        <v>29860130</v>
      </c>
      <c r="B8155">
        <v>3042272</v>
      </c>
      <c r="C8155" t="s">
        <v>15282</v>
      </c>
      <c r="D8155" t="s">
        <v>441</v>
      </c>
      <c r="F8155">
        <v>0</v>
      </c>
      <c r="G8155">
        <v>2.16</v>
      </c>
      <c r="H8155" t="s">
        <v>8588</v>
      </c>
      <c r="I8155">
        <v>6</v>
      </c>
      <c r="J8155" t="s">
        <v>445</v>
      </c>
      <c r="M8155">
        <v>0</v>
      </c>
      <c r="N8155" t="s">
        <v>16145</v>
      </c>
    </row>
    <row r="8156" spans="1:14">
      <c r="A8156">
        <v>29860528</v>
      </c>
      <c r="B8156">
        <v>3012293</v>
      </c>
      <c r="C8156" t="s">
        <v>3517</v>
      </c>
      <c r="D8156" t="s">
        <v>441</v>
      </c>
      <c r="F8156">
        <v>0</v>
      </c>
      <c r="G8156">
        <v>1.83</v>
      </c>
      <c r="H8156" t="s">
        <v>8580</v>
      </c>
      <c r="I8156">
        <v>540</v>
      </c>
      <c r="J8156" t="s">
        <v>445</v>
      </c>
      <c r="K8156" t="s">
        <v>446</v>
      </c>
      <c r="M8156">
        <v>2641</v>
      </c>
    </row>
    <row r="8157" spans="1:14">
      <c r="A8157">
        <v>29860628</v>
      </c>
      <c r="B8157">
        <v>3012528</v>
      </c>
      <c r="C8157" t="s">
        <v>3518</v>
      </c>
      <c r="D8157" t="s">
        <v>441</v>
      </c>
      <c r="F8157">
        <v>0</v>
      </c>
      <c r="G8157">
        <v>1.1599999999999999</v>
      </c>
      <c r="I8157">
        <v>4</v>
      </c>
      <c r="J8157" t="s">
        <v>445</v>
      </c>
      <c r="M8157">
        <v>2510</v>
      </c>
      <c r="N8157" t="s">
        <v>16145</v>
      </c>
    </row>
    <row r="8158" spans="1:14">
      <c r="A8158">
        <v>29860900</v>
      </c>
      <c r="B8158">
        <v>3020375</v>
      </c>
      <c r="C8158" t="s">
        <v>3519</v>
      </c>
      <c r="D8158" t="s">
        <v>441</v>
      </c>
      <c r="F8158">
        <v>0</v>
      </c>
      <c r="H8158" t="s">
        <v>8580</v>
      </c>
      <c r="I8158">
        <v>6</v>
      </c>
      <c r="J8158" t="s">
        <v>445</v>
      </c>
      <c r="M8158">
        <v>6666</v>
      </c>
      <c r="N8158" t="s">
        <v>16145</v>
      </c>
    </row>
    <row r="8159" spans="1:14">
      <c r="A8159">
        <v>29861000</v>
      </c>
      <c r="B8159">
        <v>3012276</v>
      </c>
      <c r="C8159" t="s">
        <v>12298</v>
      </c>
      <c r="D8159" t="s">
        <v>441</v>
      </c>
      <c r="F8159">
        <v>0</v>
      </c>
      <c r="G8159">
        <v>0.6</v>
      </c>
      <c r="H8159" t="s">
        <v>8580</v>
      </c>
      <c r="I8159">
        <v>6</v>
      </c>
      <c r="J8159" t="s">
        <v>445</v>
      </c>
      <c r="K8159" t="s">
        <v>446</v>
      </c>
      <c r="M8159">
        <v>2211</v>
      </c>
    </row>
    <row r="8160" spans="1:14">
      <c r="A8160">
        <v>29863000</v>
      </c>
      <c r="B8160">
        <v>3018000</v>
      </c>
      <c r="C8160" t="s">
        <v>3520</v>
      </c>
      <c r="D8160" t="s">
        <v>441</v>
      </c>
      <c r="F8160">
        <v>0</v>
      </c>
      <c r="G8160">
        <v>0.8</v>
      </c>
      <c r="H8160" t="s">
        <v>8588</v>
      </c>
      <c r="I8160">
        <v>6</v>
      </c>
      <c r="J8160" t="s">
        <v>445</v>
      </c>
      <c r="M8160">
        <v>2391</v>
      </c>
      <c r="N8160" t="s">
        <v>16145</v>
      </c>
    </row>
    <row r="8161" spans="1:14">
      <c r="A8161">
        <v>29863007</v>
      </c>
      <c r="B8161">
        <v>3025051</v>
      </c>
      <c r="C8161" t="s">
        <v>14502</v>
      </c>
      <c r="D8161" t="s">
        <v>441</v>
      </c>
      <c r="F8161">
        <v>0</v>
      </c>
      <c r="G8161">
        <v>2.2000000000000002</v>
      </c>
      <c r="H8161" t="s">
        <v>8588</v>
      </c>
      <c r="I8161">
        <v>6</v>
      </c>
      <c r="J8161" t="s">
        <v>445</v>
      </c>
      <c r="M8161">
        <v>3111</v>
      </c>
      <c r="N8161" t="s">
        <v>16145</v>
      </c>
    </row>
    <row r="8162" spans="1:14">
      <c r="A8162">
        <v>29863900</v>
      </c>
      <c r="B8162">
        <v>3020376</v>
      </c>
      <c r="C8162" t="s">
        <v>3521</v>
      </c>
      <c r="D8162" t="s">
        <v>441</v>
      </c>
      <c r="F8162">
        <v>0</v>
      </c>
      <c r="H8162" t="s">
        <v>9302</v>
      </c>
      <c r="I8162">
        <v>6</v>
      </c>
      <c r="J8162" t="s">
        <v>445</v>
      </c>
      <c r="M8162">
        <v>6666</v>
      </c>
      <c r="N8162" t="s">
        <v>16145</v>
      </c>
    </row>
    <row r="8163" spans="1:14">
      <c r="A8163">
        <v>29863907</v>
      </c>
      <c r="B8163">
        <v>3025311</v>
      </c>
      <c r="C8163" t="s">
        <v>14503</v>
      </c>
      <c r="D8163" t="s">
        <v>441</v>
      </c>
      <c r="F8163">
        <v>0</v>
      </c>
      <c r="H8163" t="s">
        <v>8584</v>
      </c>
      <c r="I8163">
        <v>6</v>
      </c>
      <c r="J8163" t="s">
        <v>445</v>
      </c>
      <c r="M8163">
        <v>6666</v>
      </c>
      <c r="N8163" t="s">
        <v>16145</v>
      </c>
    </row>
    <row r="8164" spans="1:14">
      <c r="A8164">
        <v>29864100</v>
      </c>
      <c r="B8164">
        <v>3045584</v>
      </c>
      <c r="C8164" t="s">
        <v>15962</v>
      </c>
      <c r="D8164" t="s">
        <v>441</v>
      </c>
      <c r="F8164">
        <v>0</v>
      </c>
      <c r="G8164">
        <v>3.37</v>
      </c>
      <c r="H8164" t="s">
        <v>8588</v>
      </c>
      <c r="I8164">
        <v>6</v>
      </c>
      <c r="J8164" t="s">
        <v>445</v>
      </c>
      <c r="M8164">
        <v>0</v>
      </c>
      <c r="N8164" t="s">
        <v>16145</v>
      </c>
    </row>
    <row r="8165" spans="1:14">
      <c r="A8165">
        <v>29866000</v>
      </c>
      <c r="B8165">
        <v>3012274</v>
      </c>
      <c r="C8165" t="s">
        <v>12299</v>
      </c>
      <c r="D8165" t="s">
        <v>441</v>
      </c>
      <c r="F8165">
        <v>0</v>
      </c>
      <c r="G8165">
        <v>0.61</v>
      </c>
      <c r="H8165" t="s">
        <v>8549</v>
      </c>
      <c r="I8165">
        <v>6</v>
      </c>
      <c r="J8165" t="s">
        <v>445</v>
      </c>
      <c r="K8165" t="s">
        <v>446</v>
      </c>
      <c r="M8165">
        <v>2390</v>
      </c>
    </row>
    <row r="8166" spans="1:14">
      <c r="A8166">
        <v>29870000</v>
      </c>
      <c r="B8166">
        <v>3008136</v>
      </c>
      <c r="C8166" t="s">
        <v>12300</v>
      </c>
      <c r="D8166" t="s">
        <v>441</v>
      </c>
      <c r="F8166">
        <v>0</v>
      </c>
      <c r="G8166">
        <v>4</v>
      </c>
      <c r="H8166" t="s">
        <v>8580</v>
      </c>
      <c r="I8166">
        <v>5</v>
      </c>
      <c r="J8166" t="s">
        <v>445</v>
      </c>
      <c r="K8166" t="s">
        <v>446</v>
      </c>
      <c r="M8166">
        <v>0</v>
      </c>
    </row>
    <row r="8167" spans="1:14">
      <c r="A8167">
        <v>29870028</v>
      </c>
      <c r="B8167">
        <v>4001867</v>
      </c>
      <c r="C8167" t="s">
        <v>12301</v>
      </c>
      <c r="D8167" t="s">
        <v>441</v>
      </c>
      <c r="F8167">
        <v>0</v>
      </c>
      <c r="G8167">
        <v>4.6900000000000004</v>
      </c>
      <c r="H8167" t="s">
        <v>8588</v>
      </c>
      <c r="I8167">
        <v>365</v>
      </c>
      <c r="J8167" t="s">
        <v>462</v>
      </c>
      <c r="K8167" t="s">
        <v>446</v>
      </c>
      <c r="M8167">
        <v>2501</v>
      </c>
    </row>
    <row r="8168" spans="1:14">
      <c r="A8168">
        <v>29870528</v>
      </c>
      <c r="B8168">
        <v>3008137</v>
      </c>
      <c r="C8168" t="s">
        <v>12302</v>
      </c>
      <c r="D8168" t="s">
        <v>441</v>
      </c>
      <c r="F8168">
        <v>0</v>
      </c>
      <c r="G8168">
        <v>4.42</v>
      </c>
      <c r="I8168">
        <v>6</v>
      </c>
      <c r="J8168" t="s">
        <v>445</v>
      </c>
      <c r="K8168" t="s">
        <v>446</v>
      </c>
      <c r="M8168">
        <v>2641</v>
      </c>
    </row>
    <row r="8169" spans="1:14">
      <c r="A8169">
        <v>29871000</v>
      </c>
      <c r="B8169">
        <v>3009236</v>
      </c>
      <c r="C8169" t="s">
        <v>12303</v>
      </c>
      <c r="D8169" t="s">
        <v>441</v>
      </c>
      <c r="F8169">
        <v>0</v>
      </c>
      <c r="G8169">
        <v>4</v>
      </c>
      <c r="I8169">
        <v>6</v>
      </c>
      <c r="J8169" t="s">
        <v>445</v>
      </c>
      <c r="K8169" t="s">
        <v>446</v>
      </c>
      <c r="M8169">
        <v>2211</v>
      </c>
    </row>
    <row r="8170" spans="1:14">
      <c r="A8170">
        <v>29876000</v>
      </c>
      <c r="B8170">
        <v>3009216</v>
      </c>
      <c r="C8170" t="s">
        <v>12304</v>
      </c>
      <c r="D8170" t="s">
        <v>441</v>
      </c>
      <c r="F8170">
        <v>0</v>
      </c>
      <c r="G8170">
        <v>4.01</v>
      </c>
      <c r="I8170">
        <v>6</v>
      </c>
      <c r="J8170" t="s">
        <v>445</v>
      </c>
      <c r="K8170" t="s">
        <v>446</v>
      </c>
      <c r="M8170">
        <v>2390</v>
      </c>
    </row>
    <row r="8171" spans="1:14">
      <c r="A8171">
        <v>29880000</v>
      </c>
      <c r="B8171">
        <v>3008138</v>
      </c>
      <c r="C8171" t="s">
        <v>12305</v>
      </c>
      <c r="D8171" t="s">
        <v>441</v>
      </c>
      <c r="F8171">
        <v>0</v>
      </c>
      <c r="G8171">
        <v>2</v>
      </c>
      <c r="I8171">
        <v>5</v>
      </c>
      <c r="J8171" t="s">
        <v>445</v>
      </c>
      <c r="K8171" t="s">
        <v>446</v>
      </c>
      <c r="M8171">
        <v>0</v>
      </c>
    </row>
    <row r="8172" spans="1:14">
      <c r="A8172">
        <v>29880028</v>
      </c>
      <c r="B8172">
        <v>4001868</v>
      </c>
      <c r="C8172" t="s">
        <v>12306</v>
      </c>
      <c r="D8172" t="s">
        <v>441</v>
      </c>
      <c r="F8172">
        <v>0</v>
      </c>
      <c r="G8172">
        <v>2.71</v>
      </c>
      <c r="H8172" t="s">
        <v>8588</v>
      </c>
      <c r="I8172">
        <v>365</v>
      </c>
      <c r="J8172" t="s">
        <v>462</v>
      </c>
      <c r="K8172" t="s">
        <v>446</v>
      </c>
      <c r="M8172">
        <v>2501</v>
      </c>
    </row>
    <row r="8173" spans="1:14">
      <c r="A8173">
        <v>29880528</v>
      </c>
      <c r="B8173">
        <v>3008139</v>
      </c>
      <c r="C8173" t="s">
        <v>12307</v>
      </c>
      <c r="D8173" t="s">
        <v>441</v>
      </c>
      <c r="F8173">
        <v>0</v>
      </c>
      <c r="G8173">
        <v>2.44</v>
      </c>
      <c r="I8173">
        <v>6</v>
      </c>
      <c r="J8173" t="s">
        <v>445</v>
      </c>
      <c r="K8173" t="s">
        <v>446</v>
      </c>
      <c r="M8173">
        <v>2641</v>
      </c>
    </row>
    <row r="8174" spans="1:14">
      <c r="A8174">
        <v>29881000</v>
      </c>
      <c r="B8174">
        <v>3009240</v>
      </c>
      <c r="C8174" t="s">
        <v>12308</v>
      </c>
      <c r="D8174" t="s">
        <v>441</v>
      </c>
      <c r="F8174">
        <v>0</v>
      </c>
      <c r="G8174">
        <v>2</v>
      </c>
      <c r="I8174">
        <v>6</v>
      </c>
      <c r="J8174" t="s">
        <v>445</v>
      </c>
      <c r="K8174" t="s">
        <v>446</v>
      </c>
      <c r="M8174">
        <v>2211</v>
      </c>
    </row>
    <row r="8175" spans="1:14">
      <c r="A8175">
        <v>29886000</v>
      </c>
      <c r="B8175">
        <v>3009242</v>
      </c>
      <c r="C8175" t="s">
        <v>12309</v>
      </c>
      <c r="D8175" t="s">
        <v>441</v>
      </c>
      <c r="F8175">
        <v>0</v>
      </c>
      <c r="G8175">
        <v>2.0099999999999998</v>
      </c>
      <c r="I8175">
        <v>6</v>
      </c>
      <c r="J8175" t="s">
        <v>445</v>
      </c>
      <c r="K8175" t="s">
        <v>446</v>
      </c>
      <c r="M8175">
        <v>2390</v>
      </c>
    </row>
    <row r="8176" spans="1:14">
      <c r="A8176">
        <v>29890000</v>
      </c>
      <c r="B8176">
        <v>3008140</v>
      </c>
      <c r="C8176" t="s">
        <v>12310</v>
      </c>
      <c r="D8176" t="s">
        <v>441</v>
      </c>
      <c r="F8176">
        <v>0</v>
      </c>
      <c r="G8176">
        <v>5.35</v>
      </c>
      <c r="I8176">
        <v>5</v>
      </c>
      <c r="J8176" t="s">
        <v>445</v>
      </c>
      <c r="K8176" t="s">
        <v>446</v>
      </c>
      <c r="M8176">
        <v>2411</v>
      </c>
    </row>
    <row r="8177" spans="1:14">
      <c r="A8177">
        <v>29890002</v>
      </c>
      <c r="B8177">
        <v>3008141</v>
      </c>
      <c r="C8177" t="s">
        <v>12311</v>
      </c>
      <c r="D8177" t="s">
        <v>441</v>
      </c>
      <c r="F8177">
        <v>0</v>
      </c>
      <c r="G8177">
        <v>5.76</v>
      </c>
      <c r="I8177">
        <v>365</v>
      </c>
      <c r="J8177" t="s">
        <v>445</v>
      </c>
      <c r="K8177" t="s">
        <v>446</v>
      </c>
      <c r="M8177">
        <v>2501</v>
      </c>
    </row>
    <row r="8178" spans="1:14">
      <c r="A8178">
        <v>29890019</v>
      </c>
      <c r="B8178">
        <v>4008001</v>
      </c>
      <c r="C8178" t="s">
        <v>12312</v>
      </c>
      <c r="D8178" t="s">
        <v>441</v>
      </c>
      <c r="F8178">
        <v>0</v>
      </c>
      <c r="G8178">
        <v>8.43</v>
      </c>
      <c r="H8178" t="s">
        <v>8588</v>
      </c>
      <c r="I8178">
        <v>365</v>
      </c>
      <c r="J8178" t="s">
        <v>462</v>
      </c>
      <c r="K8178" t="s">
        <v>446</v>
      </c>
      <c r="M8178">
        <v>2501</v>
      </c>
    </row>
    <row r="8179" spans="1:14">
      <c r="A8179">
        <v>29890075</v>
      </c>
      <c r="B8179">
        <v>3003192</v>
      </c>
      <c r="C8179" t="s">
        <v>12313</v>
      </c>
      <c r="D8179" t="s">
        <v>441</v>
      </c>
      <c r="F8179">
        <v>0</v>
      </c>
      <c r="G8179">
        <v>8.1199999999999992</v>
      </c>
      <c r="H8179" t="s">
        <v>8588</v>
      </c>
      <c r="I8179">
        <v>6</v>
      </c>
      <c r="J8179" t="s">
        <v>445</v>
      </c>
      <c r="K8179" t="s">
        <v>446</v>
      </c>
      <c r="M8179">
        <v>2641</v>
      </c>
    </row>
    <row r="8180" spans="1:14">
      <c r="A8180">
        <v>29890502</v>
      </c>
      <c r="B8180">
        <v>3008142</v>
      </c>
      <c r="C8180" t="s">
        <v>12314</v>
      </c>
      <c r="D8180" t="s">
        <v>441</v>
      </c>
      <c r="F8180">
        <v>0</v>
      </c>
      <c r="G8180">
        <v>5.42</v>
      </c>
      <c r="I8180">
        <v>6</v>
      </c>
      <c r="J8180" t="s">
        <v>445</v>
      </c>
      <c r="K8180" t="s">
        <v>446</v>
      </c>
      <c r="M8180">
        <v>2641</v>
      </c>
    </row>
    <row r="8181" spans="1:14">
      <c r="A8181">
        <v>29890519</v>
      </c>
      <c r="B8181">
        <v>3008143</v>
      </c>
      <c r="C8181" t="s">
        <v>12315</v>
      </c>
      <c r="D8181" t="s">
        <v>441</v>
      </c>
      <c r="F8181">
        <v>0</v>
      </c>
      <c r="G8181">
        <v>5.49</v>
      </c>
      <c r="I8181">
        <v>6</v>
      </c>
      <c r="J8181" t="s">
        <v>445</v>
      </c>
      <c r="K8181" t="s">
        <v>446</v>
      </c>
      <c r="M8181">
        <v>2641</v>
      </c>
    </row>
    <row r="8182" spans="1:14">
      <c r="A8182">
        <v>29890602</v>
      </c>
      <c r="B8182">
        <v>3008144</v>
      </c>
      <c r="C8182" t="s">
        <v>12316</v>
      </c>
      <c r="D8182" t="s">
        <v>441</v>
      </c>
      <c r="F8182">
        <v>0</v>
      </c>
      <c r="G8182">
        <v>6.1</v>
      </c>
      <c r="I8182">
        <v>4</v>
      </c>
      <c r="J8182" t="s">
        <v>445</v>
      </c>
      <c r="K8182" t="s">
        <v>446</v>
      </c>
      <c r="M8182">
        <v>2511</v>
      </c>
    </row>
    <row r="8183" spans="1:14">
      <c r="A8183">
        <v>29890619</v>
      </c>
      <c r="B8183">
        <v>3008145</v>
      </c>
      <c r="C8183" t="s">
        <v>12317</v>
      </c>
      <c r="D8183" t="s">
        <v>441</v>
      </c>
      <c r="F8183">
        <v>0</v>
      </c>
      <c r="G8183">
        <v>8.86</v>
      </c>
      <c r="I8183">
        <v>4</v>
      </c>
      <c r="J8183" t="s">
        <v>445</v>
      </c>
      <c r="K8183" t="s">
        <v>446</v>
      </c>
      <c r="M8183">
        <v>2511</v>
      </c>
    </row>
    <row r="8184" spans="1:14">
      <c r="A8184">
        <v>29893000</v>
      </c>
      <c r="B8184">
        <v>3008146</v>
      </c>
      <c r="C8184" t="s">
        <v>12318</v>
      </c>
      <c r="D8184" t="s">
        <v>441</v>
      </c>
      <c r="F8184">
        <v>0</v>
      </c>
      <c r="G8184">
        <v>5.36</v>
      </c>
      <c r="I8184">
        <v>6</v>
      </c>
      <c r="J8184" t="s">
        <v>445</v>
      </c>
      <c r="K8184" t="s">
        <v>446</v>
      </c>
      <c r="M8184">
        <v>2390</v>
      </c>
    </row>
    <row r="8185" spans="1:14">
      <c r="A8185">
        <v>29900000</v>
      </c>
      <c r="B8185">
        <v>3027204</v>
      </c>
      <c r="C8185" t="s">
        <v>12319</v>
      </c>
      <c r="D8185" t="s">
        <v>441</v>
      </c>
      <c r="F8185">
        <v>0</v>
      </c>
      <c r="G8185">
        <v>1.96</v>
      </c>
      <c r="H8185" t="s">
        <v>8549</v>
      </c>
      <c r="I8185">
        <v>6</v>
      </c>
      <c r="J8185" t="s">
        <v>445</v>
      </c>
      <c r="M8185">
        <v>2391</v>
      </c>
      <c r="N8185" t="s">
        <v>16146</v>
      </c>
    </row>
    <row r="8186" spans="1:14">
      <c r="A8186">
        <v>29900019</v>
      </c>
      <c r="B8186">
        <v>4018008</v>
      </c>
      <c r="C8186" t="s">
        <v>12320</v>
      </c>
      <c r="D8186" t="s">
        <v>441</v>
      </c>
      <c r="F8186">
        <v>0</v>
      </c>
      <c r="G8186">
        <v>2.33</v>
      </c>
      <c r="H8186" t="s">
        <v>8588</v>
      </c>
      <c r="I8186">
        <v>540</v>
      </c>
      <c r="J8186" t="s">
        <v>462</v>
      </c>
      <c r="M8186">
        <v>7111</v>
      </c>
      <c r="N8186" t="s">
        <v>16146</v>
      </c>
    </row>
    <row r="8187" spans="1:14">
      <c r="A8187">
        <v>29900519</v>
      </c>
      <c r="B8187">
        <v>3027203</v>
      </c>
      <c r="C8187" t="s">
        <v>12321</v>
      </c>
      <c r="D8187" t="s">
        <v>441</v>
      </c>
      <c r="F8187">
        <v>0</v>
      </c>
      <c r="G8187">
        <v>2.02</v>
      </c>
      <c r="H8187" t="s">
        <v>8588</v>
      </c>
      <c r="I8187">
        <v>6</v>
      </c>
      <c r="J8187" t="s">
        <v>445</v>
      </c>
      <c r="M8187">
        <v>2502</v>
      </c>
      <c r="N8187" t="s">
        <v>16146</v>
      </c>
    </row>
    <row r="8188" spans="1:14">
      <c r="A8188">
        <v>29903000</v>
      </c>
      <c r="B8188">
        <v>3027262</v>
      </c>
      <c r="C8188" t="s">
        <v>12322</v>
      </c>
      <c r="D8188" t="s">
        <v>441</v>
      </c>
      <c r="F8188">
        <v>0</v>
      </c>
      <c r="G8188">
        <v>1.96</v>
      </c>
      <c r="H8188" t="s">
        <v>8549</v>
      </c>
      <c r="I8188">
        <v>6</v>
      </c>
      <c r="J8188" t="s">
        <v>445</v>
      </c>
      <c r="M8188">
        <v>2391</v>
      </c>
      <c r="N8188" t="s">
        <v>16146</v>
      </c>
    </row>
    <row r="8189" spans="1:14">
      <c r="A8189">
        <v>29910000</v>
      </c>
      <c r="B8189">
        <v>3009047</v>
      </c>
      <c r="C8189" t="s">
        <v>12323</v>
      </c>
      <c r="D8189" t="s">
        <v>441</v>
      </c>
      <c r="F8189">
        <v>0</v>
      </c>
      <c r="G8189">
        <v>4.42</v>
      </c>
      <c r="H8189" t="s">
        <v>8588</v>
      </c>
      <c r="I8189">
        <v>6</v>
      </c>
      <c r="J8189" t="s">
        <v>445</v>
      </c>
      <c r="K8189" t="s">
        <v>446</v>
      </c>
      <c r="M8189">
        <v>2390</v>
      </c>
    </row>
    <row r="8190" spans="1:14">
      <c r="A8190">
        <v>29910002</v>
      </c>
      <c r="B8190">
        <v>3009046</v>
      </c>
      <c r="C8190" t="s">
        <v>12324</v>
      </c>
      <c r="D8190" t="s">
        <v>441</v>
      </c>
      <c r="F8190">
        <v>0</v>
      </c>
      <c r="G8190">
        <v>4.63</v>
      </c>
      <c r="H8190" t="s">
        <v>8588</v>
      </c>
      <c r="I8190">
        <v>365</v>
      </c>
      <c r="J8190" t="s">
        <v>445</v>
      </c>
      <c r="K8190" t="s">
        <v>446</v>
      </c>
      <c r="M8190">
        <v>2501</v>
      </c>
    </row>
    <row r="8191" spans="1:14">
      <c r="A8191">
        <v>29910502</v>
      </c>
      <c r="B8191">
        <v>3009045</v>
      </c>
      <c r="C8191" t="s">
        <v>12325</v>
      </c>
      <c r="D8191" t="s">
        <v>441</v>
      </c>
      <c r="F8191">
        <v>0</v>
      </c>
      <c r="G8191">
        <v>4.4800000000000004</v>
      </c>
      <c r="H8191" t="s">
        <v>8580</v>
      </c>
      <c r="I8191">
        <v>6</v>
      </c>
      <c r="J8191" t="s">
        <v>445</v>
      </c>
      <c r="K8191" t="s">
        <v>446</v>
      </c>
      <c r="M8191">
        <v>2501</v>
      </c>
    </row>
    <row r="8192" spans="1:14">
      <c r="A8192">
        <v>29910602</v>
      </c>
      <c r="B8192">
        <v>3009044</v>
      </c>
      <c r="C8192" t="s">
        <v>12326</v>
      </c>
      <c r="D8192" t="s">
        <v>441</v>
      </c>
      <c r="F8192">
        <v>0</v>
      </c>
      <c r="G8192">
        <v>4.96</v>
      </c>
      <c r="H8192" t="s">
        <v>8588</v>
      </c>
      <c r="I8192">
        <v>4</v>
      </c>
      <c r="J8192" t="s">
        <v>445</v>
      </c>
      <c r="K8192" t="s">
        <v>446</v>
      </c>
      <c r="M8192">
        <v>2511</v>
      </c>
    </row>
    <row r="8193" spans="1:14">
      <c r="A8193">
        <v>29910900</v>
      </c>
      <c r="B8193">
        <v>3020377</v>
      </c>
      <c r="C8193" t="s">
        <v>12327</v>
      </c>
      <c r="D8193" t="s">
        <v>441</v>
      </c>
      <c r="F8193">
        <v>0</v>
      </c>
      <c r="G8193">
        <v>4</v>
      </c>
      <c r="H8193" t="s">
        <v>8584</v>
      </c>
      <c r="I8193">
        <v>6</v>
      </c>
      <c r="J8193" t="s">
        <v>445</v>
      </c>
      <c r="K8193" t="s">
        <v>446</v>
      </c>
      <c r="M8193">
        <v>6666</v>
      </c>
    </row>
    <row r="8194" spans="1:14">
      <c r="A8194">
        <v>29910902</v>
      </c>
      <c r="B8194">
        <v>3020378</v>
      </c>
      <c r="C8194" t="s">
        <v>12328</v>
      </c>
      <c r="D8194" t="s">
        <v>441</v>
      </c>
      <c r="F8194">
        <v>0</v>
      </c>
      <c r="G8194">
        <v>4.41</v>
      </c>
      <c r="H8194" t="s">
        <v>8584</v>
      </c>
      <c r="I8194">
        <v>4</v>
      </c>
      <c r="J8194" t="s">
        <v>445</v>
      </c>
      <c r="K8194" t="s">
        <v>446</v>
      </c>
      <c r="M8194">
        <v>6666</v>
      </c>
    </row>
    <row r="8195" spans="1:14">
      <c r="A8195">
        <v>29919000</v>
      </c>
      <c r="B8195">
        <v>3019133</v>
      </c>
      <c r="C8195" t="s">
        <v>3522</v>
      </c>
      <c r="D8195" t="s">
        <v>441</v>
      </c>
      <c r="F8195">
        <v>0</v>
      </c>
      <c r="G8195">
        <v>4.51</v>
      </c>
      <c r="H8195" t="s">
        <v>8588</v>
      </c>
      <c r="I8195">
        <v>2</v>
      </c>
      <c r="J8195" t="s">
        <v>445</v>
      </c>
      <c r="M8195">
        <v>3112</v>
      </c>
      <c r="N8195" t="s">
        <v>16139</v>
      </c>
    </row>
    <row r="8196" spans="1:14">
      <c r="A8196">
        <v>29919900</v>
      </c>
      <c r="B8196">
        <v>3020379</v>
      </c>
      <c r="C8196" t="s">
        <v>3523</v>
      </c>
      <c r="D8196" t="s">
        <v>441</v>
      </c>
      <c r="F8196">
        <v>0</v>
      </c>
      <c r="G8196">
        <v>4.51</v>
      </c>
      <c r="H8196" t="s">
        <v>8580</v>
      </c>
      <c r="I8196">
        <v>2</v>
      </c>
      <c r="J8196" t="s">
        <v>445</v>
      </c>
      <c r="M8196">
        <v>6666</v>
      </c>
      <c r="N8196" t="s">
        <v>16139</v>
      </c>
    </row>
    <row r="8197" spans="1:14">
      <c r="A8197">
        <v>29920000</v>
      </c>
      <c r="B8197">
        <v>3018143</v>
      </c>
      <c r="C8197" t="s">
        <v>12329</v>
      </c>
      <c r="D8197" t="s">
        <v>441</v>
      </c>
      <c r="F8197">
        <v>0</v>
      </c>
      <c r="G8197">
        <v>4</v>
      </c>
      <c r="H8197" t="s">
        <v>8588</v>
      </c>
      <c r="I8197">
        <v>5</v>
      </c>
      <c r="J8197" t="s">
        <v>445</v>
      </c>
      <c r="K8197" t="s">
        <v>446</v>
      </c>
      <c r="M8197">
        <v>2615</v>
      </c>
    </row>
    <row r="8198" spans="1:14">
      <c r="A8198">
        <v>29920002</v>
      </c>
      <c r="B8198">
        <v>3009042</v>
      </c>
      <c r="C8198" t="s">
        <v>12330</v>
      </c>
      <c r="D8198" t="s">
        <v>441</v>
      </c>
      <c r="F8198">
        <v>0</v>
      </c>
      <c r="G8198">
        <v>7.86</v>
      </c>
      <c r="H8198" t="s">
        <v>8588</v>
      </c>
      <c r="I8198">
        <v>365</v>
      </c>
      <c r="J8198" t="s">
        <v>445</v>
      </c>
      <c r="K8198" t="s">
        <v>446</v>
      </c>
      <c r="M8198">
        <v>2501</v>
      </c>
    </row>
    <row r="8199" spans="1:14">
      <c r="A8199">
        <v>29920502</v>
      </c>
      <c r="B8199">
        <v>3009041</v>
      </c>
      <c r="C8199" t="s">
        <v>12331</v>
      </c>
      <c r="D8199" t="s">
        <v>441</v>
      </c>
      <c r="F8199">
        <v>0</v>
      </c>
      <c r="G8199">
        <v>7.61</v>
      </c>
      <c r="H8199" t="s">
        <v>8580</v>
      </c>
      <c r="I8199">
        <v>6</v>
      </c>
      <c r="J8199" t="s">
        <v>445</v>
      </c>
      <c r="K8199" t="s">
        <v>446</v>
      </c>
      <c r="M8199">
        <v>2501</v>
      </c>
    </row>
    <row r="8200" spans="1:14">
      <c r="A8200">
        <v>29920602</v>
      </c>
      <c r="B8200">
        <v>3009040</v>
      </c>
      <c r="C8200" t="s">
        <v>12332</v>
      </c>
      <c r="D8200" t="s">
        <v>441</v>
      </c>
      <c r="F8200">
        <v>0</v>
      </c>
      <c r="G8200">
        <v>8.1300000000000008</v>
      </c>
      <c r="H8200" t="s">
        <v>8588</v>
      </c>
      <c r="I8200">
        <v>4</v>
      </c>
      <c r="J8200" t="s">
        <v>445</v>
      </c>
      <c r="K8200" t="s">
        <v>446</v>
      </c>
      <c r="M8200">
        <v>2511</v>
      </c>
    </row>
    <row r="8201" spans="1:14">
      <c r="A8201">
        <v>29920900</v>
      </c>
      <c r="B8201">
        <v>3020380</v>
      </c>
      <c r="C8201" t="s">
        <v>12333</v>
      </c>
      <c r="D8201" t="s">
        <v>441</v>
      </c>
      <c r="F8201">
        <v>0</v>
      </c>
      <c r="H8201" t="s">
        <v>8580</v>
      </c>
      <c r="I8201">
        <v>5</v>
      </c>
      <c r="J8201" t="s">
        <v>445</v>
      </c>
      <c r="K8201" t="s">
        <v>446</v>
      </c>
      <c r="M8201">
        <v>6666</v>
      </c>
    </row>
    <row r="8202" spans="1:14">
      <c r="A8202">
        <v>29920902</v>
      </c>
      <c r="B8202">
        <v>3020381</v>
      </c>
      <c r="C8202" t="s">
        <v>12334</v>
      </c>
      <c r="D8202" t="s">
        <v>441</v>
      </c>
      <c r="F8202">
        <v>0</v>
      </c>
      <c r="G8202">
        <v>4.45</v>
      </c>
      <c r="H8202" t="s">
        <v>8580</v>
      </c>
      <c r="I8202">
        <v>4</v>
      </c>
      <c r="J8202" t="s">
        <v>445</v>
      </c>
      <c r="K8202" t="s">
        <v>446</v>
      </c>
      <c r="M8202">
        <v>6666</v>
      </c>
    </row>
    <row r="8203" spans="1:14">
      <c r="A8203">
        <v>29930000</v>
      </c>
      <c r="B8203">
        <v>3016320</v>
      </c>
      <c r="C8203" t="s">
        <v>12335</v>
      </c>
      <c r="D8203" t="s">
        <v>441</v>
      </c>
      <c r="F8203">
        <v>0</v>
      </c>
      <c r="G8203">
        <v>6.7</v>
      </c>
      <c r="H8203" t="s">
        <v>8580</v>
      </c>
      <c r="I8203">
        <v>5</v>
      </c>
      <c r="J8203" t="s">
        <v>445</v>
      </c>
      <c r="M8203">
        <v>2391</v>
      </c>
      <c r="N8203" t="s">
        <v>16220</v>
      </c>
    </row>
    <row r="8204" spans="1:14">
      <c r="A8204">
        <v>29930002</v>
      </c>
      <c r="B8204">
        <v>3009083</v>
      </c>
      <c r="C8204" t="s">
        <v>12336</v>
      </c>
      <c r="D8204" t="s">
        <v>441</v>
      </c>
      <c r="F8204">
        <v>0</v>
      </c>
      <c r="G8204">
        <v>6.56</v>
      </c>
      <c r="H8204" t="s">
        <v>8580</v>
      </c>
      <c r="I8204">
        <v>356</v>
      </c>
      <c r="J8204" t="s">
        <v>445</v>
      </c>
      <c r="M8204">
        <v>2501</v>
      </c>
    </row>
    <row r="8205" spans="1:14">
      <c r="A8205">
        <v>29930502</v>
      </c>
      <c r="B8205">
        <v>3009085</v>
      </c>
      <c r="C8205" t="s">
        <v>12337</v>
      </c>
      <c r="D8205" t="s">
        <v>441</v>
      </c>
      <c r="F8205">
        <v>0</v>
      </c>
      <c r="G8205">
        <v>6.3</v>
      </c>
      <c r="H8205" t="s">
        <v>8580</v>
      </c>
      <c r="I8205">
        <v>356</v>
      </c>
      <c r="J8205" t="s">
        <v>445</v>
      </c>
      <c r="M8205">
        <v>2501</v>
      </c>
    </row>
    <row r="8206" spans="1:14">
      <c r="A8206">
        <v>29930602</v>
      </c>
      <c r="B8206">
        <v>3009082</v>
      </c>
      <c r="C8206" t="s">
        <v>12338</v>
      </c>
      <c r="D8206" t="s">
        <v>441</v>
      </c>
      <c r="F8206">
        <v>0</v>
      </c>
      <c r="G8206">
        <v>6.86</v>
      </c>
      <c r="H8206" t="s">
        <v>8580</v>
      </c>
      <c r="I8206">
        <v>4</v>
      </c>
      <c r="J8206" t="s">
        <v>445</v>
      </c>
      <c r="M8206">
        <v>2511</v>
      </c>
    </row>
    <row r="8207" spans="1:14">
      <c r="A8207">
        <v>29940000</v>
      </c>
      <c r="B8207">
        <v>3011944</v>
      </c>
      <c r="C8207" t="s">
        <v>12339</v>
      </c>
      <c r="D8207" t="s">
        <v>441</v>
      </c>
      <c r="F8207">
        <v>0</v>
      </c>
      <c r="G8207">
        <v>4.51</v>
      </c>
      <c r="H8207" t="s">
        <v>8583</v>
      </c>
      <c r="I8207">
        <v>5</v>
      </c>
      <c r="J8207" t="s">
        <v>445</v>
      </c>
      <c r="K8207" t="s">
        <v>446</v>
      </c>
      <c r="M8207">
        <v>2390</v>
      </c>
    </row>
    <row r="8208" spans="1:14">
      <c r="A8208">
        <v>29940002</v>
      </c>
      <c r="B8208">
        <v>3011939</v>
      </c>
      <c r="C8208" t="s">
        <v>12340</v>
      </c>
      <c r="D8208" t="s">
        <v>441</v>
      </c>
      <c r="F8208">
        <v>0</v>
      </c>
      <c r="G8208">
        <v>8.18</v>
      </c>
      <c r="I8208">
        <v>365</v>
      </c>
      <c r="J8208" t="s">
        <v>445</v>
      </c>
      <c r="K8208" t="s">
        <v>446</v>
      </c>
      <c r="M8208">
        <v>2501</v>
      </c>
    </row>
    <row r="8209" spans="1:14">
      <c r="A8209">
        <v>29940502</v>
      </c>
      <c r="B8209">
        <v>3011937</v>
      </c>
      <c r="C8209" t="s">
        <v>12341</v>
      </c>
      <c r="D8209" t="s">
        <v>441</v>
      </c>
      <c r="F8209">
        <v>0</v>
      </c>
      <c r="G8209">
        <v>7.93</v>
      </c>
      <c r="I8209">
        <v>6</v>
      </c>
      <c r="J8209" t="s">
        <v>445</v>
      </c>
      <c r="K8209" t="s">
        <v>446</v>
      </c>
      <c r="M8209">
        <v>2641</v>
      </c>
    </row>
    <row r="8210" spans="1:14">
      <c r="A8210">
        <v>29940602</v>
      </c>
      <c r="B8210">
        <v>3011943</v>
      </c>
      <c r="C8210" t="s">
        <v>12342</v>
      </c>
      <c r="D8210" t="s">
        <v>441</v>
      </c>
      <c r="F8210">
        <v>0</v>
      </c>
      <c r="G8210">
        <v>8.5399999999999991</v>
      </c>
      <c r="H8210" t="s">
        <v>8588</v>
      </c>
      <c r="I8210">
        <v>4</v>
      </c>
      <c r="J8210" t="s">
        <v>445</v>
      </c>
      <c r="K8210" t="s">
        <v>446</v>
      </c>
      <c r="M8210">
        <v>2511</v>
      </c>
    </row>
    <row r="8211" spans="1:14">
      <c r="A8211">
        <v>29940902</v>
      </c>
      <c r="B8211">
        <v>3020382</v>
      </c>
      <c r="C8211" t="s">
        <v>12343</v>
      </c>
      <c r="D8211" t="s">
        <v>441</v>
      </c>
      <c r="F8211">
        <v>0</v>
      </c>
      <c r="G8211">
        <v>5.09</v>
      </c>
      <c r="H8211" t="s">
        <v>8580</v>
      </c>
      <c r="I8211">
        <v>4</v>
      </c>
      <c r="J8211" t="s">
        <v>445</v>
      </c>
      <c r="K8211" t="s">
        <v>446</v>
      </c>
      <c r="M8211">
        <v>6666</v>
      </c>
    </row>
    <row r="8212" spans="1:14">
      <c r="A8212">
        <v>29944000</v>
      </c>
      <c r="B8212">
        <v>3017046</v>
      </c>
      <c r="C8212" t="s">
        <v>12344</v>
      </c>
      <c r="D8212" t="s">
        <v>441</v>
      </c>
      <c r="F8212">
        <v>0</v>
      </c>
      <c r="G8212">
        <v>4.51</v>
      </c>
      <c r="H8212" t="s">
        <v>8580</v>
      </c>
      <c r="I8212">
        <v>5</v>
      </c>
      <c r="J8212" t="s">
        <v>445</v>
      </c>
      <c r="K8212" t="s">
        <v>446</v>
      </c>
      <c r="M8212">
        <v>3122</v>
      </c>
    </row>
    <row r="8213" spans="1:14">
      <c r="A8213">
        <v>29950000</v>
      </c>
      <c r="B8213">
        <v>3023824</v>
      </c>
      <c r="C8213" t="s">
        <v>12345</v>
      </c>
      <c r="D8213" t="s">
        <v>441</v>
      </c>
      <c r="F8213">
        <v>0</v>
      </c>
      <c r="G8213">
        <v>7.1</v>
      </c>
      <c r="H8213" t="s">
        <v>8935</v>
      </c>
      <c r="I8213">
        <v>5</v>
      </c>
      <c r="J8213" t="s">
        <v>445</v>
      </c>
      <c r="K8213" t="s">
        <v>446</v>
      </c>
      <c r="M8213">
        <v>2390</v>
      </c>
    </row>
    <row r="8214" spans="1:14">
      <c r="A8214">
        <v>29980000</v>
      </c>
      <c r="B8214">
        <v>1100081</v>
      </c>
      <c r="C8214" t="s">
        <v>12346</v>
      </c>
      <c r="D8214" t="s">
        <v>441</v>
      </c>
      <c r="F8214">
        <v>0</v>
      </c>
      <c r="G8214">
        <v>0.1</v>
      </c>
      <c r="H8214" t="s">
        <v>8933</v>
      </c>
      <c r="I8214">
        <v>5</v>
      </c>
      <c r="J8214" t="s">
        <v>511</v>
      </c>
      <c r="M8214">
        <v>0</v>
      </c>
      <c r="N8214" t="s">
        <v>16372</v>
      </c>
    </row>
    <row r="8215" spans="1:14">
      <c r="A8215">
        <v>29990088</v>
      </c>
      <c r="B8215">
        <v>1100167</v>
      </c>
      <c r="C8215" t="s">
        <v>12347</v>
      </c>
      <c r="D8215" t="s">
        <v>441</v>
      </c>
      <c r="F8215">
        <v>0</v>
      </c>
      <c r="G8215">
        <v>0.01</v>
      </c>
      <c r="H8215" t="s">
        <v>8933</v>
      </c>
      <c r="I8215">
        <v>3</v>
      </c>
      <c r="J8215" t="s">
        <v>511</v>
      </c>
      <c r="M8215">
        <v>9908</v>
      </c>
      <c r="N8215" t="s">
        <v>15981</v>
      </c>
    </row>
    <row r="8216" spans="1:14">
      <c r="A8216">
        <v>29990089</v>
      </c>
      <c r="B8216">
        <v>1100062</v>
      </c>
      <c r="C8216" t="s">
        <v>12348</v>
      </c>
      <c r="D8216" t="s">
        <v>441</v>
      </c>
      <c r="F8216">
        <v>0</v>
      </c>
      <c r="G8216">
        <v>0.01</v>
      </c>
      <c r="H8216" t="s">
        <v>8933</v>
      </c>
      <c r="I8216">
        <v>0</v>
      </c>
      <c r="J8216" t="s">
        <v>511</v>
      </c>
      <c r="M8216">
        <v>9908</v>
      </c>
      <c r="N8216" t="s">
        <v>15981</v>
      </c>
    </row>
    <row r="8217" spans="1:14">
      <c r="A8217">
        <v>30010002</v>
      </c>
      <c r="B8217">
        <v>3027422</v>
      </c>
      <c r="C8217" t="s">
        <v>12349</v>
      </c>
      <c r="D8217" t="s">
        <v>441</v>
      </c>
      <c r="F8217">
        <v>0</v>
      </c>
      <c r="G8217">
        <v>7.16</v>
      </c>
      <c r="H8217" t="s">
        <v>9295</v>
      </c>
      <c r="I8217">
        <v>365</v>
      </c>
      <c r="J8217" t="s">
        <v>445</v>
      </c>
      <c r="K8217" t="s">
        <v>446</v>
      </c>
      <c r="M8217">
        <v>2511</v>
      </c>
    </row>
    <row r="8218" spans="1:14">
      <c r="A8218">
        <v>30010110</v>
      </c>
      <c r="B8218">
        <v>3022380</v>
      </c>
      <c r="C8218" t="s">
        <v>12350</v>
      </c>
      <c r="D8218" t="s">
        <v>441</v>
      </c>
      <c r="F8218">
        <v>0</v>
      </c>
      <c r="H8218" t="s">
        <v>9295</v>
      </c>
      <c r="I8218">
        <v>4</v>
      </c>
      <c r="J8218" t="s">
        <v>445</v>
      </c>
      <c r="K8218" t="s">
        <v>446</v>
      </c>
      <c r="M8218">
        <v>0</v>
      </c>
    </row>
    <row r="8219" spans="1:14">
      <c r="A8219">
        <v>30010112</v>
      </c>
      <c r="B8219">
        <v>3013580</v>
      </c>
      <c r="C8219" t="s">
        <v>12351</v>
      </c>
      <c r="D8219" t="s">
        <v>441</v>
      </c>
      <c r="F8219">
        <v>0</v>
      </c>
      <c r="H8219" t="s">
        <v>10006</v>
      </c>
      <c r="I8219">
        <v>183</v>
      </c>
      <c r="J8219" t="s">
        <v>445</v>
      </c>
      <c r="K8219" t="s">
        <v>446</v>
      </c>
      <c r="M8219">
        <v>0</v>
      </c>
    </row>
    <row r="8220" spans="1:14">
      <c r="A8220">
        <v>30010122</v>
      </c>
      <c r="B8220">
        <v>3012109</v>
      </c>
      <c r="C8220" t="s">
        <v>12352</v>
      </c>
      <c r="D8220" t="s">
        <v>441</v>
      </c>
      <c r="F8220">
        <v>0</v>
      </c>
      <c r="H8220" t="s">
        <v>9295</v>
      </c>
      <c r="I8220">
        <v>365</v>
      </c>
      <c r="J8220" t="s">
        <v>445</v>
      </c>
      <c r="K8220" t="s">
        <v>446</v>
      </c>
      <c r="M8220">
        <v>0</v>
      </c>
    </row>
    <row r="8221" spans="1:14">
      <c r="A8221">
        <v>30010502</v>
      </c>
      <c r="B8221">
        <v>3027421</v>
      </c>
      <c r="C8221" t="s">
        <v>12353</v>
      </c>
      <c r="D8221" t="s">
        <v>441</v>
      </c>
      <c r="F8221">
        <v>0</v>
      </c>
      <c r="G8221">
        <v>6.88</v>
      </c>
      <c r="H8221" t="s">
        <v>9295</v>
      </c>
      <c r="I8221">
        <v>210</v>
      </c>
      <c r="J8221" t="s">
        <v>445</v>
      </c>
      <c r="K8221" t="s">
        <v>446</v>
      </c>
      <c r="M8221">
        <v>2641</v>
      </c>
    </row>
    <row r="8222" spans="1:14">
      <c r="A8222">
        <v>30010602</v>
      </c>
      <c r="B8222">
        <v>3027423</v>
      </c>
      <c r="C8222" t="s">
        <v>12354</v>
      </c>
      <c r="D8222" t="s">
        <v>441</v>
      </c>
      <c r="F8222">
        <v>0</v>
      </c>
      <c r="G8222">
        <v>7.45</v>
      </c>
      <c r="H8222" t="s">
        <v>8588</v>
      </c>
      <c r="I8222">
        <v>2</v>
      </c>
      <c r="J8222" t="s">
        <v>445</v>
      </c>
      <c r="K8222" t="s">
        <v>446</v>
      </c>
      <c r="M8222">
        <v>2511</v>
      </c>
    </row>
    <row r="8223" spans="1:14">
      <c r="A8223">
        <v>30010902</v>
      </c>
      <c r="B8223">
        <v>3027429</v>
      </c>
      <c r="C8223" t="s">
        <v>12355</v>
      </c>
      <c r="D8223" t="s">
        <v>441</v>
      </c>
      <c r="F8223">
        <v>0</v>
      </c>
      <c r="H8223" t="s">
        <v>8584</v>
      </c>
      <c r="I8223">
        <v>2</v>
      </c>
      <c r="J8223" t="s">
        <v>445</v>
      </c>
      <c r="K8223" t="s">
        <v>446</v>
      </c>
      <c r="M8223">
        <v>6666</v>
      </c>
    </row>
    <row r="8224" spans="1:14">
      <c r="A8224">
        <v>30020112</v>
      </c>
      <c r="B8224">
        <v>3016966</v>
      </c>
      <c r="C8224" t="s">
        <v>12356</v>
      </c>
      <c r="D8224" t="s">
        <v>441</v>
      </c>
      <c r="F8224">
        <v>0</v>
      </c>
      <c r="H8224" t="s">
        <v>10006</v>
      </c>
      <c r="I8224">
        <v>91</v>
      </c>
      <c r="J8224" t="s">
        <v>445</v>
      </c>
      <c r="K8224" t="s">
        <v>446</v>
      </c>
      <c r="M8224">
        <v>0</v>
      </c>
    </row>
    <row r="8225" spans="1:14">
      <c r="A8225">
        <v>30030112</v>
      </c>
      <c r="B8225">
        <v>3016968</v>
      </c>
      <c r="C8225" t="s">
        <v>12357</v>
      </c>
      <c r="D8225" t="s">
        <v>441</v>
      </c>
      <c r="F8225">
        <v>0</v>
      </c>
      <c r="H8225" t="s">
        <v>10006</v>
      </c>
      <c r="I8225">
        <v>91</v>
      </c>
      <c r="J8225" t="s">
        <v>445</v>
      </c>
      <c r="K8225" t="s">
        <v>446</v>
      </c>
      <c r="M8225">
        <v>0</v>
      </c>
    </row>
    <row r="8226" spans="1:14">
      <c r="A8226">
        <v>30040112</v>
      </c>
      <c r="B8226">
        <v>3020962</v>
      </c>
      <c r="C8226" t="s">
        <v>12358</v>
      </c>
      <c r="D8226" t="s">
        <v>441</v>
      </c>
      <c r="F8226">
        <v>0</v>
      </c>
      <c r="H8226" t="s">
        <v>9295</v>
      </c>
      <c r="I8226">
        <v>91</v>
      </c>
      <c r="J8226" t="s">
        <v>445</v>
      </c>
      <c r="M8226">
        <v>0</v>
      </c>
    </row>
    <row r="8227" spans="1:14">
      <c r="A8227">
        <v>30040122</v>
      </c>
      <c r="B8227">
        <v>3014279</v>
      </c>
      <c r="C8227" t="s">
        <v>12359</v>
      </c>
      <c r="D8227" t="s">
        <v>441</v>
      </c>
      <c r="F8227">
        <v>0</v>
      </c>
      <c r="H8227" t="s">
        <v>9295</v>
      </c>
      <c r="I8227">
        <v>89</v>
      </c>
      <c r="J8227" t="s">
        <v>445</v>
      </c>
      <c r="M8227">
        <v>7113</v>
      </c>
      <c r="N8227" t="s">
        <v>16373</v>
      </c>
    </row>
    <row r="8228" spans="1:14">
      <c r="A8228">
        <v>30040132</v>
      </c>
      <c r="B8228">
        <v>3031353</v>
      </c>
      <c r="C8228" t="s">
        <v>12360</v>
      </c>
      <c r="D8228" t="s">
        <v>441</v>
      </c>
      <c r="F8228">
        <v>0</v>
      </c>
      <c r="H8228" t="s">
        <v>9295</v>
      </c>
      <c r="I8228">
        <v>89</v>
      </c>
      <c r="J8228" t="s">
        <v>445</v>
      </c>
      <c r="M8228">
        <v>7113</v>
      </c>
      <c r="N8228" t="s">
        <v>16373</v>
      </c>
    </row>
    <row r="8229" spans="1:14">
      <c r="A8229">
        <v>30040142</v>
      </c>
      <c r="B8229">
        <v>3034386</v>
      </c>
      <c r="C8229" t="s">
        <v>12361</v>
      </c>
      <c r="D8229" t="s">
        <v>442</v>
      </c>
      <c r="E8229" t="s">
        <v>441</v>
      </c>
      <c r="F8229">
        <v>10</v>
      </c>
      <c r="H8229" t="s">
        <v>9295</v>
      </c>
      <c r="I8229">
        <v>89</v>
      </c>
      <c r="J8229" t="s">
        <v>445</v>
      </c>
      <c r="M8229">
        <v>7113</v>
      </c>
      <c r="N8229" t="s">
        <v>16373</v>
      </c>
    </row>
    <row r="8230" spans="1:14">
      <c r="A8230">
        <v>30040152</v>
      </c>
      <c r="B8230">
        <v>3034415</v>
      </c>
      <c r="C8230" t="s">
        <v>12362</v>
      </c>
      <c r="D8230" t="s">
        <v>441</v>
      </c>
      <c r="F8230">
        <v>0</v>
      </c>
      <c r="H8230" t="s">
        <v>9295</v>
      </c>
      <c r="I8230">
        <v>89</v>
      </c>
      <c r="J8230" t="s">
        <v>445</v>
      </c>
      <c r="M8230">
        <v>7113</v>
      </c>
      <c r="N8230" t="s">
        <v>16373</v>
      </c>
    </row>
    <row r="8231" spans="1:14">
      <c r="A8231">
        <v>30040162</v>
      </c>
      <c r="B8231">
        <v>3036983</v>
      </c>
      <c r="C8231" t="s">
        <v>12363</v>
      </c>
      <c r="D8231" t="s">
        <v>442</v>
      </c>
      <c r="E8231" t="s">
        <v>441</v>
      </c>
      <c r="F8231">
        <v>10</v>
      </c>
      <c r="H8231" t="s">
        <v>9295</v>
      </c>
      <c r="I8231">
        <v>89</v>
      </c>
      <c r="J8231" t="s">
        <v>445</v>
      </c>
      <c r="M8231">
        <v>7113</v>
      </c>
      <c r="N8231" t="s">
        <v>16373</v>
      </c>
    </row>
    <row r="8232" spans="1:14">
      <c r="A8232">
        <v>30040172</v>
      </c>
      <c r="B8232">
        <v>3038500</v>
      </c>
      <c r="C8232" t="s">
        <v>12364</v>
      </c>
      <c r="D8232" t="s">
        <v>442</v>
      </c>
      <c r="E8232" t="s">
        <v>441</v>
      </c>
      <c r="F8232">
        <v>10</v>
      </c>
      <c r="H8232" t="s">
        <v>10006</v>
      </c>
      <c r="I8232">
        <v>89</v>
      </c>
      <c r="J8232" t="s">
        <v>445</v>
      </c>
      <c r="M8232">
        <v>7113</v>
      </c>
      <c r="N8232" t="s">
        <v>16373</v>
      </c>
    </row>
    <row r="8233" spans="1:14">
      <c r="A8233">
        <v>30040182</v>
      </c>
      <c r="B8233">
        <v>3041515</v>
      </c>
      <c r="C8233" t="s">
        <v>14504</v>
      </c>
      <c r="D8233" t="s">
        <v>441</v>
      </c>
      <c r="F8233">
        <v>0</v>
      </c>
      <c r="G8233">
        <v>0.67</v>
      </c>
      <c r="H8233" t="s">
        <v>9295</v>
      </c>
      <c r="I8233">
        <v>89</v>
      </c>
      <c r="J8233" t="s">
        <v>445</v>
      </c>
      <c r="M8233">
        <v>0</v>
      </c>
      <c r="N8233" t="s">
        <v>16373</v>
      </c>
    </row>
    <row r="8234" spans="1:14">
      <c r="A8234">
        <v>30040612</v>
      </c>
      <c r="B8234">
        <v>3026531</v>
      </c>
      <c r="C8234" t="s">
        <v>12365</v>
      </c>
      <c r="D8234" t="s">
        <v>441</v>
      </c>
      <c r="F8234">
        <v>0</v>
      </c>
      <c r="G8234">
        <v>2.4300000000000002</v>
      </c>
      <c r="H8234" t="s">
        <v>10006</v>
      </c>
      <c r="I8234">
        <v>1</v>
      </c>
      <c r="J8234" t="s">
        <v>445</v>
      </c>
      <c r="M8234">
        <v>2510</v>
      </c>
      <c r="N8234" t="s">
        <v>16373</v>
      </c>
    </row>
    <row r="8235" spans="1:14">
      <c r="A8235">
        <v>30040912</v>
      </c>
      <c r="B8235">
        <v>3026532</v>
      </c>
      <c r="C8235" t="s">
        <v>12366</v>
      </c>
      <c r="D8235" t="s">
        <v>441</v>
      </c>
      <c r="F8235">
        <v>0</v>
      </c>
      <c r="G8235">
        <v>1.5</v>
      </c>
      <c r="H8235" t="s">
        <v>8580</v>
      </c>
      <c r="I8235">
        <v>1</v>
      </c>
      <c r="J8235" t="s">
        <v>445</v>
      </c>
      <c r="K8235" t="s">
        <v>446</v>
      </c>
      <c r="M8235">
        <v>6666</v>
      </c>
      <c r="N8235" t="s">
        <v>15990</v>
      </c>
    </row>
    <row r="8236" spans="1:14">
      <c r="A8236">
        <v>30050112</v>
      </c>
      <c r="B8236">
        <v>3014278</v>
      </c>
      <c r="C8236" t="s">
        <v>3524</v>
      </c>
      <c r="D8236" t="s">
        <v>441</v>
      </c>
      <c r="F8236">
        <v>0</v>
      </c>
      <c r="H8236" t="s">
        <v>9295</v>
      </c>
      <c r="I8236">
        <v>7</v>
      </c>
      <c r="J8236" t="s">
        <v>445</v>
      </c>
      <c r="M8236">
        <v>7113</v>
      </c>
      <c r="N8236" t="s">
        <v>16374</v>
      </c>
    </row>
    <row r="8237" spans="1:14">
      <c r="A8237">
        <v>30060103</v>
      </c>
      <c r="B8237">
        <v>3038504</v>
      </c>
      <c r="C8237" t="s">
        <v>12367</v>
      </c>
      <c r="D8237" t="s">
        <v>442</v>
      </c>
      <c r="E8237" t="s">
        <v>441</v>
      </c>
      <c r="F8237">
        <v>15</v>
      </c>
      <c r="G8237">
        <v>143.91</v>
      </c>
      <c r="H8237" t="s">
        <v>10006</v>
      </c>
      <c r="I8237">
        <v>364</v>
      </c>
      <c r="J8237" t="s">
        <v>445</v>
      </c>
      <c r="M8237">
        <v>0</v>
      </c>
      <c r="N8237" t="s">
        <v>16375</v>
      </c>
    </row>
    <row r="8238" spans="1:14">
      <c r="A8238">
        <v>30060110</v>
      </c>
      <c r="B8238">
        <v>3030482</v>
      </c>
      <c r="C8238" t="s">
        <v>17552</v>
      </c>
      <c r="D8238" t="s">
        <v>441</v>
      </c>
      <c r="F8238">
        <v>0</v>
      </c>
      <c r="G8238">
        <v>8.8699999999999992</v>
      </c>
      <c r="H8238" t="s">
        <v>9295</v>
      </c>
      <c r="I8238">
        <v>4</v>
      </c>
      <c r="J8238" t="s">
        <v>445</v>
      </c>
      <c r="M8238">
        <v>0</v>
      </c>
      <c r="N8238" t="s">
        <v>16375</v>
      </c>
    </row>
    <row r="8239" spans="1:14">
      <c r="A8239">
        <v>30060112</v>
      </c>
      <c r="B8239">
        <v>3017262</v>
      </c>
      <c r="C8239" t="s">
        <v>12368</v>
      </c>
      <c r="D8239" t="s">
        <v>441</v>
      </c>
      <c r="F8239">
        <v>0</v>
      </c>
      <c r="H8239" t="s">
        <v>9295</v>
      </c>
      <c r="I8239">
        <v>6</v>
      </c>
      <c r="J8239" t="s">
        <v>445</v>
      </c>
      <c r="M8239">
        <v>7113</v>
      </c>
      <c r="N8239" t="s">
        <v>16375</v>
      </c>
    </row>
    <row r="8240" spans="1:14">
      <c r="A8240">
        <v>30060113</v>
      </c>
      <c r="B8240">
        <v>3031544</v>
      </c>
      <c r="C8240" t="s">
        <v>12369</v>
      </c>
      <c r="D8240" t="s">
        <v>441</v>
      </c>
      <c r="F8240">
        <v>0</v>
      </c>
      <c r="H8240" t="s">
        <v>9295</v>
      </c>
      <c r="I8240">
        <v>365</v>
      </c>
      <c r="J8240" t="s">
        <v>445</v>
      </c>
      <c r="M8240">
        <v>7161</v>
      </c>
      <c r="N8240" t="s">
        <v>16375</v>
      </c>
    </row>
    <row r="8241" spans="1:14">
      <c r="A8241">
        <v>30060120</v>
      </c>
      <c r="B8241">
        <v>3044445</v>
      </c>
      <c r="C8241" t="s">
        <v>17553</v>
      </c>
      <c r="D8241" t="s">
        <v>441</v>
      </c>
      <c r="F8241">
        <v>0</v>
      </c>
      <c r="G8241">
        <v>7.67</v>
      </c>
      <c r="H8241" t="s">
        <v>9295</v>
      </c>
      <c r="I8241">
        <v>4</v>
      </c>
      <c r="J8241" t="s">
        <v>445</v>
      </c>
      <c r="M8241">
        <v>0</v>
      </c>
      <c r="N8241" t="s">
        <v>16375</v>
      </c>
    </row>
    <row r="8242" spans="1:14">
      <c r="A8242">
        <v>30060122</v>
      </c>
      <c r="B8242">
        <v>3017249</v>
      </c>
      <c r="C8242" t="s">
        <v>12370</v>
      </c>
      <c r="D8242" t="s">
        <v>441</v>
      </c>
      <c r="F8242">
        <v>0</v>
      </c>
      <c r="H8242" t="s">
        <v>9295</v>
      </c>
      <c r="I8242">
        <v>364</v>
      </c>
      <c r="J8242" t="s">
        <v>445</v>
      </c>
      <c r="M8242">
        <v>7113</v>
      </c>
      <c r="N8242" t="s">
        <v>16375</v>
      </c>
    </row>
    <row r="8243" spans="1:14">
      <c r="A8243">
        <v>30060123</v>
      </c>
      <c r="B8243">
        <v>3032466</v>
      </c>
      <c r="C8243" t="s">
        <v>12371</v>
      </c>
      <c r="D8243" t="s">
        <v>441</v>
      </c>
      <c r="F8243">
        <v>0</v>
      </c>
      <c r="G8243">
        <v>6.59</v>
      </c>
      <c r="H8243" t="s">
        <v>9295</v>
      </c>
      <c r="I8243">
        <v>365</v>
      </c>
      <c r="J8243" t="s">
        <v>445</v>
      </c>
      <c r="M8243">
        <v>7161</v>
      </c>
      <c r="N8243" t="s">
        <v>16375</v>
      </c>
    </row>
    <row r="8244" spans="1:14">
      <c r="A8244">
        <v>30060130</v>
      </c>
      <c r="B8244">
        <v>3031336</v>
      </c>
      <c r="C8244" t="s">
        <v>17554</v>
      </c>
      <c r="D8244" t="s">
        <v>441</v>
      </c>
      <c r="F8244">
        <v>0</v>
      </c>
      <c r="G8244">
        <v>7.78</v>
      </c>
      <c r="H8244" t="s">
        <v>9295</v>
      </c>
      <c r="I8244">
        <v>4</v>
      </c>
      <c r="J8244" t="s">
        <v>445</v>
      </c>
      <c r="M8244">
        <v>0</v>
      </c>
      <c r="N8244" t="s">
        <v>16375</v>
      </c>
    </row>
    <row r="8245" spans="1:14">
      <c r="A8245">
        <v>30060132</v>
      </c>
      <c r="B8245">
        <v>3012564</v>
      </c>
      <c r="C8245" t="s">
        <v>12372</v>
      </c>
      <c r="D8245" t="s">
        <v>441</v>
      </c>
      <c r="F8245">
        <v>0</v>
      </c>
      <c r="H8245" t="s">
        <v>9295</v>
      </c>
      <c r="I8245">
        <v>547</v>
      </c>
      <c r="J8245" t="s">
        <v>445</v>
      </c>
      <c r="M8245">
        <v>7113</v>
      </c>
      <c r="N8245" t="s">
        <v>16376</v>
      </c>
    </row>
    <row r="8246" spans="1:14">
      <c r="A8246">
        <v>30060140</v>
      </c>
      <c r="B8246">
        <v>3029037</v>
      </c>
      <c r="C8246" t="s">
        <v>12373</v>
      </c>
      <c r="D8246" t="s">
        <v>441</v>
      </c>
      <c r="F8246">
        <v>0</v>
      </c>
      <c r="H8246" t="s">
        <v>9295</v>
      </c>
      <c r="I8246">
        <v>4</v>
      </c>
      <c r="J8246" t="s">
        <v>445</v>
      </c>
      <c r="K8246" t="s">
        <v>446</v>
      </c>
      <c r="M8246">
        <v>0</v>
      </c>
    </row>
    <row r="8247" spans="1:14">
      <c r="A8247">
        <v>30060142</v>
      </c>
      <c r="B8247">
        <v>3029053</v>
      </c>
      <c r="C8247" t="s">
        <v>12374</v>
      </c>
      <c r="D8247" t="s">
        <v>441</v>
      </c>
      <c r="F8247">
        <v>0</v>
      </c>
      <c r="H8247" t="s">
        <v>10006</v>
      </c>
      <c r="I8247">
        <v>183</v>
      </c>
      <c r="J8247" t="s">
        <v>445</v>
      </c>
      <c r="K8247" t="s">
        <v>446</v>
      </c>
      <c r="M8247">
        <v>0</v>
      </c>
    </row>
    <row r="8248" spans="1:14">
      <c r="A8248">
        <v>30060152</v>
      </c>
      <c r="B8248">
        <v>3030401</v>
      </c>
      <c r="C8248" t="s">
        <v>12375</v>
      </c>
      <c r="D8248" t="s">
        <v>441</v>
      </c>
      <c r="F8248">
        <v>0</v>
      </c>
      <c r="H8248" t="s">
        <v>10006</v>
      </c>
      <c r="I8248">
        <v>365</v>
      </c>
      <c r="J8248" t="s">
        <v>445</v>
      </c>
      <c r="M8248">
        <v>7113</v>
      </c>
      <c r="N8248" t="s">
        <v>16375</v>
      </c>
    </row>
    <row r="8249" spans="1:14">
      <c r="A8249">
        <v>30060162</v>
      </c>
      <c r="B8249">
        <v>3030963</v>
      </c>
      <c r="C8249" t="s">
        <v>12376</v>
      </c>
      <c r="D8249" t="s">
        <v>441</v>
      </c>
      <c r="F8249">
        <v>0</v>
      </c>
      <c r="H8249" t="s">
        <v>9295</v>
      </c>
      <c r="I8249">
        <v>365</v>
      </c>
      <c r="J8249" t="s">
        <v>445</v>
      </c>
      <c r="M8249">
        <v>7113</v>
      </c>
      <c r="N8249" t="s">
        <v>16375</v>
      </c>
    </row>
    <row r="8250" spans="1:14">
      <c r="A8250">
        <v>30060172</v>
      </c>
      <c r="B8250">
        <v>3017248</v>
      </c>
      <c r="C8250" t="s">
        <v>12377</v>
      </c>
      <c r="D8250" t="s">
        <v>441</v>
      </c>
      <c r="F8250">
        <v>0</v>
      </c>
      <c r="H8250" t="s">
        <v>9295</v>
      </c>
      <c r="I8250">
        <v>364</v>
      </c>
      <c r="J8250" t="s">
        <v>445</v>
      </c>
      <c r="M8250">
        <v>7113</v>
      </c>
      <c r="N8250" t="s">
        <v>16375</v>
      </c>
    </row>
    <row r="8251" spans="1:14">
      <c r="A8251">
        <v>30060180</v>
      </c>
      <c r="B8251">
        <v>3031335</v>
      </c>
      <c r="C8251" t="s">
        <v>12378</v>
      </c>
      <c r="D8251" t="s">
        <v>441</v>
      </c>
      <c r="F8251">
        <v>0</v>
      </c>
      <c r="G8251">
        <v>7.23</v>
      </c>
      <c r="H8251" t="s">
        <v>9295</v>
      </c>
      <c r="I8251">
        <v>4</v>
      </c>
      <c r="J8251" t="s">
        <v>445</v>
      </c>
      <c r="M8251">
        <v>7161</v>
      </c>
      <c r="N8251" t="s">
        <v>16375</v>
      </c>
    </row>
    <row r="8252" spans="1:14">
      <c r="A8252">
        <v>30060182</v>
      </c>
      <c r="B8252">
        <v>3034955</v>
      </c>
      <c r="C8252" t="s">
        <v>12379</v>
      </c>
      <c r="D8252" t="s">
        <v>441</v>
      </c>
      <c r="F8252">
        <v>0</v>
      </c>
      <c r="H8252" t="s">
        <v>9295</v>
      </c>
      <c r="I8252">
        <v>364</v>
      </c>
      <c r="J8252" t="s">
        <v>445</v>
      </c>
      <c r="M8252">
        <v>7113</v>
      </c>
      <c r="N8252" t="s">
        <v>16375</v>
      </c>
    </row>
    <row r="8253" spans="1:14">
      <c r="A8253">
        <v>30060192</v>
      </c>
      <c r="B8253">
        <v>3031356</v>
      </c>
      <c r="C8253" t="s">
        <v>12380</v>
      </c>
      <c r="D8253" t="s">
        <v>441</v>
      </c>
      <c r="F8253">
        <v>0</v>
      </c>
      <c r="H8253" t="s">
        <v>9295</v>
      </c>
      <c r="I8253">
        <v>364</v>
      </c>
      <c r="J8253" t="s">
        <v>445</v>
      </c>
      <c r="M8253">
        <v>7113</v>
      </c>
      <c r="N8253" t="s">
        <v>16375</v>
      </c>
    </row>
    <row r="8254" spans="1:14">
      <c r="A8254">
        <v>30060602</v>
      </c>
      <c r="B8254">
        <v>3018464</v>
      </c>
      <c r="C8254" t="s">
        <v>12381</v>
      </c>
      <c r="D8254" t="s">
        <v>441</v>
      </c>
      <c r="F8254">
        <v>0</v>
      </c>
      <c r="G8254">
        <v>7.76</v>
      </c>
      <c r="I8254">
        <v>3</v>
      </c>
      <c r="J8254" t="s">
        <v>445</v>
      </c>
      <c r="M8254">
        <v>2510</v>
      </c>
      <c r="N8254" t="s">
        <v>16375</v>
      </c>
    </row>
    <row r="8255" spans="1:14">
      <c r="A8255">
        <v>30060603</v>
      </c>
      <c r="B8255">
        <v>3039365</v>
      </c>
      <c r="C8255" t="s">
        <v>12382</v>
      </c>
      <c r="D8255" t="s">
        <v>441</v>
      </c>
      <c r="F8255">
        <v>0</v>
      </c>
      <c r="G8255">
        <v>9.83</v>
      </c>
      <c r="H8255" t="s">
        <v>8637</v>
      </c>
      <c r="I8255">
        <v>3</v>
      </c>
      <c r="J8255" t="s">
        <v>445</v>
      </c>
      <c r="M8255">
        <v>2510</v>
      </c>
      <c r="N8255" t="s">
        <v>16375</v>
      </c>
    </row>
    <row r="8256" spans="1:14">
      <c r="A8256">
        <v>30060902</v>
      </c>
      <c r="B8256">
        <v>3035461</v>
      </c>
      <c r="C8256" t="s">
        <v>12383</v>
      </c>
      <c r="D8256" t="s">
        <v>441</v>
      </c>
      <c r="F8256">
        <v>0</v>
      </c>
      <c r="I8256">
        <v>3</v>
      </c>
      <c r="J8256" t="s">
        <v>445</v>
      </c>
      <c r="M8256">
        <v>6666</v>
      </c>
      <c r="N8256" t="s">
        <v>16375</v>
      </c>
    </row>
    <row r="8257" spans="1:14">
      <c r="A8257">
        <v>30060903</v>
      </c>
      <c r="B8257">
        <v>3039413</v>
      </c>
      <c r="C8257" t="s">
        <v>12384</v>
      </c>
      <c r="D8257" t="s">
        <v>441</v>
      </c>
      <c r="F8257">
        <v>0</v>
      </c>
      <c r="G8257">
        <v>9.6999999999999993</v>
      </c>
      <c r="H8257" t="s">
        <v>8634</v>
      </c>
      <c r="I8257">
        <v>3</v>
      </c>
      <c r="J8257" t="s">
        <v>445</v>
      </c>
      <c r="M8257">
        <v>6666</v>
      </c>
      <c r="N8257" t="s">
        <v>16375</v>
      </c>
    </row>
    <row r="8258" spans="1:14">
      <c r="A8258">
        <v>30070112</v>
      </c>
      <c r="B8258">
        <v>3012383</v>
      </c>
      <c r="C8258" t="s">
        <v>3525</v>
      </c>
      <c r="D8258" t="s">
        <v>441</v>
      </c>
      <c r="F8258">
        <v>0</v>
      </c>
      <c r="H8258" t="s">
        <v>9295</v>
      </c>
      <c r="I8258">
        <v>6</v>
      </c>
      <c r="J8258" t="s">
        <v>445</v>
      </c>
      <c r="M8258">
        <v>7113</v>
      </c>
      <c r="N8258" t="s">
        <v>16377</v>
      </c>
    </row>
    <row r="8259" spans="1:14">
      <c r="A8259">
        <v>30070122</v>
      </c>
      <c r="B8259">
        <v>3041293</v>
      </c>
      <c r="C8259" t="s">
        <v>17555</v>
      </c>
      <c r="D8259" t="s">
        <v>441</v>
      </c>
      <c r="F8259">
        <v>0</v>
      </c>
      <c r="G8259">
        <v>16.52</v>
      </c>
      <c r="H8259" t="s">
        <v>10006</v>
      </c>
      <c r="I8259">
        <v>547</v>
      </c>
      <c r="J8259" t="s">
        <v>445</v>
      </c>
      <c r="M8259">
        <v>0</v>
      </c>
      <c r="N8259" t="s">
        <v>16377</v>
      </c>
    </row>
    <row r="8260" spans="1:14">
      <c r="A8260">
        <v>30080001</v>
      </c>
      <c r="B8260">
        <v>3031939</v>
      </c>
      <c r="C8260" t="s">
        <v>12385</v>
      </c>
      <c r="D8260" t="s">
        <v>441</v>
      </c>
      <c r="F8260">
        <v>0</v>
      </c>
      <c r="G8260">
        <v>1.53</v>
      </c>
      <c r="H8260" t="s">
        <v>10006</v>
      </c>
      <c r="I8260">
        <v>365</v>
      </c>
      <c r="J8260" t="s">
        <v>445</v>
      </c>
      <c r="K8260" t="s">
        <v>446</v>
      </c>
      <c r="M8260">
        <v>2501</v>
      </c>
    </row>
    <row r="8261" spans="1:14">
      <c r="A8261">
        <v>30080100</v>
      </c>
      <c r="B8261">
        <v>3032068</v>
      </c>
      <c r="C8261" t="s">
        <v>12386</v>
      </c>
      <c r="D8261" t="s">
        <v>441</v>
      </c>
      <c r="F8261">
        <v>0</v>
      </c>
      <c r="H8261" t="s">
        <v>10006</v>
      </c>
      <c r="I8261">
        <v>6</v>
      </c>
      <c r="J8261" t="s">
        <v>445</v>
      </c>
      <c r="K8261" t="s">
        <v>446</v>
      </c>
      <c r="M8261">
        <v>0</v>
      </c>
    </row>
    <row r="8262" spans="1:14">
      <c r="A8262">
        <v>30080111</v>
      </c>
      <c r="B8262">
        <v>3018442</v>
      </c>
      <c r="C8262" t="s">
        <v>12387</v>
      </c>
      <c r="D8262" t="s">
        <v>441</v>
      </c>
      <c r="F8262">
        <v>0</v>
      </c>
      <c r="H8262" t="s">
        <v>9295</v>
      </c>
      <c r="I8262">
        <v>6</v>
      </c>
      <c r="J8262" t="s">
        <v>445</v>
      </c>
      <c r="M8262">
        <v>7161</v>
      </c>
      <c r="N8262" t="s">
        <v>16084</v>
      </c>
    </row>
    <row r="8263" spans="1:14">
      <c r="A8263">
        <v>30080112</v>
      </c>
      <c r="B8263">
        <v>3017213</v>
      </c>
      <c r="C8263" t="s">
        <v>12388</v>
      </c>
      <c r="D8263" t="s">
        <v>441</v>
      </c>
      <c r="F8263">
        <v>0</v>
      </c>
      <c r="H8263" t="s">
        <v>9295</v>
      </c>
      <c r="I8263">
        <v>6</v>
      </c>
      <c r="J8263" t="s">
        <v>445</v>
      </c>
      <c r="M8263">
        <v>7113</v>
      </c>
      <c r="N8263" t="s">
        <v>16084</v>
      </c>
    </row>
    <row r="8264" spans="1:14">
      <c r="A8264">
        <v>30080113</v>
      </c>
      <c r="B8264">
        <v>3011458</v>
      </c>
      <c r="C8264" t="s">
        <v>12389</v>
      </c>
      <c r="D8264" t="s">
        <v>441</v>
      </c>
      <c r="F8264">
        <v>0</v>
      </c>
      <c r="H8264" t="s">
        <v>8935</v>
      </c>
      <c r="I8264">
        <v>243</v>
      </c>
      <c r="J8264" t="s">
        <v>445</v>
      </c>
      <c r="M8264">
        <v>7161</v>
      </c>
      <c r="N8264" t="s">
        <v>16084</v>
      </c>
    </row>
    <row r="8265" spans="1:14">
      <c r="A8265">
        <v>30080114</v>
      </c>
      <c r="B8265">
        <v>3010894</v>
      </c>
      <c r="C8265" t="s">
        <v>12390</v>
      </c>
      <c r="D8265" t="s">
        <v>441</v>
      </c>
      <c r="F8265">
        <v>0</v>
      </c>
      <c r="H8265" t="s">
        <v>10006</v>
      </c>
      <c r="I8265">
        <v>183</v>
      </c>
      <c r="J8265" t="s">
        <v>445</v>
      </c>
      <c r="M8265">
        <v>7161</v>
      </c>
      <c r="N8265" t="s">
        <v>16084</v>
      </c>
    </row>
    <row r="8266" spans="1:14">
      <c r="A8266">
        <v>30080115</v>
      </c>
      <c r="B8266">
        <v>3013515</v>
      </c>
      <c r="C8266" t="s">
        <v>12391</v>
      </c>
      <c r="D8266" t="s">
        <v>441</v>
      </c>
      <c r="F8266">
        <v>0</v>
      </c>
      <c r="H8266" t="s">
        <v>9295</v>
      </c>
      <c r="I8266">
        <v>209</v>
      </c>
      <c r="J8266" t="s">
        <v>445</v>
      </c>
      <c r="M8266">
        <v>7161</v>
      </c>
      <c r="N8266" t="s">
        <v>16084</v>
      </c>
    </row>
    <row r="8267" spans="1:14">
      <c r="A8267">
        <v>30080116</v>
      </c>
      <c r="B8267">
        <v>3023120</v>
      </c>
      <c r="C8267" t="s">
        <v>12392</v>
      </c>
      <c r="D8267" t="s">
        <v>441</v>
      </c>
      <c r="F8267">
        <v>0</v>
      </c>
      <c r="H8267" t="s">
        <v>9295</v>
      </c>
      <c r="I8267">
        <v>209</v>
      </c>
      <c r="J8267" t="s">
        <v>445</v>
      </c>
      <c r="M8267">
        <v>7161</v>
      </c>
      <c r="N8267" t="s">
        <v>16084</v>
      </c>
    </row>
    <row r="8268" spans="1:14">
      <c r="A8268">
        <v>30080117</v>
      </c>
      <c r="B8268">
        <v>3028634</v>
      </c>
      <c r="C8268" t="s">
        <v>12393</v>
      </c>
      <c r="D8268" t="s">
        <v>441</v>
      </c>
      <c r="F8268">
        <v>0</v>
      </c>
      <c r="H8268" t="s">
        <v>10006</v>
      </c>
      <c r="I8268">
        <v>183</v>
      </c>
      <c r="J8268" t="s">
        <v>445</v>
      </c>
      <c r="M8268">
        <v>7161</v>
      </c>
      <c r="N8268" t="s">
        <v>16084</v>
      </c>
    </row>
    <row r="8269" spans="1:14">
      <c r="A8269">
        <v>30080118</v>
      </c>
      <c r="B8269">
        <v>3031326</v>
      </c>
      <c r="C8269" t="s">
        <v>12394</v>
      </c>
      <c r="D8269" t="s">
        <v>441</v>
      </c>
      <c r="F8269">
        <v>0</v>
      </c>
      <c r="H8269" t="s">
        <v>9295</v>
      </c>
      <c r="I8269">
        <v>209</v>
      </c>
      <c r="J8269" t="s">
        <v>445</v>
      </c>
      <c r="M8269">
        <v>7161</v>
      </c>
      <c r="N8269" t="s">
        <v>16084</v>
      </c>
    </row>
    <row r="8270" spans="1:14">
      <c r="A8270">
        <v>30080119</v>
      </c>
      <c r="B8270">
        <v>3014355</v>
      </c>
      <c r="C8270" t="s">
        <v>12395</v>
      </c>
      <c r="D8270" t="s">
        <v>441</v>
      </c>
      <c r="F8270">
        <v>0</v>
      </c>
      <c r="H8270" t="s">
        <v>9295</v>
      </c>
      <c r="I8270">
        <v>209</v>
      </c>
      <c r="J8270" t="s">
        <v>445</v>
      </c>
      <c r="M8270">
        <v>7161</v>
      </c>
      <c r="N8270" t="s">
        <v>16084</v>
      </c>
    </row>
    <row r="8271" spans="1:14">
      <c r="A8271">
        <v>30080121</v>
      </c>
      <c r="B8271">
        <v>3034091</v>
      </c>
      <c r="C8271" t="s">
        <v>12396</v>
      </c>
      <c r="D8271" t="s">
        <v>441</v>
      </c>
      <c r="F8271">
        <v>0</v>
      </c>
      <c r="H8271" t="s">
        <v>9295</v>
      </c>
      <c r="I8271">
        <v>209</v>
      </c>
      <c r="J8271" t="s">
        <v>445</v>
      </c>
      <c r="M8271">
        <v>7161</v>
      </c>
      <c r="N8271" t="s">
        <v>16084</v>
      </c>
    </row>
    <row r="8272" spans="1:14">
      <c r="A8272">
        <v>30080122</v>
      </c>
      <c r="B8272">
        <v>3034089</v>
      </c>
      <c r="C8272" t="s">
        <v>12397</v>
      </c>
      <c r="D8272" t="s">
        <v>441</v>
      </c>
      <c r="F8272">
        <v>0</v>
      </c>
      <c r="H8272" t="s">
        <v>9295</v>
      </c>
      <c r="I8272">
        <v>209</v>
      </c>
      <c r="J8272" t="s">
        <v>445</v>
      </c>
      <c r="M8272">
        <v>7113</v>
      </c>
      <c r="N8272" t="s">
        <v>16084</v>
      </c>
    </row>
    <row r="8273" spans="1:14">
      <c r="A8273">
        <v>30080123</v>
      </c>
      <c r="B8273">
        <v>3041329</v>
      </c>
      <c r="C8273" t="s">
        <v>12398</v>
      </c>
      <c r="D8273" t="s">
        <v>441</v>
      </c>
      <c r="F8273">
        <v>0</v>
      </c>
      <c r="G8273">
        <v>1.95</v>
      </c>
      <c r="H8273" t="s">
        <v>10006</v>
      </c>
      <c r="I8273">
        <v>183</v>
      </c>
      <c r="J8273" t="s">
        <v>445</v>
      </c>
      <c r="M8273">
        <v>0</v>
      </c>
      <c r="N8273" t="s">
        <v>16084</v>
      </c>
    </row>
    <row r="8274" spans="1:14">
      <c r="A8274">
        <v>30080124</v>
      </c>
      <c r="B8274">
        <v>3030964</v>
      </c>
      <c r="C8274" t="s">
        <v>15667</v>
      </c>
      <c r="D8274" t="s">
        <v>441</v>
      </c>
      <c r="F8274">
        <v>0</v>
      </c>
      <c r="G8274">
        <v>2.33</v>
      </c>
      <c r="H8274" t="s">
        <v>10006</v>
      </c>
      <c r="I8274">
        <v>183</v>
      </c>
      <c r="J8274" t="s">
        <v>445</v>
      </c>
      <c r="M8274">
        <v>0</v>
      </c>
      <c r="N8274" t="s">
        <v>16084</v>
      </c>
    </row>
    <row r="8275" spans="1:14">
      <c r="A8275">
        <v>30080132</v>
      </c>
      <c r="B8275">
        <v>3036997</v>
      </c>
      <c r="C8275" t="s">
        <v>12399</v>
      </c>
      <c r="D8275" t="s">
        <v>442</v>
      </c>
      <c r="E8275" t="s">
        <v>441</v>
      </c>
      <c r="F8275">
        <v>10</v>
      </c>
      <c r="H8275" t="s">
        <v>10006</v>
      </c>
      <c r="I8275">
        <v>209</v>
      </c>
      <c r="J8275" t="s">
        <v>445</v>
      </c>
      <c r="M8275">
        <v>7113</v>
      </c>
      <c r="N8275" t="s">
        <v>16084</v>
      </c>
    </row>
    <row r="8276" spans="1:14">
      <c r="A8276">
        <v>30080142</v>
      </c>
      <c r="B8276">
        <v>3038476</v>
      </c>
      <c r="C8276" t="s">
        <v>12400</v>
      </c>
      <c r="D8276" t="s">
        <v>442</v>
      </c>
      <c r="E8276" t="s">
        <v>441</v>
      </c>
      <c r="F8276">
        <v>15</v>
      </c>
      <c r="H8276" t="s">
        <v>10006</v>
      </c>
      <c r="I8276">
        <v>209</v>
      </c>
      <c r="J8276" t="s">
        <v>445</v>
      </c>
      <c r="M8276">
        <v>7113</v>
      </c>
      <c r="N8276" t="s">
        <v>16084</v>
      </c>
    </row>
    <row r="8277" spans="1:14">
      <c r="A8277">
        <v>30080152</v>
      </c>
      <c r="B8277">
        <v>3031328</v>
      </c>
      <c r="C8277" t="s">
        <v>12401</v>
      </c>
      <c r="D8277" t="s">
        <v>441</v>
      </c>
      <c r="F8277">
        <v>0</v>
      </c>
      <c r="G8277">
        <v>1.52</v>
      </c>
      <c r="H8277" t="s">
        <v>9295</v>
      </c>
      <c r="I8277">
        <v>209</v>
      </c>
      <c r="J8277" t="s">
        <v>445</v>
      </c>
      <c r="M8277">
        <v>7113</v>
      </c>
      <c r="N8277" t="s">
        <v>16084</v>
      </c>
    </row>
    <row r="8278" spans="1:14">
      <c r="A8278">
        <v>30080162</v>
      </c>
      <c r="B8278">
        <v>3040141</v>
      </c>
      <c r="C8278" t="s">
        <v>14505</v>
      </c>
      <c r="D8278" t="s">
        <v>441</v>
      </c>
      <c r="F8278">
        <v>0</v>
      </c>
      <c r="G8278">
        <v>2</v>
      </c>
      <c r="H8278" t="s">
        <v>9295</v>
      </c>
      <c r="I8278">
        <v>365</v>
      </c>
      <c r="J8278" t="s">
        <v>445</v>
      </c>
      <c r="M8278">
        <v>0</v>
      </c>
      <c r="N8278" t="s">
        <v>16084</v>
      </c>
    </row>
    <row r="8279" spans="1:14">
      <c r="A8279">
        <v>30080501</v>
      </c>
      <c r="B8279">
        <v>3014352</v>
      </c>
      <c r="C8279" t="s">
        <v>12402</v>
      </c>
      <c r="D8279" t="s">
        <v>441</v>
      </c>
      <c r="F8279">
        <v>0</v>
      </c>
      <c r="G8279">
        <v>1.26</v>
      </c>
      <c r="H8279" t="s">
        <v>8580</v>
      </c>
      <c r="I8279">
        <v>6</v>
      </c>
      <c r="J8279" t="s">
        <v>445</v>
      </c>
      <c r="K8279" t="s">
        <v>446</v>
      </c>
      <c r="M8279">
        <v>2641</v>
      </c>
    </row>
    <row r="8280" spans="1:14">
      <c r="A8280">
        <v>30080601</v>
      </c>
      <c r="B8280">
        <v>3031938</v>
      </c>
      <c r="C8280" t="s">
        <v>12403</v>
      </c>
      <c r="D8280" t="s">
        <v>441</v>
      </c>
      <c r="F8280">
        <v>0</v>
      </c>
      <c r="G8280">
        <v>1.7</v>
      </c>
      <c r="H8280" t="s">
        <v>10006</v>
      </c>
      <c r="I8280">
        <v>4</v>
      </c>
      <c r="J8280" t="s">
        <v>445</v>
      </c>
      <c r="K8280" t="s">
        <v>446</v>
      </c>
      <c r="M8280">
        <v>2511</v>
      </c>
    </row>
    <row r="8281" spans="1:14">
      <c r="A8281">
        <v>30080602</v>
      </c>
      <c r="B8281">
        <v>3025795</v>
      </c>
      <c r="C8281" t="s">
        <v>12404</v>
      </c>
      <c r="D8281" t="s">
        <v>441</v>
      </c>
      <c r="F8281">
        <v>0</v>
      </c>
      <c r="G8281">
        <v>1.85</v>
      </c>
      <c r="H8281" t="s">
        <v>10006</v>
      </c>
      <c r="I8281">
        <v>3</v>
      </c>
      <c r="J8281" t="s">
        <v>445</v>
      </c>
      <c r="M8281">
        <v>2510</v>
      </c>
      <c r="N8281" t="s">
        <v>16084</v>
      </c>
    </row>
    <row r="8282" spans="1:14">
      <c r="A8282">
        <v>30080902</v>
      </c>
      <c r="B8282">
        <v>3025923</v>
      </c>
      <c r="C8282" t="s">
        <v>12405</v>
      </c>
      <c r="D8282" t="s">
        <v>441</v>
      </c>
      <c r="F8282">
        <v>0</v>
      </c>
      <c r="H8282" t="s">
        <v>8584</v>
      </c>
      <c r="I8282">
        <v>3</v>
      </c>
      <c r="J8282" t="s">
        <v>445</v>
      </c>
      <c r="M8282">
        <v>6666</v>
      </c>
      <c r="N8282" t="s">
        <v>16084</v>
      </c>
    </row>
    <row r="8283" spans="1:14">
      <c r="A8283">
        <v>30090102</v>
      </c>
      <c r="B8283">
        <v>3022331</v>
      </c>
      <c r="C8283" t="s">
        <v>3526</v>
      </c>
      <c r="D8283" t="s">
        <v>441</v>
      </c>
      <c r="F8283">
        <v>0</v>
      </c>
      <c r="H8283" t="s">
        <v>9295</v>
      </c>
      <c r="I8283">
        <v>547</v>
      </c>
      <c r="J8283" t="s">
        <v>445</v>
      </c>
      <c r="M8283">
        <v>7113</v>
      </c>
      <c r="N8283" t="s">
        <v>16378</v>
      </c>
    </row>
    <row r="8284" spans="1:14">
      <c r="A8284">
        <v>30090110</v>
      </c>
      <c r="B8284">
        <v>3025058</v>
      </c>
      <c r="C8284" t="s">
        <v>3527</v>
      </c>
      <c r="D8284" t="s">
        <v>441</v>
      </c>
      <c r="F8284">
        <v>0</v>
      </c>
      <c r="H8284" t="s">
        <v>9295</v>
      </c>
      <c r="I8284">
        <v>6</v>
      </c>
      <c r="J8284" t="s">
        <v>445</v>
      </c>
      <c r="M8284">
        <v>7161</v>
      </c>
      <c r="N8284" t="s">
        <v>16378</v>
      </c>
    </row>
    <row r="8285" spans="1:14">
      <c r="A8285">
        <v>30090112</v>
      </c>
      <c r="B8285">
        <v>3012145</v>
      </c>
      <c r="C8285" t="s">
        <v>3528</v>
      </c>
      <c r="D8285" t="s">
        <v>441</v>
      </c>
      <c r="F8285">
        <v>0</v>
      </c>
      <c r="H8285" t="s">
        <v>9295</v>
      </c>
      <c r="I8285">
        <v>547</v>
      </c>
      <c r="J8285" t="s">
        <v>445</v>
      </c>
      <c r="M8285">
        <v>7113</v>
      </c>
      <c r="N8285" t="s">
        <v>16378</v>
      </c>
    </row>
    <row r="8286" spans="1:14">
      <c r="A8286">
        <v>30090120</v>
      </c>
      <c r="B8286">
        <v>3027826</v>
      </c>
      <c r="C8286" t="s">
        <v>3529</v>
      </c>
      <c r="D8286" t="s">
        <v>441</v>
      </c>
      <c r="F8286">
        <v>0</v>
      </c>
      <c r="H8286" t="s">
        <v>9295</v>
      </c>
      <c r="I8286">
        <v>6</v>
      </c>
      <c r="J8286" t="s">
        <v>445</v>
      </c>
      <c r="M8286">
        <v>7161</v>
      </c>
      <c r="N8286" t="s">
        <v>16378</v>
      </c>
    </row>
    <row r="8287" spans="1:14">
      <c r="A8287">
        <v>30090122</v>
      </c>
      <c r="B8287">
        <v>3042084</v>
      </c>
      <c r="C8287" t="s">
        <v>3530</v>
      </c>
      <c r="D8287" t="s">
        <v>441</v>
      </c>
      <c r="F8287">
        <v>0</v>
      </c>
      <c r="G8287">
        <v>12.33</v>
      </c>
      <c r="H8287" t="s">
        <v>9295</v>
      </c>
      <c r="I8287">
        <v>547</v>
      </c>
      <c r="J8287" t="s">
        <v>445</v>
      </c>
      <c r="M8287">
        <v>0</v>
      </c>
      <c r="N8287" t="s">
        <v>16378</v>
      </c>
    </row>
    <row r="8288" spans="1:14">
      <c r="A8288">
        <v>30090130</v>
      </c>
      <c r="B8288">
        <v>3023984</v>
      </c>
      <c r="C8288" t="s">
        <v>3531</v>
      </c>
      <c r="D8288" t="s">
        <v>441</v>
      </c>
      <c r="F8288">
        <v>0</v>
      </c>
      <c r="H8288" t="s">
        <v>9295</v>
      </c>
      <c r="I8288">
        <v>6</v>
      </c>
      <c r="J8288" t="s">
        <v>445</v>
      </c>
      <c r="M8288">
        <v>7161</v>
      </c>
      <c r="N8288" t="s">
        <v>16378</v>
      </c>
    </row>
    <row r="8289" spans="1:14">
      <c r="A8289">
        <v>30090132</v>
      </c>
      <c r="B8289">
        <v>3010218</v>
      </c>
      <c r="C8289" t="s">
        <v>3532</v>
      </c>
      <c r="D8289" t="s">
        <v>441</v>
      </c>
      <c r="F8289">
        <v>0</v>
      </c>
      <c r="H8289" t="s">
        <v>9295</v>
      </c>
      <c r="I8289">
        <v>364</v>
      </c>
      <c r="J8289" t="s">
        <v>445</v>
      </c>
      <c r="M8289">
        <v>7113</v>
      </c>
      <c r="N8289" t="s">
        <v>16378</v>
      </c>
    </row>
    <row r="8290" spans="1:14">
      <c r="A8290">
        <v>30090142</v>
      </c>
      <c r="B8290">
        <v>3027920</v>
      </c>
      <c r="C8290" t="s">
        <v>12406</v>
      </c>
      <c r="D8290" t="s">
        <v>441</v>
      </c>
      <c r="F8290">
        <v>0</v>
      </c>
      <c r="H8290" t="s">
        <v>9295</v>
      </c>
      <c r="I8290">
        <v>365</v>
      </c>
      <c r="J8290" t="s">
        <v>445</v>
      </c>
      <c r="K8290" t="s">
        <v>446</v>
      </c>
      <c r="M8290">
        <v>0</v>
      </c>
      <c r="N8290" t="s">
        <v>16378</v>
      </c>
    </row>
    <row r="8291" spans="1:14">
      <c r="A8291">
        <v>30090150</v>
      </c>
      <c r="B8291">
        <v>3029305</v>
      </c>
      <c r="C8291" t="s">
        <v>3533</v>
      </c>
      <c r="D8291" t="s">
        <v>441</v>
      </c>
      <c r="F8291">
        <v>0</v>
      </c>
      <c r="H8291" t="s">
        <v>9295</v>
      </c>
      <c r="I8291">
        <v>6</v>
      </c>
      <c r="J8291" t="s">
        <v>445</v>
      </c>
      <c r="M8291">
        <v>7161</v>
      </c>
      <c r="N8291" t="s">
        <v>16379</v>
      </c>
    </row>
    <row r="8292" spans="1:14">
      <c r="A8292">
        <v>30090152</v>
      </c>
      <c r="B8292">
        <v>3031352</v>
      </c>
      <c r="C8292" t="s">
        <v>3534</v>
      </c>
      <c r="D8292" t="s">
        <v>441</v>
      </c>
      <c r="F8292">
        <v>0</v>
      </c>
      <c r="H8292" t="s">
        <v>9295</v>
      </c>
      <c r="I8292">
        <v>364</v>
      </c>
      <c r="J8292" t="s">
        <v>445</v>
      </c>
      <c r="M8292">
        <v>7113</v>
      </c>
      <c r="N8292" t="s">
        <v>16378</v>
      </c>
    </row>
    <row r="8293" spans="1:14">
      <c r="A8293">
        <v>30090160</v>
      </c>
      <c r="B8293">
        <v>3035579</v>
      </c>
      <c r="C8293" t="s">
        <v>3535</v>
      </c>
      <c r="D8293" t="s">
        <v>441</v>
      </c>
      <c r="F8293">
        <v>0</v>
      </c>
      <c r="G8293">
        <v>10.65</v>
      </c>
      <c r="H8293" t="s">
        <v>9295</v>
      </c>
      <c r="I8293">
        <v>547</v>
      </c>
      <c r="J8293" t="s">
        <v>445</v>
      </c>
      <c r="M8293">
        <v>7161</v>
      </c>
      <c r="N8293" t="s">
        <v>16378</v>
      </c>
    </row>
    <row r="8294" spans="1:14">
      <c r="A8294">
        <v>30090162</v>
      </c>
      <c r="B8294">
        <v>3037688</v>
      </c>
      <c r="C8294" t="s">
        <v>3536</v>
      </c>
      <c r="D8294" t="s">
        <v>442</v>
      </c>
      <c r="E8294" t="s">
        <v>441</v>
      </c>
      <c r="F8294">
        <v>15</v>
      </c>
      <c r="H8294" t="s">
        <v>9295</v>
      </c>
      <c r="I8294">
        <v>364</v>
      </c>
      <c r="J8294" t="s">
        <v>445</v>
      </c>
      <c r="M8294">
        <v>7113</v>
      </c>
      <c r="N8294" t="s">
        <v>16378</v>
      </c>
    </row>
    <row r="8295" spans="1:14">
      <c r="A8295">
        <v>30090170</v>
      </c>
      <c r="B8295">
        <v>3044444</v>
      </c>
      <c r="C8295" t="s">
        <v>17345</v>
      </c>
      <c r="D8295" t="s">
        <v>441</v>
      </c>
      <c r="F8295">
        <v>0</v>
      </c>
      <c r="G8295">
        <v>13.27</v>
      </c>
      <c r="H8295" t="s">
        <v>9295</v>
      </c>
      <c r="I8295">
        <v>6</v>
      </c>
      <c r="J8295" t="s">
        <v>445</v>
      </c>
      <c r="M8295">
        <v>0</v>
      </c>
      <c r="N8295" t="s">
        <v>16378</v>
      </c>
    </row>
    <row r="8296" spans="1:14">
      <c r="A8296">
        <v>30090173</v>
      </c>
      <c r="B8296">
        <v>3038510</v>
      </c>
      <c r="C8296" t="s">
        <v>12407</v>
      </c>
      <c r="D8296" t="s">
        <v>442</v>
      </c>
      <c r="E8296" t="s">
        <v>441</v>
      </c>
      <c r="F8296">
        <v>15</v>
      </c>
      <c r="G8296">
        <v>170.81</v>
      </c>
      <c r="H8296" t="s">
        <v>10006</v>
      </c>
      <c r="I8296">
        <v>364</v>
      </c>
      <c r="J8296" t="s">
        <v>445</v>
      </c>
      <c r="M8296">
        <v>0</v>
      </c>
      <c r="N8296" t="s">
        <v>16378</v>
      </c>
    </row>
    <row r="8297" spans="1:14">
      <c r="A8297">
        <v>30090602</v>
      </c>
      <c r="B8297">
        <v>3028468</v>
      </c>
      <c r="C8297" t="s">
        <v>3537</v>
      </c>
      <c r="D8297" t="s">
        <v>441</v>
      </c>
      <c r="F8297">
        <v>0</v>
      </c>
      <c r="G8297">
        <v>7.5</v>
      </c>
      <c r="H8297" t="s">
        <v>8588</v>
      </c>
      <c r="I8297">
        <v>4</v>
      </c>
      <c r="J8297" t="s">
        <v>445</v>
      </c>
      <c r="K8297" t="s">
        <v>446</v>
      </c>
      <c r="M8297">
        <v>2511</v>
      </c>
      <c r="N8297" t="s">
        <v>16378</v>
      </c>
    </row>
    <row r="8298" spans="1:14">
      <c r="A8298">
        <v>30090603</v>
      </c>
      <c r="B8298">
        <v>3039911</v>
      </c>
      <c r="C8298" t="s">
        <v>12408</v>
      </c>
      <c r="D8298" t="s">
        <v>441</v>
      </c>
      <c r="F8298">
        <v>0</v>
      </c>
      <c r="G8298">
        <v>11.64</v>
      </c>
      <c r="H8298" t="s">
        <v>10006</v>
      </c>
      <c r="I8298">
        <v>3</v>
      </c>
      <c r="J8298" t="s">
        <v>445</v>
      </c>
      <c r="M8298">
        <v>2510</v>
      </c>
      <c r="N8298" t="s">
        <v>16378</v>
      </c>
    </row>
    <row r="8299" spans="1:14">
      <c r="A8299">
        <v>30090612</v>
      </c>
      <c r="B8299">
        <v>3010217</v>
      </c>
      <c r="C8299" t="s">
        <v>3538</v>
      </c>
      <c r="D8299" t="s">
        <v>441</v>
      </c>
      <c r="F8299">
        <v>0</v>
      </c>
      <c r="G8299">
        <v>9.19</v>
      </c>
      <c r="H8299" t="s">
        <v>10006</v>
      </c>
      <c r="I8299">
        <v>3</v>
      </c>
      <c r="J8299" t="s">
        <v>445</v>
      </c>
      <c r="M8299">
        <v>2510</v>
      </c>
      <c r="N8299" t="s">
        <v>16378</v>
      </c>
    </row>
    <row r="8300" spans="1:14">
      <c r="A8300">
        <v>30090903</v>
      </c>
      <c r="B8300">
        <v>3039912</v>
      </c>
      <c r="C8300" t="s">
        <v>12409</v>
      </c>
      <c r="D8300" t="s">
        <v>441</v>
      </c>
      <c r="F8300">
        <v>0</v>
      </c>
      <c r="G8300">
        <v>11.85</v>
      </c>
      <c r="H8300" t="s">
        <v>10006</v>
      </c>
      <c r="I8300">
        <v>3</v>
      </c>
      <c r="J8300" t="s">
        <v>445</v>
      </c>
      <c r="M8300">
        <v>6666</v>
      </c>
      <c r="N8300" t="s">
        <v>16378</v>
      </c>
    </row>
    <row r="8301" spans="1:14">
      <c r="A8301">
        <v>30100002</v>
      </c>
      <c r="B8301">
        <v>3032431</v>
      </c>
      <c r="C8301" t="s">
        <v>12410</v>
      </c>
      <c r="D8301" t="s">
        <v>441</v>
      </c>
      <c r="F8301">
        <v>0</v>
      </c>
      <c r="G8301">
        <v>8.32</v>
      </c>
      <c r="H8301" t="s">
        <v>9295</v>
      </c>
      <c r="I8301">
        <v>365</v>
      </c>
      <c r="J8301" t="s">
        <v>445</v>
      </c>
      <c r="K8301" t="s">
        <v>446</v>
      </c>
      <c r="M8301">
        <v>2501</v>
      </c>
      <c r="N8301" t="s">
        <v>16380</v>
      </c>
    </row>
    <row r="8302" spans="1:14">
      <c r="A8302">
        <v>30100100</v>
      </c>
      <c r="B8302">
        <v>3037002</v>
      </c>
      <c r="C8302" t="s">
        <v>12411</v>
      </c>
      <c r="D8302" t="s">
        <v>441</v>
      </c>
      <c r="F8302">
        <v>0</v>
      </c>
      <c r="H8302" t="s">
        <v>9295</v>
      </c>
      <c r="I8302">
        <v>6</v>
      </c>
      <c r="J8302" t="s">
        <v>445</v>
      </c>
      <c r="M8302">
        <v>7161</v>
      </c>
      <c r="N8302" t="s">
        <v>16381</v>
      </c>
    </row>
    <row r="8303" spans="1:14">
      <c r="A8303">
        <v>30100102</v>
      </c>
      <c r="B8303">
        <v>3045745</v>
      </c>
      <c r="C8303" t="s">
        <v>17556</v>
      </c>
      <c r="D8303" t="s">
        <v>442</v>
      </c>
      <c r="E8303" t="s">
        <v>441</v>
      </c>
      <c r="F8303">
        <v>10</v>
      </c>
      <c r="G8303">
        <v>133.22999999999999</v>
      </c>
      <c r="H8303" t="s">
        <v>9295</v>
      </c>
      <c r="I8303">
        <v>365</v>
      </c>
      <c r="J8303" t="s">
        <v>445</v>
      </c>
      <c r="M8303">
        <v>0</v>
      </c>
      <c r="N8303" t="s">
        <v>16380</v>
      </c>
    </row>
    <row r="8304" spans="1:14">
      <c r="A8304">
        <v>30100103</v>
      </c>
      <c r="B8304">
        <v>3038515</v>
      </c>
      <c r="C8304" t="s">
        <v>12412</v>
      </c>
      <c r="D8304" t="s">
        <v>442</v>
      </c>
      <c r="E8304" t="s">
        <v>441</v>
      </c>
      <c r="F8304">
        <v>12</v>
      </c>
      <c r="G8304">
        <v>137.34</v>
      </c>
      <c r="H8304" t="s">
        <v>10006</v>
      </c>
      <c r="I8304">
        <v>364</v>
      </c>
      <c r="J8304" t="s">
        <v>445</v>
      </c>
      <c r="M8304">
        <v>0</v>
      </c>
      <c r="N8304" t="s">
        <v>16380</v>
      </c>
    </row>
    <row r="8305" spans="1:14">
      <c r="A8305">
        <v>30100110</v>
      </c>
      <c r="B8305">
        <v>3018829</v>
      </c>
      <c r="C8305" t="s">
        <v>14506</v>
      </c>
      <c r="D8305" t="s">
        <v>441</v>
      </c>
      <c r="F8305">
        <v>0</v>
      </c>
      <c r="H8305" t="s">
        <v>9295</v>
      </c>
      <c r="I8305">
        <v>6</v>
      </c>
      <c r="J8305" t="s">
        <v>445</v>
      </c>
      <c r="M8305">
        <v>7161</v>
      </c>
      <c r="N8305" t="s">
        <v>16380</v>
      </c>
    </row>
    <row r="8306" spans="1:14">
      <c r="A8306">
        <v>30100112</v>
      </c>
      <c r="B8306">
        <v>3012115</v>
      </c>
      <c r="C8306" t="s">
        <v>12413</v>
      </c>
      <c r="D8306" t="s">
        <v>441</v>
      </c>
      <c r="F8306">
        <v>0</v>
      </c>
      <c r="H8306" t="s">
        <v>9295</v>
      </c>
      <c r="I8306">
        <v>547</v>
      </c>
      <c r="J8306" t="s">
        <v>445</v>
      </c>
      <c r="M8306">
        <v>7113</v>
      </c>
      <c r="N8306" t="s">
        <v>16380</v>
      </c>
    </row>
    <row r="8307" spans="1:14">
      <c r="A8307">
        <v>30100120</v>
      </c>
      <c r="B8307">
        <v>3031342</v>
      </c>
      <c r="C8307" t="s">
        <v>12414</v>
      </c>
      <c r="D8307" t="s">
        <v>441</v>
      </c>
      <c r="F8307">
        <v>0</v>
      </c>
      <c r="H8307" t="s">
        <v>9295</v>
      </c>
      <c r="I8307">
        <v>6</v>
      </c>
      <c r="J8307" t="s">
        <v>445</v>
      </c>
      <c r="M8307">
        <v>7161</v>
      </c>
      <c r="N8307" t="s">
        <v>16380</v>
      </c>
    </row>
    <row r="8308" spans="1:14">
      <c r="A8308">
        <v>30100122</v>
      </c>
      <c r="B8308">
        <v>3029828</v>
      </c>
      <c r="C8308" t="s">
        <v>12415</v>
      </c>
      <c r="D8308" t="s">
        <v>441</v>
      </c>
      <c r="F8308">
        <v>0</v>
      </c>
      <c r="H8308" t="s">
        <v>9295</v>
      </c>
      <c r="I8308">
        <v>547</v>
      </c>
      <c r="J8308" t="s">
        <v>445</v>
      </c>
      <c r="M8308">
        <v>7113</v>
      </c>
      <c r="N8308" t="s">
        <v>16380</v>
      </c>
    </row>
    <row r="8309" spans="1:14">
      <c r="A8309">
        <v>30100130</v>
      </c>
      <c r="B8309">
        <v>3035066</v>
      </c>
      <c r="C8309" t="s">
        <v>12416</v>
      </c>
      <c r="D8309" t="s">
        <v>441</v>
      </c>
      <c r="F8309">
        <v>0</v>
      </c>
      <c r="H8309" t="s">
        <v>9295</v>
      </c>
      <c r="I8309">
        <v>6</v>
      </c>
      <c r="J8309" t="s">
        <v>445</v>
      </c>
      <c r="M8309">
        <v>7161</v>
      </c>
      <c r="N8309" t="s">
        <v>16380</v>
      </c>
    </row>
    <row r="8310" spans="1:14">
      <c r="A8310">
        <v>30100132</v>
      </c>
      <c r="B8310">
        <v>3031343</v>
      </c>
      <c r="C8310" t="s">
        <v>12417</v>
      </c>
      <c r="D8310" t="s">
        <v>441</v>
      </c>
      <c r="F8310">
        <v>0</v>
      </c>
      <c r="H8310" t="s">
        <v>9295</v>
      </c>
      <c r="I8310">
        <v>547</v>
      </c>
      <c r="J8310" t="s">
        <v>445</v>
      </c>
      <c r="M8310">
        <v>7113</v>
      </c>
      <c r="N8310" t="s">
        <v>16380</v>
      </c>
    </row>
    <row r="8311" spans="1:14">
      <c r="A8311">
        <v>30100140</v>
      </c>
      <c r="B8311">
        <v>3036295</v>
      </c>
      <c r="C8311" t="s">
        <v>14507</v>
      </c>
      <c r="D8311" t="s">
        <v>441</v>
      </c>
      <c r="F8311">
        <v>0</v>
      </c>
      <c r="H8311" t="s">
        <v>9295</v>
      </c>
      <c r="I8311">
        <v>6</v>
      </c>
      <c r="J8311" t="s">
        <v>445</v>
      </c>
      <c r="M8311">
        <v>7161</v>
      </c>
      <c r="N8311" t="s">
        <v>16381</v>
      </c>
    </row>
    <row r="8312" spans="1:14">
      <c r="A8312">
        <v>30100142</v>
      </c>
      <c r="B8312">
        <v>3036990</v>
      </c>
      <c r="C8312" t="s">
        <v>12418</v>
      </c>
      <c r="D8312" t="s">
        <v>442</v>
      </c>
      <c r="E8312" t="s">
        <v>441</v>
      </c>
      <c r="F8312">
        <v>12</v>
      </c>
      <c r="H8312" t="s">
        <v>9295</v>
      </c>
      <c r="I8312">
        <v>364</v>
      </c>
      <c r="J8312" t="s">
        <v>445</v>
      </c>
      <c r="M8312">
        <v>7113</v>
      </c>
      <c r="N8312" t="s">
        <v>16380</v>
      </c>
    </row>
    <row r="8313" spans="1:14">
      <c r="A8313">
        <v>30100150</v>
      </c>
      <c r="B8313">
        <v>3045326</v>
      </c>
      <c r="C8313" t="s">
        <v>16382</v>
      </c>
      <c r="D8313" t="s">
        <v>441</v>
      </c>
      <c r="F8313">
        <v>0</v>
      </c>
      <c r="G8313">
        <v>11.97</v>
      </c>
      <c r="H8313" t="s">
        <v>9295</v>
      </c>
      <c r="I8313">
        <v>6</v>
      </c>
      <c r="J8313" t="s">
        <v>445</v>
      </c>
      <c r="M8313">
        <v>0</v>
      </c>
      <c r="N8313" t="s">
        <v>16380</v>
      </c>
    </row>
    <row r="8314" spans="1:14">
      <c r="A8314">
        <v>30100152</v>
      </c>
      <c r="B8314">
        <v>3010234</v>
      </c>
      <c r="C8314" t="s">
        <v>12419</v>
      </c>
      <c r="D8314" t="s">
        <v>441</v>
      </c>
      <c r="F8314">
        <v>0</v>
      </c>
      <c r="H8314" t="s">
        <v>9295</v>
      </c>
      <c r="I8314">
        <v>364</v>
      </c>
      <c r="J8314" t="s">
        <v>445</v>
      </c>
      <c r="M8314">
        <v>7113</v>
      </c>
      <c r="N8314" t="s">
        <v>16380</v>
      </c>
    </row>
    <row r="8315" spans="1:14">
      <c r="A8315">
        <v>30100160</v>
      </c>
      <c r="B8315">
        <v>3045327</v>
      </c>
      <c r="C8315" t="s">
        <v>16383</v>
      </c>
      <c r="D8315" t="s">
        <v>441</v>
      </c>
      <c r="F8315">
        <v>0</v>
      </c>
      <c r="G8315">
        <v>11.78</v>
      </c>
      <c r="H8315" t="s">
        <v>9295</v>
      </c>
      <c r="I8315">
        <v>6</v>
      </c>
      <c r="J8315" t="s">
        <v>445</v>
      </c>
      <c r="M8315">
        <v>0</v>
      </c>
      <c r="N8315" t="s">
        <v>16380</v>
      </c>
    </row>
    <row r="8316" spans="1:14">
      <c r="A8316">
        <v>30100162</v>
      </c>
      <c r="B8316">
        <v>3038593</v>
      </c>
      <c r="C8316" t="s">
        <v>12420</v>
      </c>
      <c r="D8316" t="s">
        <v>441</v>
      </c>
      <c r="F8316">
        <v>0</v>
      </c>
      <c r="H8316" t="s">
        <v>9295</v>
      </c>
      <c r="I8316">
        <v>547</v>
      </c>
      <c r="J8316" t="s">
        <v>445</v>
      </c>
      <c r="M8316">
        <v>7113</v>
      </c>
      <c r="N8316" t="s">
        <v>16380</v>
      </c>
    </row>
    <row r="8317" spans="1:14">
      <c r="A8317">
        <v>30100170</v>
      </c>
      <c r="B8317">
        <v>3045324</v>
      </c>
      <c r="C8317" t="s">
        <v>16384</v>
      </c>
      <c r="D8317" t="s">
        <v>441</v>
      </c>
      <c r="F8317">
        <v>0</v>
      </c>
      <c r="G8317">
        <v>11.88</v>
      </c>
      <c r="H8317" t="s">
        <v>9295</v>
      </c>
      <c r="I8317">
        <v>6</v>
      </c>
      <c r="J8317" t="s">
        <v>445</v>
      </c>
      <c r="M8317">
        <v>0</v>
      </c>
      <c r="N8317" t="s">
        <v>16380</v>
      </c>
    </row>
    <row r="8318" spans="1:14">
      <c r="A8318">
        <v>30100172</v>
      </c>
      <c r="B8318">
        <v>3038521</v>
      </c>
      <c r="C8318" t="s">
        <v>12421</v>
      </c>
      <c r="D8318" t="s">
        <v>442</v>
      </c>
      <c r="E8318" t="s">
        <v>441</v>
      </c>
      <c r="F8318">
        <v>15</v>
      </c>
      <c r="G8318">
        <v>118.59</v>
      </c>
      <c r="H8318" t="s">
        <v>10006</v>
      </c>
      <c r="I8318">
        <v>364</v>
      </c>
      <c r="J8318" t="s">
        <v>445</v>
      </c>
      <c r="M8318">
        <v>7113</v>
      </c>
      <c r="N8318" t="s">
        <v>16380</v>
      </c>
    </row>
    <row r="8319" spans="1:14">
      <c r="A8319">
        <v>30100180</v>
      </c>
      <c r="B8319">
        <v>3045325</v>
      </c>
      <c r="C8319" t="s">
        <v>16385</v>
      </c>
      <c r="D8319" t="s">
        <v>441</v>
      </c>
      <c r="F8319">
        <v>0</v>
      </c>
      <c r="G8319">
        <v>11.87</v>
      </c>
      <c r="H8319" t="s">
        <v>9295</v>
      </c>
      <c r="I8319">
        <v>6</v>
      </c>
      <c r="J8319" t="s">
        <v>445</v>
      </c>
      <c r="M8319">
        <v>0</v>
      </c>
      <c r="N8319" t="s">
        <v>16380</v>
      </c>
    </row>
    <row r="8320" spans="1:14">
      <c r="A8320">
        <v>30100182</v>
      </c>
      <c r="B8320">
        <v>3040025</v>
      </c>
      <c r="C8320" t="s">
        <v>12422</v>
      </c>
      <c r="D8320" t="s">
        <v>441</v>
      </c>
      <c r="F8320">
        <v>0</v>
      </c>
      <c r="G8320">
        <v>8.06</v>
      </c>
      <c r="H8320" t="s">
        <v>9295</v>
      </c>
      <c r="I8320">
        <v>547</v>
      </c>
      <c r="J8320" t="s">
        <v>445</v>
      </c>
      <c r="M8320">
        <v>7113</v>
      </c>
      <c r="N8320" t="s">
        <v>16380</v>
      </c>
    </row>
    <row r="8321" spans="1:14">
      <c r="A8321">
        <v>30100192</v>
      </c>
      <c r="B8321">
        <v>3034578</v>
      </c>
      <c r="C8321" t="s">
        <v>14508</v>
      </c>
      <c r="D8321" t="s">
        <v>441</v>
      </c>
      <c r="F8321">
        <v>0</v>
      </c>
      <c r="G8321">
        <v>14.35</v>
      </c>
      <c r="H8321" t="s">
        <v>10006</v>
      </c>
      <c r="I8321">
        <v>365</v>
      </c>
      <c r="J8321" t="s">
        <v>445</v>
      </c>
      <c r="M8321">
        <v>0</v>
      </c>
      <c r="N8321" t="s">
        <v>16380</v>
      </c>
    </row>
    <row r="8322" spans="1:14">
      <c r="A8322">
        <v>30100202</v>
      </c>
      <c r="B8322">
        <v>3046203</v>
      </c>
      <c r="C8322" t="s">
        <v>17557</v>
      </c>
      <c r="D8322" t="s">
        <v>441</v>
      </c>
      <c r="F8322">
        <v>0</v>
      </c>
      <c r="G8322">
        <v>12.85</v>
      </c>
      <c r="H8322" t="s">
        <v>9295</v>
      </c>
      <c r="I8322">
        <v>547</v>
      </c>
      <c r="J8322" t="s">
        <v>445</v>
      </c>
      <c r="M8322">
        <v>0</v>
      </c>
      <c r="N8322" t="s">
        <v>16380</v>
      </c>
    </row>
    <row r="8323" spans="1:14">
      <c r="A8323">
        <v>30100502</v>
      </c>
      <c r="B8323">
        <v>3032432</v>
      </c>
      <c r="C8323" t="s">
        <v>12423</v>
      </c>
      <c r="D8323" t="s">
        <v>441</v>
      </c>
      <c r="F8323">
        <v>0</v>
      </c>
      <c r="G8323">
        <v>8.07</v>
      </c>
      <c r="H8323" t="s">
        <v>9295</v>
      </c>
      <c r="I8323">
        <v>365</v>
      </c>
      <c r="J8323" t="s">
        <v>445</v>
      </c>
      <c r="K8323" t="s">
        <v>446</v>
      </c>
      <c r="M8323">
        <v>2641</v>
      </c>
      <c r="N8323" t="s">
        <v>16380</v>
      </c>
    </row>
    <row r="8324" spans="1:14">
      <c r="A8324">
        <v>30100602</v>
      </c>
      <c r="B8324">
        <v>3010233</v>
      </c>
      <c r="C8324" t="s">
        <v>12424</v>
      </c>
      <c r="D8324" t="s">
        <v>441</v>
      </c>
      <c r="F8324">
        <v>0</v>
      </c>
      <c r="G8324">
        <v>10.19</v>
      </c>
      <c r="H8324" t="s">
        <v>10006</v>
      </c>
      <c r="I8324">
        <v>3</v>
      </c>
      <c r="J8324" t="s">
        <v>445</v>
      </c>
      <c r="M8324">
        <v>2510</v>
      </c>
      <c r="N8324" t="s">
        <v>16380</v>
      </c>
    </row>
    <row r="8325" spans="1:14">
      <c r="A8325">
        <v>30100603</v>
      </c>
      <c r="B8325">
        <v>3039046</v>
      </c>
      <c r="C8325" t="s">
        <v>12425</v>
      </c>
      <c r="D8325" t="s">
        <v>441</v>
      </c>
      <c r="F8325">
        <v>0</v>
      </c>
      <c r="G8325">
        <v>11.69</v>
      </c>
      <c r="H8325" t="s">
        <v>10006</v>
      </c>
      <c r="I8325">
        <v>3</v>
      </c>
      <c r="J8325" t="s">
        <v>445</v>
      </c>
      <c r="M8325">
        <v>2510</v>
      </c>
      <c r="N8325" t="s">
        <v>16380</v>
      </c>
    </row>
    <row r="8326" spans="1:14">
      <c r="A8326">
        <v>30100902</v>
      </c>
      <c r="B8326">
        <v>3020857</v>
      </c>
      <c r="C8326" t="s">
        <v>12426</v>
      </c>
      <c r="D8326" t="s">
        <v>441</v>
      </c>
      <c r="F8326">
        <v>0</v>
      </c>
      <c r="H8326" t="s">
        <v>8634</v>
      </c>
      <c r="I8326">
        <v>3</v>
      </c>
      <c r="J8326" t="s">
        <v>445</v>
      </c>
      <c r="M8326">
        <v>6666</v>
      </c>
      <c r="N8326" t="s">
        <v>16380</v>
      </c>
    </row>
    <row r="8327" spans="1:14">
      <c r="A8327">
        <v>30100903</v>
      </c>
      <c r="B8327">
        <v>3039100</v>
      </c>
      <c r="C8327" t="s">
        <v>12427</v>
      </c>
      <c r="D8327" t="s">
        <v>441</v>
      </c>
      <c r="F8327">
        <v>0</v>
      </c>
      <c r="G8327">
        <v>11.87</v>
      </c>
      <c r="H8327" t="s">
        <v>8580</v>
      </c>
      <c r="I8327">
        <v>3</v>
      </c>
      <c r="J8327" t="s">
        <v>445</v>
      </c>
      <c r="M8327">
        <v>6666</v>
      </c>
      <c r="N8327" t="s">
        <v>16380</v>
      </c>
    </row>
    <row r="8328" spans="1:14">
      <c r="A8328">
        <v>30110002</v>
      </c>
      <c r="B8328">
        <v>3032459</v>
      </c>
      <c r="C8328" t="s">
        <v>12428</v>
      </c>
      <c r="D8328" t="s">
        <v>441</v>
      </c>
      <c r="F8328">
        <v>0</v>
      </c>
      <c r="G8328">
        <v>6.93</v>
      </c>
      <c r="H8328" t="s">
        <v>9295</v>
      </c>
      <c r="I8328">
        <v>365</v>
      </c>
      <c r="J8328" t="s">
        <v>445</v>
      </c>
      <c r="K8328" t="s">
        <v>446</v>
      </c>
      <c r="M8328">
        <v>2501</v>
      </c>
      <c r="N8328" t="s">
        <v>16386</v>
      </c>
    </row>
    <row r="8329" spans="1:14">
      <c r="A8329">
        <v>30110100</v>
      </c>
      <c r="B8329">
        <v>3034956</v>
      </c>
      <c r="C8329" t="s">
        <v>12429</v>
      </c>
      <c r="D8329" t="s">
        <v>441</v>
      </c>
      <c r="F8329">
        <v>0</v>
      </c>
      <c r="H8329" t="s">
        <v>9295</v>
      </c>
      <c r="I8329">
        <v>364</v>
      </c>
      <c r="J8329" t="s">
        <v>445</v>
      </c>
      <c r="M8329">
        <v>7161</v>
      </c>
      <c r="N8329" t="s">
        <v>16387</v>
      </c>
    </row>
    <row r="8330" spans="1:14">
      <c r="A8330">
        <v>30110102</v>
      </c>
      <c r="B8330">
        <v>3017272</v>
      </c>
      <c r="C8330" t="s">
        <v>12430</v>
      </c>
      <c r="D8330" t="s">
        <v>441</v>
      </c>
      <c r="F8330">
        <v>0</v>
      </c>
      <c r="H8330" t="s">
        <v>9295</v>
      </c>
      <c r="I8330">
        <v>364</v>
      </c>
      <c r="J8330" t="s">
        <v>445</v>
      </c>
      <c r="M8330">
        <v>7113</v>
      </c>
      <c r="N8330" t="s">
        <v>16387</v>
      </c>
    </row>
    <row r="8331" spans="1:14">
      <c r="A8331">
        <v>30110103</v>
      </c>
      <c r="B8331">
        <v>3038502</v>
      </c>
      <c r="C8331" t="s">
        <v>12431</v>
      </c>
      <c r="D8331" t="s">
        <v>442</v>
      </c>
      <c r="E8331" t="s">
        <v>441</v>
      </c>
      <c r="F8331">
        <v>15</v>
      </c>
      <c r="G8331">
        <v>109.32</v>
      </c>
      <c r="H8331" t="s">
        <v>10006</v>
      </c>
      <c r="I8331">
        <v>364</v>
      </c>
      <c r="J8331" t="s">
        <v>445</v>
      </c>
      <c r="M8331">
        <v>0</v>
      </c>
      <c r="N8331" t="s">
        <v>16387</v>
      </c>
    </row>
    <row r="8332" spans="1:14">
      <c r="A8332">
        <v>30110110</v>
      </c>
      <c r="B8332">
        <v>3030655</v>
      </c>
      <c r="C8332" t="s">
        <v>12432</v>
      </c>
      <c r="D8332" t="s">
        <v>441</v>
      </c>
      <c r="F8332">
        <v>0</v>
      </c>
      <c r="H8332" t="s">
        <v>9295</v>
      </c>
      <c r="I8332">
        <v>6</v>
      </c>
      <c r="J8332" t="s">
        <v>445</v>
      </c>
      <c r="M8332">
        <v>7161</v>
      </c>
      <c r="N8332" t="s">
        <v>16386</v>
      </c>
    </row>
    <row r="8333" spans="1:14">
      <c r="A8333">
        <v>30110112</v>
      </c>
      <c r="B8333">
        <v>3029076</v>
      </c>
      <c r="C8333" t="s">
        <v>12433</v>
      </c>
      <c r="D8333" t="s">
        <v>441</v>
      </c>
      <c r="F8333">
        <v>0</v>
      </c>
      <c r="H8333" t="s">
        <v>10006</v>
      </c>
      <c r="I8333">
        <v>183</v>
      </c>
      <c r="J8333" t="s">
        <v>445</v>
      </c>
      <c r="K8333" t="s">
        <v>446</v>
      </c>
      <c r="M8333">
        <v>0</v>
      </c>
    </row>
    <row r="8334" spans="1:14">
      <c r="A8334">
        <v>30110120</v>
      </c>
      <c r="B8334">
        <v>3031333</v>
      </c>
      <c r="C8334" t="s">
        <v>12434</v>
      </c>
      <c r="D8334" t="s">
        <v>441</v>
      </c>
      <c r="F8334">
        <v>0</v>
      </c>
      <c r="G8334">
        <v>4.5</v>
      </c>
      <c r="H8334" t="s">
        <v>9295</v>
      </c>
      <c r="I8334">
        <v>4</v>
      </c>
      <c r="J8334" t="s">
        <v>445</v>
      </c>
      <c r="M8334">
        <v>7161</v>
      </c>
      <c r="N8334" t="s">
        <v>16387</v>
      </c>
    </row>
    <row r="8335" spans="1:14">
      <c r="A8335">
        <v>30110122</v>
      </c>
      <c r="B8335">
        <v>3031332</v>
      </c>
      <c r="C8335" t="s">
        <v>12435</v>
      </c>
      <c r="D8335" t="s">
        <v>441</v>
      </c>
      <c r="F8335">
        <v>0</v>
      </c>
      <c r="H8335" t="s">
        <v>9295</v>
      </c>
      <c r="I8335">
        <v>364</v>
      </c>
      <c r="J8335" t="s">
        <v>445</v>
      </c>
      <c r="M8335">
        <v>7113</v>
      </c>
      <c r="N8335" t="s">
        <v>16387</v>
      </c>
    </row>
    <row r="8336" spans="1:14">
      <c r="A8336">
        <v>30110130</v>
      </c>
      <c r="B8336">
        <v>3042072</v>
      </c>
      <c r="C8336" t="s">
        <v>12436</v>
      </c>
      <c r="D8336" t="s">
        <v>441</v>
      </c>
      <c r="F8336">
        <v>0</v>
      </c>
      <c r="G8336">
        <v>10.81</v>
      </c>
      <c r="H8336" t="s">
        <v>9295</v>
      </c>
      <c r="I8336">
        <v>547</v>
      </c>
      <c r="J8336" t="s">
        <v>445</v>
      </c>
      <c r="M8336">
        <v>0</v>
      </c>
      <c r="N8336" t="s">
        <v>16386</v>
      </c>
    </row>
    <row r="8337" spans="1:14">
      <c r="A8337">
        <v>30110132</v>
      </c>
      <c r="B8337">
        <v>3031561</v>
      </c>
      <c r="C8337" t="s">
        <v>12437</v>
      </c>
      <c r="D8337" t="s">
        <v>441</v>
      </c>
      <c r="E8337" t="s">
        <v>442</v>
      </c>
      <c r="F8337">
        <v>15</v>
      </c>
      <c r="H8337" t="s">
        <v>10006</v>
      </c>
      <c r="I8337">
        <v>365</v>
      </c>
      <c r="J8337" t="s">
        <v>445</v>
      </c>
      <c r="M8337">
        <v>7113</v>
      </c>
      <c r="N8337" t="s">
        <v>16387</v>
      </c>
    </row>
    <row r="8338" spans="1:14">
      <c r="A8338">
        <v>30110142</v>
      </c>
      <c r="B8338">
        <v>3032382</v>
      </c>
      <c r="C8338" t="s">
        <v>12438</v>
      </c>
      <c r="D8338" t="s">
        <v>441</v>
      </c>
      <c r="F8338">
        <v>0</v>
      </c>
      <c r="H8338" t="s">
        <v>10006</v>
      </c>
      <c r="I8338">
        <v>365</v>
      </c>
      <c r="J8338" t="s">
        <v>445</v>
      </c>
      <c r="M8338">
        <v>7113</v>
      </c>
      <c r="N8338" t="s">
        <v>16387</v>
      </c>
    </row>
    <row r="8339" spans="1:14">
      <c r="A8339">
        <v>30110150</v>
      </c>
      <c r="B8339">
        <v>3030266</v>
      </c>
      <c r="C8339" t="s">
        <v>17558</v>
      </c>
      <c r="D8339" t="s">
        <v>441</v>
      </c>
      <c r="F8339">
        <v>0</v>
      </c>
      <c r="G8339">
        <v>5.78</v>
      </c>
      <c r="H8339" t="s">
        <v>9295</v>
      </c>
      <c r="I8339">
        <v>4</v>
      </c>
      <c r="J8339" t="s">
        <v>445</v>
      </c>
      <c r="M8339">
        <v>0</v>
      </c>
      <c r="N8339" t="s">
        <v>16387</v>
      </c>
    </row>
    <row r="8340" spans="1:14">
      <c r="A8340">
        <v>30110152</v>
      </c>
      <c r="B8340">
        <v>3030965</v>
      </c>
      <c r="C8340" t="s">
        <v>12439</v>
      </c>
      <c r="D8340" t="s">
        <v>441</v>
      </c>
      <c r="F8340">
        <v>0</v>
      </c>
      <c r="H8340" t="s">
        <v>10006</v>
      </c>
      <c r="I8340">
        <v>365</v>
      </c>
      <c r="J8340" t="s">
        <v>445</v>
      </c>
      <c r="M8340">
        <v>7113</v>
      </c>
      <c r="N8340" t="s">
        <v>16387</v>
      </c>
    </row>
    <row r="8341" spans="1:14">
      <c r="A8341">
        <v>30110160</v>
      </c>
      <c r="B8341">
        <v>3030461</v>
      </c>
      <c r="C8341" t="s">
        <v>17559</v>
      </c>
      <c r="D8341" t="s">
        <v>441</v>
      </c>
      <c r="F8341">
        <v>0</v>
      </c>
      <c r="G8341">
        <v>5.8</v>
      </c>
      <c r="H8341" t="s">
        <v>9295</v>
      </c>
      <c r="I8341">
        <v>4</v>
      </c>
      <c r="J8341" t="s">
        <v>445</v>
      </c>
      <c r="M8341">
        <v>0</v>
      </c>
      <c r="N8341" t="s">
        <v>16387</v>
      </c>
    </row>
    <row r="8342" spans="1:14">
      <c r="A8342">
        <v>30110162</v>
      </c>
      <c r="B8342">
        <v>3030400</v>
      </c>
      <c r="C8342" t="s">
        <v>12440</v>
      </c>
      <c r="D8342" t="s">
        <v>441</v>
      </c>
      <c r="F8342">
        <v>0</v>
      </c>
      <c r="H8342" t="s">
        <v>10006</v>
      </c>
      <c r="I8342">
        <v>365</v>
      </c>
      <c r="J8342" t="s">
        <v>445</v>
      </c>
      <c r="M8342">
        <v>7113</v>
      </c>
      <c r="N8342" t="s">
        <v>16387</v>
      </c>
    </row>
    <row r="8343" spans="1:14">
      <c r="A8343">
        <v>30110172</v>
      </c>
      <c r="B8343">
        <v>3032510</v>
      </c>
      <c r="C8343" t="s">
        <v>12441</v>
      </c>
      <c r="D8343" t="s">
        <v>441</v>
      </c>
      <c r="F8343">
        <v>0</v>
      </c>
      <c r="H8343" t="s">
        <v>9295</v>
      </c>
      <c r="I8343">
        <v>547</v>
      </c>
      <c r="J8343" t="s">
        <v>445</v>
      </c>
      <c r="M8343">
        <v>7113</v>
      </c>
      <c r="N8343" t="s">
        <v>16386</v>
      </c>
    </row>
    <row r="8344" spans="1:14">
      <c r="A8344">
        <v>30110182</v>
      </c>
      <c r="B8344">
        <v>3017271</v>
      </c>
      <c r="C8344" t="s">
        <v>12442</v>
      </c>
      <c r="D8344" t="s">
        <v>441</v>
      </c>
      <c r="F8344">
        <v>0</v>
      </c>
      <c r="H8344" t="s">
        <v>9295</v>
      </c>
      <c r="I8344">
        <v>364</v>
      </c>
      <c r="J8344" t="s">
        <v>445</v>
      </c>
      <c r="M8344">
        <v>7113</v>
      </c>
      <c r="N8344" t="s">
        <v>16387</v>
      </c>
    </row>
    <row r="8345" spans="1:14">
      <c r="A8345">
        <v>30110192</v>
      </c>
      <c r="B8345">
        <v>3037979</v>
      </c>
      <c r="C8345" t="s">
        <v>12443</v>
      </c>
      <c r="D8345" t="s">
        <v>441</v>
      </c>
      <c r="F8345">
        <v>0</v>
      </c>
      <c r="H8345" t="s">
        <v>9295</v>
      </c>
      <c r="I8345">
        <v>547</v>
      </c>
      <c r="J8345" t="s">
        <v>445</v>
      </c>
      <c r="M8345">
        <v>7113</v>
      </c>
      <c r="N8345" t="s">
        <v>16386</v>
      </c>
    </row>
    <row r="8346" spans="1:14">
      <c r="A8346">
        <v>30110202</v>
      </c>
      <c r="B8346">
        <v>3041616</v>
      </c>
      <c r="C8346" t="s">
        <v>12444</v>
      </c>
      <c r="D8346" t="s">
        <v>441</v>
      </c>
      <c r="F8346">
        <v>0</v>
      </c>
      <c r="G8346">
        <v>6.59</v>
      </c>
      <c r="H8346" t="s">
        <v>9295</v>
      </c>
      <c r="I8346">
        <v>365</v>
      </c>
      <c r="J8346" t="s">
        <v>445</v>
      </c>
      <c r="M8346">
        <v>0</v>
      </c>
      <c r="N8346" t="s">
        <v>16387</v>
      </c>
    </row>
    <row r="8347" spans="1:14">
      <c r="A8347">
        <v>30110210</v>
      </c>
      <c r="B8347">
        <v>3044438</v>
      </c>
      <c r="C8347" t="s">
        <v>17560</v>
      </c>
      <c r="D8347" t="s">
        <v>441</v>
      </c>
      <c r="F8347">
        <v>0</v>
      </c>
      <c r="G8347">
        <v>11.45</v>
      </c>
      <c r="H8347" t="s">
        <v>9295</v>
      </c>
      <c r="I8347">
        <v>6</v>
      </c>
      <c r="J8347" t="s">
        <v>445</v>
      </c>
      <c r="M8347">
        <v>0</v>
      </c>
      <c r="N8347" t="s">
        <v>16386</v>
      </c>
    </row>
    <row r="8348" spans="1:14">
      <c r="A8348">
        <v>30110212</v>
      </c>
      <c r="B8348">
        <v>3041353</v>
      </c>
      <c r="C8348" t="s">
        <v>12445</v>
      </c>
      <c r="D8348" t="s">
        <v>441</v>
      </c>
      <c r="F8348">
        <v>0</v>
      </c>
      <c r="G8348">
        <v>7.6</v>
      </c>
      <c r="H8348" t="s">
        <v>10006</v>
      </c>
      <c r="I8348">
        <v>365</v>
      </c>
      <c r="J8348" t="s">
        <v>445</v>
      </c>
      <c r="M8348">
        <v>0</v>
      </c>
      <c r="N8348" t="s">
        <v>16387</v>
      </c>
    </row>
    <row r="8349" spans="1:14">
      <c r="A8349">
        <v>30110222</v>
      </c>
      <c r="B8349">
        <v>3043338</v>
      </c>
      <c r="C8349" t="s">
        <v>17561</v>
      </c>
      <c r="D8349" t="s">
        <v>441</v>
      </c>
      <c r="F8349">
        <v>0</v>
      </c>
      <c r="G8349">
        <v>6.59</v>
      </c>
      <c r="H8349" t="s">
        <v>9295</v>
      </c>
      <c r="I8349">
        <v>365</v>
      </c>
      <c r="J8349" t="s">
        <v>445</v>
      </c>
      <c r="M8349">
        <v>0</v>
      </c>
      <c r="N8349" t="s">
        <v>16387</v>
      </c>
    </row>
    <row r="8350" spans="1:14">
      <c r="A8350">
        <v>30110502</v>
      </c>
      <c r="B8350">
        <v>3032457</v>
      </c>
      <c r="C8350" t="s">
        <v>12446</v>
      </c>
      <c r="D8350" t="s">
        <v>441</v>
      </c>
      <c r="F8350">
        <v>0</v>
      </c>
      <c r="G8350">
        <v>6.69</v>
      </c>
      <c r="H8350" t="s">
        <v>9295</v>
      </c>
      <c r="I8350">
        <v>365</v>
      </c>
      <c r="J8350" t="s">
        <v>445</v>
      </c>
      <c r="K8350" t="s">
        <v>446</v>
      </c>
      <c r="M8350">
        <v>2641</v>
      </c>
      <c r="N8350" t="s">
        <v>16386</v>
      </c>
    </row>
    <row r="8351" spans="1:14">
      <c r="A8351">
        <v>30110602</v>
      </c>
      <c r="B8351">
        <v>3030250</v>
      </c>
      <c r="C8351" t="s">
        <v>12447</v>
      </c>
      <c r="D8351" t="s">
        <v>441</v>
      </c>
      <c r="F8351">
        <v>0</v>
      </c>
      <c r="G8351">
        <v>5.17</v>
      </c>
      <c r="H8351" t="s">
        <v>9295</v>
      </c>
      <c r="I8351">
        <v>4</v>
      </c>
      <c r="J8351" t="s">
        <v>445</v>
      </c>
      <c r="K8351" t="s">
        <v>446</v>
      </c>
      <c r="M8351">
        <v>2511</v>
      </c>
    </row>
    <row r="8352" spans="1:14">
      <c r="A8352">
        <v>30110603</v>
      </c>
      <c r="B8352">
        <v>3043261</v>
      </c>
      <c r="C8352" t="s">
        <v>12448</v>
      </c>
      <c r="D8352" t="s">
        <v>441</v>
      </c>
      <c r="F8352">
        <v>0</v>
      </c>
      <c r="G8352">
        <v>7.51</v>
      </c>
      <c r="H8352" t="s">
        <v>10006</v>
      </c>
      <c r="I8352">
        <v>1</v>
      </c>
      <c r="J8352" t="s">
        <v>445</v>
      </c>
      <c r="M8352">
        <v>2510</v>
      </c>
      <c r="N8352" t="s">
        <v>16387</v>
      </c>
    </row>
    <row r="8353" spans="1:14">
      <c r="A8353">
        <v>30110612</v>
      </c>
      <c r="B8353">
        <v>3025782</v>
      </c>
      <c r="C8353" t="s">
        <v>12449</v>
      </c>
      <c r="D8353" t="s">
        <v>441</v>
      </c>
      <c r="F8353">
        <v>0</v>
      </c>
      <c r="G8353">
        <v>5.67</v>
      </c>
      <c r="H8353" t="s">
        <v>10006</v>
      </c>
      <c r="I8353">
        <v>3</v>
      </c>
      <c r="J8353" t="s">
        <v>445</v>
      </c>
      <c r="M8353">
        <v>2510</v>
      </c>
      <c r="N8353" t="s">
        <v>16387</v>
      </c>
    </row>
    <row r="8354" spans="1:14">
      <c r="A8354">
        <v>30120002</v>
      </c>
      <c r="B8354">
        <v>3032461</v>
      </c>
      <c r="C8354" t="s">
        <v>12450</v>
      </c>
      <c r="D8354" t="s">
        <v>441</v>
      </c>
      <c r="F8354">
        <v>0</v>
      </c>
      <c r="G8354">
        <v>6.98</v>
      </c>
      <c r="H8354" t="s">
        <v>9295</v>
      </c>
      <c r="I8354">
        <v>365</v>
      </c>
      <c r="J8354" t="s">
        <v>445</v>
      </c>
      <c r="K8354" t="s">
        <v>446</v>
      </c>
      <c r="M8354">
        <v>2501</v>
      </c>
      <c r="N8354" t="s">
        <v>16388</v>
      </c>
    </row>
    <row r="8355" spans="1:14">
      <c r="A8355">
        <v>30120100</v>
      </c>
      <c r="B8355">
        <v>3031617</v>
      </c>
      <c r="C8355" t="s">
        <v>12451</v>
      </c>
      <c r="D8355" t="s">
        <v>441</v>
      </c>
      <c r="F8355">
        <v>0</v>
      </c>
      <c r="H8355" t="s">
        <v>9295</v>
      </c>
      <c r="I8355">
        <v>547</v>
      </c>
      <c r="J8355" t="s">
        <v>445</v>
      </c>
      <c r="M8355">
        <v>7161</v>
      </c>
      <c r="N8355" t="s">
        <v>16388</v>
      </c>
    </row>
    <row r="8356" spans="1:14">
      <c r="A8356">
        <v>30120110</v>
      </c>
      <c r="B8356">
        <v>3021192</v>
      </c>
      <c r="C8356" t="s">
        <v>3539</v>
      </c>
      <c r="D8356" t="s">
        <v>441</v>
      </c>
      <c r="F8356">
        <v>0</v>
      </c>
      <c r="H8356" t="s">
        <v>9295</v>
      </c>
      <c r="I8356">
        <v>6</v>
      </c>
      <c r="J8356" t="s">
        <v>445</v>
      </c>
      <c r="M8356">
        <v>7161</v>
      </c>
      <c r="N8356" t="s">
        <v>16388</v>
      </c>
    </row>
    <row r="8357" spans="1:14">
      <c r="A8357">
        <v>30120111</v>
      </c>
      <c r="B8357">
        <v>3030661</v>
      </c>
      <c r="C8357" t="s">
        <v>3540</v>
      </c>
      <c r="D8357" t="s">
        <v>441</v>
      </c>
      <c r="F8357">
        <v>0</v>
      </c>
      <c r="H8357" t="s">
        <v>9295</v>
      </c>
      <c r="I8357">
        <v>6</v>
      </c>
      <c r="J8357" t="s">
        <v>445</v>
      </c>
      <c r="M8357">
        <v>7161</v>
      </c>
      <c r="N8357" t="s">
        <v>16388</v>
      </c>
    </row>
    <row r="8358" spans="1:14">
      <c r="A8358">
        <v>30120112</v>
      </c>
      <c r="B8358">
        <v>3002639</v>
      </c>
      <c r="C8358" t="s">
        <v>3541</v>
      </c>
      <c r="D8358" t="s">
        <v>441</v>
      </c>
      <c r="F8358">
        <v>0</v>
      </c>
      <c r="H8358" t="s">
        <v>9295</v>
      </c>
      <c r="I8358">
        <v>364</v>
      </c>
      <c r="J8358" t="s">
        <v>445</v>
      </c>
      <c r="M8358">
        <v>7113</v>
      </c>
      <c r="N8358" t="s">
        <v>16388</v>
      </c>
    </row>
    <row r="8359" spans="1:14">
      <c r="A8359">
        <v>30120113</v>
      </c>
      <c r="B8359">
        <v>3031347</v>
      </c>
      <c r="C8359" t="s">
        <v>3542</v>
      </c>
      <c r="D8359" t="s">
        <v>441</v>
      </c>
      <c r="F8359">
        <v>0</v>
      </c>
      <c r="H8359" t="s">
        <v>9295</v>
      </c>
      <c r="I8359">
        <v>547</v>
      </c>
      <c r="J8359" t="s">
        <v>445</v>
      </c>
      <c r="M8359">
        <v>7113</v>
      </c>
      <c r="N8359" t="s">
        <v>16388</v>
      </c>
    </row>
    <row r="8360" spans="1:14">
      <c r="A8360">
        <v>30120122</v>
      </c>
      <c r="B8360">
        <v>3018773</v>
      </c>
      <c r="C8360" t="s">
        <v>3543</v>
      </c>
      <c r="D8360" t="s">
        <v>441</v>
      </c>
      <c r="F8360">
        <v>0</v>
      </c>
      <c r="H8360" t="s">
        <v>9295</v>
      </c>
      <c r="I8360">
        <v>547</v>
      </c>
      <c r="J8360" t="s">
        <v>445</v>
      </c>
      <c r="M8360">
        <v>7113</v>
      </c>
      <c r="N8360" t="s">
        <v>16388</v>
      </c>
    </row>
    <row r="8361" spans="1:14">
      <c r="A8361">
        <v>30120132</v>
      </c>
      <c r="B8361">
        <v>3036679</v>
      </c>
      <c r="C8361" t="s">
        <v>3544</v>
      </c>
      <c r="D8361" t="s">
        <v>441</v>
      </c>
      <c r="F8361">
        <v>0</v>
      </c>
      <c r="H8361" t="s">
        <v>9295</v>
      </c>
      <c r="I8361">
        <v>547</v>
      </c>
      <c r="J8361" t="s">
        <v>445</v>
      </c>
      <c r="M8361">
        <v>7113</v>
      </c>
      <c r="N8361" t="s">
        <v>16388</v>
      </c>
    </row>
    <row r="8362" spans="1:14">
      <c r="A8362">
        <v>30120142</v>
      </c>
      <c r="B8362">
        <v>3037686</v>
      </c>
      <c r="C8362" t="s">
        <v>3545</v>
      </c>
      <c r="D8362" t="s">
        <v>442</v>
      </c>
      <c r="E8362" t="s">
        <v>441</v>
      </c>
      <c r="F8362">
        <v>15</v>
      </c>
      <c r="H8362" t="s">
        <v>9295</v>
      </c>
      <c r="I8362">
        <v>364</v>
      </c>
      <c r="J8362" t="s">
        <v>445</v>
      </c>
      <c r="M8362">
        <v>7113</v>
      </c>
      <c r="N8362" t="s">
        <v>16388</v>
      </c>
    </row>
    <row r="8363" spans="1:14">
      <c r="A8363">
        <v>30120152</v>
      </c>
      <c r="B8363">
        <v>3038085</v>
      </c>
      <c r="C8363" t="s">
        <v>3546</v>
      </c>
      <c r="D8363" t="s">
        <v>441</v>
      </c>
      <c r="F8363">
        <v>0</v>
      </c>
      <c r="H8363" t="s">
        <v>9295</v>
      </c>
      <c r="I8363">
        <v>547</v>
      </c>
      <c r="J8363" t="s">
        <v>445</v>
      </c>
      <c r="M8363">
        <v>7113</v>
      </c>
      <c r="N8363" t="s">
        <v>16388</v>
      </c>
    </row>
    <row r="8364" spans="1:14">
      <c r="A8364">
        <v>30120162</v>
      </c>
      <c r="B8364">
        <v>3042085</v>
      </c>
      <c r="C8364" t="s">
        <v>3547</v>
      </c>
      <c r="D8364" t="s">
        <v>441</v>
      </c>
      <c r="F8364">
        <v>0</v>
      </c>
      <c r="G8364">
        <v>11.25</v>
      </c>
      <c r="H8364" t="s">
        <v>9295</v>
      </c>
      <c r="I8364">
        <v>547</v>
      </c>
      <c r="J8364" t="s">
        <v>445</v>
      </c>
      <c r="M8364">
        <v>0</v>
      </c>
      <c r="N8364" t="s">
        <v>16388</v>
      </c>
    </row>
    <row r="8365" spans="1:14">
      <c r="A8365">
        <v>30120172</v>
      </c>
      <c r="B8365">
        <v>3038458</v>
      </c>
      <c r="C8365" t="s">
        <v>14509</v>
      </c>
      <c r="D8365" t="s">
        <v>442</v>
      </c>
      <c r="E8365" t="s">
        <v>441</v>
      </c>
      <c r="F8365">
        <v>15</v>
      </c>
      <c r="G8365">
        <v>149.36000000000001</v>
      </c>
      <c r="H8365" t="s">
        <v>10006</v>
      </c>
      <c r="I8365">
        <v>364</v>
      </c>
      <c r="J8365" t="s">
        <v>445</v>
      </c>
      <c r="M8365">
        <v>0</v>
      </c>
      <c r="N8365" t="s">
        <v>16388</v>
      </c>
    </row>
    <row r="8366" spans="1:14">
      <c r="A8366">
        <v>30120180</v>
      </c>
      <c r="B8366">
        <v>3044640</v>
      </c>
      <c r="C8366" t="s">
        <v>17562</v>
      </c>
      <c r="D8366" t="s">
        <v>441</v>
      </c>
      <c r="F8366">
        <v>0</v>
      </c>
      <c r="G8366">
        <v>12.32</v>
      </c>
      <c r="H8366" t="s">
        <v>9295</v>
      </c>
      <c r="I8366">
        <v>6</v>
      </c>
      <c r="J8366" t="s">
        <v>445</v>
      </c>
      <c r="M8366">
        <v>0</v>
      </c>
      <c r="N8366" t="s">
        <v>16388</v>
      </c>
    </row>
    <row r="8367" spans="1:14">
      <c r="A8367">
        <v>30120502</v>
      </c>
      <c r="B8367">
        <v>3032456</v>
      </c>
      <c r="C8367" t="s">
        <v>12452</v>
      </c>
      <c r="D8367" t="s">
        <v>441</v>
      </c>
      <c r="F8367">
        <v>0</v>
      </c>
      <c r="G8367">
        <v>6.7</v>
      </c>
      <c r="H8367" t="s">
        <v>9295</v>
      </c>
      <c r="I8367">
        <v>365</v>
      </c>
      <c r="J8367" t="s">
        <v>445</v>
      </c>
      <c r="K8367" t="s">
        <v>446</v>
      </c>
      <c r="M8367">
        <v>2641</v>
      </c>
      <c r="N8367" t="s">
        <v>16388</v>
      </c>
    </row>
    <row r="8368" spans="1:14">
      <c r="A8368">
        <v>30120612</v>
      </c>
      <c r="B8368">
        <v>3010211</v>
      </c>
      <c r="C8368" t="s">
        <v>3548</v>
      </c>
      <c r="D8368" t="s">
        <v>441</v>
      </c>
      <c r="F8368">
        <v>0</v>
      </c>
      <c r="G8368">
        <v>8.49</v>
      </c>
      <c r="H8368" t="s">
        <v>10006</v>
      </c>
      <c r="I8368">
        <v>3</v>
      </c>
      <c r="J8368" t="s">
        <v>445</v>
      </c>
      <c r="M8368">
        <v>2510</v>
      </c>
      <c r="N8368" t="s">
        <v>16388</v>
      </c>
    </row>
    <row r="8369" spans="1:14">
      <c r="A8369">
        <v>30125102</v>
      </c>
      <c r="B8369">
        <v>3043291</v>
      </c>
      <c r="C8369" t="s">
        <v>14510</v>
      </c>
      <c r="D8369" t="s">
        <v>441</v>
      </c>
      <c r="F8369">
        <v>0</v>
      </c>
      <c r="G8369">
        <v>10.72</v>
      </c>
      <c r="H8369" t="s">
        <v>9295</v>
      </c>
      <c r="I8369">
        <v>547</v>
      </c>
      <c r="J8369" t="s">
        <v>445</v>
      </c>
      <c r="M8369">
        <v>0</v>
      </c>
      <c r="N8369" t="s">
        <v>16388</v>
      </c>
    </row>
    <row r="8370" spans="1:14">
      <c r="A8370">
        <v>30125182</v>
      </c>
      <c r="B8370">
        <v>3042786</v>
      </c>
      <c r="C8370" t="s">
        <v>17563</v>
      </c>
      <c r="D8370" t="s">
        <v>441</v>
      </c>
      <c r="F8370">
        <v>0</v>
      </c>
      <c r="G8370">
        <v>9.76</v>
      </c>
      <c r="H8370" t="s">
        <v>9295</v>
      </c>
      <c r="I8370">
        <v>547</v>
      </c>
      <c r="J8370" t="s">
        <v>445</v>
      </c>
      <c r="M8370">
        <v>0</v>
      </c>
      <c r="N8370" t="s">
        <v>16388</v>
      </c>
    </row>
    <row r="8371" spans="1:14">
      <c r="A8371">
        <v>30125602</v>
      </c>
      <c r="B8371">
        <v>3034124</v>
      </c>
      <c r="C8371" t="s">
        <v>14511</v>
      </c>
      <c r="D8371" t="s">
        <v>441</v>
      </c>
      <c r="F8371">
        <v>0</v>
      </c>
      <c r="G8371">
        <v>9</v>
      </c>
      <c r="H8371" t="s">
        <v>10006</v>
      </c>
      <c r="I8371">
        <v>7</v>
      </c>
      <c r="J8371" t="s">
        <v>445</v>
      </c>
      <c r="M8371">
        <v>2510</v>
      </c>
      <c r="N8371" t="s">
        <v>16388</v>
      </c>
    </row>
    <row r="8372" spans="1:14">
      <c r="A8372">
        <v>30125902</v>
      </c>
      <c r="B8372">
        <v>3044220</v>
      </c>
      <c r="C8372" t="s">
        <v>14512</v>
      </c>
      <c r="D8372" t="s">
        <v>441</v>
      </c>
      <c r="F8372">
        <v>0</v>
      </c>
      <c r="G8372">
        <v>9</v>
      </c>
      <c r="H8372" t="s">
        <v>10006</v>
      </c>
      <c r="I8372">
        <v>7</v>
      </c>
      <c r="J8372" t="s">
        <v>445</v>
      </c>
      <c r="M8372">
        <v>6666</v>
      </c>
      <c r="N8372" t="s">
        <v>16388</v>
      </c>
    </row>
    <row r="8373" spans="1:14">
      <c r="A8373">
        <v>30130110</v>
      </c>
      <c r="B8373">
        <v>3019974</v>
      </c>
      <c r="C8373" t="s">
        <v>12453</v>
      </c>
      <c r="D8373" t="s">
        <v>441</v>
      </c>
      <c r="F8373">
        <v>0</v>
      </c>
      <c r="H8373" t="s">
        <v>9295</v>
      </c>
      <c r="I8373">
        <v>6</v>
      </c>
      <c r="J8373" t="s">
        <v>445</v>
      </c>
      <c r="M8373">
        <v>7161</v>
      </c>
      <c r="N8373" t="s">
        <v>16380</v>
      </c>
    </row>
    <row r="8374" spans="1:14">
      <c r="A8374">
        <v>30130120</v>
      </c>
      <c r="B8374">
        <v>3031829</v>
      </c>
      <c r="C8374" t="s">
        <v>17564</v>
      </c>
      <c r="D8374" t="s">
        <v>441</v>
      </c>
      <c r="F8374">
        <v>0</v>
      </c>
      <c r="G8374">
        <v>11.98</v>
      </c>
      <c r="H8374" t="s">
        <v>9295</v>
      </c>
      <c r="I8374">
        <v>6</v>
      </c>
      <c r="J8374" t="s">
        <v>445</v>
      </c>
      <c r="M8374">
        <v>0</v>
      </c>
      <c r="N8374" t="s">
        <v>16380</v>
      </c>
    </row>
    <row r="8375" spans="1:14">
      <c r="A8375">
        <v>30140102</v>
      </c>
      <c r="B8375">
        <v>3043337</v>
      </c>
      <c r="C8375" t="s">
        <v>17565</v>
      </c>
      <c r="D8375" t="s">
        <v>441</v>
      </c>
      <c r="F8375">
        <v>0</v>
      </c>
      <c r="G8375">
        <v>10.38</v>
      </c>
      <c r="H8375" t="s">
        <v>9295</v>
      </c>
      <c r="I8375">
        <v>547</v>
      </c>
      <c r="J8375" t="s">
        <v>445</v>
      </c>
      <c r="M8375">
        <v>0</v>
      </c>
      <c r="N8375" t="s">
        <v>16389</v>
      </c>
    </row>
    <row r="8376" spans="1:14">
      <c r="A8376">
        <v>30140110</v>
      </c>
      <c r="B8376">
        <v>3041905</v>
      </c>
      <c r="C8376" t="s">
        <v>12454</v>
      </c>
      <c r="D8376" t="s">
        <v>441</v>
      </c>
      <c r="F8376">
        <v>0</v>
      </c>
      <c r="G8376">
        <v>8.93</v>
      </c>
      <c r="H8376" t="s">
        <v>9295</v>
      </c>
      <c r="I8376">
        <v>6</v>
      </c>
      <c r="J8376" t="s">
        <v>445</v>
      </c>
      <c r="M8376">
        <v>0</v>
      </c>
      <c r="N8376" t="s">
        <v>16389</v>
      </c>
    </row>
    <row r="8377" spans="1:14">
      <c r="A8377">
        <v>30140112</v>
      </c>
      <c r="B8377">
        <v>3018814</v>
      </c>
      <c r="C8377" t="s">
        <v>12455</v>
      </c>
      <c r="D8377" t="s">
        <v>441</v>
      </c>
      <c r="F8377">
        <v>0</v>
      </c>
      <c r="H8377" t="s">
        <v>9295</v>
      </c>
      <c r="I8377">
        <v>547</v>
      </c>
      <c r="J8377" t="s">
        <v>445</v>
      </c>
      <c r="M8377">
        <v>7113</v>
      </c>
      <c r="N8377" t="s">
        <v>16389</v>
      </c>
    </row>
    <row r="8378" spans="1:14">
      <c r="A8378">
        <v>30140120</v>
      </c>
      <c r="B8378">
        <v>3035068</v>
      </c>
      <c r="C8378" t="s">
        <v>15507</v>
      </c>
      <c r="D8378" t="s">
        <v>441</v>
      </c>
      <c r="F8378">
        <v>0</v>
      </c>
      <c r="G8378">
        <v>9.7899999999999991</v>
      </c>
      <c r="H8378" t="s">
        <v>9295</v>
      </c>
      <c r="I8378">
        <v>6</v>
      </c>
      <c r="J8378" t="s">
        <v>445</v>
      </c>
      <c r="M8378">
        <v>0</v>
      </c>
      <c r="N8378" t="s">
        <v>16389</v>
      </c>
    </row>
    <row r="8379" spans="1:14">
      <c r="A8379">
        <v>30140122</v>
      </c>
      <c r="B8379">
        <v>3005603</v>
      </c>
      <c r="C8379" t="s">
        <v>12456</v>
      </c>
      <c r="D8379" t="s">
        <v>441</v>
      </c>
      <c r="F8379">
        <v>0</v>
      </c>
      <c r="H8379" t="s">
        <v>10006</v>
      </c>
      <c r="I8379">
        <v>364</v>
      </c>
      <c r="J8379" t="s">
        <v>445</v>
      </c>
      <c r="M8379">
        <v>7113</v>
      </c>
      <c r="N8379" t="s">
        <v>16389</v>
      </c>
    </row>
    <row r="8380" spans="1:14">
      <c r="A8380">
        <v>30140130</v>
      </c>
      <c r="B8380">
        <v>3034036</v>
      </c>
      <c r="C8380" t="s">
        <v>17566</v>
      </c>
      <c r="D8380" t="s">
        <v>441</v>
      </c>
      <c r="F8380">
        <v>0</v>
      </c>
      <c r="G8380">
        <v>10.71</v>
      </c>
      <c r="H8380" t="s">
        <v>9295</v>
      </c>
      <c r="I8380">
        <v>6</v>
      </c>
      <c r="J8380" t="s">
        <v>445</v>
      </c>
      <c r="M8380">
        <v>0</v>
      </c>
      <c r="N8380" t="s">
        <v>16389</v>
      </c>
    </row>
    <row r="8381" spans="1:14">
      <c r="A8381">
        <v>30140132</v>
      </c>
      <c r="B8381">
        <v>3031340</v>
      </c>
      <c r="C8381" t="s">
        <v>12457</v>
      </c>
      <c r="D8381" t="s">
        <v>441</v>
      </c>
      <c r="F8381">
        <v>0</v>
      </c>
      <c r="G8381">
        <v>7.35</v>
      </c>
      <c r="H8381" t="s">
        <v>9295</v>
      </c>
      <c r="I8381">
        <v>547</v>
      </c>
      <c r="J8381" t="s">
        <v>445</v>
      </c>
      <c r="M8381">
        <v>7113</v>
      </c>
      <c r="N8381" t="s">
        <v>16389</v>
      </c>
    </row>
    <row r="8382" spans="1:14">
      <c r="A8382">
        <v>30140140</v>
      </c>
      <c r="B8382">
        <v>3031341</v>
      </c>
      <c r="C8382" t="s">
        <v>17567</v>
      </c>
      <c r="D8382" t="s">
        <v>441</v>
      </c>
      <c r="F8382">
        <v>0</v>
      </c>
      <c r="G8382">
        <v>11.04</v>
      </c>
      <c r="H8382" t="s">
        <v>9295</v>
      </c>
      <c r="I8382">
        <v>6</v>
      </c>
      <c r="J8382" t="s">
        <v>445</v>
      </c>
      <c r="M8382">
        <v>0</v>
      </c>
      <c r="N8382" t="s">
        <v>16389</v>
      </c>
    </row>
    <row r="8383" spans="1:14">
      <c r="A8383">
        <v>30140142</v>
      </c>
      <c r="B8383">
        <v>3038519</v>
      </c>
      <c r="C8383" t="s">
        <v>12458</v>
      </c>
      <c r="D8383" t="s">
        <v>442</v>
      </c>
      <c r="E8383" t="s">
        <v>441</v>
      </c>
      <c r="F8383">
        <v>15</v>
      </c>
      <c r="G8383">
        <v>114.24</v>
      </c>
      <c r="H8383" t="s">
        <v>10006</v>
      </c>
      <c r="I8383">
        <v>364</v>
      </c>
      <c r="J8383" t="s">
        <v>445</v>
      </c>
      <c r="M8383">
        <v>0</v>
      </c>
      <c r="N8383" t="s">
        <v>16389</v>
      </c>
    </row>
    <row r="8384" spans="1:14">
      <c r="A8384">
        <v>30140150</v>
      </c>
      <c r="B8384">
        <v>3030463</v>
      </c>
      <c r="C8384" t="s">
        <v>17568</v>
      </c>
      <c r="D8384" t="s">
        <v>441</v>
      </c>
      <c r="F8384">
        <v>0</v>
      </c>
      <c r="G8384">
        <v>9.94</v>
      </c>
      <c r="H8384" t="s">
        <v>9295</v>
      </c>
      <c r="I8384">
        <v>6</v>
      </c>
      <c r="J8384" t="s">
        <v>445</v>
      </c>
      <c r="M8384">
        <v>0</v>
      </c>
      <c r="N8384" t="s">
        <v>16389</v>
      </c>
    </row>
    <row r="8385" spans="1:14">
      <c r="A8385">
        <v>30140152</v>
      </c>
      <c r="B8385">
        <v>3042074</v>
      </c>
      <c r="C8385" t="s">
        <v>12459</v>
      </c>
      <c r="D8385" t="s">
        <v>441</v>
      </c>
      <c r="F8385">
        <v>0</v>
      </c>
      <c r="G8385">
        <v>10.23</v>
      </c>
      <c r="H8385" t="s">
        <v>9295</v>
      </c>
      <c r="I8385">
        <v>547</v>
      </c>
      <c r="J8385" t="s">
        <v>445</v>
      </c>
      <c r="M8385">
        <v>0</v>
      </c>
      <c r="N8385" t="s">
        <v>16389</v>
      </c>
    </row>
    <row r="8386" spans="1:14">
      <c r="A8386">
        <v>30140160</v>
      </c>
      <c r="B8386">
        <v>3031653</v>
      </c>
      <c r="C8386" t="s">
        <v>17569</v>
      </c>
      <c r="D8386" t="s">
        <v>441</v>
      </c>
      <c r="F8386">
        <v>0</v>
      </c>
      <c r="G8386">
        <v>9.94</v>
      </c>
      <c r="H8386" t="s">
        <v>9295</v>
      </c>
      <c r="I8386">
        <v>6</v>
      </c>
      <c r="J8386" t="s">
        <v>445</v>
      </c>
      <c r="M8386">
        <v>0</v>
      </c>
      <c r="N8386" t="s">
        <v>16389</v>
      </c>
    </row>
    <row r="8387" spans="1:14">
      <c r="A8387">
        <v>30140162</v>
      </c>
      <c r="B8387">
        <v>3041951</v>
      </c>
      <c r="C8387" t="s">
        <v>12460</v>
      </c>
      <c r="D8387" t="s">
        <v>441</v>
      </c>
      <c r="F8387">
        <v>0</v>
      </c>
      <c r="G8387">
        <v>9.4700000000000006</v>
      </c>
      <c r="H8387" t="s">
        <v>9295</v>
      </c>
      <c r="I8387">
        <v>547</v>
      </c>
      <c r="J8387" t="s">
        <v>445</v>
      </c>
      <c r="M8387">
        <v>0</v>
      </c>
      <c r="N8387" t="s">
        <v>16389</v>
      </c>
    </row>
    <row r="8388" spans="1:14">
      <c r="A8388">
        <v>30140170</v>
      </c>
      <c r="B8388">
        <v>3041798</v>
      </c>
      <c r="C8388" t="s">
        <v>17570</v>
      </c>
      <c r="D8388" t="s">
        <v>441</v>
      </c>
      <c r="F8388">
        <v>0</v>
      </c>
      <c r="G8388">
        <v>9.92</v>
      </c>
      <c r="H8388" t="s">
        <v>9295</v>
      </c>
      <c r="I8388">
        <v>6</v>
      </c>
      <c r="J8388" t="s">
        <v>445</v>
      </c>
      <c r="M8388">
        <v>0</v>
      </c>
      <c r="N8388" t="s">
        <v>16389</v>
      </c>
    </row>
    <row r="8389" spans="1:14">
      <c r="A8389">
        <v>30140172</v>
      </c>
      <c r="B8389">
        <v>3043335</v>
      </c>
      <c r="C8389" t="s">
        <v>15951</v>
      </c>
      <c r="D8389" t="s">
        <v>441</v>
      </c>
      <c r="F8389">
        <v>0</v>
      </c>
      <c r="G8389">
        <v>9.7200000000000006</v>
      </c>
      <c r="H8389" t="s">
        <v>9295</v>
      </c>
      <c r="I8389">
        <v>547</v>
      </c>
      <c r="J8389" t="s">
        <v>445</v>
      </c>
      <c r="M8389">
        <v>0</v>
      </c>
      <c r="N8389" t="s">
        <v>16389</v>
      </c>
    </row>
    <row r="8390" spans="1:14">
      <c r="A8390">
        <v>30140180</v>
      </c>
      <c r="B8390">
        <v>3031339</v>
      </c>
      <c r="C8390" t="s">
        <v>17571</v>
      </c>
      <c r="D8390" t="s">
        <v>441</v>
      </c>
      <c r="F8390">
        <v>0</v>
      </c>
      <c r="G8390">
        <v>11.08</v>
      </c>
      <c r="H8390" t="s">
        <v>9295</v>
      </c>
      <c r="I8390">
        <v>6</v>
      </c>
      <c r="J8390" t="s">
        <v>445</v>
      </c>
      <c r="M8390">
        <v>0</v>
      </c>
      <c r="N8390" t="s">
        <v>16389</v>
      </c>
    </row>
    <row r="8391" spans="1:14">
      <c r="A8391">
        <v>30140182</v>
      </c>
      <c r="B8391">
        <v>3038517</v>
      </c>
      <c r="C8391" t="s">
        <v>16390</v>
      </c>
      <c r="D8391" t="s">
        <v>442</v>
      </c>
      <c r="E8391" t="s">
        <v>441</v>
      </c>
      <c r="F8391">
        <v>15</v>
      </c>
      <c r="G8391">
        <v>154.59</v>
      </c>
      <c r="H8391" t="s">
        <v>10006</v>
      </c>
      <c r="I8391">
        <v>364</v>
      </c>
      <c r="J8391" t="s">
        <v>445</v>
      </c>
      <c r="M8391">
        <v>0</v>
      </c>
      <c r="N8391" t="s">
        <v>16389</v>
      </c>
    </row>
    <row r="8392" spans="1:14">
      <c r="A8392">
        <v>30140192</v>
      </c>
      <c r="B8392">
        <v>3038006</v>
      </c>
      <c r="C8392" t="s">
        <v>16391</v>
      </c>
      <c r="D8392" t="s">
        <v>441</v>
      </c>
      <c r="F8392">
        <v>0</v>
      </c>
      <c r="G8392">
        <v>7.3</v>
      </c>
      <c r="H8392" t="s">
        <v>9295</v>
      </c>
      <c r="I8392">
        <v>547</v>
      </c>
      <c r="J8392" t="s">
        <v>445</v>
      </c>
      <c r="M8392">
        <v>0</v>
      </c>
      <c r="N8392" t="s">
        <v>16389</v>
      </c>
    </row>
    <row r="8393" spans="1:14">
      <c r="A8393">
        <v>30140200</v>
      </c>
      <c r="B8393">
        <v>3037801</v>
      </c>
      <c r="C8393" t="s">
        <v>17572</v>
      </c>
      <c r="D8393" t="s">
        <v>441</v>
      </c>
      <c r="F8393">
        <v>0</v>
      </c>
      <c r="G8393">
        <v>10.52</v>
      </c>
      <c r="H8393" t="s">
        <v>9295</v>
      </c>
      <c r="I8393">
        <v>6</v>
      </c>
      <c r="J8393" t="s">
        <v>445</v>
      </c>
      <c r="M8393">
        <v>0</v>
      </c>
      <c r="N8393" t="s">
        <v>16389</v>
      </c>
    </row>
    <row r="8394" spans="1:14">
      <c r="A8394">
        <v>30140602</v>
      </c>
      <c r="B8394">
        <v>3010221</v>
      </c>
      <c r="C8394" t="s">
        <v>12461</v>
      </c>
      <c r="D8394" t="s">
        <v>441</v>
      </c>
      <c r="F8394">
        <v>0</v>
      </c>
      <c r="G8394">
        <v>8.75</v>
      </c>
      <c r="H8394" t="s">
        <v>10006</v>
      </c>
      <c r="I8394">
        <v>3</v>
      </c>
      <c r="J8394" t="s">
        <v>445</v>
      </c>
      <c r="M8394">
        <v>2510</v>
      </c>
      <c r="N8394" t="s">
        <v>16389</v>
      </c>
    </row>
    <row r="8395" spans="1:14">
      <c r="A8395">
        <v>30140612</v>
      </c>
      <c r="B8395">
        <v>3032453</v>
      </c>
      <c r="C8395" t="s">
        <v>12462</v>
      </c>
      <c r="D8395" t="s">
        <v>441</v>
      </c>
      <c r="F8395">
        <v>0</v>
      </c>
      <c r="G8395">
        <v>6.67</v>
      </c>
      <c r="H8395" t="s">
        <v>9295</v>
      </c>
      <c r="I8395">
        <v>4</v>
      </c>
      <c r="J8395" t="s">
        <v>445</v>
      </c>
      <c r="K8395" t="s">
        <v>446</v>
      </c>
      <c r="M8395">
        <v>2511</v>
      </c>
      <c r="N8395" t="s">
        <v>16389</v>
      </c>
    </row>
    <row r="8396" spans="1:14">
      <c r="A8396">
        <v>30145102</v>
      </c>
      <c r="B8396">
        <v>3042313</v>
      </c>
      <c r="C8396" t="s">
        <v>16392</v>
      </c>
      <c r="D8396" t="s">
        <v>441</v>
      </c>
      <c r="F8396">
        <v>0</v>
      </c>
      <c r="G8396">
        <v>9.77</v>
      </c>
      <c r="H8396" t="s">
        <v>9295</v>
      </c>
      <c r="I8396">
        <v>547</v>
      </c>
      <c r="J8396" t="s">
        <v>445</v>
      </c>
      <c r="M8396">
        <v>0</v>
      </c>
      <c r="N8396" t="s">
        <v>16389</v>
      </c>
    </row>
    <row r="8397" spans="1:14">
      <c r="A8397">
        <v>30145112</v>
      </c>
      <c r="B8397">
        <v>3043336</v>
      </c>
      <c r="C8397" t="s">
        <v>16393</v>
      </c>
      <c r="D8397" t="s">
        <v>441</v>
      </c>
      <c r="F8397">
        <v>0</v>
      </c>
      <c r="G8397">
        <v>9.7100000000000009</v>
      </c>
      <c r="H8397" t="s">
        <v>9295</v>
      </c>
      <c r="I8397">
        <v>547</v>
      </c>
      <c r="J8397" t="s">
        <v>445</v>
      </c>
      <c r="M8397">
        <v>0</v>
      </c>
      <c r="N8397" t="s">
        <v>16389</v>
      </c>
    </row>
    <row r="8398" spans="1:14">
      <c r="A8398">
        <v>30145202</v>
      </c>
      <c r="B8398">
        <v>3042790</v>
      </c>
      <c r="C8398" t="s">
        <v>17573</v>
      </c>
      <c r="D8398" t="s">
        <v>441</v>
      </c>
      <c r="F8398">
        <v>0</v>
      </c>
      <c r="G8398">
        <v>7.51</v>
      </c>
      <c r="H8398" t="s">
        <v>9295</v>
      </c>
      <c r="I8398">
        <v>547</v>
      </c>
      <c r="J8398" t="s">
        <v>445</v>
      </c>
      <c r="M8398">
        <v>0</v>
      </c>
      <c r="N8398" t="s">
        <v>16389</v>
      </c>
    </row>
    <row r="8399" spans="1:14">
      <c r="A8399">
        <v>30150110</v>
      </c>
      <c r="B8399">
        <v>3031338</v>
      </c>
      <c r="C8399" t="s">
        <v>12463</v>
      </c>
      <c r="D8399" t="s">
        <v>441</v>
      </c>
      <c r="F8399">
        <v>0</v>
      </c>
      <c r="H8399" t="s">
        <v>9295</v>
      </c>
      <c r="I8399">
        <v>6</v>
      </c>
      <c r="J8399" t="s">
        <v>445</v>
      </c>
      <c r="M8399">
        <v>7161</v>
      </c>
      <c r="N8399" t="s">
        <v>16394</v>
      </c>
    </row>
    <row r="8400" spans="1:14">
      <c r="A8400">
        <v>30150112</v>
      </c>
      <c r="B8400">
        <v>3031337</v>
      </c>
      <c r="C8400" t="s">
        <v>12464</v>
      </c>
      <c r="D8400" t="s">
        <v>441</v>
      </c>
      <c r="F8400">
        <v>0</v>
      </c>
      <c r="H8400" t="s">
        <v>9295</v>
      </c>
      <c r="I8400">
        <v>364</v>
      </c>
      <c r="J8400" t="s">
        <v>445</v>
      </c>
      <c r="M8400">
        <v>7113</v>
      </c>
      <c r="N8400" t="s">
        <v>16394</v>
      </c>
    </row>
    <row r="8401" spans="1:14">
      <c r="A8401">
        <v>30150120</v>
      </c>
      <c r="B8401">
        <v>3035110</v>
      </c>
      <c r="C8401" t="s">
        <v>17574</v>
      </c>
      <c r="D8401" t="s">
        <v>441</v>
      </c>
      <c r="F8401">
        <v>0</v>
      </c>
      <c r="G8401">
        <v>12.88</v>
      </c>
      <c r="H8401" t="s">
        <v>9295</v>
      </c>
      <c r="I8401">
        <v>6</v>
      </c>
      <c r="J8401" t="s">
        <v>445</v>
      </c>
      <c r="M8401">
        <v>0</v>
      </c>
      <c r="N8401" t="s">
        <v>16394</v>
      </c>
    </row>
    <row r="8402" spans="1:14">
      <c r="A8402">
        <v>30150122</v>
      </c>
      <c r="B8402">
        <v>3028700</v>
      </c>
      <c r="C8402" t="s">
        <v>12465</v>
      </c>
      <c r="D8402" t="s">
        <v>441</v>
      </c>
      <c r="F8402">
        <v>0</v>
      </c>
      <c r="H8402" t="s">
        <v>9295</v>
      </c>
      <c r="I8402">
        <v>547</v>
      </c>
      <c r="J8402" t="s">
        <v>445</v>
      </c>
      <c r="M8402">
        <v>7113</v>
      </c>
      <c r="N8402" t="s">
        <v>16394</v>
      </c>
    </row>
    <row r="8403" spans="1:14">
      <c r="A8403">
        <v>30150132</v>
      </c>
      <c r="B8403">
        <v>3041763</v>
      </c>
      <c r="C8403" t="s">
        <v>12466</v>
      </c>
      <c r="D8403" t="s">
        <v>441</v>
      </c>
      <c r="F8403">
        <v>0</v>
      </c>
      <c r="G8403">
        <v>11.77</v>
      </c>
      <c r="H8403" t="s">
        <v>9295</v>
      </c>
      <c r="I8403">
        <v>547</v>
      </c>
      <c r="J8403" t="s">
        <v>445</v>
      </c>
      <c r="M8403">
        <v>0</v>
      </c>
      <c r="N8403" t="s">
        <v>16394</v>
      </c>
    </row>
    <row r="8404" spans="1:14">
      <c r="A8404">
        <v>30150142</v>
      </c>
      <c r="B8404">
        <v>3030786</v>
      </c>
      <c r="C8404" t="s">
        <v>14513</v>
      </c>
      <c r="D8404" t="s">
        <v>441</v>
      </c>
      <c r="F8404">
        <v>0</v>
      </c>
      <c r="G8404">
        <v>13.09</v>
      </c>
      <c r="H8404" t="s">
        <v>9295</v>
      </c>
      <c r="I8404">
        <v>365</v>
      </c>
      <c r="J8404" t="s">
        <v>445</v>
      </c>
      <c r="M8404">
        <v>0</v>
      </c>
      <c r="N8404" t="s">
        <v>16394</v>
      </c>
    </row>
    <row r="8405" spans="1:14">
      <c r="A8405">
        <v>30150152</v>
      </c>
      <c r="B8405">
        <v>3010142</v>
      </c>
      <c r="C8405" t="s">
        <v>16395</v>
      </c>
      <c r="D8405" t="s">
        <v>441</v>
      </c>
      <c r="F8405">
        <v>0</v>
      </c>
      <c r="G8405">
        <v>12.37</v>
      </c>
      <c r="H8405" t="s">
        <v>9295</v>
      </c>
      <c r="I8405">
        <v>364</v>
      </c>
      <c r="J8405" t="s">
        <v>445</v>
      </c>
      <c r="M8405">
        <v>0</v>
      </c>
      <c r="N8405" t="s">
        <v>16394</v>
      </c>
    </row>
    <row r="8406" spans="1:14">
      <c r="A8406">
        <v>30150162</v>
      </c>
      <c r="B8406">
        <v>3036586</v>
      </c>
      <c r="C8406" t="s">
        <v>17575</v>
      </c>
      <c r="D8406" t="s">
        <v>441</v>
      </c>
      <c r="F8406">
        <v>0</v>
      </c>
      <c r="G8406">
        <v>10.93</v>
      </c>
      <c r="H8406" t="s">
        <v>9295</v>
      </c>
      <c r="I8406">
        <v>364</v>
      </c>
      <c r="J8406" t="s">
        <v>445</v>
      </c>
      <c r="M8406">
        <v>0</v>
      </c>
      <c r="N8406" t="s">
        <v>16394</v>
      </c>
    </row>
    <row r="8407" spans="1:14">
      <c r="A8407">
        <v>30150602</v>
      </c>
      <c r="B8407">
        <v>3025834</v>
      </c>
      <c r="C8407" t="s">
        <v>12467</v>
      </c>
      <c r="D8407" t="s">
        <v>441</v>
      </c>
      <c r="F8407">
        <v>0</v>
      </c>
      <c r="G8407">
        <v>9.7899999999999991</v>
      </c>
      <c r="H8407" t="s">
        <v>10006</v>
      </c>
      <c r="I8407">
        <v>6</v>
      </c>
      <c r="J8407" t="s">
        <v>445</v>
      </c>
      <c r="M8407">
        <v>2510</v>
      </c>
      <c r="N8407" t="s">
        <v>16394</v>
      </c>
    </row>
    <row r="8408" spans="1:14">
      <c r="A8408">
        <v>30150902</v>
      </c>
      <c r="B8408">
        <v>3025972</v>
      </c>
      <c r="C8408" t="s">
        <v>12468</v>
      </c>
      <c r="D8408" t="s">
        <v>441</v>
      </c>
      <c r="F8408">
        <v>0</v>
      </c>
      <c r="I8408">
        <v>6</v>
      </c>
      <c r="J8408" t="s">
        <v>445</v>
      </c>
      <c r="M8408">
        <v>6666</v>
      </c>
      <c r="N8408" t="s">
        <v>16394</v>
      </c>
    </row>
    <row r="8409" spans="1:14">
      <c r="A8409">
        <v>30160100</v>
      </c>
      <c r="B8409">
        <v>3027519</v>
      </c>
      <c r="C8409" t="s">
        <v>16396</v>
      </c>
      <c r="D8409" t="s">
        <v>441</v>
      </c>
      <c r="F8409">
        <v>0</v>
      </c>
      <c r="G8409">
        <v>10.59</v>
      </c>
      <c r="H8409" t="s">
        <v>9295</v>
      </c>
      <c r="I8409">
        <v>6</v>
      </c>
      <c r="J8409" t="s">
        <v>445</v>
      </c>
      <c r="M8409">
        <v>0</v>
      </c>
      <c r="N8409" t="s">
        <v>16386</v>
      </c>
    </row>
    <row r="8410" spans="1:14">
      <c r="A8410">
        <v>30160102</v>
      </c>
      <c r="B8410">
        <v>3038030</v>
      </c>
      <c r="C8410" t="s">
        <v>15952</v>
      </c>
      <c r="D8410" t="s">
        <v>442</v>
      </c>
      <c r="E8410" t="s">
        <v>441</v>
      </c>
      <c r="F8410">
        <v>15</v>
      </c>
      <c r="G8410">
        <v>167.93</v>
      </c>
      <c r="H8410" t="s">
        <v>9295</v>
      </c>
      <c r="I8410">
        <v>364</v>
      </c>
      <c r="J8410" t="s">
        <v>445</v>
      </c>
      <c r="M8410">
        <v>0</v>
      </c>
      <c r="N8410" t="s">
        <v>16386</v>
      </c>
    </row>
    <row r="8411" spans="1:14">
      <c r="A8411">
        <v>30160112</v>
      </c>
      <c r="B8411">
        <v>3045429</v>
      </c>
      <c r="C8411" t="s">
        <v>16397</v>
      </c>
      <c r="D8411" t="s">
        <v>442</v>
      </c>
      <c r="E8411" t="s">
        <v>441</v>
      </c>
      <c r="F8411">
        <v>15</v>
      </c>
      <c r="G8411">
        <v>164.79</v>
      </c>
      <c r="H8411" t="s">
        <v>10006</v>
      </c>
      <c r="I8411">
        <v>364</v>
      </c>
      <c r="J8411" t="s">
        <v>445</v>
      </c>
      <c r="M8411">
        <v>0</v>
      </c>
      <c r="N8411" t="s">
        <v>16386</v>
      </c>
    </row>
    <row r="8412" spans="1:14">
      <c r="A8412">
        <v>30160120</v>
      </c>
      <c r="B8412">
        <v>3037041</v>
      </c>
      <c r="C8412" t="s">
        <v>17576</v>
      </c>
      <c r="D8412" t="s">
        <v>441</v>
      </c>
      <c r="F8412">
        <v>0</v>
      </c>
      <c r="G8412">
        <v>12.03</v>
      </c>
      <c r="H8412" t="s">
        <v>9295</v>
      </c>
      <c r="I8412">
        <v>6</v>
      </c>
      <c r="J8412" t="s">
        <v>445</v>
      </c>
      <c r="M8412">
        <v>0</v>
      </c>
      <c r="N8412" t="s">
        <v>16386</v>
      </c>
    </row>
    <row r="8413" spans="1:14">
      <c r="A8413">
        <v>30160132</v>
      </c>
      <c r="B8413">
        <v>3038512</v>
      </c>
      <c r="C8413" t="s">
        <v>17577</v>
      </c>
      <c r="D8413" t="s">
        <v>442</v>
      </c>
      <c r="E8413" t="s">
        <v>441</v>
      </c>
      <c r="F8413">
        <v>15</v>
      </c>
      <c r="G8413">
        <v>178.88</v>
      </c>
      <c r="H8413" t="s">
        <v>10006</v>
      </c>
      <c r="I8413">
        <v>364</v>
      </c>
      <c r="J8413" t="s">
        <v>445</v>
      </c>
      <c r="M8413">
        <v>0</v>
      </c>
      <c r="N8413" t="s">
        <v>16386</v>
      </c>
    </row>
    <row r="8414" spans="1:14">
      <c r="A8414">
        <v>30160142</v>
      </c>
      <c r="B8414">
        <v>3032493</v>
      </c>
      <c r="C8414" t="s">
        <v>17578</v>
      </c>
      <c r="D8414" t="s">
        <v>441</v>
      </c>
      <c r="F8414">
        <v>0</v>
      </c>
      <c r="G8414">
        <v>13.03</v>
      </c>
      <c r="H8414" t="s">
        <v>9295</v>
      </c>
      <c r="I8414">
        <v>547</v>
      </c>
      <c r="J8414" t="s">
        <v>445</v>
      </c>
      <c r="M8414">
        <v>0</v>
      </c>
      <c r="N8414" t="s">
        <v>16386</v>
      </c>
    </row>
    <row r="8415" spans="1:14">
      <c r="A8415">
        <v>30160602</v>
      </c>
      <c r="B8415">
        <v>3018409</v>
      </c>
      <c r="C8415" t="s">
        <v>12469</v>
      </c>
      <c r="D8415" t="s">
        <v>441</v>
      </c>
      <c r="F8415">
        <v>0</v>
      </c>
      <c r="G8415">
        <v>8.14</v>
      </c>
      <c r="H8415" t="s">
        <v>10006</v>
      </c>
      <c r="I8415">
        <v>3</v>
      </c>
      <c r="J8415" t="s">
        <v>445</v>
      </c>
      <c r="M8415">
        <v>2510</v>
      </c>
      <c r="N8415" t="s">
        <v>16386</v>
      </c>
    </row>
    <row r="8416" spans="1:14">
      <c r="A8416">
        <v>30160902</v>
      </c>
      <c r="B8416">
        <v>3020803</v>
      </c>
      <c r="C8416" t="s">
        <v>12470</v>
      </c>
      <c r="D8416" t="s">
        <v>441</v>
      </c>
      <c r="F8416">
        <v>0</v>
      </c>
      <c r="G8416">
        <v>8.0399999999999991</v>
      </c>
      <c r="I8416">
        <v>3</v>
      </c>
      <c r="J8416" t="s">
        <v>445</v>
      </c>
      <c r="M8416">
        <v>6666</v>
      </c>
      <c r="N8416" t="s">
        <v>16386</v>
      </c>
    </row>
    <row r="8417" spans="1:14">
      <c r="A8417">
        <v>30170112</v>
      </c>
      <c r="B8417">
        <v>3041565</v>
      </c>
      <c r="C8417" t="s">
        <v>12471</v>
      </c>
      <c r="D8417" t="s">
        <v>441</v>
      </c>
      <c r="F8417">
        <v>0</v>
      </c>
      <c r="G8417">
        <v>10.89</v>
      </c>
      <c r="H8417" t="s">
        <v>9295</v>
      </c>
      <c r="I8417">
        <v>365</v>
      </c>
      <c r="J8417" t="s">
        <v>445</v>
      </c>
      <c r="M8417">
        <v>0</v>
      </c>
      <c r="N8417" t="s">
        <v>16398</v>
      </c>
    </row>
    <row r="8418" spans="1:14">
      <c r="A8418">
        <v>30170122</v>
      </c>
      <c r="B8418">
        <v>3041597</v>
      </c>
      <c r="C8418" t="s">
        <v>12472</v>
      </c>
      <c r="D8418" t="s">
        <v>442</v>
      </c>
      <c r="E8418" t="s">
        <v>441</v>
      </c>
      <c r="F8418">
        <v>15</v>
      </c>
      <c r="G8418">
        <v>146.01</v>
      </c>
      <c r="H8418" t="s">
        <v>10006</v>
      </c>
      <c r="I8418">
        <v>364</v>
      </c>
      <c r="J8418" t="s">
        <v>445</v>
      </c>
      <c r="M8418">
        <v>0</v>
      </c>
      <c r="N8418" t="s">
        <v>16398</v>
      </c>
    </row>
    <row r="8419" spans="1:14">
      <c r="A8419">
        <v>30170622</v>
      </c>
      <c r="B8419">
        <v>3042456</v>
      </c>
      <c r="C8419" t="s">
        <v>12473</v>
      </c>
      <c r="D8419" t="s">
        <v>441</v>
      </c>
      <c r="F8419">
        <v>0</v>
      </c>
      <c r="G8419">
        <v>10.82</v>
      </c>
      <c r="H8419" t="s">
        <v>10006</v>
      </c>
      <c r="I8419">
        <v>3</v>
      </c>
      <c r="J8419" t="s">
        <v>445</v>
      </c>
      <c r="M8419">
        <v>2510</v>
      </c>
      <c r="N8419" t="s">
        <v>16398</v>
      </c>
    </row>
    <row r="8420" spans="1:14">
      <c r="A8420">
        <v>30170922</v>
      </c>
      <c r="B8420">
        <v>3042458</v>
      </c>
      <c r="C8420" t="s">
        <v>12474</v>
      </c>
      <c r="D8420" t="s">
        <v>441</v>
      </c>
      <c r="F8420">
        <v>0</v>
      </c>
      <c r="G8420">
        <v>1</v>
      </c>
      <c r="H8420" t="s">
        <v>10006</v>
      </c>
      <c r="I8420">
        <v>3</v>
      </c>
      <c r="J8420" t="s">
        <v>445</v>
      </c>
      <c r="M8420">
        <v>6666</v>
      </c>
      <c r="N8420" t="s">
        <v>16398</v>
      </c>
    </row>
    <row r="8421" spans="1:14">
      <c r="A8421">
        <v>30180102</v>
      </c>
      <c r="B8421">
        <v>3031128</v>
      </c>
      <c r="C8421" t="s">
        <v>14514</v>
      </c>
      <c r="D8421" t="s">
        <v>441</v>
      </c>
      <c r="F8421">
        <v>0</v>
      </c>
      <c r="G8421">
        <v>8.52</v>
      </c>
      <c r="H8421" t="s">
        <v>9295</v>
      </c>
      <c r="I8421">
        <v>365</v>
      </c>
      <c r="J8421" t="s">
        <v>445</v>
      </c>
      <c r="M8421">
        <v>0</v>
      </c>
      <c r="N8421" t="s">
        <v>16399</v>
      </c>
    </row>
    <row r="8422" spans="1:14">
      <c r="A8422">
        <v>30180602</v>
      </c>
      <c r="B8422">
        <v>3011985</v>
      </c>
      <c r="C8422" t="s">
        <v>14515</v>
      </c>
      <c r="D8422" t="s">
        <v>441</v>
      </c>
      <c r="F8422">
        <v>0</v>
      </c>
      <c r="G8422">
        <v>8.82</v>
      </c>
      <c r="H8422" t="s">
        <v>10006</v>
      </c>
      <c r="I8422">
        <v>3</v>
      </c>
      <c r="J8422" t="s">
        <v>445</v>
      </c>
      <c r="M8422">
        <v>2510</v>
      </c>
      <c r="N8422" t="s">
        <v>16399</v>
      </c>
    </row>
    <row r="8423" spans="1:14">
      <c r="A8423">
        <v>30180902</v>
      </c>
      <c r="B8423">
        <v>3020810</v>
      </c>
      <c r="C8423" t="s">
        <v>14516</v>
      </c>
      <c r="D8423" t="s">
        <v>441</v>
      </c>
      <c r="F8423">
        <v>0</v>
      </c>
      <c r="G8423">
        <v>6.62</v>
      </c>
      <c r="H8423" t="s">
        <v>8637</v>
      </c>
      <c r="I8423">
        <v>3</v>
      </c>
      <c r="J8423" t="s">
        <v>445</v>
      </c>
      <c r="M8423">
        <v>6666</v>
      </c>
      <c r="N8423" t="s">
        <v>16399</v>
      </c>
    </row>
    <row r="8424" spans="1:14">
      <c r="A8424">
        <v>30190002</v>
      </c>
      <c r="B8424">
        <v>3044344</v>
      </c>
      <c r="C8424" t="s">
        <v>14517</v>
      </c>
      <c r="D8424" t="s">
        <v>441</v>
      </c>
      <c r="F8424">
        <v>0</v>
      </c>
      <c r="G8424">
        <v>12.25</v>
      </c>
      <c r="H8424" t="s">
        <v>9295</v>
      </c>
      <c r="I8424">
        <v>364</v>
      </c>
      <c r="J8424" t="s">
        <v>445</v>
      </c>
      <c r="M8424">
        <v>7111</v>
      </c>
      <c r="N8424" t="s">
        <v>16381</v>
      </c>
    </row>
    <row r="8425" spans="1:14">
      <c r="A8425">
        <v>30190100</v>
      </c>
      <c r="B8425">
        <v>3046095</v>
      </c>
      <c r="C8425" t="s">
        <v>17579</v>
      </c>
      <c r="D8425" t="s">
        <v>441</v>
      </c>
      <c r="F8425">
        <v>0</v>
      </c>
      <c r="G8425">
        <v>13.05</v>
      </c>
      <c r="H8425" t="s">
        <v>9295</v>
      </c>
      <c r="I8425">
        <v>6</v>
      </c>
      <c r="J8425" t="s">
        <v>445</v>
      </c>
      <c r="M8425">
        <v>0</v>
      </c>
      <c r="N8425" t="s">
        <v>16381</v>
      </c>
    </row>
    <row r="8426" spans="1:14">
      <c r="A8426">
        <v>30190502</v>
      </c>
      <c r="B8426">
        <v>3044366</v>
      </c>
      <c r="C8426" t="s">
        <v>14518</v>
      </c>
      <c r="D8426" t="s">
        <v>441</v>
      </c>
      <c r="F8426">
        <v>0</v>
      </c>
      <c r="G8426">
        <v>12.1</v>
      </c>
      <c r="H8426" t="s">
        <v>10006</v>
      </c>
      <c r="I8426">
        <v>6</v>
      </c>
      <c r="J8426" t="s">
        <v>445</v>
      </c>
      <c r="M8426">
        <v>2502</v>
      </c>
      <c r="N8426" t="s">
        <v>16381</v>
      </c>
    </row>
    <row r="8427" spans="1:14">
      <c r="A8427">
        <v>30190602</v>
      </c>
      <c r="B8427">
        <v>3044345</v>
      </c>
      <c r="C8427" t="s">
        <v>15283</v>
      </c>
      <c r="D8427" t="s">
        <v>441</v>
      </c>
      <c r="F8427">
        <v>0</v>
      </c>
      <c r="G8427">
        <v>12.64</v>
      </c>
      <c r="H8427" t="s">
        <v>10006</v>
      </c>
      <c r="I8427">
        <v>4</v>
      </c>
      <c r="J8427" t="s">
        <v>445</v>
      </c>
      <c r="M8427">
        <v>2510</v>
      </c>
      <c r="N8427" t="s">
        <v>16381</v>
      </c>
    </row>
    <row r="8428" spans="1:14">
      <c r="A8428">
        <v>30190902</v>
      </c>
      <c r="B8428">
        <v>3044604</v>
      </c>
      <c r="C8428" t="s">
        <v>15284</v>
      </c>
      <c r="D8428" t="s">
        <v>441</v>
      </c>
      <c r="F8428">
        <v>0</v>
      </c>
      <c r="G8428">
        <v>12.64</v>
      </c>
      <c r="H8428" t="s">
        <v>10006</v>
      </c>
      <c r="I8428">
        <v>4</v>
      </c>
      <c r="J8428" t="s">
        <v>445</v>
      </c>
      <c r="M8428">
        <v>6666</v>
      </c>
      <c r="N8428" t="s">
        <v>16381</v>
      </c>
    </row>
    <row r="8429" spans="1:14">
      <c r="A8429">
        <v>31000002</v>
      </c>
      <c r="B8429">
        <v>3014556</v>
      </c>
      <c r="C8429" t="s">
        <v>12475</v>
      </c>
      <c r="D8429" t="s">
        <v>441</v>
      </c>
      <c r="F8429">
        <v>0</v>
      </c>
      <c r="H8429" t="s">
        <v>9295</v>
      </c>
      <c r="I8429">
        <v>548</v>
      </c>
      <c r="J8429" t="s">
        <v>445</v>
      </c>
      <c r="M8429">
        <v>7113</v>
      </c>
      <c r="N8429" t="s">
        <v>16400</v>
      </c>
    </row>
    <row r="8430" spans="1:14">
      <c r="A8430">
        <v>31100102</v>
      </c>
      <c r="B8430">
        <v>3036676</v>
      </c>
      <c r="C8430" t="s">
        <v>12476</v>
      </c>
      <c r="D8430" t="s">
        <v>441</v>
      </c>
      <c r="F8430">
        <v>0</v>
      </c>
      <c r="H8430" t="s">
        <v>9295</v>
      </c>
      <c r="I8430">
        <v>547</v>
      </c>
      <c r="J8430" t="s">
        <v>445</v>
      </c>
      <c r="M8430">
        <v>7113</v>
      </c>
      <c r="N8430" t="s">
        <v>16401</v>
      </c>
    </row>
    <row r="8431" spans="1:14">
      <c r="A8431">
        <v>42020002</v>
      </c>
      <c r="B8431">
        <v>3009098</v>
      </c>
      <c r="C8431" t="s">
        <v>12477</v>
      </c>
      <c r="D8431" t="s">
        <v>441</v>
      </c>
      <c r="F8431">
        <v>0</v>
      </c>
      <c r="G8431">
        <v>11.95</v>
      </c>
      <c r="H8431" t="s">
        <v>8549</v>
      </c>
      <c r="I8431">
        <v>365</v>
      </c>
      <c r="J8431" t="s">
        <v>445</v>
      </c>
      <c r="K8431" t="s">
        <v>446</v>
      </c>
      <c r="M8431">
        <v>2501</v>
      </c>
    </row>
    <row r="8432" spans="1:14">
      <c r="A8432">
        <v>42020018</v>
      </c>
      <c r="B8432">
        <v>3016074</v>
      </c>
      <c r="C8432" t="s">
        <v>12478</v>
      </c>
      <c r="D8432" t="s">
        <v>441</v>
      </c>
      <c r="F8432">
        <v>0</v>
      </c>
      <c r="G8432">
        <v>12.74</v>
      </c>
      <c r="H8432" t="s">
        <v>10973</v>
      </c>
      <c r="I8432">
        <v>365</v>
      </c>
      <c r="J8432" t="s">
        <v>445</v>
      </c>
      <c r="K8432" t="s">
        <v>446</v>
      </c>
      <c r="M8432">
        <v>2501</v>
      </c>
    </row>
    <row r="8433" spans="1:14">
      <c r="A8433">
        <v>42020019</v>
      </c>
      <c r="B8433">
        <v>4008256</v>
      </c>
      <c r="C8433" t="s">
        <v>12479</v>
      </c>
      <c r="D8433" t="s">
        <v>441</v>
      </c>
      <c r="F8433">
        <v>0</v>
      </c>
      <c r="G8433">
        <v>13.63</v>
      </c>
      <c r="H8433" t="s">
        <v>8588</v>
      </c>
      <c r="I8433">
        <v>365</v>
      </c>
      <c r="J8433" t="s">
        <v>462</v>
      </c>
      <c r="K8433" t="s">
        <v>446</v>
      </c>
      <c r="M8433">
        <v>2501</v>
      </c>
    </row>
    <row r="8434" spans="1:14">
      <c r="A8434">
        <v>42020020</v>
      </c>
      <c r="B8434">
        <v>3008679</v>
      </c>
      <c r="C8434" t="s">
        <v>12480</v>
      </c>
      <c r="D8434" t="s">
        <v>441</v>
      </c>
      <c r="F8434">
        <v>0</v>
      </c>
      <c r="H8434" t="s">
        <v>10655</v>
      </c>
      <c r="I8434">
        <v>9</v>
      </c>
      <c r="J8434" t="s">
        <v>445</v>
      </c>
      <c r="K8434" t="s">
        <v>446</v>
      </c>
      <c r="M8434">
        <v>0</v>
      </c>
    </row>
    <row r="8435" spans="1:14">
      <c r="A8435">
        <v>42020120</v>
      </c>
      <c r="B8435">
        <v>3012730</v>
      </c>
      <c r="C8435" t="s">
        <v>12481</v>
      </c>
      <c r="D8435" t="s">
        <v>441</v>
      </c>
      <c r="F8435">
        <v>0</v>
      </c>
      <c r="G8435">
        <v>0</v>
      </c>
      <c r="H8435" t="s">
        <v>10655</v>
      </c>
      <c r="I8435">
        <v>21</v>
      </c>
      <c r="J8435" t="s">
        <v>445</v>
      </c>
      <c r="M8435">
        <v>7161</v>
      </c>
      <c r="N8435" t="s">
        <v>16402</v>
      </c>
    </row>
    <row r="8436" spans="1:14">
      <c r="A8436">
        <v>42020151</v>
      </c>
      <c r="B8436">
        <v>3007221</v>
      </c>
      <c r="C8436" t="s">
        <v>3549</v>
      </c>
      <c r="D8436" t="s">
        <v>441</v>
      </c>
      <c r="F8436">
        <v>0</v>
      </c>
      <c r="H8436" t="s">
        <v>10973</v>
      </c>
      <c r="I8436">
        <v>10</v>
      </c>
      <c r="J8436" t="s">
        <v>445</v>
      </c>
      <c r="K8436" t="s">
        <v>446</v>
      </c>
      <c r="M8436">
        <v>7161</v>
      </c>
    </row>
    <row r="8437" spans="1:14">
      <c r="A8437">
        <v>42020502</v>
      </c>
      <c r="B8437">
        <v>3009096</v>
      </c>
      <c r="C8437" t="s">
        <v>12482</v>
      </c>
      <c r="D8437" t="s">
        <v>441</v>
      </c>
      <c r="F8437">
        <v>0</v>
      </c>
      <c r="G8437">
        <v>11.69</v>
      </c>
      <c r="I8437">
        <v>5</v>
      </c>
      <c r="J8437" t="s">
        <v>445</v>
      </c>
      <c r="K8437" t="s">
        <v>446</v>
      </c>
      <c r="M8437">
        <v>2641</v>
      </c>
    </row>
    <row r="8438" spans="1:14">
      <c r="A8438">
        <v>42020518</v>
      </c>
      <c r="B8438">
        <v>3016076</v>
      </c>
      <c r="C8438" t="s">
        <v>12483</v>
      </c>
      <c r="D8438" t="s">
        <v>441</v>
      </c>
      <c r="F8438">
        <v>0</v>
      </c>
      <c r="G8438">
        <v>12.46</v>
      </c>
      <c r="H8438" t="s">
        <v>8580</v>
      </c>
      <c r="I8438">
        <v>365</v>
      </c>
      <c r="J8438" t="s">
        <v>445</v>
      </c>
      <c r="K8438" t="s">
        <v>446</v>
      </c>
      <c r="M8438">
        <v>2641</v>
      </c>
    </row>
    <row r="8439" spans="1:14">
      <c r="A8439">
        <v>42020519</v>
      </c>
      <c r="B8439">
        <v>3009097</v>
      </c>
      <c r="C8439" t="s">
        <v>12484</v>
      </c>
      <c r="D8439" t="s">
        <v>441</v>
      </c>
      <c r="F8439">
        <v>0</v>
      </c>
      <c r="G8439">
        <v>12.47</v>
      </c>
      <c r="I8439">
        <v>5</v>
      </c>
      <c r="J8439" t="s">
        <v>445</v>
      </c>
      <c r="K8439" t="s">
        <v>446</v>
      </c>
      <c r="M8439">
        <v>2641</v>
      </c>
    </row>
    <row r="8440" spans="1:14">
      <c r="A8440">
        <v>42020602</v>
      </c>
      <c r="B8440">
        <v>3009332</v>
      </c>
      <c r="C8440" t="s">
        <v>12485</v>
      </c>
      <c r="D8440" t="s">
        <v>441</v>
      </c>
      <c r="F8440">
        <v>0</v>
      </c>
      <c r="G8440">
        <v>13.04</v>
      </c>
      <c r="H8440" t="s">
        <v>8588</v>
      </c>
      <c r="I8440">
        <v>4</v>
      </c>
      <c r="J8440" t="s">
        <v>445</v>
      </c>
      <c r="K8440" t="s">
        <v>446</v>
      </c>
      <c r="M8440">
        <v>2511</v>
      </c>
    </row>
    <row r="8441" spans="1:14">
      <c r="A8441">
        <v>42020902</v>
      </c>
      <c r="B8441">
        <v>3020383</v>
      </c>
      <c r="C8441" t="s">
        <v>12486</v>
      </c>
      <c r="D8441" t="s">
        <v>441</v>
      </c>
      <c r="F8441">
        <v>0</v>
      </c>
      <c r="G8441">
        <v>11.48</v>
      </c>
      <c r="H8441" t="s">
        <v>8580</v>
      </c>
      <c r="I8441">
        <v>4</v>
      </c>
      <c r="J8441" t="s">
        <v>445</v>
      </c>
      <c r="K8441" t="s">
        <v>446</v>
      </c>
      <c r="M8441">
        <v>6666</v>
      </c>
    </row>
    <row r="8442" spans="1:14">
      <c r="A8442">
        <v>42040102</v>
      </c>
      <c r="B8442">
        <v>3008779</v>
      </c>
      <c r="C8442" t="s">
        <v>12487</v>
      </c>
      <c r="D8442" t="s">
        <v>441</v>
      </c>
      <c r="F8442">
        <v>0</v>
      </c>
      <c r="G8442">
        <v>8.4700000000000006</v>
      </c>
      <c r="H8442" t="s">
        <v>10973</v>
      </c>
      <c r="I8442">
        <v>365</v>
      </c>
      <c r="J8442" t="s">
        <v>445</v>
      </c>
      <c r="K8442" t="s">
        <v>446</v>
      </c>
      <c r="M8442">
        <v>7161</v>
      </c>
    </row>
    <row r="8443" spans="1:14">
      <c r="A8443">
        <v>42040602</v>
      </c>
      <c r="B8443">
        <v>3012407</v>
      </c>
      <c r="C8443" t="s">
        <v>12488</v>
      </c>
      <c r="D8443" t="s">
        <v>441</v>
      </c>
      <c r="F8443">
        <v>0</v>
      </c>
      <c r="G8443">
        <v>9.0500000000000007</v>
      </c>
      <c r="H8443" t="s">
        <v>8580</v>
      </c>
      <c r="I8443">
        <v>4</v>
      </c>
      <c r="J8443" t="s">
        <v>445</v>
      </c>
      <c r="K8443" t="s">
        <v>446</v>
      </c>
      <c r="M8443">
        <v>2511</v>
      </c>
    </row>
    <row r="8444" spans="1:14">
      <c r="A8444">
        <v>43035605</v>
      </c>
      <c r="B8444">
        <v>3035605</v>
      </c>
      <c r="C8444" t="s">
        <v>3550</v>
      </c>
      <c r="D8444" t="s">
        <v>442</v>
      </c>
      <c r="E8444" t="s">
        <v>441</v>
      </c>
      <c r="F8444">
        <v>0.3</v>
      </c>
      <c r="H8444" t="s">
        <v>8922</v>
      </c>
      <c r="I8444">
        <v>730</v>
      </c>
      <c r="J8444" t="s">
        <v>445</v>
      </c>
      <c r="M8444">
        <v>7314</v>
      </c>
      <c r="N8444" t="s">
        <v>16403</v>
      </c>
    </row>
    <row r="8445" spans="1:14">
      <c r="A8445">
        <v>43035606</v>
      </c>
      <c r="B8445">
        <v>3035606</v>
      </c>
      <c r="C8445" t="s">
        <v>3551</v>
      </c>
      <c r="D8445" t="s">
        <v>442</v>
      </c>
      <c r="E8445" t="s">
        <v>441</v>
      </c>
      <c r="F8445">
        <v>0.3</v>
      </c>
      <c r="H8445" t="s">
        <v>8922</v>
      </c>
      <c r="I8445">
        <v>730</v>
      </c>
      <c r="J8445" t="s">
        <v>445</v>
      </c>
      <c r="M8445">
        <v>7314</v>
      </c>
      <c r="N8445" t="s">
        <v>16404</v>
      </c>
    </row>
    <row r="8446" spans="1:14">
      <c r="A8446">
        <v>43035607</v>
      </c>
      <c r="B8446">
        <v>3035607</v>
      </c>
      <c r="C8446" t="s">
        <v>3552</v>
      </c>
      <c r="D8446" t="s">
        <v>442</v>
      </c>
      <c r="E8446" t="s">
        <v>441</v>
      </c>
      <c r="F8446">
        <v>0.3</v>
      </c>
      <c r="H8446" t="s">
        <v>8922</v>
      </c>
      <c r="I8446">
        <v>730</v>
      </c>
      <c r="J8446" t="s">
        <v>445</v>
      </c>
      <c r="M8446">
        <v>7314</v>
      </c>
      <c r="N8446" t="s">
        <v>16405</v>
      </c>
    </row>
    <row r="8447" spans="1:14">
      <c r="A8447">
        <v>43035637</v>
      </c>
      <c r="B8447">
        <v>3035637</v>
      </c>
      <c r="C8447" t="s">
        <v>3553</v>
      </c>
      <c r="D8447" t="s">
        <v>442</v>
      </c>
      <c r="E8447" t="s">
        <v>441</v>
      </c>
      <c r="F8447">
        <v>0.3</v>
      </c>
      <c r="H8447" t="s">
        <v>8922</v>
      </c>
      <c r="I8447">
        <v>730</v>
      </c>
      <c r="J8447" t="s">
        <v>445</v>
      </c>
      <c r="M8447">
        <v>7314</v>
      </c>
      <c r="N8447" t="s">
        <v>16406</v>
      </c>
    </row>
    <row r="8448" spans="1:14">
      <c r="A8448">
        <v>43035655</v>
      </c>
      <c r="B8448">
        <v>3035655</v>
      </c>
      <c r="C8448" t="s">
        <v>3554</v>
      </c>
      <c r="D8448" t="s">
        <v>442</v>
      </c>
      <c r="E8448" t="s">
        <v>441</v>
      </c>
      <c r="F8448">
        <v>0.32</v>
      </c>
      <c r="H8448" t="s">
        <v>8587</v>
      </c>
      <c r="I8448">
        <v>111</v>
      </c>
      <c r="J8448" t="s">
        <v>445</v>
      </c>
      <c r="M8448">
        <v>7314</v>
      </c>
      <c r="N8448" t="s">
        <v>16407</v>
      </c>
    </row>
    <row r="8449" spans="1:14">
      <c r="A8449">
        <v>43036334</v>
      </c>
      <c r="B8449">
        <v>3036334</v>
      </c>
      <c r="C8449" t="s">
        <v>3555</v>
      </c>
      <c r="D8449" t="s">
        <v>442</v>
      </c>
      <c r="E8449" t="s">
        <v>441</v>
      </c>
      <c r="F8449">
        <v>0.25</v>
      </c>
      <c r="H8449" t="s">
        <v>8587</v>
      </c>
      <c r="I8449">
        <v>50</v>
      </c>
      <c r="J8449" t="s">
        <v>445</v>
      </c>
      <c r="M8449">
        <v>7314</v>
      </c>
      <c r="N8449" t="s">
        <v>16408</v>
      </c>
    </row>
    <row r="8450" spans="1:14">
      <c r="A8450">
        <v>43036430</v>
      </c>
      <c r="B8450">
        <v>3036430</v>
      </c>
      <c r="C8450" t="s">
        <v>3556</v>
      </c>
      <c r="D8450" t="s">
        <v>442</v>
      </c>
      <c r="E8450" t="s">
        <v>441</v>
      </c>
      <c r="F8450">
        <v>0.25</v>
      </c>
      <c r="H8450" t="s">
        <v>8587</v>
      </c>
      <c r="I8450">
        <v>111</v>
      </c>
      <c r="J8450" t="s">
        <v>445</v>
      </c>
      <c r="M8450">
        <v>7314</v>
      </c>
      <c r="N8450" t="s">
        <v>16409</v>
      </c>
    </row>
    <row r="8451" spans="1:14">
      <c r="A8451">
        <v>43036431</v>
      </c>
      <c r="B8451">
        <v>3036431</v>
      </c>
      <c r="C8451" t="s">
        <v>3557</v>
      </c>
      <c r="D8451" t="s">
        <v>442</v>
      </c>
      <c r="E8451" t="s">
        <v>441</v>
      </c>
      <c r="F8451">
        <v>0.25</v>
      </c>
      <c r="H8451" t="s">
        <v>8587</v>
      </c>
      <c r="I8451">
        <v>111</v>
      </c>
      <c r="J8451" t="s">
        <v>445</v>
      </c>
      <c r="M8451">
        <v>7314</v>
      </c>
      <c r="N8451" t="s">
        <v>16409</v>
      </c>
    </row>
    <row r="8452" spans="1:14">
      <c r="A8452">
        <v>43036558</v>
      </c>
      <c r="B8452">
        <v>3036558</v>
      </c>
      <c r="C8452" t="s">
        <v>3558</v>
      </c>
      <c r="D8452" t="s">
        <v>442</v>
      </c>
      <c r="E8452" t="s">
        <v>441</v>
      </c>
      <c r="F8452">
        <v>0.25</v>
      </c>
      <c r="H8452" t="s">
        <v>8587</v>
      </c>
      <c r="I8452">
        <v>111</v>
      </c>
      <c r="J8452" t="s">
        <v>445</v>
      </c>
      <c r="M8452">
        <v>7314</v>
      </c>
      <c r="N8452" t="s">
        <v>16409</v>
      </c>
    </row>
    <row r="8453" spans="1:14">
      <c r="A8453">
        <v>43036663</v>
      </c>
      <c r="B8453">
        <v>3036663</v>
      </c>
      <c r="C8453" t="s">
        <v>3559</v>
      </c>
      <c r="D8453" t="s">
        <v>442</v>
      </c>
      <c r="E8453" t="s">
        <v>441</v>
      </c>
      <c r="F8453">
        <v>0.25</v>
      </c>
      <c r="H8453" t="s">
        <v>8587</v>
      </c>
      <c r="I8453">
        <v>50</v>
      </c>
      <c r="J8453" t="s">
        <v>445</v>
      </c>
      <c r="M8453">
        <v>7314</v>
      </c>
      <c r="N8453" t="s">
        <v>16408</v>
      </c>
    </row>
    <row r="8454" spans="1:14">
      <c r="A8454">
        <v>43036665</v>
      </c>
      <c r="B8454">
        <v>3036665</v>
      </c>
      <c r="C8454" t="s">
        <v>3560</v>
      </c>
      <c r="D8454" t="s">
        <v>442</v>
      </c>
      <c r="E8454" t="s">
        <v>441</v>
      </c>
      <c r="F8454">
        <v>0.32</v>
      </c>
      <c r="H8454" t="s">
        <v>8587</v>
      </c>
      <c r="I8454">
        <v>111</v>
      </c>
      <c r="J8454" t="s">
        <v>445</v>
      </c>
      <c r="M8454">
        <v>7314</v>
      </c>
      <c r="N8454" t="s">
        <v>16407</v>
      </c>
    </row>
    <row r="8455" spans="1:14">
      <c r="A8455">
        <v>43036963</v>
      </c>
      <c r="B8455">
        <v>3036963</v>
      </c>
      <c r="C8455" t="s">
        <v>3561</v>
      </c>
      <c r="D8455" t="s">
        <v>442</v>
      </c>
      <c r="E8455" t="s">
        <v>441</v>
      </c>
      <c r="F8455">
        <v>0.32</v>
      </c>
      <c r="H8455" t="s">
        <v>8587</v>
      </c>
      <c r="I8455">
        <v>111</v>
      </c>
      <c r="J8455" t="s">
        <v>445</v>
      </c>
      <c r="M8455">
        <v>7314</v>
      </c>
      <c r="N8455" t="s">
        <v>16407</v>
      </c>
    </row>
    <row r="8456" spans="1:14">
      <c r="A8456">
        <v>43037136</v>
      </c>
      <c r="B8456">
        <v>3037136</v>
      </c>
      <c r="C8456" t="s">
        <v>3562</v>
      </c>
      <c r="D8456" t="s">
        <v>442</v>
      </c>
      <c r="E8456" t="s">
        <v>441</v>
      </c>
      <c r="F8456">
        <v>0.25</v>
      </c>
      <c r="H8456" t="s">
        <v>8587</v>
      </c>
      <c r="I8456">
        <v>111</v>
      </c>
      <c r="J8456" t="s">
        <v>445</v>
      </c>
      <c r="M8456">
        <v>7314</v>
      </c>
      <c r="N8456" t="s">
        <v>16409</v>
      </c>
    </row>
    <row r="8457" spans="1:14">
      <c r="A8457">
        <v>43037260</v>
      </c>
      <c r="B8457">
        <v>3037260</v>
      </c>
      <c r="C8457" t="s">
        <v>3563</v>
      </c>
      <c r="D8457" t="s">
        <v>442</v>
      </c>
      <c r="E8457" t="s">
        <v>441</v>
      </c>
      <c r="F8457">
        <v>0.27</v>
      </c>
      <c r="H8457" t="s">
        <v>8587</v>
      </c>
      <c r="I8457">
        <v>60</v>
      </c>
      <c r="J8457" t="s">
        <v>445</v>
      </c>
      <c r="M8457">
        <v>7314</v>
      </c>
      <c r="N8457" t="s">
        <v>16410</v>
      </c>
    </row>
    <row r="8458" spans="1:14">
      <c r="A8458">
        <v>43037921</v>
      </c>
      <c r="B8458">
        <v>3037921</v>
      </c>
      <c r="C8458" t="s">
        <v>14519</v>
      </c>
      <c r="D8458" t="s">
        <v>442</v>
      </c>
      <c r="E8458" t="s">
        <v>441</v>
      </c>
      <c r="F8458">
        <v>0.25</v>
      </c>
      <c r="G8458">
        <v>7.37</v>
      </c>
      <c r="H8458" t="s">
        <v>8587</v>
      </c>
      <c r="I8458">
        <v>111</v>
      </c>
      <c r="J8458" t="s">
        <v>445</v>
      </c>
      <c r="M8458">
        <v>0</v>
      </c>
      <c r="N8458" t="s">
        <v>16409</v>
      </c>
    </row>
    <row r="8459" spans="1:14">
      <c r="A8459">
        <v>43037925</v>
      </c>
      <c r="B8459">
        <v>3037925</v>
      </c>
      <c r="C8459" t="s">
        <v>14520</v>
      </c>
      <c r="D8459" t="s">
        <v>442</v>
      </c>
      <c r="E8459" t="s">
        <v>441</v>
      </c>
      <c r="F8459">
        <v>0.45500000000000002</v>
      </c>
      <c r="G8459">
        <v>9.89</v>
      </c>
      <c r="H8459" t="s">
        <v>8587</v>
      </c>
      <c r="I8459">
        <v>540</v>
      </c>
      <c r="J8459" t="s">
        <v>445</v>
      </c>
      <c r="M8459">
        <v>0</v>
      </c>
      <c r="N8459" t="s">
        <v>16411</v>
      </c>
    </row>
    <row r="8460" spans="1:14">
      <c r="A8460">
        <v>43038453</v>
      </c>
      <c r="B8460">
        <v>3038453</v>
      </c>
      <c r="C8460" t="s">
        <v>3564</v>
      </c>
      <c r="D8460" t="s">
        <v>442</v>
      </c>
      <c r="E8460" t="s">
        <v>441</v>
      </c>
      <c r="F8460">
        <v>0.25</v>
      </c>
      <c r="H8460" t="s">
        <v>8587</v>
      </c>
      <c r="I8460">
        <v>111</v>
      </c>
      <c r="J8460" t="s">
        <v>445</v>
      </c>
      <c r="M8460">
        <v>7314</v>
      </c>
      <c r="N8460" t="s">
        <v>16409</v>
      </c>
    </row>
    <row r="8461" spans="1:14">
      <c r="A8461">
        <v>43039167</v>
      </c>
      <c r="B8461">
        <v>3039167</v>
      </c>
      <c r="C8461" t="s">
        <v>3565</v>
      </c>
      <c r="D8461" t="s">
        <v>442</v>
      </c>
      <c r="E8461" t="s">
        <v>441</v>
      </c>
      <c r="F8461">
        <v>0.25</v>
      </c>
      <c r="H8461" t="s">
        <v>8587</v>
      </c>
      <c r="I8461">
        <v>111</v>
      </c>
      <c r="J8461" t="s">
        <v>445</v>
      </c>
      <c r="M8461">
        <v>7314</v>
      </c>
      <c r="N8461" t="s">
        <v>16409</v>
      </c>
    </row>
    <row r="8462" spans="1:14">
      <c r="A8462">
        <v>43039875</v>
      </c>
      <c r="B8462">
        <v>3039875</v>
      </c>
      <c r="C8462" t="s">
        <v>3566</v>
      </c>
      <c r="D8462" t="s">
        <v>442</v>
      </c>
      <c r="E8462" t="s">
        <v>441</v>
      </c>
      <c r="F8462">
        <v>0.46</v>
      </c>
      <c r="G8462">
        <v>6.54</v>
      </c>
      <c r="H8462" t="s">
        <v>8587</v>
      </c>
      <c r="I8462">
        <v>81</v>
      </c>
      <c r="J8462" t="s">
        <v>445</v>
      </c>
      <c r="M8462">
        <v>7314</v>
      </c>
      <c r="N8462" t="s">
        <v>16412</v>
      </c>
    </row>
    <row r="8463" spans="1:14">
      <c r="A8463">
        <v>43040199</v>
      </c>
      <c r="B8463">
        <v>3040199</v>
      </c>
      <c r="C8463" t="s">
        <v>3567</v>
      </c>
      <c r="D8463" t="s">
        <v>442</v>
      </c>
      <c r="E8463" t="s">
        <v>441</v>
      </c>
      <c r="F8463">
        <v>0.25</v>
      </c>
      <c r="G8463">
        <v>5.55</v>
      </c>
      <c r="H8463" t="s">
        <v>8587</v>
      </c>
      <c r="I8463">
        <v>50</v>
      </c>
      <c r="J8463" t="s">
        <v>445</v>
      </c>
      <c r="M8463">
        <v>7314</v>
      </c>
      <c r="N8463" t="s">
        <v>16408</v>
      </c>
    </row>
    <row r="8464" spans="1:14">
      <c r="A8464">
        <v>43040230</v>
      </c>
      <c r="B8464">
        <v>3040230</v>
      </c>
      <c r="C8464" t="s">
        <v>3568</v>
      </c>
      <c r="D8464" t="s">
        <v>442</v>
      </c>
      <c r="E8464" t="s">
        <v>441</v>
      </c>
      <c r="F8464">
        <v>0.46</v>
      </c>
      <c r="G8464">
        <v>6.59</v>
      </c>
      <c r="H8464" t="s">
        <v>8587</v>
      </c>
      <c r="I8464">
        <v>81</v>
      </c>
      <c r="J8464" t="s">
        <v>445</v>
      </c>
      <c r="M8464">
        <v>7314</v>
      </c>
      <c r="N8464" t="s">
        <v>16412</v>
      </c>
    </row>
    <row r="8465" spans="1:14">
      <c r="A8465">
        <v>43044306</v>
      </c>
      <c r="B8465">
        <v>3044306</v>
      </c>
      <c r="C8465" t="s">
        <v>14521</v>
      </c>
      <c r="D8465" t="s">
        <v>442</v>
      </c>
      <c r="E8465" t="s">
        <v>441</v>
      </c>
      <c r="F8465">
        <v>0.3</v>
      </c>
      <c r="G8465">
        <v>4.28</v>
      </c>
      <c r="H8465" t="s">
        <v>8922</v>
      </c>
      <c r="I8465">
        <v>365</v>
      </c>
      <c r="J8465" t="s">
        <v>445</v>
      </c>
      <c r="M8465">
        <v>0</v>
      </c>
      <c r="N8465" t="s">
        <v>16413</v>
      </c>
    </row>
    <row r="8466" spans="1:14">
      <c r="A8466">
        <v>45000010</v>
      </c>
      <c r="B8466">
        <v>4006774</v>
      </c>
      <c r="C8466" t="s">
        <v>3569</v>
      </c>
      <c r="D8466" t="s">
        <v>441</v>
      </c>
      <c r="F8466">
        <v>0</v>
      </c>
      <c r="G8466">
        <v>0</v>
      </c>
      <c r="H8466" t="s">
        <v>8587</v>
      </c>
      <c r="I8466">
        <v>21</v>
      </c>
      <c r="J8466" t="s">
        <v>462</v>
      </c>
      <c r="K8466" t="s">
        <v>446</v>
      </c>
      <c r="M8466">
        <v>0</v>
      </c>
    </row>
    <row r="8467" spans="1:14">
      <c r="A8467">
        <v>50010000</v>
      </c>
      <c r="B8467">
        <v>3012225</v>
      </c>
      <c r="C8467" t="s">
        <v>12489</v>
      </c>
      <c r="D8467" t="s">
        <v>441</v>
      </c>
      <c r="F8467">
        <v>0</v>
      </c>
      <c r="G8467">
        <v>9.9700000000000006</v>
      </c>
      <c r="H8467" t="s">
        <v>10973</v>
      </c>
      <c r="I8467">
        <v>6</v>
      </c>
      <c r="J8467" t="s">
        <v>445</v>
      </c>
      <c r="K8467" t="s">
        <v>446</v>
      </c>
      <c r="M8467">
        <v>3122</v>
      </c>
    </row>
    <row r="8468" spans="1:14">
      <c r="A8468">
        <v>50020000</v>
      </c>
      <c r="B8468">
        <v>3016473</v>
      </c>
      <c r="C8468" t="s">
        <v>3570</v>
      </c>
      <c r="D8468" t="s">
        <v>441</v>
      </c>
      <c r="F8468">
        <v>0</v>
      </c>
      <c r="G8468">
        <v>12.96</v>
      </c>
      <c r="H8468" t="s">
        <v>10826</v>
      </c>
      <c r="I8468">
        <v>5</v>
      </c>
      <c r="J8468" t="s">
        <v>445</v>
      </c>
      <c r="M8468">
        <v>3113</v>
      </c>
      <c r="N8468" t="s">
        <v>16414</v>
      </c>
    </row>
    <row r="8469" spans="1:14">
      <c r="A8469">
        <v>50024000</v>
      </c>
      <c r="B8469">
        <v>3040309</v>
      </c>
      <c r="C8469" t="s">
        <v>12490</v>
      </c>
      <c r="D8469" t="s">
        <v>441</v>
      </c>
      <c r="F8469">
        <v>0</v>
      </c>
      <c r="G8469">
        <v>13.4</v>
      </c>
      <c r="H8469" t="s">
        <v>10826</v>
      </c>
      <c r="I8469">
        <v>4</v>
      </c>
      <c r="J8469" t="s">
        <v>445</v>
      </c>
      <c r="M8469">
        <v>3113</v>
      </c>
      <c r="N8469" t="s">
        <v>16414</v>
      </c>
    </row>
    <row r="8470" spans="1:14">
      <c r="A8470">
        <v>50030000</v>
      </c>
      <c r="B8470">
        <v>3016744</v>
      </c>
      <c r="C8470" t="s">
        <v>12491</v>
      </c>
      <c r="D8470" t="s">
        <v>441</v>
      </c>
      <c r="F8470">
        <v>0</v>
      </c>
      <c r="G8470">
        <v>6.56</v>
      </c>
      <c r="H8470" t="s">
        <v>8634</v>
      </c>
      <c r="I8470">
        <v>5</v>
      </c>
      <c r="J8470" t="s">
        <v>445</v>
      </c>
      <c r="M8470">
        <v>3111</v>
      </c>
      <c r="N8470" t="s">
        <v>16415</v>
      </c>
    </row>
    <row r="8471" spans="1:14">
      <c r="A8471">
        <v>50040000</v>
      </c>
      <c r="B8471">
        <v>3024289</v>
      </c>
      <c r="C8471" t="s">
        <v>3571</v>
      </c>
      <c r="D8471" t="s">
        <v>441</v>
      </c>
      <c r="F8471">
        <v>0</v>
      </c>
      <c r="G8471">
        <v>12.3</v>
      </c>
      <c r="H8471" t="s">
        <v>8584</v>
      </c>
      <c r="I8471">
        <v>5</v>
      </c>
      <c r="J8471" t="s">
        <v>445</v>
      </c>
      <c r="K8471" t="s">
        <v>446</v>
      </c>
      <c r="M8471">
        <v>3122</v>
      </c>
    </row>
    <row r="8472" spans="1:14">
      <c r="A8472">
        <v>50050000</v>
      </c>
      <c r="B8472">
        <v>3016416</v>
      </c>
      <c r="C8472" t="s">
        <v>3572</v>
      </c>
      <c r="D8472" t="s">
        <v>441</v>
      </c>
      <c r="F8472">
        <v>0</v>
      </c>
      <c r="G8472">
        <v>7.46</v>
      </c>
      <c r="H8472" t="s">
        <v>8580</v>
      </c>
      <c r="I8472">
        <v>6</v>
      </c>
      <c r="J8472" t="s">
        <v>445</v>
      </c>
      <c r="K8472" t="s">
        <v>446</v>
      </c>
      <c r="M8472">
        <v>3113</v>
      </c>
    </row>
    <row r="8473" spans="1:14">
      <c r="A8473">
        <v>50054000</v>
      </c>
      <c r="B8473">
        <v>3040381</v>
      </c>
      <c r="C8473" t="s">
        <v>12492</v>
      </c>
      <c r="D8473" t="s">
        <v>441</v>
      </c>
      <c r="F8473">
        <v>0</v>
      </c>
      <c r="G8473">
        <v>12.52</v>
      </c>
      <c r="H8473" t="s">
        <v>8935</v>
      </c>
      <c r="I8473">
        <v>4</v>
      </c>
      <c r="J8473" t="s">
        <v>445</v>
      </c>
      <c r="M8473">
        <v>3113</v>
      </c>
      <c r="N8473" t="s">
        <v>16416</v>
      </c>
    </row>
    <row r="8474" spans="1:14">
      <c r="A8474">
        <v>50060000</v>
      </c>
      <c r="B8474">
        <v>3033054</v>
      </c>
      <c r="C8474" t="s">
        <v>12493</v>
      </c>
      <c r="D8474" t="s">
        <v>441</v>
      </c>
      <c r="F8474">
        <v>0</v>
      </c>
      <c r="G8474">
        <v>7.47</v>
      </c>
      <c r="H8474" t="s">
        <v>10826</v>
      </c>
      <c r="I8474">
        <v>5</v>
      </c>
      <c r="J8474" t="s">
        <v>445</v>
      </c>
      <c r="K8474" t="s">
        <v>446</v>
      </c>
      <c r="M8474">
        <v>3111</v>
      </c>
    </row>
    <row r="8475" spans="1:14">
      <c r="A8475">
        <v>50064000</v>
      </c>
      <c r="B8475">
        <v>3040340</v>
      </c>
      <c r="C8475" t="s">
        <v>12494</v>
      </c>
      <c r="D8475" t="s">
        <v>441</v>
      </c>
      <c r="F8475">
        <v>0</v>
      </c>
      <c r="G8475">
        <v>7.5</v>
      </c>
      <c r="H8475" t="s">
        <v>10826</v>
      </c>
      <c r="I8475">
        <v>4</v>
      </c>
      <c r="J8475" t="s">
        <v>445</v>
      </c>
      <c r="K8475" t="s">
        <v>446</v>
      </c>
      <c r="M8475">
        <v>3113</v>
      </c>
    </row>
    <row r="8476" spans="1:14">
      <c r="A8476">
        <v>50070000</v>
      </c>
      <c r="B8476">
        <v>3016417</v>
      </c>
      <c r="C8476" t="s">
        <v>3573</v>
      </c>
      <c r="D8476" t="s">
        <v>441</v>
      </c>
      <c r="F8476">
        <v>0</v>
      </c>
      <c r="G8476">
        <v>6.92</v>
      </c>
      <c r="H8476" t="s">
        <v>8580</v>
      </c>
      <c r="I8476">
        <v>6</v>
      </c>
      <c r="J8476" t="s">
        <v>445</v>
      </c>
      <c r="K8476" t="s">
        <v>446</v>
      </c>
      <c r="M8476">
        <v>3113</v>
      </c>
    </row>
    <row r="8477" spans="1:14">
      <c r="A8477">
        <v>50074000</v>
      </c>
      <c r="B8477">
        <v>3038322</v>
      </c>
      <c r="C8477" t="s">
        <v>12495</v>
      </c>
      <c r="D8477" t="s">
        <v>441</v>
      </c>
      <c r="F8477">
        <v>0</v>
      </c>
      <c r="G8477">
        <v>11.03</v>
      </c>
      <c r="H8477" t="s">
        <v>10826</v>
      </c>
      <c r="I8477">
        <v>4</v>
      </c>
      <c r="J8477" t="s">
        <v>445</v>
      </c>
      <c r="M8477">
        <v>3113</v>
      </c>
      <c r="N8477" t="s">
        <v>16417</v>
      </c>
    </row>
    <row r="8478" spans="1:14">
      <c r="A8478">
        <v>50080000</v>
      </c>
      <c r="B8478">
        <v>3016418</v>
      </c>
      <c r="C8478" t="s">
        <v>3574</v>
      </c>
      <c r="D8478" t="s">
        <v>441</v>
      </c>
      <c r="F8478">
        <v>0</v>
      </c>
      <c r="G8478">
        <v>9.1999999999999993</v>
      </c>
      <c r="H8478" t="s">
        <v>10826</v>
      </c>
      <c r="I8478">
        <v>6</v>
      </c>
      <c r="J8478" t="s">
        <v>445</v>
      </c>
      <c r="M8478">
        <v>3113</v>
      </c>
      <c r="N8478" t="s">
        <v>16418</v>
      </c>
    </row>
    <row r="8479" spans="1:14">
      <c r="A8479">
        <v>50084000</v>
      </c>
      <c r="B8479">
        <v>3040307</v>
      </c>
      <c r="C8479" t="s">
        <v>12496</v>
      </c>
      <c r="D8479" t="s">
        <v>441</v>
      </c>
      <c r="F8479">
        <v>0</v>
      </c>
      <c r="G8479">
        <v>9.25</v>
      </c>
      <c r="H8479" t="s">
        <v>10826</v>
      </c>
      <c r="I8479">
        <v>4</v>
      </c>
      <c r="J8479" t="s">
        <v>445</v>
      </c>
      <c r="M8479">
        <v>3113</v>
      </c>
      <c r="N8479" t="s">
        <v>16418</v>
      </c>
    </row>
    <row r="8480" spans="1:14">
      <c r="A8480">
        <v>50090000</v>
      </c>
      <c r="B8480">
        <v>3016474</v>
      </c>
      <c r="C8480" t="s">
        <v>12497</v>
      </c>
      <c r="D8480" t="s">
        <v>441</v>
      </c>
      <c r="F8480">
        <v>0</v>
      </c>
      <c r="G8480">
        <v>3.79</v>
      </c>
      <c r="H8480" t="s">
        <v>8580</v>
      </c>
      <c r="I8480">
        <v>3</v>
      </c>
      <c r="J8480" t="s">
        <v>445</v>
      </c>
      <c r="K8480" t="s">
        <v>446</v>
      </c>
      <c r="M8480">
        <v>3122</v>
      </c>
    </row>
    <row r="8481" spans="1:14">
      <c r="A8481">
        <v>50100000</v>
      </c>
      <c r="B8481">
        <v>3016419</v>
      </c>
      <c r="C8481" t="s">
        <v>3575</v>
      </c>
      <c r="D8481" t="s">
        <v>441</v>
      </c>
      <c r="F8481">
        <v>0</v>
      </c>
      <c r="G8481">
        <v>10.83</v>
      </c>
      <c r="H8481" t="s">
        <v>10826</v>
      </c>
      <c r="I8481">
        <v>6</v>
      </c>
      <c r="J8481" t="s">
        <v>445</v>
      </c>
      <c r="M8481">
        <v>3113</v>
      </c>
      <c r="N8481" t="s">
        <v>16419</v>
      </c>
    </row>
    <row r="8482" spans="1:14">
      <c r="A8482">
        <v>50104000</v>
      </c>
      <c r="B8482">
        <v>3040311</v>
      </c>
      <c r="C8482" t="s">
        <v>8538</v>
      </c>
      <c r="D8482" t="s">
        <v>441</v>
      </c>
      <c r="F8482">
        <v>0</v>
      </c>
      <c r="G8482">
        <v>10.83</v>
      </c>
      <c r="H8482" t="s">
        <v>10826</v>
      </c>
      <c r="I8482">
        <v>4</v>
      </c>
      <c r="J8482" t="s">
        <v>445</v>
      </c>
      <c r="M8482">
        <v>3113</v>
      </c>
      <c r="N8482" t="s">
        <v>16419</v>
      </c>
    </row>
    <row r="8483" spans="1:14">
      <c r="A8483">
        <v>50110000</v>
      </c>
      <c r="B8483">
        <v>3024239</v>
      </c>
      <c r="C8483" t="s">
        <v>12498</v>
      </c>
      <c r="D8483" t="s">
        <v>441</v>
      </c>
      <c r="F8483">
        <v>0</v>
      </c>
      <c r="G8483">
        <v>5.3</v>
      </c>
      <c r="H8483" t="s">
        <v>10826</v>
      </c>
      <c r="I8483">
        <v>6</v>
      </c>
      <c r="J8483" t="s">
        <v>445</v>
      </c>
      <c r="K8483" t="s">
        <v>446</v>
      </c>
      <c r="M8483">
        <v>2390</v>
      </c>
    </row>
    <row r="8484" spans="1:14">
      <c r="A8484">
        <v>50110002</v>
      </c>
      <c r="B8484">
        <v>3024241</v>
      </c>
      <c r="C8484" t="s">
        <v>12499</v>
      </c>
      <c r="D8484" t="s">
        <v>441</v>
      </c>
      <c r="F8484">
        <v>0</v>
      </c>
      <c r="G8484">
        <v>5.62</v>
      </c>
      <c r="H8484" t="s">
        <v>8588</v>
      </c>
      <c r="I8484">
        <v>365</v>
      </c>
      <c r="J8484" t="s">
        <v>445</v>
      </c>
      <c r="K8484" t="s">
        <v>446</v>
      </c>
      <c r="M8484">
        <v>2501</v>
      </c>
    </row>
    <row r="8485" spans="1:14">
      <c r="A8485">
        <v>50110502</v>
      </c>
      <c r="B8485">
        <v>3024240</v>
      </c>
      <c r="C8485" t="s">
        <v>12500</v>
      </c>
      <c r="D8485" t="s">
        <v>441</v>
      </c>
      <c r="F8485">
        <v>0</v>
      </c>
      <c r="G8485">
        <v>5.39</v>
      </c>
      <c r="H8485" t="s">
        <v>10826</v>
      </c>
      <c r="I8485">
        <v>6</v>
      </c>
      <c r="J8485" t="s">
        <v>445</v>
      </c>
      <c r="K8485" t="s">
        <v>446</v>
      </c>
      <c r="M8485">
        <v>2641</v>
      </c>
    </row>
    <row r="8486" spans="1:14">
      <c r="A8486">
        <v>50110602</v>
      </c>
      <c r="B8486">
        <v>3025562</v>
      </c>
      <c r="C8486" t="s">
        <v>12501</v>
      </c>
      <c r="D8486" t="s">
        <v>441</v>
      </c>
      <c r="F8486">
        <v>0</v>
      </c>
      <c r="G8486">
        <v>5.89</v>
      </c>
      <c r="H8486" t="s">
        <v>10826</v>
      </c>
      <c r="I8486">
        <v>4</v>
      </c>
      <c r="J8486" t="s">
        <v>445</v>
      </c>
      <c r="K8486" t="s">
        <v>446</v>
      </c>
      <c r="M8486">
        <v>2511</v>
      </c>
    </row>
    <row r="8487" spans="1:14">
      <c r="A8487">
        <v>50119000</v>
      </c>
      <c r="B8487">
        <v>3024238</v>
      </c>
      <c r="C8487" t="s">
        <v>12502</v>
      </c>
      <c r="D8487" t="s">
        <v>441</v>
      </c>
      <c r="F8487">
        <v>0</v>
      </c>
      <c r="G8487">
        <v>5.3</v>
      </c>
      <c r="H8487" t="s">
        <v>10826</v>
      </c>
      <c r="I8487">
        <v>2</v>
      </c>
      <c r="J8487" t="s">
        <v>445</v>
      </c>
      <c r="K8487" t="s">
        <v>446</v>
      </c>
      <c r="M8487">
        <v>3111</v>
      </c>
    </row>
    <row r="8488" spans="1:14">
      <c r="A8488">
        <v>50120000</v>
      </c>
      <c r="B8488">
        <v>3016471</v>
      </c>
      <c r="C8488" t="s">
        <v>3576</v>
      </c>
      <c r="D8488" t="s">
        <v>441</v>
      </c>
      <c r="F8488">
        <v>0</v>
      </c>
      <c r="G8488">
        <v>4.07</v>
      </c>
      <c r="H8488" t="s">
        <v>8580</v>
      </c>
      <c r="I8488">
        <v>6</v>
      </c>
      <c r="J8488" t="s">
        <v>445</v>
      </c>
      <c r="K8488" t="s">
        <v>446</v>
      </c>
      <c r="M8488">
        <v>3113</v>
      </c>
    </row>
    <row r="8489" spans="1:14">
      <c r="A8489">
        <v>50130000</v>
      </c>
      <c r="B8489">
        <v>3016470</v>
      </c>
      <c r="C8489" t="s">
        <v>3577</v>
      </c>
      <c r="D8489" t="s">
        <v>441</v>
      </c>
      <c r="F8489">
        <v>0</v>
      </c>
      <c r="G8489">
        <v>6.28</v>
      </c>
      <c r="H8489" t="s">
        <v>8580</v>
      </c>
      <c r="I8489">
        <v>6</v>
      </c>
      <c r="J8489" t="s">
        <v>445</v>
      </c>
      <c r="K8489" t="s">
        <v>446</v>
      </c>
      <c r="M8489">
        <v>3113</v>
      </c>
    </row>
    <row r="8490" spans="1:14">
      <c r="A8490">
        <v>50140000</v>
      </c>
      <c r="B8490">
        <v>3016798</v>
      </c>
      <c r="C8490" t="s">
        <v>3578</v>
      </c>
      <c r="D8490" t="s">
        <v>441</v>
      </c>
      <c r="F8490">
        <v>0</v>
      </c>
      <c r="G8490">
        <v>7.45</v>
      </c>
      <c r="H8490" t="s">
        <v>8580</v>
      </c>
      <c r="I8490">
        <v>5</v>
      </c>
      <c r="J8490" t="s">
        <v>445</v>
      </c>
      <c r="K8490" t="s">
        <v>446</v>
      </c>
      <c r="M8490">
        <v>3122</v>
      </c>
    </row>
    <row r="8491" spans="1:14">
      <c r="A8491">
        <v>50150000</v>
      </c>
      <c r="B8491">
        <v>3021452</v>
      </c>
      <c r="C8491" t="s">
        <v>16420</v>
      </c>
      <c r="D8491" t="s">
        <v>441</v>
      </c>
      <c r="F8491">
        <v>0</v>
      </c>
      <c r="G8491">
        <v>11.6</v>
      </c>
      <c r="H8491" t="s">
        <v>10826</v>
      </c>
      <c r="I8491">
        <v>6</v>
      </c>
      <c r="J8491" t="s">
        <v>445</v>
      </c>
      <c r="K8491" t="s">
        <v>446</v>
      </c>
      <c r="M8491">
        <v>2391</v>
      </c>
      <c r="N8491" t="s">
        <v>16421</v>
      </c>
    </row>
    <row r="8492" spans="1:14">
      <c r="A8492">
        <v>50150002</v>
      </c>
      <c r="B8492">
        <v>3021461</v>
      </c>
      <c r="C8492" t="s">
        <v>16422</v>
      </c>
      <c r="D8492" t="s">
        <v>441</v>
      </c>
      <c r="F8492">
        <v>0</v>
      </c>
      <c r="G8492">
        <v>12.41</v>
      </c>
      <c r="H8492" t="s">
        <v>10826</v>
      </c>
      <c r="I8492">
        <v>365</v>
      </c>
      <c r="J8492" t="s">
        <v>445</v>
      </c>
      <c r="K8492" t="s">
        <v>446</v>
      </c>
      <c r="M8492">
        <v>7111</v>
      </c>
      <c r="N8492" t="s">
        <v>16421</v>
      </c>
    </row>
    <row r="8493" spans="1:14">
      <c r="A8493">
        <v>50150102</v>
      </c>
      <c r="B8493">
        <v>3026356</v>
      </c>
      <c r="C8493" t="s">
        <v>3579</v>
      </c>
      <c r="D8493" t="s">
        <v>441</v>
      </c>
      <c r="F8493">
        <v>0</v>
      </c>
      <c r="H8493" t="s">
        <v>10826</v>
      </c>
      <c r="I8493">
        <v>365</v>
      </c>
      <c r="J8493" t="s">
        <v>445</v>
      </c>
      <c r="M8493">
        <v>0</v>
      </c>
    </row>
    <row r="8494" spans="1:14">
      <c r="A8494">
        <v>50150112</v>
      </c>
      <c r="B8494">
        <v>3034518</v>
      </c>
      <c r="C8494" t="s">
        <v>12503</v>
      </c>
      <c r="D8494" t="s">
        <v>441</v>
      </c>
      <c r="F8494">
        <v>0</v>
      </c>
      <c r="H8494" t="s">
        <v>8588</v>
      </c>
      <c r="I8494">
        <v>365</v>
      </c>
      <c r="J8494" t="s">
        <v>445</v>
      </c>
      <c r="M8494">
        <v>7113</v>
      </c>
      <c r="N8494" t="s">
        <v>16423</v>
      </c>
    </row>
    <row r="8495" spans="1:14">
      <c r="A8495">
        <v>50150120</v>
      </c>
      <c r="B8495">
        <v>3029776</v>
      </c>
      <c r="C8495" t="s">
        <v>3580</v>
      </c>
      <c r="D8495" t="s">
        <v>441</v>
      </c>
      <c r="F8495">
        <v>0</v>
      </c>
      <c r="H8495" t="s">
        <v>10826</v>
      </c>
      <c r="I8495">
        <v>365</v>
      </c>
      <c r="J8495" t="s">
        <v>445</v>
      </c>
      <c r="M8495">
        <v>0</v>
      </c>
      <c r="N8495" t="s">
        <v>16424</v>
      </c>
    </row>
    <row r="8496" spans="1:14">
      <c r="A8496">
        <v>50150142</v>
      </c>
      <c r="B8496">
        <v>3034677</v>
      </c>
      <c r="C8496" t="s">
        <v>12504</v>
      </c>
      <c r="D8496" t="s">
        <v>441</v>
      </c>
      <c r="F8496">
        <v>0</v>
      </c>
      <c r="H8496" t="s">
        <v>8588</v>
      </c>
      <c r="I8496">
        <v>365</v>
      </c>
      <c r="J8496" t="s">
        <v>445</v>
      </c>
      <c r="M8496">
        <v>7113</v>
      </c>
      <c r="N8496" t="s">
        <v>16423</v>
      </c>
    </row>
    <row r="8497" spans="1:14">
      <c r="A8497">
        <v>50150152</v>
      </c>
      <c r="B8497">
        <v>3034520</v>
      </c>
      <c r="C8497" t="s">
        <v>12505</v>
      </c>
      <c r="D8497" t="s">
        <v>441</v>
      </c>
      <c r="F8497">
        <v>0</v>
      </c>
      <c r="G8497">
        <v>1</v>
      </c>
      <c r="H8497" t="s">
        <v>8588</v>
      </c>
      <c r="I8497">
        <v>365</v>
      </c>
      <c r="J8497" t="s">
        <v>445</v>
      </c>
      <c r="M8497">
        <v>7113</v>
      </c>
      <c r="N8497" t="s">
        <v>16423</v>
      </c>
    </row>
    <row r="8498" spans="1:14">
      <c r="A8498">
        <v>50150502</v>
      </c>
      <c r="B8498">
        <v>3021460</v>
      </c>
      <c r="C8498" t="s">
        <v>16425</v>
      </c>
      <c r="D8498" t="s">
        <v>441</v>
      </c>
      <c r="F8498">
        <v>0</v>
      </c>
      <c r="G8498">
        <v>11.74</v>
      </c>
      <c r="H8498" t="s">
        <v>10826</v>
      </c>
      <c r="I8498">
        <v>6</v>
      </c>
      <c r="J8498" t="s">
        <v>445</v>
      </c>
      <c r="K8498" t="s">
        <v>446</v>
      </c>
      <c r="M8498">
        <v>2502</v>
      </c>
      <c r="N8498" t="s">
        <v>16421</v>
      </c>
    </row>
    <row r="8499" spans="1:14">
      <c r="A8499">
        <v>50150602</v>
      </c>
      <c r="B8499">
        <v>3021462</v>
      </c>
      <c r="C8499" t="s">
        <v>16426</v>
      </c>
      <c r="D8499" t="s">
        <v>441</v>
      </c>
      <c r="F8499">
        <v>0</v>
      </c>
      <c r="G8499">
        <v>12.79</v>
      </c>
      <c r="H8499" t="s">
        <v>10826</v>
      </c>
      <c r="I8499">
        <v>4</v>
      </c>
      <c r="J8499" t="s">
        <v>445</v>
      </c>
      <c r="K8499" t="s">
        <v>446</v>
      </c>
      <c r="M8499">
        <v>2510</v>
      </c>
      <c r="N8499" t="s">
        <v>16421</v>
      </c>
    </row>
    <row r="8500" spans="1:14">
      <c r="A8500">
        <v>50159000</v>
      </c>
      <c r="B8500">
        <v>3021473</v>
      </c>
      <c r="C8500" t="s">
        <v>16427</v>
      </c>
      <c r="D8500" t="s">
        <v>441</v>
      </c>
      <c r="F8500">
        <v>0</v>
      </c>
      <c r="G8500">
        <v>11.6</v>
      </c>
      <c r="H8500" t="s">
        <v>10826</v>
      </c>
      <c r="I8500">
        <v>2</v>
      </c>
      <c r="J8500" t="s">
        <v>445</v>
      </c>
      <c r="K8500" t="s">
        <v>446</v>
      </c>
      <c r="M8500">
        <v>3111</v>
      </c>
      <c r="N8500" t="s">
        <v>16421</v>
      </c>
    </row>
    <row r="8501" spans="1:14">
      <c r="A8501">
        <v>50160000</v>
      </c>
      <c r="B8501">
        <v>3023807</v>
      </c>
      <c r="C8501" t="s">
        <v>12506</v>
      </c>
      <c r="D8501" t="s">
        <v>441</v>
      </c>
      <c r="F8501">
        <v>0</v>
      </c>
      <c r="G8501">
        <v>5.3</v>
      </c>
      <c r="H8501" t="s">
        <v>10826</v>
      </c>
      <c r="I8501">
        <v>6</v>
      </c>
      <c r="J8501" t="s">
        <v>445</v>
      </c>
      <c r="K8501" t="s">
        <v>446</v>
      </c>
      <c r="M8501">
        <v>2390</v>
      </c>
    </row>
    <row r="8502" spans="1:14">
      <c r="A8502">
        <v>50160002</v>
      </c>
      <c r="B8502">
        <v>3024005</v>
      </c>
      <c r="C8502" t="s">
        <v>12507</v>
      </c>
      <c r="D8502" t="s">
        <v>441</v>
      </c>
      <c r="F8502">
        <v>0</v>
      </c>
      <c r="G8502">
        <v>5.58</v>
      </c>
      <c r="H8502" t="s">
        <v>10826</v>
      </c>
      <c r="I8502">
        <v>365</v>
      </c>
      <c r="J8502" t="s">
        <v>445</v>
      </c>
      <c r="K8502" t="s">
        <v>446</v>
      </c>
      <c r="M8502">
        <v>2501</v>
      </c>
    </row>
    <row r="8503" spans="1:14">
      <c r="A8503">
        <v>50160502</v>
      </c>
      <c r="B8503">
        <v>3024004</v>
      </c>
      <c r="C8503" t="s">
        <v>12508</v>
      </c>
      <c r="D8503" t="s">
        <v>441</v>
      </c>
      <c r="F8503">
        <v>0</v>
      </c>
      <c r="G8503">
        <v>5.34</v>
      </c>
      <c r="H8503" t="s">
        <v>8588</v>
      </c>
      <c r="I8503">
        <v>6</v>
      </c>
      <c r="J8503" t="s">
        <v>445</v>
      </c>
      <c r="K8503" t="s">
        <v>446</v>
      </c>
      <c r="M8503">
        <v>2641</v>
      </c>
    </row>
    <row r="8504" spans="1:14">
      <c r="A8504">
        <v>50160602</v>
      </c>
      <c r="B8504">
        <v>3024162</v>
      </c>
      <c r="C8504" t="s">
        <v>12509</v>
      </c>
      <c r="D8504" t="s">
        <v>441</v>
      </c>
      <c r="F8504">
        <v>0</v>
      </c>
      <c r="G8504">
        <v>5.84</v>
      </c>
      <c r="H8504" t="s">
        <v>10826</v>
      </c>
      <c r="I8504">
        <v>4</v>
      </c>
      <c r="J8504" t="s">
        <v>445</v>
      </c>
      <c r="K8504" t="s">
        <v>446</v>
      </c>
      <c r="M8504">
        <v>2511</v>
      </c>
    </row>
    <row r="8505" spans="1:14">
      <c r="A8505">
        <v>50169000</v>
      </c>
      <c r="B8505">
        <v>3023808</v>
      </c>
      <c r="C8505" t="s">
        <v>12510</v>
      </c>
      <c r="D8505" t="s">
        <v>441</v>
      </c>
      <c r="F8505">
        <v>0</v>
      </c>
      <c r="G8505">
        <v>5.3</v>
      </c>
      <c r="H8505" t="s">
        <v>10826</v>
      </c>
      <c r="I8505">
        <v>2</v>
      </c>
      <c r="J8505" t="s">
        <v>445</v>
      </c>
      <c r="K8505" t="s">
        <v>446</v>
      </c>
      <c r="M8505">
        <v>3111</v>
      </c>
    </row>
    <row r="8506" spans="1:14">
      <c r="A8506">
        <v>50170000</v>
      </c>
      <c r="B8506">
        <v>3016475</v>
      </c>
      <c r="C8506" t="s">
        <v>3581</v>
      </c>
      <c r="D8506" t="s">
        <v>441</v>
      </c>
      <c r="F8506">
        <v>0</v>
      </c>
      <c r="G8506">
        <v>15.98</v>
      </c>
      <c r="H8506" t="s">
        <v>10826</v>
      </c>
      <c r="I8506">
        <v>5</v>
      </c>
      <c r="J8506" t="s">
        <v>445</v>
      </c>
      <c r="M8506">
        <v>3113</v>
      </c>
      <c r="N8506" t="s">
        <v>16428</v>
      </c>
    </row>
    <row r="8507" spans="1:14">
      <c r="A8507">
        <v>50174000</v>
      </c>
      <c r="B8507">
        <v>3040308</v>
      </c>
      <c r="C8507" t="s">
        <v>3582</v>
      </c>
      <c r="D8507" t="s">
        <v>441</v>
      </c>
      <c r="F8507">
        <v>0</v>
      </c>
      <c r="G8507">
        <v>16.07</v>
      </c>
      <c r="H8507" t="s">
        <v>10826</v>
      </c>
      <c r="I8507">
        <v>4</v>
      </c>
      <c r="J8507" t="s">
        <v>445</v>
      </c>
      <c r="M8507">
        <v>3113</v>
      </c>
      <c r="N8507" t="s">
        <v>16428</v>
      </c>
    </row>
    <row r="8508" spans="1:14">
      <c r="A8508">
        <v>50180000</v>
      </c>
      <c r="B8508">
        <v>3024036</v>
      </c>
      <c r="C8508" t="s">
        <v>12511</v>
      </c>
      <c r="D8508" t="s">
        <v>441</v>
      </c>
      <c r="F8508">
        <v>0</v>
      </c>
      <c r="G8508">
        <v>5.3</v>
      </c>
      <c r="H8508" t="s">
        <v>10826</v>
      </c>
      <c r="I8508">
        <v>6</v>
      </c>
      <c r="J8508" t="s">
        <v>445</v>
      </c>
      <c r="K8508" t="s">
        <v>446</v>
      </c>
      <c r="M8508">
        <v>2390</v>
      </c>
    </row>
    <row r="8509" spans="1:14">
      <c r="A8509">
        <v>50180002</v>
      </c>
      <c r="B8509">
        <v>3024039</v>
      </c>
      <c r="C8509" t="s">
        <v>12512</v>
      </c>
      <c r="D8509" t="s">
        <v>441</v>
      </c>
      <c r="F8509">
        <v>0</v>
      </c>
      <c r="G8509">
        <v>5.62</v>
      </c>
      <c r="H8509" t="s">
        <v>10826</v>
      </c>
      <c r="I8509">
        <v>365</v>
      </c>
      <c r="J8509" t="s">
        <v>445</v>
      </c>
      <c r="K8509" t="s">
        <v>446</v>
      </c>
      <c r="M8509">
        <v>2501</v>
      </c>
    </row>
    <row r="8510" spans="1:14">
      <c r="A8510">
        <v>50180502</v>
      </c>
      <c r="B8510">
        <v>3024038</v>
      </c>
      <c r="C8510" t="s">
        <v>12513</v>
      </c>
      <c r="D8510" t="s">
        <v>441</v>
      </c>
      <c r="F8510">
        <v>0</v>
      </c>
      <c r="G8510">
        <v>5.39</v>
      </c>
      <c r="H8510" t="s">
        <v>8588</v>
      </c>
      <c r="I8510">
        <v>6</v>
      </c>
      <c r="J8510" t="s">
        <v>445</v>
      </c>
      <c r="K8510" t="s">
        <v>446</v>
      </c>
      <c r="M8510">
        <v>2641</v>
      </c>
    </row>
    <row r="8511" spans="1:14">
      <c r="A8511">
        <v>50180602</v>
      </c>
      <c r="B8511">
        <v>3024153</v>
      </c>
      <c r="C8511" t="s">
        <v>12514</v>
      </c>
      <c r="D8511" t="s">
        <v>441</v>
      </c>
      <c r="F8511">
        <v>0</v>
      </c>
      <c r="G8511">
        <v>5.89</v>
      </c>
      <c r="H8511" t="s">
        <v>10826</v>
      </c>
      <c r="I8511">
        <v>4</v>
      </c>
      <c r="J8511" t="s">
        <v>445</v>
      </c>
      <c r="K8511" t="s">
        <v>446</v>
      </c>
      <c r="M8511">
        <v>2511</v>
      </c>
    </row>
    <row r="8512" spans="1:14">
      <c r="A8512">
        <v>50189000</v>
      </c>
      <c r="B8512">
        <v>3024127</v>
      </c>
      <c r="C8512" t="s">
        <v>12515</v>
      </c>
      <c r="D8512" t="s">
        <v>441</v>
      </c>
      <c r="F8512">
        <v>0</v>
      </c>
      <c r="G8512">
        <v>5.3</v>
      </c>
      <c r="H8512" t="s">
        <v>10826</v>
      </c>
      <c r="I8512">
        <v>2</v>
      </c>
      <c r="J8512" t="s">
        <v>445</v>
      </c>
      <c r="K8512" t="s">
        <v>446</v>
      </c>
      <c r="M8512">
        <v>3111</v>
      </c>
    </row>
    <row r="8513" spans="1:14">
      <c r="A8513">
        <v>50190000</v>
      </c>
      <c r="B8513">
        <v>3024243</v>
      </c>
      <c r="C8513" t="s">
        <v>12516</v>
      </c>
      <c r="D8513" t="s">
        <v>441</v>
      </c>
      <c r="F8513">
        <v>0</v>
      </c>
      <c r="G8513">
        <v>5.3</v>
      </c>
      <c r="H8513" t="s">
        <v>10826</v>
      </c>
      <c r="I8513">
        <v>6</v>
      </c>
      <c r="J8513" t="s">
        <v>445</v>
      </c>
      <c r="K8513" t="s">
        <v>446</v>
      </c>
      <c r="M8513">
        <v>2390</v>
      </c>
    </row>
    <row r="8514" spans="1:14">
      <c r="A8514">
        <v>50190002</v>
      </c>
      <c r="B8514">
        <v>3024245</v>
      </c>
      <c r="C8514" t="s">
        <v>12517</v>
      </c>
      <c r="D8514" t="s">
        <v>441</v>
      </c>
      <c r="F8514">
        <v>0</v>
      </c>
      <c r="G8514">
        <v>5.62</v>
      </c>
      <c r="H8514" t="s">
        <v>10826</v>
      </c>
      <c r="I8514">
        <v>365</v>
      </c>
      <c r="J8514" t="s">
        <v>445</v>
      </c>
      <c r="K8514" t="s">
        <v>446</v>
      </c>
      <c r="M8514">
        <v>2501</v>
      </c>
    </row>
    <row r="8515" spans="1:14">
      <c r="A8515">
        <v>50190502</v>
      </c>
      <c r="B8515">
        <v>3024244</v>
      </c>
      <c r="C8515" t="s">
        <v>12518</v>
      </c>
      <c r="D8515" t="s">
        <v>441</v>
      </c>
      <c r="F8515">
        <v>0</v>
      </c>
      <c r="G8515">
        <v>5.39</v>
      </c>
      <c r="H8515" t="s">
        <v>10826</v>
      </c>
      <c r="I8515">
        <v>6</v>
      </c>
      <c r="J8515" t="s">
        <v>445</v>
      </c>
      <c r="K8515" t="s">
        <v>446</v>
      </c>
      <c r="M8515">
        <v>2641</v>
      </c>
    </row>
    <row r="8516" spans="1:14">
      <c r="A8516">
        <v>50190602</v>
      </c>
      <c r="B8516">
        <v>3025661</v>
      </c>
      <c r="C8516" t="s">
        <v>12519</v>
      </c>
      <c r="D8516" t="s">
        <v>441</v>
      </c>
      <c r="F8516">
        <v>0</v>
      </c>
      <c r="G8516">
        <v>5.89</v>
      </c>
      <c r="H8516" t="s">
        <v>10826</v>
      </c>
      <c r="I8516">
        <v>4</v>
      </c>
      <c r="J8516" t="s">
        <v>445</v>
      </c>
      <c r="K8516" t="s">
        <v>446</v>
      </c>
      <c r="M8516">
        <v>2511</v>
      </c>
    </row>
    <row r="8517" spans="1:14">
      <c r="A8517">
        <v>50199000</v>
      </c>
      <c r="B8517">
        <v>3024242</v>
      </c>
      <c r="C8517" t="s">
        <v>12520</v>
      </c>
      <c r="D8517" t="s">
        <v>441</v>
      </c>
      <c r="F8517">
        <v>0</v>
      </c>
      <c r="G8517">
        <v>5.3</v>
      </c>
      <c r="H8517" t="s">
        <v>10826</v>
      </c>
      <c r="I8517">
        <v>2</v>
      </c>
      <c r="J8517" t="s">
        <v>445</v>
      </c>
      <c r="K8517" t="s">
        <v>446</v>
      </c>
      <c r="M8517">
        <v>3111</v>
      </c>
    </row>
    <row r="8518" spans="1:14">
      <c r="A8518">
        <v>50200000</v>
      </c>
      <c r="B8518">
        <v>3016745</v>
      </c>
      <c r="C8518" t="s">
        <v>3583</v>
      </c>
      <c r="D8518" t="s">
        <v>441</v>
      </c>
      <c r="F8518">
        <v>0</v>
      </c>
      <c r="G8518">
        <v>4.62</v>
      </c>
      <c r="H8518" t="s">
        <v>8580</v>
      </c>
      <c r="I8518">
        <v>3</v>
      </c>
      <c r="J8518" t="s">
        <v>445</v>
      </c>
      <c r="K8518" t="s">
        <v>446</v>
      </c>
      <c r="M8518">
        <v>3122</v>
      </c>
    </row>
    <row r="8519" spans="1:14">
      <c r="A8519">
        <v>50210000</v>
      </c>
      <c r="B8519">
        <v>3016791</v>
      </c>
      <c r="C8519" t="s">
        <v>3584</v>
      </c>
      <c r="D8519" t="s">
        <v>441</v>
      </c>
      <c r="F8519">
        <v>0</v>
      </c>
      <c r="G8519">
        <v>8.1</v>
      </c>
      <c r="H8519" t="s">
        <v>8580</v>
      </c>
      <c r="I8519">
        <v>3</v>
      </c>
      <c r="J8519" t="s">
        <v>445</v>
      </c>
      <c r="K8519" t="s">
        <v>446</v>
      </c>
      <c r="M8519">
        <v>3122</v>
      </c>
    </row>
    <row r="8520" spans="1:14">
      <c r="A8520">
        <v>50220000</v>
      </c>
      <c r="B8520">
        <v>3021463</v>
      </c>
      <c r="C8520" t="s">
        <v>404</v>
      </c>
      <c r="D8520" t="s">
        <v>441</v>
      </c>
      <c r="F8520">
        <v>0</v>
      </c>
      <c r="G8520">
        <v>10.96</v>
      </c>
      <c r="H8520" t="s">
        <v>12521</v>
      </c>
      <c r="I8520">
        <v>6</v>
      </c>
      <c r="J8520" t="s">
        <v>445</v>
      </c>
      <c r="M8520">
        <v>3111</v>
      </c>
      <c r="N8520" t="s">
        <v>16429</v>
      </c>
    </row>
    <row r="8521" spans="1:14">
      <c r="A8521">
        <v>50220007</v>
      </c>
      <c r="B8521">
        <v>3025663</v>
      </c>
      <c r="C8521" t="s">
        <v>12522</v>
      </c>
      <c r="D8521" t="s">
        <v>441</v>
      </c>
      <c r="F8521">
        <v>0</v>
      </c>
      <c r="G8521">
        <v>8.34</v>
      </c>
      <c r="H8521" t="s">
        <v>8588</v>
      </c>
      <c r="I8521">
        <v>6</v>
      </c>
      <c r="J8521" t="s">
        <v>445</v>
      </c>
      <c r="K8521" t="s">
        <v>446</v>
      </c>
      <c r="M8521">
        <v>2621</v>
      </c>
    </row>
    <row r="8522" spans="1:14">
      <c r="A8522">
        <v>50220087</v>
      </c>
      <c r="B8522">
        <v>3028858</v>
      </c>
      <c r="C8522" t="s">
        <v>3585</v>
      </c>
      <c r="D8522" t="s">
        <v>441</v>
      </c>
      <c r="F8522">
        <v>0</v>
      </c>
      <c r="G8522">
        <v>7.5</v>
      </c>
      <c r="H8522" t="s">
        <v>8588</v>
      </c>
      <c r="I8522">
        <v>6</v>
      </c>
      <c r="J8522" t="s">
        <v>445</v>
      </c>
      <c r="K8522" t="s">
        <v>446</v>
      </c>
      <c r="M8522">
        <v>2641</v>
      </c>
    </row>
    <row r="8523" spans="1:14">
      <c r="A8523">
        <v>50229000</v>
      </c>
      <c r="B8523">
        <v>3028975</v>
      </c>
      <c r="C8523" t="s">
        <v>3586</v>
      </c>
      <c r="D8523" t="s">
        <v>441</v>
      </c>
      <c r="F8523">
        <v>0</v>
      </c>
      <c r="G8523">
        <v>10.96</v>
      </c>
      <c r="H8523" t="s">
        <v>10826</v>
      </c>
      <c r="I8523">
        <v>2</v>
      </c>
      <c r="J8523" t="s">
        <v>445</v>
      </c>
      <c r="M8523">
        <v>6666</v>
      </c>
      <c r="N8523" t="s">
        <v>16430</v>
      </c>
    </row>
    <row r="8524" spans="1:14">
      <c r="A8524">
        <v>50230000</v>
      </c>
      <c r="B8524">
        <v>3021897</v>
      </c>
      <c r="C8524" t="s">
        <v>3587</v>
      </c>
      <c r="D8524" t="s">
        <v>441</v>
      </c>
      <c r="F8524">
        <v>0</v>
      </c>
      <c r="G8524">
        <v>10.34</v>
      </c>
      <c r="H8524" t="s">
        <v>12521</v>
      </c>
      <c r="I8524">
        <v>6</v>
      </c>
      <c r="J8524" t="s">
        <v>445</v>
      </c>
      <c r="M8524">
        <v>3111</v>
      </c>
      <c r="N8524" t="s">
        <v>16431</v>
      </c>
    </row>
    <row r="8525" spans="1:14">
      <c r="A8525">
        <v>50240000</v>
      </c>
      <c r="B8525">
        <v>3016476</v>
      </c>
      <c r="C8525" t="s">
        <v>12523</v>
      </c>
      <c r="D8525" t="s">
        <v>441</v>
      </c>
      <c r="F8525">
        <v>0</v>
      </c>
      <c r="G8525">
        <v>10.64</v>
      </c>
      <c r="H8525" t="s">
        <v>8580</v>
      </c>
      <c r="I8525">
        <v>3</v>
      </c>
      <c r="J8525" t="s">
        <v>445</v>
      </c>
      <c r="K8525" t="s">
        <v>446</v>
      </c>
      <c r="M8525">
        <v>3122</v>
      </c>
    </row>
    <row r="8526" spans="1:14">
      <c r="A8526">
        <v>50250000</v>
      </c>
      <c r="B8526">
        <v>3040339</v>
      </c>
      <c r="C8526" t="s">
        <v>3588</v>
      </c>
      <c r="D8526" t="s">
        <v>441</v>
      </c>
      <c r="F8526">
        <v>0</v>
      </c>
      <c r="G8526">
        <v>13.66</v>
      </c>
      <c r="I8526">
        <v>4</v>
      </c>
      <c r="J8526" t="s">
        <v>445</v>
      </c>
      <c r="M8526">
        <v>3113</v>
      </c>
      <c r="N8526" t="s">
        <v>16432</v>
      </c>
    </row>
    <row r="8527" spans="1:14">
      <c r="A8527">
        <v>50250110</v>
      </c>
      <c r="B8527">
        <v>3027225</v>
      </c>
      <c r="C8527" t="s">
        <v>3589</v>
      </c>
      <c r="D8527" t="s">
        <v>441</v>
      </c>
      <c r="F8527">
        <v>0</v>
      </c>
      <c r="H8527" t="s">
        <v>10826</v>
      </c>
      <c r="I8527">
        <v>5</v>
      </c>
      <c r="J8527" t="s">
        <v>445</v>
      </c>
      <c r="K8527" t="s">
        <v>446</v>
      </c>
      <c r="M8527">
        <v>0</v>
      </c>
    </row>
    <row r="8528" spans="1:14">
      <c r="A8528">
        <v>50254000</v>
      </c>
      <c r="B8528">
        <v>3040198</v>
      </c>
      <c r="C8528" t="s">
        <v>427</v>
      </c>
      <c r="D8528" t="s">
        <v>441</v>
      </c>
      <c r="F8528">
        <v>0</v>
      </c>
      <c r="G8528">
        <v>13.66</v>
      </c>
      <c r="H8528" t="s">
        <v>8580</v>
      </c>
      <c r="I8528">
        <v>4</v>
      </c>
      <c r="J8528" t="s">
        <v>445</v>
      </c>
      <c r="M8528">
        <v>3113</v>
      </c>
      <c r="N8528" t="s">
        <v>16432</v>
      </c>
    </row>
    <row r="8529" spans="1:14">
      <c r="A8529">
        <v>50260000</v>
      </c>
      <c r="B8529">
        <v>3039575</v>
      </c>
      <c r="C8529" t="s">
        <v>12524</v>
      </c>
      <c r="D8529" t="s">
        <v>441</v>
      </c>
      <c r="F8529">
        <v>0</v>
      </c>
      <c r="G8529">
        <v>8.25</v>
      </c>
      <c r="H8529" t="s">
        <v>8549</v>
      </c>
      <c r="I8529">
        <v>5</v>
      </c>
      <c r="J8529" t="s">
        <v>445</v>
      </c>
      <c r="K8529" t="s">
        <v>446</v>
      </c>
      <c r="M8529">
        <v>3113</v>
      </c>
    </row>
    <row r="8530" spans="1:14">
      <c r="A8530">
        <v>50270000</v>
      </c>
      <c r="B8530">
        <v>3043094</v>
      </c>
      <c r="C8530" t="s">
        <v>360</v>
      </c>
      <c r="D8530" t="s">
        <v>441</v>
      </c>
      <c r="F8530">
        <v>0</v>
      </c>
      <c r="G8530">
        <v>8.52</v>
      </c>
      <c r="H8530" t="s">
        <v>12521</v>
      </c>
      <c r="I8530">
        <v>6</v>
      </c>
      <c r="J8530" t="s">
        <v>445</v>
      </c>
      <c r="M8530">
        <v>3111</v>
      </c>
      <c r="N8530" t="s">
        <v>16418</v>
      </c>
    </row>
    <row r="8531" spans="1:14">
      <c r="A8531">
        <v>50280000</v>
      </c>
      <c r="B8531">
        <v>3043954</v>
      </c>
      <c r="C8531" t="s">
        <v>14522</v>
      </c>
      <c r="D8531" t="s">
        <v>441</v>
      </c>
      <c r="F8531">
        <v>0</v>
      </c>
      <c r="G8531">
        <v>10.34</v>
      </c>
      <c r="H8531" t="s">
        <v>10826</v>
      </c>
      <c r="I8531">
        <v>4</v>
      </c>
      <c r="J8531" t="s">
        <v>445</v>
      </c>
      <c r="M8531">
        <v>3113</v>
      </c>
      <c r="N8531" t="s">
        <v>16433</v>
      </c>
    </row>
    <row r="8532" spans="1:14">
      <c r="A8532">
        <v>50300000</v>
      </c>
      <c r="B8532">
        <v>3014196</v>
      </c>
      <c r="C8532" t="s">
        <v>3590</v>
      </c>
      <c r="D8532" t="s">
        <v>441</v>
      </c>
      <c r="F8532">
        <v>0</v>
      </c>
      <c r="G8532">
        <v>6.43</v>
      </c>
      <c r="H8532" t="s">
        <v>8583</v>
      </c>
      <c r="I8532">
        <v>2</v>
      </c>
      <c r="J8532" t="s">
        <v>445</v>
      </c>
      <c r="K8532" t="s">
        <v>446</v>
      </c>
      <c r="M8532">
        <v>3211</v>
      </c>
    </row>
    <row r="8533" spans="1:14">
      <c r="A8533">
        <v>50310000</v>
      </c>
      <c r="B8533">
        <v>3016750</v>
      </c>
      <c r="C8533" t="s">
        <v>3591</v>
      </c>
      <c r="D8533" t="s">
        <v>441</v>
      </c>
      <c r="F8533">
        <v>0</v>
      </c>
      <c r="G8533">
        <v>10.1</v>
      </c>
      <c r="H8533" t="s">
        <v>8580</v>
      </c>
      <c r="I8533">
        <v>5</v>
      </c>
      <c r="J8533" t="s">
        <v>445</v>
      </c>
      <c r="M8533">
        <v>3111</v>
      </c>
      <c r="N8533" t="s">
        <v>16434</v>
      </c>
    </row>
    <row r="8534" spans="1:14">
      <c r="A8534">
        <v>50320000</v>
      </c>
      <c r="B8534">
        <v>3016477</v>
      </c>
      <c r="C8534" t="s">
        <v>3592</v>
      </c>
      <c r="D8534" t="s">
        <v>441</v>
      </c>
      <c r="F8534">
        <v>0</v>
      </c>
      <c r="G8534">
        <v>9.19</v>
      </c>
      <c r="H8534" t="s">
        <v>8580</v>
      </c>
      <c r="I8534">
        <v>4</v>
      </c>
      <c r="J8534" t="s">
        <v>445</v>
      </c>
      <c r="K8534" t="s">
        <v>446</v>
      </c>
      <c r="M8534">
        <v>3122</v>
      </c>
    </row>
    <row r="8535" spans="1:14">
      <c r="A8535">
        <v>50330000</v>
      </c>
      <c r="B8535">
        <v>3016478</v>
      </c>
      <c r="C8535" t="s">
        <v>3593</v>
      </c>
      <c r="D8535" t="s">
        <v>441</v>
      </c>
      <c r="F8535">
        <v>0</v>
      </c>
      <c r="G8535">
        <v>7.79</v>
      </c>
      <c r="H8535" t="s">
        <v>8580</v>
      </c>
      <c r="I8535">
        <v>5</v>
      </c>
      <c r="J8535" t="s">
        <v>445</v>
      </c>
      <c r="K8535" t="s">
        <v>446</v>
      </c>
      <c r="M8535">
        <v>3122</v>
      </c>
    </row>
    <row r="8536" spans="1:14">
      <c r="A8536">
        <v>50340000</v>
      </c>
      <c r="B8536">
        <v>3016479</v>
      </c>
      <c r="C8536" t="s">
        <v>3594</v>
      </c>
      <c r="D8536" t="s">
        <v>441</v>
      </c>
      <c r="F8536">
        <v>0</v>
      </c>
      <c r="G8536">
        <v>16.09</v>
      </c>
      <c r="H8536" t="s">
        <v>8580</v>
      </c>
      <c r="I8536">
        <v>6</v>
      </c>
      <c r="J8536" t="s">
        <v>445</v>
      </c>
      <c r="M8536">
        <v>3111</v>
      </c>
      <c r="N8536" t="s">
        <v>16435</v>
      </c>
    </row>
    <row r="8537" spans="1:14">
      <c r="A8537">
        <v>50350000</v>
      </c>
      <c r="B8537">
        <v>3016480</v>
      </c>
      <c r="C8537" t="s">
        <v>3595</v>
      </c>
      <c r="D8537" t="s">
        <v>441</v>
      </c>
      <c r="F8537">
        <v>0</v>
      </c>
      <c r="G8537">
        <v>12.8</v>
      </c>
      <c r="H8537" t="s">
        <v>8580</v>
      </c>
      <c r="I8537">
        <v>5</v>
      </c>
      <c r="J8537" t="s">
        <v>445</v>
      </c>
      <c r="M8537">
        <v>3113</v>
      </c>
      <c r="N8537" t="s">
        <v>16436</v>
      </c>
    </row>
    <row r="8538" spans="1:14">
      <c r="A8538">
        <v>50360000</v>
      </c>
      <c r="B8538">
        <v>3016764</v>
      </c>
      <c r="C8538" t="s">
        <v>3596</v>
      </c>
      <c r="D8538" t="s">
        <v>441</v>
      </c>
      <c r="F8538">
        <v>0</v>
      </c>
      <c r="G8538">
        <v>19.13</v>
      </c>
      <c r="H8538" t="s">
        <v>8584</v>
      </c>
      <c r="I8538">
        <v>5</v>
      </c>
      <c r="J8538" t="s">
        <v>445</v>
      </c>
      <c r="M8538">
        <v>3111</v>
      </c>
      <c r="N8538" t="s">
        <v>16437</v>
      </c>
    </row>
    <row r="8539" spans="1:14">
      <c r="A8539">
        <v>50370000</v>
      </c>
      <c r="B8539">
        <v>3016786</v>
      </c>
      <c r="C8539" t="s">
        <v>3597</v>
      </c>
      <c r="D8539" t="s">
        <v>441</v>
      </c>
      <c r="F8539">
        <v>0</v>
      </c>
      <c r="G8539">
        <v>7.17</v>
      </c>
      <c r="H8539" t="s">
        <v>8580</v>
      </c>
      <c r="I8539">
        <v>3</v>
      </c>
      <c r="J8539" t="s">
        <v>445</v>
      </c>
      <c r="K8539" t="s">
        <v>446</v>
      </c>
      <c r="M8539">
        <v>3122</v>
      </c>
    </row>
    <row r="8540" spans="1:14">
      <c r="A8540">
        <v>50380000</v>
      </c>
      <c r="B8540">
        <v>3016785</v>
      </c>
      <c r="C8540" t="s">
        <v>3598</v>
      </c>
      <c r="D8540" t="s">
        <v>441</v>
      </c>
      <c r="F8540">
        <v>0</v>
      </c>
      <c r="G8540">
        <v>10.130000000000001</v>
      </c>
      <c r="H8540" t="s">
        <v>8580</v>
      </c>
      <c r="I8540">
        <v>3</v>
      </c>
      <c r="J8540" t="s">
        <v>445</v>
      </c>
      <c r="K8540" t="s">
        <v>446</v>
      </c>
      <c r="M8540">
        <v>3122</v>
      </c>
    </row>
    <row r="8541" spans="1:14">
      <c r="A8541">
        <v>50390000</v>
      </c>
      <c r="B8541">
        <v>3016789</v>
      </c>
      <c r="C8541" t="s">
        <v>3599</v>
      </c>
      <c r="D8541" t="s">
        <v>441</v>
      </c>
      <c r="F8541">
        <v>0</v>
      </c>
      <c r="G8541">
        <v>9.7100000000000009</v>
      </c>
      <c r="H8541" t="s">
        <v>8580</v>
      </c>
      <c r="I8541">
        <v>3</v>
      </c>
      <c r="J8541" t="s">
        <v>445</v>
      </c>
      <c r="K8541" t="s">
        <v>446</v>
      </c>
      <c r="M8541">
        <v>3122</v>
      </c>
    </row>
    <row r="8542" spans="1:14">
      <c r="A8542">
        <v>50400000</v>
      </c>
      <c r="B8542">
        <v>3016790</v>
      </c>
      <c r="C8542" t="s">
        <v>3600</v>
      </c>
      <c r="D8542" t="s">
        <v>441</v>
      </c>
      <c r="F8542">
        <v>0</v>
      </c>
      <c r="G8542">
        <v>7.92</v>
      </c>
      <c r="H8542" t="s">
        <v>8580</v>
      </c>
      <c r="I8542">
        <v>3</v>
      </c>
      <c r="J8542" t="s">
        <v>445</v>
      </c>
      <c r="K8542" t="s">
        <v>446</v>
      </c>
      <c r="M8542">
        <v>3122</v>
      </c>
    </row>
    <row r="8543" spans="1:14">
      <c r="A8543">
        <v>50410000</v>
      </c>
      <c r="B8543">
        <v>3016481</v>
      </c>
      <c r="C8543" t="s">
        <v>382</v>
      </c>
      <c r="D8543" t="s">
        <v>441</v>
      </c>
      <c r="F8543">
        <v>0</v>
      </c>
      <c r="G8543">
        <v>11.65</v>
      </c>
      <c r="H8543" t="s">
        <v>8580</v>
      </c>
      <c r="I8543">
        <v>4</v>
      </c>
      <c r="J8543" t="s">
        <v>445</v>
      </c>
      <c r="M8543">
        <v>3111</v>
      </c>
      <c r="N8543" t="s">
        <v>16438</v>
      </c>
    </row>
    <row r="8544" spans="1:14">
      <c r="A8544">
        <v>50420000</v>
      </c>
      <c r="B8544">
        <v>3016704</v>
      </c>
      <c r="C8544" t="s">
        <v>383</v>
      </c>
      <c r="D8544" t="s">
        <v>441</v>
      </c>
      <c r="F8544">
        <v>0</v>
      </c>
      <c r="G8544">
        <v>9.32</v>
      </c>
      <c r="H8544" t="s">
        <v>8580</v>
      </c>
      <c r="I8544">
        <v>4</v>
      </c>
      <c r="J8544" t="s">
        <v>445</v>
      </c>
      <c r="M8544">
        <v>3111</v>
      </c>
      <c r="N8544" t="s">
        <v>16439</v>
      </c>
    </row>
    <row r="8545" spans="1:14">
      <c r="A8545">
        <v>50430000</v>
      </c>
      <c r="B8545">
        <v>3016794</v>
      </c>
      <c r="C8545" t="s">
        <v>3601</v>
      </c>
      <c r="D8545" t="s">
        <v>441</v>
      </c>
      <c r="F8545">
        <v>0</v>
      </c>
      <c r="G8545">
        <v>7.82</v>
      </c>
      <c r="H8545" t="s">
        <v>8580</v>
      </c>
      <c r="I8545">
        <v>5</v>
      </c>
      <c r="J8545" t="s">
        <v>445</v>
      </c>
      <c r="K8545" t="s">
        <v>446</v>
      </c>
      <c r="M8545">
        <v>3122</v>
      </c>
    </row>
    <row r="8546" spans="1:14">
      <c r="A8546">
        <v>50440000</v>
      </c>
      <c r="B8546">
        <v>3012451</v>
      </c>
      <c r="C8546" t="s">
        <v>3602</v>
      </c>
      <c r="D8546" t="s">
        <v>441</v>
      </c>
      <c r="F8546">
        <v>0</v>
      </c>
      <c r="G8546">
        <v>9.8699999999999992</v>
      </c>
      <c r="H8546" t="s">
        <v>8580</v>
      </c>
      <c r="I8546">
        <v>3</v>
      </c>
      <c r="J8546" t="s">
        <v>445</v>
      </c>
      <c r="K8546" t="s">
        <v>446</v>
      </c>
      <c r="M8546">
        <v>3122</v>
      </c>
    </row>
    <row r="8547" spans="1:14">
      <c r="A8547">
        <v>50450000</v>
      </c>
      <c r="B8547">
        <v>3012478</v>
      </c>
      <c r="C8547" t="s">
        <v>3603</v>
      </c>
      <c r="D8547" t="s">
        <v>441</v>
      </c>
      <c r="F8547">
        <v>0</v>
      </c>
      <c r="G8547">
        <v>8.17</v>
      </c>
      <c r="H8547" t="s">
        <v>8584</v>
      </c>
      <c r="I8547">
        <v>3</v>
      </c>
      <c r="J8547" t="s">
        <v>445</v>
      </c>
      <c r="K8547" t="s">
        <v>446</v>
      </c>
      <c r="M8547">
        <v>3122</v>
      </c>
    </row>
    <row r="8548" spans="1:14">
      <c r="A8548">
        <v>50460000</v>
      </c>
      <c r="B8548">
        <v>3016135</v>
      </c>
      <c r="C8548" t="s">
        <v>12525</v>
      </c>
      <c r="D8548" t="s">
        <v>441</v>
      </c>
      <c r="F8548">
        <v>0</v>
      </c>
      <c r="G8548">
        <v>8.7899999999999991</v>
      </c>
      <c r="H8548" t="s">
        <v>8580</v>
      </c>
      <c r="I8548">
        <v>4</v>
      </c>
      <c r="J8548" t="s">
        <v>445</v>
      </c>
      <c r="K8548" t="s">
        <v>446</v>
      </c>
      <c r="M8548">
        <v>3122</v>
      </c>
    </row>
    <row r="8549" spans="1:14">
      <c r="A8549">
        <v>50470000</v>
      </c>
      <c r="B8549">
        <v>3016225</v>
      </c>
      <c r="C8549" t="s">
        <v>3604</v>
      </c>
      <c r="D8549" t="s">
        <v>441</v>
      </c>
      <c r="F8549">
        <v>0</v>
      </c>
      <c r="G8549">
        <v>21.73</v>
      </c>
      <c r="H8549" t="s">
        <v>10826</v>
      </c>
      <c r="I8549">
        <v>18</v>
      </c>
      <c r="J8549" t="s">
        <v>445</v>
      </c>
      <c r="M8549">
        <v>3111</v>
      </c>
      <c r="N8549" t="s">
        <v>16437</v>
      </c>
    </row>
    <row r="8550" spans="1:14">
      <c r="A8550">
        <v>50480000</v>
      </c>
      <c r="B8550">
        <v>3018889</v>
      </c>
      <c r="C8550" t="s">
        <v>3605</v>
      </c>
      <c r="D8550" t="s">
        <v>441</v>
      </c>
      <c r="F8550">
        <v>0</v>
      </c>
      <c r="G8550">
        <v>9.4</v>
      </c>
      <c r="H8550" t="s">
        <v>8584</v>
      </c>
      <c r="I8550">
        <v>4</v>
      </c>
      <c r="J8550" t="s">
        <v>445</v>
      </c>
      <c r="K8550" t="s">
        <v>446</v>
      </c>
      <c r="M8550">
        <v>3122</v>
      </c>
    </row>
    <row r="8551" spans="1:14">
      <c r="A8551">
        <v>50490000</v>
      </c>
      <c r="B8551">
        <v>3016713</v>
      </c>
      <c r="C8551" t="s">
        <v>3606</v>
      </c>
      <c r="D8551" t="s">
        <v>441</v>
      </c>
      <c r="F8551">
        <v>0</v>
      </c>
      <c r="G8551">
        <v>7.22</v>
      </c>
      <c r="H8551" t="s">
        <v>8580</v>
      </c>
      <c r="I8551">
        <v>3</v>
      </c>
      <c r="J8551" t="s">
        <v>445</v>
      </c>
      <c r="K8551" t="s">
        <v>446</v>
      </c>
      <c r="M8551">
        <v>3122</v>
      </c>
    </row>
    <row r="8552" spans="1:14">
      <c r="A8552">
        <v>50500000</v>
      </c>
      <c r="B8552">
        <v>3016714</v>
      </c>
      <c r="C8552" t="s">
        <v>3607</v>
      </c>
      <c r="D8552" t="s">
        <v>441</v>
      </c>
      <c r="F8552">
        <v>0</v>
      </c>
      <c r="G8552">
        <v>7.32</v>
      </c>
      <c r="H8552" t="s">
        <v>8580</v>
      </c>
      <c r="I8552">
        <v>3</v>
      </c>
      <c r="J8552" t="s">
        <v>445</v>
      </c>
      <c r="K8552" t="s">
        <v>446</v>
      </c>
      <c r="M8552">
        <v>3122</v>
      </c>
    </row>
    <row r="8553" spans="1:14">
      <c r="A8553">
        <v>50510000</v>
      </c>
      <c r="B8553">
        <v>3016712</v>
      </c>
      <c r="C8553" t="s">
        <v>3608</v>
      </c>
      <c r="D8553" t="s">
        <v>441</v>
      </c>
      <c r="F8553">
        <v>0</v>
      </c>
      <c r="G8553">
        <v>8.82</v>
      </c>
      <c r="H8553" t="s">
        <v>8584</v>
      </c>
      <c r="I8553">
        <v>3</v>
      </c>
      <c r="J8553" t="s">
        <v>445</v>
      </c>
      <c r="K8553" t="s">
        <v>446</v>
      </c>
      <c r="M8553">
        <v>3122</v>
      </c>
    </row>
    <row r="8554" spans="1:14">
      <c r="A8554">
        <v>50520000</v>
      </c>
      <c r="B8554">
        <v>3016710</v>
      </c>
      <c r="C8554" t="s">
        <v>3609</v>
      </c>
      <c r="D8554" t="s">
        <v>441</v>
      </c>
      <c r="F8554">
        <v>0</v>
      </c>
      <c r="G8554">
        <v>7.69</v>
      </c>
      <c r="H8554" t="s">
        <v>8584</v>
      </c>
      <c r="I8554">
        <v>3</v>
      </c>
      <c r="J8554" t="s">
        <v>445</v>
      </c>
      <c r="K8554" t="s">
        <v>446</v>
      </c>
      <c r="M8554">
        <v>3122</v>
      </c>
    </row>
    <row r="8555" spans="1:14">
      <c r="A8555">
        <v>50530000</v>
      </c>
      <c r="B8555">
        <v>3016722</v>
      </c>
      <c r="C8555" t="s">
        <v>3610</v>
      </c>
      <c r="D8555" t="s">
        <v>441</v>
      </c>
      <c r="F8555">
        <v>0</v>
      </c>
      <c r="G8555">
        <v>8.15</v>
      </c>
      <c r="H8555" t="s">
        <v>8634</v>
      </c>
      <c r="I8555">
        <v>4</v>
      </c>
      <c r="J8555" t="s">
        <v>445</v>
      </c>
      <c r="M8555">
        <v>3111</v>
      </c>
      <c r="N8555" t="s">
        <v>16440</v>
      </c>
    </row>
    <row r="8556" spans="1:14">
      <c r="A8556">
        <v>50540000</v>
      </c>
      <c r="B8556">
        <v>3014299</v>
      </c>
      <c r="C8556" t="s">
        <v>3611</v>
      </c>
      <c r="D8556" t="s">
        <v>441</v>
      </c>
      <c r="F8556">
        <v>0</v>
      </c>
      <c r="G8556">
        <v>10.050000000000001</v>
      </c>
      <c r="I8556">
        <v>4</v>
      </c>
      <c r="J8556" t="s">
        <v>445</v>
      </c>
      <c r="K8556" t="s">
        <v>446</v>
      </c>
      <c r="M8556">
        <v>3122</v>
      </c>
    </row>
    <row r="8557" spans="1:14">
      <c r="A8557">
        <v>50550000</v>
      </c>
      <c r="B8557">
        <v>3016296</v>
      </c>
      <c r="C8557" t="s">
        <v>3612</v>
      </c>
      <c r="D8557" t="s">
        <v>441</v>
      </c>
      <c r="F8557">
        <v>0</v>
      </c>
      <c r="G8557">
        <v>12.73</v>
      </c>
      <c r="H8557" t="s">
        <v>8580</v>
      </c>
      <c r="I8557">
        <v>4</v>
      </c>
      <c r="J8557" t="s">
        <v>445</v>
      </c>
      <c r="K8557" t="s">
        <v>446</v>
      </c>
      <c r="M8557">
        <v>3122</v>
      </c>
    </row>
    <row r="8558" spans="1:14">
      <c r="A8558">
        <v>50560000</v>
      </c>
      <c r="B8558">
        <v>3016482</v>
      </c>
      <c r="C8558" t="s">
        <v>3613</v>
      </c>
      <c r="D8558" t="s">
        <v>441</v>
      </c>
      <c r="F8558">
        <v>0</v>
      </c>
      <c r="G8558">
        <v>9.1999999999999993</v>
      </c>
      <c r="H8558" t="s">
        <v>8580</v>
      </c>
      <c r="I8558">
        <v>4</v>
      </c>
      <c r="J8558" t="s">
        <v>445</v>
      </c>
      <c r="K8558" t="s">
        <v>446</v>
      </c>
      <c r="M8558">
        <v>3122</v>
      </c>
    </row>
    <row r="8559" spans="1:14">
      <c r="A8559">
        <v>50570000</v>
      </c>
      <c r="B8559">
        <v>3016271</v>
      </c>
      <c r="C8559" t="s">
        <v>3614</v>
      </c>
      <c r="D8559" t="s">
        <v>441</v>
      </c>
      <c r="F8559">
        <v>0</v>
      </c>
      <c r="G8559">
        <v>10.8</v>
      </c>
      <c r="H8559" t="s">
        <v>8580</v>
      </c>
      <c r="I8559">
        <v>3</v>
      </c>
      <c r="J8559" t="s">
        <v>445</v>
      </c>
      <c r="K8559" t="s">
        <v>446</v>
      </c>
      <c r="M8559">
        <v>3122</v>
      </c>
      <c r="N8559" t="s">
        <v>16441</v>
      </c>
    </row>
    <row r="8560" spans="1:14">
      <c r="A8560">
        <v>50580000</v>
      </c>
      <c r="B8560">
        <v>3016892</v>
      </c>
      <c r="C8560" t="s">
        <v>3615</v>
      </c>
      <c r="D8560" t="s">
        <v>441</v>
      </c>
      <c r="F8560">
        <v>0</v>
      </c>
      <c r="G8560">
        <v>8.0299999999999994</v>
      </c>
      <c r="H8560" t="s">
        <v>8935</v>
      </c>
      <c r="I8560">
        <v>4</v>
      </c>
      <c r="J8560" t="s">
        <v>445</v>
      </c>
      <c r="K8560" t="s">
        <v>446</v>
      </c>
      <c r="M8560">
        <v>3122</v>
      </c>
    </row>
    <row r="8561" spans="1:14">
      <c r="A8561">
        <v>50590000</v>
      </c>
      <c r="B8561">
        <v>3016891</v>
      </c>
      <c r="C8561" t="s">
        <v>3616</v>
      </c>
      <c r="D8561" t="s">
        <v>441</v>
      </c>
      <c r="F8561">
        <v>0</v>
      </c>
      <c r="G8561">
        <v>9.4499999999999993</v>
      </c>
      <c r="H8561" t="s">
        <v>8935</v>
      </c>
      <c r="I8561">
        <v>4</v>
      </c>
      <c r="J8561" t="s">
        <v>445</v>
      </c>
      <c r="K8561" t="s">
        <v>446</v>
      </c>
      <c r="M8561">
        <v>3122</v>
      </c>
    </row>
    <row r="8562" spans="1:14">
      <c r="A8562">
        <v>50600000</v>
      </c>
      <c r="B8562">
        <v>3016890</v>
      </c>
      <c r="C8562" t="s">
        <v>3617</v>
      </c>
      <c r="D8562" t="s">
        <v>441</v>
      </c>
      <c r="F8562">
        <v>0</v>
      </c>
      <c r="G8562">
        <v>11.62</v>
      </c>
      <c r="H8562" t="s">
        <v>8935</v>
      </c>
      <c r="I8562">
        <v>4</v>
      </c>
      <c r="J8562" t="s">
        <v>445</v>
      </c>
      <c r="K8562" t="s">
        <v>446</v>
      </c>
      <c r="M8562">
        <v>3122</v>
      </c>
    </row>
    <row r="8563" spans="1:14">
      <c r="A8563">
        <v>50610000</v>
      </c>
      <c r="B8563">
        <v>3017061</v>
      </c>
      <c r="C8563" t="s">
        <v>3618</v>
      </c>
      <c r="D8563" t="s">
        <v>441</v>
      </c>
      <c r="F8563">
        <v>0</v>
      </c>
      <c r="G8563">
        <v>7.47</v>
      </c>
      <c r="H8563" t="s">
        <v>8580</v>
      </c>
      <c r="I8563">
        <v>4</v>
      </c>
      <c r="J8563" t="s">
        <v>445</v>
      </c>
      <c r="K8563" t="s">
        <v>446</v>
      </c>
      <c r="M8563">
        <v>3122</v>
      </c>
    </row>
    <row r="8564" spans="1:14">
      <c r="A8564">
        <v>50620000</v>
      </c>
      <c r="B8564">
        <v>3018532</v>
      </c>
      <c r="C8564" t="s">
        <v>3619</v>
      </c>
      <c r="D8564" t="s">
        <v>441</v>
      </c>
      <c r="F8564">
        <v>0</v>
      </c>
      <c r="G8564">
        <v>8.65</v>
      </c>
      <c r="I8564">
        <v>4</v>
      </c>
      <c r="J8564" t="s">
        <v>445</v>
      </c>
      <c r="K8564" t="s">
        <v>446</v>
      </c>
      <c r="M8564">
        <v>3122</v>
      </c>
    </row>
    <row r="8565" spans="1:14">
      <c r="A8565">
        <v>50630000</v>
      </c>
      <c r="B8565">
        <v>3020016</v>
      </c>
      <c r="C8565" t="s">
        <v>3620</v>
      </c>
      <c r="D8565" t="s">
        <v>441</v>
      </c>
      <c r="F8565">
        <v>0</v>
      </c>
      <c r="G8565">
        <v>3.74</v>
      </c>
      <c r="H8565" t="s">
        <v>8580</v>
      </c>
      <c r="I8565">
        <v>4</v>
      </c>
      <c r="J8565" t="s">
        <v>445</v>
      </c>
      <c r="K8565" t="s">
        <v>446</v>
      </c>
      <c r="M8565">
        <v>3122</v>
      </c>
    </row>
    <row r="8566" spans="1:14">
      <c r="A8566">
        <v>50640000</v>
      </c>
      <c r="B8566">
        <v>3020123</v>
      </c>
      <c r="C8566" t="s">
        <v>3621</v>
      </c>
      <c r="D8566" t="s">
        <v>441</v>
      </c>
      <c r="F8566">
        <v>0</v>
      </c>
      <c r="G8566">
        <v>8.51</v>
      </c>
      <c r="H8566" t="s">
        <v>8624</v>
      </c>
      <c r="I8566">
        <v>5</v>
      </c>
      <c r="J8566" t="s">
        <v>445</v>
      </c>
      <c r="K8566" t="s">
        <v>446</v>
      </c>
      <c r="M8566">
        <v>3122</v>
      </c>
    </row>
    <row r="8567" spans="1:14">
      <c r="A8567">
        <v>50650000</v>
      </c>
      <c r="B8567">
        <v>3020127</v>
      </c>
      <c r="C8567" t="s">
        <v>3622</v>
      </c>
      <c r="D8567" t="s">
        <v>441</v>
      </c>
      <c r="F8567">
        <v>0</v>
      </c>
      <c r="G8567">
        <v>9.02</v>
      </c>
      <c r="H8567" t="s">
        <v>8624</v>
      </c>
      <c r="I8567">
        <v>5</v>
      </c>
      <c r="J8567" t="s">
        <v>445</v>
      </c>
      <c r="K8567" t="s">
        <v>446</v>
      </c>
      <c r="M8567">
        <v>3122</v>
      </c>
    </row>
    <row r="8568" spans="1:14">
      <c r="A8568">
        <v>50660000</v>
      </c>
      <c r="B8568">
        <v>3020945</v>
      </c>
      <c r="C8568" t="s">
        <v>3623</v>
      </c>
      <c r="D8568" t="s">
        <v>441</v>
      </c>
      <c r="F8568">
        <v>0</v>
      </c>
      <c r="G8568">
        <v>8.75</v>
      </c>
      <c r="H8568" t="s">
        <v>8586</v>
      </c>
      <c r="I8568">
        <v>5</v>
      </c>
      <c r="J8568" t="s">
        <v>445</v>
      </c>
      <c r="K8568" t="s">
        <v>446</v>
      </c>
      <c r="M8568">
        <v>3122</v>
      </c>
    </row>
    <row r="8569" spans="1:14">
      <c r="A8569">
        <v>50670000</v>
      </c>
      <c r="B8569">
        <v>3021048</v>
      </c>
      <c r="C8569" t="s">
        <v>3624</v>
      </c>
      <c r="D8569" t="s">
        <v>441</v>
      </c>
      <c r="F8569">
        <v>0</v>
      </c>
      <c r="G8569">
        <v>12.13</v>
      </c>
      <c r="H8569" t="s">
        <v>8580</v>
      </c>
      <c r="I8569">
        <v>4</v>
      </c>
      <c r="J8569" t="s">
        <v>445</v>
      </c>
      <c r="M8569">
        <v>3111</v>
      </c>
      <c r="N8569" t="s">
        <v>16442</v>
      </c>
    </row>
    <row r="8570" spans="1:14">
      <c r="A8570">
        <v>50680000</v>
      </c>
      <c r="B8570">
        <v>3021248</v>
      </c>
      <c r="C8570" t="s">
        <v>3625</v>
      </c>
      <c r="D8570" t="s">
        <v>441</v>
      </c>
      <c r="F8570">
        <v>0</v>
      </c>
      <c r="G8570">
        <v>9.9600000000000009</v>
      </c>
      <c r="H8570" t="s">
        <v>8588</v>
      </c>
      <c r="I8570">
        <v>4</v>
      </c>
      <c r="J8570" t="s">
        <v>445</v>
      </c>
      <c r="K8570" t="s">
        <v>446</v>
      </c>
      <c r="M8570">
        <v>3122</v>
      </c>
    </row>
    <row r="8571" spans="1:14">
      <c r="A8571">
        <v>50690000</v>
      </c>
      <c r="B8571">
        <v>3016483</v>
      </c>
      <c r="C8571" t="s">
        <v>3626</v>
      </c>
      <c r="D8571" t="s">
        <v>441</v>
      </c>
      <c r="F8571">
        <v>0</v>
      </c>
      <c r="G8571">
        <v>6.57</v>
      </c>
      <c r="H8571" t="s">
        <v>8580</v>
      </c>
      <c r="I8571">
        <v>4</v>
      </c>
      <c r="J8571" t="s">
        <v>445</v>
      </c>
      <c r="K8571" t="s">
        <v>446</v>
      </c>
      <c r="M8571">
        <v>3122</v>
      </c>
    </row>
    <row r="8572" spans="1:14">
      <c r="A8572">
        <v>50710000</v>
      </c>
      <c r="B8572">
        <v>3021890</v>
      </c>
      <c r="C8572" t="s">
        <v>3627</v>
      </c>
      <c r="D8572" t="s">
        <v>441</v>
      </c>
      <c r="F8572">
        <v>0</v>
      </c>
      <c r="G8572">
        <v>9.85</v>
      </c>
      <c r="H8572" t="s">
        <v>10826</v>
      </c>
      <c r="I8572">
        <v>4</v>
      </c>
      <c r="J8572" t="s">
        <v>445</v>
      </c>
      <c r="K8572" t="s">
        <v>446</v>
      </c>
      <c r="M8572">
        <v>3122</v>
      </c>
    </row>
    <row r="8573" spans="1:14">
      <c r="A8573">
        <v>50720000</v>
      </c>
      <c r="B8573">
        <v>3016484</v>
      </c>
      <c r="C8573" t="s">
        <v>12526</v>
      </c>
      <c r="D8573" t="s">
        <v>441</v>
      </c>
      <c r="F8573">
        <v>0</v>
      </c>
      <c r="G8573">
        <v>5.2</v>
      </c>
      <c r="H8573" t="s">
        <v>8580</v>
      </c>
      <c r="I8573">
        <v>8</v>
      </c>
      <c r="J8573" t="s">
        <v>445</v>
      </c>
      <c r="M8573">
        <v>3111</v>
      </c>
      <c r="N8573" t="s">
        <v>16443</v>
      </c>
    </row>
    <row r="8574" spans="1:14">
      <c r="A8574">
        <v>50730000</v>
      </c>
      <c r="B8574">
        <v>3022780</v>
      </c>
      <c r="C8574" t="s">
        <v>3628</v>
      </c>
      <c r="D8574" t="s">
        <v>441</v>
      </c>
      <c r="F8574">
        <v>0</v>
      </c>
      <c r="G8574">
        <v>8.11</v>
      </c>
      <c r="H8574" t="s">
        <v>8588</v>
      </c>
      <c r="I8574">
        <v>3</v>
      </c>
      <c r="J8574" t="s">
        <v>445</v>
      </c>
      <c r="K8574" t="s">
        <v>446</v>
      </c>
      <c r="M8574">
        <v>3122</v>
      </c>
      <c r="N8574" t="s">
        <v>16037</v>
      </c>
    </row>
    <row r="8575" spans="1:14">
      <c r="A8575">
        <v>50740000</v>
      </c>
      <c r="B8575">
        <v>3016472</v>
      </c>
      <c r="C8575" t="s">
        <v>3629</v>
      </c>
      <c r="D8575" t="s">
        <v>441</v>
      </c>
      <c r="F8575">
        <v>0</v>
      </c>
      <c r="G8575">
        <v>4.6100000000000003</v>
      </c>
      <c r="H8575" t="s">
        <v>8580</v>
      </c>
      <c r="I8575">
        <v>6</v>
      </c>
      <c r="J8575" t="s">
        <v>445</v>
      </c>
      <c r="K8575" t="s">
        <v>446</v>
      </c>
      <c r="M8575">
        <v>3113</v>
      </c>
    </row>
    <row r="8576" spans="1:14">
      <c r="A8576">
        <v>50750000</v>
      </c>
      <c r="B8576">
        <v>3022748</v>
      </c>
      <c r="C8576" t="s">
        <v>3630</v>
      </c>
      <c r="D8576" t="s">
        <v>441</v>
      </c>
      <c r="F8576">
        <v>0</v>
      </c>
      <c r="G8576">
        <v>10.54</v>
      </c>
      <c r="H8576" t="s">
        <v>8588</v>
      </c>
      <c r="I8576">
        <v>3</v>
      </c>
      <c r="J8576" t="s">
        <v>445</v>
      </c>
      <c r="K8576" t="s">
        <v>446</v>
      </c>
      <c r="M8576">
        <v>3122</v>
      </c>
      <c r="N8576" t="s">
        <v>16037</v>
      </c>
    </row>
    <row r="8577" spans="1:14">
      <c r="A8577">
        <v>50760000</v>
      </c>
      <c r="B8577">
        <v>3022749</v>
      </c>
      <c r="C8577" t="s">
        <v>3631</v>
      </c>
      <c r="D8577" t="s">
        <v>441</v>
      </c>
      <c r="F8577">
        <v>0</v>
      </c>
      <c r="G8577">
        <v>10.07</v>
      </c>
      <c r="H8577" t="s">
        <v>8588</v>
      </c>
      <c r="I8577">
        <v>3</v>
      </c>
      <c r="J8577" t="s">
        <v>445</v>
      </c>
      <c r="K8577" t="s">
        <v>446</v>
      </c>
      <c r="M8577">
        <v>3122</v>
      </c>
    </row>
    <row r="8578" spans="1:14">
      <c r="A8578">
        <v>50770000</v>
      </c>
      <c r="B8578">
        <v>3007240</v>
      </c>
      <c r="C8578" t="s">
        <v>3632</v>
      </c>
      <c r="D8578" t="s">
        <v>441</v>
      </c>
      <c r="F8578">
        <v>0</v>
      </c>
      <c r="G8578">
        <v>5.23</v>
      </c>
      <c r="I8578">
        <v>4</v>
      </c>
      <c r="J8578" t="s">
        <v>445</v>
      </c>
      <c r="K8578" t="s">
        <v>446</v>
      </c>
      <c r="M8578">
        <v>3122</v>
      </c>
    </row>
    <row r="8579" spans="1:14">
      <c r="A8579">
        <v>50780000</v>
      </c>
      <c r="B8579">
        <v>3023391</v>
      </c>
      <c r="C8579" t="s">
        <v>14523</v>
      </c>
      <c r="D8579" t="s">
        <v>441</v>
      </c>
      <c r="F8579">
        <v>0</v>
      </c>
      <c r="G8579">
        <v>14.01</v>
      </c>
      <c r="H8579" t="s">
        <v>8580</v>
      </c>
      <c r="I8579">
        <v>4</v>
      </c>
      <c r="J8579" t="s">
        <v>445</v>
      </c>
      <c r="K8579" t="s">
        <v>446</v>
      </c>
      <c r="M8579">
        <v>3111</v>
      </c>
    </row>
    <row r="8580" spans="1:14">
      <c r="A8580">
        <v>50790000</v>
      </c>
      <c r="B8580">
        <v>3023392</v>
      </c>
      <c r="C8580" t="s">
        <v>3633</v>
      </c>
      <c r="D8580" t="s">
        <v>441</v>
      </c>
      <c r="F8580">
        <v>0</v>
      </c>
      <c r="G8580">
        <v>10.01</v>
      </c>
      <c r="H8580" t="s">
        <v>8580</v>
      </c>
      <c r="I8580">
        <v>4</v>
      </c>
      <c r="J8580" t="s">
        <v>445</v>
      </c>
      <c r="K8580" t="s">
        <v>446</v>
      </c>
      <c r="M8580">
        <v>3122</v>
      </c>
    </row>
    <row r="8581" spans="1:14">
      <c r="A8581">
        <v>50800000</v>
      </c>
      <c r="B8581">
        <v>3023393</v>
      </c>
      <c r="C8581" t="s">
        <v>3634</v>
      </c>
      <c r="D8581" t="s">
        <v>441</v>
      </c>
      <c r="F8581">
        <v>0</v>
      </c>
      <c r="G8581">
        <v>8.74</v>
      </c>
      <c r="H8581" t="s">
        <v>8580</v>
      </c>
      <c r="I8581">
        <v>4</v>
      </c>
      <c r="J8581" t="s">
        <v>445</v>
      </c>
      <c r="K8581" t="s">
        <v>446</v>
      </c>
      <c r="M8581">
        <v>3122</v>
      </c>
    </row>
    <row r="8582" spans="1:14">
      <c r="A8582">
        <v>50810000</v>
      </c>
      <c r="B8582">
        <v>3023962</v>
      </c>
      <c r="C8582" t="s">
        <v>3635</v>
      </c>
      <c r="D8582" t="s">
        <v>441</v>
      </c>
      <c r="F8582">
        <v>0</v>
      </c>
      <c r="G8582">
        <v>7.16</v>
      </c>
      <c r="H8582" t="s">
        <v>8588</v>
      </c>
      <c r="I8582">
        <v>1</v>
      </c>
      <c r="J8582" t="s">
        <v>445</v>
      </c>
      <c r="K8582" t="s">
        <v>446</v>
      </c>
      <c r="M8582">
        <v>3132</v>
      </c>
    </row>
    <row r="8583" spans="1:14">
      <c r="A8583">
        <v>50820000</v>
      </c>
      <c r="B8583">
        <v>3025106</v>
      </c>
      <c r="C8583" t="s">
        <v>3636</v>
      </c>
      <c r="D8583" t="s">
        <v>441</v>
      </c>
      <c r="F8583">
        <v>0</v>
      </c>
      <c r="G8583">
        <v>7.88</v>
      </c>
      <c r="H8583" t="s">
        <v>10826</v>
      </c>
      <c r="I8583">
        <v>4</v>
      </c>
      <c r="J8583" t="s">
        <v>445</v>
      </c>
      <c r="K8583" t="s">
        <v>446</v>
      </c>
      <c r="M8583">
        <v>3122</v>
      </c>
    </row>
    <row r="8584" spans="1:14">
      <c r="A8584">
        <v>50830000</v>
      </c>
      <c r="B8584">
        <v>3040556</v>
      </c>
      <c r="C8584" t="s">
        <v>3637</v>
      </c>
      <c r="D8584" t="s">
        <v>441</v>
      </c>
      <c r="F8584">
        <v>0</v>
      </c>
      <c r="G8584">
        <v>22.71</v>
      </c>
      <c r="H8584" t="s">
        <v>10826</v>
      </c>
      <c r="I8584">
        <v>6</v>
      </c>
      <c r="J8584" t="s">
        <v>445</v>
      </c>
      <c r="M8584">
        <v>3111</v>
      </c>
      <c r="N8584" t="s">
        <v>16444</v>
      </c>
    </row>
    <row r="8585" spans="1:14">
      <c r="A8585">
        <v>50860000</v>
      </c>
      <c r="B8585">
        <v>3025439</v>
      </c>
      <c r="C8585" t="s">
        <v>3638</v>
      </c>
      <c r="D8585" t="s">
        <v>441</v>
      </c>
      <c r="F8585">
        <v>0</v>
      </c>
      <c r="G8585">
        <v>5.55</v>
      </c>
      <c r="H8585" t="s">
        <v>10826</v>
      </c>
      <c r="I8585">
        <v>4</v>
      </c>
      <c r="J8585" t="s">
        <v>445</v>
      </c>
      <c r="K8585" t="s">
        <v>446</v>
      </c>
      <c r="M8585">
        <v>3122</v>
      </c>
    </row>
    <row r="8586" spans="1:14">
      <c r="A8586">
        <v>50870000</v>
      </c>
      <c r="B8586">
        <v>3016716</v>
      </c>
      <c r="C8586" t="s">
        <v>12527</v>
      </c>
      <c r="D8586" t="s">
        <v>441</v>
      </c>
      <c r="F8586">
        <v>0</v>
      </c>
      <c r="G8586">
        <v>6.98</v>
      </c>
      <c r="H8586" t="s">
        <v>8580</v>
      </c>
      <c r="I8586">
        <v>4</v>
      </c>
      <c r="J8586" t="s">
        <v>445</v>
      </c>
      <c r="K8586" t="s">
        <v>446</v>
      </c>
      <c r="M8586">
        <v>3122</v>
      </c>
    </row>
    <row r="8587" spans="1:14">
      <c r="A8587">
        <v>50880000</v>
      </c>
      <c r="B8587">
        <v>3041144</v>
      </c>
      <c r="C8587" t="s">
        <v>3639</v>
      </c>
      <c r="D8587" t="s">
        <v>441</v>
      </c>
      <c r="F8587">
        <v>0</v>
      </c>
      <c r="G8587">
        <v>14.54</v>
      </c>
      <c r="H8587" t="s">
        <v>10826</v>
      </c>
      <c r="I8587">
        <v>4</v>
      </c>
      <c r="J8587" t="s">
        <v>445</v>
      </c>
      <c r="M8587">
        <v>3111</v>
      </c>
      <c r="N8587" t="s">
        <v>16445</v>
      </c>
    </row>
    <row r="8588" spans="1:14">
      <c r="A8588">
        <v>50890000</v>
      </c>
      <c r="B8588">
        <v>3046211</v>
      </c>
      <c r="C8588" t="s">
        <v>17342</v>
      </c>
      <c r="D8588" t="s">
        <v>441</v>
      </c>
      <c r="F8588">
        <v>0</v>
      </c>
      <c r="G8588">
        <v>14.42</v>
      </c>
      <c r="H8588" t="s">
        <v>10826</v>
      </c>
      <c r="I8588">
        <v>3</v>
      </c>
      <c r="J8588" t="s">
        <v>445</v>
      </c>
      <c r="M8588">
        <v>3111</v>
      </c>
    </row>
    <row r="8589" spans="1:14">
      <c r="A8589">
        <v>51010000</v>
      </c>
      <c r="B8589">
        <v>3016485</v>
      </c>
      <c r="C8589" t="s">
        <v>3640</v>
      </c>
      <c r="D8589" t="s">
        <v>441</v>
      </c>
      <c r="F8589">
        <v>0</v>
      </c>
      <c r="G8589">
        <v>7.15</v>
      </c>
      <c r="H8589" t="s">
        <v>8580</v>
      </c>
      <c r="I8589">
        <v>4</v>
      </c>
      <c r="J8589" t="s">
        <v>445</v>
      </c>
      <c r="K8589" t="s">
        <v>446</v>
      </c>
      <c r="M8589">
        <v>3122</v>
      </c>
    </row>
    <row r="8590" spans="1:14">
      <c r="A8590">
        <v>51020000</v>
      </c>
      <c r="B8590">
        <v>3016486</v>
      </c>
      <c r="C8590" t="s">
        <v>3641</v>
      </c>
      <c r="D8590" t="s">
        <v>441</v>
      </c>
      <c r="F8590">
        <v>0</v>
      </c>
      <c r="G8590">
        <v>10.71</v>
      </c>
      <c r="H8590" t="s">
        <v>8580</v>
      </c>
      <c r="I8590">
        <v>2</v>
      </c>
      <c r="J8590" t="s">
        <v>445</v>
      </c>
      <c r="K8590" t="s">
        <v>446</v>
      </c>
      <c r="M8590">
        <v>3122</v>
      </c>
    </row>
    <row r="8591" spans="1:14">
      <c r="A8591">
        <v>51020061</v>
      </c>
      <c r="B8591">
        <v>3012501</v>
      </c>
      <c r="C8591" t="s">
        <v>3642</v>
      </c>
      <c r="D8591" t="s">
        <v>441</v>
      </c>
      <c r="F8591">
        <v>0</v>
      </c>
      <c r="G8591">
        <v>11.24</v>
      </c>
      <c r="H8591" t="s">
        <v>8580</v>
      </c>
      <c r="I8591">
        <v>365</v>
      </c>
      <c r="J8591" t="s">
        <v>445</v>
      </c>
      <c r="K8591" t="s">
        <v>446</v>
      </c>
      <c r="M8591">
        <v>2501</v>
      </c>
    </row>
    <row r="8592" spans="1:14">
      <c r="A8592">
        <v>51020561</v>
      </c>
      <c r="B8592">
        <v>3012503</v>
      </c>
      <c r="C8592" t="s">
        <v>3643</v>
      </c>
      <c r="D8592" t="s">
        <v>441</v>
      </c>
      <c r="F8592">
        <v>0</v>
      </c>
      <c r="G8592">
        <v>11.11</v>
      </c>
      <c r="H8592" t="s">
        <v>8580</v>
      </c>
      <c r="I8592">
        <v>365</v>
      </c>
      <c r="J8592" t="s">
        <v>445</v>
      </c>
      <c r="K8592" t="s">
        <v>446</v>
      </c>
      <c r="M8592">
        <v>2612</v>
      </c>
    </row>
    <row r="8593" spans="1:14">
      <c r="A8593">
        <v>51020661</v>
      </c>
      <c r="B8593">
        <v>3012500</v>
      </c>
      <c r="C8593" t="s">
        <v>3644</v>
      </c>
      <c r="D8593" t="s">
        <v>441</v>
      </c>
      <c r="F8593">
        <v>0</v>
      </c>
      <c r="G8593">
        <v>12.01</v>
      </c>
      <c r="H8593" t="s">
        <v>8580</v>
      </c>
      <c r="I8593">
        <v>4</v>
      </c>
      <c r="J8593" t="s">
        <v>445</v>
      </c>
      <c r="K8593" t="s">
        <v>446</v>
      </c>
      <c r="M8593">
        <v>2511</v>
      </c>
    </row>
    <row r="8594" spans="1:14">
      <c r="A8594">
        <v>51030000</v>
      </c>
      <c r="B8594">
        <v>3016487</v>
      </c>
      <c r="C8594" t="s">
        <v>8532</v>
      </c>
      <c r="D8594" t="s">
        <v>441</v>
      </c>
      <c r="F8594">
        <v>0</v>
      </c>
      <c r="G8594">
        <v>9.11</v>
      </c>
      <c r="H8594" t="s">
        <v>8580</v>
      </c>
      <c r="I8594">
        <v>4</v>
      </c>
      <c r="J8594" t="s">
        <v>445</v>
      </c>
      <c r="M8594">
        <v>6666</v>
      </c>
      <c r="N8594" t="s">
        <v>16446</v>
      </c>
    </row>
    <row r="8595" spans="1:14">
      <c r="A8595">
        <v>51040000</v>
      </c>
      <c r="B8595">
        <v>3016816</v>
      </c>
      <c r="C8595" t="s">
        <v>3645</v>
      </c>
      <c r="D8595" t="s">
        <v>441</v>
      </c>
      <c r="F8595">
        <v>0</v>
      </c>
      <c r="G8595">
        <v>8.4700000000000006</v>
      </c>
      <c r="I8595">
        <v>4</v>
      </c>
      <c r="J8595" t="s">
        <v>445</v>
      </c>
      <c r="K8595" t="s">
        <v>446</v>
      </c>
      <c r="M8595">
        <v>3122</v>
      </c>
    </row>
    <row r="8596" spans="1:14">
      <c r="A8596">
        <v>51050000</v>
      </c>
      <c r="B8596">
        <v>3016683</v>
      </c>
      <c r="C8596" t="s">
        <v>3646</v>
      </c>
      <c r="D8596" t="s">
        <v>441</v>
      </c>
      <c r="F8596">
        <v>0</v>
      </c>
      <c r="G8596">
        <v>14.1</v>
      </c>
      <c r="H8596" t="s">
        <v>8580</v>
      </c>
      <c r="I8596">
        <v>5</v>
      </c>
      <c r="J8596" t="s">
        <v>445</v>
      </c>
      <c r="M8596">
        <v>6666</v>
      </c>
      <c r="N8596" t="s">
        <v>16447</v>
      </c>
    </row>
    <row r="8597" spans="1:14">
      <c r="A8597">
        <v>51060000</v>
      </c>
      <c r="B8597">
        <v>3017937</v>
      </c>
      <c r="C8597" t="s">
        <v>3647</v>
      </c>
      <c r="D8597" t="s">
        <v>441</v>
      </c>
      <c r="F8597">
        <v>0</v>
      </c>
      <c r="G8597">
        <v>13.38</v>
      </c>
      <c r="H8597" t="s">
        <v>8624</v>
      </c>
      <c r="I8597">
        <v>4</v>
      </c>
      <c r="J8597" t="s">
        <v>445</v>
      </c>
      <c r="M8597">
        <v>3111</v>
      </c>
      <c r="N8597" t="s">
        <v>16448</v>
      </c>
    </row>
    <row r="8598" spans="1:14">
      <c r="A8598">
        <v>51070000</v>
      </c>
      <c r="B8598">
        <v>3027163</v>
      </c>
      <c r="C8598" t="s">
        <v>3648</v>
      </c>
      <c r="D8598" t="s">
        <v>441</v>
      </c>
      <c r="F8598">
        <v>0</v>
      </c>
      <c r="G8598">
        <v>8.5</v>
      </c>
      <c r="H8598" t="s">
        <v>10826</v>
      </c>
      <c r="I8598">
        <v>4</v>
      </c>
      <c r="J8598" t="s">
        <v>445</v>
      </c>
      <c r="K8598" t="s">
        <v>446</v>
      </c>
      <c r="M8598">
        <v>3122</v>
      </c>
    </row>
    <row r="8599" spans="1:14">
      <c r="A8599">
        <v>51090000</v>
      </c>
      <c r="B8599">
        <v>3016488</v>
      </c>
      <c r="C8599" t="s">
        <v>3649</v>
      </c>
      <c r="D8599" t="s">
        <v>441</v>
      </c>
      <c r="F8599">
        <v>0</v>
      </c>
      <c r="G8599">
        <v>10.52</v>
      </c>
      <c r="H8599" t="s">
        <v>8580</v>
      </c>
      <c r="I8599">
        <v>2</v>
      </c>
      <c r="J8599" t="s">
        <v>445</v>
      </c>
      <c r="K8599" t="s">
        <v>446</v>
      </c>
      <c r="M8599">
        <v>3122</v>
      </c>
    </row>
    <row r="8600" spans="1:14">
      <c r="A8600">
        <v>51090061</v>
      </c>
      <c r="B8600">
        <v>3012550</v>
      </c>
      <c r="C8600" t="s">
        <v>3650</v>
      </c>
      <c r="D8600" t="s">
        <v>441</v>
      </c>
      <c r="F8600">
        <v>0</v>
      </c>
      <c r="G8600">
        <v>11.2</v>
      </c>
      <c r="H8600" t="s">
        <v>8580</v>
      </c>
      <c r="I8600">
        <v>365</v>
      </c>
      <c r="J8600" t="s">
        <v>445</v>
      </c>
      <c r="K8600" t="s">
        <v>446</v>
      </c>
      <c r="M8600">
        <v>2501</v>
      </c>
    </row>
    <row r="8601" spans="1:14">
      <c r="A8601">
        <v>51090561</v>
      </c>
      <c r="B8601">
        <v>3012526</v>
      </c>
      <c r="C8601" t="s">
        <v>3651</v>
      </c>
      <c r="D8601" t="s">
        <v>441</v>
      </c>
      <c r="F8601">
        <v>0</v>
      </c>
      <c r="G8601">
        <v>10.95</v>
      </c>
      <c r="I8601">
        <v>365</v>
      </c>
      <c r="J8601" t="s">
        <v>445</v>
      </c>
      <c r="K8601" t="s">
        <v>446</v>
      </c>
      <c r="M8601">
        <v>2612</v>
      </c>
    </row>
    <row r="8602" spans="1:14">
      <c r="A8602">
        <v>51090661</v>
      </c>
      <c r="B8602">
        <v>3012525</v>
      </c>
      <c r="C8602" t="s">
        <v>3652</v>
      </c>
      <c r="D8602" t="s">
        <v>441</v>
      </c>
      <c r="F8602">
        <v>0</v>
      </c>
      <c r="G8602">
        <v>11.93</v>
      </c>
      <c r="I8602">
        <v>4</v>
      </c>
      <c r="J8602" t="s">
        <v>445</v>
      </c>
      <c r="K8602" t="s">
        <v>446</v>
      </c>
      <c r="M8602">
        <v>2511</v>
      </c>
    </row>
    <row r="8603" spans="1:14">
      <c r="A8603">
        <v>51100000</v>
      </c>
      <c r="B8603">
        <v>3008166</v>
      </c>
      <c r="C8603" t="s">
        <v>3653</v>
      </c>
      <c r="D8603" t="s">
        <v>441</v>
      </c>
      <c r="F8603">
        <v>0</v>
      </c>
      <c r="G8603">
        <v>9.11</v>
      </c>
      <c r="H8603" t="s">
        <v>8580</v>
      </c>
      <c r="I8603">
        <v>10</v>
      </c>
      <c r="J8603" t="s">
        <v>445</v>
      </c>
      <c r="K8603" t="s">
        <v>446</v>
      </c>
      <c r="M8603">
        <v>3122</v>
      </c>
    </row>
    <row r="8604" spans="1:14">
      <c r="A8604">
        <v>51140000</v>
      </c>
      <c r="B8604">
        <v>3016489</v>
      </c>
      <c r="C8604" t="s">
        <v>12528</v>
      </c>
      <c r="D8604" t="s">
        <v>441</v>
      </c>
      <c r="F8604">
        <v>0</v>
      </c>
      <c r="G8604">
        <v>10.38</v>
      </c>
      <c r="H8604" t="s">
        <v>8580</v>
      </c>
      <c r="I8604">
        <v>4</v>
      </c>
      <c r="J8604" t="s">
        <v>445</v>
      </c>
      <c r="M8604">
        <v>6666</v>
      </c>
      <c r="N8604" t="s">
        <v>16449</v>
      </c>
    </row>
    <row r="8605" spans="1:14">
      <c r="A8605">
        <v>51150000</v>
      </c>
      <c r="B8605">
        <v>3016490</v>
      </c>
      <c r="C8605" t="s">
        <v>372</v>
      </c>
      <c r="D8605" t="s">
        <v>441</v>
      </c>
      <c r="F8605">
        <v>0</v>
      </c>
      <c r="G8605">
        <v>12.04</v>
      </c>
      <c r="H8605" t="s">
        <v>8580</v>
      </c>
      <c r="I8605">
        <v>6</v>
      </c>
      <c r="J8605" t="s">
        <v>445</v>
      </c>
      <c r="M8605">
        <v>3111</v>
      </c>
      <c r="N8605" t="s">
        <v>16450</v>
      </c>
    </row>
    <row r="8606" spans="1:14">
      <c r="A8606">
        <v>51160000</v>
      </c>
      <c r="B8606">
        <v>3013602</v>
      </c>
      <c r="C8606" t="s">
        <v>3654</v>
      </c>
      <c r="D8606" t="s">
        <v>441</v>
      </c>
      <c r="F8606">
        <v>0</v>
      </c>
      <c r="G8606">
        <v>8.0299999999999994</v>
      </c>
      <c r="H8606" t="s">
        <v>8549</v>
      </c>
      <c r="I8606">
        <v>3</v>
      </c>
      <c r="J8606" t="s">
        <v>445</v>
      </c>
      <c r="K8606" t="s">
        <v>446</v>
      </c>
      <c r="M8606">
        <v>3122</v>
      </c>
      <c r="N8606" t="s">
        <v>16451</v>
      </c>
    </row>
    <row r="8607" spans="1:14">
      <c r="A8607">
        <v>51170000</v>
      </c>
      <c r="B8607">
        <v>3013601</v>
      </c>
      <c r="C8607" t="s">
        <v>3655</v>
      </c>
      <c r="D8607" t="s">
        <v>441</v>
      </c>
      <c r="F8607">
        <v>0</v>
      </c>
      <c r="G8607">
        <v>10.050000000000001</v>
      </c>
      <c r="H8607" t="s">
        <v>8584</v>
      </c>
      <c r="I8607">
        <v>3</v>
      </c>
      <c r="J8607" t="s">
        <v>445</v>
      </c>
      <c r="K8607" t="s">
        <v>446</v>
      </c>
      <c r="M8607">
        <v>3122</v>
      </c>
      <c r="N8607" t="s">
        <v>16452</v>
      </c>
    </row>
    <row r="8608" spans="1:14">
      <c r="A8608">
        <v>51180000</v>
      </c>
      <c r="B8608">
        <v>3008169</v>
      </c>
      <c r="C8608" t="s">
        <v>3656</v>
      </c>
      <c r="D8608" t="s">
        <v>441</v>
      </c>
      <c r="F8608">
        <v>0</v>
      </c>
      <c r="G8608">
        <v>8.92</v>
      </c>
      <c r="H8608" t="s">
        <v>8580</v>
      </c>
      <c r="I8608">
        <v>10</v>
      </c>
      <c r="J8608" t="s">
        <v>445</v>
      </c>
      <c r="K8608" t="s">
        <v>446</v>
      </c>
      <c r="M8608">
        <v>3122</v>
      </c>
    </row>
    <row r="8609" spans="1:14">
      <c r="A8609">
        <v>51190000</v>
      </c>
      <c r="B8609">
        <v>3008170</v>
      </c>
      <c r="C8609" t="s">
        <v>3657</v>
      </c>
      <c r="D8609" t="s">
        <v>441</v>
      </c>
      <c r="F8609">
        <v>0</v>
      </c>
      <c r="G8609">
        <v>10.09</v>
      </c>
      <c r="H8609" t="s">
        <v>8580</v>
      </c>
      <c r="I8609">
        <v>10</v>
      </c>
      <c r="J8609" t="s">
        <v>445</v>
      </c>
      <c r="K8609" t="s">
        <v>446</v>
      </c>
      <c r="M8609">
        <v>3122</v>
      </c>
    </row>
    <row r="8610" spans="1:14">
      <c r="A8610">
        <v>51210000</v>
      </c>
      <c r="B8610">
        <v>3008171</v>
      </c>
      <c r="C8610" t="s">
        <v>3658</v>
      </c>
      <c r="D8610" t="s">
        <v>441</v>
      </c>
      <c r="F8610">
        <v>0</v>
      </c>
      <c r="G8610">
        <v>9.34</v>
      </c>
      <c r="H8610" t="s">
        <v>8580</v>
      </c>
      <c r="I8610">
        <v>10</v>
      </c>
      <c r="J8610" t="s">
        <v>445</v>
      </c>
      <c r="K8610" t="s">
        <v>446</v>
      </c>
      <c r="M8610">
        <v>3122</v>
      </c>
    </row>
    <row r="8611" spans="1:14">
      <c r="A8611">
        <v>51220000</v>
      </c>
      <c r="B8611">
        <v>3016822</v>
      </c>
      <c r="C8611" t="s">
        <v>3659</v>
      </c>
      <c r="D8611" t="s">
        <v>441</v>
      </c>
      <c r="F8611">
        <v>0</v>
      </c>
      <c r="G8611">
        <v>10.37</v>
      </c>
      <c r="I8611">
        <v>3</v>
      </c>
      <c r="J8611" t="s">
        <v>445</v>
      </c>
      <c r="K8611" t="s">
        <v>446</v>
      </c>
      <c r="M8611">
        <v>3122</v>
      </c>
    </row>
    <row r="8612" spans="1:14">
      <c r="A8612">
        <v>51230000</v>
      </c>
      <c r="B8612">
        <v>3016491</v>
      </c>
      <c r="C8612" t="s">
        <v>3660</v>
      </c>
      <c r="D8612" t="s">
        <v>441</v>
      </c>
      <c r="F8612">
        <v>0</v>
      </c>
      <c r="G8612">
        <v>9.7200000000000006</v>
      </c>
      <c r="H8612" t="s">
        <v>8580</v>
      </c>
      <c r="I8612">
        <v>3</v>
      </c>
      <c r="J8612" t="s">
        <v>445</v>
      </c>
      <c r="K8612" t="s">
        <v>446</v>
      </c>
      <c r="M8612">
        <v>2615</v>
      </c>
    </row>
    <row r="8613" spans="1:14">
      <c r="A8613">
        <v>51240000</v>
      </c>
      <c r="B8613">
        <v>3016492</v>
      </c>
      <c r="C8613" t="s">
        <v>3661</v>
      </c>
      <c r="D8613" t="s">
        <v>441</v>
      </c>
      <c r="F8613">
        <v>0</v>
      </c>
      <c r="G8613">
        <v>10.86</v>
      </c>
      <c r="H8613" t="s">
        <v>8580</v>
      </c>
      <c r="I8613">
        <v>3</v>
      </c>
      <c r="J8613" t="s">
        <v>445</v>
      </c>
      <c r="K8613" t="s">
        <v>446</v>
      </c>
      <c r="M8613">
        <v>3122</v>
      </c>
    </row>
    <row r="8614" spans="1:14">
      <c r="A8614">
        <v>51250000</v>
      </c>
      <c r="B8614">
        <v>3009563</v>
      </c>
      <c r="C8614" t="s">
        <v>3662</v>
      </c>
      <c r="D8614" t="s">
        <v>441</v>
      </c>
      <c r="F8614">
        <v>0</v>
      </c>
      <c r="G8614">
        <v>9.42</v>
      </c>
      <c r="H8614" t="s">
        <v>8584</v>
      </c>
      <c r="I8614">
        <v>3</v>
      </c>
      <c r="J8614" t="s">
        <v>445</v>
      </c>
      <c r="K8614" t="s">
        <v>446</v>
      </c>
      <c r="M8614">
        <v>2611</v>
      </c>
    </row>
    <row r="8615" spans="1:14">
      <c r="A8615">
        <v>51260000</v>
      </c>
      <c r="B8615">
        <v>3016493</v>
      </c>
      <c r="C8615" t="s">
        <v>3663</v>
      </c>
      <c r="D8615" t="s">
        <v>441</v>
      </c>
      <c r="F8615">
        <v>0</v>
      </c>
      <c r="G8615">
        <v>10.02</v>
      </c>
      <c r="H8615" t="s">
        <v>8580</v>
      </c>
      <c r="I8615">
        <v>4</v>
      </c>
      <c r="J8615" t="s">
        <v>445</v>
      </c>
      <c r="M8615">
        <v>3111</v>
      </c>
      <c r="N8615" t="s">
        <v>16453</v>
      </c>
    </row>
    <row r="8616" spans="1:14">
      <c r="A8616">
        <v>51270000</v>
      </c>
      <c r="B8616">
        <v>3014133</v>
      </c>
      <c r="C8616" t="s">
        <v>3664</v>
      </c>
      <c r="D8616" t="s">
        <v>441</v>
      </c>
      <c r="F8616">
        <v>0</v>
      </c>
      <c r="G8616">
        <v>9.98</v>
      </c>
      <c r="H8616" t="s">
        <v>8584</v>
      </c>
      <c r="I8616">
        <v>3</v>
      </c>
      <c r="J8616" t="s">
        <v>445</v>
      </c>
      <c r="K8616" t="s">
        <v>446</v>
      </c>
      <c r="M8616">
        <v>3122</v>
      </c>
      <c r="N8616" t="s">
        <v>16454</v>
      </c>
    </row>
    <row r="8617" spans="1:14">
      <c r="A8617">
        <v>51272000</v>
      </c>
      <c r="B8617">
        <v>3018141</v>
      </c>
      <c r="C8617" t="s">
        <v>3665</v>
      </c>
      <c r="D8617" t="s">
        <v>441</v>
      </c>
      <c r="F8617">
        <v>0</v>
      </c>
      <c r="G8617">
        <v>10.36</v>
      </c>
      <c r="H8617" t="s">
        <v>8935</v>
      </c>
      <c r="I8617">
        <v>3</v>
      </c>
      <c r="J8617" t="s">
        <v>445</v>
      </c>
      <c r="K8617" t="s">
        <v>446</v>
      </c>
      <c r="M8617">
        <v>3122</v>
      </c>
      <c r="N8617" t="s">
        <v>16455</v>
      </c>
    </row>
    <row r="8618" spans="1:14">
      <c r="A8618">
        <v>51280000</v>
      </c>
      <c r="B8618">
        <v>3014134</v>
      </c>
      <c r="C8618" t="s">
        <v>3666</v>
      </c>
      <c r="D8618" t="s">
        <v>441</v>
      </c>
      <c r="F8618">
        <v>0</v>
      </c>
      <c r="G8618">
        <v>11.37</v>
      </c>
      <c r="H8618" t="s">
        <v>8584</v>
      </c>
      <c r="I8618">
        <v>3</v>
      </c>
      <c r="J8618" t="s">
        <v>445</v>
      </c>
      <c r="K8618" t="s">
        <v>446</v>
      </c>
      <c r="M8618">
        <v>3122</v>
      </c>
      <c r="N8618" t="s">
        <v>16456</v>
      </c>
    </row>
    <row r="8619" spans="1:14">
      <c r="A8619">
        <v>51290000</v>
      </c>
      <c r="B8619">
        <v>3008176</v>
      </c>
      <c r="C8619" t="s">
        <v>3667</v>
      </c>
      <c r="D8619" t="s">
        <v>441</v>
      </c>
      <c r="F8619">
        <v>0</v>
      </c>
      <c r="G8619">
        <v>11.91</v>
      </c>
      <c r="H8619" t="s">
        <v>8580</v>
      </c>
      <c r="I8619">
        <v>10</v>
      </c>
      <c r="J8619" t="s">
        <v>445</v>
      </c>
      <c r="K8619" t="s">
        <v>446</v>
      </c>
      <c r="M8619">
        <v>3122</v>
      </c>
    </row>
    <row r="8620" spans="1:14">
      <c r="A8620">
        <v>51300000</v>
      </c>
      <c r="B8620">
        <v>3016739</v>
      </c>
      <c r="C8620" t="s">
        <v>3668</v>
      </c>
      <c r="D8620" t="s">
        <v>441</v>
      </c>
      <c r="F8620">
        <v>0</v>
      </c>
      <c r="G8620">
        <v>10.46</v>
      </c>
      <c r="H8620" t="s">
        <v>8634</v>
      </c>
      <c r="I8620">
        <v>3</v>
      </c>
      <c r="J8620" t="s">
        <v>445</v>
      </c>
      <c r="K8620" t="s">
        <v>446</v>
      </c>
      <c r="M8620">
        <v>2616</v>
      </c>
    </row>
    <row r="8621" spans="1:14">
      <c r="A8621">
        <v>51310000</v>
      </c>
      <c r="B8621">
        <v>3009571</v>
      </c>
      <c r="C8621" t="s">
        <v>3669</v>
      </c>
      <c r="D8621" t="s">
        <v>441</v>
      </c>
      <c r="F8621">
        <v>0</v>
      </c>
      <c r="G8621">
        <v>9.76</v>
      </c>
      <c r="H8621" t="s">
        <v>8584</v>
      </c>
      <c r="I8621">
        <v>3</v>
      </c>
      <c r="J8621" t="s">
        <v>445</v>
      </c>
      <c r="K8621" t="s">
        <v>446</v>
      </c>
      <c r="M8621">
        <v>3122</v>
      </c>
    </row>
    <row r="8622" spans="1:14">
      <c r="A8622">
        <v>51320000</v>
      </c>
      <c r="B8622">
        <v>3016684</v>
      </c>
      <c r="C8622" t="s">
        <v>3670</v>
      </c>
      <c r="D8622" t="s">
        <v>441</v>
      </c>
      <c r="F8622">
        <v>0</v>
      </c>
      <c r="G8622">
        <v>9.6199999999999992</v>
      </c>
      <c r="H8622" t="s">
        <v>8580</v>
      </c>
      <c r="I8622">
        <v>4</v>
      </c>
      <c r="J8622" t="s">
        <v>445</v>
      </c>
      <c r="M8622">
        <v>3111</v>
      </c>
      <c r="N8622" t="s">
        <v>16457</v>
      </c>
    </row>
    <row r="8623" spans="1:14">
      <c r="A8623">
        <v>51330000</v>
      </c>
      <c r="B8623">
        <v>3009562</v>
      </c>
      <c r="C8623" t="s">
        <v>3671</v>
      </c>
      <c r="D8623" t="s">
        <v>441</v>
      </c>
      <c r="F8623">
        <v>0</v>
      </c>
      <c r="G8623">
        <v>11.1</v>
      </c>
      <c r="H8623" t="s">
        <v>8580</v>
      </c>
      <c r="I8623">
        <v>3</v>
      </c>
      <c r="J8623" t="s">
        <v>445</v>
      </c>
      <c r="K8623" t="s">
        <v>446</v>
      </c>
      <c r="M8623">
        <v>3122</v>
      </c>
    </row>
    <row r="8624" spans="1:14">
      <c r="A8624">
        <v>51340000</v>
      </c>
      <c r="B8624">
        <v>3016740</v>
      </c>
      <c r="C8624" t="s">
        <v>3672</v>
      </c>
      <c r="D8624" t="s">
        <v>441</v>
      </c>
      <c r="F8624">
        <v>0</v>
      </c>
      <c r="G8624">
        <v>10.09</v>
      </c>
      <c r="H8624" t="s">
        <v>8634</v>
      </c>
      <c r="I8624">
        <v>3</v>
      </c>
      <c r="J8624" t="s">
        <v>445</v>
      </c>
      <c r="K8624" t="s">
        <v>446</v>
      </c>
      <c r="M8624">
        <v>3122</v>
      </c>
    </row>
    <row r="8625" spans="1:14">
      <c r="A8625">
        <v>51350000</v>
      </c>
      <c r="B8625">
        <v>3016494</v>
      </c>
      <c r="C8625" t="s">
        <v>12529</v>
      </c>
      <c r="D8625" t="s">
        <v>441</v>
      </c>
      <c r="F8625">
        <v>0</v>
      </c>
      <c r="G8625">
        <v>11.14</v>
      </c>
      <c r="H8625" t="s">
        <v>12521</v>
      </c>
      <c r="I8625">
        <v>4</v>
      </c>
      <c r="J8625" t="s">
        <v>445</v>
      </c>
      <c r="M8625">
        <v>6666</v>
      </c>
      <c r="N8625" t="s">
        <v>16458</v>
      </c>
    </row>
    <row r="8626" spans="1:14">
      <c r="A8626">
        <v>51360000</v>
      </c>
      <c r="B8626">
        <v>3016742</v>
      </c>
      <c r="C8626" t="s">
        <v>3673</v>
      </c>
      <c r="D8626" t="s">
        <v>441</v>
      </c>
      <c r="F8626">
        <v>0</v>
      </c>
      <c r="G8626">
        <v>8.2899999999999991</v>
      </c>
      <c r="H8626" t="s">
        <v>8634</v>
      </c>
      <c r="I8626">
        <v>3</v>
      </c>
      <c r="J8626" t="s">
        <v>445</v>
      </c>
      <c r="K8626" t="s">
        <v>446</v>
      </c>
      <c r="M8626">
        <v>3122</v>
      </c>
    </row>
    <row r="8627" spans="1:14">
      <c r="A8627">
        <v>51362000</v>
      </c>
      <c r="B8627">
        <v>3018133</v>
      </c>
      <c r="C8627" t="s">
        <v>3674</v>
      </c>
      <c r="D8627" t="s">
        <v>441</v>
      </c>
      <c r="F8627">
        <v>0</v>
      </c>
      <c r="G8627">
        <v>8.48</v>
      </c>
      <c r="H8627" t="s">
        <v>8634</v>
      </c>
      <c r="I8627">
        <v>10</v>
      </c>
      <c r="J8627" t="s">
        <v>445</v>
      </c>
      <c r="K8627" t="s">
        <v>446</v>
      </c>
      <c r="M8627">
        <v>3122</v>
      </c>
    </row>
    <row r="8628" spans="1:14">
      <c r="A8628">
        <v>51370000</v>
      </c>
      <c r="B8628">
        <v>3016880</v>
      </c>
      <c r="C8628" t="s">
        <v>3675</v>
      </c>
      <c r="D8628" t="s">
        <v>441</v>
      </c>
      <c r="F8628">
        <v>0</v>
      </c>
      <c r="G8628">
        <v>7.5</v>
      </c>
      <c r="H8628" t="s">
        <v>8935</v>
      </c>
      <c r="I8628">
        <v>4</v>
      </c>
      <c r="J8628" t="s">
        <v>445</v>
      </c>
      <c r="K8628" t="s">
        <v>446</v>
      </c>
      <c r="M8628">
        <v>3122</v>
      </c>
    </row>
    <row r="8629" spans="1:14">
      <c r="A8629">
        <v>51380000</v>
      </c>
      <c r="B8629">
        <v>3016881</v>
      </c>
      <c r="C8629" t="s">
        <v>3676</v>
      </c>
      <c r="D8629" t="s">
        <v>441</v>
      </c>
      <c r="F8629">
        <v>0</v>
      </c>
      <c r="G8629">
        <v>7.08</v>
      </c>
      <c r="H8629" t="s">
        <v>8935</v>
      </c>
      <c r="I8629">
        <v>4</v>
      </c>
      <c r="J8629" t="s">
        <v>445</v>
      </c>
      <c r="K8629" t="s">
        <v>446</v>
      </c>
      <c r="M8629">
        <v>3122</v>
      </c>
    </row>
    <row r="8630" spans="1:14">
      <c r="A8630">
        <v>51390000</v>
      </c>
      <c r="B8630">
        <v>3021497</v>
      </c>
      <c r="C8630" t="s">
        <v>3677</v>
      </c>
      <c r="D8630" t="s">
        <v>441</v>
      </c>
      <c r="F8630">
        <v>0</v>
      </c>
      <c r="G8630">
        <v>10</v>
      </c>
      <c r="H8630" t="s">
        <v>10826</v>
      </c>
      <c r="I8630">
        <v>3</v>
      </c>
      <c r="J8630" t="s">
        <v>445</v>
      </c>
      <c r="K8630" t="s">
        <v>446</v>
      </c>
      <c r="M8630">
        <v>3122</v>
      </c>
      <c r="N8630" t="s">
        <v>16459</v>
      </c>
    </row>
    <row r="8631" spans="1:14">
      <c r="A8631">
        <v>51400000</v>
      </c>
      <c r="B8631">
        <v>3021498</v>
      </c>
      <c r="C8631" t="s">
        <v>3678</v>
      </c>
      <c r="D8631" t="s">
        <v>441</v>
      </c>
      <c r="F8631">
        <v>0</v>
      </c>
      <c r="G8631">
        <v>10.66</v>
      </c>
      <c r="H8631" t="s">
        <v>10826</v>
      </c>
      <c r="I8631">
        <v>3</v>
      </c>
      <c r="J8631" t="s">
        <v>445</v>
      </c>
      <c r="K8631" t="s">
        <v>446</v>
      </c>
      <c r="M8631">
        <v>3122</v>
      </c>
      <c r="N8631" t="s">
        <v>16460</v>
      </c>
    </row>
    <row r="8632" spans="1:14">
      <c r="A8632">
        <v>51410000</v>
      </c>
      <c r="B8632">
        <v>3021499</v>
      </c>
      <c r="C8632" t="s">
        <v>3679</v>
      </c>
      <c r="D8632" t="s">
        <v>441</v>
      </c>
      <c r="F8632">
        <v>0</v>
      </c>
      <c r="G8632">
        <v>8.8000000000000007</v>
      </c>
      <c r="H8632" t="s">
        <v>10826</v>
      </c>
      <c r="I8632">
        <v>3</v>
      </c>
      <c r="J8632" t="s">
        <v>445</v>
      </c>
      <c r="K8632" t="s">
        <v>446</v>
      </c>
      <c r="M8632">
        <v>3122</v>
      </c>
      <c r="N8632" t="s">
        <v>16461</v>
      </c>
    </row>
    <row r="8633" spans="1:14">
      <c r="A8633">
        <v>51420000</v>
      </c>
      <c r="B8633">
        <v>3016700</v>
      </c>
      <c r="C8633" t="s">
        <v>3680</v>
      </c>
      <c r="D8633" t="s">
        <v>441</v>
      </c>
      <c r="F8633">
        <v>0</v>
      </c>
      <c r="G8633">
        <v>9.86</v>
      </c>
      <c r="H8633" t="s">
        <v>8580</v>
      </c>
      <c r="I8633">
        <v>2</v>
      </c>
      <c r="J8633" t="s">
        <v>445</v>
      </c>
      <c r="M8633">
        <v>3111</v>
      </c>
      <c r="N8633" t="s">
        <v>16462</v>
      </c>
    </row>
    <row r="8634" spans="1:14">
      <c r="A8634">
        <v>51430000</v>
      </c>
      <c r="B8634">
        <v>3012495</v>
      </c>
      <c r="C8634" t="s">
        <v>3681</v>
      </c>
      <c r="D8634" t="s">
        <v>441</v>
      </c>
      <c r="F8634">
        <v>0</v>
      </c>
      <c r="G8634">
        <v>5.04</v>
      </c>
      <c r="H8634" t="s">
        <v>12521</v>
      </c>
      <c r="I8634">
        <v>4</v>
      </c>
      <c r="J8634" t="s">
        <v>445</v>
      </c>
      <c r="K8634" t="s">
        <v>446</v>
      </c>
      <c r="M8634">
        <v>3122</v>
      </c>
    </row>
    <row r="8635" spans="1:14">
      <c r="A8635">
        <v>51440000</v>
      </c>
      <c r="B8635">
        <v>3014507</v>
      </c>
      <c r="C8635" t="s">
        <v>3682</v>
      </c>
      <c r="D8635" t="s">
        <v>441</v>
      </c>
      <c r="F8635">
        <v>0</v>
      </c>
      <c r="G8635">
        <v>8.3800000000000008</v>
      </c>
      <c r="H8635" t="s">
        <v>12521</v>
      </c>
      <c r="I8635">
        <v>5</v>
      </c>
      <c r="J8635" t="s">
        <v>445</v>
      </c>
      <c r="K8635" t="s">
        <v>446</v>
      </c>
      <c r="M8635">
        <v>3132</v>
      </c>
    </row>
    <row r="8636" spans="1:14">
      <c r="A8636">
        <v>51480000</v>
      </c>
      <c r="B8636">
        <v>3016495</v>
      </c>
      <c r="C8636" t="s">
        <v>3683</v>
      </c>
      <c r="D8636" t="s">
        <v>441</v>
      </c>
      <c r="F8636">
        <v>0</v>
      </c>
      <c r="G8636">
        <v>7.26</v>
      </c>
      <c r="H8636" t="s">
        <v>8580</v>
      </c>
      <c r="I8636">
        <v>4</v>
      </c>
      <c r="J8636" t="s">
        <v>445</v>
      </c>
      <c r="K8636" t="s">
        <v>446</v>
      </c>
      <c r="M8636">
        <v>3122</v>
      </c>
    </row>
    <row r="8637" spans="1:14">
      <c r="A8637">
        <v>51490000</v>
      </c>
      <c r="B8637">
        <v>3025686</v>
      </c>
      <c r="C8637" t="s">
        <v>3684</v>
      </c>
      <c r="D8637" t="s">
        <v>441</v>
      </c>
      <c r="F8637">
        <v>0</v>
      </c>
      <c r="G8637">
        <v>5.09</v>
      </c>
      <c r="H8637" t="s">
        <v>12521</v>
      </c>
      <c r="I8637">
        <v>4</v>
      </c>
      <c r="J8637" t="s">
        <v>445</v>
      </c>
      <c r="K8637" t="s">
        <v>446</v>
      </c>
      <c r="M8637">
        <v>3122</v>
      </c>
    </row>
    <row r="8638" spans="1:14">
      <c r="A8638">
        <v>51520000</v>
      </c>
      <c r="B8638">
        <v>3045462</v>
      </c>
      <c r="C8638" t="s">
        <v>16463</v>
      </c>
      <c r="D8638" t="s">
        <v>441</v>
      </c>
      <c r="F8638">
        <v>0</v>
      </c>
      <c r="G8638">
        <v>11.67</v>
      </c>
      <c r="H8638" t="s">
        <v>10826</v>
      </c>
      <c r="I8638">
        <v>4</v>
      </c>
      <c r="J8638" t="s">
        <v>445</v>
      </c>
      <c r="M8638">
        <v>3111</v>
      </c>
    </row>
    <row r="8639" spans="1:14">
      <c r="A8639">
        <v>51530000</v>
      </c>
      <c r="B8639">
        <v>3016496</v>
      </c>
      <c r="C8639" t="s">
        <v>3685</v>
      </c>
      <c r="D8639" t="s">
        <v>441</v>
      </c>
      <c r="F8639">
        <v>0</v>
      </c>
      <c r="G8639">
        <v>6.42</v>
      </c>
      <c r="H8639" t="s">
        <v>8580</v>
      </c>
      <c r="I8639">
        <v>4</v>
      </c>
      <c r="J8639" t="s">
        <v>445</v>
      </c>
      <c r="K8639" t="s">
        <v>446</v>
      </c>
      <c r="M8639">
        <v>3122</v>
      </c>
    </row>
    <row r="8640" spans="1:14">
      <c r="A8640">
        <v>51550000</v>
      </c>
      <c r="B8640">
        <v>3016497</v>
      </c>
      <c r="C8640" t="s">
        <v>3686</v>
      </c>
      <c r="D8640" t="s">
        <v>441</v>
      </c>
      <c r="F8640">
        <v>0</v>
      </c>
      <c r="G8640">
        <v>9.81</v>
      </c>
      <c r="H8640" t="s">
        <v>8580</v>
      </c>
      <c r="I8640">
        <v>3</v>
      </c>
      <c r="J8640" t="s">
        <v>445</v>
      </c>
      <c r="K8640" t="s">
        <v>446</v>
      </c>
      <c r="M8640">
        <v>3122</v>
      </c>
    </row>
    <row r="8641" spans="1:14">
      <c r="A8641">
        <v>51560000</v>
      </c>
      <c r="B8641">
        <v>3035466</v>
      </c>
      <c r="C8641" t="s">
        <v>3687</v>
      </c>
      <c r="D8641" t="s">
        <v>441</v>
      </c>
      <c r="F8641">
        <v>0</v>
      </c>
      <c r="G8641">
        <v>14.26</v>
      </c>
      <c r="H8641" t="s">
        <v>10826</v>
      </c>
      <c r="I8641">
        <v>4</v>
      </c>
      <c r="J8641" t="s">
        <v>445</v>
      </c>
      <c r="M8641">
        <v>3111</v>
      </c>
      <c r="N8641" t="s">
        <v>16464</v>
      </c>
    </row>
    <row r="8642" spans="1:14">
      <c r="A8642">
        <v>51570000</v>
      </c>
      <c r="B8642">
        <v>3035464</v>
      </c>
      <c r="C8642" t="s">
        <v>3688</v>
      </c>
      <c r="D8642" t="s">
        <v>441</v>
      </c>
      <c r="F8642">
        <v>0</v>
      </c>
      <c r="G8642">
        <v>15.41</v>
      </c>
      <c r="H8642" t="s">
        <v>8549</v>
      </c>
      <c r="I8642">
        <v>4</v>
      </c>
      <c r="J8642" t="s">
        <v>445</v>
      </c>
      <c r="M8642">
        <v>3111</v>
      </c>
      <c r="N8642" t="s">
        <v>16465</v>
      </c>
    </row>
    <row r="8643" spans="1:14">
      <c r="A8643">
        <v>51580000</v>
      </c>
      <c r="B8643">
        <v>3035465</v>
      </c>
      <c r="C8643" t="s">
        <v>3689</v>
      </c>
      <c r="D8643" t="s">
        <v>441</v>
      </c>
      <c r="F8643">
        <v>0</v>
      </c>
      <c r="G8643">
        <v>14.51</v>
      </c>
      <c r="H8643" t="s">
        <v>10826</v>
      </c>
      <c r="I8643">
        <v>4</v>
      </c>
      <c r="J8643" t="s">
        <v>445</v>
      </c>
      <c r="M8643">
        <v>3111</v>
      </c>
      <c r="N8643" t="s">
        <v>16466</v>
      </c>
    </row>
    <row r="8644" spans="1:14">
      <c r="A8644">
        <v>51590000</v>
      </c>
      <c r="B8644">
        <v>3040086</v>
      </c>
      <c r="C8644" t="s">
        <v>3690</v>
      </c>
      <c r="D8644" t="s">
        <v>441</v>
      </c>
      <c r="F8644">
        <v>0</v>
      </c>
      <c r="G8644">
        <v>13.49</v>
      </c>
      <c r="H8644" t="s">
        <v>10826</v>
      </c>
      <c r="I8644">
        <v>4</v>
      </c>
      <c r="J8644" t="s">
        <v>445</v>
      </c>
      <c r="M8644">
        <v>3111</v>
      </c>
      <c r="N8644" t="s">
        <v>16467</v>
      </c>
    </row>
    <row r="8645" spans="1:14">
      <c r="A8645">
        <v>51600000</v>
      </c>
      <c r="B8645">
        <v>3040088</v>
      </c>
      <c r="C8645" t="s">
        <v>3691</v>
      </c>
      <c r="D8645" t="s">
        <v>441</v>
      </c>
      <c r="F8645">
        <v>0</v>
      </c>
      <c r="G8645">
        <v>14.98</v>
      </c>
      <c r="H8645" t="s">
        <v>10826</v>
      </c>
      <c r="I8645">
        <v>4</v>
      </c>
      <c r="J8645" t="s">
        <v>445</v>
      </c>
      <c r="M8645">
        <v>3111</v>
      </c>
      <c r="N8645" t="s">
        <v>16468</v>
      </c>
    </row>
    <row r="8646" spans="1:14">
      <c r="A8646">
        <v>51710000</v>
      </c>
      <c r="B8646">
        <v>3027494</v>
      </c>
      <c r="C8646" t="s">
        <v>3692</v>
      </c>
      <c r="D8646" t="s">
        <v>441</v>
      </c>
      <c r="F8646">
        <v>0</v>
      </c>
      <c r="G8646">
        <v>12.22</v>
      </c>
      <c r="H8646" t="s">
        <v>10826</v>
      </c>
      <c r="I8646">
        <v>13</v>
      </c>
      <c r="J8646" t="s">
        <v>445</v>
      </c>
      <c r="K8646" t="s">
        <v>446</v>
      </c>
      <c r="M8646">
        <v>3122</v>
      </c>
    </row>
    <row r="8647" spans="1:14">
      <c r="A8647">
        <v>51710002</v>
      </c>
      <c r="B8647">
        <v>3027491</v>
      </c>
      <c r="C8647" t="s">
        <v>3693</v>
      </c>
      <c r="D8647" t="s">
        <v>441</v>
      </c>
      <c r="F8647">
        <v>0</v>
      </c>
      <c r="G8647">
        <v>13.2</v>
      </c>
      <c r="H8647" t="s">
        <v>8588</v>
      </c>
      <c r="I8647">
        <v>365</v>
      </c>
      <c r="J8647" t="s">
        <v>445</v>
      </c>
      <c r="K8647" t="s">
        <v>446</v>
      </c>
      <c r="M8647">
        <v>2511</v>
      </c>
    </row>
    <row r="8648" spans="1:14">
      <c r="A8648">
        <v>51710502</v>
      </c>
      <c r="B8648">
        <v>3027490</v>
      </c>
      <c r="C8648" t="s">
        <v>3694</v>
      </c>
      <c r="D8648" t="s">
        <v>441</v>
      </c>
      <c r="F8648">
        <v>0</v>
      </c>
      <c r="G8648">
        <v>13.01</v>
      </c>
      <c r="H8648" t="s">
        <v>10826</v>
      </c>
      <c r="I8648">
        <v>6</v>
      </c>
      <c r="J8648" t="s">
        <v>445</v>
      </c>
      <c r="K8648" t="s">
        <v>446</v>
      </c>
      <c r="M8648">
        <v>3111</v>
      </c>
    </row>
    <row r="8649" spans="1:14">
      <c r="A8649">
        <v>51720000</v>
      </c>
      <c r="B8649">
        <v>3025990</v>
      </c>
      <c r="C8649" t="s">
        <v>3695</v>
      </c>
      <c r="D8649" t="s">
        <v>441</v>
      </c>
      <c r="F8649">
        <v>0</v>
      </c>
      <c r="G8649">
        <v>8.76</v>
      </c>
      <c r="H8649" t="s">
        <v>10826</v>
      </c>
      <c r="I8649">
        <v>3</v>
      </c>
      <c r="J8649" t="s">
        <v>445</v>
      </c>
      <c r="K8649" t="s">
        <v>446</v>
      </c>
      <c r="M8649">
        <v>2616</v>
      </c>
    </row>
    <row r="8650" spans="1:14">
      <c r="A8650">
        <v>51730000</v>
      </c>
      <c r="B8650">
        <v>3025943</v>
      </c>
      <c r="C8650" t="s">
        <v>3696</v>
      </c>
      <c r="D8650" t="s">
        <v>441</v>
      </c>
      <c r="F8650">
        <v>0</v>
      </c>
      <c r="G8650">
        <v>6.53</v>
      </c>
      <c r="H8650" t="s">
        <v>10826</v>
      </c>
      <c r="I8650">
        <v>3</v>
      </c>
      <c r="J8650" t="s">
        <v>445</v>
      </c>
      <c r="K8650" t="s">
        <v>446</v>
      </c>
      <c r="M8650">
        <v>3122</v>
      </c>
    </row>
    <row r="8651" spans="1:14">
      <c r="A8651">
        <v>51740000</v>
      </c>
      <c r="B8651">
        <v>3025982</v>
      </c>
      <c r="C8651" t="s">
        <v>3697</v>
      </c>
      <c r="D8651" t="s">
        <v>441</v>
      </c>
      <c r="F8651">
        <v>0</v>
      </c>
      <c r="G8651">
        <v>9.39</v>
      </c>
      <c r="H8651" t="s">
        <v>10826</v>
      </c>
      <c r="I8651">
        <v>3</v>
      </c>
      <c r="J8651" t="s">
        <v>445</v>
      </c>
      <c r="K8651" t="s">
        <v>446</v>
      </c>
      <c r="M8651">
        <v>3122</v>
      </c>
    </row>
    <row r="8652" spans="1:14">
      <c r="A8652">
        <v>51740002</v>
      </c>
      <c r="B8652">
        <v>3027374</v>
      </c>
      <c r="C8652" t="s">
        <v>3698</v>
      </c>
      <c r="D8652" t="s">
        <v>441</v>
      </c>
      <c r="F8652">
        <v>0</v>
      </c>
      <c r="G8652">
        <v>12.98</v>
      </c>
      <c r="H8652" t="s">
        <v>8588</v>
      </c>
      <c r="I8652">
        <v>365</v>
      </c>
      <c r="J8652" t="s">
        <v>445</v>
      </c>
      <c r="K8652" t="s">
        <v>446</v>
      </c>
      <c r="M8652">
        <v>2501</v>
      </c>
    </row>
    <row r="8653" spans="1:14">
      <c r="A8653">
        <v>51740502</v>
      </c>
      <c r="B8653">
        <v>3027373</v>
      </c>
      <c r="C8653" t="s">
        <v>3699</v>
      </c>
      <c r="D8653" t="s">
        <v>441</v>
      </c>
      <c r="F8653">
        <v>0</v>
      </c>
      <c r="G8653">
        <v>12.79</v>
      </c>
      <c r="H8653" t="s">
        <v>10826</v>
      </c>
      <c r="I8653">
        <v>3</v>
      </c>
      <c r="J8653" t="s">
        <v>445</v>
      </c>
      <c r="K8653" t="s">
        <v>446</v>
      </c>
      <c r="M8653">
        <v>3111</v>
      </c>
    </row>
    <row r="8654" spans="1:14">
      <c r="A8654">
        <v>51750000</v>
      </c>
      <c r="B8654">
        <v>3025945</v>
      </c>
      <c r="C8654" t="s">
        <v>3700</v>
      </c>
      <c r="D8654" t="s">
        <v>441</v>
      </c>
      <c r="F8654">
        <v>0</v>
      </c>
      <c r="G8654">
        <v>13.68</v>
      </c>
      <c r="H8654" t="s">
        <v>10826</v>
      </c>
      <c r="I8654">
        <v>3</v>
      </c>
      <c r="J8654" t="s">
        <v>445</v>
      </c>
      <c r="K8654" t="s">
        <v>446</v>
      </c>
      <c r="M8654">
        <v>2616</v>
      </c>
    </row>
    <row r="8655" spans="1:14">
      <c r="A8655">
        <v>51760000</v>
      </c>
      <c r="B8655">
        <v>3008182</v>
      </c>
      <c r="C8655" t="s">
        <v>12530</v>
      </c>
      <c r="D8655" t="s">
        <v>441</v>
      </c>
      <c r="F8655">
        <v>0</v>
      </c>
      <c r="G8655">
        <v>5.2</v>
      </c>
      <c r="H8655" t="s">
        <v>8580</v>
      </c>
      <c r="I8655">
        <v>3</v>
      </c>
      <c r="J8655" t="s">
        <v>445</v>
      </c>
      <c r="K8655" t="s">
        <v>446</v>
      </c>
      <c r="M8655">
        <v>3132</v>
      </c>
    </row>
    <row r="8656" spans="1:14">
      <c r="A8656">
        <v>51770000</v>
      </c>
      <c r="B8656">
        <v>3016498</v>
      </c>
      <c r="C8656" t="s">
        <v>3661</v>
      </c>
      <c r="D8656" t="s">
        <v>441</v>
      </c>
      <c r="F8656">
        <v>0</v>
      </c>
      <c r="G8656">
        <v>9.32</v>
      </c>
      <c r="H8656" t="s">
        <v>8580</v>
      </c>
      <c r="I8656">
        <v>3</v>
      </c>
      <c r="J8656" t="s">
        <v>445</v>
      </c>
      <c r="K8656" t="s">
        <v>446</v>
      </c>
      <c r="M8656">
        <v>3122</v>
      </c>
    </row>
    <row r="8657" spans="1:14">
      <c r="A8657">
        <v>51770002</v>
      </c>
      <c r="B8657">
        <v>3009210</v>
      </c>
      <c r="C8657" t="s">
        <v>3701</v>
      </c>
      <c r="D8657" t="s">
        <v>441</v>
      </c>
      <c r="F8657">
        <v>0</v>
      </c>
      <c r="G8657">
        <v>9.8000000000000007</v>
      </c>
      <c r="H8657" t="s">
        <v>8588</v>
      </c>
      <c r="I8657">
        <v>365</v>
      </c>
      <c r="J8657" t="s">
        <v>445</v>
      </c>
      <c r="K8657" t="s">
        <v>446</v>
      </c>
      <c r="M8657">
        <v>2501</v>
      </c>
    </row>
    <row r="8658" spans="1:14">
      <c r="A8658">
        <v>51770502</v>
      </c>
      <c r="B8658">
        <v>3009201</v>
      </c>
      <c r="C8658" t="s">
        <v>3702</v>
      </c>
      <c r="D8658" t="s">
        <v>441</v>
      </c>
      <c r="F8658">
        <v>0</v>
      </c>
      <c r="G8658">
        <v>9.52</v>
      </c>
      <c r="H8658" t="s">
        <v>8580</v>
      </c>
      <c r="I8658">
        <v>365</v>
      </c>
      <c r="J8658" t="s">
        <v>445</v>
      </c>
      <c r="K8658" t="s">
        <v>446</v>
      </c>
      <c r="M8658">
        <v>2612</v>
      </c>
    </row>
    <row r="8659" spans="1:14">
      <c r="A8659">
        <v>51770602</v>
      </c>
      <c r="B8659">
        <v>3009200</v>
      </c>
      <c r="C8659" t="s">
        <v>3703</v>
      </c>
      <c r="D8659" t="s">
        <v>441</v>
      </c>
      <c r="F8659">
        <v>0</v>
      </c>
      <c r="G8659">
        <v>10.199999999999999</v>
      </c>
      <c r="H8659" t="s">
        <v>8580</v>
      </c>
      <c r="I8659">
        <v>4</v>
      </c>
      <c r="J8659" t="s">
        <v>445</v>
      </c>
      <c r="K8659" t="s">
        <v>446</v>
      </c>
      <c r="M8659">
        <v>2511</v>
      </c>
    </row>
    <row r="8660" spans="1:14">
      <c r="A8660">
        <v>51780000</v>
      </c>
      <c r="B8660">
        <v>3008184</v>
      </c>
      <c r="C8660" t="s">
        <v>3704</v>
      </c>
      <c r="D8660" t="s">
        <v>441</v>
      </c>
      <c r="F8660">
        <v>0</v>
      </c>
      <c r="G8660">
        <v>12</v>
      </c>
      <c r="H8660" t="s">
        <v>8584</v>
      </c>
      <c r="I8660">
        <v>3</v>
      </c>
      <c r="J8660" t="s">
        <v>445</v>
      </c>
      <c r="K8660" t="s">
        <v>446</v>
      </c>
      <c r="M8660">
        <v>3122</v>
      </c>
    </row>
    <row r="8661" spans="1:14">
      <c r="A8661">
        <v>51790000</v>
      </c>
      <c r="B8661">
        <v>3008185</v>
      </c>
      <c r="C8661" t="s">
        <v>3705</v>
      </c>
      <c r="D8661" t="s">
        <v>441</v>
      </c>
      <c r="F8661">
        <v>0</v>
      </c>
      <c r="G8661">
        <v>9.01</v>
      </c>
      <c r="H8661" t="s">
        <v>8580</v>
      </c>
      <c r="I8661">
        <v>3</v>
      </c>
      <c r="J8661" t="s">
        <v>445</v>
      </c>
      <c r="K8661" t="s">
        <v>446</v>
      </c>
      <c r="M8661">
        <v>3122</v>
      </c>
    </row>
    <row r="8662" spans="1:14">
      <c r="A8662">
        <v>51820000</v>
      </c>
      <c r="B8662">
        <v>3016499</v>
      </c>
      <c r="C8662" t="s">
        <v>12531</v>
      </c>
      <c r="D8662" t="s">
        <v>441</v>
      </c>
      <c r="F8662">
        <v>0</v>
      </c>
      <c r="G8662">
        <v>4.25</v>
      </c>
      <c r="H8662" t="s">
        <v>8580</v>
      </c>
      <c r="I8662">
        <v>4</v>
      </c>
      <c r="J8662" t="s">
        <v>445</v>
      </c>
      <c r="K8662" t="s">
        <v>446</v>
      </c>
      <c r="M8662">
        <v>3122</v>
      </c>
    </row>
    <row r="8663" spans="1:14">
      <c r="A8663">
        <v>51920000</v>
      </c>
      <c r="B8663">
        <v>3008187</v>
      </c>
      <c r="C8663" t="s">
        <v>3706</v>
      </c>
      <c r="D8663" t="s">
        <v>441</v>
      </c>
      <c r="F8663">
        <v>0</v>
      </c>
      <c r="G8663">
        <v>10.09</v>
      </c>
      <c r="H8663" t="s">
        <v>8580</v>
      </c>
      <c r="I8663">
        <v>3</v>
      </c>
      <c r="J8663" t="s">
        <v>445</v>
      </c>
      <c r="K8663" t="s">
        <v>446</v>
      </c>
      <c r="M8663">
        <v>3122</v>
      </c>
    </row>
    <row r="8664" spans="1:14">
      <c r="A8664">
        <v>51980000</v>
      </c>
      <c r="B8664">
        <v>3016500</v>
      </c>
      <c r="C8664" t="s">
        <v>12532</v>
      </c>
      <c r="D8664" t="s">
        <v>441</v>
      </c>
      <c r="F8664">
        <v>0</v>
      </c>
      <c r="G8664">
        <v>6.56</v>
      </c>
      <c r="H8664" t="s">
        <v>8580</v>
      </c>
      <c r="I8664">
        <v>4</v>
      </c>
      <c r="J8664" t="s">
        <v>445</v>
      </c>
      <c r="K8664" t="s">
        <v>446</v>
      </c>
      <c r="M8664">
        <v>3122</v>
      </c>
    </row>
    <row r="8665" spans="1:14">
      <c r="A8665">
        <v>52010000</v>
      </c>
      <c r="B8665">
        <v>3018560</v>
      </c>
      <c r="C8665" t="s">
        <v>12533</v>
      </c>
      <c r="D8665" t="s">
        <v>441</v>
      </c>
      <c r="F8665">
        <v>0</v>
      </c>
      <c r="G8665">
        <v>6.78</v>
      </c>
      <c r="H8665" t="s">
        <v>8580</v>
      </c>
      <c r="I8665">
        <v>4</v>
      </c>
      <c r="J8665" t="s">
        <v>445</v>
      </c>
      <c r="K8665" t="s">
        <v>446</v>
      </c>
      <c r="M8665">
        <v>3122</v>
      </c>
    </row>
    <row r="8666" spans="1:14">
      <c r="A8666">
        <v>52020000</v>
      </c>
      <c r="B8666">
        <v>3043300</v>
      </c>
      <c r="C8666" t="s">
        <v>15454</v>
      </c>
      <c r="D8666" t="s">
        <v>441</v>
      </c>
      <c r="F8666">
        <v>0</v>
      </c>
      <c r="G8666">
        <v>12.05</v>
      </c>
      <c r="H8666" t="s">
        <v>10826</v>
      </c>
      <c r="I8666">
        <v>4</v>
      </c>
      <c r="J8666" t="s">
        <v>445</v>
      </c>
      <c r="M8666">
        <v>3113</v>
      </c>
      <c r="N8666" t="s">
        <v>16433</v>
      </c>
    </row>
    <row r="8667" spans="1:14">
      <c r="A8667">
        <v>52030000</v>
      </c>
      <c r="B8667">
        <v>3044964</v>
      </c>
      <c r="C8667" t="s">
        <v>15564</v>
      </c>
      <c r="D8667" t="s">
        <v>441</v>
      </c>
      <c r="F8667">
        <v>0</v>
      </c>
      <c r="G8667">
        <v>10.53</v>
      </c>
      <c r="H8667" t="s">
        <v>8549</v>
      </c>
      <c r="I8667">
        <v>3</v>
      </c>
      <c r="J8667" t="s">
        <v>445</v>
      </c>
      <c r="M8667">
        <v>3113</v>
      </c>
      <c r="N8667" t="s">
        <v>16170</v>
      </c>
    </row>
    <row r="8668" spans="1:14">
      <c r="A8668">
        <v>52030002</v>
      </c>
      <c r="B8668">
        <v>3044967</v>
      </c>
      <c r="C8668" t="s">
        <v>15599</v>
      </c>
      <c r="D8668" t="s">
        <v>441</v>
      </c>
      <c r="F8668">
        <v>0</v>
      </c>
      <c r="G8668">
        <v>11.29</v>
      </c>
      <c r="H8668" t="s">
        <v>8588</v>
      </c>
      <c r="I8668">
        <v>365</v>
      </c>
      <c r="J8668" t="s">
        <v>445</v>
      </c>
      <c r="M8668">
        <v>7111</v>
      </c>
      <c r="N8668" t="s">
        <v>16170</v>
      </c>
    </row>
    <row r="8669" spans="1:14">
      <c r="A8669">
        <v>52030502</v>
      </c>
      <c r="B8669">
        <v>3044966</v>
      </c>
      <c r="C8669" t="s">
        <v>15600</v>
      </c>
      <c r="D8669" t="s">
        <v>441</v>
      </c>
      <c r="F8669">
        <v>0</v>
      </c>
      <c r="G8669">
        <v>10.67</v>
      </c>
      <c r="H8669" t="s">
        <v>8588</v>
      </c>
      <c r="I8669">
        <v>365</v>
      </c>
      <c r="J8669" t="s">
        <v>445</v>
      </c>
      <c r="M8669">
        <v>2502</v>
      </c>
      <c r="N8669" t="s">
        <v>16170</v>
      </c>
    </row>
    <row r="8670" spans="1:14">
      <c r="A8670">
        <v>52030602</v>
      </c>
      <c r="B8670">
        <v>3046143</v>
      </c>
      <c r="C8670" t="s">
        <v>17580</v>
      </c>
      <c r="D8670" t="s">
        <v>441</v>
      </c>
      <c r="F8670">
        <v>0</v>
      </c>
      <c r="G8670">
        <v>11.49</v>
      </c>
      <c r="H8670" t="s">
        <v>8588</v>
      </c>
      <c r="I8670">
        <v>4</v>
      </c>
      <c r="J8670" t="s">
        <v>445</v>
      </c>
      <c r="M8670">
        <v>2510</v>
      </c>
      <c r="N8670" t="s">
        <v>16170</v>
      </c>
    </row>
    <row r="8671" spans="1:14">
      <c r="A8671">
        <v>52034000</v>
      </c>
      <c r="B8671">
        <v>3045547</v>
      </c>
      <c r="C8671" t="s">
        <v>16469</v>
      </c>
      <c r="D8671" t="s">
        <v>441</v>
      </c>
      <c r="F8671">
        <v>0</v>
      </c>
      <c r="G8671">
        <v>10.88</v>
      </c>
      <c r="H8671" t="s">
        <v>8549</v>
      </c>
      <c r="I8671">
        <v>3</v>
      </c>
      <c r="J8671" t="s">
        <v>445</v>
      </c>
      <c r="M8671">
        <v>3113</v>
      </c>
      <c r="N8671" t="s">
        <v>16170</v>
      </c>
    </row>
    <row r="8672" spans="1:14">
      <c r="A8672">
        <v>52034002</v>
      </c>
      <c r="B8672">
        <v>3045559</v>
      </c>
      <c r="C8672" t="s">
        <v>16470</v>
      </c>
      <c r="D8672" t="s">
        <v>441</v>
      </c>
      <c r="F8672">
        <v>0</v>
      </c>
      <c r="G8672">
        <v>11.59</v>
      </c>
      <c r="H8672" t="s">
        <v>8588</v>
      </c>
      <c r="I8672">
        <v>365</v>
      </c>
      <c r="J8672" t="s">
        <v>445</v>
      </c>
      <c r="M8672">
        <v>7111</v>
      </c>
      <c r="N8672" t="s">
        <v>16170</v>
      </c>
    </row>
    <row r="8673" spans="1:14">
      <c r="A8673">
        <v>52034502</v>
      </c>
      <c r="B8673">
        <v>3045556</v>
      </c>
      <c r="C8673" t="s">
        <v>16471</v>
      </c>
      <c r="D8673" t="s">
        <v>441</v>
      </c>
      <c r="F8673">
        <v>0</v>
      </c>
      <c r="G8673">
        <v>11.02</v>
      </c>
      <c r="H8673" t="s">
        <v>8588</v>
      </c>
      <c r="I8673">
        <v>365</v>
      </c>
      <c r="J8673" t="s">
        <v>445</v>
      </c>
      <c r="M8673">
        <v>2502</v>
      </c>
      <c r="N8673" t="s">
        <v>16170</v>
      </c>
    </row>
    <row r="8674" spans="1:14">
      <c r="A8674">
        <v>52040000</v>
      </c>
      <c r="B8674">
        <v>3036648</v>
      </c>
      <c r="C8674" t="s">
        <v>15508</v>
      </c>
      <c r="D8674" t="s">
        <v>441</v>
      </c>
      <c r="F8674">
        <v>0</v>
      </c>
      <c r="G8674">
        <v>14.13</v>
      </c>
      <c r="H8674" t="s">
        <v>8549</v>
      </c>
      <c r="I8674">
        <v>4</v>
      </c>
      <c r="J8674" t="s">
        <v>445</v>
      </c>
      <c r="M8674">
        <v>3113</v>
      </c>
      <c r="N8674" t="s">
        <v>16472</v>
      </c>
    </row>
    <row r="8675" spans="1:14">
      <c r="A8675">
        <v>52050000</v>
      </c>
      <c r="B8675">
        <v>3036563</v>
      </c>
      <c r="C8675" t="s">
        <v>15509</v>
      </c>
      <c r="D8675" t="s">
        <v>441</v>
      </c>
      <c r="F8675">
        <v>0</v>
      </c>
      <c r="G8675">
        <v>11.93</v>
      </c>
      <c r="H8675" t="s">
        <v>8549</v>
      </c>
      <c r="I8675">
        <v>4</v>
      </c>
      <c r="J8675" t="s">
        <v>445</v>
      </c>
      <c r="M8675">
        <v>3113</v>
      </c>
      <c r="N8675" t="s">
        <v>16473</v>
      </c>
    </row>
    <row r="8676" spans="1:14">
      <c r="A8676">
        <v>52080000</v>
      </c>
      <c r="B8676">
        <v>3016501</v>
      </c>
      <c r="C8676" t="s">
        <v>12534</v>
      </c>
      <c r="D8676" t="s">
        <v>441</v>
      </c>
      <c r="F8676">
        <v>0</v>
      </c>
      <c r="G8676">
        <v>7.03</v>
      </c>
      <c r="H8676" t="s">
        <v>8580</v>
      </c>
      <c r="I8676">
        <v>4</v>
      </c>
      <c r="J8676" t="s">
        <v>445</v>
      </c>
      <c r="K8676" t="s">
        <v>446</v>
      </c>
      <c r="M8676">
        <v>3122</v>
      </c>
    </row>
    <row r="8677" spans="1:14">
      <c r="A8677">
        <v>52090000</v>
      </c>
      <c r="B8677">
        <v>3037724</v>
      </c>
      <c r="C8677" t="s">
        <v>15510</v>
      </c>
      <c r="D8677" t="s">
        <v>441</v>
      </c>
      <c r="F8677">
        <v>0</v>
      </c>
      <c r="G8677">
        <v>8.43</v>
      </c>
      <c r="H8677" t="s">
        <v>10826</v>
      </c>
      <c r="I8677">
        <v>4</v>
      </c>
      <c r="J8677" t="s">
        <v>445</v>
      </c>
      <c r="M8677">
        <v>3111</v>
      </c>
      <c r="N8677" t="s">
        <v>16474</v>
      </c>
    </row>
    <row r="8678" spans="1:14">
      <c r="A8678">
        <v>52130000</v>
      </c>
      <c r="B8678">
        <v>3016796</v>
      </c>
      <c r="C8678" t="s">
        <v>3707</v>
      </c>
      <c r="D8678" t="s">
        <v>441</v>
      </c>
      <c r="F8678">
        <v>0</v>
      </c>
      <c r="G8678">
        <v>6.54</v>
      </c>
      <c r="H8678" t="s">
        <v>8580</v>
      </c>
      <c r="I8678">
        <v>5</v>
      </c>
      <c r="J8678" t="s">
        <v>445</v>
      </c>
      <c r="M8678">
        <v>3113</v>
      </c>
      <c r="N8678" t="s">
        <v>16475</v>
      </c>
    </row>
    <row r="8679" spans="1:14">
      <c r="A8679">
        <v>52140000</v>
      </c>
      <c r="B8679">
        <v>3040240</v>
      </c>
      <c r="C8679" t="s">
        <v>15511</v>
      </c>
      <c r="D8679" t="s">
        <v>441</v>
      </c>
      <c r="F8679">
        <v>0</v>
      </c>
      <c r="G8679">
        <v>14.01</v>
      </c>
      <c r="H8679" t="s">
        <v>10826</v>
      </c>
      <c r="I8679">
        <v>4</v>
      </c>
      <c r="J8679" t="s">
        <v>445</v>
      </c>
      <c r="M8679">
        <v>3113</v>
      </c>
      <c r="N8679" t="s">
        <v>16417</v>
      </c>
    </row>
    <row r="8680" spans="1:14">
      <c r="A8680">
        <v>52144000</v>
      </c>
      <c r="B8680">
        <v>3040925</v>
      </c>
      <c r="C8680" t="s">
        <v>15450</v>
      </c>
      <c r="D8680" t="s">
        <v>441</v>
      </c>
      <c r="F8680">
        <v>0</v>
      </c>
      <c r="G8680">
        <v>14.01</v>
      </c>
      <c r="H8680" t="s">
        <v>10826</v>
      </c>
      <c r="I8680">
        <v>4</v>
      </c>
      <c r="J8680" t="s">
        <v>445</v>
      </c>
      <c r="M8680">
        <v>3113</v>
      </c>
      <c r="N8680" t="s">
        <v>16431</v>
      </c>
    </row>
    <row r="8681" spans="1:14">
      <c r="A8681">
        <v>52144002</v>
      </c>
      <c r="B8681">
        <v>3044841</v>
      </c>
      <c r="C8681" t="s">
        <v>15512</v>
      </c>
      <c r="D8681" t="s">
        <v>441</v>
      </c>
      <c r="F8681">
        <v>0</v>
      </c>
      <c r="G8681">
        <v>14.73</v>
      </c>
      <c r="H8681" t="s">
        <v>8588</v>
      </c>
      <c r="I8681">
        <v>180</v>
      </c>
      <c r="J8681" t="s">
        <v>445</v>
      </c>
      <c r="M8681">
        <v>7111</v>
      </c>
    </row>
    <row r="8682" spans="1:14">
      <c r="A8682">
        <v>52144502</v>
      </c>
      <c r="B8682">
        <v>3044821</v>
      </c>
      <c r="C8682" t="s">
        <v>15513</v>
      </c>
      <c r="D8682" t="s">
        <v>441</v>
      </c>
      <c r="F8682">
        <v>0</v>
      </c>
      <c r="G8682">
        <v>14.08</v>
      </c>
      <c r="H8682" t="s">
        <v>10826</v>
      </c>
      <c r="I8682">
        <v>180</v>
      </c>
      <c r="J8682" t="s">
        <v>445</v>
      </c>
      <c r="M8682">
        <v>2502</v>
      </c>
    </row>
    <row r="8683" spans="1:14">
      <c r="A8683">
        <v>52144602</v>
      </c>
      <c r="B8683">
        <v>3044844</v>
      </c>
      <c r="C8683" t="s">
        <v>15514</v>
      </c>
      <c r="D8683" t="s">
        <v>441</v>
      </c>
      <c r="F8683">
        <v>0</v>
      </c>
      <c r="G8683">
        <v>15.02</v>
      </c>
      <c r="H8683" t="s">
        <v>8549</v>
      </c>
      <c r="I8683">
        <v>4</v>
      </c>
      <c r="J8683" t="s">
        <v>445</v>
      </c>
      <c r="M8683">
        <v>2510</v>
      </c>
    </row>
    <row r="8684" spans="1:14">
      <c r="A8684">
        <v>52150000</v>
      </c>
      <c r="B8684">
        <v>3040241</v>
      </c>
      <c r="C8684" t="s">
        <v>15515</v>
      </c>
      <c r="D8684" t="s">
        <v>441</v>
      </c>
      <c r="F8684">
        <v>0</v>
      </c>
      <c r="G8684">
        <v>11.84</v>
      </c>
      <c r="H8684" t="s">
        <v>10826</v>
      </c>
      <c r="I8684">
        <v>4</v>
      </c>
      <c r="J8684" t="s">
        <v>445</v>
      </c>
      <c r="M8684">
        <v>3113</v>
      </c>
      <c r="N8684" t="s">
        <v>16418</v>
      </c>
    </row>
    <row r="8685" spans="1:14">
      <c r="A8685">
        <v>52154000</v>
      </c>
      <c r="B8685">
        <v>3040926</v>
      </c>
      <c r="C8685" t="s">
        <v>15451</v>
      </c>
      <c r="D8685" t="s">
        <v>441</v>
      </c>
      <c r="F8685">
        <v>0</v>
      </c>
      <c r="G8685">
        <v>11.84</v>
      </c>
      <c r="H8685" t="s">
        <v>10826</v>
      </c>
      <c r="I8685">
        <v>4</v>
      </c>
      <c r="J8685" t="s">
        <v>445</v>
      </c>
      <c r="M8685">
        <v>3113</v>
      </c>
      <c r="N8685" t="s">
        <v>16418</v>
      </c>
    </row>
    <row r="8686" spans="1:14">
      <c r="A8686">
        <v>52154002</v>
      </c>
      <c r="B8686">
        <v>3044776</v>
      </c>
      <c r="C8686" t="s">
        <v>15516</v>
      </c>
      <c r="D8686" t="s">
        <v>441</v>
      </c>
      <c r="F8686">
        <v>0</v>
      </c>
      <c r="G8686">
        <v>12.53</v>
      </c>
      <c r="H8686" t="s">
        <v>8588</v>
      </c>
      <c r="I8686">
        <v>180</v>
      </c>
      <c r="J8686" t="s">
        <v>445</v>
      </c>
      <c r="M8686">
        <v>7111</v>
      </c>
      <c r="N8686" t="s">
        <v>16418</v>
      </c>
    </row>
    <row r="8687" spans="1:14">
      <c r="A8687">
        <v>52154502</v>
      </c>
      <c r="B8687">
        <v>3044775</v>
      </c>
      <c r="C8687" t="s">
        <v>15517</v>
      </c>
      <c r="D8687" t="s">
        <v>441</v>
      </c>
      <c r="F8687">
        <v>0</v>
      </c>
      <c r="G8687">
        <v>11.9</v>
      </c>
      <c r="H8687" t="s">
        <v>10826</v>
      </c>
      <c r="I8687">
        <v>180</v>
      </c>
      <c r="J8687" t="s">
        <v>445</v>
      </c>
      <c r="M8687">
        <v>2502</v>
      </c>
      <c r="N8687" t="s">
        <v>16418</v>
      </c>
    </row>
    <row r="8688" spans="1:14">
      <c r="A8688">
        <v>52154602</v>
      </c>
      <c r="B8688">
        <v>3044845</v>
      </c>
      <c r="C8688" t="s">
        <v>15518</v>
      </c>
      <c r="D8688" t="s">
        <v>441</v>
      </c>
      <c r="F8688">
        <v>0</v>
      </c>
      <c r="G8688">
        <v>12.68</v>
      </c>
      <c r="H8688" t="s">
        <v>10826</v>
      </c>
      <c r="I8688">
        <v>4</v>
      </c>
      <c r="J8688" t="s">
        <v>445</v>
      </c>
      <c r="M8688">
        <v>2510</v>
      </c>
      <c r="N8688" t="s">
        <v>16418</v>
      </c>
    </row>
    <row r="8689" spans="1:14">
      <c r="A8689">
        <v>52160000</v>
      </c>
      <c r="B8689">
        <v>3008855</v>
      </c>
      <c r="C8689" t="s">
        <v>12535</v>
      </c>
      <c r="D8689" t="s">
        <v>441</v>
      </c>
      <c r="F8689">
        <v>0</v>
      </c>
      <c r="G8689">
        <v>5.26</v>
      </c>
      <c r="H8689" t="s">
        <v>8580</v>
      </c>
      <c r="I8689">
        <v>5</v>
      </c>
      <c r="J8689" t="s">
        <v>445</v>
      </c>
      <c r="K8689" t="s">
        <v>446</v>
      </c>
      <c r="M8689">
        <v>3132</v>
      </c>
    </row>
    <row r="8690" spans="1:14">
      <c r="A8690">
        <v>52174000</v>
      </c>
      <c r="B8690">
        <v>3042736</v>
      </c>
      <c r="C8690" t="s">
        <v>15519</v>
      </c>
      <c r="D8690" t="s">
        <v>441</v>
      </c>
      <c r="F8690">
        <v>0</v>
      </c>
      <c r="G8690">
        <v>8.4600000000000009</v>
      </c>
      <c r="H8690" t="s">
        <v>10826</v>
      </c>
      <c r="I8690">
        <v>4</v>
      </c>
      <c r="J8690" t="s">
        <v>445</v>
      </c>
      <c r="M8690">
        <v>3113</v>
      </c>
      <c r="N8690" t="s">
        <v>16474</v>
      </c>
    </row>
    <row r="8691" spans="1:14">
      <c r="A8691">
        <v>52180000</v>
      </c>
      <c r="B8691">
        <v>3008191</v>
      </c>
      <c r="C8691" t="s">
        <v>12536</v>
      </c>
      <c r="D8691" t="s">
        <v>441</v>
      </c>
      <c r="F8691">
        <v>0</v>
      </c>
      <c r="G8691">
        <v>6.23</v>
      </c>
      <c r="I8691">
        <v>10</v>
      </c>
      <c r="J8691" t="s">
        <v>445</v>
      </c>
      <c r="K8691" t="s">
        <v>446</v>
      </c>
      <c r="M8691">
        <v>3132</v>
      </c>
    </row>
    <row r="8692" spans="1:14">
      <c r="A8692">
        <v>52190000</v>
      </c>
      <c r="B8692">
        <v>3037404</v>
      </c>
      <c r="C8692" t="s">
        <v>3708</v>
      </c>
      <c r="D8692" t="s">
        <v>441</v>
      </c>
      <c r="F8692">
        <v>0</v>
      </c>
      <c r="G8692">
        <v>4.96</v>
      </c>
      <c r="H8692" t="s">
        <v>8549</v>
      </c>
      <c r="I8692">
        <v>4</v>
      </c>
      <c r="J8692" t="s">
        <v>445</v>
      </c>
      <c r="K8692" t="s">
        <v>446</v>
      </c>
      <c r="M8692">
        <v>3111</v>
      </c>
      <c r="N8692" t="s">
        <v>16202</v>
      </c>
    </row>
    <row r="8693" spans="1:14">
      <c r="A8693">
        <v>52230000</v>
      </c>
      <c r="B8693">
        <v>3016725</v>
      </c>
      <c r="C8693" t="s">
        <v>3709</v>
      </c>
      <c r="D8693" t="s">
        <v>441</v>
      </c>
      <c r="F8693">
        <v>0</v>
      </c>
      <c r="G8693">
        <v>8.24</v>
      </c>
      <c r="H8693" t="s">
        <v>8634</v>
      </c>
      <c r="I8693">
        <v>3</v>
      </c>
      <c r="J8693" t="s">
        <v>445</v>
      </c>
      <c r="K8693" t="s">
        <v>446</v>
      </c>
      <c r="M8693">
        <v>3122</v>
      </c>
    </row>
    <row r="8694" spans="1:14">
      <c r="A8694">
        <v>52230027</v>
      </c>
      <c r="B8694">
        <v>3009419</v>
      </c>
      <c r="C8694" t="s">
        <v>3710</v>
      </c>
      <c r="D8694" t="s">
        <v>441</v>
      </c>
      <c r="F8694">
        <v>0</v>
      </c>
      <c r="G8694">
        <v>8.75</v>
      </c>
      <c r="H8694" t="s">
        <v>8580</v>
      </c>
      <c r="I8694">
        <v>365</v>
      </c>
      <c r="J8694" t="s">
        <v>445</v>
      </c>
      <c r="K8694" t="s">
        <v>446</v>
      </c>
      <c r="M8694">
        <v>2501</v>
      </c>
    </row>
    <row r="8695" spans="1:14">
      <c r="A8695">
        <v>52230527</v>
      </c>
      <c r="B8695">
        <v>3009420</v>
      </c>
      <c r="C8695" t="s">
        <v>3711</v>
      </c>
      <c r="D8695" t="s">
        <v>441</v>
      </c>
      <c r="F8695">
        <v>0</v>
      </c>
      <c r="G8695">
        <v>8.5500000000000007</v>
      </c>
      <c r="H8695" t="s">
        <v>8584</v>
      </c>
      <c r="I8695">
        <v>365</v>
      </c>
      <c r="J8695" t="s">
        <v>445</v>
      </c>
      <c r="K8695" t="s">
        <v>446</v>
      </c>
      <c r="M8695">
        <v>2641</v>
      </c>
    </row>
    <row r="8696" spans="1:14">
      <c r="A8696">
        <v>52230627</v>
      </c>
      <c r="B8696">
        <v>3009418</v>
      </c>
      <c r="C8696" t="s">
        <v>3712</v>
      </c>
      <c r="D8696" t="s">
        <v>441</v>
      </c>
      <c r="F8696">
        <v>0</v>
      </c>
      <c r="G8696">
        <v>9.1300000000000008</v>
      </c>
      <c r="H8696" t="s">
        <v>8580</v>
      </c>
      <c r="I8696">
        <v>4</v>
      </c>
      <c r="J8696" t="s">
        <v>445</v>
      </c>
      <c r="K8696" t="s">
        <v>446</v>
      </c>
      <c r="M8696">
        <v>2511</v>
      </c>
    </row>
    <row r="8697" spans="1:14">
      <c r="A8697">
        <v>52240000</v>
      </c>
      <c r="B8697">
        <v>3040287</v>
      </c>
      <c r="C8697" t="s">
        <v>15520</v>
      </c>
      <c r="D8697" t="s">
        <v>441</v>
      </c>
      <c r="F8697">
        <v>0</v>
      </c>
      <c r="G8697">
        <v>13.83</v>
      </c>
      <c r="H8697" t="s">
        <v>10826</v>
      </c>
      <c r="I8697">
        <v>4</v>
      </c>
      <c r="J8697" t="s">
        <v>445</v>
      </c>
      <c r="M8697">
        <v>3113</v>
      </c>
      <c r="N8697" t="s">
        <v>16417</v>
      </c>
    </row>
    <row r="8698" spans="1:14">
      <c r="A8698">
        <v>52250000</v>
      </c>
      <c r="B8698">
        <v>3040286</v>
      </c>
      <c r="C8698" t="s">
        <v>15521</v>
      </c>
      <c r="D8698" t="s">
        <v>441</v>
      </c>
      <c r="F8698">
        <v>0</v>
      </c>
      <c r="G8698">
        <v>11.58</v>
      </c>
      <c r="H8698" t="s">
        <v>10826</v>
      </c>
      <c r="I8698">
        <v>4</v>
      </c>
      <c r="J8698" t="s">
        <v>445</v>
      </c>
      <c r="M8698">
        <v>3113</v>
      </c>
      <c r="N8698" t="s">
        <v>16418</v>
      </c>
    </row>
    <row r="8699" spans="1:14">
      <c r="A8699">
        <v>52260000</v>
      </c>
      <c r="B8699">
        <v>3040376</v>
      </c>
      <c r="C8699" t="s">
        <v>15455</v>
      </c>
      <c r="D8699" t="s">
        <v>441</v>
      </c>
      <c r="F8699">
        <v>0</v>
      </c>
      <c r="G8699">
        <v>16.05</v>
      </c>
      <c r="H8699" t="s">
        <v>10826</v>
      </c>
      <c r="I8699">
        <v>4</v>
      </c>
      <c r="J8699" t="s">
        <v>445</v>
      </c>
      <c r="M8699">
        <v>3113</v>
      </c>
      <c r="N8699" t="s">
        <v>16476</v>
      </c>
    </row>
    <row r="8700" spans="1:14">
      <c r="A8700">
        <v>52260002</v>
      </c>
      <c r="B8700">
        <v>3044767</v>
      </c>
      <c r="C8700" t="s">
        <v>15522</v>
      </c>
      <c r="D8700" t="s">
        <v>441</v>
      </c>
      <c r="F8700">
        <v>0</v>
      </c>
      <c r="G8700">
        <v>16.79</v>
      </c>
      <c r="H8700" t="s">
        <v>8588</v>
      </c>
      <c r="I8700">
        <v>180</v>
      </c>
      <c r="J8700" t="s">
        <v>445</v>
      </c>
      <c r="M8700">
        <v>7111</v>
      </c>
      <c r="N8700" t="s">
        <v>16476</v>
      </c>
    </row>
    <row r="8701" spans="1:14">
      <c r="A8701">
        <v>52260502</v>
      </c>
      <c r="B8701">
        <v>3044742</v>
      </c>
      <c r="C8701" t="s">
        <v>15432</v>
      </c>
      <c r="D8701" t="s">
        <v>441</v>
      </c>
      <c r="F8701">
        <v>0</v>
      </c>
      <c r="G8701">
        <v>13.03</v>
      </c>
      <c r="H8701" t="s">
        <v>10826</v>
      </c>
      <c r="I8701">
        <v>180</v>
      </c>
      <c r="J8701" t="s">
        <v>445</v>
      </c>
      <c r="M8701">
        <v>2502</v>
      </c>
      <c r="N8701" t="s">
        <v>16476</v>
      </c>
    </row>
    <row r="8702" spans="1:14">
      <c r="A8702">
        <v>52260602</v>
      </c>
      <c r="B8702">
        <v>3044752</v>
      </c>
      <c r="C8702" t="s">
        <v>15668</v>
      </c>
      <c r="D8702" t="s">
        <v>441</v>
      </c>
      <c r="F8702">
        <v>0</v>
      </c>
      <c r="G8702">
        <v>16.829999999999998</v>
      </c>
      <c r="H8702" t="s">
        <v>8549</v>
      </c>
      <c r="I8702">
        <v>4</v>
      </c>
      <c r="J8702" t="s">
        <v>445</v>
      </c>
      <c r="M8702">
        <v>2510</v>
      </c>
      <c r="N8702" t="s">
        <v>16476</v>
      </c>
    </row>
    <row r="8703" spans="1:14">
      <c r="A8703">
        <v>52260902</v>
      </c>
      <c r="B8703">
        <v>3045272</v>
      </c>
      <c r="C8703" t="s">
        <v>15669</v>
      </c>
      <c r="D8703" t="s">
        <v>441</v>
      </c>
      <c r="F8703">
        <v>0</v>
      </c>
      <c r="G8703">
        <v>16.829999999999998</v>
      </c>
      <c r="H8703" t="s">
        <v>8549</v>
      </c>
      <c r="I8703">
        <v>4</v>
      </c>
      <c r="J8703" t="s">
        <v>445</v>
      </c>
      <c r="K8703" t="s">
        <v>446</v>
      </c>
      <c r="M8703">
        <v>6666</v>
      </c>
      <c r="N8703" t="s">
        <v>16476</v>
      </c>
    </row>
    <row r="8704" spans="1:14">
      <c r="A8704">
        <v>52264000</v>
      </c>
      <c r="B8704">
        <v>3041921</v>
      </c>
      <c r="C8704" t="s">
        <v>15452</v>
      </c>
      <c r="D8704" t="s">
        <v>441</v>
      </c>
      <c r="F8704">
        <v>0</v>
      </c>
      <c r="G8704">
        <v>16.05</v>
      </c>
      <c r="H8704" t="s">
        <v>10826</v>
      </c>
      <c r="I8704">
        <v>4</v>
      </c>
      <c r="J8704" t="s">
        <v>445</v>
      </c>
      <c r="M8704">
        <v>3113</v>
      </c>
      <c r="N8704" t="s">
        <v>16476</v>
      </c>
    </row>
    <row r="8705" spans="1:14">
      <c r="A8705">
        <v>52264002</v>
      </c>
      <c r="B8705">
        <v>3044777</v>
      </c>
      <c r="C8705" t="s">
        <v>15523</v>
      </c>
      <c r="D8705" t="s">
        <v>441</v>
      </c>
      <c r="F8705">
        <v>0</v>
      </c>
      <c r="G8705">
        <v>16.79</v>
      </c>
      <c r="H8705" t="s">
        <v>8588</v>
      </c>
      <c r="I8705">
        <v>180</v>
      </c>
      <c r="J8705" t="s">
        <v>445</v>
      </c>
      <c r="M8705">
        <v>7111</v>
      </c>
      <c r="N8705" t="s">
        <v>16476</v>
      </c>
    </row>
    <row r="8706" spans="1:14">
      <c r="A8706">
        <v>52264502</v>
      </c>
      <c r="B8706">
        <v>3044842</v>
      </c>
      <c r="C8706" t="s">
        <v>15524</v>
      </c>
      <c r="D8706" t="s">
        <v>441</v>
      </c>
      <c r="F8706">
        <v>0</v>
      </c>
      <c r="G8706">
        <v>16.13</v>
      </c>
      <c r="H8706" t="s">
        <v>10826</v>
      </c>
      <c r="I8706">
        <v>180</v>
      </c>
      <c r="J8706" t="s">
        <v>445</v>
      </c>
      <c r="M8706">
        <v>2502</v>
      </c>
      <c r="N8706" t="s">
        <v>16476</v>
      </c>
    </row>
    <row r="8707" spans="1:14">
      <c r="A8707">
        <v>52264602</v>
      </c>
      <c r="B8707">
        <v>3044778</v>
      </c>
      <c r="C8707" t="s">
        <v>15525</v>
      </c>
      <c r="D8707" t="s">
        <v>441</v>
      </c>
      <c r="F8707">
        <v>0</v>
      </c>
      <c r="G8707">
        <v>16.829999999999998</v>
      </c>
      <c r="H8707" t="s">
        <v>8549</v>
      </c>
      <c r="I8707">
        <v>4</v>
      </c>
      <c r="J8707" t="s">
        <v>445</v>
      </c>
      <c r="M8707">
        <v>2510</v>
      </c>
      <c r="N8707" t="s">
        <v>16476</v>
      </c>
    </row>
    <row r="8708" spans="1:14">
      <c r="A8708">
        <v>52274000</v>
      </c>
      <c r="B8708">
        <v>3045789</v>
      </c>
      <c r="C8708" t="s">
        <v>17581</v>
      </c>
      <c r="D8708" t="s">
        <v>441</v>
      </c>
      <c r="F8708">
        <v>0</v>
      </c>
      <c r="G8708">
        <v>8.49</v>
      </c>
      <c r="H8708" t="s">
        <v>10826</v>
      </c>
      <c r="I8708">
        <v>2</v>
      </c>
      <c r="J8708" t="s">
        <v>445</v>
      </c>
      <c r="M8708">
        <v>0</v>
      </c>
    </row>
    <row r="8709" spans="1:14">
      <c r="A8709">
        <v>52280000</v>
      </c>
      <c r="B8709">
        <v>3016502</v>
      </c>
      <c r="C8709" t="s">
        <v>12537</v>
      </c>
      <c r="D8709" t="s">
        <v>441</v>
      </c>
      <c r="F8709">
        <v>0</v>
      </c>
      <c r="G8709">
        <v>5.89</v>
      </c>
      <c r="H8709" t="s">
        <v>8580</v>
      </c>
      <c r="I8709">
        <v>1</v>
      </c>
      <c r="J8709" t="s">
        <v>445</v>
      </c>
      <c r="K8709" t="s">
        <v>446</v>
      </c>
      <c r="M8709">
        <v>3132</v>
      </c>
    </row>
    <row r="8710" spans="1:14">
      <c r="A8710">
        <v>52390000</v>
      </c>
      <c r="B8710">
        <v>3016503</v>
      </c>
      <c r="C8710" t="s">
        <v>3713</v>
      </c>
      <c r="D8710" t="s">
        <v>441</v>
      </c>
      <c r="F8710">
        <v>0</v>
      </c>
      <c r="G8710">
        <v>6.51</v>
      </c>
      <c r="H8710" t="s">
        <v>8580</v>
      </c>
      <c r="I8710">
        <v>3</v>
      </c>
      <c r="J8710" t="s">
        <v>445</v>
      </c>
      <c r="K8710" t="s">
        <v>446</v>
      </c>
      <c r="M8710">
        <v>3122</v>
      </c>
    </row>
    <row r="8711" spans="1:14">
      <c r="A8711">
        <v>52450000</v>
      </c>
      <c r="B8711">
        <v>3016504</v>
      </c>
      <c r="C8711" t="s">
        <v>12538</v>
      </c>
      <c r="D8711" t="s">
        <v>441</v>
      </c>
      <c r="F8711">
        <v>0</v>
      </c>
      <c r="G8711">
        <v>3.11</v>
      </c>
      <c r="H8711" t="s">
        <v>8580</v>
      </c>
      <c r="I8711">
        <v>8</v>
      </c>
      <c r="J8711" t="s">
        <v>445</v>
      </c>
      <c r="M8711">
        <v>3111</v>
      </c>
      <c r="N8711" t="s">
        <v>16477</v>
      </c>
    </row>
    <row r="8712" spans="1:14">
      <c r="A8712">
        <v>52470000</v>
      </c>
      <c r="B8712">
        <v>3016505</v>
      </c>
      <c r="C8712" t="s">
        <v>14524</v>
      </c>
      <c r="D8712" t="s">
        <v>441</v>
      </c>
      <c r="F8712">
        <v>0</v>
      </c>
      <c r="G8712">
        <v>3.23</v>
      </c>
      <c r="H8712" t="s">
        <v>8580</v>
      </c>
      <c r="I8712">
        <v>4</v>
      </c>
      <c r="J8712" t="s">
        <v>445</v>
      </c>
      <c r="M8712">
        <v>3111</v>
      </c>
      <c r="N8712" t="s">
        <v>16478</v>
      </c>
    </row>
    <row r="8713" spans="1:14">
      <c r="A8713">
        <v>52474000</v>
      </c>
      <c r="B8713">
        <v>3040382</v>
      </c>
      <c r="C8713" t="s">
        <v>14525</v>
      </c>
      <c r="D8713" t="s">
        <v>441</v>
      </c>
      <c r="F8713">
        <v>0</v>
      </c>
      <c r="G8713">
        <v>3.23</v>
      </c>
      <c r="H8713" t="s">
        <v>8935</v>
      </c>
      <c r="I8713">
        <v>4</v>
      </c>
      <c r="J8713" t="s">
        <v>445</v>
      </c>
      <c r="M8713">
        <v>3111</v>
      </c>
      <c r="N8713" t="s">
        <v>16478</v>
      </c>
    </row>
    <row r="8714" spans="1:14">
      <c r="A8714">
        <v>52500000</v>
      </c>
      <c r="B8714">
        <v>3016506</v>
      </c>
      <c r="C8714" t="s">
        <v>12539</v>
      </c>
      <c r="D8714" t="s">
        <v>441</v>
      </c>
      <c r="F8714">
        <v>0</v>
      </c>
      <c r="G8714">
        <v>2.59</v>
      </c>
      <c r="H8714" t="s">
        <v>8580</v>
      </c>
      <c r="I8714">
        <v>1</v>
      </c>
      <c r="J8714" t="s">
        <v>445</v>
      </c>
      <c r="K8714" t="s">
        <v>446</v>
      </c>
      <c r="M8714">
        <v>3132</v>
      </c>
    </row>
    <row r="8715" spans="1:14">
      <c r="A8715">
        <v>52510000</v>
      </c>
      <c r="B8715">
        <v>3016507</v>
      </c>
      <c r="C8715" t="s">
        <v>12540</v>
      </c>
      <c r="D8715" t="s">
        <v>441</v>
      </c>
      <c r="F8715">
        <v>0</v>
      </c>
      <c r="G8715">
        <v>9.14</v>
      </c>
      <c r="H8715" t="s">
        <v>8580</v>
      </c>
      <c r="I8715">
        <v>3</v>
      </c>
      <c r="J8715" t="s">
        <v>445</v>
      </c>
      <c r="M8715">
        <v>3112</v>
      </c>
      <c r="N8715" t="s">
        <v>16479</v>
      </c>
    </row>
    <row r="8716" spans="1:14">
      <c r="A8716">
        <v>52510002</v>
      </c>
      <c r="B8716">
        <v>3009329</v>
      </c>
      <c r="C8716" t="s">
        <v>12541</v>
      </c>
      <c r="D8716" t="s">
        <v>441</v>
      </c>
      <c r="F8716">
        <v>0</v>
      </c>
      <c r="G8716">
        <v>9.74</v>
      </c>
      <c r="H8716" t="s">
        <v>8588</v>
      </c>
      <c r="I8716">
        <v>180</v>
      </c>
      <c r="J8716" t="s">
        <v>445</v>
      </c>
      <c r="M8716">
        <v>7111</v>
      </c>
      <c r="N8716" t="s">
        <v>16479</v>
      </c>
    </row>
    <row r="8717" spans="1:14">
      <c r="A8717">
        <v>52510502</v>
      </c>
      <c r="B8717">
        <v>3009326</v>
      </c>
      <c r="C8717" t="s">
        <v>12542</v>
      </c>
      <c r="D8717" t="s">
        <v>441</v>
      </c>
      <c r="F8717">
        <v>0</v>
      </c>
      <c r="G8717">
        <v>9.18</v>
      </c>
      <c r="H8717" t="s">
        <v>8634</v>
      </c>
      <c r="I8717">
        <v>6</v>
      </c>
      <c r="J8717" t="s">
        <v>445</v>
      </c>
      <c r="M8717">
        <v>2502</v>
      </c>
      <c r="N8717" t="s">
        <v>16479</v>
      </c>
    </row>
    <row r="8718" spans="1:14">
      <c r="A8718">
        <v>52510602</v>
      </c>
      <c r="B8718">
        <v>3009325</v>
      </c>
      <c r="C8718" t="s">
        <v>12543</v>
      </c>
      <c r="D8718" t="s">
        <v>441</v>
      </c>
      <c r="F8718">
        <v>0</v>
      </c>
      <c r="G8718">
        <v>9.9499999999999993</v>
      </c>
      <c r="H8718" t="s">
        <v>8634</v>
      </c>
      <c r="I8718">
        <v>4</v>
      </c>
      <c r="J8718" t="s">
        <v>445</v>
      </c>
      <c r="M8718">
        <v>2510</v>
      </c>
      <c r="N8718" t="s">
        <v>16479</v>
      </c>
    </row>
    <row r="8719" spans="1:14">
      <c r="A8719">
        <v>52520000</v>
      </c>
      <c r="B8719">
        <v>3016743</v>
      </c>
      <c r="C8719" t="s">
        <v>12544</v>
      </c>
      <c r="D8719" t="s">
        <v>441</v>
      </c>
      <c r="F8719">
        <v>0</v>
      </c>
      <c r="G8719">
        <v>13.88</v>
      </c>
      <c r="H8719" t="s">
        <v>8634</v>
      </c>
      <c r="I8719">
        <v>6</v>
      </c>
      <c r="J8719" t="s">
        <v>445</v>
      </c>
      <c r="M8719">
        <v>3113</v>
      </c>
      <c r="N8719" t="s">
        <v>16480</v>
      </c>
    </row>
    <row r="8720" spans="1:14">
      <c r="A8720">
        <v>52530000</v>
      </c>
      <c r="B8720">
        <v>3018249</v>
      </c>
      <c r="C8720" t="s">
        <v>3714</v>
      </c>
      <c r="D8720" t="s">
        <v>441</v>
      </c>
      <c r="F8720">
        <v>0</v>
      </c>
      <c r="G8720">
        <v>8.8800000000000008</v>
      </c>
      <c r="I8720">
        <v>6</v>
      </c>
      <c r="J8720" t="s">
        <v>445</v>
      </c>
      <c r="M8720">
        <v>3112</v>
      </c>
      <c r="N8720" t="s">
        <v>16230</v>
      </c>
    </row>
    <row r="8721" spans="1:13">
      <c r="A8721">
        <v>52540000</v>
      </c>
      <c r="B8721">
        <v>3018270</v>
      </c>
      <c r="C8721" t="s">
        <v>15601</v>
      </c>
      <c r="D8721" t="s">
        <v>441</v>
      </c>
      <c r="F8721">
        <v>0</v>
      </c>
      <c r="G8721">
        <v>17.23</v>
      </c>
      <c r="H8721" t="s">
        <v>8580</v>
      </c>
      <c r="I8721">
        <v>6</v>
      </c>
      <c r="J8721" t="s">
        <v>445</v>
      </c>
      <c r="M8721">
        <v>3112</v>
      </c>
    </row>
    <row r="8722" spans="1:13">
      <c r="A8722">
        <v>52540002</v>
      </c>
      <c r="B8722">
        <v>3026764</v>
      </c>
      <c r="C8722" t="s">
        <v>12545</v>
      </c>
      <c r="D8722" t="s">
        <v>441</v>
      </c>
      <c r="F8722">
        <v>0</v>
      </c>
      <c r="G8722">
        <v>11.65</v>
      </c>
      <c r="H8722" t="s">
        <v>8588</v>
      </c>
      <c r="I8722">
        <v>365</v>
      </c>
      <c r="J8722" t="s">
        <v>445</v>
      </c>
      <c r="K8722" t="s">
        <v>446</v>
      </c>
      <c r="M8722">
        <v>2501</v>
      </c>
    </row>
    <row r="8723" spans="1:13">
      <c r="A8723">
        <v>52540502</v>
      </c>
      <c r="B8723">
        <v>3026748</v>
      </c>
      <c r="C8723" t="s">
        <v>12546</v>
      </c>
      <c r="D8723" t="s">
        <v>441</v>
      </c>
      <c r="F8723">
        <v>0</v>
      </c>
      <c r="G8723">
        <v>10.52</v>
      </c>
      <c r="H8723" t="s">
        <v>12547</v>
      </c>
      <c r="I8723">
        <v>6</v>
      </c>
      <c r="J8723" t="s">
        <v>445</v>
      </c>
      <c r="K8723" t="s">
        <v>446</v>
      </c>
      <c r="M8723">
        <v>3731</v>
      </c>
    </row>
    <row r="8724" spans="1:13">
      <c r="A8724">
        <v>52540602</v>
      </c>
      <c r="B8724">
        <v>3026782</v>
      </c>
      <c r="C8724" t="s">
        <v>12548</v>
      </c>
      <c r="D8724" t="s">
        <v>441</v>
      </c>
      <c r="F8724">
        <v>0</v>
      </c>
      <c r="G8724">
        <v>12.1</v>
      </c>
      <c r="H8724" t="s">
        <v>12547</v>
      </c>
      <c r="I8724">
        <v>4</v>
      </c>
      <c r="J8724" t="s">
        <v>445</v>
      </c>
      <c r="K8724" t="s">
        <v>446</v>
      </c>
      <c r="M8724">
        <v>2511</v>
      </c>
    </row>
    <row r="8725" spans="1:13">
      <c r="A8725">
        <v>52570000</v>
      </c>
      <c r="B8725">
        <v>3015419</v>
      </c>
      <c r="C8725" t="s">
        <v>12549</v>
      </c>
      <c r="D8725" t="s">
        <v>441</v>
      </c>
      <c r="F8725">
        <v>0</v>
      </c>
      <c r="G8725">
        <v>5.29</v>
      </c>
      <c r="H8725" t="s">
        <v>8580</v>
      </c>
      <c r="I8725">
        <v>3</v>
      </c>
      <c r="J8725" t="s">
        <v>445</v>
      </c>
      <c r="M8725">
        <v>3112</v>
      </c>
    </row>
    <row r="8726" spans="1:13">
      <c r="A8726">
        <v>52580000</v>
      </c>
      <c r="B8726">
        <v>3016508</v>
      </c>
      <c r="C8726" t="s">
        <v>12550</v>
      </c>
      <c r="D8726" t="s">
        <v>441</v>
      </c>
      <c r="F8726">
        <v>0</v>
      </c>
      <c r="G8726">
        <v>9.6</v>
      </c>
      <c r="H8726" t="s">
        <v>8580</v>
      </c>
      <c r="I8726">
        <v>3</v>
      </c>
      <c r="J8726" t="s">
        <v>445</v>
      </c>
      <c r="M8726">
        <v>3112</v>
      </c>
    </row>
    <row r="8727" spans="1:13">
      <c r="A8727">
        <v>52580002</v>
      </c>
      <c r="B8727">
        <v>3026789</v>
      </c>
      <c r="C8727" t="s">
        <v>12551</v>
      </c>
      <c r="D8727" t="s">
        <v>441</v>
      </c>
      <c r="F8727">
        <v>0</v>
      </c>
      <c r="G8727">
        <v>14.61</v>
      </c>
      <c r="H8727" t="s">
        <v>8588</v>
      </c>
      <c r="I8727">
        <v>365</v>
      </c>
      <c r="J8727" t="s">
        <v>445</v>
      </c>
      <c r="K8727" t="s">
        <v>446</v>
      </c>
      <c r="M8727">
        <v>2501</v>
      </c>
    </row>
    <row r="8728" spans="1:13">
      <c r="A8728">
        <v>52580502</v>
      </c>
      <c r="B8728">
        <v>3026788</v>
      </c>
      <c r="C8728" t="s">
        <v>12552</v>
      </c>
      <c r="D8728" t="s">
        <v>441</v>
      </c>
      <c r="F8728">
        <v>0</v>
      </c>
      <c r="G8728">
        <v>13.61</v>
      </c>
      <c r="H8728" t="s">
        <v>12547</v>
      </c>
      <c r="I8728">
        <v>6</v>
      </c>
      <c r="J8728" t="s">
        <v>445</v>
      </c>
      <c r="K8728" t="s">
        <v>446</v>
      </c>
      <c r="M8728">
        <v>2641</v>
      </c>
    </row>
    <row r="8729" spans="1:13">
      <c r="A8729">
        <v>52580602</v>
      </c>
      <c r="B8729">
        <v>3026787</v>
      </c>
      <c r="C8729" t="s">
        <v>12553</v>
      </c>
      <c r="D8729" t="s">
        <v>441</v>
      </c>
      <c r="F8729">
        <v>0</v>
      </c>
      <c r="G8729">
        <v>14.95</v>
      </c>
      <c r="H8729" t="s">
        <v>12547</v>
      </c>
      <c r="I8729">
        <v>4</v>
      </c>
      <c r="J8729" t="s">
        <v>445</v>
      </c>
      <c r="K8729" t="s">
        <v>446</v>
      </c>
      <c r="M8729">
        <v>2511</v>
      </c>
    </row>
    <row r="8730" spans="1:13">
      <c r="A8730">
        <v>52590000</v>
      </c>
      <c r="B8730">
        <v>3026796</v>
      </c>
      <c r="C8730" t="s">
        <v>12554</v>
      </c>
      <c r="D8730" t="s">
        <v>441</v>
      </c>
      <c r="F8730">
        <v>0</v>
      </c>
      <c r="G8730">
        <v>11.65</v>
      </c>
      <c r="H8730" t="s">
        <v>12547</v>
      </c>
      <c r="I8730">
        <v>3</v>
      </c>
      <c r="J8730" t="s">
        <v>445</v>
      </c>
      <c r="K8730" t="s">
        <v>446</v>
      </c>
      <c r="M8730">
        <v>3133</v>
      </c>
    </row>
    <row r="8731" spans="1:13">
      <c r="A8731">
        <v>52590002</v>
      </c>
      <c r="B8731">
        <v>3026798</v>
      </c>
      <c r="C8731" t="s">
        <v>12555</v>
      </c>
      <c r="D8731" t="s">
        <v>441</v>
      </c>
      <c r="F8731">
        <v>0</v>
      </c>
      <c r="G8731">
        <v>12.02</v>
      </c>
      <c r="H8731" t="s">
        <v>12547</v>
      </c>
      <c r="I8731">
        <v>365</v>
      </c>
      <c r="J8731" t="s">
        <v>445</v>
      </c>
      <c r="K8731" t="s">
        <v>446</v>
      </c>
      <c r="M8731">
        <v>2501</v>
      </c>
    </row>
    <row r="8732" spans="1:13">
      <c r="A8732">
        <v>52590502</v>
      </c>
      <c r="B8732">
        <v>3026797</v>
      </c>
      <c r="C8732" t="s">
        <v>12556</v>
      </c>
      <c r="D8732" t="s">
        <v>441</v>
      </c>
      <c r="F8732">
        <v>0</v>
      </c>
      <c r="G8732">
        <v>11.76</v>
      </c>
      <c r="H8732" t="s">
        <v>12547</v>
      </c>
      <c r="I8732">
        <v>6</v>
      </c>
      <c r="J8732" t="s">
        <v>445</v>
      </c>
      <c r="K8732" t="s">
        <v>446</v>
      </c>
      <c r="M8732">
        <v>2641</v>
      </c>
    </row>
    <row r="8733" spans="1:13">
      <c r="A8733">
        <v>52590602</v>
      </c>
      <c r="B8733">
        <v>3026799</v>
      </c>
      <c r="C8733" t="s">
        <v>12557</v>
      </c>
      <c r="D8733" t="s">
        <v>441</v>
      </c>
      <c r="F8733">
        <v>0</v>
      </c>
      <c r="G8733">
        <v>12.35</v>
      </c>
      <c r="H8733" t="s">
        <v>12547</v>
      </c>
      <c r="I8733">
        <v>4</v>
      </c>
      <c r="J8733" t="s">
        <v>445</v>
      </c>
      <c r="K8733" t="s">
        <v>446</v>
      </c>
      <c r="M8733">
        <v>2511</v>
      </c>
    </row>
    <row r="8734" spans="1:13">
      <c r="A8734">
        <v>52600000</v>
      </c>
      <c r="B8734">
        <v>3026800</v>
      </c>
      <c r="C8734" t="s">
        <v>12558</v>
      </c>
      <c r="D8734" t="s">
        <v>441</v>
      </c>
      <c r="F8734">
        <v>0</v>
      </c>
      <c r="G8734">
        <v>2.8</v>
      </c>
      <c r="H8734" t="s">
        <v>12547</v>
      </c>
      <c r="I8734">
        <v>3</v>
      </c>
      <c r="J8734" t="s">
        <v>445</v>
      </c>
      <c r="K8734" t="s">
        <v>446</v>
      </c>
      <c r="M8734">
        <v>3133</v>
      </c>
    </row>
    <row r="8735" spans="1:13">
      <c r="A8735">
        <v>52600002</v>
      </c>
      <c r="B8735">
        <v>3026801</v>
      </c>
      <c r="C8735" t="s">
        <v>12559</v>
      </c>
      <c r="D8735" t="s">
        <v>441</v>
      </c>
      <c r="F8735">
        <v>0</v>
      </c>
      <c r="G8735">
        <v>3.05</v>
      </c>
      <c r="H8735" t="s">
        <v>12547</v>
      </c>
      <c r="I8735">
        <v>365</v>
      </c>
      <c r="J8735" t="s">
        <v>445</v>
      </c>
      <c r="K8735" t="s">
        <v>446</v>
      </c>
      <c r="M8735">
        <v>2501</v>
      </c>
    </row>
    <row r="8736" spans="1:13">
      <c r="A8736">
        <v>52600502</v>
      </c>
      <c r="B8736">
        <v>3026777</v>
      </c>
      <c r="C8736" t="s">
        <v>12560</v>
      </c>
      <c r="D8736" t="s">
        <v>441</v>
      </c>
      <c r="F8736">
        <v>0</v>
      </c>
      <c r="G8736">
        <v>2.83</v>
      </c>
      <c r="H8736" t="s">
        <v>10826</v>
      </c>
      <c r="I8736">
        <v>6</v>
      </c>
      <c r="J8736" t="s">
        <v>445</v>
      </c>
      <c r="K8736" t="s">
        <v>446</v>
      </c>
      <c r="M8736">
        <v>3731</v>
      </c>
    </row>
    <row r="8737" spans="1:14">
      <c r="A8737">
        <v>52600602</v>
      </c>
      <c r="B8737">
        <v>3026795</v>
      </c>
      <c r="C8737" t="s">
        <v>12561</v>
      </c>
      <c r="D8737" t="s">
        <v>441</v>
      </c>
      <c r="F8737">
        <v>0</v>
      </c>
      <c r="G8737">
        <v>3.34</v>
      </c>
      <c r="H8737" t="s">
        <v>12547</v>
      </c>
      <c r="I8737">
        <v>4</v>
      </c>
      <c r="J8737" t="s">
        <v>445</v>
      </c>
      <c r="K8737" t="s">
        <v>446</v>
      </c>
      <c r="M8737">
        <v>2511</v>
      </c>
    </row>
    <row r="8738" spans="1:14">
      <c r="A8738">
        <v>52620000</v>
      </c>
      <c r="B8738">
        <v>3016509</v>
      </c>
      <c r="C8738" t="s">
        <v>12562</v>
      </c>
      <c r="D8738" t="s">
        <v>441</v>
      </c>
      <c r="F8738">
        <v>0</v>
      </c>
      <c r="G8738">
        <v>5.69</v>
      </c>
      <c r="H8738" t="s">
        <v>8580</v>
      </c>
      <c r="I8738">
        <v>3</v>
      </c>
      <c r="J8738" t="s">
        <v>445</v>
      </c>
      <c r="M8738">
        <v>3112</v>
      </c>
      <c r="N8738" t="s">
        <v>16481</v>
      </c>
    </row>
    <row r="8739" spans="1:14">
      <c r="A8739">
        <v>52620002</v>
      </c>
      <c r="B8739">
        <v>3026791</v>
      </c>
      <c r="C8739" t="s">
        <v>12563</v>
      </c>
      <c r="D8739" t="s">
        <v>441</v>
      </c>
      <c r="F8739">
        <v>0</v>
      </c>
      <c r="G8739">
        <v>3.83</v>
      </c>
      <c r="H8739" t="s">
        <v>12547</v>
      </c>
      <c r="I8739">
        <v>365</v>
      </c>
      <c r="J8739" t="s">
        <v>445</v>
      </c>
      <c r="K8739" t="s">
        <v>446</v>
      </c>
      <c r="M8739">
        <v>2501</v>
      </c>
    </row>
    <row r="8740" spans="1:14">
      <c r="A8740">
        <v>52620502</v>
      </c>
      <c r="B8740">
        <v>3026792</v>
      </c>
      <c r="C8740" t="s">
        <v>12564</v>
      </c>
      <c r="D8740" t="s">
        <v>441</v>
      </c>
      <c r="F8740">
        <v>0</v>
      </c>
      <c r="G8740">
        <v>2.76</v>
      </c>
      <c r="H8740" t="s">
        <v>12547</v>
      </c>
      <c r="I8740">
        <v>6</v>
      </c>
      <c r="J8740" t="s">
        <v>445</v>
      </c>
      <c r="K8740" t="s">
        <v>446</v>
      </c>
      <c r="M8740">
        <v>2641</v>
      </c>
    </row>
    <row r="8741" spans="1:14">
      <c r="A8741">
        <v>52620602</v>
      </c>
      <c r="B8741">
        <v>3026790</v>
      </c>
      <c r="C8741" t="s">
        <v>12565</v>
      </c>
      <c r="D8741" t="s">
        <v>441</v>
      </c>
      <c r="F8741">
        <v>0</v>
      </c>
      <c r="G8741">
        <v>4.12</v>
      </c>
      <c r="H8741" t="s">
        <v>12547</v>
      </c>
      <c r="I8741">
        <v>4</v>
      </c>
      <c r="J8741" t="s">
        <v>445</v>
      </c>
      <c r="K8741" t="s">
        <v>446</v>
      </c>
      <c r="M8741">
        <v>2511</v>
      </c>
    </row>
    <row r="8742" spans="1:14">
      <c r="A8742">
        <v>52630000</v>
      </c>
      <c r="B8742">
        <v>3015415</v>
      </c>
      <c r="C8742" t="s">
        <v>14526</v>
      </c>
      <c r="D8742" t="s">
        <v>441</v>
      </c>
      <c r="F8742">
        <v>0</v>
      </c>
      <c r="G8742">
        <v>6.48</v>
      </c>
      <c r="H8742" t="s">
        <v>8580</v>
      </c>
      <c r="I8742">
        <v>3</v>
      </c>
      <c r="J8742" t="s">
        <v>445</v>
      </c>
      <c r="M8742">
        <v>3112</v>
      </c>
      <c r="N8742" t="s">
        <v>16482</v>
      </c>
    </row>
    <row r="8743" spans="1:14">
      <c r="A8743">
        <v>52630002</v>
      </c>
      <c r="B8743">
        <v>3026784</v>
      </c>
      <c r="C8743" t="s">
        <v>12566</v>
      </c>
      <c r="D8743" t="s">
        <v>441</v>
      </c>
      <c r="F8743">
        <v>0</v>
      </c>
      <c r="G8743">
        <v>4.25</v>
      </c>
      <c r="H8743" t="s">
        <v>8588</v>
      </c>
      <c r="I8743">
        <v>365</v>
      </c>
      <c r="J8743" t="s">
        <v>445</v>
      </c>
      <c r="K8743" t="s">
        <v>446</v>
      </c>
      <c r="M8743">
        <v>2501</v>
      </c>
    </row>
    <row r="8744" spans="1:14">
      <c r="A8744">
        <v>52630502</v>
      </c>
      <c r="B8744">
        <v>3026785</v>
      </c>
      <c r="C8744" t="s">
        <v>12567</v>
      </c>
      <c r="D8744" t="s">
        <v>441</v>
      </c>
      <c r="F8744">
        <v>0</v>
      </c>
      <c r="G8744">
        <v>3.18</v>
      </c>
      <c r="H8744" t="s">
        <v>12547</v>
      </c>
      <c r="I8744">
        <v>6</v>
      </c>
      <c r="J8744" t="s">
        <v>445</v>
      </c>
      <c r="K8744" t="s">
        <v>446</v>
      </c>
      <c r="M8744">
        <v>2641</v>
      </c>
    </row>
    <row r="8745" spans="1:14">
      <c r="A8745">
        <v>52630602</v>
      </c>
      <c r="B8745">
        <v>3026786</v>
      </c>
      <c r="C8745" t="s">
        <v>12568</v>
      </c>
      <c r="D8745" t="s">
        <v>441</v>
      </c>
      <c r="F8745">
        <v>0</v>
      </c>
      <c r="G8745">
        <v>4.54</v>
      </c>
      <c r="H8745" t="s">
        <v>12547</v>
      </c>
      <c r="I8745">
        <v>4</v>
      </c>
      <c r="J8745" t="s">
        <v>445</v>
      </c>
      <c r="K8745" t="s">
        <v>446</v>
      </c>
      <c r="M8745">
        <v>2511</v>
      </c>
    </row>
    <row r="8746" spans="1:14">
      <c r="A8746">
        <v>52650000</v>
      </c>
      <c r="B8746">
        <v>3016741</v>
      </c>
      <c r="C8746" t="s">
        <v>3715</v>
      </c>
      <c r="D8746" t="s">
        <v>441</v>
      </c>
      <c r="F8746">
        <v>0</v>
      </c>
      <c r="G8746">
        <v>12.22</v>
      </c>
      <c r="H8746" t="s">
        <v>8634</v>
      </c>
      <c r="I8746">
        <v>3</v>
      </c>
      <c r="J8746" t="s">
        <v>445</v>
      </c>
      <c r="M8746">
        <v>3112</v>
      </c>
    </row>
    <row r="8747" spans="1:14">
      <c r="A8747">
        <v>52660000</v>
      </c>
      <c r="B8747">
        <v>3016766</v>
      </c>
      <c r="C8747" t="s">
        <v>17582</v>
      </c>
      <c r="D8747" t="s">
        <v>441</v>
      </c>
      <c r="F8747">
        <v>0</v>
      </c>
      <c r="G8747">
        <v>5.38</v>
      </c>
      <c r="H8747" t="s">
        <v>8580</v>
      </c>
      <c r="I8747">
        <v>3</v>
      </c>
      <c r="J8747" t="s">
        <v>445</v>
      </c>
      <c r="K8747" t="s">
        <v>446</v>
      </c>
      <c r="M8747">
        <v>3112</v>
      </c>
      <c r="N8747" t="s">
        <v>16483</v>
      </c>
    </row>
    <row r="8748" spans="1:14">
      <c r="A8748">
        <v>52670000</v>
      </c>
      <c r="B8748">
        <v>3016784</v>
      </c>
      <c r="C8748" t="s">
        <v>3716</v>
      </c>
      <c r="D8748" t="s">
        <v>441</v>
      </c>
      <c r="F8748">
        <v>0</v>
      </c>
      <c r="G8748">
        <v>13.08</v>
      </c>
      <c r="H8748" t="s">
        <v>8580</v>
      </c>
      <c r="I8748">
        <v>3</v>
      </c>
      <c r="J8748" t="s">
        <v>445</v>
      </c>
      <c r="K8748" t="s">
        <v>446</v>
      </c>
      <c r="M8748">
        <v>3133</v>
      </c>
    </row>
    <row r="8749" spans="1:14">
      <c r="A8749">
        <v>52690000</v>
      </c>
      <c r="B8749">
        <v>3016510</v>
      </c>
      <c r="C8749" t="s">
        <v>3717</v>
      </c>
      <c r="D8749" t="s">
        <v>441</v>
      </c>
      <c r="F8749">
        <v>0</v>
      </c>
      <c r="G8749">
        <v>3.07</v>
      </c>
      <c r="H8749" t="s">
        <v>8580</v>
      </c>
      <c r="I8749">
        <v>1</v>
      </c>
      <c r="J8749" t="s">
        <v>445</v>
      </c>
      <c r="M8749">
        <v>3112</v>
      </c>
      <c r="N8749" t="s">
        <v>16484</v>
      </c>
    </row>
    <row r="8750" spans="1:14">
      <c r="A8750">
        <v>52710000</v>
      </c>
      <c r="B8750">
        <v>3016696</v>
      </c>
      <c r="C8750" t="s">
        <v>12569</v>
      </c>
      <c r="D8750" t="s">
        <v>441</v>
      </c>
      <c r="F8750">
        <v>0</v>
      </c>
      <c r="G8750">
        <v>0.45</v>
      </c>
      <c r="H8750" t="s">
        <v>8580</v>
      </c>
      <c r="I8750">
        <v>4</v>
      </c>
      <c r="J8750" t="s">
        <v>445</v>
      </c>
      <c r="K8750" t="s">
        <v>446</v>
      </c>
      <c r="M8750">
        <v>3122</v>
      </c>
    </row>
    <row r="8751" spans="1:14">
      <c r="A8751">
        <v>52720000</v>
      </c>
      <c r="B8751">
        <v>3016511</v>
      </c>
      <c r="C8751" t="s">
        <v>12570</v>
      </c>
      <c r="D8751" t="s">
        <v>441</v>
      </c>
      <c r="F8751">
        <v>0</v>
      </c>
      <c r="G8751">
        <v>0.44</v>
      </c>
      <c r="H8751" t="s">
        <v>8580</v>
      </c>
      <c r="I8751">
        <v>3</v>
      </c>
      <c r="J8751" t="s">
        <v>445</v>
      </c>
      <c r="M8751">
        <v>6666</v>
      </c>
      <c r="N8751" t="s">
        <v>16485</v>
      </c>
    </row>
    <row r="8752" spans="1:14">
      <c r="A8752">
        <v>52730000</v>
      </c>
      <c r="B8752">
        <v>3016512</v>
      </c>
      <c r="C8752" t="s">
        <v>14527</v>
      </c>
      <c r="D8752" t="s">
        <v>441</v>
      </c>
      <c r="F8752">
        <v>0</v>
      </c>
      <c r="G8752">
        <v>5.94</v>
      </c>
      <c r="H8752" t="s">
        <v>8580</v>
      </c>
      <c r="I8752">
        <v>3</v>
      </c>
      <c r="J8752" t="s">
        <v>445</v>
      </c>
      <c r="M8752">
        <v>3112</v>
      </c>
      <c r="N8752" t="s">
        <v>16486</v>
      </c>
    </row>
    <row r="8753" spans="1:14">
      <c r="A8753">
        <v>52740000</v>
      </c>
      <c r="B8753">
        <v>3016731</v>
      </c>
      <c r="C8753" t="s">
        <v>421</v>
      </c>
      <c r="D8753" t="s">
        <v>441</v>
      </c>
      <c r="F8753">
        <v>0</v>
      </c>
      <c r="G8753">
        <v>11.28</v>
      </c>
      <c r="H8753" t="s">
        <v>8584</v>
      </c>
      <c r="I8753">
        <v>2</v>
      </c>
      <c r="J8753" t="s">
        <v>445</v>
      </c>
      <c r="M8753">
        <v>6666</v>
      </c>
      <c r="N8753" t="s">
        <v>16487</v>
      </c>
    </row>
    <row r="8754" spans="1:14">
      <c r="A8754">
        <v>52750000</v>
      </c>
      <c r="B8754">
        <v>3016726</v>
      </c>
      <c r="C8754" t="s">
        <v>3718</v>
      </c>
      <c r="D8754" t="s">
        <v>441</v>
      </c>
      <c r="F8754">
        <v>0</v>
      </c>
      <c r="G8754">
        <v>4.93</v>
      </c>
      <c r="H8754" t="s">
        <v>8634</v>
      </c>
      <c r="I8754">
        <v>4</v>
      </c>
      <c r="J8754" t="s">
        <v>445</v>
      </c>
      <c r="K8754" t="s">
        <v>446</v>
      </c>
      <c r="M8754">
        <v>3122</v>
      </c>
    </row>
    <row r="8755" spans="1:14">
      <c r="A8755">
        <v>52760000</v>
      </c>
      <c r="B8755">
        <v>3025865</v>
      </c>
      <c r="C8755" t="s">
        <v>3719</v>
      </c>
      <c r="D8755" t="s">
        <v>441</v>
      </c>
      <c r="F8755">
        <v>0</v>
      </c>
      <c r="G8755">
        <v>5.71</v>
      </c>
      <c r="H8755" t="s">
        <v>12521</v>
      </c>
      <c r="I8755">
        <v>3</v>
      </c>
      <c r="J8755" t="s">
        <v>445</v>
      </c>
      <c r="K8755" t="s">
        <v>446</v>
      </c>
      <c r="M8755">
        <v>3132</v>
      </c>
    </row>
    <row r="8756" spans="1:14">
      <c r="A8756">
        <v>52770000</v>
      </c>
      <c r="B8756">
        <v>3025868</v>
      </c>
      <c r="C8756" t="s">
        <v>3720</v>
      </c>
      <c r="D8756" t="s">
        <v>441</v>
      </c>
      <c r="F8756">
        <v>0</v>
      </c>
      <c r="G8756">
        <v>5.26</v>
      </c>
      <c r="H8756" t="s">
        <v>12521</v>
      </c>
      <c r="I8756">
        <v>3</v>
      </c>
      <c r="J8756" t="s">
        <v>445</v>
      </c>
      <c r="K8756" t="s">
        <v>446</v>
      </c>
      <c r="M8756">
        <v>3132</v>
      </c>
    </row>
    <row r="8757" spans="1:14">
      <c r="A8757">
        <v>52780000</v>
      </c>
      <c r="B8757">
        <v>3026147</v>
      </c>
      <c r="C8757" t="s">
        <v>3721</v>
      </c>
      <c r="D8757" t="s">
        <v>441</v>
      </c>
      <c r="F8757">
        <v>0</v>
      </c>
      <c r="G8757">
        <v>5.59</v>
      </c>
      <c r="H8757" t="s">
        <v>12521</v>
      </c>
      <c r="I8757">
        <v>3</v>
      </c>
      <c r="J8757" t="s">
        <v>445</v>
      </c>
      <c r="K8757" t="s">
        <v>446</v>
      </c>
      <c r="M8757">
        <v>3132</v>
      </c>
    </row>
    <row r="8758" spans="1:14">
      <c r="A8758">
        <v>52790000</v>
      </c>
      <c r="B8758">
        <v>3026180</v>
      </c>
      <c r="C8758" t="s">
        <v>3722</v>
      </c>
      <c r="D8758" t="s">
        <v>441</v>
      </c>
      <c r="F8758">
        <v>0</v>
      </c>
      <c r="G8758">
        <v>5.57</v>
      </c>
      <c r="H8758" t="s">
        <v>12521</v>
      </c>
      <c r="I8758">
        <v>3</v>
      </c>
      <c r="J8758" t="s">
        <v>445</v>
      </c>
      <c r="K8758" t="s">
        <v>446</v>
      </c>
      <c r="M8758">
        <v>3132</v>
      </c>
    </row>
    <row r="8759" spans="1:14">
      <c r="A8759">
        <v>52800000</v>
      </c>
      <c r="B8759">
        <v>3026431</v>
      </c>
      <c r="C8759" t="s">
        <v>3723</v>
      </c>
      <c r="D8759" t="s">
        <v>441</v>
      </c>
      <c r="F8759">
        <v>0</v>
      </c>
      <c r="G8759">
        <v>3.78</v>
      </c>
      <c r="H8759" t="s">
        <v>12521</v>
      </c>
      <c r="I8759">
        <v>3</v>
      </c>
      <c r="J8759" t="s">
        <v>445</v>
      </c>
      <c r="K8759" t="s">
        <v>446</v>
      </c>
      <c r="M8759">
        <v>3132</v>
      </c>
    </row>
    <row r="8760" spans="1:14">
      <c r="A8760">
        <v>52900000</v>
      </c>
      <c r="B8760">
        <v>3018912</v>
      </c>
      <c r="C8760" t="s">
        <v>12571</v>
      </c>
      <c r="D8760" t="s">
        <v>441</v>
      </c>
      <c r="F8760">
        <v>0</v>
      </c>
      <c r="G8760">
        <v>7.21</v>
      </c>
      <c r="H8760" t="s">
        <v>8580</v>
      </c>
      <c r="I8760">
        <v>5</v>
      </c>
      <c r="J8760" t="s">
        <v>445</v>
      </c>
      <c r="K8760" t="s">
        <v>446</v>
      </c>
      <c r="M8760">
        <v>3122</v>
      </c>
    </row>
    <row r="8761" spans="1:14">
      <c r="A8761">
        <v>52910000</v>
      </c>
      <c r="B8761">
        <v>3018913</v>
      </c>
      <c r="C8761" t="s">
        <v>12572</v>
      </c>
      <c r="D8761" t="s">
        <v>441</v>
      </c>
      <c r="F8761">
        <v>0</v>
      </c>
      <c r="G8761">
        <v>11.8</v>
      </c>
      <c r="H8761" t="s">
        <v>8580</v>
      </c>
      <c r="I8761">
        <v>3</v>
      </c>
      <c r="J8761" t="s">
        <v>445</v>
      </c>
      <c r="K8761" t="s">
        <v>446</v>
      </c>
      <c r="M8761">
        <v>3133</v>
      </c>
    </row>
    <row r="8762" spans="1:14">
      <c r="A8762">
        <v>52930000</v>
      </c>
      <c r="B8762">
        <v>3026288</v>
      </c>
      <c r="C8762" t="s">
        <v>3724</v>
      </c>
      <c r="D8762" t="s">
        <v>441</v>
      </c>
      <c r="F8762">
        <v>0</v>
      </c>
      <c r="G8762">
        <v>19.82</v>
      </c>
      <c r="H8762" t="s">
        <v>12573</v>
      </c>
      <c r="I8762">
        <v>3</v>
      </c>
      <c r="J8762" t="s">
        <v>445</v>
      </c>
      <c r="M8762">
        <v>3112</v>
      </c>
      <c r="N8762" t="s">
        <v>16480</v>
      </c>
    </row>
    <row r="8763" spans="1:14">
      <c r="A8763">
        <v>52930002</v>
      </c>
      <c r="B8763">
        <v>3026767</v>
      </c>
      <c r="C8763" t="s">
        <v>3725</v>
      </c>
      <c r="D8763" t="s">
        <v>441</v>
      </c>
      <c r="F8763">
        <v>0</v>
      </c>
      <c r="G8763">
        <v>20.56</v>
      </c>
      <c r="H8763" t="s">
        <v>8588</v>
      </c>
      <c r="I8763">
        <v>365</v>
      </c>
      <c r="J8763" t="s">
        <v>445</v>
      </c>
      <c r="M8763">
        <v>7111</v>
      </c>
      <c r="N8763" t="s">
        <v>16480</v>
      </c>
    </row>
    <row r="8764" spans="1:14">
      <c r="A8764">
        <v>52930502</v>
      </c>
      <c r="B8764">
        <v>3026768</v>
      </c>
      <c r="C8764" t="s">
        <v>3726</v>
      </c>
      <c r="D8764" t="s">
        <v>441</v>
      </c>
      <c r="F8764">
        <v>0</v>
      </c>
      <c r="G8764">
        <v>19.920000000000002</v>
      </c>
      <c r="H8764" t="s">
        <v>10826</v>
      </c>
      <c r="I8764">
        <v>365</v>
      </c>
      <c r="J8764" t="s">
        <v>445</v>
      </c>
      <c r="M8764">
        <v>2502</v>
      </c>
      <c r="N8764" t="s">
        <v>16480</v>
      </c>
    </row>
    <row r="8765" spans="1:14">
      <c r="A8765">
        <v>52930602</v>
      </c>
      <c r="B8765">
        <v>3026769</v>
      </c>
      <c r="C8765" t="s">
        <v>3727</v>
      </c>
      <c r="D8765" t="s">
        <v>441</v>
      </c>
      <c r="F8765">
        <v>0</v>
      </c>
      <c r="G8765">
        <v>21.04</v>
      </c>
      <c r="H8765" t="s">
        <v>10826</v>
      </c>
      <c r="I8765">
        <v>4</v>
      </c>
      <c r="J8765" t="s">
        <v>445</v>
      </c>
      <c r="M8765">
        <v>2510</v>
      </c>
      <c r="N8765" t="s">
        <v>16480</v>
      </c>
    </row>
    <row r="8766" spans="1:14">
      <c r="A8766">
        <v>52940000</v>
      </c>
      <c r="B8766">
        <v>3016513</v>
      </c>
      <c r="C8766" t="s">
        <v>12574</v>
      </c>
      <c r="D8766" t="s">
        <v>441</v>
      </c>
      <c r="F8766">
        <v>0</v>
      </c>
      <c r="G8766">
        <v>2.39</v>
      </c>
      <c r="H8766" t="s">
        <v>8580</v>
      </c>
      <c r="I8766">
        <v>8</v>
      </c>
      <c r="J8766" t="s">
        <v>445</v>
      </c>
      <c r="K8766" t="s">
        <v>446</v>
      </c>
      <c r="M8766">
        <v>3122</v>
      </c>
    </row>
    <row r="8767" spans="1:14">
      <c r="A8767">
        <v>52950000</v>
      </c>
      <c r="B8767">
        <v>3016514</v>
      </c>
      <c r="C8767" t="s">
        <v>12575</v>
      </c>
      <c r="D8767" t="s">
        <v>441</v>
      </c>
      <c r="F8767">
        <v>0</v>
      </c>
      <c r="G8767">
        <v>4.92</v>
      </c>
      <c r="H8767" t="s">
        <v>8580</v>
      </c>
      <c r="I8767">
        <v>3</v>
      </c>
      <c r="J8767" t="s">
        <v>445</v>
      </c>
      <c r="K8767" t="s">
        <v>446</v>
      </c>
      <c r="M8767">
        <v>3133</v>
      </c>
    </row>
    <row r="8768" spans="1:14">
      <c r="A8768">
        <v>52950002</v>
      </c>
      <c r="B8768">
        <v>3012254</v>
      </c>
      <c r="C8768" t="s">
        <v>12576</v>
      </c>
      <c r="D8768" t="s">
        <v>441</v>
      </c>
      <c r="F8768">
        <v>0</v>
      </c>
      <c r="G8768">
        <v>5.72</v>
      </c>
      <c r="I8768">
        <v>365</v>
      </c>
      <c r="J8768" t="s">
        <v>445</v>
      </c>
      <c r="K8768" t="s">
        <v>446</v>
      </c>
      <c r="M8768">
        <v>2501</v>
      </c>
    </row>
    <row r="8769" spans="1:14">
      <c r="A8769">
        <v>52950502</v>
      </c>
      <c r="B8769">
        <v>3012263</v>
      </c>
      <c r="C8769" t="s">
        <v>12577</v>
      </c>
      <c r="D8769" t="s">
        <v>441</v>
      </c>
      <c r="F8769">
        <v>0</v>
      </c>
      <c r="G8769">
        <v>5.48</v>
      </c>
      <c r="H8769" t="s">
        <v>8580</v>
      </c>
      <c r="I8769">
        <v>365</v>
      </c>
      <c r="J8769" t="s">
        <v>445</v>
      </c>
      <c r="K8769" t="s">
        <v>446</v>
      </c>
      <c r="M8769">
        <v>2641</v>
      </c>
    </row>
    <row r="8770" spans="1:14">
      <c r="A8770">
        <v>52950602</v>
      </c>
      <c r="B8770">
        <v>3012255</v>
      </c>
      <c r="C8770" t="s">
        <v>12578</v>
      </c>
      <c r="D8770" t="s">
        <v>441</v>
      </c>
      <c r="F8770">
        <v>0</v>
      </c>
      <c r="G8770">
        <v>6.02</v>
      </c>
      <c r="I8770">
        <v>4</v>
      </c>
      <c r="J8770" t="s">
        <v>445</v>
      </c>
      <c r="K8770" t="s">
        <v>446</v>
      </c>
      <c r="M8770">
        <v>2511</v>
      </c>
    </row>
    <row r="8771" spans="1:14">
      <c r="A8771">
        <v>52960000</v>
      </c>
      <c r="B8771">
        <v>3016515</v>
      </c>
      <c r="C8771" t="s">
        <v>12579</v>
      </c>
      <c r="D8771" t="s">
        <v>441</v>
      </c>
      <c r="F8771">
        <v>0</v>
      </c>
      <c r="G8771">
        <v>9.1199999999999992</v>
      </c>
      <c r="H8771" t="s">
        <v>8580</v>
      </c>
      <c r="I8771">
        <v>3</v>
      </c>
      <c r="J8771" t="s">
        <v>445</v>
      </c>
      <c r="M8771">
        <v>3112</v>
      </c>
      <c r="N8771" t="s">
        <v>16488</v>
      </c>
    </row>
    <row r="8772" spans="1:14">
      <c r="A8772">
        <v>52970000</v>
      </c>
      <c r="B8772">
        <v>3014682</v>
      </c>
      <c r="C8772" t="s">
        <v>17583</v>
      </c>
      <c r="D8772" t="s">
        <v>441</v>
      </c>
      <c r="F8772">
        <v>0</v>
      </c>
      <c r="G8772">
        <v>7.67</v>
      </c>
      <c r="H8772" t="s">
        <v>8584</v>
      </c>
      <c r="I8772">
        <v>8</v>
      </c>
      <c r="J8772" t="s">
        <v>445</v>
      </c>
      <c r="M8772">
        <v>3111</v>
      </c>
      <c r="N8772" t="s">
        <v>16489</v>
      </c>
    </row>
    <row r="8773" spans="1:14">
      <c r="A8773">
        <v>52980000</v>
      </c>
      <c r="B8773">
        <v>3014681</v>
      </c>
      <c r="C8773" t="s">
        <v>17584</v>
      </c>
      <c r="D8773" t="s">
        <v>441</v>
      </c>
      <c r="F8773">
        <v>0</v>
      </c>
      <c r="G8773">
        <v>12.9</v>
      </c>
      <c r="H8773" t="s">
        <v>8580</v>
      </c>
      <c r="I8773">
        <v>3</v>
      </c>
      <c r="J8773" t="s">
        <v>445</v>
      </c>
      <c r="M8773">
        <v>3112</v>
      </c>
      <c r="N8773" t="s">
        <v>16490</v>
      </c>
    </row>
    <row r="8774" spans="1:14">
      <c r="A8774">
        <v>52980002</v>
      </c>
      <c r="B8774">
        <v>3017173</v>
      </c>
      <c r="C8774" t="s">
        <v>12580</v>
      </c>
      <c r="D8774" t="s">
        <v>441</v>
      </c>
      <c r="F8774">
        <v>0</v>
      </c>
      <c r="G8774">
        <v>5.72</v>
      </c>
      <c r="H8774" t="s">
        <v>8588</v>
      </c>
      <c r="I8774">
        <v>365</v>
      </c>
      <c r="J8774" t="s">
        <v>445</v>
      </c>
      <c r="K8774" t="s">
        <v>446</v>
      </c>
      <c r="M8774">
        <v>2501</v>
      </c>
    </row>
    <row r="8775" spans="1:14">
      <c r="A8775">
        <v>52980502</v>
      </c>
      <c r="B8775">
        <v>3017175</v>
      </c>
      <c r="C8775" t="s">
        <v>12581</v>
      </c>
      <c r="D8775" t="s">
        <v>441</v>
      </c>
      <c r="F8775">
        <v>0</v>
      </c>
      <c r="G8775">
        <v>5.48</v>
      </c>
      <c r="H8775" t="s">
        <v>8935</v>
      </c>
      <c r="I8775">
        <v>365</v>
      </c>
      <c r="J8775" t="s">
        <v>445</v>
      </c>
      <c r="K8775" t="s">
        <v>446</v>
      </c>
      <c r="M8775">
        <v>3711</v>
      </c>
    </row>
    <row r="8776" spans="1:14">
      <c r="A8776">
        <v>52980602</v>
      </c>
      <c r="B8776">
        <v>3017172</v>
      </c>
      <c r="C8776" t="s">
        <v>12582</v>
      </c>
      <c r="D8776" t="s">
        <v>441</v>
      </c>
      <c r="F8776">
        <v>0</v>
      </c>
      <c r="G8776">
        <v>6.02</v>
      </c>
      <c r="H8776" t="s">
        <v>8935</v>
      </c>
      <c r="I8776">
        <v>4</v>
      </c>
      <c r="J8776" t="s">
        <v>445</v>
      </c>
      <c r="K8776" t="s">
        <v>446</v>
      </c>
      <c r="M8776">
        <v>2511</v>
      </c>
    </row>
    <row r="8777" spans="1:14">
      <c r="A8777">
        <v>53040002</v>
      </c>
      <c r="B8777">
        <v>3030123</v>
      </c>
      <c r="C8777" t="s">
        <v>12583</v>
      </c>
      <c r="D8777" t="s">
        <v>441</v>
      </c>
      <c r="F8777">
        <v>0</v>
      </c>
      <c r="G8777">
        <v>2.0699999999999998</v>
      </c>
      <c r="H8777" t="s">
        <v>8580</v>
      </c>
      <c r="I8777">
        <v>365</v>
      </c>
      <c r="J8777" t="s">
        <v>445</v>
      </c>
      <c r="M8777">
        <v>7111</v>
      </c>
      <c r="N8777" t="s">
        <v>16491</v>
      </c>
    </row>
    <row r="8778" spans="1:14">
      <c r="A8778">
        <v>53040110</v>
      </c>
      <c r="B8778">
        <v>3028125</v>
      </c>
      <c r="C8778" t="s">
        <v>8533</v>
      </c>
      <c r="D8778" t="s">
        <v>441</v>
      </c>
      <c r="F8778">
        <v>0</v>
      </c>
      <c r="H8778" t="s">
        <v>9295</v>
      </c>
      <c r="I8778">
        <v>5</v>
      </c>
      <c r="J8778" t="s">
        <v>445</v>
      </c>
      <c r="M8778">
        <v>7161</v>
      </c>
      <c r="N8778" t="s">
        <v>16491</v>
      </c>
    </row>
    <row r="8779" spans="1:14">
      <c r="A8779">
        <v>53040120</v>
      </c>
      <c r="B8779">
        <v>3038377</v>
      </c>
      <c r="C8779" t="s">
        <v>12584</v>
      </c>
      <c r="D8779" t="s">
        <v>441</v>
      </c>
      <c r="F8779">
        <v>0</v>
      </c>
      <c r="H8779" t="s">
        <v>9295</v>
      </c>
      <c r="I8779">
        <v>5</v>
      </c>
      <c r="J8779" t="s">
        <v>445</v>
      </c>
      <c r="M8779">
        <v>7161</v>
      </c>
      <c r="N8779" t="s">
        <v>16491</v>
      </c>
    </row>
    <row r="8780" spans="1:14">
      <c r="A8780">
        <v>53040502</v>
      </c>
      <c r="B8780">
        <v>3030122</v>
      </c>
      <c r="C8780" t="s">
        <v>12585</v>
      </c>
      <c r="D8780" t="s">
        <v>441</v>
      </c>
      <c r="F8780">
        <v>0</v>
      </c>
      <c r="G8780">
        <v>1.58</v>
      </c>
      <c r="H8780" t="s">
        <v>8580</v>
      </c>
      <c r="I8780">
        <v>4</v>
      </c>
      <c r="J8780" t="s">
        <v>445</v>
      </c>
      <c r="M8780">
        <v>2502</v>
      </c>
      <c r="N8780" t="s">
        <v>16491</v>
      </c>
    </row>
    <row r="8781" spans="1:14">
      <c r="A8781">
        <v>53040602</v>
      </c>
      <c r="B8781">
        <v>3030125</v>
      </c>
      <c r="C8781" t="s">
        <v>12586</v>
      </c>
      <c r="D8781" t="s">
        <v>441</v>
      </c>
      <c r="F8781">
        <v>0</v>
      </c>
      <c r="G8781">
        <v>2.25</v>
      </c>
      <c r="H8781" t="s">
        <v>8588</v>
      </c>
      <c r="I8781">
        <v>4</v>
      </c>
      <c r="J8781" t="s">
        <v>445</v>
      </c>
      <c r="M8781">
        <v>2510</v>
      </c>
      <c r="N8781" t="s">
        <v>16491</v>
      </c>
    </row>
    <row r="8782" spans="1:14">
      <c r="A8782">
        <v>53050000</v>
      </c>
      <c r="B8782">
        <v>3045638</v>
      </c>
      <c r="C8782" t="s">
        <v>15971</v>
      </c>
      <c r="D8782" t="s">
        <v>441</v>
      </c>
      <c r="F8782">
        <v>0</v>
      </c>
      <c r="G8782">
        <v>11.12</v>
      </c>
      <c r="H8782" t="s">
        <v>12521</v>
      </c>
      <c r="I8782">
        <v>2</v>
      </c>
      <c r="J8782" t="s">
        <v>445</v>
      </c>
      <c r="M8782">
        <v>0</v>
      </c>
    </row>
    <row r="8783" spans="1:14">
      <c r="A8783">
        <v>53060000</v>
      </c>
      <c r="B8783">
        <v>3046270</v>
      </c>
      <c r="C8783" t="s">
        <v>17585</v>
      </c>
      <c r="D8783" t="s">
        <v>441</v>
      </c>
      <c r="F8783">
        <v>0</v>
      </c>
      <c r="G8783">
        <v>11.45</v>
      </c>
      <c r="H8783" t="s">
        <v>10826</v>
      </c>
      <c r="I8783">
        <v>4</v>
      </c>
      <c r="J8783" t="s">
        <v>445</v>
      </c>
      <c r="M8783">
        <v>0</v>
      </c>
    </row>
    <row r="8784" spans="1:14">
      <c r="A8784">
        <v>53500000</v>
      </c>
      <c r="B8784">
        <v>3034384</v>
      </c>
      <c r="C8784" t="s">
        <v>3728</v>
      </c>
      <c r="D8784" t="s">
        <v>441</v>
      </c>
      <c r="F8784">
        <v>0</v>
      </c>
      <c r="G8784">
        <v>11.79</v>
      </c>
      <c r="H8784" t="s">
        <v>10826</v>
      </c>
      <c r="I8784">
        <v>5</v>
      </c>
      <c r="J8784" t="s">
        <v>445</v>
      </c>
      <c r="K8784" t="s">
        <v>446</v>
      </c>
      <c r="M8784">
        <v>3111</v>
      </c>
    </row>
    <row r="8785" spans="1:14">
      <c r="A8785">
        <v>53510000</v>
      </c>
      <c r="B8785">
        <v>3034689</v>
      </c>
      <c r="C8785" t="s">
        <v>3729</v>
      </c>
      <c r="D8785" t="s">
        <v>441</v>
      </c>
      <c r="F8785">
        <v>0</v>
      </c>
      <c r="G8785">
        <v>13.26</v>
      </c>
      <c r="H8785" t="s">
        <v>10826</v>
      </c>
      <c r="I8785">
        <v>3</v>
      </c>
      <c r="J8785" t="s">
        <v>445</v>
      </c>
      <c r="M8785">
        <v>3111</v>
      </c>
      <c r="N8785" t="s">
        <v>16492</v>
      </c>
    </row>
    <row r="8786" spans="1:14">
      <c r="A8786">
        <v>53520000</v>
      </c>
      <c r="B8786">
        <v>3037401</v>
      </c>
      <c r="C8786" t="s">
        <v>3730</v>
      </c>
      <c r="D8786" t="s">
        <v>441</v>
      </c>
      <c r="F8786">
        <v>0</v>
      </c>
      <c r="G8786">
        <v>9.42</v>
      </c>
      <c r="H8786" t="s">
        <v>10826</v>
      </c>
      <c r="I8786">
        <v>4</v>
      </c>
      <c r="J8786" t="s">
        <v>445</v>
      </c>
      <c r="M8786">
        <v>3111</v>
      </c>
      <c r="N8786" t="s">
        <v>16493</v>
      </c>
    </row>
    <row r="8787" spans="1:14">
      <c r="A8787">
        <v>53530000</v>
      </c>
      <c r="B8787">
        <v>3039290</v>
      </c>
      <c r="C8787" t="s">
        <v>373</v>
      </c>
      <c r="D8787" t="s">
        <v>441</v>
      </c>
      <c r="F8787">
        <v>0</v>
      </c>
      <c r="G8787">
        <v>9.99</v>
      </c>
      <c r="H8787" t="s">
        <v>10826</v>
      </c>
      <c r="I8787">
        <v>4</v>
      </c>
      <c r="J8787" t="s">
        <v>445</v>
      </c>
      <c r="M8787">
        <v>3111</v>
      </c>
      <c r="N8787" t="s">
        <v>16493</v>
      </c>
    </row>
    <row r="8788" spans="1:14">
      <c r="A8788">
        <v>53540000</v>
      </c>
      <c r="B8788">
        <v>3016516</v>
      </c>
      <c r="C8788" t="s">
        <v>3731</v>
      </c>
      <c r="D8788" t="s">
        <v>441</v>
      </c>
      <c r="F8788">
        <v>0</v>
      </c>
      <c r="G8788">
        <v>9.34</v>
      </c>
      <c r="H8788" t="s">
        <v>8580</v>
      </c>
      <c r="I8788">
        <v>6</v>
      </c>
      <c r="J8788" t="s">
        <v>445</v>
      </c>
      <c r="K8788" t="s">
        <v>446</v>
      </c>
      <c r="M8788">
        <v>3122</v>
      </c>
    </row>
    <row r="8789" spans="1:14">
      <c r="A8789">
        <v>53600000</v>
      </c>
      <c r="B8789">
        <v>3024519</v>
      </c>
      <c r="C8789" t="s">
        <v>3732</v>
      </c>
      <c r="D8789" t="s">
        <v>441</v>
      </c>
      <c r="F8789">
        <v>0</v>
      </c>
      <c r="G8789">
        <v>8.52</v>
      </c>
      <c r="H8789" t="s">
        <v>10826</v>
      </c>
      <c r="I8789">
        <v>3</v>
      </c>
      <c r="J8789" t="s">
        <v>445</v>
      </c>
      <c r="M8789">
        <v>3111</v>
      </c>
      <c r="N8789" t="s">
        <v>16494</v>
      </c>
    </row>
    <row r="8790" spans="1:14">
      <c r="A8790">
        <v>53610000</v>
      </c>
      <c r="B8790">
        <v>3016517</v>
      </c>
      <c r="C8790" t="s">
        <v>418</v>
      </c>
      <c r="D8790" t="s">
        <v>441</v>
      </c>
      <c r="F8790">
        <v>0</v>
      </c>
      <c r="G8790">
        <v>12.55</v>
      </c>
      <c r="H8790" t="s">
        <v>8580</v>
      </c>
      <c r="I8790">
        <v>6</v>
      </c>
      <c r="J8790" t="s">
        <v>445</v>
      </c>
      <c r="M8790">
        <v>3111</v>
      </c>
      <c r="N8790" t="s">
        <v>16495</v>
      </c>
    </row>
    <row r="8791" spans="1:14">
      <c r="A8791">
        <v>53620000</v>
      </c>
      <c r="B8791">
        <v>3024340</v>
      </c>
      <c r="C8791" t="s">
        <v>387</v>
      </c>
      <c r="D8791" t="s">
        <v>441</v>
      </c>
      <c r="F8791">
        <v>0</v>
      </c>
      <c r="G8791">
        <v>9.98</v>
      </c>
      <c r="H8791" t="s">
        <v>8584</v>
      </c>
      <c r="I8791">
        <v>6</v>
      </c>
      <c r="J8791" t="s">
        <v>445</v>
      </c>
      <c r="M8791">
        <v>3111</v>
      </c>
      <c r="N8791" t="s">
        <v>16496</v>
      </c>
    </row>
    <row r="8792" spans="1:14">
      <c r="A8792">
        <v>53630000</v>
      </c>
      <c r="B8792">
        <v>3024463</v>
      </c>
      <c r="C8792" t="s">
        <v>418</v>
      </c>
      <c r="D8792" t="s">
        <v>441</v>
      </c>
      <c r="F8792">
        <v>0</v>
      </c>
      <c r="G8792">
        <v>10.33</v>
      </c>
      <c r="H8792" t="s">
        <v>10826</v>
      </c>
      <c r="I8792">
        <v>6</v>
      </c>
      <c r="J8792" t="s">
        <v>445</v>
      </c>
      <c r="M8792">
        <v>3111</v>
      </c>
      <c r="N8792" t="s">
        <v>16497</v>
      </c>
    </row>
    <row r="8793" spans="1:14">
      <c r="A8793">
        <v>53640000</v>
      </c>
      <c r="B8793">
        <v>3016518</v>
      </c>
      <c r="C8793" t="s">
        <v>3733</v>
      </c>
      <c r="D8793" t="s">
        <v>441</v>
      </c>
      <c r="F8793">
        <v>0</v>
      </c>
      <c r="G8793">
        <v>7.88</v>
      </c>
      <c r="H8793" t="s">
        <v>8580</v>
      </c>
      <c r="I8793">
        <v>4</v>
      </c>
      <c r="J8793" t="s">
        <v>445</v>
      </c>
      <c r="K8793" t="s">
        <v>446</v>
      </c>
      <c r="M8793">
        <v>3122</v>
      </c>
    </row>
    <row r="8794" spans="1:14">
      <c r="A8794">
        <v>53650000</v>
      </c>
      <c r="B8794">
        <v>3025614</v>
      </c>
      <c r="C8794" t="s">
        <v>335</v>
      </c>
      <c r="D8794" t="s">
        <v>441</v>
      </c>
      <c r="F8794">
        <v>0</v>
      </c>
      <c r="G8794">
        <v>9.99</v>
      </c>
      <c r="H8794" t="s">
        <v>10826</v>
      </c>
      <c r="I8794">
        <v>4</v>
      </c>
      <c r="J8794" t="s">
        <v>445</v>
      </c>
      <c r="M8794">
        <v>3111</v>
      </c>
      <c r="N8794" t="s">
        <v>16493</v>
      </c>
    </row>
    <row r="8795" spans="1:14">
      <c r="A8795">
        <v>53660000</v>
      </c>
      <c r="B8795">
        <v>3026553</v>
      </c>
      <c r="C8795" t="s">
        <v>3734</v>
      </c>
      <c r="D8795" t="s">
        <v>441</v>
      </c>
      <c r="F8795">
        <v>0</v>
      </c>
      <c r="G8795">
        <v>10.52</v>
      </c>
      <c r="H8795" t="s">
        <v>10826</v>
      </c>
      <c r="I8795">
        <v>3</v>
      </c>
      <c r="J8795" t="s">
        <v>445</v>
      </c>
      <c r="K8795" t="s">
        <v>446</v>
      </c>
      <c r="M8795">
        <v>3122</v>
      </c>
    </row>
    <row r="8796" spans="1:14">
      <c r="A8796">
        <v>53670000</v>
      </c>
      <c r="B8796">
        <v>3026653</v>
      </c>
      <c r="C8796" t="s">
        <v>3735</v>
      </c>
      <c r="D8796" t="s">
        <v>441</v>
      </c>
      <c r="F8796">
        <v>0</v>
      </c>
      <c r="G8796">
        <v>16.34</v>
      </c>
      <c r="H8796" t="s">
        <v>8580</v>
      </c>
      <c r="I8796">
        <v>3</v>
      </c>
      <c r="J8796" t="s">
        <v>445</v>
      </c>
      <c r="K8796" t="s">
        <v>446</v>
      </c>
      <c r="M8796">
        <v>3122</v>
      </c>
    </row>
    <row r="8797" spans="1:14">
      <c r="A8797">
        <v>53680000</v>
      </c>
      <c r="B8797">
        <v>3015372</v>
      </c>
      <c r="C8797" t="s">
        <v>3736</v>
      </c>
      <c r="D8797" t="s">
        <v>441</v>
      </c>
      <c r="F8797">
        <v>0</v>
      </c>
      <c r="G8797">
        <v>14.68</v>
      </c>
      <c r="I8797">
        <v>3</v>
      </c>
      <c r="J8797" t="s">
        <v>445</v>
      </c>
      <c r="M8797">
        <v>3111</v>
      </c>
      <c r="N8797" t="s">
        <v>16498</v>
      </c>
    </row>
    <row r="8798" spans="1:14">
      <c r="A8798">
        <v>53690000</v>
      </c>
      <c r="B8798">
        <v>3026779</v>
      </c>
      <c r="C8798" t="s">
        <v>3737</v>
      </c>
      <c r="D8798" t="s">
        <v>441</v>
      </c>
      <c r="F8798">
        <v>0</v>
      </c>
      <c r="G8798">
        <v>7.89</v>
      </c>
      <c r="H8798" t="s">
        <v>10826</v>
      </c>
      <c r="I8798">
        <v>4</v>
      </c>
      <c r="J8798" t="s">
        <v>445</v>
      </c>
      <c r="K8798" t="s">
        <v>446</v>
      </c>
      <c r="M8798">
        <v>3122</v>
      </c>
    </row>
    <row r="8799" spans="1:14">
      <c r="A8799">
        <v>53700000</v>
      </c>
      <c r="B8799">
        <v>3026955</v>
      </c>
      <c r="C8799" t="s">
        <v>3738</v>
      </c>
      <c r="D8799" t="s">
        <v>441</v>
      </c>
      <c r="F8799">
        <v>0</v>
      </c>
      <c r="G8799">
        <v>9.9</v>
      </c>
      <c r="H8799" t="s">
        <v>10826</v>
      </c>
      <c r="I8799">
        <v>4</v>
      </c>
      <c r="J8799" t="s">
        <v>445</v>
      </c>
      <c r="K8799" t="s">
        <v>446</v>
      </c>
      <c r="M8799">
        <v>3122</v>
      </c>
    </row>
    <row r="8800" spans="1:14">
      <c r="A8800">
        <v>53710000</v>
      </c>
      <c r="B8800">
        <v>3026956</v>
      </c>
      <c r="C8800" t="s">
        <v>3739</v>
      </c>
      <c r="D8800" t="s">
        <v>441</v>
      </c>
      <c r="F8800">
        <v>0</v>
      </c>
      <c r="G8800">
        <v>10.52</v>
      </c>
      <c r="H8800" t="s">
        <v>10826</v>
      </c>
      <c r="I8800">
        <v>4</v>
      </c>
      <c r="J8800" t="s">
        <v>445</v>
      </c>
      <c r="K8800" t="s">
        <v>446</v>
      </c>
      <c r="M8800">
        <v>3122</v>
      </c>
    </row>
    <row r="8801" spans="1:14">
      <c r="A8801">
        <v>53720000</v>
      </c>
      <c r="B8801">
        <v>3026957</v>
      </c>
      <c r="C8801" t="s">
        <v>3740</v>
      </c>
      <c r="D8801" t="s">
        <v>441</v>
      </c>
      <c r="F8801">
        <v>0</v>
      </c>
      <c r="G8801">
        <v>7.91</v>
      </c>
      <c r="H8801" t="s">
        <v>10826</v>
      </c>
      <c r="I8801">
        <v>4</v>
      </c>
      <c r="J8801" t="s">
        <v>445</v>
      </c>
      <c r="K8801" t="s">
        <v>446</v>
      </c>
      <c r="M8801">
        <v>3122</v>
      </c>
    </row>
    <row r="8802" spans="1:14">
      <c r="A8802">
        <v>53730000</v>
      </c>
      <c r="B8802">
        <v>3026984</v>
      </c>
      <c r="C8802" t="s">
        <v>3741</v>
      </c>
      <c r="D8802" t="s">
        <v>441</v>
      </c>
      <c r="F8802">
        <v>0</v>
      </c>
      <c r="G8802">
        <v>10.72</v>
      </c>
      <c r="H8802" t="s">
        <v>8584</v>
      </c>
      <c r="I8802">
        <v>4</v>
      </c>
      <c r="J8802" t="s">
        <v>445</v>
      </c>
      <c r="K8802" t="s">
        <v>446</v>
      </c>
      <c r="M8802">
        <v>3211</v>
      </c>
    </row>
    <row r="8803" spans="1:14">
      <c r="A8803">
        <v>53740000</v>
      </c>
      <c r="B8803">
        <v>3027020</v>
      </c>
      <c r="C8803" t="s">
        <v>3742</v>
      </c>
      <c r="D8803" t="s">
        <v>441</v>
      </c>
      <c r="F8803">
        <v>0</v>
      </c>
      <c r="G8803">
        <v>9.8800000000000008</v>
      </c>
      <c r="H8803" t="s">
        <v>10826</v>
      </c>
      <c r="I8803">
        <v>4</v>
      </c>
      <c r="J8803" t="s">
        <v>445</v>
      </c>
      <c r="K8803" t="s">
        <v>446</v>
      </c>
      <c r="M8803">
        <v>3122</v>
      </c>
    </row>
    <row r="8804" spans="1:14">
      <c r="A8804">
        <v>53750000</v>
      </c>
      <c r="B8804">
        <v>3027018</v>
      </c>
      <c r="C8804" t="s">
        <v>3743</v>
      </c>
      <c r="D8804" t="s">
        <v>441</v>
      </c>
      <c r="F8804">
        <v>0</v>
      </c>
      <c r="G8804">
        <v>9.9700000000000006</v>
      </c>
      <c r="H8804" t="s">
        <v>10826</v>
      </c>
      <c r="I8804">
        <v>4</v>
      </c>
      <c r="J8804" t="s">
        <v>445</v>
      </c>
      <c r="K8804" t="s">
        <v>446</v>
      </c>
      <c r="M8804">
        <v>3122</v>
      </c>
    </row>
    <row r="8805" spans="1:14">
      <c r="A8805">
        <v>53760000</v>
      </c>
      <c r="B8805">
        <v>3027015</v>
      </c>
      <c r="C8805" t="s">
        <v>3744</v>
      </c>
      <c r="D8805" t="s">
        <v>441</v>
      </c>
      <c r="F8805">
        <v>0</v>
      </c>
      <c r="G8805">
        <v>10.71</v>
      </c>
      <c r="H8805" t="s">
        <v>10826</v>
      </c>
      <c r="I8805">
        <v>4</v>
      </c>
      <c r="J8805" t="s">
        <v>445</v>
      </c>
      <c r="K8805" t="s">
        <v>446</v>
      </c>
      <c r="M8805">
        <v>3211</v>
      </c>
    </row>
    <row r="8806" spans="1:14">
      <c r="A8806">
        <v>53770000</v>
      </c>
      <c r="B8806">
        <v>3029953</v>
      </c>
      <c r="C8806" t="s">
        <v>3745</v>
      </c>
      <c r="D8806" t="s">
        <v>441</v>
      </c>
      <c r="F8806">
        <v>0</v>
      </c>
      <c r="G8806">
        <v>10.15</v>
      </c>
      <c r="H8806" t="s">
        <v>10826</v>
      </c>
      <c r="I8806">
        <v>4</v>
      </c>
      <c r="J8806" t="s">
        <v>445</v>
      </c>
      <c r="K8806" t="s">
        <v>446</v>
      </c>
      <c r="M8806">
        <v>3122</v>
      </c>
    </row>
    <row r="8807" spans="1:14">
      <c r="A8807">
        <v>53780000</v>
      </c>
      <c r="B8807">
        <v>3034093</v>
      </c>
      <c r="C8807" t="s">
        <v>3746</v>
      </c>
      <c r="D8807" t="s">
        <v>441</v>
      </c>
      <c r="F8807">
        <v>0</v>
      </c>
      <c r="G8807">
        <v>12.85</v>
      </c>
      <c r="H8807" t="s">
        <v>10826</v>
      </c>
      <c r="I8807">
        <v>4</v>
      </c>
      <c r="J8807" t="s">
        <v>445</v>
      </c>
      <c r="M8807">
        <v>3111</v>
      </c>
      <c r="N8807" t="s">
        <v>16499</v>
      </c>
    </row>
    <row r="8808" spans="1:14">
      <c r="A8808">
        <v>53790000</v>
      </c>
      <c r="B8808">
        <v>3008210</v>
      </c>
      <c r="C8808" t="s">
        <v>3747</v>
      </c>
      <c r="D8808" t="s">
        <v>441</v>
      </c>
      <c r="F8808">
        <v>0</v>
      </c>
      <c r="G8808">
        <v>7.4</v>
      </c>
      <c r="H8808" t="s">
        <v>8584</v>
      </c>
      <c r="I8808">
        <v>3</v>
      </c>
      <c r="J8808" t="s">
        <v>445</v>
      </c>
      <c r="K8808" t="s">
        <v>446</v>
      </c>
      <c r="M8808">
        <v>3122</v>
      </c>
    </row>
    <row r="8809" spans="1:14">
      <c r="A8809">
        <v>53800000</v>
      </c>
      <c r="B8809">
        <v>3008211</v>
      </c>
      <c r="C8809" t="s">
        <v>3748</v>
      </c>
      <c r="D8809" t="s">
        <v>441</v>
      </c>
      <c r="F8809">
        <v>0</v>
      </c>
      <c r="G8809">
        <v>9.0399999999999991</v>
      </c>
      <c r="H8809" t="s">
        <v>8586</v>
      </c>
      <c r="I8809">
        <v>3</v>
      </c>
      <c r="J8809" t="s">
        <v>445</v>
      </c>
      <c r="K8809" t="s">
        <v>446</v>
      </c>
      <c r="M8809">
        <v>3122</v>
      </c>
    </row>
    <row r="8810" spans="1:14">
      <c r="A8810">
        <v>53810000</v>
      </c>
      <c r="B8810">
        <v>3026570</v>
      </c>
      <c r="C8810" t="s">
        <v>3749</v>
      </c>
      <c r="D8810" t="s">
        <v>441</v>
      </c>
      <c r="F8810">
        <v>0</v>
      </c>
      <c r="G8810">
        <v>16.989999999999998</v>
      </c>
      <c r="H8810" t="s">
        <v>12521</v>
      </c>
      <c r="I8810">
        <v>5</v>
      </c>
      <c r="J8810" t="s">
        <v>445</v>
      </c>
      <c r="M8810">
        <v>3111</v>
      </c>
      <c r="N8810" t="s">
        <v>16500</v>
      </c>
    </row>
    <row r="8811" spans="1:14">
      <c r="A8811">
        <v>53820000</v>
      </c>
      <c r="B8811">
        <v>3026576</v>
      </c>
      <c r="C8811" t="s">
        <v>3750</v>
      </c>
      <c r="D8811" t="s">
        <v>441</v>
      </c>
      <c r="F8811">
        <v>0</v>
      </c>
      <c r="G8811">
        <v>15.84</v>
      </c>
      <c r="H8811" t="s">
        <v>10826</v>
      </c>
      <c r="I8811">
        <v>5</v>
      </c>
      <c r="J8811" t="s">
        <v>445</v>
      </c>
      <c r="M8811">
        <v>3111</v>
      </c>
      <c r="N8811" t="s">
        <v>16501</v>
      </c>
    </row>
    <row r="8812" spans="1:14">
      <c r="A8812">
        <v>53830000</v>
      </c>
      <c r="B8812">
        <v>3032706</v>
      </c>
      <c r="C8812" t="s">
        <v>3751</v>
      </c>
      <c r="D8812" t="s">
        <v>441</v>
      </c>
      <c r="F8812">
        <v>0</v>
      </c>
      <c r="G8812">
        <v>10.6</v>
      </c>
      <c r="H8812" t="s">
        <v>10826</v>
      </c>
      <c r="I8812">
        <v>4</v>
      </c>
      <c r="J8812" t="s">
        <v>445</v>
      </c>
      <c r="M8812">
        <v>3111</v>
      </c>
      <c r="N8812" t="s">
        <v>16502</v>
      </c>
    </row>
    <row r="8813" spans="1:14">
      <c r="A8813">
        <v>53840000</v>
      </c>
      <c r="B8813">
        <v>3016519</v>
      </c>
      <c r="C8813" t="s">
        <v>3752</v>
      </c>
      <c r="D8813" t="s">
        <v>441</v>
      </c>
      <c r="F8813">
        <v>0</v>
      </c>
      <c r="G8813">
        <v>10.96</v>
      </c>
      <c r="H8813" t="s">
        <v>8580</v>
      </c>
      <c r="I8813">
        <v>6</v>
      </c>
      <c r="J8813" t="s">
        <v>445</v>
      </c>
      <c r="K8813" t="s">
        <v>446</v>
      </c>
      <c r="M8813">
        <v>3122</v>
      </c>
    </row>
    <row r="8814" spans="1:14">
      <c r="A8814">
        <v>53850000</v>
      </c>
      <c r="B8814">
        <v>3008213</v>
      </c>
      <c r="C8814" t="s">
        <v>3753</v>
      </c>
      <c r="D8814" t="s">
        <v>441</v>
      </c>
      <c r="F8814">
        <v>0</v>
      </c>
      <c r="G8814">
        <v>9.52</v>
      </c>
      <c r="H8814" t="s">
        <v>8584</v>
      </c>
      <c r="I8814">
        <v>3</v>
      </c>
      <c r="J8814" t="s">
        <v>445</v>
      </c>
      <c r="K8814" t="s">
        <v>446</v>
      </c>
      <c r="M8814">
        <v>3122</v>
      </c>
    </row>
    <row r="8815" spans="1:14">
      <c r="A8815">
        <v>53860000</v>
      </c>
      <c r="B8815">
        <v>3016520</v>
      </c>
      <c r="C8815" t="s">
        <v>3754</v>
      </c>
      <c r="D8815" t="s">
        <v>441</v>
      </c>
      <c r="F8815">
        <v>0</v>
      </c>
      <c r="G8815">
        <v>6.85</v>
      </c>
      <c r="H8815" t="s">
        <v>8580</v>
      </c>
      <c r="I8815">
        <v>4</v>
      </c>
      <c r="J8815" t="s">
        <v>445</v>
      </c>
      <c r="K8815" t="s">
        <v>446</v>
      </c>
      <c r="M8815">
        <v>3122</v>
      </c>
    </row>
    <row r="8816" spans="1:14">
      <c r="A8816">
        <v>53870000</v>
      </c>
      <c r="B8816">
        <v>3008215</v>
      </c>
      <c r="C8816" t="s">
        <v>3755</v>
      </c>
      <c r="D8816" t="s">
        <v>441</v>
      </c>
      <c r="F8816">
        <v>0</v>
      </c>
      <c r="G8816">
        <v>14.04</v>
      </c>
      <c r="H8816" t="s">
        <v>8584</v>
      </c>
      <c r="I8816">
        <v>3</v>
      </c>
      <c r="J8816" t="s">
        <v>445</v>
      </c>
      <c r="K8816" t="s">
        <v>446</v>
      </c>
      <c r="M8816">
        <v>3122</v>
      </c>
    </row>
    <row r="8817" spans="1:14">
      <c r="A8817">
        <v>53880000</v>
      </c>
      <c r="B8817">
        <v>3026991</v>
      </c>
      <c r="C8817" t="s">
        <v>3756</v>
      </c>
      <c r="D8817" t="s">
        <v>441</v>
      </c>
      <c r="F8817">
        <v>0</v>
      </c>
      <c r="G8817">
        <v>6.46</v>
      </c>
      <c r="H8817" t="s">
        <v>10826</v>
      </c>
      <c r="I8817">
        <v>3</v>
      </c>
      <c r="J8817" t="s">
        <v>445</v>
      </c>
      <c r="K8817" t="s">
        <v>446</v>
      </c>
      <c r="M8817">
        <v>3122</v>
      </c>
    </row>
    <row r="8818" spans="1:14">
      <c r="A8818">
        <v>53890000</v>
      </c>
      <c r="B8818">
        <v>3031602</v>
      </c>
      <c r="C8818" t="s">
        <v>400</v>
      </c>
      <c r="D8818" t="s">
        <v>441</v>
      </c>
      <c r="F8818">
        <v>0</v>
      </c>
      <c r="G8818">
        <v>12.35</v>
      </c>
      <c r="H8818" t="s">
        <v>10826</v>
      </c>
      <c r="I8818">
        <v>4</v>
      </c>
      <c r="J8818" t="s">
        <v>445</v>
      </c>
      <c r="M8818">
        <v>3111</v>
      </c>
      <c r="N8818" t="s">
        <v>16503</v>
      </c>
    </row>
    <row r="8819" spans="1:14">
      <c r="A8819">
        <v>53900000</v>
      </c>
      <c r="B8819">
        <v>3016521</v>
      </c>
      <c r="C8819" t="s">
        <v>12587</v>
      </c>
      <c r="D8819" t="s">
        <v>441</v>
      </c>
      <c r="F8819">
        <v>0</v>
      </c>
      <c r="G8819">
        <v>4.78</v>
      </c>
      <c r="H8819" t="s">
        <v>8580</v>
      </c>
      <c r="I8819">
        <v>4</v>
      </c>
      <c r="J8819" t="s">
        <v>445</v>
      </c>
      <c r="K8819" t="s">
        <v>446</v>
      </c>
      <c r="M8819">
        <v>3122</v>
      </c>
    </row>
    <row r="8820" spans="1:14">
      <c r="A8820">
        <v>53910000</v>
      </c>
      <c r="B8820">
        <v>3008217</v>
      </c>
      <c r="C8820" t="s">
        <v>12588</v>
      </c>
      <c r="D8820" t="s">
        <v>441</v>
      </c>
      <c r="F8820">
        <v>0</v>
      </c>
      <c r="G8820">
        <v>7.65</v>
      </c>
      <c r="H8820" t="s">
        <v>8584</v>
      </c>
      <c r="I8820">
        <v>4</v>
      </c>
      <c r="J8820" t="s">
        <v>445</v>
      </c>
      <c r="K8820" t="s">
        <v>446</v>
      </c>
      <c r="M8820">
        <v>3122</v>
      </c>
    </row>
    <row r="8821" spans="1:14">
      <c r="A8821">
        <v>53920000</v>
      </c>
      <c r="B8821">
        <v>3030638</v>
      </c>
      <c r="C8821" t="s">
        <v>3757</v>
      </c>
      <c r="D8821" t="s">
        <v>441</v>
      </c>
      <c r="F8821">
        <v>0</v>
      </c>
      <c r="G8821">
        <v>9.24</v>
      </c>
      <c r="H8821" t="s">
        <v>10826</v>
      </c>
      <c r="I8821">
        <v>4</v>
      </c>
      <c r="J8821" t="s">
        <v>445</v>
      </c>
      <c r="M8821">
        <v>3111</v>
      </c>
      <c r="N8821" t="s">
        <v>16504</v>
      </c>
    </row>
    <row r="8822" spans="1:14">
      <c r="A8822">
        <v>53930000</v>
      </c>
      <c r="B8822">
        <v>3016685</v>
      </c>
      <c r="C8822" t="s">
        <v>3758</v>
      </c>
      <c r="D8822" t="s">
        <v>441</v>
      </c>
      <c r="F8822">
        <v>0</v>
      </c>
      <c r="G8822">
        <v>3.06</v>
      </c>
      <c r="H8822" t="s">
        <v>8580</v>
      </c>
      <c r="I8822">
        <v>1</v>
      </c>
      <c r="J8822" t="s">
        <v>445</v>
      </c>
      <c r="K8822" t="s">
        <v>446</v>
      </c>
      <c r="M8822">
        <v>3132</v>
      </c>
    </row>
    <row r="8823" spans="1:14">
      <c r="A8823">
        <v>53940000</v>
      </c>
      <c r="B8823">
        <v>3030172</v>
      </c>
      <c r="C8823" t="s">
        <v>3759</v>
      </c>
      <c r="D8823" t="s">
        <v>441</v>
      </c>
      <c r="F8823">
        <v>0</v>
      </c>
      <c r="G8823">
        <v>15.71</v>
      </c>
      <c r="H8823" t="s">
        <v>10826</v>
      </c>
      <c r="I8823">
        <v>5</v>
      </c>
      <c r="J8823" t="s">
        <v>445</v>
      </c>
      <c r="K8823" t="s">
        <v>446</v>
      </c>
      <c r="M8823">
        <v>3122</v>
      </c>
    </row>
    <row r="8824" spans="1:14">
      <c r="A8824">
        <v>53950000</v>
      </c>
      <c r="B8824">
        <v>3030176</v>
      </c>
      <c r="C8824" t="s">
        <v>3760</v>
      </c>
      <c r="D8824" t="s">
        <v>441</v>
      </c>
      <c r="F8824">
        <v>0</v>
      </c>
      <c r="G8824">
        <v>13.39</v>
      </c>
      <c r="H8824" t="s">
        <v>10826</v>
      </c>
      <c r="I8824">
        <v>5</v>
      </c>
      <c r="J8824" t="s">
        <v>445</v>
      </c>
      <c r="K8824" t="s">
        <v>446</v>
      </c>
      <c r="M8824">
        <v>3122</v>
      </c>
    </row>
    <row r="8825" spans="1:14">
      <c r="A8825">
        <v>53960000</v>
      </c>
      <c r="B8825">
        <v>3008218</v>
      </c>
      <c r="C8825" t="s">
        <v>3761</v>
      </c>
      <c r="D8825" t="s">
        <v>441</v>
      </c>
      <c r="F8825">
        <v>0</v>
      </c>
      <c r="G8825">
        <v>9.4600000000000009</v>
      </c>
      <c r="H8825" t="s">
        <v>8584</v>
      </c>
      <c r="I8825">
        <v>3</v>
      </c>
      <c r="J8825" t="s">
        <v>445</v>
      </c>
      <c r="K8825" t="s">
        <v>446</v>
      </c>
      <c r="M8825">
        <v>3122</v>
      </c>
    </row>
    <row r="8826" spans="1:14">
      <c r="A8826">
        <v>53970000</v>
      </c>
      <c r="B8826">
        <v>3016522</v>
      </c>
      <c r="C8826" t="s">
        <v>3762</v>
      </c>
      <c r="D8826" t="s">
        <v>441</v>
      </c>
      <c r="F8826">
        <v>0</v>
      </c>
      <c r="G8826">
        <v>3.85</v>
      </c>
      <c r="H8826" t="s">
        <v>8580</v>
      </c>
      <c r="I8826">
        <v>3</v>
      </c>
      <c r="J8826" t="s">
        <v>445</v>
      </c>
      <c r="K8826" t="s">
        <v>446</v>
      </c>
      <c r="M8826">
        <v>3122</v>
      </c>
    </row>
    <row r="8827" spans="1:14">
      <c r="A8827">
        <v>53980000</v>
      </c>
      <c r="B8827">
        <v>3016523</v>
      </c>
      <c r="C8827" t="s">
        <v>3763</v>
      </c>
      <c r="D8827" t="s">
        <v>441</v>
      </c>
      <c r="F8827">
        <v>0</v>
      </c>
      <c r="G8827">
        <v>4.3</v>
      </c>
      <c r="H8827" t="s">
        <v>8580</v>
      </c>
      <c r="I8827">
        <v>3</v>
      </c>
      <c r="J8827" t="s">
        <v>445</v>
      </c>
      <c r="K8827" t="s">
        <v>446</v>
      </c>
      <c r="M8827">
        <v>3122</v>
      </c>
    </row>
    <row r="8828" spans="1:14">
      <c r="A8828">
        <v>53990000</v>
      </c>
      <c r="B8828">
        <v>3016524</v>
      </c>
      <c r="C8828" t="s">
        <v>3764</v>
      </c>
      <c r="D8828" t="s">
        <v>441</v>
      </c>
      <c r="F8828">
        <v>0</v>
      </c>
      <c r="G8828">
        <v>10.210000000000001</v>
      </c>
      <c r="H8828" t="s">
        <v>8580</v>
      </c>
      <c r="I8828">
        <v>3</v>
      </c>
      <c r="J8828" t="s">
        <v>445</v>
      </c>
      <c r="K8828" t="s">
        <v>446</v>
      </c>
      <c r="M8828">
        <v>3122</v>
      </c>
      <c r="N8828" t="s">
        <v>16505</v>
      </c>
    </row>
    <row r="8829" spans="1:14">
      <c r="A8829">
        <v>54000000</v>
      </c>
      <c r="B8829">
        <v>3008222</v>
      </c>
      <c r="C8829" t="s">
        <v>3765</v>
      </c>
      <c r="D8829" t="s">
        <v>441</v>
      </c>
      <c r="F8829">
        <v>0</v>
      </c>
      <c r="G8829">
        <v>12.3</v>
      </c>
      <c r="H8829" t="s">
        <v>8580</v>
      </c>
      <c r="I8829">
        <v>3</v>
      </c>
      <c r="J8829" t="s">
        <v>445</v>
      </c>
      <c r="K8829" t="s">
        <v>446</v>
      </c>
      <c r="M8829">
        <v>3122</v>
      </c>
    </row>
    <row r="8830" spans="1:14">
      <c r="A8830">
        <v>54020000</v>
      </c>
      <c r="B8830">
        <v>3016525</v>
      </c>
      <c r="C8830" t="s">
        <v>3766</v>
      </c>
      <c r="D8830" t="s">
        <v>441</v>
      </c>
      <c r="F8830">
        <v>0</v>
      </c>
      <c r="G8830">
        <v>9.48</v>
      </c>
      <c r="H8830" t="s">
        <v>8580</v>
      </c>
      <c r="I8830">
        <v>3</v>
      </c>
      <c r="J8830" t="s">
        <v>445</v>
      </c>
      <c r="K8830" t="s">
        <v>446</v>
      </c>
      <c r="M8830">
        <v>3122</v>
      </c>
    </row>
    <row r="8831" spans="1:14">
      <c r="A8831">
        <v>54040000</v>
      </c>
      <c r="B8831">
        <v>3016526</v>
      </c>
      <c r="C8831" t="s">
        <v>3767</v>
      </c>
      <c r="D8831" t="s">
        <v>441</v>
      </c>
      <c r="F8831">
        <v>0</v>
      </c>
      <c r="G8831">
        <v>5.68</v>
      </c>
      <c r="H8831" t="s">
        <v>8580</v>
      </c>
      <c r="I8831">
        <v>4</v>
      </c>
      <c r="J8831" t="s">
        <v>445</v>
      </c>
      <c r="K8831" t="s">
        <v>446</v>
      </c>
      <c r="M8831">
        <v>3122</v>
      </c>
    </row>
    <row r="8832" spans="1:14">
      <c r="A8832">
        <v>54100000</v>
      </c>
      <c r="B8832">
        <v>3022443</v>
      </c>
      <c r="C8832" t="s">
        <v>3768</v>
      </c>
      <c r="D8832" t="s">
        <v>441</v>
      </c>
      <c r="F8832">
        <v>0</v>
      </c>
      <c r="G8832">
        <v>9</v>
      </c>
      <c r="H8832" t="s">
        <v>12521</v>
      </c>
      <c r="I8832">
        <v>2</v>
      </c>
      <c r="J8832" t="s">
        <v>445</v>
      </c>
      <c r="M8832">
        <v>6666</v>
      </c>
      <c r="N8832" t="s">
        <v>16506</v>
      </c>
    </row>
    <row r="8833" spans="1:14">
      <c r="A8833">
        <v>54110000</v>
      </c>
      <c r="B8833">
        <v>3015643</v>
      </c>
      <c r="C8833" t="s">
        <v>3769</v>
      </c>
      <c r="D8833" t="s">
        <v>441</v>
      </c>
      <c r="F8833">
        <v>0</v>
      </c>
      <c r="G8833">
        <v>4.66</v>
      </c>
      <c r="I8833">
        <v>3</v>
      </c>
      <c r="J8833" t="s">
        <v>445</v>
      </c>
      <c r="K8833" t="s">
        <v>446</v>
      </c>
      <c r="M8833">
        <v>3132</v>
      </c>
    </row>
    <row r="8834" spans="1:14">
      <c r="A8834">
        <v>54120000</v>
      </c>
      <c r="B8834">
        <v>3025746</v>
      </c>
      <c r="C8834" t="s">
        <v>3770</v>
      </c>
      <c r="D8834" t="s">
        <v>441</v>
      </c>
      <c r="F8834">
        <v>0</v>
      </c>
      <c r="G8834">
        <v>7</v>
      </c>
      <c r="H8834" t="s">
        <v>12521</v>
      </c>
      <c r="I8834">
        <v>3</v>
      </c>
      <c r="J8834" t="s">
        <v>445</v>
      </c>
      <c r="M8834">
        <v>6666</v>
      </c>
    </row>
    <row r="8835" spans="1:14">
      <c r="A8835">
        <v>54130000</v>
      </c>
      <c r="B8835">
        <v>3026512</v>
      </c>
      <c r="C8835" t="s">
        <v>3771</v>
      </c>
      <c r="D8835" t="s">
        <v>441</v>
      </c>
      <c r="F8835">
        <v>0</v>
      </c>
      <c r="G8835">
        <v>7.31</v>
      </c>
      <c r="H8835" t="s">
        <v>12521</v>
      </c>
      <c r="I8835">
        <v>3</v>
      </c>
      <c r="J8835" t="s">
        <v>445</v>
      </c>
      <c r="K8835" t="s">
        <v>446</v>
      </c>
      <c r="M8835">
        <v>3132</v>
      </c>
    </row>
    <row r="8836" spans="1:14">
      <c r="A8836">
        <v>54140000</v>
      </c>
      <c r="B8836">
        <v>3008225</v>
      </c>
      <c r="C8836" t="s">
        <v>12589</v>
      </c>
      <c r="D8836" t="s">
        <v>441</v>
      </c>
      <c r="F8836">
        <v>0</v>
      </c>
      <c r="G8836">
        <v>0.76</v>
      </c>
      <c r="H8836" t="s">
        <v>8580</v>
      </c>
      <c r="I8836">
        <v>2</v>
      </c>
      <c r="J8836" t="s">
        <v>445</v>
      </c>
      <c r="K8836" t="s">
        <v>446</v>
      </c>
      <c r="M8836">
        <v>3124</v>
      </c>
    </row>
    <row r="8837" spans="1:14">
      <c r="A8837">
        <v>54150000</v>
      </c>
      <c r="B8837">
        <v>3017069</v>
      </c>
      <c r="C8837" t="s">
        <v>3772</v>
      </c>
      <c r="D8837" t="s">
        <v>441</v>
      </c>
      <c r="F8837">
        <v>0</v>
      </c>
      <c r="G8837">
        <v>4.51</v>
      </c>
      <c r="H8837" t="s">
        <v>8580</v>
      </c>
      <c r="I8837">
        <v>4</v>
      </c>
      <c r="J8837" t="s">
        <v>445</v>
      </c>
      <c r="K8837" t="s">
        <v>446</v>
      </c>
      <c r="M8837">
        <v>3132</v>
      </c>
    </row>
    <row r="8838" spans="1:14">
      <c r="A8838">
        <v>54160000</v>
      </c>
      <c r="B8838">
        <v>3017090</v>
      </c>
      <c r="C8838" t="s">
        <v>3773</v>
      </c>
      <c r="D8838" t="s">
        <v>441</v>
      </c>
      <c r="F8838">
        <v>0</v>
      </c>
      <c r="G8838">
        <v>4.8</v>
      </c>
      <c r="H8838" t="s">
        <v>8580</v>
      </c>
      <c r="I8838">
        <v>4</v>
      </c>
      <c r="J8838" t="s">
        <v>445</v>
      </c>
      <c r="K8838" t="s">
        <v>446</v>
      </c>
      <c r="M8838">
        <v>3132</v>
      </c>
    </row>
    <row r="8839" spans="1:14">
      <c r="A8839">
        <v>54170000</v>
      </c>
      <c r="B8839">
        <v>3017091</v>
      </c>
      <c r="C8839" t="s">
        <v>3774</v>
      </c>
      <c r="D8839" t="s">
        <v>441</v>
      </c>
      <c r="F8839">
        <v>0</v>
      </c>
      <c r="G8839">
        <v>5.65</v>
      </c>
      <c r="H8839" t="s">
        <v>8637</v>
      </c>
      <c r="I8839">
        <v>4</v>
      </c>
      <c r="J8839" t="s">
        <v>445</v>
      </c>
      <c r="K8839" t="s">
        <v>446</v>
      </c>
      <c r="M8839">
        <v>3132</v>
      </c>
    </row>
    <row r="8840" spans="1:14">
      <c r="A8840">
        <v>54180000</v>
      </c>
      <c r="B8840">
        <v>3017092</v>
      </c>
      <c r="C8840" t="s">
        <v>3775</v>
      </c>
      <c r="D8840" t="s">
        <v>441</v>
      </c>
      <c r="F8840">
        <v>0</v>
      </c>
      <c r="G8840">
        <v>3.12</v>
      </c>
      <c r="H8840" t="s">
        <v>8580</v>
      </c>
      <c r="I8840">
        <v>4</v>
      </c>
      <c r="J8840" t="s">
        <v>445</v>
      </c>
      <c r="K8840" t="s">
        <v>446</v>
      </c>
      <c r="M8840">
        <v>3132</v>
      </c>
    </row>
    <row r="8841" spans="1:14">
      <c r="A8841">
        <v>54190000</v>
      </c>
      <c r="B8841">
        <v>3017093</v>
      </c>
      <c r="C8841" t="s">
        <v>3776</v>
      </c>
      <c r="D8841" t="s">
        <v>441</v>
      </c>
      <c r="F8841">
        <v>0</v>
      </c>
      <c r="G8841">
        <v>2.84</v>
      </c>
      <c r="H8841" t="s">
        <v>8580</v>
      </c>
      <c r="I8841">
        <v>4</v>
      </c>
      <c r="J8841" t="s">
        <v>445</v>
      </c>
      <c r="K8841" t="s">
        <v>446</v>
      </c>
      <c r="M8841">
        <v>3132</v>
      </c>
    </row>
    <row r="8842" spans="1:14">
      <c r="A8842">
        <v>54200000</v>
      </c>
      <c r="B8842">
        <v>3017094</v>
      </c>
      <c r="C8842" t="s">
        <v>3777</v>
      </c>
      <c r="D8842" t="s">
        <v>441</v>
      </c>
      <c r="F8842">
        <v>0</v>
      </c>
      <c r="G8842">
        <v>3.88</v>
      </c>
      <c r="H8842" t="s">
        <v>8580</v>
      </c>
      <c r="I8842">
        <v>4</v>
      </c>
      <c r="J8842" t="s">
        <v>445</v>
      </c>
      <c r="K8842" t="s">
        <v>446</v>
      </c>
      <c r="M8842">
        <v>3132</v>
      </c>
    </row>
    <row r="8843" spans="1:14">
      <c r="A8843">
        <v>54210000</v>
      </c>
      <c r="B8843">
        <v>3017916</v>
      </c>
      <c r="C8843" t="s">
        <v>408</v>
      </c>
      <c r="D8843" t="s">
        <v>441</v>
      </c>
      <c r="F8843">
        <v>0</v>
      </c>
      <c r="G8843">
        <v>7.28</v>
      </c>
      <c r="H8843" t="s">
        <v>8580</v>
      </c>
      <c r="I8843">
        <v>2</v>
      </c>
      <c r="J8843" t="s">
        <v>445</v>
      </c>
      <c r="M8843">
        <v>3111</v>
      </c>
      <c r="N8843" t="s">
        <v>16507</v>
      </c>
    </row>
    <row r="8844" spans="1:14">
      <c r="A8844">
        <v>54220000</v>
      </c>
      <c r="B8844">
        <v>3019106</v>
      </c>
      <c r="C8844" t="s">
        <v>12590</v>
      </c>
      <c r="D8844" t="s">
        <v>441</v>
      </c>
      <c r="F8844">
        <v>0</v>
      </c>
      <c r="G8844">
        <v>7.33</v>
      </c>
      <c r="H8844" t="s">
        <v>8584</v>
      </c>
      <c r="I8844">
        <v>3</v>
      </c>
      <c r="J8844" t="s">
        <v>445</v>
      </c>
      <c r="K8844" t="s">
        <v>446</v>
      </c>
      <c r="M8844">
        <v>3132</v>
      </c>
    </row>
    <row r="8845" spans="1:14">
      <c r="A8845">
        <v>54230000</v>
      </c>
      <c r="B8845">
        <v>3019108</v>
      </c>
      <c r="C8845" t="s">
        <v>12591</v>
      </c>
      <c r="D8845" t="s">
        <v>441</v>
      </c>
      <c r="F8845">
        <v>0</v>
      </c>
      <c r="G8845">
        <v>6.87</v>
      </c>
      <c r="H8845" t="s">
        <v>8580</v>
      </c>
      <c r="I8845">
        <v>3</v>
      </c>
      <c r="J8845" t="s">
        <v>445</v>
      </c>
      <c r="K8845" t="s">
        <v>446</v>
      </c>
      <c r="M8845">
        <v>3132</v>
      </c>
    </row>
    <row r="8846" spans="1:14">
      <c r="A8846">
        <v>54240000</v>
      </c>
      <c r="B8846">
        <v>3020099</v>
      </c>
      <c r="C8846" t="s">
        <v>12592</v>
      </c>
      <c r="D8846" t="s">
        <v>441</v>
      </c>
      <c r="F8846">
        <v>0</v>
      </c>
      <c r="G8846">
        <v>11.12</v>
      </c>
      <c r="H8846" t="s">
        <v>8584</v>
      </c>
      <c r="I8846">
        <v>2</v>
      </c>
      <c r="J8846" t="s">
        <v>445</v>
      </c>
      <c r="M8846">
        <v>6666</v>
      </c>
      <c r="N8846" t="s">
        <v>16508</v>
      </c>
    </row>
    <row r="8847" spans="1:14">
      <c r="A8847">
        <v>54250000</v>
      </c>
      <c r="B8847">
        <v>3021420</v>
      </c>
      <c r="C8847" t="s">
        <v>3778</v>
      </c>
      <c r="D8847" t="s">
        <v>441</v>
      </c>
      <c r="F8847">
        <v>0</v>
      </c>
      <c r="G8847">
        <v>9.16</v>
      </c>
      <c r="H8847" t="s">
        <v>12521</v>
      </c>
      <c r="I8847">
        <v>3</v>
      </c>
      <c r="J8847" t="s">
        <v>445</v>
      </c>
      <c r="K8847" t="s">
        <v>446</v>
      </c>
      <c r="M8847">
        <v>3122</v>
      </c>
    </row>
    <row r="8848" spans="1:14">
      <c r="A8848">
        <v>54260000</v>
      </c>
      <c r="B8848">
        <v>3021441</v>
      </c>
      <c r="C8848" t="s">
        <v>12593</v>
      </c>
      <c r="D8848" t="s">
        <v>441</v>
      </c>
      <c r="F8848">
        <v>0</v>
      </c>
      <c r="G8848">
        <v>6.08</v>
      </c>
      <c r="H8848" t="s">
        <v>8580</v>
      </c>
      <c r="I8848">
        <v>2</v>
      </c>
      <c r="J8848" t="s">
        <v>445</v>
      </c>
      <c r="M8848">
        <v>6666</v>
      </c>
    </row>
    <row r="8849" spans="1:14">
      <c r="A8849">
        <v>54270000</v>
      </c>
      <c r="B8849">
        <v>3021470</v>
      </c>
      <c r="C8849" t="s">
        <v>12594</v>
      </c>
      <c r="D8849" t="s">
        <v>441</v>
      </c>
      <c r="F8849">
        <v>0</v>
      </c>
      <c r="G8849">
        <v>5.62</v>
      </c>
      <c r="H8849" t="s">
        <v>12521</v>
      </c>
      <c r="I8849">
        <v>2</v>
      </c>
      <c r="J8849" t="s">
        <v>445</v>
      </c>
      <c r="K8849" t="s">
        <v>446</v>
      </c>
      <c r="M8849">
        <v>3132</v>
      </c>
    </row>
    <row r="8850" spans="1:14">
      <c r="A8850">
        <v>54280000</v>
      </c>
      <c r="B8850">
        <v>3021471</v>
      </c>
      <c r="C8850" t="s">
        <v>12595</v>
      </c>
      <c r="D8850" t="s">
        <v>441</v>
      </c>
      <c r="F8850">
        <v>0</v>
      </c>
      <c r="G8850">
        <v>5.39</v>
      </c>
      <c r="H8850" t="s">
        <v>12521</v>
      </c>
      <c r="I8850">
        <v>2</v>
      </c>
      <c r="J8850" t="s">
        <v>445</v>
      </c>
      <c r="K8850" t="s">
        <v>446</v>
      </c>
      <c r="M8850">
        <v>3132</v>
      </c>
    </row>
    <row r="8851" spans="1:14">
      <c r="A8851">
        <v>54290000</v>
      </c>
      <c r="B8851">
        <v>3021527</v>
      </c>
      <c r="C8851" t="s">
        <v>12596</v>
      </c>
      <c r="D8851" t="s">
        <v>441</v>
      </c>
      <c r="F8851">
        <v>0</v>
      </c>
      <c r="G8851">
        <v>6.36</v>
      </c>
      <c r="H8851" t="s">
        <v>12521</v>
      </c>
      <c r="I8851">
        <v>4</v>
      </c>
      <c r="J8851" t="s">
        <v>445</v>
      </c>
      <c r="M8851">
        <v>6666</v>
      </c>
    </row>
    <row r="8852" spans="1:14">
      <c r="A8852">
        <v>54300000</v>
      </c>
      <c r="B8852">
        <v>3021976</v>
      </c>
      <c r="C8852" t="s">
        <v>3779</v>
      </c>
      <c r="D8852" t="s">
        <v>441</v>
      </c>
      <c r="F8852">
        <v>0</v>
      </c>
      <c r="G8852">
        <v>8.8699999999999992</v>
      </c>
      <c r="H8852" t="s">
        <v>12521</v>
      </c>
      <c r="I8852">
        <v>2</v>
      </c>
      <c r="J8852" t="s">
        <v>445</v>
      </c>
      <c r="M8852">
        <v>6666</v>
      </c>
      <c r="N8852" t="s">
        <v>16509</v>
      </c>
    </row>
    <row r="8853" spans="1:14">
      <c r="A8853">
        <v>54310000</v>
      </c>
      <c r="B8853">
        <v>3017230</v>
      </c>
      <c r="C8853" t="s">
        <v>3780</v>
      </c>
      <c r="D8853" t="s">
        <v>441</v>
      </c>
      <c r="F8853">
        <v>0</v>
      </c>
      <c r="G8853">
        <v>8.23</v>
      </c>
      <c r="H8853" t="s">
        <v>8935</v>
      </c>
      <c r="I8853">
        <v>3</v>
      </c>
      <c r="J8853" t="s">
        <v>445</v>
      </c>
      <c r="M8853">
        <v>6666</v>
      </c>
      <c r="N8853" t="s">
        <v>16510</v>
      </c>
    </row>
    <row r="8854" spans="1:14">
      <c r="A8854">
        <v>54320000</v>
      </c>
      <c r="B8854">
        <v>3021205</v>
      </c>
      <c r="C8854" t="s">
        <v>3781</v>
      </c>
      <c r="D8854" t="s">
        <v>441</v>
      </c>
      <c r="F8854">
        <v>0</v>
      </c>
      <c r="G8854">
        <v>4.4400000000000004</v>
      </c>
      <c r="H8854" t="s">
        <v>12521</v>
      </c>
      <c r="I8854">
        <v>3</v>
      </c>
      <c r="J8854" t="s">
        <v>445</v>
      </c>
      <c r="K8854" t="s">
        <v>446</v>
      </c>
      <c r="M8854">
        <v>3132</v>
      </c>
    </row>
    <row r="8855" spans="1:14">
      <c r="A8855">
        <v>54330000</v>
      </c>
      <c r="B8855">
        <v>3022538</v>
      </c>
      <c r="C8855" t="s">
        <v>12597</v>
      </c>
      <c r="D8855" t="s">
        <v>441</v>
      </c>
      <c r="F8855">
        <v>0</v>
      </c>
      <c r="G8855">
        <v>12.19</v>
      </c>
      <c r="H8855" t="s">
        <v>12521</v>
      </c>
      <c r="I8855">
        <v>2</v>
      </c>
      <c r="J8855" t="s">
        <v>445</v>
      </c>
      <c r="M8855">
        <v>6666</v>
      </c>
      <c r="N8855" t="s">
        <v>16511</v>
      </c>
    </row>
    <row r="8856" spans="1:14">
      <c r="A8856">
        <v>54340000</v>
      </c>
      <c r="B8856">
        <v>3023394</v>
      </c>
      <c r="C8856" t="s">
        <v>12598</v>
      </c>
      <c r="D8856" t="s">
        <v>441</v>
      </c>
      <c r="F8856">
        <v>0</v>
      </c>
      <c r="G8856">
        <v>7.3</v>
      </c>
      <c r="H8856" t="s">
        <v>12521</v>
      </c>
      <c r="I8856">
        <v>4</v>
      </c>
      <c r="J8856" t="s">
        <v>445</v>
      </c>
      <c r="K8856" t="s">
        <v>446</v>
      </c>
      <c r="M8856">
        <v>3132</v>
      </c>
    </row>
    <row r="8857" spans="1:14">
      <c r="A8857">
        <v>54350000</v>
      </c>
      <c r="B8857">
        <v>3023435</v>
      </c>
      <c r="C8857" t="s">
        <v>3782</v>
      </c>
      <c r="D8857" t="s">
        <v>441</v>
      </c>
      <c r="F8857">
        <v>0</v>
      </c>
      <c r="G8857">
        <v>6.57</v>
      </c>
      <c r="H8857" t="s">
        <v>12521</v>
      </c>
      <c r="I8857">
        <v>2</v>
      </c>
      <c r="J8857" t="s">
        <v>445</v>
      </c>
      <c r="K8857" t="s">
        <v>446</v>
      </c>
      <c r="M8857">
        <v>3132</v>
      </c>
    </row>
    <row r="8858" spans="1:14">
      <c r="A8858">
        <v>54360000</v>
      </c>
      <c r="B8858">
        <v>3027100</v>
      </c>
      <c r="C8858" t="s">
        <v>3783</v>
      </c>
      <c r="D8858" t="s">
        <v>441</v>
      </c>
      <c r="F8858">
        <v>0</v>
      </c>
      <c r="G8858">
        <v>6.68</v>
      </c>
      <c r="H8858" t="s">
        <v>12521</v>
      </c>
      <c r="I8858">
        <v>3</v>
      </c>
      <c r="J8858" t="s">
        <v>445</v>
      </c>
      <c r="K8858" t="s">
        <v>446</v>
      </c>
      <c r="M8858">
        <v>3132</v>
      </c>
    </row>
    <row r="8859" spans="1:14">
      <c r="A8859">
        <v>54370000</v>
      </c>
      <c r="B8859">
        <v>3027105</v>
      </c>
      <c r="C8859" t="s">
        <v>3784</v>
      </c>
      <c r="D8859" t="s">
        <v>441</v>
      </c>
      <c r="F8859">
        <v>0</v>
      </c>
      <c r="G8859">
        <v>6.69</v>
      </c>
      <c r="H8859" t="s">
        <v>12521</v>
      </c>
      <c r="I8859">
        <v>3</v>
      </c>
      <c r="J8859" t="s">
        <v>445</v>
      </c>
      <c r="K8859" t="s">
        <v>446</v>
      </c>
      <c r="M8859">
        <v>3132</v>
      </c>
    </row>
    <row r="8860" spans="1:14">
      <c r="A8860">
        <v>54380000</v>
      </c>
      <c r="B8860">
        <v>3027147</v>
      </c>
      <c r="C8860" t="s">
        <v>406</v>
      </c>
      <c r="D8860" t="s">
        <v>441</v>
      </c>
      <c r="F8860">
        <v>0</v>
      </c>
      <c r="G8860">
        <v>4.34</v>
      </c>
      <c r="H8860" t="s">
        <v>12521</v>
      </c>
      <c r="I8860">
        <v>2</v>
      </c>
      <c r="J8860" t="s">
        <v>445</v>
      </c>
      <c r="M8860">
        <v>6666</v>
      </c>
      <c r="N8860" t="s">
        <v>16512</v>
      </c>
    </row>
    <row r="8861" spans="1:14">
      <c r="A8861">
        <v>54390000</v>
      </c>
      <c r="B8861">
        <v>3027308</v>
      </c>
      <c r="C8861" t="s">
        <v>12599</v>
      </c>
      <c r="D8861" t="s">
        <v>441</v>
      </c>
      <c r="F8861">
        <v>0</v>
      </c>
      <c r="G8861">
        <v>10.09</v>
      </c>
      <c r="H8861" t="s">
        <v>12521</v>
      </c>
      <c r="I8861">
        <v>3</v>
      </c>
      <c r="J8861" t="s">
        <v>445</v>
      </c>
      <c r="K8861" t="s">
        <v>446</v>
      </c>
      <c r="M8861">
        <v>3132</v>
      </c>
    </row>
    <row r="8862" spans="1:14">
      <c r="A8862">
        <v>54400000</v>
      </c>
      <c r="B8862">
        <v>3027367</v>
      </c>
      <c r="C8862" t="s">
        <v>12600</v>
      </c>
      <c r="D8862" t="s">
        <v>441</v>
      </c>
      <c r="F8862">
        <v>0</v>
      </c>
      <c r="G8862">
        <v>5.57</v>
      </c>
      <c r="H8862" t="s">
        <v>12521</v>
      </c>
      <c r="I8862">
        <v>3</v>
      </c>
      <c r="J8862" t="s">
        <v>445</v>
      </c>
      <c r="K8862" t="s">
        <v>446</v>
      </c>
      <c r="M8862">
        <v>3132</v>
      </c>
    </row>
    <row r="8863" spans="1:14">
      <c r="A8863">
        <v>54410000</v>
      </c>
      <c r="B8863">
        <v>3027345</v>
      </c>
      <c r="C8863" t="s">
        <v>12601</v>
      </c>
      <c r="D8863" t="s">
        <v>441</v>
      </c>
      <c r="F8863">
        <v>0</v>
      </c>
      <c r="G8863">
        <v>9.23</v>
      </c>
      <c r="H8863" t="s">
        <v>12521</v>
      </c>
      <c r="I8863">
        <v>3</v>
      </c>
      <c r="J8863" t="s">
        <v>445</v>
      </c>
      <c r="K8863" t="s">
        <v>446</v>
      </c>
      <c r="M8863">
        <v>3132</v>
      </c>
    </row>
    <row r="8864" spans="1:14">
      <c r="A8864">
        <v>54420000</v>
      </c>
      <c r="B8864">
        <v>3027381</v>
      </c>
      <c r="C8864" t="s">
        <v>3785</v>
      </c>
      <c r="D8864" t="s">
        <v>441</v>
      </c>
      <c r="F8864">
        <v>0</v>
      </c>
      <c r="G8864">
        <v>9.92</v>
      </c>
      <c r="H8864" t="s">
        <v>12521</v>
      </c>
      <c r="I8864">
        <v>3</v>
      </c>
      <c r="J8864" t="s">
        <v>445</v>
      </c>
      <c r="M8864">
        <v>6666</v>
      </c>
      <c r="N8864" t="s">
        <v>16513</v>
      </c>
    </row>
    <row r="8865" spans="1:14">
      <c r="A8865">
        <v>54430000</v>
      </c>
      <c r="B8865">
        <v>3027563</v>
      </c>
      <c r="C8865" t="s">
        <v>3786</v>
      </c>
      <c r="D8865" t="s">
        <v>441</v>
      </c>
      <c r="F8865">
        <v>0</v>
      </c>
      <c r="G8865">
        <v>7.67</v>
      </c>
      <c r="H8865" t="s">
        <v>12521</v>
      </c>
      <c r="I8865">
        <v>3</v>
      </c>
      <c r="J8865" t="s">
        <v>445</v>
      </c>
      <c r="K8865" t="s">
        <v>446</v>
      </c>
      <c r="M8865">
        <v>3132</v>
      </c>
    </row>
    <row r="8866" spans="1:14">
      <c r="A8866">
        <v>54440000</v>
      </c>
      <c r="B8866">
        <v>3027569</v>
      </c>
      <c r="C8866" t="s">
        <v>12602</v>
      </c>
      <c r="D8866" t="s">
        <v>441</v>
      </c>
      <c r="F8866">
        <v>0</v>
      </c>
      <c r="G8866">
        <v>6.69</v>
      </c>
      <c r="H8866" t="s">
        <v>12521</v>
      </c>
      <c r="I8866">
        <v>3</v>
      </c>
      <c r="J8866" t="s">
        <v>445</v>
      </c>
      <c r="M8866">
        <v>6666</v>
      </c>
    </row>
    <row r="8867" spans="1:14">
      <c r="A8867">
        <v>54450000</v>
      </c>
      <c r="B8867">
        <v>3027584</v>
      </c>
      <c r="C8867" t="s">
        <v>15324</v>
      </c>
      <c r="D8867" t="s">
        <v>441</v>
      </c>
      <c r="F8867">
        <v>0</v>
      </c>
      <c r="G8867">
        <v>3.53</v>
      </c>
      <c r="H8867" t="s">
        <v>12521</v>
      </c>
      <c r="I8867">
        <v>2</v>
      </c>
      <c r="J8867" t="s">
        <v>445</v>
      </c>
      <c r="M8867">
        <v>6666</v>
      </c>
      <c r="N8867" t="s">
        <v>16514</v>
      </c>
    </row>
    <row r="8868" spans="1:14">
      <c r="A8868">
        <v>54460000</v>
      </c>
      <c r="B8868">
        <v>3027557</v>
      </c>
      <c r="C8868" t="s">
        <v>3787</v>
      </c>
      <c r="D8868" t="s">
        <v>441</v>
      </c>
      <c r="F8868">
        <v>0</v>
      </c>
      <c r="G8868">
        <v>4.47</v>
      </c>
      <c r="H8868" t="s">
        <v>12521</v>
      </c>
      <c r="I8868">
        <v>3</v>
      </c>
      <c r="J8868" t="s">
        <v>445</v>
      </c>
      <c r="K8868" t="s">
        <v>446</v>
      </c>
      <c r="M8868">
        <v>3132</v>
      </c>
    </row>
    <row r="8869" spans="1:14">
      <c r="A8869">
        <v>54470000</v>
      </c>
      <c r="B8869">
        <v>3027595</v>
      </c>
      <c r="C8869" t="s">
        <v>3788</v>
      </c>
      <c r="D8869" t="s">
        <v>441</v>
      </c>
      <c r="F8869">
        <v>0</v>
      </c>
      <c r="G8869">
        <v>2.21</v>
      </c>
      <c r="H8869" t="s">
        <v>12521</v>
      </c>
      <c r="I8869">
        <v>2</v>
      </c>
      <c r="J8869" t="s">
        <v>445</v>
      </c>
      <c r="M8869">
        <v>6666</v>
      </c>
      <c r="N8869" t="s">
        <v>16515</v>
      </c>
    </row>
    <row r="8870" spans="1:14">
      <c r="A8870">
        <v>54480000</v>
      </c>
      <c r="B8870">
        <v>3022517</v>
      </c>
      <c r="C8870" t="s">
        <v>3789</v>
      </c>
      <c r="D8870" t="s">
        <v>441</v>
      </c>
      <c r="F8870">
        <v>0</v>
      </c>
      <c r="G8870">
        <v>11.65</v>
      </c>
      <c r="H8870" t="s">
        <v>9295</v>
      </c>
      <c r="I8870">
        <v>3</v>
      </c>
      <c r="J8870" t="s">
        <v>445</v>
      </c>
      <c r="M8870">
        <v>6666</v>
      </c>
      <c r="N8870" t="s">
        <v>16516</v>
      </c>
    </row>
    <row r="8871" spans="1:14">
      <c r="A8871">
        <v>54490000</v>
      </c>
      <c r="B8871">
        <v>3027793</v>
      </c>
      <c r="C8871" t="s">
        <v>3790</v>
      </c>
      <c r="D8871" t="s">
        <v>441</v>
      </c>
      <c r="F8871">
        <v>0</v>
      </c>
      <c r="G8871">
        <v>5.14</v>
      </c>
      <c r="H8871" t="s">
        <v>12521</v>
      </c>
      <c r="I8871">
        <v>3</v>
      </c>
      <c r="J8871" t="s">
        <v>445</v>
      </c>
      <c r="K8871" t="s">
        <v>446</v>
      </c>
      <c r="M8871">
        <v>3132</v>
      </c>
    </row>
    <row r="8872" spans="1:14">
      <c r="A8872">
        <v>54500000</v>
      </c>
      <c r="B8872">
        <v>3013261</v>
      </c>
      <c r="C8872" t="s">
        <v>409</v>
      </c>
      <c r="D8872" t="s">
        <v>441</v>
      </c>
      <c r="F8872">
        <v>0</v>
      </c>
      <c r="G8872">
        <v>10.14</v>
      </c>
      <c r="H8872" t="s">
        <v>12521</v>
      </c>
      <c r="I8872">
        <v>2</v>
      </c>
      <c r="J8872" t="s">
        <v>445</v>
      </c>
      <c r="M8872">
        <v>6666</v>
      </c>
      <c r="N8872" t="s">
        <v>16517</v>
      </c>
    </row>
    <row r="8873" spans="1:14">
      <c r="A8873">
        <v>54510000</v>
      </c>
      <c r="B8873">
        <v>3027984</v>
      </c>
      <c r="C8873" t="s">
        <v>3791</v>
      </c>
      <c r="D8873" t="s">
        <v>441</v>
      </c>
      <c r="F8873">
        <v>0</v>
      </c>
      <c r="G8873">
        <v>6.64</v>
      </c>
      <c r="H8873" t="s">
        <v>12521</v>
      </c>
      <c r="I8873">
        <v>3</v>
      </c>
      <c r="J8873" t="s">
        <v>445</v>
      </c>
      <c r="M8873">
        <v>6666</v>
      </c>
    </row>
    <row r="8874" spans="1:14">
      <c r="A8874">
        <v>54520000</v>
      </c>
      <c r="B8874">
        <v>3027947</v>
      </c>
      <c r="C8874" t="s">
        <v>3792</v>
      </c>
      <c r="D8874" t="s">
        <v>441</v>
      </c>
      <c r="F8874">
        <v>0</v>
      </c>
      <c r="G8874">
        <v>4.21</v>
      </c>
      <c r="H8874" t="s">
        <v>12521</v>
      </c>
      <c r="I8874">
        <v>3</v>
      </c>
      <c r="J8874" t="s">
        <v>445</v>
      </c>
      <c r="K8874" t="s">
        <v>446</v>
      </c>
      <c r="M8874">
        <v>3132</v>
      </c>
    </row>
    <row r="8875" spans="1:14">
      <c r="A8875">
        <v>54530000</v>
      </c>
      <c r="B8875">
        <v>3027991</v>
      </c>
      <c r="C8875" t="s">
        <v>3793</v>
      </c>
      <c r="D8875" t="s">
        <v>441</v>
      </c>
      <c r="F8875">
        <v>0</v>
      </c>
      <c r="G8875">
        <v>3.95</v>
      </c>
      <c r="H8875" t="s">
        <v>12521</v>
      </c>
      <c r="I8875">
        <v>3</v>
      </c>
      <c r="J8875" t="s">
        <v>445</v>
      </c>
      <c r="K8875" t="s">
        <v>446</v>
      </c>
      <c r="M8875">
        <v>3132</v>
      </c>
    </row>
    <row r="8876" spans="1:14">
      <c r="A8876">
        <v>54540000</v>
      </c>
      <c r="B8876">
        <v>3028500</v>
      </c>
      <c r="C8876" t="s">
        <v>3794</v>
      </c>
      <c r="D8876" t="s">
        <v>441</v>
      </c>
      <c r="F8876">
        <v>0</v>
      </c>
      <c r="G8876">
        <v>7.6</v>
      </c>
      <c r="H8876" t="s">
        <v>12521</v>
      </c>
      <c r="I8876">
        <v>3</v>
      </c>
      <c r="J8876" t="s">
        <v>445</v>
      </c>
      <c r="K8876" t="s">
        <v>446</v>
      </c>
      <c r="M8876">
        <v>3132</v>
      </c>
    </row>
    <row r="8877" spans="1:14">
      <c r="A8877">
        <v>54550000</v>
      </c>
      <c r="B8877">
        <v>3029403</v>
      </c>
      <c r="C8877" t="s">
        <v>3795</v>
      </c>
      <c r="D8877" t="s">
        <v>441</v>
      </c>
      <c r="F8877">
        <v>0</v>
      </c>
      <c r="G8877">
        <v>10.91</v>
      </c>
      <c r="H8877" t="s">
        <v>12521</v>
      </c>
      <c r="I8877">
        <v>3</v>
      </c>
      <c r="J8877" t="s">
        <v>445</v>
      </c>
      <c r="K8877" t="s">
        <v>446</v>
      </c>
      <c r="M8877">
        <v>3132</v>
      </c>
    </row>
    <row r="8878" spans="1:14">
      <c r="A8878">
        <v>54560000</v>
      </c>
      <c r="B8878">
        <v>3029644</v>
      </c>
      <c r="C8878" t="s">
        <v>3796</v>
      </c>
      <c r="D8878" t="s">
        <v>441</v>
      </c>
      <c r="F8878">
        <v>0</v>
      </c>
      <c r="G8878">
        <v>6.03</v>
      </c>
      <c r="H8878" t="s">
        <v>12521</v>
      </c>
      <c r="I8878">
        <v>3</v>
      </c>
      <c r="J8878" t="s">
        <v>445</v>
      </c>
      <c r="K8878" t="s">
        <v>446</v>
      </c>
      <c r="M8878">
        <v>3132</v>
      </c>
    </row>
    <row r="8879" spans="1:14">
      <c r="A8879">
        <v>54570000</v>
      </c>
      <c r="B8879">
        <v>3029666</v>
      </c>
      <c r="C8879" t="s">
        <v>3797</v>
      </c>
      <c r="D8879" t="s">
        <v>441</v>
      </c>
      <c r="F8879">
        <v>0</v>
      </c>
      <c r="G8879">
        <v>11.24</v>
      </c>
      <c r="H8879" t="s">
        <v>12521</v>
      </c>
      <c r="I8879">
        <v>3</v>
      </c>
      <c r="J8879" t="s">
        <v>445</v>
      </c>
      <c r="M8879">
        <v>6666</v>
      </c>
      <c r="N8879" t="s">
        <v>16518</v>
      </c>
    </row>
    <row r="8880" spans="1:14">
      <c r="A8880">
        <v>54580000</v>
      </c>
      <c r="B8880">
        <v>3029961</v>
      </c>
      <c r="C8880" t="s">
        <v>3798</v>
      </c>
      <c r="D8880" t="s">
        <v>441</v>
      </c>
      <c r="F8880">
        <v>0</v>
      </c>
      <c r="G8880">
        <v>6.45</v>
      </c>
      <c r="H8880" t="s">
        <v>12521</v>
      </c>
      <c r="I8880">
        <v>2</v>
      </c>
      <c r="J8880" t="s">
        <v>445</v>
      </c>
      <c r="K8880" t="s">
        <v>446</v>
      </c>
      <c r="M8880">
        <v>3132</v>
      </c>
    </row>
    <row r="8881" spans="1:14">
      <c r="A8881">
        <v>54590000</v>
      </c>
      <c r="B8881">
        <v>3029975</v>
      </c>
      <c r="C8881" t="s">
        <v>3799</v>
      </c>
      <c r="D8881" t="s">
        <v>441</v>
      </c>
      <c r="F8881">
        <v>0</v>
      </c>
      <c r="G8881">
        <v>10.46</v>
      </c>
      <c r="H8881" t="s">
        <v>12521</v>
      </c>
      <c r="I8881">
        <v>2</v>
      </c>
      <c r="J8881" t="s">
        <v>445</v>
      </c>
      <c r="K8881" t="s">
        <v>446</v>
      </c>
      <c r="M8881">
        <v>3132</v>
      </c>
    </row>
    <row r="8882" spans="1:14">
      <c r="A8882">
        <v>54600000</v>
      </c>
      <c r="B8882">
        <v>3029979</v>
      </c>
      <c r="C8882" t="s">
        <v>3800</v>
      </c>
      <c r="D8882" t="s">
        <v>441</v>
      </c>
      <c r="F8882">
        <v>0</v>
      </c>
      <c r="G8882">
        <v>10.56</v>
      </c>
      <c r="H8882" t="s">
        <v>12521</v>
      </c>
      <c r="I8882">
        <v>2</v>
      </c>
      <c r="J8882" t="s">
        <v>445</v>
      </c>
      <c r="K8882" t="s">
        <v>446</v>
      </c>
      <c r="M8882">
        <v>3132</v>
      </c>
    </row>
    <row r="8883" spans="1:14">
      <c r="A8883">
        <v>54610000</v>
      </c>
      <c r="B8883">
        <v>3016768</v>
      </c>
      <c r="C8883" t="s">
        <v>3801</v>
      </c>
      <c r="D8883" t="s">
        <v>441</v>
      </c>
      <c r="F8883">
        <v>0</v>
      </c>
      <c r="G8883">
        <v>6.87</v>
      </c>
      <c r="H8883" t="s">
        <v>8935</v>
      </c>
      <c r="I8883">
        <v>3</v>
      </c>
      <c r="J8883" t="s">
        <v>445</v>
      </c>
      <c r="K8883" t="s">
        <v>446</v>
      </c>
      <c r="M8883">
        <v>3132</v>
      </c>
    </row>
    <row r="8884" spans="1:14">
      <c r="A8884">
        <v>54620000</v>
      </c>
      <c r="B8884">
        <v>3016769</v>
      </c>
      <c r="C8884" t="s">
        <v>3802</v>
      </c>
      <c r="D8884" t="s">
        <v>441</v>
      </c>
      <c r="F8884">
        <v>0</v>
      </c>
      <c r="G8884">
        <v>6.98</v>
      </c>
      <c r="H8884" t="s">
        <v>8935</v>
      </c>
      <c r="I8884">
        <v>3</v>
      </c>
      <c r="J8884" t="s">
        <v>445</v>
      </c>
      <c r="K8884" t="s">
        <v>446</v>
      </c>
      <c r="M8884">
        <v>3132</v>
      </c>
    </row>
    <row r="8885" spans="1:14">
      <c r="A8885">
        <v>54630000</v>
      </c>
      <c r="B8885">
        <v>3016770</v>
      </c>
      <c r="C8885" t="s">
        <v>3803</v>
      </c>
      <c r="D8885" t="s">
        <v>441</v>
      </c>
      <c r="F8885">
        <v>0</v>
      </c>
      <c r="G8885">
        <v>9.84</v>
      </c>
      <c r="H8885" t="s">
        <v>8584</v>
      </c>
      <c r="I8885">
        <v>3</v>
      </c>
      <c r="J8885" t="s">
        <v>445</v>
      </c>
      <c r="K8885" t="s">
        <v>446</v>
      </c>
      <c r="M8885">
        <v>3132</v>
      </c>
    </row>
    <row r="8886" spans="1:14">
      <c r="A8886">
        <v>54640000</v>
      </c>
      <c r="B8886">
        <v>3016755</v>
      </c>
      <c r="C8886" t="s">
        <v>12603</v>
      </c>
      <c r="D8886" t="s">
        <v>441</v>
      </c>
      <c r="F8886">
        <v>0</v>
      </c>
      <c r="G8886">
        <v>2.29</v>
      </c>
      <c r="H8886" t="s">
        <v>8580</v>
      </c>
      <c r="I8886">
        <v>1</v>
      </c>
      <c r="J8886" t="s">
        <v>445</v>
      </c>
      <c r="K8886" t="s">
        <v>446</v>
      </c>
      <c r="M8886">
        <v>3132</v>
      </c>
    </row>
    <row r="8887" spans="1:14">
      <c r="A8887">
        <v>54650000</v>
      </c>
      <c r="B8887">
        <v>3016527</v>
      </c>
      <c r="C8887" t="s">
        <v>3804</v>
      </c>
      <c r="D8887" t="s">
        <v>441</v>
      </c>
      <c r="F8887">
        <v>0</v>
      </c>
      <c r="G8887">
        <v>12.28</v>
      </c>
      <c r="H8887" t="s">
        <v>8580</v>
      </c>
      <c r="I8887">
        <v>5</v>
      </c>
      <c r="J8887" t="s">
        <v>445</v>
      </c>
      <c r="M8887">
        <v>6666</v>
      </c>
      <c r="N8887" t="s">
        <v>16519</v>
      </c>
    </row>
    <row r="8888" spans="1:14">
      <c r="A8888">
        <v>54654000</v>
      </c>
      <c r="B8888">
        <v>3039398</v>
      </c>
      <c r="C8888" t="s">
        <v>3805</v>
      </c>
      <c r="D8888" t="s">
        <v>441</v>
      </c>
      <c r="F8888">
        <v>0</v>
      </c>
      <c r="G8888">
        <v>12.28</v>
      </c>
      <c r="H8888" t="s">
        <v>12521</v>
      </c>
      <c r="I8888">
        <v>5</v>
      </c>
      <c r="J8888" t="s">
        <v>445</v>
      </c>
      <c r="M8888">
        <v>6666</v>
      </c>
      <c r="N8888" t="s">
        <v>16519</v>
      </c>
    </row>
    <row r="8889" spans="1:14">
      <c r="A8889">
        <v>54660000</v>
      </c>
      <c r="B8889">
        <v>3008227</v>
      </c>
      <c r="C8889" t="s">
        <v>12604</v>
      </c>
      <c r="D8889" t="s">
        <v>441</v>
      </c>
      <c r="F8889">
        <v>0</v>
      </c>
      <c r="G8889">
        <v>5.48</v>
      </c>
      <c r="H8889" t="s">
        <v>8580</v>
      </c>
      <c r="I8889">
        <v>1</v>
      </c>
      <c r="J8889" t="s">
        <v>445</v>
      </c>
      <c r="K8889" t="s">
        <v>446</v>
      </c>
      <c r="M8889">
        <v>3132</v>
      </c>
    </row>
    <row r="8890" spans="1:14">
      <c r="A8890">
        <v>54670000</v>
      </c>
      <c r="B8890">
        <v>3008228</v>
      </c>
      <c r="C8890" t="s">
        <v>12605</v>
      </c>
      <c r="D8890" t="s">
        <v>441</v>
      </c>
      <c r="F8890">
        <v>0</v>
      </c>
      <c r="G8890">
        <v>10.76</v>
      </c>
      <c r="H8890" t="s">
        <v>8580</v>
      </c>
      <c r="I8890">
        <v>3</v>
      </c>
      <c r="J8890" t="s">
        <v>445</v>
      </c>
      <c r="K8890" t="s">
        <v>446</v>
      </c>
      <c r="M8890">
        <v>3132</v>
      </c>
    </row>
    <row r="8891" spans="1:14">
      <c r="A8891">
        <v>54680000</v>
      </c>
      <c r="B8891">
        <v>3023185</v>
      </c>
      <c r="C8891" t="s">
        <v>3806</v>
      </c>
      <c r="D8891" t="s">
        <v>441</v>
      </c>
      <c r="F8891">
        <v>0</v>
      </c>
      <c r="G8891">
        <v>7.38</v>
      </c>
      <c r="I8891">
        <v>3</v>
      </c>
      <c r="J8891" t="s">
        <v>445</v>
      </c>
      <c r="K8891" t="s">
        <v>446</v>
      </c>
      <c r="M8891">
        <v>3132</v>
      </c>
    </row>
    <row r="8892" spans="1:14">
      <c r="A8892">
        <v>54690000</v>
      </c>
      <c r="B8892">
        <v>3016528</v>
      </c>
      <c r="C8892" t="s">
        <v>3807</v>
      </c>
      <c r="D8892" t="s">
        <v>441</v>
      </c>
      <c r="F8892">
        <v>0</v>
      </c>
      <c r="G8892">
        <v>5.77</v>
      </c>
      <c r="H8892" t="s">
        <v>8580</v>
      </c>
      <c r="I8892">
        <v>1</v>
      </c>
      <c r="J8892" t="s">
        <v>445</v>
      </c>
      <c r="K8892" t="s">
        <v>446</v>
      </c>
      <c r="M8892">
        <v>3132</v>
      </c>
    </row>
    <row r="8893" spans="1:14">
      <c r="A8893">
        <v>54700000</v>
      </c>
      <c r="B8893">
        <v>3016529</v>
      </c>
      <c r="C8893" t="s">
        <v>12606</v>
      </c>
      <c r="D8893" t="s">
        <v>441</v>
      </c>
      <c r="F8893">
        <v>0</v>
      </c>
      <c r="G8893">
        <v>3.57</v>
      </c>
      <c r="H8893" t="s">
        <v>8580</v>
      </c>
      <c r="I8893">
        <v>2</v>
      </c>
      <c r="J8893" t="s">
        <v>445</v>
      </c>
      <c r="K8893" t="s">
        <v>446</v>
      </c>
      <c r="M8893">
        <v>3132</v>
      </c>
    </row>
    <row r="8894" spans="1:14">
      <c r="A8894">
        <v>54710000</v>
      </c>
      <c r="B8894">
        <v>3016530</v>
      </c>
      <c r="C8894" t="s">
        <v>12607</v>
      </c>
      <c r="D8894" t="s">
        <v>441</v>
      </c>
      <c r="F8894">
        <v>0</v>
      </c>
      <c r="G8894">
        <v>4.12</v>
      </c>
      <c r="H8894" t="s">
        <v>8580</v>
      </c>
      <c r="I8894">
        <v>2</v>
      </c>
      <c r="J8894" t="s">
        <v>445</v>
      </c>
      <c r="K8894" t="s">
        <v>446</v>
      </c>
      <c r="M8894">
        <v>3132</v>
      </c>
    </row>
    <row r="8895" spans="1:14">
      <c r="A8895">
        <v>54720000</v>
      </c>
      <c r="B8895">
        <v>3016531</v>
      </c>
      <c r="C8895" t="s">
        <v>12608</v>
      </c>
      <c r="D8895" t="s">
        <v>441</v>
      </c>
      <c r="F8895">
        <v>0</v>
      </c>
      <c r="G8895">
        <v>4.6500000000000004</v>
      </c>
      <c r="H8895" t="s">
        <v>8580</v>
      </c>
      <c r="I8895">
        <v>2</v>
      </c>
      <c r="J8895" t="s">
        <v>445</v>
      </c>
      <c r="K8895" t="s">
        <v>446</v>
      </c>
      <c r="M8895">
        <v>3132</v>
      </c>
    </row>
    <row r="8896" spans="1:14">
      <c r="A8896">
        <v>54730000</v>
      </c>
      <c r="B8896">
        <v>3018148</v>
      </c>
      <c r="C8896" t="s">
        <v>12609</v>
      </c>
      <c r="D8896" t="s">
        <v>441</v>
      </c>
      <c r="F8896">
        <v>0</v>
      </c>
      <c r="G8896">
        <v>4.1100000000000003</v>
      </c>
      <c r="H8896" t="s">
        <v>8584</v>
      </c>
      <c r="I8896">
        <v>4</v>
      </c>
      <c r="J8896" t="s">
        <v>445</v>
      </c>
      <c r="K8896" t="s">
        <v>446</v>
      </c>
      <c r="M8896">
        <v>3132</v>
      </c>
    </row>
    <row r="8897" spans="1:14">
      <c r="A8897">
        <v>54740000</v>
      </c>
      <c r="B8897">
        <v>3008895</v>
      </c>
      <c r="C8897" t="s">
        <v>12610</v>
      </c>
      <c r="D8897" t="s">
        <v>441</v>
      </c>
      <c r="F8897">
        <v>0</v>
      </c>
      <c r="G8897">
        <v>7.15</v>
      </c>
      <c r="H8897" t="s">
        <v>8580</v>
      </c>
      <c r="I8897">
        <v>2</v>
      </c>
      <c r="J8897" t="s">
        <v>445</v>
      </c>
      <c r="K8897" t="s">
        <v>446</v>
      </c>
      <c r="M8897">
        <v>3132</v>
      </c>
    </row>
    <row r="8898" spans="1:14">
      <c r="A8898">
        <v>54750000</v>
      </c>
      <c r="B8898">
        <v>3008234</v>
      </c>
      <c r="C8898" t="s">
        <v>12611</v>
      </c>
      <c r="D8898" t="s">
        <v>441</v>
      </c>
      <c r="F8898">
        <v>0</v>
      </c>
      <c r="G8898">
        <v>10.76</v>
      </c>
      <c r="H8898" t="s">
        <v>8580</v>
      </c>
      <c r="I8898">
        <v>2</v>
      </c>
      <c r="J8898" t="s">
        <v>445</v>
      </c>
      <c r="K8898" t="s">
        <v>446</v>
      </c>
      <c r="M8898">
        <v>3132</v>
      </c>
    </row>
    <row r="8899" spans="1:14">
      <c r="A8899">
        <v>54760000</v>
      </c>
      <c r="B8899">
        <v>3016532</v>
      </c>
      <c r="C8899" t="s">
        <v>3808</v>
      </c>
      <c r="D8899" t="s">
        <v>441</v>
      </c>
      <c r="F8899">
        <v>0</v>
      </c>
      <c r="G8899">
        <v>7</v>
      </c>
      <c r="H8899" t="s">
        <v>12521</v>
      </c>
      <c r="I8899">
        <v>2</v>
      </c>
      <c r="J8899" t="s">
        <v>445</v>
      </c>
      <c r="M8899">
        <v>6666</v>
      </c>
      <c r="N8899" t="s">
        <v>16520</v>
      </c>
    </row>
    <row r="8900" spans="1:14">
      <c r="A8900">
        <v>54770000</v>
      </c>
      <c r="B8900">
        <v>3024054</v>
      </c>
      <c r="C8900" t="s">
        <v>3809</v>
      </c>
      <c r="D8900" t="s">
        <v>441</v>
      </c>
      <c r="F8900">
        <v>0</v>
      </c>
      <c r="G8900">
        <v>8.8699999999999992</v>
      </c>
      <c r="H8900" t="s">
        <v>8588</v>
      </c>
      <c r="I8900">
        <v>3</v>
      </c>
      <c r="J8900" t="s">
        <v>445</v>
      </c>
      <c r="K8900" t="s">
        <v>446</v>
      </c>
      <c r="M8900">
        <v>3132</v>
      </c>
    </row>
    <row r="8901" spans="1:14">
      <c r="A8901">
        <v>54780000</v>
      </c>
      <c r="B8901">
        <v>3024123</v>
      </c>
      <c r="C8901" t="s">
        <v>3810</v>
      </c>
      <c r="D8901" t="s">
        <v>441</v>
      </c>
      <c r="F8901">
        <v>0</v>
      </c>
      <c r="G8901">
        <v>4.91</v>
      </c>
      <c r="H8901" t="s">
        <v>8584</v>
      </c>
      <c r="I8901">
        <v>2</v>
      </c>
      <c r="J8901" t="s">
        <v>445</v>
      </c>
      <c r="K8901" t="s">
        <v>446</v>
      </c>
      <c r="M8901">
        <v>3132</v>
      </c>
    </row>
    <row r="8902" spans="1:14">
      <c r="A8902">
        <v>54790000</v>
      </c>
      <c r="B8902">
        <v>3016415</v>
      </c>
      <c r="C8902" t="s">
        <v>12612</v>
      </c>
      <c r="D8902" t="s">
        <v>441</v>
      </c>
      <c r="F8902">
        <v>0</v>
      </c>
      <c r="G8902">
        <v>4.54</v>
      </c>
      <c r="H8902" t="s">
        <v>8580</v>
      </c>
      <c r="I8902">
        <v>1</v>
      </c>
      <c r="J8902" t="s">
        <v>445</v>
      </c>
      <c r="K8902" t="s">
        <v>446</v>
      </c>
      <c r="M8902">
        <v>3132</v>
      </c>
    </row>
    <row r="8903" spans="1:14">
      <c r="A8903">
        <v>54800000</v>
      </c>
      <c r="B8903">
        <v>3008236</v>
      </c>
      <c r="C8903" t="s">
        <v>12613</v>
      </c>
      <c r="D8903" t="s">
        <v>441</v>
      </c>
      <c r="F8903">
        <v>0</v>
      </c>
      <c r="G8903">
        <v>5.92</v>
      </c>
      <c r="H8903" t="s">
        <v>8580</v>
      </c>
      <c r="I8903">
        <v>1</v>
      </c>
      <c r="J8903" t="s">
        <v>445</v>
      </c>
      <c r="K8903" t="s">
        <v>446</v>
      </c>
      <c r="M8903">
        <v>3132</v>
      </c>
    </row>
    <row r="8904" spans="1:14">
      <c r="A8904">
        <v>54810000</v>
      </c>
      <c r="B8904">
        <v>3016761</v>
      </c>
      <c r="C8904" t="s">
        <v>12614</v>
      </c>
      <c r="D8904" t="s">
        <v>441</v>
      </c>
      <c r="F8904">
        <v>0</v>
      </c>
      <c r="G8904">
        <v>7.8</v>
      </c>
      <c r="H8904" t="s">
        <v>8580</v>
      </c>
      <c r="I8904">
        <v>1</v>
      </c>
      <c r="J8904" t="s">
        <v>445</v>
      </c>
      <c r="K8904" t="s">
        <v>446</v>
      </c>
      <c r="M8904">
        <v>3132</v>
      </c>
    </row>
    <row r="8905" spans="1:14">
      <c r="A8905">
        <v>54820000</v>
      </c>
      <c r="B8905">
        <v>3016759</v>
      </c>
      <c r="C8905" t="s">
        <v>12615</v>
      </c>
      <c r="D8905" t="s">
        <v>441</v>
      </c>
      <c r="F8905">
        <v>0</v>
      </c>
      <c r="G8905">
        <v>7.9</v>
      </c>
      <c r="I8905">
        <v>1</v>
      </c>
      <c r="J8905" t="s">
        <v>445</v>
      </c>
      <c r="K8905" t="s">
        <v>446</v>
      </c>
      <c r="M8905">
        <v>3132</v>
      </c>
    </row>
    <row r="8906" spans="1:14">
      <c r="A8906">
        <v>54830000</v>
      </c>
      <c r="B8906">
        <v>3016533</v>
      </c>
      <c r="C8906" t="s">
        <v>12616</v>
      </c>
      <c r="D8906" t="s">
        <v>441</v>
      </c>
      <c r="F8906">
        <v>0</v>
      </c>
      <c r="G8906">
        <v>5.8</v>
      </c>
      <c r="H8906" t="s">
        <v>8580</v>
      </c>
      <c r="I8906">
        <v>1</v>
      </c>
      <c r="J8906" t="s">
        <v>445</v>
      </c>
      <c r="M8906">
        <v>6666</v>
      </c>
      <c r="N8906" t="s">
        <v>16521</v>
      </c>
    </row>
    <row r="8907" spans="1:14">
      <c r="A8907">
        <v>54840000</v>
      </c>
      <c r="B8907">
        <v>3016534</v>
      </c>
      <c r="C8907" t="s">
        <v>12617</v>
      </c>
      <c r="D8907" t="s">
        <v>441</v>
      </c>
      <c r="F8907">
        <v>0</v>
      </c>
      <c r="G8907">
        <v>7.52</v>
      </c>
      <c r="H8907" t="s">
        <v>8580</v>
      </c>
      <c r="I8907">
        <v>1</v>
      </c>
      <c r="J8907" t="s">
        <v>445</v>
      </c>
      <c r="K8907" t="s">
        <v>446</v>
      </c>
      <c r="M8907">
        <v>3132</v>
      </c>
    </row>
    <row r="8908" spans="1:14">
      <c r="A8908">
        <v>54850000</v>
      </c>
      <c r="B8908">
        <v>3016535</v>
      </c>
      <c r="C8908" t="s">
        <v>12618</v>
      </c>
      <c r="D8908" t="s">
        <v>441</v>
      </c>
      <c r="F8908">
        <v>0</v>
      </c>
      <c r="G8908">
        <v>5.38</v>
      </c>
      <c r="H8908" t="s">
        <v>8580</v>
      </c>
      <c r="I8908">
        <v>1</v>
      </c>
      <c r="J8908" t="s">
        <v>445</v>
      </c>
      <c r="M8908">
        <v>6666</v>
      </c>
      <c r="N8908" t="s">
        <v>16484</v>
      </c>
    </row>
    <row r="8909" spans="1:14">
      <c r="A8909">
        <v>54860000</v>
      </c>
      <c r="B8909">
        <v>3024525</v>
      </c>
      <c r="C8909" t="s">
        <v>12619</v>
      </c>
      <c r="D8909" t="s">
        <v>441</v>
      </c>
      <c r="F8909">
        <v>0</v>
      </c>
      <c r="G8909">
        <v>6.26</v>
      </c>
      <c r="H8909" t="s">
        <v>8584</v>
      </c>
      <c r="I8909">
        <v>1</v>
      </c>
      <c r="J8909" t="s">
        <v>445</v>
      </c>
      <c r="K8909" t="s">
        <v>446</v>
      </c>
      <c r="M8909">
        <v>3122</v>
      </c>
    </row>
    <row r="8910" spans="1:14">
      <c r="A8910">
        <v>54870000</v>
      </c>
      <c r="B8910">
        <v>3016536</v>
      </c>
      <c r="C8910" t="s">
        <v>12620</v>
      </c>
      <c r="D8910" t="s">
        <v>441</v>
      </c>
      <c r="F8910">
        <v>0</v>
      </c>
      <c r="G8910">
        <v>4.55</v>
      </c>
      <c r="H8910" t="s">
        <v>8580</v>
      </c>
      <c r="I8910">
        <v>1</v>
      </c>
      <c r="J8910" t="s">
        <v>445</v>
      </c>
      <c r="K8910" t="s">
        <v>446</v>
      </c>
      <c r="M8910">
        <v>3132</v>
      </c>
    </row>
    <row r="8911" spans="1:14">
      <c r="A8911">
        <v>54880000</v>
      </c>
      <c r="B8911">
        <v>3024253</v>
      </c>
      <c r="C8911" t="s">
        <v>12621</v>
      </c>
      <c r="D8911" t="s">
        <v>441</v>
      </c>
      <c r="F8911">
        <v>0</v>
      </c>
      <c r="G8911">
        <v>1.8</v>
      </c>
      <c r="I8911">
        <v>1</v>
      </c>
      <c r="J8911" t="s">
        <v>445</v>
      </c>
      <c r="K8911" t="s">
        <v>446</v>
      </c>
      <c r="M8911">
        <v>3132</v>
      </c>
    </row>
    <row r="8912" spans="1:14">
      <c r="A8912">
        <v>54890000</v>
      </c>
      <c r="B8912">
        <v>3024533</v>
      </c>
      <c r="C8912" t="s">
        <v>12622</v>
      </c>
      <c r="D8912" t="s">
        <v>441</v>
      </c>
      <c r="F8912">
        <v>0</v>
      </c>
      <c r="G8912">
        <v>4.59</v>
      </c>
      <c r="H8912" t="s">
        <v>8637</v>
      </c>
      <c r="I8912">
        <v>1</v>
      </c>
      <c r="J8912" t="s">
        <v>445</v>
      </c>
      <c r="K8912" t="s">
        <v>446</v>
      </c>
      <c r="M8912">
        <v>3122</v>
      </c>
    </row>
    <row r="8913" spans="1:14">
      <c r="A8913">
        <v>54900000</v>
      </c>
      <c r="B8913">
        <v>3016539</v>
      </c>
      <c r="C8913" t="s">
        <v>17586</v>
      </c>
      <c r="D8913" t="s">
        <v>441</v>
      </c>
      <c r="F8913">
        <v>0</v>
      </c>
      <c r="G8913">
        <v>4.0599999999999996</v>
      </c>
      <c r="H8913" t="s">
        <v>8580</v>
      </c>
      <c r="I8913">
        <v>1</v>
      </c>
      <c r="J8913" t="s">
        <v>445</v>
      </c>
      <c r="K8913" t="s">
        <v>446</v>
      </c>
      <c r="M8913">
        <v>6666</v>
      </c>
      <c r="N8913" t="s">
        <v>16522</v>
      </c>
    </row>
    <row r="8914" spans="1:14">
      <c r="A8914">
        <v>54910000</v>
      </c>
      <c r="B8914">
        <v>3016540</v>
      </c>
      <c r="C8914" t="s">
        <v>12623</v>
      </c>
      <c r="D8914" t="s">
        <v>441</v>
      </c>
      <c r="F8914">
        <v>0</v>
      </c>
      <c r="G8914">
        <v>3</v>
      </c>
      <c r="H8914" t="s">
        <v>8580</v>
      </c>
      <c r="I8914">
        <v>1</v>
      </c>
      <c r="J8914" t="s">
        <v>445</v>
      </c>
      <c r="K8914" t="s">
        <v>446</v>
      </c>
      <c r="M8914">
        <v>3132</v>
      </c>
    </row>
    <row r="8915" spans="1:14">
      <c r="A8915">
        <v>54920000</v>
      </c>
      <c r="B8915">
        <v>3016541</v>
      </c>
      <c r="C8915" t="s">
        <v>410</v>
      </c>
      <c r="D8915" t="s">
        <v>441</v>
      </c>
      <c r="F8915">
        <v>0</v>
      </c>
      <c r="G8915">
        <v>11.09</v>
      </c>
      <c r="H8915" t="s">
        <v>8580</v>
      </c>
      <c r="I8915">
        <v>3</v>
      </c>
      <c r="J8915" t="s">
        <v>445</v>
      </c>
      <c r="M8915">
        <v>6666</v>
      </c>
      <c r="N8915" t="s">
        <v>16523</v>
      </c>
    </row>
    <row r="8916" spans="1:14">
      <c r="A8916">
        <v>54930000</v>
      </c>
      <c r="B8916">
        <v>3016542</v>
      </c>
      <c r="C8916" t="s">
        <v>12624</v>
      </c>
      <c r="D8916" t="s">
        <v>441</v>
      </c>
      <c r="F8916">
        <v>0</v>
      </c>
      <c r="G8916">
        <v>8.34</v>
      </c>
      <c r="H8916" t="s">
        <v>8580</v>
      </c>
      <c r="I8916">
        <v>3</v>
      </c>
      <c r="J8916" t="s">
        <v>445</v>
      </c>
      <c r="K8916" t="s">
        <v>446</v>
      </c>
      <c r="M8916">
        <v>3132</v>
      </c>
    </row>
    <row r="8917" spans="1:14">
      <c r="A8917">
        <v>54940000</v>
      </c>
      <c r="B8917">
        <v>3022615</v>
      </c>
      <c r="C8917" t="s">
        <v>3811</v>
      </c>
      <c r="D8917" t="s">
        <v>441</v>
      </c>
      <c r="F8917">
        <v>0</v>
      </c>
      <c r="G8917">
        <v>8.86</v>
      </c>
      <c r="H8917" t="s">
        <v>8580</v>
      </c>
      <c r="I8917">
        <v>3</v>
      </c>
      <c r="J8917" t="s">
        <v>445</v>
      </c>
      <c r="K8917" t="s">
        <v>446</v>
      </c>
      <c r="M8917">
        <v>3132</v>
      </c>
    </row>
    <row r="8918" spans="1:14">
      <c r="A8918">
        <v>54950000</v>
      </c>
      <c r="B8918">
        <v>3008248</v>
      </c>
      <c r="C8918" t="s">
        <v>12625</v>
      </c>
      <c r="D8918" t="s">
        <v>441</v>
      </c>
      <c r="F8918">
        <v>0</v>
      </c>
      <c r="G8918">
        <v>7.77</v>
      </c>
      <c r="H8918" t="s">
        <v>8580</v>
      </c>
      <c r="I8918">
        <v>3</v>
      </c>
      <c r="J8918" t="s">
        <v>445</v>
      </c>
      <c r="K8918" t="s">
        <v>446</v>
      </c>
      <c r="M8918">
        <v>3132</v>
      </c>
    </row>
    <row r="8919" spans="1:14">
      <c r="A8919">
        <v>54960000</v>
      </c>
      <c r="B8919">
        <v>3016543</v>
      </c>
      <c r="C8919" t="s">
        <v>12626</v>
      </c>
      <c r="D8919" t="s">
        <v>441</v>
      </c>
      <c r="F8919">
        <v>0</v>
      </c>
      <c r="G8919">
        <v>9.31</v>
      </c>
      <c r="H8919" t="s">
        <v>8580</v>
      </c>
      <c r="I8919">
        <v>3</v>
      </c>
      <c r="J8919" t="s">
        <v>445</v>
      </c>
      <c r="K8919" t="s">
        <v>446</v>
      </c>
      <c r="M8919">
        <v>3132</v>
      </c>
    </row>
    <row r="8920" spans="1:14">
      <c r="A8920">
        <v>54970000</v>
      </c>
      <c r="B8920">
        <v>3022752</v>
      </c>
      <c r="C8920" t="s">
        <v>12627</v>
      </c>
      <c r="D8920" t="s">
        <v>441</v>
      </c>
      <c r="F8920">
        <v>0</v>
      </c>
      <c r="G8920">
        <v>5.45</v>
      </c>
      <c r="H8920" t="s">
        <v>12521</v>
      </c>
      <c r="I8920">
        <v>1</v>
      </c>
      <c r="J8920" t="s">
        <v>445</v>
      </c>
      <c r="K8920" t="s">
        <v>446</v>
      </c>
      <c r="M8920">
        <v>3132</v>
      </c>
    </row>
    <row r="8921" spans="1:14">
      <c r="A8921">
        <v>54980000</v>
      </c>
      <c r="B8921">
        <v>3016544</v>
      </c>
      <c r="C8921" t="s">
        <v>12628</v>
      </c>
      <c r="D8921" t="s">
        <v>441</v>
      </c>
      <c r="F8921">
        <v>0</v>
      </c>
      <c r="G8921">
        <v>6.95</v>
      </c>
      <c r="H8921" t="s">
        <v>8580</v>
      </c>
      <c r="I8921">
        <v>3</v>
      </c>
      <c r="J8921" t="s">
        <v>445</v>
      </c>
      <c r="K8921" t="s">
        <v>446</v>
      </c>
      <c r="M8921">
        <v>3132</v>
      </c>
    </row>
    <row r="8922" spans="1:14">
      <c r="A8922">
        <v>54990000</v>
      </c>
      <c r="B8922">
        <v>3016545</v>
      </c>
      <c r="C8922" t="s">
        <v>12629</v>
      </c>
      <c r="D8922" t="s">
        <v>441</v>
      </c>
      <c r="F8922">
        <v>0</v>
      </c>
      <c r="G8922">
        <v>4.3099999999999996</v>
      </c>
      <c r="H8922" t="s">
        <v>8580</v>
      </c>
      <c r="I8922">
        <v>1</v>
      </c>
      <c r="J8922" t="s">
        <v>445</v>
      </c>
      <c r="K8922" t="s">
        <v>446</v>
      </c>
      <c r="M8922">
        <v>3132</v>
      </c>
    </row>
    <row r="8923" spans="1:14">
      <c r="A8923">
        <v>55050000</v>
      </c>
      <c r="B8923">
        <v>3025954</v>
      </c>
      <c r="C8923" t="s">
        <v>12630</v>
      </c>
      <c r="D8923" t="s">
        <v>441</v>
      </c>
      <c r="F8923">
        <v>0</v>
      </c>
      <c r="G8923">
        <v>7.8</v>
      </c>
      <c r="H8923" t="s">
        <v>12521</v>
      </c>
      <c r="I8923">
        <v>2</v>
      </c>
      <c r="J8923" t="s">
        <v>445</v>
      </c>
      <c r="K8923" t="s">
        <v>446</v>
      </c>
      <c r="M8923">
        <v>2641</v>
      </c>
    </row>
    <row r="8924" spans="1:14">
      <c r="A8924">
        <v>55050007</v>
      </c>
      <c r="B8924">
        <v>3025966</v>
      </c>
      <c r="C8924" t="s">
        <v>3812</v>
      </c>
      <c r="D8924" t="s">
        <v>441</v>
      </c>
      <c r="F8924">
        <v>0</v>
      </c>
      <c r="G8924">
        <v>9.6300000000000008</v>
      </c>
      <c r="H8924" t="s">
        <v>8588</v>
      </c>
      <c r="I8924">
        <v>6</v>
      </c>
      <c r="J8924" t="s">
        <v>445</v>
      </c>
      <c r="K8924" t="s">
        <v>446</v>
      </c>
      <c r="M8924">
        <v>2621</v>
      </c>
      <c r="N8924" t="s">
        <v>16524</v>
      </c>
    </row>
    <row r="8925" spans="1:14">
      <c r="A8925">
        <v>55050030</v>
      </c>
      <c r="B8925">
        <v>4016970</v>
      </c>
      <c r="C8925" t="s">
        <v>12631</v>
      </c>
      <c r="D8925" t="s">
        <v>442</v>
      </c>
      <c r="E8925" t="s">
        <v>441</v>
      </c>
      <c r="F8925">
        <v>1</v>
      </c>
      <c r="G8925">
        <v>8.7799999999999994</v>
      </c>
      <c r="H8925" t="s">
        <v>8588</v>
      </c>
      <c r="I8925">
        <v>12</v>
      </c>
      <c r="J8925" t="s">
        <v>462</v>
      </c>
      <c r="K8925" t="s">
        <v>446</v>
      </c>
      <c r="M8925">
        <v>2612</v>
      </c>
    </row>
    <row r="8926" spans="1:14">
      <c r="A8926">
        <v>55050031</v>
      </c>
      <c r="B8926">
        <v>4016969</v>
      </c>
      <c r="C8926" t="s">
        <v>12632</v>
      </c>
      <c r="D8926" t="s">
        <v>442</v>
      </c>
      <c r="E8926" t="s">
        <v>441</v>
      </c>
      <c r="F8926">
        <v>0.5</v>
      </c>
      <c r="G8926">
        <v>4.6500000000000004</v>
      </c>
      <c r="H8926" t="s">
        <v>8588</v>
      </c>
      <c r="I8926">
        <v>12</v>
      </c>
      <c r="J8926" t="s">
        <v>462</v>
      </c>
      <c r="K8926" t="s">
        <v>446</v>
      </c>
      <c r="M8926">
        <v>2612</v>
      </c>
    </row>
    <row r="8927" spans="1:14">
      <c r="A8927">
        <v>55050080</v>
      </c>
      <c r="B8927">
        <v>3027444</v>
      </c>
      <c r="C8927" t="s">
        <v>3813</v>
      </c>
      <c r="D8927" t="s">
        <v>441</v>
      </c>
      <c r="F8927">
        <v>0</v>
      </c>
      <c r="G8927">
        <v>9.7100000000000009</v>
      </c>
      <c r="H8927" t="s">
        <v>12521</v>
      </c>
      <c r="I8927">
        <v>6</v>
      </c>
      <c r="J8927" t="s">
        <v>445</v>
      </c>
      <c r="K8927" t="s">
        <v>446</v>
      </c>
      <c r="M8927">
        <v>2641</v>
      </c>
    </row>
    <row r="8928" spans="1:14">
      <c r="A8928">
        <v>55050087</v>
      </c>
      <c r="B8928">
        <v>3026175</v>
      </c>
      <c r="C8928" t="s">
        <v>3814</v>
      </c>
      <c r="D8928" t="s">
        <v>441</v>
      </c>
      <c r="F8928">
        <v>0</v>
      </c>
      <c r="G8928">
        <v>9.66</v>
      </c>
      <c r="H8928" t="s">
        <v>12521</v>
      </c>
      <c r="I8928">
        <v>6</v>
      </c>
      <c r="J8928" t="s">
        <v>445</v>
      </c>
      <c r="K8928" t="s">
        <v>446</v>
      </c>
      <c r="L8928">
        <v>209232</v>
      </c>
      <c r="M8928">
        <v>2641</v>
      </c>
      <c r="N8928" t="s">
        <v>16524</v>
      </c>
    </row>
    <row r="8929" spans="1:14">
      <c r="A8929">
        <v>55090000</v>
      </c>
      <c r="B8929">
        <v>3016546</v>
      </c>
      <c r="C8929" t="s">
        <v>3815</v>
      </c>
      <c r="D8929" t="s">
        <v>441</v>
      </c>
      <c r="F8929">
        <v>0</v>
      </c>
      <c r="G8929">
        <v>6.64</v>
      </c>
      <c r="H8929" t="s">
        <v>8580</v>
      </c>
      <c r="I8929">
        <v>2</v>
      </c>
      <c r="J8929" t="s">
        <v>445</v>
      </c>
      <c r="K8929" t="s">
        <v>446</v>
      </c>
      <c r="M8929">
        <v>2621</v>
      </c>
    </row>
    <row r="8930" spans="1:14">
      <c r="A8930">
        <v>55090007</v>
      </c>
      <c r="B8930">
        <v>3026200</v>
      </c>
      <c r="C8930" t="s">
        <v>3816</v>
      </c>
      <c r="D8930" t="s">
        <v>441</v>
      </c>
      <c r="F8930">
        <v>0</v>
      </c>
      <c r="G8930">
        <v>8.08</v>
      </c>
      <c r="H8930" t="s">
        <v>8588</v>
      </c>
      <c r="I8930">
        <v>6</v>
      </c>
      <c r="J8930" t="s">
        <v>445</v>
      </c>
      <c r="K8930" t="s">
        <v>446</v>
      </c>
      <c r="M8930">
        <v>2621</v>
      </c>
      <c r="N8930" t="s">
        <v>16525</v>
      </c>
    </row>
    <row r="8931" spans="1:14">
      <c r="A8931">
        <v>55090030</v>
      </c>
      <c r="B8931">
        <v>4001869</v>
      </c>
      <c r="C8931" t="s">
        <v>12633</v>
      </c>
      <c r="D8931" t="s">
        <v>442</v>
      </c>
      <c r="E8931" t="s">
        <v>441</v>
      </c>
      <c r="F8931">
        <v>0.5</v>
      </c>
      <c r="G8931">
        <v>3.38</v>
      </c>
      <c r="H8931" t="s">
        <v>10655</v>
      </c>
      <c r="I8931">
        <v>12</v>
      </c>
      <c r="J8931" t="s">
        <v>462</v>
      </c>
      <c r="K8931" t="s">
        <v>446</v>
      </c>
      <c r="M8931">
        <v>2622</v>
      </c>
    </row>
    <row r="8932" spans="1:14">
      <c r="A8932">
        <v>55090031</v>
      </c>
      <c r="B8932">
        <v>4009963</v>
      </c>
      <c r="C8932" t="s">
        <v>12634</v>
      </c>
      <c r="D8932" t="s">
        <v>442</v>
      </c>
      <c r="E8932" t="s">
        <v>441</v>
      </c>
      <c r="F8932">
        <v>0.5</v>
      </c>
      <c r="G8932">
        <v>3.39</v>
      </c>
      <c r="H8932" t="s">
        <v>10655</v>
      </c>
      <c r="I8932">
        <v>12</v>
      </c>
      <c r="J8932" t="s">
        <v>462</v>
      </c>
      <c r="K8932" t="s">
        <v>446</v>
      </c>
      <c r="M8932">
        <v>2622</v>
      </c>
    </row>
    <row r="8933" spans="1:14">
      <c r="A8933">
        <v>55090032</v>
      </c>
      <c r="B8933">
        <v>4010831</v>
      </c>
      <c r="C8933" t="s">
        <v>12635</v>
      </c>
      <c r="D8933" t="s">
        <v>442</v>
      </c>
      <c r="E8933" t="s">
        <v>441</v>
      </c>
      <c r="F8933">
        <v>0.5</v>
      </c>
      <c r="G8933">
        <v>3.84</v>
      </c>
      <c r="H8933" t="s">
        <v>10655</v>
      </c>
      <c r="I8933">
        <v>12</v>
      </c>
      <c r="J8933" t="s">
        <v>462</v>
      </c>
      <c r="K8933" t="s">
        <v>446</v>
      </c>
      <c r="M8933">
        <v>2622</v>
      </c>
    </row>
    <row r="8934" spans="1:14">
      <c r="A8934">
        <v>55090033</v>
      </c>
      <c r="B8934">
        <v>4011041</v>
      </c>
      <c r="C8934" t="s">
        <v>12636</v>
      </c>
      <c r="D8934" t="s">
        <v>442</v>
      </c>
      <c r="E8934" t="s">
        <v>441</v>
      </c>
      <c r="F8934">
        <v>0.5</v>
      </c>
      <c r="G8934">
        <v>4.04</v>
      </c>
      <c r="H8934" t="s">
        <v>10655</v>
      </c>
      <c r="I8934">
        <v>12</v>
      </c>
      <c r="J8934" t="s">
        <v>462</v>
      </c>
      <c r="K8934" t="s">
        <v>446</v>
      </c>
      <c r="M8934">
        <v>2622</v>
      </c>
    </row>
    <row r="8935" spans="1:14">
      <c r="A8935">
        <v>55090065</v>
      </c>
      <c r="B8935">
        <v>4008010</v>
      </c>
      <c r="C8935" t="s">
        <v>12637</v>
      </c>
      <c r="D8935" t="s">
        <v>442</v>
      </c>
      <c r="E8935" t="s">
        <v>441</v>
      </c>
      <c r="F8935">
        <v>4.5</v>
      </c>
      <c r="G8935">
        <v>33.89</v>
      </c>
      <c r="H8935" t="s">
        <v>10655</v>
      </c>
      <c r="I8935">
        <v>12</v>
      </c>
      <c r="J8935" t="s">
        <v>462</v>
      </c>
      <c r="K8935" t="s">
        <v>446</v>
      </c>
      <c r="M8935">
        <v>2622</v>
      </c>
    </row>
    <row r="8936" spans="1:14">
      <c r="A8936">
        <v>55090066</v>
      </c>
      <c r="B8936">
        <v>4004091</v>
      </c>
      <c r="C8936" t="s">
        <v>3817</v>
      </c>
      <c r="D8936" t="s">
        <v>442</v>
      </c>
      <c r="E8936" t="s">
        <v>441</v>
      </c>
      <c r="F8936">
        <v>0.75</v>
      </c>
      <c r="G8936">
        <v>5.6</v>
      </c>
      <c r="H8936" t="s">
        <v>10655</v>
      </c>
      <c r="I8936">
        <v>12</v>
      </c>
      <c r="J8936" t="s">
        <v>462</v>
      </c>
      <c r="K8936" t="s">
        <v>446</v>
      </c>
      <c r="M8936">
        <v>2622</v>
      </c>
    </row>
    <row r="8937" spans="1:14">
      <c r="A8937">
        <v>55090067</v>
      </c>
      <c r="B8937">
        <v>4004092</v>
      </c>
      <c r="C8937" t="s">
        <v>12638</v>
      </c>
      <c r="D8937" t="s">
        <v>442</v>
      </c>
      <c r="E8937" t="s">
        <v>441</v>
      </c>
      <c r="F8937">
        <v>0.5</v>
      </c>
      <c r="G8937">
        <v>4.0599999999999996</v>
      </c>
      <c r="H8937" t="s">
        <v>10655</v>
      </c>
      <c r="I8937">
        <v>12</v>
      </c>
      <c r="J8937" t="s">
        <v>462</v>
      </c>
      <c r="K8937" t="s">
        <v>446</v>
      </c>
      <c r="M8937">
        <v>2622</v>
      </c>
    </row>
    <row r="8938" spans="1:14">
      <c r="A8938">
        <v>55090068</v>
      </c>
      <c r="B8938">
        <v>4015815</v>
      </c>
      <c r="C8938" t="s">
        <v>12639</v>
      </c>
      <c r="D8938" t="s">
        <v>442</v>
      </c>
      <c r="E8938" t="s">
        <v>441</v>
      </c>
      <c r="F8938">
        <v>1</v>
      </c>
      <c r="G8938">
        <v>7.6</v>
      </c>
      <c r="H8938" t="s">
        <v>8588</v>
      </c>
      <c r="I8938">
        <v>12</v>
      </c>
      <c r="J8938" t="s">
        <v>462</v>
      </c>
      <c r="K8938" t="s">
        <v>446</v>
      </c>
      <c r="M8938">
        <v>2622</v>
      </c>
    </row>
    <row r="8939" spans="1:14">
      <c r="A8939">
        <v>55090080</v>
      </c>
      <c r="B8939">
        <v>3027445</v>
      </c>
      <c r="C8939" t="s">
        <v>3818</v>
      </c>
      <c r="D8939" t="s">
        <v>441</v>
      </c>
      <c r="F8939">
        <v>0</v>
      </c>
      <c r="G8939">
        <v>7.66</v>
      </c>
      <c r="H8939" t="s">
        <v>8588</v>
      </c>
      <c r="I8939">
        <v>6</v>
      </c>
      <c r="J8939" t="s">
        <v>445</v>
      </c>
      <c r="K8939" t="s">
        <v>446</v>
      </c>
      <c r="M8939">
        <v>2641</v>
      </c>
    </row>
    <row r="8940" spans="1:14">
      <c r="A8940">
        <v>55090087</v>
      </c>
      <c r="B8940">
        <v>3026209</v>
      </c>
      <c r="C8940" t="s">
        <v>3819</v>
      </c>
      <c r="D8940" t="s">
        <v>441</v>
      </c>
      <c r="F8940">
        <v>0</v>
      </c>
      <c r="G8940">
        <v>8.11</v>
      </c>
      <c r="H8940" t="s">
        <v>8588</v>
      </c>
      <c r="I8940">
        <v>6</v>
      </c>
      <c r="J8940" t="s">
        <v>445</v>
      </c>
      <c r="K8940" t="s">
        <v>446</v>
      </c>
      <c r="M8940">
        <v>2641</v>
      </c>
      <c r="N8940" t="s">
        <v>16525</v>
      </c>
    </row>
    <row r="8941" spans="1:14">
      <c r="A8941">
        <v>55090095</v>
      </c>
      <c r="B8941">
        <v>4007550</v>
      </c>
      <c r="C8941" t="s">
        <v>12640</v>
      </c>
      <c r="D8941" t="s">
        <v>442</v>
      </c>
      <c r="E8941" t="s">
        <v>441</v>
      </c>
      <c r="F8941">
        <v>0.5</v>
      </c>
      <c r="G8941">
        <v>3.89</v>
      </c>
      <c r="H8941" t="s">
        <v>8588</v>
      </c>
      <c r="I8941">
        <v>12</v>
      </c>
      <c r="J8941" t="s">
        <v>462</v>
      </c>
      <c r="K8941" t="s">
        <v>446</v>
      </c>
      <c r="M8941">
        <v>2622</v>
      </c>
    </row>
    <row r="8942" spans="1:14">
      <c r="A8942">
        <v>55090096</v>
      </c>
      <c r="B8942">
        <v>4009785</v>
      </c>
      <c r="C8942" t="s">
        <v>12641</v>
      </c>
      <c r="D8942" t="s">
        <v>442</v>
      </c>
      <c r="E8942" t="s">
        <v>441</v>
      </c>
      <c r="F8942">
        <v>0.5</v>
      </c>
      <c r="G8942">
        <v>3.47</v>
      </c>
      <c r="H8942" t="s">
        <v>10655</v>
      </c>
      <c r="I8942">
        <v>12</v>
      </c>
      <c r="J8942" t="s">
        <v>462</v>
      </c>
      <c r="K8942" t="s">
        <v>446</v>
      </c>
      <c r="M8942">
        <v>2622</v>
      </c>
    </row>
    <row r="8943" spans="1:14">
      <c r="A8943">
        <v>55100000</v>
      </c>
      <c r="B8943">
        <v>3008253</v>
      </c>
      <c r="C8943" t="s">
        <v>3820</v>
      </c>
      <c r="D8943" t="s">
        <v>441</v>
      </c>
      <c r="F8943">
        <v>0</v>
      </c>
      <c r="G8943">
        <v>10.220000000000001</v>
      </c>
      <c r="H8943" t="s">
        <v>8580</v>
      </c>
      <c r="I8943">
        <v>3</v>
      </c>
      <c r="J8943" t="s">
        <v>445</v>
      </c>
      <c r="K8943" t="s">
        <v>446</v>
      </c>
      <c r="M8943">
        <v>0</v>
      </c>
    </row>
    <row r="8944" spans="1:14">
      <c r="A8944">
        <v>55100045</v>
      </c>
      <c r="B8944">
        <v>4004095</v>
      </c>
      <c r="C8944" t="s">
        <v>3821</v>
      </c>
      <c r="D8944" t="s">
        <v>441</v>
      </c>
      <c r="F8944">
        <v>0</v>
      </c>
      <c r="G8944">
        <v>10.91</v>
      </c>
      <c r="H8944" t="s">
        <v>8588</v>
      </c>
      <c r="I8944">
        <v>18</v>
      </c>
      <c r="J8944" t="s">
        <v>462</v>
      </c>
      <c r="K8944" t="s">
        <v>446</v>
      </c>
      <c r="M8944">
        <v>2612</v>
      </c>
    </row>
    <row r="8945" spans="1:14">
      <c r="A8945">
        <v>55100145</v>
      </c>
      <c r="B8945">
        <v>3008254</v>
      </c>
      <c r="C8945" t="s">
        <v>12642</v>
      </c>
      <c r="D8945" t="s">
        <v>441</v>
      </c>
      <c r="F8945">
        <v>0</v>
      </c>
      <c r="G8945">
        <v>11.2</v>
      </c>
      <c r="H8945" t="s">
        <v>8580</v>
      </c>
      <c r="I8945">
        <v>3</v>
      </c>
      <c r="J8945" t="s">
        <v>445</v>
      </c>
      <c r="K8945" t="s">
        <v>446</v>
      </c>
      <c r="M8945">
        <v>2612</v>
      </c>
    </row>
    <row r="8946" spans="1:14">
      <c r="A8946">
        <v>55150000</v>
      </c>
      <c r="B8946">
        <v>3016086</v>
      </c>
      <c r="C8946" t="s">
        <v>12643</v>
      </c>
      <c r="D8946" t="s">
        <v>441</v>
      </c>
      <c r="F8946">
        <v>0</v>
      </c>
      <c r="G8946">
        <v>6.03</v>
      </c>
      <c r="H8946" t="s">
        <v>8580</v>
      </c>
      <c r="I8946">
        <v>5</v>
      </c>
      <c r="J8946" t="s">
        <v>445</v>
      </c>
      <c r="K8946" t="s">
        <v>446</v>
      </c>
      <c r="M8946">
        <v>2621</v>
      </c>
    </row>
    <row r="8947" spans="1:14">
      <c r="A8947">
        <v>55150030</v>
      </c>
      <c r="B8947">
        <v>4010960</v>
      </c>
      <c r="C8947" t="s">
        <v>12644</v>
      </c>
      <c r="D8947" t="s">
        <v>442</v>
      </c>
      <c r="E8947" t="s">
        <v>441</v>
      </c>
      <c r="F8947">
        <v>0.5</v>
      </c>
      <c r="G8947">
        <v>3.74</v>
      </c>
      <c r="H8947" t="s">
        <v>10655</v>
      </c>
      <c r="I8947">
        <v>12</v>
      </c>
      <c r="J8947" t="s">
        <v>462</v>
      </c>
      <c r="K8947" t="s">
        <v>446</v>
      </c>
      <c r="L8947" t="s">
        <v>12645</v>
      </c>
      <c r="M8947">
        <v>2622</v>
      </c>
    </row>
    <row r="8948" spans="1:14">
      <c r="A8948">
        <v>55150031</v>
      </c>
      <c r="B8948">
        <v>4011144</v>
      </c>
      <c r="C8948" t="s">
        <v>12646</v>
      </c>
      <c r="D8948" t="s">
        <v>442</v>
      </c>
      <c r="E8948" t="s">
        <v>441</v>
      </c>
      <c r="F8948">
        <v>0.5</v>
      </c>
      <c r="G8948">
        <v>3.69</v>
      </c>
      <c r="H8948" t="s">
        <v>10655</v>
      </c>
      <c r="I8948">
        <v>12</v>
      </c>
      <c r="J8948" t="s">
        <v>462</v>
      </c>
      <c r="K8948" t="s">
        <v>446</v>
      </c>
      <c r="M8948">
        <v>2622</v>
      </c>
    </row>
    <row r="8949" spans="1:14">
      <c r="A8949">
        <v>55150032</v>
      </c>
      <c r="B8949">
        <v>4011366</v>
      </c>
      <c r="C8949" t="s">
        <v>12647</v>
      </c>
      <c r="D8949" t="s">
        <v>442</v>
      </c>
      <c r="E8949" t="s">
        <v>441</v>
      </c>
      <c r="F8949">
        <v>0.75</v>
      </c>
      <c r="G8949">
        <v>5.35</v>
      </c>
      <c r="H8949" t="s">
        <v>10655</v>
      </c>
      <c r="I8949">
        <v>12</v>
      </c>
      <c r="J8949" t="s">
        <v>462</v>
      </c>
      <c r="K8949" t="s">
        <v>446</v>
      </c>
      <c r="M8949">
        <v>2622</v>
      </c>
    </row>
    <row r="8950" spans="1:14">
      <c r="A8950">
        <v>55160000</v>
      </c>
      <c r="B8950">
        <v>3023291</v>
      </c>
      <c r="C8950" t="s">
        <v>12648</v>
      </c>
      <c r="D8950" t="s">
        <v>441</v>
      </c>
      <c r="F8950">
        <v>0</v>
      </c>
      <c r="G8950">
        <v>7.08</v>
      </c>
      <c r="H8950" t="s">
        <v>12521</v>
      </c>
      <c r="I8950">
        <v>2</v>
      </c>
      <c r="J8950" t="s">
        <v>445</v>
      </c>
      <c r="K8950" t="s">
        <v>446</v>
      </c>
      <c r="M8950">
        <v>2622</v>
      </c>
    </row>
    <row r="8951" spans="1:14">
      <c r="A8951">
        <v>55160030</v>
      </c>
      <c r="B8951">
        <v>4015384</v>
      </c>
      <c r="C8951" t="s">
        <v>12649</v>
      </c>
      <c r="D8951" t="s">
        <v>442</v>
      </c>
      <c r="E8951" t="s">
        <v>441</v>
      </c>
      <c r="F8951">
        <v>0.5</v>
      </c>
      <c r="G8951">
        <v>4.26</v>
      </c>
      <c r="H8951" t="s">
        <v>8588</v>
      </c>
      <c r="I8951">
        <v>12</v>
      </c>
      <c r="J8951" t="s">
        <v>462</v>
      </c>
      <c r="K8951" t="s">
        <v>446</v>
      </c>
      <c r="L8951" t="s">
        <v>12650</v>
      </c>
      <c r="M8951">
        <v>2622</v>
      </c>
    </row>
    <row r="8952" spans="1:14">
      <c r="A8952">
        <v>55210000</v>
      </c>
      <c r="B8952">
        <v>3032352</v>
      </c>
      <c r="C8952" t="s">
        <v>3811</v>
      </c>
      <c r="D8952" t="s">
        <v>441</v>
      </c>
      <c r="F8952">
        <v>0</v>
      </c>
      <c r="G8952">
        <v>10.4</v>
      </c>
      <c r="H8952" t="s">
        <v>12521</v>
      </c>
      <c r="I8952">
        <v>3</v>
      </c>
      <c r="J8952" t="s">
        <v>445</v>
      </c>
      <c r="K8952" t="s">
        <v>446</v>
      </c>
      <c r="M8952">
        <v>6666</v>
      </c>
    </row>
    <row r="8953" spans="1:14">
      <c r="A8953">
        <v>55220000</v>
      </c>
      <c r="B8953">
        <v>3032344</v>
      </c>
      <c r="C8953" t="s">
        <v>422</v>
      </c>
      <c r="D8953" t="s">
        <v>441</v>
      </c>
      <c r="F8953">
        <v>0</v>
      </c>
      <c r="G8953">
        <v>11.33</v>
      </c>
      <c r="H8953" t="s">
        <v>12521</v>
      </c>
      <c r="I8953">
        <v>3</v>
      </c>
      <c r="J8953" t="s">
        <v>445</v>
      </c>
      <c r="M8953">
        <v>3111</v>
      </c>
      <c r="N8953" t="s">
        <v>16526</v>
      </c>
    </row>
    <row r="8954" spans="1:14">
      <c r="A8954">
        <v>55230000</v>
      </c>
      <c r="B8954">
        <v>3032357</v>
      </c>
      <c r="C8954" t="s">
        <v>401</v>
      </c>
      <c r="D8954" t="s">
        <v>441</v>
      </c>
      <c r="F8954">
        <v>0</v>
      </c>
      <c r="G8954">
        <v>8.9600000000000009</v>
      </c>
      <c r="H8954" t="s">
        <v>12521</v>
      </c>
      <c r="I8954">
        <v>3</v>
      </c>
      <c r="J8954" t="s">
        <v>445</v>
      </c>
      <c r="M8954">
        <v>6666</v>
      </c>
      <c r="N8954" t="s">
        <v>16527</v>
      </c>
    </row>
    <row r="8955" spans="1:14">
      <c r="A8955">
        <v>55240000</v>
      </c>
      <c r="B8955">
        <v>3032523</v>
      </c>
      <c r="C8955" t="s">
        <v>3822</v>
      </c>
      <c r="D8955" t="s">
        <v>441</v>
      </c>
      <c r="F8955">
        <v>0</v>
      </c>
      <c r="G8955">
        <v>10.039999999999999</v>
      </c>
      <c r="H8955" t="s">
        <v>12521</v>
      </c>
      <c r="I8955">
        <v>3</v>
      </c>
      <c r="J8955" t="s">
        <v>445</v>
      </c>
      <c r="M8955">
        <v>6666</v>
      </c>
      <c r="N8955" t="s">
        <v>16528</v>
      </c>
    </row>
    <row r="8956" spans="1:14">
      <c r="A8956">
        <v>55250000</v>
      </c>
      <c r="B8956">
        <v>3032609</v>
      </c>
      <c r="C8956" t="s">
        <v>3823</v>
      </c>
      <c r="D8956" t="s">
        <v>441</v>
      </c>
      <c r="F8956">
        <v>0</v>
      </c>
      <c r="G8956">
        <v>9.52</v>
      </c>
      <c r="H8956" t="s">
        <v>12521</v>
      </c>
      <c r="I8956">
        <v>3</v>
      </c>
      <c r="J8956" t="s">
        <v>445</v>
      </c>
      <c r="M8956">
        <v>6666</v>
      </c>
      <c r="N8956" t="s">
        <v>16529</v>
      </c>
    </row>
    <row r="8957" spans="1:14">
      <c r="A8957">
        <v>55260000</v>
      </c>
      <c r="B8957">
        <v>3032751</v>
      </c>
      <c r="C8957" t="s">
        <v>426</v>
      </c>
      <c r="D8957" t="s">
        <v>441</v>
      </c>
      <c r="F8957">
        <v>0</v>
      </c>
      <c r="G8957">
        <v>11.55</v>
      </c>
      <c r="H8957" t="s">
        <v>12521</v>
      </c>
      <c r="I8957">
        <v>2</v>
      </c>
      <c r="J8957" t="s">
        <v>445</v>
      </c>
      <c r="M8957">
        <v>3111</v>
      </c>
      <c r="N8957" t="s">
        <v>16530</v>
      </c>
    </row>
    <row r="8958" spans="1:14">
      <c r="A8958">
        <v>55270000</v>
      </c>
      <c r="B8958">
        <v>3033356</v>
      </c>
      <c r="C8958" t="s">
        <v>3824</v>
      </c>
      <c r="D8958" t="s">
        <v>441</v>
      </c>
      <c r="F8958">
        <v>0</v>
      </c>
      <c r="G8958">
        <v>8.67</v>
      </c>
      <c r="H8958" t="s">
        <v>12521</v>
      </c>
      <c r="I8958">
        <v>2</v>
      </c>
      <c r="J8958" t="s">
        <v>445</v>
      </c>
      <c r="M8958">
        <v>6666</v>
      </c>
      <c r="N8958" t="s">
        <v>16531</v>
      </c>
    </row>
    <row r="8959" spans="1:14">
      <c r="A8959">
        <v>55280000</v>
      </c>
      <c r="B8959">
        <v>3034141</v>
      </c>
      <c r="C8959" t="s">
        <v>3825</v>
      </c>
      <c r="D8959" t="s">
        <v>441</v>
      </c>
      <c r="F8959">
        <v>0</v>
      </c>
      <c r="G8959">
        <v>9.44</v>
      </c>
      <c r="H8959" t="s">
        <v>12521</v>
      </c>
      <c r="I8959">
        <v>2</v>
      </c>
      <c r="J8959" t="s">
        <v>445</v>
      </c>
      <c r="M8959">
        <v>6666</v>
      </c>
      <c r="N8959" t="s">
        <v>16509</v>
      </c>
    </row>
    <row r="8960" spans="1:14">
      <c r="A8960">
        <v>55290000</v>
      </c>
      <c r="B8960">
        <v>3026630</v>
      </c>
      <c r="C8960" t="s">
        <v>3826</v>
      </c>
      <c r="D8960" t="s">
        <v>441</v>
      </c>
      <c r="F8960">
        <v>0</v>
      </c>
      <c r="G8960">
        <v>9.4499999999999993</v>
      </c>
      <c r="H8960" t="s">
        <v>12521</v>
      </c>
      <c r="I8960">
        <v>3</v>
      </c>
      <c r="J8960" t="s">
        <v>445</v>
      </c>
      <c r="M8960">
        <v>6666</v>
      </c>
      <c r="N8960" t="s">
        <v>16532</v>
      </c>
    </row>
    <row r="8961" spans="1:14">
      <c r="A8961">
        <v>55300000</v>
      </c>
      <c r="B8961">
        <v>3016547</v>
      </c>
      <c r="C8961" t="s">
        <v>12651</v>
      </c>
      <c r="D8961" t="s">
        <v>441</v>
      </c>
      <c r="F8961">
        <v>0</v>
      </c>
      <c r="G8961">
        <v>10.9</v>
      </c>
      <c r="H8961" t="s">
        <v>8580</v>
      </c>
      <c r="I8961">
        <v>2</v>
      </c>
      <c r="J8961" t="s">
        <v>445</v>
      </c>
      <c r="K8961" t="s">
        <v>446</v>
      </c>
      <c r="M8961">
        <v>2621</v>
      </c>
      <c r="N8961" t="s">
        <v>16533</v>
      </c>
    </row>
    <row r="8962" spans="1:14">
      <c r="A8962">
        <v>55300030</v>
      </c>
      <c r="B8962">
        <v>4006723</v>
      </c>
      <c r="C8962" t="s">
        <v>12652</v>
      </c>
      <c r="D8962" t="s">
        <v>442</v>
      </c>
      <c r="E8962" t="s">
        <v>441</v>
      </c>
      <c r="F8962">
        <v>0.5</v>
      </c>
      <c r="G8962">
        <v>5.71</v>
      </c>
      <c r="H8962" t="s">
        <v>10655</v>
      </c>
      <c r="I8962">
        <v>9</v>
      </c>
      <c r="J8962" t="s">
        <v>462</v>
      </c>
      <c r="K8962" t="s">
        <v>446</v>
      </c>
      <c r="M8962">
        <v>2622</v>
      </c>
    </row>
    <row r="8963" spans="1:14">
      <c r="A8963">
        <v>55310000</v>
      </c>
      <c r="B8963">
        <v>3036946</v>
      </c>
      <c r="C8963" t="s">
        <v>3827</v>
      </c>
      <c r="D8963" t="s">
        <v>441</v>
      </c>
      <c r="F8963">
        <v>0</v>
      </c>
      <c r="G8963">
        <v>11.23</v>
      </c>
      <c r="H8963" t="s">
        <v>12521</v>
      </c>
      <c r="I8963">
        <v>2</v>
      </c>
      <c r="J8963" t="s">
        <v>445</v>
      </c>
      <c r="M8963">
        <v>6666</v>
      </c>
      <c r="N8963" t="s">
        <v>16534</v>
      </c>
    </row>
    <row r="8964" spans="1:14">
      <c r="A8964">
        <v>55320000</v>
      </c>
      <c r="B8964">
        <v>3037031</v>
      </c>
      <c r="C8964" t="s">
        <v>12653</v>
      </c>
      <c r="D8964" t="s">
        <v>441</v>
      </c>
      <c r="F8964">
        <v>0</v>
      </c>
      <c r="G8964">
        <v>9.82</v>
      </c>
      <c r="H8964" t="s">
        <v>12521</v>
      </c>
      <c r="I8964">
        <v>2</v>
      </c>
      <c r="J8964" t="s">
        <v>445</v>
      </c>
      <c r="M8964">
        <v>6666</v>
      </c>
      <c r="N8964" t="s">
        <v>16535</v>
      </c>
    </row>
    <row r="8965" spans="1:14">
      <c r="A8965">
        <v>55330000</v>
      </c>
      <c r="B8965">
        <v>3037275</v>
      </c>
      <c r="C8965" t="s">
        <v>3828</v>
      </c>
      <c r="D8965" t="s">
        <v>441</v>
      </c>
      <c r="F8965">
        <v>0</v>
      </c>
      <c r="G8965">
        <v>9.69</v>
      </c>
      <c r="H8965" t="s">
        <v>12521</v>
      </c>
      <c r="I8965">
        <v>4</v>
      </c>
      <c r="J8965" t="s">
        <v>445</v>
      </c>
      <c r="M8965">
        <v>6666</v>
      </c>
      <c r="N8965" t="s">
        <v>16536</v>
      </c>
    </row>
    <row r="8966" spans="1:14">
      <c r="A8966">
        <v>55340000</v>
      </c>
      <c r="B8966">
        <v>3043327</v>
      </c>
      <c r="C8966" t="s">
        <v>3829</v>
      </c>
      <c r="D8966" t="s">
        <v>441</v>
      </c>
      <c r="F8966">
        <v>0</v>
      </c>
      <c r="G8966">
        <v>9.85</v>
      </c>
      <c r="H8966" t="s">
        <v>12521</v>
      </c>
      <c r="I8966">
        <v>3</v>
      </c>
      <c r="J8966" t="s">
        <v>445</v>
      </c>
      <c r="M8966">
        <v>6666</v>
      </c>
      <c r="N8966" t="s">
        <v>16537</v>
      </c>
    </row>
    <row r="8967" spans="1:14">
      <c r="A8967">
        <v>55350000</v>
      </c>
      <c r="B8967">
        <v>3043625</v>
      </c>
      <c r="C8967" t="s">
        <v>12654</v>
      </c>
      <c r="D8967" t="s">
        <v>441</v>
      </c>
      <c r="F8967">
        <v>0</v>
      </c>
      <c r="G8967">
        <v>9.64</v>
      </c>
      <c r="H8967" t="s">
        <v>12521</v>
      </c>
      <c r="I8967">
        <v>3</v>
      </c>
      <c r="J8967" t="s">
        <v>445</v>
      </c>
      <c r="M8967">
        <v>6666</v>
      </c>
      <c r="N8967" t="s">
        <v>16538</v>
      </c>
    </row>
    <row r="8968" spans="1:14">
      <c r="A8968">
        <v>55400000</v>
      </c>
      <c r="B8968">
        <v>3014376</v>
      </c>
      <c r="C8968" t="s">
        <v>3830</v>
      </c>
      <c r="D8968" t="s">
        <v>441</v>
      </c>
      <c r="F8968">
        <v>0</v>
      </c>
      <c r="G8968">
        <v>6.24</v>
      </c>
      <c r="H8968" t="s">
        <v>8580</v>
      </c>
      <c r="I8968">
        <v>2</v>
      </c>
      <c r="J8968" t="s">
        <v>445</v>
      </c>
      <c r="K8968" t="s">
        <v>446</v>
      </c>
      <c r="M8968">
        <v>2621</v>
      </c>
      <c r="N8968" t="s">
        <v>16539</v>
      </c>
    </row>
    <row r="8969" spans="1:14">
      <c r="A8969">
        <v>55400030</v>
      </c>
      <c r="B8969">
        <v>4010578</v>
      </c>
      <c r="C8969" t="s">
        <v>12655</v>
      </c>
      <c r="D8969" t="s">
        <v>442</v>
      </c>
      <c r="E8969" t="s">
        <v>441</v>
      </c>
      <c r="F8969">
        <v>0.5</v>
      </c>
      <c r="G8969">
        <v>3.84</v>
      </c>
      <c r="H8969" t="s">
        <v>8588</v>
      </c>
      <c r="I8969">
        <v>12</v>
      </c>
      <c r="J8969" t="s">
        <v>462</v>
      </c>
      <c r="K8969" t="s">
        <v>446</v>
      </c>
      <c r="L8969" t="s">
        <v>12656</v>
      </c>
      <c r="M8969">
        <v>2622</v>
      </c>
    </row>
    <row r="8970" spans="1:14">
      <c r="A8970">
        <v>55400031</v>
      </c>
      <c r="B8970">
        <v>4010682</v>
      </c>
      <c r="C8970" t="s">
        <v>12657</v>
      </c>
      <c r="D8970" t="s">
        <v>442</v>
      </c>
      <c r="E8970" t="s">
        <v>441</v>
      </c>
      <c r="F8970">
        <v>0.75</v>
      </c>
      <c r="G8970">
        <v>5.5</v>
      </c>
      <c r="H8970" t="s">
        <v>8588</v>
      </c>
      <c r="I8970">
        <v>12</v>
      </c>
      <c r="J8970" t="s">
        <v>462</v>
      </c>
      <c r="K8970" t="s">
        <v>446</v>
      </c>
      <c r="M8970">
        <v>2622</v>
      </c>
    </row>
    <row r="8971" spans="1:14">
      <c r="A8971">
        <v>55400032</v>
      </c>
      <c r="B8971">
        <v>4010802</v>
      </c>
      <c r="C8971" t="s">
        <v>12658</v>
      </c>
      <c r="D8971" t="s">
        <v>442</v>
      </c>
      <c r="E8971" t="s">
        <v>441</v>
      </c>
      <c r="F8971">
        <v>0.5</v>
      </c>
      <c r="G8971">
        <v>3.88</v>
      </c>
      <c r="H8971" t="s">
        <v>8588</v>
      </c>
      <c r="I8971">
        <v>12</v>
      </c>
      <c r="J8971" t="s">
        <v>462</v>
      </c>
      <c r="K8971" t="s">
        <v>446</v>
      </c>
      <c r="M8971">
        <v>2622</v>
      </c>
    </row>
    <row r="8972" spans="1:14">
      <c r="A8972">
        <v>55400033</v>
      </c>
      <c r="B8972">
        <v>4013531</v>
      </c>
      <c r="C8972" t="s">
        <v>12659</v>
      </c>
      <c r="D8972" t="s">
        <v>442</v>
      </c>
      <c r="E8972" t="s">
        <v>441</v>
      </c>
      <c r="F8972">
        <v>0.5</v>
      </c>
      <c r="G8972">
        <v>3.74</v>
      </c>
      <c r="H8972" t="s">
        <v>8588</v>
      </c>
      <c r="I8972">
        <v>12</v>
      </c>
      <c r="J8972" t="s">
        <v>462</v>
      </c>
      <c r="K8972" t="s">
        <v>446</v>
      </c>
      <c r="M8972">
        <v>2622</v>
      </c>
    </row>
    <row r="8973" spans="1:14">
      <c r="A8973">
        <v>55410000</v>
      </c>
      <c r="B8973">
        <v>3023292</v>
      </c>
      <c r="C8973" t="s">
        <v>12660</v>
      </c>
      <c r="D8973" t="s">
        <v>441</v>
      </c>
      <c r="F8973">
        <v>0</v>
      </c>
      <c r="G8973">
        <v>6.94</v>
      </c>
      <c r="H8973" t="s">
        <v>12521</v>
      </c>
      <c r="I8973">
        <v>2</v>
      </c>
      <c r="J8973" t="s">
        <v>445</v>
      </c>
      <c r="K8973" t="s">
        <v>446</v>
      </c>
      <c r="M8973">
        <v>2622</v>
      </c>
    </row>
    <row r="8974" spans="1:14">
      <c r="A8974">
        <v>55410007</v>
      </c>
      <c r="B8974">
        <v>3026396</v>
      </c>
      <c r="C8974" t="s">
        <v>3831</v>
      </c>
      <c r="D8974" t="s">
        <v>441</v>
      </c>
      <c r="F8974">
        <v>0</v>
      </c>
      <c r="G8974">
        <v>5.53</v>
      </c>
      <c r="H8974" t="s">
        <v>8588</v>
      </c>
      <c r="I8974">
        <v>6</v>
      </c>
      <c r="J8974" t="s">
        <v>445</v>
      </c>
      <c r="K8974" t="s">
        <v>446</v>
      </c>
      <c r="M8974">
        <v>2692</v>
      </c>
      <c r="N8974" t="s">
        <v>16540</v>
      </c>
    </row>
    <row r="8975" spans="1:14">
      <c r="A8975">
        <v>55410030</v>
      </c>
      <c r="B8975">
        <v>4015385</v>
      </c>
      <c r="C8975" t="s">
        <v>12661</v>
      </c>
      <c r="D8975" t="s">
        <v>442</v>
      </c>
      <c r="E8975" t="s">
        <v>441</v>
      </c>
      <c r="F8975">
        <v>0.5</v>
      </c>
      <c r="G8975">
        <v>4.1900000000000004</v>
      </c>
      <c r="H8975" t="s">
        <v>8588</v>
      </c>
      <c r="I8975">
        <v>12</v>
      </c>
      <c r="J8975" t="s">
        <v>462</v>
      </c>
      <c r="K8975" t="s">
        <v>446</v>
      </c>
      <c r="L8975" t="s">
        <v>12662</v>
      </c>
      <c r="M8975">
        <v>2622</v>
      </c>
    </row>
    <row r="8976" spans="1:14">
      <c r="A8976">
        <v>55410080</v>
      </c>
      <c r="B8976">
        <v>3027446</v>
      </c>
      <c r="C8976" t="s">
        <v>3832</v>
      </c>
      <c r="D8976" t="s">
        <v>441</v>
      </c>
      <c r="F8976">
        <v>0</v>
      </c>
      <c r="G8976">
        <v>8.2100000000000009</v>
      </c>
      <c r="H8976" t="s">
        <v>8588</v>
      </c>
      <c r="I8976">
        <v>6</v>
      </c>
      <c r="J8976" t="s">
        <v>445</v>
      </c>
      <c r="K8976" t="s">
        <v>446</v>
      </c>
      <c r="M8976">
        <v>2641</v>
      </c>
      <c r="N8976" t="s">
        <v>16540</v>
      </c>
    </row>
    <row r="8977" spans="1:14">
      <c r="A8977">
        <v>55410087</v>
      </c>
      <c r="B8977">
        <v>3026397</v>
      </c>
      <c r="C8977" t="s">
        <v>3833</v>
      </c>
      <c r="D8977" t="s">
        <v>441</v>
      </c>
      <c r="F8977">
        <v>0</v>
      </c>
      <c r="G8977">
        <v>5.58</v>
      </c>
      <c r="H8977" t="s">
        <v>8588</v>
      </c>
      <c r="I8977">
        <v>6</v>
      </c>
      <c r="J8977" t="s">
        <v>445</v>
      </c>
      <c r="K8977" t="s">
        <v>446</v>
      </c>
      <c r="M8977">
        <v>2692</v>
      </c>
      <c r="N8977" t="s">
        <v>16540</v>
      </c>
    </row>
    <row r="8978" spans="1:14">
      <c r="A8978">
        <v>55420000</v>
      </c>
      <c r="B8978">
        <v>3034350</v>
      </c>
      <c r="C8978" t="s">
        <v>3834</v>
      </c>
      <c r="D8978" t="s">
        <v>441</v>
      </c>
      <c r="F8978">
        <v>0</v>
      </c>
      <c r="G8978">
        <v>10.41</v>
      </c>
      <c r="H8978" t="s">
        <v>12521</v>
      </c>
      <c r="I8978">
        <v>2</v>
      </c>
      <c r="J8978" t="s">
        <v>445</v>
      </c>
      <c r="M8978">
        <v>6666</v>
      </c>
      <c r="N8978" t="s">
        <v>16541</v>
      </c>
    </row>
    <row r="8979" spans="1:14">
      <c r="A8979">
        <v>55430000</v>
      </c>
      <c r="B8979">
        <v>3034353</v>
      </c>
      <c r="C8979" t="s">
        <v>3835</v>
      </c>
      <c r="D8979" t="s">
        <v>441</v>
      </c>
      <c r="F8979">
        <v>0</v>
      </c>
      <c r="G8979">
        <v>7.1</v>
      </c>
      <c r="H8979" t="s">
        <v>12521</v>
      </c>
      <c r="I8979">
        <v>2</v>
      </c>
      <c r="J8979" t="s">
        <v>445</v>
      </c>
      <c r="M8979">
        <v>6666</v>
      </c>
      <c r="N8979" t="s">
        <v>16542</v>
      </c>
    </row>
    <row r="8980" spans="1:14">
      <c r="A8980">
        <v>55440000</v>
      </c>
      <c r="B8980">
        <v>3034628</v>
      </c>
      <c r="C8980" t="s">
        <v>3836</v>
      </c>
      <c r="D8980" t="s">
        <v>441</v>
      </c>
      <c r="F8980">
        <v>0</v>
      </c>
      <c r="G8980">
        <v>4.5599999999999996</v>
      </c>
      <c r="H8980" t="s">
        <v>12521</v>
      </c>
      <c r="I8980">
        <v>2</v>
      </c>
      <c r="J8980" t="s">
        <v>445</v>
      </c>
      <c r="M8980">
        <v>6666</v>
      </c>
      <c r="N8980" t="s">
        <v>16512</v>
      </c>
    </row>
    <row r="8981" spans="1:14">
      <c r="A8981">
        <v>55450000</v>
      </c>
      <c r="B8981">
        <v>3034395</v>
      </c>
      <c r="C8981" t="s">
        <v>3837</v>
      </c>
      <c r="D8981" t="s">
        <v>441</v>
      </c>
      <c r="F8981">
        <v>0</v>
      </c>
      <c r="G8981">
        <v>8.3000000000000007</v>
      </c>
      <c r="H8981" t="s">
        <v>12521</v>
      </c>
      <c r="I8981">
        <v>3</v>
      </c>
      <c r="J8981" t="s">
        <v>445</v>
      </c>
      <c r="M8981">
        <v>6666</v>
      </c>
      <c r="N8981" t="s">
        <v>16543</v>
      </c>
    </row>
    <row r="8982" spans="1:14">
      <c r="A8982">
        <v>55460000</v>
      </c>
      <c r="B8982">
        <v>3034365</v>
      </c>
      <c r="C8982" t="s">
        <v>3838</v>
      </c>
      <c r="D8982" t="s">
        <v>441</v>
      </c>
      <c r="F8982">
        <v>0</v>
      </c>
      <c r="G8982">
        <v>10.06</v>
      </c>
      <c r="H8982" t="s">
        <v>12521</v>
      </c>
      <c r="I8982">
        <v>3</v>
      </c>
      <c r="J8982" t="s">
        <v>445</v>
      </c>
      <c r="M8982">
        <v>6666</v>
      </c>
      <c r="N8982" t="s">
        <v>16487</v>
      </c>
    </row>
    <row r="8983" spans="1:14">
      <c r="A8983">
        <v>55470000</v>
      </c>
      <c r="B8983">
        <v>3034411</v>
      </c>
      <c r="C8983" t="s">
        <v>3839</v>
      </c>
      <c r="D8983" t="s">
        <v>441</v>
      </c>
      <c r="F8983">
        <v>0</v>
      </c>
      <c r="G8983">
        <v>10.42</v>
      </c>
      <c r="H8983" t="s">
        <v>12521</v>
      </c>
      <c r="I8983">
        <v>3</v>
      </c>
      <c r="J8983" t="s">
        <v>445</v>
      </c>
      <c r="M8983">
        <v>6666</v>
      </c>
      <c r="N8983" t="s">
        <v>16530</v>
      </c>
    </row>
    <row r="8984" spans="1:14">
      <c r="A8984">
        <v>55480000</v>
      </c>
      <c r="B8984">
        <v>3034513</v>
      </c>
      <c r="C8984" t="s">
        <v>3840</v>
      </c>
      <c r="D8984" t="s">
        <v>441</v>
      </c>
      <c r="F8984">
        <v>0</v>
      </c>
      <c r="G8984">
        <v>11.79</v>
      </c>
      <c r="H8984" t="s">
        <v>12521</v>
      </c>
      <c r="I8984">
        <v>2</v>
      </c>
      <c r="J8984" t="s">
        <v>445</v>
      </c>
      <c r="M8984">
        <v>6666</v>
      </c>
      <c r="N8984" t="s">
        <v>16544</v>
      </c>
    </row>
    <row r="8985" spans="1:14">
      <c r="A8985">
        <v>55490000</v>
      </c>
      <c r="B8985">
        <v>3034197</v>
      </c>
      <c r="C8985" t="s">
        <v>14528</v>
      </c>
      <c r="D8985" t="s">
        <v>441</v>
      </c>
      <c r="F8985">
        <v>0</v>
      </c>
      <c r="G8985">
        <v>9.92</v>
      </c>
      <c r="H8985" t="s">
        <v>12521</v>
      </c>
      <c r="I8985">
        <v>3</v>
      </c>
      <c r="J8985" t="s">
        <v>445</v>
      </c>
      <c r="M8985">
        <v>6666</v>
      </c>
    </row>
    <row r="8986" spans="1:14">
      <c r="A8986">
        <v>55500000</v>
      </c>
      <c r="B8986">
        <v>3034702</v>
      </c>
      <c r="C8986" t="s">
        <v>3841</v>
      </c>
      <c r="D8986" t="s">
        <v>441</v>
      </c>
      <c r="F8986">
        <v>0</v>
      </c>
      <c r="G8986">
        <v>11.8</v>
      </c>
      <c r="H8986" t="s">
        <v>12521</v>
      </c>
      <c r="I8986">
        <v>2</v>
      </c>
      <c r="J8986" t="s">
        <v>445</v>
      </c>
      <c r="M8986">
        <v>6666</v>
      </c>
      <c r="N8986" t="s">
        <v>16545</v>
      </c>
    </row>
    <row r="8987" spans="1:14">
      <c r="A8987">
        <v>55510000</v>
      </c>
      <c r="B8987">
        <v>3035712</v>
      </c>
      <c r="C8987" t="s">
        <v>3842</v>
      </c>
      <c r="D8987" t="s">
        <v>441</v>
      </c>
      <c r="F8987">
        <v>0</v>
      </c>
      <c r="G8987">
        <v>9.8000000000000007</v>
      </c>
      <c r="H8987" t="s">
        <v>12521</v>
      </c>
      <c r="I8987">
        <v>3</v>
      </c>
      <c r="J8987" t="s">
        <v>445</v>
      </c>
      <c r="M8987">
        <v>6666</v>
      </c>
      <c r="N8987" t="s">
        <v>16546</v>
      </c>
    </row>
    <row r="8988" spans="1:14">
      <c r="A8988">
        <v>55520000</v>
      </c>
      <c r="B8988">
        <v>3036610</v>
      </c>
      <c r="C8988" t="s">
        <v>3843</v>
      </c>
      <c r="D8988" t="s">
        <v>441</v>
      </c>
      <c r="F8988">
        <v>0</v>
      </c>
      <c r="G8988">
        <v>9.5500000000000007</v>
      </c>
      <c r="H8988" t="s">
        <v>12521</v>
      </c>
      <c r="I8988">
        <v>3</v>
      </c>
      <c r="J8988" t="s">
        <v>445</v>
      </c>
      <c r="M8988">
        <v>6666</v>
      </c>
      <c r="N8988" t="s">
        <v>16547</v>
      </c>
    </row>
    <row r="8989" spans="1:14">
      <c r="A8989">
        <v>55530000</v>
      </c>
      <c r="B8989">
        <v>3037818</v>
      </c>
      <c r="C8989" t="s">
        <v>3844</v>
      </c>
      <c r="D8989" t="s">
        <v>441</v>
      </c>
      <c r="F8989">
        <v>0</v>
      </c>
      <c r="G8989">
        <v>7.22</v>
      </c>
      <c r="H8989" t="s">
        <v>12521</v>
      </c>
      <c r="I8989">
        <v>2</v>
      </c>
      <c r="J8989" t="s">
        <v>445</v>
      </c>
      <c r="M8989">
        <v>6666</v>
      </c>
      <c r="N8989" t="s">
        <v>16548</v>
      </c>
    </row>
    <row r="8990" spans="1:14">
      <c r="A8990">
        <v>55540000</v>
      </c>
      <c r="B8990">
        <v>3038454</v>
      </c>
      <c r="C8990" t="s">
        <v>3845</v>
      </c>
      <c r="D8990" t="s">
        <v>441</v>
      </c>
      <c r="F8990">
        <v>0</v>
      </c>
      <c r="G8990">
        <v>9.59</v>
      </c>
      <c r="H8990" t="s">
        <v>12521</v>
      </c>
      <c r="I8990">
        <v>3</v>
      </c>
      <c r="J8990" t="s">
        <v>445</v>
      </c>
      <c r="M8990">
        <v>6666</v>
      </c>
      <c r="N8990" t="s">
        <v>16549</v>
      </c>
    </row>
    <row r="8991" spans="1:14">
      <c r="A8991">
        <v>55550000</v>
      </c>
      <c r="B8991">
        <v>3038671</v>
      </c>
      <c r="C8991" t="s">
        <v>3846</v>
      </c>
      <c r="D8991" t="s">
        <v>441</v>
      </c>
      <c r="F8991">
        <v>0</v>
      </c>
      <c r="G8991">
        <v>10.55</v>
      </c>
      <c r="H8991" t="s">
        <v>12521</v>
      </c>
      <c r="I8991">
        <v>2</v>
      </c>
      <c r="J8991" t="s">
        <v>445</v>
      </c>
      <c r="M8991">
        <v>6666</v>
      </c>
      <c r="N8991" t="s">
        <v>16550</v>
      </c>
    </row>
    <row r="8992" spans="1:14">
      <c r="A8992">
        <v>55560000</v>
      </c>
      <c r="B8992">
        <v>3039049</v>
      </c>
      <c r="C8992" t="s">
        <v>3847</v>
      </c>
      <c r="D8992" t="s">
        <v>441</v>
      </c>
      <c r="F8992">
        <v>0</v>
      </c>
      <c r="G8992">
        <v>9.36</v>
      </c>
      <c r="H8992" t="s">
        <v>12521</v>
      </c>
      <c r="I8992">
        <v>2</v>
      </c>
      <c r="J8992" t="s">
        <v>445</v>
      </c>
      <c r="M8992">
        <v>6666</v>
      </c>
      <c r="N8992" t="s">
        <v>16551</v>
      </c>
    </row>
    <row r="8993" spans="1:14">
      <c r="A8993">
        <v>55580000</v>
      </c>
      <c r="B8993">
        <v>3039938</v>
      </c>
      <c r="C8993" t="s">
        <v>3848</v>
      </c>
      <c r="D8993" t="s">
        <v>441</v>
      </c>
      <c r="F8993">
        <v>0</v>
      </c>
      <c r="G8993">
        <v>10.25</v>
      </c>
      <c r="H8993" t="s">
        <v>12521</v>
      </c>
      <c r="I8993">
        <v>3</v>
      </c>
      <c r="J8993" t="s">
        <v>445</v>
      </c>
      <c r="M8993">
        <v>6666</v>
      </c>
      <c r="N8993" t="s">
        <v>16537</v>
      </c>
    </row>
    <row r="8994" spans="1:14">
      <c r="A8994">
        <v>55590000</v>
      </c>
      <c r="B8994">
        <v>3040495</v>
      </c>
      <c r="C8994" t="s">
        <v>3849</v>
      </c>
      <c r="D8994" t="s">
        <v>441</v>
      </c>
      <c r="F8994">
        <v>0</v>
      </c>
      <c r="G8994">
        <v>8.56</v>
      </c>
      <c r="H8994" t="s">
        <v>12521</v>
      </c>
      <c r="I8994">
        <v>2</v>
      </c>
      <c r="J8994" t="s">
        <v>445</v>
      </c>
      <c r="M8994">
        <v>6666</v>
      </c>
      <c r="N8994" t="s">
        <v>16551</v>
      </c>
    </row>
    <row r="8995" spans="1:14">
      <c r="A8995">
        <v>55600000</v>
      </c>
      <c r="B8995">
        <v>3040549</v>
      </c>
      <c r="C8995" t="s">
        <v>420</v>
      </c>
      <c r="D8995" t="s">
        <v>441</v>
      </c>
      <c r="F8995">
        <v>0</v>
      </c>
      <c r="G8995">
        <v>9.4600000000000009</v>
      </c>
      <c r="H8995" t="s">
        <v>12521</v>
      </c>
      <c r="I8995">
        <v>3</v>
      </c>
      <c r="J8995" t="s">
        <v>445</v>
      </c>
      <c r="M8995">
        <v>6666</v>
      </c>
      <c r="N8995" t="s">
        <v>16552</v>
      </c>
    </row>
    <row r="8996" spans="1:14">
      <c r="A8996">
        <v>55610000</v>
      </c>
      <c r="B8996">
        <v>3040679</v>
      </c>
      <c r="C8996" t="s">
        <v>3850</v>
      </c>
      <c r="D8996" t="s">
        <v>441</v>
      </c>
      <c r="F8996">
        <v>0</v>
      </c>
      <c r="G8996">
        <v>12.86</v>
      </c>
      <c r="H8996" t="s">
        <v>12521</v>
      </c>
      <c r="I8996">
        <v>2</v>
      </c>
      <c r="J8996" t="s">
        <v>445</v>
      </c>
      <c r="M8996">
        <v>6666</v>
      </c>
      <c r="N8996" t="s">
        <v>16553</v>
      </c>
    </row>
    <row r="8997" spans="1:14">
      <c r="A8997">
        <v>55620000</v>
      </c>
      <c r="B8997">
        <v>3042991</v>
      </c>
      <c r="C8997" t="s">
        <v>3851</v>
      </c>
      <c r="D8997" t="s">
        <v>441</v>
      </c>
      <c r="F8997">
        <v>0</v>
      </c>
      <c r="G8997">
        <v>11.41</v>
      </c>
      <c r="H8997" t="s">
        <v>12521</v>
      </c>
      <c r="I8997">
        <v>3</v>
      </c>
      <c r="J8997" t="s">
        <v>445</v>
      </c>
      <c r="M8997">
        <v>6666</v>
      </c>
      <c r="N8997" t="s">
        <v>16554</v>
      </c>
    </row>
    <row r="8998" spans="1:14">
      <c r="A8998">
        <v>55630000</v>
      </c>
      <c r="B8998">
        <v>3023433</v>
      </c>
      <c r="C8998" t="s">
        <v>3852</v>
      </c>
      <c r="D8998" t="s">
        <v>441</v>
      </c>
      <c r="F8998">
        <v>0</v>
      </c>
      <c r="G8998">
        <v>8.34</v>
      </c>
      <c r="I8998">
        <v>2</v>
      </c>
      <c r="J8998" t="s">
        <v>445</v>
      </c>
      <c r="K8998" t="s">
        <v>446</v>
      </c>
      <c r="M8998">
        <v>3211</v>
      </c>
    </row>
    <row r="8999" spans="1:14">
      <c r="A8999">
        <v>55630030</v>
      </c>
      <c r="B8999">
        <v>4015478</v>
      </c>
      <c r="C8999" t="s">
        <v>3853</v>
      </c>
      <c r="D8999" t="s">
        <v>442</v>
      </c>
      <c r="E8999" t="s">
        <v>441</v>
      </c>
      <c r="F8999">
        <v>0.5</v>
      </c>
      <c r="G8999">
        <v>5.88</v>
      </c>
      <c r="H8999" t="s">
        <v>8588</v>
      </c>
      <c r="I8999">
        <v>13</v>
      </c>
      <c r="J8999" t="s">
        <v>462</v>
      </c>
      <c r="K8999" t="s">
        <v>446</v>
      </c>
      <c r="M8999">
        <v>2611</v>
      </c>
    </row>
    <row r="9000" spans="1:14">
      <c r="A9000">
        <v>55630031</v>
      </c>
      <c r="B9000">
        <v>4016986</v>
      </c>
      <c r="C9000" t="s">
        <v>3854</v>
      </c>
      <c r="D9000" t="s">
        <v>442</v>
      </c>
      <c r="E9000" t="s">
        <v>441</v>
      </c>
      <c r="F9000">
        <v>0.5</v>
      </c>
      <c r="G9000">
        <v>5.88</v>
      </c>
      <c r="H9000" t="s">
        <v>8588</v>
      </c>
      <c r="I9000">
        <v>13</v>
      </c>
      <c r="J9000" t="s">
        <v>462</v>
      </c>
      <c r="K9000" t="s">
        <v>446</v>
      </c>
      <c r="M9000">
        <v>2611</v>
      </c>
    </row>
    <row r="9001" spans="1:14">
      <c r="A9001">
        <v>55650000</v>
      </c>
      <c r="B9001">
        <v>3016548</v>
      </c>
      <c r="C9001" t="s">
        <v>3855</v>
      </c>
      <c r="D9001" t="s">
        <v>441</v>
      </c>
      <c r="F9001">
        <v>0</v>
      </c>
      <c r="G9001">
        <v>7.31</v>
      </c>
      <c r="H9001" t="s">
        <v>8580</v>
      </c>
      <c r="I9001">
        <v>2</v>
      </c>
      <c r="J9001" t="s">
        <v>445</v>
      </c>
      <c r="K9001" t="s">
        <v>446</v>
      </c>
      <c r="M9001">
        <v>3211</v>
      </c>
    </row>
    <row r="9002" spans="1:14">
      <c r="A9002">
        <v>55650030</v>
      </c>
      <c r="B9002">
        <v>4011361</v>
      </c>
      <c r="C9002" t="s">
        <v>3856</v>
      </c>
      <c r="D9002" t="s">
        <v>442</v>
      </c>
      <c r="E9002" t="s">
        <v>441</v>
      </c>
      <c r="F9002">
        <v>0.5</v>
      </c>
      <c r="G9002">
        <v>5.18</v>
      </c>
      <c r="H9002" t="s">
        <v>8588</v>
      </c>
      <c r="I9002">
        <v>13</v>
      </c>
      <c r="J9002" t="s">
        <v>462</v>
      </c>
      <c r="K9002" t="s">
        <v>446</v>
      </c>
      <c r="L9002" t="s">
        <v>12663</v>
      </c>
      <c r="M9002">
        <v>2611</v>
      </c>
    </row>
    <row r="9003" spans="1:14">
      <c r="A9003">
        <v>55650031</v>
      </c>
      <c r="B9003">
        <v>4011407</v>
      </c>
      <c r="C9003" t="s">
        <v>3857</v>
      </c>
      <c r="D9003" t="s">
        <v>441</v>
      </c>
      <c r="F9003">
        <v>0</v>
      </c>
      <c r="G9003">
        <v>7.93</v>
      </c>
      <c r="H9003" t="s">
        <v>8587</v>
      </c>
      <c r="I9003">
        <v>13</v>
      </c>
      <c r="J9003" t="s">
        <v>462</v>
      </c>
      <c r="K9003" t="s">
        <v>446</v>
      </c>
      <c r="M9003">
        <v>2611</v>
      </c>
    </row>
    <row r="9004" spans="1:14">
      <c r="A9004">
        <v>55650032</v>
      </c>
      <c r="B9004">
        <v>4004114</v>
      </c>
      <c r="C9004" t="s">
        <v>3858</v>
      </c>
      <c r="D9004" t="s">
        <v>441</v>
      </c>
      <c r="F9004">
        <v>0</v>
      </c>
      <c r="G9004">
        <v>9.06</v>
      </c>
      <c r="H9004" t="s">
        <v>8587</v>
      </c>
      <c r="I9004">
        <v>13</v>
      </c>
      <c r="J9004" t="s">
        <v>462</v>
      </c>
      <c r="K9004" t="s">
        <v>446</v>
      </c>
      <c r="M9004">
        <v>2611</v>
      </c>
    </row>
    <row r="9005" spans="1:14">
      <c r="A9005">
        <v>55650033</v>
      </c>
      <c r="B9005">
        <v>4004115</v>
      </c>
      <c r="C9005" t="s">
        <v>3859</v>
      </c>
      <c r="D9005" t="s">
        <v>441</v>
      </c>
      <c r="F9005">
        <v>0</v>
      </c>
      <c r="G9005">
        <v>9.4600000000000009</v>
      </c>
      <c r="H9005" t="s">
        <v>8587</v>
      </c>
      <c r="I9005">
        <v>13</v>
      </c>
      <c r="J9005" t="s">
        <v>462</v>
      </c>
      <c r="K9005" t="s">
        <v>446</v>
      </c>
      <c r="M9005">
        <v>2611</v>
      </c>
    </row>
    <row r="9006" spans="1:14">
      <c r="A9006">
        <v>55650034</v>
      </c>
      <c r="B9006">
        <v>4013900</v>
      </c>
      <c r="C9006" t="s">
        <v>3860</v>
      </c>
      <c r="D9006" t="s">
        <v>442</v>
      </c>
      <c r="E9006" t="s">
        <v>441</v>
      </c>
      <c r="F9006">
        <v>0.5</v>
      </c>
      <c r="G9006">
        <v>5.16</v>
      </c>
      <c r="H9006" t="s">
        <v>8588</v>
      </c>
      <c r="I9006">
        <v>13</v>
      </c>
      <c r="J9006" t="s">
        <v>462</v>
      </c>
      <c r="K9006" t="s">
        <v>446</v>
      </c>
      <c r="M9006">
        <v>2611</v>
      </c>
    </row>
    <row r="9007" spans="1:14">
      <c r="A9007">
        <v>55660000</v>
      </c>
      <c r="B9007">
        <v>3014600</v>
      </c>
      <c r="C9007" t="s">
        <v>3861</v>
      </c>
      <c r="D9007" t="s">
        <v>441</v>
      </c>
      <c r="F9007">
        <v>0</v>
      </c>
      <c r="G9007">
        <v>6.7</v>
      </c>
      <c r="H9007" t="s">
        <v>8586</v>
      </c>
      <c r="I9007">
        <v>2</v>
      </c>
      <c r="J9007" t="s">
        <v>445</v>
      </c>
      <c r="K9007" t="s">
        <v>446</v>
      </c>
      <c r="M9007">
        <v>3211</v>
      </c>
    </row>
    <row r="9008" spans="1:14">
      <c r="A9008">
        <v>55660030</v>
      </c>
      <c r="B9008">
        <v>4010772</v>
      </c>
      <c r="C9008" t="s">
        <v>3862</v>
      </c>
      <c r="D9008" t="s">
        <v>442</v>
      </c>
      <c r="E9008" t="s">
        <v>441</v>
      </c>
      <c r="F9008">
        <v>0.4</v>
      </c>
      <c r="G9008">
        <v>3.69</v>
      </c>
      <c r="H9008" t="s">
        <v>8588</v>
      </c>
      <c r="I9008">
        <v>11</v>
      </c>
      <c r="J9008" t="s">
        <v>462</v>
      </c>
      <c r="K9008" t="s">
        <v>446</v>
      </c>
      <c r="M9008">
        <v>2611</v>
      </c>
    </row>
    <row r="9009" spans="1:14">
      <c r="A9009">
        <v>55670000</v>
      </c>
      <c r="B9009">
        <v>3017174</v>
      </c>
      <c r="C9009" t="s">
        <v>3863</v>
      </c>
      <c r="D9009" t="s">
        <v>441</v>
      </c>
      <c r="F9009">
        <v>0</v>
      </c>
      <c r="G9009">
        <v>12.2</v>
      </c>
      <c r="H9009" t="s">
        <v>8935</v>
      </c>
      <c r="I9009">
        <v>2</v>
      </c>
      <c r="J9009" t="s">
        <v>445</v>
      </c>
      <c r="K9009" t="s">
        <v>446</v>
      </c>
      <c r="M9009">
        <v>3211</v>
      </c>
    </row>
    <row r="9010" spans="1:14">
      <c r="A9010">
        <v>55670030</v>
      </c>
      <c r="B9010">
        <v>4011360</v>
      </c>
      <c r="C9010" t="s">
        <v>3864</v>
      </c>
      <c r="D9010" t="s">
        <v>442</v>
      </c>
      <c r="E9010" t="s">
        <v>441</v>
      </c>
      <c r="F9010">
        <v>0.5</v>
      </c>
      <c r="G9010">
        <v>8.18</v>
      </c>
      <c r="H9010" t="s">
        <v>8588</v>
      </c>
      <c r="I9010">
        <v>12</v>
      </c>
      <c r="J9010" t="s">
        <v>462</v>
      </c>
      <c r="K9010" t="s">
        <v>446</v>
      </c>
      <c r="M9010">
        <v>2611</v>
      </c>
    </row>
    <row r="9011" spans="1:14">
      <c r="A9011">
        <v>55680000</v>
      </c>
      <c r="B9011">
        <v>3021442</v>
      </c>
      <c r="C9011" t="s">
        <v>3865</v>
      </c>
      <c r="D9011" t="s">
        <v>441</v>
      </c>
      <c r="F9011">
        <v>0</v>
      </c>
      <c r="G9011">
        <v>6.74</v>
      </c>
      <c r="H9011" t="s">
        <v>12664</v>
      </c>
      <c r="I9011">
        <v>2</v>
      </c>
      <c r="J9011" t="s">
        <v>445</v>
      </c>
      <c r="K9011" t="s">
        <v>446</v>
      </c>
      <c r="M9011">
        <v>3211</v>
      </c>
      <c r="N9011" t="s">
        <v>16555</v>
      </c>
    </row>
    <row r="9012" spans="1:14">
      <c r="A9012">
        <v>55680030</v>
      </c>
      <c r="B9012">
        <v>4013969</v>
      </c>
      <c r="C9012" t="s">
        <v>3866</v>
      </c>
      <c r="D9012" t="s">
        <v>442</v>
      </c>
      <c r="E9012" t="s">
        <v>441</v>
      </c>
      <c r="F9012">
        <v>0.4</v>
      </c>
      <c r="G9012">
        <v>3.84</v>
      </c>
      <c r="H9012" t="s">
        <v>8588</v>
      </c>
      <c r="I9012">
        <v>10</v>
      </c>
      <c r="J9012" t="s">
        <v>462</v>
      </c>
      <c r="K9012" t="s">
        <v>446</v>
      </c>
      <c r="M9012">
        <v>2612</v>
      </c>
    </row>
    <row r="9013" spans="1:14">
      <c r="A9013">
        <v>55690000</v>
      </c>
      <c r="B9013">
        <v>3021493</v>
      </c>
      <c r="C9013" t="s">
        <v>17587</v>
      </c>
      <c r="D9013" t="s">
        <v>441</v>
      </c>
      <c r="F9013">
        <v>0</v>
      </c>
      <c r="G9013">
        <v>6.95</v>
      </c>
      <c r="H9013" t="s">
        <v>12664</v>
      </c>
      <c r="I9013">
        <v>2</v>
      </c>
      <c r="J9013" t="s">
        <v>445</v>
      </c>
      <c r="M9013">
        <v>3741</v>
      </c>
    </row>
    <row r="9014" spans="1:14">
      <c r="A9014">
        <v>55700000</v>
      </c>
      <c r="B9014">
        <v>3021494</v>
      </c>
      <c r="C9014" t="s">
        <v>3867</v>
      </c>
      <c r="D9014" t="s">
        <v>441</v>
      </c>
      <c r="F9014">
        <v>0</v>
      </c>
      <c r="G9014">
        <v>6.25</v>
      </c>
      <c r="H9014" t="s">
        <v>12664</v>
      </c>
      <c r="I9014">
        <v>2</v>
      </c>
      <c r="J9014" t="s">
        <v>445</v>
      </c>
      <c r="K9014" t="s">
        <v>446</v>
      </c>
      <c r="M9014">
        <v>3741</v>
      </c>
      <c r="N9014" t="s">
        <v>16556</v>
      </c>
    </row>
    <row r="9015" spans="1:14">
      <c r="A9015">
        <v>55710030</v>
      </c>
      <c r="B9015">
        <v>4014039</v>
      </c>
      <c r="C9015" t="s">
        <v>3868</v>
      </c>
      <c r="D9015" t="s">
        <v>442</v>
      </c>
      <c r="E9015" t="s">
        <v>441</v>
      </c>
      <c r="F9015">
        <v>0.33</v>
      </c>
      <c r="G9015">
        <v>6.85</v>
      </c>
      <c r="H9015" t="s">
        <v>8588</v>
      </c>
      <c r="I9015">
        <v>10</v>
      </c>
      <c r="J9015" t="s">
        <v>462</v>
      </c>
      <c r="K9015" t="s">
        <v>446</v>
      </c>
      <c r="M9015">
        <v>2612</v>
      </c>
    </row>
    <row r="9016" spans="1:14">
      <c r="A9016">
        <v>55720000</v>
      </c>
      <c r="B9016">
        <v>3041485</v>
      </c>
      <c r="C9016" t="s">
        <v>3869</v>
      </c>
      <c r="D9016" t="s">
        <v>441</v>
      </c>
      <c r="F9016">
        <v>0</v>
      </c>
      <c r="G9016">
        <v>7.08</v>
      </c>
      <c r="H9016" t="s">
        <v>12521</v>
      </c>
      <c r="I9016">
        <v>2</v>
      </c>
      <c r="J9016" t="s">
        <v>445</v>
      </c>
      <c r="M9016">
        <v>6666</v>
      </c>
      <c r="N9016" t="s">
        <v>16557</v>
      </c>
    </row>
    <row r="9017" spans="1:14">
      <c r="A9017">
        <v>55730000</v>
      </c>
      <c r="B9017">
        <v>3041578</v>
      </c>
      <c r="C9017" t="s">
        <v>411</v>
      </c>
      <c r="D9017" t="s">
        <v>441</v>
      </c>
      <c r="F9017">
        <v>0</v>
      </c>
      <c r="G9017">
        <v>7.87</v>
      </c>
      <c r="H9017" t="s">
        <v>12521</v>
      </c>
      <c r="I9017">
        <v>4</v>
      </c>
      <c r="J9017" t="s">
        <v>445</v>
      </c>
      <c r="M9017">
        <v>6666</v>
      </c>
      <c r="N9017" t="s">
        <v>16543</v>
      </c>
    </row>
    <row r="9018" spans="1:14">
      <c r="A9018">
        <v>55740000</v>
      </c>
      <c r="B9018">
        <v>3041685</v>
      </c>
      <c r="C9018" t="s">
        <v>407</v>
      </c>
      <c r="D9018" t="s">
        <v>441</v>
      </c>
      <c r="F9018">
        <v>0</v>
      </c>
      <c r="G9018">
        <v>12.25</v>
      </c>
      <c r="H9018" t="s">
        <v>12521</v>
      </c>
      <c r="I9018">
        <v>2</v>
      </c>
      <c r="J9018" t="s">
        <v>445</v>
      </c>
      <c r="M9018">
        <v>6666</v>
      </c>
      <c r="N9018" t="s">
        <v>16553</v>
      </c>
    </row>
    <row r="9019" spans="1:14">
      <c r="A9019">
        <v>55750000</v>
      </c>
      <c r="B9019">
        <v>3042336</v>
      </c>
      <c r="C9019" t="s">
        <v>3870</v>
      </c>
      <c r="D9019" t="s">
        <v>441</v>
      </c>
      <c r="F9019">
        <v>0</v>
      </c>
      <c r="G9019">
        <v>9.0399999999999991</v>
      </c>
      <c r="H9019" t="s">
        <v>12521</v>
      </c>
      <c r="I9019">
        <v>2</v>
      </c>
      <c r="J9019" t="s">
        <v>445</v>
      </c>
      <c r="M9019">
        <v>6666</v>
      </c>
      <c r="N9019" t="s">
        <v>16558</v>
      </c>
    </row>
    <row r="9020" spans="1:14">
      <c r="A9020">
        <v>55760000</v>
      </c>
      <c r="B9020">
        <v>3041838</v>
      </c>
      <c r="C9020" t="s">
        <v>12665</v>
      </c>
      <c r="D9020" t="s">
        <v>441</v>
      </c>
      <c r="F9020">
        <v>0</v>
      </c>
      <c r="G9020">
        <v>9.07</v>
      </c>
      <c r="H9020" t="s">
        <v>12521</v>
      </c>
      <c r="I9020">
        <v>2</v>
      </c>
      <c r="J9020" t="s">
        <v>445</v>
      </c>
      <c r="M9020">
        <v>6666</v>
      </c>
      <c r="N9020" t="s">
        <v>16559</v>
      </c>
    </row>
    <row r="9021" spans="1:14">
      <c r="A9021">
        <v>55770000</v>
      </c>
      <c r="B9021">
        <v>3041891</v>
      </c>
      <c r="C9021" t="s">
        <v>8534</v>
      </c>
      <c r="D9021" t="s">
        <v>441</v>
      </c>
      <c r="F9021">
        <v>0</v>
      </c>
      <c r="G9021">
        <v>8.85</v>
      </c>
      <c r="H9021" t="s">
        <v>12521</v>
      </c>
      <c r="I9021">
        <v>2</v>
      </c>
      <c r="J9021" t="s">
        <v>445</v>
      </c>
      <c r="M9021">
        <v>6666</v>
      </c>
      <c r="N9021" t="s">
        <v>16560</v>
      </c>
    </row>
    <row r="9022" spans="1:14">
      <c r="A9022">
        <v>55790000</v>
      </c>
      <c r="B9022">
        <v>3042417</v>
      </c>
      <c r="C9022" t="s">
        <v>3871</v>
      </c>
      <c r="D9022" t="s">
        <v>441</v>
      </c>
      <c r="F9022">
        <v>0</v>
      </c>
      <c r="G9022">
        <v>9.02</v>
      </c>
      <c r="H9022" t="s">
        <v>12521</v>
      </c>
      <c r="I9022">
        <v>2</v>
      </c>
      <c r="J9022" t="s">
        <v>445</v>
      </c>
      <c r="M9022">
        <v>6666</v>
      </c>
      <c r="N9022" t="s">
        <v>16561</v>
      </c>
    </row>
    <row r="9023" spans="1:14">
      <c r="A9023">
        <v>55800000</v>
      </c>
      <c r="B9023">
        <v>3008257</v>
      </c>
      <c r="C9023" t="s">
        <v>3872</v>
      </c>
      <c r="D9023" t="s">
        <v>441</v>
      </c>
      <c r="F9023">
        <v>0</v>
      </c>
      <c r="G9023">
        <v>4.0999999999999996</v>
      </c>
      <c r="H9023" t="s">
        <v>8580</v>
      </c>
      <c r="I9023">
        <v>3</v>
      </c>
      <c r="J9023" t="s">
        <v>445</v>
      </c>
      <c r="K9023" t="s">
        <v>446</v>
      </c>
      <c r="M9023">
        <v>0</v>
      </c>
      <c r="N9023" t="s">
        <v>16562</v>
      </c>
    </row>
    <row r="9024" spans="1:14">
      <c r="A9024">
        <v>55800044</v>
      </c>
      <c r="B9024">
        <v>4004119</v>
      </c>
      <c r="C9024" t="s">
        <v>3873</v>
      </c>
      <c r="D9024" t="s">
        <v>442</v>
      </c>
      <c r="E9024" t="s">
        <v>441</v>
      </c>
      <c r="F9024">
        <v>0.75</v>
      </c>
      <c r="G9024">
        <v>4.47</v>
      </c>
      <c r="H9024" t="s">
        <v>8588</v>
      </c>
      <c r="I9024">
        <v>14</v>
      </c>
      <c r="J9024" t="s">
        <v>462</v>
      </c>
      <c r="K9024" t="s">
        <v>446</v>
      </c>
      <c r="M9024">
        <v>2612</v>
      </c>
    </row>
    <row r="9025" spans="1:14">
      <c r="A9025">
        <v>55800144</v>
      </c>
      <c r="B9025">
        <v>3008258</v>
      </c>
      <c r="C9025" t="s">
        <v>3874</v>
      </c>
      <c r="D9025" t="s">
        <v>442</v>
      </c>
      <c r="E9025" t="s">
        <v>441</v>
      </c>
      <c r="F9025">
        <v>0.75</v>
      </c>
      <c r="G9025">
        <v>4.1500000000000004</v>
      </c>
      <c r="H9025" t="s">
        <v>8580</v>
      </c>
      <c r="I9025">
        <v>20</v>
      </c>
      <c r="J9025" t="s">
        <v>445</v>
      </c>
      <c r="K9025" t="s">
        <v>446</v>
      </c>
      <c r="M9025">
        <v>2612</v>
      </c>
    </row>
    <row r="9026" spans="1:14">
      <c r="A9026">
        <v>55820000</v>
      </c>
      <c r="B9026">
        <v>3008259</v>
      </c>
      <c r="C9026" t="s">
        <v>3875</v>
      </c>
      <c r="D9026" t="s">
        <v>441</v>
      </c>
      <c r="F9026">
        <v>0</v>
      </c>
      <c r="G9026">
        <v>10.32</v>
      </c>
      <c r="H9026" t="s">
        <v>8580</v>
      </c>
      <c r="I9026">
        <v>3</v>
      </c>
      <c r="J9026" t="s">
        <v>445</v>
      </c>
      <c r="K9026" t="s">
        <v>446</v>
      </c>
      <c r="M9026">
        <v>0</v>
      </c>
      <c r="N9026" t="s">
        <v>16563</v>
      </c>
    </row>
    <row r="9027" spans="1:14">
      <c r="A9027">
        <v>55820042</v>
      </c>
      <c r="B9027">
        <v>4004123</v>
      </c>
      <c r="C9027" t="s">
        <v>12666</v>
      </c>
      <c r="D9027" t="s">
        <v>441</v>
      </c>
      <c r="F9027">
        <v>0</v>
      </c>
      <c r="G9027">
        <v>11.98</v>
      </c>
      <c r="H9027" t="s">
        <v>8588</v>
      </c>
      <c r="I9027">
        <v>14</v>
      </c>
      <c r="J9027" t="s">
        <v>462</v>
      </c>
      <c r="K9027" t="s">
        <v>446</v>
      </c>
      <c r="M9027">
        <v>2612</v>
      </c>
    </row>
    <row r="9028" spans="1:14">
      <c r="A9028">
        <v>55820043</v>
      </c>
      <c r="B9028">
        <v>4013347</v>
      </c>
      <c r="C9028" t="s">
        <v>3876</v>
      </c>
      <c r="D9028" t="s">
        <v>441</v>
      </c>
      <c r="F9028">
        <v>0</v>
      </c>
      <c r="G9028">
        <v>11.95</v>
      </c>
      <c r="H9028" t="s">
        <v>8588</v>
      </c>
      <c r="I9028">
        <v>14</v>
      </c>
      <c r="J9028" t="s">
        <v>462</v>
      </c>
      <c r="K9028" t="s">
        <v>446</v>
      </c>
      <c r="M9028">
        <v>2612</v>
      </c>
      <c r="N9028" t="s">
        <v>16058</v>
      </c>
    </row>
    <row r="9029" spans="1:14">
      <c r="A9029">
        <v>55820046</v>
      </c>
      <c r="B9029">
        <v>4004124</v>
      </c>
      <c r="C9029" t="s">
        <v>3877</v>
      </c>
      <c r="D9029" t="s">
        <v>442</v>
      </c>
      <c r="E9029" t="s">
        <v>441</v>
      </c>
      <c r="F9029">
        <v>0.25</v>
      </c>
      <c r="G9029">
        <v>3.14</v>
      </c>
      <c r="H9029" t="s">
        <v>8588</v>
      </c>
      <c r="I9029">
        <v>14</v>
      </c>
      <c r="J9029" t="s">
        <v>462</v>
      </c>
      <c r="K9029" t="s">
        <v>446</v>
      </c>
      <c r="M9029">
        <v>2612</v>
      </c>
    </row>
    <row r="9030" spans="1:14">
      <c r="A9030">
        <v>55820047</v>
      </c>
      <c r="B9030">
        <v>4004125</v>
      </c>
      <c r="C9030" t="s">
        <v>3878</v>
      </c>
      <c r="D9030" t="s">
        <v>442</v>
      </c>
      <c r="E9030" t="s">
        <v>441</v>
      </c>
      <c r="F9030">
        <v>0.25</v>
      </c>
      <c r="G9030">
        <v>2.9</v>
      </c>
      <c r="H9030" t="s">
        <v>8588</v>
      </c>
      <c r="I9030">
        <v>14</v>
      </c>
      <c r="J9030" t="s">
        <v>462</v>
      </c>
      <c r="K9030" t="s">
        <v>446</v>
      </c>
      <c r="M9030">
        <v>2612</v>
      </c>
      <c r="N9030" t="s">
        <v>16061</v>
      </c>
    </row>
    <row r="9031" spans="1:14">
      <c r="A9031">
        <v>55820048</v>
      </c>
      <c r="B9031">
        <v>4008376</v>
      </c>
      <c r="C9031" t="s">
        <v>3879</v>
      </c>
      <c r="D9031" t="s">
        <v>441</v>
      </c>
      <c r="F9031">
        <v>0</v>
      </c>
      <c r="G9031">
        <v>11.98</v>
      </c>
      <c r="H9031" t="s">
        <v>8588</v>
      </c>
      <c r="I9031">
        <v>14</v>
      </c>
      <c r="J9031" t="s">
        <v>462</v>
      </c>
      <c r="K9031" t="s">
        <v>446</v>
      </c>
      <c r="M9031">
        <v>2612</v>
      </c>
    </row>
    <row r="9032" spans="1:14">
      <c r="A9032">
        <v>55820049</v>
      </c>
      <c r="B9032">
        <v>4016270</v>
      </c>
      <c r="C9032" t="s">
        <v>3880</v>
      </c>
      <c r="D9032" t="s">
        <v>442</v>
      </c>
      <c r="E9032" t="s">
        <v>441</v>
      </c>
      <c r="F9032">
        <v>1.25</v>
      </c>
      <c r="G9032">
        <v>15.35</v>
      </c>
      <c r="H9032" t="s">
        <v>8588</v>
      </c>
      <c r="I9032">
        <v>14</v>
      </c>
      <c r="J9032" t="s">
        <v>462</v>
      </c>
      <c r="K9032" t="s">
        <v>446</v>
      </c>
      <c r="M9032">
        <v>2612</v>
      </c>
      <c r="N9032" t="s">
        <v>16505</v>
      </c>
    </row>
    <row r="9033" spans="1:14">
      <c r="A9033">
        <v>55820142</v>
      </c>
      <c r="B9033">
        <v>3008260</v>
      </c>
      <c r="C9033" t="s">
        <v>3881</v>
      </c>
      <c r="D9033" t="s">
        <v>441</v>
      </c>
      <c r="F9033">
        <v>0</v>
      </c>
      <c r="G9033">
        <v>14.1</v>
      </c>
      <c r="H9033" t="s">
        <v>8580</v>
      </c>
      <c r="I9033">
        <v>20</v>
      </c>
      <c r="J9033" t="s">
        <v>445</v>
      </c>
      <c r="K9033" t="s">
        <v>446</v>
      </c>
      <c r="M9033">
        <v>2612</v>
      </c>
    </row>
    <row r="9034" spans="1:14">
      <c r="A9034">
        <v>55820146</v>
      </c>
      <c r="B9034">
        <v>3008261</v>
      </c>
      <c r="C9034" t="s">
        <v>3882</v>
      </c>
      <c r="D9034" t="s">
        <v>442</v>
      </c>
      <c r="E9034" t="s">
        <v>441</v>
      </c>
      <c r="F9034">
        <v>0.25</v>
      </c>
      <c r="G9034">
        <v>2.7</v>
      </c>
      <c r="H9034" t="s">
        <v>8580</v>
      </c>
      <c r="I9034">
        <v>20</v>
      </c>
      <c r="J9034" t="s">
        <v>445</v>
      </c>
      <c r="K9034" t="s">
        <v>446</v>
      </c>
      <c r="M9034">
        <v>2612</v>
      </c>
    </row>
    <row r="9035" spans="1:14">
      <c r="A9035">
        <v>55820147</v>
      </c>
      <c r="B9035">
        <v>3008262</v>
      </c>
      <c r="C9035" t="s">
        <v>3883</v>
      </c>
      <c r="D9035" t="s">
        <v>442</v>
      </c>
      <c r="E9035" t="s">
        <v>441</v>
      </c>
      <c r="F9035">
        <v>0.25</v>
      </c>
      <c r="G9035">
        <v>2.82</v>
      </c>
      <c r="H9035" t="s">
        <v>8580</v>
      </c>
      <c r="I9035">
        <v>20</v>
      </c>
      <c r="J9035" t="s">
        <v>445</v>
      </c>
      <c r="K9035" t="s">
        <v>446</v>
      </c>
      <c r="M9035">
        <v>2612</v>
      </c>
    </row>
    <row r="9036" spans="1:14">
      <c r="A9036">
        <v>55850000</v>
      </c>
      <c r="B9036">
        <v>3008263</v>
      </c>
      <c r="C9036" t="s">
        <v>3884</v>
      </c>
      <c r="D9036" t="s">
        <v>441</v>
      </c>
      <c r="F9036">
        <v>0</v>
      </c>
      <c r="G9036">
        <v>9.73</v>
      </c>
      <c r="H9036" t="s">
        <v>8580</v>
      </c>
      <c r="I9036">
        <v>3</v>
      </c>
      <c r="J9036" t="s">
        <v>445</v>
      </c>
      <c r="K9036" t="s">
        <v>446</v>
      </c>
      <c r="M9036">
        <v>0</v>
      </c>
      <c r="N9036" t="s">
        <v>16564</v>
      </c>
    </row>
    <row r="9037" spans="1:14">
      <c r="A9037">
        <v>55850043</v>
      </c>
      <c r="B9037">
        <v>4004133</v>
      </c>
      <c r="C9037" t="s">
        <v>3885</v>
      </c>
      <c r="D9037" t="s">
        <v>442</v>
      </c>
      <c r="E9037" t="s">
        <v>441</v>
      </c>
      <c r="F9037">
        <v>0.35</v>
      </c>
      <c r="G9037">
        <v>4.67</v>
      </c>
      <c r="H9037" t="s">
        <v>8588</v>
      </c>
      <c r="I9037">
        <v>14</v>
      </c>
      <c r="J9037" t="s">
        <v>462</v>
      </c>
      <c r="K9037" t="s">
        <v>446</v>
      </c>
      <c r="M9037">
        <v>2612</v>
      </c>
    </row>
    <row r="9038" spans="1:14">
      <c r="A9038">
        <v>55850044</v>
      </c>
      <c r="B9038">
        <v>4004134</v>
      </c>
      <c r="C9038" t="s">
        <v>12667</v>
      </c>
      <c r="D9038" t="s">
        <v>441</v>
      </c>
      <c r="F9038">
        <v>0</v>
      </c>
      <c r="G9038">
        <v>13.45</v>
      </c>
      <c r="H9038" t="s">
        <v>8588</v>
      </c>
      <c r="I9038">
        <v>14</v>
      </c>
      <c r="J9038" t="s">
        <v>462</v>
      </c>
      <c r="K9038" t="s">
        <v>446</v>
      </c>
      <c r="M9038">
        <v>2612</v>
      </c>
    </row>
    <row r="9039" spans="1:14">
      <c r="A9039">
        <v>55850143</v>
      </c>
      <c r="B9039">
        <v>3008264</v>
      </c>
      <c r="C9039" t="s">
        <v>3886</v>
      </c>
      <c r="D9039" t="s">
        <v>442</v>
      </c>
      <c r="E9039" t="s">
        <v>441</v>
      </c>
      <c r="F9039">
        <v>0.35</v>
      </c>
      <c r="G9039">
        <v>5.33</v>
      </c>
      <c r="H9039" t="s">
        <v>8580</v>
      </c>
      <c r="I9039">
        <v>20</v>
      </c>
      <c r="J9039" t="s">
        <v>445</v>
      </c>
      <c r="K9039" t="s">
        <v>446</v>
      </c>
      <c r="M9039">
        <v>2612</v>
      </c>
    </row>
    <row r="9040" spans="1:14">
      <c r="A9040">
        <v>55850144</v>
      </c>
      <c r="B9040">
        <v>3008265</v>
      </c>
      <c r="C9040" t="s">
        <v>3887</v>
      </c>
      <c r="D9040" t="s">
        <v>441</v>
      </c>
      <c r="F9040">
        <v>0</v>
      </c>
      <c r="G9040">
        <v>15.28</v>
      </c>
      <c r="H9040" t="s">
        <v>8584</v>
      </c>
      <c r="I9040">
        <v>20</v>
      </c>
      <c r="J9040" t="s">
        <v>445</v>
      </c>
      <c r="K9040" t="s">
        <v>446</v>
      </c>
      <c r="M9040">
        <v>2612</v>
      </c>
    </row>
    <row r="9041" spans="1:14">
      <c r="A9041">
        <v>55870000</v>
      </c>
      <c r="B9041">
        <v>3016549</v>
      </c>
      <c r="C9041" t="s">
        <v>14529</v>
      </c>
      <c r="D9041" t="s">
        <v>441</v>
      </c>
      <c r="F9041">
        <v>0</v>
      </c>
      <c r="G9041">
        <v>12.36</v>
      </c>
      <c r="H9041" t="s">
        <v>10826</v>
      </c>
      <c r="I9041">
        <v>5</v>
      </c>
      <c r="J9041" t="s">
        <v>445</v>
      </c>
      <c r="M9041">
        <v>3113</v>
      </c>
      <c r="N9041" t="s">
        <v>16565</v>
      </c>
    </row>
    <row r="9042" spans="1:14">
      <c r="A9042">
        <v>55874000</v>
      </c>
      <c r="B9042">
        <v>3040312</v>
      </c>
      <c r="C9042" t="s">
        <v>15526</v>
      </c>
      <c r="D9042" t="s">
        <v>441</v>
      </c>
      <c r="F9042">
        <v>0</v>
      </c>
      <c r="G9042">
        <v>15.39</v>
      </c>
      <c r="H9042" t="s">
        <v>10826</v>
      </c>
      <c r="I9042">
        <v>4</v>
      </c>
      <c r="J9042" t="s">
        <v>445</v>
      </c>
      <c r="M9042">
        <v>3113</v>
      </c>
      <c r="N9042" t="s">
        <v>16219</v>
      </c>
    </row>
    <row r="9043" spans="1:14">
      <c r="A9043">
        <v>55900000</v>
      </c>
      <c r="B9043">
        <v>3044429</v>
      </c>
      <c r="C9043" t="s">
        <v>15205</v>
      </c>
      <c r="D9043" t="s">
        <v>441</v>
      </c>
      <c r="F9043">
        <v>0</v>
      </c>
      <c r="G9043">
        <v>12.33</v>
      </c>
      <c r="H9043" t="s">
        <v>12521</v>
      </c>
      <c r="I9043">
        <v>7</v>
      </c>
      <c r="J9043" t="s">
        <v>445</v>
      </c>
      <c r="M9043">
        <v>6666</v>
      </c>
    </row>
    <row r="9044" spans="1:14">
      <c r="A9044">
        <v>55900002</v>
      </c>
      <c r="B9044">
        <v>3045161</v>
      </c>
      <c r="C9044" t="s">
        <v>15670</v>
      </c>
      <c r="D9044" t="s">
        <v>441</v>
      </c>
      <c r="F9044">
        <v>0</v>
      </c>
      <c r="G9044">
        <v>12.94</v>
      </c>
      <c r="H9044" t="s">
        <v>12521</v>
      </c>
      <c r="I9044">
        <v>90</v>
      </c>
      <c r="J9044" t="s">
        <v>445</v>
      </c>
      <c r="M9044">
        <v>7111</v>
      </c>
    </row>
    <row r="9045" spans="1:14">
      <c r="A9045">
        <v>55900502</v>
      </c>
      <c r="B9045">
        <v>3045160</v>
      </c>
      <c r="C9045" t="s">
        <v>15671</v>
      </c>
      <c r="D9045" t="s">
        <v>441</v>
      </c>
      <c r="F9045">
        <v>0</v>
      </c>
      <c r="G9045">
        <v>12.35</v>
      </c>
      <c r="H9045" t="s">
        <v>12573</v>
      </c>
      <c r="I9045">
        <v>7</v>
      </c>
      <c r="J9045" t="s">
        <v>445</v>
      </c>
      <c r="M9045">
        <v>2502</v>
      </c>
    </row>
    <row r="9046" spans="1:14">
      <c r="A9046">
        <v>55900602</v>
      </c>
      <c r="B9046">
        <v>3045162</v>
      </c>
      <c r="C9046" t="s">
        <v>15672</v>
      </c>
      <c r="D9046" t="s">
        <v>441</v>
      </c>
      <c r="F9046">
        <v>0</v>
      </c>
      <c r="G9046">
        <v>13.55</v>
      </c>
      <c r="H9046" t="s">
        <v>12521</v>
      </c>
      <c r="I9046">
        <v>3</v>
      </c>
      <c r="J9046" t="s">
        <v>445</v>
      </c>
      <c r="M9046">
        <v>2510</v>
      </c>
    </row>
    <row r="9047" spans="1:14">
      <c r="A9047">
        <v>55920000</v>
      </c>
      <c r="B9047">
        <v>3044598</v>
      </c>
      <c r="C9047" t="s">
        <v>15285</v>
      </c>
      <c r="D9047" t="s">
        <v>441</v>
      </c>
      <c r="F9047">
        <v>0</v>
      </c>
      <c r="G9047">
        <v>8.67</v>
      </c>
      <c r="H9047" t="s">
        <v>12521</v>
      </c>
      <c r="I9047">
        <v>2</v>
      </c>
      <c r="J9047" t="s">
        <v>445</v>
      </c>
      <c r="M9047">
        <v>6666</v>
      </c>
    </row>
    <row r="9048" spans="1:14">
      <c r="A9048">
        <v>55930000</v>
      </c>
      <c r="B9048">
        <v>3044690</v>
      </c>
      <c r="C9048" t="s">
        <v>15388</v>
      </c>
      <c r="D9048" t="s">
        <v>441</v>
      </c>
      <c r="F9048">
        <v>0</v>
      </c>
      <c r="G9048">
        <v>3.75</v>
      </c>
      <c r="H9048" t="s">
        <v>12521</v>
      </c>
      <c r="I9048">
        <v>2</v>
      </c>
      <c r="J9048" t="s">
        <v>445</v>
      </c>
      <c r="M9048">
        <v>6666</v>
      </c>
    </row>
    <row r="9049" spans="1:14">
      <c r="A9049">
        <v>55940000</v>
      </c>
      <c r="B9049">
        <v>3044726</v>
      </c>
      <c r="C9049" t="s">
        <v>15433</v>
      </c>
      <c r="D9049" t="s">
        <v>441</v>
      </c>
      <c r="F9049">
        <v>0</v>
      </c>
      <c r="G9049">
        <v>4.04</v>
      </c>
      <c r="H9049" t="s">
        <v>12521</v>
      </c>
      <c r="I9049">
        <v>2</v>
      </c>
      <c r="J9049" t="s">
        <v>445</v>
      </c>
      <c r="M9049">
        <v>6666</v>
      </c>
    </row>
    <row r="9050" spans="1:14">
      <c r="A9050">
        <v>55950000</v>
      </c>
      <c r="B9050">
        <v>3044917</v>
      </c>
      <c r="C9050" t="s">
        <v>15527</v>
      </c>
      <c r="D9050" t="s">
        <v>441</v>
      </c>
      <c r="F9050">
        <v>0</v>
      </c>
      <c r="G9050">
        <v>11.34</v>
      </c>
      <c r="H9050" t="s">
        <v>12521</v>
      </c>
      <c r="I9050">
        <v>3</v>
      </c>
      <c r="J9050" t="s">
        <v>445</v>
      </c>
      <c r="M9050">
        <v>6666</v>
      </c>
    </row>
    <row r="9051" spans="1:14">
      <c r="A9051">
        <v>56000000</v>
      </c>
      <c r="B9051">
        <v>3045009</v>
      </c>
      <c r="C9051" t="s">
        <v>15565</v>
      </c>
      <c r="D9051" t="s">
        <v>441</v>
      </c>
      <c r="F9051">
        <v>0</v>
      </c>
      <c r="G9051">
        <v>9.06</v>
      </c>
      <c r="H9051" t="s">
        <v>12521</v>
      </c>
      <c r="I9051">
        <v>2</v>
      </c>
      <c r="J9051" t="s">
        <v>445</v>
      </c>
      <c r="M9051">
        <v>6666</v>
      </c>
    </row>
    <row r="9052" spans="1:14">
      <c r="A9052">
        <v>56010000</v>
      </c>
      <c r="B9052">
        <v>3045356</v>
      </c>
      <c r="C9052" t="s">
        <v>15929</v>
      </c>
      <c r="D9052" t="s">
        <v>441</v>
      </c>
      <c r="F9052">
        <v>0</v>
      </c>
      <c r="G9052">
        <v>8.5</v>
      </c>
      <c r="H9052" t="s">
        <v>12521</v>
      </c>
      <c r="I9052">
        <v>2</v>
      </c>
      <c r="J9052" t="s">
        <v>445</v>
      </c>
      <c r="M9052">
        <v>6666</v>
      </c>
    </row>
    <row r="9053" spans="1:14">
      <c r="A9053">
        <v>56030000</v>
      </c>
      <c r="B9053">
        <v>3008267</v>
      </c>
      <c r="C9053" t="s">
        <v>3888</v>
      </c>
      <c r="D9053" t="s">
        <v>441</v>
      </c>
      <c r="F9053">
        <v>0</v>
      </c>
      <c r="G9053">
        <v>12.41</v>
      </c>
      <c r="H9053" t="s">
        <v>8584</v>
      </c>
      <c r="I9053">
        <v>3</v>
      </c>
      <c r="J9053" t="s">
        <v>445</v>
      </c>
      <c r="K9053" t="s">
        <v>446</v>
      </c>
      <c r="M9053">
        <v>2615</v>
      </c>
    </row>
    <row r="9054" spans="1:14">
      <c r="A9054">
        <v>56030030</v>
      </c>
      <c r="B9054">
        <v>4012409</v>
      </c>
      <c r="C9054" t="s">
        <v>3889</v>
      </c>
      <c r="D9054" t="s">
        <v>441</v>
      </c>
      <c r="F9054">
        <v>0</v>
      </c>
      <c r="G9054">
        <v>13.54</v>
      </c>
      <c r="H9054" t="s">
        <v>8587</v>
      </c>
      <c r="I9054">
        <v>10</v>
      </c>
      <c r="J9054" t="s">
        <v>462</v>
      </c>
      <c r="K9054" t="s">
        <v>446</v>
      </c>
      <c r="M9054">
        <v>2612</v>
      </c>
      <c r="N9054" t="s">
        <v>16061</v>
      </c>
    </row>
    <row r="9055" spans="1:14">
      <c r="A9055">
        <v>56030041</v>
      </c>
      <c r="B9055">
        <v>4001061</v>
      </c>
      <c r="C9055" t="s">
        <v>3890</v>
      </c>
      <c r="D9055" t="s">
        <v>441</v>
      </c>
      <c r="F9055">
        <v>0</v>
      </c>
      <c r="G9055">
        <v>13.22</v>
      </c>
      <c r="H9055" t="s">
        <v>8588</v>
      </c>
      <c r="I9055">
        <v>10</v>
      </c>
      <c r="J9055" t="s">
        <v>462</v>
      </c>
      <c r="K9055" t="s">
        <v>446</v>
      </c>
      <c r="M9055">
        <v>2612</v>
      </c>
      <c r="N9055" t="s">
        <v>16061</v>
      </c>
    </row>
    <row r="9056" spans="1:14">
      <c r="A9056">
        <v>56030042</v>
      </c>
      <c r="B9056">
        <v>4017027</v>
      </c>
      <c r="C9056" t="s">
        <v>3891</v>
      </c>
      <c r="D9056" t="s">
        <v>441</v>
      </c>
      <c r="F9056">
        <v>0</v>
      </c>
      <c r="G9056">
        <v>11.54</v>
      </c>
      <c r="H9056" t="s">
        <v>8588</v>
      </c>
      <c r="I9056">
        <v>12</v>
      </c>
      <c r="J9056" t="s">
        <v>462</v>
      </c>
      <c r="K9056" t="s">
        <v>446</v>
      </c>
      <c r="M9056">
        <v>2612</v>
      </c>
    </row>
    <row r="9057" spans="1:14">
      <c r="A9057">
        <v>56030141</v>
      </c>
      <c r="B9057">
        <v>3008268</v>
      </c>
      <c r="C9057" t="s">
        <v>3892</v>
      </c>
      <c r="D9057" t="s">
        <v>441</v>
      </c>
      <c r="F9057">
        <v>0</v>
      </c>
      <c r="G9057">
        <v>12.53</v>
      </c>
      <c r="H9057" t="s">
        <v>8580</v>
      </c>
      <c r="I9057">
        <v>20</v>
      </c>
      <c r="J9057" t="s">
        <v>445</v>
      </c>
      <c r="K9057" t="s">
        <v>446</v>
      </c>
      <c r="M9057">
        <v>2612</v>
      </c>
    </row>
    <row r="9058" spans="1:14">
      <c r="A9058">
        <v>56030241</v>
      </c>
      <c r="B9058">
        <v>3025703</v>
      </c>
      <c r="C9058" t="s">
        <v>3893</v>
      </c>
      <c r="D9058" t="s">
        <v>441</v>
      </c>
      <c r="F9058">
        <v>0</v>
      </c>
      <c r="G9058">
        <v>13.18</v>
      </c>
      <c r="H9058" t="s">
        <v>8588</v>
      </c>
      <c r="I9058">
        <v>2</v>
      </c>
      <c r="J9058" t="s">
        <v>445</v>
      </c>
      <c r="K9058" t="s">
        <v>446</v>
      </c>
      <c r="M9058">
        <v>2641</v>
      </c>
    </row>
    <row r="9059" spans="1:14">
      <c r="A9059">
        <v>56040000</v>
      </c>
      <c r="B9059">
        <v>3009543</v>
      </c>
      <c r="C9059" t="s">
        <v>3894</v>
      </c>
      <c r="D9059" t="s">
        <v>441</v>
      </c>
      <c r="F9059">
        <v>0</v>
      </c>
      <c r="G9059">
        <v>10.63</v>
      </c>
      <c r="H9059" t="s">
        <v>8580</v>
      </c>
      <c r="I9059">
        <v>5</v>
      </c>
      <c r="J9059" t="s">
        <v>445</v>
      </c>
      <c r="K9059" t="s">
        <v>446</v>
      </c>
      <c r="M9059">
        <v>2612</v>
      </c>
      <c r="N9059" t="s">
        <v>16090</v>
      </c>
    </row>
    <row r="9060" spans="1:14">
      <c r="A9060">
        <v>56040030</v>
      </c>
      <c r="B9060">
        <v>4014012</v>
      </c>
      <c r="C9060" t="s">
        <v>3895</v>
      </c>
      <c r="D9060" t="s">
        <v>442</v>
      </c>
      <c r="E9060" t="s">
        <v>441</v>
      </c>
      <c r="F9060">
        <v>0.3</v>
      </c>
      <c r="G9060">
        <v>4.28</v>
      </c>
      <c r="H9060" t="s">
        <v>8588</v>
      </c>
      <c r="I9060">
        <v>10</v>
      </c>
      <c r="J9060" t="s">
        <v>462</v>
      </c>
      <c r="K9060" t="s">
        <v>446</v>
      </c>
      <c r="L9060" t="s">
        <v>12668</v>
      </c>
      <c r="M9060">
        <v>2612</v>
      </c>
      <c r="N9060" t="s">
        <v>16090</v>
      </c>
    </row>
    <row r="9061" spans="1:14">
      <c r="A9061">
        <v>56040031</v>
      </c>
      <c r="B9061">
        <v>4017023</v>
      </c>
      <c r="C9061" t="s">
        <v>3896</v>
      </c>
      <c r="D9061" t="s">
        <v>442</v>
      </c>
      <c r="E9061" t="s">
        <v>441</v>
      </c>
      <c r="F9061">
        <v>0.3</v>
      </c>
      <c r="G9061">
        <v>5.28</v>
      </c>
      <c r="H9061" t="s">
        <v>8588</v>
      </c>
      <c r="I9061">
        <v>11</v>
      </c>
      <c r="J9061" t="s">
        <v>462</v>
      </c>
      <c r="K9061" t="s">
        <v>446</v>
      </c>
      <c r="L9061" t="s">
        <v>12668</v>
      </c>
      <c r="M9061">
        <v>2612</v>
      </c>
    </row>
    <row r="9062" spans="1:14">
      <c r="A9062">
        <v>56040042</v>
      </c>
      <c r="B9062">
        <v>4007117</v>
      </c>
      <c r="C9062" t="s">
        <v>3897</v>
      </c>
      <c r="D9062" t="s">
        <v>441</v>
      </c>
      <c r="F9062">
        <v>0</v>
      </c>
      <c r="G9062">
        <v>10.81</v>
      </c>
      <c r="H9062" t="s">
        <v>8588</v>
      </c>
      <c r="I9062">
        <v>12</v>
      </c>
      <c r="J9062" t="s">
        <v>462</v>
      </c>
      <c r="K9062" t="s">
        <v>446</v>
      </c>
      <c r="M9062">
        <v>2612</v>
      </c>
      <c r="N9062" t="s">
        <v>16090</v>
      </c>
    </row>
    <row r="9063" spans="1:14">
      <c r="A9063">
        <v>56040130</v>
      </c>
      <c r="B9063">
        <v>3025705</v>
      </c>
      <c r="C9063" t="s">
        <v>3898</v>
      </c>
      <c r="D9063" t="s">
        <v>442</v>
      </c>
      <c r="E9063" t="s">
        <v>441</v>
      </c>
      <c r="F9063">
        <v>0.3</v>
      </c>
      <c r="G9063">
        <v>3.81</v>
      </c>
      <c r="H9063" t="s">
        <v>8588</v>
      </c>
      <c r="I9063">
        <v>1</v>
      </c>
      <c r="J9063" t="s">
        <v>445</v>
      </c>
      <c r="K9063" t="s">
        <v>446</v>
      </c>
      <c r="M9063">
        <v>2641</v>
      </c>
    </row>
    <row r="9064" spans="1:14">
      <c r="A9064">
        <v>56040142</v>
      </c>
      <c r="B9064">
        <v>3008269</v>
      </c>
      <c r="C9064" t="s">
        <v>3899</v>
      </c>
      <c r="D9064" t="s">
        <v>441</v>
      </c>
      <c r="F9064">
        <v>0</v>
      </c>
      <c r="G9064">
        <v>12.39</v>
      </c>
      <c r="H9064" t="s">
        <v>8580</v>
      </c>
      <c r="I9064">
        <v>20</v>
      </c>
      <c r="J9064" t="s">
        <v>445</v>
      </c>
      <c r="K9064" t="s">
        <v>446</v>
      </c>
      <c r="M9064">
        <v>2612</v>
      </c>
    </row>
    <row r="9065" spans="1:14">
      <c r="A9065">
        <v>56042042</v>
      </c>
      <c r="B9065">
        <v>4012430</v>
      </c>
      <c r="C9065" t="s">
        <v>3900</v>
      </c>
      <c r="D9065" t="s">
        <v>441</v>
      </c>
      <c r="F9065">
        <v>0</v>
      </c>
      <c r="G9065">
        <v>10.09</v>
      </c>
      <c r="H9065" t="s">
        <v>8588</v>
      </c>
      <c r="I9065">
        <v>12</v>
      </c>
      <c r="J9065" t="s">
        <v>462</v>
      </c>
      <c r="K9065" t="s">
        <v>446</v>
      </c>
      <c r="M9065">
        <v>2612</v>
      </c>
    </row>
    <row r="9066" spans="1:14">
      <c r="A9066">
        <v>56140000</v>
      </c>
      <c r="B9066">
        <v>3016550</v>
      </c>
      <c r="C9066" t="s">
        <v>12669</v>
      </c>
      <c r="D9066" t="s">
        <v>441</v>
      </c>
      <c r="F9066">
        <v>0</v>
      </c>
      <c r="G9066">
        <v>6.04</v>
      </c>
      <c r="H9066" t="s">
        <v>8580</v>
      </c>
      <c r="I9066">
        <v>10</v>
      </c>
      <c r="J9066" t="s">
        <v>445</v>
      </c>
      <c r="K9066" t="s">
        <v>446</v>
      </c>
      <c r="M9066">
        <v>2621</v>
      </c>
    </row>
    <row r="9067" spans="1:14">
      <c r="A9067">
        <v>56140027</v>
      </c>
      <c r="B9067">
        <v>4004157</v>
      </c>
      <c r="C9067" t="s">
        <v>12670</v>
      </c>
      <c r="D9067" t="s">
        <v>442</v>
      </c>
      <c r="E9067" t="s">
        <v>441</v>
      </c>
      <c r="F9067">
        <v>0.25</v>
      </c>
      <c r="G9067">
        <v>1.9</v>
      </c>
      <c r="H9067" t="s">
        <v>8588</v>
      </c>
      <c r="I9067">
        <v>134</v>
      </c>
      <c r="J9067" t="s">
        <v>462</v>
      </c>
      <c r="K9067" t="s">
        <v>446</v>
      </c>
      <c r="M9067">
        <v>2501</v>
      </c>
    </row>
    <row r="9068" spans="1:14">
      <c r="A9068">
        <v>56140028</v>
      </c>
      <c r="B9068">
        <v>4008386</v>
      </c>
      <c r="C9068" t="s">
        <v>12671</v>
      </c>
      <c r="D9068" t="s">
        <v>442</v>
      </c>
      <c r="E9068" t="s">
        <v>441</v>
      </c>
      <c r="F9068">
        <v>0.25</v>
      </c>
      <c r="G9068">
        <v>1.67</v>
      </c>
      <c r="H9068" t="s">
        <v>8588</v>
      </c>
      <c r="I9068">
        <v>134</v>
      </c>
      <c r="J9068" t="s">
        <v>462</v>
      </c>
      <c r="K9068" t="s">
        <v>446</v>
      </c>
      <c r="M9068">
        <v>2501</v>
      </c>
    </row>
    <row r="9069" spans="1:14">
      <c r="A9069">
        <v>56140089</v>
      </c>
      <c r="B9069">
        <v>4004158</v>
      </c>
      <c r="C9069" t="s">
        <v>12672</v>
      </c>
      <c r="D9069" t="s">
        <v>441</v>
      </c>
      <c r="F9069">
        <v>0</v>
      </c>
      <c r="G9069">
        <v>7.4</v>
      </c>
      <c r="H9069" t="s">
        <v>8588</v>
      </c>
      <c r="I9069">
        <v>134</v>
      </c>
      <c r="J9069" t="s">
        <v>462</v>
      </c>
      <c r="K9069" t="s">
        <v>446</v>
      </c>
      <c r="M9069">
        <v>2501</v>
      </c>
    </row>
    <row r="9070" spans="1:14">
      <c r="A9070">
        <v>56140527</v>
      </c>
      <c r="B9070">
        <v>3008271</v>
      </c>
      <c r="C9070" t="s">
        <v>12673</v>
      </c>
      <c r="D9070" t="s">
        <v>442</v>
      </c>
      <c r="E9070" t="s">
        <v>441</v>
      </c>
      <c r="F9070">
        <v>0.25</v>
      </c>
      <c r="G9070">
        <v>1.86</v>
      </c>
      <c r="H9070" t="s">
        <v>8580</v>
      </c>
      <c r="I9070">
        <v>134</v>
      </c>
      <c r="J9070" t="s">
        <v>445</v>
      </c>
      <c r="K9070" t="s">
        <v>446</v>
      </c>
      <c r="M9070">
        <v>2622</v>
      </c>
    </row>
    <row r="9071" spans="1:14">
      <c r="A9071">
        <v>56140589</v>
      </c>
      <c r="B9071">
        <v>3008272</v>
      </c>
      <c r="C9071" t="s">
        <v>12674</v>
      </c>
      <c r="D9071" t="s">
        <v>442</v>
      </c>
      <c r="E9071" t="s">
        <v>441</v>
      </c>
      <c r="F9071">
        <v>0.25</v>
      </c>
      <c r="G9071">
        <v>1.63</v>
      </c>
      <c r="H9071" t="s">
        <v>8580</v>
      </c>
      <c r="I9071">
        <v>6</v>
      </c>
      <c r="J9071" t="s">
        <v>445</v>
      </c>
      <c r="K9071" t="s">
        <v>446</v>
      </c>
      <c r="M9071">
        <v>2622</v>
      </c>
    </row>
    <row r="9072" spans="1:14">
      <c r="A9072">
        <v>56170000</v>
      </c>
      <c r="B9072">
        <v>3008854</v>
      </c>
      <c r="C9072" t="s">
        <v>3901</v>
      </c>
      <c r="D9072" t="s">
        <v>441</v>
      </c>
      <c r="F9072">
        <v>0</v>
      </c>
      <c r="G9072">
        <v>10.6</v>
      </c>
      <c r="H9072" t="s">
        <v>10826</v>
      </c>
      <c r="I9072">
        <v>5</v>
      </c>
      <c r="J9072" t="s">
        <v>445</v>
      </c>
      <c r="K9072" t="s">
        <v>446</v>
      </c>
      <c r="M9072">
        <v>3122</v>
      </c>
    </row>
    <row r="9073" spans="1:14">
      <c r="A9073">
        <v>56170041</v>
      </c>
      <c r="B9073">
        <v>4006237</v>
      </c>
      <c r="C9073" t="s">
        <v>12675</v>
      </c>
      <c r="D9073" t="s">
        <v>441</v>
      </c>
      <c r="F9073">
        <v>0</v>
      </c>
      <c r="G9073">
        <v>12.74</v>
      </c>
      <c r="H9073" t="s">
        <v>8588</v>
      </c>
      <c r="I9073">
        <v>12</v>
      </c>
      <c r="J9073" t="s">
        <v>462</v>
      </c>
      <c r="K9073" t="s">
        <v>446</v>
      </c>
      <c r="M9073">
        <v>2612</v>
      </c>
    </row>
    <row r="9074" spans="1:14">
      <c r="A9074">
        <v>56170141</v>
      </c>
      <c r="B9074">
        <v>3008856</v>
      </c>
      <c r="C9074" t="s">
        <v>12676</v>
      </c>
      <c r="D9074" t="s">
        <v>441</v>
      </c>
      <c r="F9074">
        <v>0</v>
      </c>
      <c r="G9074">
        <v>12.03</v>
      </c>
      <c r="I9074">
        <v>14</v>
      </c>
      <c r="J9074" t="s">
        <v>445</v>
      </c>
      <c r="K9074" t="s">
        <v>446</v>
      </c>
      <c r="M9074">
        <v>2612</v>
      </c>
    </row>
    <row r="9075" spans="1:14">
      <c r="A9075">
        <v>56180000</v>
      </c>
      <c r="B9075">
        <v>3008273</v>
      </c>
      <c r="C9075" t="s">
        <v>3902</v>
      </c>
      <c r="D9075" t="s">
        <v>441</v>
      </c>
      <c r="F9075">
        <v>0</v>
      </c>
      <c r="G9075">
        <v>11.24</v>
      </c>
      <c r="H9075" t="s">
        <v>8580</v>
      </c>
      <c r="I9075">
        <v>3</v>
      </c>
      <c r="J9075" t="s">
        <v>445</v>
      </c>
      <c r="K9075" t="s">
        <v>446</v>
      </c>
      <c r="M9075">
        <v>0</v>
      </c>
    </row>
    <row r="9076" spans="1:14">
      <c r="A9076">
        <v>56180041</v>
      </c>
      <c r="B9076">
        <v>4006238</v>
      </c>
      <c r="C9076" t="s">
        <v>3903</v>
      </c>
      <c r="D9076" t="s">
        <v>441</v>
      </c>
      <c r="F9076">
        <v>0</v>
      </c>
      <c r="G9076">
        <v>12.88</v>
      </c>
      <c r="H9076" t="s">
        <v>8588</v>
      </c>
      <c r="I9076">
        <v>12</v>
      </c>
      <c r="J9076" t="s">
        <v>462</v>
      </c>
      <c r="K9076" t="s">
        <v>446</v>
      </c>
      <c r="M9076">
        <v>2612</v>
      </c>
    </row>
    <row r="9077" spans="1:14">
      <c r="A9077">
        <v>56180042</v>
      </c>
      <c r="B9077">
        <v>4008228</v>
      </c>
      <c r="C9077" t="s">
        <v>12677</v>
      </c>
      <c r="D9077" t="s">
        <v>441</v>
      </c>
      <c r="F9077">
        <v>0</v>
      </c>
      <c r="G9077">
        <v>14.42</v>
      </c>
      <c r="H9077" t="s">
        <v>8587</v>
      </c>
      <c r="I9077">
        <v>14</v>
      </c>
      <c r="J9077" t="s">
        <v>462</v>
      </c>
      <c r="K9077" t="s">
        <v>446</v>
      </c>
      <c r="M9077">
        <v>2612</v>
      </c>
    </row>
    <row r="9078" spans="1:14">
      <c r="A9078">
        <v>56180141</v>
      </c>
      <c r="B9078">
        <v>3008274</v>
      </c>
      <c r="C9078" t="s">
        <v>3904</v>
      </c>
      <c r="D9078" t="s">
        <v>441</v>
      </c>
      <c r="F9078">
        <v>0</v>
      </c>
      <c r="G9078">
        <v>12.7</v>
      </c>
      <c r="H9078" t="s">
        <v>8634</v>
      </c>
      <c r="I9078">
        <v>20</v>
      </c>
      <c r="J9078" t="s">
        <v>445</v>
      </c>
      <c r="K9078" t="s">
        <v>446</v>
      </c>
      <c r="M9078">
        <v>2612</v>
      </c>
    </row>
    <row r="9079" spans="1:14">
      <c r="A9079">
        <v>56190000</v>
      </c>
      <c r="B9079">
        <v>3008275</v>
      </c>
      <c r="C9079" t="s">
        <v>12678</v>
      </c>
      <c r="D9079" t="s">
        <v>441</v>
      </c>
      <c r="F9079">
        <v>0</v>
      </c>
      <c r="G9079">
        <v>9.56</v>
      </c>
      <c r="I9079">
        <v>2</v>
      </c>
      <c r="J9079" t="s">
        <v>445</v>
      </c>
      <c r="K9079" t="s">
        <v>446</v>
      </c>
      <c r="M9079">
        <v>2621</v>
      </c>
    </row>
    <row r="9080" spans="1:14">
      <c r="A9080">
        <v>56190030</v>
      </c>
      <c r="B9080">
        <v>4006735</v>
      </c>
      <c r="C9080" t="s">
        <v>12679</v>
      </c>
      <c r="D9080" t="s">
        <v>442</v>
      </c>
      <c r="E9080" t="s">
        <v>441</v>
      </c>
      <c r="F9080">
        <v>0.5</v>
      </c>
      <c r="G9080">
        <v>5.34</v>
      </c>
      <c r="H9080" t="s">
        <v>8588</v>
      </c>
      <c r="I9080">
        <v>12</v>
      </c>
      <c r="J9080" t="s">
        <v>462</v>
      </c>
      <c r="K9080" t="s">
        <v>446</v>
      </c>
      <c r="M9080">
        <v>2622</v>
      </c>
    </row>
    <row r="9081" spans="1:14">
      <c r="A9081">
        <v>56200000</v>
      </c>
      <c r="B9081">
        <v>3008276</v>
      </c>
      <c r="C9081" t="s">
        <v>12680</v>
      </c>
      <c r="D9081" t="s">
        <v>441</v>
      </c>
      <c r="F9081">
        <v>0</v>
      </c>
      <c r="G9081">
        <v>7.84</v>
      </c>
      <c r="H9081" t="s">
        <v>8584</v>
      </c>
      <c r="I9081">
        <v>2</v>
      </c>
      <c r="J9081" t="s">
        <v>445</v>
      </c>
      <c r="K9081" t="s">
        <v>446</v>
      </c>
      <c r="M9081">
        <v>2621</v>
      </c>
    </row>
    <row r="9082" spans="1:14">
      <c r="A9082">
        <v>56200030</v>
      </c>
      <c r="B9082">
        <v>4006732</v>
      </c>
      <c r="C9082" t="s">
        <v>12681</v>
      </c>
      <c r="D9082" t="s">
        <v>442</v>
      </c>
      <c r="E9082" t="s">
        <v>441</v>
      </c>
      <c r="F9082">
        <v>0.5</v>
      </c>
      <c r="G9082">
        <v>4.46</v>
      </c>
      <c r="H9082" t="s">
        <v>8588</v>
      </c>
      <c r="I9082">
        <v>12</v>
      </c>
      <c r="J9082" t="s">
        <v>462</v>
      </c>
      <c r="K9082" t="s">
        <v>446</v>
      </c>
      <c r="M9082">
        <v>2622</v>
      </c>
    </row>
    <row r="9083" spans="1:14">
      <c r="A9083">
        <v>56210000</v>
      </c>
      <c r="B9083">
        <v>3008277</v>
      </c>
      <c r="C9083" t="s">
        <v>12682</v>
      </c>
      <c r="D9083" t="s">
        <v>441</v>
      </c>
      <c r="F9083">
        <v>0</v>
      </c>
      <c r="G9083">
        <v>9.3000000000000007</v>
      </c>
      <c r="H9083" t="s">
        <v>8580</v>
      </c>
      <c r="I9083">
        <v>2</v>
      </c>
      <c r="J9083" t="s">
        <v>445</v>
      </c>
      <c r="K9083" t="s">
        <v>446</v>
      </c>
      <c r="M9083">
        <v>2621</v>
      </c>
    </row>
    <row r="9084" spans="1:14">
      <c r="A9084">
        <v>56220000</v>
      </c>
      <c r="B9084">
        <v>3008278</v>
      </c>
      <c r="C9084" t="s">
        <v>12683</v>
      </c>
      <c r="D9084" t="s">
        <v>441</v>
      </c>
      <c r="F9084">
        <v>0</v>
      </c>
      <c r="G9084">
        <v>10.72</v>
      </c>
      <c r="H9084" t="s">
        <v>8580</v>
      </c>
      <c r="I9084">
        <v>2</v>
      </c>
      <c r="J9084" t="s">
        <v>445</v>
      </c>
      <c r="K9084" t="s">
        <v>446</v>
      </c>
      <c r="M9084">
        <v>2621</v>
      </c>
    </row>
    <row r="9085" spans="1:14">
      <c r="A9085">
        <v>56220030</v>
      </c>
      <c r="B9085">
        <v>4006734</v>
      </c>
      <c r="C9085" t="s">
        <v>12684</v>
      </c>
      <c r="D9085" t="s">
        <v>442</v>
      </c>
      <c r="E9085" t="s">
        <v>441</v>
      </c>
      <c r="F9085">
        <v>0.5</v>
      </c>
      <c r="G9085">
        <v>5.93</v>
      </c>
      <c r="H9085" t="s">
        <v>8588</v>
      </c>
      <c r="I9085">
        <v>12</v>
      </c>
      <c r="J9085" t="s">
        <v>462</v>
      </c>
      <c r="K9085" t="s">
        <v>446</v>
      </c>
      <c r="M9085">
        <v>2622</v>
      </c>
    </row>
    <row r="9086" spans="1:14">
      <c r="A9086">
        <v>56230000</v>
      </c>
      <c r="B9086">
        <v>3016736</v>
      </c>
      <c r="C9086" t="s">
        <v>12685</v>
      </c>
      <c r="D9086" t="s">
        <v>441</v>
      </c>
      <c r="F9086">
        <v>0</v>
      </c>
      <c r="G9086">
        <v>13.12</v>
      </c>
      <c r="H9086" t="s">
        <v>8634</v>
      </c>
      <c r="I9086">
        <v>3</v>
      </c>
      <c r="J9086" t="s">
        <v>445</v>
      </c>
      <c r="K9086" t="s">
        <v>446</v>
      </c>
      <c r="M9086">
        <v>2612</v>
      </c>
      <c r="N9086" t="s">
        <v>16060</v>
      </c>
    </row>
    <row r="9087" spans="1:14">
      <c r="A9087">
        <v>56230041</v>
      </c>
      <c r="B9087">
        <v>4006878</v>
      </c>
      <c r="C9087" t="s">
        <v>3905</v>
      </c>
      <c r="D9087" t="s">
        <v>441</v>
      </c>
      <c r="F9087">
        <v>0</v>
      </c>
      <c r="G9087">
        <v>13.45</v>
      </c>
      <c r="H9087" t="s">
        <v>8588</v>
      </c>
      <c r="I9087">
        <v>11</v>
      </c>
      <c r="J9087" t="s">
        <v>462</v>
      </c>
      <c r="K9087" t="s">
        <v>446</v>
      </c>
      <c r="M9087">
        <v>2612</v>
      </c>
      <c r="N9087" t="s">
        <v>16060</v>
      </c>
    </row>
    <row r="9088" spans="1:14">
      <c r="A9088">
        <v>56230100</v>
      </c>
      <c r="B9088">
        <v>3022469</v>
      </c>
      <c r="C9088" t="s">
        <v>12686</v>
      </c>
      <c r="D9088" t="s">
        <v>441</v>
      </c>
      <c r="F9088">
        <v>0</v>
      </c>
      <c r="G9088">
        <v>14.57</v>
      </c>
      <c r="H9088" t="s">
        <v>8549</v>
      </c>
      <c r="I9088">
        <v>13</v>
      </c>
      <c r="J9088" t="s">
        <v>445</v>
      </c>
      <c r="K9088" t="s">
        <v>446</v>
      </c>
      <c r="M9088">
        <v>2612</v>
      </c>
      <c r="N9088" t="s">
        <v>16060</v>
      </c>
    </row>
    <row r="9089" spans="1:14">
      <c r="A9089">
        <v>56240000</v>
      </c>
      <c r="B9089">
        <v>3016733</v>
      </c>
      <c r="C9089" t="s">
        <v>12687</v>
      </c>
      <c r="D9089" t="s">
        <v>441</v>
      </c>
      <c r="F9089">
        <v>0</v>
      </c>
      <c r="G9089">
        <v>13.65</v>
      </c>
      <c r="H9089" t="s">
        <v>8634</v>
      </c>
      <c r="I9089">
        <v>3</v>
      </c>
      <c r="J9089" t="s">
        <v>445</v>
      </c>
      <c r="K9089" t="s">
        <v>446</v>
      </c>
      <c r="M9089">
        <v>2612</v>
      </c>
      <c r="N9089" t="s">
        <v>16060</v>
      </c>
    </row>
    <row r="9090" spans="1:14">
      <c r="A9090">
        <v>56240032</v>
      </c>
      <c r="B9090">
        <v>4013987</v>
      </c>
      <c r="C9090" t="s">
        <v>12688</v>
      </c>
      <c r="D9090" t="s">
        <v>442</v>
      </c>
      <c r="F9090">
        <v>0</v>
      </c>
      <c r="G9090">
        <v>7.93</v>
      </c>
      <c r="H9090" t="s">
        <v>8588</v>
      </c>
      <c r="I9090">
        <v>11</v>
      </c>
      <c r="J9090" t="s">
        <v>462</v>
      </c>
      <c r="K9090" t="s">
        <v>446</v>
      </c>
      <c r="M9090">
        <v>2612</v>
      </c>
    </row>
    <row r="9091" spans="1:14">
      <c r="A9091">
        <v>56240033</v>
      </c>
      <c r="B9091">
        <v>4013988</v>
      </c>
      <c r="C9091" t="s">
        <v>12689</v>
      </c>
      <c r="D9091" t="s">
        <v>441</v>
      </c>
      <c r="F9091">
        <v>0</v>
      </c>
      <c r="G9091">
        <v>14.11</v>
      </c>
      <c r="H9091" t="s">
        <v>8588</v>
      </c>
      <c r="I9091">
        <v>11</v>
      </c>
      <c r="J9091" t="s">
        <v>462</v>
      </c>
      <c r="K9091" t="s">
        <v>446</v>
      </c>
      <c r="M9091">
        <v>2612</v>
      </c>
      <c r="N9091" t="s">
        <v>16060</v>
      </c>
    </row>
    <row r="9092" spans="1:14">
      <c r="A9092">
        <v>56240041</v>
      </c>
      <c r="B9092">
        <v>4006881</v>
      </c>
      <c r="C9092" t="s">
        <v>12690</v>
      </c>
      <c r="D9092" t="s">
        <v>442</v>
      </c>
      <c r="E9092" t="s">
        <v>441</v>
      </c>
      <c r="F9092">
        <v>0.6</v>
      </c>
      <c r="G9092">
        <v>8.7200000000000006</v>
      </c>
      <c r="H9092" t="s">
        <v>8588</v>
      </c>
      <c r="I9092">
        <v>10</v>
      </c>
      <c r="J9092" t="s">
        <v>462</v>
      </c>
      <c r="K9092" t="s">
        <v>446</v>
      </c>
      <c r="M9092">
        <v>2612</v>
      </c>
    </row>
    <row r="9093" spans="1:14">
      <c r="A9093">
        <v>56240133</v>
      </c>
      <c r="B9093">
        <v>3022030</v>
      </c>
      <c r="C9093" t="s">
        <v>12691</v>
      </c>
      <c r="D9093" t="s">
        <v>441</v>
      </c>
      <c r="F9093">
        <v>0</v>
      </c>
      <c r="G9093">
        <v>15.14</v>
      </c>
      <c r="H9093" t="s">
        <v>8549</v>
      </c>
      <c r="I9093">
        <v>13</v>
      </c>
      <c r="J9093" t="s">
        <v>445</v>
      </c>
      <c r="K9093" t="s">
        <v>446</v>
      </c>
      <c r="M9093">
        <v>2612</v>
      </c>
      <c r="N9093" t="s">
        <v>16060</v>
      </c>
    </row>
    <row r="9094" spans="1:14">
      <c r="A9094">
        <v>56250000</v>
      </c>
      <c r="B9094">
        <v>3016738</v>
      </c>
      <c r="C9094" t="s">
        <v>12692</v>
      </c>
      <c r="D9094" t="s">
        <v>441</v>
      </c>
      <c r="F9094">
        <v>0</v>
      </c>
      <c r="G9094">
        <v>13.31</v>
      </c>
      <c r="H9094" t="s">
        <v>8634</v>
      </c>
      <c r="I9094">
        <v>3</v>
      </c>
      <c r="J9094" t="s">
        <v>445</v>
      </c>
      <c r="K9094" t="s">
        <v>446</v>
      </c>
      <c r="M9094">
        <v>2612</v>
      </c>
      <c r="N9094" t="s">
        <v>16060</v>
      </c>
    </row>
    <row r="9095" spans="1:14">
      <c r="A9095">
        <v>56250041</v>
      </c>
      <c r="B9095">
        <v>4006879</v>
      </c>
      <c r="C9095" t="s">
        <v>12693</v>
      </c>
      <c r="D9095" t="s">
        <v>441</v>
      </c>
      <c r="F9095">
        <v>0</v>
      </c>
      <c r="G9095">
        <v>14.31</v>
      </c>
      <c r="H9095" t="s">
        <v>8588</v>
      </c>
      <c r="I9095">
        <v>11</v>
      </c>
      <c r="J9095" t="s">
        <v>462</v>
      </c>
      <c r="K9095" t="s">
        <v>446</v>
      </c>
      <c r="M9095">
        <v>2612</v>
      </c>
      <c r="N9095" t="s">
        <v>16060</v>
      </c>
    </row>
    <row r="9096" spans="1:14">
      <c r="A9096">
        <v>56250043</v>
      </c>
      <c r="B9096">
        <v>4014015</v>
      </c>
      <c r="C9096" t="s">
        <v>12694</v>
      </c>
      <c r="D9096" t="s">
        <v>441</v>
      </c>
      <c r="F9096">
        <v>0</v>
      </c>
      <c r="G9096">
        <v>13.65</v>
      </c>
      <c r="H9096" t="s">
        <v>8588</v>
      </c>
      <c r="I9096">
        <v>11</v>
      </c>
      <c r="J9096" t="s">
        <v>462</v>
      </c>
      <c r="K9096" t="s">
        <v>446</v>
      </c>
      <c r="M9096">
        <v>2612</v>
      </c>
      <c r="N9096" t="s">
        <v>16060</v>
      </c>
    </row>
    <row r="9097" spans="1:14">
      <c r="A9097">
        <v>56250044</v>
      </c>
      <c r="B9097">
        <v>4013989</v>
      </c>
      <c r="C9097" t="s">
        <v>12695</v>
      </c>
      <c r="D9097" t="s">
        <v>441</v>
      </c>
      <c r="F9097">
        <v>0</v>
      </c>
      <c r="G9097">
        <v>13.8</v>
      </c>
      <c r="H9097" t="s">
        <v>8588</v>
      </c>
      <c r="I9097">
        <v>11</v>
      </c>
      <c r="J9097" t="s">
        <v>462</v>
      </c>
      <c r="K9097" t="s">
        <v>446</v>
      </c>
      <c r="M9097">
        <v>2612</v>
      </c>
      <c r="N9097" t="s">
        <v>16060</v>
      </c>
    </row>
    <row r="9098" spans="1:14">
      <c r="A9098">
        <v>56250100</v>
      </c>
      <c r="B9098">
        <v>3022467</v>
      </c>
      <c r="C9098" t="s">
        <v>12696</v>
      </c>
      <c r="D9098" t="s">
        <v>441</v>
      </c>
      <c r="F9098">
        <v>0</v>
      </c>
      <c r="G9098">
        <v>14.79</v>
      </c>
      <c r="H9098" t="s">
        <v>8549</v>
      </c>
      <c r="I9098">
        <v>13</v>
      </c>
      <c r="J9098" t="s">
        <v>445</v>
      </c>
      <c r="K9098" t="s">
        <v>446</v>
      </c>
      <c r="M9098">
        <v>2612</v>
      </c>
      <c r="N9098" t="s">
        <v>16060</v>
      </c>
    </row>
    <row r="9099" spans="1:14">
      <c r="A9099">
        <v>56250110</v>
      </c>
      <c r="B9099">
        <v>3022470</v>
      </c>
      <c r="C9099" t="s">
        <v>12697</v>
      </c>
      <c r="D9099" t="s">
        <v>441</v>
      </c>
      <c r="F9099">
        <v>0</v>
      </c>
      <c r="G9099">
        <v>14.77</v>
      </c>
      <c r="H9099" t="s">
        <v>8549</v>
      </c>
      <c r="I9099">
        <v>13</v>
      </c>
      <c r="J9099" t="s">
        <v>445</v>
      </c>
      <c r="K9099" t="s">
        <v>446</v>
      </c>
      <c r="M9099">
        <v>2612</v>
      </c>
      <c r="N9099" t="s">
        <v>16060</v>
      </c>
    </row>
    <row r="9100" spans="1:14">
      <c r="A9100">
        <v>56260000</v>
      </c>
      <c r="B9100">
        <v>3016732</v>
      </c>
      <c r="C9100" t="s">
        <v>3906</v>
      </c>
      <c r="D9100" t="s">
        <v>441</v>
      </c>
      <c r="F9100">
        <v>0</v>
      </c>
      <c r="G9100">
        <v>9.4</v>
      </c>
      <c r="H9100" t="s">
        <v>8634</v>
      </c>
      <c r="I9100">
        <v>3</v>
      </c>
      <c r="J9100" t="s">
        <v>445</v>
      </c>
      <c r="K9100" t="s">
        <v>446</v>
      </c>
      <c r="M9100">
        <v>2612</v>
      </c>
    </row>
    <row r="9101" spans="1:14">
      <c r="A9101">
        <v>56260041</v>
      </c>
      <c r="B9101">
        <v>4006882</v>
      </c>
      <c r="C9101" t="s">
        <v>3907</v>
      </c>
      <c r="D9101" t="s">
        <v>442</v>
      </c>
      <c r="E9101" t="s">
        <v>441</v>
      </c>
      <c r="F9101">
        <v>0.6</v>
      </c>
      <c r="G9101">
        <v>6.73</v>
      </c>
      <c r="H9101" t="s">
        <v>8588</v>
      </c>
      <c r="I9101">
        <v>10</v>
      </c>
      <c r="J9101" t="s">
        <v>462</v>
      </c>
      <c r="K9101" t="s">
        <v>446</v>
      </c>
      <c r="M9101">
        <v>2612</v>
      </c>
    </row>
    <row r="9102" spans="1:14">
      <c r="A9102">
        <v>56270000</v>
      </c>
      <c r="B9102">
        <v>3016735</v>
      </c>
      <c r="C9102" t="s">
        <v>12698</v>
      </c>
      <c r="D9102" t="s">
        <v>441</v>
      </c>
      <c r="F9102">
        <v>0</v>
      </c>
      <c r="G9102">
        <v>12.67</v>
      </c>
      <c r="H9102" t="s">
        <v>8634</v>
      </c>
      <c r="I9102">
        <v>3</v>
      </c>
      <c r="J9102" t="s">
        <v>445</v>
      </c>
      <c r="K9102" t="s">
        <v>446</v>
      </c>
      <c r="M9102">
        <v>2612</v>
      </c>
    </row>
    <row r="9103" spans="1:14">
      <c r="A9103">
        <v>56270041</v>
      </c>
      <c r="B9103">
        <v>4006880</v>
      </c>
      <c r="C9103" t="s">
        <v>12699</v>
      </c>
      <c r="D9103" t="s">
        <v>441</v>
      </c>
      <c r="F9103">
        <v>0</v>
      </c>
      <c r="G9103">
        <v>14.12</v>
      </c>
      <c r="H9103" t="s">
        <v>8588</v>
      </c>
      <c r="I9103">
        <v>10</v>
      </c>
      <c r="J9103" t="s">
        <v>462</v>
      </c>
      <c r="K9103" t="s">
        <v>446</v>
      </c>
      <c r="M9103">
        <v>2612</v>
      </c>
    </row>
    <row r="9104" spans="1:14">
      <c r="A9104">
        <v>56280000</v>
      </c>
      <c r="B9104">
        <v>3016734</v>
      </c>
      <c r="C9104" t="s">
        <v>3908</v>
      </c>
      <c r="D9104" t="s">
        <v>441</v>
      </c>
      <c r="F9104">
        <v>0</v>
      </c>
      <c r="G9104">
        <v>9.93</v>
      </c>
      <c r="H9104" t="s">
        <v>8634</v>
      </c>
      <c r="I9104">
        <v>3</v>
      </c>
      <c r="J9104" t="s">
        <v>445</v>
      </c>
      <c r="K9104" t="s">
        <v>446</v>
      </c>
      <c r="M9104">
        <v>2612</v>
      </c>
      <c r="N9104" t="s">
        <v>16566</v>
      </c>
    </row>
    <row r="9105" spans="1:14">
      <c r="A9105">
        <v>56280041</v>
      </c>
      <c r="B9105">
        <v>4006883</v>
      </c>
      <c r="C9105" t="s">
        <v>3909</v>
      </c>
      <c r="D9105" t="s">
        <v>441</v>
      </c>
      <c r="F9105">
        <v>0</v>
      </c>
      <c r="G9105">
        <v>13.05</v>
      </c>
      <c r="H9105" t="s">
        <v>8588</v>
      </c>
      <c r="I9105">
        <v>7</v>
      </c>
      <c r="J9105" t="s">
        <v>462</v>
      </c>
      <c r="K9105" t="s">
        <v>446</v>
      </c>
      <c r="M9105">
        <v>2612</v>
      </c>
    </row>
    <row r="9106" spans="1:14">
      <c r="A9106">
        <v>56280141</v>
      </c>
      <c r="B9106">
        <v>3025340</v>
      </c>
      <c r="C9106" t="s">
        <v>3910</v>
      </c>
      <c r="D9106" t="s">
        <v>441</v>
      </c>
      <c r="F9106">
        <v>0</v>
      </c>
      <c r="G9106">
        <v>10.73</v>
      </c>
      <c r="H9106" t="s">
        <v>8935</v>
      </c>
      <c r="I9106">
        <v>9</v>
      </c>
      <c r="J9106" t="s">
        <v>445</v>
      </c>
      <c r="K9106" t="s">
        <v>446</v>
      </c>
      <c r="M9106">
        <v>2641</v>
      </c>
      <c r="N9106" t="s">
        <v>16567</v>
      </c>
    </row>
    <row r="9107" spans="1:14">
      <c r="A9107">
        <v>56290000</v>
      </c>
      <c r="B9107">
        <v>3008279</v>
      </c>
      <c r="C9107" t="s">
        <v>3911</v>
      </c>
      <c r="D9107" t="s">
        <v>441</v>
      </c>
      <c r="F9107">
        <v>0</v>
      </c>
      <c r="G9107">
        <v>11.52</v>
      </c>
      <c r="H9107" t="s">
        <v>8580</v>
      </c>
      <c r="I9107">
        <v>10</v>
      </c>
      <c r="J9107" t="s">
        <v>445</v>
      </c>
      <c r="K9107" t="s">
        <v>446</v>
      </c>
      <c r="M9107">
        <v>0</v>
      </c>
    </row>
    <row r="9108" spans="1:14">
      <c r="A9108">
        <v>56290041</v>
      </c>
      <c r="B9108">
        <v>4006884</v>
      </c>
      <c r="C9108" t="s">
        <v>12700</v>
      </c>
      <c r="D9108" t="s">
        <v>441</v>
      </c>
      <c r="F9108">
        <v>0</v>
      </c>
      <c r="G9108">
        <v>12.21</v>
      </c>
      <c r="H9108" t="s">
        <v>8587</v>
      </c>
      <c r="I9108">
        <v>14</v>
      </c>
      <c r="J9108" t="s">
        <v>462</v>
      </c>
      <c r="K9108" t="s">
        <v>446</v>
      </c>
      <c r="M9108">
        <v>2612</v>
      </c>
    </row>
    <row r="9109" spans="1:14">
      <c r="A9109">
        <v>56290042</v>
      </c>
      <c r="B9109">
        <v>4006885</v>
      </c>
      <c r="C9109" t="s">
        <v>12701</v>
      </c>
      <c r="D9109" t="s">
        <v>441</v>
      </c>
      <c r="F9109">
        <v>0</v>
      </c>
      <c r="G9109">
        <v>12.23</v>
      </c>
      <c r="H9109" t="s">
        <v>8587</v>
      </c>
      <c r="I9109">
        <v>14</v>
      </c>
      <c r="J9109" t="s">
        <v>462</v>
      </c>
      <c r="K9109" t="s">
        <v>446</v>
      </c>
      <c r="M9109">
        <v>2612</v>
      </c>
    </row>
    <row r="9110" spans="1:14">
      <c r="A9110">
        <v>56290043</v>
      </c>
      <c r="B9110">
        <v>4006914</v>
      </c>
      <c r="C9110" t="s">
        <v>12702</v>
      </c>
      <c r="D9110" t="s">
        <v>441</v>
      </c>
      <c r="F9110">
        <v>0</v>
      </c>
      <c r="G9110">
        <v>13.14</v>
      </c>
      <c r="H9110" t="s">
        <v>8587</v>
      </c>
      <c r="I9110">
        <v>14</v>
      </c>
      <c r="J9110" t="s">
        <v>462</v>
      </c>
      <c r="K9110" t="s">
        <v>446</v>
      </c>
      <c r="M9110">
        <v>2612</v>
      </c>
    </row>
    <row r="9111" spans="1:14">
      <c r="A9111">
        <v>56290141</v>
      </c>
      <c r="B9111">
        <v>3008280</v>
      </c>
      <c r="C9111" t="s">
        <v>12703</v>
      </c>
      <c r="D9111" t="s">
        <v>441</v>
      </c>
      <c r="F9111">
        <v>0</v>
      </c>
      <c r="G9111">
        <v>13.1</v>
      </c>
      <c r="H9111" t="s">
        <v>8580</v>
      </c>
      <c r="I9111">
        <v>12</v>
      </c>
      <c r="J9111" t="s">
        <v>445</v>
      </c>
      <c r="K9111" t="s">
        <v>446</v>
      </c>
      <c r="M9111">
        <v>2612</v>
      </c>
    </row>
    <row r="9112" spans="1:14">
      <c r="A9112">
        <v>56290142</v>
      </c>
      <c r="B9112">
        <v>3008281</v>
      </c>
      <c r="C9112" t="s">
        <v>12704</v>
      </c>
      <c r="D9112" t="s">
        <v>441</v>
      </c>
      <c r="F9112">
        <v>0</v>
      </c>
      <c r="G9112">
        <v>13.1</v>
      </c>
      <c r="H9112" t="s">
        <v>8580</v>
      </c>
      <c r="I9112">
        <v>12</v>
      </c>
      <c r="J9112" t="s">
        <v>445</v>
      </c>
      <c r="K9112" t="s">
        <v>446</v>
      </c>
      <c r="M9112">
        <v>2612</v>
      </c>
    </row>
    <row r="9113" spans="1:14">
      <c r="A9113">
        <v>56290143</v>
      </c>
      <c r="B9113">
        <v>3008282</v>
      </c>
      <c r="C9113" t="s">
        <v>12705</v>
      </c>
      <c r="D9113" t="s">
        <v>441</v>
      </c>
      <c r="F9113">
        <v>0</v>
      </c>
      <c r="G9113">
        <v>13.98</v>
      </c>
      <c r="H9113" t="s">
        <v>8637</v>
      </c>
      <c r="I9113">
        <v>12</v>
      </c>
      <c r="J9113" t="s">
        <v>445</v>
      </c>
      <c r="K9113" t="s">
        <v>446</v>
      </c>
      <c r="M9113">
        <v>2612</v>
      </c>
    </row>
    <row r="9114" spans="1:14">
      <c r="A9114">
        <v>56300000</v>
      </c>
      <c r="B9114">
        <v>3008283</v>
      </c>
      <c r="C9114" t="s">
        <v>3912</v>
      </c>
      <c r="D9114" t="s">
        <v>441</v>
      </c>
      <c r="F9114">
        <v>0</v>
      </c>
      <c r="G9114">
        <v>11.61</v>
      </c>
      <c r="H9114" t="s">
        <v>8637</v>
      </c>
      <c r="I9114">
        <v>10</v>
      </c>
      <c r="J9114" t="s">
        <v>445</v>
      </c>
      <c r="K9114" t="s">
        <v>446</v>
      </c>
      <c r="M9114">
        <v>0</v>
      </c>
    </row>
    <row r="9115" spans="1:14">
      <c r="A9115">
        <v>56300041</v>
      </c>
      <c r="B9115">
        <v>4006886</v>
      </c>
      <c r="C9115" t="s">
        <v>12706</v>
      </c>
      <c r="D9115" t="s">
        <v>441</v>
      </c>
      <c r="F9115">
        <v>0</v>
      </c>
      <c r="G9115">
        <v>12.73</v>
      </c>
      <c r="H9115" t="s">
        <v>8587</v>
      </c>
      <c r="I9115">
        <v>14</v>
      </c>
      <c r="J9115" t="s">
        <v>462</v>
      </c>
      <c r="K9115" t="s">
        <v>446</v>
      </c>
      <c r="M9115">
        <v>2612</v>
      </c>
    </row>
    <row r="9116" spans="1:14">
      <c r="A9116">
        <v>56300042</v>
      </c>
      <c r="B9116">
        <v>4006887</v>
      </c>
      <c r="C9116" t="s">
        <v>12707</v>
      </c>
      <c r="D9116" t="s">
        <v>441</v>
      </c>
      <c r="F9116">
        <v>0</v>
      </c>
      <c r="G9116">
        <v>12.75</v>
      </c>
      <c r="H9116" t="s">
        <v>8587</v>
      </c>
      <c r="I9116">
        <v>14</v>
      </c>
      <c r="J9116" t="s">
        <v>462</v>
      </c>
      <c r="K9116" t="s">
        <v>446</v>
      </c>
      <c r="M9116">
        <v>2612</v>
      </c>
    </row>
    <row r="9117" spans="1:14">
      <c r="A9117">
        <v>56300043</v>
      </c>
      <c r="B9117">
        <v>4006888</v>
      </c>
      <c r="C9117" t="s">
        <v>12708</v>
      </c>
      <c r="D9117" t="s">
        <v>441</v>
      </c>
      <c r="F9117">
        <v>0</v>
      </c>
      <c r="G9117">
        <v>12.84</v>
      </c>
      <c r="H9117" t="s">
        <v>8587</v>
      </c>
      <c r="I9117">
        <v>14</v>
      </c>
      <c r="J9117" t="s">
        <v>462</v>
      </c>
      <c r="K9117" t="s">
        <v>446</v>
      </c>
      <c r="M9117">
        <v>2612</v>
      </c>
    </row>
    <row r="9118" spans="1:14">
      <c r="A9118">
        <v>56300044</v>
      </c>
      <c r="B9118">
        <v>4006889</v>
      </c>
      <c r="C9118" t="s">
        <v>12709</v>
      </c>
      <c r="D9118" t="s">
        <v>441</v>
      </c>
      <c r="F9118">
        <v>0</v>
      </c>
      <c r="G9118">
        <v>12.78</v>
      </c>
      <c r="H9118" t="s">
        <v>8587</v>
      </c>
      <c r="I9118">
        <v>14</v>
      </c>
      <c r="J9118" t="s">
        <v>462</v>
      </c>
      <c r="K9118" t="s">
        <v>446</v>
      </c>
      <c r="M9118">
        <v>2612</v>
      </c>
    </row>
    <row r="9119" spans="1:14">
      <c r="A9119">
        <v>56300141</v>
      </c>
      <c r="B9119">
        <v>3008284</v>
      </c>
      <c r="C9119" t="s">
        <v>12710</v>
      </c>
      <c r="D9119" t="s">
        <v>441</v>
      </c>
      <c r="F9119">
        <v>0</v>
      </c>
      <c r="G9119">
        <v>12.69</v>
      </c>
      <c r="H9119" t="s">
        <v>8637</v>
      </c>
      <c r="I9119">
        <v>12</v>
      </c>
      <c r="J9119" t="s">
        <v>445</v>
      </c>
      <c r="K9119" t="s">
        <v>446</v>
      </c>
      <c r="M9119">
        <v>2612</v>
      </c>
    </row>
    <row r="9120" spans="1:14">
      <c r="A9120">
        <v>56300142</v>
      </c>
      <c r="B9120">
        <v>3008285</v>
      </c>
      <c r="C9120" t="s">
        <v>12711</v>
      </c>
      <c r="D9120" t="s">
        <v>441</v>
      </c>
      <c r="F9120">
        <v>0</v>
      </c>
      <c r="G9120">
        <v>12.69</v>
      </c>
      <c r="H9120" t="s">
        <v>8637</v>
      </c>
      <c r="I9120">
        <v>12</v>
      </c>
      <c r="J9120" t="s">
        <v>445</v>
      </c>
      <c r="K9120" t="s">
        <v>446</v>
      </c>
      <c r="M9120">
        <v>2612</v>
      </c>
    </row>
    <row r="9121" spans="1:13">
      <c r="A9121">
        <v>56300143</v>
      </c>
      <c r="B9121">
        <v>3008286</v>
      </c>
      <c r="C9121" t="s">
        <v>12712</v>
      </c>
      <c r="D9121" t="s">
        <v>441</v>
      </c>
      <c r="F9121">
        <v>0</v>
      </c>
      <c r="G9121">
        <v>12.68</v>
      </c>
      <c r="H9121" t="s">
        <v>8637</v>
      </c>
      <c r="I9121">
        <v>12</v>
      </c>
      <c r="J9121" t="s">
        <v>445</v>
      </c>
      <c r="K9121" t="s">
        <v>446</v>
      </c>
      <c r="M9121">
        <v>2612</v>
      </c>
    </row>
    <row r="9122" spans="1:13">
      <c r="A9122">
        <v>56300144</v>
      </c>
      <c r="B9122">
        <v>3008287</v>
      </c>
      <c r="C9122" t="s">
        <v>12713</v>
      </c>
      <c r="D9122" t="s">
        <v>441</v>
      </c>
      <c r="F9122">
        <v>0</v>
      </c>
      <c r="G9122">
        <v>12.76</v>
      </c>
      <c r="H9122" t="s">
        <v>8580</v>
      </c>
      <c r="I9122">
        <v>12</v>
      </c>
      <c r="J9122" t="s">
        <v>445</v>
      </c>
      <c r="K9122" t="s">
        <v>446</v>
      </c>
      <c r="M9122">
        <v>2612</v>
      </c>
    </row>
    <row r="9123" spans="1:13">
      <c r="A9123">
        <v>56310000</v>
      </c>
      <c r="B9123">
        <v>3008288</v>
      </c>
      <c r="C9123" t="s">
        <v>3913</v>
      </c>
      <c r="D9123" t="s">
        <v>441</v>
      </c>
      <c r="F9123">
        <v>0</v>
      </c>
      <c r="G9123">
        <v>13.08</v>
      </c>
      <c r="H9123" t="s">
        <v>8580</v>
      </c>
      <c r="I9123">
        <v>10</v>
      </c>
      <c r="J9123" t="s">
        <v>445</v>
      </c>
      <c r="K9123" t="s">
        <v>446</v>
      </c>
      <c r="M9123">
        <v>0</v>
      </c>
    </row>
    <row r="9124" spans="1:13">
      <c r="A9124">
        <v>56310041</v>
      </c>
      <c r="B9124">
        <v>4006890</v>
      </c>
      <c r="C9124" t="s">
        <v>12714</v>
      </c>
      <c r="D9124" t="s">
        <v>441</v>
      </c>
      <c r="F9124">
        <v>0</v>
      </c>
      <c r="G9124">
        <v>13.98</v>
      </c>
      <c r="H9124" t="s">
        <v>8587</v>
      </c>
      <c r="I9124">
        <v>14</v>
      </c>
      <c r="J9124" t="s">
        <v>462</v>
      </c>
      <c r="K9124" t="s">
        <v>446</v>
      </c>
      <c r="M9124">
        <v>2612</v>
      </c>
    </row>
    <row r="9125" spans="1:13">
      <c r="A9125">
        <v>56310042</v>
      </c>
      <c r="B9125">
        <v>4006891</v>
      </c>
      <c r="C9125" t="s">
        <v>12715</v>
      </c>
      <c r="D9125" t="s">
        <v>441</v>
      </c>
      <c r="F9125">
        <v>0</v>
      </c>
      <c r="G9125">
        <v>13.85</v>
      </c>
      <c r="H9125" t="s">
        <v>8587</v>
      </c>
      <c r="I9125">
        <v>14</v>
      </c>
      <c r="J9125" t="s">
        <v>462</v>
      </c>
      <c r="K9125" t="s">
        <v>446</v>
      </c>
      <c r="M9125">
        <v>2612</v>
      </c>
    </row>
    <row r="9126" spans="1:13">
      <c r="A9126">
        <v>56310043</v>
      </c>
      <c r="B9126">
        <v>4006893</v>
      </c>
      <c r="C9126" t="s">
        <v>12716</v>
      </c>
      <c r="D9126" t="s">
        <v>441</v>
      </c>
      <c r="F9126">
        <v>0</v>
      </c>
      <c r="G9126">
        <v>13.96</v>
      </c>
      <c r="H9126" t="s">
        <v>8587</v>
      </c>
      <c r="I9126">
        <v>14</v>
      </c>
      <c r="J9126" t="s">
        <v>462</v>
      </c>
      <c r="K9126" t="s">
        <v>446</v>
      </c>
      <c r="M9126">
        <v>2612</v>
      </c>
    </row>
    <row r="9127" spans="1:13">
      <c r="A9127">
        <v>56310044</v>
      </c>
      <c r="B9127">
        <v>4006894</v>
      </c>
      <c r="C9127" t="s">
        <v>12717</v>
      </c>
      <c r="D9127" t="s">
        <v>441</v>
      </c>
      <c r="F9127">
        <v>0</v>
      </c>
      <c r="G9127">
        <v>13.83</v>
      </c>
      <c r="H9127" t="s">
        <v>8587</v>
      </c>
      <c r="I9127">
        <v>14</v>
      </c>
      <c r="J9127" t="s">
        <v>462</v>
      </c>
      <c r="K9127" t="s">
        <v>446</v>
      </c>
      <c r="M9127">
        <v>2612</v>
      </c>
    </row>
    <row r="9128" spans="1:13">
      <c r="A9128">
        <v>56310141</v>
      </c>
      <c r="B9128">
        <v>3008289</v>
      </c>
      <c r="C9128" t="s">
        <v>12718</v>
      </c>
      <c r="D9128" t="s">
        <v>441</v>
      </c>
      <c r="F9128">
        <v>0</v>
      </c>
      <c r="G9128">
        <v>14.22</v>
      </c>
      <c r="H9128" t="s">
        <v>8637</v>
      </c>
      <c r="I9128">
        <v>12</v>
      </c>
      <c r="J9128" t="s">
        <v>445</v>
      </c>
      <c r="K9128" t="s">
        <v>446</v>
      </c>
      <c r="M9128">
        <v>2612</v>
      </c>
    </row>
    <row r="9129" spans="1:13">
      <c r="A9129">
        <v>56310142</v>
      </c>
      <c r="B9129">
        <v>3008290</v>
      </c>
      <c r="C9129" t="s">
        <v>12719</v>
      </c>
      <c r="D9129" t="s">
        <v>441</v>
      </c>
      <c r="F9129">
        <v>0</v>
      </c>
      <c r="G9129">
        <v>14.22</v>
      </c>
      <c r="H9129" t="s">
        <v>8580</v>
      </c>
      <c r="I9129">
        <v>12</v>
      </c>
      <c r="J9129" t="s">
        <v>445</v>
      </c>
      <c r="K9129" t="s">
        <v>446</v>
      </c>
      <c r="M9129">
        <v>2612</v>
      </c>
    </row>
    <row r="9130" spans="1:13">
      <c r="A9130">
        <v>56310143</v>
      </c>
      <c r="B9130">
        <v>3008291</v>
      </c>
      <c r="C9130" t="s">
        <v>12720</v>
      </c>
      <c r="D9130" t="s">
        <v>441</v>
      </c>
      <c r="F9130">
        <v>0</v>
      </c>
      <c r="G9130">
        <v>14.22</v>
      </c>
      <c r="H9130" t="s">
        <v>8580</v>
      </c>
      <c r="I9130">
        <v>12</v>
      </c>
      <c r="J9130" t="s">
        <v>445</v>
      </c>
      <c r="K9130" t="s">
        <v>446</v>
      </c>
      <c r="M9130">
        <v>2612</v>
      </c>
    </row>
    <row r="9131" spans="1:13">
      <c r="A9131">
        <v>56310144</v>
      </c>
      <c r="B9131">
        <v>3008292</v>
      </c>
      <c r="C9131" t="s">
        <v>12721</v>
      </c>
      <c r="D9131" t="s">
        <v>441</v>
      </c>
      <c r="F9131">
        <v>0</v>
      </c>
      <c r="G9131">
        <v>14.22</v>
      </c>
      <c r="H9131" t="s">
        <v>8580</v>
      </c>
      <c r="I9131">
        <v>12</v>
      </c>
      <c r="J9131" t="s">
        <v>445</v>
      </c>
      <c r="K9131" t="s">
        <v>446</v>
      </c>
      <c r="M9131">
        <v>2612</v>
      </c>
    </row>
    <row r="9132" spans="1:13">
      <c r="A9132">
        <v>56320000</v>
      </c>
      <c r="B9132">
        <v>3008293</v>
      </c>
      <c r="C9132" t="s">
        <v>3914</v>
      </c>
      <c r="D9132" t="s">
        <v>441</v>
      </c>
      <c r="F9132">
        <v>0</v>
      </c>
      <c r="G9132">
        <v>13.39</v>
      </c>
      <c r="H9132" t="s">
        <v>8637</v>
      </c>
      <c r="I9132">
        <v>10</v>
      </c>
      <c r="J9132" t="s">
        <v>445</v>
      </c>
      <c r="K9132" t="s">
        <v>446</v>
      </c>
      <c r="M9132">
        <v>0</v>
      </c>
    </row>
    <row r="9133" spans="1:13">
      <c r="A9133">
        <v>56320041</v>
      </c>
      <c r="B9133">
        <v>4006895</v>
      </c>
      <c r="C9133" t="s">
        <v>12722</v>
      </c>
      <c r="D9133" t="s">
        <v>441</v>
      </c>
      <c r="F9133">
        <v>0</v>
      </c>
      <c r="G9133">
        <v>14.04</v>
      </c>
      <c r="H9133" t="s">
        <v>8587</v>
      </c>
      <c r="I9133">
        <v>14</v>
      </c>
      <c r="J9133" t="s">
        <v>462</v>
      </c>
      <c r="K9133" t="s">
        <v>446</v>
      </c>
      <c r="M9133">
        <v>2612</v>
      </c>
    </row>
    <row r="9134" spans="1:13">
      <c r="A9134">
        <v>56320042</v>
      </c>
      <c r="B9134">
        <v>4006896</v>
      </c>
      <c r="C9134" t="s">
        <v>12723</v>
      </c>
      <c r="D9134" t="s">
        <v>441</v>
      </c>
      <c r="F9134">
        <v>0</v>
      </c>
      <c r="G9134">
        <v>14.06</v>
      </c>
      <c r="H9134" t="s">
        <v>8587</v>
      </c>
      <c r="I9134">
        <v>14</v>
      </c>
      <c r="J9134" t="s">
        <v>462</v>
      </c>
      <c r="K9134" t="s">
        <v>446</v>
      </c>
      <c r="M9134">
        <v>2612</v>
      </c>
    </row>
    <row r="9135" spans="1:13">
      <c r="A9135">
        <v>56320043</v>
      </c>
      <c r="B9135">
        <v>4006897</v>
      </c>
      <c r="C9135" t="s">
        <v>12724</v>
      </c>
      <c r="D9135" t="s">
        <v>441</v>
      </c>
      <c r="F9135">
        <v>0</v>
      </c>
      <c r="G9135">
        <v>14.17</v>
      </c>
      <c r="H9135" t="s">
        <v>8587</v>
      </c>
      <c r="I9135">
        <v>14</v>
      </c>
      <c r="J9135" t="s">
        <v>462</v>
      </c>
      <c r="K9135" t="s">
        <v>446</v>
      </c>
      <c r="M9135">
        <v>2612</v>
      </c>
    </row>
    <row r="9136" spans="1:13">
      <c r="A9136">
        <v>56320044</v>
      </c>
      <c r="B9136">
        <v>4006898</v>
      </c>
      <c r="C9136" t="s">
        <v>12725</v>
      </c>
      <c r="D9136" t="s">
        <v>441</v>
      </c>
      <c r="F9136">
        <v>0</v>
      </c>
      <c r="G9136">
        <v>14.03</v>
      </c>
      <c r="H9136" t="s">
        <v>8587</v>
      </c>
      <c r="I9136">
        <v>14</v>
      </c>
      <c r="J9136" t="s">
        <v>462</v>
      </c>
      <c r="K9136" t="s">
        <v>446</v>
      </c>
      <c r="M9136">
        <v>2612</v>
      </c>
    </row>
    <row r="9137" spans="1:14">
      <c r="A9137">
        <v>56320045</v>
      </c>
      <c r="B9137">
        <v>4006915</v>
      </c>
      <c r="C9137" t="s">
        <v>12726</v>
      </c>
      <c r="D9137" t="s">
        <v>441</v>
      </c>
      <c r="F9137">
        <v>0</v>
      </c>
      <c r="G9137">
        <v>14.81</v>
      </c>
      <c r="H9137" t="s">
        <v>8587</v>
      </c>
      <c r="I9137">
        <v>14</v>
      </c>
      <c r="J9137" t="s">
        <v>462</v>
      </c>
      <c r="K9137" t="s">
        <v>446</v>
      </c>
      <c r="M9137">
        <v>2612</v>
      </c>
    </row>
    <row r="9138" spans="1:14">
      <c r="A9138">
        <v>56320141</v>
      </c>
      <c r="B9138">
        <v>3008294</v>
      </c>
      <c r="C9138" t="s">
        <v>12727</v>
      </c>
      <c r="D9138" t="s">
        <v>441</v>
      </c>
      <c r="F9138">
        <v>0</v>
      </c>
      <c r="G9138">
        <v>14.22</v>
      </c>
      <c r="H9138" t="s">
        <v>8580</v>
      </c>
      <c r="I9138">
        <v>12</v>
      </c>
      <c r="J9138" t="s">
        <v>445</v>
      </c>
      <c r="K9138" t="s">
        <v>446</v>
      </c>
      <c r="M9138">
        <v>2612</v>
      </c>
    </row>
    <row r="9139" spans="1:14">
      <c r="A9139">
        <v>56320142</v>
      </c>
      <c r="B9139">
        <v>3008295</v>
      </c>
      <c r="C9139" t="s">
        <v>12728</v>
      </c>
      <c r="D9139" t="s">
        <v>441</v>
      </c>
      <c r="F9139">
        <v>0</v>
      </c>
      <c r="G9139">
        <v>14.22</v>
      </c>
      <c r="H9139" t="s">
        <v>8580</v>
      </c>
      <c r="I9139">
        <v>12</v>
      </c>
      <c r="J9139" t="s">
        <v>445</v>
      </c>
      <c r="K9139" t="s">
        <v>446</v>
      </c>
      <c r="M9139">
        <v>2612</v>
      </c>
    </row>
    <row r="9140" spans="1:14">
      <c r="A9140">
        <v>56320143</v>
      </c>
      <c r="B9140">
        <v>3008296</v>
      </c>
      <c r="C9140" t="s">
        <v>12729</v>
      </c>
      <c r="D9140" t="s">
        <v>441</v>
      </c>
      <c r="F9140">
        <v>0</v>
      </c>
      <c r="G9140">
        <v>14.22</v>
      </c>
      <c r="H9140" t="s">
        <v>8580</v>
      </c>
      <c r="I9140">
        <v>12</v>
      </c>
      <c r="J9140" t="s">
        <v>445</v>
      </c>
      <c r="K9140" t="s">
        <v>446</v>
      </c>
      <c r="M9140">
        <v>2612</v>
      </c>
    </row>
    <row r="9141" spans="1:14">
      <c r="A9141">
        <v>56320144</v>
      </c>
      <c r="B9141">
        <v>3008297</v>
      </c>
      <c r="C9141" t="s">
        <v>12730</v>
      </c>
      <c r="D9141" t="s">
        <v>441</v>
      </c>
      <c r="F9141">
        <v>0</v>
      </c>
      <c r="G9141">
        <v>14.22</v>
      </c>
      <c r="H9141" t="s">
        <v>8637</v>
      </c>
      <c r="I9141">
        <v>12</v>
      </c>
      <c r="J9141" t="s">
        <v>445</v>
      </c>
      <c r="K9141" t="s">
        <v>446</v>
      </c>
      <c r="M9141">
        <v>2612</v>
      </c>
    </row>
    <row r="9142" spans="1:14">
      <c r="A9142">
        <v>56320145</v>
      </c>
      <c r="B9142">
        <v>3008298</v>
      </c>
      <c r="C9142" t="s">
        <v>12731</v>
      </c>
      <c r="D9142" t="s">
        <v>441</v>
      </c>
      <c r="F9142">
        <v>0</v>
      </c>
      <c r="G9142">
        <v>14.94</v>
      </c>
      <c r="H9142" t="s">
        <v>8580</v>
      </c>
      <c r="I9142">
        <v>12</v>
      </c>
      <c r="J9142" t="s">
        <v>445</v>
      </c>
      <c r="K9142" t="s">
        <v>446</v>
      </c>
      <c r="M9142">
        <v>2612</v>
      </c>
    </row>
    <row r="9143" spans="1:14">
      <c r="A9143">
        <v>56330000</v>
      </c>
      <c r="B9143">
        <v>3016737</v>
      </c>
      <c r="C9143" t="s">
        <v>3915</v>
      </c>
      <c r="D9143" t="s">
        <v>441</v>
      </c>
      <c r="F9143">
        <v>0</v>
      </c>
      <c r="G9143">
        <v>8.64</v>
      </c>
      <c r="H9143" t="s">
        <v>8634</v>
      </c>
      <c r="I9143">
        <v>5</v>
      </c>
      <c r="J9143" t="s">
        <v>445</v>
      </c>
      <c r="K9143" t="s">
        <v>446</v>
      </c>
      <c r="M9143">
        <v>2612</v>
      </c>
      <c r="N9143" t="s">
        <v>16568</v>
      </c>
    </row>
    <row r="9144" spans="1:14">
      <c r="A9144">
        <v>56330041</v>
      </c>
      <c r="B9144">
        <v>4006899</v>
      </c>
      <c r="C9144" t="s">
        <v>3916</v>
      </c>
      <c r="D9144" t="s">
        <v>441</v>
      </c>
      <c r="F9144">
        <v>0</v>
      </c>
      <c r="G9144">
        <v>12.55</v>
      </c>
      <c r="H9144" t="s">
        <v>8587</v>
      </c>
      <c r="I9144">
        <v>7</v>
      </c>
      <c r="J9144" t="s">
        <v>462</v>
      </c>
      <c r="K9144" t="s">
        <v>446</v>
      </c>
      <c r="M9144">
        <v>2612</v>
      </c>
      <c r="N9144" t="s">
        <v>16090</v>
      </c>
    </row>
    <row r="9145" spans="1:14">
      <c r="A9145">
        <v>56330110</v>
      </c>
      <c r="B9145">
        <v>3022596</v>
      </c>
      <c r="C9145" t="s">
        <v>3917</v>
      </c>
      <c r="D9145" t="s">
        <v>441</v>
      </c>
      <c r="F9145">
        <v>0</v>
      </c>
      <c r="G9145">
        <v>9.4499999999999993</v>
      </c>
      <c r="H9145" t="s">
        <v>8549</v>
      </c>
      <c r="I9145">
        <v>9</v>
      </c>
      <c r="J9145" t="s">
        <v>445</v>
      </c>
      <c r="K9145" t="s">
        <v>446</v>
      </c>
      <c r="M9145">
        <v>2612</v>
      </c>
      <c r="N9145" t="s">
        <v>16569</v>
      </c>
    </row>
    <row r="9146" spans="1:14">
      <c r="A9146">
        <v>56340000</v>
      </c>
      <c r="B9146">
        <v>3016751</v>
      </c>
      <c r="C9146" t="s">
        <v>12732</v>
      </c>
      <c r="D9146" t="s">
        <v>441</v>
      </c>
      <c r="F9146">
        <v>0</v>
      </c>
      <c r="G9146">
        <v>10.43</v>
      </c>
      <c r="H9146" t="s">
        <v>8580</v>
      </c>
      <c r="I9146">
        <v>5</v>
      </c>
      <c r="J9146" t="s">
        <v>445</v>
      </c>
      <c r="K9146" t="s">
        <v>446</v>
      </c>
      <c r="M9146">
        <v>2612</v>
      </c>
    </row>
    <row r="9147" spans="1:14">
      <c r="A9147">
        <v>56340041</v>
      </c>
      <c r="B9147">
        <v>4009170</v>
      </c>
      <c r="C9147" t="s">
        <v>12733</v>
      </c>
      <c r="D9147" t="s">
        <v>442</v>
      </c>
      <c r="E9147" t="s">
        <v>441</v>
      </c>
      <c r="F9147">
        <v>0.6</v>
      </c>
      <c r="G9147">
        <v>8.65</v>
      </c>
      <c r="H9147" t="s">
        <v>8588</v>
      </c>
      <c r="I9147">
        <v>10</v>
      </c>
      <c r="J9147" t="s">
        <v>462</v>
      </c>
      <c r="K9147" t="s">
        <v>446</v>
      </c>
      <c r="M9147">
        <v>2612</v>
      </c>
    </row>
    <row r="9148" spans="1:14">
      <c r="A9148">
        <v>56340042</v>
      </c>
      <c r="B9148">
        <v>4014864</v>
      </c>
      <c r="C9148" t="s">
        <v>3918</v>
      </c>
      <c r="D9148" t="s">
        <v>441</v>
      </c>
      <c r="F9148">
        <v>0</v>
      </c>
      <c r="G9148">
        <v>12.73</v>
      </c>
      <c r="H9148" t="s">
        <v>8588</v>
      </c>
      <c r="I9148">
        <v>7</v>
      </c>
      <c r="J9148" t="s">
        <v>462</v>
      </c>
      <c r="K9148" t="s">
        <v>446</v>
      </c>
      <c r="M9148">
        <v>2612</v>
      </c>
      <c r="N9148" t="s">
        <v>16090</v>
      </c>
    </row>
    <row r="9149" spans="1:14">
      <c r="A9149">
        <v>56340110</v>
      </c>
      <c r="B9149">
        <v>3022597</v>
      </c>
      <c r="C9149" t="s">
        <v>3919</v>
      </c>
      <c r="D9149" t="s">
        <v>441</v>
      </c>
      <c r="F9149">
        <v>0</v>
      </c>
      <c r="G9149">
        <v>9.64</v>
      </c>
      <c r="H9149" t="s">
        <v>8549</v>
      </c>
      <c r="I9149">
        <v>9</v>
      </c>
      <c r="J9149" t="s">
        <v>445</v>
      </c>
      <c r="K9149" t="s">
        <v>446</v>
      </c>
      <c r="M9149">
        <v>2612</v>
      </c>
      <c r="N9149" t="s">
        <v>16570</v>
      </c>
    </row>
    <row r="9150" spans="1:14">
      <c r="A9150">
        <v>56350000</v>
      </c>
      <c r="B9150">
        <v>3012523</v>
      </c>
      <c r="C9150" t="s">
        <v>12734</v>
      </c>
      <c r="D9150" t="s">
        <v>441</v>
      </c>
      <c r="F9150">
        <v>0</v>
      </c>
      <c r="G9150">
        <v>13.3</v>
      </c>
      <c r="I9150">
        <v>5</v>
      </c>
      <c r="J9150" t="s">
        <v>445</v>
      </c>
      <c r="K9150" t="s">
        <v>446</v>
      </c>
      <c r="M9150">
        <v>2612</v>
      </c>
      <c r="N9150" t="s">
        <v>16060</v>
      </c>
    </row>
    <row r="9151" spans="1:14">
      <c r="A9151">
        <v>56350030</v>
      </c>
      <c r="B9151">
        <v>4010042</v>
      </c>
      <c r="C9151" t="s">
        <v>12735</v>
      </c>
      <c r="D9151" t="s">
        <v>441</v>
      </c>
      <c r="F9151">
        <v>0</v>
      </c>
      <c r="G9151">
        <v>12.32</v>
      </c>
      <c r="H9151" t="s">
        <v>8587</v>
      </c>
      <c r="I9151">
        <v>7</v>
      </c>
      <c r="J9151" t="s">
        <v>462</v>
      </c>
      <c r="K9151" t="s">
        <v>446</v>
      </c>
      <c r="M9151">
        <v>2611</v>
      </c>
    </row>
    <row r="9152" spans="1:14">
      <c r="A9152">
        <v>56350040</v>
      </c>
      <c r="B9152">
        <v>4013990</v>
      </c>
      <c r="C9152" t="s">
        <v>12736</v>
      </c>
      <c r="D9152" t="s">
        <v>441</v>
      </c>
      <c r="F9152">
        <v>0</v>
      </c>
      <c r="G9152">
        <v>13.72</v>
      </c>
      <c r="H9152" t="s">
        <v>8588</v>
      </c>
      <c r="I9152">
        <v>11</v>
      </c>
      <c r="J9152" t="s">
        <v>462</v>
      </c>
      <c r="K9152" t="s">
        <v>446</v>
      </c>
      <c r="M9152">
        <v>2612</v>
      </c>
      <c r="N9152" t="s">
        <v>16060</v>
      </c>
    </row>
    <row r="9153" spans="1:14">
      <c r="A9153">
        <v>56350100</v>
      </c>
      <c r="B9153">
        <v>3022468</v>
      </c>
      <c r="C9153" t="s">
        <v>12737</v>
      </c>
      <c r="D9153" t="s">
        <v>441</v>
      </c>
      <c r="F9153">
        <v>0</v>
      </c>
      <c r="G9153">
        <v>14.77</v>
      </c>
      <c r="H9153" t="s">
        <v>8549</v>
      </c>
      <c r="I9153">
        <v>13</v>
      </c>
      <c r="J9153" t="s">
        <v>445</v>
      </c>
      <c r="K9153" t="s">
        <v>446</v>
      </c>
      <c r="M9153">
        <v>2612</v>
      </c>
      <c r="N9153" t="s">
        <v>16060</v>
      </c>
    </row>
    <row r="9154" spans="1:14">
      <c r="A9154">
        <v>56360000</v>
      </c>
      <c r="B9154">
        <v>3016551</v>
      </c>
      <c r="C9154" t="s">
        <v>3920</v>
      </c>
      <c r="D9154" t="s">
        <v>441</v>
      </c>
      <c r="F9154">
        <v>0</v>
      </c>
      <c r="G9154">
        <v>13.42</v>
      </c>
      <c r="H9154" t="s">
        <v>8580</v>
      </c>
      <c r="I9154">
        <v>10</v>
      </c>
      <c r="J9154" t="s">
        <v>445</v>
      </c>
      <c r="K9154" t="s">
        <v>446</v>
      </c>
      <c r="M9154">
        <v>0</v>
      </c>
      <c r="N9154" t="s">
        <v>16060</v>
      </c>
    </row>
    <row r="9155" spans="1:14">
      <c r="A9155">
        <v>56360041</v>
      </c>
      <c r="B9155">
        <v>4006909</v>
      </c>
      <c r="C9155" t="s">
        <v>3921</v>
      </c>
      <c r="D9155" t="s">
        <v>441</v>
      </c>
      <c r="F9155">
        <v>0</v>
      </c>
      <c r="G9155">
        <v>11.25</v>
      </c>
      <c r="H9155" t="s">
        <v>8588</v>
      </c>
      <c r="I9155">
        <v>12</v>
      </c>
      <c r="J9155" t="s">
        <v>462</v>
      </c>
      <c r="K9155" t="s">
        <v>446</v>
      </c>
      <c r="M9155">
        <v>2612</v>
      </c>
      <c r="N9155" t="s">
        <v>16061</v>
      </c>
    </row>
    <row r="9156" spans="1:14">
      <c r="A9156">
        <v>56360042</v>
      </c>
      <c r="B9156">
        <v>4006930</v>
      </c>
      <c r="C9156" t="s">
        <v>3922</v>
      </c>
      <c r="D9156" t="s">
        <v>441</v>
      </c>
      <c r="F9156">
        <v>0</v>
      </c>
      <c r="G9156">
        <v>14.55</v>
      </c>
      <c r="H9156" t="s">
        <v>8588</v>
      </c>
      <c r="I9156">
        <v>12</v>
      </c>
      <c r="J9156" t="s">
        <v>462</v>
      </c>
      <c r="K9156" t="s">
        <v>446</v>
      </c>
      <c r="M9156">
        <v>2612</v>
      </c>
      <c r="N9156" t="s">
        <v>16061</v>
      </c>
    </row>
    <row r="9157" spans="1:14">
      <c r="A9157">
        <v>56360043</v>
      </c>
      <c r="B9157">
        <v>4006931</v>
      </c>
      <c r="C9157" t="s">
        <v>12738</v>
      </c>
      <c r="D9157" t="s">
        <v>441</v>
      </c>
      <c r="F9157">
        <v>0</v>
      </c>
      <c r="G9157">
        <v>12.64</v>
      </c>
      <c r="H9157" t="s">
        <v>8588</v>
      </c>
      <c r="I9157">
        <v>12</v>
      </c>
      <c r="J9157" t="s">
        <v>462</v>
      </c>
      <c r="K9157" t="s">
        <v>446</v>
      </c>
      <c r="M9157">
        <v>2612</v>
      </c>
    </row>
    <row r="9158" spans="1:14">
      <c r="A9158">
        <v>56360044</v>
      </c>
      <c r="B9158">
        <v>4006932</v>
      </c>
      <c r="C9158" t="s">
        <v>3923</v>
      </c>
      <c r="D9158" t="s">
        <v>441</v>
      </c>
      <c r="F9158">
        <v>0</v>
      </c>
      <c r="G9158">
        <v>12.73</v>
      </c>
      <c r="H9158" t="s">
        <v>8588</v>
      </c>
      <c r="I9158">
        <v>12</v>
      </c>
      <c r="J9158" t="s">
        <v>462</v>
      </c>
      <c r="K9158" t="s">
        <v>446</v>
      </c>
      <c r="M9158">
        <v>2612</v>
      </c>
      <c r="N9158" t="s">
        <v>16061</v>
      </c>
    </row>
    <row r="9159" spans="1:14">
      <c r="A9159">
        <v>56360045</v>
      </c>
      <c r="B9159">
        <v>4006934</v>
      </c>
      <c r="C9159" t="s">
        <v>12739</v>
      </c>
      <c r="D9159" t="s">
        <v>442</v>
      </c>
      <c r="E9159" t="s">
        <v>441</v>
      </c>
      <c r="F9159">
        <v>0.6</v>
      </c>
      <c r="G9159">
        <v>7.7</v>
      </c>
      <c r="H9159" t="s">
        <v>8588</v>
      </c>
      <c r="I9159">
        <v>12</v>
      </c>
      <c r="J9159" t="s">
        <v>462</v>
      </c>
      <c r="K9159" t="s">
        <v>446</v>
      </c>
      <c r="M9159">
        <v>2612</v>
      </c>
    </row>
    <row r="9160" spans="1:14">
      <c r="A9160">
        <v>56360046</v>
      </c>
      <c r="B9160">
        <v>4006933</v>
      </c>
      <c r="C9160" t="s">
        <v>12740</v>
      </c>
      <c r="D9160" t="s">
        <v>441</v>
      </c>
      <c r="F9160">
        <v>0</v>
      </c>
      <c r="G9160">
        <v>12.31</v>
      </c>
      <c r="H9160" t="s">
        <v>8588</v>
      </c>
      <c r="I9160">
        <v>12</v>
      </c>
      <c r="J9160" t="s">
        <v>462</v>
      </c>
      <c r="K9160" t="s">
        <v>446</v>
      </c>
      <c r="M9160">
        <v>2612</v>
      </c>
      <c r="N9160" t="s">
        <v>16061</v>
      </c>
    </row>
    <row r="9161" spans="1:14">
      <c r="A9161">
        <v>56360047</v>
      </c>
      <c r="B9161">
        <v>4006935</v>
      </c>
      <c r="C9161" t="s">
        <v>3924</v>
      </c>
      <c r="D9161" t="s">
        <v>441</v>
      </c>
      <c r="F9161">
        <v>0</v>
      </c>
      <c r="G9161">
        <v>10.96</v>
      </c>
      <c r="H9161" t="s">
        <v>8588</v>
      </c>
      <c r="I9161">
        <v>12</v>
      </c>
      <c r="J9161" t="s">
        <v>462</v>
      </c>
      <c r="K9161" t="s">
        <v>446</v>
      </c>
      <c r="M9161">
        <v>2612</v>
      </c>
      <c r="N9161" t="s">
        <v>16061</v>
      </c>
    </row>
    <row r="9162" spans="1:14">
      <c r="A9162">
        <v>56360048</v>
      </c>
      <c r="B9162">
        <v>4006936</v>
      </c>
      <c r="C9162" t="s">
        <v>12741</v>
      </c>
      <c r="D9162" t="s">
        <v>441</v>
      </c>
      <c r="F9162">
        <v>0</v>
      </c>
      <c r="G9162">
        <v>12.15</v>
      </c>
      <c r="H9162" t="s">
        <v>8588</v>
      </c>
      <c r="I9162">
        <v>12</v>
      </c>
      <c r="J9162" t="s">
        <v>462</v>
      </c>
      <c r="K9162" t="s">
        <v>446</v>
      </c>
      <c r="M9162">
        <v>2612</v>
      </c>
    </row>
    <row r="9163" spans="1:14">
      <c r="A9163">
        <v>56360049</v>
      </c>
      <c r="B9163">
        <v>4012438</v>
      </c>
      <c r="C9163" t="s">
        <v>3925</v>
      </c>
      <c r="D9163" t="s">
        <v>441</v>
      </c>
      <c r="F9163">
        <v>0</v>
      </c>
      <c r="G9163">
        <v>11.25</v>
      </c>
      <c r="H9163" t="s">
        <v>8588</v>
      </c>
      <c r="I9163">
        <v>12</v>
      </c>
      <c r="J9163" t="s">
        <v>462</v>
      </c>
      <c r="K9163" t="s">
        <v>446</v>
      </c>
      <c r="M9163">
        <v>2612</v>
      </c>
      <c r="N9163" t="s">
        <v>16061</v>
      </c>
    </row>
    <row r="9164" spans="1:14">
      <c r="A9164">
        <v>56360061</v>
      </c>
      <c r="B9164">
        <v>4012431</v>
      </c>
      <c r="C9164" t="s">
        <v>3926</v>
      </c>
      <c r="D9164" t="s">
        <v>441</v>
      </c>
      <c r="F9164">
        <v>0</v>
      </c>
      <c r="G9164">
        <v>10.95</v>
      </c>
      <c r="H9164" t="s">
        <v>8588</v>
      </c>
      <c r="I9164">
        <v>12</v>
      </c>
      <c r="J9164" t="s">
        <v>462</v>
      </c>
      <c r="K9164" t="s">
        <v>446</v>
      </c>
      <c r="M9164">
        <v>2612</v>
      </c>
      <c r="N9164" t="s">
        <v>16061</v>
      </c>
    </row>
    <row r="9165" spans="1:14">
      <c r="A9165">
        <v>56360141</v>
      </c>
      <c r="B9165">
        <v>3008300</v>
      </c>
      <c r="C9165" t="s">
        <v>12742</v>
      </c>
      <c r="D9165" t="s">
        <v>441</v>
      </c>
      <c r="F9165">
        <v>0</v>
      </c>
      <c r="G9165">
        <v>12.28</v>
      </c>
      <c r="H9165" t="s">
        <v>8580</v>
      </c>
      <c r="I9165">
        <v>20</v>
      </c>
      <c r="J9165" t="s">
        <v>445</v>
      </c>
      <c r="K9165" t="s">
        <v>446</v>
      </c>
      <c r="M9165">
        <v>2612</v>
      </c>
    </row>
    <row r="9166" spans="1:14">
      <c r="A9166">
        <v>56360142</v>
      </c>
      <c r="B9166">
        <v>3008301</v>
      </c>
      <c r="C9166" t="s">
        <v>12743</v>
      </c>
      <c r="D9166" t="s">
        <v>441</v>
      </c>
      <c r="F9166">
        <v>0</v>
      </c>
      <c r="G9166">
        <v>12.28</v>
      </c>
      <c r="H9166" t="s">
        <v>8580</v>
      </c>
      <c r="I9166">
        <v>20</v>
      </c>
      <c r="J9166" t="s">
        <v>445</v>
      </c>
      <c r="K9166" t="s">
        <v>446</v>
      </c>
      <c r="M9166">
        <v>2612</v>
      </c>
    </row>
    <row r="9167" spans="1:14">
      <c r="A9167">
        <v>56360143</v>
      </c>
      <c r="B9167">
        <v>3008302</v>
      </c>
      <c r="C9167" t="s">
        <v>12744</v>
      </c>
      <c r="D9167" t="s">
        <v>441</v>
      </c>
      <c r="F9167">
        <v>0</v>
      </c>
      <c r="G9167">
        <v>12.28</v>
      </c>
      <c r="H9167" t="s">
        <v>8580</v>
      </c>
      <c r="I9167">
        <v>20</v>
      </c>
      <c r="J9167" t="s">
        <v>445</v>
      </c>
      <c r="K9167" t="s">
        <v>446</v>
      </c>
      <c r="M9167">
        <v>2612</v>
      </c>
    </row>
    <row r="9168" spans="1:14">
      <c r="A9168">
        <v>56360144</v>
      </c>
      <c r="B9168">
        <v>3008303</v>
      </c>
      <c r="C9168" t="s">
        <v>12745</v>
      </c>
      <c r="D9168" t="s">
        <v>441</v>
      </c>
      <c r="F9168">
        <v>0</v>
      </c>
      <c r="G9168">
        <v>12.28</v>
      </c>
      <c r="H9168" t="s">
        <v>8580</v>
      </c>
      <c r="I9168">
        <v>20</v>
      </c>
      <c r="J9168" t="s">
        <v>445</v>
      </c>
      <c r="K9168" t="s">
        <v>446</v>
      </c>
      <c r="M9168">
        <v>2612</v>
      </c>
    </row>
    <row r="9169" spans="1:14">
      <c r="A9169">
        <v>56360145</v>
      </c>
      <c r="B9169">
        <v>3008304</v>
      </c>
      <c r="C9169" t="s">
        <v>12746</v>
      </c>
      <c r="D9169" t="s">
        <v>442</v>
      </c>
      <c r="E9169" t="s">
        <v>441</v>
      </c>
      <c r="F9169">
        <v>0.6</v>
      </c>
      <c r="G9169">
        <v>7.66</v>
      </c>
      <c r="H9169" t="s">
        <v>8580</v>
      </c>
      <c r="I9169">
        <v>20</v>
      </c>
      <c r="J9169" t="s">
        <v>445</v>
      </c>
      <c r="K9169" t="s">
        <v>446</v>
      </c>
      <c r="M9169">
        <v>2612</v>
      </c>
    </row>
    <row r="9170" spans="1:14">
      <c r="A9170">
        <v>56360146</v>
      </c>
      <c r="B9170">
        <v>3008305</v>
      </c>
      <c r="C9170" t="s">
        <v>12747</v>
      </c>
      <c r="D9170" t="s">
        <v>441</v>
      </c>
      <c r="F9170">
        <v>0</v>
      </c>
      <c r="G9170">
        <v>12.44</v>
      </c>
      <c r="H9170" t="s">
        <v>8580</v>
      </c>
      <c r="I9170">
        <v>20</v>
      </c>
      <c r="J9170" t="s">
        <v>445</v>
      </c>
      <c r="K9170" t="s">
        <v>446</v>
      </c>
      <c r="M9170">
        <v>2612</v>
      </c>
    </row>
    <row r="9171" spans="1:14">
      <c r="A9171">
        <v>56360148</v>
      </c>
      <c r="B9171">
        <v>3008306</v>
      </c>
      <c r="C9171" t="s">
        <v>12748</v>
      </c>
      <c r="D9171" t="s">
        <v>441</v>
      </c>
      <c r="F9171">
        <v>0</v>
      </c>
      <c r="G9171">
        <v>12.44</v>
      </c>
      <c r="H9171" t="s">
        <v>8580</v>
      </c>
      <c r="I9171">
        <v>20</v>
      </c>
      <c r="J9171" t="s">
        <v>445</v>
      </c>
      <c r="K9171" t="s">
        <v>446</v>
      </c>
      <c r="M9171">
        <v>2612</v>
      </c>
    </row>
    <row r="9172" spans="1:14">
      <c r="A9172">
        <v>56362000</v>
      </c>
      <c r="B9172">
        <v>3018142</v>
      </c>
      <c r="C9172" t="s">
        <v>3927</v>
      </c>
      <c r="D9172" t="s">
        <v>441</v>
      </c>
      <c r="F9172">
        <v>0</v>
      </c>
      <c r="G9172">
        <v>12.6</v>
      </c>
      <c r="H9172" t="s">
        <v>8935</v>
      </c>
      <c r="I9172">
        <v>5</v>
      </c>
      <c r="J9172" t="s">
        <v>445</v>
      </c>
      <c r="K9172" t="s">
        <v>446</v>
      </c>
      <c r="M9172">
        <v>2615</v>
      </c>
    </row>
    <row r="9173" spans="1:14">
      <c r="A9173">
        <v>56362041</v>
      </c>
      <c r="B9173">
        <v>4012444</v>
      </c>
      <c r="C9173" t="s">
        <v>3928</v>
      </c>
      <c r="D9173" t="s">
        <v>441</v>
      </c>
      <c r="F9173">
        <v>0</v>
      </c>
      <c r="G9173">
        <v>10.99</v>
      </c>
      <c r="H9173" t="s">
        <v>8588</v>
      </c>
      <c r="I9173">
        <v>12</v>
      </c>
      <c r="J9173" t="s">
        <v>462</v>
      </c>
      <c r="K9173" t="s">
        <v>446</v>
      </c>
      <c r="M9173">
        <v>2612</v>
      </c>
    </row>
    <row r="9174" spans="1:14">
      <c r="A9174">
        <v>56362042</v>
      </c>
      <c r="B9174">
        <v>4012443</v>
      </c>
      <c r="C9174" t="s">
        <v>3929</v>
      </c>
      <c r="D9174" t="s">
        <v>441</v>
      </c>
      <c r="F9174">
        <v>0</v>
      </c>
      <c r="G9174">
        <v>11.55</v>
      </c>
      <c r="H9174" t="s">
        <v>8588</v>
      </c>
      <c r="I9174">
        <v>12</v>
      </c>
      <c r="J9174" t="s">
        <v>462</v>
      </c>
      <c r="K9174" t="s">
        <v>446</v>
      </c>
      <c r="M9174">
        <v>2612</v>
      </c>
    </row>
    <row r="9175" spans="1:14">
      <c r="A9175">
        <v>56362043</v>
      </c>
      <c r="B9175">
        <v>4012442</v>
      </c>
      <c r="C9175" t="s">
        <v>3930</v>
      </c>
      <c r="D9175" t="s">
        <v>441</v>
      </c>
      <c r="F9175">
        <v>0</v>
      </c>
      <c r="G9175">
        <v>11.58</v>
      </c>
      <c r="H9175" t="s">
        <v>8588</v>
      </c>
      <c r="I9175">
        <v>12</v>
      </c>
      <c r="J9175" t="s">
        <v>462</v>
      </c>
      <c r="K9175" t="s">
        <v>446</v>
      </c>
      <c r="M9175">
        <v>2612</v>
      </c>
    </row>
    <row r="9176" spans="1:14">
      <c r="A9176">
        <v>56362044</v>
      </c>
      <c r="B9176">
        <v>4012448</v>
      </c>
      <c r="C9176" t="s">
        <v>3931</v>
      </c>
      <c r="D9176" t="s">
        <v>441</v>
      </c>
      <c r="F9176">
        <v>0</v>
      </c>
      <c r="G9176">
        <v>11.41</v>
      </c>
      <c r="H9176" t="s">
        <v>8588</v>
      </c>
      <c r="I9176">
        <v>12</v>
      </c>
      <c r="J9176" t="s">
        <v>462</v>
      </c>
      <c r="K9176" t="s">
        <v>446</v>
      </c>
      <c r="M9176">
        <v>2612</v>
      </c>
    </row>
    <row r="9177" spans="1:14">
      <c r="A9177">
        <v>56362045</v>
      </c>
      <c r="B9177">
        <v>4012447</v>
      </c>
      <c r="C9177" t="s">
        <v>3932</v>
      </c>
      <c r="D9177" t="s">
        <v>442</v>
      </c>
      <c r="E9177" t="s">
        <v>441</v>
      </c>
      <c r="F9177">
        <v>0.6</v>
      </c>
      <c r="G9177">
        <v>7.09</v>
      </c>
      <c r="H9177" t="s">
        <v>8588</v>
      </c>
      <c r="I9177">
        <v>12</v>
      </c>
      <c r="J9177" t="s">
        <v>462</v>
      </c>
      <c r="K9177" t="s">
        <v>446</v>
      </c>
      <c r="M9177">
        <v>2612</v>
      </c>
    </row>
    <row r="9178" spans="1:14">
      <c r="A9178">
        <v>56362046</v>
      </c>
      <c r="B9178">
        <v>4012446</v>
      </c>
      <c r="C9178" t="s">
        <v>3933</v>
      </c>
      <c r="D9178" t="s">
        <v>441</v>
      </c>
      <c r="F9178">
        <v>0</v>
      </c>
      <c r="G9178">
        <v>11.02</v>
      </c>
      <c r="H9178" t="s">
        <v>8588</v>
      </c>
      <c r="I9178">
        <v>12</v>
      </c>
      <c r="J9178" t="s">
        <v>462</v>
      </c>
      <c r="K9178" t="s">
        <v>446</v>
      </c>
      <c r="M9178">
        <v>2612</v>
      </c>
    </row>
    <row r="9179" spans="1:14">
      <c r="A9179">
        <v>56362047</v>
      </c>
      <c r="B9179">
        <v>4012445</v>
      </c>
      <c r="C9179" t="s">
        <v>3934</v>
      </c>
      <c r="D9179" t="s">
        <v>441</v>
      </c>
      <c r="F9179">
        <v>0</v>
      </c>
      <c r="G9179">
        <v>11.01</v>
      </c>
      <c r="H9179" t="s">
        <v>8588</v>
      </c>
      <c r="I9179">
        <v>12</v>
      </c>
      <c r="J9179" t="s">
        <v>462</v>
      </c>
      <c r="K9179" t="s">
        <v>446</v>
      </c>
      <c r="M9179">
        <v>2612</v>
      </c>
    </row>
    <row r="9180" spans="1:14">
      <c r="A9180">
        <v>56362048</v>
      </c>
      <c r="B9180">
        <v>4012449</v>
      </c>
      <c r="C9180" t="s">
        <v>3935</v>
      </c>
      <c r="D9180" t="s">
        <v>441</v>
      </c>
      <c r="F9180">
        <v>0</v>
      </c>
      <c r="G9180">
        <v>11.14</v>
      </c>
      <c r="H9180" t="s">
        <v>8588</v>
      </c>
      <c r="I9180">
        <v>12</v>
      </c>
      <c r="J9180" t="s">
        <v>462</v>
      </c>
      <c r="K9180" t="s">
        <v>446</v>
      </c>
      <c r="M9180">
        <v>2612</v>
      </c>
    </row>
    <row r="9181" spans="1:14">
      <c r="A9181">
        <v>56362049</v>
      </c>
      <c r="B9181">
        <v>4012436</v>
      </c>
      <c r="C9181" t="s">
        <v>3936</v>
      </c>
      <c r="D9181" t="s">
        <v>441</v>
      </c>
      <c r="F9181">
        <v>0</v>
      </c>
      <c r="G9181">
        <v>11.44</v>
      </c>
      <c r="H9181" t="s">
        <v>8588</v>
      </c>
      <c r="I9181">
        <v>12</v>
      </c>
      <c r="J9181" t="s">
        <v>462</v>
      </c>
      <c r="K9181" t="s">
        <v>446</v>
      </c>
      <c r="M9181">
        <v>2612</v>
      </c>
    </row>
    <row r="9182" spans="1:14">
      <c r="A9182">
        <v>56362061</v>
      </c>
      <c r="B9182">
        <v>4012437</v>
      </c>
      <c r="C9182" t="s">
        <v>3937</v>
      </c>
      <c r="D9182" t="s">
        <v>441</v>
      </c>
      <c r="F9182">
        <v>0</v>
      </c>
      <c r="G9182">
        <v>10.95</v>
      </c>
      <c r="H9182" t="s">
        <v>8588</v>
      </c>
      <c r="I9182">
        <v>12</v>
      </c>
      <c r="J9182" t="s">
        <v>462</v>
      </c>
      <c r="K9182" t="s">
        <v>446</v>
      </c>
      <c r="M9182">
        <v>2612</v>
      </c>
    </row>
    <row r="9183" spans="1:14">
      <c r="A9183">
        <v>56370000</v>
      </c>
      <c r="B9183">
        <v>3016552</v>
      </c>
      <c r="C9183" t="s">
        <v>3938</v>
      </c>
      <c r="D9183" t="s">
        <v>441</v>
      </c>
      <c r="F9183">
        <v>0</v>
      </c>
      <c r="G9183">
        <v>12.42</v>
      </c>
      <c r="H9183" t="s">
        <v>8580</v>
      </c>
      <c r="I9183">
        <v>10</v>
      </c>
      <c r="J9183" t="s">
        <v>445</v>
      </c>
      <c r="K9183" t="s">
        <v>446</v>
      </c>
      <c r="M9183">
        <v>0</v>
      </c>
      <c r="N9183" t="s">
        <v>16090</v>
      </c>
    </row>
    <row r="9184" spans="1:14">
      <c r="A9184">
        <v>56370041</v>
      </c>
      <c r="B9184">
        <v>4006937</v>
      </c>
      <c r="C9184" t="s">
        <v>12749</v>
      </c>
      <c r="D9184" t="s">
        <v>441</v>
      </c>
      <c r="F9184">
        <v>0</v>
      </c>
      <c r="G9184">
        <v>9.61</v>
      </c>
      <c r="H9184" t="s">
        <v>8588</v>
      </c>
      <c r="I9184">
        <v>12</v>
      </c>
      <c r="J9184" t="s">
        <v>462</v>
      </c>
      <c r="K9184" t="s">
        <v>446</v>
      </c>
      <c r="M9184">
        <v>2612</v>
      </c>
    </row>
    <row r="9185" spans="1:14">
      <c r="A9185">
        <v>56370042</v>
      </c>
      <c r="B9185">
        <v>4006938</v>
      </c>
      <c r="C9185" t="s">
        <v>12750</v>
      </c>
      <c r="D9185" t="s">
        <v>441</v>
      </c>
      <c r="F9185">
        <v>0</v>
      </c>
      <c r="G9185">
        <v>9.61</v>
      </c>
      <c r="H9185" t="s">
        <v>8588</v>
      </c>
      <c r="I9185">
        <v>12</v>
      </c>
      <c r="J9185" t="s">
        <v>462</v>
      </c>
      <c r="K9185" t="s">
        <v>446</v>
      </c>
      <c r="M9185">
        <v>2612</v>
      </c>
    </row>
    <row r="9186" spans="1:14">
      <c r="A9186">
        <v>56370043</v>
      </c>
      <c r="B9186">
        <v>4006939</v>
      </c>
      <c r="C9186" t="s">
        <v>12751</v>
      </c>
      <c r="D9186" t="s">
        <v>441</v>
      </c>
      <c r="F9186">
        <v>0</v>
      </c>
      <c r="G9186">
        <v>9.61</v>
      </c>
      <c r="H9186" t="s">
        <v>8588</v>
      </c>
      <c r="I9186">
        <v>12</v>
      </c>
      <c r="J9186" t="s">
        <v>462</v>
      </c>
      <c r="K9186" t="s">
        <v>446</v>
      </c>
      <c r="M9186">
        <v>2612</v>
      </c>
    </row>
    <row r="9187" spans="1:14">
      <c r="A9187">
        <v>56370044</v>
      </c>
      <c r="B9187">
        <v>4006940</v>
      </c>
      <c r="C9187" t="s">
        <v>12752</v>
      </c>
      <c r="D9187" t="s">
        <v>441</v>
      </c>
      <c r="F9187">
        <v>0</v>
      </c>
      <c r="G9187">
        <v>9.4</v>
      </c>
      <c r="H9187" t="s">
        <v>8588</v>
      </c>
      <c r="I9187">
        <v>12</v>
      </c>
      <c r="J9187" t="s">
        <v>462</v>
      </c>
      <c r="K9187" t="s">
        <v>446</v>
      </c>
      <c r="M9187">
        <v>2612</v>
      </c>
    </row>
    <row r="9188" spans="1:14">
      <c r="A9188">
        <v>56370045</v>
      </c>
      <c r="B9188">
        <v>4006941</v>
      </c>
      <c r="C9188" t="s">
        <v>12753</v>
      </c>
      <c r="D9188" t="s">
        <v>442</v>
      </c>
      <c r="E9188" t="s">
        <v>441</v>
      </c>
      <c r="F9188">
        <v>0.6</v>
      </c>
      <c r="G9188">
        <v>6.13</v>
      </c>
      <c r="H9188" t="s">
        <v>8588</v>
      </c>
      <c r="I9188">
        <v>12</v>
      </c>
      <c r="J9188" t="s">
        <v>462</v>
      </c>
      <c r="K9188" t="s">
        <v>446</v>
      </c>
      <c r="M9188">
        <v>2612</v>
      </c>
    </row>
    <row r="9189" spans="1:14">
      <c r="A9189">
        <v>56370046</v>
      </c>
      <c r="B9189">
        <v>4006942</v>
      </c>
      <c r="C9189" t="s">
        <v>3939</v>
      </c>
      <c r="D9189" t="s">
        <v>441</v>
      </c>
      <c r="F9189">
        <v>0</v>
      </c>
      <c r="G9189">
        <v>11.52</v>
      </c>
      <c r="H9189" t="s">
        <v>8588</v>
      </c>
      <c r="I9189">
        <v>12</v>
      </c>
      <c r="J9189" t="s">
        <v>462</v>
      </c>
      <c r="K9189" t="s">
        <v>446</v>
      </c>
      <c r="M9189">
        <v>2612</v>
      </c>
      <c r="N9189" t="s">
        <v>16090</v>
      </c>
    </row>
    <row r="9190" spans="1:14">
      <c r="A9190">
        <v>56370047</v>
      </c>
      <c r="B9190">
        <v>4006943</v>
      </c>
      <c r="C9190" t="s">
        <v>3940</v>
      </c>
      <c r="D9190" t="s">
        <v>441</v>
      </c>
      <c r="F9190">
        <v>0</v>
      </c>
      <c r="G9190">
        <v>11.56</v>
      </c>
      <c r="H9190" t="s">
        <v>8588</v>
      </c>
      <c r="I9190">
        <v>12</v>
      </c>
      <c r="J9190" t="s">
        <v>462</v>
      </c>
      <c r="K9190" t="s">
        <v>446</v>
      </c>
      <c r="M9190">
        <v>2612</v>
      </c>
      <c r="N9190" t="s">
        <v>16090</v>
      </c>
    </row>
    <row r="9191" spans="1:14">
      <c r="A9191">
        <v>56370048</v>
      </c>
      <c r="B9191">
        <v>4006944</v>
      </c>
      <c r="C9191" t="s">
        <v>12754</v>
      </c>
      <c r="D9191" t="s">
        <v>441</v>
      </c>
      <c r="F9191">
        <v>0</v>
      </c>
      <c r="G9191">
        <v>9.09</v>
      </c>
      <c r="H9191" t="s">
        <v>8588</v>
      </c>
      <c r="I9191">
        <v>12</v>
      </c>
      <c r="J9191" t="s">
        <v>462</v>
      </c>
      <c r="K9191" t="s">
        <v>446</v>
      </c>
      <c r="M9191">
        <v>2612</v>
      </c>
    </row>
    <row r="9192" spans="1:14">
      <c r="A9192">
        <v>56370049</v>
      </c>
      <c r="B9192">
        <v>4012435</v>
      </c>
      <c r="C9192" t="s">
        <v>3941</v>
      </c>
      <c r="D9192" t="s">
        <v>441</v>
      </c>
      <c r="F9192">
        <v>0</v>
      </c>
      <c r="G9192">
        <v>9.52</v>
      </c>
      <c r="H9192" t="s">
        <v>8588</v>
      </c>
      <c r="I9192">
        <v>12</v>
      </c>
      <c r="J9192" t="s">
        <v>462</v>
      </c>
      <c r="K9192" t="s">
        <v>446</v>
      </c>
      <c r="M9192">
        <v>2612</v>
      </c>
    </row>
    <row r="9193" spans="1:14">
      <c r="A9193">
        <v>56370061</v>
      </c>
      <c r="B9193">
        <v>4012433</v>
      </c>
      <c r="C9193" t="s">
        <v>3942</v>
      </c>
      <c r="D9193" t="s">
        <v>441</v>
      </c>
      <c r="F9193">
        <v>0</v>
      </c>
      <c r="G9193">
        <v>9.23</v>
      </c>
      <c r="H9193" t="s">
        <v>8588</v>
      </c>
      <c r="I9193">
        <v>12</v>
      </c>
      <c r="J9193" t="s">
        <v>462</v>
      </c>
      <c r="K9193" t="s">
        <v>446</v>
      </c>
      <c r="M9193">
        <v>2612</v>
      </c>
      <c r="N9193" t="s">
        <v>16090</v>
      </c>
    </row>
    <row r="9194" spans="1:14">
      <c r="A9194">
        <v>56370062</v>
      </c>
      <c r="B9194">
        <v>4014003</v>
      </c>
      <c r="C9194" t="s">
        <v>3943</v>
      </c>
      <c r="D9194" t="s">
        <v>441</v>
      </c>
      <c r="F9194">
        <v>0</v>
      </c>
      <c r="G9194">
        <v>12.03</v>
      </c>
      <c r="H9194" t="s">
        <v>8588</v>
      </c>
      <c r="I9194">
        <v>12</v>
      </c>
      <c r="J9194" t="s">
        <v>462</v>
      </c>
      <c r="K9194" t="s">
        <v>446</v>
      </c>
      <c r="M9194">
        <v>2612</v>
      </c>
      <c r="N9194" t="s">
        <v>16090</v>
      </c>
    </row>
    <row r="9195" spans="1:14">
      <c r="A9195">
        <v>56370063</v>
      </c>
      <c r="B9195">
        <v>4014010</v>
      </c>
      <c r="C9195" t="s">
        <v>3944</v>
      </c>
      <c r="D9195" t="s">
        <v>441</v>
      </c>
      <c r="F9195">
        <v>0</v>
      </c>
      <c r="G9195">
        <v>9.7899999999999991</v>
      </c>
      <c r="H9195" t="s">
        <v>8588</v>
      </c>
      <c r="I9195">
        <v>12</v>
      </c>
      <c r="J9195" t="s">
        <v>462</v>
      </c>
      <c r="K9195" t="s">
        <v>446</v>
      </c>
      <c r="M9195">
        <v>2612</v>
      </c>
      <c r="N9195" t="s">
        <v>16090</v>
      </c>
    </row>
    <row r="9196" spans="1:14">
      <c r="A9196">
        <v>56370064</v>
      </c>
      <c r="B9196">
        <v>4014011</v>
      </c>
      <c r="C9196" t="s">
        <v>3945</v>
      </c>
      <c r="D9196" t="s">
        <v>441</v>
      </c>
      <c r="F9196">
        <v>0</v>
      </c>
      <c r="G9196">
        <v>11.18</v>
      </c>
      <c r="H9196" t="s">
        <v>8588</v>
      </c>
      <c r="I9196">
        <v>12</v>
      </c>
      <c r="J9196" t="s">
        <v>462</v>
      </c>
      <c r="K9196" t="s">
        <v>446</v>
      </c>
      <c r="M9196">
        <v>2612</v>
      </c>
      <c r="N9196" t="s">
        <v>16090</v>
      </c>
    </row>
    <row r="9197" spans="1:14">
      <c r="A9197">
        <v>56370065</v>
      </c>
      <c r="B9197">
        <v>4014183</v>
      </c>
      <c r="C9197" t="s">
        <v>3946</v>
      </c>
      <c r="D9197" t="s">
        <v>441</v>
      </c>
      <c r="F9197">
        <v>0</v>
      </c>
      <c r="G9197">
        <v>11.99</v>
      </c>
      <c r="H9197" t="s">
        <v>8588</v>
      </c>
      <c r="I9197">
        <v>12</v>
      </c>
      <c r="J9197" t="s">
        <v>462</v>
      </c>
      <c r="K9197" t="s">
        <v>446</v>
      </c>
      <c r="M9197">
        <v>2612</v>
      </c>
      <c r="N9197" t="s">
        <v>16090</v>
      </c>
    </row>
    <row r="9198" spans="1:14">
      <c r="A9198">
        <v>56370141</v>
      </c>
      <c r="B9198">
        <v>3008308</v>
      </c>
      <c r="C9198" t="s">
        <v>12755</v>
      </c>
      <c r="D9198" t="s">
        <v>441</v>
      </c>
      <c r="F9198">
        <v>0</v>
      </c>
      <c r="G9198">
        <v>12.03</v>
      </c>
      <c r="H9198" t="s">
        <v>8580</v>
      </c>
      <c r="I9198">
        <v>20</v>
      </c>
      <c r="J9198" t="s">
        <v>445</v>
      </c>
      <c r="K9198" t="s">
        <v>446</v>
      </c>
      <c r="M9198">
        <v>2612</v>
      </c>
    </row>
    <row r="9199" spans="1:14">
      <c r="A9199">
        <v>56370142</v>
      </c>
      <c r="B9199">
        <v>3008309</v>
      </c>
      <c r="C9199" t="s">
        <v>12756</v>
      </c>
      <c r="D9199" t="s">
        <v>441</v>
      </c>
      <c r="F9199">
        <v>0</v>
      </c>
      <c r="G9199">
        <v>12.03</v>
      </c>
      <c r="H9199" t="s">
        <v>8580</v>
      </c>
      <c r="I9199">
        <v>20</v>
      </c>
      <c r="J9199" t="s">
        <v>445</v>
      </c>
      <c r="K9199" t="s">
        <v>446</v>
      </c>
      <c r="M9199">
        <v>2612</v>
      </c>
    </row>
    <row r="9200" spans="1:14">
      <c r="A9200">
        <v>56370143</v>
      </c>
      <c r="B9200">
        <v>3008310</v>
      </c>
      <c r="C9200" t="s">
        <v>12757</v>
      </c>
      <c r="D9200" t="s">
        <v>441</v>
      </c>
      <c r="F9200">
        <v>0</v>
      </c>
      <c r="G9200">
        <v>12.03</v>
      </c>
      <c r="H9200" t="s">
        <v>8580</v>
      </c>
      <c r="I9200">
        <v>20</v>
      </c>
      <c r="J9200" t="s">
        <v>445</v>
      </c>
      <c r="K9200" t="s">
        <v>446</v>
      </c>
      <c r="M9200">
        <v>2612</v>
      </c>
    </row>
    <row r="9201" spans="1:13">
      <c r="A9201">
        <v>56370144</v>
      </c>
      <c r="B9201">
        <v>3008311</v>
      </c>
      <c r="C9201" t="s">
        <v>12758</v>
      </c>
      <c r="D9201" t="s">
        <v>441</v>
      </c>
      <c r="F9201">
        <v>0</v>
      </c>
      <c r="G9201">
        <v>12.03</v>
      </c>
      <c r="H9201" t="s">
        <v>8580</v>
      </c>
      <c r="I9201">
        <v>20</v>
      </c>
      <c r="J9201" t="s">
        <v>445</v>
      </c>
      <c r="K9201" t="s">
        <v>446</v>
      </c>
      <c r="M9201">
        <v>2612</v>
      </c>
    </row>
    <row r="9202" spans="1:13">
      <c r="A9202">
        <v>56370145</v>
      </c>
      <c r="B9202">
        <v>3008312</v>
      </c>
      <c r="C9202" t="s">
        <v>12759</v>
      </c>
      <c r="D9202" t="s">
        <v>442</v>
      </c>
      <c r="E9202" t="s">
        <v>441</v>
      </c>
      <c r="F9202">
        <v>0.6</v>
      </c>
      <c r="G9202">
        <v>7.51</v>
      </c>
      <c r="H9202" t="s">
        <v>8580</v>
      </c>
      <c r="I9202">
        <v>20</v>
      </c>
      <c r="J9202" t="s">
        <v>445</v>
      </c>
      <c r="K9202" t="s">
        <v>446</v>
      </c>
      <c r="M9202">
        <v>2612</v>
      </c>
    </row>
    <row r="9203" spans="1:13">
      <c r="A9203">
        <v>56370146</v>
      </c>
      <c r="B9203">
        <v>3008313</v>
      </c>
      <c r="C9203" t="s">
        <v>12760</v>
      </c>
      <c r="D9203" t="s">
        <v>441</v>
      </c>
      <c r="F9203">
        <v>0</v>
      </c>
      <c r="G9203">
        <v>12.19</v>
      </c>
      <c r="H9203" t="s">
        <v>8580</v>
      </c>
      <c r="I9203">
        <v>20</v>
      </c>
      <c r="J9203" t="s">
        <v>445</v>
      </c>
      <c r="K9203" t="s">
        <v>446</v>
      </c>
      <c r="M9203">
        <v>2612</v>
      </c>
    </row>
    <row r="9204" spans="1:13">
      <c r="A9204">
        <v>56370148</v>
      </c>
      <c r="B9204">
        <v>3008314</v>
      </c>
      <c r="C9204" t="s">
        <v>12761</v>
      </c>
      <c r="D9204" t="s">
        <v>441</v>
      </c>
      <c r="F9204">
        <v>0</v>
      </c>
      <c r="G9204">
        <v>12.19</v>
      </c>
      <c r="H9204" t="s">
        <v>8580</v>
      </c>
      <c r="I9204">
        <v>20</v>
      </c>
      <c r="J9204" t="s">
        <v>445</v>
      </c>
      <c r="K9204" t="s">
        <v>446</v>
      </c>
      <c r="M9204">
        <v>2612</v>
      </c>
    </row>
    <row r="9205" spans="1:13">
      <c r="A9205">
        <v>56372041</v>
      </c>
      <c r="B9205">
        <v>4012419</v>
      </c>
      <c r="C9205" t="s">
        <v>3947</v>
      </c>
      <c r="D9205" t="s">
        <v>441</v>
      </c>
      <c r="F9205">
        <v>0</v>
      </c>
      <c r="G9205">
        <v>10.14</v>
      </c>
      <c r="H9205" t="s">
        <v>8588</v>
      </c>
      <c r="I9205">
        <v>12</v>
      </c>
      <c r="J9205" t="s">
        <v>462</v>
      </c>
      <c r="K9205" t="s">
        <v>446</v>
      </c>
      <c r="M9205">
        <v>2612</v>
      </c>
    </row>
    <row r="9206" spans="1:13">
      <c r="A9206">
        <v>56372042</v>
      </c>
      <c r="B9206">
        <v>4012418</v>
      </c>
      <c r="C9206" t="s">
        <v>3948</v>
      </c>
      <c r="D9206" t="s">
        <v>441</v>
      </c>
      <c r="F9206">
        <v>0</v>
      </c>
      <c r="G9206">
        <v>10.14</v>
      </c>
      <c r="H9206" t="s">
        <v>8588</v>
      </c>
      <c r="I9206">
        <v>12</v>
      </c>
      <c r="J9206" t="s">
        <v>462</v>
      </c>
      <c r="K9206" t="s">
        <v>446</v>
      </c>
      <c r="M9206">
        <v>2612</v>
      </c>
    </row>
    <row r="9207" spans="1:13">
      <c r="A9207">
        <v>56372043</v>
      </c>
      <c r="B9207">
        <v>4012417</v>
      </c>
      <c r="C9207" t="s">
        <v>3949</v>
      </c>
      <c r="D9207" t="s">
        <v>441</v>
      </c>
      <c r="F9207">
        <v>0</v>
      </c>
      <c r="G9207">
        <v>10.14</v>
      </c>
      <c r="H9207" t="s">
        <v>8588</v>
      </c>
      <c r="I9207">
        <v>12</v>
      </c>
      <c r="J9207" t="s">
        <v>462</v>
      </c>
      <c r="K9207" t="s">
        <v>446</v>
      </c>
      <c r="M9207">
        <v>2612</v>
      </c>
    </row>
    <row r="9208" spans="1:13">
      <c r="A9208">
        <v>56372044</v>
      </c>
      <c r="B9208">
        <v>4012416</v>
      </c>
      <c r="C9208" t="s">
        <v>3950</v>
      </c>
      <c r="D9208" t="s">
        <v>441</v>
      </c>
      <c r="F9208">
        <v>0</v>
      </c>
      <c r="G9208">
        <v>9.9700000000000006</v>
      </c>
      <c r="H9208" t="s">
        <v>8588</v>
      </c>
      <c r="I9208">
        <v>12</v>
      </c>
      <c r="J9208" t="s">
        <v>462</v>
      </c>
      <c r="K9208" t="s">
        <v>446</v>
      </c>
      <c r="M9208">
        <v>2612</v>
      </c>
    </row>
    <row r="9209" spans="1:13">
      <c r="A9209">
        <v>56372045</v>
      </c>
      <c r="B9209">
        <v>4012415</v>
      </c>
      <c r="C9209" t="s">
        <v>3951</v>
      </c>
      <c r="D9209" t="s">
        <v>442</v>
      </c>
      <c r="E9209" t="s">
        <v>441</v>
      </c>
      <c r="F9209">
        <v>0.6</v>
      </c>
      <c r="G9209">
        <v>6.47</v>
      </c>
      <c r="H9209" t="s">
        <v>8588</v>
      </c>
      <c r="I9209">
        <v>12</v>
      </c>
      <c r="J9209" t="s">
        <v>462</v>
      </c>
      <c r="K9209" t="s">
        <v>446</v>
      </c>
      <c r="M9209">
        <v>2612</v>
      </c>
    </row>
    <row r="9210" spans="1:13">
      <c r="A9210">
        <v>56372046</v>
      </c>
      <c r="B9210">
        <v>4012414</v>
      </c>
      <c r="C9210" t="s">
        <v>3952</v>
      </c>
      <c r="D9210" t="s">
        <v>441</v>
      </c>
      <c r="F9210">
        <v>0</v>
      </c>
      <c r="G9210">
        <v>9.73</v>
      </c>
      <c r="H9210" t="s">
        <v>8588</v>
      </c>
      <c r="I9210">
        <v>12</v>
      </c>
      <c r="J9210" t="s">
        <v>462</v>
      </c>
      <c r="K9210" t="s">
        <v>446</v>
      </c>
      <c r="M9210">
        <v>2612</v>
      </c>
    </row>
    <row r="9211" spans="1:13">
      <c r="A9211">
        <v>56372047</v>
      </c>
      <c r="B9211">
        <v>4012412</v>
      </c>
      <c r="C9211" t="s">
        <v>3953</v>
      </c>
      <c r="D9211" t="s">
        <v>441</v>
      </c>
      <c r="F9211">
        <v>0</v>
      </c>
      <c r="G9211">
        <v>9.66</v>
      </c>
      <c r="H9211" t="s">
        <v>8588</v>
      </c>
      <c r="I9211">
        <v>12</v>
      </c>
      <c r="J9211" t="s">
        <v>462</v>
      </c>
      <c r="K9211" t="s">
        <v>446</v>
      </c>
      <c r="M9211">
        <v>2612</v>
      </c>
    </row>
    <row r="9212" spans="1:13">
      <c r="A9212">
        <v>56372048</v>
      </c>
      <c r="B9212">
        <v>4012411</v>
      </c>
      <c r="C9212" t="s">
        <v>3954</v>
      </c>
      <c r="D9212" t="s">
        <v>441</v>
      </c>
      <c r="F9212">
        <v>0</v>
      </c>
      <c r="G9212">
        <v>9.66</v>
      </c>
      <c r="H9212" t="s">
        <v>8588</v>
      </c>
      <c r="I9212">
        <v>12</v>
      </c>
      <c r="J9212" t="s">
        <v>462</v>
      </c>
      <c r="K9212" t="s">
        <v>446</v>
      </c>
      <c r="M9212">
        <v>2612</v>
      </c>
    </row>
    <row r="9213" spans="1:13">
      <c r="A9213">
        <v>56372049</v>
      </c>
      <c r="B9213">
        <v>4012434</v>
      </c>
      <c r="C9213" t="s">
        <v>3955</v>
      </c>
      <c r="D9213" t="s">
        <v>441</v>
      </c>
      <c r="F9213">
        <v>0</v>
      </c>
      <c r="G9213">
        <v>10.07</v>
      </c>
      <c r="H9213" t="s">
        <v>8588</v>
      </c>
      <c r="I9213">
        <v>12</v>
      </c>
      <c r="J9213" t="s">
        <v>462</v>
      </c>
      <c r="K9213" t="s">
        <v>446</v>
      </c>
      <c r="M9213">
        <v>2612</v>
      </c>
    </row>
    <row r="9214" spans="1:13">
      <c r="A9214">
        <v>56372061</v>
      </c>
      <c r="B9214">
        <v>4012432</v>
      </c>
      <c r="C9214" t="s">
        <v>3956</v>
      </c>
      <c r="D9214" t="s">
        <v>441</v>
      </c>
      <c r="F9214">
        <v>0</v>
      </c>
      <c r="G9214">
        <v>9.65</v>
      </c>
      <c r="H9214" t="s">
        <v>8588</v>
      </c>
      <c r="I9214">
        <v>12</v>
      </c>
      <c r="J9214" t="s">
        <v>462</v>
      </c>
      <c r="K9214" t="s">
        <v>446</v>
      </c>
      <c r="M9214">
        <v>2612</v>
      </c>
    </row>
    <row r="9215" spans="1:13">
      <c r="A9215">
        <v>56380000</v>
      </c>
      <c r="B9215">
        <v>3014760</v>
      </c>
      <c r="C9215" t="s">
        <v>12762</v>
      </c>
      <c r="D9215" t="s">
        <v>441</v>
      </c>
      <c r="F9215">
        <v>0</v>
      </c>
      <c r="G9215">
        <v>12.08</v>
      </c>
      <c r="H9215" t="s">
        <v>8584</v>
      </c>
      <c r="I9215">
        <v>3</v>
      </c>
      <c r="J9215" t="s">
        <v>445</v>
      </c>
      <c r="K9215" t="s">
        <v>446</v>
      </c>
      <c r="M9215">
        <v>2612</v>
      </c>
    </row>
    <row r="9216" spans="1:13">
      <c r="A9216">
        <v>56380040</v>
      </c>
      <c r="B9216">
        <v>4010890</v>
      </c>
      <c r="C9216" t="s">
        <v>12763</v>
      </c>
      <c r="D9216" t="s">
        <v>441</v>
      </c>
      <c r="F9216">
        <v>0</v>
      </c>
      <c r="G9216">
        <v>11.52</v>
      </c>
      <c r="H9216" t="s">
        <v>8588</v>
      </c>
      <c r="I9216">
        <v>11</v>
      </c>
      <c r="J9216" t="s">
        <v>462</v>
      </c>
      <c r="K9216" t="s">
        <v>446</v>
      </c>
      <c r="M9216">
        <v>2612</v>
      </c>
    </row>
    <row r="9217" spans="1:13">
      <c r="A9217">
        <v>56390000</v>
      </c>
      <c r="B9217">
        <v>3008860</v>
      </c>
      <c r="C9217" t="s">
        <v>12764</v>
      </c>
      <c r="D9217" t="s">
        <v>441</v>
      </c>
      <c r="F9217">
        <v>0</v>
      </c>
      <c r="G9217">
        <v>6.27</v>
      </c>
      <c r="I9217">
        <v>5</v>
      </c>
      <c r="J9217" t="s">
        <v>445</v>
      </c>
      <c r="K9217" t="s">
        <v>446</v>
      </c>
      <c r="M9217">
        <v>3211</v>
      </c>
    </row>
    <row r="9218" spans="1:13">
      <c r="A9218">
        <v>56390030</v>
      </c>
      <c r="B9218">
        <v>4006981</v>
      </c>
      <c r="C9218" t="s">
        <v>3957</v>
      </c>
      <c r="D9218" t="s">
        <v>441</v>
      </c>
      <c r="F9218">
        <v>0</v>
      </c>
      <c r="G9218">
        <v>8.18</v>
      </c>
      <c r="H9218" t="s">
        <v>8587</v>
      </c>
      <c r="I9218">
        <v>12</v>
      </c>
      <c r="J9218" t="s">
        <v>462</v>
      </c>
      <c r="K9218" t="s">
        <v>446</v>
      </c>
      <c r="M9218">
        <v>2611</v>
      </c>
    </row>
    <row r="9219" spans="1:13">
      <c r="A9219">
        <v>56400000</v>
      </c>
      <c r="B9219">
        <v>3008315</v>
      </c>
      <c r="C9219" t="s">
        <v>3958</v>
      </c>
      <c r="D9219" t="s">
        <v>441</v>
      </c>
      <c r="F9219">
        <v>0</v>
      </c>
      <c r="G9219">
        <v>8.08</v>
      </c>
      <c r="H9219" t="s">
        <v>8580</v>
      </c>
      <c r="I9219">
        <v>14</v>
      </c>
      <c r="J9219" t="s">
        <v>445</v>
      </c>
      <c r="K9219" t="s">
        <v>446</v>
      </c>
      <c r="M9219">
        <v>3211</v>
      </c>
    </row>
    <row r="9220" spans="1:13">
      <c r="A9220">
        <v>56400030</v>
      </c>
      <c r="B9220">
        <v>4006982</v>
      </c>
      <c r="C9220" t="s">
        <v>3959</v>
      </c>
      <c r="D9220" t="s">
        <v>441</v>
      </c>
      <c r="F9220">
        <v>0</v>
      </c>
      <c r="G9220">
        <v>10.050000000000001</v>
      </c>
      <c r="H9220" t="s">
        <v>8587</v>
      </c>
      <c r="I9220">
        <v>12</v>
      </c>
      <c r="J9220" t="s">
        <v>462</v>
      </c>
      <c r="K9220" t="s">
        <v>446</v>
      </c>
      <c r="M9220">
        <v>2611</v>
      </c>
    </row>
    <row r="9221" spans="1:13">
      <c r="A9221">
        <v>56410000</v>
      </c>
      <c r="B9221">
        <v>3016553</v>
      </c>
      <c r="C9221" t="s">
        <v>3960</v>
      </c>
      <c r="D9221" t="s">
        <v>441</v>
      </c>
      <c r="F9221">
        <v>0</v>
      </c>
      <c r="G9221">
        <v>7.58</v>
      </c>
      <c r="H9221" t="s">
        <v>8580</v>
      </c>
      <c r="I9221">
        <v>2</v>
      </c>
      <c r="J9221" t="s">
        <v>445</v>
      </c>
      <c r="K9221" t="s">
        <v>446</v>
      </c>
      <c r="M9221">
        <v>3211</v>
      </c>
    </row>
    <row r="9222" spans="1:13">
      <c r="A9222">
        <v>56410027</v>
      </c>
      <c r="B9222">
        <v>4013636</v>
      </c>
      <c r="C9222" t="s">
        <v>3961</v>
      </c>
      <c r="D9222" t="s">
        <v>441</v>
      </c>
      <c r="F9222">
        <v>0</v>
      </c>
      <c r="G9222">
        <v>7.96</v>
      </c>
      <c r="H9222" t="s">
        <v>8588</v>
      </c>
      <c r="I9222">
        <v>180</v>
      </c>
      <c r="J9222" t="s">
        <v>462</v>
      </c>
      <c r="K9222" t="s">
        <v>446</v>
      </c>
      <c r="M9222">
        <v>2501</v>
      </c>
    </row>
    <row r="9223" spans="1:13">
      <c r="A9223">
        <v>56410030</v>
      </c>
      <c r="B9223">
        <v>4006983</v>
      </c>
      <c r="C9223" t="s">
        <v>3962</v>
      </c>
      <c r="D9223" t="s">
        <v>441</v>
      </c>
      <c r="F9223">
        <v>0</v>
      </c>
      <c r="G9223">
        <v>9.84</v>
      </c>
      <c r="H9223" t="s">
        <v>8587</v>
      </c>
      <c r="I9223">
        <v>16</v>
      </c>
      <c r="J9223" t="s">
        <v>462</v>
      </c>
      <c r="K9223" t="s">
        <v>446</v>
      </c>
      <c r="M9223">
        <v>2611</v>
      </c>
    </row>
    <row r="9224" spans="1:13">
      <c r="A9224">
        <v>56410031</v>
      </c>
      <c r="B9224">
        <v>4006984</v>
      </c>
      <c r="C9224" t="s">
        <v>3963</v>
      </c>
      <c r="D9224" t="s">
        <v>441</v>
      </c>
      <c r="F9224">
        <v>0</v>
      </c>
      <c r="G9224">
        <v>9.9499999999999993</v>
      </c>
      <c r="H9224" t="s">
        <v>8587</v>
      </c>
      <c r="I9224">
        <v>16</v>
      </c>
      <c r="J9224" t="s">
        <v>462</v>
      </c>
      <c r="K9224" t="s">
        <v>446</v>
      </c>
      <c r="M9224">
        <v>2611</v>
      </c>
    </row>
    <row r="9225" spans="1:13">
      <c r="A9225">
        <v>56410032</v>
      </c>
      <c r="B9225">
        <v>4006985</v>
      </c>
      <c r="C9225" t="s">
        <v>3964</v>
      </c>
      <c r="D9225" t="s">
        <v>441</v>
      </c>
      <c r="F9225">
        <v>0</v>
      </c>
      <c r="G9225">
        <v>9.98</v>
      </c>
      <c r="H9225" t="s">
        <v>8587</v>
      </c>
      <c r="I9225">
        <v>16</v>
      </c>
      <c r="J9225" t="s">
        <v>462</v>
      </c>
      <c r="K9225" t="s">
        <v>446</v>
      </c>
      <c r="M9225">
        <v>2611</v>
      </c>
    </row>
    <row r="9226" spans="1:13">
      <c r="A9226">
        <v>56410033</v>
      </c>
      <c r="B9226">
        <v>4009933</v>
      </c>
      <c r="C9226" t="s">
        <v>3965</v>
      </c>
      <c r="D9226" t="s">
        <v>441</v>
      </c>
      <c r="F9226">
        <v>0</v>
      </c>
      <c r="G9226">
        <v>10</v>
      </c>
      <c r="H9226" t="s">
        <v>8587</v>
      </c>
      <c r="I9226">
        <v>16</v>
      </c>
      <c r="J9226" t="s">
        <v>462</v>
      </c>
      <c r="K9226" t="s">
        <v>446</v>
      </c>
      <c r="M9226">
        <v>2611</v>
      </c>
    </row>
    <row r="9227" spans="1:13">
      <c r="A9227">
        <v>56410034</v>
      </c>
      <c r="B9227">
        <v>4010936</v>
      </c>
      <c r="C9227" t="s">
        <v>3966</v>
      </c>
      <c r="D9227" t="s">
        <v>441</v>
      </c>
      <c r="F9227">
        <v>0</v>
      </c>
      <c r="G9227">
        <v>9.31</v>
      </c>
      <c r="H9227" t="s">
        <v>8587</v>
      </c>
      <c r="I9227">
        <v>16</v>
      </c>
      <c r="J9227" t="s">
        <v>462</v>
      </c>
      <c r="K9227" t="s">
        <v>446</v>
      </c>
      <c r="M9227">
        <v>2611</v>
      </c>
    </row>
    <row r="9228" spans="1:13">
      <c r="A9228">
        <v>56410035</v>
      </c>
      <c r="B9228">
        <v>4015938</v>
      </c>
      <c r="C9228" t="s">
        <v>3967</v>
      </c>
      <c r="D9228" t="s">
        <v>441</v>
      </c>
      <c r="F9228">
        <v>0</v>
      </c>
      <c r="G9228">
        <v>10.14</v>
      </c>
      <c r="H9228" t="s">
        <v>8587</v>
      </c>
      <c r="I9228">
        <v>16</v>
      </c>
      <c r="J9228" t="s">
        <v>462</v>
      </c>
      <c r="K9228" t="s">
        <v>446</v>
      </c>
      <c r="L9228">
        <v>2952590</v>
      </c>
      <c r="M9228">
        <v>2611</v>
      </c>
    </row>
    <row r="9229" spans="1:13">
      <c r="A9229">
        <v>56410527</v>
      </c>
      <c r="B9229">
        <v>3020088</v>
      </c>
      <c r="C9229" t="s">
        <v>3968</v>
      </c>
      <c r="D9229" t="s">
        <v>441</v>
      </c>
      <c r="F9229">
        <v>0</v>
      </c>
      <c r="G9229">
        <v>7.8</v>
      </c>
      <c r="H9229" t="s">
        <v>8583</v>
      </c>
      <c r="I9229">
        <v>2</v>
      </c>
      <c r="J9229" t="s">
        <v>445</v>
      </c>
      <c r="K9229" t="s">
        <v>446</v>
      </c>
      <c r="M9229">
        <v>3741</v>
      </c>
    </row>
    <row r="9230" spans="1:13">
      <c r="A9230">
        <v>56420000</v>
      </c>
      <c r="B9230">
        <v>3016701</v>
      </c>
      <c r="C9230" t="s">
        <v>12765</v>
      </c>
      <c r="D9230" t="s">
        <v>441</v>
      </c>
      <c r="F9230">
        <v>0</v>
      </c>
      <c r="G9230">
        <v>11.16</v>
      </c>
      <c r="H9230" t="s">
        <v>8580</v>
      </c>
      <c r="I9230">
        <v>14</v>
      </c>
      <c r="J9230" t="s">
        <v>445</v>
      </c>
      <c r="K9230" t="s">
        <v>446</v>
      </c>
      <c r="M9230">
        <v>3122</v>
      </c>
    </row>
    <row r="9231" spans="1:13">
      <c r="A9231">
        <v>56420141</v>
      </c>
      <c r="B9231">
        <v>3008861</v>
      </c>
      <c r="C9231" t="s">
        <v>12766</v>
      </c>
      <c r="D9231" t="s">
        <v>441</v>
      </c>
      <c r="F9231">
        <v>0</v>
      </c>
      <c r="G9231">
        <v>11.07</v>
      </c>
      <c r="H9231" t="s">
        <v>8580</v>
      </c>
      <c r="I9231">
        <v>14</v>
      </c>
      <c r="J9231" t="s">
        <v>445</v>
      </c>
      <c r="K9231" t="s">
        <v>446</v>
      </c>
      <c r="M9231">
        <v>2612</v>
      </c>
    </row>
    <row r="9232" spans="1:13">
      <c r="A9232">
        <v>56430000</v>
      </c>
      <c r="B9232">
        <v>3008317</v>
      </c>
      <c r="C9232" t="s">
        <v>12767</v>
      </c>
      <c r="D9232" t="s">
        <v>441</v>
      </c>
      <c r="F9232">
        <v>0</v>
      </c>
      <c r="G9232">
        <v>5.01</v>
      </c>
      <c r="H9232" t="s">
        <v>8580</v>
      </c>
      <c r="I9232">
        <v>10</v>
      </c>
      <c r="J9232" t="s">
        <v>445</v>
      </c>
      <c r="K9232" t="s">
        <v>446</v>
      </c>
      <c r="M9232">
        <v>2621</v>
      </c>
    </row>
    <row r="9233" spans="1:13">
      <c r="A9233">
        <v>56430030</v>
      </c>
      <c r="B9233">
        <v>4007569</v>
      </c>
      <c r="C9233" t="s">
        <v>12768</v>
      </c>
      <c r="D9233" t="s">
        <v>442</v>
      </c>
      <c r="E9233" t="s">
        <v>441</v>
      </c>
      <c r="F9233">
        <v>0.28999999999999998</v>
      </c>
      <c r="G9233">
        <v>2.65</v>
      </c>
      <c r="H9233" t="s">
        <v>8588</v>
      </c>
      <c r="I9233">
        <v>12</v>
      </c>
      <c r="J9233" t="s">
        <v>462</v>
      </c>
      <c r="K9233" t="s">
        <v>446</v>
      </c>
      <c r="M9233">
        <v>2622</v>
      </c>
    </row>
    <row r="9234" spans="1:13">
      <c r="A9234">
        <v>56430031</v>
      </c>
      <c r="B9234">
        <v>4007570</v>
      </c>
      <c r="C9234" t="s">
        <v>12769</v>
      </c>
      <c r="D9234" t="s">
        <v>442</v>
      </c>
      <c r="E9234" t="s">
        <v>441</v>
      </c>
      <c r="F9234">
        <v>0.28999999999999998</v>
      </c>
      <c r="G9234">
        <v>2.7</v>
      </c>
      <c r="H9234" t="s">
        <v>8588</v>
      </c>
      <c r="I9234">
        <v>12</v>
      </c>
      <c r="J9234" t="s">
        <v>462</v>
      </c>
      <c r="K9234" t="s">
        <v>446</v>
      </c>
      <c r="M9234">
        <v>2622</v>
      </c>
    </row>
    <row r="9235" spans="1:13">
      <c r="A9235">
        <v>56440000</v>
      </c>
      <c r="B9235">
        <v>3008767</v>
      </c>
      <c r="C9235" t="s">
        <v>3969</v>
      </c>
      <c r="D9235" t="s">
        <v>441</v>
      </c>
      <c r="F9235">
        <v>0</v>
      </c>
      <c r="G9235">
        <v>10.68</v>
      </c>
      <c r="H9235" t="s">
        <v>8588</v>
      </c>
      <c r="I9235">
        <v>5</v>
      </c>
      <c r="J9235" t="s">
        <v>445</v>
      </c>
      <c r="K9235" t="s">
        <v>446</v>
      </c>
      <c r="M9235">
        <v>2615</v>
      </c>
    </row>
    <row r="9236" spans="1:13">
      <c r="A9236">
        <v>56440040</v>
      </c>
      <c r="B9236">
        <v>4008197</v>
      </c>
      <c r="C9236" t="s">
        <v>3970</v>
      </c>
      <c r="D9236" t="s">
        <v>441</v>
      </c>
      <c r="F9236">
        <v>0</v>
      </c>
      <c r="G9236">
        <v>11.28</v>
      </c>
      <c r="H9236" t="s">
        <v>8587</v>
      </c>
      <c r="I9236">
        <v>14</v>
      </c>
      <c r="J9236" t="s">
        <v>462</v>
      </c>
      <c r="K9236" t="s">
        <v>446</v>
      </c>
      <c r="M9236">
        <v>2612</v>
      </c>
    </row>
    <row r="9237" spans="1:13">
      <c r="A9237">
        <v>56440041</v>
      </c>
      <c r="B9237">
        <v>4008196</v>
      </c>
      <c r="C9237" t="s">
        <v>3971</v>
      </c>
      <c r="D9237" t="s">
        <v>441</v>
      </c>
      <c r="F9237">
        <v>0</v>
      </c>
      <c r="G9237">
        <v>11.28</v>
      </c>
      <c r="H9237" t="s">
        <v>8587</v>
      </c>
      <c r="I9237">
        <v>14</v>
      </c>
      <c r="J9237" t="s">
        <v>462</v>
      </c>
      <c r="K9237" t="s">
        <v>446</v>
      </c>
      <c r="M9237">
        <v>2612</v>
      </c>
    </row>
    <row r="9238" spans="1:13">
      <c r="A9238">
        <v>56440042</v>
      </c>
      <c r="B9238">
        <v>4008195</v>
      </c>
      <c r="C9238" t="s">
        <v>3972</v>
      </c>
      <c r="D9238" t="s">
        <v>441</v>
      </c>
      <c r="F9238">
        <v>0</v>
      </c>
      <c r="G9238">
        <v>11.28</v>
      </c>
      <c r="H9238" t="s">
        <v>8587</v>
      </c>
      <c r="I9238">
        <v>14</v>
      </c>
      <c r="J9238" t="s">
        <v>462</v>
      </c>
      <c r="K9238" t="s">
        <v>446</v>
      </c>
      <c r="M9238">
        <v>2612</v>
      </c>
    </row>
    <row r="9239" spans="1:13">
      <c r="A9239">
        <v>56440043</v>
      </c>
      <c r="B9239">
        <v>4008198</v>
      </c>
      <c r="C9239" t="s">
        <v>3973</v>
      </c>
      <c r="D9239" t="s">
        <v>441</v>
      </c>
      <c r="F9239">
        <v>0</v>
      </c>
      <c r="G9239">
        <v>11.29</v>
      </c>
      <c r="H9239" t="s">
        <v>8587</v>
      </c>
      <c r="I9239">
        <v>14</v>
      </c>
      <c r="J9239" t="s">
        <v>462</v>
      </c>
      <c r="K9239" t="s">
        <v>446</v>
      </c>
      <c r="M9239">
        <v>2612</v>
      </c>
    </row>
    <row r="9240" spans="1:13">
      <c r="A9240">
        <v>56450000</v>
      </c>
      <c r="B9240">
        <v>3008766</v>
      </c>
      <c r="C9240" t="s">
        <v>3974</v>
      </c>
      <c r="D9240" t="s">
        <v>441</v>
      </c>
      <c r="F9240">
        <v>0</v>
      </c>
      <c r="G9240">
        <v>9.84</v>
      </c>
      <c r="H9240" t="s">
        <v>8588</v>
      </c>
      <c r="I9240">
        <v>5</v>
      </c>
      <c r="J9240" t="s">
        <v>445</v>
      </c>
      <c r="K9240" t="s">
        <v>446</v>
      </c>
      <c r="M9240">
        <v>2615</v>
      </c>
    </row>
    <row r="9241" spans="1:13">
      <c r="A9241">
        <v>56450040</v>
      </c>
      <c r="B9241">
        <v>4008211</v>
      </c>
      <c r="C9241" t="s">
        <v>3975</v>
      </c>
      <c r="D9241" t="s">
        <v>441</v>
      </c>
      <c r="F9241">
        <v>0</v>
      </c>
      <c r="G9241">
        <v>10.45</v>
      </c>
      <c r="H9241" t="s">
        <v>8587</v>
      </c>
      <c r="I9241">
        <v>14</v>
      </c>
      <c r="J9241" t="s">
        <v>462</v>
      </c>
      <c r="K9241" t="s">
        <v>446</v>
      </c>
      <c r="M9241">
        <v>2612</v>
      </c>
    </row>
    <row r="9242" spans="1:13">
      <c r="A9242">
        <v>56450041</v>
      </c>
      <c r="B9242">
        <v>4008210</v>
      </c>
      <c r="C9242" t="s">
        <v>3976</v>
      </c>
      <c r="D9242" t="s">
        <v>441</v>
      </c>
      <c r="F9242">
        <v>0</v>
      </c>
      <c r="G9242">
        <v>10.45</v>
      </c>
      <c r="H9242" t="s">
        <v>8587</v>
      </c>
      <c r="I9242">
        <v>14</v>
      </c>
      <c r="J9242" t="s">
        <v>462</v>
      </c>
      <c r="K9242" t="s">
        <v>446</v>
      </c>
      <c r="M9242">
        <v>2612</v>
      </c>
    </row>
    <row r="9243" spans="1:13">
      <c r="A9243">
        <v>56450042</v>
      </c>
      <c r="B9243">
        <v>4008199</v>
      </c>
      <c r="C9243" t="s">
        <v>3977</v>
      </c>
      <c r="D9243" t="s">
        <v>441</v>
      </c>
      <c r="F9243">
        <v>0</v>
      </c>
      <c r="G9243">
        <v>10.45</v>
      </c>
      <c r="H9243" t="s">
        <v>8587</v>
      </c>
      <c r="I9243">
        <v>14</v>
      </c>
      <c r="J9243" t="s">
        <v>462</v>
      </c>
      <c r="K9243" t="s">
        <v>446</v>
      </c>
      <c r="M9243">
        <v>2612</v>
      </c>
    </row>
    <row r="9244" spans="1:13">
      <c r="A9244">
        <v>56450043</v>
      </c>
      <c r="B9244">
        <v>4008212</v>
      </c>
      <c r="C9244" t="s">
        <v>3978</v>
      </c>
      <c r="D9244" t="s">
        <v>441</v>
      </c>
      <c r="F9244">
        <v>0</v>
      </c>
      <c r="G9244">
        <v>10.44</v>
      </c>
      <c r="H9244" t="s">
        <v>8587</v>
      </c>
      <c r="I9244">
        <v>14</v>
      </c>
      <c r="J9244" t="s">
        <v>462</v>
      </c>
      <c r="K9244" t="s">
        <v>446</v>
      </c>
      <c r="M9244">
        <v>2612</v>
      </c>
    </row>
    <row r="9245" spans="1:13">
      <c r="A9245">
        <v>56450044</v>
      </c>
      <c r="B9245">
        <v>4008227</v>
      </c>
      <c r="C9245" t="s">
        <v>3979</v>
      </c>
      <c r="D9245" t="s">
        <v>441</v>
      </c>
      <c r="F9245">
        <v>0</v>
      </c>
      <c r="G9245">
        <v>11.39</v>
      </c>
      <c r="H9245" t="s">
        <v>8587</v>
      </c>
      <c r="I9245">
        <v>14</v>
      </c>
      <c r="J9245" t="s">
        <v>462</v>
      </c>
      <c r="K9245" t="s">
        <v>446</v>
      </c>
      <c r="M9245">
        <v>2612</v>
      </c>
    </row>
    <row r="9246" spans="1:13">
      <c r="A9246">
        <v>56460000</v>
      </c>
      <c r="B9246">
        <v>3008768</v>
      </c>
      <c r="C9246" t="s">
        <v>3980</v>
      </c>
      <c r="D9246" t="s">
        <v>441</v>
      </c>
      <c r="F9246">
        <v>0</v>
      </c>
      <c r="G9246">
        <v>12.56</v>
      </c>
      <c r="H9246" t="s">
        <v>8588</v>
      </c>
      <c r="I9246">
        <v>5</v>
      </c>
      <c r="J9246" t="s">
        <v>445</v>
      </c>
      <c r="K9246" t="s">
        <v>446</v>
      </c>
      <c r="M9246">
        <v>2615</v>
      </c>
    </row>
    <row r="9247" spans="1:13">
      <c r="A9247">
        <v>56460040</v>
      </c>
      <c r="B9247">
        <v>4008214</v>
      </c>
      <c r="C9247" t="s">
        <v>12770</v>
      </c>
      <c r="D9247" t="s">
        <v>441</v>
      </c>
      <c r="F9247">
        <v>0</v>
      </c>
      <c r="G9247">
        <v>13.17</v>
      </c>
      <c r="H9247" t="s">
        <v>8587</v>
      </c>
      <c r="I9247">
        <v>14</v>
      </c>
      <c r="J9247" t="s">
        <v>462</v>
      </c>
      <c r="K9247" t="s">
        <v>446</v>
      </c>
      <c r="M9247">
        <v>2612</v>
      </c>
    </row>
    <row r="9248" spans="1:13">
      <c r="A9248">
        <v>56460041</v>
      </c>
      <c r="B9248">
        <v>4008213</v>
      </c>
      <c r="C9248" t="s">
        <v>12771</v>
      </c>
      <c r="D9248" t="s">
        <v>441</v>
      </c>
      <c r="F9248">
        <v>0</v>
      </c>
      <c r="G9248">
        <v>13.66</v>
      </c>
      <c r="H9248" t="s">
        <v>8587</v>
      </c>
      <c r="I9248">
        <v>14</v>
      </c>
      <c r="J9248" t="s">
        <v>462</v>
      </c>
      <c r="K9248" t="s">
        <v>446</v>
      </c>
      <c r="M9248">
        <v>2612</v>
      </c>
    </row>
    <row r="9249" spans="1:13">
      <c r="A9249">
        <v>56460042</v>
      </c>
      <c r="B9249">
        <v>4008215</v>
      </c>
      <c r="C9249" t="s">
        <v>3981</v>
      </c>
      <c r="D9249" t="s">
        <v>441</v>
      </c>
      <c r="F9249">
        <v>0</v>
      </c>
      <c r="G9249">
        <v>13.17</v>
      </c>
      <c r="H9249" t="s">
        <v>8587</v>
      </c>
      <c r="I9249">
        <v>14</v>
      </c>
      <c r="J9249" t="s">
        <v>462</v>
      </c>
      <c r="K9249" t="s">
        <v>446</v>
      </c>
      <c r="M9249">
        <v>2612</v>
      </c>
    </row>
    <row r="9250" spans="1:13">
      <c r="A9250">
        <v>56460043</v>
      </c>
      <c r="B9250">
        <v>4008194</v>
      </c>
      <c r="C9250" t="s">
        <v>3982</v>
      </c>
      <c r="D9250" t="s">
        <v>441</v>
      </c>
      <c r="F9250">
        <v>0</v>
      </c>
      <c r="G9250">
        <v>13.16</v>
      </c>
      <c r="H9250" t="s">
        <v>8587</v>
      </c>
      <c r="I9250">
        <v>14</v>
      </c>
      <c r="J9250" t="s">
        <v>462</v>
      </c>
      <c r="K9250" t="s">
        <v>446</v>
      </c>
      <c r="M9250">
        <v>2612</v>
      </c>
    </row>
    <row r="9251" spans="1:13">
      <c r="A9251">
        <v>56460044</v>
      </c>
      <c r="B9251">
        <v>4008225</v>
      </c>
      <c r="C9251" t="s">
        <v>12772</v>
      </c>
      <c r="D9251" t="s">
        <v>441</v>
      </c>
      <c r="F9251">
        <v>0</v>
      </c>
      <c r="G9251">
        <v>13.16</v>
      </c>
      <c r="H9251" t="s">
        <v>8587</v>
      </c>
      <c r="I9251">
        <v>14</v>
      </c>
      <c r="J9251" t="s">
        <v>462</v>
      </c>
      <c r="K9251" t="s">
        <v>446</v>
      </c>
      <c r="M9251">
        <v>2612</v>
      </c>
    </row>
    <row r="9252" spans="1:13">
      <c r="A9252">
        <v>56460045</v>
      </c>
      <c r="B9252">
        <v>4008571</v>
      </c>
      <c r="C9252" t="s">
        <v>3983</v>
      </c>
      <c r="D9252" t="s">
        <v>441</v>
      </c>
      <c r="F9252">
        <v>0</v>
      </c>
      <c r="G9252">
        <v>14.33</v>
      </c>
      <c r="H9252" t="s">
        <v>8922</v>
      </c>
      <c r="I9252">
        <v>14</v>
      </c>
      <c r="J9252" t="s">
        <v>462</v>
      </c>
      <c r="K9252" t="s">
        <v>446</v>
      </c>
      <c r="M9252">
        <v>2612</v>
      </c>
    </row>
    <row r="9253" spans="1:13">
      <c r="A9253">
        <v>56460046</v>
      </c>
      <c r="B9253">
        <v>4008654</v>
      </c>
      <c r="C9253" t="s">
        <v>3984</v>
      </c>
      <c r="D9253" t="s">
        <v>441</v>
      </c>
      <c r="F9253">
        <v>0</v>
      </c>
      <c r="G9253">
        <v>14.3</v>
      </c>
      <c r="H9253" t="s">
        <v>8587</v>
      </c>
      <c r="I9253">
        <v>14</v>
      </c>
      <c r="J9253" t="s">
        <v>462</v>
      </c>
      <c r="K9253" t="s">
        <v>446</v>
      </c>
      <c r="M9253">
        <v>2612</v>
      </c>
    </row>
    <row r="9254" spans="1:13">
      <c r="A9254">
        <v>56460100</v>
      </c>
      <c r="B9254">
        <v>3009362</v>
      </c>
      <c r="C9254" t="s">
        <v>12773</v>
      </c>
      <c r="D9254" t="s">
        <v>441</v>
      </c>
      <c r="F9254">
        <v>0</v>
      </c>
      <c r="G9254">
        <v>1</v>
      </c>
      <c r="I9254">
        <v>14</v>
      </c>
      <c r="J9254" t="s">
        <v>445</v>
      </c>
      <c r="K9254" t="s">
        <v>446</v>
      </c>
      <c r="M9254">
        <v>2612</v>
      </c>
    </row>
    <row r="9255" spans="1:13">
      <c r="A9255">
        <v>56470000</v>
      </c>
      <c r="B9255">
        <v>3008765</v>
      </c>
      <c r="C9255" t="s">
        <v>3985</v>
      </c>
      <c r="D9255" t="s">
        <v>441</v>
      </c>
      <c r="F9255">
        <v>0</v>
      </c>
      <c r="G9255">
        <v>9.34</v>
      </c>
      <c r="H9255" t="s">
        <v>8588</v>
      </c>
      <c r="I9255">
        <v>5</v>
      </c>
      <c r="J9255" t="s">
        <v>445</v>
      </c>
      <c r="K9255" t="s">
        <v>446</v>
      </c>
      <c r="M9255">
        <v>2615</v>
      </c>
    </row>
    <row r="9256" spans="1:13">
      <c r="A9256">
        <v>56470040</v>
      </c>
      <c r="B9256">
        <v>4008219</v>
      </c>
      <c r="C9256" t="s">
        <v>3986</v>
      </c>
      <c r="D9256" t="s">
        <v>441</v>
      </c>
      <c r="F9256">
        <v>0</v>
      </c>
      <c r="G9256">
        <v>10.48</v>
      </c>
      <c r="H9256" t="s">
        <v>8587</v>
      </c>
      <c r="I9256">
        <v>14</v>
      </c>
      <c r="J9256" t="s">
        <v>462</v>
      </c>
      <c r="K9256" t="s">
        <v>446</v>
      </c>
      <c r="M9256">
        <v>2612</v>
      </c>
    </row>
    <row r="9257" spans="1:13">
      <c r="A9257">
        <v>56470041</v>
      </c>
      <c r="B9257">
        <v>4008218</v>
      </c>
      <c r="C9257" t="s">
        <v>3987</v>
      </c>
      <c r="D9257" t="s">
        <v>441</v>
      </c>
      <c r="F9257">
        <v>0</v>
      </c>
      <c r="G9257">
        <v>10.48</v>
      </c>
      <c r="H9257" t="s">
        <v>8587</v>
      </c>
      <c r="I9257">
        <v>14</v>
      </c>
      <c r="J9257" t="s">
        <v>462</v>
      </c>
      <c r="K9257" t="s">
        <v>446</v>
      </c>
      <c r="M9257">
        <v>2612</v>
      </c>
    </row>
    <row r="9258" spans="1:13">
      <c r="A9258">
        <v>56470042</v>
      </c>
      <c r="B9258">
        <v>4008217</v>
      </c>
      <c r="C9258" t="s">
        <v>3988</v>
      </c>
      <c r="D9258" t="s">
        <v>441</v>
      </c>
      <c r="F9258">
        <v>0</v>
      </c>
      <c r="G9258">
        <v>10.48</v>
      </c>
      <c r="H9258" t="s">
        <v>8587</v>
      </c>
      <c r="I9258">
        <v>14</v>
      </c>
      <c r="J9258" t="s">
        <v>462</v>
      </c>
      <c r="K9258" t="s">
        <v>446</v>
      </c>
      <c r="M9258">
        <v>2612</v>
      </c>
    </row>
    <row r="9259" spans="1:13">
      <c r="A9259">
        <v>56470043</v>
      </c>
      <c r="B9259">
        <v>4008216</v>
      </c>
      <c r="C9259" t="s">
        <v>3989</v>
      </c>
      <c r="D9259" t="s">
        <v>441</v>
      </c>
      <c r="F9259">
        <v>0</v>
      </c>
      <c r="G9259">
        <v>10.48</v>
      </c>
      <c r="H9259" t="s">
        <v>8587</v>
      </c>
      <c r="I9259">
        <v>14</v>
      </c>
      <c r="J9259" t="s">
        <v>462</v>
      </c>
      <c r="K9259" t="s">
        <v>446</v>
      </c>
      <c r="M9259">
        <v>2612</v>
      </c>
    </row>
    <row r="9260" spans="1:13">
      <c r="A9260">
        <v>56470044</v>
      </c>
      <c r="B9260">
        <v>4008224</v>
      </c>
      <c r="C9260" t="s">
        <v>3990</v>
      </c>
      <c r="D9260" t="s">
        <v>441</v>
      </c>
      <c r="F9260">
        <v>0</v>
      </c>
      <c r="G9260">
        <v>11.24</v>
      </c>
      <c r="H9260" t="s">
        <v>8587</v>
      </c>
      <c r="I9260">
        <v>14</v>
      </c>
      <c r="J9260" t="s">
        <v>462</v>
      </c>
      <c r="K9260" t="s">
        <v>446</v>
      </c>
      <c r="M9260">
        <v>2612</v>
      </c>
    </row>
    <row r="9261" spans="1:13">
      <c r="A9261">
        <v>56480000</v>
      </c>
      <c r="B9261">
        <v>3016709</v>
      </c>
      <c r="C9261" t="s">
        <v>12774</v>
      </c>
      <c r="D9261" t="s">
        <v>441</v>
      </c>
      <c r="F9261">
        <v>0</v>
      </c>
      <c r="G9261">
        <v>6.35</v>
      </c>
      <c r="H9261" t="s">
        <v>8580</v>
      </c>
      <c r="I9261">
        <v>10</v>
      </c>
      <c r="J9261" t="s">
        <v>445</v>
      </c>
      <c r="K9261" t="s">
        <v>446</v>
      </c>
      <c r="M9261">
        <v>2621</v>
      </c>
    </row>
    <row r="9262" spans="1:13">
      <c r="A9262">
        <v>56480030</v>
      </c>
      <c r="B9262">
        <v>4008440</v>
      </c>
      <c r="C9262" t="s">
        <v>12775</v>
      </c>
      <c r="D9262" t="s">
        <v>442</v>
      </c>
      <c r="E9262" t="s">
        <v>441</v>
      </c>
      <c r="F9262">
        <v>0.5</v>
      </c>
      <c r="G9262">
        <v>4.74</v>
      </c>
      <c r="H9262" t="s">
        <v>10655</v>
      </c>
      <c r="I9262">
        <v>12</v>
      </c>
      <c r="J9262" t="s">
        <v>462</v>
      </c>
      <c r="K9262" t="s">
        <v>446</v>
      </c>
      <c r="M9262">
        <v>2622</v>
      </c>
    </row>
    <row r="9263" spans="1:13">
      <c r="A9263">
        <v>56480031</v>
      </c>
      <c r="B9263">
        <v>4008429</v>
      </c>
      <c r="C9263" t="s">
        <v>12776</v>
      </c>
      <c r="D9263" t="s">
        <v>442</v>
      </c>
      <c r="E9263" t="s">
        <v>441</v>
      </c>
      <c r="F9263">
        <v>0.5</v>
      </c>
      <c r="G9263">
        <v>4.68</v>
      </c>
      <c r="H9263" t="s">
        <v>10655</v>
      </c>
      <c r="I9263">
        <v>12</v>
      </c>
      <c r="J9263" t="s">
        <v>462</v>
      </c>
      <c r="K9263" t="s">
        <v>446</v>
      </c>
      <c r="M9263">
        <v>2622</v>
      </c>
    </row>
    <row r="9264" spans="1:13">
      <c r="A9264">
        <v>56490000</v>
      </c>
      <c r="B9264">
        <v>3016715</v>
      </c>
      <c r="C9264" t="s">
        <v>12777</v>
      </c>
      <c r="D9264" t="s">
        <v>441</v>
      </c>
      <c r="F9264">
        <v>0</v>
      </c>
      <c r="G9264">
        <v>7.93</v>
      </c>
      <c r="H9264" t="s">
        <v>8580</v>
      </c>
      <c r="I9264">
        <v>10</v>
      </c>
      <c r="J9264" t="s">
        <v>445</v>
      </c>
      <c r="K9264" t="s">
        <v>446</v>
      </c>
      <c r="M9264">
        <v>2621</v>
      </c>
    </row>
    <row r="9265" spans="1:14">
      <c r="A9265">
        <v>56490030</v>
      </c>
      <c r="B9265">
        <v>4008428</v>
      </c>
      <c r="C9265" t="s">
        <v>12778</v>
      </c>
      <c r="D9265" t="s">
        <v>442</v>
      </c>
      <c r="E9265" t="s">
        <v>441</v>
      </c>
      <c r="F9265">
        <v>0.5</v>
      </c>
      <c r="G9265">
        <v>5.39</v>
      </c>
      <c r="H9265" t="s">
        <v>10655</v>
      </c>
      <c r="I9265">
        <v>12</v>
      </c>
      <c r="J9265" t="s">
        <v>462</v>
      </c>
      <c r="K9265" t="s">
        <v>446</v>
      </c>
      <c r="M9265">
        <v>2622</v>
      </c>
    </row>
    <row r="9266" spans="1:14">
      <c r="A9266">
        <v>56490031</v>
      </c>
      <c r="B9266">
        <v>4008439</v>
      </c>
      <c r="C9266" t="s">
        <v>12779</v>
      </c>
      <c r="D9266" t="s">
        <v>442</v>
      </c>
      <c r="E9266" t="s">
        <v>441</v>
      </c>
      <c r="F9266">
        <v>0.5</v>
      </c>
      <c r="G9266">
        <v>5.36</v>
      </c>
      <c r="H9266" t="s">
        <v>10655</v>
      </c>
      <c r="I9266">
        <v>12</v>
      </c>
      <c r="J9266" t="s">
        <v>462</v>
      </c>
      <c r="K9266" t="s">
        <v>446</v>
      </c>
      <c r="M9266">
        <v>2622</v>
      </c>
    </row>
    <row r="9267" spans="1:14">
      <c r="A9267">
        <v>56500000</v>
      </c>
      <c r="B9267">
        <v>3017181</v>
      </c>
      <c r="C9267" t="s">
        <v>3991</v>
      </c>
      <c r="D9267" t="s">
        <v>441</v>
      </c>
      <c r="F9267">
        <v>0</v>
      </c>
      <c r="G9267">
        <v>7.91</v>
      </c>
      <c r="H9267" t="s">
        <v>8935</v>
      </c>
      <c r="I9267">
        <v>14</v>
      </c>
      <c r="J9267" t="s">
        <v>445</v>
      </c>
      <c r="K9267" t="s">
        <v>446</v>
      </c>
      <c r="M9267">
        <v>2615</v>
      </c>
      <c r="N9267" t="s">
        <v>16090</v>
      </c>
    </row>
    <row r="9268" spans="1:14">
      <c r="A9268">
        <v>56500040</v>
      </c>
      <c r="B9268">
        <v>4009541</v>
      </c>
      <c r="C9268" t="s">
        <v>3992</v>
      </c>
      <c r="D9268" t="s">
        <v>441</v>
      </c>
      <c r="F9268">
        <v>0</v>
      </c>
      <c r="G9268">
        <v>10.28</v>
      </c>
      <c r="H9268" t="s">
        <v>8587</v>
      </c>
      <c r="I9268">
        <v>14</v>
      </c>
      <c r="J9268" t="s">
        <v>462</v>
      </c>
      <c r="K9268" t="s">
        <v>446</v>
      </c>
      <c r="M9268">
        <v>2612</v>
      </c>
    </row>
    <row r="9269" spans="1:14">
      <c r="A9269">
        <v>56500041</v>
      </c>
      <c r="B9269">
        <v>4009659</v>
      </c>
      <c r="C9269" t="s">
        <v>3993</v>
      </c>
      <c r="D9269" t="s">
        <v>441</v>
      </c>
      <c r="F9269">
        <v>0</v>
      </c>
      <c r="G9269">
        <v>12.06</v>
      </c>
      <c r="H9269" t="s">
        <v>8587</v>
      </c>
      <c r="I9269">
        <v>14</v>
      </c>
      <c r="J9269" t="s">
        <v>462</v>
      </c>
      <c r="K9269" t="s">
        <v>446</v>
      </c>
      <c r="M9269">
        <v>2612</v>
      </c>
      <c r="N9269" t="s">
        <v>16090</v>
      </c>
    </row>
    <row r="9270" spans="1:14">
      <c r="A9270">
        <v>56500042</v>
      </c>
      <c r="B9270">
        <v>4009660</v>
      </c>
      <c r="C9270" t="s">
        <v>3994</v>
      </c>
      <c r="D9270" t="s">
        <v>441</v>
      </c>
      <c r="F9270">
        <v>0</v>
      </c>
      <c r="G9270">
        <v>10.27</v>
      </c>
      <c r="H9270" t="s">
        <v>8587</v>
      </c>
      <c r="I9270">
        <v>14</v>
      </c>
      <c r="J9270" t="s">
        <v>462</v>
      </c>
      <c r="K9270" t="s">
        <v>446</v>
      </c>
      <c r="M9270">
        <v>2612</v>
      </c>
      <c r="N9270" t="s">
        <v>16090</v>
      </c>
    </row>
    <row r="9271" spans="1:14">
      <c r="A9271">
        <v>56500043</v>
      </c>
      <c r="B9271">
        <v>4009666</v>
      </c>
      <c r="C9271" t="s">
        <v>3995</v>
      </c>
      <c r="D9271" t="s">
        <v>441</v>
      </c>
      <c r="F9271">
        <v>0</v>
      </c>
      <c r="G9271">
        <v>9.6999999999999993</v>
      </c>
      <c r="H9271" t="s">
        <v>8587</v>
      </c>
      <c r="I9271">
        <v>13</v>
      </c>
      <c r="J9271" t="s">
        <v>462</v>
      </c>
      <c r="K9271" t="s">
        <v>446</v>
      </c>
      <c r="M9271">
        <v>2612</v>
      </c>
    </row>
    <row r="9272" spans="1:14">
      <c r="A9272">
        <v>56500044</v>
      </c>
      <c r="B9272">
        <v>4009682</v>
      </c>
      <c r="C9272" t="s">
        <v>3996</v>
      </c>
      <c r="D9272" t="s">
        <v>441</v>
      </c>
      <c r="F9272">
        <v>0</v>
      </c>
      <c r="G9272">
        <v>10.25</v>
      </c>
      <c r="H9272" t="s">
        <v>8587</v>
      </c>
      <c r="I9272">
        <v>14</v>
      </c>
      <c r="J9272" t="s">
        <v>462</v>
      </c>
      <c r="K9272" t="s">
        <v>446</v>
      </c>
      <c r="M9272">
        <v>2612</v>
      </c>
      <c r="N9272" t="s">
        <v>16090</v>
      </c>
    </row>
    <row r="9273" spans="1:14">
      <c r="A9273">
        <v>56500045</v>
      </c>
      <c r="B9273">
        <v>4009907</v>
      </c>
      <c r="C9273" t="s">
        <v>3997</v>
      </c>
      <c r="D9273" t="s">
        <v>441</v>
      </c>
      <c r="F9273">
        <v>0</v>
      </c>
      <c r="G9273">
        <v>10.29</v>
      </c>
      <c r="H9273" t="s">
        <v>8587</v>
      </c>
      <c r="I9273">
        <v>14</v>
      </c>
      <c r="J9273" t="s">
        <v>462</v>
      </c>
      <c r="K9273" t="s">
        <v>446</v>
      </c>
      <c r="M9273">
        <v>2612</v>
      </c>
    </row>
    <row r="9274" spans="1:14">
      <c r="A9274">
        <v>56500046</v>
      </c>
      <c r="B9274">
        <v>4012229</v>
      </c>
      <c r="C9274" t="s">
        <v>3998</v>
      </c>
      <c r="D9274" t="s">
        <v>441</v>
      </c>
      <c r="F9274">
        <v>0</v>
      </c>
      <c r="G9274">
        <v>10.25</v>
      </c>
      <c r="H9274" t="s">
        <v>8587</v>
      </c>
      <c r="I9274">
        <v>14</v>
      </c>
      <c r="J9274" t="s">
        <v>462</v>
      </c>
      <c r="K9274" t="s">
        <v>446</v>
      </c>
      <c r="M9274">
        <v>2612</v>
      </c>
      <c r="N9274" t="s">
        <v>16090</v>
      </c>
    </row>
    <row r="9275" spans="1:14">
      <c r="A9275">
        <v>56500061</v>
      </c>
      <c r="B9275">
        <v>3017016</v>
      </c>
      <c r="C9275" t="s">
        <v>3999</v>
      </c>
      <c r="D9275" t="s">
        <v>441</v>
      </c>
      <c r="F9275">
        <v>0</v>
      </c>
      <c r="G9275">
        <v>9.19</v>
      </c>
      <c r="H9275" t="s">
        <v>8588</v>
      </c>
      <c r="I9275">
        <v>365</v>
      </c>
      <c r="J9275" t="s">
        <v>445</v>
      </c>
      <c r="K9275" t="s">
        <v>446</v>
      </c>
      <c r="M9275">
        <v>2501</v>
      </c>
      <c r="N9275" t="s">
        <v>16090</v>
      </c>
    </row>
    <row r="9276" spans="1:14">
      <c r="A9276">
        <v>56500561</v>
      </c>
      <c r="B9276">
        <v>3017015</v>
      </c>
      <c r="C9276" t="s">
        <v>4000</v>
      </c>
      <c r="D9276" t="s">
        <v>441</v>
      </c>
      <c r="F9276">
        <v>0</v>
      </c>
      <c r="G9276">
        <v>8.99</v>
      </c>
      <c r="H9276" t="s">
        <v>8935</v>
      </c>
      <c r="I9276">
        <v>365</v>
      </c>
      <c r="J9276" t="s">
        <v>445</v>
      </c>
      <c r="K9276" t="s">
        <v>446</v>
      </c>
      <c r="M9276">
        <v>2612</v>
      </c>
      <c r="N9276" t="s">
        <v>16090</v>
      </c>
    </row>
    <row r="9277" spans="1:14">
      <c r="A9277">
        <v>56500661</v>
      </c>
      <c r="B9277">
        <v>3017017</v>
      </c>
      <c r="C9277" t="s">
        <v>4001</v>
      </c>
      <c r="D9277" t="s">
        <v>441</v>
      </c>
      <c r="F9277">
        <v>0</v>
      </c>
      <c r="G9277">
        <v>9.5</v>
      </c>
      <c r="H9277" t="s">
        <v>8935</v>
      </c>
      <c r="I9277">
        <v>4</v>
      </c>
      <c r="J9277" t="s">
        <v>445</v>
      </c>
      <c r="K9277" t="s">
        <v>446</v>
      </c>
      <c r="M9277">
        <v>2511</v>
      </c>
      <c r="N9277" t="s">
        <v>16090</v>
      </c>
    </row>
    <row r="9278" spans="1:14">
      <c r="A9278">
        <v>56510000</v>
      </c>
      <c r="B9278">
        <v>3017182</v>
      </c>
      <c r="C9278" t="s">
        <v>4002</v>
      </c>
      <c r="D9278" t="s">
        <v>441</v>
      </c>
      <c r="F9278">
        <v>0</v>
      </c>
      <c r="G9278">
        <v>11.12</v>
      </c>
      <c r="H9278" t="s">
        <v>8935</v>
      </c>
      <c r="I9278">
        <v>14</v>
      </c>
      <c r="J9278" t="s">
        <v>445</v>
      </c>
      <c r="K9278" t="s">
        <v>446</v>
      </c>
      <c r="M9278">
        <v>2615</v>
      </c>
      <c r="N9278" t="s">
        <v>15985</v>
      </c>
    </row>
    <row r="9279" spans="1:14">
      <c r="A9279">
        <v>56510040</v>
      </c>
      <c r="B9279">
        <v>4009542</v>
      </c>
      <c r="C9279" t="s">
        <v>4003</v>
      </c>
      <c r="D9279" t="s">
        <v>441</v>
      </c>
      <c r="F9279">
        <v>0</v>
      </c>
      <c r="G9279">
        <v>15.23</v>
      </c>
      <c r="H9279" t="s">
        <v>8922</v>
      </c>
      <c r="I9279">
        <v>14</v>
      </c>
      <c r="J9279" t="s">
        <v>462</v>
      </c>
      <c r="K9279" t="s">
        <v>446</v>
      </c>
      <c r="M9279">
        <v>2612</v>
      </c>
      <c r="N9279" t="s">
        <v>15985</v>
      </c>
    </row>
    <row r="9280" spans="1:14">
      <c r="A9280">
        <v>56510041</v>
      </c>
      <c r="B9280">
        <v>4009658</v>
      </c>
      <c r="C9280" t="s">
        <v>4004</v>
      </c>
      <c r="D9280" t="s">
        <v>441</v>
      </c>
      <c r="F9280">
        <v>0</v>
      </c>
      <c r="G9280">
        <v>14.05</v>
      </c>
      <c r="H9280" t="s">
        <v>8922</v>
      </c>
      <c r="I9280">
        <v>14</v>
      </c>
      <c r="J9280" t="s">
        <v>462</v>
      </c>
      <c r="K9280" t="s">
        <v>446</v>
      </c>
      <c r="M9280">
        <v>2612</v>
      </c>
      <c r="N9280" t="s">
        <v>15985</v>
      </c>
    </row>
    <row r="9281" spans="1:14">
      <c r="A9281">
        <v>56510042</v>
      </c>
      <c r="B9281">
        <v>4009657</v>
      </c>
      <c r="C9281" t="s">
        <v>4005</v>
      </c>
      <c r="D9281" t="s">
        <v>441</v>
      </c>
      <c r="F9281">
        <v>0</v>
      </c>
      <c r="G9281">
        <v>14.07</v>
      </c>
      <c r="H9281" t="s">
        <v>8922</v>
      </c>
      <c r="I9281">
        <v>14</v>
      </c>
      <c r="J9281" t="s">
        <v>462</v>
      </c>
      <c r="K9281" t="s">
        <v>446</v>
      </c>
      <c r="M9281">
        <v>2612</v>
      </c>
      <c r="N9281" t="s">
        <v>15985</v>
      </c>
    </row>
    <row r="9282" spans="1:14">
      <c r="A9282">
        <v>56510043</v>
      </c>
      <c r="B9282">
        <v>4009665</v>
      </c>
      <c r="C9282" t="s">
        <v>4006</v>
      </c>
      <c r="D9282" t="s">
        <v>441</v>
      </c>
      <c r="F9282">
        <v>0</v>
      </c>
      <c r="G9282">
        <v>13.94</v>
      </c>
      <c r="H9282" t="s">
        <v>8922</v>
      </c>
      <c r="I9282">
        <v>13</v>
      </c>
      <c r="J9282" t="s">
        <v>462</v>
      </c>
      <c r="K9282" t="s">
        <v>446</v>
      </c>
      <c r="M9282">
        <v>2612</v>
      </c>
      <c r="N9282" t="s">
        <v>15985</v>
      </c>
    </row>
    <row r="9283" spans="1:14">
      <c r="A9283">
        <v>56510044</v>
      </c>
      <c r="B9283">
        <v>4009680</v>
      </c>
      <c r="C9283" t="s">
        <v>4007</v>
      </c>
      <c r="D9283" t="s">
        <v>441</v>
      </c>
      <c r="F9283">
        <v>0</v>
      </c>
      <c r="G9283">
        <v>13.94</v>
      </c>
      <c r="H9283" t="s">
        <v>8922</v>
      </c>
      <c r="I9283">
        <v>14</v>
      </c>
      <c r="J9283" t="s">
        <v>462</v>
      </c>
      <c r="K9283" t="s">
        <v>446</v>
      </c>
      <c r="M9283">
        <v>2612</v>
      </c>
      <c r="N9283" t="s">
        <v>15985</v>
      </c>
    </row>
    <row r="9284" spans="1:14">
      <c r="A9284">
        <v>56510045</v>
      </c>
      <c r="B9284">
        <v>4009903</v>
      </c>
      <c r="C9284" t="s">
        <v>4008</v>
      </c>
      <c r="D9284" t="s">
        <v>441</v>
      </c>
      <c r="F9284">
        <v>0</v>
      </c>
      <c r="G9284">
        <v>14.9</v>
      </c>
      <c r="H9284" t="s">
        <v>8922</v>
      </c>
      <c r="I9284">
        <v>14</v>
      </c>
      <c r="J9284" t="s">
        <v>462</v>
      </c>
      <c r="K9284" t="s">
        <v>446</v>
      </c>
      <c r="L9284">
        <v>2960190</v>
      </c>
      <c r="M9284">
        <v>2612</v>
      </c>
      <c r="N9284" t="s">
        <v>15985</v>
      </c>
    </row>
    <row r="9285" spans="1:14">
      <c r="A9285">
        <v>56510046</v>
      </c>
      <c r="B9285">
        <v>4012241</v>
      </c>
      <c r="C9285" t="s">
        <v>4009</v>
      </c>
      <c r="D9285" t="s">
        <v>441</v>
      </c>
      <c r="F9285">
        <v>0</v>
      </c>
      <c r="G9285">
        <v>13.95</v>
      </c>
      <c r="H9285" t="s">
        <v>8922</v>
      </c>
      <c r="I9285">
        <v>14</v>
      </c>
      <c r="J9285" t="s">
        <v>462</v>
      </c>
      <c r="K9285" t="s">
        <v>446</v>
      </c>
      <c r="M9285">
        <v>2612</v>
      </c>
      <c r="N9285" t="s">
        <v>15985</v>
      </c>
    </row>
    <row r="9286" spans="1:14">
      <c r="A9286">
        <v>56510061</v>
      </c>
      <c r="B9286">
        <v>3017010</v>
      </c>
      <c r="C9286" t="s">
        <v>12780</v>
      </c>
      <c r="D9286" t="s">
        <v>441</v>
      </c>
      <c r="F9286">
        <v>0</v>
      </c>
      <c r="G9286">
        <v>12.97</v>
      </c>
      <c r="H9286" t="s">
        <v>8588</v>
      </c>
      <c r="I9286">
        <v>365</v>
      </c>
      <c r="J9286" t="s">
        <v>445</v>
      </c>
      <c r="K9286" t="s">
        <v>446</v>
      </c>
      <c r="M9286">
        <v>2501</v>
      </c>
    </row>
    <row r="9287" spans="1:14">
      <c r="A9287">
        <v>56510561</v>
      </c>
      <c r="B9287">
        <v>3017014</v>
      </c>
      <c r="C9287" t="s">
        <v>4010</v>
      </c>
      <c r="D9287" t="s">
        <v>441</v>
      </c>
      <c r="F9287">
        <v>0</v>
      </c>
      <c r="G9287">
        <v>12.76</v>
      </c>
      <c r="H9287" t="s">
        <v>8935</v>
      </c>
      <c r="I9287">
        <v>365</v>
      </c>
      <c r="J9287" t="s">
        <v>445</v>
      </c>
      <c r="K9287" t="s">
        <v>446</v>
      </c>
      <c r="M9287">
        <v>2612</v>
      </c>
      <c r="N9287" t="s">
        <v>15985</v>
      </c>
    </row>
    <row r="9288" spans="1:14">
      <c r="A9288">
        <v>56510661</v>
      </c>
      <c r="B9288">
        <v>3017006</v>
      </c>
      <c r="C9288" t="s">
        <v>4011</v>
      </c>
      <c r="D9288" t="s">
        <v>441</v>
      </c>
      <c r="F9288">
        <v>0</v>
      </c>
      <c r="G9288">
        <v>14.91</v>
      </c>
      <c r="H9288" t="s">
        <v>8935</v>
      </c>
      <c r="I9288">
        <v>4</v>
      </c>
      <c r="J9288" t="s">
        <v>445</v>
      </c>
      <c r="K9288" t="s">
        <v>446</v>
      </c>
      <c r="M9288">
        <v>2511</v>
      </c>
    </row>
    <row r="9289" spans="1:14">
      <c r="A9289">
        <v>56520041</v>
      </c>
      <c r="B9289">
        <v>4008491</v>
      </c>
      <c r="C9289" t="s">
        <v>4012</v>
      </c>
      <c r="D9289" t="s">
        <v>441</v>
      </c>
      <c r="F9289">
        <v>0</v>
      </c>
      <c r="G9289">
        <v>11.51</v>
      </c>
      <c r="H9289" t="s">
        <v>8588</v>
      </c>
      <c r="I9289">
        <v>12</v>
      </c>
      <c r="J9289" t="s">
        <v>462</v>
      </c>
      <c r="K9289" t="s">
        <v>446</v>
      </c>
      <c r="M9289">
        <v>2612</v>
      </c>
    </row>
    <row r="9290" spans="1:14">
      <c r="A9290">
        <v>56520061</v>
      </c>
      <c r="B9290">
        <v>4008431</v>
      </c>
      <c r="C9290" t="s">
        <v>4013</v>
      </c>
      <c r="D9290" t="s">
        <v>441</v>
      </c>
      <c r="F9290">
        <v>0</v>
      </c>
      <c r="G9290">
        <v>13.3</v>
      </c>
      <c r="H9290" t="s">
        <v>8588</v>
      </c>
      <c r="I9290">
        <v>60</v>
      </c>
      <c r="J9290" t="s">
        <v>462</v>
      </c>
      <c r="K9290" t="s">
        <v>446</v>
      </c>
      <c r="M9290">
        <v>2501</v>
      </c>
    </row>
    <row r="9291" spans="1:14">
      <c r="A9291">
        <v>56520561</v>
      </c>
      <c r="B9291">
        <v>3009144</v>
      </c>
      <c r="C9291" t="s">
        <v>4014</v>
      </c>
      <c r="D9291" t="s">
        <v>441</v>
      </c>
      <c r="F9291">
        <v>0</v>
      </c>
      <c r="G9291">
        <v>13.01</v>
      </c>
      <c r="H9291" t="s">
        <v>8580</v>
      </c>
      <c r="I9291">
        <v>6</v>
      </c>
      <c r="J9291" t="s">
        <v>445</v>
      </c>
      <c r="K9291" t="s">
        <v>446</v>
      </c>
      <c r="M9291">
        <v>2612</v>
      </c>
    </row>
    <row r="9292" spans="1:14">
      <c r="A9292">
        <v>56530041</v>
      </c>
      <c r="B9292">
        <v>4008492</v>
      </c>
      <c r="C9292" t="s">
        <v>4015</v>
      </c>
      <c r="D9292" t="s">
        <v>441</v>
      </c>
      <c r="F9292">
        <v>0</v>
      </c>
      <c r="G9292">
        <v>10.31</v>
      </c>
      <c r="H9292" t="s">
        <v>8588</v>
      </c>
      <c r="I9292">
        <v>12</v>
      </c>
      <c r="J9292" t="s">
        <v>462</v>
      </c>
      <c r="K9292" t="s">
        <v>446</v>
      </c>
      <c r="M9292">
        <v>2612</v>
      </c>
    </row>
    <row r="9293" spans="1:14">
      <c r="A9293">
        <v>56530061</v>
      </c>
      <c r="B9293">
        <v>4008434</v>
      </c>
      <c r="C9293" t="s">
        <v>4016</v>
      </c>
      <c r="D9293" t="s">
        <v>441</v>
      </c>
      <c r="F9293">
        <v>0</v>
      </c>
      <c r="G9293">
        <v>10.42</v>
      </c>
      <c r="H9293" t="s">
        <v>8588</v>
      </c>
      <c r="I9293">
        <v>60</v>
      </c>
      <c r="J9293" t="s">
        <v>462</v>
      </c>
      <c r="K9293" t="s">
        <v>446</v>
      </c>
      <c r="M9293">
        <v>2501</v>
      </c>
    </row>
    <row r="9294" spans="1:14">
      <c r="A9294">
        <v>56530561</v>
      </c>
      <c r="B9294">
        <v>3009143</v>
      </c>
      <c r="C9294" t="s">
        <v>4017</v>
      </c>
      <c r="D9294" t="s">
        <v>441</v>
      </c>
      <c r="F9294">
        <v>0</v>
      </c>
      <c r="G9294">
        <v>10.14</v>
      </c>
      <c r="H9294" t="s">
        <v>8580</v>
      </c>
      <c r="I9294">
        <v>6</v>
      </c>
      <c r="J9294" t="s">
        <v>445</v>
      </c>
      <c r="K9294" t="s">
        <v>446</v>
      </c>
      <c r="M9294">
        <v>2612</v>
      </c>
    </row>
    <row r="9295" spans="1:14">
      <c r="A9295">
        <v>56540041</v>
      </c>
      <c r="B9295">
        <v>4008493</v>
      </c>
      <c r="C9295" t="s">
        <v>4018</v>
      </c>
      <c r="D9295" t="s">
        <v>441</v>
      </c>
      <c r="F9295">
        <v>0</v>
      </c>
      <c r="G9295">
        <v>8.07</v>
      </c>
      <c r="H9295" t="s">
        <v>8588</v>
      </c>
      <c r="I9295">
        <v>12</v>
      </c>
      <c r="J9295" t="s">
        <v>462</v>
      </c>
      <c r="K9295" t="s">
        <v>446</v>
      </c>
      <c r="M9295">
        <v>2612</v>
      </c>
    </row>
    <row r="9296" spans="1:14">
      <c r="A9296">
        <v>56540061</v>
      </c>
      <c r="B9296">
        <v>4008433</v>
      </c>
      <c r="C9296" t="s">
        <v>4019</v>
      </c>
      <c r="D9296" t="s">
        <v>441</v>
      </c>
      <c r="F9296">
        <v>0</v>
      </c>
      <c r="G9296">
        <v>8.51</v>
      </c>
      <c r="H9296" t="s">
        <v>8588</v>
      </c>
      <c r="I9296">
        <v>60</v>
      </c>
      <c r="J9296" t="s">
        <v>462</v>
      </c>
      <c r="K9296" t="s">
        <v>446</v>
      </c>
      <c r="M9296">
        <v>2501</v>
      </c>
    </row>
    <row r="9297" spans="1:14">
      <c r="A9297">
        <v>56540561</v>
      </c>
      <c r="B9297">
        <v>3009142</v>
      </c>
      <c r="C9297" t="s">
        <v>4020</v>
      </c>
      <c r="D9297" t="s">
        <v>441</v>
      </c>
      <c r="F9297">
        <v>0</v>
      </c>
      <c r="G9297">
        <v>8.2200000000000006</v>
      </c>
      <c r="H9297" t="s">
        <v>8588</v>
      </c>
      <c r="I9297">
        <v>6</v>
      </c>
      <c r="J9297" t="s">
        <v>445</v>
      </c>
      <c r="K9297" t="s">
        <v>446</v>
      </c>
      <c r="M9297">
        <v>2612</v>
      </c>
    </row>
    <row r="9298" spans="1:14">
      <c r="A9298">
        <v>56550041</v>
      </c>
      <c r="B9298">
        <v>4008494</v>
      </c>
      <c r="C9298" t="s">
        <v>4021</v>
      </c>
      <c r="D9298" t="s">
        <v>441</v>
      </c>
      <c r="F9298">
        <v>0</v>
      </c>
      <c r="G9298">
        <v>10.66</v>
      </c>
      <c r="H9298" t="s">
        <v>8588</v>
      </c>
      <c r="I9298">
        <v>12</v>
      </c>
      <c r="J9298" t="s">
        <v>462</v>
      </c>
      <c r="K9298" t="s">
        <v>446</v>
      </c>
      <c r="M9298">
        <v>2612</v>
      </c>
    </row>
    <row r="9299" spans="1:14">
      <c r="A9299">
        <v>56550061</v>
      </c>
      <c r="B9299">
        <v>4008432</v>
      </c>
      <c r="C9299" t="s">
        <v>4022</v>
      </c>
      <c r="D9299" t="s">
        <v>441</v>
      </c>
      <c r="F9299">
        <v>0</v>
      </c>
      <c r="G9299">
        <v>10.71</v>
      </c>
      <c r="H9299" t="s">
        <v>8588</v>
      </c>
      <c r="I9299">
        <v>60</v>
      </c>
      <c r="J9299" t="s">
        <v>462</v>
      </c>
      <c r="K9299" t="s">
        <v>446</v>
      </c>
      <c r="M9299">
        <v>2501</v>
      </c>
    </row>
    <row r="9300" spans="1:14">
      <c r="A9300">
        <v>56550561</v>
      </c>
      <c r="B9300">
        <v>3009148</v>
      </c>
      <c r="C9300" t="s">
        <v>4023</v>
      </c>
      <c r="D9300" t="s">
        <v>441</v>
      </c>
      <c r="F9300">
        <v>0</v>
      </c>
      <c r="G9300">
        <v>10.42</v>
      </c>
      <c r="I9300">
        <v>6</v>
      </c>
      <c r="J9300" t="s">
        <v>445</v>
      </c>
      <c r="K9300" t="s">
        <v>446</v>
      </c>
      <c r="M9300">
        <v>2612</v>
      </c>
    </row>
    <row r="9301" spans="1:14">
      <c r="A9301">
        <v>56560000</v>
      </c>
      <c r="B9301">
        <v>3017183</v>
      </c>
      <c r="C9301" t="s">
        <v>4024</v>
      </c>
      <c r="D9301" t="s">
        <v>441</v>
      </c>
      <c r="F9301">
        <v>0</v>
      </c>
      <c r="G9301">
        <v>11.32</v>
      </c>
      <c r="H9301" t="s">
        <v>8935</v>
      </c>
      <c r="I9301">
        <v>14</v>
      </c>
      <c r="J9301" t="s">
        <v>445</v>
      </c>
      <c r="K9301" t="s">
        <v>446</v>
      </c>
      <c r="M9301">
        <v>2615</v>
      </c>
      <c r="N9301" t="s">
        <v>16061</v>
      </c>
    </row>
    <row r="9302" spans="1:14">
      <c r="A9302">
        <v>56560040</v>
      </c>
      <c r="B9302">
        <v>4009664</v>
      </c>
      <c r="C9302" t="s">
        <v>4025</v>
      </c>
      <c r="D9302" t="s">
        <v>441</v>
      </c>
      <c r="F9302">
        <v>0</v>
      </c>
      <c r="G9302">
        <v>13.06</v>
      </c>
      <c r="H9302" t="s">
        <v>8587</v>
      </c>
      <c r="I9302">
        <v>14</v>
      </c>
      <c r="J9302" t="s">
        <v>462</v>
      </c>
      <c r="K9302" t="s">
        <v>446</v>
      </c>
      <c r="M9302">
        <v>2612</v>
      </c>
      <c r="N9302" t="s">
        <v>16061</v>
      </c>
    </row>
    <row r="9303" spans="1:14">
      <c r="A9303">
        <v>56560041</v>
      </c>
      <c r="B9303">
        <v>4009656</v>
      </c>
      <c r="C9303" t="s">
        <v>4026</v>
      </c>
      <c r="D9303" t="s">
        <v>441</v>
      </c>
      <c r="F9303">
        <v>0</v>
      </c>
      <c r="G9303">
        <v>12.08</v>
      </c>
      <c r="H9303" t="s">
        <v>8587</v>
      </c>
      <c r="I9303">
        <v>14</v>
      </c>
      <c r="J9303" t="s">
        <v>462</v>
      </c>
      <c r="K9303" t="s">
        <v>446</v>
      </c>
      <c r="M9303">
        <v>2612</v>
      </c>
      <c r="N9303" t="s">
        <v>16061</v>
      </c>
    </row>
    <row r="9304" spans="1:14">
      <c r="A9304">
        <v>56560042</v>
      </c>
      <c r="B9304">
        <v>4009655</v>
      </c>
      <c r="C9304" t="s">
        <v>4027</v>
      </c>
      <c r="D9304" t="s">
        <v>441</v>
      </c>
      <c r="F9304">
        <v>0</v>
      </c>
      <c r="G9304">
        <v>12.07</v>
      </c>
      <c r="H9304" t="s">
        <v>8587</v>
      </c>
      <c r="I9304">
        <v>14</v>
      </c>
      <c r="J9304" t="s">
        <v>462</v>
      </c>
      <c r="K9304" t="s">
        <v>446</v>
      </c>
      <c r="M9304">
        <v>2612</v>
      </c>
      <c r="N9304" t="s">
        <v>16061</v>
      </c>
    </row>
    <row r="9305" spans="1:14">
      <c r="A9305">
        <v>56560043</v>
      </c>
      <c r="B9305">
        <v>4009667</v>
      </c>
      <c r="C9305" t="s">
        <v>4028</v>
      </c>
      <c r="D9305" t="s">
        <v>441</v>
      </c>
      <c r="F9305">
        <v>0</v>
      </c>
      <c r="G9305">
        <v>13.33</v>
      </c>
      <c r="H9305" t="s">
        <v>8587</v>
      </c>
      <c r="I9305">
        <v>13</v>
      </c>
      <c r="J9305" t="s">
        <v>462</v>
      </c>
      <c r="K9305" t="s">
        <v>446</v>
      </c>
      <c r="M9305">
        <v>2612</v>
      </c>
      <c r="N9305" t="s">
        <v>16061</v>
      </c>
    </row>
    <row r="9306" spans="1:14">
      <c r="A9306">
        <v>56560044</v>
      </c>
      <c r="B9306">
        <v>4009681</v>
      </c>
      <c r="C9306" t="s">
        <v>4029</v>
      </c>
      <c r="D9306" t="s">
        <v>441</v>
      </c>
      <c r="F9306">
        <v>0</v>
      </c>
      <c r="G9306">
        <v>13.33</v>
      </c>
      <c r="H9306" t="s">
        <v>8587</v>
      </c>
      <c r="I9306">
        <v>14</v>
      </c>
      <c r="J9306" t="s">
        <v>462</v>
      </c>
      <c r="K9306" t="s">
        <v>446</v>
      </c>
      <c r="M9306">
        <v>2612</v>
      </c>
      <c r="N9306" t="s">
        <v>16061</v>
      </c>
    </row>
    <row r="9307" spans="1:14">
      <c r="A9307">
        <v>56560045</v>
      </c>
      <c r="B9307">
        <v>4009906</v>
      </c>
      <c r="C9307" t="s">
        <v>4030</v>
      </c>
      <c r="D9307" t="s">
        <v>441</v>
      </c>
      <c r="F9307">
        <v>0</v>
      </c>
      <c r="G9307">
        <v>13.66</v>
      </c>
      <c r="H9307" t="s">
        <v>8587</v>
      </c>
      <c r="I9307">
        <v>14</v>
      </c>
      <c r="J9307" t="s">
        <v>462</v>
      </c>
      <c r="K9307" t="s">
        <v>446</v>
      </c>
      <c r="L9307">
        <v>2960230</v>
      </c>
      <c r="M9307">
        <v>2612</v>
      </c>
      <c r="N9307" t="s">
        <v>16061</v>
      </c>
    </row>
    <row r="9308" spans="1:14">
      <c r="A9308">
        <v>56560046</v>
      </c>
      <c r="B9308">
        <v>4012240</v>
      </c>
      <c r="C9308" t="s">
        <v>4031</v>
      </c>
      <c r="D9308" t="s">
        <v>441</v>
      </c>
      <c r="F9308">
        <v>0</v>
      </c>
      <c r="G9308">
        <v>13.34</v>
      </c>
      <c r="H9308" t="s">
        <v>8587</v>
      </c>
      <c r="I9308">
        <v>14</v>
      </c>
      <c r="J9308" t="s">
        <v>462</v>
      </c>
      <c r="K9308" t="s">
        <v>446</v>
      </c>
      <c r="M9308">
        <v>2612</v>
      </c>
      <c r="N9308" t="s">
        <v>16061</v>
      </c>
    </row>
    <row r="9309" spans="1:14">
      <c r="A9309">
        <v>56560061</v>
      </c>
      <c r="B9309">
        <v>3017009</v>
      </c>
      <c r="C9309" t="s">
        <v>4032</v>
      </c>
      <c r="D9309" t="s">
        <v>441</v>
      </c>
      <c r="F9309">
        <v>0</v>
      </c>
      <c r="G9309">
        <v>12.22</v>
      </c>
      <c r="H9309" t="s">
        <v>8588</v>
      </c>
      <c r="I9309">
        <v>365</v>
      </c>
      <c r="J9309" t="s">
        <v>445</v>
      </c>
      <c r="K9309" t="s">
        <v>446</v>
      </c>
      <c r="M9309">
        <v>2501</v>
      </c>
      <c r="N9309" t="s">
        <v>16061</v>
      </c>
    </row>
    <row r="9310" spans="1:14">
      <c r="A9310">
        <v>56560561</v>
      </c>
      <c r="B9310">
        <v>3017013</v>
      </c>
      <c r="C9310" t="s">
        <v>4033</v>
      </c>
      <c r="D9310" t="s">
        <v>441</v>
      </c>
      <c r="F9310">
        <v>0</v>
      </c>
      <c r="G9310">
        <v>12.02</v>
      </c>
      <c r="H9310" t="s">
        <v>8935</v>
      </c>
      <c r="I9310">
        <v>365</v>
      </c>
      <c r="J9310" t="s">
        <v>445</v>
      </c>
      <c r="K9310" t="s">
        <v>446</v>
      </c>
      <c r="M9310">
        <v>2612</v>
      </c>
      <c r="N9310" t="s">
        <v>16061</v>
      </c>
    </row>
    <row r="9311" spans="1:14">
      <c r="A9311">
        <v>56560661</v>
      </c>
      <c r="B9311">
        <v>3017005</v>
      </c>
      <c r="C9311" t="s">
        <v>4034</v>
      </c>
      <c r="D9311" t="s">
        <v>441</v>
      </c>
      <c r="F9311">
        <v>0</v>
      </c>
      <c r="G9311">
        <v>12.57</v>
      </c>
      <c r="H9311" t="s">
        <v>8935</v>
      </c>
      <c r="I9311">
        <v>4</v>
      </c>
      <c r="J9311" t="s">
        <v>445</v>
      </c>
      <c r="K9311" t="s">
        <v>446</v>
      </c>
      <c r="M9311">
        <v>2511</v>
      </c>
      <c r="N9311" t="s">
        <v>16061</v>
      </c>
    </row>
    <row r="9312" spans="1:14">
      <c r="A9312">
        <v>56570000</v>
      </c>
      <c r="B9312">
        <v>3017180</v>
      </c>
      <c r="C9312" t="s">
        <v>4035</v>
      </c>
      <c r="D9312" t="s">
        <v>441</v>
      </c>
      <c r="F9312">
        <v>0</v>
      </c>
      <c r="G9312">
        <v>8.92</v>
      </c>
      <c r="H9312" t="s">
        <v>8935</v>
      </c>
      <c r="I9312">
        <v>14</v>
      </c>
      <c r="J9312" t="s">
        <v>445</v>
      </c>
      <c r="K9312" t="s">
        <v>446</v>
      </c>
      <c r="M9312">
        <v>2615</v>
      </c>
      <c r="N9312" t="s">
        <v>16318</v>
      </c>
    </row>
    <row r="9313" spans="1:14">
      <c r="A9313">
        <v>56570041</v>
      </c>
      <c r="B9313">
        <v>4009654</v>
      </c>
      <c r="C9313" t="s">
        <v>4036</v>
      </c>
      <c r="D9313" t="s">
        <v>441</v>
      </c>
      <c r="F9313">
        <v>0</v>
      </c>
      <c r="G9313">
        <v>11.24</v>
      </c>
      <c r="H9313" t="s">
        <v>8587</v>
      </c>
      <c r="I9313">
        <v>14</v>
      </c>
      <c r="J9313" t="s">
        <v>462</v>
      </c>
      <c r="K9313" t="s">
        <v>446</v>
      </c>
      <c r="M9313">
        <v>2612</v>
      </c>
      <c r="N9313" t="s">
        <v>16318</v>
      </c>
    </row>
    <row r="9314" spans="1:14">
      <c r="A9314">
        <v>56570042</v>
      </c>
      <c r="B9314">
        <v>4009653</v>
      </c>
      <c r="C9314" t="s">
        <v>12781</v>
      </c>
      <c r="D9314" t="s">
        <v>441</v>
      </c>
      <c r="F9314">
        <v>0</v>
      </c>
      <c r="G9314">
        <v>11.26</v>
      </c>
      <c r="H9314" t="s">
        <v>8587</v>
      </c>
      <c r="I9314">
        <v>14</v>
      </c>
      <c r="J9314" t="s">
        <v>462</v>
      </c>
      <c r="K9314" t="s">
        <v>446</v>
      </c>
      <c r="M9314">
        <v>2612</v>
      </c>
      <c r="N9314" t="s">
        <v>16318</v>
      </c>
    </row>
    <row r="9315" spans="1:14">
      <c r="A9315">
        <v>56570044</v>
      </c>
      <c r="B9315">
        <v>4009669</v>
      </c>
      <c r="C9315" t="s">
        <v>4037</v>
      </c>
      <c r="D9315" t="s">
        <v>441</v>
      </c>
      <c r="F9315">
        <v>0</v>
      </c>
      <c r="G9315">
        <v>10.95</v>
      </c>
      <c r="H9315" t="s">
        <v>8587</v>
      </c>
      <c r="I9315">
        <v>14</v>
      </c>
      <c r="J9315" t="s">
        <v>462</v>
      </c>
      <c r="K9315" t="s">
        <v>446</v>
      </c>
      <c r="M9315">
        <v>2612</v>
      </c>
      <c r="N9315" t="s">
        <v>16318</v>
      </c>
    </row>
    <row r="9316" spans="1:14">
      <c r="A9316">
        <v>56570045</v>
      </c>
      <c r="B9316">
        <v>4009902</v>
      </c>
      <c r="C9316" t="s">
        <v>4038</v>
      </c>
      <c r="D9316" t="s">
        <v>441</v>
      </c>
      <c r="F9316">
        <v>0</v>
      </c>
      <c r="G9316">
        <v>11.94</v>
      </c>
      <c r="H9316" t="s">
        <v>8587</v>
      </c>
      <c r="I9316">
        <v>14</v>
      </c>
      <c r="J9316" t="s">
        <v>462</v>
      </c>
      <c r="K9316" t="s">
        <v>446</v>
      </c>
      <c r="L9316">
        <v>2960190</v>
      </c>
      <c r="M9316">
        <v>2612</v>
      </c>
      <c r="N9316" t="s">
        <v>16318</v>
      </c>
    </row>
    <row r="9317" spans="1:14">
      <c r="A9317">
        <v>56570046</v>
      </c>
      <c r="B9317">
        <v>4012242</v>
      </c>
      <c r="C9317" t="s">
        <v>4039</v>
      </c>
      <c r="D9317" t="s">
        <v>441</v>
      </c>
      <c r="F9317">
        <v>0</v>
      </c>
      <c r="G9317">
        <v>10.95</v>
      </c>
      <c r="H9317" t="s">
        <v>8587</v>
      </c>
      <c r="I9317">
        <v>14</v>
      </c>
      <c r="J9317" t="s">
        <v>462</v>
      </c>
      <c r="K9317" t="s">
        <v>446</v>
      </c>
      <c r="M9317">
        <v>2612</v>
      </c>
      <c r="N9317" t="s">
        <v>16318</v>
      </c>
    </row>
    <row r="9318" spans="1:14">
      <c r="A9318">
        <v>56570061</v>
      </c>
      <c r="B9318">
        <v>3017008</v>
      </c>
      <c r="C9318" t="s">
        <v>4040</v>
      </c>
      <c r="D9318" t="s">
        <v>441</v>
      </c>
      <c r="F9318">
        <v>0</v>
      </c>
      <c r="G9318">
        <v>9.99</v>
      </c>
      <c r="H9318" t="s">
        <v>8588</v>
      </c>
      <c r="I9318">
        <v>365</v>
      </c>
      <c r="J9318" t="s">
        <v>445</v>
      </c>
      <c r="K9318" t="s">
        <v>446</v>
      </c>
      <c r="M9318">
        <v>2501</v>
      </c>
      <c r="N9318" t="s">
        <v>16318</v>
      </c>
    </row>
    <row r="9319" spans="1:14">
      <c r="A9319">
        <v>56570561</v>
      </c>
      <c r="B9319">
        <v>3017012</v>
      </c>
      <c r="C9319" t="s">
        <v>4041</v>
      </c>
      <c r="D9319" t="s">
        <v>441</v>
      </c>
      <c r="F9319">
        <v>0</v>
      </c>
      <c r="G9319">
        <v>9.7899999999999991</v>
      </c>
      <c r="H9319" t="s">
        <v>8935</v>
      </c>
      <c r="I9319">
        <v>365</v>
      </c>
      <c r="J9319" t="s">
        <v>445</v>
      </c>
      <c r="K9319" t="s">
        <v>446</v>
      </c>
      <c r="M9319">
        <v>2612</v>
      </c>
      <c r="N9319" t="s">
        <v>16318</v>
      </c>
    </row>
    <row r="9320" spans="1:14">
      <c r="A9320">
        <v>56570661</v>
      </c>
      <c r="B9320">
        <v>3017004</v>
      </c>
      <c r="C9320" t="s">
        <v>4042</v>
      </c>
      <c r="D9320" t="s">
        <v>441</v>
      </c>
      <c r="F9320">
        <v>0</v>
      </c>
      <c r="G9320">
        <v>10.31</v>
      </c>
      <c r="H9320" t="s">
        <v>8935</v>
      </c>
      <c r="I9320">
        <v>4</v>
      </c>
      <c r="J9320" t="s">
        <v>445</v>
      </c>
      <c r="K9320" t="s">
        <v>446</v>
      </c>
      <c r="M9320">
        <v>2511</v>
      </c>
      <c r="N9320" t="s">
        <v>16318</v>
      </c>
    </row>
    <row r="9321" spans="1:14">
      <c r="A9321">
        <v>56580000</v>
      </c>
      <c r="B9321">
        <v>3016797</v>
      </c>
      <c r="C9321" t="s">
        <v>4043</v>
      </c>
      <c r="D9321" t="s">
        <v>441</v>
      </c>
      <c r="F9321">
        <v>0</v>
      </c>
      <c r="G9321">
        <v>7.42</v>
      </c>
      <c r="H9321" t="s">
        <v>8580</v>
      </c>
      <c r="I9321">
        <v>6</v>
      </c>
      <c r="J9321" t="s">
        <v>445</v>
      </c>
      <c r="K9321" t="s">
        <v>446</v>
      </c>
      <c r="M9321">
        <v>2621</v>
      </c>
    </row>
    <row r="9322" spans="1:14">
      <c r="A9322">
        <v>56580007</v>
      </c>
      <c r="B9322">
        <v>3026207</v>
      </c>
      <c r="C9322" t="s">
        <v>4044</v>
      </c>
      <c r="D9322" t="s">
        <v>441</v>
      </c>
      <c r="F9322">
        <v>0</v>
      </c>
      <c r="G9322">
        <v>7.26</v>
      </c>
      <c r="H9322" t="s">
        <v>12521</v>
      </c>
      <c r="I9322">
        <v>6</v>
      </c>
      <c r="J9322" t="s">
        <v>445</v>
      </c>
      <c r="K9322" t="s">
        <v>446</v>
      </c>
      <c r="M9322">
        <v>2692</v>
      </c>
      <c r="N9322" t="s">
        <v>16042</v>
      </c>
    </row>
    <row r="9323" spans="1:14">
      <c r="A9323">
        <v>56580030</v>
      </c>
      <c r="B9323">
        <v>4009767</v>
      </c>
      <c r="C9323" t="s">
        <v>12782</v>
      </c>
      <c r="D9323" t="s">
        <v>442</v>
      </c>
      <c r="E9323" t="s">
        <v>441</v>
      </c>
      <c r="F9323">
        <v>0.5</v>
      </c>
      <c r="G9323">
        <v>4.45</v>
      </c>
      <c r="H9323" t="s">
        <v>10655</v>
      </c>
      <c r="I9323">
        <v>12</v>
      </c>
      <c r="J9323" t="s">
        <v>462</v>
      </c>
      <c r="K9323" t="s">
        <v>446</v>
      </c>
      <c r="M9323">
        <v>2622</v>
      </c>
    </row>
    <row r="9324" spans="1:14">
      <c r="A9324">
        <v>56580032</v>
      </c>
      <c r="B9324">
        <v>4011105</v>
      </c>
      <c r="C9324" t="s">
        <v>12783</v>
      </c>
      <c r="D9324" t="s">
        <v>442</v>
      </c>
      <c r="E9324" t="s">
        <v>441</v>
      </c>
      <c r="F9324">
        <v>0.5</v>
      </c>
      <c r="G9324">
        <v>4.32</v>
      </c>
      <c r="H9324" t="s">
        <v>10655</v>
      </c>
      <c r="I9324">
        <v>12</v>
      </c>
      <c r="J9324" t="s">
        <v>462</v>
      </c>
      <c r="K9324" t="s">
        <v>446</v>
      </c>
      <c r="M9324">
        <v>2622</v>
      </c>
    </row>
    <row r="9325" spans="1:14">
      <c r="A9325">
        <v>56580033</v>
      </c>
      <c r="B9325">
        <v>4016965</v>
      </c>
      <c r="C9325" t="s">
        <v>12784</v>
      </c>
      <c r="D9325" t="s">
        <v>442</v>
      </c>
      <c r="E9325" t="s">
        <v>441</v>
      </c>
      <c r="F9325">
        <v>0.5</v>
      </c>
      <c r="G9325">
        <v>4.45</v>
      </c>
      <c r="H9325" t="s">
        <v>8588</v>
      </c>
      <c r="I9325">
        <v>12</v>
      </c>
      <c r="J9325" t="s">
        <v>462</v>
      </c>
      <c r="K9325" t="s">
        <v>446</v>
      </c>
      <c r="M9325">
        <v>2612</v>
      </c>
    </row>
    <row r="9326" spans="1:14">
      <c r="A9326">
        <v>56580080</v>
      </c>
      <c r="B9326">
        <v>3027470</v>
      </c>
      <c r="C9326" t="s">
        <v>4045</v>
      </c>
      <c r="D9326" t="s">
        <v>441</v>
      </c>
      <c r="F9326">
        <v>0</v>
      </c>
      <c r="G9326">
        <v>9.99</v>
      </c>
      <c r="H9326" t="s">
        <v>12521</v>
      </c>
      <c r="I9326">
        <v>6</v>
      </c>
      <c r="J9326" t="s">
        <v>445</v>
      </c>
      <c r="K9326" t="s">
        <v>446</v>
      </c>
      <c r="M9326">
        <v>2641</v>
      </c>
      <c r="N9326" t="s">
        <v>16042</v>
      </c>
    </row>
    <row r="9327" spans="1:14">
      <c r="A9327">
        <v>56580087</v>
      </c>
      <c r="B9327">
        <v>3026208</v>
      </c>
      <c r="C9327" t="s">
        <v>4046</v>
      </c>
      <c r="D9327" t="s">
        <v>441</v>
      </c>
      <c r="F9327">
        <v>0</v>
      </c>
      <c r="G9327">
        <v>7.32</v>
      </c>
      <c r="H9327" t="s">
        <v>12521</v>
      </c>
      <c r="I9327">
        <v>6</v>
      </c>
      <c r="J9327" t="s">
        <v>445</v>
      </c>
      <c r="K9327" t="s">
        <v>446</v>
      </c>
      <c r="M9327">
        <v>2391</v>
      </c>
      <c r="N9327" t="s">
        <v>16042</v>
      </c>
    </row>
    <row r="9328" spans="1:14">
      <c r="A9328">
        <v>56590041</v>
      </c>
      <c r="B9328">
        <v>4011071</v>
      </c>
      <c r="C9328" t="s">
        <v>4047</v>
      </c>
      <c r="D9328" t="s">
        <v>441</v>
      </c>
      <c r="F9328">
        <v>0</v>
      </c>
      <c r="G9328">
        <v>14.01</v>
      </c>
      <c r="H9328" t="s">
        <v>8587</v>
      </c>
      <c r="I9328">
        <v>14</v>
      </c>
      <c r="J9328" t="s">
        <v>462</v>
      </c>
      <c r="K9328" t="s">
        <v>446</v>
      </c>
      <c r="M9328">
        <v>2612</v>
      </c>
    </row>
    <row r="9329" spans="1:14">
      <c r="A9329">
        <v>56590061</v>
      </c>
      <c r="B9329">
        <v>3017007</v>
      </c>
      <c r="C9329" t="s">
        <v>12785</v>
      </c>
      <c r="D9329" t="s">
        <v>441</v>
      </c>
      <c r="F9329">
        <v>0</v>
      </c>
      <c r="G9329">
        <v>14.85</v>
      </c>
      <c r="H9329" t="s">
        <v>8588</v>
      </c>
      <c r="I9329">
        <v>365</v>
      </c>
      <c r="J9329" t="s">
        <v>445</v>
      </c>
      <c r="K9329" t="s">
        <v>446</v>
      </c>
      <c r="M9329">
        <v>2501</v>
      </c>
    </row>
    <row r="9330" spans="1:14">
      <c r="A9330">
        <v>56590561</v>
      </c>
      <c r="B9330">
        <v>3017011</v>
      </c>
      <c r="C9330" t="s">
        <v>12786</v>
      </c>
      <c r="D9330" t="s">
        <v>441</v>
      </c>
      <c r="F9330">
        <v>0</v>
      </c>
      <c r="G9330">
        <v>14.71</v>
      </c>
      <c r="H9330" t="s">
        <v>8935</v>
      </c>
      <c r="I9330">
        <v>365</v>
      </c>
      <c r="J9330" t="s">
        <v>445</v>
      </c>
      <c r="K9330" t="s">
        <v>446</v>
      </c>
      <c r="M9330">
        <v>2612</v>
      </c>
    </row>
    <row r="9331" spans="1:14">
      <c r="A9331">
        <v>56590661</v>
      </c>
      <c r="B9331">
        <v>3017003</v>
      </c>
      <c r="C9331" t="s">
        <v>12787</v>
      </c>
      <c r="D9331" t="s">
        <v>441</v>
      </c>
      <c r="F9331">
        <v>0</v>
      </c>
      <c r="G9331">
        <v>15.16</v>
      </c>
      <c r="H9331" t="s">
        <v>8935</v>
      </c>
      <c r="I9331">
        <v>4</v>
      </c>
      <c r="J9331" t="s">
        <v>445</v>
      </c>
      <c r="K9331" t="s">
        <v>446</v>
      </c>
      <c r="M9331">
        <v>2511</v>
      </c>
    </row>
    <row r="9332" spans="1:14">
      <c r="A9332">
        <v>56600041</v>
      </c>
      <c r="B9332">
        <v>4011055</v>
      </c>
      <c r="C9332" t="s">
        <v>4048</v>
      </c>
      <c r="D9332" t="s">
        <v>441</v>
      </c>
      <c r="F9332">
        <v>0</v>
      </c>
      <c r="G9332">
        <v>14.13</v>
      </c>
      <c r="H9332" t="s">
        <v>8587</v>
      </c>
      <c r="I9332">
        <v>14</v>
      </c>
      <c r="J9332" t="s">
        <v>462</v>
      </c>
      <c r="K9332" t="s">
        <v>446</v>
      </c>
      <c r="M9332">
        <v>2612</v>
      </c>
    </row>
    <row r="9333" spans="1:14">
      <c r="A9333">
        <v>56610041</v>
      </c>
      <c r="B9333">
        <v>4011054</v>
      </c>
      <c r="C9333" t="s">
        <v>4049</v>
      </c>
      <c r="D9333" t="s">
        <v>441</v>
      </c>
      <c r="F9333">
        <v>0</v>
      </c>
      <c r="G9333">
        <v>11.85</v>
      </c>
      <c r="H9333" t="s">
        <v>8587</v>
      </c>
      <c r="I9333">
        <v>14</v>
      </c>
      <c r="J9333" t="s">
        <v>462</v>
      </c>
      <c r="K9333" t="s">
        <v>446</v>
      </c>
      <c r="M9333">
        <v>2612</v>
      </c>
    </row>
    <row r="9334" spans="1:14">
      <c r="A9334">
        <v>56620000</v>
      </c>
      <c r="B9334">
        <v>3016888</v>
      </c>
      <c r="C9334" t="s">
        <v>4050</v>
      </c>
      <c r="D9334" t="s">
        <v>441</v>
      </c>
      <c r="F9334">
        <v>0</v>
      </c>
      <c r="G9334">
        <v>11.01</v>
      </c>
      <c r="H9334" t="s">
        <v>8935</v>
      </c>
      <c r="I9334">
        <v>5</v>
      </c>
      <c r="J9334" t="s">
        <v>445</v>
      </c>
      <c r="K9334" t="s">
        <v>446</v>
      </c>
      <c r="M9334">
        <v>3211</v>
      </c>
    </row>
    <row r="9335" spans="1:14">
      <c r="A9335">
        <v>56620050</v>
      </c>
      <c r="B9335">
        <v>4011149</v>
      </c>
      <c r="C9335" t="s">
        <v>4051</v>
      </c>
      <c r="D9335" t="s">
        <v>441</v>
      </c>
      <c r="F9335">
        <v>0</v>
      </c>
      <c r="G9335">
        <v>11.93</v>
      </c>
      <c r="H9335" t="s">
        <v>8587</v>
      </c>
      <c r="I9335">
        <v>14</v>
      </c>
      <c r="J9335" t="s">
        <v>462</v>
      </c>
      <c r="K9335" t="s">
        <v>446</v>
      </c>
      <c r="M9335">
        <v>2612</v>
      </c>
    </row>
    <row r="9336" spans="1:14">
      <c r="A9336">
        <v>56630000</v>
      </c>
      <c r="B9336">
        <v>3016887</v>
      </c>
      <c r="C9336" t="s">
        <v>4052</v>
      </c>
      <c r="D9336" t="s">
        <v>441</v>
      </c>
      <c r="F9336">
        <v>0</v>
      </c>
      <c r="G9336">
        <v>12.63</v>
      </c>
      <c r="H9336" t="s">
        <v>8935</v>
      </c>
      <c r="I9336">
        <v>5</v>
      </c>
      <c r="J9336" t="s">
        <v>445</v>
      </c>
      <c r="K9336" t="s">
        <v>446</v>
      </c>
      <c r="M9336">
        <v>3211</v>
      </c>
    </row>
    <row r="9337" spans="1:14">
      <c r="A9337">
        <v>56630050</v>
      </c>
      <c r="B9337">
        <v>4011151</v>
      </c>
      <c r="C9337" t="s">
        <v>4053</v>
      </c>
      <c r="D9337" t="s">
        <v>441</v>
      </c>
      <c r="F9337">
        <v>0</v>
      </c>
      <c r="G9337">
        <v>13.53</v>
      </c>
      <c r="H9337" t="s">
        <v>8587</v>
      </c>
      <c r="I9337">
        <v>14</v>
      </c>
      <c r="J9337" t="s">
        <v>462</v>
      </c>
      <c r="K9337" t="s">
        <v>446</v>
      </c>
      <c r="M9337">
        <v>2612</v>
      </c>
    </row>
    <row r="9338" spans="1:14">
      <c r="A9338">
        <v>56640000</v>
      </c>
      <c r="B9338">
        <v>3016886</v>
      </c>
      <c r="C9338" t="s">
        <v>4054</v>
      </c>
      <c r="D9338" t="s">
        <v>441</v>
      </c>
      <c r="F9338">
        <v>0</v>
      </c>
      <c r="G9338">
        <v>12.5</v>
      </c>
      <c r="H9338" t="s">
        <v>8935</v>
      </c>
      <c r="I9338">
        <v>5</v>
      </c>
      <c r="J9338" t="s">
        <v>445</v>
      </c>
      <c r="K9338" t="s">
        <v>446</v>
      </c>
      <c r="M9338">
        <v>3211</v>
      </c>
    </row>
    <row r="9339" spans="1:14">
      <c r="A9339">
        <v>56640050</v>
      </c>
      <c r="B9339">
        <v>4011148</v>
      </c>
      <c r="C9339" t="s">
        <v>4055</v>
      </c>
      <c r="D9339" t="s">
        <v>441</v>
      </c>
      <c r="F9339">
        <v>0</v>
      </c>
      <c r="G9339">
        <v>13.79</v>
      </c>
      <c r="H9339" t="s">
        <v>8587</v>
      </c>
      <c r="I9339">
        <v>14</v>
      </c>
      <c r="J9339" t="s">
        <v>462</v>
      </c>
      <c r="K9339" t="s">
        <v>446</v>
      </c>
      <c r="M9339">
        <v>2612</v>
      </c>
    </row>
    <row r="9340" spans="1:14">
      <c r="A9340">
        <v>56650000</v>
      </c>
      <c r="B9340">
        <v>3016885</v>
      </c>
      <c r="C9340" t="s">
        <v>4056</v>
      </c>
      <c r="D9340" t="s">
        <v>441</v>
      </c>
      <c r="F9340">
        <v>0</v>
      </c>
      <c r="G9340">
        <v>13.38</v>
      </c>
      <c r="H9340" t="s">
        <v>8935</v>
      </c>
      <c r="I9340">
        <v>5</v>
      </c>
      <c r="J9340" t="s">
        <v>445</v>
      </c>
      <c r="K9340" t="s">
        <v>446</v>
      </c>
      <c r="M9340">
        <v>3211</v>
      </c>
    </row>
    <row r="9341" spans="1:14">
      <c r="A9341">
        <v>56650050</v>
      </c>
      <c r="B9341">
        <v>4011150</v>
      </c>
      <c r="C9341" t="s">
        <v>4057</v>
      </c>
      <c r="D9341" t="s">
        <v>441</v>
      </c>
      <c r="F9341">
        <v>0</v>
      </c>
      <c r="G9341">
        <v>14.81</v>
      </c>
      <c r="H9341" t="s">
        <v>8922</v>
      </c>
      <c r="I9341">
        <v>14</v>
      </c>
      <c r="J9341" t="s">
        <v>462</v>
      </c>
      <c r="K9341" t="s">
        <v>446</v>
      </c>
      <c r="M9341">
        <v>2612</v>
      </c>
    </row>
    <row r="9342" spans="1:14">
      <c r="A9342">
        <v>56660000</v>
      </c>
      <c r="B9342">
        <v>3018041</v>
      </c>
      <c r="C9342" t="s">
        <v>4058</v>
      </c>
      <c r="D9342" t="s">
        <v>441</v>
      </c>
      <c r="F9342">
        <v>0</v>
      </c>
      <c r="G9342">
        <v>10.62</v>
      </c>
      <c r="I9342">
        <v>3</v>
      </c>
      <c r="J9342" t="s">
        <v>445</v>
      </c>
      <c r="K9342" t="s">
        <v>446</v>
      </c>
      <c r="M9342">
        <v>2615</v>
      </c>
      <c r="N9342" t="s">
        <v>16571</v>
      </c>
    </row>
    <row r="9343" spans="1:14">
      <c r="A9343">
        <v>56660040</v>
      </c>
      <c r="B9343">
        <v>4012379</v>
      </c>
      <c r="C9343" t="s">
        <v>4059</v>
      </c>
      <c r="D9343" t="s">
        <v>441</v>
      </c>
      <c r="F9343">
        <v>0</v>
      </c>
      <c r="G9343">
        <v>12.19</v>
      </c>
      <c r="H9343" t="s">
        <v>8588</v>
      </c>
      <c r="I9343">
        <v>8</v>
      </c>
      <c r="J9343" t="s">
        <v>462</v>
      </c>
      <c r="K9343" t="s">
        <v>446</v>
      </c>
      <c r="M9343">
        <v>2612</v>
      </c>
      <c r="N9343" t="s">
        <v>16571</v>
      </c>
    </row>
    <row r="9344" spans="1:14">
      <c r="A9344">
        <v>56670030</v>
      </c>
      <c r="B9344">
        <v>4014066</v>
      </c>
      <c r="C9344" t="s">
        <v>12788</v>
      </c>
      <c r="D9344" t="s">
        <v>441</v>
      </c>
      <c r="F9344">
        <v>0</v>
      </c>
      <c r="G9344">
        <v>12.78</v>
      </c>
      <c r="H9344" t="s">
        <v>8588</v>
      </c>
      <c r="I9344">
        <v>10</v>
      </c>
      <c r="J9344" t="s">
        <v>462</v>
      </c>
      <c r="K9344" t="s">
        <v>446</v>
      </c>
      <c r="M9344">
        <v>2612</v>
      </c>
    </row>
    <row r="9345" spans="1:14">
      <c r="A9345">
        <v>56670130</v>
      </c>
      <c r="B9345">
        <v>3025704</v>
      </c>
      <c r="C9345" t="s">
        <v>12789</v>
      </c>
      <c r="D9345" t="s">
        <v>441</v>
      </c>
      <c r="F9345">
        <v>0</v>
      </c>
      <c r="G9345">
        <v>11.07</v>
      </c>
      <c r="H9345" t="s">
        <v>8588</v>
      </c>
      <c r="I9345">
        <v>1</v>
      </c>
      <c r="J9345" t="s">
        <v>445</v>
      </c>
      <c r="K9345" t="s">
        <v>446</v>
      </c>
      <c r="M9345">
        <v>2641</v>
      </c>
      <c r="N9345" t="s">
        <v>16572</v>
      </c>
    </row>
    <row r="9346" spans="1:14">
      <c r="A9346">
        <v>56680000</v>
      </c>
      <c r="B9346">
        <v>3022605</v>
      </c>
      <c r="C9346" t="s">
        <v>4060</v>
      </c>
      <c r="D9346" t="s">
        <v>441</v>
      </c>
      <c r="F9346">
        <v>0</v>
      </c>
      <c r="G9346">
        <v>8.81</v>
      </c>
      <c r="I9346">
        <v>3</v>
      </c>
      <c r="J9346" t="s">
        <v>445</v>
      </c>
      <c r="K9346" t="s">
        <v>446</v>
      </c>
      <c r="M9346">
        <v>2612</v>
      </c>
      <c r="N9346" t="s">
        <v>16573</v>
      </c>
    </row>
    <row r="9347" spans="1:14">
      <c r="A9347">
        <v>56690000</v>
      </c>
      <c r="B9347">
        <v>3022786</v>
      </c>
      <c r="C9347" t="s">
        <v>4061</v>
      </c>
      <c r="D9347" t="s">
        <v>441</v>
      </c>
      <c r="F9347">
        <v>0</v>
      </c>
      <c r="G9347">
        <v>8.77</v>
      </c>
      <c r="H9347" t="s">
        <v>8588</v>
      </c>
      <c r="I9347">
        <v>14</v>
      </c>
      <c r="J9347" t="s">
        <v>445</v>
      </c>
      <c r="K9347" t="s">
        <v>446</v>
      </c>
      <c r="M9347">
        <v>2615</v>
      </c>
    </row>
    <row r="9348" spans="1:14">
      <c r="A9348">
        <v>56690040</v>
      </c>
      <c r="B9348">
        <v>4015038</v>
      </c>
      <c r="C9348" t="s">
        <v>4062</v>
      </c>
      <c r="D9348" t="s">
        <v>441</v>
      </c>
      <c r="F9348">
        <v>0</v>
      </c>
      <c r="G9348">
        <v>11.43</v>
      </c>
      <c r="H9348" t="s">
        <v>8587</v>
      </c>
      <c r="I9348">
        <v>14</v>
      </c>
      <c r="J9348" t="s">
        <v>462</v>
      </c>
      <c r="K9348" t="s">
        <v>446</v>
      </c>
      <c r="M9348">
        <v>2612</v>
      </c>
    </row>
    <row r="9349" spans="1:14">
      <c r="A9349">
        <v>56690041</v>
      </c>
      <c r="B9349">
        <v>4015784</v>
      </c>
      <c r="C9349" t="s">
        <v>4063</v>
      </c>
      <c r="D9349" t="s">
        <v>441</v>
      </c>
      <c r="F9349">
        <v>0</v>
      </c>
      <c r="G9349">
        <v>11.27</v>
      </c>
      <c r="H9349" t="s">
        <v>8587</v>
      </c>
      <c r="I9349">
        <v>14</v>
      </c>
      <c r="J9349" t="s">
        <v>462</v>
      </c>
      <c r="K9349" t="s">
        <v>446</v>
      </c>
      <c r="M9349">
        <v>2612</v>
      </c>
    </row>
    <row r="9350" spans="1:14">
      <c r="A9350">
        <v>56700000</v>
      </c>
      <c r="B9350">
        <v>3022787</v>
      </c>
      <c r="C9350" t="s">
        <v>12790</v>
      </c>
      <c r="D9350" t="s">
        <v>441</v>
      </c>
      <c r="F9350">
        <v>0</v>
      </c>
      <c r="G9350">
        <v>11.22</v>
      </c>
      <c r="H9350" t="s">
        <v>8588</v>
      </c>
      <c r="I9350">
        <v>14</v>
      </c>
      <c r="J9350" t="s">
        <v>445</v>
      </c>
      <c r="K9350" t="s">
        <v>446</v>
      </c>
      <c r="M9350">
        <v>2615</v>
      </c>
    </row>
    <row r="9351" spans="1:14">
      <c r="A9351">
        <v>56700040</v>
      </c>
      <c r="B9351">
        <v>4015050</v>
      </c>
      <c r="C9351" t="s">
        <v>4064</v>
      </c>
      <c r="D9351" t="s">
        <v>441</v>
      </c>
      <c r="F9351">
        <v>0</v>
      </c>
      <c r="G9351">
        <v>11.5</v>
      </c>
      <c r="H9351" t="s">
        <v>8587</v>
      </c>
      <c r="I9351">
        <v>14</v>
      </c>
      <c r="J9351" t="s">
        <v>462</v>
      </c>
      <c r="K9351" t="s">
        <v>446</v>
      </c>
      <c r="M9351">
        <v>2612</v>
      </c>
    </row>
    <row r="9352" spans="1:14">
      <c r="A9352">
        <v>56700041</v>
      </c>
      <c r="B9352">
        <v>4015682</v>
      </c>
      <c r="C9352" t="s">
        <v>12791</v>
      </c>
      <c r="D9352" t="s">
        <v>441</v>
      </c>
      <c r="F9352">
        <v>0</v>
      </c>
      <c r="G9352">
        <v>12.35</v>
      </c>
      <c r="H9352" t="s">
        <v>8587</v>
      </c>
      <c r="I9352">
        <v>14</v>
      </c>
      <c r="J9352" t="s">
        <v>462</v>
      </c>
      <c r="K9352" t="s">
        <v>446</v>
      </c>
      <c r="M9352">
        <v>2612</v>
      </c>
    </row>
    <row r="9353" spans="1:14">
      <c r="A9353">
        <v>56710000</v>
      </c>
      <c r="B9353">
        <v>3022747</v>
      </c>
      <c r="C9353" t="s">
        <v>4065</v>
      </c>
      <c r="D9353" t="s">
        <v>441</v>
      </c>
      <c r="F9353">
        <v>0</v>
      </c>
      <c r="G9353">
        <v>10.94</v>
      </c>
      <c r="H9353" t="s">
        <v>8588</v>
      </c>
      <c r="I9353">
        <v>14</v>
      </c>
      <c r="J9353" t="s">
        <v>445</v>
      </c>
      <c r="K9353" t="s">
        <v>446</v>
      </c>
      <c r="M9353">
        <v>2615</v>
      </c>
    </row>
    <row r="9354" spans="1:14">
      <c r="A9354">
        <v>56710040</v>
      </c>
      <c r="B9354">
        <v>4015051</v>
      </c>
      <c r="C9354" t="s">
        <v>4066</v>
      </c>
      <c r="D9354" t="s">
        <v>441</v>
      </c>
      <c r="F9354">
        <v>0</v>
      </c>
      <c r="G9354">
        <v>13.39</v>
      </c>
      <c r="H9354" t="s">
        <v>8587</v>
      </c>
      <c r="I9354">
        <v>14</v>
      </c>
      <c r="J9354" t="s">
        <v>462</v>
      </c>
      <c r="K9354" t="s">
        <v>446</v>
      </c>
      <c r="M9354">
        <v>2612</v>
      </c>
    </row>
    <row r="9355" spans="1:14">
      <c r="A9355">
        <v>56710041</v>
      </c>
      <c r="B9355">
        <v>4015780</v>
      </c>
      <c r="C9355" t="s">
        <v>4067</v>
      </c>
      <c r="D9355" t="s">
        <v>441</v>
      </c>
      <c r="F9355">
        <v>0</v>
      </c>
      <c r="G9355">
        <v>14.04</v>
      </c>
      <c r="H9355" t="s">
        <v>8587</v>
      </c>
      <c r="I9355">
        <v>14</v>
      </c>
      <c r="J9355" t="s">
        <v>462</v>
      </c>
      <c r="K9355" t="s">
        <v>446</v>
      </c>
      <c r="M9355">
        <v>2612</v>
      </c>
    </row>
    <row r="9356" spans="1:14">
      <c r="A9356">
        <v>56720041</v>
      </c>
      <c r="B9356">
        <v>4015925</v>
      </c>
      <c r="C9356" t="s">
        <v>4068</v>
      </c>
      <c r="D9356" t="s">
        <v>441</v>
      </c>
      <c r="F9356">
        <v>0</v>
      </c>
      <c r="G9356">
        <v>9.44</v>
      </c>
      <c r="H9356" t="s">
        <v>8587</v>
      </c>
      <c r="I9356">
        <v>14</v>
      </c>
      <c r="J9356" t="s">
        <v>462</v>
      </c>
      <c r="K9356" t="s">
        <v>446</v>
      </c>
      <c r="M9356">
        <v>2612</v>
      </c>
    </row>
    <row r="9357" spans="1:14">
      <c r="A9357">
        <v>56730000</v>
      </c>
      <c r="B9357">
        <v>3030242</v>
      </c>
      <c r="C9357" t="s">
        <v>4069</v>
      </c>
      <c r="D9357" t="s">
        <v>441</v>
      </c>
      <c r="F9357">
        <v>0</v>
      </c>
      <c r="G9357">
        <v>5.85</v>
      </c>
      <c r="H9357" t="s">
        <v>12521</v>
      </c>
      <c r="I9357">
        <v>2</v>
      </c>
      <c r="J9357" t="s">
        <v>445</v>
      </c>
      <c r="K9357" t="s">
        <v>446</v>
      </c>
      <c r="M9357">
        <v>3132</v>
      </c>
    </row>
    <row r="9358" spans="1:14">
      <c r="A9358">
        <v>56740000</v>
      </c>
      <c r="B9358">
        <v>3030445</v>
      </c>
      <c r="C9358" t="s">
        <v>12792</v>
      </c>
      <c r="D9358" t="s">
        <v>441</v>
      </c>
      <c r="F9358">
        <v>0</v>
      </c>
      <c r="G9358">
        <v>8.23</v>
      </c>
      <c r="H9358" t="s">
        <v>12521</v>
      </c>
      <c r="I9358">
        <v>2</v>
      </c>
      <c r="J9358" t="s">
        <v>445</v>
      </c>
      <c r="M9358">
        <v>6666</v>
      </c>
      <c r="N9358" t="s">
        <v>16574</v>
      </c>
    </row>
    <row r="9359" spans="1:14">
      <c r="A9359">
        <v>56750000</v>
      </c>
      <c r="B9359">
        <v>3030466</v>
      </c>
      <c r="C9359" t="s">
        <v>12793</v>
      </c>
      <c r="D9359" t="s">
        <v>441</v>
      </c>
      <c r="F9359">
        <v>0</v>
      </c>
      <c r="G9359">
        <v>5.13</v>
      </c>
      <c r="H9359" t="s">
        <v>12521</v>
      </c>
      <c r="I9359">
        <v>2</v>
      </c>
      <c r="J9359" t="s">
        <v>445</v>
      </c>
      <c r="K9359" t="s">
        <v>446</v>
      </c>
      <c r="M9359">
        <v>3132</v>
      </c>
    </row>
    <row r="9360" spans="1:14">
      <c r="A9360">
        <v>56760000</v>
      </c>
      <c r="B9360">
        <v>3030722</v>
      </c>
      <c r="C9360" t="s">
        <v>4070</v>
      </c>
      <c r="D9360" t="s">
        <v>441</v>
      </c>
      <c r="F9360">
        <v>0</v>
      </c>
      <c r="G9360">
        <v>12.84</v>
      </c>
      <c r="H9360" t="s">
        <v>12521</v>
      </c>
      <c r="I9360">
        <v>2</v>
      </c>
      <c r="J9360" t="s">
        <v>445</v>
      </c>
      <c r="M9360">
        <v>6666</v>
      </c>
      <c r="N9360" t="s">
        <v>16575</v>
      </c>
    </row>
    <row r="9361" spans="1:14">
      <c r="A9361">
        <v>56770000</v>
      </c>
      <c r="B9361">
        <v>3015381</v>
      </c>
      <c r="C9361" t="s">
        <v>4071</v>
      </c>
      <c r="D9361" t="s">
        <v>441</v>
      </c>
      <c r="F9361">
        <v>0</v>
      </c>
      <c r="G9361">
        <v>5.62</v>
      </c>
      <c r="H9361" t="s">
        <v>8580</v>
      </c>
      <c r="I9361">
        <v>3</v>
      </c>
      <c r="J9361" t="s">
        <v>445</v>
      </c>
      <c r="K9361" t="s">
        <v>446</v>
      </c>
      <c r="M9361">
        <v>3122</v>
      </c>
    </row>
    <row r="9362" spans="1:14">
      <c r="A9362">
        <v>56780000</v>
      </c>
      <c r="B9362">
        <v>3030950</v>
      </c>
      <c r="C9362" t="s">
        <v>4072</v>
      </c>
      <c r="D9362" t="s">
        <v>441</v>
      </c>
      <c r="F9362">
        <v>0</v>
      </c>
      <c r="G9362">
        <v>6.21</v>
      </c>
      <c r="H9362" t="s">
        <v>12521</v>
      </c>
      <c r="I9362">
        <v>2</v>
      </c>
      <c r="J9362" t="s">
        <v>445</v>
      </c>
      <c r="K9362" t="s">
        <v>446</v>
      </c>
      <c r="M9362">
        <v>3132</v>
      </c>
    </row>
    <row r="9363" spans="1:14">
      <c r="A9363">
        <v>56790000</v>
      </c>
      <c r="B9363">
        <v>3030867</v>
      </c>
      <c r="C9363" t="s">
        <v>4073</v>
      </c>
      <c r="D9363" t="s">
        <v>441</v>
      </c>
      <c r="F9363">
        <v>0</v>
      </c>
      <c r="G9363">
        <v>9.06</v>
      </c>
      <c r="H9363" t="s">
        <v>12521</v>
      </c>
      <c r="I9363">
        <v>2</v>
      </c>
      <c r="J9363" t="s">
        <v>445</v>
      </c>
      <c r="K9363" t="s">
        <v>446</v>
      </c>
      <c r="M9363">
        <v>3132</v>
      </c>
    </row>
    <row r="9364" spans="1:14">
      <c r="A9364">
        <v>56800000</v>
      </c>
      <c r="B9364">
        <v>3030919</v>
      </c>
      <c r="C9364" t="s">
        <v>4074</v>
      </c>
      <c r="D9364" t="s">
        <v>441</v>
      </c>
      <c r="F9364">
        <v>0</v>
      </c>
      <c r="G9364">
        <v>8.98</v>
      </c>
      <c r="H9364" t="s">
        <v>12521</v>
      </c>
      <c r="I9364">
        <v>3</v>
      </c>
      <c r="J9364" t="s">
        <v>445</v>
      </c>
      <c r="M9364">
        <v>6666</v>
      </c>
      <c r="N9364" t="s">
        <v>16544</v>
      </c>
    </row>
    <row r="9365" spans="1:14">
      <c r="A9365">
        <v>56810000</v>
      </c>
      <c r="B9365">
        <v>3031554</v>
      </c>
      <c r="C9365" t="s">
        <v>4075</v>
      </c>
      <c r="D9365" t="s">
        <v>441</v>
      </c>
      <c r="F9365">
        <v>0</v>
      </c>
      <c r="G9365">
        <v>11.31</v>
      </c>
      <c r="H9365" t="s">
        <v>12521</v>
      </c>
      <c r="I9365">
        <v>2</v>
      </c>
      <c r="J9365" t="s">
        <v>445</v>
      </c>
      <c r="M9365">
        <v>6666</v>
      </c>
      <c r="N9365" t="s">
        <v>16545</v>
      </c>
    </row>
    <row r="9366" spans="1:14">
      <c r="A9366">
        <v>56820000</v>
      </c>
      <c r="B9366">
        <v>3031660</v>
      </c>
      <c r="C9366" t="s">
        <v>4076</v>
      </c>
      <c r="D9366" t="s">
        <v>441</v>
      </c>
      <c r="F9366">
        <v>0</v>
      </c>
      <c r="G9366">
        <v>8.83</v>
      </c>
      <c r="H9366" t="s">
        <v>12521</v>
      </c>
      <c r="I9366">
        <v>3</v>
      </c>
      <c r="J9366" t="s">
        <v>445</v>
      </c>
      <c r="M9366">
        <v>6666</v>
      </c>
      <c r="N9366" t="s">
        <v>16576</v>
      </c>
    </row>
    <row r="9367" spans="1:14">
      <c r="A9367">
        <v>56910000</v>
      </c>
      <c r="B9367">
        <v>3046231</v>
      </c>
      <c r="C9367" t="s">
        <v>17588</v>
      </c>
      <c r="D9367" t="s">
        <v>441</v>
      </c>
      <c r="F9367">
        <v>0</v>
      </c>
      <c r="G9367">
        <v>10.33</v>
      </c>
      <c r="H9367" t="s">
        <v>12521</v>
      </c>
      <c r="I9367">
        <v>3</v>
      </c>
      <c r="J9367" t="s">
        <v>445</v>
      </c>
      <c r="M9367">
        <v>6666</v>
      </c>
    </row>
    <row r="9368" spans="1:14">
      <c r="A9368">
        <v>56920000</v>
      </c>
      <c r="B9368">
        <v>3046241</v>
      </c>
      <c r="C9368" t="s">
        <v>17589</v>
      </c>
      <c r="D9368" t="s">
        <v>441</v>
      </c>
      <c r="F9368">
        <v>0</v>
      </c>
      <c r="G9368">
        <v>10.02</v>
      </c>
      <c r="H9368" t="s">
        <v>12521</v>
      </c>
      <c r="I9368">
        <v>3</v>
      </c>
      <c r="J9368" t="s">
        <v>445</v>
      </c>
      <c r="M9368">
        <v>6666</v>
      </c>
    </row>
    <row r="9369" spans="1:14">
      <c r="A9369">
        <v>56930000</v>
      </c>
      <c r="B9369">
        <v>3046236</v>
      </c>
      <c r="C9369" t="s">
        <v>17590</v>
      </c>
      <c r="D9369" t="s">
        <v>441</v>
      </c>
      <c r="F9369">
        <v>0</v>
      </c>
      <c r="G9369">
        <v>9.75</v>
      </c>
      <c r="H9369" t="s">
        <v>12521</v>
      </c>
      <c r="I9369">
        <v>3</v>
      </c>
      <c r="J9369" t="s">
        <v>445</v>
      </c>
      <c r="M9369">
        <v>6666</v>
      </c>
    </row>
    <row r="9370" spans="1:14">
      <c r="A9370">
        <v>56940000</v>
      </c>
      <c r="B9370">
        <v>3045293</v>
      </c>
      <c r="C9370" t="s">
        <v>15673</v>
      </c>
      <c r="D9370" t="s">
        <v>441</v>
      </c>
      <c r="F9370">
        <v>0</v>
      </c>
      <c r="G9370">
        <v>3.69</v>
      </c>
      <c r="H9370" t="s">
        <v>12521</v>
      </c>
      <c r="I9370">
        <v>2</v>
      </c>
      <c r="J9370" t="s">
        <v>445</v>
      </c>
      <c r="M9370">
        <v>6666</v>
      </c>
    </row>
    <row r="9371" spans="1:14">
      <c r="A9371">
        <v>56950000</v>
      </c>
      <c r="B9371">
        <v>3046214</v>
      </c>
      <c r="C9371" t="s">
        <v>17591</v>
      </c>
      <c r="D9371" t="s">
        <v>441</v>
      </c>
      <c r="F9371">
        <v>0</v>
      </c>
      <c r="G9371">
        <v>10.59</v>
      </c>
      <c r="H9371" t="s">
        <v>12521</v>
      </c>
      <c r="I9371">
        <v>3</v>
      </c>
      <c r="J9371" t="s">
        <v>445</v>
      </c>
      <c r="M9371">
        <v>6666</v>
      </c>
    </row>
    <row r="9372" spans="1:14">
      <c r="A9372">
        <v>57010140</v>
      </c>
      <c r="B9372">
        <v>3025946</v>
      </c>
      <c r="C9372" t="s">
        <v>4077</v>
      </c>
      <c r="D9372" t="s">
        <v>441</v>
      </c>
      <c r="F9372">
        <v>0</v>
      </c>
      <c r="G9372">
        <v>11.62</v>
      </c>
      <c r="H9372" t="s">
        <v>8588</v>
      </c>
      <c r="I9372">
        <v>12</v>
      </c>
      <c r="J9372" t="s">
        <v>445</v>
      </c>
      <c r="K9372" t="s">
        <v>446</v>
      </c>
      <c r="M9372">
        <v>2612</v>
      </c>
      <c r="N9372" t="s">
        <v>16577</v>
      </c>
    </row>
    <row r="9373" spans="1:14">
      <c r="A9373">
        <v>57020140</v>
      </c>
      <c r="B9373">
        <v>3025947</v>
      </c>
      <c r="C9373" t="s">
        <v>4078</v>
      </c>
      <c r="D9373" t="s">
        <v>441</v>
      </c>
      <c r="F9373">
        <v>0</v>
      </c>
      <c r="G9373">
        <v>11.62</v>
      </c>
      <c r="H9373" t="s">
        <v>8588</v>
      </c>
      <c r="I9373">
        <v>12</v>
      </c>
      <c r="J9373" t="s">
        <v>445</v>
      </c>
      <c r="K9373" t="s">
        <v>446</v>
      </c>
      <c r="M9373">
        <v>2612</v>
      </c>
      <c r="N9373" t="s">
        <v>16578</v>
      </c>
    </row>
    <row r="9374" spans="1:14">
      <c r="A9374">
        <v>57030140</v>
      </c>
      <c r="B9374">
        <v>3025948</v>
      </c>
      <c r="C9374" t="s">
        <v>4079</v>
      </c>
      <c r="D9374" t="s">
        <v>441</v>
      </c>
      <c r="F9374">
        <v>0</v>
      </c>
      <c r="G9374">
        <v>11.62</v>
      </c>
      <c r="H9374" t="s">
        <v>8588</v>
      </c>
      <c r="I9374">
        <v>12</v>
      </c>
      <c r="J9374" t="s">
        <v>445</v>
      </c>
      <c r="K9374" t="s">
        <v>446</v>
      </c>
      <c r="M9374">
        <v>2612</v>
      </c>
      <c r="N9374" t="s">
        <v>16579</v>
      </c>
    </row>
    <row r="9375" spans="1:14">
      <c r="A9375">
        <v>57040140</v>
      </c>
      <c r="B9375">
        <v>3025949</v>
      </c>
      <c r="C9375" t="s">
        <v>4080</v>
      </c>
      <c r="D9375" t="s">
        <v>441</v>
      </c>
      <c r="F9375">
        <v>0</v>
      </c>
      <c r="G9375">
        <v>11.62</v>
      </c>
      <c r="H9375" t="s">
        <v>8588</v>
      </c>
      <c r="I9375">
        <v>12</v>
      </c>
      <c r="J9375" t="s">
        <v>445</v>
      </c>
      <c r="K9375" t="s">
        <v>446</v>
      </c>
      <c r="M9375">
        <v>2612</v>
      </c>
      <c r="N9375" t="s">
        <v>16580</v>
      </c>
    </row>
    <row r="9376" spans="1:14">
      <c r="A9376">
        <v>57050040</v>
      </c>
      <c r="B9376">
        <v>4016996</v>
      </c>
      <c r="C9376" t="s">
        <v>4081</v>
      </c>
      <c r="D9376" t="s">
        <v>441</v>
      </c>
      <c r="F9376">
        <v>0</v>
      </c>
      <c r="G9376">
        <v>14.31</v>
      </c>
      <c r="H9376" t="s">
        <v>8588</v>
      </c>
      <c r="I9376">
        <v>12</v>
      </c>
      <c r="J9376" t="s">
        <v>462</v>
      </c>
      <c r="K9376" t="s">
        <v>446</v>
      </c>
      <c r="M9376">
        <v>2612</v>
      </c>
    </row>
    <row r="9377" spans="1:14">
      <c r="A9377">
        <v>57060000</v>
      </c>
      <c r="B9377">
        <v>3026018</v>
      </c>
      <c r="C9377" t="s">
        <v>4082</v>
      </c>
      <c r="D9377" t="s">
        <v>441</v>
      </c>
      <c r="F9377">
        <v>0</v>
      </c>
      <c r="G9377">
        <v>10.85</v>
      </c>
      <c r="H9377" t="s">
        <v>8580</v>
      </c>
      <c r="I9377">
        <v>3</v>
      </c>
      <c r="J9377" t="s">
        <v>445</v>
      </c>
      <c r="K9377" t="s">
        <v>446</v>
      </c>
      <c r="M9377">
        <v>3122</v>
      </c>
      <c r="N9377" t="s">
        <v>16581</v>
      </c>
    </row>
    <row r="9378" spans="1:14">
      <c r="A9378">
        <v>57060030</v>
      </c>
      <c r="B9378">
        <v>4016998</v>
      </c>
      <c r="C9378" t="s">
        <v>12794</v>
      </c>
      <c r="D9378" t="s">
        <v>442</v>
      </c>
      <c r="E9378" t="s">
        <v>441</v>
      </c>
      <c r="F9378">
        <v>0.3</v>
      </c>
      <c r="G9378">
        <v>4.29</v>
      </c>
      <c r="H9378" t="s">
        <v>8588</v>
      </c>
      <c r="I9378">
        <v>12</v>
      </c>
      <c r="J9378" t="s">
        <v>462</v>
      </c>
      <c r="K9378" t="s">
        <v>446</v>
      </c>
      <c r="M9378">
        <v>2612</v>
      </c>
    </row>
    <row r="9379" spans="1:14">
      <c r="A9379">
        <v>57810000</v>
      </c>
      <c r="B9379">
        <v>3016554</v>
      </c>
      <c r="C9379" t="s">
        <v>8535</v>
      </c>
      <c r="D9379" t="s">
        <v>441</v>
      </c>
      <c r="F9379">
        <v>0</v>
      </c>
      <c r="G9379">
        <v>2.21</v>
      </c>
      <c r="H9379" t="s">
        <v>8580</v>
      </c>
      <c r="I9379">
        <v>1</v>
      </c>
      <c r="J9379" t="s">
        <v>445</v>
      </c>
      <c r="M9379">
        <v>6666</v>
      </c>
      <c r="N9379" t="s">
        <v>16582</v>
      </c>
    </row>
    <row r="9380" spans="1:14">
      <c r="A9380">
        <v>57814000</v>
      </c>
      <c r="B9380">
        <v>3040355</v>
      </c>
      <c r="C9380" t="s">
        <v>8536</v>
      </c>
      <c r="D9380" t="s">
        <v>441</v>
      </c>
      <c r="F9380">
        <v>0</v>
      </c>
      <c r="G9380">
        <v>2.21</v>
      </c>
      <c r="H9380" t="s">
        <v>8935</v>
      </c>
      <c r="I9380">
        <v>1</v>
      </c>
      <c r="J9380" t="s">
        <v>445</v>
      </c>
      <c r="M9380">
        <v>6666</v>
      </c>
      <c r="N9380" t="s">
        <v>16582</v>
      </c>
    </row>
    <row r="9381" spans="1:14">
      <c r="A9381">
        <v>57820000</v>
      </c>
      <c r="B9381">
        <v>3031678</v>
      </c>
      <c r="C9381" t="s">
        <v>14530</v>
      </c>
      <c r="D9381" t="s">
        <v>441</v>
      </c>
      <c r="F9381">
        <v>0</v>
      </c>
      <c r="G9381">
        <v>4.74</v>
      </c>
      <c r="H9381" t="s">
        <v>10826</v>
      </c>
      <c r="I9381">
        <v>3</v>
      </c>
      <c r="J9381" t="s">
        <v>445</v>
      </c>
      <c r="M9381">
        <v>3112</v>
      </c>
    </row>
    <row r="9382" spans="1:14">
      <c r="A9382">
        <v>57889000</v>
      </c>
      <c r="B9382">
        <v>3036469</v>
      </c>
      <c r="C9382" t="s">
        <v>15972</v>
      </c>
      <c r="D9382" t="s">
        <v>441</v>
      </c>
      <c r="F9382">
        <v>0</v>
      </c>
      <c r="G9382">
        <v>11.8</v>
      </c>
      <c r="H9382" t="s">
        <v>12573</v>
      </c>
      <c r="I9382">
        <v>4</v>
      </c>
      <c r="J9382" t="s">
        <v>445</v>
      </c>
      <c r="M9382">
        <v>3350</v>
      </c>
      <c r="N9382" t="s">
        <v>16583</v>
      </c>
    </row>
    <row r="9383" spans="1:14">
      <c r="A9383">
        <v>57889002</v>
      </c>
      <c r="B9383">
        <v>3036481</v>
      </c>
      <c r="C9383" t="s">
        <v>16584</v>
      </c>
      <c r="D9383" t="s">
        <v>441</v>
      </c>
      <c r="F9383">
        <v>0</v>
      </c>
      <c r="G9383">
        <v>12.65</v>
      </c>
      <c r="H9383" t="s">
        <v>8587</v>
      </c>
      <c r="I9383">
        <v>180</v>
      </c>
      <c r="J9383" t="s">
        <v>445</v>
      </c>
      <c r="M9383">
        <v>7111</v>
      </c>
      <c r="N9383" t="s">
        <v>16585</v>
      </c>
    </row>
    <row r="9384" spans="1:14">
      <c r="A9384">
        <v>57889502</v>
      </c>
      <c r="B9384">
        <v>3036480</v>
      </c>
      <c r="C9384" t="s">
        <v>16586</v>
      </c>
      <c r="D9384" t="s">
        <v>441</v>
      </c>
      <c r="F9384">
        <v>0</v>
      </c>
      <c r="G9384">
        <v>12.06</v>
      </c>
      <c r="H9384" t="s">
        <v>8587</v>
      </c>
      <c r="I9384">
        <v>6</v>
      </c>
      <c r="J9384" t="s">
        <v>445</v>
      </c>
      <c r="M9384">
        <v>2502</v>
      </c>
      <c r="N9384" t="s">
        <v>16587</v>
      </c>
    </row>
    <row r="9385" spans="1:14">
      <c r="A9385">
        <v>57889602</v>
      </c>
      <c r="B9385">
        <v>3036483</v>
      </c>
      <c r="C9385" t="s">
        <v>16588</v>
      </c>
      <c r="D9385" t="s">
        <v>441</v>
      </c>
      <c r="F9385">
        <v>0</v>
      </c>
      <c r="G9385">
        <v>12.92</v>
      </c>
      <c r="H9385" t="s">
        <v>12573</v>
      </c>
      <c r="I9385">
        <v>2</v>
      </c>
      <c r="J9385" t="s">
        <v>445</v>
      </c>
      <c r="M9385">
        <v>2510</v>
      </c>
      <c r="N9385" t="s">
        <v>16589</v>
      </c>
    </row>
    <row r="9386" spans="1:14">
      <c r="A9386">
        <v>57940019</v>
      </c>
      <c r="B9386">
        <v>3000128</v>
      </c>
      <c r="C9386" t="s">
        <v>12795</v>
      </c>
      <c r="D9386" t="s">
        <v>441</v>
      </c>
      <c r="F9386">
        <v>0</v>
      </c>
      <c r="H9386" t="s">
        <v>8588</v>
      </c>
      <c r="I9386">
        <v>365</v>
      </c>
      <c r="J9386" t="s">
        <v>445</v>
      </c>
      <c r="K9386" t="s">
        <v>446</v>
      </c>
      <c r="M9386">
        <v>0</v>
      </c>
    </row>
    <row r="9387" spans="1:14">
      <c r="A9387">
        <v>58000000</v>
      </c>
      <c r="B9387">
        <v>3016555</v>
      </c>
      <c r="C9387" t="s">
        <v>4083</v>
      </c>
      <c r="D9387" t="s">
        <v>441</v>
      </c>
      <c r="F9387">
        <v>0</v>
      </c>
      <c r="G9387">
        <v>1.77</v>
      </c>
      <c r="H9387" t="s">
        <v>8580</v>
      </c>
      <c r="I9387">
        <v>10</v>
      </c>
      <c r="J9387" t="s">
        <v>445</v>
      </c>
      <c r="K9387" t="s">
        <v>446</v>
      </c>
      <c r="M9387">
        <v>3124</v>
      </c>
    </row>
    <row r="9388" spans="1:14">
      <c r="A9388">
        <v>58010000</v>
      </c>
      <c r="B9388">
        <v>3016556</v>
      </c>
      <c r="C9388" t="s">
        <v>4084</v>
      </c>
      <c r="D9388" t="s">
        <v>441</v>
      </c>
      <c r="F9388">
        <v>0</v>
      </c>
      <c r="G9388">
        <v>0.98</v>
      </c>
      <c r="H9388" t="s">
        <v>8580</v>
      </c>
      <c r="I9388">
        <v>10</v>
      </c>
      <c r="J9388" t="s">
        <v>445</v>
      </c>
      <c r="K9388" t="s">
        <v>446</v>
      </c>
      <c r="M9388">
        <v>3124</v>
      </c>
    </row>
    <row r="9389" spans="1:14">
      <c r="A9389">
        <v>58020000</v>
      </c>
      <c r="B9389">
        <v>3016557</v>
      </c>
      <c r="C9389" t="s">
        <v>4085</v>
      </c>
      <c r="D9389" t="s">
        <v>441</v>
      </c>
      <c r="F9389">
        <v>0</v>
      </c>
      <c r="G9389">
        <v>1.83</v>
      </c>
      <c r="H9389" t="s">
        <v>8580</v>
      </c>
      <c r="I9389">
        <v>10</v>
      </c>
      <c r="J9389" t="s">
        <v>445</v>
      </c>
      <c r="M9389">
        <v>6666</v>
      </c>
    </row>
    <row r="9390" spans="1:14">
      <c r="A9390">
        <v>58030000</v>
      </c>
      <c r="B9390">
        <v>3016795</v>
      </c>
      <c r="C9390" t="s">
        <v>12796</v>
      </c>
      <c r="D9390" t="s">
        <v>441</v>
      </c>
      <c r="F9390">
        <v>0</v>
      </c>
      <c r="G9390">
        <v>1.25</v>
      </c>
      <c r="H9390" t="s">
        <v>8580</v>
      </c>
      <c r="I9390">
        <v>10</v>
      </c>
      <c r="J9390" t="s">
        <v>445</v>
      </c>
      <c r="K9390" t="s">
        <v>446</v>
      </c>
      <c r="M9390">
        <v>3124</v>
      </c>
    </row>
    <row r="9391" spans="1:14">
      <c r="A9391">
        <v>58040000</v>
      </c>
      <c r="B9391">
        <v>3016558</v>
      </c>
      <c r="C9391" t="s">
        <v>4086</v>
      </c>
      <c r="D9391" t="s">
        <v>441</v>
      </c>
      <c r="F9391">
        <v>0</v>
      </c>
      <c r="G9391">
        <v>1.07</v>
      </c>
      <c r="H9391" t="s">
        <v>8580</v>
      </c>
      <c r="I9391">
        <v>10</v>
      </c>
      <c r="J9391" t="s">
        <v>445</v>
      </c>
      <c r="K9391" t="s">
        <v>446</v>
      </c>
      <c r="M9391">
        <v>3124</v>
      </c>
    </row>
    <row r="9392" spans="1:14">
      <c r="A9392">
        <v>58050000</v>
      </c>
      <c r="B9392">
        <v>3016559</v>
      </c>
      <c r="C9392" t="s">
        <v>4087</v>
      </c>
      <c r="D9392" t="s">
        <v>441</v>
      </c>
      <c r="F9392">
        <v>0</v>
      </c>
      <c r="G9392">
        <v>2.82</v>
      </c>
      <c r="H9392" t="s">
        <v>8580</v>
      </c>
      <c r="I9392">
        <v>10</v>
      </c>
      <c r="J9392" t="s">
        <v>445</v>
      </c>
      <c r="K9392" t="s">
        <v>446</v>
      </c>
      <c r="M9392">
        <v>3124</v>
      </c>
    </row>
    <row r="9393" spans="1:14">
      <c r="A9393">
        <v>58060000</v>
      </c>
      <c r="B9393">
        <v>3016560</v>
      </c>
      <c r="C9393" t="s">
        <v>4088</v>
      </c>
      <c r="D9393" t="s">
        <v>441</v>
      </c>
      <c r="F9393">
        <v>0</v>
      </c>
      <c r="G9393">
        <v>2.2200000000000002</v>
      </c>
      <c r="H9393" t="s">
        <v>8580</v>
      </c>
      <c r="I9393">
        <v>10</v>
      </c>
      <c r="J9393" t="s">
        <v>445</v>
      </c>
      <c r="M9393">
        <v>6666</v>
      </c>
      <c r="N9393" t="s">
        <v>16590</v>
      </c>
    </row>
    <row r="9394" spans="1:14">
      <c r="A9394">
        <v>58070000</v>
      </c>
      <c r="B9394">
        <v>3012479</v>
      </c>
      <c r="C9394" t="s">
        <v>12797</v>
      </c>
      <c r="D9394" t="s">
        <v>441</v>
      </c>
      <c r="F9394">
        <v>0</v>
      </c>
      <c r="G9394">
        <v>2.14</v>
      </c>
      <c r="H9394" t="s">
        <v>8584</v>
      </c>
      <c r="I9394">
        <v>10</v>
      </c>
      <c r="J9394" t="s">
        <v>445</v>
      </c>
      <c r="K9394" t="s">
        <v>446</v>
      </c>
      <c r="M9394">
        <v>3124</v>
      </c>
    </row>
    <row r="9395" spans="1:14">
      <c r="A9395">
        <v>58080000</v>
      </c>
      <c r="B9395">
        <v>3016561</v>
      </c>
      <c r="C9395" t="s">
        <v>4089</v>
      </c>
      <c r="D9395" t="s">
        <v>441</v>
      </c>
      <c r="F9395">
        <v>0</v>
      </c>
      <c r="G9395">
        <v>1.29</v>
      </c>
      <c r="H9395" t="s">
        <v>8580</v>
      </c>
      <c r="I9395">
        <v>10</v>
      </c>
      <c r="J9395" t="s">
        <v>445</v>
      </c>
      <c r="M9395">
        <v>6666</v>
      </c>
    </row>
    <row r="9396" spans="1:14">
      <c r="A9396">
        <v>58090000</v>
      </c>
      <c r="B9396">
        <v>3035503</v>
      </c>
      <c r="C9396" t="s">
        <v>4090</v>
      </c>
      <c r="D9396" t="s">
        <v>441</v>
      </c>
      <c r="F9396">
        <v>0</v>
      </c>
      <c r="G9396">
        <v>2.79</v>
      </c>
      <c r="I9396">
        <v>3</v>
      </c>
      <c r="J9396" t="s">
        <v>445</v>
      </c>
      <c r="M9396">
        <v>6666</v>
      </c>
      <c r="N9396" t="s">
        <v>16591</v>
      </c>
    </row>
    <row r="9397" spans="1:14">
      <c r="A9397">
        <v>58120000</v>
      </c>
      <c r="B9397">
        <v>3016562</v>
      </c>
      <c r="C9397" t="s">
        <v>4091</v>
      </c>
      <c r="D9397" t="s">
        <v>441</v>
      </c>
      <c r="F9397">
        <v>0</v>
      </c>
      <c r="G9397">
        <v>2.5499999999999998</v>
      </c>
      <c r="H9397" t="s">
        <v>8580</v>
      </c>
      <c r="I9397">
        <v>10</v>
      </c>
      <c r="J9397" t="s">
        <v>445</v>
      </c>
      <c r="M9397">
        <v>6666</v>
      </c>
      <c r="N9397" t="s">
        <v>16592</v>
      </c>
    </row>
    <row r="9398" spans="1:14">
      <c r="A9398">
        <v>58130000</v>
      </c>
      <c r="B9398">
        <v>3017042</v>
      </c>
      <c r="C9398" t="s">
        <v>4092</v>
      </c>
      <c r="D9398" t="s">
        <v>441</v>
      </c>
      <c r="F9398">
        <v>0</v>
      </c>
      <c r="G9398">
        <v>0.52</v>
      </c>
      <c r="H9398" t="s">
        <v>10089</v>
      </c>
      <c r="I9398">
        <v>10</v>
      </c>
      <c r="J9398" t="s">
        <v>445</v>
      </c>
      <c r="M9398">
        <v>6666</v>
      </c>
    </row>
    <row r="9399" spans="1:14">
      <c r="A9399">
        <v>58140000</v>
      </c>
      <c r="B9399">
        <v>3017936</v>
      </c>
      <c r="C9399" t="s">
        <v>4093</v>
      </c>
      <c r="D9399" t="s">
        <v>441</v>
      </c>
      <c r="F9399">
        <v>0</v>
      </c>
      <c r="G9399">
        <v>2.73</v>
      </c>
      <c r="H9399" t="s">
        <v>8624</v>
      </c>
      <c r="I9399">
        <v>10</v>
      </c>
      <c r="J9399" t="s">
        <v>445</v>
      </c>
      <c r="M9399">
        <v>6666</v>
      </c>
      <c r="N9399" t="s">
        <v>16448</v>
      </c>
    </row>
    <row r="9400" spans="1:14">
      <c r="A9400">
        <v>58150000</v>
      </c>
      <c r="B9400">
        <v>3016686</v>
      </c>
      <c r="C9400" t="s">
        <v>4094</v>
      </c>
      <c r="D9400" t="s">
        <v>441</v>
      </c>
      <c r="F9400">
        <v>0</v>
      </c>
      <c r="G9400">
        <v>5.03</v>
      </c>
      <c r="H9400" t="s">
        <v>8580</v>
      </c>
      <c r="I9400">
        <v>10</v>
      </c>
      <c r="J9400" t="s">
        <v>445</v>
      </c>
      <c r="M9400">
        <v>6666</v>
      </c>
      <c r="N9400" t="s">
        <v>16593</v>
      </c>
    </row>
    <row r="9401" spans="1:14">
      <c r="A9401">
        <v>58160000</v>
      </c>
      <c r="B9401">
        <v>3016711</v>
      </c>
      <c r="C9401" t="s">
        <v>4095</v>
      </c>
      <c r="D9401" t="s">
        <v>441</v>
      </c>
      <c r="F9401">
        <v>0</v>
      </c>
      <c r="G9401">
        <v>1.69</v>
      </c>
      <c r="H9401" t="s">
        <v>8584</v>
      </c>
      <c r="I9401">
        <v>10</v>
      </c>
      <c r="J9401" t="s">
        <v>445</v>
      </c>
      <c r="M9401">
        <v>6666</v>
      </c>
    </row>
    <row r="9402" spans="1:14">
      <c r="A9402">
        <v>58170000</v>
      </c>
      <c r="B9402">
        <v>3016563</v>
      </c>
      <c r="C9402" t="s">
        <v>4096</v>
      </c>
      <c r="D9402" t="s">
        <v>441</v>
      </c>
      <c r="F9402">
        <v>0</v>
      </c>
      <c r="G9402">
        <v>1.5</v>
      </c>
      <c r="H9402" t="s">
        <v>8580</v>
      </c>
      <c r="I9402">
        <v>10</v>
      </c>
      <c r="J9402" t="s">
        <v>445</v>
      </c>
      <c r="M9402">
        <v>6666</v>
      </c>
    </row>
    <row r="9403" spans="1:14">
      <c r="A9403">
        <v>58180000</v>
      </c>
      <c r="B9403">
        <v>3018535</v>
      </c>
      <c r="C9403" t="s">
        <v>4097</v>
      </c>
      <c r="D9403" t="s">
        <v>441</v>
      </c>
      <c r="F9403">
        <v>0</v>
      </c>
      <c r="G9403">
        <v>1.95</v>
      </c>
      <c r="I9403">
        <v>10</v>
      </c>
      <c r="J9403" t="s">
        <v>445</v>
      </c>
      <c r="K9403" t="s">
        <v>446</v>
      </c>
      <c r="M9403">
        <v>3124</v>
      </c>
    </row>
    <row r="9404" spans="1:14">
      <c r="A9404">
        <v>58190000</v>
      </c>
      <c r="B9404">
        <v>3018559</v>
      </c>
      <c r="C9404" t="s">
        <v>4098</v>
      </c>
      <c r="D9404" t="s">
        <v>441</v>
      </c>
      <c r="F9404">
        <v>0</v>
      </c>
      <c r="G9404">
        <v>1.95</v>
      </c>
      <c r="I9404">
        <v>10</v>
      </c>
      <c r="J9404" t="s">
        <v>445</v>
      </c>
      <c r="K9404" t="s">
        <v>446</v>
      </c>
      <c r="M9404">
        <v>3124</v>
      </c>
    </row>
    <row r="9405" spans="1:14">
      <c r="A9405">
        <v>58200000</v>
      </c>
      <c r="B9405">
        <v>3020204</v>
      </c>
      <c r="C9405" t="s">
        <v>4099</v>
      </c>
      <c r="D9405" t="s">
        <v>441</v>
      </c>
      <c r="F9405">
        <v>0</v>
      </c>
      <c r="G9405">
        <v>10.5</v>
      </c>
      <c r="H9405" t="s">
        <v>8580</v>
      </c>
      <c r="I9405">
        <v>10</v>
      </c>
      <c r="J9405" t="s">
        <v>445</v>
      </c>
      <c r="K9405" t="s">
        <v>446</v>
      </c>
      <c r="M9405">
        <v>2615</v>
      </c>
    </row>
    <row r="9406" spans="1:14">
      <c r="A9406">
        <v>58210000</v>
      </c>
      <c r="B9406">
        <v>3020957</v>
      </c>
      <c r="C9406" t="s">
        <v>4100</v>
      </c>
      <c r="D9406" t="s">
        <v>441</v>
      </c>
      <c r="F9406">
        <v>0</v>
      </c>
      <c r="G9406">
        <v>2.7</v>
      </c>
      <c r="H9406" t="s">
        <v>8586</v>
      </c>
      <c r="I9406">
        <v>10</v>
      </c>
      <c r="J9406" t="s">
        <v>445</v>
      </c>
      <c r="K9406" t="s">
        <v>446</v>
      </c>
      <c r="M9406">
        <v>3741</v>
      </c>
    </row>
    <row r="9407" spans="1:14">
      <c r="A9407">
        <v>58220000</v>
      </c>
      <c r="B9407">
        <v>3021889</v>
      </c>
      <c r="C9407" t="s">
        <v>4101</v>
      </c>
      <c r="D9407" t="s">
        <v>441</v>
      </c>
      <c r="F9407">
        <v>0</v>
      </c>
      <c r="G9407">
        <v>7.91</v>
      </c>
      <c r="H9407" t="s">
        <v>10826</v>
      </c>
      <c r="I9407">
        <v>10</v>
      </c>
      <c r="J9407" t="s">
        <v>445</v>
      </c>
      <c r="K9407" t="s">
        <v>446</v>
      </c>
      <c r="M9407">
        <v>3124</v>
      </c>
    </row>
    <row r="9408" spans="1:14">
      <c r="A9408">
        <v>58230000</v>
      </c>
      <c r="B9408">
        <v>3021979</v>
      </c>
      <c r="C9408" t="s">
        <v>4102</v>
      </c>
      <c r="D9408" t="s">
        <v>441</v>
      </c>
      <c r="F9408">
        <v>0</v>
      </c>
      <c r="G9408">
        <v>0.49</v>
      </c>
      <c r="I9408">
        <v>10</v>
      </c>
      <c r="J9408" t="s">
        <v>445</v>
      </c>
      <c r="M9408">
        <v>6666</v>
      </c>
    </row>
    <row r="9409" spans="1:14">
      <c r="A9409">
        <v>58240000</v>
      </c>
      <c r="B9409">
        <v>3021207</v>
      </c>
      <c r="C9409" t="s">
        <v>4103</v>
      </c>
      <c r="D9409" t="s">
        <v>441</v>
      </c>
      <c r="F9409">
        <v>0</v>
      </c>
      <c r="G9409">
        <v>1.54</v>
      </c>
      <c r="I9409">
        <v>2</v>
      </c>
      <c r="J9409" t="s">
        <v>445</v>
      </c>
      <c r="K9409" t="s">
        <v>446</v>
      </c>
      <c r="M9409">
        <v>3124</v>
      </c>
    </row>
    <row r="9410" spans="1:14">
      <c r="A9410">
        <v>58250000</v>
      </c>
      <c r="B9410">
        <v>3016564</v>
      </c>
      <c r="C9410" t="s">
        <v>4104</v>
      </c>
      <c r="D9410" t="s">
        <v>441</v>
      </c>
      <c r="F9410">
        <v>0</v>
      </c>
      <c r="G9410">
        <v>1.24</v>
      </c>
      <c r="H9410" t="s">
        <v>8580</v>
      </c>
      <c r="I9410">
        <v>10</v>
      </c>
      <c r="J9410" t="s">
        <v>445</v>
      </c>
      <c r="K9410" t="s">
        <v>446</v>
      </c>
      <c r="M9410">
        <v>3124</v>
      </c>
    </row>
    <row r="9411" spans="1:14">
      <c r="A9411">
        <v>58260000</v>
      </c>
      <c r="B9411">
        <v>3016721</v>
      </c>
      <c r="C9411" t="s">
        <v>4105</v>
      </c>
      <c r="D9411" t="s">
        <v>441</v>
      </c>
      <c r="F9411">
        <v>0</v>
      </c>
      <c r="G9411">
        <v>1.51</v>
      </c>
      <c r="H9411" t="s">
        <v>8634</v>
      </c>
      <c r="I9411">
        <v>10</v>
      </c>
      <c r="J9411" t="s">
        <v>445</v>
      </c>
      <c r="K9411" t="s">
        <v>446</v>
      </c>
      <c r="M9411">
        <v>3124</v>
      </c>
    </row>
    <row r="9412" spans="1:14">
      <c r="A9412">
        <v>58280000</v>
      </c>
      <c r="B9412">
        <v>3016565</v>
      </c>
      <c r="C9412" t="s">
        <v>14531</v>
      </c>
      <c r="D9412" t="s">
        <v>441</v>
      </c>
      <c r="F9412">
        <v>0</v>
      </c>
      <c r="G9412">
        <v>1</v>
      </c>
      <c r="H9412" t="s">
        <v>8580</v>
      </c>
      <c r="I9412">
        <v>10</v>
      </c>
      <c r="J9412" t="s">
        <v>445</v>
      </c>
      <c r="K9412" t="s">
        <v>446</v>
      </c>
      <c r="M9412">
        <v>6666</v>
      </c>
    </row>
    <row r="9413" spans="1:14">
      <c r="A9413">
        <v>58290000</v>
      </c>
      <c r="B9413">
        <v>3016566</v>
      </c>
      <c r="C9413" t="s">
        <v>4106</v>
      </c>
      <c r="D9413" t="s">
        <v>441</v>
      </c>
      <c r="F9413">
        <v>0</v>
      </c>
      <c r="G9413">
        <v>3.39</v>
      </c>
      <c r="H9413" t="s">
        <v>8580</v>
      </c>
      <c r="I9413">
        <v>10</v>
      </c>
      <c r="J9413" t="s">
        <v>445</v>
      </c>
      <c r="M9413">
        <v>6666</v>
      </c>
      <c r="N9413" t="s">
        <v>16594</v>
      </c>
    </row>
    <row r="9414" spans="1:14">
      <c r="A9414">
        <v>58300000</v>
      </c>
      <c r="B9414">
        <v>3022781</v>
      </c>
      <c r="C9414" t="s">
        <v>4107</v>
      </c>
      <c r="D9414" t="s">
        <v>441</v>
      </c>
      <c r="F9414">
        <v>0</v>
      </c>
      <c r="G9414">
        <v>2.57</v>
      </c>
      <c r="H9414" t="s">
        <v>8584</v>
      </c>
      <c r="I9414">
        <v>10</v>
      </c>
      <c r="J9414" t="s">
        <v>445</v>
      </c>
      <c r="K9414" t="s">
        <v>446</v>
      </c>
      <c r="M9414">
        <v>3124</v>
      </c>
    </row>
    <row r="9415" spans="1:14">
      <c r="A9415">
        <v>58310000</v>
      </c>
      <c r="B9415">
        <v>3016754</v>
      </c>
      <c r="C9415" t="s">
        <v>4108</v>
      </c>
      <c r="D9415" t="s">
        <v>441</v>
      </c>
      <c r="F9415">
        <v>0</v>
      </c>
      <c r="G9415">
        <v>2.62</v>
      </c>
      <c r="H9415" t="s">
        <v>8580</v>
      </c>
      <c r="I9415">
        <v>10</v>
      </c>
      <c r="J9415" t="s">
        <v>445</v>
      </c>
      <c r="M9415">
        <v>6666</v>
      </c>
      <c r="N9415" t="s">
        <v>16595</v>
      </c>
    </row>
    <row r="9416" spans="1:14">
      <c r="A9416">
        <v>58320000</v>
      </c>
      <c r="B9416">
        <v>3016567</v>
      </c>
      <c r="C9416" t="s">
        <v>4109</v>
      </c>
      <c r="D9416" t="s">
        <v>441</v>
      </c>
      <c r="F9416">
        <v>0</v>
      </c>
      <c r="G9416">
        <v>2.44</v>
      </c>
      <c r="H9416" t="s">
        <v>8580</v>
      </c>
      <c r="I9416">
        <v>10</v>
      </c>
      <c r="J9416" t="s">
        <v>445</v>
      </c>
      <c r="M9416">
        <v>6666</v>
      </c>
    </row>
    <row r="9417" spans="1:14">
      <c r="A9417">
        <v>58330000</v>
      </c>
      <c r="B9417">
        <v>3016752</v>
      </c>
      <c r="C9417" t="s">
        <v>4110</v>
      </c>
      <c r="D9417" t="s">
        <v>441</v>
      </c>
      <c r="F9417">
        <v>0</v>
      </c>
      <c r="G9417">
        <v>2.69</v>
      </c>
      <c r="H9417" t="s">
        <v>8580</v>
      </c>
      <c r="I9417">
        <v>10</v>
      </c>
      <c r="J9417" t="s">
        <v>445</v>
      </c>
      <c r="M9417">
        <v>6666</v>
      </c>
      <c r="N9417" t="s">
        <v>16596</v>
      </c>
    </row>
    <row r="9418" spans="1:14">
      <c r="A9418">
        <v>58340000</v>
      </c>
      <c r="B9418">
        <v>3012241</v>
      </c>
      <c r="C9418" t="s">
        <v>12798</v>
      </c>
      <c r="D9418" t="s">
        <v>441</v>
      </c>
      <c r="F9418">
        <v>0</v>
      </c>
      <c r="G9418">
        <v>1.38</v>
      </c>
      <c r="I9418">
        <v>5</v>
      </c>
      <c r="J9418" t="s">
        <v>445</v>
      </c>
      <c r="K9418" t="s">
        <v>446</v>
      </c>
      <c r="M9418">
        <v>3124</v>
      </c>
    </row>
    <row r="9419" spans="1:14">
      <c r="A9419">
        <v>58350000</v>
      </c>
      <c r="B9419">
        <v>3023390</v>
      </c>
      <c r="C9419" t="s">
        <v>14532</v>
      </c>
      <c r="D9419" t="s">
        <v>441</v>
      </c>
      <c r="F9419">
        <v>0</v>
      </c>
      <c r="G9419">
        <v>1.22</v>
      </c>
      <c r="H9419" t="s">
        <v>8580</v>
      </c>
      <c r="I9419">
        <v>10</v>
      </c>
      <c r="J9419" t="s">
        <v>445</v>
      </c>
      <c r="K9419" t="s">
        <v>446</v>
      </c>
      <c r="M9419">
        <v>6666</v>
      </c>
    </row>
    <row r="9420" spans="1:14">
      <c r="A9420">
        <v>58360000</v>
      </c>
      <c r="B9420">
        <v>3025983</v>
      </c>
      <c r="C9420" t="s">
        <v>12799</v>
      </c>
      <c r="D9420" t="s">
        <v>441</v>
      </c>
      <c r="F9420">
        <v>0</v>
      </c>
      <c r="G9420">
        <v>1.04</v>
      </c>
      <c r="H9420" t="s">
        <v>8580</v>
      </c>
      <c r="I9420">
        <v>5</v>
      </c>
      <c r="J9420" t="s">
        <v>445</v>
      </c>
      <c r="K9420" t="s">
        <v>446</v>
      </c>
      <c r="M9420">
        <v>3124</v>
      </c>
    </row>
    <row r="9421" spans="1:14">
      <c r="A9421">
        <v>58370000</v>
      </c>
      <c r="B9421">
        <v>3016568</v>
      </c>
      <c r="C9421" t="s">
        <v>4111</v>
      </c>
      <c r="D9421" t="s">
        <v>441</v>
      </c>
      <c r="F9421">
        <v>0</v>
      </c>
      <c r="G9421">
        <v>2.16</v>
      </c>
      <c r="H9421" t="s">
        <v>8580</v>
      </c>
      <c r="I9421">
        <v>10</v>
      </c>
      <c r="J9421" t="s">
        <v>445</v>
      </c>
      <c r="M9421">
        <v>6666</v>
      </c>
    </row>
    <row r="9422" spans="1:14">
      <c r="A9422">
        <v>58380000</v>
      </c>
      <c r="B9422">
        <v>3016569</v>
      </c>
      <c r="C9422" t="s">
        <v>4112</v>
      </c>
      <c r="D9422" t="s">
        <v>441</v>
      </c>
      <c r="F9422">
        <v>0</v>
      </c>
      <c r="G9422">
        <v>0.34</v>
      </c>
      <c r="H9422" t="s">
        <v>8580</v>
      </c>
      <c r="I9422">
        <v>10</v>
      </c>
      <c r="J9422" t="s">
        <v>445</v>
      </c>
      <c r="M9422">
        <v>6666</v>
      </c>
      <c r="N9422" t="s">
        <v>16597</v>
      </c>
    </row>
    <row r="9423" spans="1:14">
      <c r="A9423">
        <v>58390000</v>
      </c>
      <c r="B9423">
        <v>3026954</v>
      </c>
      <c r="C9423" t="s">
        <v>12800</v>
      </c>
      <c r="D9423" t="s">
        <v>441</v>
      </c>
      <c r="F9423">
        <v>0</v>
      </c>
      <c r="G9423">
        <v>1.31</v>
      </c>
      <c r="H9423" t="s">
        <v>8584</v>
      </c>
      <c r="I9423">
        <v>5</v>
      </c>
      <c r="J9423" t="s">
        <v>445</v>
      </c>
      <c r="K9423" t="s">
        <v>446</v>
      </c>
      <c r="M9423">
        <v>3124</v>
      </c>
    </row>
    <row r="9424" spans="1:14">
      <c r="A9424">
        <v>58400000</v>
      </c>
      <c r="B9424">
        <v>3027014</v>
      </c>
      <c r="C9424" t="s">
        <v>12801</v>
      </c>
      <c r="D9424" t="s">
        <v>441</v>
      </c>
      <c r="F9424">
        <v>0</v>
      </c>
      <c r="G9424">
        <v>1.29</v>
      </c>
      <c r="H9424" t="s">
        <v>8584</v>
      </c>
      <c r="I9424">
        <v>5</v>
      </c>
      <c r="J9424" t="s">
        <v>445</v>
      </c>
      <c r="K9424" t="s">
        <v>446</v>
      </c>
      <c r="M9424">
        <v>3124</v>
      </c>
    </row>
    <row r="9425" spans="1:14">
      <c r="A9425">
        <v>58410000</v>
      </c>
      <c r="B9425">
        <v>3026575</v>
      </c>
      <c r="C9425" t="s">
        <v>4113</v>
      </c>
      <c r="D9425" t="s">
        <v>441</v>
      </c>
      <c r="F9425">
        <v>0</v>
      </c>
      <c r="G9425">
        <v>0.9</v>
      </c>
      <c r="H9425" t="s">
        <v>10826</v>
      </c>
      <c r="I9425">
        <v>3</v>
      </c>
      <c r="J9425" t="s">
        <v>445</v>
      </c>
      <c r="M9425">
        <v>6666</v>
      </c>
      <c r="N9425" t="s">
        <v>16598</v>
      </c>
    </row>
    <row r="9426" spans="1:14">
      <c r="A9426">
        <v>58420000</v>
      </c>
      <c r="B9426">
        <v>3027496</v>
      </c>
      <c r="C9426" t="s">
        <v>4114</v>
      </c>
      <c r="D9426" t="s">
        <v>441</v>
      </c>
      <c r="F9426">
        <v>0</v>
      </c>
      <c r="G9426">
        <v>1.0900000000000001</v>
      </c>
      <c r="H9426" t="s">
        <v>10826</v>
      </c>
      <c r="I9426">
        <v>5</v>
      </c>
      <c r="J9426" t="s">
        <v>445</v>
      </c>
      <c r="M9426">
        <v>6666</v>
      </c>
    </row>
    <row r="9427" spans="1:14">
      <c r="A9427">
        <v>58430000</v>
      </c>
      <c r="B9427">
        <v>3006621</v>
      </c>
      <c r="C9427" t="s">
        <v>4115</v>
      </c>
      <c r="D9427" t="s">
        <v>441</v>
      </c>
      <c r="F9427">
        <v>0</v>
      </c>
      <c r="G9427">
        <v>1.94</v>
      </c>
      <c r="I9427">
        <v>5</v>
      </c>
      <c r="J9427" t="s">
        <v>445</v>
      </c>
      <c r="M9427">
        <v>3111</v>
      </c>
      <c r="N9427" t="s">
        <v>16599</v>
      </c>
    </row>
    <row r="9428" spans="1:14">
      <c r="A9428">
        <v>58560000</v>
      </c>
      <c r="B9428">
        <v>3044836</v>
      </c>
      <c r="C9428" t="s">
        <v>15528</v>
      </c>
      <c r="D9428" t="s">
        <v>441</v>
      </c>
      <c r="F9428">
        <v>0</v>
      </c>
      <c r="G9428">
        <v>7.35</v>
      </c>
      <c r="H9428" t="s">
        <v>8580</v>
      </c>
      <c r="I9428">
        <v>14</v>
      </c>
      <c r="J9428" t="s">
        <v>445</v>
      </c>
      <c r="M9428">
        <v>3112</v>
      </c>
    </row>
    <row r="9429" spans="1:14">
      <c r="A9429">
        <v>58570000</v>
      </c>
      <c r="B9429">
        <v>3008338</v>
      </c>
      <c r="C9429" t="s">
        <v>12802</v>
      </c>
      <c r="D9429" t="s">
        <v>441</v>
      </c>
      <c r="F9429">
        <v>0</v>
      </c>
      <c r="G9429">
        <v>0.14000000000000001</v>
      </c>
      <c r="H9429" t="s">
        <v>8634</v>
      </c>
      <c r="I9429">
        <v>10</v>
      </c>
      <c r="J9429" t="s">
        <v>445</v>
      </c>
      <c r="K9429" t="s">
        <v>446</v>
      </c>
      <c r="M9429">
        <v>3124</v>
      </c>
    </row>
    <row r="9430" spans="1:14">
      <c r="A9430">
        <v>58590000</v>
      </c>
      <c r="B9430">
        <v>3027761</v>
      </c>
      <c r="C9430" t="s">
        <v>341</v>
      </c>
      <c r="D9430" t="s">
        <v>441</v>
      </c>
      <c r="F9430">
        <v>0</v>
      </c>
      <c r="G9430">
        <v>4.6500000000000004</v>
      </c>
      <c r="H9430" t="s">
        <v>8580</v>
      </c>
      <c r="I9430">
        <v>14</v>
      </c>
      <c r="J9430" t="s">
        <v>445</v>
      </c>
      <c r="M9430">
        <v>3112</v>
      </c>
      <c r="N9430" t="s">
        <v>16600</v>
      </c>
    </row>
    <row r="9431" spans="1:14">
      <c r="A9431">
        <v>58600000</v>
      </c>
      <c r="B9431">
        <v>3016818</v>
      </c>
      <c r="C9431" t="s">
        <v>4116</v>
      </c>
      <c r="D9431" t="s">
        <v>441</v>
      </c>
      <c r="F9431">
        <v>0</v>
      </c>
      <c r="G9431">
        <v>2.44</v>
      </c>
      <c r="H9431" t="s">
        <v>8580</v>
      </c>
      <c r="I9431">
        <v>10</v>
      </c>
      <c r="J9431" t="s">
        <v>445</v>
      </c>
      <c r="K9431" t="s">
        <v>446</v>
      </c>
      <c r="M9431">
        <v>3124</v>
      </c>
    </row>
    <row r="9432" spans="1:14">
      <c r="A9432">
        <v>58640000</v>
      </c>
      <c r="B9432">
        <v>3016570</v>
      </c>
      <c r="C9432" t="s">
        <v>4117</v>
      </c>
      <c r="D9432" t="s">
        <v>441</v>
      </c>
      <c r="F9432">
        <v>0</v>
      </c>
      <c r="G9432">
        <v>2.46</v>
      </c>
      <c r="H9432" t="s">
        <v>8580</v>
      </c>
      <c r="I9432">
        <v>10</v>
      </c>
      <c r="J9432" t="s">
        <v>445</v>
      </c>
      <c r="K9432" t="s">
        <v>446</v>
      </c>
      <c r="M9432">
        <v>3124</v>
      </c>
    </row>
    <row r="9433" spans="1:14">
      <c r="A9433">
        <v>58670000</v>
      </c>
      <c r="B9433">
        <v>3016571</v>
      </c>
      <c r="C9433" t="s">
        <v>4118</v>
      </c>
      <c r="D9433" t="s">
        <v>441</v>
      </c>
      <c r="F9433">
        <v>0</v>
      </c>
      <c r="G9433">
        <v>1.5</v>
      </c>
      <c r="H9433" t="s">
        <v>8580</v>
      </c>
      <c r="I9433">
        <v>10</v>
      </c>
      <c r="J9433" t="s">
        <v>445</v>
      </c>
      <c r="M9433">
        <v>6666</v>
      </c>
      <c r="N9433" t="s">
        <v>16601</v>
      </c>
    </row>
    <row r="9434" spans="1:14">
      <c r="A9434">
        <v>58680000</v>
      </c>
      <c r="B9434">
        <v>3016572</v>
      </c>
      <c r="C9434" t="s">
        <v>4119</v>
      </c>
      <c r="D9434" t="s">
        <v>441</v>
      </c>
      <c r="F9434">
        <v>0</v>
      </c>
      <c r="G9434">
        <v>3.49</v>
      </c>
      <c r="H9434" t="s">
        <v>8580</v>
      </c>
      <c r="I9434">
        <v>10</v>
      </c>
      <c r="J9434" t="s">
        <v>445</v>
      </c>
      <c r="M9434">
        <v>6666</v>
      </c>
    </row>
    <row r="9435" spans="1:14">
      <c r="A9435">
        <v>58720000</v>
      </c>
      <c r="B9435">
        <v>3029973</v>
      </c>
      <c r="C9435" t="s">
        <v>12803</v>
      </c>
      <c r="D9435" t="s">
        <v>441</v>
      </c>
      <c r="F9435">
        <v>0</v>
      </c>
      <c r="G9435">
        <v>2.44</v>
      </c>
      <c r="H9435" t="s">
        <v>8580</v>
      </c>
      <c r="I9435">
        <v>5</v>
      </c>
      <c r="J9435" t="s">
        <v>445</v>
      </c>
      <c r="K9435" t="s">
        <v>446</v>
      </c>
      <c r="M9435">
        <v>3124</v>
      </c>
    </row>
    <row r="9436" spans="1:14">
      <c r="A9436">
        <v>58730000</v>
      </c>
      <c r="B9436">
        <v>3029621</v>
      </c>
      <c r="C9436" t="s">
        <v>4120</v>
      </c>
      <c r="D9436" t="s">
        <v>441</v>
      </c>
      <c r="F9436">
        <v>0</v>
      </c>
      <c r="G9436">
        <v>0.35</v>
      </c>
      <c r="H9436" t="s">
        <v>8580</v>
      </c>
      <c r="I9436">
        <v>5</v>
      </c>
      <c r="J9436" t="s">
        <v>445</v>
      </c>
      <c r="M9436">
        <v>6666</v>
      </c>
      <c r="N9436" t="s">
        <v>16602</v>
      </c>
    </row>
    <row r="9437" spans="1:14">
      <c r="A9437">
        <v>58740000</v>
      </c>
      <c r="B9437">
        <v>3018136</v>
      </c>
      <c r="C9437" t="s">
        <v>4121</v>
      </c>
      <c r="D9437" t="s">
        <v>441</v>
      </c>
      <c r="F9437">
        <v>0</v>
      </c>
      <c r="G9437">
        <v>2.14</v>
      </c>
      <c r="H9437" t="s">
        <v>8634</v>
      </c>
      <c r="I9437">
        <v>2</v>
      </c>
      <c r="J9437" t="s">
        <v>445</v>
      </c>
      <c r="M9437">
        <v>6666</v>
      </c>
      <c r="N9437" t="s">
        <v>16603</v>
      </c>
    </row>
    <row r="9438" spans="1:14">
      <c r="A9438">
        <v>58750000</v>
      </c>
      <c r="B9438">
        <v>3026656</v>
      </c>
      <c r="C9438" t="s">
        <v>4122</v>
      </c>
      <c r="D9438" t="s">
        <v>441</v>
      </c>
      <c r="F9438">
        <v>0</v>
      </c>
      <c r="G9438">
        <v>0.39</v>
      </c>
      <c r="H9438" t="s">
        <v>8584</v>
      </c>
      <c r="I9438">
        <v>5</v>
      </c>
      <c r="J9438" t="s">
        <v>445</v>
      </c>
      <c r="M9438">
        <v>6666</v>
      </c>
      <c r="N9438" t="s">
        <v>16604</v>
      </c>
    </row>
    <row r="9439" spans="1:14">
      <c r="A9439">
        <v>58760000</v>
      </c>
      <c r="B9439">
        <v>3026552</v>
      </c>
      <c r="C9439" t="s">
        <v>4123</v>
      </c>
      <c r="D9439" t="s">
        <v>441</v>
      </c>
      <c r="F9439">
        <v>0</v>
      </c>
      <c r="G9439">
        <v>1.59</v>
      </c>
      <c r="H9439" t="s">
        <v>8584</v>
      </c>
      <c r="I9439">
        <v>5</v>
      </c>
      <c r="J9439" t="s">
        <v>445</v>
      </c>
      <c r="K9439" t="s">
        <v>446</v>
      </c>
      <c r="M9439">
        <v>3124</v>
      </c>
    </row>
    <row r="9440" spans="1:14">
      <c r="A9440">
        <v>58780000</v>
      </c>
      <c r="B9440">
        <v>3025624</v>
      </c>
      <c r="C9440" t="s">
        <v>12804</v>
      </c>
      <c r="D9440" t="s">
        <v>441</v>
      </c>
      <c r="F9440">
        <v>0</v>
      </c>
      <c r="G9440">
        <v>1.44</v>
      </c>
      <c r="H9440" t="s">
        <v>8935</v>
      </c>
      <c r="I9440">
        <v>3</v>
      </c>
      <c r="J9440" t="s">
        <v>445</v>
      </c>
      <c r="M9440">
        <v>6666</v>
      </c>
      <c r="N9440" t="s">
        <v>16605</v>
      </c>
    </row>
    <row r="9441" spans="1:14">
      <c r="A9441">
        <v>58790000</v>
      </c>
      <c r="B9441">
        <v>3016573</v>
      </c>
      <c r="C9441" t="s">
        <v>4124</v>
      </c>
      <c r="D9441" t="s">
        <v>441</v>
      </c>
      <c r="F9441">
        <v>0</v>
      </c>
      <c r="G9441">
        <v>1.79</v>
      </c>
      <c r="H9441" t="s">
        <v>8580</v>
      </c>
      <c r="I9441">
        <v>10</v>
      </c>
      <c r="J9441" t="s">
        <v>445</v>
      </c>
      <c r="M9441">
        <v>6666</v>
      </c>
      <c r="N9441" t="s">
        <v>16606</v>
      </c>
    </row>
    <row r="9442" spans="1:14">
      <c r="A9442">
        <v>58800000</v>
      </c>
      <c r="B9442">
        <v>3031582</v>
      </c>
      <c r="C9442" t="s">
        <v>4125</v>
      </c>
      <c r="D9442" t="s">
        <v>441</v>
      </c>
      <c r="F9442">
        <v>0</v>
      </c>
      <c r="G9442">
        <v>1.61</v>
      </c>
      <c r="H9442" t="s">
        <v>8935</v>
      </c>
      <c r="I9442">
        <v>4</v>
      </c>
      <c r="J9442" t="s">
        <v>445</v>
      </c>
      <c r="M9442">
        <v>6666</v>
      </c>
      <c r="N9442" t="s">
        <v>16607</v>
      </c>
    </row>
    <row r="9443" spans="1:14">
      <c r="A9443">
        <v>58810000</v>
      </c>
      <c r="B9443">
        <v>3032707</v>
      </c>
      <c r="C9443" t="s">
        <v>4126</v>
      </c>
      <c r="D9443" t="s">
        <v>441</v>
      </c>
      <c r="F9443">
        <v>0</v>
      </c>
      <c r="G9443">
        <v>3.7</v>
      </c>
      <c r="I9443">
        <v>4</v>
      </c>
      <c r="J9443" t="s">
        <v>445</v>
      </c>
      <c r="M9443">
        <v>6666</v>
      </c>
      <c r="N9443" t="s">
        <v>16608</v>
      </c>
    </row>
    <row r="9444" spans="1:14">
      <c r="A9444">
        <v>58820000</v>
      </c>
      <c r="B9444">
        <v>3041133</v>
      </c>
      <c r="C9444" t="s">
        <v>4127</v>
      </c>
      <c r="D9444" t="s">
        <v>441</v>
      </c>
      <c r="F9444">
        <v>0</v>
      </c>
      <c r="G9444">
        <v>2.4300000000000002</v>
      </c>
      <c r="H9444" t="s">
        <v>8634</v>
      </c>
      <c r="I9444">
        <v>4</v>
      </c>
      <c r="J9444" t="s">
        <v>445</v>
      </c>
      <c r="M9444">
        <v>6666</v>
      </c>
      <c r="N9444" t="s">
        <v>16445</v>
      </c>
    </row>
    <row r="9445" spans="1:14">
      <c r="A9445">
        <v>58900000</v>
      </c>
      <c r="B9445">
        <v>3016574</v>
      </c>
      <c r="C9445" t="s">
        <v>4128</v>
      </c>
      <c r="D9445" t="s">
        <v>441</v>
      </c>
      <c r="F9445">
        <v>0</v>
      </c>
      <c r="G9445">
        <v>1.26</v>
      </c>
      <c r="H9445" t="s">
        <v>8580</v>
      </c>
      <c r="I9445">
        <v>10</v>
      </c>
      <c r="J9445" t="s">
        <v>445</v>
      </c>
      <c r="K9445" t="s">
        <v>446</v>
      </c>
      <c r="M9445">
        <v>3124</v>
      </c>
    </row>
    <row r="9446" spans="1:14">
      <c r="A9446">
        <v>58920000</v>
      </c>
      <c r="B9446">
        <v>3025374</v>
      </c>
      <c r="C9446" t="s">
        <v>4129</v>
      </c>
      <c r="D9446" t="s">
        <v>441</v>
      </c>
      <c r="F9446">
        <v>0</v>
      </c>
      <c r="G9446">
        <v>2.56</v>
      </c>
      <c r="H9446" t="s">
        <v>8935</v>
      </c>
      <c r="I9446">
        <v>5</v>
      </c>
      <c r="J9446" t="s">
        <v>445</v>
      </c>
      <c r="M9446">
        <v>6666</v>
      </c>
      <c r="N9446" t="s">
        <v>16609</v>
      </c>
    </row>
    <row r="9447" spans="1:14">
      <c r="A9447">
        <v>58930000</v>
      </c>
      <c r="B9447">
        <v>3015454</v>
      </c>
      <c r="C9447" t="s">
        <v>4130</v>
      </c>
      <c r="D9447" t="s">
        <v>441</v>
      </c>
      <c r="F9447">
        <v>0</v>
      </c>
      <c r="G9447">
        <v>1.29</v>
      </c>
      <c r="H9447" t="s">
        <v>8580</v>
      </c>
      <c r="I9447">
        <v>2</v>
      </c>
      <c r="J9447" t="s">
        <v>445</v>
      </c>
      <c r="K9447" t="s">
        <v>446</v>
      </c>
      <c r="M9447">
        <v>3124</v>
      </c>
    </row>
    <row r="9448" spans="1:14">
      <c r="A9448">
        <v>60010000</v>
      </c>
      <c r="B9448">
        <v>3016575</v>
      </c>
      <c r="C9448" t="s">
        <v>4131</v>
      </c>
      <c r="D9448" t="s">
        <v>441</v>
      </c>
      <c r="F9448">
        <v>0</v>
      </c>
      <c r="G9448">
        <v>12.2</v>
      </c>
      <c r="H9448" t="s">
        <v>8580</v>
      </c>
      <c r="I9448">
        <v>7</v>
      </c>
      <c r="J9448" t="s">
        <v>445</v>
      </c>
      <c r="K9448" t="s">
        <v>446</v>
      </c>
      <c r="M9448">
        <v>3311</v>
      </c>
      <c r="N9448" t="s">
        <v>16610</v>
      </c>
    </row>
    <row r="9449" spans="1:14">
      <c r="A9449">
        <v>60010008</v>
      </c>
      <c r="B9449">
        <v>3016576</v>
      </c>
      <c r="C9449" t="s">
        <v>4132</v>
      </c>
      <c r="D9449" t="s">
        <v>441</v>
      </c>
      <c r="F9449">
        <v>0</v>
      </c>
      <c r="G9449">
        <v>10.029999999999999</v>
      </c>
      <c r="H9449" t="s">
        <v>8580</v>
      </c>
      <c r="I9449">
        <v>9</v>
      </c>
      <c r="J9449" t="s">
        <v>445</v>
      </c>
      <c r="K9449" t="s">
        <v>446</v>
      </c>
      <c r="M9449">
        <v>3211</v>
      </c>
      <c r="N9449" t="s">
        <v>16610</v>
      </c>
    </row>
    <row r="9450" spans="1:14">
      <c r="A9450">
        <v>60014110</v>
      </c>
      <c r="B9450">
        <v>4004162</v>
      </c>
      <c r="C9450" t="s">
        <v>12805</v>
      </c>
      <c r="D9450" t="s">
        <v>441</v>
      </c>
      <c r="F9450">
        <v>0</v>
      </c>
      <c r="G9450">
        <v>13.02</v>
      </c>
      <c r="H9450" t="s">
        <v>8587</v>
      </c>
      <c r="I9450">
        <v>42</v>
      </c>
      <c r="J9450" t="s">
        <v>462</v>
      </c>
      <c r="K9450" t="s">
        <v>446</v>
      </c>
      <c r="M9450">
        <v>3711</v>
      </c>
    </row>
    <row r="9451" spans="1:14">
      <c r="A9451">
        <v>60014120</v>
      </c>
      <c r="B9451">
        <v>4004163</v>
      </c>
      <c r="C9451" t="s">
        <v>12806</v>
      </c>
      <c r="D9451" t="s">
        <v>441</v>
      </c>
      <c r="F9451">
        <v>0</v>
      </c>
      <c r="G9451">
        <v>1</v>
      </c>
      <c r="H9451" t="s">
        <v>8587</v>
      </c>
      <c r="I9451">
        <v>42</v>
      </c>
      <c r="J9451" t="s">
        <v>462</v>
      </c>
      <c r="K9451" t="s">
        <v>446</v>
      </c>
      <c r="M9451">
        <v>0</v>
      </c>
    </row>
    <row r="9452" spans="1:14">
      <c r="A9452">
        <v>60014130</v>
      </c>
      <c r="B9452">
        <v>4001870</v>
      </c>
      <c r="C9452" t="s">
        <v>12807</v>
      </c>
      <c r="D9452" t="s">
        <v>441</v>
      </c>
      <c r="F9452">
        <v>0</v>
      </c>
      <c r="G9452">
        <v>12.16</v>
      </c>
      <c r="H9452" t="s">
        <v>8587</v>
      </c>
      <c r="I9452">
        <v>42</v>
      </c>
      <c r="J9452" t="s">
        <v>462</v>
      </c>
      <c r="K9452" t="s">
        <v>446</v>
      </c>
      <c r="M9452">
        <v>3711</v>
      </c>
    </row>
    <row r="9453" spans="1:14">
      <c r="A9453">
        <v>60014140</v>
      </c>
      <c r="B9453">
        <v>4010933</v>
      </c>
      <c r="C9453" t="s">
        <v>4133</v>
      </c>
      <c r="D9453" t="s">
        <v>441</v>
      </c>
      <c r="F9453">
        <v>0</v>
      </c>
      <c r="G9453">
        <v>14.22</v>
      </c>
      <c r="H9453" t="s">
        <v>8587</v>
      </c>
      <c r="I9453">
        <v>42</v>
      </c>
      <c r="J9453" t="s">
        <v>462</v>
      </c>
      <c r="K9453" t="s">
        <v>446</v>
      </c>
      <c r="M9453">
        <v>3711</v>
      </c>
      <c r="N9453" t="s">
        <v>16610</v>
      </c>
    </row>
    <row r="9454" spans="1:14">
      <c r="A9454">
        <v>60014150</v>
      </c>
      <c r="B9454">
        <v>4010932</v>
      </c>
      <c r="C9454" t="s">
        <v>12808</v>
      </c>
      <c r="D9454" t="s">
        <v>441</v>
      </c>
      <c r="F9454">
        <v>0</v>
      </c>
      <c r="G9454">
        <v>13.39</v>
      </c>
      <c r="H9454" t="s">
        <v>8587</v>
      </c>
      <c r="I9454">
        <v>42</v>
      </c>
      <c r="J9454" t="s">
        <v>462</v>
      </c>
      <c r="K9454" t="s">
        <v>446</v>
      </c>
      <c r="M9454">
        <v>3711</v>
      </c>
    </row>
    <row r="9455" spans="1:14">
      <c r="A9455">
        <v>60014160</v>
      </c>
      <c r="B9455">
        <v>4011252</v>
      </c>
      <c r="C9455" t="s">
        <v>12809</v>
      </c>
      <c r="D9455" t="s">
        <v>441</v>
      </c>
      <c r="F9455">
        <v>0</v>
      </c>
      <c r="G9455">
        <v>13.08</v>
      </c>
      <c r="H9455" t="s">
        <v>8587</v>
      </c>
      <c r="I9455">
        <v>42</v>
      </c>
      <c r="J9455" t="s">
        <v>462</v>
      </c>
      <c r="K9455" t="s">
        <v>446</v>
      </c>
      <c r="M9455">
        <v>3711</v>
      </c>
    </row>
    <row r="9456" spans="1:14">
      <c r="A9456">
        <v>60014170</v>
      </c>
      <c r="B9456">
        <v>4004164</v>
      </c>
      <c r="C9456" t="s">
        <v>12810</v>
      </c>
      <c r="D9456" t="s">
        <v>441</v>
      </c>
      <c r="F9456">
        <v>0</v>
      </c>
      <c r="G9456">
        <v>12.71</v>
      </c>
      <c r="H9456" t="s">
        <v>8587</v>
      </c>
      <c r="I9456">
        <v>42</v>
      </c>
      <c r="J9456" t="s">
        <v>462</v>
      </c>
      <c r="K9456" t="s">
        <v>446</v>
      </c>
      <c r="M9456">
        <v>3711</v>
      </c>
    </row>
    <row r="9457" spans="1:14">
      <c r="A9457">
        <v>60014180</v>
      </c>
      <c r="B9457">
        <v>4004165</v>
      </c>
      <c r="C9457" t="s">
        <v>4134</v>
      </c>
      <c r="D9457" t="s">
        <v>441</v>
      </c>
      <c r="F9457">
        <v>0</v>
      </c>
      <c r="G9457">
        <v>14.29</v>
      </c>
      <c r="H9457" t="s">
        <v>8587</v>
      </c>
      <c r="I9457">
        <v>42</v>
      </c>
      <c r="J9457" t="s">
        <v>462</v>
      </c>
      <c r="K9457" t="s">
        <v>446</v>
      </c>
      <c r="M9457">
        <v>3711</v>
      </c>
      <c r="N9457" t="s">
        <v>16610</v>
      </c>
    </row>
    <row r="9458" spans="1:14">
      <c r="A9458">
        <v>60014190</v>
      </c>
      <c r="B9458">
        <v>4008551</v>
      </c>
      <c r="C9458" t="s">
        <v>12811</v>
      </c>
      <c r="D9458" t="s">
        <v>441</v>
      </c>
      <c r="F9458">
        <v>0</v>
      </c>
      <c r="G9458">
        <v>12.74</v>
      </c>
      <c r="H9458" t="s">
        <v>8587</v>
      </c>
      <c r="I9458">
        <v>42</v>
      </c>
      <c r="J9458" t="s">
        <v>462</v>
      </c>
      <c r="K9458" t="s">
        <v>446</v>
      </c>
      <c r="M9458">
        <v>3711</v>
      </c>
    </row>
    <row r="9459" spans="1:14">
      <c r="A9459">
        <v>60014510</v>
      </c>
      <c r="B9459">
        <v>4008944</v>
      </c>
      <c r="C9459" t="s">
        <v>12812</v>
      </c>
      <c r="D9459" t="s">
        <v>441</v>
      </c>
      <c r="F9459">
        <v>0</v>
      </c>
      <c r="G9459">
        <v>11.83</v>
      </c>
      <c r="H9459" t="s">
        <v>8587</v>
      </c>
      <c r="I9459">
        <v>42</v>
      </c>
      <c r="J9459" t="s">
        <v>462</v>
      </c>
      <c r="K9459" t="s">
        <v>446</v>
      </c>
      <c r="M9459">
        <v>3711</v>
      </c>
    </row>
    <row r="9460" spans="1:14">
      <c r="A9460">
        <v>60015130</v>
      </c>
      <c r="B9460">
        <v>4004166</v>
      </c>
      <c r="C9460" t="s">
        <v>12813</v>
      </c>
      <c r="D9460" t="s">
        <v>441</v>
      </c>
      <c r="F9460">
        <v>0</v>
      </c>
      <c r="G9460">
        <v>1</v>
      </c>
      <c r="H9460" t="s">
        <v>8587</v>
      </c>
      <c r="I9460">
        <v>42</v>
      </c>
      <c r="J9460" t="s">
        <v>462</v>
      </c>
      <c r="K9460" t="s">
        <v>446</v>
      </c>
      <c r="M9460">
        <v>0</v>
      </c>
    </row>
    <row r="9461" spans="1:14">
      <c r="A9461">
        <v>60015140</v>
      </c>
      <c r="B9461">
        <v>4004167</v>
      </c>
      <c r="C9461" t="s">
        <v>12814</v>
      </c>
      <c r="D9461" t="s">
        <v>441</v>
      </c>
      <c r="F9461">
        <v>0</v>
      </c>
      <c r="G9461">
        <v>12.71</v>
      </c>
      <c r="H9461" t="s">
        <v>8587</v>
      </c>
      <c r="I9461">
        <v>42</v>
      </c>
      <c r="J9461" t="s">
        <v>462</v>
      </c>
      <c r="K9461" t="s">
        <v>446</v>
      </c>
      <c r="M9461">
        <v>3711</v>
      </c>
    </row>
    <row r="9462" spans="1:14">
      <c r="A9462">
        <v>60015150</v>
      </c>
      <c r="B9462">
        <v>4001871</v>
      </c>
      <c r="C9462" t="s">
        <v>12815</v>
      </c>
      <c r="D9462" t="s">
        <v>441</v>
      </c>
      <c r="F9462">
        <v>0</v>
      </c>
      <c r="G9462">
        <v>12.27</v>
      </c>
      <c r="H9462" t="s">
        <v>8587</v>
      </c>
      <c r="I9462">
        <v>42</v>
      </c>
      <c r="J9462" t="s">
        <v>462</v>
      </c>
      <c r="K9462" t="s">
        <v>446</v>
      </c>
      <c r="M9462">
        <v>3711</v>
      </c>
    </row>
    <row r="9463" spans="1:14">
      <c r="A9463">
        <v>60015160</v>
      </c>
      <c r="B9463">
        <v>4001872</v>
      </c>
      <c r="C9463" t="s">
        <v>12816</v>
      </c>
      <c r="D9463" t="s">
        <v>441</v>
      </c>
      <c r="F9463">
        <v>0</v>
      </c>
      <c r="G9463">
        <v>13.4</v>
      </c>
      <c r="H9463" t="s">
        <v>8587</v>
      </c>
      <c r="I9463">
        <v>42</v>
      </c>
      <c r="J9463" t="s">
        <v>462</v>
      </c>
      <c r="K9463" t="s">
        <v>446</v>
      </c>
      <c r="M9463">
        <v>3711</v>
      </c>
    </row>
    <row r="9464" spans="1:14">
      <c r="A9464">
        <v>60015170</v>
      </c>
      <c r="B9464">
        <v>4001873</v>
      </c>
      <c r="C9464" t="s">
        <v>4135</v>
      </c>
      <c r="D9464" t="s">
        <v>441</v>
      </c>
      <c r="F9464">
        <v>0</v>
      </c>
      <c r="G9464">
        <v>13.17</v>
      </c>
      <c r="H9464" t="s">
        <v>8587</v>
      </c>
      <c r="I9464">
        <v>42</v>
      </c>
      <c r="J9464" t="s">
        <v>462</v>
      </c>
      <c r="K9464" t="s">
        <v>446</v>
      </c>
      <c r="M9464">
        <v>3711</v>
      </c>
      <c r="N9464" t="s">
        <v>16610</v>
      </c>
    </row>
    <row r="9465" spans="1:14">
      <c r="A9465">
        <v>60015180</v>
      </c>
      <c r="B9465">
        <v>4001874</v>
      </c>
      <c r="C9465" t="s">
        <v>12817</v>
      </c>
      <c r="D9465" t="s">
        <v>441</v>
      </c>
      <c r="F9465">
        <v>0</v>
      </c>
      <c r="G9465">
        <v>13.43</v>
      </c>
      <c r="H9465" t="s">
        <v>8587</v>
      </c>
      <c r="I9465">
        <v>42</v>
      </c>
      <c r="J9465" t="s">
        <v>462</v>
      </c>
      <c r="K9465" t="s">
        <v>446</v>
      </c>
      <c r="M9465">
        <v>3711</v>
      </c>
    </row>
    <row r="9466" spans="1:14">
      <c r="A9466">
        <v>60015190</v>
      </c>
      <c r="B9466">
        <v>4001875</v>
      </c>
      <c r="C9466" t="s">
        <v>12818</v>
      </c>
      <c r="D9466" t="s">
        <v>441</v>
      </c>
      <c r="F9466">
        <v>0</v>
      </c>
      <c r="G9466">
        <v>13.4</v>
      </c>
      <c r="H9466" t="s">
        <v>8587</v>
      </c>
      <c r="I9466">
        <v>42</v>
      </c>
      <c r="J9466" t="s">
        <v>462</v>
      </c>
      <c r="K9466" t="s">
        <v>446</v>
      </c>
      <c r="M9466">
        <v>3711</v>
      </c>
    </row>
    <row r="9467" spans="1:14">
      <c r="A9467">
        <v>60016110</v>
      </c>
      <c r="B9467">
        <v>4008641</v>
      </c>
      <c r="C9467" t="s">
        <v>12819</v>
      </c>
      <c r="D9467" t="s">
        <v>441</v>
      </c>
      <c r="F9467">
        <v>0</v>
      </c>
      <c r="G9467">
        <v>13.02</v>
      </c>
      <c r="H9467" t="s">
        <v>8587</v>
      </c>
      <c r="I9467">
        <v>42</v>
      </c>
      <c r="J9467" t="s">
        <v>462</v>
      </c>
      <c r="K9467" t="s">
        <v>446</v>
      </c>
      <c r="M9467">
        <v>3711</v>
      </c>
    </row>
    <row r="9468" spans="1:14">
      <c r="A9468">
        <v>60016120</v>
      </c>
      <c r="B9468">
        <v>4008674</v>
      </c>
      <c r="C9468" t="s">
        <v>12820</v>
      </c>
      <c r="D9468" t="s">
        <v>441</v>
      </c>
      <c r="F9468">
        <v>0</v>
      </c>
      <c r="G9468">
        <v>13.49</v>
      </c>
      <c r="H9468" t="s">
        <v>8587</v>
      </c>
      <c r="I9468">
        <v>42</v>
      </c>
      <c r="J9468" t="s">
        <v>462</v>
      </c>
      <c r="K9468" t="s">
        <v>446</v>
      </c>
      <c r="M9468">
        <v>3711</v>
      </c>
    </row>
    <row r="9469" spans="1:14">
      <c r="A9469">
        <v>60016130</v>
      </c>
      <c r="B9469">
        <v>4014258</v>
      </c>
      <c r="C9469" t="s">
        <v>4136</v>
      </c>
      <c r="D9469" t="s">
        <v>441</v>
      </c>
      <c r="F9469">
        <v>0</v>
      </c>
      <c r="G9469">
        <v>13.38</v>
      </c>
      <c r="H9469" t="s">
        <v>8587</v>
      </c>
      <c r="I9469">
        <v>42</v>
      </c>
      <c r="J9469" t="s">
        <v>462</v>
      </c>
      <c r="K9469" t="s">
        <v>446</v>
      </c>
      <c r="M9469">
        <v>3711</v>
      </c>
    </row>
    <row r="9470" spans="1:14">
      <c r="A9470">
        <v>60017110</v>
      </c>
      <c r="B9470">
        <v>4005525</v>
      </c>
      <c r="C9470" t="s">
        <v>12821</v>
      </c>
      <c r="D9470" t="s">
        <v>441</v>
      </c>
      <c r="F9470">
        <v>0</v>
      </c>
      <c r="G9470">
        <v>12.93</v>
      </c>
      <c r="H9470" t="s">
        <v>8587</v>
      </c>
      <c r="I9470">
        <v>42</v>
      </c>
      <c r="J9470" t="s">
        <v>462</v>
      </c>
      <c r="K9470" t="s">
        <v>446</v>
      </c>
      <c r="M9470">
        <v>3711</v>
      </c>
    </row>
    <row r="9471" spans="1:14">
      <c r="A9471">
        <v>60017120</v>
      </c>
      <c r="B9471">
        <v>4006067</v>
      </c>
      <c r="C9471" t="s">
        <v>12822</v>
      </c>
      <c r="D9471" t="s">
        <v>441</v>
      </c>
      <c r="F9471">
        <v>0</v>
      </c>
      <c r="G9471">
        <v>1</v>
      </c>
      <c r="H9471" t="s">
        <v>8587</v>
      </c>
      <c r="I9471">
        <v>42</v>
      </c>
      <c r="J9471" t="s">
        <v>462</v>
      </c>
      <c r="K9471" t="s">
        <v>446</v>
      </c>
      <c r="M9471">
        <v>0</v>
      </c>
    </row>
    <row r="9472" spans="1:14">
      <c r="A9472">
        <v>60017130</v>
      </c>
      <c r="B9472">
        <v>4007715</v>
      </c>
      <c r="C9472" t="s">
        <v>4137</v>
      </c>
      <c r="D9472" t="s">
        <v>441</v>
      </c>
      <c r="F9472">
        <v>0</v>
      </c>
      <c r="G9472">
        <v>13.5</v>
      </c>
      <c r="H9472" t="s">
        <v>8587</v>
      </c>
      <c r="I9472">
        <v>42</v>
      </c>
      <c r="J9472" t="s">
        <v>462</v>
      </c>
      <c r="K9472" t="s">
        <v>446</v>
      </c>
      <c r="M9472">
        <v>3711</v>
      </c>
      <c r="N9472" t="s">
        <v>16610</v>
      </c>
    </row>
    <row r="9473" spans="1:14">
      <c r="A9473">
        <v>60017140</v>
      </c>
      <c r="B9473">
        <v>4007738</v>
      </c>
      <c r="C9473" t="s">
        <v>12823</v>
      </c>
      <c r="D9473" t="s">
        <v>441</v>
      </c>
      <c r="F9473">
        <v>0</v>
      </c>
      <c r="G9473">
        <v>13.39</v>
      </c>
      <c r="H9473" t="s">
        <v>8587</v>
      </c>
      <c r="I9473">
        <v>42</v>
      </c>
      <c r="J9473" t="s">
        <v>462</v>
      </c>
      <c r="K9473" t="s">
        <v>446</v>
      </c>
      <c r="M9473">
        <v>3711</v>
      </c>
    </row>
    <row r="9474" spans="1:14">
      <c r="A9474">
        <v>60017150</v>
      </c>
      <c r="B9474">
        <v>4008172</v>
      </c>
      <c r="C9474" t="s">
        <v>4138</v>
      </c>
      <c r="D9474" t="s">
        <v>441</v>
      </c>
      <c r="F9474">
        <v>0</v>
      </c>
      <c r="G9474">
        <v>12.04</v>
      </c>
      <c r="H9474" t="s">
        <v>8587</v>
      </c>
      <c r="I9474">
        <v>42</v>
      </c>
      <c r="J9474" t="s">
        <v>462</v>
      </c>
      <c r="K9474" t="s">
        <v>446</v>
      </c>
      <c r="M9474">
        <v>3711</v>
      </c>
    </row>
    <row r="9475" spans="1:14">
      <c r="A9475">
        <v>60017160</v>
      </c>
      <c r="B9475">
        <v>4008296</v>
      </c>
      <c r="C9475" t="s">
        <v>4139</v>
      </c>
      <c r="D9475" t="s">
        <v>441</v>
      </c>
      <c r="F9475">
        <v>0</v>
      </c>
      <c r="G9475">
        <v>13.18</v>
      </c>
      <c r="H9475" t="s">
        <v>8587</v>
      </c>
      <c r="I9475">
        <v>42</v>
      </c>
      <c r="J9475" t="s">
        <v>462</v>
      </c>
      <c r="K9475" t="s">
        <v>446</v>
      </c>
      <c r="M9475">
        <v>3711</v>
      </c>
    </row>
    <row r="9476" spans="1:14">
      <c r="A9476">
        <v>60017180</v>
      </c>
      <c r="B9476">
        <v>4008357</v>
      </c>
      <c r="C9476" t="s">
        <v>12824</v>
      </c>
      <c r="D9476" t="s">
        <v>441</v>
      </c>
      <c r="F9476">
        <v>0</v>
      </c>
      <c r="G9476">
        <v>12.72</v>
      </c>
      <c r="H9476" t="s">
        <v>8587</v>
      </c>
      <c r="I9476">
        <v>42</v>
      </c>
      <c r="J9476" t="s">
        <v>462</v>
      </c>
      <c r="K9476" t="s">
        <v>446</v>
      </c>
      <c r="M9476">
        <v>3711</v>
      </c>
    </row>
    <row r="9477" spans="1:14">
      <c r="A9477">
        <v>60017190</v>
      </c>
      <c r="B9477">
        <v>4008467</v>
      </c>
      <c r="C9477" t="s">
        <v>4140</v>
      </c>
      <c r="D9477" t="s">
        <v>441</v>
      </c>
      <c r="F9477">
        <v>0</v>
      </c>
      <c r="G9477">
        <v>12.95</v>
      </c>
      <c r="H9477" t="s">
        <v>8587</v>
      </c>
      <c r="I9477">
        <v>42</v>
      </c>
      <c r="J9477" t="s">
        <v>462</v>
      </c>
      <c r="K9477" t="s">
        <v>446</v>
      </c>
      <c r="M9477">
        <v>3711</v>
      </c>
    </row>
    <row r="9478" spans="1:14">
      <c r="A9478">
        <v>60020000</v>
      </c>
      <c r="B9478">
        <v>3016687</v>
      </c>
      <c r="C9478" t="s">
        <v>12825</v>
      </c>
      <c r="D9478" t="s">
        <v>441</v>
      </c>
      <c r="F9478">
        <v>0</v>
      </c>
      <c r="G9478">
        <v>9.42</v>
      </c>
      <c r="H9478" t="s">
        <v>8580</v>
      </c>
      <c r="I9478">
        <v>28</v>
      </c>
      <c r="J9478" t="s">
        <v>445</v>
      </c>
      <c r="K9478" t="s">
        <v>446</v>
      </c>
      <c r="M9478">
        <v>3311</v>
      </c>
    </row>
    <row r="9479" spans="1:14">
      <c r="A9479">
        <v>60020008</v>
      </c>
      <c r="B9479">
        <v>3016688</v>
      </c>
      <c r="C9479" t="s">
        <v>12826</v>
      </c>
      <c r="D9479" t="s">
        <v>441</v>
      </c>
      <c r="F9479">
        <v>0</v>
      </c>
      <c r="G9479">
        <v>7.61</v>
      </c>
      <c r="H9479" t="s">
        <v>8580</v>
      </c>
      <c r="I9479">
        <v>9</v>
      </c>
      <c r="J9479" t="s">
        <v>445</v>
      </c>
      <c r="K9479" t="s">
        <v>446</v>
      </c>
      <c r="M9479">
        <v>3211</v>
      </c>
    </row>
    <row r="9480" spans="1:14">
      <c r="A9480">
        <v>60024110</v>
      </c>
      <c r="B9480">
        <v>4007471</v>
      </c>
      <c r="C9480" t="s">
        <v>12827</v>
      </c>
      <c r="D9480" t="s">
        <v>441</v>
      </c>
      <c r="F9480">
        <v>0</v>
      </c>
      <c r="G9480">
        <v>11.26</v>
      </c>
      <c r="H9480" t="s">
        <v>8587</v>
      </c>
      <c r="I9480">
        <v>42</v>
      </c>
      <c r="J9480" t="s">
        <v>462</v>
      </c>
      <c r="M9480">
        <v>3711</v>
      </c>
    </row>
    <row r="9481" spans="1:14">
      <c r="A9481">
        <v>60024150</v>
      </c>
      <c r="B9481">
        <v>4010575</v>
      </c>
      <c r="C9481" t="s">
        <v>4141</v>
      </c>
      <c r="D9481" t="s">
        <v>441</v>
      </c>
      <c r="F9481">
        <v>0</v>
      </c>
      <c r="G9481">
        <v>10.62</v>
      </c>
      <c r="H9481" t="s">
        <v>8587</v>
      </c>
      <c r="I9481">
        <v>42</v>
      </c>
      <c r="J9481" t="s">
        <v>462</v>
      </c>
      <c r="K9481" t="s">
        <v>446</v>
      </c>
      <c r="M9481">
        <v>3711</v>
      </c>
    </row>
    <row r="9482" spans="1:14">
      <c r="A9482">
        <v>60025110</v>
      </c>
      <c r="B9482">
        <v>4007472</v>
      </c>
      <c r="C9482" t="s">
        <v>12828</v>
      </c>
      <c r="D9482" t="s">
        <v>441</v>
      </c>
      <c r="F9482">
        <v>0</v>
      </c>
      <c r="G9482">
        <v>10.8</v>
      </c>
      <c r="H9482" t="s">
        <v>8587</v>
      </c>
      <c r="I9482">
        <v>42</v>
      </c>
      <c r="J9482" t="s">
        <v>462</v>
      </c>
      <c r="M9482">
        <v>3711</v>
      </c>
    </row>
    <row r="9483" spans="1:14">
      <c r="A9483">
        <v>60025120</v>
      </c>
      <c r="B9483">
        <v>4007702</v>
      </c>
      <c r="C9483" t="s">
        <v>12829</v>
      </c>
      <c r="D9483" t="s">
        <v>441</v>
      </c>
      <c r="F9483">
        <v>0</v>
      </c>
      <c r="G9483">
        <v>11.26</v>
      </c>
      <c r="H9483" t="s">
        <v>8587</v>
      </c>
      <c r="I9483">
        <v>42</v>
      </c>
      <c r="J9483" t="s">
        <v>462</v>
      </c>
      <c r="M9483">
        <v>3711</v>
      </c>
    </row>
    <row r="9484" spans="1:14">
      <c r="A9484">
        <v>60025130</v>
      </c>
      <c r="B9484">
        <v>4007817</v>
      </c>
      <c r="C9484" t="s">
        <v>12830</v>
      </c>
      <c r="D9484" t="s">
        <v>441</v>
      </c>
      <c r="F9484">
        <v>0</v>
      </c>
      <c r="G9484">
        <v>11.46</v>
      </c>
      <c r="H9484" t="s">
        <v>8587</v>
      </c>
      <c r="I9484">
        <v>42</v>
      </c>
      <c r="J9484" t="s">
        <v>462</v>
      </c>
      <c r="K9484" t="s">
        <v>446</v>
      </c>
      <c r="M9484">
        <v>3711</v>
      </c>
    </row>
    <row r="9485" spans="1:14">
      <c r="A9485">
        <v>60025140</v>
      </c>
      <c r="B9485">
        <v>4009765</v>
      </c>
      <c r="C9485" t="s">
        <v>4142</v>
      </c>
      <c r="D9485" t="s">
        <v>441</v>
      </c>
      <c r="F9485">
        <v>0</v>
      </c>
      <c r="G9485">
        <v>10.56</v>
      </c>
      <c r="H9485" t="s">
        <v>8587</v>
      </c>
      <c r="I9485">
        <v>42</v>
      </c>
      <c r="J9485" t="s">
        <v>462</v>
      </c>
      <c r="K9485" t="s">
        <v>446</v>
      </c>
      <c r="M9485">
        <v>3711</v>
      </c>
    </row>
    <row r="9486" spans="1:14">
      <c r="A9486">
        <v>60025150</v>
      </c>
      <c r="B9486">
        <v>4010841</v>
      </c>
      <c r="C9486" t="s">
        <v>12831</v>
      </c>
      <c r="D9486" t="s">
        <v>441</v>
      </c>
      <c r="F9486">
        <v>0</v>
      </c>
      <c r="G9486">
        <v>10.76</v>
      </c>
      <c r="H9486" t="s">
        <v>8587</v>
      </c>
      <c r="I9486">
        <v>42</v>
      </c>
      <c r="J9486" t="s">
        <v>462</v>
      </c>
      <c r="K9486" t="s">
        <v>446</v>
      </c>
      <c r="M9486">
        <v>3711</v>
      </c>
    </row>
    <row r="9487" spans="1:14">
      <c r="A9487">
        <v>60025160</v>
      </c>
      <c r="B9487">
        <v>4010576</v>
      </c>
      <c r="C9487" t="s">
        <v>12832</v>
      </c>
      <c r="D9487" t="s">
        <v>441</v>
      </c>
      <c r="F9487">
        <v>0</v>
      </c>
      <c r="G9487">
        <v>10.49</v>
      </c>
      <c r="H9487" t="s">
        <v>8587</v>
      </c>
      <c r="I9487">
        <v>42</v>
      </c>
      <c r="J9487" t="s">
        <v>462</v>
      </c>
      <c r="K9487" t="s">
        <v>446</v>
      </c>
      <c r="M9487">
        <v>3711</v>
      </c>
    </row>
    <row r="9488" spans="1:14">
      <c r="A9488">
        <v>60030000</v>
      </c>
      <c r="B9488">
        <v>3016748</v>
      </c>
      <c r="C9488" t="s">
        <v>4143</v>
      </c>
      <c r="D9488" t="s">
        <v>441</v>
      </c>
      <c r="F9488">
        <v>0</v>
      </c>
      <c r="G9488">
        <v>9.6199999999999992</v>
      </c>
      <c r="H9488" t="s">
        <v>8580</v>
      </c>
      <c r="I9488">
        <v>6</v>
      </c>
      <c r="J9488" t="s">
        <v>445</v>
      </c>
      <c r="M9488">
        <v>3349</v>
      </c>
      <c r="N9488" t="s">
        <v>16611</v>
      </c>
    </row>
    <row r="9489" spans="1:14">
      <c r="A9489">
        <v>60030008</v>
      </c>
      <c r="B9489">
        <v>3016749</v>
      </c>
      <c r="C9489" t="s">
        <v>4144</v>
      </c>
      <c r="D9489" t="s">
        <v>441</v>
      </c>
      <c r="F9489">
        <v>0</v>
      </c>
      <c r="G9489">
        <v>11.04</v>
      </c>
      <c r="H9489" t="s">
        <v>8580</v>
      </c>
      <c r="I9489">
        <v>5</v>
      </c>
      <c r="J9489" t="s">
        <v>445</v>
      </c>
      <c r="M9489">
        <v>6666</v>
      </c>
      <c r="N9489" t="s">
        <v>16612</v>
      </c>
    </row>
    <row r="9490" spans="1:14">
      <c r="A9490">
        <v>60034110</v>
      </c>
      <c r="B9490">
        <v>4009924</v>
      </c>
      <c r="C9490" t="s">
        <v>4145</v>
      </c>
      <c r="D9490" t="s">
        <v>441</v>
      </c>
      <c r="F9490">
        <v>0</v>
      </c>
      <c r="G9490">
        <v>11.78</v>
      </c>
      <c r="H9490" t="s">
        <v>8587</v>
      </c>
      <c r="I9490">
        <v>42</v>
      </c>
      <c r="J9490" t="s">
        <v>462</v>
      </c>
      <c r="K9490" t="s">
        <v>446</v>
      </c>
      <c r="M9490">
        <v>3711</v>
      </c>
    </row>
    <row r="9491" spans="1:14">
      <c r="A9491">
        <v>60034120</v>
      </c>
      <c r="B9491">
        <v>4010038</v>
      </c>
      <c r="C9491" t="s">
        <v>4146</v>
      </c>
      <c r="D9491" t="s">
        <v>441</v>
      </c>
      <c r="F9491">
        <v>0</v>
      </c>
      <c r="G9491">
        <v>10.66</v>
      </c>
      <c r="H9491" t="s">
        <v>8587</v>
      </c>
      <c r="I9491">
        <v>42</v>
      </c>
      <c r="J9491" t="s">
        <v>462</v>
      </c>
      <c r="K9491" t="s">
        <v>446</v>
      </c>
      <c r="M9491">
        <v>3711</v>
      </c>
      <c r="N9491" t="s">
        <v>16611</v>
      </c>
    </row>
    <row r="9492" spans="1:14">
      <c r="A9492">
        <v>60034130</v>
      </c>
      <c r="B9492">
        <v>4016165</v>
      </c>
      <c r="C9492" t="s">
        <v>15529</v>
      </c>
      <c r="D9492" t="s">
        <v>441</v>
      </c>
      <c r="F9492">
        <v>0</v>
      </c>
      <c r="G9492">
        <v>18.03</v>
      </c>
      <c r="H9492" t="s">
        <v>8587</v>
      </c>
      <c r="I9492">
        <v>42</v>
      </c>
      <c r="J9492" t="s">
        <v>462</v>
      </c>
      <c r="M9492">
        <v>7108</v>
      </c>
      <c r="N9492" t="s">
        <v>16611</v>
      </c>
    </row>
    <row r="9493" spans="1:14">
      <c r="A9493">
        <v>60034140</v>
      </c>
      <c r="B9493">
        <v>4018386</v>
      </c>
      <c r="C9493" t="s">
        <v>4147</v>
      </c>
      <c r="D9493" t="s">
        <v>441</v>
      </c>
      <c r="F9493">
        <v>0</v>
      </c>
      <c r="G9493">
        <v>11.05</v>
      </c>
      <c r="H9493" t="s">
        <v>8587</v>
      </c>
      <c r="I9493">
        <v>42</v>
      </c>
      <c r="J9493" t="s">
        <v>462</v>
      </c>
      <c r="M9493">
        <v>7108</v>
      </c>
      <c r="N9493" t="s">
        <v>16611</v>
      </c>
    </row>
    <row r="9494" spans="1:14">
      <c r="A9494">
        <v>60034150</v>
      </c>
      <c r="B9494">
        <v>4024032</v>
      </c>
      <c r="C9494" t="s">
        <v>4148</v>
      </c>
      <c r="D9494" t="s">
        <v>441</v>
      </c>
      <c r="F9494">
        <v>0</v>
      </c>
      <c r="G9494">
        <v>15.22</v>
      </c>
      <c r="H9494" t="s">
        <v>8587</v>
      </c>
      <c r="I9494">
        <v>42</v>
      </c>
      <c r="J9494" t="s">
        <v>462</v>
      </c>
      <c r="M9494">
        <v>7108</v>
      </c>
      <c r="N9494" t="s">
        <v>16611</v>
      </c>
    </row>
    <row r="9495" spans="1:14">
      <c r="A9495">
        <v>60034160</v>
      </c>
      <c r="B9495">
        <v>4029179</v>
      </c>
      <c r="C9495" t="s">
        <v>14533</v>
      </c>
      <c r="D9495" t="s">
        <v>441</v>
      </c>
      <c r="F9495">
        <v>0</v>
      </c>
      <c r="G9495">
        <v>16.91</v>
      </c>
      <c r="H9495" t="s">
        <v>8587</v>
      </c>
      <c r="I9495">
        <v>42</v>
      </c>
      <c r="J9495" t="s">
        <v>462</v>
      </c>
      <c r="L9495" t="s">
        <v>16613</v>
      </c>
      <c r="M9495">
        <v>7108</v>
      </c>
      <c r="N9495" t="s">
        <v>16611</v>
      </c>
    </row>
    <row r="9496" spans="1:14">
      <c r="A9496">
        <v>60035110</v>
      </c>
      <c r="B9496">
        <v>4009130</v>
      </c>
      <c r="C9496" t="s">
        <v>15325</v>
      </c>
      <c r="D9496" t="s">
        <v>441</v>
      </c>
      <c r="F9496">
        <v>0</v>
      </c>
      <c r="G9496">
        <v>15.26</v>
      </c>
      <c r="H9496" t="s">
        <v>8587</v>
      </c>
      <c r="I9496">
        <v>42</v>
      </c>
      <c r="J9496" t="s">
        <v>462</v>
      </c>
      <c r="M9496">
        <v>7108</v>
      </c>
      <c r="N9496" t="s">
        <v>16611</v>
      </c>
    </row>
    <row r="9497" spans="1:14">
      <c r="A9497">
        <v>60035120</v>
      </c>
      <c r="B9497">
        <v>4009178</v>
      </c>
      <c r="C9497" t="s">
        <v>4149</v>
      </c>
      <c r="D9497" t="s">
        <v>441</v>
      </c>
      <c r="F9497">
        <v>0</v>
      </c>
      <c r="G9497">
        <v>13.71</v>
      </c>
      <c r="H9497" t="s">
        <v>8587</v>
      </c>
      <c r="I9497">
        <v>42</v>
      </c>
      <c r="J9497" t="s">
        <v>462</v>
      </c>
      <c r="M9497">
        <v>7108</v>
      </c>
      <c r="N9497" t="s">
        <v>16611</v>
      </c>
    </row>
    <row r="9498" spans="1:14">
      <c r="A9498">
        <v>60035130</v>
      </c>
      <c r="B9498">
        <v>4009179</v>
      </c>
      <c r="C9498" t="s">
        <v>4150</v>
      </c>
      <c r="D9498" t="s">
        <v>441</v>
      </c>
      <c r="F9498">
        <v>0</v>
      </c>
      <c r="G9498">
        <v>12.28</v>
      </c>
      <c r="H9498" t="s">
        <v>8587</v>
      </c>
      <c r="I9498">
        <v>42</v>
      </c>
      <c r="J9498" t="s">
        <v>462</v>
      </c>
      <c r="K9498" t="s">
        <v>446</v>
      </c>
      <c r="M9498">
        <v>3711</v>
      </c>
      <c r="N9498" t="s">
        <v>16614</v>
      </c>
    </row>
    <row r="9499" spans="1:14">
      <c r="A9499">
        <v>60035140</v>
      </c>
      <c r="B9499">
        <v>4009272</v>
      </c>
      <c r="C9499" t="s">
        <v>4151</v>
      </c>
      <c r="D9499" t="s">
        <v>441</v>
      </c>
      <c r="F9499">
        <v>0</v>
      </c>
      <c r="G9499">
        <v>11.28</v>
      </c>
      <c r="H9499" t="s">
        <v>8587</v>
      </c>
      <c r="I9499">
        <v>42</v>
      </c>
      <c r="J9499" t="s">
        <v>462</v>
      </c>
      <c r="K9499" t="s">
        <v>446</v>
      </c>
      <c r="M9499">
        <v>3711</v>
      </c>
    </row>
    <row r="9500" spans="1:14">
      <c r="A9500">
        <v>60035150</v>
      </c>
      <c r="B9500">
        <v>4009273</v>
      </c>
      <c r="C9500" t="s">
        <v>14534</v>
      </c>
      <c r="D9500" t="s">
        <v>441</v>
      </c>
      <c r="F9500">
        <v>0</v>
      </c>
      <c r="G9500">
        <v>15.47</v>
      </c>
      <c r="H9500" t="s">
        <v>8587</v>
      </c>
      <c r="I9500">
        <v>42</v>
      </c>
      <c r="J9500" t="s">
        <v>462</v>
      </c>
      <c r="M9500">
        <v>7108</v>
      </c>
      <c r="N9500" t="s">
        <v>16611</v>
      </c>
    </row>
    <row r="9501" spans="1:14">
      <c r="A9501">
        <v>60035160</v>
      </c>
      <c r="B9501">
        <v>4009335</v>
      </c>
      <c r="C9501" t="s">
        <v>4152</v>
      </c>
      <c r="D9501" t="s">
        <v>441</v>
      </c>
      <c r="F9501">
        <v>0</v>
      </c>
      <c r="G9501">
        <v>11.64</v>
      </c>
      <c r="H9501" t="s">
        <v>8587</v>
      </c>
      <c r="I9501">
        <v>42</v>
      </c>
      <c r="J9501" t="s">
        <v>462</v>
      </c>
      <c r="K9501" t="s">
        <v>446</v>
      </c>
      <c r="M9501">
        <v>3711</v>
      </c>
      <c r="N9501" t="s">
        <v>16611</v>
      </c>
    </row>
    <row r="9502" spans="1:14">
      <c r="A9502">
        <v>60035170</v>
      </c>
      <c r="B9502">
        <v>4009356</v>
      </c>
      <c r="C9502" t="s">
        <v>4153</v>
      </c>
      <c r="D9502" t="s">
        <v>441</v>
      </c>
      <c r="F9502">
        <v>0</v>
      </c>
      <c r="G9502">
        <v>10.98</v>
      </c>
      <c r="H9502" t="s">
        <v>8587</v>
      </c>
      <c r="I9502">
        <v>42</v>
      </c>
      <c r="J9502" t="s">
        <v>462</v>
      </c>
      <c r="K9502" t="s">
        <v>446</v>
      </c>
      <c r="M9502">
        <v>3711</v>
      </c>
    </row>
    <row r="9503" spans="1:14">
      <c r="A9503">
        <v>60035180</v>
      </c>
      <c r="B9503">
        <v>4009355</v>
      </c>
      <c r="C9503" t="s">
        <v>4154</v>
      </c>
      <c r="D9503" t="s">
        <v>441</v>
      </c>
      <c r="F9503">
        <v>0</v>
      </c>
      <c r="G9503">
        <v>12.45</v>
      </c>
      <c r="H9503" t="s">
        <v>8587</v>
      </c>
      <c r="I9503">
        <v>42</v>
      </c>
      <c r="J9503" t="s">
        <v>462</v>
      </c>
      <c r="K9503" t="s">
        <v>446</v>
      </c>
      <c r="M9503">
        <v>3711</v>
      </c>
    </row>
    <row r="9504" spans="1:14">
      <c r="A9504">
        <v>60035190</v>
      </c>
      <c r="B9504">
        <v>4009612</v>
      </c>
      <c r="C9504" t="s">
        <v>4155</v>
      </c>
      <c r="D9504" t="s">
        <v>441</v>
      </c>
      <c r="F9504">
        <v>0</v>
      </c>
      <c r="G9504">
        <v>12.42</v>
      </c>
      <c r="H9504" t="s">
        <v>8587</v>
      </c>
      <c r="I9504">
        <v>42</v>
      </c>
      <c r="J9504" t="s">
        <v>462</v>
      </c>
      <c r="K9504" t="s">
        <v>446</v>
      </c>
      <c r="M9504">
        <v>3711</v>
      </c>
    </row>
    <row r="9505" spans="1:14">
      <c r="A9505">
        <v>60035510</v>
      </c>
      <c r="B9505">
        <v>4009621</v>
      </c>
      <c r="C9505" t="s">
        <v>4156</v>
      </c>
      <c r="D9505" t="s">
        <v>441</v>
      </c>
      <c r="F9505">
        <v>0</v>
      </c>
      <c r="G9505">
        <v>17.27</v>
      </c>
      <c r="H9505" t="s">
        <v>8587</v>
      </c>
      <c r="I9505">
        <v>42</v>
      </c>
      <c r="J9505" t="s">
        <v>462</v>
      </c>
      <c r="K9505" t="s">
        <v>446</v>
      </c>
      <c r="M9505">
        <v>7108</v>
      </c>
      <c r="N9505" t="s">
        <v>16611</v>
      </c>
    </row>
    <row r="9506" spans="1:14">
      <c r="A9506">
        <v>60035520</v>
      </c>
      <c r="B9506">
        <v>4009644</v>
      </c>
      <c r="C9506" t="s">
        <v>15326</v>
      </c>
      <c r="D9506" t="s">
        <v>441</v>
      </c>
      <c r="F9506">
        <v>0</v>
      </c>
      <c r="G9506">
        <v>15.23</v>
      </c>
      <c r="H9506" t="s">
        <v>8587</v>
      </c>
      <c r="I9506">
        <v>42</v>
      </c>
      <c r="J9506" t="s">
        <v>462</v>
      </c>
      <c r="M9506">
        <v>7108</v>
      </c>
      <c r="N9506" t="s">
        <v>16611</v>
      </c>
    </row>
    <row r="9507" spans="1:14">
      <c r="A9507">
        <v>60035530</v>
      </c>
      <c r="B9507">
        <v>4009764</v>
      </c>
      <c r="C9507" t="s">
        <v>4157</v>
      </c>
      <c r="D9507" t="s">
        <v>441</v>
      </c>
      <c r="F9507">
        <v>0</v>
      </c>
      <c r="G9507">
        <v>11.33</v>
      </c>
      <c r="H9507" t="s">
        <v>8587</v>
      </c>
      <c r="I9507">
        <v>42</v>
      </c>
      <c r="J9507" t="s">
        <v>462</v>
      </c>
      <c r="K9507" t="s">
        <v>446</v>
      </c>
      <c r="M9507">
        <v>3711</v>
      </c>
    </row>
    <row r="9508" spans="1:14">
      <c r="A9508">
        <v>60035540</v>
      </c>
      <c r="B9508">
        <v>4009966</v>
      </c>
      <c r="C9508" t="s">
        <v>4158</v>
      </c>
      <c r="D9508" t="s">
        <v>441</v>
      </c>
      <c r="F9508">
        <v>0</v>
      </c>
      <c r="G9508">
        <v>10.55</v>
      </c>
      <c r="H9508" t="s">
        <v>8587</v>
      </c>
      <c r="I9508">
        <v>42</v>
      </c>
      <c r="J9508" t="s">
        <v>462</v>
      </c>
      <c r="K9508" t="s">
        <v>446</v>
      </c>
      <c r="M9508">
        <v>3711</v>
      </c>
    </row>
    <row r="9509" spans="1:14">
      <c r="A9509">
        <v>60035550</v>
      </c>
      <c r="B9509">
        <v>4010039</v>
      </c>
      <c r="C9509" t="s">
        <v>4159</v>
      </c>
      <c r="D9509" t="s">
        <v>441</v>
      </c>
      <c r="F9509">
        <v>0</v>
      </c>
      <c r="G9509">
        <v>10.29</v>
      </c>
      <c r="H9509" t="s">
        <v>8587</v>
      </c>
      <c r="I9509">
        <v>42</v>
      </c>
      <c r="J9509" t="s">
        <v>462</v>
      </c>
      <c r="K9509" t="s">
        <v>446</v>
      </c>
      <c r="M9509">
        <v>3711</v>
      </c>
      <c r="N9509" t="s">
        <v>16611</v>
      </c>
    </row>
    <row r="9510" spans="1:14">
      <c r="A9510">
        <v>60035560</v>
      </c>
      <c r="B9510">
        <v>4011402</v>
      </c>
      <c r="C9510" t="s">
        <v>4160</v>
      </c>
      <c r="D9510" t="s">
        <v>441</v>
      </c>
      <c r="F9510">
        <v>0</v>
      </c>
      <c r="G9510">
        <v>10.49</v>
      </c>
      <c r="H9510" t="s">
        <v>8587</v>
      </c>
      <c r="I9510">
        <v>42</v>
      </c>
      <c r="J9510" t="s">
        <v>462</v>
      </c>
      <c r="K9510" t="s">
        <v>446</v>
      </c>
      <c r="M9510">
        <v>3711</v>
      </c>
    </row>
    <row r="9511" spans="1:14">
      <c r="A9511">
        <v>60035570</v>
      </c>
      <c r="B9511">
        <v>4013428</v>
      </c>
      <c r="C9511" t="s">
        <v>4161</v>
      </c>
      <c r="D9511" t="s">
        <v>441</v>
      </c>
      <c r="F9511">
        <v>0</v>
      </c>
      <c r="G9511">
        <v>10.3</v>
      </c>
      <c r="H9511" t="s">
        <v>8587</v>
      </c>
      <c r="I9511">
        <v>44</v>
      </c>
      <c r="J9511" t="s">
        <v>462</v>
      </c>
      <c r="K9511" t="s">
        <v>446</v>
      </c>
      <c r="M9511">
        <v>3711</v>
      </c>
      <c r="N9511" t="s">
        <v>16611</v>
      </c>
    </row>
    <row r="9512" spans="1:14">
      <c r="A9512">
        <v>60035580</v>
      </c>
      <c r="B9512">
        <v>4013701</v>
      </c>
      <c r="C9512" t="s">
        <v>4162</v>
      </c>
      <c r="D9512" t="s">
        <v>441</v>
      </c>
      <c r="F9512">
        <v>0</v>
      </c>
      <c r="G9512">
        <v>12.27</v>
      </c>
      <c r="H9512" t="s">
        <v>8587</v>
      </c>
      <c r="I9512">
        <v>42</v>
      </c>
      <c r="J9512" t="s">
        <v>462</v>
      </c>
      <c r="K9512" t="s">
        <v>446</v>
      </c>
      <c r="M9512">
        <v>3711</v>
      </c>
      <c r="N9512" t="s">
        <v>16614</v>
      </c>
    </row>
    <row r="9513" spans="1:14">
      <c r="A9513">
        <v>60035590</v>
      </c>
      <c r="B9513">
        <v>4018090</v>
      </c>
      <c r="C9513" t="s">
        <v>4163</v>
      </c>
      <c r="D9513" t="s">
        <v>441</v>
      </c>
      <c r="F9513">
        <v>0</v>
      </c>
      <c r="G9513">
        <v>10.43</v>
      </c>
      <c r="H9513" t="s">
        <v>8587</v>
      </c>
      <c r="I9513">
        <v>42</v>
      </c>
      <c r="J9513" t="s">
        <v>462</v>
      </c>
      <c r="K9513" t="s">
        <v>446</v>
      </c>
      <c r="M9513">
        <v>0</v>
      </c>
      <c r="N9513" t="s">
        <v>16611</v>
      </c>
    </row>
    <row r="9514" spans="1:14">
      <c r="A9514">
        <v>60040000</v>
      </c>
      <c r="B9514">
        <v>3014197</v>
      </c>
      <c r="C9514" t="s">
        <v>12833</v>
      </c>
      <c r="D9514" t="s">
        <v>441</v>
      </c>
      <c r="F9514">
        <v>0</v>
      </c>
      <c r="G9514">
        <v>8.64</v>
      </c>
      <c r="H9514" t="s">
        <v>8584</v>
      </c>
      <c r="I9514">
        <v>6</v>
      </c>
      <c r="J9514" t="s">
        <v>445</v>
      </c>
      <c r="K9514" t="s">
        <v>446</v>
      </c>
      <c r="M9514">
        <v>3311</v>
      </c>
    </row>
    <row r="9515" spans="1:14">
      <c r="A9515">
        <v>60040008</v>
      </c>
      <c r="B9515">
        <v>3014210</v>
      </c>
      <c r="C9515" t="s">
        <v>12834</v>
      </c>
      <c r="D9515" t="s">
        <v>441</v>
      </c>
      <c r="F9515">
        <v>0</v>
      </c>
      <c r="G9515">
        <v>6.92</v>
      </c>
      <c r="H9515" t="s">
        <v>8580</v>
      </c>
      <c r="I9515">
        <v>5</v>
      </c>
      <c r="J9515" t="s">
        <v>445</v>
      </c>
      <c r="K9515" t="s">
        <v>446</v>
      </c>
      <c r="M9515">
        <v>3211</v>
      </c>
    </row>
    <row r="9516" spans="1:14">
      <c r="A9516">
        <v>60044110</v>
      </c>
      <c r="B9516">
        <v>4010176</v>
      </c>
      <c r="C9516" t="s">
        <v>12835</v>
      </c>
      <c r="D9516" t="s">
        <v>441</v>
      </c>
      <c r="F9516">
        <v>0</v>
      </c>
      <c r="G9516">
        <v>9.92</v>
      </c>
      <c r="H9516" t="s">
        <v>8587</v>
      </c>
      <c r="I9516">
        <v>42</v>
      </c>
      <c r="J9516" t="s">
        <v>462</v>
      </c>
      <c r="K9516" t="s">
        <v>446</v>
      </c>
      <c r="M9516">
        <v>3711</v>
      </c>
    </row>
    <row r="9517" spans="1:14">
      <c r="A9517">
        <v>60050000</v>
      </c>
      <c r="B9517">
        <v>3023389</v>
      </c>
      <c r="C9517" t="s">
        <v>14535</v>
      </c>
      <c r="D9517" t="s">
        <v>441</v>
      </c>
      <c r="F9517">
        <v>0</v>
      </c>
      <c r="G9517">
        <v>20.62</v>
      </c>
      <c r="H9517" t="s">
        <v>8580</v>
      </c>
      <c r="I9517">
        <v>6</v>
      </c>
      <c r="J9517" t="s">
        <v>445</v>
      </c>
      <c r="K9517" t="s">
        <v>446</v>
      </c>
      <c r="M9517">
        <v>3349</v>
      </c>
      <c r="N9517" t="s">
        <v>16615</v>
      </c>
    </row>
    <row r="9518" spans="1:14">
      <c r="A9518">
        <v>60050008</v>
      </c>
      <c r="B9518">
        <v>3023388</v>
      </c>
      <c r="C9518" t="s">
        <v>14536</v>
      </c>
      <c r="D9518" t="s">
        <v>441</v>
      </c>
      <c r="F9518">
        <v>0</v>
      </c>
      <c r="G9518">
        <v>15.54</v>
      </c>
      <c r="H9518" t="s">
        <v>8580</v>
      </c>
      <c r="I9518">
        <v>2</v>
      </c>
      <c r="J9518" t="s">
        <v>445</v>
      </c>
      <c r="K9518" t="s">
        <v>446</v>
      </c>
      <c r="M9518">
        <v>6666</v>
      </c>
      <c r="N9518" t="s">
        <v>16616</v>
      </c>
    </row>
    <row r="9519" spans="1:14">
      <c r="A9519">
        <v>60054110</v>
      </c>
      <c r="B9519">
        <v>4015469</v>
      </c>
      <c r="C9519" t="s">
        <v>4164</v>
      </c>
      <c r="D9519" t="s">
        <v>441</v>
      </c>
      <c r="F9519">
        <v>0</v>
      </c>
      <c r="G9519">
        <v>19.32</v>
      </c>
      <c r="H9519" t="s">
        <v>8587</v>
      </c>
      <c r="I9519">
        <v>28</v>
      </c>
      <c r="J9519" t="s">
        <v>462</v>
      </c>
      <c r="K9519" t="s">
        <v>446</v>
      </c>
      <c r="M9519">
        <v>3711</v>
      </c>
      <c r="N9519" t="s">
        <v>16617</v>
      </c>
    </row>
    <row r="9520" spans="1:14">
      <c r="A9520">
        <v>60055110</v>
      </c>
      <c r="B9520">
        <v>4017862</v>
      </c>
      <c r="C9520" t="s">
        <v>4165</v>
      </c>
      <c r="D9520" t="s">
        <v>441</v>
      </c>
      <c r="F9520">
        <v>0</v>
      </c>
      <c r="G9520">
        <v>18.04</v>
      </c>
      <c r="H9520" t="s">
        <v>8587</v>
      </c>
      <c r="I9520">
        <v>28</v>
      </c>
      <c r="J9520" t="s">
        <v>462</v>
      </c>
      <c r="K9520" t="s">
        <v>446</v>
      </c>
      <c r="M9520">
        <v>3711</v>
      </c>
      <c r="N9520" t="s">
        <v>16617</v>
      </c>
    </row>
    <row r="9521" spans="1:14">
      <c r="A9521">
        <v>60060000</v>
      </c>
      <c r="B9521">
        <v>3024855</v>
      </c>
      <c r="C9521" t="s">
        <v>4166</v>
      </c>
      <c r="D9521" t="s">
        <v>441</v>
      </c>
      <c r="F9521">
        <v>0</v>
      </c>
      <c r="G9521">
        <v>11.01</v>
      </c>
      <c r="H9521" t="s">
        <v>8580</v>
      </c>
      <c r="I9521">
        <v>6</v>
      </c>
      <c r="J9521" t="s">
        <v>445</v>
      </c>
      <c r="K9521" t="s">
        <v>446</v>
      </c>
      <c r="M9521">
        <v>3311</v>
      </c>
      <c r="N9521" t="s">
        <v>16618</v>
      </c>
    </row>
    <row r="9522" spans="1:14">
      <c r="A9522">
        <v>60060008</v>
      </c>
      <c r="B9522">
        <v>3024854</v>
      </c>
      <c r="C9522" t="s">
        <v>4167</v>
      </c>
      <c r="D9522" t="s">
        <v>441</v>
      </c>
      <c r="F9522">
        <v>0</v>
      </c>
      <c r="G9522">
        <v>8.6999999999999993</v>
      </c>
      <c r="I9522">
        <v>5</v>
      </c>
      <c r="J9522" t="s">
        <v>445</v>
      </c>
      <c r="K9522" t="s">
        <v>446</v>
      </c>
      <c r="M9522">
        <v>3211</v>
      </c>
      <c r="N9522" t="s">
        <v>16619</v>
      </c>
    </row>
    <row r="9523" spans="1:14">
      <c r="A9523">
        <v>60065110</v>
      </c>
      <c r="B9523">
        <v>4016387</v>
      </c>
      <c r="C9523" t="s">
        <v>4168</v>
      </c>
      <c r="D9523" t="s">
        <v>441</v>
      </c>
      <c r="F9523">
        <v>0</v>
      </c>
      <c r="G9523">
        <v>11.4</v>
      </c>
      <c r="H9523" t="s">
        <v>8587</v>
      </c>
      <c r="I9523">
        <v>42</v>
      </c>
      <c r="J9523" t="s">
        <v>462</v>
      </c>
      <c r="K9523" t="s">
        <v>446</v>
      </c>
      <c r="M9523">
        <v>3711</v>
      </c>
      <c r="N9523" t="s">
        <v>16618</v>
      </c>
    </row>
    <row r="9524" spans="1:14">
      <c r="A9524">
        <v>60070000</v>
      </c>
      <c r="B9524">
        <v>3026688</v>
      </c>
      <c r="C9524" t="s">
        <v>4169</v>
      </c>
      <c r="D9524" t="s">
        <v>441</v>
      </c>
      <c r="F9524">
        <v>0</v>
      </c>
      <c r="G9524">
        <v>19.059999999999999</v>
      </c>
      <c r="H9524" t="s">
        <v>12573</v>
      </c>
      <c r="I9524">
        <v>6</v>
      </c>
      <c r="J9524" t="s">
        <v>445</v>
      </c>
      <c r="M9524">
        <v>3349</v>
      </c>
      <c r="N9524" t="s">
        <v>16620</v>
      </c>
    </row>
    <row r="9525" spans="1:14">
      <c r="A9525">
        <v>60070008</v>
      </c>
      <c r="B9525">
        <v>3015458</v>
      </c>
      <c r="C9525" t="s">
        <v>4170</v>
      </c>
      <c r="D9525" t="s">
        <v>441</v>
      </c>
      <c r="F9525">
        <v>0</v>
      </c>
      <c r="G9525">
        <v>15.58</v>
      </c>
      <c r="H9525" t="s">
        <v>12664</v>
      </c>
      <c r="I9525">
        <v>2</v>
      </c>
      <c r="J9525" t="s">
        <v>445</v>
      </c>
      <c r="M9525">
        <v>6666</v>
      </c>
      <c r="N9525" t="s">
        <v>16621</v>
      </c>
    </row>
    <row r="9526" spans="1:14">
      <c r="A9526">
        <v>60074110</v>
      </c>
      <c r="B9526">
        <v>4017777</v>
      </c>
      <c r="C9526" t="s">
        <v>4171</v>
      </c>
      <c r="D9526" t="s">
        <v>441</v>
      </c>
      <c r="F9526">
        <v>0</v>
      </c>
      <c r="G9526">
        <v>21.89</v>
      </c>
      <c r="H9526" t="s">
        <v>8587</v>
      </c>
      <c r="I9526">
        <v>42</v>
      </c>
      <c r="J9526" t="s">
        <v>462</v>
      </c>
      <c r="M9526">
        <v>7108</v>
      </c>
      <c r="N9526" t="s">
        <v>16622</v>
      </c>
    </row>
    <row r="9527" spans="1:14">
      <c r="A9527">
        <v>60074120</v>
      </c>
      <c r="B9527">
        <v>4024508</v>
      </c>
      <c r="C9527" t="s">
        <v>14537</v>
      </c>
      <c r="D9527" t="s">
        <v>441</v>
      </c>
      <c r="F9527">
        <v>0</v>
      </c>
      <c r="G9527">
        <v>21.3</v>
      </c>
      <c r="H9527" t="s">
        <v>8587</v>
      </c>
      <c r="I9527">
        <v>42</v>
      </c>
      <c r="J9527" t="s">
        <v>462</v>
      </c>
      <c r="M9527">
        <v>7108</v>
      </c>
      <c r="N9527" t="s">
        <v>16622</v>
      </c>
    </row>
    <row r="9528" spans="1:14">
      <c r="A9528">
        <v>60080000</v>
      </c>
      <c r="B9528">
        <v>3029318</v>
      </c>
      <c r="C9528" t="s">
        <v>4172</v>
      </c>
      <c r="D9528" t="s">
        <v>441</v>
      </c>
      <c r="F9528">
        <v>0</v>
      </c>
      <c r="G9528">
        <v>13.29</v>
      </c>
      <c r="H9528" t="s">
        <v>12573</v>
      </c>
      <c r="I9528">
        <v>6</v>
      </c>
      <c r="J9528" t="s">
        <v>445</v>
      </c>
      <c r="K9528" t="s">
        <v>446</v>
      </c>
      <c r="M9528">
        <v>3311</v>
      </c>
      <c r="N9528" t="s">
        <v>16623</v>
      </c>
    </row>
    <row r="9529" spans="1:14">
      <c r="A9529">
        <v>60080008</v>
      </c>
      <c r="B9529">
        <v>3029317</v>
      </c>
      <c r="C9529" t="s">
        <v>4173</v>
      </c>
      <c r="D9529" t="s">
        <v>441</v>
      </c>
      <c r="F9529">
        <v>0</v>
      </c>
      <c r="G9529">
        <v>11.06</v>
      </c>
      <c r="H9529" t="s">
        <v>12664</v>
      </c>
      <c r="I9529">
        <v>5</v>
      </c>
      <c r="J9529" t="s">
        <v>445</v>
      </c>
      <c r="K9529" t="s">
        <v>446</v>
      </c>
      <c r="M9529">
        <v>3221</v>
      </c>
      <c r="N9529" t="s">
        <v>16623</v>
      </c>
    </row>
    <row r="9530" spans="1:14">
      <c r="A9530">
        <v>60085110</v>
      </c>
      <c r="B9530">
        <v>4019482</v>
      </c>
      <c r="C9530" t="s">
        <v>4174</v>
      </c>
      <c r="D9530" t="s">
        <v>441</v>
      </c>
      <c r="F9530">
        <v>0</v>
      </c>
      <c r="G9530">
        <v>14.31</v>
      </c>
      <c r="H9530" t="s">
        <v>8587</v>
      </c>
      <c r="I9530">
        <v>25</v>
      </c>
      <c r="J9530" t="s">
        <v>462</v>
      </c>
      <c r="K9530" t="s">
        <v>446</v>
      </c>
      <c r="M9530">
        <v>3711</v>
      </c>
      <c r="N9530" t="s">
        <v>16623</v>
      </c>
    </row>
    <row r="9531" spans="1:14">
      <c r="A9531">
        <v>60210000</v>
      </c>
      <c r="B9531">
        <v>3008348</v>
      </c>
      <c r="C9531" t="s">
        <v>12836</v>
      </c>
      <c r="D9531" t="s">
        <v>441</v>
      </c>
      <c r="F9531">
        <v>0</v>
      </c>
      <c r="G9531">
        <v>10.79</v>
      </c>
      <c r="H9531" t="s">
        <v>8634</v>
      </c>
      <c r="I9531">
        <v>28</v>
      </c>
      <c r="J9531" t="s">
        <v>445</v>
      </c>
      <c r="K9531" t="s">
        <v>446</v>
      </c>
      <c r="M9531">
        <v>3311</v>
      </c>
    </row>
    <row r="9532" spans="1:14">
      <c r="A9532">
        <v>60210008</v>
      </c>
      <c r="B9532">
        <v>3008349</v>
      </c>
      <c r="C9532" t="s">
        <v>12837</v>
      </c>
      <c r="D9532" t="s">
        <v>441</v>
      </c>
      <c r="F9532">
        <v>0</v>
      </c>
      <c r="G9532">
        <v>8.43</v>
      </c>
      <c r="H9532" t="s">
        <v>8634</v>
      </c>
      <c r="I9532">
        <v>9</v>
      </c>
      <c r="J9532" t="s">
        <v>445</v>
      </c>
      <c r="K9532" t="s">
        <v>446</v>
      </c>
      <c r="M9532">
        <v>3211</v>
      </c>
    </row>
    <row r="9533" spans="1:14">
      <c r="A9533">
        <v>60460000</v>
      </c>
      <c r="B9533">
        <v>3008350</v>
      </c>
      <c r="C9533" t="s">
        <v>12838</v>
      </c>
      <c r="D9533" t="s">
        <v>441</v>
      </c>
      <c r="F9533">
        <v>0</v>
      </c>
      <c r="G9533">
        <v>10.74</v>
      </c>
      <c r="H9533" t="s">
        <v>8634</v>
      </c>
      <c r="I9533">
        <v>28</v>
      </c>
      <c r="J9533" t="s">
        <v>445</v>
      </c>
      <c r="K9533" t="s">
        <v>446</v>
      </c>
      <c r="M9533">
        <v>3311</v>
      </c>
    </row>
    <row r="9534" spans="1:14">
      <c r="A9534">
        <v>60460008</v>
      </c>
      <c r="B9534">
        <v>3008351</v>
      </c>
      <c r="C9534" t="s">
        <v>12839</v>
      </c>
      <c r="D9534" t="s">
        <v>441</v>
      </c>
      <c r="F9534">
        <v>0</v>
      </c>
      <c r="G9534">
        <v>8.3800000000000008</v>
      </c>
      <c r="H9534" t="s">
        <v>8634</v>
      </c>
      <c r="I9534">
        <v>9</v>
      </c>
      <c r="J9534" t="s">
        <v>445</v>
      </c>
      <c r="K9534" t="s">
        <v>446</v>
      </c>
      <c r="M9534">
        <v>3211</v>
      </c>
    </row>
    <row r="9535" spans="1:14">
      <c r="A9535">
        <v>60465110</v>
      </c>
      <c r="B9535">
        <v>4005822</v>
      </c>
      <c r="C9535" t="s">
        <v>12840</v>
      </c>
      <c r="D9535" t="s">
        <v>441</v>
      </c>
      <c r="F9535">
        <v>0</v>
      </c>
      <c r="G9535">
        <v>11.78</v>
      </c>
      <c r="H9535" t="s">
        <v>8587</v>
      </c>
      <c r="I9535">
        <v>35</v>
      </c>
      <c r="J9535" t="s">
        <v>462</v>
      </c>
      <c r="K9535" t="s">
        <v>446</v>
      </c>
      <c r="M9535">
        <v>3711</v>
      </c>
    </row>
    <row r="9536" spans="1:14">
      <c r="A9536">
        <v>60465120</v>
      </c>
      <c r="B9536">
        <v>4005825</v>
      </c>
      <c r="C9536" t="s">
        <v>12841</v>
      </c>
      <c r="D9536" t="s">
        <v>441</v>
      </c>
      <c r="F9536">
        <v>0</v>
      </c>
      <c r="G9536">
        <v>12.06</v>
      </c>
      <c r="H9536" t="s">
        <v>8587</v>
      </c>
      <c r="I9536">
        <v>35</v>
      </c>
      <c r="J9536" t="s">
        <v>462</v>
      </c>
      <c r="K9536" t="s">
        <v>446</v>
      </c>
      <c r="M9536">
        <v>3711</v>
      </c>
    </row>
    <row r="9537" spans="1:14">
      <c r="A9537">
        <v>60470000</v>
      </c>
      <c r="B9537">
        <v>3008352</v>
      </c>
      <c r="C9537" t="s">
        <v>12842</v>
      </c>
      <c r="D9537" t="s">
        <v>441</v>
      </c>
      <c r="F9537">
        <v>0</v>
      </c>
      <c r="G9537">
        <v>10.71</v>
      </c>
      <c r="H9537" t="s">
        <v>8634</v>
      </c>
      <c r="I9537">
        <v>28</v>
      </c>
      <c r="J9537" t="s">
        <v>445</v>
      </c>
      <c r="K9537" t="s">
        <v>446</v>
      </c>
      <c r="M9537">
        <v>3311</v>
      </c>
    </row>
    <row r="9538" spans="1:14">
      <c r="A9538">
        <v>60470008</v>
      </c>
      <c r="B9538">
        <v>3008353</v>
      </c>
      <c r="C9538" t="s">
        <v>12843</v>
      </c>
      <c r="D9538" t="s">
        <v>441</v>
      </c>
      <c r="F9538">
        <v>0</v>
      </c>
      <c r="G9538">
        <v>8.35</v>
      </c>
      <c r="H9538" t="s">
        <v>8634</v>
      </c>
      <c r="I9538">
        <v>9</v>
      </c>
      <c r="J9538" t="s">
        <v>445</v>
      </c>
      <c r="K9538" t="s">
        <v>446</v>
      </c>
      <c r="M9538">
        <v>3211</v>
      </c>
    </row>
    <row r="9539" spans="1:14">
      <c r="A9539">
        <v>60475110</v>
      </c>
      <c r="B9539">
        <v>4005823</v>
      </c>
      <c r="C9539" t="s">
        <v>12844</v>
      </c>
      <c r="D9539" t="s">
        <v>441</v>
      </c>
      <c r="F9539">
        <v>0</v>
      </c>
      <c r="G9539">
        <v>11.74</v>
      </c>
      <c r="H9539" t="s">
        <v>8587</v>
      </c>
      <c r="I9539">
        <v>35</v>
      </c>
      <c r="J9539" t="s">
        <v>462</v>
      </c>
      <c r="K9539" t="s">
        <v>446</v>
      </c>
      <c r="M9539">
        <v>3711</v>
      </c>
    </row>
    <row r="9540" spans="1:14">
      <c r="A9540">
        <v>60475120</v>
      </c>
      <c r="B9540">
        <v>4005824</v>
      </c>
      <c r="C9540" t="s">
        <v>12845</v>
      </c>
      <c r="D9540" t="s">
        <v>441</v>
      </c>
      <c r="F9540">
        <v>0</v>
      </c>
      <c r="G9540">
        <v>11.74</v>
      </c>
      <c r="H9540" t="s">
        <v>8587</v>
      </c>
      <c r="I9540">
        <v>35</v>
      </c>
      <c r="J9540" t="s">
        <v>462</v>
      </c>
      <c r="K9540" t="s">
        <v>446</v>
      </c>
      <c r="M9540">
        <v>3711</v>
      </c>
    </row>
    <row r="9541" spans="1:14">
      <c r="A9541">
        <v>60500000</v>
      </c>
      <c r="B9541">
        <v>3016821</v>
      </c>
      <c r="C9541" t="s">
        <v>12846</v>
      </c>
      <c r="D9541" t="s">
        <v>441</v>
      </c>
      <c r="F9541">
        <v>0</v>
      </c>
      <c r="G9541">
        <v>14.65</v>
      </c>
      <c r="I9541">
        <v>6</v>
      </c>
      <c r="J9541" t="s">
        <v>445</v>
      </c>
      <c r="K9541" t="s">
        <v>446</v>
      </c>
      <c r="M9541">
        <v>3311</v>
      </c>
    </row>
    <row r="9542" spans="1:14">
      <c r="A9542">
        <v>60500008</v>
      </c>
      <c r="B9542">
        <v>3016817</v>
      </c>
      <c r="C9542" t="s">
        <v>12847</v>
      </c>
      <c r="D9542" t="s">
        <v>441</v>
      </c>
      <c r="F9542">
        <v>0</v>
      </c>
      <c r="G9542">
        <v>10.87</v>
      </c>
      <c r="H9542" t="s">
        <v>8627</v>
      </c>
      <c r="I9542">
        <v>5</v>
      </c>
      <c r="J9542" t="s">
        <v>445</v>
      </c>
      <c r="K9542" t="s">
        <v>446</v>
      </c>
      <c r="M9542">
        <v>3211</v>
      </c>
    </row>
    <row r="9543" spans="1:14">
      <c r="A9543">
        <v>60504110</v>
      </c>
      <c r="B9543">
        <v>4011126</v>
      </c>
      <c r="C9543" t="s">
        <v>4175</v>
      </c>
      <c r="D9543" t="s">
        <v>442</v>
      </c>
      <c r="E9543" t="s">
        <v>441</v>
      </c>
      <c r="F9543">
        <v>0.4</v>
      </c>
      <c r="G9543">
        <v>5.87</v>
      </c>
      <c r="H9543" t="s">
        <v>8587</v>
      </c>
      <c r="I9543">
        <v>28</v>
      </c>
      <c r="J9543" t="s">
        <v>462</v>
      </c>
      <c r="K9543" t="s">
        <v>446</v>
      </c>
      <c r="M9543">
        <v>3711</v>
      </c>
    </row>
    <row r="9544" spans="1:14">
      <c r="A9544">
        <v>60510000</v>
      </c>
      <c r="B9544">
        <v>3016877</v>
      </c>
      <c r="C9544" t="s">
        <v>4176</v>
      </c>
      <c r="D9544" t="s">
        <v>441</v>
      </c>
      <c r="F9544">
        <v>0</v>
      </c>
      <c r="G9544">
        <v>11.15</v>
      </c>
      <c r="H9544" t="s">
        <v>8584</v>
      </c>
      <c r="I9544">
        <v>6</v>
      </c>
      <c r="J9544" t="s">
        <v>445</v>
      </c>
      <c r="K9544" t="s">
        <v>446</v>
      </c>
      <c r="M9544">
        <v>3311</v>
      </c>
    </row>
    <row r="9545" spans="1:14">
      <c r="A9545">
        <v>60510008</v>
      </c>
      <c r="B9545">
        <v>3016876</v>
      </c>
      <c r="C9545" t="s">
        <v>4177</v>
      </c>
      <c r="D9545" t="s">
        <v>441</v>
      </c>
      <c r="F9545">
        <v>0</v>
      </c>
      <c r="G9545">
        <v>8.91</v>
      </c>
      <c r="H9545" t="s">
        <v>8634</v>
      </c>
      <c r="I9545">
        <v>5</v>
      </c>
      <c r="J9545" t="s">
        <v>445</v>
      </c>
      <c r="K9545" t="s">
        <v>446</v>
      </c>
      <c r="M9545">
        <v>3211</v>
      </c>
    </row>
    <row r="9546" spans="1:14">
      <c r="A9546">
        <v>60515110</v>
      </c>
      <c r="B9546">
        <v>4011143</v>
      </c>
      <c r="C9546" t="s">
        <v>4178</v>
      </c>
      <c r="D9546" t="s">
        <v>441</v>
      </c>
      <c r="F9546">
        <v>0</v>
      </c>
      <c r="G9546">
        <v>12.55</v>
      </c>
      <c r="H9546" t="s">
        <v>8587</v>
      </c>
      <c r="I9546">
        <v>44</v>
      </c>
      <c r="J9546" t="s">
        <v>462</v>
      </c>
      <c r="K9546" t="s">
        <v>446</v>
      </c>
      <c r="M9546">
        <v>3711</v>
      </c>
    </row>
    <row r="9547" spans="1:14">
      <c r="A9547">
        <v>60650000</v>
      </c>
      <c r="B9547">
        <v>3021892</v>
      </c>
      <c r="C9547" t="s">
        <v>4179</v>
      </c>
      <c r="D9547" t="s">
        <v>441</v>
      </c>
      <c r="F9547">
        <v>0</v>
      </c>
      <c r="G9547">
        <v>15.91</v>
      </c>
      <c r="H9547" t="s">
        <v>12573</v>
      </c>
      <c r="I9547">
        <v>6</v>
      </c>
      <c r="J9547" t="s">
        <v>445</v>
      </c>
      <c r="M9547">
        <v>3311</v>
      </c>
    </row>
    <row r="9548" spans="1:14">
      <c r="A9548">
        <v>60650008</v>
      </c>
      <c r="B9548">
        <v>3021891</v>
      </c>
      <c r="C9548" t="s">
        <v>4180</v>
      </c>
      <c r="D9548" t="s">
        <v>441</v>
      </c>
      <c r="F9548">
        <v>0</v>
      </c>
      <c r="G9548">
        <v>13.13</v>
      </c>
      <c r="H9548" t="s">
        <v>12664</v>
      </c>
      <c r="I9548">
        <v>9</v>
      </c>
      <c r="J9548" t="s">
        <v>445</v>
      </c>
      <c r="M9548">
        <v>3211</v>
      </c>
      <c r="N9548" t="s">
        <v>16033</v>
      </c>
    </row>
    <row r="9549" spans="1:14">
      <c r="A9549">
        <v>60655110</v>
      </c>
      <c r="B9549">
        <v>3022078</v>
      </c>
      <c r="C9549" t="s">
        <v>4181</v>
      </c>
      <c r="D9549" t="s">
        <v>441</v>
      </c>
      <c r="F9549">
        <v>0</v>
      </c>
      <c r="G9549">
        <v>16.43</v>
      </c>
      <c r="H9549" t="s">
        <v>8587</v>
      </c>
      <c r="I9549">
        <v>8</v>
      </c>
      <c r="J9549" t="s">
        <v>445</v>
      </c>
      <c r="M9549">
        <v>3711</v>
      </c>
    </row>
    <row r="9550" spans="1:14">
      <c r="A9550">
        <v>60655120</v>
      </c>
      <c r="B9550">
        <v>4015803</v>
      </c>
      <c r="C9550" t="s">
        <v>4182</v>
      </c>
      <c r="D9550" t="s">
        <v>441</v>
      </c>
      <c r="F9550">
        <v>0</v>
      </c>
      <c r="G9550">
        <v>16.61</v>
      </c>
      <c r="H9550" t="s">
        <v>8587</v>
      </c>
      <c r="I9550">
        <v>45</v>
      </c>
      <c r="J9550" t="s">
        <v>462</v>
      </c>
      <c r="M9550">
        <v>0</v>
      </c>
    </row>
    <row r="9551" spans="1:14">
      <c r="A9551">
        <v>60660000</v>
      </c>
      <c r="B9551">
        <v>3044554</v>
      </c>
      <c r="C9551" t="s">
        <v>15206</v>
      </c>
      <c r="D9551" t="s">
        <v>441</v>
      </c>
      <c r="F9551">
        <v>0</v>
      </c>
      <c r="G9551">
        <v>13.02</v>
      </c>
      <c r="H9551" t="s">
        <v>12573</v>
      </c>
      <c r="I9551">
        <v>64</v>
      </c>
      <c r="J9551" t="s">
        <v>445</v>
      </c>
      <c r="M9551">
        <v>3349</v>
      </c>
      <c r="N9551" t="s">
        <v>16624</v>
      </c>
    </row>
    <row r="9552" spans="1:14">
      <c r="A9552">
        <v>60660008</v>
      </c>
      <c r="B9552">
        <v>3044553</v>
      </c>
      <c r="C9552" t="s">
        <v>15207</v>
      </c>
      <c r="D9552" t="s">
        <v>441</v>
      </c>
      <c r="F9552">
        <v>0</v>
      </c>
      <c r="G9552">
        <v>12.04</v>
      </c>
      <c r="H9552" t="s">
        <v>12664</v>
      </c>
      <c r="I9552">
        <v>3</v>
      </c>
      <c r="J9552" t="s">
        <v>445</v>
      </c>
      <c r="M9552">
        <v>6666</v>
      </c>
    </row>
    <row r="9553" spans="1:14">
      <c r="A9553">
        <v>60662000</v>
      </c>
      <c r="B9553">
        <v>4029477</v>
      </c>
      <c r="C9553" t="s">
        <v>15208</v>
      </c>
      <c r="D9553" t="s">
        <v>441</v>
      </c>
      <c r="F9553">
        <v>0</v>
      </c>
      <c r="G9553">
        <v>13.9</v>
      </c>
      <c r="H9553" t="s">
        <v>8587</v>
      </c>
      <c r="I9553">
        <v>64</v>
      </c>
      <c r="J9553" t="s">
        <v>462</v>
      </c>
      <c r="M9553">
        <v>0</v>
      </c>
      <c r="N9553" t="s">
        <v>16625</v>
      </c>
    </row>
    <row r="9554" spans="1:14">
      <c r="A9554">
        <v>60670000</v>
      </c>
      <c r="B9554">
        <v>3016577</v>
      </c>
      <c r="C9554" t="s">
        <v>4183</v>
      </c>
      <c r="D9554" t="s">
        <v>441</v>
      </c>
      <c r="F9554">
        <v>0</v>
      </c>
      <c r="G9554">
        <v>11.49</v>
      </c>
      <c r="H9554" t="s">
        <v>8580</v>
      </c>
      <c r="I9554">
        <v>7</v>
      </c>
      <c r="J9554" t="s">
        <v>445</v>
      </c>
      <c r="K9554" t="s">
        <v>446</v>
      </c>
      <c r="M9554">
        <v>3311</v>
      </c>
      <c r="N9554" t="s">
        <v>16626</v>
      </c>
    </row>
    <row r="9555" spans="1:14">
      <c r="A9555">
        <v>60670008</v>
      </c>
      <c r="B9555">
        <v>3016578</v>
      </c>
      <c r="C9555" t="s">
        <v>4184</v>
      </c>
      <c r="D9555" t="s">
        <v>441</v>
      </c>
      <c r="F9555">
        <v>0</v>
      </c>
      <c r="G9555">
        <v>9.24</v>
      </c>
      <c r="H9555" t="s">
        <v>8580</v>
      </c>
      <c r="I9555">
        <v>9</v>
      </c>
      <c r="J9555" t="s">
        <v>445</v>
      </c>
      <c r="K9555" t="s">
        <v>446</v>
      </c>
      <c r="M9555">
        <v>3211</v>
      </c>
      <c r="N9555" t="s">
        <v>16627</v>
      </c>
    </row>
    <row r="9556" spans="1:14">
      <c r="A9556">
        <v>60674110</v>
      </c>
      <c r="B9556">
        <v>4004172</v>
      </c>
      <c r="C9556" t="s">
        <v>4185</v>
      </c>
      <c r="D9556" t="s">
        <v>441</v>
      </c>
      <c r="F9556">
        <v>0</v>
      </c>
      <c r="G9556">
        <v>12.54</v>
      </c>
      <c r="H9556" t="s">
        <v>8587</v>
      </c>
      <c r="I9556">
        <v>44</v>
      </c>
      <c r="J9556" t="s">
        <v>462</v>
      </c>
      <c r="K9556" t="s">
        <v>446</v>
      </c>
      <c r="M9556">
        <v>3711</v>
      </c>
      <c r="N9556" t="s">
        <v>16628</v>
      </c>
    </row>
    <row r="9557" spans="1:14">
      <c r="A9557">
        <v>60674120</v>
      </c>
      <c r="B9557">
        <v>4004173</v>
      </c>
      <c r="C9557" t="s">
        <v>4186</v>
      </c>
      <c r="D9557" t="s">
        <v>441</v>
      </c>
      <c r="F9557">
        <v>0</v>
      </c>
      <c r="G9557">
        <v>10.38</v>
      </c>
      <c r="H9557" t="s">
        <v>8587</v>
      </c>
      <c r="I9557">
        <v>44</v>
      </c>
      <c r="J9557" t="s">
        <v>462</v>
      </c>
      <c r="K9557" t="s">
        <v>446</v>
      </c>
      <c r="M9557">
        <v>3711</v>
      </c>
      <c r="N9557" t="s">
        <v>16626</v>
      </c>
    </row>
    <row r="9558" spans="1:14">
      <c r="A9558">
        <v>60674150</v>
      </c>
      <c r="B9558">
        <v>4001070</v>
      </c>
      <c r="C9558" t="s">
        <v>4187</v>
      </c>
      <c r="D9558" t="s">
        <v>441</v>
      </c>
      <c r="F9558">
        <v>0</v>
      </c>
      <c r="G9558">
        <v>10.08</v>
      </c>
      <c r="H9558" t="s">
        <v>8587</v>
      </c>
      <c r="I9558">
        <v>44</v>
      </c>
      <c r="J9558" t="s">
        <v>462</v>
      </c>
      <c r="K9558" t="s">
        <v>446</v>
      </c>
      <c r="M9558">
        <v>3711</v>
      </c>
      <c r="N9558" t="s">
        <v>16626</v>
      </c>
    </row>
    <row r="9559" spans="1:14">
      <c r="A9559">
        <v>60674160</v>
      </c>
      <c r="B9559">
        <v>4016311</v>
      </c>
      <c r="C9559" t="s">
        <v>4188</v>
      </c>
      <c r="D9559" t="s">
        <v>441</v>
      </c>
      <c r="F9559">
        <v>0</v>
      </c>
      <c r="G9559">
        <v>12.35</v>
      </c>
      <c r="H9559" t="s">
        <v>8587</v>
      </c>
      <c r="I9559">
        <v>44</v>
      </c>
      <c r="J9559" t="s">
        <v>462</v>
      </c>
      <c r="K9559" t="s">
        <v>446</v>
      </c>
      <c r="M9559">
        <v>3711</v>
      </c>
      <c r="N9559" t="s">
        <v>16628</v>
      </c>
    </row>
    <row r="9560" spans="1:14">
      <c r="A9560">
        <v>60674170</v>
      </c>
      <c r="B9560">
        <v>4008526</v>
      </c>
      <c r="C9560" t="s">
        <v>12848</v>
      </c>
      <c r="D9560" t="s">
        <v>441</v>
      </c>
      <c r="F9560">
        <v>0</v>
      </c>
      <c r="G9560">
        <v>13.47</v>
      </c>
      <c r="H9560" t="s">
        <v>8587</v>
      </c>
      <c r="I9560">
        <v>44</v>
      </c>
      <c r="J9560" t="s">
        <v>462</v>
      </c>
      <c r="K9560" t="s">
        <v>446</v>
      </c>
      <c r="M9560">
        <v>3711</v>
      </c>
    </row>
    <row r="9561" spans="1:14">
      <c r="A9561">
        <v>60675110</v>
      </c>
      <c r="B9561">
        <v>4001878</v>
      </c>
      <c r="C9561" t="s">
        <v>4189</v>
      </c>
      <c r="D9561" t="s">
        <v>441</v>
      </c>
      <c r="F9561">
        <v>0</v>
      </c>
      <c r="G9561">
        <v>11.9</v>
      </c>
      <c r="H9561" t="s">
        <v>8587</v>
      </c>
      <c r="I9561">
        <v>44</v>
      </c>
      <c r="J9561" t="s">
        <v>462</v>
      </c>
      <c r="K9561" t="s">
        <v>446</v>
      </c>
      <c r="M9561">
        <v>3711</v>
      </c>
    </row>
    <row r="9562" spans="1:14">
      <c r="A9562">
        <v>60675130</v>
      </c>
      <c r="B9562">
        <v>4004175</v>
      </c>
      <c r="C9562" t="s">
        <v>12849</v>
      </c>
      <c r="D9562" t="s">
        <v>441</v>
      </c>
      <c r="F9562">
        <v>0</v>
      </c>
      <c r="G9562">
        <v>12.44</v>
      </c>
      <c r="H9562" t="s">
        <v>8587</v>
      </c>
      <c r="I9562">
        <v>35</v>
      </c>
      <c r="J9562" t="s">
        <v>462</v>
      </c>
      <c r="K9562" t="s">
        <v>446</v>
      </c>
      <c r="M9562">
        <v>3711</v>
      </c>
    </row>
    <row r="9563" spans="1:14">
      <c r="A9563">
        <v>60675150</v>
      </c>
      <c r="B9563">
        <v>4004176</v>
      </c>
      <c r="C9563" t="s">
        <v>4190</v>
      </c>
      <c r="D9563" t="s">
        <v>441</v>
      </c>
      <c r="F9563">
        <v>0</v>
      </c>
      <c r="G9563">
        <v>12.3</v>
      </c>
      <c r="H9563" t="s">
        <v>8587</v>
      </c>
      <c r="I9563">
        <v>44</v>
      </c>
      <c r="J9563" t="s">
        <v>462</v>
      </c>
      <c r="K9563" t="s">
        <v>446</v>
      </c>
      <c r="M9563">
        <v>3711</v>
      </c>
    </row>
    <row r="9564" spans="1:14">
      <c r="A9564">
        <v>60675160</v>
      </c>
      <c r="B9564">
        <v>4008308</v>
      </c>
      <c r="C9564" t="s">
        <v>4191</v>
      </c>
      <c r="D9564" t="s">
        <v>441</v>
      </c>
      <c r="F9564">
        <v>0</v>
      </c>
      <c r="G9564">
        <v>13.29</v>
      </c>
      <c r="H9564" t="s">
        <v>8587</v>
      </c>
      <c r="I9564">
        <v>44</v>
      </c>
      <c r="J9564" t="s">
        <v>462</v>
      </c>
      <c r="K9564" t="s">
        <v>446</v>
      </c>
      <c r="M9564">
        <v>3711</v>
      </c>
    </row>
    <row r="9565" spans="1:14">
      <c r="A9565">
        <v>60675170</v>
      </c>
      <c r="B9565">
        <v>4008438</v>
      </c>
      <c r="C9565" t="s">
        <v>4192</v>
      </c>
      <c r="D9565" t="s">
        <v>441</v>
      </c>
      <c r="F9565">
        <v>0</v>
      </c>
      <c r="G9565">
        <v>12.85</v>
      </c>
      <c r="H9565" t="s">
        <v>8587</v>
      </c>
      <c r="I9565">
        <v>44</v>
      </c>
      <c r="J9565" t="s">
        <v>462</v>
      </c>
      <c r="K9565" t="s">
        <v>446</v>
      </c>
      <c r="M9565">
        <v>3711</v>
      </c>
    </row>
    <row r="9566" spans="1:14">
      <c r="A9566">
        <v>60675180</v>
      </c>
      <c r="B9566">
        <v>4008505</v>
      </c>
      <c r="C9566" t="s">
        <v>4193</v>
      </c>
      <c r="D9566" t="s">
        <v>441</v>
      </c>
      <c r="F9566">
        <v>0</v>
      </c>
      <c r="G9566">
        <v>10.73</v>
      </c>
      <c r="H9566" t="s">
        <v>8587</v>
      </c>
      <c r="I9566">
        <v>44</v>
      </c>
      <c r="J9566" t="s">
        <v>462</v>
      </c>
      <c r="K9566" t="s">
        <v>446</v>
      </c>
      <c r="M9566">
        <v>3711</v>
      </c>
    </row>
    <row r="9567" spans="1:14">
      <c r="A9567">
        <v>60675190</v>
      </c>
      <c r="B9567">
        <v>4009784</v>
      </c>
      <c r="C9567" t="s">
        <v>4194</v>
      </c>
      <c r="D9567" t="s">
        <v>441</v>
      </c>
      <c r="F9567">
        <v>0</v>
      </c>
      <c r="G9567">
        <v>12.86</v>
      </c>
      <c r="H9567" t="s">
        <v>8587</v>
      </c>
      <c r="I9567">
        <v>44</v>
      </c>
      <c r="J9567" t="s">
        <v>462</v>
      </c>
      <c r="K9567" t="s">
        <v>446</v>
      </c>
      <c r="M9567">
        <v>3711</v>
      </c>
      <c r="N9567" t="s">
        <v>16628</v>
      </c>
    </row>
    <row r="9568" spans="1:14">
      <c r="A9568">
        <v>60680000</v>
      </c>
      <c r="B9568">
        <v>3034720</v>
      </c>
      <c r="C9568" t="s">
        <v>4195</v>
      </c>
      <c r="D9568" t="s">
        <v>441</v>
      </c>
      <c r="F9568">
        <v>0</v>
      </c>
      <c r="G9568">
        <v>12.89</v>
      </c>
      <c r="H9568" t="s">
        <v>12573</v>
      </c>
      <c r="I9568">
        <v>64</v>
      </c>
      <c r="J9568" t="s">
        <v>445</v>
      </c>
      <c r="M9568">
        <v>3349</v>
      </c>
      <c r="N9568" t="s">
        <v>16624</v>
      </c>
    </row>
    <row r="9569" spans="1:14">
      <c r="A9569">
        <v>60680008</v>
      </c>
      <c r="B9569">
        <v>3034730</v>
      </c>
      <c r="C9569" t="s">
        <v>4196</v>
      </c>
      <c r="D9569" t="s">
        <v>441</v>
      </c>
      <c r="F9569">
        <v>0</v>
      </c>
      <c r="G9569">
        <v>12.04</v>
      </c>
      <c r="H9569" t="s">
        <v>12664</v>
      </c>
      <c r="I9569">
        <v>3</v>
      </c>
      <c r="J9569" t="s">
        <v>445</v>
      </c>
      <c r="M9569">
        <v>6666</v>
      </c>
      <c r="N9569" t="s">
        <v>16629</v>
      </c>
    </row>
    <row r="9570" spans="1:14">
      <c r="A9570">
        <v>60682000</v>
      </c>
      <c r="B9570">
        <v>4023326</v>
      </c>
      <c r="C9570" t="s">
        <v>15209</v>
      </c>
      <c r="D9570" t="s">
        <v>441</v>
      </c>
      <c r="F9570">
        <v>0</v>
      </c>
      <c r="G9570">
        <v>13.77</v>
      </c>
      <c r="H9570" t="s">
        <v>8587</v>
      </c>
      <c r="I9570">
        <v>64</v>
      </c>
      <c r="J9570" t="s">
        <v>462</v>
      </c>
      <c r="M9570">
        <v>7108</v>
      </c>
      <c r="N9570" t="s">
        <v>16625</v>
      </c>
    </row>
    <row r="9571" spans="1:14">
      <c r="A9571">
        <v>60690000</v>
      </c>
      <c r="B9571">
        <v>3016579</v>
      </c>
      <c r="C9571" t="s">
        <v>4197</v>
      </c>
      <c r="D9571" t="s">
        <v>441</v>
      </c>
      <c r="F9571">
        <v>0</v>
      </c>
      <c r="G9571">
        <v>10.15</v>
      </c>
      <c r="H9571" t="s">
        <v>8580</v>
      </c>
      <c r="I9571">
        <v>64</v>
      </c>
      <c r="J9571" t="s">
        <v>445</v>
      </c>
      <c r="K9571" t="s">
        <v>446</v>
      </c>
      <c r="M9571">
        <v>3311</v>
      </c>
      <c r="N9571" t="s">
        <v>16630</v>
      </c>
    </row>
    <row r="9572" spans="1:14">
      <c r="A9572">
        <v>60690008</v>
      </c>
      <c r="B9572">
        <v>3016580</v>
      </c>
      <c r="C9572" t="s">
        <v>4198</v>
      </c>
      <c r="D9572" t="s">
        <v>441</v>
      </c>
      <c r="F9572">
        <v>0</v>
      </c>
      <c r="G9572">
        <v>9.57</v>
      </c>
      <c r="H9572" t="s">
        <v>8580</v>
      </c>
      <c r="I9572">
        <v>9</v>
      </c>
      <c r="J9572" t="s">
        <v>445</v>
      </c>
      <c r="K9572" t="s">
        <v>446</v>
      </c>
      <c r="M9572">
        <v>3211</v>
      </c>
      <c r="N9572" t="s">
        <v>16631</v>
      </c>
    </row>
    <row r="9573" spans="1:14">
      <c r="A9573">
        <v>60692000</v>
      </c>
      <c r="B9573">
        <v>4004179</v>
      </c>
      <c r="C9573" t="s">
        <v>12850</v>
      </c>
      <c r="D9573" t="s">
        <v>441</v>
      </c>
      <c r="F9573">
        <v>0</v>
      </c>
      <c r="G9573">
        <v>10.77</v>
      </c>
      <c r="H9573" t="s">
        <v>8587</v>
      </c>
      <c r="I9573">
        <v>64</v>
      </c>
      <c r="J9573" t="s">
        <v>462</v>
      </c>
      <c r="K9573" t="s">
        <v>446</v>
      </c>
      <c r="M9573">
        <v>3711</v>
      </c>
      <c r="N9573" t="s">
        <v>16630</v>
      </c>
    </row>
    <row r="9574" spans="1:14">
      <c r="A9574">
        <v>60692040</v>
      </c>
      <c r="B9574">
        <v>4008002</v>
      </c>
      <c r="C9574" t="s">
        <v>12851</v>
      </c>
      <c r="D9574" t="s">
        <v>441</v>
      </c>
      <c r="F9574">
        <v>0</v>
      </c>
      <c r="G9574">
        <v>9.0399999999999991</v>
      </c>
      <c r="H9574" t="s">
        <v>8587</v>
      </c>
      <c r="I9574">
        <v>64</v>
      </c>
      <c r="J9574" t="s">
        <v>462</v>
      </c>
      <c r="K9574" t="s">
        <v>446</v>
      </c>
      <c r="M9574">
        <v>3711</v>
      </c>
    </row>
    <row r="9575" spans="1:14">
      <c r="A9575">
        <v>60740000</v>
      </c>
      <c r="B9575">
        <v>3016792</v>
      </c>
      <c r="C9575" t="s">
        <v>4199</v>
      </c>
      <c r="D9575" t="s">
        <v>441</v>
      </c>
      <c r="F9575">
        <v>0</v>
      </c>
      <c r="G9575">
        <v>10.44</v>
      </c>
      <c r="H9575" t="s">
        <v>8580</v>
      </c>
      <c r="I9575">
        <v>180</v>
      </c>
      <c r="J9575" t="s">
        <v>445</v>
      </c>
      <c r="K9575" t="s">
        <v>446</v>
      </c>
      <c r="M9575">
        <v>3311</v>
      </c>
    </row>
    <row r="9576" spans="1:14">
      <c r="A9576">
        <v>60740008</v>
      </c>
      <c r="B9576">
        <v>3016793</v>
      </c>
      <c r="C9576" t="s">
        <v>12852</v>
      </c>
      <c r="D9576" t="s">
        <v>441</v>
      </c>
      <c r="F9576">
        <v>0</v>
      </c>
      <c r="G9576">
        <v>8.9</v>
      </c>
      <c r="H9576" t="s">
        <v>8580</v>
      </c>
      <c r="I9576">
        <v>9</v>
      </c>
      <c r="J9576" t="s">
        <v>445</v>
      </c>
      <c r="K9576" t="s">
        <v>446</v>
      </c>
      <c r="M9576">
        <v>3211</v>
      </c>
    </row>
    <row r="9577" spans="1:14">
      <c r="A9577">
        <v>60742000</v>
      </c>
      <c r="B9577">
        <v>4011136</v>
      </c>
      <c r="C9577" t="s">
        <v>4200</v>
      </c>
      <c r="D9577" t="s">
        <v>441</v>
      </c>
      <c r="F9577">
        <v>0</v>
      </c>
      <c r="G9577">
        <v>10.96</v>
      </c>
      <c r="H9577" t="s">
        <v>8587</v>
      </c>
      <c r="I9577">
        <v>180</v>
      </c>
      <c r="J9577" t="s">
        <v>462</v>
      </c>
      <c r="K9577" t="s">
        <v>446</v>
      </c>
      <c r="M9577">
        <v>3731</v>
      </c>
    </row>
    <row r="9578" spans="1:14">
      <c r="A9578">
        <v>60742010</v>
      </c>
      <c r="B9578">
        <v>4009729</v>
      </c>
      <c r="C9578" t="s">
        <v>4201</v>
      </c>
      <c r="D9578" t="s">
        <v>442</v>
      </c>
      <c r="E9578" t="s">
        <v>441</v>
      </c>
      <c r="F9578">
        <v>2.5</v>
      </c>
      <c r="G9578">
        <v>28.39</v>
      </c>
      <c r="H9578" t="s">
        <v>8922</v>
      </c>
      <c r="I9578">
        <v>180</v>
      </c>
      <c r="J9578" t="s">
        <v>462</v>
      </c>
      <c r="K9578" t="s">
        <v>446</v>
      </c>
      <c r="M9578">
        <v>3731</v>
      </c>
    </row>
    <row r="9579" spans="1:14">
      <c r="A9579">
        <v>60742020</v>
      </c>
      <c r="B9579">
        <v>4009740</v>
      </c>
      <c r="C9579" t="s">
        <v>4202</v>
      </c>
      <c r="D9579" t="s">
        <v>442</v>
      </c>
      <c r="E9579" t="s">
        <v>441</v>
      </c>
      <c r="F9579">
        <v>2.5</v>
      </c>
      <c r="G9579">
        <v>27.68</v>
      </c>
      <c r="H9579" t="s">
        <v>8922</v>
      </c>
      <c r="I9579">
        <v>180</v>
      </c>
      <c r="J9579" t="s">
        <v>462</v>
      </c>
      <c r="K9579" t="s">
        <v>446</v>
      </c>
      <c r="L9579" t="s">
        <v>12853</v>
      </c>
      <c r="M9579">
        <v>3731</v>
      </c>
    </row>
    <row r="9580" spans="1:14">
      <c r="A9580">
        <v>60742030</v>
      </c>
      <c r="B9580">
        <v>4009742</v>
      </c>
      <c r="C9580" t="s">
        <v>4203</v>
      </c>
      <c r="D9580" t="s">
        <v>442</v>
      </c>
      <c r="E9580" t="s">
        <v>441</v>
      </c>
      <c r="F9580">
        <v>2.5</v>
      </c>
      <c r="G9580">
        <v>27.69</v>
      </c>
      <c r="H9580" t="s">
        <v>8922</v>
      </c>
      <c r="I9580">
        <v>180</v>
      </c>
      <c r="J9580" t="s">
        <v>462</v>
      </c>
      <c r="K9580" t="s">
        <v>446</v>
      </c>
      <c r="L9580" t="s">
        <v>12854</v>
      </c>
      <c r="M9580">
        <v>3731</v>
      </c>
    </row>
    <row r="9581" spans="1:14">
      <c r="A9581">
        <v>60742040</v>
      </c>
      <c r="B9581">
        <v>4009743</v>
      </c>
      <c r="C9581" t="s">
        <v>4204</v>
      </c>
      <c r="D9581" t="s">
        <v>442</v>
      </c>
      <c r="E9581" t="s">
        <v>441</v>
      </c>
      <c r="F9581">
        <v>2.5</v>
      </c>
      <c r="G9581">
        <v>27.75</v>
      </c>
      <c r="H9581" t="s">
        <v>8922</v>
      </c>
      <c r="I9581">
        <v>180</v>
      </c>
      <c r="J9581" t="s">
        <v>462</v>
      </c>
      <c r="K9581" t="s">
        <v>446</v>
      </c>
      <c r="L9581" t="s">
        <v>12855</v>
      </c>
      <c r="M9581">
        <v>3731</v>
      </c>
    </row>
    <row r="9582" spans="1:14">
      <c r="A9582">
        <v>60742050</v>
      </c>
      <c r="B9582">
        <v>4009744</v>
      </c>
      <c r="C9582" t="s">
        <v>4205</v>
      </c>
      <c r="D9582" t="s">
        <v>442</v>
      </c>
      <c r="E9582" t="s">
        <v>441</v>
      </c>
      <c r="F9582">
        <v>2.5</v>
      </c>
      <c r="G9582">
        <v>27.8</v>
      </c>
      <c r="H9582" t="s">
        <v>8922</v>
      </c>
      <c r="I9582">
        <v>180</v>
      </c>
      <c r="J9582" t="s">
        <v>462</v>
      </c>
      <c r="K9582" t="s">
        <v>446</v>
      </c>
      <c r="L9582" t="s">
        <v>12856</v>
      </c>
      <c r="M9582">
        <v>3731</v>
      </c>
    </row>
    <row r="9583" spans="1:14">
      <c r="A9583">
        <v>60742060</v>
      </c>
      <c r="B9583">
        <v>4009741</v>
      </c>
      <c r="C9583" t="s">
        <v>4206</v>
      </c>
      <c r="D9583" t="s">
        <v>442</v>
      </c>
      <c r="E9583" t="s">
        <v>441</v>
      </c>
      <c r="F9583">
        <v>2.5</v>
      </c>
      <c r="G9583">
        <v>27.78</v>
      </c>
      <c r="H9583" t="s">
        <v>8922</v>
      </c>
      <c r="I9583">
        <v>180</v>
      </c>
      <c r="J9583" t="s">
        <v>462</v>
      </c>
      <c r="K9583" t="s">
        <v>446</v>
      </c>
      <c r="L9583" t="s">
        <v>12857</v>
      </c>
      <c r="M9583">
        <v>3731</v>
      </c>
    </row>
    <row r="9584" spans="1:14">
      <c r="A9584">
        <v>60742070</v>
      </c>
      <c r="B9584">
        <v>4009745</v>
      </c>
      <c r="C9584" t="s">
        <v>4207</v>
      </c>
      <c r="D9584" t="s">
        <v>442</v>
      </c>
      <c r="E9584" t="s">
        <v>441</v>
      </c>
      <c r="F9584">
        <v>2.5</v>
      </c>
      <c r="G9584">
        <v>28.99</v>
      </c>
      <c r="H9584" t="s">
        <v>8922</v>
      </c>
      <c r="I9584">
        <v>180</v>
      </c>
      <c r="J9584" t="s">
        <v>462</v>
      </c>
      <c r="K9584" t="s">
        <v>446</v>
      </c>
      <c r="M9584">
        <v>3731</v>
      </c>
    </row>
    <row r="9585" spans="1:14">
      <c r="A9585">
        <v>60742080</v>
      </c>
      <c r="B9585">
        <v>4009843</v>
      </c>
      <c r="C9585" t="s">
        <v>4208</v>
      </c>
      <c r="D9585" t="s">
        <v>442</v>
      </c>
      <c r="E9585" t="s">
        <v>441</v>
      </c>
      <c r="F9585">
        <v>2.5</v>
      </c>
      <c r="G9585">
        <v>27.82</v>
      </c>
      <c r="H9585" t="s">
        <v>8922</v>
      </c>
      <c r="I9585">
        <v>180</v>
      </c>
      <c r="J9585" t="s">
        <v>462</v>
      </c>
      <c r="K9585" t="s">
        <v>446</v>
      </c>
      <c r="M9585">
        <v>3731</v>
      </c>
    </row>
    <row r="9586" spans="1:14">
      <c r="A9586">
        <v>60742090</v>
      </c>
      <c r="B9586">
        <v>4010937</v>
      </c>
      <c r="C9586" t="s">
        <v>4209</v>
      </c>
      <c r="D9586" t="s">
        <v>442</v>
      </c>
      <c r="E9586" t="s">
        <v>441</v>
      </c>
      <c r="F9586">
        <v>2.5</v>
      </c>
      <c r="G9586">
        <v>24.96</v>
      </c>
      <c r="H9586" t="s">
        <v>8922</v>
      </c>
      <c r="I9586">
        <v>180</v>
      </c>
      <c r="J9586" t="s">
        <v>462</v>
      </c>
      <c r="K9586" t="s">
        <v>446</v>
      </c>
      <c r="M9586">
        <v>3731</v>
      </c>
    </row>
    <row r="9587" spans="1:14">
      <c r="A9587">
        <v>60742410</v>
      </c>
      <c r="B9587">
        <v>4012422</v>
      </c>
      <c r="C9587" t="s">
        <v>4210</v>
      </c>
      <c r="D9587" t="s">
        <v>442</v>
      </c>
      <c r="E9587" t="s">
        <v>441</v>
      </c>
      <c r="F9587">
        <v>2.5</v>
      </c>
      <c r="G9587">
        <v>25.43</v>
      </c>
      <c r="H9587" t="s">
        <v>8922</v>
      </c>
      <c r="I9587">
        <v>180</v>
      </c>
      <c r="J9587" t="s">
        <v>462</v>
      </c>
      <c r="K9587" t="s">
        <v>446</v>
      </c>
      <c r="M9587">
        <v>3731</v>
      </c>
    </row>
    <row r="9588" spans="1:14">
      <c r="A9588">
        <v>60742420</v>
      </c>
      <c r="B9588">
        <v>4012424</v>
      </c>
      <c r="C9588" t="s">
        <v>4211</v>
      </c>
      <c r="D9588" t="s">
        <v>441</v>
      </c>
      <c r="F9588">
        <v>0</v>
      </c>
      <c r="G9588">
        <v>11.64</v>
      </c>
      <c r="H9588" t="s">
        <v>8587</v>
      </c>
      <c r="I9588">
        <v>180</v>
      </c>
      <c r="J9588" t="s">
        <v>462</v>
      </c>
      <c r="K9588" t="s">
        <v>446</v>
      </c>
      <c r="M9588">
        <v>3731</v>
      </c>
    </row>
    <row r="9589" spans="1:14">
      <c r="A9589">
        <v>60742430</v>
      </c>
      <c r="B9589">
        <v>4013212</v>
      </c>
      <c r="C9589" t="s">
        <v>4212</v>
      </c>
      <c r="D9589" t="s">
        <v>441</v>
      </c>
      <c r="F9589">
        <v>0</v>
      </c>
      <c r="G9589">
        <v>10.23</v>
      </c>
      <c r="H9589" t="s">
        <v>8587</v>
      </c>
      <c r="I9589">
        <v>180</v>
      </c>
      <c r="J9589" t="s">
        <v>462</v>
      </c>
      <c r="K9589" t="s">
        <v>446</v>
      </c>
      <c r="M9589">
        <v>3731</v>
      </c>
    </row>
    <row r="9590" spans="1:14">
      <c r="A9590">
        <v>60742440</v>
      </c>
      <c r="B9590">
        <v>4013749</v>
      </c>
      <c r="C9590" t="s">
        <v>4213</v>
      </c>
      <c r="D9590" t="s">
        <v>442</v>
      </c>
      <c r="E9590" t="s">
        <v>441</v>
      </c>
      <c r="F9590">
        <v>2.5</v>
      </c>
      <c r="G9590">
        <v>27.77</v>
      </c>
      <c r="H9590" t="s">
        <v>8922</v>
      </c>
      <c r="I9590">
        <v>180</v>
      </c>
      <c r="J9590" t="s">
        <v>462</v>
      </c>
      <c r="K9590" t="s">
        <v>446</v>
      </c>
      <c r="M9590">
        <v>3731</v>
      </c>
    </row>
    <row r="9591" spans="1:14">
      <c r="A9591">
        <v>60742450</v>
      </c>
      <c r="B9591">
        <v>4016679</v>
      </c>
      <c r="C9591" t="s">
        <v>4214</v>
      </c>
      <c r="D9591" t="s">
        <v>442</v>
      </c>
      <c r="E9591" t="s">
        <v>441</v>
      </c>
      <c r="F9591">
        <v>2.5</v>
      </c>
      <c r="G9591">
        <v>27.76</v>
      </c>
      <c r="H9591" t="s">
        <v>8922</v>
      </c>
      <c r="I9591">
        <v>180</v>
      </c>
      <c r="J9591" t="s">
        <v>462</v>
      </c>
      <c r="K9591" t="s">
        <v>446</v>
      </c>
      <c r="M9591">
        <v>3711</v>
      </c>
    </row>
    <row r="9592" spans="1:14">
      <c r="A9592">
        <v>60750000</v>
      </c>
      <c r="B9592">
        <v>3012475</v>
      </c>
      <c r="C9592" t="s">
        <v>12858</v>
      </c>
      <c r="D9592" t="s">
        <v>441</v>
      </c>
      <c r="F9592">
        <v>0</v>
      </c>
      <c r="G9592">
        <v>10.65</v>
      </c>
      <c r="H9592" t="s">
        <v>8580</v>
      </c>
      <c r="I9592">
        <v>180</v>
      </c>
      <c r="J9592" t="s">
        <v>445</v>
      </c>
      <c r="K9592" t="s">
        <v>446</v>
      </c>
      <c r="M9592">
        <v>3311</v>
      </c>
    </row>
    <row r="9593" spans="1:14">
      <c r="A9593">
        <v>60750008</v>
      </c>
      <c r="B9593">
        <v>3012477</v>
      </c>
      <c r="C9593" t="s">
        <v>12859</v>
      </c>
      <c r="D9593" t="s">
        <v>441</v>
      </c>
      <c r="F9593">
        <v>0</v>
      </c>
      <c r="G9593">
        <v>9.08</v>
      </c>
      <c r="H9593" t="s">
        <v>8622</v>
      </c>
      <c r="I9593">
        <v>9</v>
      </c>
      <c r="J9593" t="s">
        <v>445</v>
      </c>
      <c r="K9593" t="s">
        <v>446</v>
      </c>
      <c r="M9593">
        <v>3211</v>
      </c>
    </row>
    <row r="9594" spans="1:14">
      <c r="A9594">
        <v>60752010</v>
      </c>
      <c r="B9594">
        <v>4009976</v>
      </c>
      <c r="C9594" t="s">
        <v>12860</v>
      </c>
      <c r="D9594" t="s">
        <v>442</v>
      </c>
      <c r="E9594" t="s">
        <v>441</v>
      </c>
      <c r="F9594">
        <v>2.5</v>
      </c>
      <c r="G9594">
        <v>28.23</v>
      </c>
      <c r="H9594" t="s">
        <v>8922</v>
      </c>
      <c r="I9594">
        <v>180</v>
      </c>
      <c r="J9594" t="s">
        <v>462</v>
      </c>
      <c r="K9594" t="s">
        <v>446</v>
      </c>
      <c r="L9594" t="s">
        <v>12861</v>
      </c>
      <c r="M9594">
        <v>3711</v>
      </c>
    </row>
    <row r="9595" spans="1:14">
      <c r="A9595">
        <v>60752020</v>
      </c>
      <c r="B9595">
        <v>4015122</v>
      </c>
      <c r="C9595" t="s">
        <v>4215</v>
      </c>
      <c r="D9595" t="s">
        <v>442</v>
      </c>
      <c r="E9595" t="s">
        <v>441</v>
      </c>
      <c r="F9595">
        <v>2.5</v>
      </c>
      <c r="G9595">
        <v>29.26</v>
      </c>
      <c r="H9595" t="s">
        <v>8922</v>
      </c>
      <c r="I9595">
        <v>180</v>
      </c>
      <c r="J9595" t="s">
        <v>462</v>
      </c>
      <c r="K9595" t="s">
        <v>446</v>
      </c>
      <c r="M9595">
        <v>3711</v>
      </c>
    </row>
    <row r="9596" spans="1:14">
      <c r="A9596">
        <v>60752030</v>
      </c>
      <c r="B9596">
        <v>4015210</v>
      </c>
      <c r="C9596" t="s">
        <v>4216</v>
      </c>
      <c r="D9596" t="s">
        <v>441</v>
      </c>
      <c r="F9596">
        <v>0</v>
      </c>
      <c r="G9596">
        <v>11.16</v>
      </c>
      <c r="H9596" t="s">
        <v>8587</v>
      </c>
      <c r="I9596">
        <v>180</v>
      </c>
      <c r="J9596" t="s">
        <v>462</v>
      </c>
      <c r="K9596" t="s">
        <v>446</v>
      </c>
      <c r="M9596">
        <v>3731</v>
      </c>
    </row>
    <row r="9597" spans="1:14">
      <c r="A9597">
        <v>60752040</v>
      </c>
      <c r="B9597">
        <v>4015866</v>
      </c>
      <c r="C9597" t="s">
        <v>4217</v>
      </c>
      <c r="D9597" t="s">
        <v>442</v>
      </c>
      <c r="E9597" t="s">
        <v>441</v>
      </c>
      <c r="F9597">
        <v>2.5</v>
      </c>
      <c r="G9597">
        <v>28.23</v>
      </c>
      <c r="H9597" t="s">
        <v>8922</v>
      </c>
      <c r="I9597">
        <v>180</v>
      </c>
      <c r="J9597" t="s">
        <v>462</v>
      </c>
      <c r="K9597" t="s">
        <v>446</v>
      </c>
      <c r="M9597">
        <v>0</v>
      </c>
    </row>
    <row r="9598" spans="1:14">
      <c r="A9598">
        <v>60760000</v>
      </c>
      <c r="B9598">
        <v>3019897</v>
      </c>
      <c r="C9598" t="s">
        <v>4218</v>
      </c>
      <c r="D9598" t="s">
        <v>441</v>
      </c>
      <c r="F9598">
        <v>0</v>
      </c>
      <c r="G9598">
        <v>11.15</v>
      </c>
      <c r="H9598" t="s">
        <v>8634</v>
      </c>
      <c r="I9598">
        <v>365</v>
      </c>
      <c r="J9598" t="s">
        <v>445</v>
      </c>
      <c r="K9598" t="s">
        <v>446</v>
      </c>
      <c r="M9598">
        <v>3311</v>
      </c>
    </row>
    <row r="9599" spans="1:14">
      <c r="A9599">
        <v>60760008</v>
      </c>
      <c r="B9599">
        <v>3019896</v>
      </c>
      <c r="C9599" t="s">
        <v>4219</v>
      </c>
      <c r="D9599" t="s">
        <v>441</v>
      </c>
      <c r="F9599">
        <v>0</v>
      </c>
      <c r="G9599">
        <v>10.69</v>
      </c>
      <c r="H9599" t="s">
        <v>8580</v>
      </c>
      <c r="I9599">
        <v>9</v>
      </c>
      <c r="J9599" t="s">
        <v>445</v>
      </c>
      <c r="K9599" t="s">
        <v>446</v>
      </c>
      <c r="M9599">
        <v>3211</v>
      </c>
    </row>
    <row r="9600" spans="1:14">
      <c r="A9600">
        <v>60762010</v>
      </c>
      <c r="B9600">
        <v>4013367</v>
      </c>
      <c r="C9600" t="s">
        <v>4220</v>
      </c>
      <c r="D9600" t="s">
        <v>442</v>
      </c>
      <c r="E9600" t="s">
        <v>441</v>
      </c>
      <c r="F9600">
        <v>3.1749999999999998</v>
      </c>
      <c r="G9600">
        <v>36.979999999999997</v>
      </c>
      <c r="H9600" t="s">
        <v>8922</v>
      </c>
      <c r="I9600">
        <v>365</v>
      </c>
      <c r="J9600" t="s">
        <v>462</v>
      </c>
      <c r="K9600" t="s">
        <v>446</v>
      </c>
      <c r="L9600" t="s">
        <v>12862</v>
      </c>
      <c r="M9600">
        <v>3711</v>
      </c>
      <c r="N9600" t="s">
        <v>16632</v>
      </c>
    </row>
    <row r="9601" spans="1:14">
      <c r="A9601">
        <v>60762020</v>
      </c>
      <c r="B9601">
        <v>4013374</v>
      </c>
      <c r="C9601" t="s">
        <v>4221</v>
      </c>
      <c r="D9601" t="s">
        <v>441</v>
      </c>
      <c r="F9601">
        <v>0</v>
      </c>
      <c r="G9601">
        <v>11.7</v>
      </c>
      <c r="H9601" t="s">
        <v>8922</v>
      </c>
      <c r="I9601">
        <v>365</v>
      </c>
      <c r="J9601" t="s">
        <v>462</v>
      </c>
      <c r="K9601" t="s">
        <v>446</v>
      </c>
      <c r="M9601">
        <v>3711</v>
      </c>
    </row>
    <row r="9602" spans="1:14">
      <c r="A9602">
        <v>60762030</v>
      </c>
      <c r="B9602">
        <v>4013375</v>
      </c>
      <c r="C9602" t="s">
        <v>4222</v>
      </c>
      <c r="D9602" t="s">
        <v>441</v>
      </c>
      <c r="F9602">
        <v>0</v>
      </c>
      <c r="G9602">
        <v>12.35</v>
      </c>
      <c r="H9602" t="s">
        <v>8922</v>
      </c>
      <c r="I9602">
        <v>365</v>
      </c>
      <c r="J9602" t="s">
        <v>462</v>
      </c>
      <c r="M9602">
        <v>3711</v>
      </c>
      <c r="N9602" t="s">
        <v>16632</v>
      </c>
    </row>
    <row r="9603" spans="1:14">
      <c r="A9603">
        <v>60762040</v>
      </c>
      <c r="B9603">
        <v>4013970</v>
      </c>
      <c r="C9603" t="s">
        <v>4223</v>
      </c>
      <c r="D9603" t="s">
        <v>441</v>
      </c>
      <c r="F9603">
        <v>0</v>
      </c>
      <c r="G9603">
        <v>12.35</v>
      </c>
      <c r="H9603" t="s">
        <v>8922</v>
      </c>
      <c r="I9603">
        <v>365</v>
      </c>
      <c r="J9603" t="s">
        <v>462</v>
      </c>
      <c r="K9603" t="s">
        <v>446</v>
      </c>
      <c r="M9603">
        <v>3711</v>
      </c>
    </row>
    <row r="9604" spans="1:14">
      <c r="A9604">
        <v>60770000</v>
      </c>
      <c r="B9604">
        <v>3026555</v>
      </c>
      <c r="C9604" t="s">
        <v>4224</v>
      </c>
      <c r="D9604" t="s">
        <v>441</v>
      </c>
      <c r="F9604">
        <v>0</v>
      </c>
      <c r="G9604">
        <v>13.12</v>
      </c>
      <c r="H9604" t="s">
        <v>12573</v>
      </c>
      <c r="I9604">
        <v>270</v>
      </c>
      <c r="J9604" t="s">
        <v>445</v>
      </c>
      <c r="K9604" t="s">
        <v>446</v>
      </c>
      <c r="M9604">
        <v>3311</v>
      </c>
    </row>
    <row r="9605" spans="1:14">
      <c r="A9605">
        <v>60770008</v>
      </c>
      <c r="B9605">
        <v>3026554</v>
      </c>
      <c r="C9605" t="s">
        <v>4225</v>
      </c>
      <c r="D9605" t="s">
        <v>441</v>
      </c>
      <c r="F9605">
        <v>0</v>
      </c>
      <c r="G9605">
        <v>11.55</v>
      </c>
      <c r="H9605" t="s">
        <v>12664</v>
      </c>
      <c r="I9605">
        <v>9</v>
      </c>
      <c r="J9605" t="s">
        <v>445</v>
      </c>
      <c r="K9605" t="s">
        <v>446</v>
      </c>
      <c r="M9605">
        <v>3211</v>
      </c>
    </row>
    <row r="9606" spans="1:14">
      <c r="A9606">
        <v>60772010</v>
      </c>
      <c r="B9606">
        <v>4017438</v>
      </c>
      <c r="C9606" t="s">
        <v>4226</v>
      </c>
      <c r="D9606" t="s">
        <v>442</v>
      </c>
      <c r="E9606" t="s">
        <v>441</v>
      </c>
      <c r="F9606">
        <v>3.1749999999999998</v>
      </c>
      <c r="G9606">
        <v>43.47</v>
      </c>
      <c r="H9606" t="s">
        <v>8922</v>
      </c>
      <c r="I9606">
        <v>270</v>
      </c>
      <c r="J9606" t="s">
        <v>462</v>
      </c>
      <c r="K9606" t="s">
        <v>446</v>
      </c>
      <c r="M9606">
        <v>0</v>
      </c>
    </row>
    <row r="9607" spans="1:14">
      <c r="A9607">
        <v>60780000</v>
      </c>
      <c r="B9607">
        <v>3016581</v>
      </c>
      <c r="C9607" t="s">
        <v>12863</v>
      </c>
      <c r="D9607" t="s">
        <v>441</v>
      </c>
      <c r="F9607">
        <v>0</v>
      </c>
      <c r="G9607">
        <v>8.24</v>
      </c>
      <c r="H9607" t="s">
        <v>8580</v>
      </c>
      <c r="I9607">
        <v>28</v>
      </c>
      <c r="J9607" t="s">
        <v>445</v>
      </c>
      <c r="K9607" t="s">
        <v>446</v>
      </c>
      <c r="M9607">
        <v>3311</v>
      </c>
    </row>
    <row r="9608" spans="1:14">
      <c r="A9608">
        <v>60780008</v>
      </c>
      <c r="B9608">
        <v>3016582</v>
      </c>
      <c r="C9608" t="s">
        <v>12864</v>
      </c>
      <c r="D9608" t="s">
        <v>441</v>
      </c>
      <c r="F9608">
        <v>0</v>
      </c>
      <c r="G9608">
        <v>7.6</v>
      </c>
      <c r="H9608" t="s">
        <v>8580</v>
      </c>
      <c r="I9608">
        <v>9</v>
      </c>
      <c r="J9608" t="s">
        <v>445</v>
      </c>
      <c r="K9608" t="s">
        <v>446</v>
      </c>
      <c r="M9608">
        <v>3211</v>
      </c>
    </row>
    <row r="9609" spans="1:14">
      <c r="A9609">
        <v>60782010</v>
      </c>
      <c r="B9609">
        <v>4006744</v>
      </c>
      <c r="C9609" t="s">
        <v>12865</v>
      </c>
      <c r="D9609" t="s">
        <v>442</v>
      </c>
      <c r="E9609" t="s">
        <v>441</v>
      </c>
      <c r="F9609">
        <v>0.4</v>
      </c>
      <c r="G9609">
        <v>3.49</v>
      </c>
      <c r="H9609" t="s">
        <v>8587</v>
      </c>
      <c r="I9609">
        <v>35</v>
      </c>
      <c r="J9609" t="s">
        <v>462</v>
      </c>
      <c r="K9609" t="s">
        <v>446</v>
      </c>
      <c r="M9609">
        <v>3711</v>
      </c>
    </row>
    <row r="9610" spans="1:14">
      <c r="A9610">
        <v>60800000</v>
      </c>
      <c r="B9610">
        <v>3023385</v>
      </c>
      <c r="C9610" t="s">
        <v>4227</v>
      </c>
      <c r="D9610" t="s">
        <v>441</v>
      </c>
      <c r="F9610">
        <v>0</v>
      </c>
      <c r="G9610">
        <v>13.1</v>
      </c>
      <c r="H9610" t="s">
        <v>8580</v>
      </c>
      <c r="I9610">
        <v>6</v>
      </c>
      <c r="J9610" t="s">
        <v>445</v>
      </c>
      <c r="K9610" t="s">
        <v>446</v>
      </c>
      <c r="M9610">
        <v>3311</v>
      </c>
      <c r="N9610" t="s">
        <v>16633</v>
      </c>
    </row>
    <row r="9611" spans="1:14">
      <c r="A9611">
        <v>60800008</v>
      </c>
      <c r="B9611">
        <v>3023410</v>
      </c>
      <c r="C9611" t="s">
        <v>12866</v>
      </c>
      <c r="D9611" t="s">
        <v>441</v>
      </c>
      <c r="F9611">
        <v>0</v>
      </c>
      <c r="G9611">
        <v>9.64</v>
      </c>
      <c r="H9611" t="s">
        <v>8580</v>
      </c>
      <c r="I9611">
        <v>5</v>
      </c>
      <c r="J9611" t="s">
        <v>445</v>
      </c>
      <c r="K9611" t="s">
        <v>446</v>
      </c>
      <c r="M9611">
        <v>3221</v>
      </c>
      <c r="N9611" t="s">
        <v>16634</v>
      </c>
    </row>
    <row r="9612" spans="1:14">
      <c r="A9612">
        <v>60804110</v>
      </c>
      <c r="B9612">
        <v>4015466</v>
      </c>
      <c r="C9612" t="s">
        <v>4228</v>
      </c>
      <c r="D9612" t="s">
        <v>441</v>
      </c>
      <c r="F9612">
        <v>0</v>
      </c>
      <c r="G9612">
        <v>15.45</v>
      </c>
      <c r="H9612" t="s">
        <v>8922</v>
      </c>
      <c r="I9612">
        <v>28</v>
      </c>
      <c r="J9612" t="s">
        <v>462</v>
      </c>
      <c r="K9612" t="s">
        <v>446</v>
      </c>
      <c r="M9612">
        <v>3711</v>
      </c>
      <c r="N9612" t="s">
        <v>16635</v>
      </c>
    </row>
    <row r="9613" spans="1:14">
      <c r="A9613">
        <v>60804120</v>
      </c>
      <c r="B9613">
        <v>4018300</v>
      </c>
      <c r="C9613" t="s">
        <v>4229</v>
      </c>
      <c r="D9613" t="s">
        <v>441</v>
      </c>
      <c r="F9613">
        <v>0</v>
      </c>
      <c r="G9613">
        <v>14.94</v>
      </c>
      <c r="H9613" t="s">
        <v>8587</v>
      </c>
      <c r="I9613">
        <v>28</v>
      </c>
      <c r="J9613" t="s">
        <v>462</v>
      </c>
      <c r="K9613" t="s">
        <v>446</v>
      </c>
      <c r="M9613">
        <v>3711</v>
      </c>
      <c r="N9613" t="s">
        <v>16633</v>
      </c>
    </row>
    <row r="9614" spans="1:14">
      <c r="A9614">
        <v>60900000</v>
      </c>
      <c r="B9614">
        <v>3016583</v>
      </c>
      <c r="C9614" t="s">
        <v>17592</v>
      </c>
      <c r="D9614" t="s">
        <v>441</v>
      </c>
      <c r="F9614">
        <v>0</v>
      </c>
      <c r="G9614">
        <v>17.489999999999998</v>
      </c>
      <c r="H9614" t="s">
        <v>8580</v>
      </c>
      <c r="I9614">
        <v>6</v>
      </c>
      <c r="J9614" t="s">
        <v>445</v>
      </c>
      <c r="M9614">
        <v>3349</v>
      </c>
      <c r="N9614" t="s">
        <v>16636</v>
      </c>
    </row>
    <row r="9615" spans="1:14">
      <c r="A9615">
        <v>60900008</v>
      </c>
      <c r="B9615">
        <v>3016584</v>
      </c>
      <c r="C9615" t="s">
        <v>17593</v>
      </c>
      <c r="D9615" t="s">
        <v>441</v>
      </c>
      <c r="F9615">
        <v>0</v>
      </c>
      <c r="G9615">
        <v>13.97</v>
      </c>
      <c r="H9615" t="s">
        <v>8580</v>
      </c>
      <c r="I9615">
        <v>9</v>
      </c>
      <c r="J9615" t="s">
        <v>445</v>
      </c>
      <c r="M9615">
        <v>6666</v>
      </c>
      <c r="N9615" t="s">
        <v>16637</v>
      </c>
    </row>
    <row r="9616" spans="1:14">
      <c r="A9616">
        <v>60905110</v>
      </c>
      <c r="B9616">
        <v>4004182</v>
      </c>
      <c r="C9616" t="s">
        <v>4230</v>
      </c>
      <c r="D9616" t="s">
        <v>441</v>
      </c>
      <c r="F9616">
        <v>0</v>
      </c>
      <c r="G9616">
        <v>12.82</v>
      </c>
      <c r="H9616" t="s">
        <v>8587</v>
      </c>
      <c r="I9616">
        <v>44</v>
      </c>
      <c r="J9616" t="s">
        <v>462</v>
      </c>
      <c r="K9616" t="s">
        <v>446</v>
      </c>
      <c r="M9616">
        <v>3711</v>
      </c>
      <c r="N9616" t="s">
        <v>16638</v>
      </c>
    </row>
    <row r="9617" spans="1:14">
      <c r="A9617">
        <v>60905120</v>
      </c>
      <c r="B9617">
        <v>4016144</v>
      </c>
      <c r="C9617" t="s">
        <v>4231</v>
      </c>
      <c r="D9617" t="s">
        <v>441</v>
      </c>
      <c r="F9617">
        <v>0</v>
      </c>
      <c r="G9617">
        <v>12.78</v>
      </c>
      <c r="H9617" t="s">
        <v>8587</v>
      </c>
      <c r="I9617">
        <v>44</v>
      </c>
      <c r="J9617" t="s">
        <v>462</v>
      </c>
      <c r="K9617" t="s">
        <v>446</v>
      </c>
      <c r="M9617">
        <v>0</v>
      </c>
      <c r="N9617" t="s">
        <v>16638</v>
      </c>
    </row>
    <row r="9618" spans="1:14">
      <c r="A9618">
        <v>60905130</v>
      </c>
      <c r="B9618">
        <v>4004183</v>
      </c>
      <c r="C9618" t="s">
        <v>4232</v>
      </c>
      <c r="D9618" t="s">
        <v>441</v>
      </c>
      <c r="F9618">
        <v>0</v>
      </c>
      <c r="G9618">
        <v>10.26</v>
      </c>
      <c r="H9618" t="s">
        <v>8587</v>
      </c>
      <c r="I9618">
        <v>44</v>
      </c>
      <c r="J9618" t="s">
        <v>462</v>
      </c>
      <c r="K9618" t="s">
        <v>446</v>
      </c>
      <c r="M9618">
        <v>3711</v>
      </c>
      <c r="N9618" t="s">
        <v>16639</v>
      </c>
    </row>
    <row r="9619" spans="1:14">
      <c r="A9619">
        <v>60905140</v>
      </c>
      <c r="B9619">
        <v>4001880</v>
      </c>
      <c r="C9619" t="s">
        <v>17594</v>
      </c>
      <c r="D9619" t="s">
        <v>441</v>
      </c>
      <c r="F9619">
        <v>0</v>
      </c>
      <c r="G9619">
        <v>18.78</v>
      </c>
      <c r="H9619" t="s">
        <v>8587</v>
      </c>
      <c r="I9619">
        <v>44</v>
      </c>
      <c r="J9619" t="s">
        <v>462</v>
      </c>
      <c r="M9619">
        <v>7108</v>
      </c>
      <c r="N9619" t="s">
        <v>16639</v>
      </c>
    </row>
    <row r="9620" spans="1:14">
      <c r="A9620">
        <v>60905150</v>
      </c>
      <c r="B9620">
        <v>4004184</v>
      </c>
      <c r="C9620" t="s">
        <v>4233</v>
      </c>
      <c r="D9620" t="s">
        <v>441</v>
      </c>
      <c r="F9620">
        <v>0</v>
      </c>
      <c r="G9620">
        <v>10.24</v>
      </c>
      <c r="H9620" t="s">
        <v>8587</v>
      </c>
      <c r="I9620">
        <v>44</v>
      </c>
      <c r="J9620" t="s">
        <v>462</v>
      </c>
      <c r="K9620" t="s">
        <v>446</v>
      </c>
      <c r="M9620">
        <v>3711</v>
      </c>
      <c r="N9620" t="s">
        <v>16639</v>
      </c>
    </row>
    <row r="9621" spans="1:14">
      <c r="A9621">
        <v>60905160</v>
      </c>
      <c r="B9621">
        <v>4001072</v>
      </c>
      <c r="C9621" t="s">
        <v>4234</v>
      </c>
      <c r="D9621" t="s">
        <v>441</v>
      </c>
      <c r="F9621">
        <v>0</v>
      </c>
      <c r="G9621">
        <v>10.23</v>
      </c>
      <c r="H9621" t="s">
        <v>8587</v>
      </c>
      <c r="I9621">
        <v>44</v>
      </c>
      <c r="J9621" t="s">
        <v>462</v>
      </c>
      <c r="K9621" t="s">
        <v>446</v>
      </c>
      <c r="M9621">
        <v>3711</v>
      </c>
      <c r="N9621" t="s">
        <v>16639</v>
      </c>
    </row>
    <row r="9622" spans="1:14">
      <c r="A9622">
        <v>60905170</v>
      </c>
      <c r="B9622">
        <v>4004185</v>
      </c>
      <c r="C9622" t="s">
        <v>12867</v>
      </c>
      <c r="D9622" t="s">
        <v>441</v>
      </c>
      <c r="F9622">
        <v>0</v>
      </c>
      <c r="G9622">
        <v>12.5</v>
      </c>
      <c r="H9622" t="s">
        <v>8587</v>
      </c>
      <c r="I9622">
        <v>35</v>
      </c>
      <c r="J9622" t="s">
        <v>462</v>
      </c>
      <c r="K9622" t="s">
        <v>446</v>
      </c>
      <c r="M9622">
        <v>3711</v>
      </c>
    </row>
    <row r="9623" spans="1:14">
      <c r="A9623">
        <v>60905180</v>
      </c>
      <c r="B9623">
        <v>4004186</v>
      </c>
      <c r="C9623" t="s">
        <v>12868</v>
      </c>
      <c r="D9623" t="s">
        <v>441</v>
      </c>
      <c r="F9623">
        <v>0</v>
      </c>
      <c r="G9623">
        <v>12.4</v>
      </c>
      <c r="H9623" t="s">
        <v>8587</v>
      </c>
      <c r="I9623">
        <v>44</v>
      </c>
      <c r="J9623" t="s">
        <v>462</v>
      </c>
      <c r="K9623" t="s">
        <v>446</v>
      </c>
      <c r="M9623">
        <v>3711</v>
      </c>
    </row>
    <row r="9624" spans="1:14">
      <c r="A9624">
        <v>60905220</v>
      </c>
      <c r="B9624">
        <v>4016521</v>
      </c>
      <c r="C9624" t="s">
        <v>4235</v>
      </c>
      <c r="D9624" t="s">
        <v>441</v>
      </c>
      <c r="F9624">
        <v>0</v>
      </c>
      <c r="G9624">
        <v>12.58</v>
      </c>
      <c r="H9624" t="s">
        <v>8587</v>
      </c>
      <c r="I9624">
        <v>44</v>
      </c>
      <c r="J9624" t="s">
        <v>462</v>
      </c>
      <c r="K9624" t="s">
        <v>446</v>
      </c>
      <c r="M9624">
        <v>3711</v>
      </c>
      <c r="N9624" t="s">
        <v>16638</v>
      </c>
    </row>
    <row r="9625" spans="1:14">
      <c r="A9625">
        <v>60905290</v>
      </c>
      <c r="B9625">
        <v>4016310</v>
      </c>
      <c r="C9625" t="s">
        <v>4236</v>
      </c>
      <c r="D9625" t="s">
        <v>441</v>
      </c>
      <c r="F9625">
        <v>0</v>
      </c>
      <c r="G9625">
        <v>10.5</v>
      </c>
      <c r="H9625" t="s">
        <v>8587</v>
      </c>
      <c r="I9625">
        <v>44</v>
      </c>
      <c r="J9625" t="s">
        <v>462</v>
      </c>
      <c r="K9625" t="s">
        <v>446</v>
      </c>
      <c r="M9625">
        <v>3711</v>
      </c>
    </row>
    <row r="9626" spans="1:14">
      <c r="A9626">
        <v>60905510</v>
      </c>
      <c r="B9626">
        <v>4008485</v>
      </c>
      <c r="C9626" t="s">
        <v>12869</v>
      </c>
      <c r="D9626" t="s">
        <v>441</v>
      </c>
      <c r="F9626">
        <v>0</v>
      </c>
      <c r="G9626">
        <v>11.91</v>
      </c>
      <c r="H9626" t="s">
        <v>8587</v>
      </c>
      <c r="I9626">
        <v>44</v>
      </c>
      <c r="J9626" t="s">
        <v>462</v>
      </c>
      <c r="K9626" t="s">
        <v>446</v>
      </c>
      <c r="M9626">
        <v>3711</v>
      </c>
    </row>
    <row r="9627" spans="1:14">
      <c r="A9627">
        <v>60905520</v>
      </c>
      <c r="B9627">
        <v>4009148</v>
      </c>
      <c r="C9627" t="s">
        <v>4237</v>
      </c>
      <c r="D9627" t="s">
        <v>441</v>
      </c>
      <c r="F9627">
        <v>0</v>
      </c>
      <c r="G9627">
        <v>12.54</v>
      </c>
      <c r="H9627" t="s">
        <v>8587</v>
      </c>
      <c r="I9627">
        <v>44</v>
      </c>
      <c r="J9627" t="s">
        <v>462</v>
      </c>
      <c r="K9627" t="s">
        <v>446</v>
      </c>
      <c r="M9627">
        <v>3711</v>
      </c>
      <c r="N9627" t="s">
        <v>16638</v>
      </c>
    </row>
    <row r="9628" spans="1:14">
      <c r="A9628">
        <v>60907110</v>
      </c>
      <c r="B9628">
        <v>4001881</v>
      </c>
      <c r="C9628" t="s">
        <v>12870</v>
      </c>
      <c r="D9628" t="s">
        <v>441</v>
      </c>
      <c r="F9628">
        <v>0</v>
      </c>
      <c r="G9628">
        <v>13.32</v>
      </c>
      <c r="H9628" t="s">
        <v>8587</v>
      </c>
      <c r="I9628">
        <v>44</v>
      </c>
      <c r="J9628" t="s">
        <v>462</v>
      </c>
      <c r="K9628" t="s">
        <v>446</v>
      </c>
      <c r="M9628">
        <v>3711</v>
      </c>
    </row>
    <row r="9629" spans="1:14">
      <c r="A9629">
        <v>60907120</v>
      </c>
      <c r="B9629">
        <v>4001882</v>
      </c>
      <c r="C9629" t="s">
        <v>12870</v>
      </c>
      <c r="D9629" t="s">
        <v>441</v>
      </c>
      <c r="F9629">
        <v>0</v>
      </c>
      <c r="G9629">
        <v>11.92</v>
      </c>
      <c r="H9629" t="s">
        <v>8587</v>
      </c>
      <c r="I9629">
        <v>44</v>
      </c>
      <c r="J9629" t="s">
        <v>462</v>
      </c>
      <c r="K9629" t="s">
        <v>446</v>
      </c>
      <c r="M9629">
        <v>3711</v>
      </c>
    </row>
    <row r="9630" spans="1:14">
      <c r="A9630">
        <v>60907130</v>
      </c>
      <c r="B9630">
        <v>4001883</v>
      </c>
      <c r="C9630" t="s">
        <v>4238</v>
      </c>
      <c r="D9630" t="s">
        <v>441</v>
      </c>
      <c r="F9630">
        <v>0</v>
      </c>
      <c r="G9630">
        <v>11.89</v>
      </c>
      <c r="H9630" t="s">
        <v>8587</v>
      </c>
      <c r="I9630">
        <v>44</v>
      </c>
      <c r="J9630" t="s">
        <v>462</v>
      </c>
      <c r="K9630" t="s">
        <v>446</v>
      </c>
      <c r="M9630">
        <v>3711</v>
      </c>
    </row>
    <row r="9631" spans="1:14">
      <c r="A9631">
        <v>60907140</v>
      </c>
      <c r="B9631">
        <v>4006324</v>
      </c>
      <c r="C9631" t="s">
        <v>4239</v>
      </c>
      <c r="D9631" t="s">
        <v>441</v>
      </c>
      <c r="F9631">
        <v>0</v>
      </c>
      <c r="G9631">
        <v>12.5</v>
      </c>
      <c r="H9631" t="s">
        <v>8587</v>
      </c>
      <c r="I9631">
        <v>44</v>
      </c>
      <c r="J9631" t="s">
        <v>462</v>
      </c>
      <c r="K9631" t="s">
        <v>446</v>
      </c>
      <c r="M9631">
        <v>3711</v>
      </c>
      <c r="N9631" t="s">
        <v>16638</v>
      </c>
    </row>
    <row r="9632" spans="1:14">
      <c r="A9632">
        <v>60907150</v>
      </c>
      <c r="B9632">
        <v>4006742</v>
      </c>
      <c r="C9632" t="s">
        <v>12871</v>
      </c>
      <c r="D9632" t="s">
        <v>441</v>
      </c>
      <c r="F9632">
        <v>0</v>
      </c>
      <c r="G9632">
        <v>11.92</v>
      </c>
      <c r="H9632" t="s">
        <v>8587</v>
      </c>
      <c r="I9632">
        <v>44</v>
      </c>
      <c r="J9632" t="s">
        <v>462</v>
      </c>
      <c r="K9632" t="s">
        <v>446</v>
      </c>
      <c r="M9632">
        <v>3711</v>
      </c>
    </row>
    <row r="9633" spans="1:14">
      <c r="A9633">
        <v>60907160</v>
      </c>
      <c r="B9633">
        <v>4007451</v>
      </c>
      <c r="C9633" t="s">
        <v>12872</v>
      </c>
      <c r="D9633" t="s">
        <v>441</v>
      </c>
      <c r="F9633">
        <v>0</v>
      </c>
      <c r="G9633">
        <v>13.86</v>
      </c>
      <c r="H9633" t="s">
        <v>8587</v>
      </c>
      <c r="I9633">
        <v>44</v>
      </c>
      <c r="J9633" t="s">
        <v>462</v>
      </c>
      <c r="K9633" t="s">
        <v>446</v>
      </c>
      <c r="M9633">
        <v>3711</v>
      </c>
    </row>
    <row r="9634" spans="1:14">
      <c r="A9634">
        <v>60907170</v>
      </c>
      <c r="B9634">
        <v>4008281</v>
      </c>
      <c r="C9634" t="s">
        <v>4240</v>
      </c>
      <c r="D9634" t="s">
        <v>441</v>
      </c>
      <c r="F9634">
        <v>0</v>
      </c>
      <c r="G9634">
        <v>12.83</v>
      </c>
      <c r="H9634" t="s">
        <v>8587</v>
      </c>
      <c r="I9634">
        <v>44</v>
      </c>
      <c r="J9634" t="s">
        <v>462</v>
      </c>
      <c r="K9634" t="s">
        <v>446</v>
      </c>
      <c r="M9634">
        <v>3711</v>
      </c>
    </row>
    <row r="9635" spans="1:14">
      <c r="A9635">
        <v>60907180</v>
      </c>
      <c r="B9635">
        <v>4008307</v>
      </c>
      <c r="C9635" t="s">
        <v>4241</v>
      </c>
      <c r="D9635" t="s">
        <v>441</v>
      </c>
      <c r="F9635">
        <v>0</v>
      </c>
      <c r="G9635">
        <v>13.34</v>
      </c>
      <c r="H9635" t="s">
        <v>8587</v>
      </c>
      <c r="I9635">
        <v>44</v>
      </c>
      <c r="J9635" t="s">
        <v>462</v>
      </c>
      <c r="K9635" t="s">
        <v>446</v>
      </c>
      <c r="M9635">
        <v>3711</v>
      </c>
    </row>
    <row r="9636" spans="1:14">
      <c r="A9636">
        <v>60907190</v>
      </c>
      <c r="B9636">
        <v>4008358</v>
      </c>
      <c r="C9636" t="s">
        <v>4242</v>
      </c>
      <c r="D9636" t="s">
        <v>441</v>
      </c>
      <c r="F9636">
        <v>0</v>
      </c>
      <c r="G9636">
        <v>11.88</v>
      </c>
      <c r="H9636" t="s">
        <v>8587</v>
      </c>
      <c r="I9636">
        <v>44</v>
      </c>
      <c r="J9636" t="s">
        <v>462</v>
      </c>
      <c r="K9636" t="s">
        <v>446</v>
      </c>
      <c r="M9636">
        <v>3711</v>
      </c>
    </row>
    <row r="9637" spans="1:14">
      <c r="A9637">
        <v>60910000</v>
      </c>
      <c r="B9637">
        <v>3025108</v>
      </c>
      <c r="C9637" t="s">
        <v>4243</v>
      </c>
      <c r="D9637" t="s">
        <v>441</v>
      </c>
      <c r="F9637">
        <v>0</v>
      </c>
      <c r="G9637">
        <v>12.06</v>
      </c>
      <c r="H9637" t="s">
        <v>12573</v>
      </c>
      <c r="I9637">
        <v>7</v>
      </c>
      <c r="J9637" t="s">
        <v>445</v>
      </c>
      <c r="K9637" t="s">
        <v>446</v>
      </c>
      <c r="M9637">
        <v>3311</v>
      </c>
      <c r="N9637" t="s">
        <v>16640</v>
      </c>
    </row>
    <row r="9638" spans="1:14">
      <c r="A9638">
        <v>60910008</v>
      </c>
      <c r="B9638">
        <v>3025107</v>
      </c>
      <c r="C9638" t="s">
        <v>4244</v>
      </c>
      <c r="D9638" t="s">
        <v>441</v>
      </c>
      <c r="F9638">
        <v>0</v>
      </c>
      <c r="G9638">
        <v>9.09</v>
      </c>
      <c r="H9638" t="s">
        <v>12664</v>
      </c>
      <c r="I9638">
        <v>9</v>
      </c>
      <c r="J9638" t="s">
        <v>445</v>
      </c>
      <c r="K9638" t="s">
        <v>446</v>
      </c>
      <c r="M9638">
        <v>3211</v>
      </c>
      <c r="N9638" t="s">
        <v>16641</v>
      </c>
    </row>
    <row r="9639" spans="1:14">
      <c r="A9639">
        <v>60915110</v>
      </c>
      <c r="B9639">
        <v>4016465</v>
      </c>
      <c r="C9639" t="s">
        <v>4245</v>
      </c>
      <c r="D9639" t="s">
        <v>441</v>
      </c>
      <c r="F9639">
        <v>0</v>
      </c>
      <c r="G9639">
        <v>12.4</v>
      </c>
      <c r="H9639" t="s">
        <v>8587</v>
      </c>
      <c r="I9639">
        <v>42</v>
      </c>
      <c r="J9639" t="s">
        <v>462</v>
      </c>
      <c r="K9639" t="s">
        <v>446</v>
      </c>
      <c r="M9639">
        <v>3711</v>
      </c>
      <c r="N9639" t="s">
        <v>16640</v>
      </c>
    </row>
    <row r="9640" spans="1:14">
      <c r="A9640">
        <v>61510000</v>
      </c>
      <c r="B9640">
        <v>3014513</v>
      </c>
      <c r="C9640" t="s">
        <v>12873</v>
      </c>
      <c r="D9640" t="s">
        <v>441</v>
      </c>
      <c r="F9640">
        <v>0</v>
      </c>
      <c r="G9640">
        <v>12.55</v>
      </c>
      <c r="H9640" t="s">
        <v>8584</v>
      </c>
      <c r="I9640">
        <v>6</v>
      </c>
      <c r="J9640" t="s">
        <v>445</v>
      </c>
      <c r="K9640" t="s">
        <v>446</v>
      </c>
      <c r="M9640">
        <v>3311</v>
      </c>
      <c r="N9640" t="s">
        <v>16642</v>
      </c>
    </row>
    <row r="9641" spans="1:14">
      <c r="A9641">
        <v>61510008</v>
      </c>
      <c r="B9641">
        <v>3014514</v>
      </c>
      <c r="C9641" t="s">
        <v>12874</v>
      </c>
      <c r="D9641" t="s">
        <v>441</v>
      </c>
      <c r="F9641">
        <v>0</v>
      </c>
      <c r="G9641">
        <v>9.9600000000000009</v>
      </c>
      <c r="H9641" t="s">
        <v>8580</v>
      </c>
      <c r="I9641">
        <v>5</v>
      </c>
      <c r="J9641" t="s">
        <v>445</v>
      </c>
      <c r="K9641" t="s">
        <v>446</v>
      </c>
      <c r="M9641">
        <v>3211</v>
      </c>
      <c r="N9641" t="s">
        <v>16642</v>
      </c>
    </row>
    <row r="9642" spans="1:14">
      <c r="A9642">
        <v>61515110</v>
      </c>
      <c r="B9642">
        <v>4011009</v>
      </c>
      <c r="C9642" t="s">
        <v>12875</v>
      </c>
      <c r="D9642" t="s">
        <v>441</v>
      </c>
      <c r="F9642">
        <v>0</v>
      </c>
      <c r="G9642">
        <v>14.18</v>
      </c>
      <c r="H9642" t="s">
        <v>8587</v>
      </c>
      <c r="I9642">
        <v>42</v>
      </c>
      <c r="J9642" t="s">
        <v>462</v>
      </c>
      <c r="K9642" t="s">
        <v>446</v>
      </c>
      <c r="M9642">
        <v>3711</v>
      </c>
      <c r="N9642" t="s">
        <v>16642</v>
      </c>
    </row>
    <row r="9643" spans="1:14">
      <c r="A9643">
        <v>61515150</v>
      </c>
      <c r="B9643">
        <v>4013060</v>
      </c>
      <c r="C9643" t="s">
        <v>12876</v>
      </c>
      <c r="D9643" t="s">
        <v>441</v>
      </c>
      <c r="F9643">
        <v>0</v>
      </c>
      <c r="G9643">
        <v>11.56</v>
      </c>
      <c r="H9643" t="s">
        <v>8587</v>
      </c>
      <c r="I9643">
        <v>42</v>
      </c>
      <c r="J9643" t="s">
        <v>462</v>
      </c>
      <c r="K9643" t="s">
        <v>446</v>
      </c>
      <c r="M9643">
        <v>3711</v>
      </c>
    </row>
    <row r="9644" spans="1:14">
      <c r="A9644">
        <v>61515160</v>
      </c>
      <c r="B9644">
        <v>4013427</v>
      </c>
      <c r="C9644" t="s">
        <v>12877</v>
      </c>
      <c r="D9644" t="s">
        <v>441</v>
      </c>
      <c r="F9644">
        <v>0</v>
      </c>
      <c r="G9644">
        <v>12</v>
      </c>
      <c r="H9644" t="s">
        <v>8587</v>
      </c>
      <c r="I9644">
        <v>42</v>
      </c>
      <c r="J9644" t="s">
        <v>462</v>
      </c>
      <c r="K9644" t="s">
        <v>446</v>
      </c>
      <c r="M9644">
        <v>3711</v>
      </c>
    </row>
    <row r="9645" spans="1:14">
      <c r="A9645">
        <v>61520000</v>
      </c>
      <c r="B9645">
        <v>3018534</v>
      </c>
      <c r="C9645" t="s">
        <v>4246</v>
      </c>
      <c r="D9645" t="s">
        <v>441</v>
      </c>
      <c r="F9645">
        <v>0</v>
      </c>
      <c r="G9645">
        <v>13.86</v>
      </c>
      <c r="H9645" t="s">
        <v>8584</v>
      </c>
      <c r="I9645">
        <v>6</v>
      </c>
      <c r="J9645" t="s">
        <v>445</v>
      </c>
      <c r="K9645" t="s">
        <v>446</v>
      </c>
      <c r="M9645">
        <v>3311</v>
      </c>
    </row>
    <row r="9646" spans="1:14">
      <c r="A9646">
        <v>61520008</v>
      </c>
      <c r="B9646">
        <v>3018533</v>
      </c>
      <c r="C9646" t="s">
        <v>4247</v>
      </c>
      <c r="D9646" t="s">
        <v>441</v>
      </c>
      <c r="F9646">
        <v>0</v>
      </c>
      <c r="G9646">
        <v>10.37</v>
      </c>
      <c r="H9646" t="s">
        <v>8580</v>
      </c>
      <c r="I9646">
        <v>5</v>
      </c>
      <c r="J9646" t="s">
        <v>445</v>
      </c>
      <c r="K9646" t="s">
        <v>446</v>
      </c>
      <c r="M9646">
        <v>3211</v>
      </c>
    </row>
    <row r="9647" spans="1:14">
      <c r="A9647">
        <v>61525110</v>
      </c>
      <c r="B9647">
        <v>4012849</v>
      </c>
      <c r="C9647" t="s">
        <v>4248</v>
      </c>
      <c r="D9647" t="s">
        <v>441</v>
      </c>
      <c r="F9647">
        <v>0</v>
      </c>
      <c r="G9647">
        <v>14.98</v>
      </c>
      <c r="H9647" t="s">
        <v>8587</v>
      </c>
      <c r="I9647">
        <v>28</v>
      </c>
      <c r="J9647" t="s">
        <v>462</v>
      </c>
      <c r="K9647" t="s">
        <v>446</v>
      </c>
      <c r="M9647">
        <v>3711</v>
      </c>
    </row>
    <row r="9648" spans="1:14">
      <c r="A9648">
        <v>61525120</v>
      </c>
      <c r="B9648">
        <v>4012965</v>
      </c>
      <c r="C9648" t="s">
        <v>4249</v>
      </c>
      <c r="D9648" t="s">
        <v>441</v>
      </c>
      <c r="F9648">
        <v>0</v>
      </c>
      <c r="G9648">
        <v>14.98</v>
      </c>
      <c r="H9648" t="s">
        <v>8587</v>
      </c>
      <c r="I9648">
        <v>28</v>
      </c>
      <c r="J9648" t="s">
        <v>462</v>
      </c>
      <c r="K9648" t="s">
        <v>446</v>
      </c>
      <c r="M9648">
        <v>3711</v>
      </c>
    </row>
    <row r="9649" spans="1:14">
      <c r="A9649">
        <v>61530000</v>
      </c>
      <c r="B9649">
        <v>3025471</v>
      </c>
      <c r="C9649" t="s">
        <v>12878</v>
      </c>
      <c r="D9649" t="s">
        <v>441</v>
      </c>
      <c r="F9649">
        <v>0</v>
      </c>
      <c r="G9649">
        <v>8.4700000000000006</v>
      </c>
      <c r="H9649" t="s">
        <v>12573</v>
      </c>
      <c r="I9649">
        <v>7</v>
      </c>
      <c r="J9649" t="s">
        <v>445</v>
      </c>
      <c r="K9649" t="s">
        <v>446</v>
      </c>
      <c r="M9649">
        <v>3311</v>
      </c>
    </row>
    <row r="9650" spans="1:14">
      <c r="A9650">
        <v>61530008</v>
      </c>
      <c r="B9650">
        <v>3025470</v>
      </c>
      <c r="C9650" t="s">
        <v>4250</v>
      </c>
      <c r="D9650" t="s">
        <v>441</v>
      </c>
      <c r="F9650">
        <v>0</v>
      </c>
      <c r="G9650">
        <v>6.13</v>
      </c>
      <c r="H9650" t="s">
        <v>12664</v>
      </c>
      <c r="I9650">
        <v>9</v>
      </c>
      <c r="J9650" t="s">
        <v>445</v>
      </c>
      <c r="K9650" t="s">
        <v>446</v>
      </c>
      <c r="M9650">
        <v>3211</v>
      </c>
    </row>
    <row r="9651" spans="1:14">
      <c r="A9651">
        <v>61535110</v>
      </c>
      <c r="B9651">
        <v>4016534</v>
      </c>
      <c r="C9651" t="s">
        <v>4251</v>
      </c>
      <c r="D9651" t="s">
        <v>441</v>
      </c>
      <c r="F9651">
        <v>0</v>
      </c>
      <c r="G9651">
        <v>9.5299999999999994</v>
      </c>
      <c r="H9651" t="s">
        <v>8587</v>
      </c>
      <c r="I9651">
        <v>42</v>
      </c>
      <c r="J9651" t="s">
        <v>462</v>
      </c>
      <c r="K9651" t="s">
        <v>446</v>
      </c>
      <c r="M9651">
        <v>3711</v>
      </c>
    </row>
    <row r="9652" spans="1:14">
      <c r="A9652">
        <v>62000000</v>
      </c>
      <c r="B9652">
        <v>3016585</v>
      </c>
      <c r="C9652" t="s">
        <v>12879</v>
      </c>
      <c r="D9652" t="s">
        <v>441</v>
      </c>
      <c r="F9652">
        <v>0</v>
      </c>
      <c r="G9652">
        <v>11.98</v>
      </c>
      <c r="H9652" t="s">
        <v>8580</v>
      </c>
      <c r="I9652">
        <v>6</v>
      </c>
      <c r="J9652" t="s">
        <v>445</v>
      </c>
      <c r="K9652" t="s">
        <v>446</v>
      </c>
      <c r="M9652">
        <v>3311</v>
      </c>
      <c r="N9652" t="s">
        <v>16643</v>
      </c>
    </row>
    <row r="9653" spans="1:14">
      <c r="A9653">
        <v>62000008</v>
      </c>
      <c r="B9653">
        <v>3016586</v>
      </c>
      <c r="C9653" t="s">
        <v>12880</v>
      </c>
      <c r="D9653" t="s">
        <v>441</v>
      </c>
      <c r="F9653">
        <v>0</v>
      </c>
      <c r="G9653">
        <v>9.85</v>
      </c>
      <c r="H9653" t="s">
        <v>8580</v>
      </c>
      <c r="I9653">
        <v>9</v>
      </c>
      <c r="J9653" t="s">
        <v>445</v>
      </c>
      <c r="K9653" t="s">
        <v>446</v>
      </c>
      <c r="M9653">
        <v>3211</v>
      </c>
      <c r="N9653" t="s">
        <v>16643</v>
      </c>
    </row>
    <row r="9654" spans="1:14">
      <c r="A9654">
        <v>62004110</v>
      </c>
      <c r="B9654">
        <v>4004198</v>
      </c>
      <c r="C9654" t="s">
        <v>12881</v>
      </c>
      <c r="D9654" t="s">
        <v>441</v>
      </c>
      <c r="F9654">
        <v>0</v>
      </c>
      <c r="G9654">
        <v>13.74</v>
      </c>
      <c r="H9654" t="s">
        <v>8587</v>
      </c>
      <c r="I9654">
        <v>44</v>
      </c>
      <c r="J9654" t="s">
        <v>462</v>
      </c>
      <c r="K9654" t="s">
        <v>446</v>
      </c>
      <c r="M9654">
        <v>3711</v>
      </c>
      <c r="N9654" t="s">
        <v>16644</v>
      </c>
    </row>
    <row r="9655" spans="1:14">
      <c r="A9655">
        <v>62004120</v>
      </c>
      <c r="B9655">
        <v>4009333</v>
      </c>
      <c r="C9655" t="s">
        <v>12882</v>
      </c>
      <c r="D9655" t="s">
        <v>441</v>
      </c>
      <c r="F9655">
        <v>0</v>
      </c>
      <c r="G9655">
        <v>10.55</v>
      </c>
      <c r="H9655" t="s">
        <v>8587</v>
      </c>
      <c r="I9655">
        <v>44</v>
      </c>
      <c r="J9655" t="s">
        <v>462</v>
      </c>
      <c r="K9655" t="s">
        <v>446</v>
      </c>
      <c r="M9655">
        <v>3711</v>
      </c>
    </row>
    <row r="9656" spans="1:14">
      <c r="A9656">
        <v>62004140</v>
      </c>
      <c r="B9656">
        <v>4005423</v>
      </c>
      <c r="C9656" t="s">
        <v>12883</v>
      </c>
      <c r="D9656" t="s">
        <v>441</v>
      </c>
      <c r="F9656">
        <v>0</v>
      </c>
      <c r="G9656">
        <v>13.96</v>
      </c>
      <c r="H9656" t="s">
        <v>8587</v>
      </c>
      <c r="I9656">
        <v>44</v>
      </c>
      <c r="J9656" t="s">
        <v>462</v>
      </c>
      <c r="K9656" t="s">
        <v>446</v>
      </c>
      <c r="M9656">
        <v>3711</v>
      </c>
      <c r="N9656" t="s">
        <v>16644</v>
      </c>
    </row>
    <row r="9657" spans="1:14">
      <c r="A9657">
        <v>62004150</v>
      </c>
      <c r="B9657">
        <v>4006436</v>
      </c>
      <c r="C9657" t="s">
        <v>12884</v>
      </c>
      <c r="D9657" t="s">
        <v>441</v>
      </c>
      <c r="F9657">
        <v>0</v>
      </c>
      <c r="G9657">
        <v>10.95</v>
      </c>
      <c r="H9657" t="s">
        <v>8587</v>
      </c>
      <c r="I9657">
        <v>44</v>
      </c>
      <c r="J9657" t="s">
        <v>462</v>
      </c>
      <c r="K9657" t="s">
        <v>446</v>
      </c>
      <c r="M9657">
        <v>3711</v>
      </c>
    </row>
    <row r="9658" spans="1:14">
      <c r="A9658">
        <v>62004160</v>
      </c>
      <c r="B9658">
        <v>4007859</v>
      </c>
      <c r="C9658" t="s">
        <v>12885</v>
      </c>
      <c r="D9658" t="s">
        <v>441</v>
      </c>
      <c r="F9658">
        <v>0</v>
      </c>
      <c r="G9658">
        <v>10.38</v>
      </c>
      <c r="H9658" t="s">
        <v>8587</v>
      </c>
      <c r="I9658">
        <v>44</v>
      </c>
      <c r="J9658" t="s">
        <v>462</v>
      </c>
      <c r="M9658">
        <v>3711</v>
      </c>
    </row>
    <row r="9659" spans="1:14">
      <c r="A9659">
        <v>62004170</v>
      </c>
      <c r="B9659">
        <v>4008250</v>
      </c>
      <c r="C9659" t="s">
        <v>4252</v>
      </c>
      <c r="D9659" t="s">
        <v>441</v>
      </c>
      <c r="F9659">
        <v>0</v>
      </c>
      <c r="G9659">
        <v>14.23</v>
      </c>
      <c r="H9659" t="s">
        <v>8587</v>
      </c>
      <c r="I9659">
        <v>44</v>
      </c>
      <c r="J9659" t="s">
        <v>462</v>
      </c>
      <c r="K9659" t="s">
        <v>446</v>
      </c>
      <c r="M9659">
        <v>3711</v>
      </c>
      <c r="N9659" t="s">
        <v>16644</v>
      </c>
    </row>
    <row r="9660" spans="1:14">
      <c r="A9660">
        <v>62004180</v>
      </c>
      <c r="B9660">
        <v>4008676</v>
      </c>
      <c r="C9660" t="s">
        <v>12886</v>
      </c>
      <c r="D9660" t="s">
        <v>441</v>
      </c>
      <c r="F9660">
        <v>0</v>
      </c>
      <c r="G9660">
        <v>8.67</v>
      </c>
      <c r="H9660" t="s">
        <v>8587</v>
      </c>
      <c r="I9660">
        <v>44</v>
      </c>
      <c r="J9660" t="s">
        <v>462</v>
      </c>
      <c r="K9660" t="s">
        <v>446</v>
      </c>
      <c r="M9660">
        <v>3711</v>
      </c>
    </row>
    <row r="9661" spans="1:14">
      <c r="A9661">
        <v>62004190</v>
      </c>
      <c r="B9661">
        <v>4008673</v>
      </c>
      <c r="C9661" t="s">
        <v>12887</v>
      </c>
      <c r="D9661" t="s">
        <v>441</v>
      </c>
      <c r="F9661">
        <v>0</v>
      </c>
      <c r="G9661">
        <v>11.57</v>
      </c>
      <c r="H9661" t="s">
        <v>8587</v>
      </c>
      <c r="I9661">
        <v>44</v>
      </c>
      <c r="J9661" t="s">
        <v>462</v>
      </c>
      <c r="K9661" t="s">
        <v>446</v>
      </c>
      <c r="M9661">
        <v>3711</v>
      </c>
    </row>
    <row r="9662" spans="1:14">
      <c r="A9662">
        <v>62005110</v>
      </c>
      <c r="B9662">
        <v>4004200</v>
      </c>
      <c r="C9662" t="s">
        <v>12888</v>
      </c>
      <c r="D9662" t="s">
        <v>441</v>
      </c>
      <c r="F9662">
        <v>0</v>
      </c>
      <c r="G9662">
        <v>10.58</v>
      </c>
      <c r="H9662" t="s">
        <v>8587</v>
      </c>
      <c r="I9662">
        <v>44</v>
      </c>
      <c r="J9662" t="s">
        <v>462</v>
      </c>
      <c r="K9662" t="s">
        <v>446</v>
      </c>
      <c r="M9662">
        <v>3711</v>
      </c>
    </row>
    <row r="9663" spans="1:14">
      <c r="A9663">
        <v>62005120</v>
      </c>
      <c r="B9663">
        <v>4001074</v>
      </c>
      <c r="C9663" t="s">
        <v>12889</v>
      </c>
      <c r="D9663" t="s">
        <v>441</v>
      </c>
      <c r="F9663">
        <v>0</v>
      </c>
      <c r="G9663">
        <v>11.3</v>
      </c>
      <c r="H9663" t="s">
        <v>8587</v>
      </c>
      <c r="I9663">
        <v>44</v>
      </c>
      <c r="J9663" t="s">
        <v>462</v>
      </c>
      <c r="K9663" t="s">
        <v>446</v>
      </c>
      <c r="M9663">
        <v>3711</v>
      </c>
    </row>
    <row r="9664" spans="1:14">
      <c r="A9664">
        <v>62005130</v>
      </c>
      <c r="B9664">
        <v>4004201</v>
      </c>
      <c r="C9664" t="s">
        <v>12890</v>
      </c>
      <c r="D9664" t="s">
        <v>441</v>
      </c>
      <c r="F9664">
        <v>0</v>
      </c>
      <c r="G9664">
        <v>13.41</v>
      </c>
      <c r="H9664" t="s">
        <v>8587</v>
      </c>
      <c r="I9664">
        <v>44</v>
      </c>
      <c r="J9664" t="s">
        <v>462</v>
      </c>
      <c r="K9664" t="s">
        <v>446</v>
      </c>
      <c r="M9664">
        <v>3711</v>
      </c>
      <c r="N9664" t="s">
        <v>16644</v>
      </c>
    </row>
    <row r="9665" spans="1:14">
      <c r="A9665">
        <v>62005140</v>
      </c>
      <c r="B9665">
        <v>4009334</v>
      </c>
      <c r="C9665" t="s">
        <v>12891</v>
      </c>
      <c r="D9665" t="s">
        <v>441</v>
      </c>
      <c r="F9665">
        <v>0</v>
      </c>
      <c r="G9665">
        <v>10.39</v>
      </c>
      <c r="H9665" t="s">
        <v>8587</v>
      </c>
      <c r="I9665">
        <v>44</v>
      </c>
      <c r="J9665" t="s">
        <v>462</v>
      </c>
      <c r="K9665" t="s">
        <v>446</v>
      </c>
      <c r="M9665">
        <v>3711</v>
      </c>
    </row>
    <row r="9666" spans="1:14">
      <c r="A9666">
        <v>62005150</v>
      </c>
      <c r="B9666">
        <v>4009965</v>
      </c>
      <c r="C9666" t="s">
        <v>12892</v>
      </c>
      <c r="D9666" t="s">
        <v>441</v>
      </c>
      <c r="F9666">
        <v>0</v>
      </c>
      <c r="G9666">
        <v>11.28</v>
      </c>
      <c r="H9666" t="s">
        <v>8587</v>
      </c>
      <c r="I9666">
        <v>44</v>
      </c>
      <c r="J9666" t="s">
        <v>462</v>
      </c>
      <c r="K9666" t="s">
        <v>446</v>
      </c>
      <c r="M9666">
        <v>3711</v>
      </c>
    </row>
    <row r="9667" spans="1:14">
      <c r="A9667">
        <v>62005170</v>
      </c>
      <c r="B9667">
        <v>4004202</v>
      </c>
      <c r="C9667" t="s">
        <v>12893</v>
      </c>
      <c r="D9667" t="s">
        <v>441</v>
      </c>
      <c r="F9667">
        <v>0</v>
      </c>
      <c r="G9667">
        <v>13.57</v>
      </c>
      <c r="H9667" t="s">
        <v>8587</v>
      </c>
      <c r="I9667">
        <v>44</v>
      </c>
      <c r="J9667" t="s">
        <v>462</v>
      </c>
      <c r="K9667" t="s">
        <v>446</v>
      </c>
      <c r="M9667">
        <v>3711</v>
      </c>
      <c r="N9667" t="s">
        <v>16644</v>
      </c>
    </row>
    <row r="9668" spans="1:14">
      <c r="A9668">
        <v>62005180</v>
      </c>
      <c r="B9668">
        <v>4013426</v>
      </c>
      <c r="C9668" t="s">
        <v>12894</v>
      </c>
      <c r="D9668" t="s">
        <v>441</v>
      </c>
      <c r="F9668">
        <v>0</v>
      </c>
      <c r="G9668">
        <v>13.63</v>
      </c>
      <c r="H9668" t="s">
        <v>8587</v>
      </c>
      <c r="I9668">
        <v>44</v>
      </c>
      <c r="J9668" t="s">
        <v>462</v>
      </c>
      <c r="K9668" t="s">
        <v>446</v>
      </c>
      <c r="M9668">
        <v>3711</v>
      </c>
      <c r="N9668" t="s">
        <v>16644</v>
      </c>
    </row>
    <row r="9669" spans="1:14">
      <c r="A9669">
        <v>62005190</v>
      </c>
      <c r="B9669">
        <v>4004203</v>
      </c>
      <c r="C9669" t="s">
        <v>12895</v>
      </c>
      <c r="D9669" t="s">
        <v>441</v>
      </c>
      <c r="F9669">
        <v>0</v>
      </c>
      <c r="G9669">
        <v>11.04</v>
      </c>
      <c r="H9669" t="s">
        <v>8587</v>
      </c>
      <c r="I9669">
        <v>44</v>
      </c>
      <c r="J9669" t="s">
        <v>462</v>
      </c>
      <c r="K9669" t="s">
        <v>446</v>
      </c>
      <c r="M9669">
        <v>3711</v>
      </c>
    </row>
    <row r="9670" spans="1:14">
      <c r="A9670">
        <v>62005510</v>
      </c>
      <c r="B9670">
        <v>4008672</v>
      </c>
      <c r="C9670" t="s">
        <v>12896</v>
      </c>
      <c r="D9670" t="s">
        <v>441</v>
      </c>
      <c r="F9670">
        <v>0</v>
      </c>
      <c r="G9670">
        <v>11.59</v>
      </c>
      <c r="H9670" t="s">
        <v>8587</v>
      </c>
      <c r="I9670">
        <v>44</v>
      </c>
      <c r="J9670" t="s">
        <v>462</v>
      </c>
      <c r="K9670" t="s">
        <v>446</v>
      </c>
      <c r="M9670">
        <v>3711</v>
      </c>
    </row>
    <row r="9671" spans="1:14">
      <c r="A9671">
        <v>62007120</v>
      </c>
      <c r="B9671">
        <v>4001891</v>
      </c>
      <c r="C9671" t="s">
        <v>12897</v>
      </c>
      <c r="D9671" t="s">
        <v>441</v>
      </c>
      <c r="F9671">
        <v>0</v>
      </c>
      <c r="G9671">
        <v>10.41</v>
      </c>
      <c r="H9671" t="s">
        <v>8587</v>
      </c>
      <c r="I9671">
        <v>44</v>
      </c>
      <c r="J9671" t="s">
        <v>462</v>
      </c>
      <c r="K9671" t="s">
        <v>446</v>
      </c>
      <c r="M9671">
        <v>3711</v>
      </c>
    </row>
    <row r="9672" spans="1:14">
      <c r="A9672">
        <v>62007130</v>
      </c>
      <c r="B9672">
        <v>4001892</v>
      </c>
      <c r="C9672" t="s">
        <v>12898</v>
      </c>
      <c r="D9672" t="s">
        <v>441</v>
      </c>
      <c r="F9672">
        <v>0</v>
      </c>
      <c r="G9672">
        <v>10.36</v>
      </c>
      <c r="H9672" t="s">
        <v>8587</v>
      </c>
      <c r="I9672">
        <v>44</v>
      </c>
      <c r="J9672" t="s">
        <v>462</v>
      </c>
      <c r="M9672">
        <v>3711</v>
      </c>
    </row>
    <row r="9673" spans="1:14">
      <c r="A9673">
        <v>62007140</v>
      </c>
      <c r="B9673">
        <v>4001893</v>
      </c>
      <c r="C9673" t="s">
        <v>12899</v>
      </c>
      <c r="D9673" t="s">
        <v>441</v>
      </c>
      <c r="F9673">
        <v>0</v>
      </c>
      <c r="G9673">
        <v>11.37</v>
      </c>
      <c r="H9673" t="s">
        <v>8587</v>
      </c>
      <c r="I9673">
        <v>44</v>
      </c>
      <c r="J9673" t="s">
        <v>462</v>
      </c>
      <c r="K9673" t="s">
        <v>446</v>
      </c>
      <c r="M9673">
        <v>3711</v>
      </c>
    </row>
    <row r="9674" spans="1:14">
      <c r="A9674">
        <v>62007150</v>
      </c>
      <c r="B9674">
        <v>4001894</v>
      </c>
      <c r="C9674" t="s">
        <v>12900</v>
      </c>
      <c r="D9674" t="s">
        <v>441</v>
      </c>
      <c r="F9674">
        <v>0</v>
      </c>
      <c r="G9674">
        <v>11.33</v>
      </c>
      <c r="H9674" t="s">
        <v>8587</v>
      </c>
      <c r="I9674">
        <v>44</v>
      </c>
      <c r="J9674" t="s">
        <v>462</v>
      </c>
      <c r="K9674" t="s">
        <v>446</v>
      </c>
      <c r="M9674">
        <v>3711</v>
      </c>
    </row>
    <row r="9675" spans="1:14">
      <c r="A9675">
        <v>62007160</v>
      </c>
      <c r="B9675">
        <v>4006203</v>
      </c>
      <c r="C9675" t="s">
        <v>12901</v>
      </c>
      <c r="D9675" t="s">
        <v>441</v>
      </c>
      <c r="F9675">
        <v>0</v>
      </c>
      <c r="G9675">
        <v>11.8</v>
      </c>
      <c r="H9675" t="s">
        <v>8587</v>
      </c>
      <c r="I9675">
        <v>44</v>
      </c>
      <c r="J9675" t="s">
        <v>462</v>
      </c>
      <c r="K9675" t="s">
        <v>446</v>
      </c>
      <c r="M9675">
        <v>3711</v>
      </c>
    </row>
    <row r="9676" spans="1:14">
      <c r="A9676">
        <v>62007170</v>
      </c>
      <c r="B9676">
        <v>4007750</v>
      </c>
      <c r="C9676" t="s">
        <v>12902</v>
      </c>
      <c r="D9676" t="s">
        <v>441</v>
      </c>
      <c r="F9676">
        <v>0</v>
      </c>
      <c r="G9676">
        <v>11.33</v>
      </c>
      <c r="H9676" t="s">
        <v>8587</v>
      </c>
      <c r="I9676">
        <v>44</v>
      </c>
      <c r="J9676" t="s">
        <v>462</v>
      </c>
      <c r="K9676" t="s">
        <v>446</v>
      </c>
      <c r="M9676">
        <v>3711</v>
      </c>
    </row>
    <row r="9677" spans="1:14">
      <c r="A9677">
        <v>62007180</v>
      </c>
      <c r="B9677">
        <v>4008171</v>
      </c>
      <c r="C9677" t="s">
        <v>12903</v>
      </c>
      <c r="D9677" t="s">
        <v>441</v>
      </c>
      <c r="F9677">
        <v>0</v>
      </c>
      <c r="G9677">
        <v>13.27</v>
      </c>
      <c r="H9677" t="s">
        <v>8587</v>
      </c>
      <c r="I9677">
        <v>44</v>
      </c>
      <c r="J9677" t="s">
        <v>462</v>
      </c>
      <c r="K9677" t="s">
        <v>446</v>
      </c>
      <c r="M9677">
        <v>3711</v>
      </c>
      <c r="N9677" t="s">
        <v>16644</v>
      </c>
    </row>
    <row r="9678" spans="1:14">
      <c r="A9678">
        <v>62007190</v>
      </c>
      <c r="B9678">
        <v>4008240</v>
      </c>
      <c r="C9678" t="s">
        <v>12904</v>
      </c>
      <c r="D9678" t="s">
        <v>441</v>
      </c>
      <c r="F9678">
        <v>0</v>
      </c>
      <c r="G9678">
        <v>8.2799999999999994</v>
      </c>
      <c r="H9678" t="s">
        <v>8587</v>
      </c>
      <c r="I9678">
        <v>44</v>
      </c>
      <c r="J9678" t="s">
        <v>462</v>
      </c>
      <c r="K9678" t="s">
        <v>446</v>
      </c>
      <c r="M9678">
        <v>3711</v>
      </c>
    </row>
    <row r="9679" spans="1:14">
      <c r="A9679">
        <v>62010000</v>
      </c>
      <c r="B9679">
        <v>3014297</v>
      </c>
      <c r="C9679" t="s">
        <v>12905</v>
      </c>
      <c r="D9679" t="s">
        <v>441</v>
      </c>
      <c r="F9679">
        <v>0</v>
      </c>
      <c r="G9679">
        <v>13.44</v>
      </c>
      <c r="I9679">
        <v>6</v>
      </c>
      <c r="J9679" t="s">
        <v>445</v>
      </c>
      <c r="K9679" t="s">
        <v>446</v>
      </c>
      <c r="M9679">
        <v>3311</v>
      </c>
      <c r="N9679" t="s">
        <v>16645</v>
      </c>
    </row>
    <row r="9680" spans="1:14">
      <c r="A9680">
        <v>62010008</v>
      </c>
      <c r="B9680">
        <v>3014298</v>
      </c>
      <c r="C9680" t="s">
        <v>12906</v>
      </c>
      <c r="D9680" t="s">
        <v>441</v>
      </c>
      <c r="F9680">
        <v>0</v>
      </c>
      <c r="G9680">
        <v>11.14</v>
      </c>
      <c r="I9680">
        <v>5</v>
      </c>
      <c r="J9680" t="s">
        <v>445</v>
      </c>
      <c r="K9680" t="s">
        <v>446</v>
      </c>
      <c r="M9680">
        <v>3211</v>
      </c>
      <c r="N9680" t="s">
        <v>16645</v>
      </c>
    </row>
    <row r="9681" spans="1:14">
      <c r="A9681">
        <v>62014110</v>
      </c>
      <c r="B9681">
        <v>4010531</v>
      </c>
      <c r="C9681" t="s">
        <v>12907</v>
      </c>
      <c r="D9681" t="s">
        <v>441</v>
      </c>
      <c r="F9681">
        <v>0</v>
      </c>
      <c r="G9681">
        <v>11.51</v>
      </c>
      <c r="H9681" t="s">
        <v>8587</v>
      </c>
      <c r="I9681">
        <v>35</v>
      </c>
      <c r="J9681" t="s">
        <v>462</v>
      </c>
      <c r="K9681" t="s">
        <v>446</v>
      </c>
      <c r="M9681">
        <v>3711</v>
      </c>
    </row>
    <row r="9682" spans="1:14">
      <c r="A9682">
        <v>62014120</v>
      </c>
      <c r="B9682">
        <v>4010530</v>
      </c>
      <c r="C9682" t="s">
        <v>12908</v>
      </c>
      <c r="D9682" t="s">
        <v>441</v>
      </c>
      <c r="F9682">
        <v>0</v>
      </c>
      <c r="G9682">
        <v>15.74</v>
      </c>
      <c r="H9682" t="s">
        <v>8587</v>
      </c>
      <c r="I9682">
        <v>35</v>
      </c>
      <c r="J9682" t="s">
        <v>462</v>
      </c>
      <c r="K9682" t="s">
        <v>446</v>
      </c>
      <c r="M9682">
        <v>3711</v>
      </c>
      <c r="N9682" t="s">
        <v>16646</v>
      </c>
    </row>
    <row r="9683" spans="1:14">
      <c r="A9683">
        <v>62015110</v>
      </c>
      <c r="B9683">
        <v>4010784</v>
      </c>
      <c r="C9683" t="s">
        <v>12909</v>
      </c>
      <c r="D9683" t="s">
        <v>441</v>
      </c>
      <c r="F9683">
        <v>0</v>
      </c>
      <c r="G9683">
        <v>15.3</v>
      </c>
      <c r="H9683" t="s">
        <v>8587</v>
      </c>
      <c r="I9683">
        <v>35</v>
      </c>
      <c r="J9683" t="s">
        <v>462</v>
      </c>
      <c r="K9683" t="s">
        <v>446</v>
      </c>
      <c r="M9683">
        <v>3711</v>
      </c>
      <c r="N9683" t="s">
        <v>16646</v>
      </c>
    </row>
    <row r="9684" spans="1:14">
      <c r="A9684">
        <v>62015120</v>
      </c>
      <c r="B9684">
        <v>4016469</v>
      </c>
      <c r="C9684" t="s">
        <v>12910</v>
      </c>
      <c r="D9684" t="s">
        <v>441</v>
      </c>
      <c r="F9684">
        <v>0</v>
      </c>
      <c r="G9684">
        <v>13.94</v>
      </c>
      <c r="H9684" t="s">
        <v>8587</v>
      </c>
      <c r="I9684">
        <v>35</v>
      </c>
      <c r="J9684" t="s">
        <v>462</v>
      </c>
      <c r="M9684">
        <v>3711</v>
      </c>
    </row>
    <row r="9685" spans="1:14">
      <c r="A9685">
        <v>62020000</v>
      </c>
      <c r="B9685">
        <v>3023411</v>
      </c>
      <c r="C9685" t="s">
        <v>12911</v>
      </c>
      <c r="D9685" t="s">
        <v>441</v>
      </c>
      <c r="F9685">
        <v>0</v>
      </c>
      <c r="G9685">
        <v>14.55</v>
      </c>
      <c r="H9685" t="s">
        <v>8580</v>
      </c>
      <c r="I9685">
        <v>6</v>
      </c>
      <c r="J9685" t="s">
        <v>445</v>
      </c>
      <c r="K9685" t="s">
        <v>446</v>
      </c>
      <c r="M9685">
        <v>3311</v>
      </c>
    </row>
    <row r="9686" spans="1:14">
      <c r="A9686">
        <v>62020008</v>
      </c>
      <c r="B9686">
        <v>3023412</v>
      </c>
      <c r="C9686" t="s">
        <v>12912</v>
      </c>
      <c r="D9686" t="s">
        <v>441</v>
      </c>
      <c r="F9686">
        <v>0</v>
      </c>
      <c r="G9686">
        <v>11.02</v>
      </c>
      <c r="H9686" t="s">
        <v>8580</v>
      </c>
      <c r="I9686">
        <v>5</v>
      </c>
      <c r="J9686" t="s">
        <v>445</v>
      </c>
      <c r="K9686" t="s">
        <v>446</v>
      </c>
      <c r="M9686">
        <v>3221</v>
      </c>
    </row>
    <row r="9687" spans="1:14">
      <c r="A9687">
        <v>62024110</v>
      </c>
      <c r="B9687">
        <v>4015468</v>
      </c>
      <c r="C9687" t="s">
        <v>12913</v>
      </c>
      <c r="D9687" t="s">
        <v>441</v>
      </c>
      <c r="F9687">
        <v>0</v>
      </c>
      <c r="G9687">
        <v>14.9</v>
      </c>
      <c r="H9687" t="s">
        <v>8587</v>
      </c>
      <c r="I9687">
        <v>28</v>
      </c>
      <c r="J9687" t="s">
        <v>462</v>
      </c>
      <c r="K9687" t="s">
        <v>446</v>
      </c>
      <c r="M9687">
        <v>3711</v>
      </c>
    </row>
    <row r="9688" spans="1:14">
      <c r="A9688">
        <v>62030000</v>
      </c>
      <c r="B9688">
        <v>3034096</v>
      </c>
      <c r="C9688" t="s">
        <v>131</v>
      </c>
      <c r="D9688" t="s">
        <v>441</v>
      </c>
      <c r="F9688">
        <v>0</v>
      </c>
      <c r="G9688">
        <v>17.64</v>
      </c>
      <c r="H9688" t="s">
        <v>12573</v>
      </c>
      <c r="I9688">
        <v>6</v>
      </c>
      <c r="J9688" t="s">
        <v>445</v>
      </c>
      <c r="M9688">
        <v>3349</v>
      </c>
      <c r="N9688" t="s">
        <v>16647</v>
      </c>
    </row>
    <row r="9689" spans="1:14">
      <c r="A9689">
        <v>62030008</v>
      </c>
      <c r="B9689">
        <v>3034092</v>
      </c>
      <c r="C9689" t="s">
        <v>4253</v>
      </c>
      <c r="D9689" t="s">
        <v>441</v>
      </c>
      <c r="F9689">
        <v>0</v>
      </c>
      <c r="G9689">
        <v>14.03</v>
      </c>
      <c r="H9689" t="s">
        <v>12664</v>
      </c>
      <c r="I9689">
        <v>5</v>
      </c>
      <c r="J9689" t="s">
        <v>445</v>
      </c>
      <c r="M9689">
        <v>6666</v>
      </c>
      <c r="N9689" t="s">
        <v>16648</v>
      </c>
    </row>
    <row r="9690" spans="1:14">
      <c r="A9690">
        <v>62034110</v>
      </c>
      <c r="B9690">
        <v>4022841</v>
      </c>
      <c r="C9690" t="s">
        <v>15327</v>
      </c>
      <c r="D9690" t="s">
        <v>441</v>
      </c>
      <c r="F9690">
        <v>0</v>
      </c>
      <c r="G9690">
        <v>20.52</v>
      </c>
      <c r="H9690" t="s">
        <v>8587</v>
      </c>
      <c r="I9690">
        <v>35</v>
      </c>
      <c r="J9690" t="s">
        <v>462</v>
      </c>
      <c r="M9690">
        <v>7108</v>
      </c>
      <c r="N9690" t="s">
        <v>16649</v>
      </c>
    </row>
    <row r="9691" spans="1:14">
      <c r="A9691">
        <v>62034120</v>
      </c>
      <c r="B9691">
        <v>4027269</v>
      </c>
      <c r="C9691" t="s">
        <v>14538</v>
      </c>
      <c r="D9691" t="s">
        <v>441</v>
      </c>
      <c r="F9691">
        <v>0</v>
      </c>
      <c r="G9691">
        <v>20.57</v>
      </c>
      <c r="H9691" t="s">
        <v>8587</v>
      </c>
      <c r="I9691">
        <v>35</v>
      </c>
      <c r="J9691" t="s">
        <v>462</v>
      </c>
      <c r="M9691">
        <v>7108</v>
      </c>
      <c r="N9691" t="s">
        <v>16649</v>
      </c>
    </row>
    <row r="9692" spans="1:14">
      <c r="A9692">
        <v>62034130</v>
      </c>
      <c r="B9692">
        <v>4028697</v>
      </c>
      <c r="C9692" t="s">
        <v>15328</v>
      </c>
      <c r="D9692" t="s">
        <v>441</v>
      </c>
      <c r="F9692">
        <v>0</v>
      </c>
      <c r="G9692">
        <v>21.7</v>
      </c>
      <c r="H9692" t="s">
        <v>8587</v>
      </c>
      <c r="I9692">
        <v>35</v>
      </c>
      <c r="J9692" t="s">
        <v>462</v>
      </c>
      <c r="K9692" t="s">
        <v>446</v>
      </c>
      <c r="M9692">
        <v>7108</v>
      </c>
      <c r="N9692" t="s">
        <v>16649</v>
      </c>
    </row>
    <row r="9693" spans="1:14">
      <c r="A9693">
        <v>62304210</v>
      </c>
      <c r="B9693">
        <v>4009859</v>
      </c>
      <c r="C9693" t="s">
        <v>12914</v>
      </c>
      <c r="D9693" t="s">
        <v>442</v>
      </c>
      <c r="E9693" t="s">
        <v>441</v>
      </c>
      <c r="F9693">
        <v>0.18</v>
      </c>
      <c r="G9693">
        <v>3.08</v>
      </c>
      <c r="H9693" t="s">
        <v>8587</v>
      </c>
      <c r="I9693">
        <v>50</v>
      </c>
      <c r="J9693" t="s">
        <v>462</v>
      </c>
      <c r="K9693" t="s">
        <v>446</v>
      </c>
      <c r="M9693">
        <v>3711</v>
      </c>
    </row>
    <row r="9694" spans="1:14">
      <c r="A9694">
        <v>62310000</v>
      </c>
      <c r="B9694">
        <v>3016587</v>
      </c>
      <c r="C9694" t="s">
        <v>17595</v>
      </c>
      <c r="D9694" t="s">
        <v>441</v>
      </c>
      <c r="F9694">
        <v>0</v>
      </c>
      <c r="G9694">
        <v>16.170000000000002</v>
      </c>
      <c r="H9694" t="s">
        <v>8580</v>
      </c>
      <c r="I9694">
        <v>6</v>
      </c>
      <c r="J9694" t="s">
        <v>445</v>
      </c>
      <c r="M9694">
        <v>3349</v>
      </c>
      <c r="N9694" t="s">
        <v>16650</v>
      </c>
    </row>
    <row r="9695" spans="1:14">
      <c r="A9695">
        <v>62310008</v>
      </c>
      <c r="B9695">
        <v>3016588</v>
      </c>
      <c r="C9695" t="s">
        <v>17596</v>
      </c>
      <c r="D9695" t="s">
        <v>441</v>
      </c>
      <c r="F9695">
        <v>0</v>
      </c>
      <c r="G9695">
        <v>13.55</v>
      </c>
      <c r="H9695" t="s">
        <v>8580</v>
      </c>
      <c r="I9695">
        <v>9</v>
      </c>
      <c r="J9695" t="s">
        <v>445</v>
      </c>
      <c r="M9695">
        <v>6666</v>
      </c>
      <c r="N9695" t="s">
        <v>16651</v>
      </c>
    </row>
    <row r="9696" spans="1:14">
      <c r="A9696">
        <v>62314110</v>
      </c>
      <c r="B9696">
        <v>4004204</v>
      </c>
      <c r="C9696" t="s">
        <v>4254</v>
      </c>
      <c r="D9696" t="s">
        <v>441</v>
      </c>
      <c r="F9696">
        <v>0</v>
      </c>
      <c r="G9696">
        <v>9.91</v>
      </c>
      <c r="H9696" t="s">
        <v>8587</v>
      </c>
      <c r="I9696">
        <v>42</v>
      </c>
      <c r="J9696" t="s">
        <v>462</v>
      </c>
      <c r="K9696" t="s">
        <v>446</v>
      </c>
      <c r="M9696">
        <v>3711</v>
      </c>
    </row>
    <row r="9697" spans="1:14">
      <c r="A9697">
        <v>62314120</v>
      </c>
      <c r="B9697">
        <v>4009911</v>
      </c>
      <c r="C9697" t="s">
        <v>17597</v>
      </c>
      <c r="D9697" t="s">
        <v>441</v>
      </c>
      <c r="F9697">
        <v>0</v>
      </c>
      <c r="G9697">
        <v>18.100000000000001</v>
      </c>
      <c r="H9697" t="s">
        <v>8587</v>
      </c>
      <c r="I9697">
        <v>42</v>
      </c>
      <c r="J9697" t="s">
        <v>462</v>
      </c>
      <c r="M9697">
        <v>7108</v>
      </c>
      <c r="N9697" t="s">
        <v>16652</v>
      </c>
    </row>
    <row r="9698" spans="1:14">
      <c r="A9698">
        <v>62314130</v>
      </c>
      <c r="B9698">
        <v>4001895</v>
      </c>
      <c r="C9698" t="s">
        <v>17598</v>
      </c>
      <c r="D9698" t="s">
        <v>441</v>
      </c>
      <c r="F9698">
        <v>0</v>
      </c>
      <c r="G9698">
        <v>17.739999999999998</v>
      </c>
      <c r="H9698" t="s">
        <v>8587</v>
      </c>
      <c r="I9698">
        <v>42</v>
      </c>
      <c r="J9698" t="s">
        <v>462</v>
      </c>
      <c r="K9698" t="s">
        <v>446</v>
      </c>
      <c r="M9698">
        <v>7108</v>
      </c>
      <c r="N9698" t="s">
        <v>16652</v>
      </c>
    </row>
    <row r="9699" spans="1:14">
      <c r="A9699">
        <v>62314140</v>
      </c>
      <c r="B9699">
        <v>4001896</v>
      </c>
      <c r="C9699" t="s">
        <v>12915</v>
      </c>
      <c r="D9699" t="s">
        <v>441</v>
      </c>
      <c r="F9699">
        <v>0</v>
      </c>
      <c r="G9699">
        <v>8</v>
      </c>
      <c r="H9699" t="s">
        <v>8587</v>
      </c>
      <c r="I9699">
        <v>42</v>
      </c>
      <c r="J9699" t="s">
        <v>462</v>
      </c>
      <c r="K9699" t="s">
        <v>446</v>
      </c>
      <c r="M9699">
        <v>0</v>
      </c>
    </row>
    <row r="9700" spans="1:14">
      <c r="A9700">
        <v>62314150</v>
      </c>
      <c r="B9700">
        <v>4001897</v>
      </c>
      <c r="C9700" t="s">
        <v>4255</v>
      </c>
      <c r="D9700" t="s">
        <v>441</v>
      </c>
      <c r="F9700">
        <v>0</v>
      </c>
      <c r="G9700">
        <v>10.16</v>
      </c>
      <c r="H9700" t="s">
        <v>8587</v>
      </c>
      <c r="I9700">
        <v>42</v>
      </c>
      <c r="J9700" t="s">
        <v>462</v>
      </c>
      <c r="K9700" t="s">
        <v>446</v>
      </c>
      <c r="M9700">
        <v>3711</v>
      </c>
    </row>
    <row r="9701" spans="1:14">
      <c r="A9701">
        <v>62314160</v>
      </c>
      <c r="B9701">
        <v>4012494</v>
      </c>
      <c r="C9701" t="s">
        <v>4256</v>
      </c>
      <c r="D9701" t="s">
        <v>441</v>
      </c>
      <c r="F9701">
        <v>0</v>
      </c>
      <c r="G9701">
        <v>16.88</v>
      </c>
      <c r="H9701" t="s">
        <v>8587</v>
      </c>
      <c r="I9701">
        <v>42</v>
      </c>
      <c r="J9701" t="s">
        <v>462</v>
      </c>
      <c r="M9701">
        <v>7108</v>
      </c>
      <c r="N9701" t="s">
        <v>16652</v>
      </c>
    </row>
    <row r="9702" spans="1:14">
      <c r="A9702">
        <v>62315120</v>
      </c>
      <c r="B9702">
        <v>4001898</v>
      </c>
      <c r="C9702" t="s">
        <v>17599</v>
      </c>
      <c r="D9702" t="s">
        <v>441</v>
      </c>
      <c r="F9702">
        <v>0</v>
      </c>
      <c r="G9702">
        <v>17.489999999999998</v>
      </c>
      <c r="H9702" t="s">
        <v>8587</v>
      </c>
      <c r="I9702">
        <v>42</v>
      </c>
      <c r="J9702" t="s">
        <v>462</v>
      </c>
      <c r="K9702" t="s">
        <v>446</v>
      </c>
      <c r="M9702">
        <v>7108</v>
      </c>
      <c r="N9702" t="s">
        <v>16652</v>
      </c>
    </row>
    <row r="9703" spans="1:14">
      <c r="A9703">
        <v>62315130</v>
      </c>
      <c r="B9703">
        <v>4001899</v>
      </c>
      <c r="C9703" t="s">
        <v>12916</v>
      </c>
      <c r="D9703" t="s">
        <v>441</v>
      </c>
      <c r="F9703">
        <v>0</v>
      </c>
      <c r="G9703">
        <v>9.7200000000000006</v>
      </c>
      <c r="H9703" t="s">
        <v>8587</v>
      </c>
      <c r="I9703">
        <v>42</v>
      </c>
      <c r="J9703" t="s">
        <v>462</v>
      </c>
      <c r="K9703" t="s">
        <v>446</v>
      </c>
      <c r="M9703">
        <v>3711</v>
      </c>
    </row>
    <row r="9704" spans="1:14">
      <c r="A9704">
        <v>62315140</v>
      </c>
      <c r="B9704">
        <v>4001900</v>
      </c>
      <c r="C9704" t="s">
        <v>4257</v>
      </c>
      <c r="D9704" t="s">
        <v>441</v>
      </c>
      <c r="F9704">
        <v>0</v>
      </c>
      <c r="G9704">
        <v>11.93</v>
      </c>
      <c r="H9704" t="s">
        <v>8587</v>
      </c>
      <c r="I9704">
        <v>42</v>
      </c>
      <c r="J9704" t="s">
        <v>462</v>
      </c>
      <c r="K9704" t="s">
        <v>446</v>
      </c>
      <c r="M9704">
        <v>3711</v>
      </c>
      <c r="N9704" t="s">
        <v>16653</v>
      </c>
    </row>
    <row r="9705" spans="1:14">
      <c r="A9705">
        <v>62315150</v>
      </c>
      <c r="B9705">
        <v>4004205</v>
      </c>
      <c r="C9705" t="s">
        <v>4258</v>
      </c>
      <c r="D9705" t="s">
        <v>441</v>
      </c>
      <c r="F9705">
        <v>0</v>
      </c>
      <c r="G9705">
        <v>9.9499999999999993</v>
      </c>
      <c r="H9705" t="s">
        <v>8587</v>
      </c>
      <c r="I9705">
        <v>42</v>
      </c>
      <c r="J9705" t="s">
        <v>462</v>
      </c>
      <c r="K9705" t="s">
        <v>446</v>
      </c>
      <c r="M9705">
        <v>3711</v>
      </c>
    </row>
    <row r="9706" spans="1:14">
      <c r="A9706">
        <v>62315160</v>
      </c>
      <c r="B9706">
        <v>4005692</v>
      </c>
      <c r="C9706" t="s">
        <v>12917</v>
      </c>
      <c r="D9706" t="s">
        <v>441</v>
      </c>
      <c r="F9706">
        <v>0</v>
      </c>
      <c r="G9706">
        <v>9.7799999999999994</v>
      </c>
      <c r="H9706" t="s">
        <v>8587</v>
      </c>
      <c r="I9706">
        <v>42</v>
      </c>
      <c r="J9706" t="s">
        <v>462</v>
      </c>
      <c r="K9706" t="s">
        <v>446</v>
      </c>
      <c r="M9706">
        <v>3711</v>
      </c>
    </row>
    <row r="9707" spans="1:14">
      <c r="A9707">
        <v>62315170</v>
      </c>
      <c r="B9707">
        <v>4006092</v>
      </c>
      <c r="C9707" t="s">
        <v>17600</v>
      </c>
      <c r="D9707" t="s">
        <v>441</v>
      </c>
      <c r="F9707">
        <v>0</v>
      </c>
      <c r="G9707">
        <v>17.72</v>
      </c>
      <c r="H9707" t="s">
        <v>8587</v>
      </c>
      <c r="I9707">
        <v>42</v>
      </c>
      <c r="J9707" t="s">
        <v>462</v>
      </c>
      <c r="L9707">
        <v>2873260</v>
      </c>
      <c r="M9707">
        <v>7108</v>
      </c>
      <c r="N9707" t="s">
        <v>16652</v>
      </c>
    </row>
    <row r="9708" spans="1:14">
      <c r="A9708">
        <v>62315180</v>
      </c>
      <c r="B9708">
        <v>4006548</v>
      </c>
      <c r="C9708" t="s">
        <v>12918</v>
      </c>
      <c r="D9708" t="s">
        <v>441</v>
      </c>
      <c r="F9708">
        <v>0</v>
      </c>
      <c r="G9708">
        <v>1</v>
      </c>
      <c r="H9708" t="s">
        <v>8587</v>
      </c>
      <c r="I9708">
        <v>42</v>
      </c>
      <c r="J9708" t="s">
        <v>462</v>
      </c>
      <c r="K9708" t="s">
        <v>446</v>
      </c>
      <c r="M9708">
        <v>0</v>
      </c>
    </row>
    <row r="9709" spans="1:14">
      <c r="A9709">
        <v>62315190</v>
      </c>
      <c r="B9709">
        <v>4006550</v>
      </c>
      <c r="C9709" t="s">
        <v>4259</v>
      </c>
      <c r="D9709" t="s">
        <v>441</v>
      </c>
      <c r="F9709">
        <v>0</v>
      </c>
      <c r="G9709">
        <v>12.68</v>
      </c>
      <c r="H9709" t="s">
        <v>8587</v>
      </c>
      <c r="I9709">
        <v>42</v>
      </c>
      <c r="J9709" t="s">
        <v>462</v>
      </c>
      <c r="K9709" t="s">
        <v>446</v>
      </c>
      <c r="M9709">
        <v>3711</v>
      </c>
      <c r="N9709" t="s">
        <v>16654</v>
      </c>
    </row>
    <row r="9710" spans="1:14">
      <c r="A9710">
        <v>62317110</v>
      </c>
      <c r="B9710">
        <v>4007436</v>
      </c>
      <c r="C9710" t="s">
        <v>15530</v>
      </c>
      <c r="D9710" t="s">
        <v>441</v>
      </c>
      <c r="F9710">
        <v>0</v>
      </c>
      <c r="G9710">
        <v>17.510000000000002</v>
      </c>
      <c r="H9710" t="s">
        <v>8588</v>
      </c>
      <c r="I9710">
        <v>42</v>
      </c>
      <c r="J9710" t="s">
        <v>462</v>
      </c>
      <c r="M9710">
        <v>7108</v>
      </c>
      <c r="N9710" t="s">
        <v>16652</v>
      </c>
    </row>
    <row r="9711" spans="1:14">
      <c r="A9711">
        <v>62317120</v>
      </c>
      <c r="B9711">
        <v>4007463</v>
      </c>
      <c r="C9711" t="s">
        <v>4260</v>
      </c>
      <c r="D9711" t="s">
        <v>441</v>
      </c>
      <c r="F9711">
        <v>0</v>
      </c>
      <c r="G9711">
        <v>9.8000000000000007</v>
      </c>
      <c r="H9711" t="s">
        <v>8587</v>
      </c>
      <c r="I9711">
        <v>42</v>
      </c>
      <c r="J9711" t="s">
        <v>462</v>
      </c>
      <c r="K9711" t="s">
        <v>446</v>
      </c>
      <c r="M9711">
        <v>3711</v>
      </c>
    </row>
    <row r="9712" spans="1:14">
      <c r="A9712">
        <v>62317130</v>
      </c>
      <c r="B9712">
        <v>4007571</v>
      </c>
      <c r="C9712" t="s">
        <v>12919</v>
      </c>
      <c r="D9712" t="s">
        <v>441</v>
      </c>
      <c r="F9712">
        <v>0</v>
      </c>
      <c r="G9712">
        <v>10.29</v>
      </c>
      <c r="H9712" t="s">
        <v>8587</v>
      </c>
      <c r="I9712">
        <v>42</v>
      </c>
      <c r="J9712" t="s">
        <v>462</v>
      </c>
      <c r="M9712">
        <v>3711</v>
      </c>
      <c r="N9712" t="s">
        <v>16654</v>
      </c>
    </row>
    <row r="9713" spans="1:14">
      <c r="A9713">
        <v>62317140</v>
      </c>
      <c r="B9713">
        <v>4007712</v>
      </c>
      <c r="C9713" t="s">
        <v>12920</v>
      </c>
      <c r="D9713" t="s">
        <v>441</v>
      </c>
      <c r="F9713">
        <v>0</v>
      </c>
      <c r="G9713">
        <v>9.7200000000000006</v>
      </c>
      <c r="H9713" t="s">
        <v>8587</v>
      </c>
      <c r="I9713">
        <v>42</v>
      </c>
      <c r="J9713" t="s">
        <v>462</v>
      </c>
      <c r="K9713" t="s">
        <v>446</v>
      </c>
      <c r="M9713">
        <v>3711</v>
      </c>
    </row>
    <row r="9714" spans="1:14">
      <c r="A9714">
        <v>62317150</v>
      </c>
      <c r="B9714">
        <v>4007739</v>
      </c>
      <c r="C9714" t="s">
        <v>12921</v>
      </c>
      <c r="D9714" t="s">
        <v>441</v>
      </c>
      <c r="F9714">
        <v>0</v>
      </c>
      <c r="G9714">
        <v>11.45</v>
      </c>
      <c r="H9714" t="s">
        <v>8587</v>
      </c>
      <c r="I9714">
        <v>42</v>
      </c>
      <c r="J9714" t="s">
        <v>462</v>
      </c>
      <c r="K9714" t="s">
        <v>446</v>
      </c>
      <c r="M9714">
        <v>3711</v>
      </c>
    </row>
    <row r="9715" spans="1:14">
      <c r="A9715">
        <v>62317160</v>
      </c>
      <c r="B9715">
        <v>4008891</v>
      </c>
      <c r="C9715" t="s">
        <v>4261</v>
      </c>
      <c r="D9715" t="s">
        <v>441</v>
      </c>
      <c r="F9715">
        <v>0</v>
      </c>
      <c r="G9715">
        <v>10.25</v>
      </c>
      <c r="H9715" t="s">
        <v>8587</v>
      </c>
      <c r="I9715">
        <v>42</v>
      </c>
      <c r="J9715" t="s">
        <v>462</v>
      </c>
      <c r="K9715" t="s">
        <v>446</v>
      </c>
      <c r="M9715">
        <v>3711</v>
      </c>
    </row>
    <row r="9716" spans="1:14">
      <c r="A9716">
        <v>62317170</v>
      </c>
      <c r="B9716">
        <v>4009017</v>
      </c>
      <c r="C9716" t="s">
        <v>4262</v>
      </c>
      <c r="D9716" t="s">
        <v>441</v>
      </c>
      <c r="F9716">
        <v>0</v>
      </c>
      <c r="G9716">
        <v>9.73</v>
      </c>
      <c r="H9716" t="s">
        <v>8587</v>
      </c>
      <c r="I9716">
        <v>42</v>
      </c>
      <c r="J9716" t="s">
        <v>462</v>
      </c>
      <c r="K9716" t="s">
        <v>446</v>
      </c>
      <c r="M9716">
        <v>3711</v>
      </c>
    </row>
    <row r="9717" spans="1:14">
      <c r="A9717">
        <v>62317180</v>
      </c>
      <c r="B9717">
        <v>4022709</v>
      </c>
      <c r="C9717" t="s">
        <v>4263</v>
      </c>
      <c r="D9717" t="s">
        <v>441</v>
      </c>
      <c r="F9717">
        <v>0</v>
      </c>
      <c r="G9717">
        <v>16.309999999999999</v>
      </c>
      <c r="H9717" t="s">
        <v>8587</v>
      </c>
      <c r="I9717">
        <v>42</v>
      </c>
      <c r="J9717" t="s">
        <v>462</v>
      </c>
      <c r="M9717">
        <v>7108</v>
      </c>
      <c r="N9717" t="s">
        <v>16652</v>
      </c>
    </row>
    <row r="9718" spans="1:14">
      <c r="A9718">
        <v>62320000</v>
      </c>
      <c r="B9718">
        <v>3016244</v>
      </c>
      <c r="C9718" t="s">
        <v>4264</v>
      </c>
      <c r="D9718" t="s">
        <v>441</v>
      </c>
      <c r="F9718">
        <v>0</v>
      </c>
      <c r="G9718">
        <v>9.51</v>
      </c>
      <c r="H9718" t="s">
        <v>8580</v>
      </c>
      <c r="I9718">
        <v>6</v>
      </c>
      <c r="J9718" t="s">
        <v>445</v>
      </c>
      <c r="K9718" t="s">
        <v>446</v>
      </c>
      <c r="M9718">
        <v>3311</v>
      </c>
    </row>
    <row r="9719" spans="1:14">
      <c r="A9719">
        <v>62320008</v>
      </c>
      <c r="B9719">
        <v>3016889</v>
      </c>
      <c r="C9719" t="s">
        <v>4265</v>
      </c>
      <c r="D9719" t="s">
        <v>441</v>
      </c>
      <c r="F9719">
        <v>0</v>
      </c>
      <c r="G9719">
        <v>7.03</v>
      </c>
      <c r="H9719" t="s">
        <v>8935</v>
      </c>
      <c r="I9719">
        <v>5</v>
      </c>
      <c r="J9719" t="s">
        <v>445</v>
      </c>
      <c r="K9719" t="s">
        <v>446</v>
      </c>
      <c r="M9719">
        <v>3211</v>
      </c>
    </row>
    <row r="9720" spans="1:14">
      <c r="A9720">
        <v>62324110</v>
      </c>
      <c r="B9720">
        <v>4011247</v>
      </c>
      <c r="C9720" t="s">
        <v>4266</v>
      </c>
      <c r="D9720" t="s">
        <v>441</v>
      </c>
      <c r="F9720">
        <v>0</v>
      </c>
      <c r="G9720">
        <v>13.15</v>
      </c>
      <c r="H9720" t="s">
        <v>8587</v>
      </c>
      <c r="I9720">
        <v>44</v>
      </c>
      <c r="J9720" t="s">
        <v>462</v>
      </c>
      <c r="M9720">
        <v>3711</v>
      </c>
    </row>
    <row r="9721" spans="1:14">
      <c r="A9721">
        <v>62325110</v>
      </c>
      <c r="B9721">
        <v>4011246</v>
      </c>
      <c r="C9721" t="s">
        <v>4267</v>
      </c>
      <c r="D9721" t="s">
        <v>441</v>
      </c>
      <c r="F9721">
        <v>0</v>
      </c>
      <c r="G9721">
        <v>10.72</v>
      </c>
      <c r="H9721" t="s">
        <v>8587</v>
      </c>
      <c r="I9721">
        <v>44</v>
      </c>
      <c r="J9721" t="s">
        <v>462</v>
      </c>
      <c r="K9721" t="s">
        <v>446</v>
      </c>
      <c r="M9721">
        <v>3711</v>
      </c>
    </row>
    <row r="9722" spans="1:14">
      <c r="A9722">
        <v>62330000</v>
      </c>
      <c r="B9722">
        <v>3018891</v>
      </c>
      <c r="C9722" t="s">
        <v>4268</v>
      </c>
      <c r="D9722" t="s">
        <v>441</v>
      </c>
      <c r="F9722">
        <v>0</v>
      </c>
      <c r="G9722">
        <v>12.05</v>
      </c>
      <c r="H9722" t="s">
        <v>8580</v>
      </c>
      <c r="I9722">
        <v>6</v>
      </c>
      <c r="J9722" t="s">
        <v>445</v>
      </c>
      <c r="K9722" t="s">
        <v>446</v>
      </c>
      <c r="M9722">
        <v>3311</v>
      </c>
      <c r="N9722" t="s">
        <v>16655</v>
      </c>
    </row>
    <row r="9723" spans="1:14">
      <c r="A9723">
        <v>62330008</v>
      </c>
      <c r="B9723">
        <v>3018890</v>
      </c>
      <c r="C9723" t="s">
        <v>4269</v>
      </c>
      <c r="D9723" t="s">
        <v>441</v>
      </c>
      <c r="F9723">
        <v>0</v>
      </c>
      <c r="G9723">
        <v>9.89</v>
      </c>
      <c r="H9723" t="s">
        <v>8580</v>
      </c>
      <c r="I9723">
        <v>5</v>
      </c>
      <c r="J9723" t="s">
        <v>445</v>
      </c>
      <c r="K9723" t="s">
        <v>446</v>
      </c>
      <c r="M9723">
        <v>3211</v>
      </c>
      <c r="N9723" t="s">
        <v>16655</v>
      </c>
    </row>
    <row r="9724" spans="1:14">
      <c r="A9724">
        <v>62334110</v>
      </c>
      <c r="B9724">
        <v>4013146</v>
      </c>
      <c r="C9724" t="s">
        <v>4270</v>
      </c>
      <c r="D9724" t="s">
        <v>441</v>
      </c>
      <c r="F9724">
        <v>0</v>
      </c>
      <c r="G9724">
        <v>9.8800000000000008</v>
      </c>
      <c r="H9724" t="s">
        <v>8587</v>
      </c>
      <c r="I9724">
        <v>42</v>
      </c>
      <c r="J9724" t="s">
        <v>462</v>
      </c>
      <c r="K9724" t="s">
        <v>446</v>
      </c>
      <c r="M9724">
        <v>3711</v>
      </c>
      <c r="N9724" t="s">
        <v>16656</v>
      </c>
    </row>
    <row r="9725" spans="1:14">
      <c r="A9725">
        <v>62334120</v>
      </c>
      <c r="B9725">
        <v>4016324</v>
      </c>
      <c r="C9725" t="s">
        <v>4271</v>
      </c>
      <c r="D9725" t="s">
        <v>441</v>
      </c>
      <c r="F9725">
        <v>0</v>
      </c>
      <c r="G9725">
        <v>9.43</v>
      </c>
      <c r="H9725" t="s">
        <v>8587</v>
      </c>
      <c r="I9725">
        <v>42</v>
      </c>
      <c r="J9725" t="s">
        <v>462</v>
      </c>
      <c r="K9725" t="s">
        <v>446</v>
      </c>
      <c r="M9725">
        <v>3711</v>
      </c>
    </row>
    <row r="9726" spans="1:14">
      <c r="A9726">
        <v>62335110</v>
      </c>
      <c r="B9726">
        <v>4013147</v>
      </c>
      <c r="C9726" t="s">
        <v>4272</v>
      </c>
      <c r="D9726" t="s">
        <v>441</v>
      </c>
      <c r="F9726">
        <v>0</v>
      </c>
      <c r="G9726">
        <v>9.3000000000000007</v>
      </c>
      <c r="H9726" t="s">
        <v>8587</v>
      </c>
      <c r="I9726">
        <v>42</v>
      </c>
      <c r="J9726" t="s">
        <v>462</v>
      </c>
      <c r="K9726" t="s">
        <v>446</v>
      </c>
      <c r="M9726">
        <v>3711</v>
      </c>
      <c r="N9726" t="s">
        <v>16656</v>
      </c>
    </row>
    <row r="9727" spans="1:14">
      <c r="A9727">
        <v>62350000</v>
      </c>
      <c r="B9727">
        <v>3021005</v>
      </c>
      <c r="C9727" t="s">
        <v>4273</v>
      </c>
      <c r="D9727" t="s">
        <v>441</v>
      </c>
      <c r="F9727">
        <v>0</v>
      </c>
      <c r="G9727">
        <v>9.9700000000000006</v>
      </c>
      <c r="H9727" t="s">
        <v>8634</v>
      </c>
      <c r="I9727">
        <v>6</v>
      </c>
      <c r="J9727" t="s">
        <v>445</v>
      </c>
      <c r="K9727" t="s">
        <v>446</v>
      </c>
      <c r="M9727">
        <v>3311</v>
      </c>
    </row>
    <row r="9728" spans="1:14">
      <c r="A9728">
        <v>62350008</v>
      </c>
      <c r="B9728">
        <v>3021004</v>
      </c>
      <c r="C9728" t="s">
        <v>4274</v>
      </c>
      <c r="D9728" t="s">
        <v>441</v>
      </c>
      <c r="F9728">
        <v>0</v>
      </c>
      <c r="G9728">
        <v>8.1300000000000008</v>
      </c>
      <c r="H9728" t="s">
        <v>8634</v>
      </c>
      <c r="I9728">
        <v>9</v>
      </c>
      <c r="J9728" t="s">
        <v>445</v>
      </c>
      <c r="K9728" t="s">
        <v>446</v>
      </c>
      <c r="M9728">
        <v>3211</v>
      </c>
    </row>
    <row r="9729" spans="1:14">
      <c r="A9729">
        <v>62354210</v>
      </c>
      <c r="B9729">
        <v>4013771</v>
      </c>
      <c r="C9729" t="s">
        <v>4275</v>
      </c>
      <c r="D9729" t="s">
        <v>441</v>
      </c>
      <c r="F9729">
        <v>0</v>
      </c>
      <c r="G9729">
        <v>15.18</v>
      </c>
      <c r="H9729" t="s">
        <v>8587</v>
      </c>
      <c r="I9729">
        <v>23</v>
      </c>
      <c r="J9729" t="s">
        <v>462</v>
      </c>
      <c r="K9729" t="s">
        <v>446</v>
      </c>
      <c r="M9729">
        <v>3711</v>
      </c>
    </row>
    <row r="9730" spans="1:14">
      <c r="A9730">
        <v>62360000</v>
      </c>
      <c r="B9730">
        <v>3021007</v>
      </c>
      <c r="C9730" t="s">
        <v>4276</v>
      </c>
      <c r="D9730" t="s">
        <v>441</v>
      </c>
      <c r="F9730">
        <v>0</v>
      </c>
      <c r="G9730">
        <v>12.13</v>
      </c>
      <c r="H9730" t="s">
        <v>8634</v>
      </c>
      <c r="I9730">
        <v>6</v>
      </c>
      <c r="J9730" t="s">
        <v>445</v>
      </c>
      <c r="M9730">
        <v>3349</v>
      </c>
      <c r="N9730" t="s">
        <v>16657</v>
      </c>
    </row>
    <row r="9731" spans="1:14">
      <c r="A9731">
        <v>62360008</v>
      </c>
      <c r="B9731">
        <v>3021006</v>
      </c>
      <c r="C9731" t="s">
        <v>4277</v>
      </c>
      <c r="D9731" t="s">
        <v>441</v>
      </c>
      <c r="F9731">
        <v>0</v>
      </c>
      <c r="G9731">
        <v>9.0399999999999991</v>
      </c>
      <c r="H9731" t="s">
        <v>8634</v>
      </c>
      <c r="I9731">
        <v>5</v>
      </c>
      <c r="J9731" t="s">
        <v>445</v>
      </c>
      <c r="M9731">
        <v>6666</v>
      </c>
      <c r="N9731" t="s">
        <v>16658</v>
      </c>
    </row>
    <row r="9732" spans="1:14">
      <c r="A9732">
        <v>62364210</v>
      </c>
      <c r="B9732">
        <v>4013772</v>
      </c>
      <c r="C9732" t="s">
        <v>4278</v>
      </c>
      <c r="D9732" t="s">
        <v>441</v>
      </c>
      <c r="F9732">
        <v>0</v>
      </c>
      <c r="G9732">
        <v>14.68</v>
      </c>
      <c r="H9732" t="s">
        <v>8587</v>
      </c>
      <c r="I9732">
        <v>28</v>
      </c>
      <c r="J9732" t="s">
        <v>462</v>
      </c>
      <c r="K9732" t="s">
        <v>446</v>
      </c>
      <c r="M9732">
        <v>3711</v>
      </c>
    </row>
    <row r="9733" spans="1:14">
      <c r="A9733">
        <v>62365110</v>
      </c>
      <c r="B9733">
        <v>4016405</v>
      </c>
      <c r="C9733" t="s">
        <v>4279</v>
      </c>
      <c r="D9733" t="s">
        <v>441</v>
      </c>
      <c r="F9733">
        <v>0</v>
      </c>
      <c r="G9733">
        <v>10.199999999999999</v>
      </c>
      <c r="H9733" t="s">
        <v>8587</v>
      </c>
      <c r="I9733">
        <v>44</v>
      </c>
      <c r="J9733" t="s">
        <v>462</v>
      </c>
      <c r="K9733" t="s">
        <v>446</v>
      </c>
      <c r="M9733">
        <v>3711</v>
      </c>
      <c r="N9733" t="s">
        <v>16659</v>
      </c>
    </row>
    <row r="9734" spans="1:14">
      <c r="A9734">
        <v>62365120</v>
      </c>
      <c r="B9734">
        <v>4016761</v>
      </c>
      <c r="C9734" t="s">
        <v>4280</v>
      </c>
      <c r="D9734" t="s">
        <v>441</v>
      </c>
      <c r="F9734">
        <v>0</v>
      </c>
      <c r="G9734">
        <v>14.57</v>
      </c>
      <c r="H9734" t="s">
        <v>8587</v>
      </c>
      <c r="I9734">
        <v>44</v>
      </c>
      <c r="J9734" t="s">
        <v>462</v>
      </c>
      <c r="M9734">
        <v>7108</v>
      </c>
      <c r="N9734" t="s">
        <v>16660</v>
      </c>
    </row>
    <row r="9735" spans="1:14">
      <c r="A9735">
        <v>62365130</v>
      </c>
      <c r="B9735">
        <v>4017108</v>
      </c>
      <c r="C9735" t="s">
        <v>4281</v>
      </c>
      <c r="D9735" t="s">
        <v>441</v>
      </c>
      <c r="F9735">
        <v>0</v>
      </c>
      <c r="G9735">
        <v>10.25</v>
      </c>
      <c r="H9735" t="s">
        <v>8587</v>
      </c>
      <c r="I9735">
        <v>44</v>
      </c>
      <c r="J9735" t="s">
        <v>462</v>
      </c>
      <c r="K9735" t="s">
        <v>446</v>
      </c>
      <c r="M9735">
        <v>3711</v>
      </c>
      <c r="N9735" t="s">
        <v>16659</v>
      </c>
    </row>
    <row r="9736" spans="1:14">
      <c r="A9736">
        <v>62365140</v>
      </c>
      <c r="B9736">
        <v>4017734</v>
      </c>
      <c r="C9736" t="s">
        <v>4282</v>
      </c>
      <c r="D9736" t="s">
        <v>441</v>
      </c>
      <c r="F9736">
        <v>0</v>
      </c>
      <c r="G9736">
        <v>15.33</v>
      </c>
      <c r="H9736" t="s">
        <v>8587</v>
      </c>
      <c r="I9736">
        <v>44</v>
      </c>
      <c r="J9736" t="s">
        <v>462</v>
      </c>
      <c r="M9736">
        <v>7108</v>
      </c>
      <c r="N9736" t="s">
        <v>16660</v>
      </c>
    </row>
    <row r="9737" spans="1:14">
      <c r="A9737">
        <v>62365150</v>
      </c>
      <c r="B9737">
        <v>4018339</v>
      </c>
      <c r="C9737" t="s">
        <v>4283</v>
      </c>
      <c r="D9737" t="s">
        <v>441</v>
      </c>
      <c r="F9737">
        <v>0</v>
      </c>
      <c r="G9737">
        <v>10.98</v>
      </c>
      <c r="H9737" t="s">
        <v>8587</v>
      </c>
      <c r="I9737">
        <v>44</v>
      </c>
      <c r="J9737" t="s">
        <v>462</v>
      </c>
      <c r="K9737" t="s">
        <v>446</v>
      </c>
      <c r="M9737">
        <v>3711</v>
      </c>
      <c r="N9737" t="s">
        <v>16659</v>
      </c>
    </row>
    <row r="9738" spans="1:14">
      <c r="A9738">
        <v>62365160</v>
      </c>
      <c r="B9738">
        <v>4022073</v>
      </c>
      <c r="C9738" t="s">
        <v>4284</v>
      </c>
      <c r="D9738" t="s">
        <v>441</v>
      </c>
      <c r="F9738">
        <v>0</v>
      </c>
      <c r="G9738">
        <v>14.14</v>
      </c>
      <c r="H9738" t="s">
        <v>8587</v>
      </c>
      <c r="I9738">
        <v>44</v>
      </c>
      <c r="J9738" t="s">
        <v>462</v>
      </c>
      <c r="M9738">
        <v>7108</v>
      </c>
      <c r="N9738" t="s">
        <v>16660</v>
      </c>
    </row>
    <row r="9739" spans="1:14">
      <c r="A9739">
        <v>62365170</v>
      </c>
      <c r="B9739">
        <v>4022708</v>
      </c>
      <c r="C9739" t="s">
        <v>17601</v>
      </c>
      <c r="D9739" t="s">
        <v>441</v>
      </c>
      <c r="F9739">
        <v>0</v>
      </c>
      <c r="G9739">
        <v>14.94</v>
      </c>
      <c r="H9739" t="s">
        <v>8587</v>
      </c>
      <c r="I9739">
        <v>44</v>
      </c>
      <c r="J9739" t="s">
        <v>462</v>
      </c>
      <c r="K9739" t="s">
        <v>446</v>
      </c>
      <c r="M9739">
        <v>7108</v>
      </c>
      <c r="N9739" t="s">
        <v>16660</v>
      </c>
    </row>
    <row r="9740" spans="1:14">
      <c r="A9740">
        <v>62365180</v>
      </c>
      <c r="B9740">
        <v>4023355</v>
      </c>
      <c r="C9740" t="s">
        <v>14539</v>
      </c>
      <c r="D9740" t="s">
        <v>441</v>
      </c>
      <c r="F9740">
        <v>0</v>
      </c>
      <c r="G9740">
        <v>14.08</v>
      </c>
      <c r="H9740" t="s">
        <v>8587</v>
      </c>
      <c r="I9740">
        <v>44</v>
      </c>
      <c r="J9740" t="s">
        <v>462</v>
      </c>
      <c r="M9740">
        <v>7108</v>
      </c>
      <c r="N9740" t="s">
        <v>16660</v>
      </c>
    </row>
    <row r="9741" spans="1:14">
      <c r="A9741">
        <v>62365190</v>
      </c>
      <c r="B9741">
        <v>4025296</v>
      </c>
      <c r="C9741" t="s">
        <v>15329</v>
      </c>
      <c r="D9741" t="s">
        <v>441</v>
      </c>
      <c r="F9741">
        <v>0</v>
      </c>
      <c r="G9741">
        <v>16.27</v>
      </c>
      <c r="H9741" t="s">
        <v>8587</v>
      </c>
      <c r="I9741">
        <v>44</v>
      </c>
      <c r="J9741" t="s">
        <v>462</v>
      </c>
      <c r="M9741">
        <v>7108</v>
      </c>
      <c r="N9741" t="s">
        <v>16660</v>
      </c>
    </row>
    <row r="9742" spans="1:14">
      <c r="A9742">
        <v>62366110</v>
      </c>
      <c r="B9742">
        <v>4025456</v>
      </c>
      <c r="C9742" t="s">
        <v>4285</v>
      </c>
      <c r="D9742" t="s">
        <v>441</v>
      </c>
      <c r="F9742">
        <v>0</v>
      </c>
      <c r="G9742">
        <v>16.25</v>
      </c>
      <c r="H9742" t="s">
        <v>8587</v>
      </c>
      <c r="I9742">
        <v>44</v>
      </c>
      <c r="J9742" t="s">
        <v>462</v>
      </c>
      <c r="M9742">
        <v>7108</v>
      </c>
      <c r="N9742" t="s">
        <v>16660</v>
      </c>
    </row>
    <row r="9743" spans="1:14">
      <c r="A9743">
        <v>62366120</v>
      </c>
      <c r="B9743">
        <v>4026056</v>
      </c>
      <c r="C9743" t="s">
        <v>4286</v>
      </c>
      <c r="D9743" t="s">
        <v>441</v>
      </c>
      <c r="F9743">
        <v>0</v>
      </c>
      <c r="G9743">
        <v>16.23</v>
      </c>
      <c r="H9743" t="s">
        <v>8587</v>
      </c>
      <c r="I9743">
        <v>44</v>
      </c>
      <c r="J9743" t="s">
        <v>462</v>
      </c>
      <c r="M9743">
        <v>7108</v>
      </c>
      <c r="N9743" t="s">
        <v>16660</v>
      </c>
    </row>
    <row r="9744" spans="1:14">
      <c r="A9744">
        <v>62370000</v>
      </c>
      <c r="B9744">
        <v>3016697</v>
      </c>
      <c r="C9744" t="s">
        <v>4287</v>
      </c>
      <c r="D9744" t="s">
        <v>441</v>
      </c>
      <c r="F9744">
        <v>0</v>
      </c>
      <c r="G9744">
        <v>7.33</v>
      </c>
      <c r="H9744" t="s">
        <v>8580</v>
      </c>
      <c r="I9744">
        <v>6</v>
      </c>
      <c r="J9744" t="s">
        <v>445</v>
      </c>
      <c r="M9744">
        <v>3349</v>
      </c>
      <c r="N9744" t="s">
        <v>16661</v>
      </c>
    </row>
    <row r="9745" spans="1:14">
      <c r="A9745">
        <v>62370008</v>
      </c>
      <c r="B9745">
        <v>3016703</v>
      </c>
      <c r="C9745" t="s">
        <v>4288</v>
      </c>
      <c r="D9745" t="s">
        <v>441</v>
      </c>
      <c r="F9745">
        <v>0</v>
      </c>
      <c r="G9745">
        <v>9.98</v>
      </c>
      <c r="H9745" t="s">
        <v>8584</v>
      </c>
      <c r="I9745">
        <v>5</v>
      </c>
      <c r="J9745" t="s">
        <v>445</v>
      </c>
      <c r="M9745">
        <v>6666</v>
      </c>
      <c r="N9745" t="s">
        <v>16662</v>
      </c>
    </row>
    <row r="9746" spans="1:14">
      <c r="A9746">
        <v>62374110</v>
      </c>
      <c r="B9746">
        <v>4013595</v>
      </c>
      <c r="C9746" t="s">
        <v>4289</v>
      </c>
      <c r="D9746" t="s">
        <v>441</v>
      </c>
      <c r="F9746">
        <v>0</v>
      </c>
      <c r="G9746">
        <v>10.43</v>
      </c>
      <c r="H9746" t="s">
        <v>8587</v>
      </c>
      <c r="I9746">
        <v>42</v>
      </c>
      <c r="J9746" t="s">
        <v>462</v>
      </c>
      <c r="K9746" t="s">
        <v>446</v>
      </c>
      <c r="M9746">
        <v>3711</v>
      </c>
      <c r="N9746" t="s">
        <v>16663</v>
      </c>
    </row>
    <row r="9747" spans="1:14">
      <c r="A9747">
        <v>62374150</v>
      </c>
      <c r="B9747">
        <v>4009354</v>
      </c>
      <c r="C9747" t="s">
        <v>4290</v>
      </c>
      <c r="D9747" t="s">
        <v>441</v>
      </c>
      <c r="F9747">
        <v>0</v>
      </c>
      <c r="G9747">
        <v>11.02</v>
      </c>
      <c r="H9747" t="s">
        <v>8587</v>
      </c>
      <c r="I9747">
        <v>42</v>
      </c>
      <c r="J9747" t="s">
        <v>462</v>
      </c>
      <c r="M9747">
        <v>7108</v>
      </c>
      <c r="N9747" t="s">
        <v>16661</v>
      </c>
    </row>
    <row r="9748" spans="1:14">
      <c r="A9748">
        <v>62374160</v>
      </c>
      <c r="B9748">
        <v>4009087</v>
      </c>
      <c r="C9748" t="s">
        <v>4291</v>
      </c>
      <c r="D9748" t="s">
        <v>441</v>
      </c>
      <c r="F9748">
        <v>0</v>
      </c>
      <c r="G9748">
        <v>7.23</v>
      </c>
      <c r="H9748" t="s">
        <v>8587</v>
      </c>
      <c r="I9748">
        <v>42</v>
      </c>
      <c r="J9748" t="s">
        <v>462</v>
      </c>
      <c r="K9748" t="s">
        <v>446</v>
      </c>
      <c r="M9748">
        <v>3711</v>
      </c>
    </row>
    <row r="9749" spans="1:14">
      <c r="A9749">
        <v>62374170</v>
      </c>
      <c r="B9749">
        <v>4007530</v>
      </c>
      <c r="C9749" t="s">
        <v>4292</v>
      </c>
      <c r="D9749" t="s">
        <v>441</v>
      </c>
      <c r="F9749">
        <v>0</v>
      </c>
      <c r="G9749">
        <v>8.5</v>
      </c>
      <c r="H9749" t="s">
        <v>8587</v>
      </c>
      <c r="I9749">
        <v>42</v>
      </c>
      <c r="J9749" t="s">
        <v>462</v>
      </c>
      <c r="K9749" t="s">
        <v>446</v>
      </c>
      <c r="M9749">
        <v>3711</v>
      </c>
    </row>
    <row r="9750" spans="1:14">
      <c r="A9750">
        <v>62374180</v>
      </c>
      <c r="B9750">
        <v>4008549</v>
      </c>
      <c r="C9750" t="s">
        <v>4293</v>
      </c>
      <c r="D9750" t="s">
        <v>441</v>
      </c>
      <c r="F9750">
        <v>0</v>
      </c>
      <c r="G9750">
        <v>6.92</v>
      </c>
      <c r="H9750" t="s">
        <v>8587</v>
      </c>
      <c r="I9750">
        <v>42</v>
      </c>
      <c r="J9750" t="s">
        <v>462</v>
      </c>
      <c r="K9750" t="s">
        <v>446</v>
      </c>
      <c r="M9750">
        <v>3711</v>
      </c>
    </row>
    <row r="9751" spans="1:14">
      <c r="A9751">
        <v>62374190</v>
      </c>
      <c r="B9751">
        <v>4008601</v>
      </c>
      <c r="C9751" t="s">
        <v>4294</v>
      </c>
      <c r="D9751" t="s">
        <v>441</v>
      </c>
      <c r="F9751">
        <v>0</v>
      </c>
      <c r="G9751">
        <v>7.06</v>
      </c>
      <c r="H9751" t="s">
        <v>8587</v>
      </c>
      <c r="I9751">
        <v>42</v>
      </c>
      <c r="J9751" t="s">
        <v>462</v>
      </c>
      <c r="K9751" t="s">
        <v>446</v>
      </c>
      <c r="M9751">
        <v>3711</v>
      </c>
    </row>
    <row r="9752" spans="1:14">
      <c r="A9752">
        <v>62374510</v>
      </c>
      <c r="B9752">
        <v>4012621</v>
      </c>
      <c r="C9752" t="s">
        <v>4295</v>
      </c>
      <c r="D9752" t="s">
        <v>441</v>
      </c>
      <c r="F9752">
        <v>0</v>
      </c>
      <c r="G9752">
        <v>10.84</v>
      </c>
      <c r="H9752" t="s">
        <v>8587</v>
      </c>
      <c r="I9752">
        <v>42</v>
      </c>
      <c r="J9752" t="s">
        <v>462</v>
      </c>
      <c r="M9752">
        <v>7108</v>
      </c>
      <c r="N9752" t="s">
        <v>16661</v>
      </c>
    </row>
    <row r="9753" spans="1:14">
      <c r="A9753">
        <v>62374520</v>
      </c>
      <c r="B9753">
        <v>4013338</v>
      </c>
      <c r="C9753" t="s">
        <v>4296</v>
      </c>
      <c r="D9753" t="s">
        <v>441</v>
      </c>
      <c r="F9753">
        <v>0</v>
      </c>
      <c r="G9753">
        <v>9.3699999999999992</v>
      </c>
      <c r="H9753" t="s">
        <v>8587</v>
      </c>
      <c r="I9753">
        <v>42</v>
      </c>
      <c r="J9753" t="s">
        <v>462</v>
      </c>
      <c r="K9753" t="s">
        <v>446</v>
      </c>
      <c r="M9753">
        <v>3711</v>
      </c>
    </row>
    <row r="9754" spans="1:14">
      <c r="A9754">
        <v>62374530</v>
      </c>
      <c r="B9754">
        <v>4013939</v>
      </c>
      <c r="C9754" t="s">
        <v>4297</v>
      </c>
      <c r="D9754" t="s">
        <v>441</v>
      </c>
      <c r="F9754">
        <v>0</v>
      </c>
      <c r="G9754">
        <v>11.11</v>
      </c>
      <c r="H9754" t="s">
        <v>8587</v>
      </c>
      <c r="I9754">
        <v>42</v>
      </c>
      <c r="J9754" t="s">
        <v>462</v>
      </c>
      <c r="M9754">
        <v>7108</v>
      </c>
      <c r="N9754" t="s">
        <v>16661</v>
      </c>
    </row>
    <row r="9755" spans="1:14">
      <c r="A9755">
        <v>62374540</v>
      </c>
      <c r="B9755">
        <v>4014336</v>
      </c>
      <c r="C9755" t="s">
        <v>4298</v>
      </c>
      <c r="D9755" t="s">
        <v>441</v>
      </c>
      <c r="F9755">
        <v>0</v>
      </c>
      <c r="G9755">
        <v>9.4</v>
      </c>
      <c r="H9755" t="s">
        <v>8587</v>
      </c>
      <c r="I9755">
        <v>42</v>
      </c>
      <c r="J9755" t="s">
        <v>462</v>
      </c>
      <c r="K9755" t="s">
        <v>446</v>
      </c>
      <c r="M9755">
        <v>3711</v>
      </c>
      <c r="N9755" t="s">
        <v>16661</v>
      </c>
    </row>
    <row r="9756" spans="1:14">
      <c r="A9756">
        <v>62374550</v>
      </c>
      <c r="B9756">
        <v>4015834</v>
      </c>
      <c r="C9756" t="s">
        <v>14540</v>
      </c>
      <c r="D9756" t="s">
        <v>441</v>
      </c>
      <c r="F9756">
        <v>0</v>
      </c>
      <c r="G9756">
        <v>14.08</v>
      </c>
      <c r="H9756" t="s">
        <v>8587</v>
      </c>
      <c r="I9756">
        <v>42</v>
      </c>
      <c r="J9756" t="s">
        <v>462</v>
      </c>
      <c r="M9756">
        <v>7108</v>
      </c>
      <c r="N9756" t="s">
        <v>16661</v>
      </c>
    </row>
    <row r="9757" spans="1:14">
      <c r="A9757">
        <v>62374560</v>
      </c>
      <c r="B9757">
        <v>4019079</v>
      </c>
      <c r="C9757" t="s">
        <v>4299</v>
      </c>
      <c r="D9757" t="s">
        <v>441</v>
      </c>
      <c r="F9757">
        <v>0</v>
      </c>
      <c r="G9757">
        <v>8.9</v>
      </c>
      <c r="H9757" t="s">
        <v>8587</v>
      </c>
      <c r="I9757">
        <v>42</v>
      </c>
      <c r="J9757" t="s">
        <v>462</v>
      </c>
      <c r="K9757" t="s">
        <v>446</v>
      </c>
      <c r="M9757">
        <v>3711</v>
      </c>
      <c r="N9757" t="s">
        <v>16661</v>
      </c>
    </row>
    <row r="9758" spans="1:14">
      <c r="A9758">
        <v>62374570</v>
      </c>
      <c r="B9758">
        <v>4019522</v>
      </c>
      <c r="C9758" t="s">
        <v>14541</v>
      </c>
      <c r="D9758" t="s">
        <v>441</v>
      </c>
      <c r="F9758">
        <v>0</v>
      </c>
      <c r="G9758">
        <v>13.79</v>
      </c>
      <c r="H9758" t="s">
        <v>8587</v>
      </c>
      <c r="I9758">
        <v>42</v>
      </c>
      <c r="J9758" t="s">
        <v>462</v>
      </c>
      <c r="K9758" t="s">
        <v>446</v>
      </c>
      <c r="M9758">
        <v>7108</v>
      </c>
      <c r="N9758" t="s">
        <v>16661</v>
      </c>
    </row>
    <row r="9759" spans="1:14">
      <c r="A9759">
        <v>62375110</v>
      </c>
      <c r="B9759">
        <v>4009633</v>
      </c>
      <c r="C9759" t="s">
        <v>4300</v>
      </c>
      <c r="D9759" t="s">
        <v>441</v>
      </c>
      <c r="F9759">
        <v>0</v>
      </c>
      <c r="G9759">
        <v>6.89</v>
      </c>
      <c r="H9759" t="s">
        <v>8587</v>
      </c>
      <c r="I9759">
        <v>42</v>
      </c>
      <c r="J9759" t="s">
        <v>462</v>
      </c>
      <c r="K9759" t="s">
        <v>446</v>
      </c>
      <c r="M9759">
        <v>3711</v>
      </c>
    </row>
    <row r="9760" spans="1:14">
      <c r="A9760">
        <v>62375120</v>
      </c>
      <c r="B9760">
        <v>4011010</v>
      </c>
      <c r="C9760" t="s">
        <v>4301</v>
      </c>
      <c r="D9760" t="s">
        <v>441</v>
      </c>
      <c r="F9760">
        <v>0</v>
      </c>
      <c r="G9760">
        <v>8.83</v>
      </c>
      <c r="H9760" t="s">
        <v>8587</v>
      </c>
      <c r="I9760">
        <v>42</v>
      </c>
      <c r="J9760" t="s">
        <v>462</v>
      </c>
      <c r="K9760" t="s">
        <v>446</v>
      </c>
      <c r="M9760">
        <v>3711</v>
      </c>
      <c r="N9760" t="s">
        <v>16661</v>
      </c>
    </row>
    <row r="9761" spans="1:14">
      <c r="A9761">
        <v>62375150</v>
      </c>
      <c r="B9761">
        <v>4007651</v>
      </c>
      <c r="C9761" t="s">
        <v>4302</v>
      </c>
      <c r="D9761" t="s">
        <v>441</v>
      </c>
      <c r="F9761">
        <v>0</v>
      </c>
      <c r="G9761">
        <v>10.94</v>
      </c>
      <c r="H9761" t="s">
        <v>8587</v>
      </c>
      <c r="I9761">
        <v>42</v>
      </c>
      <c r="J9761" t="s">
        <v>462</v>
      </c>
      <c r="M9761">
        <v>7108</v>
      </c>
      <c r="N9761" t="s">
        <v>16661</v>
      </c>
    </row>
    <row r="9762" spans="1:14">
      <c r="A9762">
        <v>62375160</v>
      </c>
      <c r="B9762">
        <v>4008036</v>
      </c>
      <c r="C9762" t="s">
        <v>4303</v>
      </c>
      <c r="D9762" t="s">
        <v>441</v>
      </c>
      <c r="F9762">
        <v>0</v>
      </c>
      <c r="G9762">
        <v>7.3</v>
      </c>
      <c r="H9762" t="s">
        <v>8587</v>
      </c>
      <c r="I9762">
        <v>42</v>
      </c>
      <c r="J9762" t="s">
        <v>462</v>
      </c>
      <c r="K9762" t="s">
        <v>446</v>
      </c>
      <c r="M9762">
        <v>3711</v>
      </c>
    </row>
    <row r="9763" spans="1:14">
      <c r="A9763">
        <v>62375170</v>
      </c>
      <c r="B9763">
        <v>4008073</v>
      </c>
      <c r="C9763" t="s">
        <v>4304</v>
      </c>
      <c r="D9763" t="s">
        <v>441</v>
      </c>
      <c r="F9763">
        <v>0</v>
      </c>
      <c r="G9763">
        <v>10.19</v>
      </c>
      <c r="H9763" t="s">
        <v>8587</v>
      </c>
      <c r="I9763">
        <v>42</v>
      </c>
      <c r="J9763" t="s">
        <v>462</v>
      </c>
      <c r="K9763" t="s">
        <v>446</v>
      </c>
      <c r="M9763">
        <v>3711</v>
      </c>
      <c r="N9763" t="s">
        <v>16663</v>
      </c>
    </row>
    <row r="9764" spans="1:14">
      <c r="A9764">
        <v>62375180</v>
      </c>
      <c r="B9764">
        <v>4008555</v>
      </c>
      <c r="C9764" t="s">
        <v>4305</v>
      </c>
      <c r="D9764" t="s">
        <v>441</v>
      </c>
      <c r="F9764">
        <v>0</v>
      </c>
      <c r="G9764">
        <v>8.33</v>
      </c>
      <c r="H9764" t="s">
        <v>8587</v>
      </c>
      <c r="I9764">
        <v>42</v>
      </c>
      <c r="J9764" t="s">
        <v>462</v>
      </c>
      <c r="K9764" t="s">
        <v>446</v>
      </c>
      <c r="M9764">
        <v>3711</v>
      </c>
    </row>
    <row r="9765" spans="1:14">
      <c r="A9765">
        <v>62375190</v>
      </c>
      <c r="B9765">
        <v>4008600</v>
      </c>
      <c r="C9765" t="s">
        <v>4306</v>
      </c>
      <c r="D9765" t="s">
        <v>441</v>
      </c>
      <c r="F9765">
        <v>0</v>
      </c>
      <c r="G9765">
        <v>7.08</v>
      </c>
      <c r="H9765" t="s">
        <v>8587</v>
      </c>
      <c r="I9765">
        <v>42</v>
      </c>
      <c r="J9765" t="s">
        <v>462</v>
      </c>
      <c r="K9765" t="s">
        <v>446</v>
      </c>
      <c r="M9765">
        <v>3711</v>
      </c>
    </row>
    <row r="9766" spans="1:14">
      <c r="A9766">
        <v>62376110</v>
      </c>
      <c r="B9766">
        <v>4014226</v>
      </c>
      <c r="C9766" t="s">
        <v>4307</v>
      </c>
      <c r="D9766" t="s">
        <v>441</v>
      </c>
      <c r="F9766">
        <v>0</v>
      </c>
      <c r="G9766">
        <v>10.37</v>
      </c>
      <c r="H9766" t="s">
        <v>8587</v>
      </c>
      <c r="I9766">
        <v>42</v>
      </c>
      <c r="J9766" t="s">
        <v>462</v>
      </c>
      <c r="K9766" t="s">
        <v>446</v>
      </c>
      <c r="M9766">
        <v>3711</v>
      </c>
      <c r="N9766" t="s">
        <v>16663</v>
      </c>
    </row>
    <row r="9767" spans="1:14">
      <c r="A9767">
        <v>62380000</v>
      </c>
      <c r="B9767">
        <v>3021246</v>
      </c>
      <c r="C9767" t="s">
        <v>4308</v>
      </c>
      <c r="D9767" t="s">
        <v>441</v>
      </c>
      <c r="F9767">
        <v>0</v>
      </c>
      <c r="G9767">
        <v>10.029999999999999</v>
      </c>
      <c r="I9767">
        <v>6</v>
      </c>
      <c r="J9767" t="s">
        <v>445</v>
      </c>
      <c r="K9767" t="s">
        <v>446</v>
      </c>
      <c r="M9767">
        <v>3311</v>
      </c>
    </row>
    <row r="9768" spans="1:14">
      <c r="A9768">
        <v>62380008</v>
      </c>
      <c r="B9768">
        <v>3021245</v>
      </c>
      <c r="C9768" t="s">
        <v>4309</v>
      </c>
      <c r="D9768" t="s">
        <v>441</v>
      </c>
      <c r="F9768">
        <v>0</v>
      </c>
      <c r="G9768">
        <v>7.5</v>
      </c>
      <c r="H9768" t="s">
        <v>8584</v>
      </c>
      <c r="I9768">
        <v>9</v>
      </c>
      <c r="J9768" t="s">
        <v>445</v>
      </c>
      <c r="K9768" t="s">
        <v>446</v>
      </c>
      <c r="M9768">
        <v>3211</v>
      </c>
    </row>
    <row r="9769" spans="1:14">
      <c r="A9769">
        <v>62385110</v>
      </c>
      <c r="B9769">
        <v>4013913</v>
      </c>
      <c r="C9769" t="s">
        <v>4310</v>
      </c>
      <c r="D9769" t="s">
        <v>441</v>
      </c>
      <c r="F9769">
        <v>0</v>
      </c>
      <c r="G9769">
        <v>13.27</v>
      </c>
      <c r="H9769" t="s">
        <v>8587</v>
      </c>
      <c r="I9769">
        <v>35</v>
      </c>
      <c r="J9769" t="s">
        <v>462</v>
      </c>
      <c r="K9769" t="s">
        <v>446</v>
      </c>
      <c r="M9769">
        <v>3711</v>
      </c>
    </row>
    <row r="9770" spans="1:14">
      <c r="A9770">
        <v>62385120</v>
      </c>
      <c r="B9770">
        <v>4014833</v>
      </c>
      <c r="C9770" t="s">
        <v>4311</v>
      </c>
      <c r="D9770" t="s">
        <v>441</v>
      </c>
      <c r="F9770">
        <v>0</v>
      </c>
      <c r="G9770">
        <v>10.91</v>
      </c>
      <c r="H9770" t="s">
        <v>8587</v>
      </c>
      <c r="I9770">
        <v>35</v>
      </c>
      <c r="J9770" t="s">
        <v>462</v>
      </c>
      <c r="K9770" t="s">
        <v>446</v>
      </c>
      <c r="M9770">
        <v>3711</v>
      </c>
    </row>
    <row r="9771" spans="1:14">
      <c r="A9771">
        <v>62385130</v>
      </c>
      <c r="B9771">
        <v>4015002</v>
      </c>
      <c r="C9771" t="s">
        <v>4312</v>
      </c>
      <c r="D9771" t="s">
        <v>441</v>
      </c>
      <c r="F9771">
        <v>0</v>
      </c>
      <c r="G9771">
        <v>13.36</v>
      </c>
      <c r="H9771" t="s">
        <v>8587</v>
      </c>
      <c r="I9771">
        <v>35</v>
      </c>
      <c r="J9771" t="s">
        <v>462</v>
      </c>
      <c r="K9771" t="s">
        <v>446</v>
      </c>
      <c r="M9771">
        <v>3711</v>
      </c>
    </row>
    <row r="9772" spans="1:14">
      <c r="A9772">
        <v>62385140</v>
      </c>
      <c r="B9772">
        <v>4016330</v>
      </c>
      <c r="C9772" t="s">
        <v>4313</v>
      </c>
      <c r="D9772" t="s">
        <v>441</v>
      </c>
      <c r="F9772">
        <v>0</v>
      </c>
      <c r="G9772">
        <v>10.9</v>
      </c>
      <c r="H9772" t="s">
        <v>8587</v>
      </c>
      <c r="I9772">
        <v>35</v>
      </c>
      <c r="J9772" t="s">
        <v>462</v>
      </c>
      <c r="K9772" t="s">
        <v>446</v>
      </c>
      <c r="M9772">
        <v>3711</v>
      </c>
    </row>
    <row r="9773" spans="1:14">
      <c r="A9773">
        <v>62385150</v>
      </c>
      <c r="B9773">
        <v>4016538</v>
      </c>
      <c r="C9773" t="s">
        <v>4314</v>
      </c>
      <c r="D9773" t="s">
        <v>441</v>
      </c>
      <c r="F9773">
        <v>0</v>
      </c>
      <c r="G9773">
        <v>10.92</v>
      </c>
      <c r="H9773" t="s">
        <v>8587</v>
      </c>
      <c r="I9773">
        <v>35</v>
      </c>
      <c r="J9773" t="s">
        <v>462</v>
      </c>
      <c r="K9773" t="s">
        <v>446</v>
      </c>
      <c r="M9773">
        <v>3711</v>
      </c>
    </row>
    <row r="9774" spans="1:14">
      <c r="A9774">
        <v>62390000</v>
      </c>
      <c r="B9774">
        <v>3016589</v>
      </c>
      <c r="C9774" t="s">
        <v>4315</v>
      </c>
      <c r="D9774" t="s">
        <v>441</v>
      </c>
      <c r="F9774">
        <v>0</v>
      </c>
      <c r="G9774">
        <v>14.99</v>
      </c>
      <c r="H9774" t="s">
        <v>8580</v>
      </c>
      <c r="I9774">
        <v>6</v>
      </c>
      <c r="J9774" t="s">
        <v>445</v>
      </c>
      <c r="M9774">
        <v>3349</v>
      </c>
      <c r="N9774" t="s">
        <v>16664</v>
      </c>
    </row>
    <row r="9775" spans="1:14">
      <c r="A9775">
        <v>62390008</v>
      </c>
      <c r="B9775">
        <v>3016590</v>
      </c>
      <c r="C9775" t="s">
        <v>4316</v>
      </c>
      <c r="D9775" t="s">
        <v>441</v>
      </c>
      <c r="F9775">
        <v>0</v>
      </c>
      <c r="G9775">
        <v>12.39</v>
      </c>
      <c r="H9775" t="s">
        <v>8580</v>
      </c>
      <c r="I9775">
        <v>9</v>
      </c>
      <c r="J9775" t="s">
        <v>445</v>
      </c>
      <c r="M9775">
        <v>6666</v>
      </c>
      <c r="N9775" t="s">
        <v>16665</v>
      </c>
    </row>
    <row r="9776" spans="1:14">
      <c r="A9776">
        <v>62392000</v>
      </c>
      <c r="B9776">
        <v>4006297</v>
      </c>
      <c r="C9776" t="s">
        <v>4317</v>
      </c>
      <c r="D9776" t="s">
        <v>441</v>
      </c>
      <c r="F9776">
        <v>0</v>
      </c>
      <c r="G9776">
        <v>9.08</v>
      </c>
      <c r="H9776" t="s">
        <v>8587</v>
      </c>
      <c r="I9776">
        <v>44</v>
      </c>
      <c r="J9776" t="s">
        <v>462</v>
      </c>
      <c r="K9776" t="s">
        <v>446</v>
      </c>
      <c r="M9776">
        <v>3711</v>
      </c>
    </row>
    <row r="9777" spans="1:14">
      <c r="A9777">
        <v>62394110</v>
      </c>
      <c r="B9777">
        <v>4004207</v>
      </c>
      <c r="C9777" t="s">
        <v>4318</v>
      </c>
      <c r="D9777" t="s">
        <v>441</v>
      </c>
      <c r="F9777">
        <v>0</v>
      </c>
      <c r="G9777">
        <v>11.96</v>
      </c>
      <c r="H9777" t="s">
        <v>8587</v>
      </c>
      <c r="I9777">
        <v>44</v>
      </c>
      <c r="J9777" t="s">
        <v>462</v>
      </c>
      <c r="K9777" t="s">
        <v>446</v>
      </c>
      <c r="M9777">
        <v>3711</v>
      </c>
      <c r="N9777" t="s">
        <v>16666</v>
      </c>
    </row>
    <row r="9778" spans="1:14">
      <c r="A9778">
        <v>62394140</v>
      </c>
      <c r="B9778">
        <v>4001076</v>
      </c>
      <c r="C9778" t="s">
        <v>12922</v>
      </c>
      <c r="D9778" t="s">
        <v>441</v>
      </c>
      <c r="F9778">
        <v>0</v>
      </c>
      <c r="G9778">
        <v>9.6300000000000008</v>
      </c>
      <c r="H9778" t="s">
        <v>8587</v>
      </c>
      <c r="I9778">
        <v>35</v>
      </c>
      <c r="J9778" t="s">
        <v>462</v>
      </c>
      <c r="K9778" t="s">
        <v>446</v>
      </c>
      <c r="M9778">
        <v>3711</v>
      </c>
    </row>
    <row r="9779" spans="1:14">
      <c r="A9779">
        <v>62394160</v>
      </c>
      <c r="B9779">
        <v>4004208</v>
      </c>
      <c r="C9779" t="s">
        <v>4319</v>
      </c>
      <c r="D9779" t="s">
        <v>441</v>
      </c>
      <c r="F9779">
        <v>0</v>
      </c>
      <c r="G9779">
        <v>13.04</v>
      </c>
      <c r="H9779" t="s">
        <v>8587</v>
      </c>
      <c r="I9779">
        <v>44</v>
      </c>
      <c r="J9779" t="s">
        <v>462</v>
      </c>
      <c r="K9779" t="s">
        <v>446</v>
      </c>
      <c r="M9779">
        <v>3711</v>
      </c>
    </row>
    <row r="9780" spans="1:14">
      <c r="A9780">
        <v>62394190</v>
      </c>
      <c r="B9780">
        <v>4004209</v>
      </c>
      <c r="C9780" t="s">
        <v>4320</v>
      </c>
      <c r="D9780" t="s">
        <v>441</v>
      </c>
      <c r="F9780">
        <v>0</v>
      </c>
      <c r="G9780">
        <v>12.67</v>
      </c>
      <c r="H9780" t="s">
        <v>8587</v>
      </c>
      <c r="I9780">
        <v>44</v>
      </c>
      <c r="J9780" t="s">
        <v>462</v>
      </c>
      <c r="K9780" t="s">
        <v>446</v>
      </c>
      <c r="M9780">
        <v>3711</v>
      </c>
    </row>
    <row r="9781" spans="1:14">
      <c r="A9781">
        <v>62394510</v>
      </c>
      <c r="B9781">
        <v>4006804</v>
      </c>
      <c r="C9781" t="s">
        <v>4321</v>
      </c>
      <c r="D9781" t="s">
        <v>441</v>
      </c>
      <c r="F9781">
        <v>0</v>
      </c>
      <c r="G9781">
        <v>9.75</v>
      </c>
      <c r="H9781" t="s">
        <v>8587</v>
      </c>
      <c r="I9781">
        <v>44</v>
      </c>
      <c r="J9781" t="s">
        <v>462</v>
      </c>
      <c r="K9781" t="s">
        <v>446</v>
      </c>
      <c r="M9781">
        <v>3711</v>
      </c>
    </row>
    <row r="9782" spans="1:14">
      <c r="A9782">
        <v>62394520</v>
      </c>
      <c r="B9782">
        <v>4007478</v>
      </c>
      <c r="C9782" t="s">
        <v>4322</v>
      </c>
      <c r="D9782" t="s">
        <v>441</v>
      </c>
      <c r="F9782">
        <v>0</v>
      </c>
      <c r="G9782">
        <v>10.039999999999999</v>
      </c>
      <c r="H9782" t="s">
        <v>8587</v>
      </c>
      <c r="I9782">
        <v>44</v>
      </c>
      <c r="J9782" t="s">
        <v>462</v>
      </c>
      <c r="K9782" t="s">
        <v>446</v>
      </c>
      <c r="M9782">
        <v>3711</v>
      </c>
    </row>
    <row r="9783" spans="1:14">
      <c r="A9783">
        <v>62394530</v>
      </c>
      <c r="B9783">
        <v>4007815</v>
      </c>
      <c r="C9783" t="s">
        <v>4323</v>
      </c>
      <c r="D9783" t="s">
        <v>441</v>
      </c>
      <c r="F9783">
        <v>0</v>
      </c>
      <c r="G9783">
        <v>10.33</v>
      </c>
      <c r="H9783" t="s">
        <v>8587</v>
      </c>
      <c r="I9783">
        <v>44</v>
      </c>
      <c r="J9783" t="s">
        <v>462</v>
      </c>
      <c r="K9783" t="s">
        <v>446</v>
      </c>
      <c r="M9783">
        <v>3711</v>
      </c>
    </row>
    <row r="9784" spans="1:14">
      <c r="A9784">
        <v>62394540</v>
      </c>
      <c r="B9784">
        <v>4008675</v>
      </c>
      <c r="C9784" t="s">
        <v>4324</v>
      </c>
      <c r="D9784" t="s">
        <v>441</v>
      </c>
      <c r="F9784">
        <v>0</v>
      </c>
      <c r="G9784">
        <v>9.7100000000000009</v>
      </c>
      <c r="H9784" t="s">
        <v>8587</v>
      </c>
      <c r="I9784">
        <v>44</v>
      </c>
      <c r="J9784" t="s">
        <v>462</v>
      </c>
      <c r="K9784" t="s">
        <v>446</v>
      </c>
      <c r="M9784">
        <v>3711</v>
      </c>
    </row>
    <row r="9785" spans="1:14">
      <c r="A9785">
        <v>62394550</v>
      </c>
      <c r="B9785">
        <v>4009016</v>
      </c>
      <c r="C9785" t="s">
        <v>4325</v>
      </c>
      <c r="D9785" t="s">
        <v>441</v>
      </c>
      <c r="F9785">
        <v>0</v>
      </c>
      <c r="G9785">
        <v>10.5</v>
      </c>
      <c r="H9785" t="s">
        <v>8587</v>
      </c>
      <c r="I9785">
        <v>44</v>
      </c>
      <c r="J9785" t="s">
        <v>462</v>
      </c>
      <c r="K9785" t="s">
        <v>446</v>
      </c>
      <c r="M9785">
        <v>3711</v>
      </c>
    </row>
    <row r="9786" spans="1:14">
      <c r="A9786">
        <v>62394560</v>
      </c>
      <c r="B9786">
        <v>4009066</v>
      </c>
      <c r="C9786" t="s">
        <v>4326</v>
      </c>
      <c r="D9786" t="s">
        <v>441</v>
      </c>
      <c r="F9786">
        <v>0</v>
      </c>
      <c r="G9786">
        <v>11.87</v>
      </c>
      <c r="H9786" t="s">
        <v>8587</v>
      </c>
      <c r="I9786">
        <v>44</v>
      </c>
      <c r="J9786" t="s">
        <v>462</v>
      </c>
      <c r="K9786" t="s">
        <v>446</v>
      </c>
      <c r="M9786">
        <v>3711</v>
      </c>
    </row>
    <row r="9787" spans="1:14">
      <c r="A9787">
        <v>62395050</v>
      </c>
      <c r="B9787">
        <v>4004210</v>
      </c>
      <c r="C9787" t="s">
        <v>4327</v>
      </c>
      <c r="D9787" t="s">
        <v>441</v>
      </c>
      <c r="F9787">
        <v>0</v>
      </c>
      <c r="G9787">
        <v>12.79</v>
      </c>
      <c r="H9787" t="s">
        <v>8587</v>
      </c>
      <c r="I9787">
        <v>44</v>
      </c>
      <c r="J9787" t="s">
        <v>462</v>
      </c>
      <c r="K9787" t="s">
        <v>446</v>
      </c>
      <c r="M9787">
        <v>3711</v>
      </c>
      <c r="N9787" t="s">
        <v>16666</v>
      </c>
    </row>
    <row r="9788" spans="1:14">
      <c r="A9788">
        <v>62395110</v>
      </c>
      <c r="B9788">
        <v>4004211</v>
      </c>
      <c r="C9788" t="s">
        <v>4328</v>
      </c>
      <c r="D9788" t="s">
        <v>441</v>
      </c>
      <c r="F9788">
        <v>0</v>
      </c>
      <c r="G9788">
        <v>11.99</v>
      </c>
      <c r="H9788" t="s">
        <v>8587</v>
      </c>
      <c r="I9788">
        <v>44</v>
      </c>
      <c r="J9788" t="s">
        <v>462</v>
      </c>
      <c r="K9788" t="s">
        <v>446</v>
      </c>
      <c r="M9788">
        <v>3711</v>
      </c>
      <c r="N9788" t="s">
        <v>16667</v>
      </c>
    </row>
    <row r="9789" spans="1:14">
      <c r="A9789">
        <v>62395120</v>
      </c>
      <c r="B9789">
        <v>4010939</v>
      </c>
      <c r="C9789" t="s">
        <v>4329</v>
      </c>
      <c r="D9789" t="s">
        <v>441</v>
      </c>
      <c r="F9789">
        <v>0</v>
      </c>
      <c r="G9789">
        <v>9.73</v>
      </c>
      <c r="H9789" t="s">
        <v>8587</v>
      </c>
      <c r="I9789">
        <v>44</v>
      </c>
      <c r="J9789" t="s">
        <v>462</v>
      </c>
      <c r="K9789" t="s">
        <v>446</v>
      </c>
      <c r="M9789">
        <v>3711</v>
      </c>
    </row>
    <row r="9790" spans="1:14">
      <c r="A9790">
        <v>62395140</v>
      </c>
      <c r="B9790">
        <v>4004213</v>
      </c>
      <c r="C9790" t="s">
        <v>4330</v>
      </c>
      <c r="D9790" t="s">
        <v>441</v>
      </c>
      <c r="F9790">
        <v>0</v>
      </c>
      <c r="G9790">
        <v>11.44</v>
      </c>
      <c r="H9790" t="s">
        <v>8587</v>
      </c>
      <c r="I9790">
        <v>44</v>
      </c>
      <c r="J9790" t="s">
        <v>462</v>
      </c>
      <c r="K9790" t="s">
        <v>446</v>
      </c>
      <c r="M9790">
        <v>7108</v>
      </c>
      <c r="N9790" t="s">
        <v>16666</v>
      </c>
    </row>
    <row r="9791" spans="1:14">
      <c r="A9791">
        <v>62395150</v>
      </c>
      <c r="B9791">
        <v>4004214</v>
      </c>
      <c r="C9791" t="s">
        <v>4331</v>
      </c>
      <c r="D9791" t="s">
        <v>441</v>
      </c>
      <c r="F9791">
        <v>0</v>
      </c>
      <c r="G9791">
        <v>12.14</v>
      </c>
      <c r="H9791" t="s">
        <v>8587</v>
      </c>
      <c r="I9791">
        <v>44</v>
      </c>
      <c r="J9791" t="s">
        <v>462</v>
      </c>
      <c r="K9791" t="s">
        <v>446</v>
      </c>
      <c r="M9791">
        <v>3711</v>
      </c>
      <c r="N9791" t="s">
        <v>16667</v>
      </c>
    </row>
    <row r="9792" spans="1:14">
      <c r="A9792">
        <v>62395160</v>
      </c>
      <c r="B9792">
        <v>4001903</v>
      </c>
      <c r="C9792" t="s">
        <v>4332</v>
      </c>
      <c r="D9792" t="s">
        <v>441</v>
      </c>
      <c r="F9792">
        <v>0</v>
      </c>
      <c r="G9792">
        <v>9.58</v>
      </c>
      <c r="H9792" t="s">
        <v>8587</v>
      </c>
      <c r="I9792">
        <v>44</v>
      </c>
      <c r="J9792" t="s">
        <v>462</v>
      </c>
      <c r="K9792" t="s">
        <v>446</v>
      </c>
      <c r="M9792">
        <v>3711</v>
      </c>
    </row>
    <row r="9793" spans="1:14">
      <c r="A9793">
        <v>62395170</v>
      </c>
      <c r="B9793">
        <v>4001904</v>
      </c>
      <c r="C9793" t="s">
        <v>4333</v>
      </c>
      <c r="D9793" t="s">
        <v>441</v>
      </c>
      <c r="F9793">
        <v>0</v>
      </c>
      <c r="G9793">
        <v>9.58</v>
      </c>
      <c r="H9793" t="s">
        <v>8587</v>
      </c>
      <c r="I9793">
        <v>44</v>
      </c>
      <c r="J9793" t="s">
        <v>462</v>
      </c>
      <c r="K9793" t="s">
        <v>446</v>
      </c>
      <c r="M9793">
        <v>3711</v>
      </c>
    </row>
    <row r="9794" spans="1:14">
      <c r="A9794">
        <v>62395180</v>
      </c>
      <c r="B9794">
        <v>4005424</v>
      </c>
      <c r="C9794" t="s">
        <v>4334</v>
      </c>
      <c r="D9794" t="s">
        <v>441</v>
      </c>
      <c r="F9794">
        <v>0</v>
      </c>
      <c r="G9794">
        <v>11.62</v>
      </c>
      <c r="H9794" t="s">
        <v>8587</v>
      </c>
      <c r="I9794">
        <v>44</v>
      </c>
      <c r="J9794" t="s">
        <v>462</v>
      </c>
      <c r="K9794" t="s">
        <v>446</v>
      </c>
      <c r="M9794">
        <v>3711</v>
      </c>
    </row>
    <row r="9795" spans="1:14">
      <c r="A9795">
        <v>62395190</v>
      </c>
      <c r="B9795">
        <v>4006254</v>
      </c>
      <c r="C9795" t="s">
        <v>4335</v>
      </c>
      <c r="D9795" t="s">
        <v>441</v>
      </c>
      <c r="F9795">
        <v>0</v>
      </c>
      <c r="G9795">
        <v>10.14</v>
      </c>
      <c r="H9795" t="s">
        <v>8587</v>
      </c>
      <c r="I9795">
        <v>44</v>
      </c>
      <c r="J9795" t="s">
        <v>462</v>
      </c>
      <c r="K9795" t="s">
        <v>446</v>
      </c>
      <c r="M9795">
        <v>3711</v>
      </c>
    </row>
    <row r="9796" spans="1:14">
      <c r="A9796">
        <v>62395510</v>
      </c>
      <c r="B9796">
        <v>4009312</v>
      </c>
      <c r="C9796" t="s">
        <v>4336</v>
      </c>
      <c r="D9796" t="s">
        <v>441</v>
      </c>
      <c r="F9796">
        <v>0</v>
      </c>
      <c r="G9796">
        <v>9.5299999999999994</v>
      </c>
      <c r="H9796" t="s">
        <v>8587</v>
      </c>
      <c r="I9796">
        <v>44</v>
      </c>
      <c r="J9796" t="s">
        <v>462</v>
      </c>
      <c r="K9796" t="s">
        <v>446</v>
      </c>
      <c r="M9796">
        <v>3711</v>
      </c>
    </row>
    <row r="9797" spans="1:14">
      <c r="A9797">
        <v>62396110</v>
      </c>
      <c r="B9797">
        <v>4004215</v>
      </c>
      <c r="C9797" t="s">
        <v>4337</v>
      </c>
      <c r="D9797" t="s">
        <v>441</v>
      </c>
      <c r="F9797">
        <v>0</v>
      </c>
      <c r="G9797">
        <v>12.47</v>
      </c>
      <c r="H9797" t="s">
        <v>8587</v>
      </c>
      <c r="I9797">
        <v>44</v>
      </c>
      <c r="J9797" t="s">
        <v>462</v>
      </c>
      <c r="K9797" t="s">
        <v>446</v>
      </c>
      <c r="M9797">
        <v>3711</v>
      </c>
      <c r="N9797" t="s">
        <v>16667</v>
      </c>
    </row>
    <row r="9798" spans="1:14">
      <c r="A9798">
        <v>62396120</v>
      </c>
      <c r="B9798">
        <v>4006001</v>
      </c>
      <c r="C9798" t="s">
        <v>4338</v>
      </c>
      <c r="D9798" t="s">
        <v>441</v>
      </c>
      <c r="F9798">
        <v>0</v>
      </c>
      <c r="G9798">
        <v>17.48</v>
      </c>
      <c r="H9798" t="s">
        <v>8587</v>
      </c>
      <c r="I9798">
        <v>44</v>
      </c>
      <c r="J9798" t="s">
        <v>462</v>
      </c>
      <c r="M9798">
        <v>7108</v>
      </c>
      <c r="N9798" t="s">
        <v>16668</v>
      </c>
    </row>
    <row r="9799" spans="1:14">
      <c r="A9799">
        <v>62396140</v>
      </c>
      <c r="B9799">
        <v>4006069</v>
      </c>
      <c r="C9799" t="s">
        <v>4339</v>
      </c>
      <c r="D9799" t="s">
        <v>441</v>
      </c>
      <c r="F9799">
        <v>0</v>
      </c>
      <c r="G9799">
        <v>10</v>
      </c>
      <c r="H9799" t="s">
        <v>8587</v>
      </c>
      <c r="I9799">
        <v>44</v>
      </c>
      <c r="J9799" t="s">
        <v>462</v>
      </c>
      <c r="K9799" t="s">
        <v>446</v>
      </c>
      <c r="M9799">
        <v>3711</v>
      </c>
    </row>
    <row r="9800" spans="1:14">
      <c r="A9800">
        <v>62396150</v>
      </c>
      <c r="B9800">
        <v>4006126</v>
      </c>
      <c r="C9800" t="s">
        <v>4340</v>
      </c>
      <c r="D9800" t="s">
        <v>441</v>
      </c>
      <c r="F9800">
        <v>0</v>
      </c>
      <c r="G9800">
        <v>10.46</v>
      </c>
      <c r="H9800" t="s">
        <v>8587</v>
      </c>
      <c r="I9800">
        <v>44</v>
      </c>
      <c r="J9800" t="s">
        <v>462</v>
      </c>
      <c r="K9800" t="s">
        <v>446</v>
      </c>
      <c r="M9800">
        <v>3711</v>
      </c>
    </row>
    <row r="9801" spans="1:14">
      <c r="A9801">
        <v>62396160</v>
      </c>
      <c r="B9801">
        <v>4006266</v>
      </c>
      <c r="C9801" t="s">
        <v>4341</v>
      </c>
      <c r="D9801" t="s">
        <v>441</v>
      </c>
      <c r="F9801">
        <v>0</v>
      </c>
      <c r="G9801">
        <v>10.51</v>
      </c>
      <c r="H9801" t="s">
        <v>8587</v>
      </c>
      <c r="I9801">
        <v>44</v>
      </c>
      <c r="J9801" t="s">
        <v>462</v>
      </c>
      <c r="K9801" t="s">
        <v>446</v>
      </c>
      <c r="M9801">
        <v>3711</v>
      </c>
    </row>
    <row r="9802" spans="1:14">
      <c r="A9802">
        <v>62396170</v>
      </c>
      <c r="B9802">
        <v>4006298</v>
      </c>
      <c r="C9802" t="s">
        <v>4342</v>
      </c>
      <c r="D9802" t="s">
        <v>441</v>
      </c>
      <c r="F9802">
        <v>0</v>
      </c>
      <c r="G9802">
        <v>9.83</v>
      </c>
      <c r="H9802" t="s">
        <v>8587</v>
      </c>
      <c r="I9802">
        <v>44</v>
      </c>
      <c r="J9802" t="s">
        <v>462</v>
      </c>
      <c r="K9802" t="s">
        <v>446</v>
      </c>
      <c r="M9802">
        <v>3711</v>
      </c>
    </row>
    <row r="9803" spans="1:14">
      <c r="A9803">
        <v>62396180</v>
      </c>
      <c r="B9803">
        <v>4006379</v>
      </c>
      <c r="C9803" t="s">
        <v>4343</v>
      </c>
      <c r="D9803" t="s">
        <v>441</v>
      </c>
      <c r="F9803">
        <v>0</v>
      </c>
      <c r="G9803">
        <v>10.51</v>
      </c>
      <c r="H9803" t="s">
        <v>8587</v>
      </c>
      <c r="I9803">
        <v>44</v>
      </c>
      <c r="J9803" t="s">
        <v>462</v>
      </c>
      <c r="K9803" t="s">
        <v>446</v>
      </c>
      <c r="M9803">
        <v>3711</v>
      </c>
    </row>
    <row r="9804" spans="1:14">
      <c r="A9804">
        <v>62396190</v>
      </c>
      <c r="B9804">
        <v>4006442</v>
      </c>
      <c r="C9804" t="s">
        <v>4344</v>
      </c>
      <c r="D9804" t="s">
        <v>441</v>
      </c>
      <c r="F9804">
        <v>0</v>
      </c>
      <c r="G9804">
        <v>12.34</v>
      </c>
      <c r="H9804" t="s">
        <v>8587</v>
      </c>
      <c r="I9804">
        <v>44</v>
      </c>
      <c r="J9804" t="s">
        <v>462</v>
      </c>
      <c r="K9804" t="s">
        <v>446</v>
      </c>
      <c r="M9804">
        <v>3711</v>
      </c>
      <c r="N9804" t="s">
        <v>16666</v>
      </c>
    </row>
    <row r="9805" spans="1:14">
      <c r="A9805">
        <v>62397110</v>
      </c>
      <c r="B9805">
        <v>4005818</v>
      </c>
      <c r="C9805" t="s">
        <v>4345</v>
      </c>
      <c r="D9805" t="s">
        <v>441</v>
      </c>
      <c r="F9805">
        <v>0</v>
      </c>
      <c r="G9805">
        <v>9.59</v>
      </c>
      <c r="H9805" t="s">
        <v>8587</v>
      </c>
      <c r="I9805">
        <v>44</v>
      </c>
      <c r="J9805" t="s">
        <v>462</v>
      </c>
      <c r="K9805" t="s">
        <v>446</v>
      </c>
      <c r="M9805">
        <v>3711</v>
      </c>
    </row>
    <row r="9806" spans="1:14">
      <c r="A9806">
        <v>62397120</v>
      </c>
      <c r="B9806">
        <v>4006223</v>
      </c>
      <c r="C9806" t="s">
        <v>4346</v>
      </c>
      <c r="D9806" t="s">
        <v>441</v>
      </c>
      <c r="F9806">
        <v>0</v>
      </c>
      <c r="G9806">
        <v>9.5399999999999991</v>
      </c>
      <c r="H9806" t="s">
        <v>8587</v>
      </c>
      <c r="I9806">
        <v>44</v>
      </c>
      <c r="J9806" t="s">
        <v>462</v>
      </c>
      <c r="K9806" t="s">
        <v>446</v>
      </c>
      <c r="M9806">
        <v>3711</v>
      </c>
    </row>
    <row r="9807" spans="1:14">
      <c r="A9807">
        <v>62397130</v>
      </c>
      <c r="B9807">
        <v>4006225</v>
      </c>
      <c r="C9807" t="s">
        <v>4347</v>
      </c>
      <c r="D9807" t="s">
        <v>441</v>
      </c>
      <c r="F9807">
        <v>0</v>
      </c>
      <c r="G9807">
        <v>13.53</v>
      </c>
      <c r="H9807" t="s">
        <v>8587</v>
      </c>
      <c r="I9807">
        <v>44</v>
      </c>
      <c r="J9807" t="s">
        <v>462</v>
      </c>
      <c r="M9807">
        <v>7108</v>
      </c>
      <c r="N9807" t="s">
        <v>16666</v>
      </c>
    </row>
    <row r="9808" spans="1:14">
      <c r="A9808">
        <v>62397140</v>
      </c>
      <c r="B9808">
        <v>4006269</v>
      </c>
      <c r="C9808" t="s">
        <v>4348</v>
      </c>
      <c r="D9808" t="s">
        <v>441</v>
      </c>
      <c r="F9808">
        <v>0</v>
      </c>
      <c r="G9808">
        <v>9.5399999999999991</v>
      </c>
      <c r="H9808" t="s">
        <v>8587</v>
      </c>
      <c r="I9808">
        <v>44</v>
      </c>
      <c r="J9808" t="s">
        <v>462</v>
      </c>
      <c r="K9808" t="s">
        <v>446</v>
      </c>
      <c r="M9808">
        <v>3711</v>
      </c>
    </row>
    <row r="9809" spans="1:14">
      <c r="A9809">
        <v>62397150</v>
      </c>
      <c r="B9809">
        <v>4006571</v>
      </c>
      <c r="C9809" t="s">
        <v>4349</v>
      </c>
      <c r="D9809" t="s">
        <v>441</v>
      </c>
      <c r="F9809">
        <v>0</v>
      </c>
      <c r="G9809">
        <v>9.83</v>
      </c>
      <c r="H9809" t="s">
        <v>8587</v>
      </c>
      <c r="I9809">
        <v>44</v>
      </c>
      <c r="J9809" t="s">
        <v>462</v>
      </c>
      <c r="K9809" t="s">
        <v>446</v>
      </c>
      <c r="M9809">
        <v>3711</v>
      </c>
    </row>
    <row r="9810" spans="1:14">
      <c r="A9810">
        <v>62397160</v>
      </c>
      <c r="B9810">
        <v>4007452</v>
      </c>
      <c r="C9810" t="s">
        <v>4350</v>
      </c>
      <c r="D9810" t="s">
        <v>441</v>
      </c>
      <c r="F9810">
        <v>0</v>
      </c>
      <c r="G9810">
        <v>9.66</v>
      </c>
      <c r="H9810" t="s">
        <v>8587</v>
      </c>
      <c r="I9810">
        <v>44</v>
      </c>
      <c r="J9810" t="s">
        <v>462</v>
      </c>
      <c r="K9810" t="s">
        <v>446</v>
      </c>
      <c r="M9810">
        <v>3711</v>
      </c>
    </row>
    <row r="9811" spans="1:14">
      <c r="A9811">
        <v>62397170</v>
      </c>
      <c r="B9811">
        <v>4007479</v>
      </c>
      <c r="C9811" t="s">
        <v>4351</v>
      </c>
      <c r="D9811" t="s">
        <v>441</v>
      </c>
      <c r="F9811">
        <v>0</v>
      </c>
      <c r="G9811">
        <v>9.5500000000000007</v>
      </c>
      <c r="H9811" t="s">
        <v>8587</v>
      </c>
      <c r="I9811">
        <v>44</v>
      </c>
      <c r="J9811" t="s">
        <v>462</v>
      </c>
      <c r="K9811" t="s">
        <v>446</v>
      </c>
      <c r="M9811">
        <v>3711</v>
      </c>
    </row>
    <row r="9812" spans="1:14">
      <c r="A9812">
        <v>62397180</v>
      </c>
      <c r="B9812">
        <v>4008653</v>
      </c>
      <c r="C9812" t="s">
        <v>4352</v>
      </c>
      <c r="D9812" t="s">
        <v>441</v>
      </c>
      <c r="F9812">
        <v>0</v>
      </c>
      <c r="G9812">
        <v>11.65</v>
      </c>
      <c r="H9812" t="s">
        <v>8587</v>
      </c>
      <c r="I9812">
        <v>44</v>
      </c>
      <c r="J9812" t="s">
        <v>462</v>
      </c>
      <c r="K9812" t="s">
        <v>446</v>
      </c>
      <c r="M9812">
        <v>3711</v>
      </c>
    </row>
    <row r="9813" spans="1:14">
      <c r="A9813">
        <v>62397190</v>
      </c>
      <c r="B9813">
        <v>4008656</v>
      </c>
      <c r="C9813" t="s">
        <v>4353</v>
      </c>
      <c r="D9813" t="s">
        <v>441</v>
      </c>
      <c r="F9813">
        <v>0</v>
      </c>
      <c r="G9813">
        <v>12.64</v>
      </c>
      <c r="H9813" t="s">
        <v>8587</v>
      </c>
      <c r="I9813">
        <v>44</v>
      </c>
      <c r="J9813" t="s">
        <v>462</v>
      </c>
      <c r="K9813" t="s">
        <v>446</v>
      </c>
      <c r="M9813">
        <v>3711</v>
      </c>
    </row>
    <row r="9814" spans="1:14">
      <c r="A9814">
        <v>62398110</v>
      </c>
      <c r="B9814">
        <v>4022720</v>
      </c>
      <c r="C9814" t="s">
        <v>17602</v>
      </c>
      <c r="D9814" t="s">
        <v>441</v>
      </c>
      <c r="F9814">
        <v>0</v>
      </c>
      <c r="G9814">
        <v>17.850000000000001</v>
      </c>
      <c r="H9814" t="s">
        <v>8587</v>
      </c>
      <c r="I9814">
        <v>44</v>
      </c>
      <c r="J9814" t="s">
        <v>462</v>
      </c>
      <c r="M9814">
        <v>7108</v>
      </c>
      <c r="N9814" t="s">
        <v>16668</v>
      </c>
    </row>
    <row r="9815" spans="1:14">
      <c r="A9815">
        <v>62398120</v>
      </c>
      <c r="B9815">
        <v>4029078</v>
      </c>
      <c r="C9815" t="s">
        <v>14542</v>
      </c>
      <c r="D9815" t="s">
        <v>441</v>
      </c>
      <c r="F9815">
        <v>0</v>
      </c>
      <c r="G9815">
        <v>16.25</v>
      </c>
      <c r="H9815" t="s">
        <v>8587</v>
      </c>
      <c r="I9815">
        <v>44</v>
      </c>
      <c r="J9815" t="s">
        <v>462</v>
      </c>
      <c r="M9815">
        <v>7108</v>
      </c>
      <c r="N9815" t="s">
        <v>16668</v>
      </c>
    </row>
    <row r="9816" spans="1:14">
      <c r="A9816">
        <v>62400000</v>
      </c>
      <c r="B9816">
        <v>3034418</v>
      </c>
      <c r="C9816" t="s">
        <v>137</v>
      </c>
      <c r="D9816" t="s">
        <v>441</v>
      </c>
      <c r="F9816">
        <v>0</v>
      </c>
      <c r="G9816">
        <v>16.07</v>
      </c>
      <c r="H9816" t="s">
        <v>12573</v>
      </c>
      <c r="I9816">
        <v>6</v>
      </c>
      <c r="J9816" t="s">
        <v>445</v>
      </c>
      <c r="K9816" t="s">
        <v>446</v>
      </c>
      <c r="M9816">
        <v>3349</v>
      </c>
      <c r="N9816" t="s">
        <v>16669</v>
      </c>
    </row>
    <row r="9817" spans="1:14">
      <c r="A9817">
        <v>62400008</v>
      </c>
      <c r="B9817">
        <v>3034383</v>
      </c>
      <c r="C9817" t="s">
        <v>4354</v>
      </c>
      <c r="D9817" t="s">
        <v>441</v>
      </c>
      <c r="F9817">
        <v>0</v>
      </c>
      <c r="G9817">
        <v>12.51</v>
      </c>
      <c r="H9817" t="s">
        <v>12664</v>
      </c>
      <c r="I9817">
        <v>3</v>
      </c>
      <c r="J9817" t="s">
        <v>445</v>
      </c>
      <c r="K9817" t="s">
        <v>446</v>
      </c>
      <c r="M9817">
        <v>6666</v>
      </c>
    </row>
    <row r="9818" spans="1:14">
      <c r="A9818">
        <v>62405110</v>
      </c>
      <c r="B9818">
        <v>4023141</v>
      </c>
      <c r="C9818" t="s">
        <v>14543</v>
      </c>
      <c r="D9818" t="s">
        <v>441</v>
      </c>
      <c r="F9818">
        <v>0</v>
      </c>
      <c r="G9818">
        <v>17.559999999999999</v>
      </c>
      <c r="H9818" t="s">
        <v>8587</v>
      </c>
      <c r="I9818">
        <v>40</v>
      </c>
      <c r="J9818" t="s">
        <v>462</v>
      </c>
      <c r="M9818">
        <v>7108</v>
      </c>
      <c r="N9818" t="s">
        <v>16670</v>
      </c>
    </row>
    <row r="9819" spans="1:14">
      <c r="A9819">
        <v>62410000</v>
      </c>
      <c r="B9819">
        <v>3016591</v>
      </c>
      <c r="C9819" t="s">
        <v>4355</v>
      </c>
      <c r="D9819" t="s">
        <v>441</v>
      </c>
      <c r="F9819">
        <v>0</v>
      </c>
      <c r="G9819">
        <v>13.52</v>
      </c>
      <c r="H9819" t="s">
        <v>8580</v>
      </c>
      <c r="I9819">
        <v>4</v>
      </c>
      <c r="J9819" t="s">
        <v>445</v>
      </c>
      <c r="M9819">
        <v>3349</v>
      </c>
      <c r="N9819" t="s">
        <v>16671</v>
      </c>
    </row>
    <row r="9820" spans="1:14">
      <c r="A9820">
        <v>62410008</v>
      </c>
      <c r="B9820">
        <v>3016592</v>
      </c>
      <c r="C9820" t="s">
        <v>4356</v>
      </c>
      <c r="D9820" t="s">
        <v>441</v>
      </c>
      <c r="F9820">
        <v>0</v>
      </c>
      <c r="G9820">
        <v>10.91</v>
      </c>
      <c r="H9820" t="s">
        <v>8580</v>
      </c>
      <c r="I9820">
        <v>9</v>
      </c>
      <c r="J9820" t="s">
        <v>445</v>
      </c>
      <c r="M9820">
        <v>6666</v>
      </c>
      <c r="N9820" t="s">
        <v>16672</v>
      </c>
    </row>
    <row r="9821" spans="1:14">
      <c r="A9821">
        <v>62412000</v>
      </c>
      <c r="B9821">
        <v>4006295</v>
      </c>
      <c r="C9821" t="s">
        <v>4357</v>
      </c>
      <c r="D9821" t="s">
        <v>441</v>
      </c>
      <c r="F9821">
        <v>0</v>
      </c>
      <c r="G9821">
        <v>9.32</v>
      </c>
      <c r="H9821" t="s">
        <v>8588</v>
      </c>
      <c r="I9821">
        <v>38</v>
      </c>
      <c r="J9821" t="s">
        <v>462</v>
      </c>
      <c r="K9821" t="s">
        <v>446</v>
      </c>
      <c r="M9821">
        <v>3711</v>
      </c>
    </row>
    <row r="9822" spans="1:14">
      <c r="A9822">
        <v>62414110</v>
      </c>
      <c r="B9822">
        <v>4010028</v>
      </c>
      <c r="C9822" t="s">
        <v>4358</v>
      </c>
      <c r="D9822" t="s">
        <v>441</v>
      </c>
      <c r="F9822">
        <v>0</v>
      </c>
      <c r="G9822">
        <v>13.84</v>
      </c>
      <c r="H9822" t="s">
        <v>8587</v>
      </c>
      <c r="I9822">
        <v>38</v>
      </c>
      <c r="J9822" t="s">
        <v>462</v>
      </c>
      <c r="K9822" t="s">
        <v>446</v>
      </c>
      <c r="M9822">
        <v>3711</v>
      </c>
    </row>
    <row r="9823" spans="1:14">
      <c r="A9823">
        <v>62414120</v>
      </c>
      <c r="B9823">
        <v>4010626</v>
      </c>
      <c r="C9823" t="s">
        <v>4359</v>
      </c>
      <c r="D9823" t="s">
        <v>441</v>
      </c>
      <c r="F9823">
        <v>0</v>
      </c>
      <c r="G9823">
        <v>9.59</v>
      </c>
      <c r="H9823" t="s">
        <v>8587</v>
      </c>
      <c r="I9823">
        <v>38</v>
      </c>
      <c r="J9823" t="s">
        <v>462</v>
      </c>
      <c r="K9823" t="s">
        <v>446</v>
      </c>
      <c r="M9823">
        <v>3711</v>
      </c>
    </row>
    <row r="9824" spans="1:14">
      <c r="A9824">
        <v>62414140</v>
      </c>
      <c r="B9824">
        <v>4006574</v>
      </c>
      <c r="C9824" t="s">
        <v>4360</v>
      </c>
      <c r="D9824" t="s">
        <v>441</v>
      </c>
      <c r="F9824">
        <v>0</v>
      </c>
      <c r="G9824">
        <v>10.17</v>
      </c>
      <c r="H9824" t="s">
        <v>8587</v>
      </c>
      <c r="I9824">
        <v>38</v>
      </c>
      <c r="J9824" t="s">
        <v>462</v>
      </c>
      <c r="M9824">
        <v>3711</v>
      </c>
      <c r="N9824" t="s">
        <v>16673</v>
      </c>
    </row>
    <row r="9825" spans="1:14">
      <c r="A9825">
        <v>62415110</v>
      </c>
      <c r="B9825">
        <v>4004216</v>
      </c>
      <c r="C9825" t="s">
        <v>4361</v>
      </c>
      <c r="D9825" t="s">
        <v>441</v>
      </c>
      <c r="F9825">
        <v>0</v>
      </c>
      <c r="G9825">
        <v>13.4</v>
      </c>
      <c r="H9825" t="s">
        <v>8587</v>
      </c>
      <c r="I9825">
        <v>38</v>
      </c>
      <c r="J9825" t="s">
        <v>462</v>
      </c>
      <c r="K9825" t="s">
        <v>446</v>
      </c>
      <c r="M9825">
        <v>3711</v>
      </c>
      <c r="N9825" t="s">
        <v>16673</v>
      </c>
    </row>
    <row r="9826" spans="1:14">
      <c r="A9826">
        <v>62415120</v>
      </c>
      <c r="B9826">
        <v>4004217</v>
      </c>
      <c r="C9826" t="s">
        <v>4362</v>
      </c>
      <c r="D9826" t="s">
        <v>441</v>
      </c>
      <c r="F9826">
        <v>0</v>
      </c>
      <c r="G9826">
        <v>10.31</v>
      </c>
      <c r="H9826" t="s">
        <v>8587</v>
      </c>
      <c r="I9826">
        <v>38</v>
      </c>
      <c r="J9826" t="s">
        <v>462</v>
      </c>
      <c r="K9826" t="s">
        <v>446</v>
      </c>
      <c r="M9826">
        <v>3711</v>
      </c>
    </row>
    <row r="9827" spans="1:14">
      <c r="A9827">
        <v>62415130</v>
      </c>
      <c r="B9827">
        <v>4011065</v>
      </c>
      <c r="C9827" t="s">
        <v>4363</v>
      </c>
      <c r="D9827" t="s">
        <v>441</v>
      </c>
      <c r="F9827">
        <v>0</v>
      </c>
      <c r="G9827">
        <v>13.45</v>
      </c>
      <c r="H9827" t="s">
        <v>8587</v>
      </c>
      <c r="I9827">
        <v>38</v>
      </c>
      <c r="J9827" t="s">
        <v>462</v>
      </c>
      <c r="K9827" t="s">
        <v>446</v>
      </c>
      <c r="M9827">
        <v>3711</v>
      </c>
      <c r="N9827" t="s">
        <v>16673</v>
      </c>
    </row>
    <row r="9828" spans="1:14">
      <c r="A9828">
        <v>62415140</v>
      </c>
      <c r="B9828">
        <v>4004218</v>
      </c>
      <c r="C9828" t="s">
        <v>4364</v>
      </c>
      <c r="D9828" t="s">
        <v>441</v>
      </c>
      <c r="F9828">
        <v>0</v>
      </c>
      <c r="G9828">
        <v>8.77</v>
      </c>
      <c r="H9828" t="s">
        <v>8587</v>
      </c>
      <c r="I9828">
        <v>38</v>
      </c>
      <c r="J9828" t="s">
        <v>462</v>
      </c>
      <c r="K9828" t="s">
        <v>446</v>
      </c>
      <c r="M9828">
        <v>3711</v>
      </c>
    </row>
    <row r="9829" spans="1:14">
      <c r="A9829">
        <v>62415150</v>
      </c>
      <c r="B9829">
        <v>4005425</v>
      </c>
      <c r="C9829" t="s">
        <v>4365</v>
      </c>
      <c r="D9829" t="s">
        <v>441</v>
      </c>
      <c r="F9829">
        <v>0</v>
      </c>
      <c r="G9829">
        <v>12.53</v>
      </c>
      <c r="H9829" t="s">
        <v>8587</v>
      </c>
      <c r="I9829">
        <v>38</v>
      </c>
      <c r="J9829" t="s">
        <v>462</v>
      </c>
      <c r="K9829" t="s">
        <v>446</v>
      </c>
      <c r="M9829">
        <v>3711</v>
      </c>
    </row>
    <row r="9830" spans="1:14">
      <c r="A9830">
        <v>62415160</v>
      </c>
      <c r="B9830">
        <v>4006424</v>
      </c>
      <c r="C9830" t="s">
        <v>4366</v>
      </c>
      <c r="D9830" t="s">
        <v>441</v>
      </c>
      <c r="F9830">
        <v>0</v>
      </c>
      <c r="G9830">
        <v>9.9</v>
      </c>
      <c r="H9830" t="s">
        <v>8587</v>
      </c>
      <c r="I9830">
        <v>38</v>
      </c>
      <c r="J9830" t="s">
        <v>462</v>
      </c>
      <c r="K9830" t="s">
        <v>446</v>
      </c>
      <c r="M9830">
        <v>3711</v>
      </c>
    </row>
    <row r="9831" spans="1:14">
      <c r="A9831">
        <v>62415170</v>
      </c>
      <c r="B9831">
        <v>4006572</v>
      </c>
      <c r="C9831" t="s">
        <v>4367</v>
      </c>
      <c r="D9831" t="s">
        <v>441</v>
      </c>
      <c r="F9831">
        <v>0</v>
      </c>
      <c r="G9831">
        <v>11.08</v>
      </c>
      <c r="H9831" t="s">
        <v>8587</v>
      </c>
      <c r="I9831">
        <v>38</v>
      </c>
      <c r="J9831" t="s">
        <v>462</v>
      </c>
      <c r="K9831" t="s">
        <v>446</v>
      </c>
      <c r="M9831">
        <v>3711</v>
      </c>
    </row>
    <row r="9832" spans="1:14">
      <c r="A9832">
        <v>62415180</v>
      </c>
      <c r="B9832">
        <v>4013685</v>
      </c>
      <c r="C9832" t="s">
        <v>4368</v>
      </c>
      <c r="D9832" t="s">
        <v>441</v>
      </c>
      <c r="F9832">
        <v>0</v>
      </c>
      <c r="G9832">
        <v>13.33</v>
      </c>
      <c r="H9832" t="s">
        <v>8587</v>
      </c>
      <c r="I9832">
        <v>38</v>
      </c>
      <c r="J9832" t="s">
        <v>462</v>
      </c>
      <c r="K9832" t="s">
        <v>446</v>
      </c>
      <c r="M9832">
        <v>3711</v>
      </c>
      <c r="N9832" t="s">
        <v>16673</v>
      </c>
    </row>
    <row r="9833" spans="1:14">
      <c r="A9833">
        <v>62415190</v>
      </c>
      <c r="B9833">
        <v>4024212</v>
      </c>
      <c r="C9833" t="s">
        <v>15531</v>
      </c>
      <c r="D9833" t="s">
        <v>441</v>
      </c>
      <c r="F9833">
        <v>0</v>
      </c>
      <c r="G9833">
        <v>18.13</v>
      </c>
      <c r="H9833" t="s">
        <v>8587</v>
      </c>
      <c r="I9833">
        <v>35</v>
      </c>
      <c r="J9833" t="s">
        <v>462</v>
      </c>
      <c r="M9833">
        <v>7108</v>
      </c>
      <c r="N9833" t="s">
        <v>16674</v>
      </c>
    </row>
    <row r="9834" spans="1:14">
      <c r="A9834">
        <v>62416110</v>
      </c>
      <c r="B9834">
        <v>4024213</v>
      </c>
      <c r="C9834" t="s">
        <v>14544</v>
      </c>
      <c r="D9834" t="s">
        <v>441</v>
      </c>
      <c r="F9834">
        <v>0</v>
      </c>
      <c r="G9834">
        <v>17.420000000000002</v>
      </c>
      <c r="H9834" t="s">
        <v>8587</v>
      </c>
      <c r="I9834">
        <v>35</v>
      </c>
      <c r="J9834" t="s">
        <v>462</v>
      </c>
      <c r="K9834" t="s">
        <v>446</v>
      </c>
      <c r="M9834">
        <v>7108</v>
      </c>
      <c r="N9834" t="s">
        <v>16674</v>
      </c>
    </row>
    <row r="9835" spans="1:14">
      <c r="A9835">
        <v>62416120</v>
      </c>
      <c r="B9835">
        <v>4024327</v>
      </c>
      <c r="C9835" t="s">
        <v>4369</v>
      </c>
      <c r="D9835" t="s">
        <v>441</v>
      </c>
      <c r="F9835">
        <v>0</v>
      </c>
      <c r="G9835">
        <v>14.6</v>
      </c>
      <c r="H9835" t="s">
        <v>8587</v>
      </c>
      <c r="I9835">
        <v>35</v>
      </c>
      <c r="J9835" t="s">
        <v>462</v>
      </c>
      <c r="M9835">
        <v>7108</v>
      </c>
      <c r="N9835" t="s">
        <v>16674</v>
      </c>
    </row>
    <row r="9836" spans="1:14">
      <c r="A9836">
        <v>62416130</v>
      </c>
      <c r="B9836">
        <v>4024798</v>
      </c>
      <c r="C9836" t="s">
        <v>4370</v>
      </c>
      <c r="D9836" t="s">
        <v>441</v>
      </c>
      <c r="F9836">
        <v>0</v>
      </c>
      <c r="G9836">
        <v>9.8699999999999992</v>
      </c>
      <c r="H9836" t="s">
        <v>8587</v>
      </c>
      <c r="I9836">
        <v>35</v>
      </c>
      <c r="J9836" t="s">
        <v>462</v>
      </c>
      <c r="K9836" t="s">
        <v>446</v>
      </c>
      <c r="M9836">
        <v>3711</v>
      </c>
      <c r="N9836" t="s">
        <v>16675</v>
      </c>
    </row>
    <row r="9837" spans="1:14">
      <c r="A9837">
        <v>62420000</v>
      </c>
      <c r="B9837">
        <v>3012535</v>
      </c>
      <c r="C9837" t="s">
        <v>4371</v>
      </c>
      <c r="D9837" t="s">
        <v>441</v>
      </c>
      <c r="F9837">
        <v>0</v>
      </c>
      <c r="G9837">
        <v>9.41</v>
      </c>
      <c r="I9837">
        <v>6</v>
      </c>
      <c r="J9837" t="s">
        <v>445</v>
      </c>
      <c r="K9837" t="s">
        <v>446</v>
      </c>
      <c r="M9837">
        <v>3311</v>
      </c>
    </row>
    <row r="9838" spans="1:14">
      <c r="A9838">
        <v>62420008</v>
      </c>
      <c r="B9838">
        <v>3012534</v>
      </c>
      <c r="C9838" t="s">
        <v>4372</v>
      </c>
      <c r="D9838" t="s">
        <v>441</v>
      </c>
      <c r="F9838">
        <v>0</v>
      </c>
      <c r="G9838">
        <v>7.81</v>
      </c>
      <c r="I9838">
        <v>9</v>
      </c>
      <c r="J9838" t="s">
        <v>445</v>
      </c>
      <c r="K9838" t="s">
        <v>446</v>
      </c>
      <c r="M9838">
        <v>3211</v>
      </c>
    </row>
    <row r="9839" spans="1:14">
      <c r="A9839">
        <v>62425110</v>
      </c>
      <c r="B9839">
        <v>4010040</v>
      </c>
      <c r="C9839" t="s">
        <v>4373</v>
      </c>
      <c r="D9839" t="s">
        <v>441</v>
      </c>
      <c r="F9839">
        <v>0</v>
      </c>
      <c r="G9839">
        <v>10.41</v>
      </c>
      <c r="H9839" t="s">
        <v>8587</v>
      </c>
      <c r="I9839">
        <v>36</v>
      </c>
      <c r="J9839" t="s">
        <v>462</v>
      </c>
      <c r="K9839" t="s">
        <v>446</v>
      </c>
      <c r="M9839">
        <v>3711</v>
      </c>
    </row>
    <row r="9840" spans="1:14">
      <c r="A9840">
        <v>62425120</v>
      </c>
      <c r="B9840">
        <v>4010990</v>
      </c>
      <c r="C9840" t="s">
        <v>4374</v>
      </c>
      <c r="D9840" t="s">
        <v>441</v>
      </c>
      <c r="F9840">
        <v>0</v>
      </c>
      <c r="G9840">
        <v>8.9700000000000006</v>
      </c>
      <c r="H9840" t="s">
        <v>8587</v>
      </c>
      <c r="I9840">
        <v>36</v>
      </c>
      <c r="J9840" t="s">
        <v>462</v>
      </c>
      <c r="K9840" t="s">
        <v>446</v>
      </c>
      <c r="M9840">
        <v>3711</v>
      </c>
    </row>
    <row r="9841" spans="1:14">
      <c r="A9841">
        <v>62430000</v>
      </c>
      <c r="B9841">
        <v>3021044</v>
      </c>
      <c r="C9841" t="s">
        <v>4375</v>
      </c>
      <c r="D9841" t="s">
        <v>441</v>
      </c>
      <c r="F9841">
        <v>0</v>
      </c>
      <c r="G9841">
        <v>16.04</v>
      </c>
      <c r="H9841" t="s">
        <v>8580</v>
      </c>
      <c r="I9841">
        <v>10</v>
      </c>
      <c r="J9841" t="s">
        <v>445</v>
      </c>
      <c r="M9841">
        <v>3349</v>
      </c>
      <c r="N9841" t="s">
        <v>16676</v>
      </c>
    </row>
    <row r="9842" spans="1:14">
      <c r="A9842">
        <v>62430008</v>
      </c>
      <c r="B9842">
        <v>3021045</v>
      </c>
      <c r="C9842" t="s">
        <v>4376</v>
      </c>
      <c r="D9842" t="s">
        <v>441</v>
      </c>
      <c r="F9842">
        <v>0</v>
      </c>
      <c r="G9842">
        <v>12.83</v>
      </c>
      <c r="H9842" t="s">
        <v>8584</v>
      </c>
      <c r="I9842">
        <v>5</v>
      </c>
      <c r="J9842" t="s">
        <v>445</v>
      </c>
      <c r="M9842">
        <v>6666</v>
      </c>
      <c r="N9842" t="s">
        <v>16677</v>
      </c>
    </row>
    <row r="9843" spans="1:14">
      <c r="A9843">
        <v>62432000</v>
      </c>
      <c r="B9843">
        <v>3021047</v>
      </c>
      <c r="C9843" t="s">
        <v>4377</v>
      </c>
      <c r="D9843" t="s">
        <v>441</v>
      </c>
      <c r="F9843">
        <v>0</v>
      </c>
      <c r="G9843">
        <v>16.510000000000002</v>
      </c>
      <c r="H9843" t="s">
        <v>8587</v>
      </c>
      <c r="I9843">
        <v>10</v>
      </c>
      <c r="J9843" t="s">
        <v>445</v>
      </c>
      <c r="M9843">
        <v>7108</v>
      </c>
      <c r="N9843" t="s">
        <v>16678</v>
      </c>
    </row>
    <row r="9844" spans="1:14">
      <c r="A9844">
        <v>62440000</v>
      </c>
      <c r="B9844">
        <v>3007288</v>
      </c>
      <c r="C9844" t="s">
        <v>12923</v>
      </c>
      <c r="D9844" t="s">
        <v>441</v>
      </c>
      <c r="F9844">
        <v>0</v>
      </c>
      <c r="G9844">
        <v>7.69</v>
      </c>
      <c r="H9844" t="s">
        <v>8580</v>
      </c>
      <c r="I9844">
        <v>5</v>
      </c>
      <c r="J9844" t="s">
        <v>445</v>
      </c>
      <c r="K9844" t="s">
        <v>446</v>
      </c>
      <c r="M9844">
        <v>3221</v>
      </c>
    </row>
    <row r="9845" spans="1:14">
      <c r="A9845">
        <v>62440008</v>
      </c>
      <c r="B9845">
        <v>3007289</v>
      </c>
      <c r="C9845" t="s">
        <v>4378</v>
      </c>
      <c r="D9845" t="s">
        <v>441</v>
      </c>
      <c r="F9845">
        <v>0</v>
      </c>
      <c r="G9845">
        <v>5.75</v>
      </c>
      <c r="H9845" t="s">
        <v>8580</v>
      </c>
      <c r="I9845">
        <v>5</v>
      </c>
      <c r="J9845" t="s">
        <v>445</v>
      </c>
      <c r="K9845" t="s">
        <v>446</v>
      </c>
      <c r="M9845">
        <v>3221</v>
      </c>
    </row>
    <row r="9846" spans="1:14">
      <c r="A9846">
        <v>62444110</v>
      </c>
      <c r="B9846">
        <v>4015411</v>
      </c>
      <c r="C9846" t="s">
        <v>12924</v>
      </c>
      <c r="D9846" t="s">
        <v>441</v>
      </c>
      <c r="F9846">
        <v>0</v>
      </c>
      <c r="G9846">
        <v>9.8699999999999992</v>
      </c>
      <c r="H9846" t="s">
        <v>8587</v>
      </c>
      <c r="I9846">
        <v>56</v>
      </c>
      <c r="J9846" t="s">
        <v>462</v>
      </c>
      <c r="K9846" t="s">
        <v>446</v>
      </c>
      <c r="M9846">
        <v>3711</v>
      </c>
    </row>
    <row r="9847" spans="1:14">
      <c r="A9847">
        <v>62444120</v>
      </c>
      <c r="B9847">
        <v>4016108</v>
      </c>
      <c r="C9847" t="s">
        <v>4379</v>
      </c>
      <c r="D9847" t="s">
        <v>441</v>
      </c>
      <c r="F9847">
        <v>0</v>
      </c>
      <c r="G9847">
        <v>8.7899999999999991</v>
      </c>
      <c r="H9847" t="s">
        <v>8587</v>
      </c>
      <c r="I9847">
        <v>56</v>
      </c>
      <c r="J9847" t="s">
        <v>462</v>
      </c>
      <c r="K9847" t="s">
        <v>446</v>
      </c>
      <c r="M9847">
        <v>0</v>
      </c>
    </row>
    <row r="9848" spans="1:14">
      <c r="A9848">
        <v>62450000</v>
      </c>
      <c r="B9848">
        <v>3016593</v>
      </c>
      <c r="C9848" t="s">
        <v>12925</v>
      </c>
      <c r="D9848" t="s">
        <v>441</v>
      </c>
      <c r="F9848">
        <v>0</v>
      </c>
      <c r="G9848">
        <v>9.3000000000000007</v>
      </c>
      <c r="H9848" t="s">
        <v>8580</v>
      </c>
      <c r="I9848">
        <v>6</v>
      </c>
      <c r="J9848" t="s">
        <v>445</v>
      </c>
      <c r="K9848" t="s">
        <v>446</v>
      </c>
      <c r="M9848">
        <v>3311</v>
      </c>
      <c r="N9848" t="s">
        <v>16679</v>
      </c>
    </row>
    <row r="9849" spans="1:14">
      <c r="A9849">
        <v>62450008</v>
      </c>
      <c r="B9849">
        <v>3016594</v>
      </c>
      <c r="C9849" t="s">
        <v>12926</v>
      </c>
      <c r="D9849" t="s">
        <v>441</v>
      </c>
      <c r="F9849">
        <v>0</v>
      </c>
      <c r="G9849">
        <v>7.43</v>
      </c>
      <c r="H9849" t="s">
        <v>8580</v>
      </c>
      <c r="I9849">
        <v>9</v>
      </c>
      <c r="J9849" t="s">
        <v>445</v>
      </c>
      <c r="K9849" t="s">
        <v>446</v>
      </c>
      <c r="M9849">
        <v>3211</v>
      </c>
      <c r="N9849" t="s">
        <v>16679</v>
      </c>
    </row>
    <row r="9850" spans="1:14">
      <c r="A9850">
        <v>62454120</v>
      </c>
      <c r="B9850">
        <v>4004219</v>
      </c>
      <c r="C9850" t="s">
        <v>12927</v>
      </c>
      <c r="D9850" t="s">
        <v>441</v>
      </c>
      <c r="F9850">
        <v>0</v>
      </c>
      <c r="G9850">
        <v>11.62</v>
      </c>
      <c r="H9850" t="s">
        <v>8587</v>
      </c>
      <c r="I9850">
        <v>45</v>
      </c>
      <c r="J9850" t="s">
        <v>462</v>
      </c>
      <c r="K9850" t="s">
        <v>446</v>
      </c>
      <c r="M9850">
        <v>3711</v>
      </c>
    </row>
    <row r="9851" spans="1:14">
      <c r="A9851">
        <v>62454160</v>
      </c>
      <c r="B9851">
        <v>4004221</v>
      </c>
      <c r="C9851" t="s">
        <v>12928</v>
      </c>
      <c r="D9851" t="s">
        <v>441</v>
      </c>
      <c r="F9851">
        <v>0</v>
      </c>
      <c r="G9851">
        <v>9.3800000000000008</v>
      </c>
      <c r="H9851" t="s">
        <v>8587</v>
      </c>
      <c r="I9851">
        <v>45</v>
      </c>
      <c r="J9851" t="s">
        <v>462</v>
      </c>
      <c r="K9851" t="s">
        <v>446</v>
      </c>
      <c r="M9851">
        <v>3711</v>
      </c>
    </row>
    <row r="9852" spans="1:14">
      <c r="A9852">
        <v>62454170</v>
      </c>
      <c r="B9852">
        <v>4006271</v>
      </c>
      <c r="C9852" t="s">
        <v>12929</v>
      </c>
      <c r="D9852" t="s">
        <v>441</v>
      </c>
      <c r="F9852">
        <v>0</v>
      </c>
      <c r="G9852">
        <v>10.77</v>
      </c>
      <c r="H9852" t="s">
        <v>8587</v>
      </c>
      <c r="I9852">
        <v>45</v>
      </c>
      <c r="J9852" t="s">
        <v>462</v>
      </c>
      <c r="K9852" t="s">
        <v>446</v>
      </c>
      <c r="M9852">
        <v>3711</v>
      </c>
    </row>
    <row r="9853" spans="1:14">
      <c r="A9853">
        <v>62454180</v>
      </c>
      <c r="B9853">
        <v>4006592</v>
      </c>
      <c r="C9853" t="s">
        <v>12930</v>
      </c>
      <c r="D9853" t="s">
        <v>441</v>
      </c>
      <c r="F9853">
        <v>0</v>
      </c>
      <c r="G9853">
        <v>11.65</v>
      </c>
      <c r="H9853" t="s">
        <v>8587</v>
      </c>
      <c r="I9853">
        <v>45</v>
      </c>
      <c r="J9853" t="s">
        <v>462</v>
      </c>
      <c r="K9853" t="s">
        <v>446</v>
      </c>
      <c r="M9853">
        <v>3711</v>
      </c>
    </row>
    <row r="9854" spans="1:14">
      <c r="A9854">
        <v>62454510</v>
      </c>
      <c r="B9854">
        <v>4007500</v>
      </c>
      <c r="C9854" t="s">
        <v>12931</v>
      </c>
      <c r="D9854" t="s">
        <v>441</v>
      </c>
      <c r="F9854">
        <v>0</v>
      </c>
      <c r="G9854">
        <v>11.35</v>
      </c>
      <c r="H9854" t="s">
        <v>8587</v>
      </c>
      <c r="I9854">
        <v>45</v>
      </c>
      <c r="J9854" t="s">
        <v>462</v>
      </c>
      <c r="K9854" t="s">
        <v>446</v>
      </c>
      <c r="M9854">
        <v>3711</v>
      </c>
    </row>
    <row r="9855" spans="1:14">
      <c r="A9855">
        <v>62454520</v>
      </c>
      <c r="B9855">
        <v>4007501</v>
      </c>
      <c r="C9855" t="s">
        <v>12932</v>
      </c>
      <c r="D9855" t="s">
        <v>441</v>
      </c>
      <c r="F9855">
        <v>0</v>
      </c>
      <c r="G9855">
        <v>11.65</v>
      </c>
      <c r="H9855" t="s">
        <v>8587</v>
      </c>
      <c r="I9855">
        <v>45</v>
      </c>
      <c r="J9855" t="s">
        <v>462</v>
      </c>
      <c r="K9855" t="s">
        <v>446</v>
      </c>
      <c r="M9855">
        <v>3711</v>
      </c>
    </row>
    <row r="9856" spans="1:14">
      <c r="A9856">
        <v>62454530</v>
      </c>
      <c r="B9856">
        <v>4007536</v>
      </c>
      <c r="C9856" t="s">
        <v>12933</v>
      </c>
      <c r="D9856" t="s">
        <v>441</v>
      </c>
      <c r="F9856">
        <v>0</v>
      </c>
      <c r="G9856">
        <v>11.22</v>
      </c>
      <c r="H9856" t="s">
        <v>8587</v>
      </c>
      <c r="I9856">
        <v>45</v>
      </c>
      <c r="J9856" t="s">
        <v>462</v>
      </c>
      <c r="K9856" t="s">
        <v>446</v>
      </c>
      <c r="M9856">
        <v>3711</v>
      </c>
    </row>
    <row r="9857" spans="1:14">
      <c r="A9857">
        <v>62454540</v>
      </c>
      <c r="B9857">
        <v>4007644</v>
      </c>
      <c r="C9857" t="s">
        <v>12934</v>
      </c>
      <c r="D9857" t="s">
        <v>441</v>
      </c>
      <c r="F9857">
        <v>0</v>
      </c>
      <c r="G9857">
        <v>10.6</v>
      </c>
      <c r="H9857" t="s">
        <v>8587</v>
      </c>
      <c r="I9857">
        <v>45</v>
      </c>
      <c r="J9857" t="s">
        <v>462</v>
      </c>
      <c r="K9857" t="s">
        <v>446</v>
      </c>
      <c r="M9857">
        <v>3711</v>
      </c>
    </row>
    <row r="9858" spans="1:14">
      <c r="A9858">
        <v>62454550</v>
      </c>
      <c r="B9858">
        <v>4008154</v>
      </c>
      <c r="C9858" t="s">
        <v>12935</v>
      </c>
      <c r="D9858" t="s">
        <v>441</v>
      </c>
      <c r="F9858">
        <v>0</v>
      </c>
      <c r="G9858">
        <v>10.65</v>
      </c>
      <c r="H9858" t="s">
        <v>8587</v>
      </c>
      <c r="I9858">
        <v>45</v>
      </c>
      <c r="J9858" t="s">
        <v>462</v>
      </c>
      <c r="K9858" t="s">
        <v>446</v>
      </c>
      <c r="M9858">
        <v>3711</v>
      </c>
    </row>
    <row r="9859" spans="1:14">
      <c r="A9859">
        <v>62454560</v>
      </c>
      <c r="B9859">
        <v>4008295</v>
      </c>
      <c r="C9859" t="s">
        <v>4380</v>
      </c>
      <c r="D9859" t="s">
        <v>441</v>
      </c>
      <c r="F9859">
        <v>0</v>
      </c>
      <c r="G9859">
        <v>10.87</v>
      </c>
      <c r="H9859" t="s">
        <v>8587</v>
      </c>
      <c r="I9859">
        <v>45</v>
      </c>
      <c r="J9859" t="s">
        <v>462</v>
      </c>
      <c r="K9859" t="s">
        <v>446</v>
      </c>
      <c r="M9859">
        <v>3711</v>
      </c>
    </row>
    <row r="9860" spans="1:14">
      <c r="A9860">
        <v>62454570</v>
      </c>
      <c r="B9860">
        <v>4008294</v>
      </c>
      <c r="C9860" t="s">
        <v>4381</v>
      </c>
      <c r="D9860" t="s">
        <v>441</v>
      </c>
      <c r="F9860">
        <v>0</v>
      </c>
      <c r="G9860">
        <v>10.32</v>
      </c>
      <c r="H9860" t="s">
        <v>8587</v>
      </c>
      <c r="I9860">
        <v>45</v>
      </c>
      <c r="J9860" t="s">
        <v>462</v>
      </c>
      <c r="K9860" t="s">
        <v>446</v>
      </c>
      <c r="M9860">
        <v>3711</v>
      </c>
    </row>
    <row r="9861" spans="1:14">
      <c r="A9861">
        <v>62454580</v>
      </c>
      <c r="B9861">
        <v>4009015</v>
      </c>
      <c r="C9861" t="s">
        <v>12936</v>
      </c>
      <c r="D9861" t="s">
        <v>441</v>
      </c>
      <c r="F9861">
        <v>0</v>
      </c>
      <c r="G9861">
        <v>10.51</v>
      </c>
      <c r="H9861" t="s">
        <v>8587</v>
      </c>
      <c r="I9861">
        <v>45</v>
      </c>
      <c r="J9861" t="s">
        <v>462</v>
      </c>
      <c r="K9861" t="s">
        <v>446</v>
      </c>
      <c r="M9861">
        <v>3711</v>
      </c>
    </row>
    <row r="9862" spans="1:14">
      <c r="A9862">
        <v>62455110</v>
      </c>
      <c r="B9862">
        <v>4004222</v>
      </c>
      <c r="C9862" t="s">
        <v>12937</v>
      </c>
      <c r="D9862" t="s">
        <v>441</v>
      </c>
      <c r="F9862">
        <v>0</v>
      </c>
      <c r="G9862">
        <v>10.49</v>
      </c>
      <c r="H9862" t="s">
        <v>8587</v>
      </c>
      <c r="I9862">
        <v>45</v>
      </c>
      <c r="J9862" t="s">
        <v>462</v>
      </c>
      <c r="K9862" t="s">
        <v>446</v>
      </c>
      <c r="M9862">
        <v>3711</v>
      </c>
      <c r="N9862" t="s">
        <v>16679</v>
      </c>
    </row>
    <row r="9863" spans="1:14">
      <c r="A9863">
        <v>62455120</v>
      </c>
      <c r="B9863">
        <v>4001077</v>
      </c>
      <c r="C9863" t="s">
        <v>12938</v>
      </c>
      <c r="D9863" t="s">
        <v>441</v>
      </c>
      <c r="F9863">
        <v>0</v>
      </c>
      <c r="G9863">
        <v>10.27</v>
      </c>
      <c r="H9863" t="s">
        <v>8587</v>
      </c>
      <c r="I9863">
        <v>45</v>
      </c>
      <c r="J9863" t="s">
        <v>462</v>
      </c>
      <c r="K9863" t="s">
        <v>446</v>
      </c>
      <c r="M9863">
        <v>3711</v>
      </c>
    </row>
    <row r="9864" spans="1:14">
      <c r="A9864">
        <v>62455160</v>
      </c>
      <c r="B9864">
        <v>4004224</v>
      </c>
      <c r="C9864" t="s">
        <v>4382</v>
      </c>
      <c r="D9864" t="s">
        <v>441</v>
      </c>
      <c r="F9864">
        <v>0</v>
      </c>
      <c r="G9864">
        <v>10.33</v>
      </c>
      <c r="H9864" t="s">
        <v>8587</v>
      </c>
      <c r="I9864">
        <v>45</v>
      </c>
      <c r="J9864" t="s">
        <v>462</v>
      </c>
      <c r="K9864" t="s">
        <v>446</v>
      </c>
      <c r="M9864">
        <v>3711</v>
      </c>
    </row>
    <row r="9865" spans="1:14">
      <c r="A9865">
        <v>62455190</v>
      </c>
      <c r="B9865">
        <v>4001905</v>
      </c>
      <c r="C9865" t="s">
        <v>12939</v>
      </c>
      <c r="D9865" t="s">
        <v>441</v>
      </c>
      <c r="F9865">
        <v>0</v>
      </c>
      <c r="G9865">
        <v>10.28</v>
      </c>
      <c r="H9865" t="s">
        <v>8587</v>
      </c>
      <c r="I9865">
        <v>45</v>
      </c>
      <c r="J9865" t="s">
        <v>462</v>
      </c>
      <c r="K9865" t="s">
        <v>446</v>
      </c>
      <c r="M9865">
        <v>3711</v>
      </c>
    </row>
    <row r="9866" spans="1:14">
      <c r="A9866">
        <v>62455520</v>
      </c>
      <c r="B9866">
        <v>4007503</v>
      </c>
      <c r="C9866" t="s">
        <v>12940</v>
      </c>
      <c r="D9866" t="s">
        <v>441</v>
      </c>
      <c r="F9866">
        <v>0</v>
      </c>
      <c r="G9866">
        <v>10.87</v>
      </c>
      <c r="H9866" t="s">
        <v>8587</v>
      </c>
      <c r="I9866">
        <v>45</v>
      </c>
      <c r="J9866" t="s">
        <v>462</v>
      </c>
      <c r="K9866" t="s">
        <v>446</v>
      </c>
      <c r="M9866">
        <v>3711</v>
      </c>
    </row>
    <row r="9867" spans="1:14">
      <c r="A9867">
        <v>62455530</v>
      </c>
      <c r="B9867">
        <v>4007502</v>
      </c>
      <c r="C9867" t="s">
        <v>12941</v>
      </c>
      <c r="D9867" t="s">
        <v>441</v>
      </c>
      <c r="F9867">
        <v>0</v>
      </c>
      <c r="G9867">
        <v>10.83</v>
      </c>
      <c r="H9867" t="s">
        <v>8587</v>
      </c>
      <c r="I9867">
        <v>45</v>
      </c>
      <c r="J9867" t="s">
        <v>462</v>
      </c>
      <c r="K9867" t="s">
        <v>446</v>
      </c>
      <c r="M9867">
        <v>3711</v>
      </c>
    </row>
    <row r="9868" spans="1:14">
      <c r="A9868">
        <v>62455540</v>
      </c>
      <c r="B9868">
        <v>4009001</v>
      </c>
      <c r="C9868" t="s">
        <v>12942</v>
      </c>
      <c r="D9868" t="s">
        <v>441</v>
      </c>
      <c r="F9868">
        <v>0</v>
      </c>
      <c r="G9868">
        <v>12</v>
      </c>
      <c r="H9868" t="s">
        <v>8587</v>
      </c>
      <c r="I9868">
        <v>45</v>
      </c>
      <c r="J9868" t="s">
        <v>462</v>
      </c>
      <c r="K9868" t="s">
        <v>446</v>
      </c>
      <c r="M9868">
        <v>3711</v>
      </c>
    </row>
    <row r="9869" spans="1:14">
      <c r="A9869">
        <v>62457110</v>
      </c>
      <c r="B9869">
        <v>4004226</v>
      </c>
      <c r="C9869" t="s">
        <v>12943</v>
      </c>
      <c r="D9869" t="s">
        <v>441</v>
      </c>
      <c r="F9869">
        <v>0</v>
      </c>
      <c r="G9869">
        <v>9.99</v>
      </c>
      <c r="H9869" t="s">
        <v>8587</v>
      </c>
      <c r="I9869">
        <v>45</v>
      </c>
      <c r="J9869" t="s">
        <v>462</v>
      </c>
      <c r="K9869" t="s">
        <v>446</v>
      </c>
      <c r="M9869">
        <v>3711</v>
      </c>
      <c r="N9869" t="s">
        <v>16679</v>
      </c>
    </row>
    <row r="9870" spans="1:14">
      <c r="A9870">
        <v>62457120</v>
      </c>
      <c r="B9870">
        <v>4004227</v>
      </c>
      <c r="C9870" t="s">
        <v>12944</v>
      </c>
      <c r="D9870" t="s">
        <v>441</v>
      </c>
      <c r="F9870">
        <v>0</v>
      </c>
      <c r="G9870">
        <v>12.11</v>
      </c>
      <c r="H9870" t="s">
        <v>8587</v>
      </c>
      <c r="I9870">
        <v>45</v>
      </c>
      <c r="J9870" t="s">
        <v>462</v>
      </c>
      <c r="K9870" t="s">
        <v>446</v>
      </c>
      <c r="M9870">
        <v>3711</v>
      </c>
    </row>
    <row r="9871" spans="1:14">
      <c r="A9871">
        <v>62457140</v>
      </c>
      <c r="B9871">
        <v>4001906</v>
      </c>
      <c r="C9871" t="s">
        <v>12939</v>
      </c>
      <c r="D9871" t="s">
        <v>441</v>
      </c>
      <c r="F9871">
        <v>0</v>
      </c>
      <c r="G9871">
        <v>10.28</v>
      </c>
      <c r="H9871" t="s">
        <v>8587</v>
      </c>
      <c r="I9871">
        <v>45</v>
      </c>
      <c r="J9871" t="s">
        <v>462</v>
      </c>
      <c r="K9871" t="s">
        <v>446</v>
      </c>
      <c r="M9871">
        <v>3711</v>
      </c>
    </row>
    <row r="9872" spans="1:14">
      <c r="A9872">
        <v>62457150</v>
      </c>
      <c r="B9872">
        <v>4004229</v>
      </c>
      <c r="C9872" t="s">
        <v>12945</v>
      </c>
      <c r="D9872" t="s">
        <v>441</v>
      </c>
      <c r="F9872">
        <v>0</v>
      </c>
      <c r="G9872">
        <v>10.85</v>
      </c>
      <c r="H9872" t="s">
        <v>8587</v>
      </c>
      <c r="I9872">
        <v>45</v>
      </c>
      <c r="J9872" t="s">
        <v>462</v>
      </c>
      <c r="K9872" t="s">
        <v>446</v>
      </c>
      <c r="M9872">
        <v>3711</v>
      </c>
    </row>
    <row r="9873" spans="1:14">
      <c r="A9873">
        <v>62457160</v>
      </c>
      <c r="B9873">
        <v>4001907</v>
      </c>
      <c r="C9873" t="s">
        <v>12946</v>
      </c>
      <c r="D9873" t="s">
        <v>441</v>
      </c>
      <c r="F9873">
        <v>0</v>
      </c>
      <c r="G9873">
        <v>10.02</v>
      </c>
      <c r="H9873" t="s">
        <v>8587</v>
      </c>
      <c r="I9873">
        <v>45</v>
      </c>
      <c r="J9873" t="s">
        <v>462</v>
      </c>
      <c r="K9873" t="s">
        <v>446</v>
      </c>
      <c r="M9873">
        <v>3711</v>
      </c>
      <c r="N9873" t="s">
        <v>16679</v>
      </c>
    </row>
    <row r="9874" spans="1:14">
      <c r="A9874">
        <v>62457180</v>
      </c>
      <c r="B9874">
        <v>4005531</v>
      </c>
      <c r="C9874" t="s">
        <v>12947</v>
      </c>
      <c r="D9874" t="s">
        <v>441</v>
      </c>
      <c r="F9874">
        <v>0</v>
      </c>
      <c r="G9874">
        <v>11.5</v>
      </c>
      <c r="H9874" t="s">
        <v>8587</v>
      </c>
      <c r="I9874">
        <v>45</v>
      </c>
      <c r="J9874" t="s">
        <v>462</v>
      </c>
      <c r="K9874" t="s">
        <v>446</v>
      </c>
      <c r="M9874">
        <v>3711</v>
      </c>
    </row>
    <row r="9875" spans="1:14">
      <c r="A9875">
        <v>62460000</v>
      </c>
      <c r="B9875">
        <v>3024342</v>
      </c>
      <c r="C9875" t="s">
        <v>4383</v>
      </c>
      <c r="D9875" t="s">
        <v>441</v>
      </c>
      <c r="F9875">
        <v>0</v>
      </c>
      <c r="G9875">
        <v>12.79</v>
      </c>
      <c r="H9875" t="s">
        <v>8584</v>
      </c>
      <c r="I9875">
        <v>6</v>
      </c>
      <c r="J9875" t="s">
        <v>445</v>
      </c>
      <c r="M9875">
        <v>3349</v>
      </c>
      <c r="N9875" t="s">
        <v>16680</v>
      </c>
    </row>
    <row r="9876" spans="1:14">
      <c r="A9876">
        <v>62460008</v>
      </c>
      <c r="B9876">
        <v>3024341</v>
      </c>
      <c r="C9876" t="s">
        <v>4384</v>
      </c>
      <c r="D9876" t="s">
        <v>441</v>
      </c>
      <c r="F9876">
        <v>0</v>
      </c>
      <c r="G9876">
        <v>10.55</v>
      </c>
      <c r="H9876" t="s">
        <v>8584</v>
      </c>
      <c r="I9876">
        <v>9</v>
      </c>
      <c r="J9876" t="s">
        <v>445</v>
      </c>
      <c r="M9876">
        <v>6666</v>
      </c>
      <c r="N9876" t="s">
        <v>16681</v>
      </c>
    </row>
    <row r="9877" spans="1:14">
      <c r="A9877">
        <v>62464110</v>
      </c>
      <c r="B9877">
        <v>4016119</v>
      </c>
      <c r="C9877" t="s">
        <v>4385</v>
      </c>
      <c r="D9877" t="s">
        <v>441</v>
      </c>
      <c r="F9877">
        <v>0</v>
      </c>
      <c r="G9877">
        <v>14.64</v>
      </c>
      <c r="H9877" t="s">
        <v>8587</v>
      </c>
      <c r="I9877">
        <v>42</v>
      </c>
      <c r="J9877" t="s">
        <v>462</v>
      </c>
      <c r="M9877">
        <v>7108</v>
      </c>
      <c r="N9877" t="s">
        <v>16682</v>
      </c>
    </row>
    <row r="9878" spans="1:14">
      <c r="A9878">
        <v>62464120</v>
      </c>
      <c r="B9878">
        <v>4024726</v>
      </c>
      <c r="C9878" t="s">
        <v>15330</v>
      </c>
      <c r="D9878" t="s">
        <v>441</v>
      </c>
      <c r="F9878">
        <v>0</v>
      </c>
      <c r="G9878">
        <v>14.76</v>
      </c>
      <c r="H9878" t="s">
        <v>8587</v>
      </c>
      <c r="I9878">
        <v>42</v>
      </c>
      <c r="J9878" t="s">
        <v>462</v>
      </c>
      <c r="M9878">
        <v>7108</v>
      </c>
      <c r="N9878" t="s">
        <v>16682</v>
      </c>
    </row>
    <row r="9879" spans="1:14">
      <c r="A9879">
        <v>62464130</v>
      </c>
      <c r="B9879">
        <v>4029709</v>
      </c>
      <c r="C9879" t="s">
        <v>15532</v>
      </c>
      <c r="D9879" t="s">
        <v>441</v>
      </c>
      <c r="F9879">
        <v>0</v>
      </c>
      <c r="G9879">
        <v>16.45</v>
      </c>
      <c r="H9879" t="s">
        <v>8587</v>
      </c>
      <c r="I9879">
        <v>42</v>
      </c>
      <c r="J9879" t="s">
        <v>462</v>
      </c>
      <c r="M9879">
        <v>7108</v>
      </c>
      <c r="N9879" t="s">
        <v>16682</v>
      </c>
    </row>
    <row r="9880" spans="1:14">
      <c r="A9880">
        <v>62470000</v>
      </c>
      <c r="B9880">
        <v>3025620</v>
      </c>
      <c r="C9880" t="s">
        <v>4386</v>
      </c>
      <c r="D9880" t="s">
        <v>441</v>
      </c>
      <c r="F9880">
        <v>0</v>
      </c>
      <c r="G9880">
        <v>13.28</v>
      </c>
      <c r="H9880" t="s">
        <v>8935</v>
      </c>
      <c r="I9880">
        <v>6</v>
      </c>
      <c r="J9880" t="s">
        <v>445</v>
      </c>
      <c r="M9880">
        <v>3349</v>
      </c>
      <c r="N9880" t="s">
        <v>16683</v>
      </c>
    </row>
    <row r="9881" spans="1:14">
      <c r="A9881">
        <v>62470008</v>
      </c>
      <c r="B9881">
        <v>3025619</v>
      </c>
      <c r="C9881" t="s">
        <v>141</v>
      </c>
      <c r="D9881" t="s">
        <v>441</v>
      </c>
      <c r="F9881">
        <v>0</v>
      </c>
      <c r="G9881">
        <v>10.5</v>
      </c>
      <c r="H9881" t="s">
        <v>8935</v>
      </c>
      <c r="I9881">
        <v>5</v>
      </c>
      <c r="J9881" t="s">
        <v>445</v>
      </c>
      <c r="M9881">
        <v>6666</v>
      </c>
      <c r="N9881" t="s">
        <v>16684</v>
      </c>
    </row>
    <row r="9882" spans="1:14">
      <c r="A9882">
        <v>62474110</v>
      </c>
      <c r="B9882">
        <v>4017518</v>
      </c>
      <c r="C9882" t="s">
        <v>15331</v>
      </c>
      <c r="D9882" t="s">
        <v>441</v>
      </c>
      <c r="F9882">
        <v>0</v>
      </c>
      <c r="G9882">
        <v>16.54</v>
      </c>
      <c r="H9882" t="s">
        <v>8587</v>
      </c>
      <c r="I9882">
        <v>42</v>
      </c>
      <c r="J9882" t="s">
        <v>462</v>
      </c>
      <c r="K9882" t="s">
        <v>446</v>
      </c>
      <c r="L9882">
        <v>2813570</v>
      </c>
      <c r="M9882">
        <v>7108</v>
      </c>
      <c r="N9882" t="s">
        <v>16683</v>
      </c>
    </row>
    <row r="9883" spans="1:14">
      <c r="A9883">
        <v>62474120</v>
      </c>
      <c r="B9883">
        <v>4018250</v>
      </c>
      <c r="C9883" t="s">
        <v>4387</v>
      </c>
      <c r="D9883" t="s">
        <v>441</v>
      </c>
      <c r="F9883">
        <v>0</v>
      </c>
      <c r="G9883">
        <v>16.190000000000001</v>
      </c>
      <c r="H9883" t="s">
        <v>8587</v>
      </c>
      <c r="I9883">
        <v>42</v>
      </c>
      <c r="J9883" t="s">
        <v>462</v>
      </c>
      <c r="M9883">
        <v>7108</v>
      </c>
      <c r="N9883" t="s">
        <v>16683</v>
      </c>
    </row>
    <row r="9884" spans="1:14">
      <c r="A9884">
        <v>62474130</v>
      </c>
      <c r="B9884">
        <v>4019244</v>
      </c>
      <c r="C9884" t="s">
        <v>4388</v>
      </c>
      <c r="D9884" t="s">
        <v>441</v>
      </c>
      <c r="F9884">
        <v>0</v>
      </c>
      <c r="G9884">
        <v>11.02</v>
      </c>
      <c r="H9884" t="s">
        <v>8587</v>
      </c>
      <c r="I9884">
        <v>42</v>
      </c>
      <c r="J9884" t="s">
        <v>462</v>
      </c>
      <c r="K9884" t="s">
        <v>446</v>
      </c>
      <c r="M9884">
        <v>3711</v>
      </c>
      <c r="N9884" t="s">
        <v>16685</v>
      </c>
    </row>
    <row r="9885" spans="1:14">
      <c r="A9885">
        <v>62474140</v>
      </c>
      <c r="B9885">
        <v>4019758</v>
      </c>
      <c r="C9885" t="s">
        <v>4389</v>
      </c>
      <c r="D9885" t="s">
        <v>441</v>
      </c>
      <c r="F9885">
        <v>0</v>
      </c>
      <c r="G9885">
        <v>12.14</v>
      </c>
      <c r="H9885" t="s">
        <v>8587</v>
      </c>
      <c r="I9885">
        <v>35</v>
      </c>
      <c r="J9885" t="s">
        <v>462</v>
      </c>
      <c r="K9885" t="s">
        <v>446</v>
      </c>
      <c r="M9885">
        <v>3711</v>
      </c>
      <c r="N9885" t="s">
        <v>16686</v>
      </c>
    </row>
    <row r="9886" spans="1:14">
      <c r="A9886">
        <v>62474150</v>
      </c>
      <c r="B9886">
        <v>4020425</v>
      </c>
      <c r="C9886" t="s">
        <v>4390</v>
      </c>
      <c r="D9886" t="s">
        <v>441</v>
      </c>
      <c r="F9886">
        <v>0</v>
      </c>
      <c r="G9886">
        <v>16.440000000000001</v>
      </c>
      <c r="H9886" t="s">
        <v>8587</v>
      </c>
      <c r="I9886">
        <v>42</v>
      </c>
      <c r="J9886" t="s">
        <v>462</v>
      </c>
      <c r="M9886">
        <v>7108</v>
      </c>
      <c r="N9886" t="s">
        <v>16683</v>
      </c>
    </row>
    <row r="9887" spans="1:14">
      <c r="A9887">
        <v>62474160</v>
      </c>
      <c r="B9887">
        <v>4023658</v>
      </c>
      <c r="C9887" t="s">
        <v>4391</v>
      </c>
      <c r="D9887" t="s">
        <v>441</v>
      </c>
      <c r="F9887">
        <v>0</v>
      </c>
      <c r="G9887">
        <v>14.65</v>
      </c>
      <c r="H9887" t="s">
        <v>8587</v>
      </c>
      <c r="I9887">
        <v>42</v>
      </c>
      <c r="J9887" t="s">
        <v>462</v>
      </c>
      <c r="K9887" t="s">
        <v>446</v>
      </c>
      <c r="M9887">
        <v>7108</v>
      </c>
      <c r="N9887" t="s">
        <v>16685</v>
      </c>
    </row>
    <row r="9888" spans="1:14">
      <c r="A9888">
        <v>62474170</v>
      </c>
      <c r="B9888">
        <v>4024049</v>
      </c>
      <c r="C9888" t="s">
        <v>4392</v>
      </c>
      <c r="D9888" t="s">
        <v>441</v>
      </c>
      <c r="F9888">
        <v>0</v>
      </c>
      <c r="G9888">
        <v>17.09</v>
      </c>
      <c r="H9888" t="s">
        <v>8587</v>
      </c>
      <c r="I9888">
        <v>42</v>
      </c>
      <c r="J9888" t="s">
        <v>462</v>
      </c>
      <c r="M9888">
        <v>7108</v>
      </c>
      <c r="N9888" t="s">
        <v>16683</v>
      </c>
    </row>
    <row r="9889" spans="1:14">
      <c r="A9889">
        <v>62474180</v>
      </c>
      <c r="B9889">
        <v>4024119</v>
      </c>
      <c r="C9889" t="s">
        <v>4393</v>
      </c>
      <c r="D9889" t="s">
        <v>441</v>
      </c>
      <c r="F9889">
        <v>0</v>
      </c>
      <c r="G9889">
        <v>14.38</v>
      </c>
      <c r="H9889" t="s">
        <v>8587</v>
      </c>
      <c r="I9889">
        <v>42</v>
      </c>
      <c r="J9889" t="s">
        <v>462</v>
      </c>
      <c r="M9889">
        <v>7108</v>
      </c>
      <c r="N9889" t="s">
        <v>16683</v>
      </c>
    </row>
    <row r="9890" spans="1:14">
      <c r="A9890">
        <v>62474190</v>
      </c>
      <c r="B9890">
        <v>4024335</v>
      </c>
      <c r="C9890" t="s">
        <v>4394</v>
      </c>
      <c r="D9890" t="s">
        <v>441</v>
      </c>
      <c r="F9890">
        <v>0</v>
      </c>
      <c r="G9890">
        <v>14.46</v>
      </c>
      <c r="H9890" t="s">
        <v>8587</v>
      </c>
      <c r="I9890">
        <v>42</v>
      </c>
      <c r="J9890" t="s">
        <v>462</v>
      </c>
      <c r="K9890" t="s">
        <v>446</v>
      </c>
      <c r="M9890">
        <v>7108</v>
      </c>
      <c r="N9890" t="s">
        <v>16685</v>
      </c>
    </row>
    <row r="9891" spans="1:14">
      <c r="A9891">
        <v>62475110</v>
      </c>
      <c r="B9891">
        <v>4022761</v>
      </c>
      <c r="C9891" t="s">
        <v>4395</v>
      </c>
      <c r="D9891" t="s">
        <v>441</v>
      </c>
      <c r="F9891">
        <v>0</v>
      </c>
      <c r="G9891">
        <v>10.52</v>
      </c>
      <c r="H9891" t="s">
        <v>8587</v>
      </c>
      <c r="I9891">
        <v>35</v>
      </c>
      <c r="J9891" t="s">
        <v>462</v>
      </c>
      <c r="K9891" t="s">
        <v>446</v>
      </c>
      <c r="M9891">
        <v>3711</v>
      </c>
      <c r="N9891" t="s">
        <v>16687</v>
      </c>
    </row>
    <row r="9892" spans="1:14">
      <c r="A9892">
        <v>62475120</v>
      </c>
      <c r="B9892">
        <v>4022817</v>
      </c>
      <c r="C9892" t="s">
        <v>4396</v>
      </c>
      <c r="D9892" t="s">
        <v>441</v>
      </c>
      <c r="F9892">
        <v>0</v>
      </c>
      <c r="G9892">
        <v>10.5</v>
      </c>
      <c r="H9892" t="s">
        <v>8587</v>
      </c>
      <c r="I9892">
        <v>35</v>
      </c>
      <c r="J9892" t="s">
        <v>462</v>
      </c>
      <c r="K9892" t="s">
        <v>446</v>
      </c>
      <c r="M9892">
        <v>3711</v>
      </c>
      <c r="N9892" t="s">
        <v>16687</v>
      </c>
    </row>
    <row r="9893" spans="1:14">
      <c r="A9893">
        <v>62475130</v>
      </c>
      <c r="B9893">
        <v>4028359</v>
      </c>
      <c r="C9893" t="s">
        <v>4397</v>
      </c>
      <c r="D9893" t="s">
        <v>441</v>
      </c>
      <c r="F9893">
        <v>0</v>
      </c>
      <c r="G9893">
        <v>17.010000000000002</v>
      </c>
      <c r="H9893" t="s">
        <v>8587</v>
      </c>
      <c r="I9893">
        <v>42</v>
      </c>
      <c r="J9893" t="s">
        <v>462</v>
      </c>
      <c r="M9893">
        <v>7108</v>
      </c>
      <c r="N9893" t="s">
        <v>16683</v>
      </c>
    </row>
    <row r="9894" spans="1:14">
      <c r="A9894">
        <v>62479000</v>
      </c>
      <c r="B9894">
        <v>3043046</v>
      </c>
      <c r="C9894" t="s">
        <v>16688</v>
      </c>
      <c r="D9894" t="s">
        <v>441</v>
      </c>
      <c r="F9894">
        <v>0</v>
      </c>
      <c r="G9894">
        <v>11.6</v>
      </c>
      <c r="H9894" t="s">
        <v>12573</v>
      </c>
      <c r="I9894">
        <v>4</v>
      </c>
      <c r="J9894" t="s">
        <v>445</v>
      </c>
      <c r="K9894" t="s">
        <v>446</v>
      </c>
      <c r="M9894">
        <v>3350</v>
      </c>
      <c r="N9894" t="s">
        <v>16689</v>
      </c>
    </row>
    <row r="9895" spans="1:14">
      <c r="A9895">
        <v>62480000</v>
      </c>
      <c r="B9895">
        <v>3026821</v>
      </c>
      <c r="C9895" t="s">
        <v>4398</v>
      </c>
      <c r="D9895" t="s">
        <v>441</v>
      </c>
      <c r="F9895">
        <v>0</v>
      </c>
      <c r="G9895">
        <v>10.51</v>
      </c>
      <c r="H9895" t="s">
        <v>12573</v>
      </c>
      <c r="I9895">
        <v>6</v>
      </c>
      <c r="J9895" t="s">
        <v>445</v>
      </c>
      <c r="K9895" t="s">
        <v>446</v>
      </c>
      <c r="M9895">
        <v>3311</v>
      </c>
      <c r="N9895" t="s">
        <v>16690</v>
      </c>
    </row>
    <row r="9896" spans="1:14">
      <c r="A9896">
        <v>62480008</v>
      </c>
      <c r="B9896">
        <v>3026820</v>
      </c>
      <c r="C9896" t="s">
        <v>4399</v>
      </c>
      <c r="D9896" t="s">
        <v>441</v>
      </c>
      <c r="F9896">
        <v>0</v>
      </c>
      <c r="G9896">
        <v>8.23</v>
      </c>
      <c r="H9896" t="s">
        <v>12664</v>
      </c>
      <c r="I9896">
        <v>9</v>
      </c>
      <c r="J9896" t="s">
        <v>445</v>
      </c>
      <c r="K9896" t="s">
        <v>446</v>
      </c>
      <c r="M9896">
        <v>3211</v>
      </c>
      <c r="N9896" t="s">
        <v>16690</v>
      </c>
    </row>
    <row r="9897" spans="1:14">
      <c r="A9897">
        <v>62485110</v>
      </c>
      <c r="B9897">
        <v>4017820</v>
      </c>
      <c r="C9897" t="s">
        <v>4400</v>
      </c>
      <c r="D9897" t="s">
        <v>441</v>
      </c>
      <c r="F9897">
        <v>0</v>
      </c>
      <c r="G9897">
        <v>11.35</v>
      </c>
      <c r="H9897" t="s">
        <v>8587</v>
      </c>
      <c r="I9897">
        <v>44</v>
      </c>
      <c r="J9897" t="s">
        <v>462</v>
      </c>
      <c r="K9897" t="s">
        <v>446</v>
      </c>
      <c r="M9897">
        <v>3711</v>
      </c>
      <c r="N9897" t="s">
        <v>16690</v>
      </c>
    </row>
    <row r="9898" spans="1:14">
      <c r="A9898">
        <v>62485112</v>
      </c>
      <c r="B9898">
        <v>3027288</v>
      </c>
      <c r="C9898" t="s">
        <v>4401</v>
      </c>
      <c r="D9898" t="s">
        <v>441</v>
      </c>
      <c r="F9898">
        <v>0</v>
      </c>
      <c r="G9898">
        <v>12.53</v>
      </c>
      <c r="H9898" t="s">
        <v>8588</v>
      </c>
      <c r="I9898">
        <v>365</v>
      </c>
      <c r="J9898" t="s">
        <v>445</v>
      </c>
      <c r="K9898" t="s">
        <v>446</v>
      </c>
      <c r="M9898">
        <v>2501</v>
      </c>
    </row>
    <row r="9899" spans="1:14">
      <c r="A9899">
        <v>62485115</v>
      </c>
      <c r="B9899">
        <v>3027287</v>
      </c>
      <c r="C9899" t="s">
        <v>4402</v>
      </c>
      <c r="D9899" t="s">
        <v>441</v>
      </c>
      <c r="F9899">
        <v>0</v>
      </c>
      <c r="G9899">
        <v>12.34</v>
      </c>
      <c r="H9899" t="s">
        <v>8587</v>
      </c>
      <c r="I9899">
        <v>365</v>
      </c>
      <c r="J9899" t="s">
        <v>445</v>
      </c>
      <c r="K9899" t="s">
        <v>446</v>
      </c>
      <c r="M9899">
        <v>3711</v>
      </c>
    </row>
    <row r="9900" spans="1:14">
      <c r="A9900">
        <v>62485120</v>
      </c>
      <c r="B9900">
        <v>4017854</v>
      </c>
      <c r="C9900" t="s">
        <v>4403</v>
      </c>
      <c r="D9900" t="s">
        <v>441</v>
      </c>
      <c r="F9900">
        <v>0</v>
      </c>
      <c r="G9900">
        <v>11.36</v>
      </c>
      <c r="H9900" t="s">
        <v>8587</v>
      </c>
      <c r="I9900">
        <v>44</v>
      </c>
      <c r="J9900" t="s">
        <v>462</v>
      </c>
      <c r="K9900" t="s">
        <v>446</v>
      </c>
      <c r="M9900">
        <v>3711</v>
      </c>
      <c r="N9900" t="s">
        <v>16690</v>
      </c>
    </row>
    <row r="9901" spans="1:14">
      <c r="A9901">
        <v>62485130</v>
      </c>
      <c r="B9901">
        <v>4017874</v>
      </c>
      <c r="C9901" t="s">
        <v>4404</v>
      </c>
      <c r="D9901" t="s">
        <v>441</v>
      </c>
      <c r="F9901">
        <v>0</v>
      </c>
      <c r="G9901">
        <v>11.35</v>
      </c>
      <c r="H9901" t="s">
        <v>8587</v>
      </c>
      <c r="I9901">
        <v>44</v>
      </c>
      <c r="J9901" t="s">
        <v>462</v>
      </c>
      <c r="K9901" t="s">
        <v>446</v>
      </c>
      <c r="M9901">
        <v>3711</v>
      </c>
      <c r="N9901" t="s">
        <v>16690</v>
      </c>
    </row>
    <row r="9902" spans="1:14">
      <c r="A9902">
        <v>62490000</v>
      </c>
      <c r="B9902">
        <v>3026892</v>
      </c>
      <c r="C9902" t="s">
        <v>4405</v>
      </c>
      <c r="D9902" t="s">
        <v>441</v>
      </c>
      <c r="F9902">
        <v>0</v>
      </c>
      <c r="G9902">
        <v>7.78</v>
      </c>
      <c r="H9902" t="s">
        <v>12573</v>
      </c>
      <c r="I9902">
        <v>6</v>
      </c>
      <c r="J9902" t="s">
        <v>445</v>
      </c>
      <c r="K9902" t="s">
        <v>446</v>
      </c>
      <c r="M9902">
        <v>3311</v>
      </c>
      <c r="N9902" t="s">
        <v>16691</v>
      </c>
    </row>
    <row r="9903" spans="1:14">
      <c r="A9903">
        <v>62490008</v>
      </c>
      <c r="B9903">
        <v>3026920</v>
      </c>
      <c r="C9903" t="s">
        <v>4406</v>
      </c>
      <c r="D9903" t="s">
        <v>441</v>
      </c>
      <c r="F9903">
        <v>0</v>
      </c>
      <c r="G9903">
        <v>6.19</v>
      </c>
      <c r="H9903" t="s">
        <v>12664</v>
      </c>
      <c r="I9903">
        <v>5</v>
      </c>
      <c r="J9903" t="s">
        <v>445</v>
      </c>
      <c r="K9903" t="s">
        <v>446</v>
      </c>
      <c r="M9903">
        <v>3211</v>
      </c>
      <c r="N9903" t="s">
        <v>16691</v>
      </c>
    </row>
    <row r="9904" spans="1:14">
      <c r="A9904">
        <v>62494110</v>
      </c>
      <c r="B9904">
        <v>4017845</v>
      </c>
      <c r="C9904" t="s">
        <v>4407</v>
      </c>
      <c r="D9904" t="s">
        <v>441</v>
      </c>
      <c r="F9904">
        <v>0</v>
      </c>
      <c r="G9904">
        <v>9.6199999999999992</v>
      </c>
      <c r="H9904" t="s">
        <v>8587</v>
      </c>
      <c r="I9904">
        <v>35</v>
      </c>
      <c r="J9904" t="s">
        <v>462</v>
      </c>
      <c r="K9904" t="s">
        <v>446</v>
      </c>
      <c r="M9904">
        <v>3711</v>
      </c>
      <c r="N9904" t="s">
        <v>16691</v>
      </c>
    </row>
    <row r="9905" spans="1:14">
      <c r="A9905">
        <v>62500000</v>
      </c>
      <c r="B9905">
        <v>3037395</v>
      </c>
      <c r="C9905" t="s">
        <v>142</v>
      </c>
      <c r="D9905" t="s">
        <v>441</v>
      </c>
      <c r="F9905">
        <v>0</v>
      </c>
      <c r="G9905">
        <v>12.59</v>
      </c>
      <c r="H9905" t="s">
        <v>12573</v>
      </c>
      <c r="I9905">
        <v>6</v>
      </c>
      <c r="J9905" t="s">
        <v>445</v>
      </c>
      <c r="M9905">
        <v>3349</v>
      </c>
      <c r="N9905" t="s">
        <v>16692</v>
      </c>
    </row>
    <row r="9906" spans="1:14">
      <c r="A9906">
        <v>62500008</v>
      </c>
      <c r="B9906">
        <v>3037394</v>
      </c>
      <c r="C9906" t="s">
        <v>4408</v>
      </c>
      <c r="D9906" t="s">
        <v>441</v>
      </c>
      <c r="F9906">
        <v>0</v>
      </c>
      <c r="G9906">
        <v>9.92</v>
      </c>
      <c r="H9906" t="s">
        <v>12664</v>
      </c>
      <c r="I9906">
        <v>5</v>
      </c>
      <c r="J9906" t="s">
        <v>445</v>
      </c>
      <c r="M9906">
        <v>6666</v>
      </c>
      <c r="N9906" t="s">
        <v>16684</v>
      </c>
    </row>
    <row r="9907" spans="1:14">
      <c r="A9907">
        <v>62520000</v>
      </c>
      <c r="B9907">
        <v>3016595</v>
      </c>
      <c r="C9907" t="s">
        <v>12948</v>
      </c>
      <c r="D9907" t="s">
        <v>441</v>
      </c>
      <c r="F9907">
        <v>0</v>
      </c>
      <c r="G9907">
        <v>9.94</v>
      </c>
      <c r="H9907" t="s">
        <v>8580</v>
      </c>
      <c r="I9907">
        <v>28</v>
      </c>
      <c r="J9907" t="s">
        <v>445</v>
      </c>
      <c r="K9907" t="s">
        <v>446</v>
      </c>
      <c r="M9907">
        <v>3311</v>
      </c>
    </row>
    <row r="9908" spans="1:14">
      <c r="A9908">
        <v>62520008</v>
      </c>
      <c r="B9908">
        <v>3008373</v>
      </c>
      <c r="C9908" t="s">
        <v>12949</v>
      </c>
      <c r="D9908" t="s">
        <v>441</v>
      </c>
      <c r="F9908">
        <v>0</v>
      </c>
      <c r="G9908">
        <v>8.0399999999999991</v>
      </c>
      <c r="H9908" t="s">
        <v>8580</v>
      </c>
      <c r="I9908">
        <v>9</v>
      </c>
      <c r="J9908" t="s">
        <v>445</v>
      </c>
      <c r="K9908" t="s">
        <v>446</v>
      </c>
      <c r="M9908">
        <v>3211</v>
      </c>
    </row>
    <row r="9909" spans="1:14">
      <c r="A9909">
        <v>62530000</v>
      </c>
      <c r="B9909">
        <v>3008374</v>
      </c>
      <c r="C9909" t="s">
        <v>12950</v>
      </c>
      <c r="D9909" t="s">
        <v>441</v>
      </c>
      <c r="F9909">
        <v>0</v>
      </c>
      <c r="G9909">
        <v>10.220000000000001</v>
      </c>
      <c r="H9909" t="s">
        <v>8580</v>
      </c>
      <c r="I9909">
        <v>28</v>
      </c>
      <c r="J9909" t="s">
        <v>445</v>
      </c>
      <c r="K9909" t="s">
        <v>446</v>
      </c>
      <c r="M9909">
        <v>3311</v>
      </c>
    </row>
    <row r="9910" spans="1:14">
      <c r="A9910">
        <v>62530008</v>
      </c>
      <c r="B9910">
        <v>3008375</v>
      </c>
      <c r="C9910" t="s">
        <v>12951</v>
      </c>
      <c r="D9910" t="s">
        <v>441</v>
      </c>
      <c r="F9910">
        <v>0</v>
      </c>
      <c r="G9910">
        <v>8</v>
      </c>
      <c r="H9910" t="s">
        <v>8580</v>
      </c>
      <c r="I9910">
        <v>9</v>
      </c>
      <c r="J9910" t="s">
        <v>445</v>
      </c>
      <c r="K9910" t="s">
        <v>446</v>
      </c>
      <c r="M9910">
        <v>3211</v>
      </c>
    </row>
    <row r="9911" spans="1:14">
      <c r="A9911">
        <v>62540000</v>
      </c>
      <c r="B9911">
        <v>3016689</v>
      </c>
      <c r="C9911" t="s">
        <v>4409</v>
      </c>
      <c r="D9911" t="s">
        <v>441</v>
      </c>
      <c r="F9911">
        <v>0</v>
      </c>
      <c r="G9911">
        <v>15</v>
      </c>
      <c r="H9911" t="s">
        <v>8580</v>
      </c>
      <c r="I9911">
        <v>6</v>
      </c>
      <c r="J9911" t="s">
        <v>445</v>
      </c>
      <c r="M9911">
        <v>3349</v>
      </c>
      <c r="N9911" t="s">
        <v>16664</v>
      </c>
    </row>
    <row r="9912" spans="1:14">
      <c r="A9912">
        <v>62540008</v>
      </c>
      <c r="B9912">
        <v>3016690</v>
      </c>
      <c r="C9912" t="s">
        <v>4410</v>
      </c>
      <c r="D9912" t="s">
        <v>441</v>
      </c>
      <c r="F9912">
        <v>0</v>
      </c>
      <c r="G9912">
        <v>12.47</v>
      </c>
      <c r="H9912" t="s">
        <v>8580</v>
      </c>
      <c r="I9912">
        <v>9</v>
      </c>
      <c r="J9912" t="s">
        <v>445</v>
      </c>
      <c r="M9912">
        <v>6666</v>
      </c>
      <c r="N9912" t="s">
        <v>16665</v>
      </c>
    </row>
    <row r="9913" spans="1:14">
      <c r="A9913">
        <v>62542000</v>
      </c>
      <c r="B9913">
        <v>4016352</v>
      </c>
      <c r="C9913" t="s">
        <v>4411</v>
      </c>
      <c r="D9913" t="s">
        <v>441</v>
      </c>
      <c r="F9913">
        <v>0</v>
      </c>
      <c r="G9913">
        <v>10.71</v>
      </c>
      <c r="H9913" t="s">
        <v>8587</v>
      </c>
      <c r="I9913">
        <v>8</v>
      </c>
      <c r="J9913" t="s">
        <v>462</v>
      </c>
      <c r="K9913" t="s">
        <v>446</v>
      </c>
      <c r="L9913">
        <v>2062536</v>
      </c>
      <c r="M9913">
        <v>3711</v>
      </c>
      <c r="N9913" t="s">
        <v>16667</v>
      </c>
    </row>
    <row r="9914" spans="1:14">
      <c r="A9914">
        <v>62545110</v>
      </c>
      <c r="B9914">
        <v>4007818</v>
      </c>
      <c r="C9914" t="s">
        <v>4412</v>
      </c>
      <c r="D9914" t="s">
        <v>441</v>
      </c>
      <c r="F9914">
        <v>0</v>
      </c>
      <c r="G9914">
        <v>10.29</v>
      </c>
      <c r="H9914" t="s">
        <v>8587</v>
      </c>
      <c r="I9914">
        <v>44</v>
      </c>
      <c r="J9914" t="s">
        <v>462</v>
      </c>
      <c r="K9914" t="s">
        <v>446</v>
      </c>
      <c r="M9914">
        <v>3711</v>
      </c>
    </row>
    <row r="9915" spans="1:14">
      <c r="A9915">
        <v>62545120</v>
      </c>
      <c r="B9915">
        <v>4007819</v>
      </c>
      <c r="C9915" t="s">
        <v>4413</v>
      </c>
      <c r="D9915" t="s">
        <v>441</v>
      </c>
      <c r="F9915">
        <v>0</v>
      </c>
      <c r="G9915">
        <v>12.59</v>
      </c>
      <c r="H9915" t="s">
        <v>8587</v>
      </c>
      <c r="I9915">
        <v>44</v>
      </c>
      <c r="J9915" t="s">
        <v>462</v>
      </c>
      <c r="K9915" t="s">
        <v>446</v>
      </c>
      <c r="M9915">
        <v>3711</v>
      </c>
    </row>
    <row r="9916" spans="1:14">
      <c r="A9916">
        <v>62545130</v>
      </c>
      <c r="B9916">
        <v>4008170</v>
      </c>
      <c r="C9916" t="s">
        <v>15332</v>
      </c>
      <c r="D9916" t="s">
        <v>441</v>
      </c>
      <c r="F9916">
        <v>0</v>
      </c>
      <c r="G9916">
        <v>16.32</v>
      </c>
      <c r="H9916" t="s">
        <v>8587</v>
      </c>
      <c r="I9916">
        <v>44</v>
      </c>
      <c r="J9916" t="s">
        <v>462</v>
      </c>
      <c r="M9916">
        <v>7108</v>
      </c>
      <c r="N9916" t="s">
        <v>16668</v>
      </c>
    </row>
    <row r="9917" spans="1:14">
      <c r="A9917">
        <v>62545140</v>
      </c>
      <c r="B9917">
        <v>4009613</v>
      </c>
      <c r="C9917" t="s">
        <v>4414</v>
      </c>
      <c r="D9917" t="s">
        <v>441</v>
      </c>
      <c r="F9917">
        <v>0</v>
      </c>
      <c r="G9917">
        <v>9.31</v>
      </c>
      <c r="H9917" t="s">
        <v>8587</v>
      </c>
      <c r="I9917">
        <v>44</v>
      </c>
      <c r="J9917" t="s">
        <v>462</v>
      </c>
      <c r="K9917" t="s">
        <v>446</v>
      </c>
      <c r="M9917">
        <v>3711</v>
      </c>
    </row>
    <row r="9918" spans="1:14">
      <c r="A9918">
        <v>62545150</v>
      </c>
      <c r="B9918">
        <v>4009672</v>
      </c>
      <c r="C9918" t="s">
        <v>4415</v>
      </c>
      <c r="D9918" t="s">
        <v>441</v>
      </c>
      <c r="F9918">
        <v>0</v>
      </c>
      <c r="G9918">
        <v>10.31</v>
      </c>
      <c r="H9918" t="s">
        <v>8587</v>
      </c>
      <c r="I9918">
        <v>44</v>
      </c>
      <c r="J9918" t="s">
        <v>462</v>
      </c>
      <c r="K9918" t="s">
        <v>446</v>
      </c>
      <c r="M9918">
        <v>3711</v>
      </c>
    </row>
    <row r="9919" spans="1:14">
      <c r="A9919">
        <v>62545160</v>
      </c>
      <c r="B9919">
        <v>4010113</v>
      </c>
      <c r="C9919" t="s">
        <v>4416</v>
      </c>
      <c r="D9919" t="s">
        <v>441</v>
      </c>
      <c r="F9919">
        <v>0</v>
      </c>
      <c r="G9919">
        <v>11.95</v>
      </c>
      <c r="H9919" t="s">
        <v>8587</v>
      </c>
      <c r="I9919">
        <v>44</v>
      </c>
      <c r="J9919" t="s">
        <v>462</v>
      </c>
      <c r="K9919" t="s">
        <v>446</v>
      </c>
      <c r="M9919">
        <v>3711</v>
      </c>
      <c r="N9919" t="s">
        <v>16667</v>
      </c>
    </row>
    <row r="9920" spans="1:14">
      <c r="A9920">
        <v>62545170</v>
      </c>
      <c r="B9920">
        <v>4013425</v>
      </c>
      <c r="C9920" t="s">
        <v>4417</v>
      </c>
      <c r="D9920" t="s">
        <v>441</v>
      </c>
      <c r="F9920">
        <v>0</v>
      </c>
      <c r="G9920">
        <v>11.26</v>
      </c>
      <c r="H9920" t="s">
        <v>8587</v>
      </c>
      <c r="I9920">
        <v>44</v>
      </c>
      <c r="J9920" t="s">
        <v>462</v>
      </c>
      <c r="K9920" t="s">
        <v>446</v>
      </c>
      <c r="M9920">
        <v>7108</v>
      </c>
      <c r="N9920" t="s">
        <v>16666</v>
      </c>
    </row>
    <row r="9921" spans="1:14">
      <c r="A9921">
        <v>62545180</v>
      </c>
      <c r="B9921">
        <v>4013805</v>
      </c>
      <c r="C9921" t="s">
        <v>4418</v>
      </c>
      <c r="D9921" t="s">
        <v>441</v>
      </c>
      <c r="F9921">
        <v>0</v>
      </c>
      <c r="G9921">
        <v>12.12</v>
      </c>
      <c r="H9921" t="s">
        <v>8587</v>
      </c>
      <c r="I9921">
        <v>44</v>
      </c>
      <c r="J9921" t="s">
        <v>462</v>
      </c>
      <c r="K9921" t="s">
        <v>446</v>
      </c>
      <c r="M9921">
        <v>3711</v>
      </c>
      <c r="N9921" t="s">
        <v>16667</v>
      </c>
    </row>
    <row r="9922" spans="1:14">
      <c r="A9922">
        <v>62545190</v>
      </c>
      <c r="B9922">
        <v>4024799</v>
      </c>
      <c r="C9922" t="s">
        <v>14545</v>
      </c>
      <c r="D9922" t="s">
        <v>441</v>
      </c>
      <c r="F9922">
        <v>0</v>
      </c>
      <c r="G9922">
        <v>16.29</v>
      </c>
      <c r="H9922" t="s">
        <v>8587</v>
      </c>
      <c r="I9922">
        <v>44</v>
      </c>
      <c r="J9922" t="s">
        <v>462</v>
      </c>
      <c r="M9922">
        <v>7108</v>
      </c>
      <c r="N9922" t="s">
        <v>16668</v>
      </c>
    </row>
    <row r="9923" spans="1:14">
      <c r="A9923">
        <v>62550000</v>
      </c>
      <c r="B9923">
        <v>3029974</v>
      </c>
      <c r="C9923" t="s">
        <v>4419</v>
      </c>
      <c r="D9923" t="s">
        <v>441</v>
      </c>
      <c r="F9923">
        <v>0</v>
      </c>
      <c r="G9923">
        <v>14.43</v>
      </c>
      <c r="H9923" t="s">
        <v>12573</v>
      </c>
      <c r="I9923">
        <v>6</v>
      </c>
      <c r="J9923" t="s">
        <v>445</v>
      </c>
      <c r="K9923" t="s">
        <v>446</v>
      </c>
      <c r="M9923">
        <v>3311</v>
      </c>
      <c r="N9923" t="s">
        <v>16693</v>
      </c>
    </row>
    <row r="9924" spans="1:14">
      <c r="A9924">
        <v>62550008</v>
      </c>
      <c r="B9924">
        <v>3029954</v>
      </c>
      <c r="C9924" t="s">
        <v>4420</v>
      </c>
      <c r="D9924" t="s">
        <v>441</v>
      </c>
      <c r="F9924">
        <v>0</v>
      </c>
      <c r="G9924">
        <v>10.54</v>
      </c>
      <c r="H9924" t="s">
        <v>12664</v>
      </c>
      <c r="I9924">
        <v>5</v>
      </c>
      <c r="J9924" t="s">
        <v>445</v>
      </c>
      <c r="K9924" t="s">
        <v>446</v>
      </c>
      <c r="M9924">
        <v>3211</v>
      </c>
      <c r="N9924" t="s">
        <v>16694</v>
      </c>
    </row>
    <row r="9925" spans="1:14">
      <c r="A9925">
        <v>62554110</v>
      </c>
      <c r="B9925">
        <v>4019956</v>
      </c>
      <c r="C9925" t="s">
        <v>4421</v>
      </c>
      <c r="D9925" t="s">
        <v>441</v>
      </c>
      <c r="F9925">
        <v>0</v>
      </c>
      <c r="G9925">
        <v>16.329999999999998</v>
      </c>
      <c r="H9925" t="s">
        <v>8587</v>
      </c>
      <c r="I9925">
        <v>35</v>
      </c>
      <c r="J9925" t="s">
        <v>462</v>
      </c>
      <c r="K9925" t="s">
        <v>446</v>
      </c>
      <c r="L9925" t="s">
        <v>12952</v>
      </c>
      <c r="M9925">
        <v>3711</v>
      </c>
      <c r="N9925" t="s">
        <v>16693</v>
      </c>
    </row>
    <row r="9926" spans="1:14">
      <c r="A9926">
        <v>62560000</v>
      </c>
      <c r="B9926">
        <v>3039292</v>
      </c>
      <c r="C9926" t="s">
        <v>144</v>
      </c>
      <c r="D9926" t="s">
        <v>441</v>
      </c>
      <c r="F9926">
        <v>0</v>
      </c>
      <c r="G9926">
        <v>13.27</v>
      </c>
      <c r="I9926">
        <v>6</v>
      </c>
      <c r="J9926" t="s">
        <v>445</v>
      </c>
      <c r="M9926">
        <v>3349</v>
      </c>
      <c r="N9926" t="s">
        <v>16692</v>
      </c>
    </row>
    <row r="9927" spans="1:14">
      <c r="A9927">
        <v>62560008</v>
      </c>
      <c r="B9927">
        <v>3039291</v>
      </c>
      <c r="C9927" t="s">
        <v>4422</v>
      </c>
      <c r="D9927" t="s">
        <v>441</v>
      </c>
      <c r="F9927">
        <v>0</v>
      </c>
      <c r="G9927">
        <v>10.5</v>
      </c>
      <c r="H9927" t="s">
        <v>8580</v>
      </c>
      <c r="I9927">
        <v>5</v>
      </c>
      <c r="J9927" t="s">
        <v>445</v>
      </c>
      <c r="M9927">
        <v>6666</v>
      </c>
      <c r="N9927" t="s">
        <v>16684</v>
      </c>
    </row>
    <row r="9928" spans="1:14">
      <c r="A9928">
        <v>62564110</v>
      </c>
      <c r="B9928">
        <v>4026242</v>
      </c>
      <c r="C9928" t="s">
        <v>4423</v>
      </c>
      <c r="D9928" t="s">
        <v>441</v>
      </c>
      <c r="F9928">
        <v>0</v>
      </c>
      <c r="G9928">
        <v>17.13</v>
      </c>
      <c r="H9928" t="s">
        <v>8587</v>
      </c>
      <c r="I9928">
        <v>42</v>
      </c>
      <c r="J9928" t="s">
        <v>462</v>
      </c>
      <c r="L9928">
        <v>2813570</v>
      </c>
      <c r="M9928">
        <v>7108</v>
      </c>
      <c r="N9928" t="s">
        <v>16683</v>
      </c>
    </row>
    <row r="9929" spans="1:14">
      <c r="A9929">
        <v>62564120</v>
      </c>
      <c r="B9929">
        <v>4026243</v>
      </c>
      <c r="C9929" t="s">
        <v>4424</v>
      </c>
      <c r="D9929" t="s">
        <v>441</v>
      </c>
      <c r="F9929">
        <v>0</v>
      </c>
      <c r="G9929">
        <v>16.53</v>
      </c>
      <c r="H9929" t="s">
        <v>8587</v>
      </c>
      <c r="I9929">
        <v>42</v>
      </c>
      <c r="J9929" t="s">
        <v>462</v>
      </c>
      <c r="M9929">
        <v>7108</v>
      </c>
      <c r="N9929" t="s">
        <v>16683</v>
      </c>
    </row>
    <row r="9930" spans="1:14">
      <c r="A9930">
        <v>62564130</v>
      </c>
      <c r="B9930">
        <v>4028854</v>
      </c>
      <c r="C9930" t="s">
        <v>12953</v>
      </c>
      <c r="D9930" t="s">
        <v>441</v>
      </c>
      <c r="F9930">
        <v>0</v>
      </c>
      <c r="G9930">
        <v>15.2</v>
      </c>
      <c r="H9930" t="s">
        <v>8587</v>
      </c>
      <c r="I9930">
        <v>42</v>
      </c>
      <c r="J9930" t="s">
        <v>462</v>
      </c>
      <c r="M9930">
        <v>7108</v>
      </c>
      <c r="N9930" t="s">
        <v>16683</v>
      </c>
    </row>
    <row r="9931" spans="1:14">
      <c r="A9931">
        <v>62720000</v>
      </c>
      <c r="B9931">
        <v>3016596</v>
      </c>
      <c r="C9931" t="s">
        <v>4425</v>
      </c>
      <c r="D9931" t="s">
        <v>441</v>
      </c>
      <c r="F9931">
        <v>0</v>
      </c>
      <c r="G9931">
        <v>8.77</v>
      </c>
      <c r="H9931" t="s">
        <v>8580</v>
      </c>
      <c r="I9931">
        <v>6</v>
      </c>
      <c r="J9931" t="s">
        <v>445</v>
      </c>
      <c r="K9931" t="s">
        <v>446</v>
      </c>
      <c r="M9931">
        <v>3311</v>
      </c>
    </row>
    <row r="9932" spans="1:14">
      <c r="A9932">
        <v>62720008</v>
      </c>
      <c r="B9932">
        <v>3016597</v>
      </c>
      <c r="C9932" t="s">
        <v>12954</v>
      </c>
      <c r="D9932" t="s">
        <v>441</v>
      </c>
      <c r="F9932">
        <v>0</v>
      </c>
      <c r="G9932">
        <v>5.96</v>
      </c>
      <c r="H9932" t="s">
        <v>8580</v>
      </c>
      <c r="I9932">
        <v>9</v>
      </c>
      <c r="J9932" t="s">
        <v>445</v>
      </c>
      <c r="K9932" t="s">
        <v>446</v>
      </c>
      <c r="M9932">
        <v>3211</v>
      </c>
    </row>
    <row r="9933" spans="1:14">
      <c r="A9933">
        <v>62724110</v>
      </c>
      <c r="B9933">
        <v>4004231</v>
      </c>
      <c r="C9933" t="s">
        <v>12955</v>
      </c>
      <c r="D9933" t="s">
        <v>441</v>
      </c>
      <c r="F9933">
        <v>0</v>
      </c>
      <c r="G9933">
        <v>11.63</v>
      </c>
      <c r="H9933" t="s">
        <v>8587</v>
      </c>
      <c r="I9933">
        <v>45</v>
      </c>
      <c r="J9933" t="s">
        <v>462</v>
      </c>
      <c r="K9933" t="s">
        <v>446</v>
      </c>
      <c r="M9933">
        <v>3711</v>
      </c>
    </row>
    <row r="9934" spans="1:14">
      <c r="A9934">
        <v>62725160</v>
      </c>
      <c r="B9934">
        <v>4007346</v>
      </c>
      <c r="C9934" t="s">
        <v>4426</v>
      </c>
      <c r="D9934" t="s">
        <v>441</v>
      </c>
      <c r="F9934">
        <v>0</v>
      </c>
      <c r="G9934">
        <v>12.71</v>
      </c>
      <c r="H9934" t="s">
        <v>8587</v>
      </c>
      <c r="I9934">
        <v>45</v>
      </c>
      <c r="J9934" t="s">
        <v>462</v>
      </c>
      <c r="K9934" t="s">
        <v>446</v>
      </c>
      <c r="M9934">
        <v>3711</v>
      </c>
    </row>
    <row r="9935" spans="1:14">
      <c r="A9935">
        <v>62725170</v>
      </c>
      <c r="B9935">
        <v>4007453</v>
      </c>
      <c r="C9935" t="s">
        <v>4427</v>
      </c>
      <c r="D9935" t="s">
        <v>441</v>
      </c>
      <c r="F9935">
        <v>0</v>
      </c>
      <c r="G9935">
        <v>12.09</v>
      </c>
      <c r="H9935" t="s">
        <v>8587</v>
      </c>
      <c r="I9935">
        <v>45</v>
      </c>
      <c r="J9935" t="s">
        <v>462</v>
      </c>
      <c r="K9935" t="s">
        <v>446</v>
      </c>
      <c r="M9935">
        <v>3711</v>
      </c>
    </row>
    <row r="9936" spans="1:14">
      <c r="A9936">
        <v>62725180</v>
      </c>
      <c r="B9936">
        <v>4008343</v>
      </c>
      <c r="C9936" t="s">
        <v>4428</v>
      </c>
      <c r="D9936" t="s">
        <v>441</v>
      </c>
      <c r="F9936">
        <v>0</v>
      </c>
      <c r="G9936">
        <v>10.64</v>
      </c>
      <c r="H9936" t="s">
        <v>8587</v>
      </c>
      <c r="I9936">
        <v>45</v>
      </c>
      <c r="J9936" t="s">
        <v>462</v>
      </c>
      <c r="K9936" t="s">
        <v>446</v>
      </c>
      <c r="M9936">
        <v>3711</v>
      </c>
    </row>
    <row r="9937" spans="1:14">
      <c r="A9937">
        <v>62725190</v>
      </c>
      <c r="B9937">
        <v>4008427</v>
      </c>
      <c r="C9937" t="s">
        <v>4429</v>
      </c>
      <c r="D9937" t="s">
        <v>441</v>
      </c>
      <c r="F9937">
        <v>0</v>
      </c>
      <c r="G9937">
        <v>12.17</v>
      </c>
      <c r="H9937" t="s">
        <v>8587</v>
      </c>
      <c r="I9937">
        <v>45</v>
      </c>
      <c r="J9937" t="s">
        <v>462</v>
      </c>
      <c r="K9937" t="s">
        <v>446</v>
      </c>
      <c r="M9937">
        <v>3711</v>
      </c>
    </row>
    <row r="9938" spans="1:14">
      <c r="A9938">
        <v>62730000</v>
      </c>
      <c r="B9938">
        <v>3016717</v>
      </c>
      <c r="C9938" t="s">
        <v>4430</v>
      </c>
      <c r="D9938" t="s">
        <v>441</v>
      </c>
      <c r="F9938">
        <v>0</v>
      </c>
      <c r="G9938">
        <v>10.9</v>
      </c>
      <c r="H9938" t="s">
        <v>8580</v>
      </c>
      <c r="I9938">
        <v>6</v>
      </c>
      <c r="J9938" t="s">
        <v>445</v>
      </c>
      <c r="K9938" t="s">
        <v>446</v>
      </c>
      <c r="M9938">
        <v>3311</v>
      </c>
      <c r="N9938" t="s">
        <v>16695</v>
      </c>
    </row>
    <row r="9939" spans="1:14">
      <c r="A9939">
        <v>62730008</v>
      </c>
      <c r="B9939">
        <v>3016718</v>
      </c>
      <c r="C9939" t="s">
        <v>4431</v>
      </c>
      <c r="D9939" t="s">
        <v>441</v>
      </c>
      <c r="F9939">
        <v>0</v>
      </c>
      <c r="G9939">
        <v>9.14</v>
      </c>
      <c r="H9939" t="s">
        <v>8580</v>
      </c>
      <c r="I9939">
        <v>5</v>
      </c>
      <c r="J9939" t="s">
        <v>445</v>
      </c>
      <c r="K9939" t="s">
        <v>446</v>
      </c>
      <c r="M9939">
        <v>3211</v>
      </c>
      <c r="N9939" t="s">
        <v>16695</v>
      </c>
    </row>
    <row r="9940" spans="1:14">
      <c r="A9940">
        <v>62735110</v>
      </c>
      <c r="B9940">
        <v>4008465</v>
      </c>
      <c r="C9940" t="s">
        <v>4432</v>
      </c>
      <c r="D9940" t="s">
        <v>441</v>
      </c>
      <c r="F9940">
        <v>0</v>
      </c>
      <c r="G9940">
        <v>10.4</v>
      </c>
      <c r="H9940" t="s">
        <v>8587</v>
      </c>
      <c r="I9940">
        <v>35</v>
      </c>
      <c r="J9940" t="s">
        <v>462</v>
      </c>
      <c r="K9940" t="s">
        <v>446</v>
      </c>
      <c r="M9940">
        <v>3711</v>
      </c>
      <c r="N9940" t="s">
        <v>16696</v>
      </c>
    </row>
    <row r="9941" spans="1:14">
      <c r="A9941">
        <v>62740000</v>
      </c>
      <c r="B9941">
        <v>3016724</v>
      </c>
      <c r="C9941" t="s">
        <v>4433</v>
      </c>
      <c r="D9941" t="s">
        <v>441</v>
      </c>
      <c r="F9941">
        <v>0</v>
      </c>
      <c r="G9941">
        <v>8.92</v>
      </c>
      <c r="H9941" t="s">
        <v>8634</v>
      </c>
      <c r="I9941">
        <v>10</v>
      </c>
      <c r="J9941" t="s">
        <v>445</v>
      </c>
      <c r="K9941" t="s">
        <v>446</v>
      </c>
      <c r="M9941">
        <v>3311</v>
      </c>
    </row>
    <row r="9942" spans="1:14">
      <c r="A9942">
        <v>62740008</v>
      </c>
      <c r="B9942">
        <v>3016723</v>
      </c>
      <c r="C9942" t="s">
        <v>12956</v>
      </c>
      <c r="D9942" t="s">
        <v>441</v>
      </c>
      <c r="F9942">
        <v>0</v>
      </c>
      <c r="G9942">
        <v>7.24</v>
      </c>
      <c r="H9942" t="s">
        <v>8634</v>
      </c>
      <c r="I9942">
        <v>10</v>
      </c>
      <c r="J9942" t="s">
        <v>445</v>
      </c>
      <c r="K9942" t="s">
        <v>446</v>
      </c>
      <c r="M9942">
        <v>3211</v>
      </c>
    </row>
    <row r="9943" spans="1:14">
      <c r="A9943">
        <v>62745110</v>
      </c>
      <c r="B9943">
        <v>4008552</v>
      </c>
      <c r="C9943" t="s">
        <v>4434</v>
      </c>
      <c r="D9943" t="s">
        <v>441</v>
      </c>
      <c r="F9943">
        <v>0</v>
      </c>
      <c r="G9943">
        <v>10.220000000000001</v>
      </c>
      <c r="H9943" t="s">
        <v>8588</v>
      </c>
      <c r="I9943">
        <v>35</v>
      </c>
      <c r="J9943" t="s">
        <v>462</v>
      </c>
      <c r="K9943" t="s">
        <v>446</v>
      </c>
      <c r="M9943">
        <v>3711</v>
      </c>
    </row>
    <row r="9944" spans="1:14">
      <c r="A9944">
        <v>62760000</v>
      </c>
      <c r="B9944">
        <v>3016719</v>
      </c>
      <c r="C9944" t="s">
        <v>4435</v>
      </c>
      <c r="D9944" t="s">
        <v>441</v>
      </c>
      <c r="F9944">
        <v>0</v>
      </c>
      <c r="G9944">
        <v>8.75</v>
      </c>
      <c r="H9944" t="s">
        <v>9302</v>
      </c>
      <c r="I9944">
        <v>10</v>
      </c>
      <c r="J9944" t="s">
        <v>445</v>
      </c>
      <c r="K9944" t="s">
        <v>446</v>
      </c>
      <c r="M9944">
        <v>3311</v>
      </c>
    </row>
    <row r="9945" spans="1:14">
      <c r="A9945">
        <v>62760008</v>
      </c>
      <c r="B9945">
        <v>3016720</v>
      </c>
      <c r="C9945" t="s">
        <v>12957</v>
      </c>
      <c r="D9945" t="s">
        <v>441</v>
      </c>
      <c r="F9945">
        <v>0</v>
      </c>
      <c r="G9945">
        <v>7.04</v>
      </c>
      <c r="H9945" t="s">
        <v>8634</v>
      </c>
      <c r="I9945">
        <v>10</v>
      </c>
      <c r="J9945" t="s">
        <v>445</v>
      </c>
      <c r="K9945" t="s">
        <v>446</v>
      </c>
      <c r="M9945">
        <v>3211</v>
      </c>
    </row>
    <row r="9946" spans="1:14">
      <c r="A9946">
        <v>62765110</v>
      </c>
      <c r="B9946">
        <v>4008473</v>
      </c>
      <c r="C9946" t="s">
        <v>4436</v>
      </c>
      <c r="D9946" t="s">
        <v>441</v>
      </c>
      <c r="F9946">
        <v>0</v>
      </c>
      <c r="G9946">
        <v>10.18</v>
      </c>
      <c r="H9946" t="s">
        <v>8587</v>
      </c>
      <c r="I9946">
        <v>35</v>
      </c>
      <c r="J9946" t="s">
        <v>462</v>
      </c>
      <c r="K9946" t="s">
        <v>446</v>
      </c>
      <c r="M9946">
        <v>3711</v>
      </c>
    </row>
    <row r="9947" spans="1:14">
      <c r="A9947">
        <v>62800000</v>
      </c>
      <c r="B9947">
        <v>3020018</v>
      </c>
      <c r="C9947" t="s">
        <v>4437</v>
      </c>
      <c r="D9947" t="s">
        <v>441</v>
      </c>
      <c r="F9947">
        <v>0</v>
      </c>
      <c r="G9947">
        <v>5.53</v>
      </c>
      <c r="H9947" t="s">
        <v>8584</v>
      </c>
      <c r="I9947">
        <v>6</v>
      </c>
      <c r="J9947" t="s">
        <v>445</v>
      </c>
      <c r="K9947" t="s">
        <v>446</v>
      </c>
      <c r="M9947">
        <v>3311</v>
      </c>
    </row>
    <row r="9948" spans="1:14">
      <c r="A9948">
        <v>62800008</v>
      </c>
      <c r="B9948">
        <v>3020017</v>
      </c>
      <c r="C9948" t="s">
        <v>4438</v>
      </c>
      <c r="D9948" t="s">
        <v>441</v>
      </c>
      <c r="F9948">
        <v>0</v>
      </c>
      <c r="G9948">
        <v>4.18</v>
      </c>
      <c r="H9948" t="s">
        <v>8584</v>
      </c>
      <c r="I9948">
        <v>5</v>
      </c>
      <c r="J9948" t="s">
        <v>445</v>
      </c>
      <c r="K9948" t="s">
        <v>446</v>
      </c>
      <c r="M9948">
        <v>3211</v>
      </c>
    </row>
    <row r="9949" spans="1:14">
      <c r="A9949">
        <v>62805110</v>
      </c>
      <c r="B9949">
        <v>4013530</v>
      </c>
      <c r="C9949" t="s">
        <v>4439</v>
      </c>
      <c r="D9949" t="s">
        <v>441</v>
      </c>
      <c r="F9949">
        <v>0</v>
      </c>
      <c r="G9949">
        <v>6.9</v>
      </c>
      <c r="H9949" t="s">
        <v>8587</v>
      </c>
      <c r="I9949">
        <v>35</v>
      </c>
      <c r="J9949" t="s">
        <v>462</v>
      </c>
      <c r="K9949" t="s">
        <v>446</v>
      </c>
      <c r="M9949">
        <v>3711</v>
      </c>
    </row>
    <row r="9950" spans="1:14">
      <c r="A9950">
        <v>62805120</v>
      </c>
      <c r="B9950">
        <v>4013686</v>
      </c>
      <c r="C9950" t="s">
        <v>4440</v>
      </c>
      <c r="D9950" t="s">
        <v>441</v>
      </c>
      <c r="F9950">
        <v>0</v>
      </c>
      <c r="G9950">
        <v>7.13</v>
      </c>
      <c r="H9950" t="s">
        <v>8587</v>
      </c>
      <c r="I9950">
        <v>35</v>
      </c>
      <c r="J9950" t="s">
        <v>462</v>
      </c>
      <c r="K9950" t="s">
        <v>446</v>
      </c>
      <c r="M9950">
        <v>3711</v>
      </c>
    </row>
    <row r="9951" spans="1:14">
      <c r="A9951">
        <v>63100000</v>
      </c>
      <c r="B9951">
        <v>3016598</v>
      </c>
      <c r="C9951" t="s">
        <v>4441</v>
      </c>
      <c r="D9951" t="s">
        <v>441</v>
      </c>
      <c r="F9951">
        <v>0</v>
      </c>
      <c r="G9951">
        <v>9.5500000000000007</v>
      </c>
      <c r="H9951" t="s">
        <v>8580</v>
      </c>
      <c r="I9951">
        <v>6</v>
      </c>
      <c r="J9951" t="s">
        <v>445</v>
      </c>
      <c r="K9951" t="s">
        <v>446</v>
      </c>
      <c r="M9951">
        <v>3311</v>
      </c>
      <c r="N9951" t="s">
        <v>16697</v>
      </c>
    </row>
    <row r="9952" spans="1:14">
      <c r="A9952">
        <v>63100008</v>
      </c>
      <c r="B9952">
        <v>3016599</v>
      </c>
      <c r="C9952" t="s">
        <v>4442</v>
      </c>
      <c r="D9952" t="s">
        <v>441</v>
      </c>
      <c r="F9952">
        <v>0</v>
      </c>
      <c r="G9952">
        <v>7.62</v>
      </c>
      <c r="H9952" t="s">
        <v>8580</v>
      </c>
      <c r="I9952">
        <v>9</v>
      </c>
      <c r="J9952" t="s">
        <v>445</v>
      </c>
      <c r="K9952" t="s">
        <v>446</v>
      </c>
      <c r="M9952">
        <v>3211</v>
      </c>
      <c r="N9952" t="s">
        <v>16698</v>
      </c>
    </row>
    <row r="9953" spans="1:14">
      <c r="A9953">
        <v>63105110</v>
      </c>
      <c r="B9953">
        <v>4004242</v>
      </c>
      <c r="C9953" t="s">
        <v>12958</v>
      </c>
      <c r="D9953" t="s">
        <v>441</v>
      </c>
      <c r="F9953">
        <v>0</v>
      </c>
      <c r="G9953">
        <v>11.43</v>
      </c>
      <c r="H9953" t="s">
        <v>8587</v>
      </c>
      <c r="I9953">
        <v>35</v>
      </c>
      <c r="J9953" t="s">
        <v>462</v>
      </c>
      <c r="K9953" t="s">
        <v>446</v>
      </c>
      <c r="M9953">
        <v>3711</v>
      </c>
    </row>
    <row r="9954" spans="1:14">
      <c r="A9954">
        <v>63105111</v>
      </c>
      <c r="B9954">
        <v>3008380</v>
      </c>
      <c r="C9954" t="s">
        <v>4443</v>
      </c>
      <c r="D9954" t="s">
        <v>441</v>
      </c>
      <c r="F9954">
        <v>0</v>
      </c>
      <c r="G9954">
        <v>12.84</v>
      </c>
      <c r="H9954" t="s">
        <v>8584</v>
      </c>
      <c r="I9954">
        <v>35</v>
      </c>
      <c r="J9954" t="s">
        <v>445</v>
      </c>
      <c r="K9954" t="s">
        <v>446</v>
      </c>
      <c r="M9954">
        <v>3711</v>
      </c>
      <c r="N9954" t="s">
        <v>16699</v>
      </c>
    </row>
    <row r="9955" spans="1:14">
      <c r="A9955">
        <v>63105120</v>
      </c>
      <c r="B9955">
        <v>4001078</v>
      </c>
      <c r="C9955" t="s">
        <v>4444</v>
      </c>
      <c r="D9955" t="s">
        <v>441</v>
      </c>
      <c r="F9955">
        <v>0</v>
      </c>
      <c r="G9955">
        <v>11.55</v>
      </c>
      <c r="H9955" t="s">
        <v>8587</v>
      </c>
      <c r="I9955">
        <v>35</v>
      </c>
      <c r="J9955" t="s">
        <v>462</v>
      </c>
      <c r="K9955" t="s">
        <v>446</v>
      </c>
      <c r="M9955">
        <v>3711</v>
      </c>
      <c r="N9955" t="s">
        <v>16697</v>
      </c>
    </row>
    <row r="9956" spans="1:14">
      <c r="A9956">
        <v>63105121</v>
      </c>
      <c r="B9956">
        <v>3008381</v>
      </c>
      <c r="C9956" t="s">
        <v>4445</v>
      </c>
      <c r="D9956" t="s">
        <v>441</v>
      </c>
      <c r="F9956">
        <v>0</v>
      </c>
      <c r="G9956">
        <v>10.9</v>
      </c>
      <c r="H9956" t="s">
        <v>8584</v>
      </c>
      <c r="I9956">
        <v>35</v>
      </c>
      <c r="J9956" t="s">
        <v>445</v>
      </c>
      <c r="K9956" t="s">
        <v>446</v>
      </c>
      <c r="M9956">
        <v>3711</v>
      </c>
      <c r="N9956" t="s">
        <v>16697</v>
      </c>
    </row>
    <row r="9957" spans="1:14">
      <c r="A9957">
        <v>63105130</v>
      </c>
      <c r="B9957">
        <v>4004243</v>
      </c>
      <c r="C9957" t="s">
        <v>4446</v>
      </c>
      <c r="D9957" t="s">
        <v>441</v>
      </c>
      <c r="F9957">
        <v>0</v>
      </c>
      <c r="G9957">
        <v>11.51</v>
      </c>
      <c r="H9957" t="s">
        <v>8587</v>
      </c>
      <c r="I9957">
        <v>35</v>
      </c>
      <c r="J9957" t="s">
        <v>462</v>
      </c>
      <c r="K9957" t="s">
        <v>446</v>
      </c>
      <c r="M9957">
        <v>3711</v>
      </c>
      <c r="N9957" t="s">
        <v>16697</v>
      </c>
    </row>
    <row r="9958" spans="1:14">
      <c r="A9958">
        <v>63105140</v>
      </c>
      <c r="B9958">
        <v>4004244</v>
      </c>
      <c r="C9958" t="s">
        <v>4447</v>
      </c>
      <c r="D9958" t="s">
        <v>441</v>
      </c>
      <c r="F9958">
        <v>0</v>
      </c>
      <c r="G9958">
        <v>11.54</v>
      </c>
      <c r="H9958" t="s">
        <v>8587</v>
      </c>
      <c r="I9958">
        <v>35</v>
      </c>
      <c r="J9958" t="s">
        <v>462</v>
      </c>
      <c r="K9958" t="s">
        <v>446</v>
      </c>
      <c r="M9958">
        <v>3711</v>
      </c>
      <c r="N9958" t="s">
        <v>16697</v>
      </c>
    </row>
    <row r="9959" spans="1:14">
      <c r="A9959">
        <v>63105150</v>
      </c>
      <c r="B9959">
        <v>4004245</v>
      </c>
      <c r="C9959" t="s">
        <v>12959</v>
      </c>
      <c r="D9959" t="s">
        <v>441</v>
      </c>
      <c r="F9959">
        <v>0</v>
      </c>
      <c r="G9959">
        <v>13.76</v>
      </c>
      <c r="H9959" t="s">
        <v>8587</v>
      </c>
      <c r="I9959">
        <v>35</v>
      </c>
      <c r="J9959" t="s">
        <v>462</v>
      </c>
      <c r="K9959" t="s">
        <v>446</v>
      </c>
      <c r="M9959">
        <v>3711</v>
      </c>
      <c r="N9959" t="s">
        <v>16699</v>
      </c>
    </row>
    <row r="9960" spans="1:14">
      <c r="A9960">
        <v>63105160</v>
      </c>
      <c r="B9960">
        <v>4009625</v>
      </c>
      <c r="C9960" t="s">
        <v>4448</v>
      </c>
      <c r="D9960" t="s">
        <v>441</v>
      </c>
      <c r="F9960">
        <v>0</v>
      </c>
      <c r="G9960">
        <v>11.51</v>
      </c>
      <c r="H9960" t="s">
        <v>8587</v>
      </c>
      <c r="I9960">
        <v>35</v>
      </c>
      <c r="J9960" t="s">
        <v>462</v>
      </c>
      <c r="K9960" t="s">
        <v>446</v>
      </c>
      <c r="M9960">
        <v>3711</v>
      </c>
    </row>
    <row r="9961" spans="1:14">
      <c r="A9961">
        <v>63105170</v>
      </c>
      <c r="B9961">
        <v>4012583</v>
      </c>
      <c r="C9961" t="s">
        <v>4449</v>
      </c>
      <c r="D9961" t="s">
        <v>441</v>
      </c>
      <c r="F9961">
        <v>0</v>
      </c>
      <c r="G9961">
        <v>13.75</v>
      </c>
      <c r="H9961" t="s">
        <v>8587</v>
      </c>
      <c r="I9961">
        <v>35</v>
      </c>
      <c r="J9961" t="s">
        <v>462</v>
      </c>
      <c r="K9961" t="s">
        <v>446</v>
      </c>
      <c r="M9961">
        <v>3711</v>
      </c>
      <c r="N9961" t="s">
        <v>16699</v>
      </c>
    </row>
    <row r="9962" spans="1:14">
      <c r="A9962">
        <v>63105180</v>
      </c>
      <c r="B9962">
        <v>4012572</v>
      </c>
      <c r="C9962" t="s">
        <v>4450</v>
      </c>
      <c r="D9962" t="s">
        <v>441</v>
      </c>
      <c r="F9962">
        <v>0</v>
      </c>
      <c r="G9962">
        <v>11.96</v>
      </c>
      <c r="H9962" t="s">
        <v>8587</v>
      </c>
      <c r="I9962">
        <v>35</v>
      </c>
      <c r="J9962" t="s">
        <v>462</v>
      </c>
      <c r="K9962" t="s">
        <v>446</v>
      </c>
      <c r="M9962">
        <v>3711</v>
      </c>
      <c r="N9962" t="s">
        <v>16697</v>
      </c>
    </row>
    <row r="9963" spans="1:14">
      <c r="A9963">
        <v>63105190</v>
      </c>
      <c r="B9963">
        <v>4018242</v>
      </c>
      <c r="C9963" t="s">
        <v>4451</v>
      </c>
      <c r="D9963" t="s">
        <v>441</v>
      </c>
      <c r="F9963">
        <v>0</v>
      </c>
      <c r="G9963">
        <v>11.61</v>
      </c>
      <c r="H9963" t="s">
        <v>8587</v>
      </c>
      <c r="I9963">
        <v>35</v>
      </c>
      <c r="J9963" t="s">
        <v>462</v>
      </c>
      <c r="K9963" t="s">
        <v>446</v>
      </c>
      <c r="M9963">
        <v>3711</v>
      </c>
      <c r="N9963" t="s">
        <v>16697</v>
      </c>
    </row>
    <row r="9964" spans="1:14">
      <c r="A9964">
        <v>63500000</v>
      </c>
      <c r="B9964">
        <v>3035792</v>
      </c>
      <c r="C9964" t="s">
        <v>145</v>
      </c>
      <c r="D9964" t="s">
        <v>441</v>
      </c>
      <c r="F9964">
        <v>0</v>
      </c>
      <c r="G9964">
        <v>12.74</v>
      </c>
      <c r="H9964" t="s">
        <v>12573</v>
      </c>
      <c r="I9964">
        <v>4</v>
      </c>
      <c r="J9964" t="s">
        <v>445</v>
      </c>
      <c r="M9964">
        <v>3349</v>
      </c>
      <c r="N9964" t="s">
        <v>16700</v>
      </c>
    </row>
    <row r="9965" spans="1:14">
      <c r="A9965">
        <v>63500008</v>
      </c>
      <c r="B9965">
        <v>3035793</v>
      </c>
      <c r="C9965" t="s">
        <v>4452</v>
      </c>
      <c r="D9965" t="s">
        <v>441</v>
      </c>
      <c r="F9965">
        <v>0</v>
      </c>
      <c r="G9965">
        <v>11.18</v>
      </c>
      <c r="H9965" t="s">
        <v>12664</v>
      </c>
      <c r="I9965">
        <v>9</v>
      </c>
      <c r="J9965" t="s">
        <v>445</v>
      </c>
      <c r="M9965">
        <v>6666</v>
      </c>
      <c r="N9965" t="s">
        <v>16701</v>
      </c>
    </row>
    <row r="9966" spans="1:14">
      <c r="A9966">
        <v>63505110</v>
      </c>
      <c r="B9966">
        <v>4024192</v>
      </c>
      <c r="C9966" t="s">
        <v>4453</v>
      </c>
      <c r="D9966" t="s">
        <v>441</v>
      </c>
      <c r="F9966">
        <v>0</v>
      </c>
      <c r="G9966">
        <v>13.89</v>
      </c>
      <c r="H9966" t="s">
        <v>8587</v>
      </c>
      <c r="I9966">
        <v>37</v>
      </c>
      <c r="J9966" t="s">
        <v>462</v>
      </c>
      <c r="M9966">
        <v>7108</v>
      </c>
      <c r="N9966" t="s">
        <v>16702</v>
      </c>
    </row>
    <row r="9967" spans="1:14">
      <c r="A9967">
        <v>63505120</v>
      </c>
      <c r="B9967">
        <v>4025358</v>
      </c>
      <c r="C9967" t="s">
        <v>4454</v>
      </c>
      <c r="D9967" t="s">
        <v>441</v>
      </c>
      <c r="F9967">
        <v>0</v>
      </c>
      <c r="G9967">
        <v>13.26</v>
      </c>
      <c r="H9967" t="s">
        <v>8587</v>
      </c>
      <c r="I9967">
        <v>37</v>
      </c>
      <c r="J9967" t="s">
        <v>462</v>
      </c>
      <c r="M9967">
        <v>7108</v>
      </c>
      <c r="N9967" t="s">
        <v>16703</v>
      </c>
    </row>
    <row r="9968" spans="1:14">
      <c r="A9968">
        <v>63510000</v>
      </c>
      <c r="B9968">
        <v>3016600</v>
      </c>
      <c r="C9968" t="s">
        <v>14546</v>
      </c>
      <c r="D9968" t="s">
        <v>441</v>
      </c>
      <c r="F9968">
        <v>0</v>
      </c>
      <c r="G9968">
        <v>12.53</v>
      </c>
      <c r="H9968" t="s">
        <v>8580</v>
      </c>
      <c r="I9968">
        <v>4</v>
      </c>
      <c r="J9968" t="s">
        <v>445</v>
      </c>
      <c r="K9968" t="s">
        <v>446</v>
      </c>
      <c r="M9968">
        <v>3349</v>
      </c>
      <c r="N9968" t="s">
        <v>16703</v>
      </c>
    </row>
    <row r="9969" spans="1:14">
      <c r="A9969">
        <v>63510008</v>
      </c>
      <c r="B9969">
        <v>3016601</v>
      </c>
      <c r="C9969" t="s">
        <v>14547</v>
      </c>
      <c r="D9969" t="s">
        <v>441</v>
      </c>
      <c r="F9969">
        <v>0</v>
      </c>
      <c r="G9969">
        <v>11.09</v>
      </c>
      <c r="H9969" t="s">
        <v>8580</v>
      </c>
      <c r="I9969">
        <v>9</v>
      </c>
      <c r="J9969" t="s">
        <v>445</v>
      </c>
      <c r="K9969" t="s">
        <v>446</v>
      </c>
      <c r="M9969">
        <v>6666</v>
      </c>
      <c r="N9969" t="s">
        <v>16704</v>
      </c>
    </row>
    <row r="9970" spans="1:14">
      <c r="A9970">
        <v>63514210</v>
      </c>
      <c r="B9970">
        <v>4010943</v>
      </c>
      <c r="C9970" t="s">
        <v>4455</v>
      </c>
      <c r="D9970" t="s">
        <v>441</v>
      </c>
      <c r="F9970">
        <v>0</v>
      </c>
      <c r="G9970">
        <v>10.83</v>
      </c>
      <c r="H9970" t="s">
        <v>8587</v>
      </c>
      <c r="I9970">
        <v>37</v>
      </c>
      <c r="J9970" t="s">
        <v>462</v>
      </c>
      <c r="K9970" t="s">
        <v>446</v>
      </c>
      <c r="M9970">
        <v>3711</v>
      </c>
      <c r="N9970" t="s">
        <v>16705</v>
      </c>
    </row>
    <row r="9971" spans="1:14">
      <c r="A9971">
        <v>63514240</v>
      </c>
      <c r="B9971">
        <v>4008339</v>
      </c>
      <c r="C9971" t="s">
        <v>4456</v>
      </c>
      <c r="D9971" t="s">
        <v>441</v>
      </c>
      <c r="F9971">
        <v>0</v>
      </c>
      <c r="G9971">
        <v>9.75</v>
      </c>
      <c r="H9971" t="s">
        <v>8587</v>
      </c>
      <c r="I9971">
        <v>37</v>
      </c>
      <c r="J9971" t="s">
        <v>462</v>
      </c>
      <c r="K9971" t="s">
        <v>446</v>
      </c>
      <c r="M9971">
        <v>3711</v>
      </c>
    </row>
    <row r="9972" spans="1:14">
      <c r="A9972">
        <v>63515210</v>
      </c>
      <c r="B9972">
        <v>4001080</v>
      </c>
      <c r="C9972" t="s">
        <v>12960</v>
      </c>
      <c r="D9972" t="s">
        <v>441</v>
      </c>
      <c r="F9972">
        <v>0</v>
      </c>
      <c r="G9972">
        <v>10.61</v>
      </c>
      <c r="H9972" t="s">
        <v>8587</v>
      </c>
      <c r="I9972">
        <v>27</v>
      </c>
      <c r="J9972" t="s">
        <v>462</v>
      </c>
      <c r="K9972" t="s">
        <v>446</v>
      </c>
      <c r="M9972">
        <v>3711</v>
      </c>
    </row>
    <row r="9973" spans="1:14">
      <c r="A9973">
        <v>63515230</v>
      </c>
      <c r="B9973">
        <v>4004255</v>
      </c>
      <c r="C9973" t="s">
        <v>4457</v>
      </c>
      <c r="D9973" t="s">
        <v>441</v>
      </c>
      <c r="F9973">
        <v>0</v>
      </c>
      <c r="G9973">
        <v>10.130000000000001</v>
      </c>
      <c r="H9973" t="s">
        <v>8587</v>
      </c>
      <c r="I9973">
        <v>37</v>
      </c>
      <c r="J9973" t="s">
        <v>462</v>
      </c>
      <c r="K9973" t="s">
        <v>446</v>
      </c>
      <c r="M9973">
        <v>3711</v>
      </c>
      <c r="N9973" t="s">
        <v>16703</v>
      </c>
    </row>
    <row r="9974" spans="1:14">
      <c r="A9974">
        <v>63515280</v>
      </c>
      <c r="B9974">
        <v>4004259</v>
      </c>
      <c r="C9974" t="s">
        <v>12961</v>
      </c>
      <c r="D9974" t="s">
        <v>441</v>
      </c>
      <c r="F9974">
        <v>0</v>
      </c>
      <c r="G9974">
        <v>9.41</v>
      </c>
      <c r="H9974" t="s">
        <v>8587</v>
      </c>
      <c r="I9974">
        <v>37</v>
      </c>
      <c r="J9974" t="s">
        <v>462</v>
      </c>
      <c r="K9974" t="s">
        <v>446</v>
      </c>
      <c r="M9974">
        <v>3711</v>
      </c>
    </row>
    <row r="9975" spans="1:14">
      <c r="A9975">
        <v>63520000</v>
      </c>
      <c r="B9975">
        <v>3016782</v>
      </c>
      <c r="C9975" t="s">
        <v>4458</v>
      </c>
      <c r="D9975" t="s">
        <v>441</v>
      </c>
      <c r="F9975">
        <v>0</v>
      </c>
      <c r="G9975">
        <v>8.32</v>
      </c>
      <c r="H9975" t="s">
        <v>8580</v>
      </c>
      <c r="I9975">
        <v>6</v>
      </c>
      <c r="J9975" t="s">
        <v>445</v>
      </c>
      <c r="K9975" t="s">
        <v>446</v>
      </c>
      <c r="M9975">
        <v>3311</v>
      </c>
    </row>
    <row r="9976" spans="1:14">
      <c r="A9976">
        <v>63520008</v>
      </c>
      <c r="B9976">
        <v>3016783</v>
      </c>
      <c r="C9976" t="s">
        <v>4459</v>
      </c>
      <c r="D9976" t="s">
        <v>441</v>
      </c>
      <c r="F9976">
        <v>0</v>
      </c>
      <c r="G9976">
        <v>7.01</v>
      </c>
      <c r="H9976" t="s">
        <v>8580</v>
      </c>
      <c r="I9976">
        <v>5</v>
      </c>
      <c r="J9976" t="s">
        <v>445</v>
      </c>
      <c r="K9976" t="s">
        <v>446</v>
      </c>
      <c r="M9976">
        <v>3211</v>
      </c>
    </row>
    <row r="9977" spans="1:14">
      <c r="A9977">
        <v>63524210</v>
      </c>
      <c r="B9977">
        <v>4009453</v>
      </c>
      <c r="C9977" t="s">
        <v>4460</v>
      </c>
      <c r="D9977" t="s">
        <v>441</v>
      </c>
      <c r="F9977">
        <v>0</v>
      </c>
      <c r="G9977">
        <v>9.18</v>
      </c>
      <c r="H9977" t="s">
        <v>8587</v>
      </c>
      <c r="I9977">
        <v>42</v>
      </c>
      <c r="J9977" t="s">
        <v>462</v>
      </c>
      <c r="K9977" t="s">
        <v>446</v>
      </c>
      <c r="M9977">
        <v>3711</v>
      </c>
    </row>
    <row r="9978" spans="1:14">
      <c r="A9978">
        <v>63530000</v>
      </c>
      <c r="B9978">
        <v>3016602</v>
      </c>
      <c r="C9978" t="s">
        <v>4461</v>
      </c>
      <c r="D9978" t="s">
        <v>441</v>
      </c>
      <c r="F9978">
        <v>0</v>
      </c>
      <c r="G9978">
        <v>11.51</v>
      </c>
      <c r="H9978" t="s">
        <v>8580</v>
      </c>
      <c r="I9978">
        <v>4</v>
      </c>
      <c r="J9978" t="s">
        <v>445</v>
      </c>
      <c r="K9978" t="s">
        <v>446</v>
      </c>
      <c r="M9978">
        <v>3349</v>
      </c>
      <c r="N9978" t="s">
        <v>16706</v>
      </c>
    </row>
    <row r="9979" spans="1:14">
      <c r="A9979">
        <v>63530008</v>
      </c>
      <c r="B9979">
        <v>3016603</v>
      </c>
      <c r="C9979" t="s">
        <v>4462</v>
      </c>
      <c r="D9979" t="s">
        <v>441</v>
      </c>
      <c r="F9979">
        <v>0</v>
      </c>
      <c r="G9979">
        <v>9.92</v>
      </c>
      <c r="H9979" t="s">
        <v>8580</v>
      </c>
      <c r="I9979">
        <v>9</v>
      </c>
      <c r="J9979" t="s">
        <v>445</v>
      </c>
      <c r="K9979" t="s">
        <v>446</v>
      </c>
      <c r="M9979">
        <v>6666</v>
      </c>
      <c r="N9979" t="s">
        <v>16707</v>
      </c>
    </row>
    <row r="9980" spans="1:14">
      <c r="A9980">
        <v>63534210</v>
      </c>
      <c r="B9980">
        <v>4004260</v>
      </c>
      <c r="C9980" t="s">
        <v>4463</v>
      </c>
      <c r="D9980" t="s">
        <v>441</v>
      </c>
      <c r="F9980">
        <v>0</v>
      </c>
      <c r="G9980">
        <v>12.08</v>
      </c>
      <c r="H9980" t="s">
        <v>8587</v>
      </c>
      <c r="I9980">
        <v>42</v>
      </c>
      <c r="J9980" t="s">
        <v>462</v>
      </c>
      <c r="M9980">
        <v>7108</v>
      </c>
      <c r="N9980" t="s">
        <v>16706</v>
      </c>
    </row>
    <row r="9981" spans="1:14">
      <c r="A9981">
        <v>63534220</v>
      </c>
      <c r="B9981">
        <v>4006962</v>
      </c>
      <c r="C9981" t="s">
        <v>12962</v>
      </c>
      <c r="D9981" t="s">
        <v>441</v>
      </c>
      <c r="F9981">
        <v>0</v>
      </c>
      <c r="G9981">
        <v>9.52</v>
      </c>
      <c r="H9981" t="s">
        <v>8587</v>
      </c>
      <c r="I9981">
        <v>42</v>
      </c>
      <c r="J9981" t="s">
        <v>462</v>
      </c>
      <c r="M9981">
        <v>3711</v>
      </c>
      <c r="N9981" t="s">
        <v>16706</v>
      </c>
    </row>
    <row r="9982" spans="1:14">
      <c r="A9982">
        <v>63534240</v>
      </c>
      <c r="B9982">
        <v>4008338</v>
      </c>
      <c r="C9982" t="s">
        <v>4464</v>
      </c>
      <c r="D9982" t="s">
        <v>441</v>
      </c>
      <c r="F9982">
        <v>0</v>
      </c>
      <c r="G9982">
        <v>9.41</v>
      </c>
      <c r="H9982" t="s">
        <v>8587</v>
      </c>
      <c r="I9982">
        <v>42</v>
      </c>
      <c r="J9982" t="s">
        <v>462</v>
      </c>
      <c r="K9982" t="s">
        <v>446</v>
      </c>
      <c r="M9982">
        <v>3711</v>
      </c>
    </row>
    <row r="9983" spans="1:14">
      <c r="A9983">
        <v>63534250</v>
      </c>
      <c r="B9983">
        <v>4008725</v>
      </c>
      <c r="C9983" t="s">
        <v>4465</v>
      </c>
      <c r="D9983" t="s">
        <v>441</v>
      </c>
      <c r="F9983">
        <v>0</v>
      </c>
      <c r="G9983">
        <v>9.41</v>
      </c>
      <c r="H9983" t="s">
        <v>8587</v>
      </c>
      <c r="I9983">
        <v>42</v>
      </c>
      <c r="J9983" t="s">
        <v>462</v>
      </c>
      <c r="K9983" t="s">
        <v>446</v>
      </c>
      <c r="M9983">
        <v>3711</v>
      </c>
    </row>
    <row r="9984" spans="1:14">
      <c r="A9984">
        <v>63535230</v>
      </c>
      <c r="B9984">
        <v>4004261</v>
      </c>
      <c r="C9984" t="s">
        <v>12963</v>
      </c>
      <c r="D9984" t="s">
        <v>441</v>
      </c>
      <c r="F9984">
        <v>0</v>
      </c>
      <c r="G9984">
        <v>9.5</v>
      </c>
      <c r="H9984" t="s">
        <v>8587</v>
      </c>
      <c r="I9984">
        <v>42</v>
      </c>
      <c r="J9984" t="s">
        <v>462</v>
      </c>
      <c r="K9984" t="s">
        <v>446</v>
      </c>
      <c r="M9984">
        <v>3711</v>
      </c>
    </row>
    <row r="9985" spans="1:14">
      <c r="A9985">
        <v>63540000</v>
      </c>
      <c r="B9985">
        <v>3027792</v>
      </c>
      <c r="C9985" t="s">
        <v>4466</v>
      </c>
      <c r="D9985" t="s">
        <v>441</v>
      </c>
      <c r="F9985">
        <v>0</v>
      </c>
      <c r="G9985">
        <v>14.6</v>
      </c>
      <c r="H9985" t="s">
        <v>12573</v>
      </c>
      <c r="I9985">
        <v>3</v>
      </c>
      <c r="J9985" t="s">
        <v>445</v>
      </c>
      <c r="M9985">
        <v>3349</v>
      </c>
      <c r="N9985" t="s">
        <v>16708</v>
      </c>
    </row>
    <row r="9986" spans="1:14">
      <c r="A9986">
        <v>63540008</v>
      </c>
      <c r="B9986">
        <v>3027762</v>
      </c>
      <c r="C9986" t="s">
        <v>4467</v>
      </c>
      <c r="D9986" t="s">
        <v>441</v>
      </c>
      <c r="F9986">
        <v>0</v>
      </c>
      <c r="G9986">
        <v>13.04</v>
      </c>
      <c r="H9986" t="s">
        <v>12664</v>
      </c>
      <c r="I9986">
        <v>3</v>
      </c>
      <c r="J9986" t="s">
        <v>445</v>
      </c>
      <c r="M9986">
        <v>6666</v>
      </c>
      <c r="N9986" t="s">
        <v>16709</v>
      </c>
    </row>
    <row r="9987" spans="1:14">
      <c r="A9987">
        <v>63540009</v>
      </c>
      <c r="B9987">
        <v>3027791</v>
      </c>
      <c r="C9987" t="s">
        <v>4468</v>
      </c>
      <c r="D9987" t="s">
        <v>441</v>
      </c>
      <c r="F9987">
        <v>0</v>
      </c>
      <c r="G9987">
        <v>14.52</v>
      </c>
      <c r="H9987" t="s">
        <v>12573</v>
      </c>
      <c r="I9987">
        <v>14</v>
      </c>
      <c r="J9987" t="s">
        <v>445</v>
      </c>
      <c r="M9987">
        <v>3349</v>
      </c>
      <c r="N9987" t="s">
        <v>16710</v>
      </c>
    </row>
    <row r="9988" spans="1:14">
      <c r="A9988">
        <v>63544110</v>
      </c>
      <c r="B9988">
        <v>4018461</v>
      </c>
      <c r="C9988" t="s">
        <v>15434</v>
      </c>
      <c r="D9988" t="s">
        <v>442</v>
      </c>
      <c r="E9988" t="s">
        <v>441</v>
      </c>
      <c r="F9988">
        <v>0.4</v>
      </c>
      <c r="G9988">
        <v>8.02</v>
      </c>
      <c r="H9988" t="s">
        <v>8587</v>
      </c>
      <c r="I9988">
        <v>54</v>
      </c>
      <c r="J9988" t="s">
        <v>462</v>
      </c>
      <c r="L9988" t="s">
        <v>12964</v>
      </c>
      <c r="M9988">
        <v>7108</v>
      </c>
      <c r="N9988" t="s">
        <v>16708</v>
      </c>
    </row>
    <row r="9989" spans="1:14">
      <c r="A9989">
        <v>63544120</v>
      </c>
      <c r="B9989">
        <v>4019747</v>
      </c>
      <c r="C9989" t="s">
        <v>4469</v>
      </c>
      <c r="D9989" t="s">
        <v>441</v>
      </c>
      <c r="F9989">
        <v>0</v>
      </c>
      <c r="G9989">
        <v>11.99</v>
      </c>
      <c r="H9989" t="s">
        <v>8587</v>
      </c>
      <c r="I9989">
        <v>54</v>
      </c>
      <c r="J9989" t="s">
        <v>462</v>
      </c>
      <c r="K9989" t="s">
        <v>446</v>
      </c>
      <c r="M9989">
        <v>3711</v>
      </c>
      <c r="N9989" t="s">
        <v>16708</v>
      </c>
    </row>
    <row r="9990" spans="1:14">
      <c r="A9990">
        <v>63544130</v>
      </c>
      <c r="B9990">
        <v>4021143</v>
      </c>
      <c r="C9990" t="s">
        <v>4470</v>
      </c>
      <c r="D9990" t="s">
        <v>442</v>
      </c>
      <c r="E9990" t="s">
        <v>441</v>
      </c>
      <c r="F9990">
        <v>0.4</v>
      </c>
      <c r="G9990">
        <v>4.91</v>
      </c>
      <c r="H9990" t="s">
        <v>8587</v>
      </c>
      <c r="I9990">
        <v>54</v>
      </c>
      <c r="J9990" t="s">
        <v>462</v>
      </c>
      <c r="K9990" t="s">
        <v>446</v>
      </c>
      <c r="M9990">
        <v>3711</v>
      </c>
      <c r="N9990" t="s">
        <v>16708</v>
      </c>
    </row>
    <row r="9991" spans="1:14">
      <c r="A9991">
        <v>63544140</v>
      </c>
      <c r="B9991">
        <v>4021273</v>
      </c>
      <c r="C9991" t="s">
        <v>15435</v>
      </c>
      <c r="D9991" t="s">
        <v>442</v>
      </c>
      <c r="E9991" t="s">
        <v>441</v>
      </c>
      <c r="F9991">
        <v>0.4</v>
      </c>
      <c r="G9991">
        <v>8.06</v>
      </c>
      <c r="H9991" t="s">
        <v>8587</v>
      </c>
      <c r="I9991">
        <v>54</v>
      </c>
      <c r="J9991" t="s">
        <v>462</v>
      </c>
      <c r="M9991">
        <v>7108</v>
      </c>
      <c r="N9991" t="s">
        <v>16708</v>
      </c>
    </row>
    <row r="9992" spans="1:14">
      <c r="A9992">
        <v>63549000</v>
      </c>
      <c r="B9992">
        <v>3045002</v>
      </c>
      <c r="C9992" t="s">
        <v>16711</v>
      </c>
      <c r="D9992" t="s">
        <v>441</v>
      </c>
      <c r="F9992">
        <v>0</v>
      </c>
      <c r="G9992">
        <v>14</v>
      </c>
      <c r="H9992" t="s">
        <v>12573</v>
      </c>
      <c r="I9992">
        <v>4</v>
      </c>
      <c r="J9992" t="s">
        <v>445</v>
      </c>
      <c r="M9992">
        <v>0</v>
      </c>
      <c r="N9992" t="s">
        <v>16712</v>
      </c>
    </row>
    <row r="9993" spans="1:14">
      <c r="A9993">
        <v>63549002</v>
      </c>
      <c r="B9993">
        <v>3045001</v>
      </c>
      <c r="C9993" t="s">
        <v>15602</v>
      </c>
      <c r="D9993" t="s">
        <v>441</v>
      </c>
      <c r="F9993">
        <v>0</v>
      </c>
      <c r="G9993">
        <v>14.96</v>
      </c>
      <c r="H9993" t="s">
        <v>12573</v>
      </c>
      <c r="I9993">
        <v>365</v>
      </c>
      <c r="J9993" t="s">
        <v>445</v>
      </c>
      <c r="M9993">
        <v>7111</v>
      </c>
      <c r="N9993" t="s">
        <v>16713</v>
      </c>
    </row>
    <row r="9994" spans="1:14">
      <c r="A9994">
        <v>63549502</v>
      </c>
      <c r="B9994">
        <v>3045004</v>
      </c>
      <c r="C9994" t="s">
        <v>15603</v>
      </c>
      <c r="D9994" t="s">
        <v>441</v>
      </c>
      <c r="F9994">
        <v>0</v>
      </c>
      <c r="G9994">
        <v>14.38</v>
      </c>
      <c r="H9994" t="s">
        <v>12573</v>
      </c>
      <c r="I9994">
        <v>6</v>
      </c>
      <c r="J9994" t="s">
        <v>445</v>
      </c>
      <c r="M9994">
        <v>2502</v>
      </c>
      <c r="N9994" t="s">
        <v>16714</v>
      </c>
    </row>
    <row r="9995" spans="1:14">
      <c r="A9995">
        <v>63549602</v>
      </c>
      <c r="B9995">
        <v>3045003</v>
      </c>
      <c r="C9995" t="s">
        <v>16715</v>
      </c>
      <c r="D9995" t="s">
        <v>441</v>
      </c>
      <c r="F9995">
        <v>0</v>
      </c>
      <c r="G9995">
        <v>15.25</v>
      </c>
      <c r="H9995" t="s">
        <v>12573</v>
      </c>
      <c r="I9995">
        <v>2</v>
      </c>
      <c r="J9995" t="s">
        <v>445</v>
      </c>
      <c r="K9995" t="s">
        <v>446</v>
      </c>
      <c r="M9995">
        <v>2510</v>
      </c>
      <c r="N9995" t="s">
        <v>16716</v>
      </c>
    </row>
    <row r="9996" spans="1:14">
      <c r="A9996">
        <v>63550000</v>
      </c>
      <c r="B9996">
        <v>3027797</v>
      </c>
      <c r="C9996" t="s">
        <v>4471</v>
      </c>
      <c r="D9996" t="s">
        <v>441</v>
      </c>
      <c r="F9996">
        <v>0</v>
      </c>
      <c r="G9996">
        <v>10.86</v>
      </c>
      <c r="H9996" t="s">
        <v>12573</v>
      </c>
      <c r="I9996">
        <v>7</v>
      </c>
      <c r="J9996" t="s">
        <v>445</v>
      </c>
      <c r="K9996" t="s">
        <v>446</v>
      </c>
      <c r="M9996">
        <v>3312</v>
      </c>
    </row>
    <row r="9997" spans="1:14">
      <c r="A9997">
        <v>63550008</v>
      </c>
      <c r="B9997">
        <v>3022518</v>
      </c>
      <c r="C9997" t="s">
        <v>4472</v>
      </c>
      <c r="D9997" t="s">
        <v>441</v>
      </c>
      <c r="F9997">
        <v>0</v>
      </c>
      <c r="G9997">
        <v>8.4</v>
      </c>
      <c r="H9997" t="s">
        <v>9295</v>
      </c>
      <c r="I9997">
        <v>3</v>
      </c>
      <c r="J9997" t="s">
        <v>445</v>
      </c>
      <c r="K9997" t="s">
        <v>446</v>
      </c>
      <c r="M9997">
        <v>3211</v>
      </c>
    </row>
    <row r="9998" spans="1:14">
      <c r="A9998">
        <v>63550009</v>
      </c>
      <c r="B9998">
        <v>3022519</v>
      </c>
      <c r="C9998" t="s">
        <v>4473</v>
      </c>
      <c r="D9998" t="s">
        <v>441</v>
      </c>
      <c r="F9998">
        <v>0</v>
      </c>
      <c r="G9998">
        <v>9.2899999999999991</v>
      </c>
      <c r="H9998" t="s">
        <v>9295</v>
      </c>
      <c r="I9998">
        <v>3</v>
      </c>
      <c r="J9998" t="s">
        <v>445</v>
      </c>
      <c r="K9998" t="s">
        <v>446</v>
      </c>
      <c r="M9998">
        <v>3311</v>
      </c>
    </row>
    <row r="9999" spans="1:14">
      <c r="A9999">
        <v>63554110</v>
      </c>
      <c r="B9999">
        <v>4018467</v>
      </c>
      <c r="C9999" t="s">
        <v>4474</v>
      </c>
      <c r="D9999" t="s">
        <v>442</v>
      </c>
      <c r="E9999" t="s">
        <v>441</v>
      </c>
      <c r="F9999">
        <v>0.8</v>
      </c>
      <c r="G9999">
        <v>9.76</v>
      </c>
      <c r="H9999" t="s">
        <v>8587</v>
      </c>
      <c r="I9999">
        <v>54</v>
      </c>
      <c r="J9999" t="s">
        <v>462</v>
      </c>
      <c r="K9999" t="s">
        <v>446</v>
      </c>
      <c r="M9999">
        <v>3711</v>
      </c>
    </row>
    <row r="10000" spans="1:14">
      <c r="A10000">
        <v>63554120</v>
      </c>
      <c r="B10000">
        <v>4018493</v>
      </c>
      <c r="C10000" t="s">
        <v>4475</v>
      </c>
      <c r="D10000" t="s">
        <v>441</v>
      </c>
      <c r="F10000">
        <v>0</v>
      </c>
      <c r="G10000">
        <v>11.8</v>
      </c>
      <c r="H10000" t="s">
        <v>8587</v>
      </c>
      <c r="I10000">
        <v>54</v>
      </c>
      <c r="J10000" t="s">
        <v>462</v>
      </c>
      <c r="K10000" t="s">
        <v>446</v>
      </c>
      <c r="M10000">
        <v>3711</v>
      </c>
    </row>
    <row r="10001" spans="1:14">
      <c r="A10001">
        <v>63560000</v>
      </c>
      <c r="B10001">
        <v>3029928</v>
      </c>
      <c r="C10001" t="s">
        <v>4476</v>
      </c>
      <c r="D10001" t="s">
        <v>441</v>
      </c>
      <c r="F10001">
        <v>0</v>
      </c>
      <c r="G10001">
        <v>12.13</v>
      </c>
      <c r="H10001" t="s">
        <v>12573</v>
      </c>
      <c r="I10001">
        <v>7</v>
      </c>
      <c r="J10001" t="s">
        <v>445</v>
      </c>
      <c r="M10001">
        <v>3349</v>
      </c>
      <c r="N10001" t="s">
        <v>16717</v>
      </c>
    </row>
    <row r="10002" spans="1:14">
      <c r="A10002">
        <v>63560008</v>
      </c>
      <c r="B10002">
        <v>3029927</v>
      </c>
      <c r="C10002" t="s">
        <v>4477</v>
      </c>
      <c r="D10002" t="s">
        <v>441</v>
      </c>
      <c r="F10002">
        <v>0</v>
      </c>
      <c r="G10002">
        <v>13.09</v>
      </c>
      <c r="H10002" t="s">
        <v>12664</v>
      </c>
      <c r="I10002">
        <v>2</v>
      </c>
      <c r="J10002" t="s">
        <v>445</v>
      </c>
      <c r="M10002">
        <v>6666</v>
      </c>
      <c r="N10002" t="s">
        <v>16718</v>
      </c>
    </row>
    <row r="10003" spans="1:14">
      <c r="A10003">
        <v>63560009</v>
      </c>
      <c r="B10003">
        <v>3029926</v>
      </c>
      <c r="C10003" t="s">
        <v>4478</v>
      </c>
      <c r="D10003" t="s">
        <v>441</v>
      </c>
      <c r="F10003">
        <v>0</v>
      </c>
      <c r="G10003">
        <v>14.32</v>
      </c>
      <c r="H10003" t="s">
        <v>12573</v>
      </c>
      <c r="I10003">
        <v>6</v>
      </c>
      <c r="J10003" t="s">
        <v>445</v>
      </c>
      <c r="M10003">
        <v>3349</v>
      </c>
      <c r="N10003" t="s">
        <v>16719</v>
      </c>
    </row>
    <row r="10004" spans="1:14">
      <c r="A10004">
        <v>63564110</v>
      </c>
      <c r="B10004">
        <v>4019953</v>
      </c>
      <c r="C10004" t="s">
        <v>4479</v>
      </c>
      <c r="D10004" t="s">
        <v>442</v>
      </c>
      <c r="E10004" t="s">
        <v>441</v>
      </c>
      <c r="F10004">
        <v>0.28599999999999998</v>
      </c>
      <c r="G10004">
        <v>5.83</v>
      </c>
      <c r="H10004" t="s">
        <v>8587</v>
      </c>
      <c r="I10004">
        <v>81</v>
      </c>
      <c r="J10004" t="s">
        <v>462</v>
      </c>
      <c r="K10004" t="s">
        <v>446</v>
      </c>
      <c r="M10004">
        <v>7108</v>
      </c>
      <c r="N10004" t="s">
        <v>16717</v>
      </c>
    </row>
    <row r="10005" spans="1:14">
      <c r="A10005">
        <v>63564120</v>
      </c>
      <c r="B10005">
        <v>4021126</v>
      </c>
      <c r="C10005" t="s">
        <v>4480</v>
      </c>
      <c r="D10005" t="s">
        <v>442</v>
      </c>
      <c r="E10005" t="s">
        <v>441</v>
      </c>
      <c r="F10005">
        <v>0.28599999999999998</v>
      </c>
      <c r="G10005">
        <v>5.82</v>
      </c>
      <c r="H10005" t="s">
        <v>8587</v>
      </c>
      <c r="I10005">
        <v>81</v>
      </c>
      <c r="J10005" t="s">
        <v>462</v>
      </c>
      <c r="K10005" t="s">
        <v>446</v>
      </c>
      <c r="M10005">
        <v>7108</v>
      </c>
      <c r="N10005" t="s">
        <v>16717</v>
      </c>
    </row>
    <row r="10006" spans="1:14">
      <c r="A10006">
        <v>63564130</v>
      </c>
      <c r="B10006">
        <v>4021564</v>
      </c>
      <c r="C10006" t="s">
        <v>4481</v>
      </c>
      <c r="D10006" t="s">
        <v>442</v>
      </c>
      <c r="E10006" t="s">
        <v>441</v>
      </c>
      <c r="F10006">
        <v>0.57199999999999995</v>
      </c>
      <c r="G10006">
        <v>11.64</v>
      </c>
      <c r="H10006" t="s">
        <v>8587</v>
      </c>
      <c r="I10006">
        <v>81</v>
      </c>
      <c r="J10006" t="s">
        <v>462</v>
      </c>
      <c r="K10006" t="s">
        <v>446</v>
      </c>
      <c r="L10006" t="s">
        <v>12965</v>
      </c>
      <c r="M10006">
        <v>7108</v>
      </c>
      <c r="N10006" t="s">
        <v>16717</v>
      </c>
    </row>
    <row r="10007" spans="1:14">
      <c r="A10007">
        <v>63570000</v>
      </c>
      <c r="B10007">
        <v>3030075</v>
      </c>
      <c r="C10007" t="s">
        <v>4482</v>
      </c>
      <c r="D10007" t="s">
        <v>441</v>
      </c>
      <c r="F10007">
        <v>0</v>
      </c>
      <c r="G10007">
        <v>11.59</v>
      </c>
      <c r="H10007" t="s">
        <v>12573</v>
      </c>
      <c r="I10007">
        <v>7</v>
      </c>
      <c r="J10007" t="s">
        <v>445</v>
      </c>
      <c r="K10007" t="s">
        <v>446</v>
      </c>
      <c r="M10007">
        <v>3312</v>
      </c>
      <c r="N10007" t="s">
        <v>16720</v>
      </c>
    </row>
    <row r="10008" spans="1:14">
      <c r="A10008">
        <v>63570008</v>
      </c>
      <c r="B10008">
        <v>3030074</v>
      </c>
      <c r="C10008" t="s">
        <v>4483</v>
      </c>
      <c r="D10008" t="s">
        <v>441</v>
      </c>
      <c r="F10008">
        <v>0</v>
      </c>
      <c r="G10008">
        <v>9.07</v>
      </c>
      <c r="H10008" t="s">
        <v>12664</v>
      </c>
      <c r="I10008">
        <v>3</v>
      </c>
      <c r="J10008" t="s">
        <v>445</v>
      </c>
      <c r="K10008" t="s">
        <v>446</v>
      </c>
      <c r="M10008">
        <v>3211</v>
      </c>
      <c r="N10008" t="s">
        <v>16720</v>
      </c>
    </row>
    <row r="10009" spans="1:14">
      <c r="A10009">
        <v>63570009</v>
      </c>
      <c r="B10009">
        <v>3030073</v>
      </c>
      <c r="C10009" t="s">
        <v>4484</v>
      </c>
      <c r="D10009" t="s">
        <v>441</v>
      </c>
      <c r="F10009">
        <v>0</v>
      </c>
      <c r="G10009">
        <v>10</v>
      </c>
      <c r="H10009" t="s">
        <v>12573</v>
      </c>
      <c r="I10009">
        <v>6</v>
      </c>
      <c r="J10009" t="s">
        <v>445</v>
      </c>
      <c r="K10009" t="s">
        <v>446</v>
      </c>
      <c r="M10009">
        <v>3311</v>
      </c>
      <c r="N10009" t="s">
        <v>16720</v>
      </c>
    </row>
    <row r="10010" spans="1:14">
      <c r="A10010">
        <v>63574110</v>
      </c>
      <c r="B10010">
        <v>4020020</v>
      </c>
      <c r="C10010" t="s">
        <v>4485</v>
      </c>
      <c r="D10010" t="s">
        <v>442</v>
      </c>
      <c r="E10010" t="s">
        <v>441</v>
      </c>
      <c r="F10010">
        <v>0.3</v>
      </c>
      <c r="G10010">
        <v>4.0599999999999996</v>
      </c>
      <c r="H10010" t="s">
        <v>8587</v>
      </c>
      <c r="I10010">
        <v>54</v>
      </c>
      <c r="J10010" t="s">
        <v>462</v>
      </c>
      <c r="K10010" t="s">
        <v>446</v>
      </c>
      <c r="L10010" t="s">
        <v>12966</v>
      </c>
      <c r="M10010">
        <v>3711</v>
      </c>
      <c r="N10010" t="s">
        <v>16720</v>
      </c>
    </row>
    <row r="10011" spans="1:14">
      <c r="A10011">
        <v>63580000</v>
      </c>
      <c r="B10011">
        <v>3035795</v>
      </c>
      <c r="C10011" t="s">
        <v>20</v>
      </c>
      <c r="D10011" t="s">
        <v>441</v>
      </c>
      <c r="F10011">
        <v>0</v>
      </c>
      <c r="G10011">
        <v>11.81</v>
      </c>
      <c r="H10011" t="s">
        <v>12573</v>
      </c>
      <c r="I10011">
        <v>4</v>
      </c>
      <c r="J10011" t="s">
        <v>445</v>
      </c>
      <c r="M10011">
        <v>3349</v>
      </c>
      <c r="N10011" t="s">
        <v>16721</v>
      </c>
    </row>
    <row r="10012" spans="1:14">
      <c r="A10012">
        <v>63580008</v>
      </c>
      <c r="B10012">
        <v>3035794</v>
      </c>
      <c r="C10012" t="s">
        <v>4486</v>
      </c>
      <c r="D10012" t="s">
        <v>441</v>
      </c>
      <c r="F10012">
        <v>0</v>
      </c>
      <c r="G10012">
        <v>10.23</v>
      </c>
      <c r="H10012" t="s">
        <v>12664</v>
      </c>
      <c r="I10012">
        <v>9</v>
      </c>
      <c r="J10012" t="s">
        <v>445</v>
      </c>
      <c r="M10012">
        <v>6666</v>
      </c>
      <c r="N10012" t="s">
        <v>16722</v>
      </c>
    </row>
    <row r="10013" spans="1:14">
      <c r="A10013">
        <v>63585110</v>
      </c>
      <c r="B10013">
        <v>4024169</v>
      </c>
      <c r="C10013" t="s">
        <v>12967</v>
      </c>
      <c r="D10013" t="s">
        <v>441</v>
      </c>
      <c r="F10013">
        <v>0</v>
      </c>
      <c r="G10013">
        <v>13.37</v>
      </c>
      <c r="H10013" t="s">
        <v>8587</v>
      </c>
      <c r="I10013">
        <v>42</v>
      </c>
      <c r="J10013" t="s">
        <v>462</v>
      </c>
      <c r="M10013">
        <v>7108</v>
      </c>
      <c r="N10013" t="s">
        <v>16723</v>
      </c>
    </row>
    <row r="10014" spans="1:14">
      <c r="A10014">
        <v>63585120</v>
      </c>
      <c r="B10014">
        <v>4025360</v>
      </c>
      <c r="C10014" t="s">
        <v>4487</v>
      </c>
      <c r="D10014" t="s">
        <v>441</v>
      </c>
      <c r="F10014">
        <v>0</v>
      </c>
      <c r="G10014">
        <v>12.29</v>
      </c>
      <c r="H10014" t="s">
        <v>8587</v>
      </c>
      <c r="I10014">
        <v>42</v>
      </c>
      <c r="J10014" t="s">
        <v>462</v>
      </c>
      <c r="M10014">
        <v>7108</v>
      </c>
      <c r="N10014" t="s">
        <v>16706</v>
      </c>
    </row>
    <row r="10015" spans="1:14">
      <c r="A10015">
        <v>63585130</v>
      </c>
      <c r="B10015">
        <v>4029491</v>
      </c>
      <c r="C10015" t="s">
        <v>15210</v>
      </c>
      <c r="D10015" t="s">
        <v>441</v>
      </c>
      <c r="F10015">
        <v>0</v>
      </c>
      <c r="G10015">
        <v>13.38</v>
      </c>
      <c r="H10015" t="s">
        <v>8587</v>
      </c>
      <c r="I10015">
        <v>42</v>
      </c>
      <c r="J10015" t="s">
        <v>462</v>
      </c>
      <c r="M10015">
        <v>0</v>
      </c>
      <c r="N10015" t="s">
        <v>16723</v>
      </c>
    </row>
    <row r="10016" spans="1:14">
      <c r="A10016">
        <v>63800000</v>
      </c>
      <c r="B10016">
        <v>3008386</v>
      </c>
      <c r="C10016" t="s">
        <v>4488</v>
      </c>
      <c r="D10016" t="s">
        <v>441</v>
      </c>
      <c r="F10016">
        <v>0</v>
      </c>
      <c r="G10016">
        <v>17.62</v>
      </c>
      <c r="H10016" t="s">
        <v>8580</v>
      </c>
      <c r="I10016">
        <v>30</v>
      </c>
      <c r="J10016" t="s">
        <v>445</v>
      </c>
      <c r="K10016" t="s">
        <v>446</v>
      </c>
      <c r="M10016">
        <v>3312</v>
      </c>
    </row>
    <row r="10017" spans="1:13">
      <c r="A10017">
        <v>63800008</v>
      </c>
      <c r="B10017">
        <v>3008387</v>
      </c>
      <c r="C10017" t="s">
        <v>12968</v>
      </c>
      <c r="D10017" t="s">
        <v>441</v>
      </c>
      <c r="F10017">
        <v>0</v>
      </c>
      <c r="G10017">
        <v>11.34</v>
      </c>
      <c r="H10017" t="s">
        <v>8580</v>
      </c>
      <c r="I10017">
        <v>9</v>
      </c>
      <c r="J10017" t="s">
        <v>445</v>
      </c>
      <c r="K10017" t="s">
        <v>446</v>
      </c>
      <c r="M10017">
        <v>3211</v>
      </c>
    </row>
    <row r="10018" spans="1:13">
      <c r="A10018">
        <v>63800009</v>
      </c>
      <c r="B10018">
        <v>3016604</v>
      </c>
      <c r="C10018" t="s">
        <v>12969</v>
      </c>
      <c r="D10018" t="s">
        <v>441</v>
      </c>
      <c r="F10018">
        <v>0</v>
      </c>
      <c r="G10018">
        <v>12.43</v>
      </c>
      <c r="H10018" t="s">
        <v>8580</v>
      </c>
      <c r="I10018">
        <v>36</v>
      </c>
      <c r="J10018" t="s">
        <v>445</v>
      </c>
      <c r="K10018" t="s">
        <v>446</v>
      </c>
      <c r="M10018">
        <v>3311</v>
      </c>
    </row>
    <row r="10019" spans="1:13">
      <c r="A10019">
        <v>63804110</v>
      </c>
      <c r="B10019">
        <v>4004266</v>
      </c>
      <c r="C10019" t="s">
        <v>12970</v>
      </c>
      <c r="D10019" t="s">
        <v>442</v>
      </c>
      <c r="E10019" t="s">
        <v>441</v>
      </c>
      <c r="F10019">
        <v>0.27500000000000002</v>
      </c>
      <c r="G10019">
        <v>5.41</v>
      </c>
      <c r="H10019" t="s">
        <v>8587</v>
      </c>
      <c r="I10019">
        <v>111</v>
      </c>
      <c r="J10019" t="s">
        <v>462</v>
      </c>
      <c r="K10019" t="s">
        <v>446</v>
      </c>
      <c r="M10019">
        <v>3711</v>
      </c>
    </row>
    <row r="10020" spans="1:13">
      <c r="A10020">
        <v>63805110</v>
      </c>
      <c r="B10020">
        <v>4007608</v>
      </c>
      <c r="C10020" t="s">
        <v>12971</v>
      </c>
      <c r="D10020" t="s">
        <v>441</v>
      </c>
      <c r="F10020">
        <v>0</v>
      </c>
      <c r="G10020">
        <v>19.809999999999999</v>
      </c>
      <c r="H10020" t="s">
        <v>8587</v>
      </c>
      <c r="I10020">
        <v>111</v>
      </c>
      <c r="J10020" t="s">
        <v>462</v>
      </c>
      <c r="K10020" t="s">
        <v>446</v>
      </c>
      <c r="M10020">
        <v>3711</v>
      </c>
    </row>
    <row r="10021" spans="1:13">
      <c r="A10021">
        <v>63820000</v>
      </c>
      <c r="B10021">
        <v>3008389</v>
      </c>
      <c r="C10021" t="s">
        <v>4489</v>
      </c>
      <c r="D10021" t="s">
        <v>441</v>
      </c>
      <c r="F10021">
        <v>0</v>
      </c>
      <c r="G10021">
        <v>8.8699999999999992</v>
      </c>
      <c r="H10021" t="s">
        <v>8584</v>
      </c>
      <c r="I10021">
        <v>28</v>
      </c>
      <c r="J10021" t="s">
        <v>445</v>
      </c>
      <c r="K10021" t="s">
        <v>446</v>
      </c>
      <c r="M10021">
        <v>3311</v>
      </c>
    </row>
    <row r="10022" spans="1:13">
      <c r="A10022">
        <v>63820008</v>
      </c>
      <c r="B10022">
        <v>3008390</v>
      </c>
      <c r="C10022" t="s">
        <v>12972</v>
      </c>
      <c r="D10022" t="s">
        <v>441</v>
      </c>
      <c r="F10022">
        <v>0</v>
      </c>
      <c r="G10022">
        <v>8.02</v>
      </c>
      <c r="H10022" t="s">
        <v>8580</v>
      </c>
      <c r="I10022">
        <v>9</v>
      </c>
      <c r="J10022" t="s">
        <v>445</v>
      </c>
      <c r="K10022" t="s">
        <v>446</v>
      </c>
      <c r="M10022">
        <v>3211</v>
      </c>
    </row>
    <row r="10023" spans="1:13">
      <c r="A10023">
        <v>63822000</v>
      </c>
      <c r="B10023">
        <v>4001082</v>
      </c>
      <c r="C10023" t="s">
        <v>4490</v>
      </c>
      <c r="D10023" t="s">
        <v>441</v>
      </c>
      <c r="F10023">
        <v>0</v>
      </c>
      <c r="G10023">
        <v>9.1999999999999993</v>
      </c>
      <c r="H10023" t="s">
        <v>8587</v>
      </c>
      <c r="I10023">
        <v>64</v>
      </c>
      <c r="J10023" t="s">
        <v>462</v>
      </c>
      <c r="K10023" t="s">
        <v>446</v>
      </c>
      <c r="M10023">
        <v>3711</v>
      </c>
    </row>
    <row r="10024" spans="1:13">
      <c r="A10024">
        <v>63822030</v>
      </c>
      <c r="B10024">
        <v>4004269</v>
      </c>
      <c r="C10024" t="s">
        <v>4491</v>
      </c>
      <c r="D10024" t="s">
        <v>441</v>
      </c>
      <c r="F10024">
        <v>0</v>
      </c>
      <c r="G10024">
        <v>9.1999999999999993</v>
      </c>
      <c r="H10024" t="s">
        <v>8587</v>
      </c>
      <c r="I10024">
        <v>64</v>
      </c>
      <c r="J10024" t="s">
        <v>462</v>
      </c>
      <c r="K10024" t="s">
        <v>446</v>
      </c>
      <c r="M10024">
        <v>3711</v>
      </c>
    </row>
    <row r="10025" spans="1:13">
      <c r="A10025">
        <v>63830000</v>
      </c>
      <c r="B10025">
        <v>3008391</v>
      </c>
      <c r="C10025" t="s">
        <v>4492</v>
      </c>
      <c r="D10025" t="s">
        <v>441</v>
      </c>
      <c r="F10025">
        <v>0</v>
      </c>
      <c r="G10025">
        <v>9.61</v>
      </c>
      <c r="H10025" t="s">
        <v>8584</v>
      </c>
      <c r="I10025">
        <v>28</v>
      </c>
      <c r="J10025" t="s">
        <v>445</v>
      </c>
      <c r="K10025" t="s">
        <v>446</v>
      </c>
      <c r="M10025">
        <v>3311</v>
      </c>
    </row>
    <row r="10026" spans="1:13">
      <c r="A10026">
        <v>63830008</v>
      </c>
      <c r="B10026">
        <v>3008392</v>
      </c>
      <c r="C10026" t="s">
        <v>12973</v>
      </c>
      <c r="D10026" t="s">
        <v>441</v>
      </c>
      <c r="F10026">
        <v>0</v>
      </c>
      <c r="G10026">
        <v>7.91</v>
      </c>
      <c r="H10026" t="s">
        <v>8584</v>
      </c>
      <c r="I10026">
        <v>9</v>
      </c>
      <c r="J10026" t="s">
        <v>445</v>
      </c>
      <c r="K10026" t="s">
        <v>446</v>
      </c>
      <c r="M10026">
        <v>3211</v>
      </c>
    </row>
    <row r="10027" spans="1:13">
      <c r="A10027">
        <v>63844110</v>
      </c>
      <c r="B10027">
        <v>4007939</v>
      </c>
      <c r="C10027" t="s">
        <v>4493</v>
      </c>
      <c r="D10027" t="s">
        <v>442</v>
      </c>
      <c r="E10027" t="s">
        <v>441</v>
      </c>
      <c r="F10027">
        <v>0.6</v>
      </c>
      <c r="G10027">
        <v>8.58</v>
      </c>
      <c r="H10027" t="s">
        <v>8587</v>
      </c>
      <c r="I10027">
        <v>81</v>
      </c>
      <c r="J10027" t="s">
        <v>462</v>
      </c>
      <c r="K10027" t="s">
        <v>446</v>
      </c>
      <c r="M10027">
        <v>3711</v>
      </c>
    </row>
    <row r="10028" spans="1:13">
      <c r="A10028">
        <v>63850000</v>
      </c>
      <c r="B10028">
        <v>3008941</v>
      </c>
      <c r="C10028" t="s">
        <v>4494</v>
      </c>
      <c r="D10028" t="s">
        <v>441</v>
      </c>
      <c r="F10028">
        <v>0</v>
      </c>
      <c r="G10028">
        <v>11.46</v>
      </c>
      <c r="H10028" t="s">
        <v>8580</v>
      </c>
      <c r="I10028">
        <v>30</v>
      </c>
      <c r="J10028" t="s">
        <v>445</v>
      </c>
      <c r="K10028" t="s">
        <v>446</v>
      </c>
      <c r="M10028">
        <v>3312</v>
      </c>
    </row>
    <row r="10029" spans="1:13">
      <c r="A10029">
        <v>63850008</v>
      </c>
      <c r="B10029">
        <v>3016706</v>
      </c>
      <c r="C10029" t="s">
        <v>12974</v>
      </c>
      <c r="D10029" t="s">
        <v>441</v>
      </c>
      <c r="F10029">
        <v>0</v>
      </c>
      <c r="G10029">
        <v>9.2200000000000006</v>
      </c>
      <c r="H10029" t="s">
        <v>8580</v>
      </c>
      <c r="I10029">
        <v>5</v>
      </c>
      <c r="J10029" t="s">
        <v>445</v>
      </c>
      <c r="K10029" t="s">
        <v>446</v>
      </c>
      <c r="M10029">
        <v>3211</v>
      </c>
    </row>
    <row r="10030" spans="1:13">
      <c r="A10030">
        <v>63850009</v>
      </c>
      <c r="B10030">
        <v>3016705</v>
      </c>
      <c r="C10030" t="s">
        <v>12975</v>
      </c>
      <c r="D10030" t="s">
        <v>441</v>
      </c>
      <c r="F10030">
        <v>0</v>
      </c>
      <c r="G10030">
        <v>10.1</v>
      </c>
      <c r="H10030" t="s">
        <v>8580</v>
      </c>
      <c r="I10030">
        <v>5</v>
      </c>
      <c r="J10030" t="s">
        <v>445</v>
      </c>
      <c r="K10030" t="s">
        <v>446</v>
      </c>
      <c r="M10030">
        <v>3311</v>
      </c>
    </row>
    <row r="10031" spans="1:13">
      <c r="A10031">
        <v>63854210</v>
      </c>
      <c r="B10031">
        <v>4008076</v>
      </c>
      <c r="C10031" t="s">
        <v>4495</v>
      </c>
      <c r="D10031" t="s">
        <v>441</v>
      </c>
      <c r="F10031">
        <v>0</v>
      </c>
      <c r="G10031">
        <v>12.54</v>
      </c>
      <c r="H10031" t="s">
        <v>8587</v>
      </c>
      <c r="I10031">
        <v>35</v>
      </c>
      <c r="J10031" t="s">
        <v>462</v>
      </c>
      <c r="K10031" t="s">
        <v>446</v>
      </c>
      <c r="M10031">
        <v>3711</v>
      </c>
    </row>
    <row r="10032" spans="1:13">
      <c r="A10032">
        <v>63855110</v>
      </c>
      <c r="B10032">
        <v>4008077</v>
      </c>
      <c r="C10032" t="s">
        <v>4496</v>
      </c>
      <c r="D10032" t="s">
        <v>441</v>
      </c>
      <c r="F10032">
        <v>0</v>
      </c>
      <c r="G10032">
        <v>12.64</v>
      </c>
      <c r="H10032" t="s">
        <v>8587</v>
      </c>
      <c r="I10032">
        <v>59</v>
      </c>
      <c r="J10032" t="s">
        <v>462</v>
      </c>
      <c r="K10032" t="s">
        <v>446</v>
      </c>
      <c r="M10032">
        <v>3711</v>
      </c>
    </row>
    <row r="10033" spans="1:14">
      <c r="A10033">
        <v>63855120</v>
      </c>
      <c r="B10033">
        <v>4008643</v>
      </c>
      <c r="C10033" t="s">
        <v>4497</v>
      </c>
      <c r="D10033" t="s">
        <v>441</v>
      </c>
      <c r="F10033">
        <v>0</v>
      </c>
      <c r="G10033">
        <v>12.9</v>
      </c>
      <c r="H10033" t="s">
        <v>8587</v>
      </c>
      <c r="I10033">
        <v>59</v>
      </c>
      <c r="J10033" t="s">
        <v>462</v>
      </c>
      <c r="K10033" t="s">
        <v>446</v>
      </c>
      <c r="M10033">
        <v>3711</v>
      </c>
    </row>
    <row r="10034" spans="1:14">
      <c r="A10034">
        <v>63855130</v>
      </c>
      <c r="B10034">
        <v>4009580</v>
      </c>
      <c r="C10034" t="s">
        <v>4498</v>
      </c>
      <c r="D10034" t="s">
        <v>441</v>
      </c>
      <c r="F10034">
        <v>0</v>
      </c>
      <c r="G10034">
        <v>12.95</v>
      </c>
      <c r="H10034" t="s">
        <v>8587</v>
      </c>
      <c r="I10034">
        <v>59</v>
      </c>
      <c r="J10034" t="s">
        <v>462</v>
      </c>
      <c r="K10034" t="s">
        <v>446</v>
      </c>
      <c r="M10034">
        <v>3711</v>
      </c>
    </row>
    <row r="10035" spans="1:14">
      <c r="A10035">
        <v>64000000</v>
      </c>
      <c r="B10035">
        <v>3016707</v>
      </c>
      <c r="C10035" t="s">
        <v>4499</v>
      </c>
      <c r="D10035" t="s">
        <v>441</v>
      </c>
      <c r="F10035">
        <v>0</v>
      </c>
      <c r="G10035">
        <v>5.33</v>
      </c>
      <c r="H10035" t="s">
        <v>8580</v>
      </c>
      <c r="I10035">
        <v>6</v>
      </c>
      <c r="J10035" t="s">
        <v>445</v>
      </c>
      <c r="K10035" t="s">
        <v>446</v>
      </c>
      <c r="M10035">
        <v>3311</v>
      </c>
    </row>
    <row r="10036" spans="1:14">
      <c r="A10036">
        <v>64000008</v>
      </c>
      <c r="B10036">
        <v>3016708</v>
      </c>
      <c r="C10036" t="s">
        <v>12976</v>
      </c>
      <c r="D10036" t="s">
        <v>441</v>
      </c>
      <c r="F10036">
        <v>0</v>
      </c>
      <c r="G10036">
        <v>4.68</v>
      </c>
      <c r="H10036" t="s">
        <v>8580</v>
      </c>
      <c r="I10036">
        <v>5</v>
      </c>
      <c r="J10036" t="s">
        <v>445</v>
      </c>
      <c r="K10036" t="s">
        <v>446</v>
      </c>
      <c r="M10036">
        <v>3211</v>
      </c>
    </row>
    <row r="10037" spans="1:14">
      <c r="A10037">
        <v>64004110</v>
      </c>
      <c r="B10037">
        <v>4008329</v>
      </c>
      <c r="C10037" t="s">
        <v>4500</v>
      </c>
      <c r="D10037" t="s">
        <v>442</v>
      </c>
      <c r="E10037" t="s">
        <v>441</v>
      </c>
      <c r="F10037">
        <v>0.35</v>
      </c>
      <c r="G10037">
        <v>2.4</v>
      </c>
      <c r="H10037" t="s">
        <v>8587</v>
      </c>
      <c r="I10037">
        <v>60</v>
      </c>
      <c r="J10037" t="s">
        <v>462</v>
      </c>
      <c r="K10037" t="s">
        <v>446</v>
      </c>
      <c r="M10037">
        <v>3711</v>
      </c>
    </row>
    <row r="10038" spans="1:14">
      <c r="A10038">
        <v>64010000</v>
      </c>
      <c r="B10038">
        <v>3026514</v>
      </c>
      <c r="C10038" t="s">
        <v>4501</v>
      </c>
      <c r="D10038" t="s">
        <v>441</v>
      </c>
      <c r="F10038">
        <v>0</v>
      </c>
      <c r="G10038">
        <v>9.7899999999999991</v>
      </c>
      <c r="H10038" t="s">
        <v>12573</v>
      </c>
      <c r="I10038">
        <v>4</v>
      </c>
      <c r="J10038" t="s">
        <v>445</v>
      </c>
      <c r="K10038" t="s">
        <v>446</v>
      </c>
      <c r="M10038">
        <v>3311</v>
      </c>
      <c r="N10038" t="s">
        <v>16724</v>
      </c>
    </row>
    <row r="10039" spans="1:14">
      <c r="A10039">
        <v>64010008</v>
      </c>
      <c r="B10039">
        <v>3026513</v>
      </c>
      <c r="C10039" t="s">
        <v>4502</v>
      </c>
      <c r="D10039" t="s">
        <v>441</v>
      </c>
      <c r="F10039">
        <v>0</v>
      </c>
      <c r="G10039">
        <v>8.5500000000000007</v>
      </c>
      <c r="H10039" t="s">
        <v>12664</v>
      </c>
      <c r="I10039">
        <v>2</v>
      </c>
      <c r="J10039" t="s">
        <v>445</v>
      </c>
      <c r="K10039" t="s">
        <v>446</v>
      </c>
      <c r="M10039">
        <v>3211</v>
      </c>
      <c r="N10039" t="s">
        <v>16724</v>
      </c>
    </row>
    <row r="10040" spans="1:14">
      <c r="A10040">
        <v>64014210</v>
      </c>
      <c r="B10040">
        <v>4017517</v>
      </c>
      <c r="C10040" t="s">
        <v>4503</v>
      </c>
      <c r="D10040" t="s">
        <v>441</v>
      </c>
      <c r="F10040">
        <v>0</v>
      </c>
      <c r="G10040">
        <v>8.4499999999999993</v>
      </c>
      <c r="H10040" t="s">
        <v>8587</v>
      </c>
      <c r="I10040">
        <v>22</v>
      </c>
      <c r="J10040" t="s">
        <v>462</v>
      </c>
      <c r="K10040" t="s">
        <v>446</v>
      </c>
      <c r="M10040">
        <v>3711</v>
      </c>
      <c r="N10040" t="s">
        <v>16725</v>
      </c>
    </row>
    <row r="10041" spans="1:14">
      <c r="A10041">
        <v>64020000</v>
      </c>
      <c r="B10041">
        <v>3026228</v>
      </c>
      <c r="C10041" t="s">
        <v>4504</v>
      </c>
      <c r="D10041" t="s">
        <v>441</v>
      </c>
      <c r="F10041">
        <v>0</v>
      </c>
      <c r="G10041">
        <v>6.51</v>
      </c>
      <c r="H10041" t="s">
        <v>12573</v>
      </c>
      <c r="I10041">
        <v>6</v>
      </c>
      <c r="J10041" t="s">
        <v>445</v>
      </c>
      <c r="K10041" t="s">
        <v>446</v>
      </c>
      <c r="M10041">
        <v>3311</v>
      </c>
    </row>
    <row r="10042" spans="1:14">
      <c r="A10042">
        <v>64020008</v>
      </c>
      <c r="B10042">
        <v>3026229</v>
      </c>
      <c r="C10042" t="s">
        <v>4505</v>
      </c>
      <c r="D10042" t="s">
        <v>441</v>
      </c>
      <c r="F10042">
        <v>0</v>
      </c>
      <c r="G10042">
        <v>5.6</v>
      </c>
      <c r="H10042" t="s">
        <v>12664</v>
      </c>
      <c r="I10042">
        <v>2</v>
      </c>
      <c r="J10042" t="s">
        <v>445</v>
      </c>
      <c r="K10042" t="s">
        <v>446</v>
      </c>
      <c r="M10042">
        <v>3211</v>
      </c>
    </row>
    <row r="10043" spans="1:14">
      <c r="A10043">
        <v>64024110</v>
      </c>
      <c r="B10043">
        <v>4017268</v>
      </c>
      <c r="C10043" t="s">
        <v>4506</v>
      </c>
      <c r="D10043" t="s">
        <v>441</v>
      </c>
      <c r="F10043">
        <v>0</v>
      </c>
      <c r="G10043">
        <v>8.0299999999999994</v>
      </c>
      <c r="H10043" t="s">
        <v>8587</v>
      </c>
      <c r="I10043">
        <v>28</v>
      </c>
      <c r="J10043" t="s">
        <v>462</v>
      </c>
      <c r="K10043" t="s">
        <v>446</v>
      </c>
      <c r="M10043">
        <v>3711</v>
      </c>
    </row>
    <row r="10044" spans="1:14">
      <c r="A10044">
        <v>64030000</v>
      </c>
      <c r="B10044">
        <v>3025431</v>
      </c>
      <c r="C10044" t="s">
        <v>4507</v>
      </c>
      <c r="D10044" t="s">
        <v>441</v>
      </c>
      <c r="F10044">
        <v>0</v>
      </c>
      <c r="G10044">
        <v>6.49</v>
      </c>
      <c r="H10044" t="s">
        <v>8580</v>
      </c>
      <c r="I10044">
        <v>4</v>
      </c>
      <c r="J10044" t="s">
        <v>445</v>
      </c>
      <c r="K10044" t="s">
        <v>446</v>
      </c>
      <c r="M10044">
        <v>3311</v>
      </c>
      <c r="N10044" t="s">
        <v>16726</v>
      </c>
    </row>
    <row r="10045" spans="1:14">
      <c r="A10045">
        <v>64030008</v>
      </c>
      <c r="B10045">
        <v>3015644</v>
      </c>
      <c r="C10045" t="s">
        <v>4508</v>
      </c>
      <c r="D10045" t="s">
        <v>441</v>
      </c>
      <c r="F10045">
        <v>0</v>
      </c>
      <c r="G10045">
        <v>6</v>
      </c>
      <c r="I10045">
        <v>2</v>
      </c>
      <c r="J10045" t="s">
        <v>445</v>
      </c>
      <c r="K10045" t="s">
        <v>446</v>
      </c>
      <c r="M10045">
        <v>3211</v>
      </c>
      <c r="N10045" t="s">
        <v>16727</v>
      </c>
    </row>
    <row r="10046" spans="1:14">
      <c r="A10046">
        <v>64034110</v>
      </c>
      <c r="B10046">
        <v>4016449</v>
      </c>
      <c r="C10046" t="s">
        <v>4509</v>
      </c>
      <c r="D10046" t="s">
        <v>442</v>
      </c>
      <c r="E10046" t="s">
        <v>441</v>
      </c>
      <c r="F10046">
        <v>0.6</v>
      </c>
      <c r="G10046">
        <v>4.29</v>
      </c>
      <c r="H10046" t="s">
        <v>8587</v>
      </c>
      <c r="I10046">
        <v>31</v>
      </c>
      <c r="J10046" t="s">
        <v>462</v>
      </c>
      <c r="K10046" t="s">
        <v>446</v>
      </c>
      <c r="L10046" t="s">
        <v>12977</v>
      </c>
      <c r="M10046">
        <v>3711</v>
      </c>
      <c r="N10046" t="s">
        <v>16727</v>
      </c>
    </row>
    <row r="10047" spans="1:14">
      <c r="A10047">
        <v>64034220</v>
      </c>
      <c r="B10047">
        <v>4023019</v>
      </c>
      <c r="C10047" t="s">
        <v>4510</v>
      </c>
      <c r="D10047" t="s">
        <v>441</v>
      </c>
      <c r="F10047">
        <v>0</v>
      </c>
      <c r="G10047">
        <v>7.45</v>
      </c>
      <c r="H10047" t="s">
        <v>8587</v>
      </c>
      <c r="I10047">
        <v>31</v>
      </c>
      <c r="J10047" t="s">
        <v>462</v>
      </c>
      <c r="K10047" t="s">
        <v>446</v>
      </c>
      <c r="M10047">
        <v>3711</v>
      </c>
      <c r="N10047" t="s">
        <v>16726</v>
      </c>
    </row>
    <row r="10048" spans="1:14">
      <c r="A10048">
        <v>64040000</v>
      </c>
      <c r="B10048">
        <v>3025103</v>
      </c>
      <c r="C10048" t="s">
        <v>4511</v>
      </c>
      <c r="D10048" t="s">
        <v>441</v>
      </c>
      <c r="F10048">
        <v>0</v>
      </c>
      <c r="G10048">
        <v>12.35</v>
      </c>
      <c r="H10048" t="s">
        <v>12573</v>
      </c>
      <c r="I10048">
        <v>4</v>
      </c>
      <c r="J10048" t="s">
        <v>445</v>
      </c>
      <c r="M10048">
        <v>3349</v>
      </c>
      <c r="N10048" t="s">
        <v>16728</v>
      </c>
    </row>
    <row r="10049" spans="1:14">
      <c r="A10049">
        <v>64040008</v>
      </c>
      <c r="B10049">
        <v>3022444</v>
      </c>
      <c r="C10049" t="s">
        <v>4512</v>
      </c>
      <c r="D10049" t="s">
        <v>441</v>
      </c>
      <c r="F10049">
        <v>0</v>
      </c>
      <c r="G10049">
        <v>10.63</v>
      </c>
      <c r="H10049" t="s">
        <v>12664</v>
      </c>
      <c r="I10049">
        <v>2</v>
      </c>
      <c r="J10049" t="s">
        <v>445</v>
      </c>
      <c r="M10049">
        <v>6666</v>
      </c>
      <c r="N10049" t="s">
        <v>16729</v>
      </c>
    </row>
    <row r="10050" spans="1:14">
      <c r="A10050">
        <v>64044210</v>
      </c>
      <c r="B10050">
        <v>4016464</v>
      </c>
      <c r="C10050" t="s">
        <v>4513</v>
      </c>
      <c r="D10050" t="s">
        <v>442</v>
      </c>
      <c r="E10050" t="s">
        <v>441</v>
      </c>
      <c r="F10050">
        <v>0.5</v>
      </c>
      <c r="G10050">
        <v>5.59</v>
      </c>
      <c r="H10050" t="s">
        <v>8587</v>
      </c>
      <c r="I10050">
        <v>22</v>
      </c>
      <c r="J10050" t="s">
        <v>462</v>
      </c>
      <c r="K10050" t="s">
        <v>446</v>
      </c>
      <c r="L10050" t="s">
        <v>12978</v>
      </c>
      <c r="M10050">
        <v>3711</v>
      </c>
      <c r="N10050" t="s">
        <v>16730</v>
      </c>
    </row>
    <row r="10051" spans="1:14">
      <c r="A10051">
        <v>64044220</v>
      </c>
      <c r="B10051">
        <v>4019550</v>
      </c>
      <c r="C10051" t="s">
        <v>4514</v>
      </c>
      <c r="D10051" t="s">
        <v>442</v>
      </c>
      <c r="E10051" t="s">
        <v>441</v>
      </c>
      <c r="F10051">
        <v>0.5</v>
      </c>
      <c r="G10051">
        <v>5.53</v>
      </c>
      <c r="H10051" t="s">
        <v>8587</v>
      </c>
      <c r="I10051">
        <v>22</v>
      </c>
      <c r="J10051" t="s">
        <v>462</v>
      </c>
      <c r="K10051" t="s">
        <v>446</v>
      </c>
      <c r="L10051" t="s">
        <v>12978</v>
      </c>
      <c r="M10051">
        <v>3711</v>
      </c>
      <c r="N10051" t="s">
        <v>16730</v>
      </c>
    </row>
    <row r="10052" spans="1:14">
      <c r="A10052">
        <v>64044230</v>
      </c>
      <c r="B10052">
        <v>4020760</v>
      </c>
      <c r="C10052" t="s">
        <v>4515</v>
      </c>
      <c r="D10052" t="s">
        <v>442</v>
      </c>
      <c r="E10052" t="s">
        <v>441</v>
      </c>
      <c r="F10052">
        <v>0.5</v>
      </c>
      <c r="G10052">
        <v>5.44</v>
      </c>
      <c r="H10052" t="s">
        <v>8587</v>
      </c>
      <c r="I10052">
        <v>22</v>
      </c>
      <c r="J10052" t="s">
        <v>462</v>
      </c>
      <c r="K10052" t="s">
        <v>446</v>
      </c>
      <c r="L10052" t="s">
        <v>12978</v>
      </c>
      <c r="M10052">
        <v>3711</v>
      </c>
      <c r="N10052" t="s">
        <v>16731</v>
      </c>
    </row>
    <row r="10053" spans="1:14">
      <c r="A10053">
        <v>64044240</v>
      </c>
      <c r="B10053">
        <v>4024505</v>
      </c>
      <c r="C10053" t="s">
        <v>4516</v>
      </c>
      <c r="D10053" t="s">
        <v>442</v>
      </c>
      <c r="E10053" t="s">
        <v>441</v>
      </c>
      <c r="F10053">
        <v>0.5</v>
      </c>
      <c r="G10053">
        <v>5.16</v>
      </c>
      <c r="H10053" t="s">
        <v>8587</v>
      </c>
      <c r="I10053">
        <v>22</v>
      </c>
      <c r="J10053" t="s">
        <v>462</v>
      </c>
      <c r="K10053" t="s">
        <v>446</v>
      </c>
      <c r="L10053" t="s">
        <v>12979</v>
      </c>
      <c r="M10053">
        <v>3711</v>
      </c>
      <c r="N10053" t="s">
        <v>16731</v>
      </c>
    </row>
    <row r="10054" spans="1:14">
      <c r="A10054">
        <v>64044250</v>
      </c>
      <c r="B10054">
        <v>4025158</v>
      </c>
      <c r="C10054" t="s">
        <v>14548</v>
      </c>
      <c r="D10054" t="s">
        <v>441</v>
      </c>
      <c r="F10054">
        <v>0</v>
      </c>
      <c r="G10054">
        <v>13.84</v>
      </c>
      <c r="H10054" t="s">
        <v>8587</v>
      </c>
      <c r="I10054">
        <v>22</v>
      </c>
      <c r="J10054" t="s">
        <v>462</v>
      </c>
      <c r="M10054">
        <v>7108</v>
      </c>
      <c r="N10054" t="s">
        <v>16731</v>
      </c>
    </row>
    <row r="10055" spans="1:14">
      <c r="A10055">
        <v>64044260</v>
      </c>
      <c r="B10055">
        <v>4025274</v>
      </c>
      <c r="C10055" t="s">
        <v>4517</v>
      </c>
      <c r="D10055" t="s">
        <v>442</v>
      </c>
      <c r="E10055" t="s">
        <v>441</v>
      </c>
      <c r="F10055">
        <v>0.5</v>
      </c>
      <c r="G10055">
        <v>6.86</v>
      </c>
      <c r="H10055" t="s">
        <v>8587</v>
      </c>
      <c r="I10055">
        <v>22</v>
      </c>
      <c r="J10055" t="s">
        <v>462</v>
      </c>
      <c r="L10055" t="s">
        <v>12980</v>
      </c>
      <c r="M10055">
        <v>7108</v>
      </c>
      <c r="N10055" t="s">
        <v>16731</v>
      </c>
    </row>
    <row r="10056" spans="1:14">
      <c r="A10056">
        <v>64044270</v>
      </c>
      <c r="B10056">
        <v>4025906</v>
      </c>
      <c r="C10056" t="s">
        <v>4518</v>
      </c>
      <c r="D10056" t="s">
        <v>442</v>
      </c>
      <c r="E10056" t="s">
        <v>441</v>
      </c>
      <c r="F10056">
        <v>0.5</v>
      </c>
      <c r="G10056">
        <v>6.76</v>
      </c>
      <c r="H10056" t="s">
        <v>8587</v>
      </c>
      <c r="I10056">
        <v>22</v>
      </c>
      <c r="J10056" t="s">
        <v>462</v>
      </c>
      <c r="L10056" t="s">
        <v>12979</v>
      </c>
      <c r="M10056">
        <v>7108</v>
      </c>
      <c r="N10056" t="s">
        <v>16731</v>
      </c>
    </row>
    <row r="10057" spans="1:14">
      <c r="A10057">
        <v>64044280</v>
      </c>
      <c r="B10057">
        <v>4027926</v>
      </c>
      <c r="C10057" t="s">
        <v>14549</v>
      </c>
      <c r="D10057" t="s">
        <v>441</v>
      </c>
      <c r="F10057">
        <v>0</v>
      </c>
      <c r="G10057">
        <v>13.8</v>
      </c>
      <c r="H10057" t="s">
        <v>8587</v>
      </c>
      <c r="I10057">
        <v>22</v>
      </c>
      <c r="J10057" t="s">
        <v>462</v>
      </c>
      <c r="K10057" t="s">
        <v>446</v>
      </c>
      <c r="M10057">
        <v>7108</v>
      </c>
      <c r="N10057" t="s">
        <v>16731</v>
      </c>
    </row>
    <row r="10058" spans="1:14">
      <c r="A10058">
        <v>64049000</v>
      </c>
      <c r="B10058">
        <v>3039149</v>
      </c>
      <c r="C10058" t="s">
        <v>16732</v>
      </c>
      <c r="D10058" t="s">
        <v>441</v>
      </c>
      <c r="F10058">
        <v>0</v>
      </c>
      <c r="G10058">
        <v>11.8</v>
      </c>
      <c r="H10058" t="s">
        <v>12573</v>
      </c>
      <c r="I10058">
        <v>4</v>
      </c>
      <c r="J10058" t="s">
        <v>445</v>
      </c>
      <c r="M10058">
        <v>3350</v>
      </c>
      <c r="N10058" t="s">
        <v>16583</v>
      </c>
    </row>
    <row r="10059" spans="1:14">
      <c r="A10059">
        <v>64049002</v>
      </c>
      <c r="B10059">
        <v>3042489</v>
      </c>
      <c r="C10059" t="s">
        <v>16733</v>
      </c>
      <c r="D10059" t="s">
        <v>441</v>
      </c>
      <c r="F10059">
        <v>0</v>
      </c>
      <c r="G10059">
        <v>12.75</v>
      </c>
      <c r="H10059" t="s">
        <v>8587</v>
      </c>
      <c r="I10059">
        <v>180</v>
      </c>
      <c r="J10059" t="s">
        <v>445</v>
      </c>
      <c r="M10059">
        <v>7111</v>
      </c>
      <c r="N10059" t="s">
        <v>16585</v>
      </c>
    </row>
    <row r="10060" spans="1:14">
      <c r="A10060">
        <v>64049502</v>
      </c>
      <c r="B10060">
        <v>3042500</v>
      </c>
      <c r="C10060" t="s">
        <v>16734</v>
      </c>
      <c r="D10060" t="s">
        <v>441</v>
      </c>
      <c r="F10060">
        <v>0</v>
      </c>
      <c r="G10060">
        <v>12.17</v>
      </c>
      <c r="H10060" t="s">
        <v>8587</v>
      </c>
      <c r="I10060">
        <v>3</v>
      </c>
      <c r="J10060" t="s">
        <v>445</v>
      </c>
      <c r="M10060">
        <v>2502</v>
      </c>
      <c r="N10060" t="s">
        <v>16735</v>
      </c>
    </row>
    <row r="10061" spans="1:14">
      <c r="A10061">
        <v>64049602</v>
      </c>
      <c r="B10061">
        <v>3042501</v>
      </c>
      <c r="C10061" t="s">
        <v>4519</v>
      </c>
      <c r="D10061" t="s">
        <v>441</v>
      </c>
      <c r="F10061">
        <v>0</v>
      </c>
      <c r="G10061">
        <v>13.03</v>
      </c>
      <c r="H10061" t="s">
        <v>12573</v>
      </c>
      <c r="I10061">
        <v>2</v>
      </c>
      <c r="J10061" t="s">
        <v>445</v>
      </c>
      <c r="M10061">
        <v>2510</v>
      </c>
      <c r="N10061" t="s">
        <v>16589</v>
      </c>
    </row>
    <row r="10062" spans="1:14">
      <c r="A10062">
        <v>64050000</v>
      </c>
      <c r="B10062">
        <v>3016605</v>
      </c>
      <c r="C10062" t="s">
        <v>4520</v>
      </c>
      <c r="D10062" t="s">
        <v>441</v>
      </c>
      <c r="F10062">
        <v>0</v>
      </c>
      <c r="G10062">
        <v>11.27</v>
      </c>
      <c r="H10062" t="s">
        <v>8580</v>
      </c>
      <c r="I10062">
        <v>4</v>
      </c>
      <c r="J10062" t="s">
        <v>445</v>
      </c>
      <c r="M10062">
        <v>3349</v>
      </c>
      <c r="N10062" t="s">
        <v>16736</v>
      </c>
    </row>
    <row r="10063" spans="1:14">
      <c r="A10063">
        <v>64050008</v>
      </c>
      <c r="B10063">
        <v>3016606</v>
      </c>
      <c r="C10063" t="s">
        <v>4521</v>
      </c>
      <c r="D10063" t="s">
        <v>441</v>
      </c>
      <c r="F10063">
        <v>0</v>
      </c>
      <c r="G10063">
        <v>9.35</v>
      </c>
      <c r="H10063" t="s">
        <v>8580</v>
      </c>
      <c r="I10063">
        <v>9</v>
      </c>
      <c r="J10063" t="s">
        <v>445</v>
      </c>
      <c r="M10063">
        <v>6666</v>
      </c>
      <c r="N10063" t="s">
        <v>16737</v>
      </c>
    </row>
    <row r="10064" spans="1:14">
      <c r="A10064">
        <v>64054050</v>
      </c>
      <c r="B10064">
        <v>4004270</v>
      </c>
      <c r="C10064" t="s">
        <v>4522</v>
      </c>
      <c r="D10064" t="s">
        <v>441</v>
      </c>
      <c r="F10064">
        <v>0</v>
      </c>
      <c r="G10064">
        <v>7.75</v>
      </c>
      <c r="H10064" t="s">
        <v>8587</v>
      </c>
      <c r="I10064">
        <v>37</v>
      </c>
      <c r="J10064" t="s">
        <v>462</v>
      </c>
      <c r="K10064" t="s">
        <v>446</v>
      </c>
      <c r="M10064">
        <v>3711</v>
      </c>
      <c r="N10064" t="s">
        <v>16738</v>
      </c>
    </row>
    <row r="10065" spans="1:14">
      <c r="A10065">
        <v>64054060</v>
      </c>
      <c r="B10065">
        <v>4018100</v>
      </c>
      <c r="C10065" t="s">
        <v>4523</v>
      </c>
      <c r="D10065" t="s">
        <v>441</v>
      </c>
      <c r="F10065">
        <v>0</v>
      </c>
      <c r="G10065">
        <v>8</v>
      </c>
      <c r="H10065" t="s">
        <v>8587</v>
      </c>
      <c r="I10065">
        <v>37</v>
      </c>
      <c r="J10065" t="s">
        <v>462</v>
      </c>
      <c r="K10065" t="s">
        <v>446</v>
      </c>
      <c r="M10065">
        <v>3711</v>
      </c>
      <c r="N10065" t="s">
        <v>16738</v>
      </c>
    </row>
    <row r="10066" spans="1:14">
      <c r="A10066">
        <v>64054110</v>
      </c>
      <c r="B10066">
        <v>4009730</v>
      </c>
      <c r="C10066" t="s">
        <v>4524</v>
      </c>
      <c r="D10066" t="s">
        <v>442</v>
      </c>
      <c r="E10066" t="s">
        <v>441</v>
      </c>
      <c r="F10066">
        <v>0.52</v>
      </c>
      <c r="G10066">
        <v>5.48</v>
      </c>
      <c r="H10066" t="s">
        <v>8587</v>
      </c>
      <c r="I10066">
        <v>35</v>
      </c>
      <c r="J10066" t="s">
        <v>462</v>
      </c>
      <c r="K10066" t="s">
        <v>446</v>
      </c>
      <c r="M10066">
        <v>3711</v>
      </c>
    </row>
    <row r="10067" spans="1:14">
      <c r="A10067">
        <v>64054120</v>
      </c>
      <c r="B10067">
        <v>4010977</v>
      </c>
      <c r="C10067" t="s">
        <v>4525</v>
      </c>
      <c r="D10067" t="s">
        <v>442</v>
      </c>
      <c r="E10067" t="s">
        <v>441</v>
      </c>
      <c r="F10067">
        <v>0.52</v>
      </c>
      <c r="G10067">
        <v>5.36</v>
      </c>
      <c r="H10067" t="s">
        <v>8587</v>
      </c>
      <c r="I10067">
        <v>37</v>
      </c>
      <c r="J10067" t="s">
        <v>462</v>
      </c>
      <c r="K10067" t="s">
        <v>446</v>
      </c>
      <c r="M10067">
        <v>3711</v>
      </c>
      <c r="N10067" t="s">
        <v>16738</v>
      </c>
    </row>
    <row r="10068" spans="1:14">
      <c r="A10068">
        <v>64054130</v>
      </c>
      <c r="B10068">
        <v>4011204</v>
      </c>
      <c r="C10068" t="s">
        <v>4526</v>
      </c>
      <c r="D10068" t="s">
        <v>442</v>
      </c>
      <c r="E10068" t="s">
        <v>441</v>
      </c>
      <c r="F10068">
        <v>0.52</v>
      </c>
      <c r="G10068">
        <v>6.28</v>
      </c>
      <c r="H10068" t="s">
        <v>8587</v>
      </c>
      <c r="I10068">
        <v>42</v>
      </c>
      <c r="J10068" t="s">
        <v>462</v>
      </c>
      <c r="L10068" t="s">
        <v>12981</v>
      </c>
      <c r="M10068">
        <v>7108</v>
      </c>
      <c r="N10068" t="s">
        <v>16739</v>
      </c>
    </row>
    <row r="10069" spans="1:14">
      <c r="A10069">
        <v>64054140</v>
      </c>
      <c r="B10069">
        <v>4004271</v>
      </c>
      <c r="C10069" t="s">
        <v>4527</v>
      </c>
      <c r="D10069" t="s">
        <v>441</v>
      </c>
      <c r="F10069">
        <v>0</v>
      </c>
      <c r="G10069">
        <v>8.61</v>
      </c>
      <c r="H10069" t="s">
        <v>8587</v>
      </c>
      <c r="I10069">
        <v>37</v>
      </c>
      <c r="J10069" t="s">
        <v>462</v>
      </c>
      <c r="K10069" t="s">
        <v>446</v>
      </c>
      <c r="M10069">
        <v>3711</v>
      </c>
    </row>
    <row r="10070" spans="1:14">
      <c r="A10070">
        <v>64054150</v>
      </c>
      <c r="B10070">
        <v>4004272</v>
      </c>
      <c r="C10070" t="s">
        <v>17603</v>
      </c>
      <c r="D10070" t="s">
        <v>441</v>
      </c>
      <c r="F10070">
        <v>0</v>
      </c>
      <c r="G10070">
        <v>16.170000000000002</v>
      </c>
      <c r="H10070" t="s">
        <v>8587</v>
      </c>
      <c r="I10070">
        <v>42</v>
      </c>
      <c r="J10070" t="s">
        <v>462</v>
      </c>
      <c r="M10070">
        <v>7108</v>
      </c>
      <c r="N10070" t="s">
        <v>16739</v>
      </c>
    </row>
    <row r="10071" spans="1:14">
      <c r="A10071">
        <v>64054160</v>
      </c>
      <c r="B10071">
        <v>4004273</v>
      </c>
      <c r="C10071" t="s">
        <v>4528</v>
      </c>
      <c r="D10071" t="s">
        <v>442</v>
      </c>
      <c r="E10071" t="s">
        <v>441</v>
      </c>
      <c r="F10071">
        <v>0.52</v>
      </c>
      <c r="G10071">
        <v>6.59</v>
      </c>
      <c r="H10071" t="s">
        <v>8587</v>
      </c>
      <c r="I10071">
        <v>42</v>
      </c>
      <c r="J10071" t="s">
        <v>462</v>
      </c>
      <c r="L10071" t="s">
        <v>12982</v>
      </c>
      <c r="M10071">
        <v>7108</v>
      </c>
      <c r="N10071" t="s">
        <v>16739</v>
      </c>
    </row>
    <row r="10072" spans="1:14">
      <c r="A10072">
        <v>64054170</v>
      </c>
      <c r="B10072">
        <v>4006987</v>
      </c>
      <c r="C10072" t="s">
        <v>4529</v>
      </c>
      <c r="D10072" t="s">
        <v>442</v>
      </c>
      <c r="E10072" t="s">
        <v>441</v>
      </c>
      <c r="F10072">
        <v>0.52</v>
      </c>
      <c r="G10072">
        <v>4.7699999999999996</v>
      </c>
      <c r="H10072" t="s">
        <v>8587</v>
      </c>
      <c r="I10072">
        <v>42</v>
      </c>
      <c r="J10072" t="s">
        <v>462</v>
      </c>
      <c r="K10072" t="s">
        <v>446</v>
      </c>
      <c r="L10072" t="s">
        <v>12982</v>
      </c>
      <c r="M10072">
        <v>7108</v>
      </c>
      <c r="N10072" t="s">
        <v>16739</v>
      </c>
    </row>
    <row r="10073" spans="1:14">
      <c r="A10073">
        <v>64054180</v>
      </c>
      <c r="B10073">
        <v>4012582</v>
      </c>
      <c r="C10073" t="s">
        <v>4530</v>
      </c>
      <c r="D10073" t="s">
        <v>441</v>
      </c>
      <c r="F10073">
        <v>0</v>
      </c>
      <c r="G10073">
        <v>9.3000000000000007</v>
      </c>
      <c r="H10073" t="s">
        <v>8587</v>
      </c>
      <c r="I10073">
        <v>37</v>
      </c>
      <c r="J10073" t="s">
        <v>462</v>
      </c>
      <c r="M10073">
        <v>3711</v>
      </c>
      <c r="N10073" t="s">
        <v>16739</v>
      </c>
    </row>
    <row r="10074" spans="1:14">
      <c r="A10074">
        <v>64054190</v>
      </c>
      <c r="B10074">
        <v>4012495</v>
      </c>
      <c r="C10074" t="s">
        <v>14550</v>
      </c>
      <c r="D10074" t="s">
        <v>441</v>
      </c>
      <c r="F10074">
        <v>0</v>
      </c>
      <c r="G10074">
        <v>14.25</v>
      </c>
      <c r="H10074" t="s">
        <v>8587</v>
      </c>
      <c r="I10074">
        <v>42</v>
      </c>
      <c r="J10074" t="s">
        <v>462</v>
      </c>
      <c r="M10074">
        <v>7108</v>
      </c>
      <c r="N10074" t="s">
        <v>16739</v>
      </c>
    </row>
    <row r="10075" spans="1:14">
      <c r="A10075">
        <v>64054210</v>
      </c>
      <c r="B10075">
        <v>4016000</v>
      </c>
      <c r="C10075" t="s">
        <v>4531</v>
      </c>
      <c r="D10075" t="s">
        <v>442</v>
      </c>
      <c r="E10075" t="s">
        <v>441</v>
      </c>
      <c r="F10075">
        <v>0.52</v>
      </c>
      <c r="G10075">
        <v>6.37</v>
      </c>
      <c r="H10075" t="s">
        <v>8587</v>
      </c>
      <c r="I10075">
        <v>42</v>
      </c>
      <c r="J10075" t="s">
        <v>462</v>
      </c>
      <c r="M10075">
        <v>7108</v>
      </c>
      <c r="N10075" t="s">
        <v>16739</v>
      </c>
    </row>
    <row r="10076" spans="1:14">
      <c r="A10076">
        <v>64054220</v>
      </c>
      <c r="B10076">
        <v>4001083</v>
      </c>
      <c r="C10076" t="s">
        <v>12983</v>
      </c>
      <c r="D10076" t="s">
        <v>441</v>
      </c>
      <c r="F10076">
        <v>0</v>
      </c>
      <c r="G10076">
        <v>9.01</v>
      </c>
      <c r="H10076" t="s">
        <v>8587</v>
      </c>
      <c r="I10076">
        <v>37</v>
      </c>
      <c r="J10076" t="s">
        <v>462</v>
      </c>
      <c r="K10076" t="s">
        <v>446</v>
      </c>
      <c r="M10076">
        <v>3711</v>
      </c>
    </row>
    <row r="10077" spans="1:14">
      <c r="A10077">
        <v>64054230</v>
      </c>
      <c r="B10077">
        <v>4004274</v>
      </c>
      <c r="C10077" t="s">
        <v>4532</v>
      </c>
      <c r="D10077" t="s">
        <v>441</v>
      </c>
      <c r="F10077">
        <v>0</v>
      </c>
      <c r="G10077">
        <v>7.75</v>
      </c>
      <c r="H10077" t="s">
        <v>8587</v>
      </c>
      <c r="I10077">
        <v>37</v>
      </c>
      <c r="J10077" t="s">
        <v>462</v>
      </c>
      <c r="K10077" t="s">
        <v>446</v>
      </c>
      <c r="M10077">
        <v>3711</v>
      </c>
    </row>
    <row r="10078" spans="1:14">
      <c r="A10078">
        <v>64054240</v>
      </c>
      <c r="B10078">
        <v>4018630</v>
      </c>
      <c r="C10078" t="s">
        <v>4533</v>
      </c>
      <c r="D10078" t="s">
        <v>442</v>
      </c>
      <c r="E10078" t="s">
        <v>441</v>
      </c>
      <c r="F10078">
        <v>0.78</v>
      </c>
      <c r="G10078">
        <v>6.19</v>
      </c>
      <c r="H10078" t="s">
        <v>8587</v>
      </c>
      <c r="I10078">
        <v>42</v>
      </c>
      <c r="J10078" t="s">
        <v>462</v>
      </c>
      <c r="K10078" t="s">
        <v>446</v>
      </c>
      <c r="M10078">
        <v>3711</v>
      </c>
      <c r="N10078" t="s">
        <v>16739</v>
      </c>
    </row>
    <row r="10079" spans="1:14">
      <c r="A10079">
        <v>64054260</v>
      </c>
      <c r="B10079">
        <v>4020521</v>
      </c>
      <c r="C10079" t="s">
        <v>4534</v>
      </c>
      <c r="D10079" t="s">
        <v>441</v>
      </c>
      <c r="F10079">
        <v>0</v>
      </c>
      <c r="G10079">
        <v>8.7799999999999994</v>
      </c>
      <c r="H10079" t="s">
        <v>8587</v>
      </c>
      <c r="I10079">
        <v>42</v>
      </c>
      <c r="J10079" t="s">
        <v>462</v>
      </c>
      <c r="K10079" t="s">
        <v>446</v>
      </c>
      <c r="M10079">
        <v>7108</v>
      </c>
      <c r="N10079" t="s">
        <v>16739</v>
      </c>
    </row>
    <row r="10080" spans="1:14">
      <c r="A10080">
        <v>64054280</v>
      </c>
      <c r="B10080">
        <v>4001084</v>
      </c>
      <c r="C10080" t="s">
        <v>4535</v>
      </c>
      <c r="D10080" t="s">
        <v>441</v>
      </c>
      <c r="F10080">
        <v>0</v>
      </c>
      <c r="G10080">
        <v>11.38</v>
      </c>
      <c r="H10080" t="s">
        <v>8587</v>
      </c>
      <c r="I10080">
        <v>42</v>
      </c>
      <c r="J10080" t="s">
        <v>462</v>
      </c>
      <c r="M10080">
        <v>7108</v>
      </c>
      <c r="N10080" t="s">
        <v>16739</v>
      </c>
    </row>
    <row r="10081" spans="1:14">
      <c r="A10081">
        <v>64054290</v>
      </c>
      <c r="B10081">
        <v>4012581</v>
      </c>
      <c r="C10081" t="s">
        <v>4536</v>
      </c>
      <c r="D10081" t="s">
        <v>441</v>
      </c>
      <c r="F10081">
        <v>0</v>
      </c>
      <c r="G10081">
        <v>9.73</v>
      </c>
      <c r="H10081" t="s">
        <v>8587</v>
      </c>
      <c r="I10081">
        <v>37</v>
      </c>
      <c r="J10081" t="s">
        <v>462</v>
      </c>
      <c r="K10081" t="s">
        <v>446</v>
      </c>
      <c r="M10081">
        <v>3711</v>
      </c>
      <c r="N10081" t="s">
        <v>16738</v>
      </c>
    </row>
    <row r="10082" spans="1:14">
      <c r="A10082">
        <v>64055110</v>
      </c>
      <c r="B10082">
        <v>4004276</v>
      </c>
      <c r="C10082" t="s">
        <v>4537</v>
      </c>
      <c r="D10082" t="s">
        <v>441</v>
      </c>
      <c r="F10082">
        <v>0</v>
      </c>
      <c r="G10082">
        <v>8.5</v>
      </c>
      <c r="H10082" t="s">
        <v>8587</v>
      </c>
      <c r="I10082">
        <v>35</v>
      </c>
      <c r="J10082" t="s">
        <v>462</v>
      </c>
      <c r="K10082" t="s">
        <v>446</v>
      </c>
      <c r="M10082">
        <v>3711</v>
      </c>
    </row>
    <row r="10083" spans="1:14">
      <c r="A10083">
        <v>64055130</v>
      </c>
      <c r="B10083">
        <v>4004277</v>
      </c>
      <c r="C10083" t="s">
        <v>4538</v>
      </c>
      <c r="D10083" t="s">
        <v>441</v>
      </c>
      <c r="F10083">
        <v>0</v>
      </c>
      <c r="G10083">
        <v>8.52</v>
      </c>
      <c r="H10083" t="s">
        <v>8587</v>
      </c>
      <c r="I10083">
        <v>35</v>
      </c>
      <c r="J10083" t="s">
        <v>462</v>
      </c>
      <c r="K10083" t="s">
        <v>446</v>
      </c>
      <c r="M10083">
        <v>3711</v>
      </c>
    </row>
    <row r="10084" spans="1:14">
      <c r="A10084">
        <v>64055140</v>
      </c>
      <c r="B10084">
        <v>4012549</v>
      </c>
      <c r="C10084" t="s">
        <v>4539</v>
      </c>
      <c r="D10084" t="s">
        <v>442</v>
      </c>
      <c r="E10084" t="s">
        <v>441</v>
      </c>
      <c r="F10084">
        <v>0.52</v>
      </c>
      <c r="G10084">
        <v>8.25</v>
      </c>
      <c r="H10084" t="s">
        <v>8587</v>
      </c>
      <c r="I10084">
        <v>42</v>
      </c>
      <c r="J10084" t="s">
        <v>462</v>
      </c>
      <c r="L10084" t="s">
        <v>15674</v>
      </c>
      <c r="M10084">
        <v>7108</v>
      </c>
      <c r="N10084" t="s">
        <v>16739</v>
      </c>
    </row>
    <row r="10085" spans="1:14">
      <c r="A10085">
        <v>64055150</v>
      </c>
      <c r="B10085">
        <v>4020278</v>
      </c>
      <c r="C10085" t="s">
        <v>17604</v>
      </c>
      <c r="D10085" t="s">
        <v>442</v>
      </c>
      <c r="E10085" t="s">
        <v>441</v>
      </c>
      <c r="F10085">
        <v>0.52</v>
      </c>
      <c r="G10085">
        <v>8.14</v>
      </c>
      <c r="H10085" t="s">
        <v>8587</v>
      </c>
      <c r="I10085">
        <v>42</v>
      </c>
      <c r="J10085" t="s">
        <v>462</v>
      </c>
      <c r="K10085" t="s">
        <v>446</v>
      </c>
      <c r="M10085">
        <v>7108</v>
      </c>
      <c r="N10085" t="s">
        <v>16739</v>
      </c>
    </row>
    <row r="10086" spans="1:14">
      <c r="A10086">
        <v>64056210</v>
      </c>
      <c r="B10086">
        <v>4021611</v>
      </c>
      <c r="C10086" t="s">
        <v>4540</v>
      </c>
      <c r="D10086" t="s">
        <v>441</v>
      </c>
      <c r="F10086">
        <v>0</v>
      </c>
      <c r="G10086">
        <v>11.52</v>
      </c>
      <c r="H10086" t="s">
        <v>8587</v>
      </c>
      <c r="I10086">
        <v>42</v>
      </c>
      <c r="J10086" t="s">
        <v>462</v>
      </c>
      <c r="M10086">
        <v>7108</v>
      </c>
      <c r="N10086" t="s">
        <v>16739</v>
      </c>
    </row>
    <row r="10087" spans="1:14">
      <c r="A10087">
        <v>64056230</v>
      </c>
      <c r="B10087">
        <v>4004278</v>
      </c>
      <c r="C10087" t="s">
        <v>4541</v>
      </c>
      <c r="D10087" t="s">
        <v>441</v>
      </c>
      <c r="F10087">
        <v>0</v>
      </c>
      <c r="G10087">
        <v>7.92</v>
      </c>
      <c r="H10087" t="s">
        <v>8587</v>
      </c>
      <c r="I10087">
        <v>37</v>
      </c>
      <c r="J10087" t="s">
        <v>462</v>
      </c>
      <c r="K10087" t="s">
        <v>446</v>
      </c>
      <c r="M10087">
        <v>3711</v>
      </c>
    </row>
    <row r="10088" spans="1:14">
      <c r="A10088">
        <v>64056240</v>
      </c>
      <c r="B10088">
        <v>4004279</v>
      </c>
      <c r="C10088" t="s">
        <v>4542</v>
      </c>
      <c r="D10088" t="s">
        <v>441</v>
      </c>
      <c r="F10088">
        <v>0</v>
      </c>
      <c r="G10088">
        <v>7.7</v>
      </c>
      <c r="H10088" t="s">
        <v>8587</v>
      </c>
      <c r="I10088">
        <v>37</v>
      </c>
      <c r="J10088" t="s">
        <v>462</v>
      </c>
      <c r="K10088" t="s">
        <v>446</v>
      </c>
      <c r="M10088">
        <v>3711</v>
      </c>
    </row>
    <row r="10089" spans="1:14">
      <c r="A10089">
        <v>64056260</v>
      </c>
      <c r="B10089">
        <v>4004280</v>
      </c>
      <c r="C10089" t="s">
        <v>4543</v>
      </c>
      <c r="D10089" t="s">
        <v>441</v>
      </c>
      <c r="F10089">
        <v>0</v>
      </c>
      <c r="G10089">
        <v>8.2200000000000006</v>
      </c>
      <c r="H10089" t="s">
        <v>8587</v>
      </c>
      <c r="I10089">
        <v>37</v>
      </c>
      <c r="J10089" t="s">
        <v>462</v>
      </c>
      <c r="K10089" t="s">
        <v>446</v>
      </c>
      <c r="M10089">
        <v>3711</v>
      </c>
    </row>
    <row r="10090" spans="1:14">
      <c r="A10090">
        <v>64056270</v>
      </c>
      <c r="B10090">
        <v>4006197</v>
      </c>
      <c r="C10090" t="s">
        <v>4544</v>
      </c>
      <c r="D10090" t="s">
        <v>441</v>
      </c>
      <c r="F10090">
        <v>0</v>
      </c>
      <c r="G10090">
        <v>6.75</v>
      </c>
      <c r="H10090" t="s">
        <v>8587</v>
      </c>
      <c r="I10090">
        <v>37</v>
      </c>
      <c r="J10090" t="s">
        <v>462</v>
      </c>
      <c r="K10090" t="s">
        <v>446</v>
      </c>
      <c r="M10090">
        <v>3711</v>
      </c>
    </row>
    <row r="10091" spans="1:14">
      <c r="A10091">
        <v>64056280</v>
      </c>
      <c r="B10091">
        <v>4007792</v>
      </c>
      <c r="C10091" t="s">
        <v>4545</v>
      </c>
      <c r="D10091" t="s">
        <v>441</v>
      </c>
      <c r="F10091">
        <v>0</v>
      </c>
      <c r="G10091">
        <v>8.7899999999999991</v>
      </c>
      <c r="H10091" t="s">
        <v>8587</v>
      </c>
      <c r="I10091">
        <v>42</v>
      </c>
      <c r="J10091" t="s">
        <v>462</v>
      </c>
      <c r="K10091" t="s">
        <v>446</v>
      </c>
      <c r="M10091">
        <v>7108</v>
      </c>
      <c r="N10091" t="s">
        <v>16739</v>
      </c>
    </row>
    <row r="10092" spans="1:14">
      <c r="A10092">
        <v>64056290</v>
      </c>
      <c r="B10092">
        <v>4008695</v>
      </c>
      <c r="C10092" t="s">
        <v>4546</v>
      </c>
      <c r="D10092" t="s">
        <v>442</v>
      </c>
      <c r="E10092" t="s">
        <v>441</v>
      </c>
      <c r="F10092">
        <v>0.52</v>
      </c>
      <c r="G10092">
        <v>4.45</v>
      </c>
      <c r="H10092" t="s">
        <v>8587</v>
      </c>
      <c r="I10092">
        <v>35</v>
      </c>
      <c r="J10092" t="s">
        <v>462</v>
      </c>
      <c r="K10092" t="s">
        <v>446</v>
      </c>
      <c r="M10092">
        <v>3711</v>
      </c>
    </row>
    <row r="10093" spans="1:14">
      <c r="A10093">
        <v>64060000</v>
      </c>
      <c r="B10093">
        <v>3016729</v>
      </c>
      <c r="C10093" t="s">
        <v>4547</v>
      </c>
      <c r="D10093" t="s">
        <v>441</v>
      </c>
      <c r="F10093">
        <v>0</v>
      </c>
      <c r="G10093">
        <v>12.98</v>
      </c>
      <c r="H10093" t="s">
        <v>12573</v>
      </c>
      <c r="I10093">
        <v>4</v>
      </c>
      <c r="J10093" t="s">
        <v>445</v>
      </c>
      <c r="M10093">
        <v>3349</v>
      </c>
      <c r="N10093" t="s">
        <v>16740</v>
      </c>
    </row>
    <row r="10094" spans="1:14">
      <c r="A10094">
        <v>64060008</v>
      </c>
      <c r="B10094">
        <v>3016730</v>
      </c>
      <c r="C10094" t="s">
        <v>4548</v>
      </c>
      <c r="D10094" t="s">
        <v>441</v>
      </c>
      <c r="F10094">
        <v>0</v>
      </c>
      <c r="G10094">
        <v>10.69</v>
      </c>
      <c r="H10094" t="s">
        <v>8634</v>
      </c>
      <c r="I10094">
        <v>6</v>
      </c>
      <c r="J10094" t="s">
        <v>445</v>
      </c>
      <c r="M10094">
        <v>6666</v>
      </c>
      <c r="N10094" t="s">
        <v>16741</v>
      </c>
    </row>
    <row r="10095" spans="1:14">
      <c r="A10095">
        <v>64064110</v>
      </c>
      <c r="B10095">
        <v>4008685</v>
      </c>
      <c r="C10095" t="s">
        <v>4549</v>
      </c>
      <c r="D10095" t="s">
        <v>442</v>
      </c>
      <c r="E10095" t="s">
        <v>441</v>
      </c>
      <c r="F10095">
        <v>0.5</v>
      </c>
      <c r="G10095">
        <v>6.61</v>
      </c>
      <c r="H10095" t="s">
        <v>8587</v>
      </c>
      <c r="I10095">
        <v>40</v>
      </c>
      <c r="J10095" t="s">
        <v>462</v>
      </c>
      <c r="K10095" t="s">
        <v>446</v>
      </c>
      <c r="M10095">
        <v>3711</v>
      </c>
      <c r="N10095" t="s">
        <v>16742</v>
      </c>
    </row>
    <row r="10096" spans="1:14">
      <c r="A10096">
        <v>64064120</v>
      </c>
      <c r="B10096">
        <v>4008977</v>
      </c>
      <c r="C10096" t="s">
        <v>15333</v>
      </c>
      <c r="D10096" t="s">
        <v>441</v>
      </c>
      <c r="F10096">
        <v>0</v>
      </c>
      <c r="G10096">
        <v>16.399999999999999</v>
      </c>
      <c r="H10096" t="s">
        <v>8587</v>
      </c>
      <c r="I10096">
        <v>40</v>
      </c>
      <c r="J10096" t="s">
        <v>462</v>
      </c>
      <c r="K10096" t="s">
        <v>446</v>
      </c>
      <c r="L10096" t="s">
        <v>12984</v>
      </c>
      <c r="M10096">
        <v>7108</v>
      </c>
      <c r="N10096" t="s">
        <v>16743</v>
      </c>
    </row>
    <row r="10097" spans="1:14">
      <c r="A10097">
        <v>64064130</v>
      </c>
      <c r="B10097">
        <v>4013436</v>
      </c>
      <c r="C10097" t="s">
        <v>14551</v>
      </c>
      <c r="D10097" t="s">
        <v>442</v>
      </c>
      <c r="E10097" t="s">
        <v>441</v>
      </c>
      <c r="F10097">
        <v>0.5</v>
      </c>
      <c r="G10097">
        <v>8.09</v>
      </c>
      <c r="H10097" t="s">
        <v>8587</v>
      </c>
      <c r="I10097">
        <v>40</v>
      </c>
      <c r="J10097" t="s">
        <v>462</v>
      </c>
      <c r="K10097" t="s">
        <v>446</v>
      </c>
      <c r="L10097" t="s">
        <v>12985</v>
      </c>
      <c r="M10097">
        <v>7108</v>
      </c>
      <c r="N10097" t="s">
        <v>16743</v>
      </c>
    </row>
    <row r="10098" spans="1:14">
      <c r="A10098">
        <v>64064140</v>
      </c>
      <c r="B10098">
        <v>4015842</v>
      </c>
      <c r="C10098" t="s">
        <v>4550</v>
      </c>
      <c r="D10098" t="s">
        <v>442</v>
      </c>
      <c r="E10098" t="s">
        <v>441</v>
      </c>
      <c r="F10098">
        <v>0.5</v>
      </c>
      <c r="G10098">
        <v>6.64</v>
      </c>
      <c r="H10098" t="s">
        <v>8587</v>
      </c>
      <c r="I10098">
        <v>40</v>
      </c>
      <c r="J10098" t="s">
        <v>462</v>
      </c>
      <c r="K10098" t="s">
        <v>446</v>
      </c>
      <c r="M10098">
        <v>3711</v>
      </c>
      <c r="N10098" t="s">
        <v>16742</v>
      </c>
    </row>
    <row r="10099" spans="1:14">
      <c r="A10099">
        <v>64064150</v>
      </c>
      <c r="B10099">
        <v>4020355</v>
      </c>
      <c r="C10099" t="s">
        <v>14552</v>
      </c>
      <c r="D10099" t="s">
        <v>442</v>
      </c>
      <c r="E10099" t="s">
        <v>441</v>
      </c>
      <c r="F10099">
        <v>0.5</v>
      </c>
      <c r="G10099">
        <v>8</v>
      </c>
      <c r="H10099" t="s">
        <v>8587</v>
      </c>
      <c r="I10099">
        <v>40</v>
      </c>
      <c r="J10099" t="s">
        <v>462</v>
      </c>
      <c r="K10099" t="s">
        <v>446</v>
      </c>
      <c r="L10099" t="s">
        <v>12986</v>
      </c>
      <c r="M10099">
        <v>7108</v>
      </c>
      <c r="N10099" t="s">
        <v>16743</v>
      </c>
    </row>
    <row r="10100" spans="1:14">
      <c r="A10100">
        <v>64064160</v>
      </c>
      <c r="B10100">
        <v>4020605</v>
      </c>
      <c r="C10100" t="s">
        <v>4551</v>
      </c>
      <c r="D10100" t="s">
        <v>441</v>
      </c>
      <c r="F10100">
        <v>0</v>
      </c>
      <c r="G10100">
        <v>13.29</v>
      </c>
      <c r="H10100" t="s">
        <v>8587</v>
      </c>
      <c r="I10100">
        <v>40</v>
      </c>
      <c r="J10100" t="s">
        <v>462</v>
      </c>
      <c r="K10100" t="s">
        <v>446</v>
      </c>
      <c r="M10100">
        <v>3711</v>
      </c>
      <c r="N10100" t="s">
        <v>16742</v>
      </c>
    </row>
    <row r="10101" spans="1:14">
      <c r="A10101">
        <v>64064170</v>
      </c>
      <c r="B10101">
        <v>4022332</v>
      </c>
      <c r="C10101" t="s">
        <v>4552</v>
      </c>
      <c r="D10101" t="s">
        <v>441</v>
      </c>
      <c r="F10101">
        <v>0</v>
      </c>
      <c r="G10101">
        <v>14.35</v>
      </c>
      <c r="H10101" t="s">
        <v>8587</v>
      </c>
      <c r="I10101">
        <v>40</v>
      </c>
      <c r="J10101" t="s">
        <v>462</v>
      </c>
      <c r="M10101">
        <v>7108</v>
      </c>
      <c r="N10101" t="s">
        <v>16743</v>
      </c>
    </row>
    <row r="10102" spans="1:14">
      <c r="A10102">
        <v>64064180</v>
      </c>
      <c r="B10102">
        <v>4022333</v>
      </c>
      <c r="C10102" t="s">
        <v>4553</v>
      </c>
      <c r="D10102" t="s">
        <v>442</v>
      </c>
      <c r="E10102" t="s">
        <v>441</v>
      </c>
      <c r="F10102">
        <v>0.5</v>
      </c>
      <c r="G10102">
        <v>7.16</v>
      </c>
      <c r="H10102" t="s">
        <v>8587</v>
      </c>
      <c r="I10102">
        <v>40</v>
      </c>
      <c r="J10102" t="s">
        <v>462</v>
      </c>
      <c r="M10102">
        <v>7108</v>
      </c>
      <c r="N10102" t="s">
        <v>16743</v>
      </c>
    </row>
    <row r="10103" spans="1:14">
      <c r="A10103">
        <v>64064190</v>
      </c>
      <c r="B10103">
        <v>4024387</v>
      </c>
      <c r="C10103" t="s">
        <v>4554</v>
      </c>
      <c r="D10103" t="s">
        <v>442</v>
      </c>
      <c r="E10103" t="s">
        <v>441</v>
      </c>
      <c r="F10103">
        <v>0.5</v>
      </c>
      <c r="G10103">
        <v>7.19</v>
      </c>
      <c r="H10103" t="s">
        <v>8587</v>
      </c>
      <c r="I10103">
        <v>40</v>
      </c>
      <c r="J10103" t="s">
        <v>462</v>
      </c>
      <c r="M10103">
        <v>7108</v>
      </c>
      <c r="N10103" t="s">
        <v>16743</v>
      </c>
    </row>
    <row r="10104" spans="1:14">
      <c r="A10104">
        <v>64064210</v>
      </c>
      <c r="B10104">
        <v>4008876</v>
      </c>
      <c r="C10104" t="s">
        <v>4555</v>
      </c>
      <c r="D10104" t="s">
        <v>441</v>
      </c>
      <c r="F10104">
        <v>0</v>
      </c>
      <c r="G10104">
        <v>10.64</v>
      </c>
      <c r="H10104" t="s">
        <v>8587</v>
      </c>
      <c r="I10104">
        <v>27</v>
      </c>
      <c r="J10104" t="s">
        <v>462</v>
      </c>
      <c r="K10104" t="s">
        <v>446</v>
      </c>
      <c r="M10104">
        <v>3711</v>
      </c>
    </row>
    <row r="10105" spans="1:14">
      <c r="A10105">
        <v>64065110</v>
      </c>
      <c r="B10105">
        <v>4030599</v>
      </c>
      <c r="C10105" t="s">
        <v>17605</v>
      </c>
      <c r="D10105" t="s">
        <v>441</v>
      </c>
      <c r="F10105">
        <v>0</v>
      </c>
      <c r="G10105">
        <v>17.57</v>
      </c>
      <c r="H10105" t="s">
        <v>8587</v>
      </c>
      <c r="I10105">
        <v>40</v>
      </c>
      <c r="J10105" t="s">
        <v>462</v>
      </c>
      <c r="M10105">
        <v>7108</v>
      </c>
      <c r="N10105" t="s">
        <v>16743</v>
      </c>
    </row>
    <row r="10106" spans="1:14">
      <c r="A10106">
        <v>64070000</v>
      </c>
      <c r="B10106">
        <v>3016727</v>
      </c>
      <c r="C10106" t="s">
        <v>4556</v>
      </c>
      <c r="D10106" t="s">
        <v>441</v>
      </c>
      <c r="F10106">
        <v>0</v>
      </c>
      <c r="G10106">
        <v>8.1199999999999992</v>
      </c>
      <c r="H10106" t="s">
        <v>8634</v>
      </c>
      <c r="I10106">
        <v>6</v>
      </c>
      <c r="J10106" t="s">
        <v>445</v>
      </c>
      <c r="K10106" t="s">
        <v>446</v>
      </c>
      <c r="M10106">
        <v>3311</v>
      </c>
    </row>
    <row r="10107" spans="1:14">
      <c r="A10107">
        <v>64070008</v>
      </c>
      <c r="B10107">
        <v>3016728</v>
      </c>
      <c r="C10107" t="s">
        <v>12987</v>
      </c>
      <c r="D10107" t="s">
        <v>441</v>
      </c>
      <c r="F10107">
        <v>0</v>
      </c>
      <c r="G10107">
        <v>6.71</v>
      </c>
      <c r="H10107" t="s">
        <v>8634</v>
      </c>
      <c r="I10107">
        <v>6</v>
      </c>
      <c r="J10107" t="s">
        <v>445</v>
      </c>
      <c r="K10107" t="s">
        <v>446</v>
      </c>
      <c r="M10107">
        <v>3211</v>
      </c>
    </row>
    <row r="10108" spans="1:14">
      <c r="A10108">
        <v>64074210</v>
      </c>
      <c r="B10108">
        <v>4008713</v>
      </c>
      <c r="C10108" t="s">
        <v>4557</v>
      </c>
      <c r="D10108" t="s">
        <v>442</v>
      </c>
      <c r="E10108" t="s">
        <v>441</v>
      </c>
      <c r="F10108">
        <v>0.5</v>
      </c>
      <c r="G10108">
        <v>5.0199999999999996</v>
      </c>
      <c r="H10108" t="s">
        <v>8587</v>
      </c>
      <c r="I10108">
        <v>27</v>
      </c>
      <c r="J10108" t="s">
        <v>462</v>
      </c>
      <c r="K10108" t="s">
        <v>446</v>
      </c>
      <c r="L10108" t="s">
        <v>12988</v>
      </c>
      <c r="M10108">
        <v>3711</v>
      </c>
    </row>
    <row r="10109" spans="1:14">
      <c r="A10109">
        <v>64074220</v>
      </c>
      <c r="B10109">
        <v>4008720</v>
      </c>
      <c r="C10109" t="s">
        <v>4558</v>
      </c>
      <c r="D10109" t="s">
        <v>441</v>
      </c>
      <c r="F10109">
        <v>0</v>
      </c>
      <c r="G10109">
        <v>9.09</v>
      </c>
      <c r="H10109" t="s">
        <v>8587</v>
      </c>
      <c r="I10109">
        <v>27</v>
      </c>
      <c r="J10109" t="s">
        <v>462</v>
      </c>
      <c r="K10109" t="s">
        <v>446</v>
      </c>
      <c r="M10109">
        <v>3711</v>
      </c>
    </row>
    <row r="10110" spans="1:14">
      <c r="A10110">
        <v>64080000</v>
      </c>
      <c r="B10110">
        <v>3009457</v>
      </c>
      <c r="C10110" t="s">
        <v>4559</v>
      </c>
      <c r="D10110" t="s">
        <v>441</v>
      </c>
      <c r="F10110">
        <v>0</v>
      </c>
      <c r="G10110">
        <v>9.84</v>
      </c>
      <c r="I10110">
        <v>6</v>
      </c>
      <c r="J10110" t="s">
        <v>445</v>
      </c>
      <c r="K10110" t="s">
        <v>446</v>
      </c>
      <c r="M10110">
        <v>3311</v>
      </c>
    </row>
    <row r="10111" spans="1:14">
      <c r="A10111">
        <v>64080008</v>
      </c>
      <c r="B10111">
        <v>3009458</v>
      </c>
      <c r="C10111" t="s">
        <v>12989</v>
      </c>
      <c r="D10111" t="s">
        <v>441</v>
      </c>
      <c r="F10111">
        <v>0</v>
      </c>
      <c r="G10111">
        <v>8.23</v>
      </c>
      <c r="H10111" t="s">
        <v>8580</v>
      </c>
      <c r="I10111">
        <v>6</v>
      </c>
      <c r="J10111" t="s">
        <v>445</v>
      </c>
      <c r="K10111" t="s">
        <v>446</v>
      </c>
      <c r="M10111">
        <v>3211</v>
      </c>
    </row>
    <row r="10112" spans="1:14">
      <c r="A10112">
        <v>64084210</v>
      </c>
      <c r="B10112">
        <v>4008712</v>
      </c>
      <c r="C10112" t="s">
        <v>4560</v>
      </c>
      <c r="D10112" t="s">
        <v>442</v>
      </c>
      <c r="E10112" t="s">
        <v>441</v>
      </c>
      <c r="F10112">
        <v>0.32</v>
      </c>
      <c r="G10112">
        <v>3.84</v>
      </c>
      <c r="H10112" t="s">
        <v>8587</v>
      </c>
      <c r="I10112">
        <v>28</v>
      </c>
      <c r="J10112" t="s">
        <v>462</v>
      </c>
      <c r="K10112" t="s">
        <v>446</v>
      </c>
      <c r="M10112">
        <v>3711</v>
      </c>
    </row>
    <row r="10113" spans="1:14">
      <c r="A10113">
        <v>64090000</v>
      </c>
      <c r="B10113">
        <v>3012719</v>
      </c>
      <c r="C10113" t="s">
        <v>4561</v>
      </c>
      <c r="D10113" t="s">
        <v>441</v>
      </c>
      <c r="F10113">
        <v>0</v>
      </c>
      <c r="G10113">
        <v>7.23</v>
      </c>
      <c r="H10113" t="s">
        <v>8580</v>
      </c>
      <c r="I10113">
        <v>6</v>
      </c>
      <c r="J10113" t="s">
        <v>445</v>
      </c>
      <c r="K10113" t="s">
        <v>446</v>
      </c>
      <c r="M10113">
        <v>3311</v>
      </c>
    </row>
    <row r="10114" spans="1:14">
      <c r="A10114">
        <v>64090008</v>
      </c>
      <c r="B10114">
        <v>3012718</v>
      </c>
      <c r="C10114" t="s">
        <v>4562</v>
      </c>
      <c r="D10114" t="s">
        <v>441</v>
      </c>
      <c r="F10114">
        <v>0</v>
      </c>
      <c r="G10114">
        <v>6</v>
      </c>
      <c r="H10114" t="s">
        <v>8580</v>
      </c>
      <c r="I10114">
        <v>5</v>
      </c>
      <c r="J10114" t="s">
        <v>445</v>
      </c>
      <c r="K10114" t="s">
        <v>446</v>
      </c>
      <c r="M10114">
        <v>3211</v>
      </c>
    </row>
    <row r="10115" spans="1:14">
      <c r="A10115">
        <v>64104110</v>
      </c>
      <c r="B10115">
        <v>4004281</v>
      </c>
      <c r="C10115" t="s">
        <v>12990</v>
      </c>
      <c r="D10115" t="s">
        <v>442</v>
      </c>
      <c r="E10115" t="s">
        <v>441</v>
      </c>
      <c r="F10115">
        <v>0.45</v>
      </c>
      <c r="G10115">
        <v>3.99</v>
      </c>
      <c r="H10115" t="s">
        <v>8587</v>
      </c>
      <c r="I10115">
        <v>24</v>
      </c>
      <c r="J10115" t="s">
        <v>462</v>
      </c>
      <c r="K10115" t="s">
        <v>446</v>
      </c>
      <c r="M10115">
        <v>3711</v>
      </c>
    </row>
    <row r="10116" spans="1:14">
      <c r="A10116">
        <v>64114210</v>
      </c>
      <c r="B10116">
        <v>4010085</v>
      </c>
      <c r="C10116" t="s">
        <v>12991</v>
      </c>
      <c r="D10116" t="s">
        <v>442</v>
      </c>
      <c r="E10116" t="s">
        <v>441</v>
      </c>
      <c r="F10116">
        <v>1.1000000000000001</v>
      </c>
      <c r="G10116">
        <v>6.38</v>
      </c>
      <c r="H10116" t="s">
        <v>8587</v>
      </c>
      <c r="I10116">
        <v>22</v>
      </c>
      <c r="J10116" t="s">
        <v>462</v>
      </c>
      <c r="K10116" t="s">
        <v>446</v>
      </c>
      <c r="M10116">
        <v>3711</v>
      </c>
      <c r="N10116" t="s">
        <v>16744</v>
      </c>
    </row>
    <row r="10117" spans="1:14">
      <c r="A10117">
        <v>64120000</v>
      </c>
      <c r="B10117">
        <v>3014508</v>
      </c>
      <c r="C10117" t="s">
        <v>4563</v>
      </c>
      <c r="D10117" t="s">
        <v>441</v>
      </c>
      <c r="F10117">
        <v>0</v>
      </c>
      <c r="G10117">
        <v>11.76</v>
      </c>
      <c r="H10117" t="s">
        <v>8580</v>
      </c>
      <c r="I10117">
        <v>6</v>
      </c>
      <c r="J10117" t="s">
        <v>445</v>
      </c>
      <c r="K10117" t="s">
        <v>446</v>
      </c>
      <c r="M10117">
        <v>3311</v>
      </c>
      <c r="N10117" t="s">
        <v>16745</v>
      </c>
    </row>
    <row r="10118" spans="1:14">
      <c r="A10118">
        <v>64120008</v>
      </c>
      <c r="B10118">
        <v>3014506</v>
      </c>
      <c r="C10118" t="s">
        <v>4564</v>
      </c>
      <c r="D10118" t="s">
        <v>441</v>
      </c>
      <c r="F10118">
        <v>0</v>
      </c>
      <c r="G10118">
        <v>9.99</v>
      </c>
      <c r="H10118" t="s">
        <v>8580</v>
      </c>
      <c r="I10118">
        <v>9</v>
      </c>
      <c r="J10118" t="s">
        <v>445</v>
      </c>
      <c r="K10118" t="s">
        <v>446</v>
      </c>
      <c r="M10118">
        <v>3211</v>
      </c>
      <c r="N10118" t="s">
        <v>16745</v>
      </c>
    </row>
    <row r="10119" spans="1:14">
      <c r="A10119">
        <v>64124210</v>
      </c>
      <c r="B10119">
        <v>4010670</v>
      </c>
      <c r="C10119" t="s">
        <v>4565</v>
      </c>
      <c r="D10119" t="s">
        <v>441</v>
      </c>
      <c r="F10119">
        <v>0</v>
      </c>
      <c r="G10119">
        <v>11.84</v>
      </c>
      <c r="H10119" t="s">
        <v>8587</v>
      </c>
      <c r="I10119">
        <v>28</v>
      </c>
      <c r="J10119" t="s">
        <v>462</v>
      </c>
      <c r="K10119" t="s">
        <v>446</v>
      </c>
      <c r="M10119">
        <v>3711</v>
      </c>
    </row>
    <row r="10120" spans="1:14">
      <c r="A10120">
        <v>64124220</v>
      </c>
      <c r="B10120">
        <v>4010763</v>
      </c>
      <c r="C10120" t="s">
        <v>4566</v>
      </c>
      <c r="D10120" t="s">
        <v>441</v>
      </c>
      <c r="F10120">
        <v>0</v>
      </c>
      <c r="G10120">
        <v>10.19</v>
      </c>
      <c r="H10120" t="s">
        <v>8587</v>
      </c>
      <c r="I10120">
        <v>28</v>
      </c>
      <c r="J10120" t="s">
        <v>462</v>
      </c>
      <c r="K10120" t="s">
        <v>446</v>
      </c>
      <c r="M10120">
        <v>3711</v>
      </c>
    </row>
    <row r="10121" spans="1:14">
      <c r="A10121">
        <v>64124230</v>
      </c>
      <c r="B10121">
        <v>4011209</v>
      </c>
      <c r="C10121" t="s">
        <v>4567</v>
      </c>
      <c r="D10121" t="s">
        <v>442</v>
      </c>
      <c r="E10121" t="s">
        <v>441</v>
      </c>
      <c r="F10121">
        <v>0.4</v>
      </c>
      <c r="G10121">
        <v>5.28</v>
      </c>
      <c r="H10121" t="s">
        <v>8587</v>
      </c>
      <c r="I10121">
        <v>28</v>
      </c>
      <c r="J10121" t="s">
        <v>462</v>
      </c>
      <c r="K10121" t="s">
        <v>446</v>
      </c>
      <c r="M10121">
        <v>3711</v>
      </c>
      <c r="N10121" t="s">
        <v>16746</v>
      </c>
    </row>
    <row r="10122" spans="1:14">
      <c r="A10122">
        <v>64124240</v>
      </c>
      <c r="B10122">
        <v>4014071</v>
      </c>
      <c r="C10122" t="s">
        <v>4568</v>
      </c>
      <c r="D10122" t="s">
        <v>442</v>
      </c>
      <c r="E10122" t="s">
        <v>441</v>
      </c>
      <c r="F10122">
        <v>0.4</v>
      </c>
      <c r="G10122">
        <v>4.4800000000000004</v>
      </c>
      <c r="H10122" t="s">
        <v>8587</v>
      </c>
      <c r="I10122">
        <v>28</v>
      </c>
      <c r="J10122" t="s">
        <v>462</v>
      </c>
      <c r="K10122" t="s">
        <v>446</v>
      </c>
      <c r="L10122" t="s">
        <v>12992</v>
      </c>
      <c r="M10122">
        <v>3711</v>
      </c>
    </row>
    <row r="10123" spans="1:14">
      <c r="A10123">
        <v>64130000</v>
      </c>
      <c r="B10123">
        <v>3020120</v>
      </c>
      <c r="C10123" t="s">
        <v>4569</v>
      </c>
      <c r="D10123" t="s">
        <v>441</v>
      </c>
      <c r="F10123">
        <v>0</v>
      </c>
      <c r="G10123">
        <v>12.65</v>
      </c>
      <c r="H10123" t="s">
        <v>8624</v>
      </c>
      <c r="I10123">
        <v>4</v>
      </c>
      <c r="J10123" t="s">
        <v>445</v>
      </c>
      <c r="M10123">
        <v>3349</v>
      </c>
      <c r="N10123" t="s">
        <v>16747</v>
      </c>
    </row>
    <row r="10124" spans="1:14">
      <c r="A10124">
        <v>64130008</v>
      </c>
      <c r="B10124">
        <v>3020098</v>
      </c>
      <c r="C10124" t="s">
        <v>4570</v>
      </c>
      <c r="D10124" t="s">
        <v>441</v>
      </c>
      <c r="F10124">
        <v>0</v>
      </c>
      <c r="G10124">
        <v>10.26</v>
      </c>
      <c r="H10124" t="s">
        <v>8584</v>
      </c>
      <c r="I10124">
        <v>5</v>
      </c>
      <c r="J10124" t="s">
        <v>445</v>
      </c>
      <c r="M10124">
        <v>6666</v>
      </c>
      <c r="N10124" t="s">
        <v>16748</v>
      </c>
    </row>
    <row r="10125" spans="1:14">
      <c r="A10125">
        <v>64134210</v>
      </c>
      <c r="B10125">
        <v>4013850</v>
      </c>
      <c r="C10125" t="s">
        <v>4571</v>
      </c>
      <c r="D10125" t="s">
        <v>442</v>
      </c>
      <c r="E10125" t="s">
        <v>441</v>
      </c>
      <c r="F10125">
        <v>0.54</v>
      </c>
      <c r="G10125">
        <v>6.52</v>
      </c>
      <c r="H10125" t="s">
        <v>8587</v>
      </c>
      <c r="I10125">
        <v>31</v>
      </c>
      <c r="J10125" t="s">
        <v>462</v>
      </c>
      <c r="K10125" t="s">
        <v>446</v>
      </c>
      <c r="M10125">
        <v>3711</v>
      </c>
      <c r="N10125" t="s">
        <v>16749</v>
      </c>
    </row>
    <row r="10126" spans="1:14">
      <c r="A10126">
        <v>64134220</v>
      </c>
      <c r="B10126">
        <v>4013853</v>
      </c>
      <c r="C10126" t="s">
        <v>14553</v>
      </c>
      <c r="D10126" t="s">
        <v>441</v>
      </c>
      <c r="F10126">
        <v>0</v>
      </c>
      <c r="G10126">
        <v>14.51</v>
      </c>
      <c r="H10126" t="s">
        <v>8587</v>
      </c>
      <c r="I10126">
        <v>31</v>
      </c>
      <c r="J10126" t="s">
        <v>462</v>
      </c>
      <c r="M10126">
        <v>7108</v>
      </c>
      <c r="N10126" t="s">
        <v>16750</v>
      </c>
    </row>
    <row r="10127" spans="1:14">
      <c r="A10127">
        <v>64134230</v>
      </c>
      <c r="B10127">
        <v>4013854</v>
      </c>
      <c r="C10127" t="s">
        <v>4572</v>
      </c>
      <c r="D10127" t="s">
        <v>441</v>
      </c>
      <c r="F10127">
        <v>0</v>
      </c>
      <c r="G10127">
        <v>11.14</v>
      </c>
      <c r="H10127" t="s">
        <v>8587</v>
      </c>
      <c r="I10127">
        <v>31</v>
      </c>
      <c r="J10127" t="s">
        <v>462</v>
      </c>
      <c r="K10127" t="s">
        <v>446</v>
      </c>
      <c r="M10127">
        <v>3711</v>
      </c>
    </row>
    <row r="10128" spans="1:14">
      <c r="A10128">
        <v>64134240</v>
      </c>
      <c r="B10128">
        <v>4014180</v>
      </c>
      <c r="C10128" t="s">
        <v>4573</v>
      </c>
      <c r="D10128" t="s">
        <v>442</v>
      </c>
      <c r="E10128" t="s">
        <v>441</v>
      </c>
      <c r="F10128">
        <v>0.54</v>
      </c>
      <c r="G10128">
        <v>7.78</v>
      </c>
      <c r="H10128" t="s">
        <v>8587</v>
      </c>
      <c r="I10128">
        <v>35</v>
      </c>
      <c r="J10128" t="s">
        <v>462</v>
      </c>
      <c r="L10128" t="s">
        <v>12993</v>
      </c>
      <c r="M10128">
        <v>7108</v>
      </c>
      <c r="N10128" t="s">
        <v>16750</v>
      </c>
    </row>
    <row r="10129" spans="1:14">
      <c r="A10129">
        <v>64134250</v>
      </c>
      <c r="B10129">
        <v>4014972</v>
      </c>
      <c r="C10129" t="s">
        <v>4574</v>
      </c>
      <c r="D10129" t="s">
        <v>441</v>
      </c>
      <c r="F10129">
        <v>0</v>
      </c>
      <c r="G10129">
        <v>11.48</v>
      </c>
      <c r="H10129" t="s">
        <v>8587</v>
      </c>
      <c r="I10129">
        <v>31</v>
      </c>
      <c r="J10129" t="s">
        <v>462</v>
      </c>
      <c r="K10129" t="s">
        <v>446</v>
      </c>
      <c r="M10129">
        <v>3711</v>
      </c>
      <c r="N10129" t="s">
        <v>16749</v>
      </c>
    </row>
    <row r="10130" spans="1:14">
      <c r="A10130">
        <v>64134260</v>
      </c>
      <c r="B10130">
        <v>4016460</v>
      </c>
      <c r="C10130" t="s">
        <v>4575</v>
      </c>
      <c r="D10130" t="s">
        <v>442</v>
      </c>
      <c r="E10130" t="s">
        <v>441</v>
      </c>
      <c r="F10130">
        <v>0.54</v>
      </c>
      <c r="G10130">
        <v>6.8</v>
      </c>
      <c r="H10130" t="s">
        <v>8587</v>
      </c>
      <c r="I10130">
        <v>31</v>
      </c>
      <c r="J10130" t="s">
        <v>462</v>
      </c>
      <c r="K10130" t="s">
        <v>446</v>
      </c>
      <c r="L10130" t="s">
        <v>12994</v>
      </c>
      <c r="M10130">
        <v>3711</v>
      </c>
      <c r="N10130" t="s">
        <v>16751</v>
      </c>
    </row>
    <row r="10131" spans="1:14">
      <c r="A10131">
        <v>64134270</v>
      </c>
      <c r="B10131">
        <v>4020136</v>
      </c>
      <c r="C10131" t="s">
        <v>4576</v>
      </c>
      <c r="D10131" t="s">
        <v>442</v>
      </c>
      <c r="E10131" t="s">
        <v>441</v>
      </c>
      <c r="F10131">
        <v>0.27</v>
      </c>
      <c r="G10131">
        <v>3.14</v>
      </c>
      <c r="H10131" t="s">
        <v>8587</v>
      </c>
      <c r="I10131">
        <v>31</v>
      </c>
      <c r="J10131" t="s">
        <v>462</v>
      </c>
      <c r="K10131" t="s">
        <v>446</v>
      </c>
      <c r="L10131" t="s">
        <v>12995</v>
      </c>
      <c r="M10131">
        <v>3711</v>
      </c>
      <c r="N10131" t="s">
        <v>16750</v>
      </c>
    </row>
    <row r="10132" spans="1:14">
      <c r="A10132">
        <v>64134280</v>
      </c>
      <c r="B10132">
        <v>4013651</v>
      </c>
      <c r="C10132" t="s">
        <v>4577</v>
      </c>
      <c r="D10132" t="s">
        <v>441</v>
      </c>
      <c r="F10132">
        <v>0</v>
      </c>
      <c r="G10132">
        <v>10.199999999999999</v>
      </c>
      <c r="H10132" t="s">
        <v>8587</v>
      </c>
      <c r="I10132">
        <v>27</v>
      </c>
      <c r="J10132" t="s">
        <v>462</v>
      </c>
      <c r="K10132" t="s">
        <v>446</v>
      </c>
      <c r="M10132">
        <v>3711</v>
      </c>
    </row>
    <row r="10133" spans="1:14">
      <c r="A10133">
        <v>64134290</v>
      </c>
      <c r="B10133">
        <v>4020190</v>
      </c>
      <c r="C10133" t="s">
        <v>12996</v>
      </c>
      <c r="D10133" t="s">
        <v>441</v>
      </c>
      <c r="F10133">
        <v>0</v>
      </c>
      <c r="G10133">
        <v>10.53</v>
      </c>
      <c r="H10133" t="s">
        <v>8587</v>
      </c>
      <c r="I10133">
        <v>31</v>
      </c>
      <c r="J10133" t="s">
        <v>462</v>
      </c>
      <c r="K10133" t="s">
        <v>446</v>
      </c>
      <c r="M10133">
        <v>3711</v>
      </c>
      <c r="N10133" t="s">
        <v>16750</v>
      </c>
    </row>
    <row r="10134" spans="1:14">
      <c r="A10134">
        <v>64136210</v>
      </c>
      <c r="B10134">
        <v>4020176</v>
      </c>
      <c r="C10134" t="s">
        <v>4578</v>
      </c>
      <c r="D10134" t="s">
        <v>442</v>
      </c>
      <c r="E10134" t="s">
        <v>441</v>
      </c>
      <c r="F10134">
        <v>0.27</v>
      </c>
      <c r="G10134">
        <v>3.07</v>
      </c>
      <c r="H10134" t="s">
        <v>8587</v>
      </c>
      <c r="I10134">
        <v>31</v>
      </c>
      <c r="J10134" t="s">
        <v>462</v>
      </c>
      <c r="K10134" t="s">
        <v>446</v>
      </c>
      <c r="L10134" t="s">
        <v>12997</v>
      </c>
      <c r="M10134">
        <v>3711</v>
      </c>
      <c r="N10134" t="s">
        <v>16750</v>
      </c>
    </row>
    <row r="10135" spans="1:14">
      <c r="A10135">
        <v>64136220</v>
      </c>
      <c r="B10135">
        <v>4021034</v>
      </c>
      <c r="C10135" t="s">
        <v>4579</v>
      </c>
      <c r="D10135" t="s">
        <v>442</v>
      </c>
      <c r="E10135" t="s">
        <v>441</v>
      </c>
      <c r="F10135">
        <v>0.27</v>
      </c>
      <c r="G10135">
        <v>3.08</v>
      </c>
      <c r="H10135" t="s">
        <v>8587</v>
      </c>
      <c r="I10135">
        <v>31</v>
      </c>
      <c r="J10135" t="s">
        <v>462</v>
      </c>
      <c r="K10135" t="s">
        <v>446</v>
      </c>
      <c r="M10135">
        <v>3711</v>
      </c>
      <c r="N10135" t="s">
        <v>16750</v>
      </c>
    </row>
    <row r="10136" spans="1:14">
      <c r="A10136">
        <v>64140000</v>
      </c>
      <c r="B10136">
        <v>3016607</v>
      </c>
      <c r="C10136" t="s">
        <v>4580</v>
      </c>
      <c r="D10136" t="s">
        <v>441</v>
      </c>
      <c r="F10136">
        <v>0</v>
      </c>
      <c r="G10136">
        <v>8.77</v>
      </c>
      <c r="H10136" t="s">
        <v>8580</v>
      </c>
      <c r="I10136">
        <v>6</v>
      </c>
      <c r="J10136" t="s">
        <v>445</v>
      </c>
      <c r="K10136" t="s">
        <v>446</v>
      </c>
      <c r="M10136">
        <v>3311</v>
      </c>
    </row>
    <row r="10137" spans="1:14">
      <c r="A10137">
        <v>64140008</v>
      </c>
      <c r="B10137">
        <v>3016608</v>
      </c>
      <c r="C10137" t="s">
        <v>12998</v>
      </c>
      <c r="D10137" t="s">
        <v>441</v>
      </c>
      <c r="F10137">
        <v>0</v>
      </c>
      <c r="G10137">
        <v>7.26</v>
      </c>
      <c r="H10137" t="s">
        <v>8580</v>
      </c>
      <c r="I10137">
        <v>9</v>
      </c>
      <c r="J10137" t="s">
        <v>445</v>
      </c>
      <c r="K10137" t="s">
        <v>446</v>
      </c>
      <c r="M10137">
        <v>3211</v>
      </c>
    </row>
    <row r="10138" spans="1:14">
      <c r="A10138">
        <v>64144230</v>
      </c>
      <c r="B10138">
        <v>4004282</v>
      </c>
      <c r="C10138" t="s">
        <v>12999</v>
      </c>
      <c r="D10138" t="s">
        <v>441</v>
      </c>
      <c r="F10138">
        <v>0</v>
      </c>
      <c r="G10138">
        <v>9.66</v>
      </c>
      <c r="H10138" t="s">
        <v>8587</v>
      </c>
      <c r="I10138">
        <v>37</v>
      </c>
      <c r="J10138" t="s">
        <v>462</v>
      </c>
      <c r="K10138" t="s">
        <v>446</v>
      </c>
      <c r="M10138">
        <v>3711</v>
      </c>
    </row>
    <row r="10139" spans="1:14">
      <c r="A10139">
        <v>64150000</v>
      </c>
      <c r="B10139">
        <v>3017098</v>
      </c>
      <c r="C10139" t="s">
        <v>4581</v>
      </c>
      <c r="D10139" t="s">
        <v>441</v>
      </c>
      <c r="F10139">
        <v>0</v>
      </c>
      <c r="G10139">
        <v>5.93</v>
      </c>
      <c r="H10139" t="s">
        <v>8584</v>
      </c>
      <c r="I10139">
        <v>6</v>
      </c>
      <c r="J10139" t="s">
        <v>445</v>
      </c>
      <c r="K10139" t="s">
        <v>446</v>
      </c>
      <c r="M10139">
        <v>3311</v>
      </c>
    </row>
    <row r="10140" spans="1:14">
      <c r="A10140">
        <v>64150008</v>
      </c>
      <c r="B10140">
        <v>3017096</v>
      </c>
      <c r="C10140" t="s">
        <v>4582</v>
      </c>
      <c r="D10140" t="s">
        <v>441</v>
      </c>
      <c r="F10140">
        <v>0</v>
      </c>
      <c r="G10140">
        <v>5.1100000000000003</v>
      </c>
      <c r="H10140" t="s">
        <v>8580</v>
      </c>
      <c r="I10140">
        <v>4</v>
      </c>
      <c r="J10140" t="s">
        <v>445</v>
      </c>
      <c r="K10140" t="s">
        <v>446</v>
      </c>
      <c r="M10140">
        <v>3211</v>
      </c>
    </row>
    <row r="10141" spans="1:14">
      <c r="A10141">
        <v>64154112</v>
      </c>
      <c r="B10141">
        <v>4011305</v>
      </c>
      <c r="C10141" t="s">
        <v>4583</v>
      </c>
      <c r="D10141" t="s">
        <v>442</v>
      </c>
      <c r="E10141" t="s">
        <v>441</v>
      </c>
      <c r="F10141">
        <v>0.7</v>
      </c>
      <c r="G10141">
        <v>5.22</v>
      </c>
      <c r="H10141" t="s">
        <v>8587</v>
      </c>
      <c r="I10141">
        <v>270</v>
      </c>
      <c r="J10141" t="s">
        <v>462</v>
      </c>
      <c r="K10141" t="s">
        <v>446</v>
      </c>
      <c r="M10141">
        <v>2501</v>
      </c>
    </row>
    <row r="10142" spans="1:14">
      <c r="A10142">
        <v>64154115</v>
      </c>
      <c r="B10142">
        <v>3017103</v>
      </c>
      <c r="C10142" t="s">
        <v>4584</v>
      </c>
      <c r="D10142" t="s">
        <v>442</v>
      </c>
      <c r="E10142" t="s">
        <v>441</v>
      </c>
      <c r="F10142">
        <v>0.7</v>
      </c>
      <c r="G10142">
        <v>5.4</v>
      </c>
      <c r="H10142" t="s">
        <v>8580</v>
      </c>
      <c r="I10142">
        <v>270</v>
      </c>
      <c r="J10142" t="s">
        <v>445</v>
      </c>
      <c r="K10142" t="s">
        <v>446</v>
      </c>
      <c r="M10142">
        <v>3711</v>
      </c>
    </row>
    <row r="10143" spans="1:14">
      <c r="A10143">
        <v>64160000</v>
      </c>
      <c r="B10143">
        <v>3017099</v>
      </c>
      <c r="C10143" t="s">
        <v>4585</v>
      </c>
      <c r="D10143" t="s">
        <v>441</v>
      </c>
      <c r="F10143">
        <v>0</v>
      </c>
      <c r="G10143">
        <v>6</v>
      </c>
      <c r="H10143" t="s">
        <v>8580</v>
      </c>
      <c r="I10143">
        <v>6</v>
      </c>
      <c r="J10143" t="s">
        <v>445</v>
      </c>
      <c r="K10143" t="s">
        <v>446</v>
      </c>
      <c r="M10143">
        <v>3311</v>
      </c>
    </row>
    <row r="10144" spans="1:14">
      <c r="A10144">
        <v>64160008</v>
      </c>
      <c r="B10144">
        <v>3017095</v>
      </c>
      <c r="C10144" t="s">
        <v>4586</v>
      </c>
      <c r="D10144" t="s">
        <v>441</v>
      </c>
      <c r="F10144">
        <v>0</v>
      </c>
      <c r="G10144">
        <v>5.4</v>
      </c>
      <c r="H10144" t="s">
        <v>8580</v>
      </c>
      <c r="I10144">
        <v>4</v>
      </c>
      <c r="J10144" t="s">
        <v>445</v>
      </c>
      <c r="K10144" t="s">
        <v>446</v>
      </c>
      <c r="M10144">
        <v>3211</v>
      </c>
    </row>
    <row r="10145" spans="1:14">
      <c r="A10145">
        <v>64164112</v>
      </c>
      <c r="B10145">
        <v>4011309</v>
      </c>
      <c r="C10145" t="s">
        <v>4587</v>
      </c>
      <c r="D10145" t="s">
        <v>442</v>
      </c>
      <c r="E10145" t="s">
        <v>441</v>
      </c>
      <c r="F10145">
        <v>0.7</v>
      </c>
      <c r="G10145">
        <v>5.32</v>
      </c>
      <c r="H10145" t="s">
        <v>8587</v>
      </c>
      <c r="I10145">
        <v>270</v>
      </c>
      <c r="J10145" t="s">
        <v>462</v>
      </c>
      <c r="K10145" t="s">
        <v>446</v>
      </c>
      <c r="M10145">
        <v>2501</v>
      </c>
    </row>
    <row r="10146" spans="1:14">
      <c r="A10146">
        <v>64164115</v>
      </c>
      <c r="B10146">
        <v>3017104</v>
      </c>
      <c r="C10146" t="s">
        <v>4588</v>
      </c>
      <c r="D10146" t="s">
        <v>442</v>
      </c>
      <c r="E10146" t="s">
        <v>441</v>
      </c>
      <c r="F10146">
        <v>0.7</v>
      </c>
      <c r="G10146">
        <v>5.47</v>
      </c>
      <c r="H10146" t="s">
        <v>8580</v>
      </c>
      <c r="I10146">
        <v>270</v>
      </c>
      <c r="J10146" t="s">
        <v>445</v>
      </c>
      <c r="K10146" t="s">
        <v>446</v>
      </c>
      <c r="M10146">
        <v>3711</v>
      </c>
    </row>
    <row r="10147" spans="1:14">
      <c r="A10147">
        <v>64170000</v>
      </c>
      <c r="B10147">
        <v>3017100</v>
      </c>
      <c r="C10147" t="s">
        <v>13000</v>
      </c>
      <c r="D10147" t="s">
        <v>441</v>
      </c>
      <c r="F10147">
        <v>0</v>
      </c>
      <c r="G10147">
        <v>7.21</v>
      </c>
      <c r="H10147" t="s">
        <v>8580</v>
      </c>
      <c r="I10147">
        <v>6</v>
      </c>
      <c r="J10147" t="s">
        <v>445</v>
      </c>
      <c r="K10147" t="s">
        <v>446</v>
      </c>
      <c r="M10147">
        <v>3311</v>
      </c>
    </row>
    <row r="10148" spans="1:14">
      <c r="A10148">
        <v>64170008</v>
      </c>
      <c r="B10148">
        <v>3012909</v>
      </c>
      <c r="C10148" t="s">
        <v>13001</v>
      </c>
      <c r="D10148" t="s">
        <v>441</v>
      </c>
      <c r="F10148">
        <v>0</v>
      </c>
      <c r="G10148">
        <v>6.26</v>
      </c>
      <c r="H10148" t="s">
        <v>8580</v>
      </c>
      <c r="I10148">
        <v>4</v>
      </c>
      <c r="J10148" t="s">
        <v>445</v>
      </c>
      <c r="K10148" t="s">
        <v>446</v>
      </c>
      <c r="M10148">
        <v>3211</v>
      </c>
    </row>
    <row r="10149" spans="1:14">
      <c r="A10149">
        <v>64174112</v>
      </c>
      <c r="B10149">
        <v>4011308</v>
      </c>
      <c r="C10149" t="s">
        <v>13002</v>
      </c>
      <c r="D10149" t="s">
        <v>442</v>
      </c>
      <c r="E10149" t="s">
        <v>441</v>
      </c>
      <c r="F10149">
        <v>0.7</v>
      </c>
      <c r="G10149">
        <v>6.1</v>
      </c>
      <c r="H10149" t="s">
        <v>8587</v>
      </c>
      <c r="I10149">
        <v>270</v>
      </c>
      <c r="J10149" t="s">
        <v>462</v>
      </c>
      <c r="K10149" t="s">
        <v>446</v>
      </c>
      <c r="M10149">
        <v>2501</v>
      </c>
    </row>
    <row r="10150" spans="1:14">
      <c r="A10150">
        <v>64174115</v>
      </c>
      <c r="B10150">
        <v>3017105</v>
      </c>
      <c r="C10150" t="s">
        <v>13003</v>
      </c>
      <c r="D10150" t="s">
        <v>442</v>
      </c>
      <c r="E10150" t="s">
        <v>441</v>
      </c>
      <c r="F10150">
        <v>0.7</v>
      </c>
      <c r="G10150">
        <v>6.39</v>
      </c>
      <c r="H10150" t="s">
        <v>8580</v>
      </c>
      <c r="I10150">
        <v>270</v>
      </c>
      <c r="J10150" t="s">
        <v>445</v>
      </c>
      <c r="K10150" t="s">
        <v>446</v>
      </c>
      <c r="M10150">
        <v>3711</v>
      </c>
    </row>
    <row r="10151" spans="1:14">
      <c r="A10151">
        <v>64180000</v>
      </c>
      <c r="B10151">
        <v>3017915</v>
      </c>
      <c r="C10151" t="s">
        <v>4589</v>
      </c>
      <c r="D10151" t="s">
        <v>441</v>
      </c>
      <c r="F10151">
        <v>0</v>
      </c>
      <c r="G10151">
        <v>9.4499999999999993</v>
      </c>
      <c r="H10151" t="s">
        <v>8580</v>
      </c>
      <c r="I10151">
        <v>4</v>
      </c>
      <c r="J10151" t="s">
        <v>445</v>
      </c>
      <c r="M10151">
        <v>3349</v>
      </c>
      <c r="N10151" t="s">
        <v>16752</v>
      </c>
    </row>
    <row r="10152" spans="1:14">
      <c r="A10152">
        <v>64180008</v>
      </c>
      <c r="B10152">
        <v>3017914</v>
      </c>
      <c r="C10152" t="s">
        <v>4590</v>
      </c>
      <c r="D10152" t="s">
        <v>441</v>
      </c>
      <c r="F10152">
        <v>0</v>
      </c>
      <c r="G10152">
        <v>7.72</v>
      </c>
      <c r="H10152" t="s">
        <v>8580</v>
      </c>
      <c r="I10152">
        <v>5</v>
      </c>
      <c r="J10152" t="s">
        <v>445</v>
      </c>
      <c r="M10152">
        <v>6666</v>
      </c>
      <c r="N10152" t="s">
        <v>16753</v>
      </c>
    </row>
    <row r="10153" spans="1:14">
      <c r="A10153">
        <v>64184210</v>
      </c>
      <c r="B10153">
        <v>4012272</v>
      </c>
      <c r="C10153" t="s">
        <v>4591</v>
      </c>
      <c r="D10153" t="s">
        <v>441</v>
      </c>
      <c r="F10153">
        <v>0</v>
      </c>
      <c r="G10153">
        <v>8.81</v>
      </c>
      <c r="H10153" t="s">
        <v>8587</v>
      </c>
      <c r="I10153">
        <v>33</v>
      </c>
      <c r="J10153" t="s">
        <v>462</v>
      </c>
      <c r="K10153" t="s">
        <v>446</v>
      </c>
      <c r="M10153">
        <v>3711</v>
      </c>
      <c r="N10153" t="s">
        <v>16754</v>
      </c>
    </row>
    <row r="10154" spans="1:14">
      <c r="A10154">
        <v>64184220</v>
      </c>
      <c r="B10154">
        <v>4012478</v>
      </c>
      <c r="C10154" t="s">
        <v>4592</v>
      </c>
      <c r="D10154" t="s">
        <v>441</v>
      </c>
      <c r="F10154">
        <v>0</v>
      </c>
      <c r="G10154">
        <v>8.82</v>
      </c>
      <c r="H10154" t="s">
        <v>8587</v>
      </c>
      <c r="I10154">
        <v>33</v>
      </c>
      <c r="J10154" t="s">
        <v>462</v>
      </c>
      <c r="K10154" t="s">
        <v>446</v>
      </c>
      <c r="M10154">
        <v>3711</v>
      </c>
      <c r="N10154" t="s">
        <v>16754</v>
      </c>
    </row>
    <row r="10155" spans="1:14">
      <c r="A10155">
        <v>64184230</v>
      </c>
      <c r="B10155">
        <v>4012501</v>
      </c>
      <c r="C10155" t="s">
        <v>4593</v>
      </c>
      <c r="D10155" t="s">
        <v>441</v>
      </c>
      <c r="F10155">
        <v>0</v>
      </c>
      <c r="G10155">
        <v>8.42</v>
      </c>
      <c r="H10155" t="s">
        <v>8587</v>
      </c>
      <c r="I10155">
        <v>33</v>
      </c>
      <c r="J10155" t="s">
        <v>462</v>
      </c>
      <c r="K10155" t="s">
        <v>446</v>
      </c>
      <c r="M10155">
        <v>3711</v>
      </c>
      <c r="N10155" t="s">
        <v>16754</v>
      </c>
    </row>
    <row r="10156" spans="1:14">
      <c r="A10156">
        <v>64184240</v>
      </c>
      <c r="B10156">
        <v>4012534</v>
      </c>
      <c r="C10156" t="s">
        <v>4594</v>
      </c>
      <c r="D10156" t="s">
        <v>442</v>
      </c>
      <c r="E10156" t="s">
        <v>441</v>
      </c>
      <c r="F10156">
        <v>0.7</v>
      </c>
      <c r="G10156">
        <v>6.29</v>
      </c>
      <c r="H10156" t="s">
        <v>8587</v>
      </c>
      <c r="I10156">
        <v>33</v>
      </c>
      <c r="J10156" t="s">
        <v>462</v>
      </c>
      <c r="K10156" t="s">
        <v>446</v>
      </c>
      <c r="M10156">
        <v>3711</v>
      </c>
      <c r="N10156" t="s">
        <v>16754</v>
      </c>
    </row>
    <row r="10157" spans="1:14">
      <c r="A10157">
        <v>64184250</v>
      </c>
      <c r="B10157">
        <v>4012559</v>
      </c>
      <c r="C10157" t="s">
        <v>4595</v>
      </c>
      <c r="D10157" t="s">
        <v>441</v>
      </c>
      <c r="F10157">
        <v>0</v>
      </c>
      <c r="G10157">
        <v>10.42</v>
      </c>
      <c r="H10157" t="s">
        <v>8587</v>
      </c>
      <c r="I10157">
        <v>33</v>
      </c>
      <c r="J10157" t="s">
        <v>462</v>
      </c>
      <c r="M10157">
        <v>7108</v>
      </c>
      <c r="N10157" t="s">
        <v>16755</v>
      </c>
    </row>
    <row r="10158" spans="1:14">
      <c r="A10158">
        <v>64184260</v>
      </c>
      <c r="B10158">
        <v>4013227</v>
      </c>
      <c r="C10158" t="s">
        <v>4596</v>
      </c>
      <c r="D10158" t="s">
        <v>442</v>
      </c>
      <c r="E10158" t="s">
        <v>441</v>
      </c>
      <c r="F10158">
        <v>0.7</v>
      </c>
      <c r="G10158">
        <v>4.8499999999999996</v>
      </c>
      <c r="H10158" t="s">
        <v>8587</v>
      </c>
      <c r="I10158">
        <v>28</v>
      </c>
      <c r="J10158" t="s">
        <v>462</v>
      </c>
      <c r="K10158" t="s">
        <v>446</v>
      </c>
      <c r="M10158">
        <v>3711</v>
      </c>
    </row>
    <row r="10159" spans="1:14">
      <c r="A10159">
        <v>64184270</v>
      </c>
      <c r="B10159">
        <v>4014777</v>
      </c>
      <c r="C10159" t="s">
        <v>4597</v>
      </c>
      <c r="D10159" t="s">
        <v>442</v>
      </c>
      <c r="E10159" t="s">
        <v>441</v>
      </c>
      <c r="F10159">
        <v>0.7</v>
      </c>
      <c r="G10159">
        <v>6.35</v>
      </c>
      <c r="H10159" t="s">
        <v>8587</v>
      </c>
      <c r="I10159">
        <v>33</v>
      </c>
      <c r="J10159" t="s">
        <v>462</v>
      </c>
      <c r="K10159" t="s">
        <v>446</v>
      </c>
      <c r="L10159" t="s">
        <v>13004</v>
      </c>
      <c r="M10159">
        <v>3711</v>
      </c>
      <c r="N10159" t="s">
        <v>16754</v>
      </c>
    </row>
    <row r="10160" spans="1:14">
      <c r="A10160">
        <v>64184280</v>
      </c>
      <c r="B10160">
        <v>4014967</v>
      </c>
      <c r="C10160" t="s">
        <v>4598</v>
      </c>
      <c r="D10160" t="s">
        <v>442</v>
      </c>
      <c r="E10160" t="s">
        <v>441</v>
      </c>
      <c r="F10160">
        <v>0.7</v>
      </c>
      <c r="G10160">
        <v>7.44</v>
      </c>
      <c r="H10160" t="s">
        <v>8587</v>
      </c>
      <c r="I10160">
        <v>33</v>
      </c>
      <c r="J10160" t="s">
        <v>462</v>
      </c>
      <c r="L10160" t="s">
        <v>13005</v>
      </c>
      <c r="M10160">
        <v>7108</v>
      </c>
      <c r="N10160" t="s">
        <v>16755</v>
      </c>
    </row>
    <row r="10161" spans="1:14">
      <c r="A10161">
        <v>64184290</v>
      </c>
      <c r="B10161">
        <v>4016403</v>
      </c>
      <c r="C10161" t="s">
        <v>4599</v>
      </c>
      <c r="D10161" t="s">
        <v>442</v>
      </c>
      <c r="E10161" t="s">
        <v>441</v>
      </c>
      <c r="F10161">
        <v>0.7</v>
      </c>
      <c r="G10161">
        <v>5.87</v>
      </c>
      <c r="H10161" t="s">
        <v>8587</v>
      </c>
      <c r="I10161">
        <v>28</v>
      </c>
      <c r="J10161" t="s">
        <v>462</v>
      </c>
      <c r="K10161" t="s">
        <v>446</v>
      </c>
      <c r="L10161" t="s">
        <v>13006</v>
      </c>
      <c r="M10161">
        <v>3711</v>
      </c>
    </row>
    <row r="10162" spans="1:14">
      <c r="A10162">
        <v>64186210</v>
      </c>
      <c r="B10162">
        <v>4016404</v>
      </c>
      <c r="C10162" t="s">
        <v>4600</v>
      </c>
      <c r="D10162" t="s">
        <v>441</v>
      </c>
      <c r="F10162">
        <v>0</v>
      </c>
      <c r="G10162">
        <v>7.76</v>
      </c>
      <c r="H10162" t="s">
        <v>8587</v>
      </c>
      <c r="I10162">
        <v>28</v>
      </c>
      <c r="J10162" t="s">
        <v>462</v>
      </c>
      <c r="M10162">
        <v>3711</v>
      </c>
    </row>
    <row r="10163" spans="1:14">
      <c r="A10163">
        <v>64186220</v>
      </c>
      <c r="B10163">
        <v>4021064</v>
      </c>
      <c r="C10163" t="s">
        <v>4601</v>
      </c>
      <c r="D10163" t="s">
        <v>442</v>
      </c>
      <c r="E10163" t="s">
        <v>441</v>
      </c>
      <c r="F10163">
        <v>0.6</v>
      </c>
      <c r="G10163">
        <v>4.25</v>
      </c>
      <c r="H10163" t="s">
        <v>8587</v>
      </c>
      <c r="I10163">
        <v>33</v>
      </c>
      <c r="J10163" t="s">
        <v>462</v>
      </c>
      <c r="K10163" t="s">
        <v>446</v>
      </c>
      <c r="L10163" t="s">
        <v>13007</v>
      </c>
      <c r="M10163">
        <v>3711</v>
      </c>
      <c r="N10163" t="s">
        <v>16755</v>
      </c>
    </row>
    <row r="10164" spans="1:14">
      <c r="A10164">
        <v>64189000</v>
      </c>
      <c r="B10164">
        <v>3035197</v>
      </c>
      <c r="C10164" t="s">
        <v>16756</v>
      </c>
      <c r="D10164" t="s">
        <v>441</v>
      </c>
      <c r="F10164">
        <v>0</v>
      </c>
      <c r="G10164">
        <v>11.8</v>
      </c>
      <c r="H10164" t="s">
        <v>12573</v>
      </c>
      <c r="I10164">
        <v>4</v>
      </c>
      <c r="J10164" t="s">
        <v>445</v>
      </c>
      <c r="M10164">
        <v>3350</v>
      </c>
      <c r="N10164" t="s">
        <v>16583</v>
      </c>
    </row>
    <row r="10165" spans="1:14">
      <c r="A10165">
        <v>64189002</v>
      </c>
      <c r="B10165">
        <v>3035194</v>
      </c>
      <c r="C10165" t="s">
        <v>4602</v>
      </c>
      <c r="D10165" t="s">
        <v>441</v>
      </c>
      <c r="F10165">
        <v>0</v>
      </c>
      <c r="G10165">
        <v>12.65</v>
      </c>
      <c r="H10165" t="s">
        <v>8587</v>
      </c>
      <c r="I10165">
        <v>180</v>
      </c>
      <c r="J10165" t="s">
        <v>445</v>
      </c>
      <c r="M10165">
        <v>7111</v>
      </c>
      <c r="N10165" t="s">
        <v>16585</v>
      </c>
    </row>
    <row r="10166" spans="1:14">
      <c r="A10166">
        <v>64189502</v>
      </c>
      <c r="B10166">
        <v>3035193</v>
      </c>
      <c r="C10166" t="s">
        <v>4603</v>
      </c>
      <c r="D10166" t="s">
        <v>441</v>
      </c>
      <c r="F10166">
        <v>0</v>
      </c>
      <c r="G10166">
        <v>12.06</v>
      </c>
      <c r="H10166" t="s">
        <v>8587</v>
      </c>
      <c r="I10166">
        <v>6</v>
      </c>
      <c r="J10166" t="s">
        <v>445</v>
      </c>
      <c r="M10166">
        <v>2502</v>
      </c>
      <c r="N10166" t="s">
        <v>16587</v>
      </c>
    </row>
    <row r="10167" spans="1:14">
      <c r="A10167">
        <v>64189602</v>
      </c>
      <c r="B10167">
        <v>3035213</v>
      </c>
      <c r="C10167" t="s">
        <v>16757</v>
      </c>
      <c r="D10167" t="s">
        <v>441</v>
      </c>
      <c r="F10167">
        <v>0</v>
      </c>
      <c r="G10167">
        <v>12.92</v>
      </c>
      <c r="H10167" t="s">
        <v>12573</v>
      </c>
      <c r="I10167">
        <v>2</v>
      </c>
      <c r="J10167" t="s">
        <v>445</v>
      </c>
      <c r="K10167" t="s">
        <v>446</v>
      </c>
      <c r="M10167">
        <v>2510</v>
      </c>
      <c r="N10167" t="s">
        <v>16589</v>
      </c>
    </row>
    <row r="10168" spans="1:14">
      <c r="A10168">
        <v>64190000</v>
      </c>
      <c r="B10168">
        <v>3021977</v>
      </c>
      <c r="C10168" t="s">
        <v>4604</v>
      </c>
      <c r="D10168" t="s">
        <v>441</v>
      </c>
      <c r="F10168">
        <v>0</v>
      </c>
      <c r="G10168">
        <v>9.82</v>
      </c>
      <c r="H10168" t="s">
        <v>12573</v>
      </c>
      <c r="I10168">
        <v>4</v>
      </c>
      <c r="J10168" t="s">
        <v>445</v>
      </c>
      <c r="M10168">
        <v>3349</v>
      </c>
      <c r="N10168" t="s">
        <v>16758</v>
      </c>
    </row>
    <row r="10169" spans="1:14">
      <c r="A10169">
        <v>64190008</v>
      </c>
      <c r="B10169">
        <v>3015734</v>
      </c>
      <c r="C10169" t="s">
        <v>4605</v>
      </c>
      <c r="D10169" t="s">
        <v>441</v>
      </c>
      <c r="F10169">
        <v>0</v>
      </c>
      <c r="G10169">
        <v>8.3800000000000008</v>
      </c>
      <c r="H10169" t="s">
        <v>12664</v>
      </c>
      <c r="I10169">
        <v>4</v>
      </c>
      <c r="J10169" t="s">
        <v>445</v>
      </c>
      <c r="M10169">
        <v>6666</v>
      </c>
      <c r="N10169" t="s">
        <v>16759</v>
      </c>
    </row>
    <row r="10170" spans="1:14">
      <c r="A10170">
        <v>64194210</v>
      </c>
      <c r="B10170">
        <v>4014253</v>
      </c>
      <c r="C10170" t="s">
        <v>4606</v>
      </c>
      <c r="D10170" t="s">
        <v>442</v>
      </c>
      <c r="E10170" t="s">
        <v>441</v>
      </c>
      <c r="F10170">
        <v>0.55000000000000004</v>
      </c>
      <c r="G10170">
        <v>4.8899999999999997</v>
      </c>
      <c r="H10170" t="s">
        <v>8587</v>
      </c>
      <c r="I10170">
        <v>35</v>
      </c>
      <c r="J10170" t="s">
        <v>462</v>
      </c>
      <c r="K10170" t="s">
        <v>446</v>
      </c>
      <c r="L10170" t="s">
        <v>13008</v>
      </c>
      <c r="M10170">
        <v>3711</v>
      </c>
      <c r="N10170" t="s">
        <v>16760</v>
      </c>
    </row>
    <row r="10171" spans="1:14">
      <c r="A10171">
        <v>64194220</v>
      </c>
      <c r="B10171">
        <v>4014264</v>
      </c>
      <c r="C10171" t="s">
        <v>4607</v>
      </c>
      <c r="D10171" t="s">
        <v>441</v>
      </c>
      <c r="F10171">
        <v>0</v>
      </c>
      <c r="G10171">
        <v>6.46</v>
      </c>
      <c r="H10171" t="s">
        <v>8587</v>
      </c>
      <c r="I10171">
        <v>40</v>
      </c>
      <c r="J10171" t="s">
        <v>462</v>
      </c>
      <c r="K10171" t="s">
        <v>446</v>
      </c>
      <c r="M10171">
        <v>3711</v>
      </c>
      <c r="N10171" t="s">
        <v>16761</v>
      </c>
    </row>
    <row r="10172" spans="1:14">
      <c r="A10172">
        <v>64194230</v>
      </c>
      <c r="B10172">
        <v>4014325</v>
      </c>
      <c r="C10172" t="s">
        <v>4608</v>
      </c>
      <c r="D10172" t="s">
        <v>441</v>
      </c>
      <c r="F10172">
        <v>0</v>
      </c>
      <c r="G10172">
        <v>8.66</v>
      </c>
      <c r="H10172" t="s">
        <v>8587</v>
      </c>
      <c r="I10172">
        <v>35</v>
      </c>
      <c r="J10172" t="s">
        <v>462</v>
      </c>
      <c r="K10172" t="s">
        <v>446</v>
      </c>
      <c r="M10172">
        <v>3711</v>
      </c>
      <c r="N10172" t="s">
        <v>16760</v>
      </c>
    </row>
    <row r="10173" spans="1:14">
      <c r="A10173">
        <v>64194240</v>
      </c>
      <c r="B10173">
        <v>4014831</v>
      </c>
      <c r="C10173" t="s">
        <v>4609</v>
      </c>
      <c r="D10173" t="s">
        <v>441</v>
      </c>
      <c r="F10173">
        <v>0</v>
      </c>
      <c r="G10173">
        <v>9.6300000000000008</v>
      </c>
      <c r="H10173" t="s">
        <v>8587</v>
      </c>
      <c r="I10173">
        <v>35</v>
      </c>
      <c r="J10173" t="s">
        <v>462</v>
      </c>
      <c r="K10173" t="s">
        <v>446</v>
      </c>
      <c r="M10173">
        <v>3711</v>
      </c>
      <c r="N10173" t="s">
        <v>16760</v>
      </c>
    </row>
    <row r="10174" spans="1:14">
      <c r="A10174">
        <v>64194250</v>
      </c>
      <c r="B10174">
        <v>4014832</v>
      </c>
      <c r="C10174" t="s">
        <v>4610</v>
      </c>
      <c r="D10174" t="s">
        <v>441</v>
      </c>
      <c r="F10174">
        <v>0</v>
      </c>
      <c r="G10174">
        <v>9.48</v>
      </c>
      <c r="H10174" t="s">
        <v>8587</v>
      </c>
      <c r="I10174">
        <v>35</v>
      </c>
      <c r="J10174" t="s">
        <v>462</v>
      </c>
      <c r="K10174" t="s">
        <v>446</v>
      </c>
      <c r="M10174">
        <v>3711</v>
      </c>
      <c r="N10174" t="s">
        <v>16760</v>
      </c>
    </row>
    <row r="10175" spans="1:14">
      <c r="A10175">
        <v>64194260</v>
      </c>
      <c r="B10175">
        <v>4014979</v>
      </c>
      <c r="C10175" t="s">
        <v>4611</v>
      </c>
      <c r="D10175" t="s">
        <v>442</v>
      </c>
      <c r="E10175" t="s">
        <v>441</v>
      </c>
      <c r="F10175">
        <v>0.55000000000000004</v>
      </c>
      <c r="G10175">
        <v>3.78</v>
      </c>
      <c r="H10175" t="s">
        <v>8587</v>
      </c>
      <c r="I10175">
        <v>40</v>
      </c>
      <c r="J10175" t="s">
        <v>462</v>
      </c>
      <c r="K10175" t="s">
        <v>446</v>
      </c>
      <c r="L10175" t="s">
        <v>13009</v>
      </c>
      <c r="M10175">
        <v>3711</v>
      </c>
      <c r="N10175" t="s">
        <v>16761</v>
      </c>
    </row>
    <row r="10176" spans="1:14">
      <c r="A10176">
        <v>64194270</v>
      </c>
      <c r="B10176">
        <v>4015526</v>
      </c>
      <c r="C10176" t="s">
        <v>4612</v>
      </c>
      <c r="D10176" t="s">
        <v>442</v>
      </c>
      <c r="E10176" t="s">
        <v>441</v>
      </c>
      <c r="F10176">
        <v>1.1000000000000001</v>
      </c>
      <c r="G10176">
        <v>11.07</v>
      </c>
      <c r="H10176" t="s">
        <v>8587</v>
      </c>
      <c r="I10176">
        <v>35</v>
      </c>
      <c r="J10176" t="s">
        <v>462</v>
      </c>
      <c r="K10176" t="s">
        <v>446</v>
      </c>
      <c r="L10176" t="s">
        <v>13010</v>
      </c>
      <c r="M10176">
        <v>3711</v>
      </c>
      <c r="N10176" t="s">
        <v>16760</v>
      </c>
    </row>
    <row r="10177" spans="1:14">
      <c r="A10177">
        <v>64194280</v>
      </c>
      <c r="B10177">
        <v>4016510</v>
      </c>
      <c r="C10177" t="s">
        <v>4613</v>
      </c>
      <c r="D10177" t="s">
        <v>442</v>
      </c>
      <c r="E10177" t="s">
        <v>441</v>
      </c>
      <c r="F10177">
        <v>0.55000000000000004</v>
      </c>
      <c r="G10177">
        <v>4.9000000000000004</v>
      </c>
      <c r="H10177" t="s">
        <v>8587</v>
      </c>
      <c r="I10177">
        <v>35</v>
      </c>
      <c r="J10177" t="s">
        <v>462</v>
      </c>
      <c r="K10177" t="s">
        <v>446</v>
      </c>
      <c r="L10177" t="s">
        <v>13011</v>
      </c>
      <c r="M10177">
        <v>3711</v>
      </c>
      <c r="N10177" t="s">
        <v>16760</v>
      </c>
    </row>
    <row r="10178" spans="1:14">
      <c r="A10178">
        <v>64194290</v>
      </c>
      <c r="B10178">
        <v>4021045</v>
      </c>
      <c r="C10178" t="s">
        <v>13012</v>
      </c>
      <c r="D10178" t="s">
        <v>441</v>
      </c>
      <c r="F10178">
        <v>0</v>
      </c>
      <c r="G10178">
        <v>11.96</v>
      </c>
      <c r="H10178" t="s">
        <v>8587</v>
      </c>
      <c r="I10178">
        <v>40</v>
      </c>
      <c r="J10178" t="s">
        <v>462</v>
      </c>
      <c r="K10178" t="s">
        <v>446</v>
      </c>
      <c r="M10178">
        <v>7108</v>
      </c>
      <c r="N10178" t="s">
        <v>16761</v>
      </c>
    </row>
    <row r="10179" spans="1:14">
      <c r="A10179">
        <v>64196210</v>
      </c>
      <c r="B10179">
        <v>4021480</v>
      </c>
      <c r="C10179" t="s">
        <v>14554</v>
      </c>
      <c r="D10179" t="s">
        <v>441</v>
      </c>
      <c r="F10179">
        <v>0</v>
      </c>
      <c r="G10179">
        <v>11.09</v>
      </c>
      <c r="H10179" t="s">
        <v>8587</v>
      </c>
      <c r="I10179">
        <v>40</v>
      </c>
      <c r="J10179" t="s">
        <v>462</v>
      </c>
      <c r="M10179">
        <v>7108</v>
      </c>
      <c r="N10179" t="s">
        <v>16761</v>
      </c>
    </row>
    <row r="10180" spans="1:14">
      <c r="A10180">
        <v>64196220</v>
      </c>
      <c r="B10180">
        <v>4028356</v>
      </c>
      <c r="C10180" t="s">
        <v>17606</v>
      </c>
      <c r="D10180" t="s">
        <v>441</v>
      </c>
      <c r="F10180">
        <v>0</v>
      </c>
      <c r="G10180">
        <v>12.97</v>
      </c>
      <c r="H10180" t="s">
        <v>8587</v>
      </c>
      <c r="I10180">
        <v>43</v>
      </c>
      <c r="J10180" t="s">
        <v>462</v>
      </c>
      <c r="K10180" t="s">
        <v>446</v>
      </c>
      <c r="M10180">
        <v>7108</v>
      </c>
      <c r="N10180" t="s">
        <v>16761</v>
      </c>
    </row>
    <row r="10181" spans="1:14">
      <c r="A10181">
        <v>64210000</v>
      </c>
      <c r="B10181">
        <v>3022068</v>
      </c>
      <c r="C10181" t="s">
        <v>4614</v>
      </c>
      <c r="D10181" t="s">
        <v>441</v>
      </c>
      <c r="F10181">
        <v>0</v>
      </c>
      <c r="G10181">
        <v>11.43</v>
      </c>
      <c r="H10181" t="s">
        <v>12573</v>
      </c>
      <c r="I10181">
        <v>4</v>
      </c>
      <c r="J10181" t="s">
        <v>445</v>
      </c>
      <c r="M10181">
        <v>3349</v>
      </c>
      <c r="N10181" t="s">
        <v>16762</v>
      </c>
    </row>
    <row r="10182" spans="1:14">
      <c r="A10182">
        <v>64210008</v>
      </c>
      <c r="B10182">
        <v>3021294</v>
      </c>
      <c r="C10182" t="s">
        <v>4615</v>
      </c>
      <c r="D10182" t="s">
        <v>441</v>
      </c>
      <c r="F10182">
        <v>0</v>
      </c>
      <c r="G10182">
        <v>9.85</v>
      </c>
      <c r="H10182" t="s">
        <v>12664</v>
      </c>
      <c r="I10182">
        <v>2</v>
      </c>
      <c r="J10182" t="s">
        <v>445</v>
      </c>
      <c r="M10182">
        <v>6666</v>
      </c>
      <c r="N10182" t="s">
        <v>16763</v>
      </c>
    </row>
    <row r="10183" spans="1:14">
      <c r="A10183">
        <v>64214210</v>
      </c>
      <c r="B10183">
        <v>4014343</v>
      </c>
      <c r="C10183" t="s">
        <v>4616</v>
      </c>
      <c r="D10183" t="s">
        <v>442</v>
      </c>
      <c r="E10183" t="s">
        <v>441</v>
      </c>
      <c r="F10183">
        <v>0.55000000000000004</v>
      </c>
      <c r="G10183">
        <v>4.67</v>
      </c>
      <c r="H10183" t="s">
        <v>8587</v>
      </c>
      <c r="I10183">
        <v>42</v>
      </c>
      <c r="J10183" t="s">
        <v>462</v>
      </c>
      <c r="K10183" t="s">
        <v>446</v>
      </c>
      <c r="L10183" t="s">
        <v>13013</v>
      </c>
      <c r="M10183">
        <v>3711</v>
      </c>
      <c r="N10183" t="s">
        <v>16764</v>
      </c>
    </row>
    <row r="10184" spans="1:14">
      <c r="A10184">
        <v>64214220</v>
      </c>
      <c r="B10184">
        <v>4016530</v>
      </c>
      <c r="C10184" t="s">
        <v>13014</v>
      </c>
      <c r="D10184" t="s">
        <v>441</v>
      </c>
      <c r="F10184">
        <v>0</v>
      </c>
      <c r="G10184">
        <v>12.88</v>
      </c>
      <c r="H10184" t="s">
        <v>8587</v>
      </c>
      <c r="I10184">
        <v>42</v>
      </c>
      <c r="J10184" t="s">
        <v>462</v>
      </c>
      <c r="M10184">
        <v>7108</v>
      </c>
      <c r="N10184" t="s">
        <v>16765</v>
      </c>
    </row>
    <row r="10185" spans="1:14">
      <c r="A10185">
        <v>64220000</v>
      </c>
      <c r="B10185">
        <v>3022337</v>
      </c>
      <c r="C10185" t="s">
        <v>4617</v>
      </c>
      <c r="D10185" t="s">
        <v>441</v>
      </c>
      <c r="F10185">
        <v>0</v>
      </c>
      <c r="G10185">
        <v>6.6</v>
      </c>
      <c r="H10185" t="s">
        <v>12573</v>
      </c>
      <c r="I10185">
        <v>6</v>
      </c>
      <c r="J10185" t="s">
        <v>445</v>
      </c>
      <c r="K10185" t="s">
        <v>446</v>
      </c>
      <c r="M10185">
        <v>3311</v>
      </c>
    </row>
    <row r="10186" spans="1:14">
      <c r="A10186">
        <v>64220008</v>
      </c>
      <c r="B10186">
        <v>3021208</v>
      </c>
      <c r="C10186" t="s">
        <v>4618</v>
      </c>
      <c r="D10186" t="s">
        <v>441</v>
      </c>
      <c r="F10186">
        <v>0</v>
      </c>
      <c r="G10186">
        <v>5.76</v>
      </c>
      <c r="H10186" t="s">
        <v>12664</v>
      </c>
      <c r="I10186">
        <v>2</v>
      </c>
      <c r="J10186" t="s">
        <v>445</v>
      </c>
      <c r="K10186" t="s">
        <v>446</v>
      </c>
      <c r="M10186">
        <v>3211</v>
      </c>
    </row>
    <row r="10187" spans="1:14">
      <c r="A10187">
        <v>64224210</v>
      </c>
      <c r="B10187">
        <v>4014728</v>
      </c>
      <c r="C10187" t="s">
        <v>4619</v>
      </c>
      <c r="D10187" t="s">
        <v>442</v>
      </c>
      <c r="E10187" t="s">
        <v>441</v>
      </c>
      <c r="F10187">
        <v>0.55000000000000004</v>
      </c>
      <c r="G10187">
        <v>4.29</v>
      </c>
      <c r="H10187" t="s">
        <v>8587</v>
      </c>
      <c r="I10187">
        <v>35</v>
      </c>
      <c r="J10187" t="s">
        <v>462</v>
      </c>
      <c r="K10187" t="s">
        <v>446</v>
      </c>
      <c r="L10187" t="s">
        <v>13015</v>
      </c>
      <c r="M10187">
        <v>3711</v>
      </c>
    </row>
    <row r="10188" spans="1:14">
      <c r="A10188">
        <v>64224220</v>
      </c>
      <c r="B10188">
        <v>4014729</v>
      </c>
      <c r="C10188" t="s">
        <v>4620</v>
      </c>
      <c r="D10188" t="s">
        <v>441</v>
      </c>
      <c r="F10188">
        <v>0</v>
      </c>
      <c r="G10188">
        <v>7.44</v>
      </c>
      <c r="H10188" t="s">
        <v>8587</v>
      </c>
      <c r="I10188">
        <v>35</v>
      </c>
      <c r="J10188" t="s">
        <v>462</v>
      </c>
      <c r="K10188" t="s">
        <v>446</v>
      </c>
      <c r="M10188">
        <v>3711</v>
      </c>
    </row>
    <row r="10189" spans="1:14">
      <c r="A10189">
        <v>64240000</v>
      </c>
      <c r="B10189">
        <v>3022536</v>
      </c>
      <c r="C10189" t="s">
        <v>4621</v>
      </c>
      <c r="D10189" t="s">
        <v>441</v>
      </c>
      <c r="F10189">
        <v>0</v>
      </c>
      <c r="G10189">
        <v>13.48</v>
      </c>
      <c r="H10189" t="s">
        <v>12573</v>
      </c>
      <c r="I10189">
        <v>4</v>
      </c>
      <c r="J10189" t="s">
        <v>445</v>
      </c>
      <c r="M10189">
        <v>3349</v>
      </c>
      <c r="N10189" t="s">
        <v>16766</v>
      </c>
    </row>
    <row r="10190" spans="1:14">
      <c r="A10190">
        <v>64240008</v>
      </c>
      <c r="B10190">
        <v>3022537</v>
      </c>
      <c r="C10190" t="s">
        <v>4622</v>
      </c>
      <c r="D10190" t="s">
        <v>441</v>
      </c>
      <c r="F10190">
        <v>0</v>
      </c>
      <c r="G10190">
        <v>11.26</v>
      </c>
      <c r="H10190" t="s">
        <v>12664</v>
      </c>
      <c r="I10190">
        <v>2</v>
      </c>
      <c r="J10190" t="s">
        <v>445</v>
      </c>
      <c r="M10190">
        <v>6666</v>
      </c>
      <c r="N10190" t="s">
        <v>16767</v>
      </c>
    </row>
    <row r="10191" spans="1:14">
      <c r="A10191">
        <v>64244210</v>
      </c>
      <c r="B10191">
        <v>4014861</v>
      </c>
      <c r="C10191" t="s">
        <v>4623</v>
      </c>
      <c r="D10191" t="s">
        <v>442</v>
      </c>
      <c r="E10191" t="s">
        <v>441</v>
      </c>
      <c r="F10191">
        <v>0.55000000000000004</v>
      </c>
      <c r="G10191">
        <v>6.51</v>
      </c>
      <c r="H10191" t="s">
        <v>8587</v>
      </c>
      <c r="I10191">
        <v>35</v>
      </c>
      <c r="J10191" t="s">
        <v>462</v>
      </c>
      <c r="K10191" t="s">
        <v>446</v>
      </c>
      <c r="M10191">
        <v>3711</v>
      </c>
    </row>
    <row r="10192" spans="1:14">
      <c r="A10192">
        <v>64244220</v>
      </c>
      <c r="B10192">
        <v>4015426</v>
      </c>
      <c r="C10192" t="s">
        <v>4624</v>
      </c>
      <c r="D10192" t="s">
        <v>442</v>
      </c>
      <c r="E10192" t="s">
        <v>441</v>
      </c>
      <c r="F10192">
        <v>0.55000000000000004</v>
      </c>
      <c r="G10192">
        <v>5.98</v>
      </c>
      <c r="H10192" t="s">
        <v>8587</v>
      </c>
      <c r="I10192">
        <v>35</v>
      </c>
      <c r="J10192" t="s">
        <v>462</v>
      </c>
      <c r="K10192" t="s">
        <v>446</v>
      </c>
      <c r="M10192">
        <v>3711</v>
      </c>
    </row>
    <row r="10193" spans="1:14">
      <c r="A10193">
        <v>64244230</v>
      </c>
      <c r="B10193">
        <v>4016501</v>
      </c>
      <c r="C10193" t="s">
        <v>4625</v>
      </c>
      <c r="D10193" t="s">
        <v>441</v>
      </c>
      <c r="F10193">
        <v>0</v>
      </c>
      <c r="G10193">
        <v>10.15</v>
      </c>
      <c r="H10193" t="s">
        <v>8587</v>
      </c>
      <c r="I10193">
        <v>35</v>
      </c>
      <c r="J10193" t="s">
        <v>462</v>
      </c>
      <c r="K10193" t="s">
        <v>446</v>
      </c>
      <c r="M10193">
        <v>3711</v>
      </c>
    </row>
    <row r="10194" spans="1:14">
      <c r="A10194">
        <v>64244240</v>
      </c>
      <c r="B10194">
        <v>4016511</v>
      </c>
      <c r="C10194" t="s">
        <v>4626</v>
      </c>
      <c r="D10194" t="s">
        <v>442</v>
      </c>
      <c r="E10194" t="s">
        <v>441</v>
      </c>
      <c r="F10194">
        <v>0.55000000000000004</v>
      </c>
      <c r="G10194">
        <v>7.28</v>
      </c>
      <c r="H10194" t="s">
        <v>8587</v>
      </c>
      <c r="I10194">
        <v>35</v>
      </c>
      <c r="J10194" t="s">
        <v>462</v>
      </c>
      <c r="K10194" t="s">
        <v>446</v>
      </c>
      <c r="M10194">
        <v>3711</v>
      </c>
      <c r="N10194" t="s">
        <v>16768</v>
      </c>
    </row>
    <row r="10195" spans="1:14">
      <c r="A10195">
        <v>64244250</v>
      </c>
      <c r="B10195">
        <v>4016582</v>
      </c>
      <c r="C10195" t="s">
        <v>4627</v>
      </c>
      <c r="D10195" t="s">
        <v>442</v>
      </c>
      <c r="E10195" t="s">
        <v>441</v>
      </c>
      <c r="F10195">
        <v>0.55000000000000004</v>
      </c>
      <c r="G10195">
        <v>7.97</v>
      </c>
      <c r="H10195" t="s">
        <v>8587</v>
      </c>
      <c r="I10195">
        <v>35</v>
      </c>
      <c r="J10195" t="s">
        <v>462</v>
      </c>
      <c r="L10195" t="s">
        <v>13016</v>
      </c>
      <c r="M10195">
        <v>7108</v>
      </c>
      <c r="N10195" t="s">
        <v>16769</v>
      </c>
    </row>
    <row r="10196" spans="1:14">
      <c r="A10196">
        <v>64244260</v>
      </c>
      <c r="B10196">
        <v>4016549</v>
      </c>
      <c r="C10196" t="s">
        <v>4628</v>
      </c>
      <c r="D10196" t="s">
        <v>442</v>
      </c>
      <c r="E10196" t="s">
        <v>441</v>
      </c>
      <c r="F10196">
        <v>0.27</v>
      </c>
      <c r="G10196">
        <v>4.01</v>
      </c>
      <c r="H10196" t="s">
        <v>8587</v>
      </c>
      <c r="I10196">
        <v>35</v>
      </c>
      <c r="J10196" t="s">
        <v>462</v>
      </c>
      <c r="K10196" t="s">
        <v>446</v>
      </c>
      <c r="L10196" t="s">
        <v>13017</v>
      </c>
      <c r="M10196">
        <v>3711</v>
      </c>
      <c r="N10196" t="s">
        <v>16768</v>
      </c>
    </row>
    <row r="10197" spans="1:14">
      <c r="A10197">
        <v>64244270</v>
      </c>
      <c r="B10197">
        <v>4017330</v>
      </c>
      <c r="C10197" t="s">
        <v>4629</v>
      </c>
      <c r="D10197" t="s">
        <v>441</v>
      </c>
      <c r="F10197">
        <v>0</v>
      </c>
      <c r="G10197">
        <v>11.56</v>
      </c>
      <c r="H10197" t="s">
        <v>8587</v>
      </c>
      <c r="I10197">
        <v>35</v>
      </c>
      <c r="J10197" t="s">
        <v>462</v>
      </c>
      <c r="K10197" t="s">
        <v>446</v>
      </c>
      <c r="M10197">
        <v>3711</v>
      </c>
      <c r="N10197" t="s">
        <v>16770</v>
      </c>
    </row>
    <row r="10198" spans="1:14">
      <c r="A10198">
        <v>64244280</v>
      </c>
      <c r="B10198">
        <v>4018843</v>
      </c>
      <c r="C10198" t="s">
        <v>4630</v>
      </c>
      <c r="D10198" t="s">
        <v>442</v>
      </c>
      <c r="E10198" t="s">
        <v>441</v>
      </c>
      <c r="F10198">
        <v>0.55000000000000004</v>
      </c>
      <c r="G10198">
        <v>7.28</v>
      </c>
      <c r="H10198" t="s">
        <v>8587</v>
      </c>
      <c r="I10198">
        <v>35</v>
      </c>
      <c r="J10198" t="s">
        <v>462</v>
      </c>
      <c r="K10198" t="s">
        <v>446</v>
      </c>
      <c r="M10198">
        <v>3711</v>
      </c>
      <c r="N10198" t="s">
        <v>16768</v>
      </c>
    </row>
    <row r="10199" spans="1:14">
      <c r="A10199">
        <v>64244290</v>
      </c>
      <c r="B10199">
        <v>4019302</v>
      </c>
      <c r="C10199" t="s">
        <v>4631</v>
      </c>
      <c r="D10199" t="s">
        <v>442</v>
      </c>
      <c r="E10199" t="s">
        <v>441</v>
      </c>
      <c r="F10199">
        <v>0.55000000000000004</v>
      </c>
      <c r="G10199">
        <v>7.98</v>
      </c>
      <c r="H10199" t="s">
        <v>8587</v>
      </c>
      <c r="I10199">
        <v>35</v>
      </c>
      <c r="J10199" t="s">
        <v>462</v>
      </c>
      <c r="K10199" t="s">
        <v>446</v>
      </c>
      <c r="M10199">
        <v>3711</v>
      </c>
      <c r="N10199" t="s">
        <v>16768</v>
      </c>
    </row>
    <row r="10200" spans="1:14">
      <c r="A10200">
        <v>64246210</v>
      </c>
      <c r="B10200">
        <v>4019442</v>
      </c>
      <c r="C10200" t="s">
        <v>4632</v>
      </c>
      <c r="D10200" t="s">
        <v>442</v>
      </c>
      <c r="E10200" t="s">
        <v>441</v>
      </c>
      <c r="F10200">
        <v>0.55000000000000004</v>
      </c>
      <c r="G10200">
        <v>7.89</v>
      </c>
      <c r="H10200" t="s">
        <v>8587</v>
      </c>
      <c r="I10200">
        <v>35</v>
      </c>
      <c r="J10200" t="s">
        <v>462</v>
      </c>
      <c r="K10200" t="s">
        <v>446</v>
      </c>
      <c r="L10200" t="s">
        <v>13018</v>
      </c>
      <c r="M10200">
        <v>3711</v>
      </c>
      <c r="N10200" t="s">
        <v>16768</v>
      </c>
    </row>
    <row r="10201" spans="1:14">
      <c r="A10201">
        <v>64246220</v>
      </c>
      <c r="B10201">
        <v>4020180</v>
      </c>
      <c r="C10201" t="s">
        <v>4633</v>
      </c>
      <c r="D10201" t="s">
        <v>442</v>
      </c>
      <c r="E10201" t="s">
        <v>441</v>
      </c>
      <c r="F10201">
        <v>0.55000000000000004</v>
      </c>
      <c r="G10201">
        <v>6.22</v>
      </c>
      <c r="H10201" t="s">
        <v>8587</v>
      </c>
      <c r="I10201">
        <v>35</v>
      </c>
      <c r="J10201" t="s">
        <v>462</v>
      </c>
      <c r="K10201" t="s">
        <v>446</v>
      </c>
      <c r="L10201" t="s">
        <v>13018</v>
      </c>
      <c r="M10201">
        <v>3711</v>
      </c>
      <c r="N10201" t="s">
        <v>16769</v>
      </c>
    </row>
    <row r="10202" spans="1:14">
      <c r="A10202">
        <v>64246230</v>
      </c>
      <c r="B10202">
        <v>4025520</v>
      </c>
      <c r="C10202" t="s">
        <v>4634</v>
      </c>
      <c r="D10202" t="s">
        <v>442</v>
      </c>
      <c r="E10202" t="s">
        <v>441</v>
      </c>
      <c r="F10202">
        <v>0.55000000000000004</v>
      </c>
      <c r="G10202">
        <v>8.08</v>
      </c>
      <c r="H10202" t="s">
        <v>8587</v>
      </c>
      <c r="I10202">
        <v>35</v>
      </c>
      <c r="J10202" t="s">
        <v>462</v>
      </c>
      <c r="M10202">
        <v>7108</v>
      </c>
      <c r="N10202" t="s">
        <v>16769</v>
      </c>
    </row>
    <row r="10203" spans="1:14">
      <c r="A10203">
        <v>64250000</v>
      </c>
      <c r="B10203">
        <v>3023387</v>
      </c>
      <c r="C10203" t="s">
        <v>4635</v>
      </c>
      <c r="D10203" t="s">
        <v>441</v>
      </c>
      <c r="F10203">
        <v>0</v>
      </c>
      <c r="G10203">
        <v>11.88</v>
      </c>
      <c r="H10203" t="s">
        <v>12573</v>
      </c>
      <c r="I10203">
        <v>7</v>
      </c>
      <c r="J10203" t="s">
        <v>445</v>
      </c>
      <c r="K10203" t="s">
        <v>446</v>
      </c>
      <c r="M10203">
        <v>3312</v>
      </c>
    </row>
    <row r="10204" spans="1:14">
      <c r="A10204">
        <v>64250008</v>
      </c>
      <c r="B10204">
        <v>3023386</v>
      </c>
      <c r="C10204" t="s">
        <v>4636</v>
      </c>
      <c r="D10204" t="s">
        <v>441</v>
      </c>
      <c r="F10204">
        <v>0</v>
      </c>
      <c r="G10204">
        <v>8.7200000000000006</v>
      </c>
      <c r="H10204" t="s">
        <v>12664</v>
      </c>
      <c r="I10204">
        <v>2</v>
      </c>
      <c r="J10204" t="s">
        <v>445</v>
      </c>
      <c r="K10204" t="s">
        <v>446</v>
      </c>
      <c r="M10204">
        <v>3211</v>
      </c>
    </row>
    <row r="10205" spans="1:14">
      <c r="A10205">
        <v>64254210</v>
      </c>
      <c r="B10205">
        <v>4015467</v>
      </c>
      <c r="C10205" t="s">
        <v>4637</v>
      </c>
      <c r="D10205" t="s">
        <v>442</v>
      </c>
      <c r="E10205" t="s">
        <v>441</v>
      </c>
      <c r="F10205">
        <v>0.26</v>
      </c>
      <c r="G10205">
        <v>3.83</v>
      </c>
      <c r="H10205" t="s">
        <v>8587</v>
      </c>
      <c r="I10205">
        <v>35</v>
      </c>
      <c r="J10205" t="s">
        <v>462</v>
      </c>
      <c r="K10205" t="s">
        <v>446</v>
      </c>
      <c r="L10205" t="s">
        <v>13019</v>
      </c>
      <c r="M10205">
        <v>3711</v>
      </c>
    </row>
    <row r="10206" spans="1:14">
      <c r="A10206">
        <v>64260000</v>
      </c>
      <c r="B10206">
        <v>3025585</v>
      </c>
      <c r="C10206" t="s">
        <v>4638</v>
      </c>
      <c r="D10206" t="s">
        <v>441</v>
      </c>
      <c r="F10206">
        <v>0</v>
      </c>
      <c r="G10206">
        <v>7.94</v>
      </c>
      <c r="H10206" t="s">
        <v>12573</v>
      </c>
      <c r="I10206">
        <v>6</v>
      </c>
      <c r="J10206" t="s">
        <v>445</v>
      </c>
      <c r="K10206" t="s">
        <v>446</v>
      </c>
      <c r="M10206">
        <v>3311</v>
      </c>
      <c r="N10206" t="s">
        <v>16771</v>
      </c>
    </row>
    <row r="10207" spans="1:14">
      <c r="A10207">
        <v>64260008</v>
      </c>
      <c r="B10207">
        <v>3025584</v>
      </c>
      <c r="C10207" t="s">
        <v>4639</v>
      </c>
      <c r="D10207" t="s">
        <v>441</v>
      </c>
      <c r="F10207">
        <v>0</v>
      </c>
      <c r="G10207">
        <v>6.96</v>
      </c>
      <c r="H10207" t="s">
        <v>12664</v>
      </c>
      <c r="I10207">
        <v>2</v>
      </c>
      <c r="J10207" t="s">
        <v>445</v>
      </c>
      <c r="K10207" t="s">
        <v>446</v>
      </c>
      <c r="M10207">
        <v>3211</v>
      </c>
      <c r="N10207" t="s">
        <v>16771</v>
      </c>
    </row>
    <row r="10208" spans="1:14">
      <c r="A10208">
        <v>64264210</v>
      </c>
      <c r="B10208">
        <v>4016633</v>
      </c>
      <c r="C10208" t="s">
        <v>4640</v>
      </c>
      <c r="D10208" t="s">
        <v>441</v>
      </c>
      <c r="F10208">
        <v>0</v>
      </c>
      <c r="G10208">
        <v>9.34</v>
      </c>
      <c r="H10208" t="s">
        <v>8587</v>
      </c>
      <c r="I10208">
        <v>35</v>
      </c>
      <c r="J10208" t="s">
        <v>462</v>
      </c>
      <c r="K10208" t="s">
        <v>446</v>
      </c>
      <c r="M10208">
        <v>3711</v>
      </c>
      <c r="N10208" t="s">
        <v>16772</v>
      </c>
    </row>
    <row r="10209" spans="1:14">
      <c r="A10209">
        <v>64270000</v>
      </c>
      <c r="B10209">
        <v>3025867</v>
      </c>
      <c r="C10209" t="s">
        <v>4641</v>
      </c>
      <c r="D10209" t="s">
        <v>441</v>
      </c>
      <c r="F10209">
        <v>0</v>
      </c>
      <c r="G10209">
        <v>8.66</v>
      </c>
      <c r="H10209" t="s">
        <v>12573</v>
      </c>
      <c r="I10209">
        <v>6</v>
      </c>
      <c r="J10209" t="s">
        <v>445</v>
      </c>
      <c r="K10209" t="s">
        <v>446</v>
      </c>
      <c r="M10209">
        <v>3311</v>
      </c>
    </row>
    <row r="10210" spans="1:14">
      <c r="A10210">
        <v>64270008</v>
      </c>
      <c r="B10210">
        <v>3025866</v>
      </c>
      <c r="C10210" t="s">
        <v>4642</v>
      </c>
      <c r="D10210" t="s">
        <v>441</v>
      </c>
      <c r="F10210">
        <v>0</v>
      </c>
      <c r="G10210">
        <v>7.25</v>
      </c>
      <c r="H10210" t="s">
        <v>12664</v>
      </c>
      <c r="I10210">
        <v>2</v>
      </c>
      <c r="J10210" t="s">
        <v>445</v>
      </c>
      <c r="K10210" t="s">
        <v>446</v>
      </c>
      <c r="M10210">
        <v>3211</v>
      </c>
    </row>
    <row r="10211" spans="1:14">
      <c r="A10211">
        <v>64274211</v>
      </c>
      <c r="B10211">
        <v>3026002</v>
      </c>
      <c r="C10211" t="s">
        <v>4643</v>
      </c>
      <c r="D10211" t="s">
        <v>442</v>
      </c>
      <c r="E10211" t="s">
        <v>441</v>
      </c>
      <c r="F10211">
        <v>0.55000000000000004</v>
      </c>
      <c r="G10211">
        <v>5.42</v>
      </c>
      <c r="H10211" t="s">
        <v>8587</v>
      </c>
      <c r="I10211">
        <v>28</v>
      </c>
      <c r="J10211" t="s">
        <v>445</v>
      </c>
      <c r="K10211" t="s">
        <v>446</v>
      </c>
      <c r="M10211">
        <v>3711</v>
      </c>
    </row>
    <row r="10212" spans="1:14">
      <c r="A10212">
        <v>64280000</v>
      </c>
      <c r="B10212">
        <v>3025910</v>
      </c>
      <c r="C10212" t="s">
        <v>4644</v>
      </c>
      <c r="D10212" t="s">
        <v>441</v>
      </c>
      <c r="F10212">
        <v>0</v>
      </c>
      <c r="G10212">
        <v>8.14</v>
      </c>
      <c r="H10212" t="s">
        <v>12573</v>
      </c>
      <c r="I10212">
        <v>6</v>
      </c>
      <c r="J10212" t="s">
        <v>445</v>
      </c>
      <c r="K10212" t="s">
        <v>446</v>
      </c>
      <c r="M10212">
        <v>3311</v>
      </c>
    </row>
    <row r="10213" spans="1:14">
      <c r="A10213">
        <v>64280008</v>
      </c>
      <c r="B10213">
        <v>3025869</v>
      </c>
      <c r="C10213" t="s">
        <v>4645</v>
      </c>
      <c r="D10213" t="s">
        <v>441</v>
      </c>
      <c r="F10213">
        <v>0</v>
      </c>
      <c r="G10213">
        <v>6.81</v>
      </c>
      <c r="H10213" t="s">
        <v>12664</v>
      </c>
      <c r="I10213">
        <v>2</v>
      </c>
      <c r="J10213" t="s">
        <v>445</v>
      </c>
      <c r="K10213" t="s">
        <v>446</v>
      </c>
      <c r="M10213">
        <v>3211</v>
      </c>
    </row>
    <row r="10214" spans="1:14">
      <c r="A10214">
        <v>64284211</v>
      </c>
      <c r="B10214">
        <v>3026001</v>
      </c>
      <c r="C10214" t="s">
        <v>4646</v>
      </c>
      <c r="D10214" t="s">
        <v>442</v>
      </c>
      <c r="E10214" t="s">
        <v>441</v>
      </c>
      <c r="F10214">
        <v>0.55000000000000004</v>
      </c>
      <c r="G10214">
        <v>5.12</v>
      </c>
      <c r="H10214" t="s">
        <v>8587</v>
      </c>
      <c r="I10214">
        <v>28</v>
      </c>
      <c r="J10214" t="s">
        <v>445</v>
      </c>
      <c r="K10214" t="s">
        <v>446</v>
      </c>
      <c r="M10214">
        <v>3711</v>
      </c>
    </row>
    <row r="10215" spans="1:14">
      <c r="A10215">
        <v>64294210</v>
      </c>
      <c r="B10215">
        <v>4016949</v>
      </c>
      <c r="C10215" t="s">
        <v>13020</v>
      </c>
      <c r="D10215" t="s">
        <v>442</v>
      </c>
      <c r="E10215" t="s">
        <v>441</v>
      </c>
      <c r="F10215">
        <v>0.55000000000000004</v>
      </c>
      <c r="G10215">
        <v>5.39</v>
      </c>
      <c r="H10215" t="s">
        <v>8587</v>
      </c>
      <c r="I10215">
        <v>28</v>
      </c>
      <c r="J10215" t="s">
        <v>462</v>
      </c>
      <c r="K10215" t="s">
        <v>446</v>
      </c>
      <c r="L10215" t="s">
        <v>13021</v>
      </c>
      <c r="M10215">
        <v>3711</v>
      </c>
    </row>
    <row r="10216" spans="1:14">
      <c r="A10216">
        <v>64300000</v>
      </c>
      <c r="B10216">
        <v>3026144</v>
      </c>
      <c r="C10216" t="s">
        <v>4647</v>
      </c>
      <c r="D10216" t="s">
        <v>441</v>
      </c>
      <c r="F10216">
        <v>0</v>
      </c>
      <c r="G10216">
        <v>8.52</v>
      </c>
      <c r="H10216" t="s">
        <v>12573</v>
      </c>
      <c r="I10216">
        <v>6</v>
      </c>
      <c r="J10216" t="s">
        <v>445</v>
      </c>
      <c r="K10216" t="s">
        <v>446</v>
      </c>
      <c r="M10216">
        <v>3311</v>
      </c>
    </row>
    <row r="10217" spans="1:14">
      <c r="A10217">
        <v>64300008</v>
      </c>
      <c r="B10217">
        <v>3026145</v>
      </c>
      <c r="C10217" t="s">
        <v>4648</v>
      </c>
      <c r="D10217" t="s">
        <v>441</v>
      </c>
      <c r="F10217">
        <v>0</v>
      </c>
      <c r="G10217">
        <v>7.13</v>
      </c>
      <c r="H10217" t="s">
        <v>12664</v>
      </c>
      <c r="I10217">
        <v>2</v>
      </c>
      <c r="J10217" t="s">
        <v>445</v>
      </c>
      <c r="K10217" t="s">
        <v>446</v>
      </c>
      <c r="M10217">
        <v>3211</v>
      </c>
    </row>
    <row r="10218" spans="1:14">
      <c r="A10218">
        <v>64304211</v>
      </c>
      <c r="B10218">
        <v>3026149</v>
      </c>
      <c r="C10218" t="s">
        <v>4649</v>
      </c>
      <c r="D10218" t="s">
        <v>442</v>
      </c>
      <c r="E10218" t="s">
        <v>441</v>
      </c>
      <c r="F10218">
        <v>0.27</v>
      </c>
      <c r="G10218">
        <v>2.66</v>
      </c>
      <c r="H10218" t="s">
        <v>8587</v>
      </c>
      <c r="I10218">
        <v>28</v>
      </c>
      <c r="J10218" t="s">
        <v>445</v>
      </c>
      <c r="K10218" t="s">
        <v>446</v>
      </c>
      <c r="M10218">
        <v>3711</v>
      </c>
    </row>
    <row r="10219" spans="1:14">
      <c r="A10219">
        <v>64310000</v>
      </c>
      <c r="B10219">
        <v>3026183</v>
      </c>
      <c r="C10219" t="s">
        <v>4650</v>
      </c>
      <c r="D10219" t="s">
        <v>441</v>
      </c>
      <c r="F10219">
        <v>0</v>
      </c>
      <c r="G10219">
        <v>8.49</v>
      </c>
      <c r="H10219" t="s">
        <v>12573</v>
      </c>
      <c r="I10219">
        <v>6</v>
      </c>
      <c r="J10219" t="s">
        <v>445</v>
      </c>
      <c r="K10219" t="s">
        <v>446</v>
      </c>
      <c r="M10219">
        <v>3311</v>
      </c>
    </row>
    <row r="10220" spans="1:14">
      <c r="A10220">
        <v>64310008</v>
      </c>
      <c r="B10220">
        <v>3026181</v>
      </c>
      <c r="C10220" t="s">
        <v>4651</v>
      </c>
      <c r="D10220" t="s">
        <v>441</v>
      </c>
      <c r="F10220">
        <v>0</v>
      </c>
      <c r="G10220">
        <v>7.11</v>
      </c>
      <c r="H10220" t="s">
        <v>12664</v>
      </c>
      <c r="I10220">
        <v>2</v>
      </c>
      <c r="J10220" t="s">
        <v>445</v>
      </c>
      <c r="K10220" t="s">
        <v>446</v>
      </c>
      <c r="M10220">
        <v>3211</v>
      </c>
    </row>
    <row r="10221" spans="1:14">
      <c r="A10221">
        <v>64314211</v>
      </c>
      <c r="B10221">
        <v>3026182</v>
      </c>
      <c r="C10221" t="s">
        <v>4652</v>
      </c>
      <c r="D10221" t="s">
        <v>442</v>
      </c>
      <c r="E10221" t="s">
        <v>441</v>
      </c>
      <c r="F10221">
        <v>0.27</v>
      </c>
      <c r="G10221">
        <v>2.66</v>
      </c>
      <c r="H10221" t="s">
        <v>8587</v>
      </c>
      <c r="I10221">
        <v>28</v>
      </c>
      <c r="J10221" t="s">
        <v>445</v>
      </c>
      <c r="K10221" t="s">
        <v>446</v>
      </c>
      <c r="M10221">
        <v>3711</v>
      </c>
    </row>
    <row r="10222" spans="1:14">
      <c r="A10222">
        <v>64324210</v>
      </c>
      <c r="B10222">
        <v>4017161</v>
      </c>
      <c r="C10222" t="s">
        <v>13022</v>
      </c>
      <c r="D10222" t="s">
        <v>442</v>
      </c>
      <c r="E10222" t="s">
        <v>441</v>
      </c>
      <c r="F10222">
        <v>0.27</v>
      </c>
      <c r="G10222">
        <v>2.75</v>
      </c>
      <c r="H10222" t="s">
        <v>8587</v>
      </c>
      <c r="I10222">
        <v>28</v>
      </c>
      <c r="J10222" t="s">
        <v>462</v>
      </c>
      <c r="K10222" t="s">
        <v>446</v>
      </c>
      <c r="L10222" t="s">
        <v>13023</v>
      </c>
      <c r="M10222">
        <v>3711</v>
      </c>
    </row>
    <row r="10223" spans="1:14">
      <c r="A10223">
        <v>64330000</v>
      </c>
      <c r="B10223">
        <v>3026433</v>
      </c>
      <c r="C10223" t="s">
        <v>4653</v>
      </c>
      <c r="D10223" t="s">
        <v>441</v>
      </c>
      <c r="F10223">
        <v>0</v>
      </c>
      <c r="G10223">
        <v>6.49</v>
      </c>
      <c r="H10223" t="s">
        <v>12573</v>
      </c>
      <c r="I10223">
        <v>6</v>
      </c>
      <c r="J10223" t="s">
        <v>445</v>
      </c>
      <c r="K10223" t="s">
        <v>446</v>
      </c>
      <c r="M10223">
        <v>3311</v>
      </c>
      <c r="N10223" t="s">
        <v>16773</v>
      </c>
    </row>
    <row r="10224" spans="1:14">
      <c r="A10224">
        <v>64330008</v>
      </c>
      <c r="B10224">
        <v>3026432</v>
      </c>
      <c r="C10224" t="s">
        <v>4654</v>
      </c>
      <c r="D10224" t="s">
        <v>441</v>
      </c>
      <c r="F10224">
        <v>0</v>
      </c>
      <c r="G10224">
        <v>5.37</v>
      </c>
      <c r="H10224" t="s">
        <v>12664</v>
      </c>
      <c r="I10224">
        <v>2</v>
      </c>
      <c r="J10224" t="s">
        <v>445</v>
      </c>
      <c r="K10224" t="s">
        <v>446</v>
      </c>
      <c r="M10224">
        <v>3211</v>
      </c>
      <c r="N10224" t="s">
        <v>16773</v>
      </c>
    </row>
    <row r="10225" spans="1:14">
      <c r="A10225">
        <v>64334210</v>
      </c>
      <c r="B10225">
        <v>4017433</v>
      </c>
      <c r="C10225" t="s">
        <v>4655</v>
      </c>
      <c r="D10225" t="s">
        <v>441</v>
      </c>
      <c r="F10225">
        <v>0</v>
      </c>
      <c r="G10225">
        <v>8.5399999999999991</v>
      </c>
      <c r="H10225" t="s">
        <v>8587</v>
      </c>
      <c r="I10225">
        <v>35</v>
      </c>
      <c r="J10225" t="s">
        <v>462</v>
      </c>
      <c r="K10225" t="s">
        <v>446</v>
      </c>
      <c r="M10225">
        <v>3711</v>
      </c>
      <c r="N10225" t="s">
        <v>16773</v>
      </c>
    </row>
    <row r="10226" spans="1:14">
      <c r="A10226">
        <v>64334220</v>
      </c>
      <c r="B10226">
        <v>4017432</v>
      </c>
      <c r="C10226" t="s">
        <v>4656</v>
      </c>
      <c r="D10226" t="s">
        <v>441</v>
      </c>
      <c r="F10226">
        <v>0</v>
      </c>
      <c r="G10226">
        <v>6.86</v>
      </c>
      <c r="H10226" t="s">
        <v>8587</v>
      </c>
      <c r="I10226">
        <v>35</v>
      </c>
      <c r="J10226" t="s">
        <v>462</v>
      </c>
      <c r="K10226" t="s">
        <v>446</v>
      </c>
      <c r="M10226">
        <v>3711</v>
      </c>
    </row>
    <row r="10227" spans="1:14">
      <c r="A10227">
        <v>64340000</v>
      </c>
      <c r="B10227">
        <v>3027094</v>
      </c>
      <c r="C10227" t="s">
        <v>4657</v>
      </c>
      <c r="D10227" t="s">
        <v>441</v>
      </c>
      <c r="F10227">
        <v>0</v>
      </c>
      <c r="G10227">
        <v>6.6</v>
      </c>
      <c r="H10227" t="s">
        <v>12573</v>
      </c>
      <c r="I10227">
        <v>4</v>
      </c>
      <c r="J10227" t="s">
        <v>445</v>
      </c>
      <c r="M10227">
        <v>3349</v>
      </c>
      <c r="N10227" t="s">
        <v>16774</v>
      </c>
    </row>
    <row r="10228" spans="1:14">
      <c r="A10228">
        <v>64340008</v>
      </c>
      <c r="B10228">
        <v>3027093</v>
      </c>
      <c r="C10228" t="s">
        <v>4658</v>
      </c>
      <c r="D10228" t="s">
        <v>441</v>
      </c>
      <c r="F10228">
        <v>0</v>
      </c>
      <c r="G10228">
        <v>5.35</v>
      </c>
      <c r="H10228" t="s">
        <v>12664</v>
      </c>
      <c r="I10228">
        <v>2</v>
      </c>
      <c r="J10228" t="s">
        <v>445</v>
      </c>
      <c r="M10228">
        <v>6666</v>
      </c>
      <c r="N10228" t="s">
        <v>16775</v>
      </c>
    </row>
    <row r="10229" spans="1:14">
      <c r="A10229">
        <v>64344210</v>
      </c>
      <c r="B10229">
        <v>4017984</v>
      </c>
      <c r="C10229" t="s">
        <v>4659</v>
      </c>
      <c r="D10229" t="s">
        <v>442</v>
      </c>
      <c r="E10229" t="s">
        <v>441</v>
      </c>
      <c r="F10229">
        <v>0.5</v>
      </c>
      <c r="G10229">
        <v>4.76</v>
      </c>
      <c r="H10229" t="s">
        <v>8587</v>
      </c>
      <c r="I10229">
        <v>43</v>
      </c>
      <c r="J10229" t="s">
        <v>462</v>
      </c>
      <c r="L10229" t="s">
        <v>13024</v>
      </c>
      <c r="M10229">
        <v>7108</v>
      </c>
      <c r="N10229" t="s">
        <v>16776</v>
      </c>
    </row>
    <row r="10230" spans="1:14">
      <c r="A10230">
        <v>64344220</v>
      </c>
      <c r="B10230">
        <v>4017982</v>
      </c>
      <c r="C10230" t="s">
        <v>15533</v>
      </c>
      <c r="D10230" t="s">
        <v>441</v>
      </c>
      <c r="F10230">
        <v>0</v>
      </c>
      <c r="G10230">
        <v>9.16</v>
      </c>
      <c r="H10230" t="s">
        <v>8587</v>
      </c>
      <c r="I10230">
        <v>40</v>
      </c>
      <c r="J10230" t="s">
        <v>462</v>
      </c>
      <c r="K10230" t="s">
        <v>446</v>
      </c>
      <c r="M10230">
        <v>7108</v>
      </c>
      <c r="N10230" t="s">
        <v>16776</v>
      </c>
    </row>
    <row r="10231" spans="1:14">
      <c r="A10231">
        <v>64344230</v>
      </c>
      <c r="B10231">
        <v>4018268</v>
      </c>
      <c r="C10231" t="s">
        <v>4660</v>
      </c>
      <c r="D10231" t="s">
        <v>441</v>
      </c>
      <c r="F10231">
        <v>0</v>
      </c>
      <c r="G10231">
        <v>7.98</v>
      </c>
      <c r="H10231" t="s">
        <v>8587</v>
      </c>
      <c r="I10231">
        <v>40</v>
      </c>
      <c r="J10231" t="s">
        <v>462</v>
      </c>
      <c r="M10231">
        <v>7108</v>
      </c>
      <c r="N10231" t="s">
        <v>16776</v>
      </c>
    </row>
    <row r="10232" spans="1:14">
      <c r="A10232">
        <v>64344240</v>
      </c>
      <c r="B10232">
        <v>4018269</v>
      </c>
      <c r="C10232" t="s">
        <v>4661</v>
      </c>
      <c r="D10232" t="s">
        <v>441</v>
      </c>
      <c r="F10232">
        <v>0</v>
      </c>
      <c r="G10232">
        <v>7.92</v>
      </c>
      <c r="H10232" t="s">
        <v>8587</v>
      </c>
      <c r="I10232">
        <v>40</v>
      </c>
      <c r="J10232" t="s">
        <v>462</v>
      </c>
      <c r="M10232">
        <v>7108</v>
      </c>
      <c r="N10232" t="s">
        <v>16776</v>
      </c>
    </row>
    <row r="10233" spans="1:14">
      <c r="A10233">
        <v>64344250</v>
      </c>
      <c r="B10233">
        <v>4018295</v>
      </c>
      <c r="C10233" t="s">
        <v>4662</v>
      </c>
      <c r="D10233" t="s">
        <v>441</v>
      </c>
      <c r="F10233">
        <v>0</v>
      </c>
      <c r="G10233">
        <v>5.85</v>
      </c>
      <c r="H10233" t="s">
        <v>8587</v>
      </c>
      <c r="I10233">
        <v>40</v>
      </c>
      <c r="J10233" t="s">
        <v>462</v>
      </c>
      <c r="K10233" t="s">
        <v>446</v>
      </c>
      <c r="M10233">
        <v>3711</v>
      </c>
      <c r="N10233" t="s">
        <v>16777</v>
      </c>
    </row>
    <row r="10234" spans="1:14">
      <c r="A10234">
        <v>64344260</v>
      </c>
      <c r="B10234">
        <v>4018852</v>
      </c>
      <c r="C10234" t="s">
        <v>4663</v>
      </c>
      <c r="D10234" t="s">
        <v>441</v>
      </c>
      <c r="F10234">
        <v>0</v>
      </c>
      <c r="G10234">
        <v>6.5</v>
      </c>
      <c r="H10234" t="s">
        <v>8587</v>
      </c>
      <c r="I10234">
        <v>40</v>
      </c>
      <c r="J10234" t="s">
        <v>462</v>
      </c>
      <c r="K10234" t="s">
        <v>446</v>
      </c>
      <c r="M10234">
        <v>7108</v>
      </c>
      <c r="N10234" t="s">
        <v>16776</v>
      </c>
    </row>
    <row r="10235" spans="1:14">
      <c r="A10235">
        <v>64344270</v>
      </c>
      <c r="B10235">
        <v>4020680</v>
      </c>
      <c r="C10235" t="s">
        <v>4664</v>
      </c>
      <c r="D10235" t="s">
        <v>441</v>
      </c>
      <c r="F10235">
        <v>0</v>
      </c>
      <c r="G10235">
        <v>5.67</v>
      </c>
      <c r="H10235" t="s">
        <v>8587</v>
      </c>
      <c r="I10235">
        <v>40</v>
      </c>
      <c r="J10235" t="s">
        <v>462</v>
      </c>
      <c r="K10235" t="s">
        <v>446</v>
      </c>
      <c r="M10235">
        <v>3711</v>
      </c>
      <c r="N10235" t="s">
        <v>16776</v>
      </c>
    </row>
    <row r="10236" spans="1:14">
      <c r="A10236">
        <v>64344280</v>
      </c>
      <c r="B10236">
        <v>4020793</v>
      </c>
      <c r="C10236" t="s">
        <v>13025</v>
      </c>
      <c r="D10236" t="s">
        <v>441</v>
      </c>
      <c r="F10236">
        <v>0</v>
      </c>
      <c r="G10236">
        <v>8.57</v>
      </c>
      <c r="H10236" t="s">
        <v>8587</v>
      </c>
      <c r="I10236">
        <v>40</v>
      </c>
      <c r="J10236" t="s">
        <v>462</v>
      </c>
      <c r="K10236" t="s">
        <v>446</v>
      </c>
      <c r="M10236">
        <v>7108</v>
      </c>
      <c r="N10236" t="s">
        <v>16776</v>
      </c>
    </row>
    <row r="10237" spans="1:14">
      <c r="A10237">
        <v>64344290</v>
      </c>
      <c r="B10237">
        <v>4021563</v>
      </c>
      <c r="C10237" t="s">
        <v>4665</v>
      </c>
      <c r="D10237" t="s">
        <v>442</v>
      </c>
      <c r="E10237" t="s">
        <v>441</v>
      </c>
      <c r="F10237">
        <v>0.6</v>
      </c>
      <c r="G10237">
        <v>3.32</v>
      </c>
      <c r="H10237" t="s">
        <v>8587</v>
      </c>
      <c r="I10237">
        <v>40</v>
      </c>
      <c r="J10237" t="s">
        <v>462</v>
      </c>
      <c r="K10237" t="s">
        <v>446</v>
      </c>
      <c r="M10237">
        <v>3711</v>
      </c>
      <c r="N10237" t="s">
        <v>16776</v>
      </c>
    </row>
    <row r="10238" spans="1:14">
      <c r="A10238">
        <v>64346210</v>
      </c>
      <c r="B10238">
        <v>4022707</v>
      </c>
      <c r="C10238" t="s">
        <v>15534</v>
      </c>
      <c r="D10238" t="s">
        <v>441</v>
      </c>
      <c r="F10238">
        <v>0</v>
      </c>
      <c r="G10238">
        <v>8.9600000000000009</v>
      </c>
      <c r="H10238" t="s">
        <v>8587</v>
      </c>
      <c r="I10238">
        <v>40</v>
      </c>
      <c r="J10238" t="s">
        <v>462</v>
      </c>
      <c r="K10238" t="s">
        <v>446</v>
      </c>
      <c r="M10238">
        <v>7108</v>
      </c>
      <c r="N10238" t="s">
        <v>16776</v>
      </c>
    </row>
    <row r="10239" spans="1:14">
      <c r="A10239">
        <v>64346220</v>
      </c>
      <c r="B10239">
        <v>4023822</v>
      </c>
      <c r="C10239" t="s">
        <v>15334</v>
      </c>
      <c r="D10239" t="s">
        <v>441</v>
      </c>
      <c r="F10239">
        <v>0</v>
      </c>
      <c r="G10239">
        <v>8.5500000000000007</v>
      </c>
      <c r="H10239" t="s">
        <v>8587</v>
      </c>
      <c r="I10239">
        <v>40</v>
      </c>
      <c r="J10239" t="s">
        <v>462</v>
      </c>
      <c r="K10239" t="s">
        <v>446</v>
      </c>
      <c r="M10239">
        <v>7108</v>
      </c>
      <c r="N10239" t="s">
        <v>16776</v>
      </c>
    </row>
    <row r="10240" spans="1:14">
      <c r="A10240">
        <v>64346230</v>
      </c>
      <c r="B10240">
        <v>4024908</v>
      </c>
      <c r="C10240" t="s">
        <v>4666</v>
      </c>
      <c r="D10240" t="s">
        <v>442</v>
      </c>
      <c r="E10240" t="s">
        <v>441</v>
      </c>
      <c r="F10240">
        <v>0.5</v>
      </c>
      <c r="G10240">
        <v>4.9400000000000004</v>
      </c>
      <c r="H10240" t="s">
        <v>8587</v>
      </c>
      <c r="I10240">
        <v>43</v>
      </c>
      <c r="J10240" t="s">
        <v>462</v>
      </c>
      <c r="L10240" t="s">
        <v>13026</v>
      </c>
      <c r="M10240">
        <v>7108</v>
      </c>
      <c r="N10240" t="s">
        <v>16776</v>
      </c>
    </row>
    <row r="10241" spans="1:14">
      <c r="A10241">
        <v>64346240</v>
      </c>
      <c r="B10241">
        <v>4025148</v>
      </c>
      <c r="C10241" t="s">
        <v>4667</v>
      </c>
      <c r="D10241" t="s">
        <v>441</v>
      </c>
      <c r="F10241">
        <v>0</v>
      </c>
      <c r="G10241">
        <v>6.09</v>
      </c>
      <c r="H10241" t="s">
        <v>8587</v>
      </c>
      <c r="I10241">
        <v>40</v>
      </c>
      <c r="J10241" t="s">
        <v>462</v>
      </c>
      <c r="K10241" t="s">
        <v>446</v>
      </c>
      <c r="M10241">
        <v>3711</v>
      </c>
      <c r="N10241" t="s">
        <v>16776</v>
      </c>
    </row>
    <row r="10242" spans="1:14">
      <c r="A10242">
        <v>64346250</v>
      </c>
      <c r="B10242">
        <v>4027600</v>
      </c>
      <c r="C10242" t="s">
        <v>17607</v>
      </c>
      <c r="D10242" t="s">
        <v>441</v>
      </c>
      <c r="F10242">
        <v>0</v>
      </c>
      <c r="G10242">
        <v>8.0299999999999994</v>
      </c>
      <c r="H10242" t="s">
        <v>8587</v>
      </c>
      <c r="I10242">
        <v>43</v>
      </c>
      <c r="J10242" t="s">
        <v>462</v>
      </c>
      <c r="K10242" t="s">
        <v>446</v>
      </c>
      <c r="M10242">
        <v>7108</v>
      </c>
      <c r="N10242" t="s">
        <v>16776</v>
      </c>
    </row>
    <row r="10243" spans="1:14">
      <c r="A10243">
        <v>64350000</v>
      </c>
      <c r="B10243">
        <v>3030902</v>
      </c>
      <c r="C10243" t="s">
        <v>4669</v>
      </c>
      <c r="D10243" t="s">
        <v>441</v>
      </c>
      <c r="F10243">
        <v>0</v>
      </c>
      <c r="G10243">
        <v>12.25</v>
      </c>
      <c r="H10243" t="s">
        <v>12573</v>
      </c>
      <c r="I10243">
        <v>6</v>
      </c>
      <c r="J10243" t="s">
        <v>445</v>
      </c>
      <c r="K10243" t="s">
        <v>446</v>
      </c>
      <c r="M10243">
        <v>3311</v>
      </c>
      <c r="N10243" t="s">
        <v>16778</v>
      </c>
    </row>
    <row r="10244" spans="1:14">
      <c r="A10244">
        <v>64350008</v>
      </c>
      <c r="B10244">
        <v>3030901</v>
      </c>
      <c r="C10244" t="s">
        <v>4670</v>
      </c>
      <c r="D10244" t="s">
        <v>441</v>
      </c>
      <c r="F10244">
        <v>0</v>
      </c>
      <c r="G10244">
        <v>10.34</v>
      </c>
      <c r="H10244" t="s">
        <v>12664</v>
      </c>
      <c r="I10244">
        <v>2</v>
      </c>
      <c r="J10244" t="s">
        <v>445</v>
      </c>
      <c r="K10244" t="s">
        <v>446</v>
      </c>
      <c r="M10244">
        <v>3211</v>
      </c>
      <c r="N10244" t="s">
        <v>16778</v>
      </c>
    </row>
    <row r="10245" spans="1:14">
      <c r="A10245">
        <v>64354210</v>
      </c>
      <c r="B10245">
        <v>4020636</v>
      </c>
      <c r="C10245" t="s">
        <v>4671</v>
      </c>
      <c r="D10245" t="s">
        <v>442</v>
      </c>
      <c r="E10245" t="s">
        <v>441</v>
      </c>
      <c r="F10245">
        <v>0.5</v>
      </c>
      <c r="G10245">
        <v>6.58</v>
      </c>
      <c r="H10245" t="s">
        <v>8587</v>
      </c>
      <c r="I10245">
        <v>35</v>
      </c>
      <c r="J10245" t="s">
        <v>462</v>
      </c>
      <c r="K10245" t="s">
        <v>446</v>
      </c>
      <c r="M10245">
        <v>3711</v>
      </c>
    </row>
    <row r="10246" spans="1:14">
      <c r="A10246">
        <v>64360000</v>
      </c>
      <c r="B10246">
        <v>3030916</v>
      </c>
      <c r="C10246" t="s">
        <v>4672</v>
      </c>
      <c r="D10246" t="s">
        <v>441</v>
      </c>
      <c r="F10246">
        <v>0</v>
      </c>
      <c r="G10246">
        <v>10.14</v>
      </c>
      <c r="H10246" t="s">
        <v>12573</v>
      </c>
      <c r="I10246">
        <v>6</v>
      </c>
      <c r="J10246" t="s">
        <v>445</v>
      </c>
      <c r="K10246" t="s">
        <v>446</v>
      </c>
      <c r="M10246">
        <v>3311</v>
      </c>
      <c r="N10246" t="s">
        <v>16779</v>
      </c>
    </row>
    <row r="10247" spans="1:14">
      <c r="A10247">
        <v>64360008</v>
      </c>
      <c r="B10247">
        <v>3030917</v>
      </c>
      <c r="C10247" t="s">
        <v>4673</v>
      </c>
      <c r="D10247" t="s">
        <v>441</v>
      </c>
      <c r="F10247">
        <v>0</v>
      </c>
      <c r="G10247">
        <v>8.5</v>
      </c>
      <c r="H10247" t="s">
        <v>12664</v>
      </c>
      <c r="I10247">
        <v>2</v>
      </c>
      <c r="J10247" t="s">
        <v>445</v>
      </c>
      <c r="K10247" t="s">
        <v>446</v>
      </c>
      <c r="M10247">
        <v>3211</v>
      </c>
      <c r="N10247" t="s">
        <v>16780</v>
      </c>
    </row>
    <row r="10248" spans="1:14">
      <c r="A10248">
        <v>64364210</v>
      </c>
      <c r="B10248">
        <v>4020650</v>
      </c>
      <c r="C10248" t="s">
        <v>4674</v>
      </c>
      <c r="D10248" t="s">
        <v>442</v>
      </c>
      <c r="E10248" t="s">
        <v>441</v>
      </c>
      <c r="F10248">
        <v>0.5</v>
      </c>
      <c r="G10248">
        <v>5.93</v>
      </c>
      <c r="H10248" t="s">
        <v>8587</v>
      </c>
      <c r="I10248">
        <v>35</v>
      </c>
      <c r="J10248" t="s">
        <v>462</v>
      </c>
      <c r="K10248" t="s">
        <v>446</v>
      </c>
      <c r="M10248">
        <v>3711</v>
      </c>
      <c r="N10248" t="s">
        <v>16779</v>
      </c>
    </row>
    <row r="10249" spans="1:14">
      <c r="A10249">
        <v>64370000</v>
      </c>
      <c r="B10249">
        <v>3030952</v>
      </c>
      <c r="C10249" t="s">
        <v>4675</v>
      </c>
      <c r="D10249" t="s">
        <v>441</v>
      </c>
      <c r="F10249">
        <v>0</v>
      </c>
      <c r="G10249">
        <v>8.8800000000000008</v>
      </c>
      <c r="H10249" t="s">
        <v>12573</v>
      </c>
      <c r="I10249">
        <v>6</v>
      </c>
      <c r="J10249" t="s">
        <v>445</v>
      </c>
      <c r="K10249" t="s">
        <v>446</v>
      </c>
      <c r="M10249">
        <v>3311</v>
      </c>
      <c r="N10249" t="s">
        <v>16781</v>
      </c>
    </row>
    <row r="10250" spans="1:14">
      <c r="A10250">
        <v>64370008</v>
      </c>
      <c r="B10250">
        <v>3030951</v>
      </c>
      <c r="C10250" t="s">
        <v>4676</v>
      </c>
      <c r="D10250" t="s">
        <v>441</v>
      </c>
      <c r="F10250">
        <v>0</v>
      </c>
      <c r="G10250">
        <v>7.59</v>
      </c>
      <c r="H10250" t="s">
        <v>12664</v>
      </c>
      <c r="I10250">
        <v>2</v>
      </c>
      <c r="J10250" t="s">
        <v>445</v>
      </c>
      <c r="K10250" t="s">
        <v>446</v>
      </c>
      <c r="M10250">
        <v>3211</v>
      </c>
      <c r="N10250" t="s">
        <v>16781</v>
      </c>
    </row>
    <row r="10251" spans="1:14">
      <c r="A10251">
        <v>64374210</v>
      </c>
      <c r="B10251">
        <v>4020679</v>
      </c>
      <c r="C10251" t="s">
        <v>4677</v>
      </c>
      <c r="D10251" t="s">
        <v>441</v>
      </c>
      <c r="F10251">
        <v>0</v>
      </c>
      <c r="G10251">
        <v>10.43</v>
      </c>
      <c r="H10251" t="s">
        <v>8587</v>
      </c>
      <c r="I10251">
        <v>35</v>
      </c>
      <c r="J10251" t="s">
        <v>462</v>
      </c>
      <c r="K10251" t="s">
        <v>446</v>
      </c>
      <c r="M10251">
        <v>3711</v>
      </c>
      <c r="N10251" t="s">
        <v>16781</v>
      </c>
    </row>
    <row r="10252" spans="1:14">
      <c r="A10252">
        <v>64380000</v>
      </c>
      <c r="B10252">
        <v>3026631</v>
      </c>
      <c r="C10252" t="s">
        <v>4678</v>
      </c>
      <c r="D10252" t="s">
        <v>441</v>
      </c>
      <c r="F10252">
        <v>0</v>
      </c>
      <c r="G10252">
        <v>12.94</v>
      </c>
      <c r="H10252" t="s">
        <v>12573</v>
      </c>
      <c r="I10252">
        <v>4</v>
      </c>
      <c r="J10252" t="s">
        <v>445</v>
      </c>
      <c r="M10252">
        <v>3349</v>
      </c>
      <c r="N10252" t="s">
        <v>16782</v>
      </c>
    </row>
    <row r="10253" spans="1:14">
      <c r="A10253">
        <v>64380008</v>
      </c>
      <c r="B10253">
        <v>3026612</v>
      </c>
      <c r="C10253" t="s">
        <v>4679</v>
      </c>
      <c r="D10253" t="s">
        <v>441</v>
      </c>
      <c r="F10253">
        <v>0</v>
      </c>
      <c r="G10253">
        <v>11.06</v>
      </c>
      <c r="H10253" t="s">
        <v>12664</v>
      </c>
      <c r="I10253">
        <v>2</v>
      </c>
      <c r="J10253" t="s">
        <v>445</v>
      </c>
      <c r="M10253">
        <v>6666</v>
      </c>
      <c r="N10253" t="s">
        <v>16783</v>
      </c>
    </row>
    <row r="10254" spans="1:14">
      <c r="A10254">
        <v>64384210</v>
      </c>
      <c r="B10254">
        <v>4022837</v>
      </c>
      <c r="C10254" t="s">
        <v>4680</v>
      </c>
      <c r="D10254" t="s">
        <v>442</v>
      </c>
      <c r="E10254" t="s">
        <v>441</v>
      </c>
      <c r="F10254">
        <v>0.55000000000000004</v>
      </c>
      <c r="G10254">
        <v>5.68</v>
      </c>
      <c r="H10254" t="s">
        <v>8587</v>
      </c>
      <c r="I10254">
        <v>40</v>
      </c>
      <c r="J10254" t="s">
        <v>462</v>
      </c>
      <c r="K10254" t="s">
        <v>446</v>
      </c>
      <c r="L10254" t="s">
        <v>13027</v>
      </c>
      <c r="M10254">
        <v>7108</v>
      </c>
      <c r="N10254" t="s">
        <v>16784</v>
      </c>
    </row>
    <row r="10255" spans="1:14">
      <c r="A10255">
        <v>64384220</v>
      </c>
      <c r="B10255">
        <v>4022909</v>
      </c>
      <c r="C10255" t="s">
        <v>4681</v>
      </c>
      <c r="D10255" t="s">
        <v>441</v>
      </c>
      <c r="F10255">
        <v>0</v>
      </c>
      <c r="G10255">
        <v>9.8699999999999992</v>
      </c>
      <c r="H10255" t="s">
        <v>8587</v>
      </c>
      <c r="I10255">
        <v>40</v>
      </c>
      <c r="J10255" t="s">
        <v>462</v>
      </c>
      <c r="K10255" t="s">
        <v>446</v>
      </c>
      <c r="M10255">
        <v>7108</v>
      </c>
      <c r="N10255" t="s">
        <v>16784</v>
      </c>
    </row>
    <row r="10256" spans="1:14">
      <c r="A10256">
        <v>64390000</v>
      </c>
      <c r="B10256">
        <v>3034198</v>
      </c>
      <c r="C10256" t="s">
        <v>14555</v>
      </c>
      <c r="D10256" t="s">
        <v>441</v>
      </c>
      <c r="F10256">
        <v>0</v>
      </c>
      <c r="G10256">
        <v>12.56</v>
      </c>
      <c r="H10256" t="s">
        <v>12573</v>
      </c>
      <c r="I10256">
        <v>4</v>
      </c>
      <c r="J10256" t="s">
        <v>445</v>
      </c>
      <c r="M10256">
        <v>3351</v>
      </c>
      <c r="N10256" t="s">
        <v>16782</v>
      </c>
    </row>
    <row r="10257" spans="1:14">
      <c r="A10257">
        <v>64394210</v>
      </c>
      <c r="B10257">
        <v>4024560</v>
      </c>
      <c r="C10257" t="s">
        <v>14556</v>
      </c>
      <c r="D10257" t="s">
        <v>442</v>
      </c>
      <c r="E10257" t="s">
        <v>441</v>
      </c>
      <c r="F10257">
        <v>0.55000000000000004</v>
      </c>
      <c r="G10257">
        <v>8.17</v>
      </c>
      <c r="H10257" t="s">
        <v>8587</v>
      </c>
      <c r="I10257">
        <v>40</v>
      </c>
      <c r="J10257" t="s">
        <v>462</v>
      </c>
      <c r="K10257" t="s">
        <v>446</v>
      </c>
      <c r="L10257" t="s">
        <v>13027</v>
      </c>
      <c r="M10257">
        <v>7108</v>
      </c>
      <c r="N10257" t="s">
        <v>16784</v>
      </c>
    </row>
    <row r="10258" spans="1:14">
      <c r="A10258">
        <v>64394220</v>
      </c>
      <c r="B10258">
        <v>4022920</v>
      </c>
      <c r="C10258" t="s">
        <v>4682</v>
      </c>
      <c r="D10258" t="s">
        <v>441</v>
      </c>
      <c r="F10258">
        <v>0</v>
      </c>
      <c r="G10258">
        <v>12.6</v>
      </c>
      <c r="H10258" t="s">
        <v>8587</v>
      </c>
      <c r="I10258">
        <v>40</v>
      </c>
      <c r="J10258" t="s">
        <v>462</v>
      </c>
      <c r="M10258">
        <v>7108</v>
      </c>
      <c r="N10258" t="s">
        <v>16784</v>
      </c>
    </row>
    <row r="10259" spans="1:14">
      <c r="A10259">
        <v>64400000</v>
      </c>
      <c r="B10259">
        <v>3042101</v>
      </c>
      <c r="C10259" t="s">
        <v>205</v>
      </c>
      <c r="D10259" t="s">
        <v>441</v>
      </c>
      <c r="F10259">
        <v>0</v>
      </c>
      <c r="G10259">
        <v>13.4</v>
      </c>
      <c r="H10259" t="s">
        <v>12573</v>
      </c>
      <c r="I10259">
        <v>4</v>
      </c>
      <c r="J10259" t="s">
        <v>445</v>
      </c>
      <c r="M10259">
        <v>3349</v>
      </c>
      <c r="N10259" t="s">
        <v>16785</v>
      </c>
    </row>
    <row r="10260" spans="1:14">
      <c r="A10260">
        <v>64400008</v>
      </c>
      <c r="B10260">
        <v>3042100</v>
      </c>
      <c r="C10260" t="s">
        <v>13028</v>
      </c>
      <c r="D10260" t="s">
        <v>441</v>
      </c>
      <c r="F10260">
        <v>0</v>
      </c>
      <c r="G10260">
        <v>11.39</v>
      </c>
      <c r="H10260" t="s">
        <v>12664</v>
      </c>
      <c r="I10260">
        <v>2</v>
      </c>
      <c r="J10260" t="s">
        <v>445</v>
      </c>
      <c r="M10260">
        <v>6666</v>
      </c>
      <c r="N10260" t="s">
        <v>16786</v>
      </c>
    </row>
    <row r="10261" spans="1:14">
      <c r="A10261">
        <v>64404220</v>
      </c>
      <c r="B10261">
        <v>4027837</v>
      </c>
      <c r="C10261" t="s">
        <v>14557</v>
      </c>
      <c r="D10261" t="s">
        <v>442</v>
      </c>
      <c r="E10261" t="s">
        <v>441</v>
      </c>
      <c r="F10261">
        <v>0.24</v>
      </c>
      <c r="G10261">
        <v>4.3499999999999996</v>
      </c>
      <c r="H10261" t="s">
        <v>8587</v>
      </c>
      <c r="I10261">
        <v>22</v>
      </c>
      <c r="J10261" t="s">
        <v>462</v>
      </c>
      <c r="K10261" t="s">
        <v>446</v>
      </c>
      <c r="L10261" t="s">
        <v>13029</v>
      </c>
      <c r="M10261">
        <v>7108</v>
      </c>
      <c r="N10261" t="s">
        <v>16787</v>
      </c>
    </row>
    <row r="10262" spans="1:14">
      <c r="A10262">
        <v>64410000</v>
      </c>
      <c r="B10262">
        <v>3034352</v>
      </c>
      <c r="C10262" t="s">
        <v>146</v>
      </c>
      <c r="D10262" t="s">
        <v>441</v>
      </c>
      <c r="F10262">
        <v>0</v>
      </c>
      <c r="G10262">
        <v>15.36</v>
      </c>
      <c r="H10262" t="s">
        <v>12573</v>
      </c>
      <c r="I10262">
        <v>4</v>
      </c>
      <c r="J10262" t="s">
        <v>445</v>
      </c>
      <c r="M10262">
        <v>3349</v>
      </c>
      <c r="N10262" t="s">
        <v>16788</v>
      </c>
    </row>
    <row r="10263" spans="1:14">
      <c r="A10263">
        <v>64410008</v>
      </c>
      <c r="B10263">
        <v>3034351</v>
      </c>
      <c r="C10263" t="s">
        <v>4683</v>
      </c>
      <c r="D10263" t="s">
        <v>441</v>
      </c>
      <c r="F10263">
        <v>0</v>
      </c>
      <c r="G10263">
        <v>12.78</v>
      </c>
      <c r="H10263" t="s">
        <v>12664</v>
      </c>
      <c r="I10263">
        <v>2</v>
      </c>
      <c r="J10263" t="s">
        <v>445</v>
      </c>
      <c r="M10263">
        <v>6666</v>
      </c>
      <c r="N10263" t="s">
        <v>16789</v>
      </c>
    </row>
    <row r="10264" spans="1:14">
      <c r="A10264">
        <v>64414210</v>
      </c>
      <c r="B10264">
        <v>4022941</v>
      </c>
      <c r="C10264" t="s">
        <v>13030</v>
      </c>
      <c r="D10264" t="s">
        <v>442</v>
      </c>
      <c r="E10264" t="s">
        <v>441</v>
      </c>
      <c r="F10264">
        <v>0.3</v>
      </c>
      <c r="G10264">
        <v>6.1</v>
      </c>
      <c r="H10264" t="s">
        <v>8587</v>
      </c>
      <c r="I10264">
        <v>32</v>
      </c>
      <c r="J10264" t="s">
        <v>462</v>
      </c>
      <c r="K10264" t="s">
        <v>446</v>
      </c>
      <c r="M10264">
        <v>7108</v>
      </c>
      <c r="N10264" t="s">
        <v>16790</v>
      </c>
    </row>
    <row r="10265" spans="1:14">
      <c r="A10265">
        <v>64414211</v>
      </c>
      <c r="B10265">
        <v>3042095</v>
      </c>
      <c r="C10265" t="s">
        <v>4684</v>
      </c>
      <c r="D10265" t="s">
        <v>442</v>
      </c>
      <c r="E10265" t="s">
        <v>441</v>
      </c>
      <c r="F10265">
        <v>0.3</v>
      </c>
      <c r="G10265">
        <v>5.01</v>
      </c>
      <c r="H10265" t="s">
        <v>8587</v>
      </c>
      <c r="I10265">
        <v>32</v>
      </c>
      <c r="J10265" t="s">
        <v>445</v>
      </c>
      <c r="M10265">
        <v>3741</v>
      </c>
      <c r="N10265" t="s">
        <v>16790</v>
      </c>
    </row>
    <row r="10266" spans="1:14">
      <c r="A10266">
        <v>64414220</v>
      </c>
      <c r="B10266">
        <v>4025494</v>
      </c>
      <c r="C10266" t="s">
        <v>4685</v>
      </c>
      <c r="D10266" t="s">
        <v>442</v>
      </c>
      <c r="E10266" t="s">
        <v>441</v>
      </c>
      <c r="F10266">
        <v>0.3</v>
      </c>
      <c r="G10266">
        <v>5.66</v>
      </c>
      <c r="H10266" t="s">
        <v>8587</v>
      </c>
      <c r="I10266">
        <v>32</v>
      </c>
      <c r="J10266" t="s">
        <v>462</v>
      </c>
      <c r="K10266" t="s">
        <v>446</v>
      </c>
      <c r="L10266" t="s">
        <v>13031</v>
      </c>
      <c r="M10266">
        <v>7108</v>
      </c>
      <c r="N10266" t="s">
        <v>16790</v>
      </c>
    </row>
    <row r="10267" spans="1:14">
      <c r="A10267">
        <v>64414230</v>
      </c>
      <c r="B10267">
        <v>4026059</v>
      </c>
      <c r="C10267" t="s">
        <v>4686</v>
      </c>
      <c r="D10267" t="s">
        <v>442</v>
      </c>
      <c r="E10267" t="s">
        <v>441</v>
      </c>
      <c r="F10267">
        <v>0.24</v>
      </c>
      <c r="G10267">
        <v>4.88</v>
      </c>
      <c r="H10267" t="s">
        <v>8587</v>
      </c>
      <c r="I10267">
        <v>32</v>
      </c>
      <c r="J10267" t="s">
        <v>462</v>
      </c>
      <c r="K10267" t="s">
        <v>446</v>
      </c>
      <c r="M10267">
        <v>7108</v>
      </c>
      <c r="N10267" t="s">
        <v>16790</v>
      </c>
    </row>
    <row r="10268" spans="1:14">
      <c r="A10268">
        <v>64414240</v>
      </c>
      <c r="B10268">
        <v>4028153</v>
      </c>
      <c r="C10268" t="s">
        <v>17608</v>
      </c>
      <c r="D10268" t="s">
        <v>442</v>
      </c>
      <c r="E10268" t="s">
        <v>441</v>
      </c>
      <c r="F10268">
        <v>0.3</v>
      </c>
      <c r="G10268">
        <v>6.8</v>
      </c>
      <c r="H10268" t="s">
        <v>8587</v>
      </c>
      <c r="I10268">
        <v>32</v>
      </c>
      <c r="J10268" t="s">
        <v>462</v>
      </c>
      <c r="K10268" t="s">
        <v>446</v>
      </c>
      <c r="L10268" t="s">
        <v>13032</v>
      </c>
      <c r="M10268">
        <v>7108</v>
      </c>
      <c r="N10268" t="s">
        <v>16790</v>
      </c>
    </row>
    <row r="10269" spans="1:14">
      <c r="A10269">
        <v>64420000</v>
      </c>
      <c r="B10269">
        <v>3034355</v>
      </c>
      <c r="C10269" t="s">
        <v>4687</v>
      </c>
      <c r="D10269" t="s">
        <v>441</v>
      </c>
      <c r="F10269">
        <v>0</v>
      </c>
      <c r="G10269">
        <v>11.82</v>
      </c>
      <c r="H10269" t="s">
        <v>12573</v>
      </c>
      <c r="I10269">
        <v>4</v>
      </c>
      <c r="J10269" t="s">
        <v>445</v>
      </c>
      <c r="M10269">
        <v>3349</v>
      </c>
      <c r="N10269" t="s">
        <v>16791</v>
      </c>
    </row>
    <row r="10270" spans="1:14">
      <c r="A10270">
        <v>64420008</v>
      </c>
      <c r="B10270">
        <v>3034354</v>
      </c>
      <c r="C10270" t="s">
        <v>4688</v>
      </c>
      <c r="D10270" t="s">
        <v>441</v>
      </c>
      <c r="F10270">
        <v>0</v>
      </c>
      <c r="G10270">
        <v>9.4600000000000009</v>
      </c>
      <c r="H10270" t="s">
        <v>12664</v>
      </c>
      <c r="I10270">
        <v>2</v>
      </c>
      <c r="J10270" t="s">
        <v>445</v>
      </c>
      <c r="M10270">
        <v>6666</v>
      </c>
      <c r="N10270" t="s">
        <v>16792</v>
      </c>
    </row>
    <row r="10271" spans="1:14">
      <c r="A10271">
        <v>64424210</v>
      </c>
      <c r="B10271">
        <v>4022942</v>
      </c>
      <c r="C10271" t="s">
        <v>13033</v>
      </c>
      <c r="D10271" t="s">
        <v>442</v>
      </c>
      <c r="E10271" t="s">
        <v>441</v>
      </c>
      <c r="F10271">
        <v>0.3</v>
      </c>
      <c r="G10271">
        <v>4.79</v>
      </c>
      <c r="H10271" t="s">
        <v>8587</v>
      </c>
      <c r="I10271">
        <v>32</v>
      </c>
      <c r="J10271" t="s">
        <v>462</v>
      </c>
      <c r="K10271" t="s">
        <v>446</v>
      </c>
      <c r="M10271">
        <v>7108</v>
      </c>
      <c r="N10271" t="s">
        <v>16793</v>
      </c>
    </row>
    <row r="10272" spans="1:14">
      <c r="A10272">
        <v>64424211</v>
      </c>
      <c r="B10272">
        <v>3042094</v>
      </c>
      <c r="C10272" t="s">
        <v>4689</v>
      </c>
      <c r="D10272" t="s">
        <v>442</v>
      </c>
      <c r="E10272" t="s">
        <v>441</v>
      </c>
      <c r="F10272">
        <v>0.3</v>
      </c>
      <c r="G10272">
        <v>3.85</v>
      </c>
      <c r="H10272" t="s">
        <v>8587</v>
      </c>
      <c r="I10272">
        <v>32</v>
      </c>
      <c r="J10272" t="s">
        <v>445</v>
      </c>
      <c r="M10272">
        <v>3741</v>
      </c>
      <c r="N10272" t="s">
        <v>16793</v>
      </c>
    </row>
    <row r="10273" spans="1:14">
      <c r="A10273">
        <v>64430000</v>
      </c>
      <c r="B10273">
        <v>3034397</v>
      </c>
      <c r="C10273" t="s">
        <v>4690</v>
      </c>
      <c r="D10273" t="s">
        <v>441</v>
      </c>
      <c r="F10273">
        <v>0</v>
      </c>
      <c r="G10273">
        <v>11.12</v>
      </c>
      <c r="H10273" t="s">
        <v>12573</v>
      </c>
      <c r="I10273">
        <v>4</v>
      </c>
      <c r="J10273" t="s">
        <v>445</v>
      </c>
      <c r="M10273">
        <v>3351</v>
      </c>
      <c r="N10273" t="s">
        <v>16794</v>
      </c>
    </row>
    <row r="10274" spans="1:14">
      <c r="A10274">
        <v>64430602</v>
      </c>
      <c r="B10274">
        <v>3039754</v>
      </c>
      <c r="C10274" t="s">
        <v>4691</v>
      </c>
      <c r="D10274" t="s">
        <v>441</v>
      </c>
      <c r="F10274">
        <v>0</v>
      </c>
      <c r="G10274">
        <v>8.57</v>
      </c>
      <c r="H10274" t="s">
        <v>12573</v>
      </c>
      <c r="I10274">
        <v>4</v>
      </c>
      <c r="J10274" t="s">
        <v>445</v>
      </c>
      <c r="M10274">
        <v>2511</v>
      </c>
      <c r="N10274" t="s">
        <v>16424</v>
      </c>
    </row>
    <row r="10275" spans="1:14">
      <c r="A10275">
        <v>64439000</v>
      </c>
      <c r="B10275">
        <v>3034661</v>
      </c>
      <c r="C10275" t="s">
        <v>16795</v>
      </c>
      <c r="D10275" t="s">
        <v>441</v>
      </c>
      <c r="F10275">
        <v>0</v>
      </c>
      <c r="G10275">
        <v>14</v>
      </c>
      <c r="H10275" t="s">
        <v>12573</v>
      </c>
      <c r="I10275">
        <v>4</v>
      </c>
      <c r="J10275" t="s">
        <v>445</v>
      </c>
      <c r="M10275">
        <v>3350</v>
      </c>
      <c r="N10275" t="s">
        <v>16583</v>
      </c>
    </row>
    <row r="10276" spans="1:14">
      <c r="A10276">
        <v>64439002</v>
      </c>
      <c r="B10276">
        <v>3039753</v>
      </c>
      <c r="C10276" t="s">
        <v>16796</v>
      </c>
      <c r="D10276" t="s">
        <v>441</v>
      </c>
      <c r="F10276">
        <v>0</v>
      </c>
      <c r="G10276">
        <v>14.86</v>
      </c>
      <c r="H10276" t="s">
        <v>8587</v>
      </c>
      <c r="I10276">
        <v>6</v>
      </c>
      <c r="J10276" t="s">
        <v>445</v>
      </c>
      <c r="M10276">
        <v>7111</v>
      </c>
      <c r="N10276" t="s">
        <v>16585</v>
      </c>
    </row>
    <row r="10277" spans="1:14">
      <c r="A10277">
        <v>64439502</v>
      </c>
      <c r="B10277">
        <v>3039747</v>
      </c>
      <c r="C10277" t="s">
        <v>16797</v>
      </c>
      <c r="D10277" t="s">
        <v>441</v>
      </c>
      <c r="F10277">
        <v>0</v>
      </c>
      <c r="G10277">
        <v>14.28</v>
      </c>
      <c r="H10277" t="s">
        <v>8587</v>
      </c>
      <c r="I10277">
        <v>6</v>
      </c>
      <c r="J10277" t="s">
        <v>445</v>
      </c>
      <c r="M10277">
        <v>2502</v>
      </c>
      <c r="N10277" t="s">
        <v>16735</v>
      </c>
    </row>
    <row r="10278" spans="1:14">
      <c r="A10278">
        <v>64439602</v>
      </c>
      <c r="B10278">
        <v>3039754</v>
      </c>
      <c r="C10278" t="s">
        <v>16798</v>
      </c>
      <c r="D10278" t="s">
        <v>441</v>
      </c>
      <c r="F10278">
        <v>0</v>
      </c>
      <c r="G10278">
        <v>15.15</v>
      </c>
      <c r="H10278" t="s">
        <v>12573</v>
      </c>
      <c r="I10278">
        <v>4</v>
      </c>
      <c r="J10278" t="s">
        <v>445</v>
      </c>
      <c r="M10278">
        <v>2510</v>
      </c>
      <c r="N10278" t="s">
        <v>16589</v>
      </c>
    </row>
    <row r="10279" spans="1:14">
      <c r="A10279">
        <v>64440000</v>
      </c>
      <c r="B10279">
        <v>3034414</v>
      </c>
      <c r="C10279" t="s">
        <v>26</v>
      </c>
      <c r="D10279" t="s">
        <v>441</v>
      </c>
      <c r="F10279">
        <v>0</v>
      </c>
      <c r="G10279">
        <v>12.82</v>
      </c>
      <c r="H10279" t="s">
        <v>12573</v>
      </c>
      <c r="I10279">
        <v>4</v>
      </c>
      <c r="J10279" t="s">
        <v>445</v>
      </c>
      <c r="M10279">
        <v>3351</v>
      </c>
      <c r="N10279" t="s">
        <v>16740</v>
      </c>
    </row>
    <row r="10280" spans="1:14">
      <c r="A10280">
        <v>64444110</v>
      </c>
      <c r="B10280">
        <v>4023063</v>
      </c>
      <c r="C10280" t="s">
        <v>14558</v>
      </c>
      <c r="D10280" t="s">
        <v>441</v>
      </c>
      <c r="F10280">
        <v>0</v>
      </c>
      <c r="G10280">
        <v>16</v>
      </c>
      <c r="H10280" t="s">
        <v>8587</v>
      </c>
      <c r="I10280">
        <v>40</v>
      </c>
      <c r="J10280" t="s">
        <v>462</v>
      </c>
      <c r="K10280" t="s">
        <v>446</v>
      </c>
      <c r="M10280">
        <v>7108</v>
      </c>
      <c r="N10280" t="s">
        <v>16743</v>
      </c>
    </row>
    <row r="10281" spans="1:14">
      <c r="A10281">
        <v>64444120</v>
      </c>
      <c r="B10281">
        <v>4023090</v>
      </c>
      <c r="C10281" t="s">
        <v>14559</v>
      </c>
      <c r="D10281" t="s">
        <v>442</v>
      </c>
      <c r="E10281" t="s">
        <v>441</v>
      </c>
      <c r="F10281">
        <v>0.5</v>
      </c>
      <c r="G10281">
        <v>7.97</v>
      </c>
      <c r="H10281" t="s">
        <v>8587</v>
      </c>
      <c r="I10281">
        <v>40</v>
      </c>
      <c r="J10281" t="s">
        <v>462</v>
      </c>
      <c r="K10281" t="s">
        <v>446</v>
      </c>
      <c r="M10281">
        <v>7108</v>
      </c>
      <c r="N10281" t="s">
        <v>16743</v>
      </c>
    </row>
    <row r="10282" spans="1:14">
      <c r="A10282">
        <v>64444130</v>
      </c>
      <c r="B10282">
        <v>4024427</v>
      </c>
      <c r="C10282" t="s">
        <v>14560</v>
      </c>
      <c r="D10282" t="s">
        <v>442</v>
      </c>
      <c r="E10282" t="s">
        <v>441</v>
      </c>
      <c r="F10282">
        <v>0.5</v>
      </c>
      <c r="G10282">
        <v>8.02</v>
      </c>
      <c r="H10282" t="s">
        <v>8587</v>
      </c>
      <c r="I10282">
        <v>40</v>
      </c>
      <c r="J10282" t="s">
        <v>462</v>
      </c>
      <c r="K10282" t="s">
        <v>446</v>
      </c>
      <c r="M10282">
        <v>7108</v>
      </c>
      <c r="N10282" t="s">
        <v>16743</v>
      </c>
    </row>
    <row r="10283" spans="1:14">
      <c r="A10283">
        <v>64449000</v>
      </c>
      <c r="B10283">
        <v>3034663</v>
      </c>
      <c r="C10283" t="s">
        <v>16799</v>
      </c>
      <c r="D10283" t="s">
        <v>441</v>
      </c>
      <c r="F10283">
        <v>0</v>
      </c>
      <c r="G10283">
        <v>14</v>
      </c>
      <c r="H10283" t="s">
        <v>12573</v>
      </c>
      <c r="I10283">
        <v>4</v>
      </c>
      <c r="J10283" t="s">
        <v>445</v>
      </c>
      <c r="M10283">
        <v>3350</v>
      </c>
      <c r="N10283" t="s">
        <v>16583</v>
      </c>
    </row>
    <row r="10284" spans="1:14">
      <c r="A10284">
        <v>64450000</v>
      </c>
      <c r="B10284">
        <v>3034412</v>
      </c>
      <c r="C10284" t="s">
        <v>44</v>
      </c>
      <c r="D10284" t="s">
        <v>441</v>
      </c>
      <c r="F10284">
        <v>0</v>
      </c>
      <c r="G10284">
        <v>13.22</v>
      </c>
      <c r="H10284" t="s">
        <v>12573</v>
      </c>
      <c r="I10284">
        <v>4</v>
      </c>
      <c r="J10284" t="s">
        <v>445</v>
      </c>
      <c r="M10284">
        <v>3351</v>
      </c>
      <c r="N10284" t="s">
        <v>16800</v>
      </c>
    </row>
    <row r="10285" spans="1:14">
      <c r="A10285">
        <v>64454110</v>
      </c>
      <c r="B10285">
        <v>4023041</v>
      </c>
      <c r="C10285" t="s">
        <v>15436</v>
      </c>
      <c r="D10285" t="s">
        <v>441</v>
      </c>
      <c r="F10285">
        <v>0</v>
      </c>
      <c r="G10285">
        <v>15.78</v>
      </c>
      <c r="H10285" t="s">
        <v>8587</v>
      </c>
      <c r="I10285">
        <v>40</v>
      </c>
      <c r="J10285" t="s">
        <v>462</v>
      </c>
      <c r="M10285">
        <v>7108</v>
      </c>
      <c r="N10285" t="s">
        <v>16801</v>
      </c>
    </row>
    <row r="10286" spans="1:14">
      <c r="A10286">
        <v>64459000</v>
      </c>
      <c r="B10286">
        <v>3035080</v>
      </c>
      <c r="C10286" t="s">
        <v>16802</v>
      </c>
      <c r="D10286" t="s">
        <v>441</v>
      </c>
      <c r="F10286">
        <v>0</v>
      </c>
      <c r="G10286">
        <v>8.6999999999999993</v>
      </c>
      <c r="H10286" t="s">
        <v>12573</v>
      </c>
      <c r="I10286">
        <v>4</v>
      </c>
      <c r="J10286" t="s">
        <v>445</v>
      </c>
      <c r="K10286" t="s">
        <v>446</v>
      </c>
      <c r="M10286">
        <v>3350</v>
      </c>
      <c r="N10286" t="s">
        <v>16583</v>
      </c>
    </row>
    <row r="10287" spans="1:14">
      <c r="A10287">
        <v>64460000</v>
      </c>
      <c r="B10287">
        <v>3034480</v>
      </c>
      <c r="C10287" t="s">
        <v>150</v>
      </c>
      <c r="D10287" t="s">
        <v>441</v>
      </c>
      <c r="F10287">
        <v>0</v>
      </c>
      <c r="G10287">
        <v>9.98</v>
      </c>
      <c r="H10287" t="s">
        <v>12573</v>
      </c>
      <c r="I10287">
        <v>4</v>
      </c>
      <c r="J10287" t="s">
        <v>445</v>
      </c>
      <c r="M10287">
        <v>3351</v>
      </c>
      <c r="N10287" t="s">
        <v>16803</v>
      </c>
    </row>
    <row r="10288" spans="1:14">
      <c r="A10288">
        <v>64464110</v>
      </c>
      <c r="B10288">
        <v>4023083</v>
      </c>
      <c r="C10288" t="s">
        <v>14561</v>
      </c>
      <c r="D10288" t="s">
        <v>442</v>
      </c>
      <c r="E10288" t="s">
        <v>441</v>
      </c>
      <c r="F10288">
        <v>0.52</v>
      </c>
      <c r="G10288">
        <v>6.49</v>
      </c>
      <c r="H10288" t="s">
        <v>8587</v>
      </c>
      <c r="I10288">
        <v>35</v>
      </c>
      <c r="J10288" t="s">
        <v>462</v>
      </c>
      <c r="K10288" t="s">
        <v>446</v>
      </c>
      <c r="L10288" t="s">
        <v>13034</v>
      </c>
      <c r="M10288">
        <v>7108</v>
      </c>
      <c r="N10288" t="s">
        <v>16804</v>
      </c>
    </row>
    <row r="10289" spans="1:14">
      <c r="A10289">
        <v>64470000</v>
      </c>
      <c r="B10289">
        <v>3034514</v>
      </c>
      <c r="C10289" t="s">
        <v>151</v>
      </c>
      <c r="D10289" t="s">
        <v>441</v>
      </c>
      <c r="F10289">
        <v>0</v>
      </c>
      <c r="G10289">
        <v>11.98</v>
      </c>
      <c r="H10289" t="s">
        <v>12573</v>
      </c>
      <c r="I10289">
        <v>4</v>
      </c>
      <c r="J10289" t="s">
        <v>445</v>
      </c>
      <c r="M10289">
        <v>3351</v>
      </c>
      <c r="N10289" t="s">
        <v>16805</v>
      </c>
    </row>
    <row r="10290" spans="1:14">
      <c r="A10290">
        <v>64480000</v>
      </c>
      <c r="B10290">
        <v>3034629</v>
      </c>
      <c r="C10290" t="s">
        <v>32</v>
      </c>
      <c r="D10290" t="s">
        <v>441</v>
      </c>
      <c r="F10290">
        <v>0</v>
      </c>
      <c r="G10290">
        <v>6.14</v>
      </c>
      <c r="H10290" t="s">
        <v>12573</v>
      </c>
      <c r="I10290">
        <v>4</v>
      </c>
      <c r="J10290" t="s">
        <v>445</v>
      </c>
      <c r="M10290">
        <v>3351</v>
      </c>
      <c r="N10290" t="s">
        <v>16774</v>
      </c>
    </row>
    <row r="10291" spans="1:14">
      <c r="A10291">
        <v>64484210</v>
      </c>
      <c r="B10291">
        <v>4023290</v>
      </c>
      <c r="C10291" t="s">
        <v>17609</v>
      </c>
      <c r="D10291" t="s">
        <v>441</v>
      </c>
      <c r="F10291">
        <v>0</v>
      </c>
      <c r="G10291">
        <v>6.63</v>
      </c>
      <c r="H10291" t="s">
        <v>8587</v>
      </c>
      <c r="I10291">
        <v>40</v>
      </c>
      <c r="J10291" t="s">
        <v>462</v>
      </c>
      <c r="K10291" t="s">
        <v>446</v>
      </c>
      <c r="M10291">
        <v>7108</v>
      </c>
      <c r="N10291" t="s">
        <v>16776</v>
      </c>
    </row>
    <row r="10292" spans="1:14">
      <c r="A10292">
        <v>64484220</v>
      </c>
      <c r="B10292">
        <v>4025424</v>
      </c>
      <c r="C10292" t="s">
        <v>15437</v>
      </c>
      <c r="D10292" t="s">
        <v>441</v>
      </c>
      <c r="F10292">
        <v>0</v>
      </c>
      <c r="G10292">
        <v>7.65</v>
      </c>
      <c r="H10292" t="s">
        <v>8587</v>
      </c>
      <c r="I10292">
        <v>40</v>
      </c>
      <c r="J10292" t="s">
        <v>462</v>
      </c>
      <c r="M10292">
        <v>7108</v>
      </c>
      <c r="N10292" t="s">
        <v>16776</v>
      </c>
    </row>
    <row r="10293" spans="1:14">
      <c r="A10293">
        <v>64484230</v>
      </c>
      <c r="B10293">
        <v>4027281</v>
      </c>
      <c r="C10293" t="s">
        <v>4692</v>
      </c>
      <c r="D10293" t="s">
        <v>441</v>
      </c>
      <c r="F10293">
        <v>0</v>
      </c>
      <c r="G10293">
        <v>6.97</v>
      </c>
      <c r="H10293" t="s">
        <v>8587</v>
      </c>
      <c r="I10293">
        <v>43</v>
      </c>
      <c r="J10293" t="s">
        <v>462</v>
      </c>
      <c r="M10293">
        <v>7108</v>
      </c>
      <c r="N10293" t="s">
        <v>16776</v>
      </c>
    </row>
    <row r="10294" spans="1:14">
      <c r="A10294">
        <v>64484240</v>
      </c>
      <c r="B10294">
        <v>4028275</v>
      </c>
      <c r="C10294" t="s">
        <v>4693</v>
      </c>
      <c r="D10294" t="s">
        <v>441</v>
      </c>
      <c r="F10294">
        <v>0</v>
      </c>
      <c r="G10294">
        <v>6.9</v>
      </c>
      <c r="H10294" t="s">
        <v>8587</v>
      </c>
      <c r="I10294">
        <v>43</v>
      </c>
      <c r="J10294" t="s">
        <v>462</v>
      </c>
      <c r="M10294">
        <v>7108</v>
      </c>
      <c r="N10294" t="s">
        <v>16776</v>
      </c>
    </row>
    <row r="10295" spans="1:14">
      <c r="A10295">
        <v>64484250</v>
      </c>
      <c r="B10295">
        <v>4029834</v>
      </c>
      <c r="C10295" t="s">
        <v>4668</v>
      </c>
      <c r="D10295" t="s">
        <v>441</v>
      </c>
      <c r="F10295">
        <v>0</v>
      </c>
      <c r="G10295">
        <v>7.46</v>
      </c>
      <c r="H10295" t="s">
        <v>8587</v>
      </c>
      <c r="I10295">
        <v>43</v>
      </c>
      <c r="J10295" t="s">
        <v>462</v>
      </c>
      <c r="M10295">
        <v>7108</v>
      </c>
      <c r="N10295" t="s">
        <v>16776</v>
      </c>
    </row>
    <row r="10296" spans="1:14">
      <c r="A10296">
        <v>64489000</v>
      </c>
      <c r="B10296">
        <v>3034698</v>
      </c>
      <c r="C10296" t="s">
        <v>16806</v>
      </c>
      <c r="D10296" t="s">
        <v>441</v>
      </c>
      <c r="F10296">
        <v>0</v>
      </c>
      <c r="G10296">
        <v>8.4</v>
      </c>
      <c r="H10296" t="s">
        <v>12573</v>
      </c>
      <c r="I10296">
        <v>4</v>
      </c>
      <c r="J10296" t="s">
        <v>445</v>
      </c>
      <c r="M10296">
        <v>3350</v>
      </c>
      <c r="N10296" t="s">
        <v>16583</v>
      </c>
    </row>
    <row r="10297" spans="1:14">
      <c r="A10297">
        <v>64489002</v>
      </c>
      <c r="B10297">
        <v>3034697</v>
      </c>
      <c r="C10297" t="s">
        <v>16807</v>
      </c>
      <c r="D10297" t="s">
        <v>441</v>
      </c>
      <c r="F10297">
        <v>0</v>
      </c>
      <c r="G10297">
        <v>9.23</v>
      </c>
      <c r="H10297" t="s">
        <v>8587</v>
      </c>
      <c r="I10297">
        <v>180</v>
      </c>
      <c r="J10297" t="s">
        <v>445</v>
      </c>
      <c r="M10297">
        <v>7111</v>
      </c>
      <c r="N10297" t="s">
        <v>16585</v>
      </c>
    </row>
    <row r="10298" spans="1:14">
      <c r="A10298">
        <v>64489502</v>
      </c>
      <c r="B10298">
        <v>3034696</v>
      </c>
      <c r="C10298" t="s">
        <v>16808</v>
      </c>
      <c r="D10298" t="s">
        <v>441</v>
      </c>
      <c r="F10298">
        <v>0</v>
      </c>
      <c r="G10298">
        <v>8.65</v>
      </c>
      <c r="H10298" t="s">
        <v>8587</v>
      </c>
      <c r="I10298">
        <v>6</v>
      </c>
      <c r="J10298" t="s">
        <v>445</v>
      </c>
      <c r="M10298">
        <v>2502</v>
      </c>
      <c r="N10298" t="s">
        <v>16587</v>
      </c>
    </row>
    <row r="10299" spans="1:14">
      <c r="A10299">
        <v>64489602</v>
      </c>
      <c r="B10299">
        <v>3036215</v>
      </c>
      <c r="C10299" t="s">
        <v>15969</v>
      </c>
      <c r="D10299" t="s">
        <v>441</v>
      </c>
      <c r="F10299">
        <v>0</v>
      </c>
      <c r="G10299">
        <v>9.49</v>
      </c>
      <c r="H10299" t="s">
        <v>8588</v>
      </c>
      <c r="I10299">
        <v>2</v>
      </c>
      <c r="J10299" t="s">
        <v>445</v>
      </c>
      <c r="M10299">
        <v>2510</v>
      </c>
      <c r="N10299" t="s">
        <v>16589</v>
      </c>
    </row>
    <row r="10300" spans="1:14">
      <c r="A10300">
        <v>64490000</v>
      </c>
      <c r="B10300">
        <v>3034703</v>
      </c>
      <c r="C10300" t="s">
        <v>4694</v>
      </c>
      <c r="D10300" t="s">
        <v>441</v>
      </c>
      <c r="F10300">
        <v>0</v>
      </c>
      <c r="G10300">
        <v>11.99</v>
      </c>
      <c r="H10300" t="s">
        <v>12573</v>
      </c>
      <c r="I10300">
        <v>4</v>
      </c>
      <c r="J10300" t="s">
        <v>445</v>
      </c>
      <c r="M10300">
        <v>3351</v>
      </c>
      <c r="N10300" t="s">
        <v>16809</v>
      </c>
    </row>
    <row r="10301" spans="1:14">
      <c r="A10301">
        <v>64494210</v>
      </c>
      <c r="B10301">
        <v>4023310</v>
      </c>
      <c r="C10301" t="s">
        <v>4695</v>
      </c>
      <c r="D10301" t="s">
        <v>442</v>
      </c>
      <c r="E10301" t="s">
        <v>441</v>
      </c>
      <c r="F10301">
        <v>0.55000000000000004</v>
      </c>
      <c r="G10301">
        <v>9.69</v>
      </c>
      <c r="H10301" t="s">
        <v>8587</v>
      </c>
      <c r="I10301">
        <v>38</v>
      </c>
      <c r="J10301" t="s">
        <v>462</v>
      </c>
      <c r="L10301" t="s">
        <v>13035</v>
      </c>
      <c r="M10301">
        <v>7108</v>
      </c>
      <c r="N10301" t="s">
        <v>16810</v>
      </c>
    </row>
    <row r="10302" spans="1:14">
      <c r="A10302">
        <v>64494220</v>
      </c>
      <c r="B10302">
        <v>4023311</v>
      </c>
      <c r="C10302" t="s">
        <v>4696</v>
      </c>
      <c r="D10302" t="s">
        <v>442</v>
      </c>
      <c r="E10302" t="s">
        <v>441</v>
      </c>
      <c r="F10302">
        <v>0.55000000000000004</v>
      </c>
      <c r="G10302">
        <v>9.68</v>
      </c>
      <c r="H10302" t="s">
        <v>8587</v>
      </c>
      <c r="I10302">
        <v>38</v>
      </c>
      <c r="J10302" t="s">
        <v>462</v>
      </c>
      <c r="L10302" t="s">
        <v>13035</v>
      </c>
      <c r="M10302">
        <v>7108</v>
      </c>
      <c r="N10302" t="s">
        <v>16810</v>
      </c>
    </row>
    <row r="10303" spans="1:14">
      <c r="A10303">
        <v>64494230</v>
      </c>
      <c r="B10303">
        <v>4023312</v>
      </c>
      <c r="C10303" t="s">
        <v>4697</v>
      </c>
      <c r="D10303" t="s">
        <v>442</v>
      </c>
      <c r="E10303" t="s">
        <v>441</v>
      </c>
      <c r="F10303">
        <v>0.55000000000000004</v>
      </c>
      <c r="G10303">
        <v>9.69</v>
      </c>
      <c r="H10303" t="s">
        <v>8587</v>
      </c>
      <c r="I10303">
        <v>38</v>
      </c>
      <c r="J10303" t="s">
        <v>462</v>
      </c>
      <c r="L10303" t="s">
        <v>13035</v>
      </c>
      <c r="M10303">
        <v>7108</v>
      </c>
      <c r="N10303" t="s">
        <v>16810</v>
      </c>
    </row>
    <row r="10304" spans="1:14">
      <c r="A10304">
        <v>64494240</v>
      </c>
      <c r="B10304">
        <v>4023313</v>
      </c>
      <c r="C10304" t="s">
        <v>4698</v>
      </c>
      <c r="D10304" t="s">
        <v>442</v>
      </c>
      <c r="E10304" t="s">
        <v>441</v>
      </c>
      <c r="F10304">
        <v>0.55000000000000004</v>
      </c>
      <c r="G10304">
        <v>9.6</v>
      </c>
      <c r="H10304" t="s">
        <v>8587</v>
      </c>
      <c r="I10304">
        <v>38</v>
      </c>
      <c r="J10304" t="s">
        <v>462</v>
      </c>
      <c r="L10304" t="s">
        <v>13035</v>
      </c>
      <c r="M10304">
        <v>7108</v>
      </c>
      <c r="N10304" t="s">
        <v>16810</v>
      </c>
    </row>
    <row r="10305" spans="1:14">
      <c r="A10305">
        <v>64494250</v>
      </c>
      <c r="B10305">
        <v>4024428</v>
      </c>
      <c r="C10305" t="s">
        <v>14562</v>
      </c>
      <c r="D10305" t="s">
        <v>442</v>
      </c>
      <c r="E10305" t="s">
        <v>441</v>
      </c>
      <c r="F10305">
        <v>0.55000000000000004</v>
      </c>
      <c r="G10305">
        <v>8.1199999999999992</v>
      </c>
      <c r="H10305" t="s">
        <v>8587</v>
      </c>
      <c r="I10305">
        <v>35</v>
      </c>
      <c r="J10305" t="s">
        <v>462</v>
      </c>
      <c r="K10305" t="s">
        <v>446</v>
      </c>
      <c r="M10305">
        <v>7108</v>
      </c>
      <c r="N10305" t="s">
        <v>16810</v>
      </c>
    </row>
    <row r="10306" spans="1:14">
      <c r="A10306">
        <v>64494260</v>
      </c>
      <c r="B10306">
        <v>4030391</v>
      </c>
      <c r="C10306" t="s">
        <v>17610</v>
      </c>
      <c r="D10306" t="s">
        <v>442</v>
      </c>
      <c r="E10306" t="s">
        <v>441</v>
      </c>
      <c r="F10306">
        <v>0.55000000000000004</v>
      </c>
      <c r="G10306">
        <v>9.31</v>
      </c>
      <c r="H10306" t="s">
        <v>8587</v>
      </c>
      <c r="I10306">
        <v>38</v>
      </c>
      <c r="J10306" t="s">
        <v>462</v>
      </c>
      <c r="M10306">
        <v>7108</v>
      </c>
      <c r="N10306" t="s">
        <v>16810</v>
      </c>
    </row>
    <row r="10307" spans="1:14">
      <c r="A10307">
        <v>64500000</v>
      </c>
      <c r="B10307">
        <v>3036662</v>
      </c>
      <c r="C10307" t="s">
        <v>153</v>
      </c>
      <c r="D10307" t="s">
        <v>441</v>
      </c>
      <c r="F10307">
        <v>0</v>
      </c>
      <c r="G10307">
        <v>11.29</v>
      </c>
      <c r="H10307" t="s">
        <v>12573</v>
      </c>
      <c r="I10307">
        <v>4</v>
      </c>
      <c r="J10307" t="s">
        <v>445</v>
      </c>
      <c r="M10307">
        <v>3351</v>
      </c>
      <c r="N10307" t="s">
        <v>16794</v>
      </c>
    </row>
    <row r="10308" spans="1:14">
      <c r="A10308">
        <v>64510000</v>
      </c>
      <c r="B10308">
        <v>3039110</v>
      </c>
      <c r="C10308" t="s">
        <v>36</v>
      </c>
      <c r="D10308" t="s">
        <v>441</v>
      </c>
      <c r="F10308">
        <v>0</v>
      </c>
      <c r="G10308">
        <v>9.85</v>
      </c>
      <c r="H10308" t="s">
        <v>12573</v>
      </c>
      <c r="I10308">
        <v>4</v>
      </c>
      <c r="J10308" t="s">
        <v>445</v>
      </c>
      <c r="M10308">
        <v>3351</v>
      </c>
      <c r="N10308" t="s">
        <v>16811</v>
      </c>
    </row>
    <row r="10309" spans="1:14">
      <c r="A10309">
        <v>64514210</v>
      </c>
      <c r="B10309">
        <v>4026154</v>
      </c>
      <c r="C10309" t="s">
        <v>4699</v>
      </c>
      <c r="D10309" t="s">
        <v>441</v>
      </c>
      <c r="F10309">
        <v>0</v>
      </c>
      <c r="G10309">
        <v>12.63</v>
      </c>
      <c r="H10309" t="s">
        <v>8587</v>
      </c>
      <c r="I10309">
        <v>43</v>
      </c>
      <c r="J10309" t="s">
        <v>462</v>
      </c>
      <c r="M10309">
        <v>7108</v>
      </c>
      <c r="N10309" t="s">
        <v>16812</v>
      </c>
    </row>
    <row r="10310" spans="1:14">
      <c r="A10310">
        <v>64514220</v>
      </c>
      <c r="B10310">
        <v>4026570</v>
      </c>
      <c r="C10310" t="s">
        <v>15335</v>
      </c>
      <c r="D10310" t="s">
        <v>441</v>
      </c>
      <c r="F10310">
        <v>0</v>
      </c>
      <c r="G10310">
        <v>11.09</v>
      </c>
      <c r="H10310" t="s">
        <v>8587</v>
      </c>
      <c r="I10310">
        <v>40</v>
      </c>
      <c r="J10310" t="s">
        <v>462</v>
      </c>
      <c r="M10310">
        <v>7108</v>
      </c>
      <c r="N10310" t="s">
        <v>16784</v>
      </c>
    </row>
    <row r="10311" spans="1:14">
      <c r="A10311">
        <v>64519000</v>
      </c>
      <c r="B10311">
        <v>3040811</v>
      </c>
      <c r="C10311" t="s">
        <v>16813</v>
      </c>
      <c r="D10311" t="s">
        <v>441</v>
      </c>
      <c r="F10311">
        <v>0</v>
      </c>
      <c r="G10311">
        <v>11.8</v>
      </c>
      <c r="H10311" t="s">
        <v>12573</v>
      </c>
      <c r="I10311">
        <v>4</v>
      </c>
      <c r="J10311" t="s">
        <v>445</v>
      </c>
      <c r="K10311" t="s">
        <v>446</v>
      </c>
      <c r="M10311">
        <v>6666</v>
      </c>
      <c r="N10311" t="s">
        <v>16583</v>
      </c>
    </row>
    <row r="10312" spans="1:14">
      <c r="A10312">
        <v>64519002</v>
      </c>
      <c r="B10312">
        <v>3040813</v>
      </c>
      <c r="C10312" t="s">
        <v>16814</v>
      </c>
      <c r="D10312" t="s">
        <v>441</v>
      </c>
      <c r="F10312">
        <v>0</v>
      </c>
      <c r="G10312">
        <v>12.65</v>
      </c>
      <c r="H10312" t="s">
        <v>12573</v>
      </c>
      <c r="I10312">
        <v>365</v>
      </c>
      <c r="J10312" t="s">
        <v>445</v>
      </c>
      <c r="K10312" t="s">
        <v>446</v>
      </c>
      <c r="M10312">
        <v>7111</v>
      </c>
      <c r="N10312" t="s">
        <v>16585</v>
      </c>
    </row>
    <row r="10313" spans="1:14">
      <c r="A10313">
        <v>64519502</v>
      </c>
      <c r="B10313">
        <v>3040812</v>
      </c>
      <c r="C10313" t="s">
        <v>16815</v>
      </c>
      <c r="D10313" t="s">
        <v>441</v>
      </c>
      <c r="F10313">
        <v>0</v>
      </c>
      <c r="G10313">
        <v>12.06</v>
      </c>
      <c r="H10313" t="s">
        <v>12573</v>
      </c>
      <c r="I10313">
        <v>6</v>
      </c>
      <c r="J10313" t="s">
        <v>445</v>
      </c>
      <c r="K10313" t="s">
        <v>446</v>
      </c>
      <c r="M10313">
        <v>2502</v>
      </c>
      <c r="N10313" t="s">
        <v>16587</v>
      </c>
    </row>
    <row r="10314" spans="1:14">
      <c r="A10314">
        <v>64519602</v>
      </c>
      <c r="B10314">
        <v>3040814</v>
      </c>
      <c r="C10314" t="s">
        <v>16816</v>
      </c>
      <c r="D10314" t="s">
        <v>441</v>
      </c>
      <c r="F10314">
        <v>0</v>
      </c>
      <c r="G10314">
        <v>12.92</v>
      </c>
      <c r="H10314" t="s">
        <v>12573</v>
      </c>
      <c r="I10314">
        <v>2</v>
      </c>
      <c r="J10314" t="s">
        <v>445</v>
      </c>
      <c r="K10314" t="s">
        <v>446</v>
      </c>
      <c r="M10314">
        <v>2510</v>
      </c>
      <c r="N10314" t="s">
        <v>16589</v>
      </c>
    </row>
    <row r="10315" spans="1:14">
      <c r="A10315">
        <v>64520000</v>
      </c>
      <c r="B10315">
        <v>3024125</v>
      </c>
      <c r="C10315" t="s">
        <v>4700</v>
      </c>
      <c r="D10315" t="s">
        <v>441</v>
      </c>
      <c r="F10315">
        <v>0</v>
      </c>
      <c r="G10315">
        <v>6.12</v>
      </c>
      <c r="H10315" t="s">
        <v>8584</v>
      </c>
      <c r="I10315">
        <v>7</v>
      </c>
      <c r="J10315" t="s">
        <v>445</v>
      </c>
      <c r="K10315" t="s">
        <v>446</v>
      </c>
      <c r="M10315">
        <v>3312</v>
      </c>
    </row>
    <row r="10316" spans="1:14">
      <c r="A10316">
        <v>64520008</v>
      </c>
      <c r="B10316">
        <v>3024124</v>
      </c>
      <c r="C10316" t="s">
        <v>4701</v>
      </c>
      <c r="D10316" t="s">
        <v>441</v>
      </c>
      <c r="F10316">
        <v>0</v>
      </c>
      <c r="G10316">
        <v>5.62</v>
      </c>
      <c r="H10316" t="s">
        <v>8584</v>
      </c>
      <c r="I10316">
        <v>9</v>
      </c>
      <c r="J10316" t="s">
        <v>445</v>
      </c>
      <c r="K10316" t="s">
        <v>446</v>
      </c>
      <c r="M10316">
        <v>3211</v>
      </c>
    </row>
    <row r="10317" spans="1:14">
      <c r="A10317">
        <v>64524110</v>
      </c>
      <c r="B10317">
        <v>4015994</v>
      </c>
      <c r="C10317" t="s">
        <v>4702</v>
      </c>
      <c r="D10317" t="s">
        <v>442</v>
      </c>
      <c r="E10317" t="s">
        <v>441</v>
      </c>
      <c r="F10317">
        <v>0.4</v>
      </c>
      <c r="G10317">
        <v>2.95</v>
      </c>
      <c r="H10317" t="s">
        <v>8587</v>
      </c>
      <c r="I10317">
        <v>60</v>
      </c>
      <c r="J10317" t="s">
        <v>462</v>
      </c>
      <c r="K10317" t="s">
        <v>446</v>
      </c>
      <c r="M10317">
        <v>3711</v>
      </c>
    </row>
    <row r="10318" spans="1:14">
      <c r="A10318">
        <v>64530000</v>
      </c>
      <c r="B10318">
        <v>3040197</v>
      </c>
      <c r="C10318" t="s">
        <v>56</v>
      </c>
      <c r="D10318" t="s">
        <v>441</v>
      </c>
      <c r="F10318">
        <v>0</v>
      </c>
      <c r="G10318">
        <v>15.65</v>
      </c>
      <c r="H10318" t="s">
        <v>12573</v>
      </c>
      <c r="I10318">
        <v>3</v>
      </c>
      <c r="J10318" t="s">
        <v>445</v>
      </c>
      <c r="M10318">
        <v>3349</v>
      </c>
      <c r="N10318" t="s">
        <v>16817</v>
      </c>
    </row>
    <row r="10319" spans="1:14">
      <c r="A10319">
        <v>64530008</v>
      </c>
      <c r="B10319">
        <v>3040196</v>
      </c>
      <c r="C10319" t="s">
        <v>4703</v>
      </c>
      <c r="D10319" t="s">
        <v>441</v>
      </c>
      <c r="F10319">
        <v>0</v>
      </c>
      <c r="G10319">
        <v>12.97</v>
      </c>
      <c r="H10319" t="s">
        <v>12664</v>
      </c>
      <c r="I10319">
        <v>2</v>
      </c>
      <c r="J10319" t="s">
        <v>445</v>
      </c>
      <c r="M10319">
        <v>6666</v>
      </c>
      <c r="N10319" t="s">
        <v>16818</v>
      </c>
    </row>
    <row r="10320" spans="1:14">
      <c r="A10320">
        <v>64534210</v>
      </c>
      <c r="B10320">
        <v>4026656</v>
      </c>
      <c r="C10320" t="s">
        <v>5300</v>
      </c>
      <c r="D10320" t="s">
        <v>442</v>
      </c>
      <c r="E10320" t="s">
        <v>441</v>
      </c>
      <c r="F10320">
        <v>0.24</v>
      </c>
      <c r="G10320">
        <v>6.01</v>
      </c>
      <c r="H10320" t="s">
        <v>8587</v>
      </c>
      <c r="I10320">
        <v>28</v>
      </c>
      <c r="J10320" t="s">
        <v>462</v>
      </c>
      <c r="K10320" t="s">
        <v>446</v>
      </c>
      <c r="L10320" t="s">
        <v>13036</v>
      </c>
      <c r="M10320">
        <v>7108</v>
      </c>
      <c r="N10320" t="s">
        <v>16819</v>
      </c>
    </row>
    <row r="10321" spans="1:14">
      <c r="A10321">
        <v>64540000</v>
      </c>
      <c r="B10321">
        <v>3016609</v>
      </c>
      <c r="C10321" t="s">
        <v>4704</v>
      </c>
      <c r="D10321" t="s">
        <v>441</v>
      </c>
      <c r="F10321">
        <v>0</v>
      </c>
      <c r="G10321">
        <v>8.73</v>
      </c>
      <c r="H10321" t="s">
        <v>8580</v>
      </c>
      <c r="I10321">
        <v>4</v>
      </c>
      <c r="J10321" t="s">
        <v>445</v>
      </c>
      <c r="M10321">
        <v>3349</v>
      </c>
      <c r="N10321" t="s">
        <v>16820</v>
      </c>
    </row>
    <row r="10322" spans="1:14">
      <c r="A10322">
        <v>64540008</v>
      </c>
      <c r="B10322">
        <v>3016610</v>
      </c>
      <c r="C10322" t="s">
        <v>4705</v>
      </c>
      <c r="D10322" t="s">
        <v>441</v>
      </c>
      <c r="F10322">
        <v>0</v>
      </c>
      <c r="G10322">
        <v>7.99</v>
      </c>
      <c r="H10322" t="s">
        <v>12664</v>
      </c>
      <c r="I10322">
        <v>9</v>
      </c>
      <c r="J10322" t="s">
        <v>445</v>
      </c>
      <c r="M10322">
        <v>6666</v>
      </c>
      <c r="N10322" t="s">
        <v>16821</v>
      </c>
    </row>
    <row r="10323" spans="1:14">
      <c r="A10323">
        <v>64544110</v>
      </c>
      <c r="B10323">
        <v>4009470</v>
      </c>
      <c r="C10323" t="s">
        <v>13037</v>
      </c>
      <c r="D10323" t="s">
        <v>441</v>
      </c>
      <c r="F10323">
        <v>0</v>
      </c>
      <c r="G10323">
        <v>7.46</v>
      </c>
      <c r="H10323" t="s">
        <v>8587</v>
      </c>
      <c r="I10323">
        <v>60</v>
      </c>
      <c r="J10323" t="s">
        <v>462</v>
      </c>
      <c r="K10323" t="s">
        <v>446</v>
      </c>
      <c r="M10323">
        <v>3711</v>
      </c>
    </row>
    <row r="10324" spans="1:14">
      <c r="A10324">
        <v>64544120</v>
      </c>
      <c r="B10324">
        <v>4009531</v>
      </c>
      <c r="C10324" t="s">
        <v>4706</v>
      </c>
      <c r="D10324" t="s">
        <v>442</v>
      </c>
      <c r="E10324" t="s">
        <v>441</v>
      </c>
      <c r="F10324">
        <v>0.4</v>
      </c>
      <c r="G10324">
        <v>3.37</v>
      </c>
      <c r="H10324" t="s">
        <v>8587</v>
      </c>
      <c r="I10324">
        <v>60</v>
      </c>
      <c r="J10324" t="s">
        <v>462</v>
      </c>
      <c r="K10324" t="s">
        <v>446</v>
      </c>
      <c r="M10324">
        <v>3711</v>
      </c>
      <c r="N10324" t="s">
        <v>16822</v>
      </c>
    </row>
    <row r="10325" spans="1:14">
      <c r="A10325">
        <v>64544130</v>
      </c>
      <c r="B10325">
        <v>4004288</v>
      </c>
      <c r="C10325" t="s">
        <v>17611</v>
      </c>
      <c r="D10325" t="s">
        <v>442</v>
      </c>
      <c r="E10325" t="s">
        <v>441</v>
      </c>
      <c r="F10325">
        <v>0.4</v>
      </c>
      <c r="G10325">
        <v>4.71</v>
      </c>
      <c r="H10325" t="s">
        <v>8587</v>
      </c>
      <c r="I10325">
        <v>60</v>
      </c>
      <c r="J10325" t="s">
        <v>462</v>
      </c>
      <c r="K10325" t="s">
        <v>446</v>
      </c>
      <c r="L10325" t="s">
        <v>13038</v>
      </c>
      <c r="M10325">
        <v>7108</v>
      </c>
      <c r="N10325" t="s">
        <v>16823</v>
      </c>
    </row>
    <row r="10326" spans="1:14">
      <c r="A10326">
        <v>64544140</v>
      </c>
      <c r="B10326">
        <v>4001926</v>
      </c>
      <c r="C10326" t="s">
        <v>4707</v>
      </c>
      <c r="D10326" t="s">
        <v>442</v>
      </c>
      <c r="E10326" t="s">
        <v>441</v>
      </c>
      <c r="F10326">
        <v>0.4</v>
      </c>
      <c r="G10326">
        <v>2.85</v>
      </c>
      <c r="H10326" t="s">
        <v>8587</v>
      </c>
      <c r="I10326">
        <v>60</v>
      </c>
      <c r="J10326" t="s">
        <v>462</v>
      </c>
      <c r="K10326" t="s">
        <v>446</v>
      </c>
      <c r="M10326">
        <v>3711</v>
      </c>
    </row>
    <row r="10327" spans="1:14">
      <c r="A10327">
        <v>64544150</v>
      </c>
      <c r="B10327">
        <v>4004289</v>
      </c>
      <c r="C10327" t="s">
        <v>4708</v>
      </c>
      <c r="D10327" t="s">
        <v>442</v>
      </c>
      <c r="E10327" t="s">
        <v>441</v>
      </c>
      <c r="F10327">
        <v>0.4</v>
      </c>
      <c r="G10327">
        <v>2.77</v>
      </c>
      <c r="H10327" t="s">
        <v>8587</v>
      </c>
      <c r="I10327">
        <v>60</v>
      </c>
      <c r="J10327" t="s">
        <v>462</v>
      </c>
      <c r="K10327" t="s">
        <v>446</v>
      </c>
      <c r="M10327">
        <v>3711</v>
      </c>
    </row>
    <row r="10328" spans="1:14">
      <c r="A10328">
        <v>64544160</v>
      </c>
      <c r="B10328">
        <v>4011113</v>
      </c>
      <c r="C10328" t="s">
        <v>4709</v>
      </c>
      <c r="D10328" t="s">
        <v>442</v>
      </c>
      <c r="E10328" t="s">
        <v>441</v>
      </c>
      <c r="F10328">
        <v>0.4</v>
      </c>
      <c r="G10328">
        <v>3.71</v>
      </c>
      <c r="H10328" t="s">
        <v>8587</v>
      </c>
      <c r="I10328">
        <v>60</v>
      </c>
      <c r="J10328" t="s">
        <v>462</v>
      </c>
      <c r="K10328" t="s">
        <v>446</v>
      </c>
      <c r="M10328">
        <v>7108</v>
      </c>
      <c r="N10328" t="s">
        <v>16824</v>
      </c>
    </row>
    <row r="10329" spans="1:14">
      <c r="A10329">
        <v>64544170</v>
      </c>
      <c r="B10329">
        <v>4001927</v>
      </c>
      <c r="C10329" t="s">
        <v>4710</v>
      </c>
      <c r="D10329" t="s">
        <v>442</v>
      </c>
      <c r="E10329" t="s">
        <v>441</v>
      </c>
      <c r="F10329">
        <v>0.4</v>
      </c>
      <c r="G10329">
        <v>3.88</v>
      </c>
      <c r="H10329" t="s">
        <v>8587</v>
      </c>
      <c r="I10329">
        <v>60</v>
      </c>
      <c r="J10329" t="s">
        <v>462</v>
      </c>
      <c r="K10329" t="s">
        <v>446</v>
      </c>
      <c r="M10329">
        <v>3711</v>
      </c>
    </row>
    <row r="10330" spans="1:14">
      <c r="A10330">
        <v>64544180</v>
      </c>
      <c r="B10330">
        <v>4001928</v>
      </c>
      <c r="C10330" t="s">
        <v>13039</v>
      </c>
      <c r="D10330" t="s">
        <v>442</v>
      </c>
      <c r="E10330" t="s">
        <v>441</v>
      </c>
      <c r="F10330">
        <v>0.4</v>
      </c>
      <c r="G10330">
        <v>2.8</v>
      </c>
      <c r="H10330" t="s">
        <v>8587</v>
      </c>
      <c r="I10330">
        <v>60</v>
      </c>
      <c r="J10330" t="s">
        <v>462</v>
      </c>
      <c r="K10330" t="s">
        <v>446</v>
      </c>
      <c r="M10330">
        <v>3711</v>
      </c>
    </row>
    <row r="10331" spans="1:14">
      <c r="A10331">
        <v>64544210</v>
      </c>
      <c r="B10331">
        <v>4007807</v>
      </c>
      <c r="C10331" t="s">
        <v>4711</v>
      </c>
      <c r="D10331" t="s">
        <v>441</v>
      </c>
      <c r="F10331">
        <v>0</v>
      </c>
      <c r="G10331">
        <v>6.45</v>
      </c>
      <c r="H10331" t="s">
        <v>8587</v>
      </c>
      <c r="I10331">
        <v>60</v>
      </c>
      <c r="J10331" t="s">
        <v>462</v>
      </c>
      <c r="K10331" t="s">
        <v>446</v>
      </c>
      <c r="M10331">
        <v>3711</v>
      </c>
    </row>
    <row r="10332" spans="1:14">
      <c r="A10332">
        <v>64544220</v>
      </c>
      <c r="B10332">
        <v>4007808</v>
      </c>
      <c r="C10332" t="s">
        <v>4712</v>
      </c>
      <c r="D10332" t="s">
        <v>441</v>
      </c>
      <c r="F10332">
        <v>0</v>
      </c>
      <c r="G10332">
        <v>6.41</v>
      </c>
      <c r="H10332" t="s">
        <v>8587</v>
      </c>
      <c r="I10332">
        <v>60</v>
      </c>
      <c r="J10332" t="s">
        <v>462</v>
      </c>
      <c r="K10332" t="s">
        <v>446</v>
      </c>
      <c r="M10332">
        <v>3711</v>
      </c>
    </row>
    <row r="10333" spans="1:14">
      <c r="A10333">
        <v>64546110</v>
      </c>
      <c r="B10333">
        <v>4005647</v>
      </c>
      <c r="C10333" t="s">
        <v>4713</v>
      </c>
      <c r="D10333" t="s">
        <v>442</v>
      </c>
      <c r="E10333" t="s">
        <v>441</v>
      </c>
      <c r="F10333">
        <v>0.4</v>
      </c>
      <c r="G10333">
        <v>3.64</v>
      </c>
      <c r="H10333" t="s">
        <v>8587</v>
      </c>
      <c r="I10333">
        <v>60</v>
      </c>
      <c r="J10333" t="s">
        <v>462</v>
      </c>
      <c r="K10333" t="s">
        <v>446</v>
      </c>
      <c r="M10333">
        <v>7108</v>
      </c>
      <c r="N10333" t="s">
        <v>16824</v>
      </c>
    </row>
    <row r="10334" spans="1:14">
      <c r="A10334">
        <v>64546120</v>
      </c>
      <c r="B10334">
        <v>4006127</v>
      </c>
      <c r="C10334" t="s">
        <v>4714</v>
      </c>
      <c r="D10334" t="s">
        <v>442</v>
      </c>
      <c r="E10334" t="s">
        <v>441</v>
      </c>
      <c r="F10334">
        <v>0.4</v>
      </c>
      <c r="G10334">
        <v>2.69</v>
      </c>
      <c r="H10334" t="s">
        <v>8587</v>
      </c>
      <c r="I10334">
        <v>60</v>
      </c>
      <c r="J10334" t="s">
        <v>462</v>
      </c>
      <c r="K10334" t="s">
        <v>446</v>
      </c>
      <c r="M10334">
        <v>3711</v>
      </c>
    </row>
    <row r="10335" spans="1:14">
      <c r="A10335">
        <v>64546130</v>
      </c>
      <c r="B10335">
        <v>4006444</v>
      </c>
      <c r="C10335" t="s">
        <v>4715</v>
      </c>
      <c r="D10335" t="s">
        <v>442</v>
      </c>
      <c r="E10335" t="s">
        <v>441</v>
      </c>
      <c r="F10335">
        <v>0.4</v>
      </c>
      <c r="G10335">
        <v>2.75</v>
      </c>
      <c r="H10335" t="s">
        <v>8587</v>
      </c>
      <c r="I10335">
        <v>60</v>
      </c>
      <c r="J10335" t="s">
        <v>462</v>
      </c>
      <c r="K10335" t="s">
        <v>446</v>
      </c>
      <c r="M10335">
        <v>3711</v>
      </c>
    </row>
    <row r="10336" spans="1:14">
      <c r="A10336">
        <v>64546140</v>
      </c>
      <c r="B10336">
        <v>4006537</v>
      </c>
      <c r="C10336" t="s">
        <v>4716</v>
      </c>
      <c r="D10336" t="s">
        <v>442</v>
      </c>
      <c r="E10336" t="s">
        <v>441</v>
      </c>
      <c r="F10336">
        <v>0.4</v>
      </c>
      <c r="G10336">
        <v>2.74</v>
      </c>
      <c r="H10336" t="s">
        <v>8587</v>
      </c>
      <c r="I10336">
        <v>60</v>
      </c>
      <c r="J10336" t="s">
        <v>462</v>
      </c>
      <c r="K10336" t="s">
        <v>446</v>
      </c>
      <c r="M10336">
        <v>3711</v>
      </c>
    </row>
    <row r="10337" spans="1:14">
      <c r="A10337">
        <v>64546150</v>
      </c>
      <c r="B10337">
        <v>4006805</v>
      </c>
      <c r="C10337" t="s">
        <v>4717</v>
      </c>
      <c r="D10337" t="s">
        <v>442</v>
      </c>
      <c r="E10337" t="s">
        <v>441</v>
      </c>
      <c r="F10337">
        <v>0.4</v>
      </c>
      <c r="G10337">
        <v>5.15</v>
      </c>
      <c r="H10337" t="s">
        <v>8587</v>
      </c>
      <c r="I10337">
        <v>60</v>
      </c>
      <c r="J10337" t="s">
        <v>462</v>
      </c>
      <c r="M10337">
        <v>7108</v>
      </c>
      <c r="N10337" t="s">
        <v>16823</v>
      </c>
    </row>
    <row r="10338" spans="1:14">
      <c r="A10338">
        <v>64546160</v>
      </c>
      <c r="B10338">
        <v>4008539</v>
      </c>
      <c r="C10338" t="s">
        <v>4718</v>
      </c>
      <c r="D10338" t="s">
        <v>442</v>
      </c>
      <c r="E10338" t="s">
        <v>441</v>
      </c>
      <c r="F10338">
        <v>0.4</v>
      </c>
      <c r="G10338">
        <v>2.71</v>
      </c>
      <c r="H10338" t="s">
        <v>8587</v>
      </c>
      <c r="I10338">
        <v>60</v>
      </c>
      <c r="J10338" t="s">
        <v>462</v>
      </c>
      <c r="K10338" t="s">
        <v>446</v>
      </c>
      <c r="M10338">
        <v>3711</v>
      </c>
    </row>
    <row r="10339" spans="1:14">
      <c r="A10339">
        <v>64546170</v>
      </c>
      <c r="B10339">
        <v>4008842</v>
      </c>
      <c r="C10339" t="s">
        <v>4719</v>
      </c>
      <c r="D10339" t="s">
        <v>442</v>
      </c>
      <c r="E10339" t="s">
        <v>441</v>
      </c>
      <c r="F10339">
        <v>0.4</v>
      </c>
      <c r="G10339">
        <v>4.2300000000000004</v>
      </c>
      <c r="H10339" t="s">
        <v>8587</v>
      </c>
      <c r="I10339">
        <v>60</v>
      </c>
      <c r="J10339" t="s">
        <v>462</v>
      </c>
      <c r="M10339">
        <v>7108</v>
      </c>
      <c r="N10339" t="s">
        <v>16823</v>
      </c>
    </row>
    <row r="10340" spans="1:14">
      <c r="A10340">
        <v>64546180</v>
      </c>
      <c r="B10340">
        <v>4013131</v>
      </c>
      <c r="C10340" t="s">
        <v>4720</v>
      </c>
      <c r="D10340" t="s">
        <v>442</v>
      </c>
      <c r="E10340" t="s">
        <v>441</v>
      </c>
      <c r="F10340">
        <v>0.4</v>
      </c>
      <c r="G10340">
        <v>2.9</v>
      </c>
      <c r="H10340" t="s">
        <v>8587</v>
      </c>
      <c r="I10340">
        <v>60</v>
      </c>
      <c r="J10340" t="s">
        <v>462</v>
      </c>
      <c r="K10340" t="s">
        <v>446</v>
      </c>
      <c r="M10340">
        <v>3711</v>
      </c>
    </row>
    <row r="10341" spans="1:14">
      <c r="A10341">
        <v>64546190</v>
      </c>
      <c r="B10341">
        <v>4029166</v>
      </c>
      <c r="C10341" t="s">
        <v>14563</v>
      </c>
      <c r="D10341" t="s">
        <v>442</v>
      </c>
      <c r="E10341" t="s">
        <v>441</v>
      </c>
      <c r="F10341">
        <v>0.4</v>
      </c>
      <c r="G10341">
        <v>4.4800000000000004</v>
      </c>
      <c r="H10341" t="s">
        <v>8587</v>
      </c>
      <c r="I10341">
        <v>60</v>
      </c>
      <c r="J10341" t="s">
        <v>462</v>
      </c>
      <c r="L10341" t="s">
        <v>14564</v>
      </c>
      <c r="M10341">
        <v>7108</v>
      </c>
      <c r="N10341" t="s">
        <v>16823</v>
      </c>
    </row>
    <row r="10342" spans="1:14">
      <c r="A10342">
        <v>64550000</v>
      </c>
      <c r="B10342">
        <v>3008896</v>
      </c>
      <c r="C10342" t="s">
        <v>4721</v>
      </c>
      <c r="D10342" t="s">
        <v>441</v>
      </c>
      <c r="F10342">
        <v>0</v>
      </c>
      <c r="G10342">
        <v>10.83</v>
      </c>
      <c r="H10342" t="s">
        <v>8580</v>
      </c>
      <c r="I10342">
        <v>28</v>
      </c>
      <c r="J10342" t="s">
        <v>445</v>
      </c>
      <c r="K10342" t="s">
        <v>446</v>
      </c>
      <c r="M10342">
        <v>3312</v>
      </c>
    </row>
    <row r="10343" spans="1:14">
      <c r="A10343">
        <v>64550008</v>
      </c>
      <c r="B10343">
        <v>3008894</v>
      </c>
      <c r="C10343" t="s">
        <v>13040</v>
      </c>
      <c r="D10343" t="s">
        <v>441</v>
      </c>
      <c r="F10343">
        <v>0</v>
      </c>
      <c r="G10343">
        <v>7.93</v>
      </c>
      <c r="H10343" t="s">
        <v>8580</v>
      </c>
      <c r="I10343">
        <v>5</v>
      </c>
      <c r="J10343" t="s">
        <v>445</v>
      </c>
      <c r="K10343" t="s">
        <v>446</v>
      </c>
      <c r="M10343">
        <v>3211</v>
      </c>
    </row>
    <row r="10344" spans="1:14">
      <c r="A10344">
        <v>64550009</v>
      </c>
      <c r="B10344">
        <v>3008893</v>
      </c>
      <c r="C10344" t="s">
        <v>13041</v>
      </c>
      <c r="D10344" t="s">
        <v>441</v>
      </c>
      <c r="F10344">
        <v>0</v>
      </c>
      <c r="G10344">
        <v>8.69</v>
      </c>
      <c r="H10344" t="s">
        <v>8580</v>
      </c>
      <c r="I10344">
        <v>21</v>
      </c>
      <c r="J10344" t="s">
        <v>445</v>
      </c>
      <c r="K10344" t="s">
        <v>446</v>
      </c>
      <c r="M10344">
        <v>3311</v>
      </c>
    </row>
    <row r="10345" spans="1:14">
      <c r="A10345">
        <v>64554280</v>
      </c>
      <c r="B10345">
        <v>4008082</v>
      </c>
      <c r="C10345" t="s">
        <v>4722</v>
      </c>
      <c r="D10345" t="s">
        <v>441</v>
      </c>
      <c r="F10345">
        <v>0</v>
      </c>
      <c r="G10345">
        <v>11.83</v>
      </c>
      <c r="H10345" t="s">
        <v>8587</v>
      </c>
      <c r="I10345">
        <v>28</v>
      </c>
      <c r="J10345" t="s">
        <v>462</v>
      </c>
      <c r="K10345" t="s">
        <v>446</v>
      </c>
      <c r="M10345">
        <v>3711</v>
      </c>
    </row>
    <row r="10346" spans="1:14">
      <c r="A10346">
        <v>64570000</v>
      </c>
      <c r="B10346">
        <v>3037850</v>
      </c>
      <c r="C10346" t="s">
        <v>38</v>
      </c>
      <c r="D10346" t="s">
        <v>441</v>
      </c>
      <c r="F10346">
        <v>0</v>
      </c>
      <c r="G10346">
        <v>9.2100000000000009</v>
      </c>
      <c r="H10346" t="s">
        <v>12573</v>
      </c>
      <c r="I10346">
        <v>4</v>
      </c>
      <c r="J10346" t="s">
        <v>445</v>
      </c>
      <c r="M10346">
        <v>3349</v>
      </c>
      <c r="N10346" t="s">
        <v>16825</v>
      </c>
    </row>
    <row r="10347" spans="1:14">
      <c r="A10347">
        <v>64570008</v>
      </c>
      <c r="B10347">
        <v>3037819</v>
      </c>
      <c r="C10347" t="s">
        <v>4723</v>
      </c>
      <c r="D10347" t="s">
        <v>441</v>
      </c>
      <c r="F10347">
        <v>0</v>
      </c>
      <c r="G10347">
        <v>8.4</v>
      </c>
      <c r="H10347" t="s">
        <v>12664</v>
      </c>
      <c r="I10347">
        <v>3</v>
      </c>
      <c r="J10347" t="s">
        <v>445</v>
      </c>
      <c r="M10347">
        <v>6666</v>
      </c>
      <c r="N10347" t="s">
        <v>16826</v>
      </c>
    </row>
    <row r="10348" spans="1:14">
      <c r="A10348">
        <v>64574110</v>
      </c>
      <c r="B10348">
        <v>4025459</v>
      </c>
      <c r="C10348" t="s">
        <v>4724</v>
      </c>
      <c r="D10348" t="s">
        <v>442</v>
      </c>
      <c r="E10348" t="s">
        <v>441</v>
      </c>
      <c r="F10348">
        <v>0.4</v>
      </c>
      <c r="G10348">
        <v>4.6100000000000003</v>
      </c>
      <c r="H10348" t="s">
        <v>8587</v>
      </c>
      <c r="I10348">
        <v>60</v>
      </c>
      <c r="J10348" t="s">
        <v>462</v>
      </c>
      <c r="M10348">
        <v>7108</v>
      </c>
      <c r="N10348" t="s">
        <v>16827</v>
      </c>
    </row>
    <row r="10349" spans="1:14">
      <c r="A10349">
        <v>64580000</v>
      </c>
      <c r="B10349">
        <v>3041508</v>
      </c>
      <c r="C10349" t="s">
        <v>176</v>
      </c>
      <c r="D10349" t="s">
        <v>441</v>
      </c>
      <c r="F10349">
        <v>0</v>
      </c>
      <c r="G10349">
        <v>8.82</v>
      </c>
      <c r="I10349">
        <v>4</v>
      </c>
      <c r="J10349" t="s">
        <v>445</v>
      </c>
      <c r="M10349">
        <v>3349</v>
      </c>
      <c r="N10349" t="s">
        <v>16828</v>
      </c>
    </row>
    <row r="10350" spans="1:14">
      <c r="A10350">
        <v>64580002</v>
      </c>
      <c r="B10350">
        <v>3041629</v>
      </c>
      <c r="C10350" t="s">
        <v>13042</v>
      </c>
      <c r="D10350" t="s">
        <v>441</v>
      </c>
      <c r="F10350">
        <v>0</v>
      </c>
      <c r="G10350">
        <v>11.69</v>
      </c>
      <c r="H10350" t="s">
        <v>8587</v>
      </c>
      <c r="I10350">
        <v>180</v>
      </c>
      <c r="J10350" t="s">
        <v>445</v>
      </c>
      <c r="M10350">
        <v>7111</v>
      </c>
      <c r="N10350" t="s">
        <v>16585</v>
      </c>
    </row>
    <row r="10351" spans="1:14">
      <c r="A10351">
        <v>64580008</v>
      </c>
      <c r="B10351">
        <v>3041486</v>
      </c>
      <c r="C10351" t="s">
        <v>4725</v>
      </c>
      <c r="D10351" t="s">
        <v>441</v>
      </c>
      <c r="F10351">
        <v>0</v>
      </c>
      <c r="G10351">
        <v>8.07</v>
      </c>
      <c r="H10351" t="s">
        <v>12664</v>
      </c>
      <c r="I10351">
        <v>3</v>
      </c>
      <c r="J10351" t="s">
        <v>445</v>
      </c>
      <c r="M10351">
        <v>6666</v>
      </c>
      <c r="N10351" t="s">
        <v>16829</v>
      </c>
    </row>
    <row r="10352" spans="1:14">
      <c r="A10352">
        <v>64580502</v>
      </c>
      <c r="B10352">
        <v>3041628</v>
      </c>
      <c r="C10352" t="s">
        <v>13043</v>
      </c>
      <c r="D10352" t="s">
        <v>441</v>
      </c>
      <c r="F10352">
        <v>0</v>
      </c>
      <c r="G10352">
        <v>11.1</v>
      </c>
      <c r="H10352" t="s">
        <v>8587</v>
      </c>
      <c r="I10352">
        <v>6</v>
      </c>
      <c r="J10352" t="s">
        <v>445</v>
      </c>
      <c r="M10352">
        <v>2502</v>
      </c>
      <c r="N10352" t="s">
        <v>16587</v>
      </c>
    </row>
    <row r="10353" spans="1:14">
      <c r="A10353">
        <v>64580602</v>
      </c>
      <c r="B10353">
        <v>3041660</v>
      </c>
      <c r="C10353" t="s">
        <v>13044</v>
      </c>
      <c r="D10353" t="s">
        <v>441</v>
      </c>
      <c r="F10353">
        <v>0</v>
      </c>
      <c r="G10353">
        <v>11.96</v>
      </c>
      <c r="H10353" t="s">
        <v>12573</v>
      </c>
      <c r="I10353">
        <v>2</v>
      </c>
      <c r="J10353" t="s">
        <v>445</v>
      </c>
      <c r="M10353">
        <v>2510</v>
      </c>
      <c r="N10353" t="s">
        <v>16589</v>
      </c>
    </row>
    <row r="10354" spans="1:14">
      <c r="A10354">
        <v>64584110</v>
      </c>
      <c r="B10354">
        <v>4027427</v>
      </c>
      <c r="C10354" t="s">
        <v>4726</v>
      </c>
      <c r="D10354" t="s">
        <v>442</v>
      </c>
      <c r="E10354" t="s">
        <v>441</v>
      </c>
      <c r="F10354">
        <v>0.4</v>
      </c>
      <c r="G10354">
        <v>4.46</v>
      </c>
      <c r="H10354" t="s">
        <v>8587</v>
      </c>
      <c r="I10354">
        <v>60</v>
      </c>
      <c r="J10354" t="s">
        <v>462</v>
      </c>
      <c r="L10354" t="s">
        <v>13045</v>
      </c>
      <c r="M10354">
        <v>7108</v>
      </c>
      <c r="N10354" t="s">
        <v>16830</v>
      </c>
    </row>
    <row r="10355" spans="1:14">
      <c r="A10355">
        <v>64600000</v>
      </c>
      <c r="B10355">
        <v>3038682</v>
      </c>
      <c r="C10355" t="s">
        <v>148</v>
      </c>
      <c r="D10355" t="s">
        <v>441</v>
      </c>
      <c r="F10355">
        <v>0</v>
      </c>
      <c r="G10355">
        <v>15.71</v>
      </c>
      <c r="H10355" t="s">
        <v>12573</v>
      </c>
      <c r="I10355">
        <v>4</v>
      </c>
      <c r="J10355" t="s">
        <v>445</v>
      </c>
      <c r="M10355">
        <v>3349</v>
      </c>
      <c r="N10355" t="s">
        <v>16831</v>
      </c>
    </row>
    <row r="10356" spans="1:14">
      <c r="A10356">
        <v>64600008</v>
      </c>
      <c r="B10356">
        <v>3038595</v>
      </c>
      <c r="C10356" t="s">
        <v>4727</v>
      </c>
      <c r="D10356" t="s">
        <v>441</v>
      </c>
      <c r="F10356">
        <v>0</v>
      </c>
      <c r="G10356">
        <v>12.92</v>
      </c>
      <c r="H10356" t="s">
        <v>12664</v>
      </c>
      <c r="I10356">
        <v>2</v>
      </c>
      <c r="J10356" t="s">
        <v>445</v>
      </c>
      <c r="M10356">
        <v>6666</v>
      </c>
      <c r="N10356" t="s">
        <v>16832</v>
      </c>
    </row>
    <row r="10357" spans="1:14">
      <c r="A10357">
        <v>64604210</v>
      </c>
      <c r="B10357">
        <v>4025897</v>
      </c>
      <c r="C10357" t="s">
        <v>14565</v>
      </c>
      <c r="D10357" t="s">
        <v>442</v>
      </c>
      <c r="E10357" t="s">
        <v>441</v>
      </c>
      <c r="F10357">
        <v>0.3</v>
      </c>
      <c r="G10357">
        <v>6.14</v>
      </c>
      <c r="H10357" t="s">
        <v>8587</v>
      </c>
      <c r="I10357">
        <v>32</v>
      </c>
      <c r="J10357" t="s">
        <v>462</v>
      </c>
      <c r="K10357" t="s">
        <v>446</v>
      </c>
      <c r="L10357" t="s">
        <v>13046</v>
      </c>
      <c r="M10357">
        <v>7108</v>
      </c>
      <c r="N10357" t="s">
        <v>16833</v>
      </c>
    </row>
    <row r="10358" spans="1:14">
      <c r="A10358">
        <v>64604211</v>
      </c>
      <c r="B10358">
        <v>3045804</v>
      </c>
      <c r="C10358" t="s">
        <v>17612</v>
      </c>
      <c r="D10358" t="s">
        <v>442</v>
      </c>
      <c r="E10358" t="s">
        <v>441</v>
      </c>
      <c r="F10358">
        <v>0.3</v>
      </c>
      <c r="G10358">
        <v>6.25</v>
      </c>
      <c r="H10358" t="s">
        <v>8587</v>
      </c>
      <c r="I10358">
        <v>32</v>
      </c>
      <c r="J10358" t="s">
        <v>445</v>
      </c>
      <c r="L10358" t="s">
        <v>17613</v>
      </c>
      <c r="M10358">
        <v>3741</v>
      </c>
      <c r="N10358" t="s">
        <v>16833</v>
      </c>
    </row>
    <row r="10359" spans="1:14">
      <c r="A10359">
        <v>64604220</v>
      </c>
      <c r="B10359">
        <v>4028033</v>
      </c>
      <c r="C10359" t="s">
        <v>4728</v>
      </c>
      <c r="D10359" t="s">
        <v>442</v>
      </c>
      <c r="E10359" t="s">
        <v>441</v>
      </c>
      <c r="F10359">
        <v>0.3</v>
      </c>
      <c r="G10359">
        <v>5.69</v>
      </c>
      <c r="H10359" t="s">
        <v>8587</v>
      </c>
      <c r="I10359">
        <v>32</v>
      </c>
      <c r="J10359" t="s">
        <v>462</v>
      </c>
      <c r="L10359" t="s">
        <v>13047</v>
      </c>
      <c r="M10359">
        <v>7108</v>
      </c>
      <c r="N10359" t="s">
        <v>16833</v>
      </c>
    </row>
    <row r="10360" spans="1:14">
      <c r="A10360">
        <v>64610000</v>
      </c>
      <c r="B10360">
        <v>3041010</v>
      </c>
      <c r="C10360" t="s">
        <v>4729</v>
      </c>
      <c r="D10360" t="s">
        <v>441</v>
      </c>
      <c r="F10360">
        <v>0</v>
      </c>
      <c r="G10360">
        <v>16.329999999999998</v>
      </c>
      <c r="H10360" t="s">
        <v>12573</v>
      </c>
      <c r="I10360">
        <v>4</v>
      </c>
      <c r="J10360" t="s">
        <v>445</v>
      </c>
      <c r="M10360">
        <v>3349</v>
      </c>
      <c r="N10360" t="s">
        <v>16834</v>
      </c>
    </row>
    <row r="10361" spans="1:14">
      <c r="A10361">
        <v>64610008</v>
      </c>
      <c r="B10361">
        <v>3041003</v>
      </c>
      <c r="C10361" t="s">
        <v>4730</v>
      </c>
      <c r="D10361" t="s">
        <v>441</v>
      </c>
      <c r="F10361">
        <v>0</v>
      </c>
      <c r="G10361">
        <v>12.79</v>
      </c>
      <c r="H10361" t="s">
        <v>12664</v>
      </c>
      <c r="I10361">
        <v>2</v>
      </c>
      <c r="J10361" t="s">
        <v>445</v>
      </c>
      <c r="M10361">
        <v>6666</v>
      </c>
      <c r="N10361" t="s">
        <v>16835</v>
      </c>
    </row>
    <row r="10362" spans="1:14">
      <c r="A10362">
        <v>64614210</v>
      </c>
      <c r="B10362">
        <v>4027134</v>
      </c>
      <c r="C10362" t="s">
        <v>4731</v>
      </c>
      <c r="D10362" t="s">
        <v>442</v>
      </c>
      <c r="E10362" t="s">
        <v>441</v>
      </c>
      <c r="F10362">
        <v>0.48</v>
      </c>
      <c r="G10362">
        <v>10.97</v>
      </c>
      <c r="H10362" t="s">
        <v>8587</v>
      </c>
      <c r="I10362">
        <v>270</v>
      </c>
      <c r="J10362" t="s">
        <v>462</v>
      </c>
      <c r="L10362" t="s">
        <v>13048</v>
      </c>
      <c r="M10362">
        <v>7111</v>
      </c>
      <c r="N10362" t="s">
        <v>16836</v>
      </c>
    </row>
    <row r="10363" spans="1:14">
      <c r="A10363">
        <v>64614215</v>
      </c>
      <c r="B10363">
        <v>3041011</v>
      </c>
      <c r="C10363" t="s">
        <v>4732</v>
      </c>
      <c r="D10363" t="s">
        <v>442</v>
      </c>
      <c r="E10363" t="s">
        <v>441</v>
      </c>
      <c r="F10363">
        <v>0.48</v>
      </c>
      <c r="G10363">
        <v>7.05</v>
      </c>
      <c r="H10363" t="s">
        <v>8587</v>
      </c>
      <c r="I10363">
        <v>270</v>
      </c>
      <c r="J10363" t="s">
        <v>445</v>
      </c>
      <c r="L10363" t="s">
        <v>13048</v>
      </c>
      <c r="M10363">
        <v>2502</v>
      </c>
      <c r="N10363" t="s">
        <v>16836</v>
      </c>
    </row>
    <row r="10364" spans="1:14">
      <c r="A10364">
        <v>64620000</v>
      </c>
      <c r="B10364">
        <v>3040680</v>
      </c>
      <c r="C10364" t="s">
        <v>186</v>
      </c>
      <c r="D10364" t="s">
        <v>441</v>
      </c>
      <c r="F10364">
        <v>0</v>
      </c>
      <c r="G10364">
        <v>12.99</v>
      </c>
      <c r="H10364" t="s">
        <v>12573</v>
      </c>
      <c r="I10364">
        <v>4</v>
      </c>
      <c r="J10364" t="s">
        <v>445</v>
      </c>
      <c r="M10364">
        <v>3351</v>
      </c>
      <c r="N10364" t="s">
        <v>16837</v>
      </c>
    </row>
    <row r="10365" spans="1:14">
      <c r="A10365">
        <v>64624210</v>
      </c>
      <c r="B10365">
        <v>4026989</v>
      </c>
      <c r="C10365" t="s">
        <v>4733</v>
      </c>
      <c r="D10365" t="s">
        <v>442</v>
      </c>
      <c r="E10365" t="s">
        <v>441</v>
      </c>
      <c r="F10365">
        <v>0.55000000000000004</v>
      </c>
      <c r="G10365">
        <v>5.89</v>
      </c>
      <c r="H10365" t="s">
        <v>8587</v>
      </c>
      <c r="I10365">
        <v>40</v>
      </c>
      <c r="J10365" t="s">
        <v>462</v>
      </c>
      <c r="L10365" t="s">
        <v>13027</v>
      </c>
      <c r="M10365">
        <v>7108</v>
      </c>
      <c r="N10365" t="s">
        <v>16838</v>
      </c>
    </row>
    <row r="10366" spans="1:14">
      <c r="A10366">
        <v>64624220</v>
      </c>
      <c r="B10366">
        <v>4027010</v>
      </c>
      <c r="C10366" t="s">
        <v>4734</v>
      </c>
      <c r="D10366" t="s">
        <v>441</v>
      </c>
      <c r="F10366">
        <v>0</v>
      </c>
      <c r="G10366">
        <v>9.59</v>
      </c>
      <c r="H10366" t="s">
        <v>8587</v>
      </c>
      <c r="I10366">
        <v>40</v>
      </c>
      <c r="J10366" t="s">
        <v>462</v>
      </c>
      <c r="M10366">
        <v>7108</v>
      </c>
      <c r="N10366" t="s">
        <v>16838</v>
      </c>
    </row>
    <row r="10367" spans="1:14">
      <c r="A10367">
        <v>64630000</v>
      </c>
      <c r="B10367">
        <v>3041687</v>
      </c>
      <c r="C10367" t="s">
        <v>187</v>
      </c>
      <c r="D10367" t="s">
        <v>441</v>
      </c>
      <c r="F10367">
        <v>0</v>
      </c>
      <c r="G10367">
        <v>13.32</v>
      </c>
      <c r="H10367" t="s">
        <v>12573</v>
      </c>
      <c r="I10367">
        <v>4</v>
      </c>
      <c r="J10367" t="s">
        <v>445</v>
      </c>
      <c r="M10367">
        <v>3349</v>
      </c>
      <c r="N10367" t="s">
        <v>16837</v>
      </c>
    </row>
    <row r="10368" spans="1:14">
      <c r="A10368">
        <v>64630008</v>
      </c>
      <c r="B10368">
        <v>3041686</v>
      </c>
      <c r="C10368" t="s">
        <v>4735</v>
      </c>
      <c r="D10368" t="s">
        <v>441</v>
      </c>
      <c r="F10368">
        <v>0</v>
      </c>
      <c r="G10368">
        <v>11.4</v>
      </c>
      <c r="H10368" t="s">
        <v>12664</v>
      </c>
      <c r="I10368">
        <v>2</v>
      </c>
      <c r="J10368" t="s">
        <v>445</v>
      </c>
      <c r="M10368">
        <v>6666</v>
      </c>
      <c r="N10368" t="s">
        <v>16839</v>
      </c>
    </row>
    <row r="10369" spans="1:14">
      <c r="A10369">
        <v>64634210</v>
      </c>
      <c r="B10369">
        <v>4027547</v>
      </c>
      <c r="C10369" t="s">
        <v>4736</v>
      </c>
      <c r="D10369" t="s">
        <v>442</v>
      </c>
      <c r="E10369" t="s">
        <v>441</v>
      </c>
      <c r="F10369">
        <v>0.55000000000000004</v>
      </c>
      <c r="G10369">
        <v>5.93</v>
      </c>
      <c r="H10369" t="s">
        <v>8587</v>
      </c>
      <c r="I10369">
        <v>40</v>
      </c>
      <c r="J10369" t="s">
        <v>462</v>
      </c>
      <c r="K10369" t="s">
        <v>446</v>
      </c>
      <c r="M10369">
        <v>7108</v>
      </c>
      <c r="N10369" t="s">
        <v>16838</v>
      </c>
    </row>
    <row r="10370" spans="1:14">
      <c r="A10370">
        <v>64634220</v>
      </c>
      <c r="B10370">
        <v>4027546</v>
      </c>
      <c r="C10370" t="s">
        <v>4737</v>
      </c>
      <c r="D10370" t="s">
        <v>441</v>
      </c>
      <c r="F10370">
        <v>0</v>
      </c>
      <c r="G10370">
        <v>10.210000000000001</v>
      </c>
      <c r="H10370" t="s">
        <v>8587</v>
      </c>
      <c r="I10370">
        <v>40</v>
      </c>
      <c r="J10370" t="s">
        <v>462</v>
      </c>
      <c r="K10370" t="s">
        <v>446</v>
      </c>
      <c r="M10370">
        <v>7108</v>
      </c>
      <c r="N10370" t="s">
        <v>16838</v>
      </c>
    </row>
    <row r="10371" spans="1:14">
      <c r="A10371">
        <v>64634230</v>
      </c>
      <c r="B10371">
        <v>4030692</v>
      </c>
      <c r="C10371" t="s">
        <v>4634</v>
      </c>
      <c r="D10371" t="s">
        <v>442</v>
      </c>
      <c r="E10371" t="s">
        <v>441</v>
      </c>
      <c r="F10371">
        <v>0.55000000000000004</v>
      </c>
      <c r="G10371">
        <v>10.15</v>
      </c>
      <c r="H10371" t="s">
        <v>8587</v>
      </c>
      <c r="I10371">
        <v>40</v>
      </c>
      <c r="J10371" t="s">
        <v>462</v>
      </c>
      <c r="M10371">
        <v>7108</v>
      </c>
      <c r="N10371" t="s">
        <v>16838</v>
      </c>
    </row>
    <row r="10372" spans="1:14">
      <c r="A10372">
        <v>64634240</v>
      </c>
      <c r="B10372">
        <v>4030693</v>
      </c>
      <c r="C10372" t="s">
        <v>4627</v>
      </c>
      <c r="D10372" t="s">
        <v>442</v>
      </c>
      <c r="E10372" t="s">
        <v>441</v>
      </c>
      <c r="F10372">
        <v>0.55000000000000004</v>
      </c>
      <c r="G10372">
        <v>9.99</v>
      </c>
      <c r="H10372" t="s">
        <v>8587</v>
      </c>
      <c r="I10372">
        <v>40</v>
      </c>
      <c r="J10372" t="s">
        <v>462</v>
      </c>
      <c r="M10372">
        <v>7108</v>
      </c>
      <c r="N10372" t="s">
        <v>16838</v>
      </c>
    </row>
    <row r="10373" spans="1:14">
      <c r="A10373">
        <v>64640000</v>
      </c>
      <c r="B10373">
        <v>3041837</v>
      </c>
      <c r="C10373" t="s">
        <v>206</v>
      </c>
      <c r="D10373" t="s">
        <v>441</v>
      </c>
      <c r="F10373">
        <v>0</v>
      </c>
      <c r="G10373">
        <v>16.16</v>
      </c>
      <c r="H10373" t="s">
        <v>12573</v>
      </c>
      <c r="I10373">
        <v>4</v>
      </c>
      <c r="J10373" t="s">
        <v>445</v>
      </c>
      <c r="M10373">
        <v>3349</v>
      </c>
      <c r="N10373" t="s">
        <v>16840</v>
      </c>
    </row>
    <row r="10374" spans="1:14">
      <c r="A10374">
        <v>64640008</v>
      </c>
      <c r="B10374">
        <v>3041836</v>
      </c>
      <c r="C10374" t="s">
        <v>13049</v>
      </c>
      <c r="D10374" t="s">
        <v>441</v>
      </c>
      <c r="F10374">
        <v>0</v>
      </c>
      <c r="G10374">
        <v>13.28</v>
      </c>
      <c r="H10374" t="s">
        <v>12664</v>
      </c>
      <c r="I10374">
        <v>2</v>
      </c>
      <c r="J10374" t="s">
        <v>445</v>
      </c>
      <c r="M10374">
        <v>6666</v>
      </c>
      <c r="N10374" t="s">
        <v>16841</v>
      </c>
    </row>
    <row r="10375" spans="1:14">
      <c r="A10375">
        <v>64644210</v>
      </c>
      <c r="B10375">
        <v>4027655</v>
      </c>
      <c r="C10375" t="s">
        <v>13050</v>
      </c>
      <c r="D10375" t="s">
        <v>442</v>
      </c>
      <c r="E10375" t="s">
        <v>441</v>
      </c>
      <c r="F10375">
        <v>0.24</v>
      </c>
      <c r="G10375">
        <v>5.15</v>
      </c>
      <c r="H10375" t="s">
        <v>8587</v>
      </c>
      <c r="I10375">
        <v>32</v>
      </c>
      <c r="J10375" t="s">
        <v>462</v>
      </c>
      <c r="L10375" t="s">
        <v>13051</v>
      </c>
      <c r="M10375">
        <v>7108</v>
      </c>
      <c r="N10375" t="s">
        <v>16842</v>
      </c>
    </row>
    <row r="10376" spans="1:14">
      <c r="A10376">
        <v>64644211</v>
      </c>
      <c r="B10376">
        <v>3041916</v>
      </c>
      <c r="C10376" t="s">
        <v>13052</v>
      </c>
      <c r="D10376" t="s">
        <v>442</v>
      </c>
      <c r="E10376" t="s">
        <v>441</v>
      </c>
      <c r="F10376">
        <v>0.24</v>
      </c>
      <c r="G10376">
        <v>4.45</v>
      </c>
      <c r="H10376" t="s">
        <v>8587</v>
      </c>
      <c r="I10376">
        <v>32</v>
      </c>
      <c r="J10376" t="s">
        <v>445</v>
      </c>
      <c r="M10376">
        <v>3741</v>
      </c>
      <c r="N10376" t="s">
        <v>16842</v>
      </c>
    </row>
    <row r="10377" spans="1:14">
      <c r="A10377">
        <v>64644220</v>
      </c>
      <c r="B10377">
        <v>4028272</v>
      </c>
      <c r="C10377" t="s">
        <v>14566</v>
      </c>
      <c r="D10377" t="s">
        <v>442</v>
      </c>
      <c r="E10377" t="s">
        <v>441</v>
      </c>
      <c r="F10377">
        <v>0.24</v>
      </c>
      <c r="G10377">
        <v>5.0199999999999996</v>
      </c>
      <c r="H10377" t="s">
        <v>8587</v>
      </c>
      <c r="I10377">
        <v>32</v>
      </c>
      <c r="J10377" t="s">
        <v>462</v>
      </c>
      <c r="K10377" t="s">
        <v>446</v>
      </c>
      <c r="M10377">
        <v>7108</v>
      </c>
      <c r="N10377" t="s">
        <v>16842</v>
      </c>
    </row>
    <row r="10378" spans="1:14">
      <c r="A10378">
        <v>64650000</v>
      </c>
      <c r="B10378">
        <v>3041890</v>
      </c>
      <c r="C10378" t="s">
        <v>207</v>
      </c>
      <c r="D10378" t="s">
        <v>441</v>
      </c>
      <c r="F10378">
        <v>0</v>
      </c>
      <c r="G10378">
        <v>14.42</v>
      </c>
      <c r="H10378" t="s">
        <v>12573</v>
      </c>
      <c r="I10378">
        <v>4</v>
      </c>
      <c r="J10378" t="s">
        <v>445</v>
      </c>
      <c r="M10378">
        <v>3349</v>
      </c>
      <c r="N10378" t="s">
        <v>16843</v>
      </c>
    </row>
    <row r="10379" spans="1:14">
      <c r="A10379">
        <v>64650008</v>
      </c>
      <c r="B10379">
        <v>3041839</v>
      </c>
      <c r="C10379" t="s">
        <v>13053</v>
      </c>
      <c r="D10379" t="s">
        <v>441</v>
      </c>
      <c r="F10379">
        <v>0</v>
      </c>
      <c r="G10379">
        <v>11.8</v>
      </c>
      <c r="H10379" t="s">
        <v>12664</v>
      </c>
      <c r="I10379">
        <v>2</v>
      </c>
      <c r="J10379" t="s">
        <v>445</v>
      </c>
      <c r="M10379">
        <v>6666</v>
      </c>
      <c r="N10379" t="s">
        <v>16844</v>
      </c>
    </row>
    <row r="10380" spans="1:14">
      <c r="A10380">
        <v>64654210</v>
      </c>
      <c r="B10380">
        <v>4027656</v>
      </c>
      <c r="C10380" t="s">
        <v>13054</v>
      </c>
      <c r="D10380" t="s">
        <v>442</v>
      </c>
      <c r="E10380" t="s">
        <v>441</v>
      </c>
      <c r="F10380">
        <v>0.24</v>
      </c>
      <c r="G10380">
        <v>4.82</v>
      </c>
      <c r="H10380" t="s">
        <v>8587</v>
      </c>
      <c r="I10380">
        <v>32</v>
      </c>
      <c r="J10380" t="s">
        <v>462</v>
      </c>
      <c r="L10380" t="s">
        <v>13055</v>
      </c>
      <c r="M10380">
        <v>7108</v>
      </c>
      <c r="N10380" t="s">
        <v>16845</v>
      </c>
    </row>
    <row r="10381" spans="1:14">
      <c r="A10381">
        <v>64654211</v>
      </c>
      <c r="B10381">
        <v>3041934</v>
      </c>
      <c r="C10381" t="s">
        <v>13056</v>
      </c>
      <c r="D10381" t="s">
        <v>442</v>
      </c>
      <c r="E10381" t="s">
        <v>441</v>
      </c>
      <c r="F10381">
        <v>0.24</v>
      </c>
      <c r="G10381">
        <v>4.12</v>
      </c>
      <c r="H10381" t="s">
        <v>8587</v>
      </c>
      <c r="I10381">
        <v>32</v>
      </c>
      <c r="J10381" t="s">
        <v>445</v>
      </c>
      <c r="M10381">
        <v>3741</v>
      </c>
      <c r="N10381" t="s">
        <v>16845</v>
      </c>
    </row>
    <row r="10382" spans="1:14">
      <c r="A10382">
        <v>64654220</v>
      </c>
      <c r="B10382">
        <v>4028258</v>
      </c>
      <c r="C10382" t="s">
        <v>14567</v>
      </c>
      <c r="D10382" t="s">
        <v>442</v>
      </c>
      <c r="E10382" t="s">
        <v>441</v>
      </c>
      <c r="F10382">
        <v>0.24</v>
      </c>
      <c r="G10382">
        <v>4.62</v>
      </c>
      <c r="H10382" t="s">
        <v>8587</v>
      </c>
      <c r="I10382">
        <v>32</v>
      </c>
      <c r="J10382" t="s">
        <v>462</v>
      </c>
      <c r="K10382" t="s">
        <v>446</v>
      </c>
      <c r="M10382">
        <v>7108</v>
      </c>
      <c r="N10382" t="s">
        <v>16845</v>
      </c>
    </row>
    <row r="10383" spans="1:14">
      <c r="A10383">
        <v>64660000</v>
      </c>
      <c r="B10383">
        <v>3041893</v>
      </c>
      <c r="C10383" t="s">
        <v>208</v>
      </c>
      <c r="D10383" t="s">
        <v>441</v>
      </c>
      <c r="F10383">
        <v>0</v>
      </c>
      <c r="G10383">
        <v>14.23</v>
      </c>
      <c r="H10383" t="s">
        <v>12573</v>
      </c>
      <c r="I10383">
        <v>4</v>
      </c>
      <c r="J10383" t="s">
        <v>445</v>
      </c>
      <c r="M10383">
        <v>3349</v>
      </c>
      <c r="N10383" t="s">
        <v>16846</v>
      </c>
    </row>
    <row r="10384" spans="1:14">
      <c r="A10384">
        <v>64660008</v>
      </c>
      <c r="B10384">
        <v>3041892</v>
      </c>
      <c r="C10384" t="s">
        <v>13057</v>
      </c>
      <c r="D10384" t="s">
        <v>441</v>
      </c>
      <c r="F10384">
        <v>0</v>
      </c>
      <c r="G10384">
        <v>11.63</v>
      </c>
      <c r="H10384" t="s">
        <v>12664</v>
      </c>
      <c r="I10384">
        <v>2</v>
      </c>
      <c r="J10384" t="s">
        <v>445</v>
      </c>
      <c r="M10384">
        <v>6666</v>
      </c>
      <c r="N10384" t="s">
        <v>16847</v>
      </c>
    </row>
    <row r="10385" spans="1:14">
      <c r="A10385">
        <v>64664210</v>
      </c>
      <c r="B10385">
        <v>4027657</v>
      </c>
      <c r="C10385" t="s">
        <v>13058</v>
      </c>
      <c r="D10385" t="s">
        <v>442</v>
      </c>
      <c r="E10385" t="s">
        <v>441</v>
      </c>
      <c r="F10385">
        <v>0.24</v>
      </c>
      <c r="G10385">
        <v>4.62</v>
      </c>
      <c r="H10385" t="s">
        <v>8587</v>
      </c>
      <c r="I10385">
        <v>32</v>
      </c>
      <c r="J10385" t="s">
        <v>462</v>
      </c>
      <c r="L10385" t="s">
        <v>13059</v>
      </c>
      <c r="M10385">
        <v>7108</v>
      </c>
      <c r="N10385" t="s">
        <v>16848</v>
      </c>
    </row>
    <row r="10386" spans="1:14">
      <c r="A10386">
        <v>64664211</v>
      </c>
      <c r="B10386">
        <v>3045805</v>
      </c>
      <c r="C10386" t="s">
        <v>17614</v>
      </c>
      <c r="D10386" t="s">
        <v>442</v>
      </c>
      <c r="E10386" t="s">
        <v>441</v>
      </c>
      <c r="F10386">
        <v>0.3</v>
      </c>
      <c r="G10386">
        <v>5.97</v>
      </c>
      <c r="H10386" t="s">
        <v>8587</v>
      </c>
      <c r="I10386">
        <v>32</v>
      </c>
      <c r="J10386" t="s">
        <v>445</v>
      </c>
      <c r="K10386" t="s">
        <v>446</v>
      </c>
      <c r="L10386" t="s">
        <v>17615</v>
      </c>
      <c r="M10386">
        <v>3741</v>
      </c>
      <c r="N10386" t="s">
        <v>16848</v>
      </c>
    </row>
    <row r="10387" spans="1:14">
      <c r="A10387">
        <v>64664220</v>
      </c>
      <c r="B10387">
        <v>4028325</v>
      </c>
      <c r="C10387" t="s">
        <v>13060</v>
      </c>
      <c r="D10387" t="s">
        <v>442</v>
      </c>
      <c r="E10387" t="s">
        <v>441</v>
      </c>
      <c r="F10387">
        <v>0.24</v>
      </c>
      <c r="G10387">
        <v>4.68</v>
      </c>
      <c r="H10387" t="s">
        <v>8587</v>
      </c>
      <c r="I10387">
        <v>32</v>
      </c>
      <c r="J10387" t="s">
        <v>462</v>
      </c>
      <c r="L10387" t="s">
        <v>13061</v>
      </c>
      <c r="M10387">
        <v>7108</v>
      </c>
      <c r="N10387" t="s">
        <v>16848</v>
      </c>
    </row>
    <row r="10388" spans="1:14">
      <c r="A10388">
        <v>64664230</v>
      </c>
      <c r="B10388">
        <v>4028755</v>
      </c>
      <c r="C10388" t="s">
        <v>17616</v>
      </c>
      <c r="D10388" t="s">
        <v>441</v>
      </c>
      <c r="F10388">
        <v>0</v>
      </c>
      <c r="G10388">
        <v>19.21</v>
      </c>
      <c r="H10388" t="s">
        <v>8587</v>
      </c>
      <c r="I10388">
        <v>32</v>
      </c>
      <c r="J10388" t="s">
        <v>462</v>
      </c>
      <c r="K10388" t="s">
        <v>446</v>
      </c>
      <c r="M10388">
        <v>7108</v>
      </c>
      <c r="N10388" t="s">
        <v>16848</v>
      </c>
    </row>
    <row r="10389" spans="1:14">
      <c r="A10389">
        <v>64664250</v>
      </c>
      <c r="B10389">
        <v>4030683</v>
      </c>
      <c r="C10389" t="s">
        <v>17617</v>
      </c>
      <c r="D10389" t="s">
        <v>442</v>
      </c>
      <c r="E10389" t="s">
        <v>441</v>
      </c>
      <c r="F10389">
        <v>0.24</v>
      </c>
      <c r="G10389">
        <v>5.3</v>
      </c>
      <c r="H10389" t="s">
        <v>8587</v>
      </c>
      <c r="I10389">
        <v>32</v>
      </c>
      <c r="J10389" t="s">
        <v>462</v>
      </c>
      <c r="M10389">
        <v>7108</v>
      </c>
      <c r="N10389" t="s">
        <v>16848</v>
      </c>
    </row>
    <row r="10390" spans="1:14">
      <c r="A10390">
        <v>64669000</v>
      </c>
      <c r="B10390">
        <v>3043047</v>
      </c>
      <c r="C10390" t="s">
        <v>16849</v>
      </c>
      <c r="D10390" t="s">
        <v>441</v>
      </c>
      <c r="F10390">
        <v>0</v>
      </c>
      <c r="G10390">
        <v>13.8</v>
      </c>
      <c r="H10390" t="s">
        <v>12573</v>
      </c>
      <c r="I10390">
        <v>4</v>
      </c>
      <c r="J10390" t="s">
        <v>445</v>
      </c>
      <c r="M10390">
        <v>3350</v>
      </c>
      <c r="N10390" t="s">
        <v>16583</v>
      </c>
    </row>
    <row r="10391" spans="1:14">
      <c r="A10391">
        <v>64670000</v>
      </c>
      <c r="B10391">
        <v>3016611</v>
      </c>
      <c r="C10391" t="s">
        <v>4738</v>
      </c>
      <c r="D10391" t="s">
        <v>441</v>
      </c>
      <c r="F10391">
        <v>0</v>
      </c>
      <c r="G10391">
        <v>6.74</v>
      </c>
      <c r="H10391" t="s">
        <v>8580</v>
      </c>
      <c r="I10391">
        <v>6</v>
      </c>
      <c r="J10391" t="s">
        <v>445</v>
      </c>
      <c r="K10391" t="s">
        <v>446</v>
      </c>
      <c r="M10391">
        <v>3311</v>
      </c>
    </row>
    <row r="10392" spans="1:14">
      <c r="A10392">
        <v>64670008</v>
      </c>
      <c r="B10392">
        <v>3016612</v>
      </c>
      <c r="C10392" t="s">
        <v>13062</v>
      </c>
      <c r="D10392" t="s">
        <v>441</v>
      </c>
      <c r="F10392">
        <v>0</v>
      </c>
      <c r="G10392">
        <v>6.35</v>
      </c>
      <c r="H10392" t="s">
        <v>8580</v>
      </c>
      <c r="I10392">
        <v>9</v>
      </c>
      <c r="J10392" t="s">
        <v>445</v>
      </c>
      <c r="K10392" t="s">
        <v>446</v>
      </c>
      <c r="M10392">
        <v>3211</v>
      </c>
    </row>
    <row r="10393" spans="1:14">
      <c r="A10393">
        <v>64674110</v>
      </c>
      <c r="B10393">
        <v>4001086</v>
      </c>
      <c r="C10393" t="s">
        <v>13063</v>
      </c>
      <c r="D10393" t="s">
        <v>442</v>
      </c>
      <c r="E10393" t="s">
        <v>441</v>
      </c>
      <c r="F10393">
        <v>0.45</v>
      </c>
      <c r="G10393">
        <v>3.71</v>
      </c>
      <c r="H10393" t="s">
        <v>8587</v>
      </c>
      <c r="I10393">
        <v>24</v>
      </c>
      <c r="J10393" t="s">
        <v>462</v>
      </c>
      <c r="K10393" t="s">
        <v>446</v>
      </c>
      <c r="M10393">
        <v>3711</v>
      </c>
    </row>
    <row r="10394" spans="1:14">
      <c r="A10394">
        <v>64674132</v>
      </c>
      <c r="B10394">
        <v>4006580</v>
      </c>
      <c r="C10394" t="s">
        <v>13064</v>
      </c>
      <c r="D10394" t="s">
        <v>442</v>
      </c>
      <c r="E10394" t="s">
        <v>441</v>
      </c>
      <c r="F10394">
        <v>0.22500000000000001</v>
      </c>
      <c r="G10394">
        <v>2.0099999999999998</v>
      </c>
      <c r="H10394" t="s">
        <v>8587</v>
      </c>
      <c r="I10394">
        <v>548</v>
      </c>
      <c r="J10394" t="s">
        <v>462</v>
      </c>
      <c r="K10394" t="s">
        <v>446</v>
      </c>
      <c r="M10394">
        <v>2501</v>
      </c>
    </row>
    <row r="10395" spans="1:14">
      <c r="A10395">
        <v>64674142</v>
      </c>
      <c r="B10395">
        <v>4008908</v>
      </c>
      <c r="C10395" t="s">
        <v>13065</v>
      </c>
      <c r="D10395" t="s">
        <v>442</v>
      </c>
      <c r="E10395" t="s">
        <v>441</v>
      </c>
      <c r="F10395">
        <v>0.22500000000000001</v>
      </c>
      <c r="G10395">
        <v>2.2200000000000002</v>
      </c>
      <c r="H10395" t="s">
        <v>8587</v>
      </c>
      <c r="I10395">
        <v>548</v>
      </c>
      <c r="J10395" t="s">
        <v>462</v>
      </c>
      <c r="K10395" t="s">
        <v>446</v>
      </c>
      <c r="M10395">
        <v>2501</v>
      </c>
    </row>
    <row r="10396" spans="1:14">
      <c r="A10396">
        <v>64674145</v>
      </c>
      <c r="B10396">
        <v>3009644</v>
      </c>
      <c r="C10396" t="s">
        <v>13066</v>
      </c>
      <c r="D10396" t="s">
        <v>442</v>
      </c>
      <c r="E10396" t="s">
        <v>441</v>
      </c>
      <c r="F10396">
        <v>0.22500000000000001</v>
      </c>
      <c r="G10396">
        <v>2.16</v>
      </c>
      <c r="H10396" t="s">
        <v>8580</v>
      </c>
      <c r="I10396">
        <v>548</v>
      </c>
      <c r="J10396" t="s">
        <v>445</v>
      </c>
      <c r="K10396" t="s">
        <v>446</v>
      </c>
      <c r="M10396">
        <v>3711</v>
      </c>
    </row>
    <row r="10397" spans="1:14">
      <c r="A10397">
        <v>64674152</v>
      </c>
      <c r="B10397">
        <v>4008910</v>
      </c>
      <c r="C10397" t="s">
        <v>13067</v>
      </c>
      <c r="D10397" t="s">
        <v>442</v>
      </c>
      <c r="E10397" t="s">
        <v>441</v>
      </c>
      <c r="F10397">
        <v>0.9</v>
      </c>
      <c r="G10397">
        <v>7.37</v>
      </c>
      <c r="H10397" t="s">
        <v>8587</v>
      </c>
      <c r="I10397">
        <v>548</v>
      </c>
      <c r="J10397" t="s">
        <v>462</v>
      </c>
      <c r="K10397" t="s">
        <v>446</v>
      </c>
      <c r="M10397">
        <v>2501</v>
      </c>
    </row>
    <row r="10398" spans="1:14">
      <c r="A10398">
        <v>64674155</v>
      </c>
      <c r="B10398">
        <v>3009643</v>
      </c>
      <c r="C10398" t="s">
        <v>4739</v>
      </c>
      <c r="D10398" t="s">
        <v>442</v>
      </c>
      <c r="E10398" t="s">
        <v>441</v>
      </c>
      <c r="F10398">
        <v>0.9</v>
      </c>
      <c r="G10398">
        <v>7.07</v>
      </c>
      <c r="I10398">
        <v>548</v>
      </c>
      <c r="J10398" t="s">
        <v>445</v>
      </c>
      <c r="K10398" t="s">
        <v>446</v>
      </c>
      <c r="M10398">
        <v>3711</v>
      </c>
    </row>
    <row r="10399" spans="1:14">
      <c r="A10399">
        <v>64680000</v>
      </c>
      <c r="B10399">
        <v>3016613</v>
      </c>
      <c r="C10399" t="s">
        <v>4740</v>
      </c>
      <c r="D10399" t="s">
        <v>441</v>
      </c>
      <c r="F10399">
        <v>0</v>
      </c>
      <c r="G10399">
        <v>7.01</v>
      </c>
      <c r="H10399" t="s">
        <v>8580</v>
      </c>
      <c r="I10399">
        <v>6</v>
      </c>
      <c r="J10399" t="s">
        <v>445</v>
      </c>
      <c r="K10399" t="s">
        <v>446</v>
      </c>
      <c r="M10399">
        <v>3311</v>
      </c>
    </row>
    <row r="10400" spans="1:14">
      <c r="A10400">
        <v>64680008</v>
      </c>
      <c r="B10400">
        <v>3016614</v>
      </c>
      <c r="C10400" t="s">
        <v>13068</v>
      </c>
      <c r="D10400" t="s">
        <v>441</v>
      </c>
      <c r="F10400">
        <v>0</v>
      </c>
      <c r="G10400">
        <v>6.09</v>
      </c>
      <c r="H10400" t="s">
        <v>8580</v>
      </c>
      <c r="I10400">
        <v>9</v>
      </c>
      <c r="J10400" t="s">
        <v>445</v>
      </c>
      <c r="K10400" t="s">
        <v>446</v>
      </c>
      <c r="M10400">
        <v>3211</v>
      </c>
    </row>
    <row r="10401" spans="1:14">
      <c r="A10401">
        <v>64684132</v>
      </c>
      <c r="B10401">
        <v>4006581</v>
      </c>
      <c r="C10401" t="s">
        <v>13069</v>
      </c>
      <c r="D10401" t="s">
        <v>442</v>
      </c>
      <c r="E10401" t="s">
        <v>441</v>
      </c>
      <c r="F10401">
        <v>0.22500000000000001</v>
      </c>
      <c r="G10401">
        <v>2.12</v>
      </c>
      <c r="H10401" t="s">
        <v>8587</v>
      </c>
      <c r="I10401">
        <v>548</v>
      </c>
      <c r="J10401" t="s">
        <v>462</v>
      </c>
      <c r="K10401" t="s">
        <v>446</v>
      </c>
      <c r="M10401">
        <v>2501</v>
      </c>
    </row>
    <row r="10402" spans="1:14">
      <c r="A10402">
        <v>64684142</v>
      </c>
      <c r="B10402">
        <v>4008906</v>
      </c>
      <c r="C10402" t="s">
        <v>13070</v>
      </c>
      <c r="D10402" t="s">
        <v>442</v>
      </c>
      <c r="E10402" t="s">
        <v>441</v>
      </c>
      <c r="F10402">
        <v>0.22500000000000001</v>
      </c>
      <c r="G10402">
        <v>2.31</v>
      </c>
      <c r="H10402" t="s">
        <v>8587</v>
      </c>
      <c r="I10402">
        <v>548</v>
      </c>
      <c r="J10402" t="s">
        <v>462</v>
      </c>
      <c r="K10402" t="s">
        <v>446</v>
      </c>
      <c r="M10402">
        <v>2501</v>
      </c>
    </row>
    <row r="10403" spans="1:14">
      <c r="A10403">
        <v>64684145</v>
      </c>
      <c r="B10403">
        <v>3009642</v>
      </c>
      <c r="C10403" t="s">
        <v>13071</v>
      </c>
      <c r="D10403" t="s">
        <v>442</v>
      </c>
      <c r="E10403" t="s">
        <v>441</v>
      </c>
      <c r="F10403">
        <v>0.22500000000000001</v>
      </c>
      <c r="G10403">
        <v>2.25</v>
      </c>
      <c r="H10403" t="s">
        <v>8580</v>
      </c>
      <c r="I10403">
        <v>548</v>
      </c>
      <c r="J10403" t="s">
        <v>445</v>
      </c>
      <c r="K10403" t="s">
        <v>446</v>
      </c>
      <c r="M10403">
        <v>3711</v>
      </c>
    </row>
    <row r="10404" spans="1:14">
      <c r="A10404">
        <v>64684152</v>
      </c>
      <c r="B10404">
        <v>4008909</v>
      </c>
      <c r="C10404" t="s">
        <v>13072</v>
      </c>
      <c r="D10404" t="s">
        <v>442</v>
      </c>
      <c r="E10404" t="s">
        <v>441</v>
      </c>
      <c r="F10404">
        <v>0.9</v>
      </c>
      <c r="G10404">
        <v>7.84</v>
      </c>
      <c r="H10404" t="s">
        <v>8587</v>
      </c>
      <c r="I10404">
        <v>548</v>
      </c>
      <c r="J10404" t="s">
        <v>462</v>
      </c>
      <c r="K10404" t="s">
        <v>446</v>
      </c>
      <c r="M10404">
        <v>2501</v>
      </c>
    </row>
    <row r="10405" spans="1:14">
      <c r="A10405">
        <v>64684155</v>
      </c>
      <c r="B10405">
        <v>3009641</v>
      </c>
      <c r="C10405" t="s">
        <v>13073</v>
      </c>
      <c r="D10405" t="s">
        <v>442</v>
      </c>
      <c r="E10405" t="s">
        <v>441</v>
      </c>
      <c r="F10405">
        <v>0.9</v>
      </c>
      <c r="G10405">
        <v>7.54</v>
      </c>
      <c r="I10405">
        <v>548</v>
      </c>
      <c r="J10405" t="s">
        <v>445</v>
      </c>
      <c r="K10405" t="s">
        <v>446</v>
      </c>
      <c r="M10405">
        <v>3711</v>
      </c>
    </row>
    <row r="10406" spans="1:14">
      <c r="A10406">
        <v>64690000</v>
      </c>
      <c r="B10406">
        <v>3016615</v>
      </c>
      <c r="C10406" t="s">
        <v>4741</v>
      </c>
      <c r="D10406" t="s">
        <v>441</v>
      </c>
      <c r="F10406">
        <v>0</v>
      </c>
      <c r="G10406">
        <v>7.86</v>
      </c>
      <c r="H10406" t="s">
        <v>8580</v>
      </c>
      <c r="I10406">
        <v>6</v>
      </c>
      <c r="J10406" t="s">
        <v>445</v>
      </c>
      <c r="K10406" t="s">
        <v>446</v>
      </c>
      <c r="M10406">
        <v>3311</v>
      </c>
    </row>
    <row r="10407" spans="1:14">
      <c r="A10407">
        <v>64690008</v>
      </c>
      <c r="B10407">
        <v>3016616</v>
      </c>
      <c r="C10407" t="s">
        <v>13074</v>
      </c>
      <c r="D10407" t="s">
        <v>441</v>
      </c>
      <c r="F10407">
        <v>0</v>
      </c>
      <c r="G10407">
        <v>7.43</v>
      </c>
      <c r="H10407" t="s">
        <v>8580</v>
      </c>
      <c r="I10407">
        <v>9</v>
      </c>
      <c r="J10407" t="s">
        <v>445</v>
      </c>
      <c r="K10407" t="s">
        <v>446</v>
      </c>
      <c r="M10407">
        <v>3211</v>
      </c>
    </row>
    <row r="10408" spans="1:14">
      <c r="A10408">
        <v>64694110</v>
      </c>
      <c r="B10408">
        <v>4001088</v>
      </c>
      <c r="C10408" t="s">
        <v>13075</v>
      </c>
      <c r="D10408" t="s">
        <v>442</v>
      </c>
      <c r="E10408" t="s">
        <v>441</v>
      </c>
      <c r="F10408">
        <v>0.45</v>
      </c>
      <c r="G10408">
        <v>4.25</v>
      </c>
      <c r="H10408" t="s">
        <v>8587</v>
      </c>
      <c r="I10408">
        <v>24</v>
      </c>
      <c r="J10408" t="s">
        <v>462</v>
      </c>
      <c r="K10408" t="s">
        <v>446</v>
      </c>
      <c r="M10408">
        <v>3711</v>
      </c>
    </row>
    <row r="10409" spans="1:14">
      <c r="A10409">
        <v>64704210</v>
      </c>
      <c r="B10409">
        <v>4027787</v>
      </c>
      <c r="C10409" t="s">
        <v>15336</v>
      </c>
      <c r="D10409" t="s">
        <v>442</v>
      </c>
      <c r="E10409" t="s">
        <v>441</v>
      </c>
      <c r="F10409">
        <v>0.24</v>
      </c>
      <c r="G10409">
        <v>5.12</v>
      </c>
      <c r="H10409" t="s">
        <v>8587</v>
      </c>
      <c r="I10409">
        <v>32</v>
      </c>
      <c r="J10409" t="s">
        <v>462</v>
      </c>
      <c r="K10409" t="s">
        <v>446</v>
      </c>
      <c r="L10409" t="s">
        <v>13076</v>
      </c>
      <c r="M10409">
        <v>7108</v>
      </c>
      <c r="N10409" t="s">
        <v>16850</v>
      </c>
    </row>
    <row r="10410" spans="1:14">
      <c r="A10410">
        <v>64704220</v>
      </c>
      <c r="B10410">
        <v>4028152</v>
      </c>
      <c r="C10410" t="s">
        <v>15337</v>
      </c>
      <c r="D10410" t="s">
        <v>442</v>
      </c>
      <c r="E10410" t="s">
        <v>441</v>
      </c>
      <c r="F10410">
        <v>0.24</v>
      </c>
      <c r="G10410">
        <v>5.16</v>
      </c>
      <c r="H10410" t="s">
        <v>8587</v>
      </c>
      <c r="I10410">
        <v>32</v>
      </c>
      <c r="J10410" t="s">
        <v>462</v>
      </c>
      <c r="K10410" t="s">
        <v>446</v>
      </c>
      <c r="L10410" t="s">
        <v>13061</v>
      </c>
      <c r="M10410">
        <v>7108</v>
      </c>
      <c r="N10410" t="s">
        <v>16850</v>
      </c>
    </row>
    <row r="10411" spans="1:14">
      <c r="A10411">
        <v>64714210</v>
      </c>
      <c r="B10411">
        <v>4027880</v>
      </c>
      <c r="C10411" t="s">
        <v>15438</v>
      </c>
      <c r="D10411" t="s">
        <v>442</v>
      </c>
      <c r="E10411" t="s">
        <v>441</v>
      </c>
      <c r="F10411">
        <v>0.3</v>
      </c>
      <c r="G10411">
        <v>5.48</v>
      </c>
      <c r="H10411" t="s">
        <v>8587</v>
      </c>
      <c r="I10411">
        <v>32</v>
      </c>
      <c r="J10411" t="s">
        <v>462</v>
      </c>
      <c r="K10411" t="s">
        <v>446</v>
      </c>
      <c r="L10411" t="s">
        <v>13032</v>
      </c>
      <c r="M10411">
        <v>7108</v>
      </c>
      <c r="N10411" t="s">
        <v>16850</v>
      </c>
    </row>
    <row r="10412" spans="1:14">
      <c r="A10412">
        <v>64714220</v>
      </c>
      <c r="B10412">
        <v>4030362</v>
      </c>
      <c r="C10412" t="s">
        <v>17618</v>
      </c>
      <c r="D10412" t="s">
        <v>442</v>
      </c>
      <c r="E10412" t="s">
        <v>441</v>
      </c>
      <c r="F10412">
        <v>0.3</v>
      </c>
      <c r="G10412">
        <v>7.06</v>
      </c>
      <c r="H10412" t="s">
        <v>8587</v>
      </c>
      <c r="I10412">
        <v>32</v>
      </c>
      <c r="J10412" t="s">
        <v>462</v>
      </c>
      <c r="L10412" t="s">
        <v>17619</v>
      </c>
      <c r="M10412">
        <v>7108</v>
      </c>
      <c r="N10412" t="s">
        <v>16850</v>
      </c>
    </row>
    <row r="10413" spans="1:14">
      <c r="A10413">
        <v>64720000</v>
      </c>
      <c r="B10413">
        <v>3042419</v>
      </c>
      <c r="C10413" t="s">
        <v>4742</v>
      </c>
      <c r="D10413" t="s">
        <v>441</v>
      </c>
      <c r="F10413">
        <v>0</v>
      </c>
      <c r="G10413">
        <v>13.91</v>
      </c>
      <c r="H10413" t="s">
        <v>12573</v>
      </c>
      <c r="I10413">
        <v>4</v>
      </c>
      <c r="J10413" t="s">
        <v>445</v>
      </c>
      <c r="M10413">
        <v>3349</v>
      </c>
      <c r="N10413" t="s">
        <v>16851</v>
      </c>
    </row>
    <row r="10414" spans="1:14">
      <c r="A10414">
        <v>64720008</v>
      </c>
      <c r="B10414">
        <v>3042418</v>
      </c>
      <c r="C10414" t="s">
        <v>4743</v>
      </c>
      <c r="D10414" t="s">
        <v>441</v>
      </c>
      <c r="F10414">
        <v>0</v>
      </c>
      <c r="G10414">
        <v>11.39</v>
      </c>
      <c r="H10414" t="s">
        <v>12664</v>
      </c>
      <c r="I10414">
        <v>2</v>
      </c>
      <c r="J10414" t="s">
        <v>445</v>
      </c>
      <c r="M10414">
        <v>6666</v>
      </c>
      <c r="N10414" t="s">
        <v>16852</v>
      </c>
    </row>
    <row r="10415" spans="1:14">
      <c r="A10415">
        <v>64724210</v>
      </c>
      <c r="B10415">
        <v>4028020</v>
      </c>
      <c r="C10415" t="s">
        <v>14568</v>
      </c>
      <c r="D10415" t="s">
        <v>442</v>
      </c>
      <c r="E10415" t="s">
        <v>441</v>
      </c>
      <c r="F10415">
        <v>0.3</v>
      </c>
      <c r="G10415">
        <v>5.59</v>
      </c>
      <c r="H10415" t="s">
        <v>8587</v>
      </c>
      <c r="I10415">
        <v>32</v>
      </c>
      <c r="J10415" t="s">
        <v>462</v>
      </c>
      <c r="K10415" t="s">
        <v>446</v>
      </c>
      <c r="M10415">
        <v>7108</v>
      </c>
      <c r="N10415" t="s">
        <v>16853</v>
      </c>
    </row>
    <row r="10416" spans="1:14">
      <c r="A10416">
        <v>64730000</v>
      </c>
      <c r="B10416">
        <v>3042338</v>
      </c>
      <c r="C10416" t="s">
        <v>4744</v>
      </c>
      <c r="D10416" t="s">
        <v>441</v>
      </c>
      <c r="F10416">
        <v>0</v>
      </c>
      <c r="G10416">
        <v>13.91</v>
      </c>
      <c r="H10416" t="s">
        <v>12573</v>
      </c>
      <c r="I10416">
        <v>4</v>
      </c>
      <c r="J10416" t="s">
        <v>445</v>
      </c>
      <c r="M10416">
        <v>3349</v>
      </c>
      <c r="N10416" t="s">
        <v>16854</v>
      </c>
    </row>
    <row r="10417" spans="1:14">
      <c r="A10417">
        <v>64730008</v>
      </c>
      <c r="B10417">
        <v>3042337</v>
      </c>
      <c r="C10417" t="s">
        <v>252</v>
      </c>
      <c r="D10417" t="s">
        <v>441</v>
      </c>
      <c r="F10417">
        <v>0</v>
      </c>
      <c r="G10417">
        <v>11.41</v>
      </c>
      <c r="H10417" t="s">
        <v>12664</v>
      </c>
      <c r="I10417">
        <v>2</v>
      </c>
      <c r="J10417" t="s">
        <v>445</v>
      </c>
      <c r="M10417">
        <v>6666</v>
      </c>
      <c r="N10417" t="s">
        <v>16855</v>
      </c>
    </row>
    <row r="10418" spans="1:14">
      <c r="A10418">
        <v>64734210</v>
      </c>
      <c r="B10418">
        <v>4027946</v>
      </c>
      <c r="C10418" t="s">
        <v>15338</v>
      </c>
      <c r="D10418" t="s">
        <v>442</v>
      </c>
      <c r="E10418" t="s">
        <v>441</v>
      </c>
      <c r="F10418">
        <v>0.3</v>
      </c>
      <c r="G10418">
        <v>5.71</v>
      </c>
      <c r="H10418" t="s">
        <v>8587</v>
      </c>
      <c r="I10418">
        <v>22</v>
      </c>
      <c r="J10418" t="s">
        <v>462</v>
      </c>
      <c r="K10418" t="s">
        <v>446</v>
      </c>
      <c r="L10418" t="s">
        <v>13077</v>
      </c>
      <c r="M10418">
        <v>7108</v>
      </c>
      <c r="N10418" t="s">
        <v>16856</v>
      </c>
    </row>
    <row r="10419" spans="1:14">
      <c r="A10419">
        <v>64740000</v>
      </c>
      <c r="B10419">
        <v>3042938</v>
      </c>
      <c r="C10419" t="s">
        <v>13078</v>
      </c>
      <c r="D10419" t="s">
        <v>441</v>
      </c>
      <c r="F10419">
        <v>0</v>
      </c>
      <c r="G10419">
        <v>14.17</v>
      </c>
      <c r="H10419" t="s">
        <v>12573</v>
      </c>
      <c r="I10419">
        <v>4</v>
      </c>
      <c r="J10419" t="s">
        <v>445</v>
      </c>
      <c r="M10419">
        <v>3349</v>
      </c>
      <c r="N10419" t="s">
        <v>16846</v>
      </c>
    </row>
    <row r="10420" spans="1:14">
      <c r="A10420">
        <v>64740008</v>
      </c>
      <c r="B10420">
        <v>3042936</v>
      </c>
      <c r="C10420" t="s">
        <v>13079</v>
      </c>
      <c r="D10420" t="s">
        <v>441</v>
      </c>
      <c r="F10420">
        <v>0</v>
      </c>
      <c r="G10420">
        <v>11.58</v>
      </c>
      <c r="H10420" t="s">
        <v>12664</v>
      </c>
      <c r="I10420">
        <v>2</v>
      </c>
      <c r="J10420" t="s">
        <v>445</v>
      </c>
      <c r="M10420">
        <v>6666</v>
      </c>
      <c r="N10420" t="s">
        <v>16857</v>
      </c>
    </row>
    <row r="10421" spans="1:14">
      <c r="A10421">
        <v>64744210</v>
      </c>
      <c r="B10421">
        <v>4028310</v>
      </c>
      <c r="C10421" t="s">
        <v>14569</v>
      </c>
      <c r="D10421" t="s">
        <v>442</v>
      </c>
      <c r="E10421" t="s">
        <v>441</v>
      </c>
      <c r="F10421">
        <v>0.24</v>
      </c>
      <c r="G10421">
        <v>4.68</v>
      </c>
      <c r="H10421" t="s">
        <v>8587</v>
      </c>
      <c r="I10421">
        <v>32</v>
      </c>
      <c r="J10421" t="s">
        <v>462</v>
      </c>
      <c r="K10421" t="s">
        <v>446</v>
      </c>
      <c r="M10421">
        <v>7108</v>
      </c>
      <c r="N10421" t="s">
        <v>16848</v>
      </c>
    </row>
    <row r="10422" spans="1:14">
      <c r="A10422">
        <v>64784260</v>
      </c>
      <c r="B10422">
        <v>4008921</v>
      </c>
      <c r="C10422" t="s">
        <v>13080</v>
      </c>
      <c r="D10422" t="s">
        <v>442</v>
      </c>
      <c r="E10422" t="s">
        <v>441</v>
      </c>
      <c r="F10422">
        <v>0.21</v>
      </c>
      <c r="G10422">
        <v>4.54</v>
      </c>
      <c r="H10422" t="s">
        <v>8587</v>
      </c>
      <c r="I10422">
        <v>81</v>
      </c>
      <c r="J10422" t="s">
        <v>462</v>
      </c>
      <c r="K10422" t="s">
        <v>446</v>
      </c>
      <c r="M10422">
        <v>3711</v>
      </c>
    </row>
    <row r="10423" spans="1:14">
      <c r="A10423">
        <v>64784270</v>
      </c>
      <c r="B10423">
        <v>4009067</v>
      </c>
      <c r="C10423" t="s">
        <v>4745</v>
      </c>
      <c r="D10423" t="s">
        <v>441</v>
      </c>
      <c r="F10423">
        <v>0</v>
      </c>
      <c r="G10423">
        <v>17.07</v>
      </c>
      <c r="H10423" t="s">
        <v>8587</v>
      </c>
      <c r="I10423">
        <v>81</v>
      </c>
      <c r="J10423" t="s">
        <v>462</v>
      </c>
      <c r="K10423" t="s">
        <v>446</v>
      </c>
      <c r="M10423">
        <v>3711</v>
      </c>
    </row>
    <row r="10424" spans="1:14">
      <c r="A10424">
        <v>64790000</v>
      </c>
      <c r="B10424">
        <v>3044727</v>
      </c>
      <c r="C10424" t="s">
        <v>15439</v>
      </c>
      <c r="D10424" t="s">
        <v>441</v>
      </c>
      <c r="F10424">
        <v>0</v>
      </c>
      <c r="G10424">
        <v>5.77</v>
      </c>
      <c r="H10424" t="s">
        <v>12573</v>
      </c>
      <c r="I10424">
        <v>4</v>
      </c>
      <c r="J10424" t="s">
        <v>445</v>
      </c>
      <c r="M10424">
        <v>3351</v>
      </c>
      <c r="N10424" t="s">
        <v>16858</v>
      </c>
    </row>
    <row r="10425" spans="1:14">
      <c r="A10425">
        <v>64794210</v>
      </c>
      <c r="B10425">
        <v>4029608</v>
      </c>
      <c r="C10425" t="s">
        <v>15930</v>
      </c>
      <c r="D10425" t="s">
        <v>441</v>
      </c>
      <c r="F10425">
        <v>0</v>
      </c>
      <c r="G10425">
        <v>6.85</v>
      </c>
      <c r="H10425" t="s">
        <v>8587</v>
      </c>
      <c r="I10425">
        <v>43</v>
      </c>
      <c r="J10425" t="s">
        <v>462</v>
      </c>
      <c r="M10425">
        <v>7108</v>
      </c>
      <c r="N10425" t="s">
        <v>16858</v>
      </c>
    </row>
    <row r="10426" spans="1:14">
      <c r="A10426">
        <v>64794220</v>
      </c>
      <c r="B10426">
        <v>4029734</v>
      </c>
      <c r="C10426" t="s">
        <v>15604</v>
      </c>
      <c r="D10426" t="s">
        <v>441</v>
      </c>
      <c r="F10426">
        <v>0</v>
      </c>
      <c r="G10426">
        <v>6.54</v>
      </c>
      <c r="H10426" t="s">
        <v>8587</v>
      </c>
      <c r="I10426">
        <v>43</v>
      </c>
      <c r="J10426" t="s">
        <v>462</v>
      </c>
      <c r="M10426">
        <v>7108</v>
      </c>
      <c r="N10426" t="s">
        <v>16858</v>
      </c>
    </row>
    <row r="10427" spans="1:14">
      <c r="A10427">
        <v>64794230</v>
      </c>
      <c r="B10427">
        <v>4029735</v>
      </c>
      <c r="C10427" t="s">
        <v>15605</v>
      </c>
      <c r="D10427" t="s">
        <v>441</v>
      </c>
      <c r="F10427">
        <v>0</v>
      </c>
      <c r="G10427">
        <v>6.47</v>
      </c>
      <c r="H10427" t="s">
        <v>8587</v>
      </c>
      <c r="I10427">
        <v>43</v>
      </c>
      <c r="J10427" t="s">
        <v>462</v>
      </c>
      <c r="M10427">
        <v>7108</v>
      </c>
      <c r="N10427" t="s">
        <v>16858</v>
      </c>
    </row>
    <row r="10428" spans="1:14">
      <c r="A10428">
        <v>64794240</v>
      </c>
      <c r="B10428">
        <v>4029931</v>
      </c>
      <c r="C10428" t="s">
        <v>15675</v>
      </c>
      <c r="D10428" t="s">
        <v>441</v>
      </c>
      <c r="F10428">
        <v>0</v>
      </c>
      <c r="G10428">
        <v>6.55</v>
      </c>
      <c r="H10428" t="s">
        <v>8587</v>
      </c>
      <c r="I10428">
        <v>43</v>
      </c>
      <c r="J10428" t="s">
        <v>462</v>
      </c>
      <c r="M10428">
        <v>7108</v>
      </c>
      <c r="N10428" t="s">
        <v>16858</v>
      </c>
    </row>
    <row r="10429" spans="1:14">
      <c r="A10429">
        <v>64794250</v>
      </c>
      <c r="B10429">
        <v>4030089</v>
      </c>
      <c r="C10429" t="s">
        <v>15931</v>
      </c>
      <c r="D10429" t="s">
        <v>441</v>
      </c>
      <c r="F10429">
        <v>0</v>
      </c>
      <c r="G10429">
        <v>6.79</v>
      </c>
      <c r="H10429" t="s">
        <v>8587</v>
      </c>
      <c r="I10429">
        <v>43</v>
      </c>
      <c r="J10429" t="s">
        <v>462</v>
      </c>
      <c r="M10429">
        <v>7108</v>
      </c>
      <c r="N10429" t="s">
        <v>16858</v>
      </c>
    </row>
    <row r="10430" spans="1:14">
      <c r="A10430">
        <v>64794260</v>
      </c>
      <c r="B10430">
        <v>4030434</v>
      </c>
      <c r="C10430" t="s">
        <v>17620</v>
      </c>
      <c r="D10430" t="s">
        <v>441</v>
      </c>
      <c r="F10430">
        <v>0</v>
      </c>
      <c r="G10430">
        <v>6.31</v>
      </c>
      <c r="H10430" t="s">
        <v>8587</v>
      </c>
      <c r="I10430">
        <v>43</v>
      </c>
      <c r="J10430" t="s">
        <v>462</v>
      </c>
      <c r="M10430">
        <v>7108</v>
      </c>
      <c r="N10430" t="s">
        <v>16858</v>
      </c>
    </row>
    <row r="10431" spans="1:14">
      <c r="A10431">
        <v>64800000</v>
      </c>
      <c r="B10431">
        <v>3031555</v>
      </c>
      <c r="C10431" t="s">
        <v>40</v>
      </c>
      <c r="D10431" t="s">
        <v>441</v>
      </c>
      <c r="F10431">
        <v>0</v>
      </c>
      <c r="G10431">
        <v>12.39</v>
      </c>
      <c r="H10431" t="s">
        <v>12573</v>
      </c>
      <c r="I10431">
        <v>4</v>
      </c>
      <c r="J10431" t="s">
        <v>445</v>
      </c>
      <c r="M10431">
        <v>3349</v>
      </c>
      <c r="N10431" t="s">
        <v>16809</v>
      </c>
    </row>
    <row r="10432" spans="1:14">
      <c r="A10432">
        <v>64800008</v>
      </c>
      <c r="B10432">
        <v>3031556</v>
      </c>
      <c r="C10432" t="s">
        <v>4746</v>
      </c>
      <c r="D10432" t="s">
        <v>441</v>
      </c>
      <c r="F10432">
        <v>0</v>
      </c>
      <c r="G10432">
        <v>10.58</v>
      </c>
      <c r="H10432" t="s">
        <v>12664</v>
      </c>
      <c r="I10432">
        <v>2</v>
      </c>
      <c r="J10432" t="s">
        <v>445</v>
      </c>
      <c r="M10432">
        <v>6666</v>
      </c>
      <c r="N10432" t="s">
        <v>16859</v>
      </c>
    </row>
    <row r="10433" spans="1:14">
      <c r="A10433">
        <v>64804210</v>
      </c>
      <c r="B10433">
        <v>4021091</v>
      </c>
      <c r="C10433" t="s">
        <v>13081</v>
      </c>
      <c r="D10433" t="s">
        <v>442</v>
      </c>
      <c r="E10433" t="s">
        <v>441</v>
      </c>
      <c r="F10433">
        <v>0.55000000000000004</v>
      </c>
      <c r="G10433">
        <v>8.24</v>
      </c>
      <c r="H10433" t="s">
        <v>8587</v>
      </c>
      <c r="I10433">
        <v>35</v>
      </c>
      <c r="J10433" t="s">
        <v>462</v>
      </c>
      <c r="K10433" t="s">
        <v>446</v>
      </c>
      <c r="L10433" t="s">
        <v>13035</v>
      </c>
      <c r="M10433">
        <v>7108</v>
      </c>
      <c r="N10433" t="s">
        <v>16810</v>
      </c>
    </row>
    <row r="10434" spans="1:14">
      <c r="A10434">
        <v>64804220</v>
      </c>
      <c r="B10434">
        <v>4021090</v>
      </c>
      <c r="C10434" t="s">
        <v>13082</v>
      </c>
      <c r="D10434" t="s">
        <v>442</v>
      </c>
      <c r="E10434" t="s">
        <v>441</v>
      </c>
      <c r="F10434">
        <v>0.55000000000000004</v>
      </c>
      <c r="G10434">
        <v>8.2200000000000006</v>
      </c>
      <c r="H10434" t="s">
        <v>8587</v>
      </c>
      <c r="I10434">
        <v>35</v>
      </c>
      <c r="J10434" t="s">
        <v>462</v>
      </c>
      <c r="K10434" t="s">
        <v>446</v>
      </c>
      <c r="L10434" t="s">
        <v>13035</v>
      </c>
      <c r="M10434">
        <v>7108</v>
      </c>
      <c r="N10434" t="s">
        <v>16810</v>
      </c>
    </row>
    <row r="10435" spans="1:14">
      <c r="A10435">
        <v>64804230</v>
      </c>
      <c r="B10435">
        <v>4021059</v>
      </c>
      <c r="C10435" t="s">
        <v>13083</v>
      </c>
      <c r="D10435" t="s">
        <v>442</v>
      </c>
      <c r="E10435" t="s">
        <v>441</v>
      </c>
      <c r="F10435">
        <v>0.55000000000000004</v>
      </c>
      <c r="G10435">
        <v>8.25</v>
      </c>
      <c r="H10435" t="s">
        <v>8587</v>
      </c>
      <c r="I10435">
        <v>35</v>
      </c>
      <c r="J10435" t="s">
        <v>462</v>
      </c>
      <c r="K10435" t="s">
        <v>446</v>
      </c>
      <c r="L10435" t="s">
        <v>13035</v>
      </c>
      <c r="M10435">
        <v>7108</v>
      </c>
      <c r="N10435" t="s">
        <v>16810</v>
      </c>
    </row>
    <row r="10436" spans="1:14">
      <c r="A10436">
        <v>64804240</v>
      </c>
      <c r="B10436">
        <v>4021058</v>
      </c>
      <c r="C10436" t="s">
        <v>13084</v>
      </c>
      <c r="D10436" t="s">
        <v>442</v>
      </c>
      <c r="E10436" t="s">
        <v>441</v>
      </c>
      <c r="F10436">
        <v>0.55000000000000004</v>
      </c>
      <c r="G10436">
        <v>8.16</v>
      </c>
      <c r="H10436" t="s">
        <v>8587</v>
      </c>
      <c r="I10436">
        <v>35</v>
      </c>
      <c r="J10436" t="s">
        <v>462</v>
      </c>
      <c r="K10436" t="s">
        <v>446</v>
      </c>
      <c r="L10436" t="s">
        <v>13035</v>
      </c>
      <c r="M10436">
        <v>7108</v>
      </c>
      <c r="N10436" t="s">
        <v>16810</v>
      </c>
    </row>
    <row r="10437" spans="1:14">
      <c r="A10437">
        <v>64804250</v>
      </c>
      <c r="B10437">
        <v>4024388</v>
      </c>
      <c r="C10437" t="s">
        <v>4747</v>
      </c>
      <c r="D10437" t="s">
        <v>442</v>
      </c>
      <c r="E10437" t="s">
        <v>441</v>
      </c>
      <c r="F10437">
        <v>0.55000000000000004</v>
      </c>
      <c r="G10437">
        <v>5.87</v>
      </c>
      <c r="H10437" t="s">
        <v>8587</v>
      </c>
      <c r="I10437">
        <v>35</v>
      </c>
      <c r="J10437" t="s">
        <v>462</v>
      </c>
      <c r="K10437" t="s">
        <v>446</v>
      </c>
      <c r="M10437">
        <v>3711</v>
      </c>
      <c r="N10437" t="s">
        <v>16810</v>
      </c>
    </row>
    <row r="10438" spans="1:14">
      <c r="A10438">
        <v>64810000</v>
      </c>
      <c r="B10438">
        <v>3031663</v>
      </c>
      <c r="C10438" t="s">
        <v>4748</v>
      </c>
      <c r="D10438" t="s">
        <v>441</v>
      </c>
      <c r="F10438">
        <v>0</v>
      </c>
      <c r="G10438">
        <v>14.49</v>
      </c>
      <c r="H10438" t="s">
        <v>12573</v>
      </c>
      <c r="I10438">
        <v>3</v>
      </c>
      <c r="J10438" t="s">
        <v>445</v>
      </c>
      <c r="M10438">
        <v>3349</v>
      </c>
      <c r="N10438" t="s">
        <v>16860</v>
      </c>
    </row>
    <row r="10439" spans="1:14">
      <c r="A10439">
        <v>64810008</v>
      </c>
      <c r="B10439">
        <v>3031661</v>
      </c>
      <c r="C10439" t="s">
        <v>4749</v>
      </c>
      <c r="D10439" t="s">
        <v>441</v>
      </c>
      <c r="F10439">
        <v>0</v>
      </c>
      <c r="G10439">
        <v>9.81</v>
      </c>
      <c r="H10439" t="s">
        <v>12664</v>
      </c>
      <c r="I10439">
        <v>5</v>
      </c>
      <c r="J10439" t="s">
        <v>445</v>
      </c>
      <c r="M10439">
        <v>6666</v>
      </c>
      <c r="N10439" t="s">
        <v>16861</v>
      </c>
    </row>
    <row r="10440" spans="1:14">
      <c r="A10440">
        <v>64810009</v>
      </c>
      <c r="B10440">
        <v>3031662</v>
      </c>
      <c r="C10440" t="s">
        <v>4750</v>
      </c>
      <c r="D10440" t="s">
        <v>441</v>
      </c>
      <c r="F10440">
        <v>0</v>
      </c>
      <c r="G10440">
        <v>12.93</v>
      </c>
      <c r="H10440" t="s">
        <v>12573</v>
      </c>
      <c r="I10440">
        <v>6</v>
      </c>
      <c r="J10440" t="s">
        <v>445</v>
      </c>
      <c r="M10440">
        <v>3349</v>
      </c>
      <c r="N10440" t="s">
        <v>16862</v>
      </c>
    </row>
    <row r="10441" spans="1:14">
      <c r="A10441">
        <v>64814210</v>
      </c>
      <c r="B10441">
        <v>4021144</v>
      </c>
      <c r="C10441" t="s">
        <v>4751</v>
      </c>
      <c r="D10441" t="s">
        <v>442</v>
      </c>
      <c r="E10441" t="s">
        <v>441</v>
      </c>
      <c r="F10441">
        <v>0.3</v>
      </c>
      <c r="G10441">
        <v>5.17</v>
      </c>
      <c r="H10441" t="s">
        <v>8587</v>
      </c>
      <c r="I10441">
        <v>80</v>
      </c>
      <c r="J10441" t="s">
        <v>462</v>
      </c>
      <c r="K10441" t="s">
        <v>446</v>
      </c>
      <c r="L10441" t="s">
        <v>13085</v>
      </c>
      <c r="M10441">
        <v>3711</v>
      </c>
      <c r="N10441" t="s">
        <v>16860</v>
      </c>
    </row>
    <row r="10442" spans="1:14">
      <c r="A10442">
        <v>64820000</v>
      </c>
      <c r="B10442">
        <v>3031877</v>
      </c>
      <c r="C10442" t="s">
        <v>13086</v>
      </c>
      <c r="D10442" t="s">
        <v>441</v>
      </c>
      <c r="F10442">
        <v>0</v>
      </c>
      <c r="G10442">
        <v>12.56</v>
      </c>
      <c r="H10442" t="s">
        <v>12573</v>
      </c>
      <c r="I10442">
        <v>4</v>
      </c>
      <c r="J10442" t="s">
        <v>445</v>
      </c>
      <c r="M10442">
        <v>3349</v>
      </c>
      <c r="N10442" t="s">
        <v>16863</v>
      </c>
    </row>
    <row r="10443" spans="1:14">
      <c r="A10443">
        <v>64820008</v>
      </c>
      <c r="B10443">
        <v>3031878</v>
      </c>
      <c r="C10443" t="s">
        <v>13087</v>
      </c>
      <c r="D10443" t="s">
        <v>441</v>
      </c>
      <c r="F10443">
        <v>0</v>
      </c>
      <c r="G10443">
        <v>10.06</v>
      </c>
      <c r="H10443" t="s">
        <v>12664</v>
      </c>
      <c r="I10443">
        <v>2</v>
      </c>
      <c r="J10443" t="s">
        <v>445</v>
      </c>
      <c r="M10443">
        <v>6666</v>
      </c>
      <c r="N10443" t="s">
        <v>16864</v>
      </c>
    </row>
    <row r="10444" spans="1:14">
      <c r="A10444">
        <v>64824210</v>
      </c>
      <c r="B10444">
        <v>4021300</v>
      </c>
      <c r="C10444" t="s">
        <v>13088</v>
      </c>
      <c r="D10444" t="s">
        <v>442</v>
      </c>
      <c r="E10444" t="s">
        <v>441</v>
      </c>
      <c r="F10444">
        <v>0.36</v>
      </c>
      <c r="G10444">
        <v>3.64</v>
      </c>
      <c r="H10444" t="s">
        <v>8587</v>
      </c>
      <c r="I10444">
        <v>33</v>
      </c>
      <c r="J10444" t="s">
        <v>462</v>
      </c>
      <c r="K10444" t="s">
        <v>446</v>
      </c>
      <c r="L10444" t="s">
        <v>13089</v>
      </c>
      <c r="M10444">
        <v>3711</v>
      </c>
      <c r="N10444" t="s">
        <v>16865</v>
      </c>
    </row>
    <row r="10445" spans="1:14">
      <c r="A10445">
        <v>64824220</v>
      </c>
      <c r="B10445">
        <v>4025046</v>
      </c>
      <c r="C10445" t="s">
        <v>15339</v>
      </c>
      <c r="D10445" t="s">
        <v>442</v>
      </c>
      <c r="E10445" t="s">
        <v>441</v>
      </c>
      <c r="F10445">
        <v>0.3</v>
      </c>
      <c r="G10445">
        <v>4.83</v>
      </c>
      <c r="H10445" t="s">
        <v>8587</v>
      </c>
      <c r="I10445">
        <v>33</v>
      </c>
      <c r="J10445" t="s">
        <v>462</v>
      </c>
      <c r="K10445" t="s">
        <v>446</v>
      </c>
      <c r="L10445" t="s">
        <v>13090</v>
      </c>
      <c r="M10445">
        <v>7108</v>
      </c>
      <c r="N10445" t="s">
        <v>16865</v>
      </c>
    </row>
    <row r="10446" spans="1:14">
      <c r="A10446">
        <v>64830000</v>
      </c>
      <c r="B10446">
        <v>3032612</v>
      </c>
      <c r="C10446" t="s">
        <v>149</v>
      </c>
      <c r="D10446" t="s">
        <v>441</v>
      </c>
      <c r="F10446">
        <v>0</v>
      </c>
      <c r="G10446">
        <v>13.26</v>
      </c>
      <c r="H10446" t="s">
        <v>12573</v>
      </c>
      <c r="I10446">
        <v>3</v>
      </c>
      <c r="J10446" t="s">
        <v>445</v>
      </c>
      <c r="M10446">
        <v>3349</v>
      </c>
      <c r="N10446" t="s">
        <v>16866</v>
      </c>
    </row>
    <row r="10447" spans="1:14">
      <c r="A10447">
        <v>64830008</v>
      </c>
      <c r="B10447">
        <v>3032610</v>
      </c>
      <c r="C10447" t="s">
        <v>4752</v>
      </c>
      <c r="D10447" t="s">
        <v>441</v>
      </c>
      <c r="F10447">
        <v>0</v>
      </c>
      <c r="G10447">
        <v>10.46</v>
      </c>
      <c r="H10447" t="s">
        <v>12664</v>
      </c>
      <c r="I10447">
        <v>5</v>
      </c>
      <c r="J10447" t="s">
        <v>445</v>
      </c>
      <c r="M10447">
        <v>6666</v>
      </c>
      <c r="N10447" t="s">
        <v>16867</v>
      </c>
    </row>
    <row r="10448" spans="1:14">
      <c r="A10448">
        <v>64830009</v>
      </c>
      <c r="B10448">
        <v>3032611</v>
      </c>
      <c r="C10448" t="s">
        <v>4753</v>
      </c>
      <c r="D10448" t="s">
        <v>441</v>
      </c>
      <c r="F10448">
        <v>0</v>
      </c>
      <c r="G10448">
        <v>13.76</v>
      </c>
      <c r="H10448" t="s">
        <v>12573</v>
      </c>
      <c r="I10448">
        <v>6</v>
      </c>
      <c r="J10448" t="s">
        <v>445</v>
      </c>
      <c r="M10448">
        <v>3349</v>
      </c>
      <c r="N10448" t="s">
        <v>16868</v>
      </c>
    </row>
    <row r="10449" spans="1:14">
      <c r="A10449">
        <v>64834210</v>
      </c>
      <c r="B10449">
        <v>4021675</v>
      </c>
      <c r="C10449" t="s">
        <v>4754</v>
      </c>
      <c r="D10449" t="s">
        <v>442</v>
      </c>
      <c r="E10449" t="s">
        <v>441</v>
      </c>
      <c r="F10449">
        <v>0.3</v>
      </c>
      <c r="G10449">
        <v>5.18</v>
      </c>
      <c r="H10449" t="s">
        <v>8587</v>
      </c>
      <c r="I10449">
        <v>80</v>
      </c>
      <c r="J10449" t="s">
        <v>462</v>
      </c>
      <c r="K10449" t="s">
        <v>446</v>
      </c>
      <c r="L10449" t="s">
        <v>13091</v>
      </c>
      <c r="M10449">
        <v>3711</v>
      </c>
      <c r="N10449" t="s">
        <v>16866</v>
      </c>
    </row>
    <row r="10450" spans="1:14">
      <c r="A10450">
        <v>64840000</v>
      </c>
      <c r="B10450">
        <v>3018151</v>
      </c>
      <c r="C10450" t="s">
        <v>4755</v>
      </c>
      <c r="D10450" t="s">
        <v>441</v>
      </c>
      <c r="F10450">
        <v>0</v>
      </c>
      <c r="G10450">
        <v>6.75</v>
      </c>
      <c r="H10450" t="s">
        <v>8935</v>
      </c>
      <c r="I10450">
        <v>6</v>
      </c>
      <c r="J10450" t="s">
        <v>445</v>
      </c>
      <c r="K10450" t="s">
        <v>446</v>
      </c>
      <c r="M10450">
        <v>3311</v>
      </c>
    </row>
    <row r="10451" spans="1:14">
      <c r="A10451">
        <v>64840008</v>
      </c>
      <c r="B10451">
        <v>3018150</v>
      </c>
      <c r="C10451" t="s">
        <v>4756</v>
      </c>
      <c r="D10451" t="s">
        <v>441</v>
      </c>
      <c r="F10451">
        <v>0</v>
      </c>
      <c r="G10451">
        <v>6.32</v>
      </c>
      <c r="H10451" t="s">
        <v>8935</v>
      </c>
      <c r="I10451">
        <v>5</v>
      </c>
      <c r="J10451" t="s">
        <v>445</v>
      </c>
      <c r="K10451" t="s">
        <v>446</v>
      </c>
      <c r="M10451">
        <v>3211</v>
      </c>
    </row>
    <row r="10452" spans="1:14">
      <c r="A10452">
        <v>64844110</v>
      </c>
      <c r="B10452">
        <v>4001090</v>
      </c>
      <c r="C10452" t="s">
        <v>13092</v>
      </c>
      <c r="D10452" t="s">
        <v>442</v>
      </c>
      <c r="E10452" t="s">
        <v>441</v>
      </c>
      <c r="F10452">
        <v>0.45</v>
      </c>
      <c r="G10452">
        <v>3.89</v>
      </c>
      <c r="H10452" t="s">
        <v>8587</v>
      </c>
      <c r="I10452">
        <v>24</v>
      </c>
      <c r="J10452" t="s">
        <v>462</v>
      </c>
      <c r="K10452" t="s">
        <v>446</v>
      </c>
      <c r="M10452">
        <v>3711</v>
      </c>
    </row>
    <row r="10453" spans="1:14">
      <c r="A10453">
        <v>64850000</v>
      </c>
      <c r="B10453">
        <v>3032752</v>
      </c>
      <c r="C10453" t="s">
        <v>4757</v>
      </c>
      <c r="D10453" t="s">
        <v>441</v>
      </c>
      <c r="F10453">
        <v>0</v>
      </c>
      <c r="G10453">
        <v>13.26</v>
      </c>
      <c r="H10453" t="s">
        <v>12573</v>
      </c>
      <c r="I10453">
        <v>4</v>
      </c>
      <c r="J10453" t="s">
        <v>445</v>
      </c>
      <c r="M10453">
        <v>3349</v>
      </c>
      <c r="N10453" t="s">
        <v>16800</v>
      </c>
    </row>
    <row r="10454" spans="1:14">
      <c r="A10454">
        <v>64850008</v>
      </c>
      <c r="B10454">
        <v>3032750</v>
      </c>
      <c r="C10454" t="s">
        <v>4758</v>
      </c>
      <c r="D10454" t="s">
        <v>441</v>
      </c>
      <c r="F10454">
        <v>0</v>
      </c>
      <c r="G10454">
        <v>10.92</v>
      </c>
      <c r="H10454" t="s">
        <v>12664</v>
      </c>
      <c r="I10454">
        <v>5</v>
      </c>
      <c r="J10454" t="s">
        <v>445</v>
      </c>
      <c r="M10454">
        <v>6666</v>
      </c>
      <c r="N10454" t="s">
        <v>16869</v>
      </c>
    </row>
    <row r="10455" spans="1:14">
      <c r="A10455">
        <v>64854110</v>
      </c>
      <c r="B10455">
        <v>4021783</v>
      </c>
      <c r="C10455" t="s">
        <v>4759</v>
      </c>
      <c r="D10455" t="s">
        <v>441</v>
      </c>
      <c r="F10455">
        <v>0</v>
      </c>
      <c r="G10455">
        <v>14.09</v>
      </c>
      <c r="H10455" t="s">
        <v>8587</v>
      </c>
      <c r="I10455">
        <v>40</v>
      </c>
      <c r="J10455" t="s">
        <v>462</v>
      </c>
      <c r="M10455">
        <v>7108</v>
      </c>
      <c r="N10455" t="s">
        <v>16801</v>
      </c>
    </row>
    <row r="10456" spans="1:14">
      <c r="A10456">
        <v>64860000</v>
      </c>
      <c r="B10456">
        <v>3044691</v>
      </c>
      <c r="C10456" t="s">
        <v>15389</v>
      </c>
      <c r="D10456" t="s">
        <v>441</v>
      </c>
      <c r="F10456">
        <v>0</v>
      </c>
      <c r="G10456">
        <v>5.76</v>
      </c>
      <c r="H10456" t="s">
        <v>12573</v>
      </c>
      <c r="I10456">
        <v>4</v>
      </c>
      <c r="J10456" t="s">
        <v>445</v>
      </c>
      <c r="M10456">
        <v>3351</v>
      </c>
      <c r="N10456" t="s">
        <v>16870</v>
      </c>
    </row>
    <row r="10457" spans="1:14">
      <c r="A10457">
        <v>64864210</v>
      </c>
      <c r="B10457">
        <v>4029600</v>
      </c>
      <c r="C10457" t="s">
        <v>15390</v>
      </c>
      <c r="D10457" t="s">
        <v>441</v>
      </c>
      <c r="F10457">
        <v>0</v>
      </c>
      <c r="G10457">
        <v>6.72</v>
      </c>
      <c r="H10457" t="s">
        <v>8587</v>
      </c>
      <c r="I10457">
        <v>37</v>
      </c>
      <c r="J10457" t="s">
        <v>462</v>
      </c>
      <c r="L10457" t="s">
        <v>13094</v>
      </c>
      <c r="M10457">
        <v>7108</v>
      </c>
      <c r="N10457" t="s">
        <v>16871</v>
      </c>
    </row>
    <row r="10458" spans="1:14">
      <c r="A10458">
        <v>64864220</v>
      </c>
      <c r="B10458">
        <v>4029594</v>
      </c>
      <c r="C10458" t="s">
        <v>15391</v>
      </c>
      <c r="D10458" t="s">
        <v>442</v>
      </c>
      <c r="E10458" t="s">
        <v>441</v>
      </c>
      <c r="F10458">
        <v>1</v>
      </c>
      <c r="G10458">
        <v>6.75</v>
      </c>
      <c r="H10458" t="s">
        <v>8587</v>
      </c>
      <c r="I10458">
        <v>37</v>
      </c>
      <c r="J10458" t="s">
        <v>462</v>
      </c>
      <c r="M10458">
        <v>7108</v>
      </c>
      <c r="N10458" t="s">
        <v>16871</v>
      </c>
    </row>
    <row r="10459" spans="1:14">
      <c r="A10459">
        <v>64870000</v>
      </c>
      <c r="B10459">
        <v>3027860</v>
      </c>
      <c r="C10459" t="s">
        <v>4760</v>
      </c>
      <c r="D10459" t="s">
        <v>441</v>
      </c>
      <c r="F10459">
        <v>0</v>
      </c>
      <c r="G10459">
        <v>12.37</v>
      </c>
      <c r="H10459" t="s">
        <v>12573</v>
      </c>
      <c r="I10459">
        <v>4</v>
      </c>
      <c r="J10459" t="s">
        <v>445</v>
      </c>
      <c r="M10459">
        <v>3349</v>
      </c>
      <c r="N10459" t="s">
        <v>16805</v>
      </c>
    </row>
    <row r="10460" spans="1:14">
      <c r="A10460">
        <v>64870008</v>
      </c>
      <c r="B10460">
        <v>3027839</v>
      </c>
      <c r="C10460" t="s">
        <v>4761</v>
      </c>
      <c r="D10460" t="s">
        <v>441</v>
      </c>
      <c r="F10460">
        <v>0</v>
      </c>
      <c r="G10460">
        <v>10.56</v>
      </c>
      <c r="H10460" t="s">
        <v>12664</v>
      </c>
      <c r="I10460">
        <v>2</v>
      </c>
      <c r="J10460" t="s">
        <v>445</v>
      </c>
      <c r="M10460">
        <v>6666</v>
      </c>
      <c r="N10460" t="s">
        <v>16872</v>
      </c>
    </row>
    <row r="10461" spans="1:14">
      <c r="A10461">
        <v>64874210</v>
      </c>
      <c r="B10461">
        <v>4018494</v>
      </c>
      <c r="C10461" t="s">
        <v>4762</v>
      </c>
      <c r="D10461" t="s">
        <v>442</v>
      </c>
      <c r="E10461" t="s">
        <v>441</v>
      </c>
      <c r="F10461">
        <v>1.3</v>
      </c>
      <c r="G10461">
        <v>15.2</v>
      </c>
      <c r="H10461" t="s">
        <v>8587</v>
      </c>
      <c r="I10461">
        <v>35</v>
      </c>
      <c r="J10461" t="s">
        <v>462</v>
      </c>
      <c r="K10461" t="s">
        <v>446</v>
      </c>
      <c r="M10461">
        <v>3711</v>
      </c>
      <c r="N10461" t="s">
        <v>16873</v>
      </c>
    </row>
    <row r="10462" spans="1:14">
      <c r="A10462">
        <v>64874220</v>
      </c>
      <c r="B10462">
        <v>4019514</v>
      </c>
      <c r="C10462" t="s">
        <v>4763</v>
      </c>
      <c r="D10462" t="s">
        <v>441</v>
      </c>
      <c r="F10462">
        <v>0</v>
      </c>
      <c r="G10462">
        <v>8.8800000000000008</v>
      </c>
      <c r="H10462" t="s">
        <v>8587</v>
      </c>
      <c r="I10462">
        <v>35</v>
      </c>
      <c r="J10462" t="s">
        <v>462</v>
      </c>
      <c r="K10462" t="s">
        <v>446</v>
      </c>
      <c r="M10462">
        <v>3711</v>
      </c>
      <c r="N10462" t="s">
        <v>16873</v>
      </c>
    </row>
    <row r="10463" spans="1:14">
      <c r="A10463">
        <v>64874230</v>
      </c>
      <c r="B10463">
        <v>4020772</v>
      </c>
      <c r="C10463" t="s">
        <v>4764</v>
      </c>
      <c r="D10463" t="s">
        <v>441</v>
      </c>
      <c r="F10463">
        <v>0</v>
      </c>
      <c r="G10463">
        <v>10.53</v>
      </c>
      <c r="H10463" t="s">
        <v>8587</v>
      </c>
      <c r="I10463">
        <v>35</v>
      </c>
      <c r="J10463" t="s">
        <v>462</v>
      </c>
      <c r="K10463" t="s">
        <v>446</v>
      </c>
      <c r="M10463">
        <v>3711</v>
      </c>
      <c r="N10463" t="s">
        <v>16873</v>
      </c>
    </row>
    <row r="10464" spans="1:14">
      <c r="A10464">
        <v>64874240</v>
      </c>
      <c r="B10464">
        <v>4023087</v>
      </c>
      <c r="C10464" t="s">
        <v>4765</v>
      </c>
      <c r="D10464" t="s">
        <v>441</v>
      </c>
      <c r="F10464">
        <v>0</v>
      </c>
      <c r="G10464">
        <v>12.4</v>
      </c>
      <c r="H10464" t="s">
        <v>8587</v>
      </c>
      <c r="I10464">
        <v>35</v>
      </c>
      <c r="J10464" t="s">
        <v>462</v>
      </c>
      <c r="K10464" t="s">
        <v>446</v>
      </c>
      <c r="M10464">
        <v>3711</v>
      </c>
      <c r="N10464" t="s">
        <v>16874</v>
      </c>
    </row>
    <row r="10465" spans="1:14">
      <c r="A10465">
        <v>64874250</v>
      </c>
      <c r="B10465">
        <v>4023185</v>
      </c>
      <c r="C10465" t="s">
        <v>15340</v>
      </c>
      <c r="D10465" t="s">
        <v>441</v>
      </c>
      <c r="F10465">
        <v>0</v>
      </c>
      <c r="G10465">
        <v>14.13</v>
      </c>
      <c r="H10465" t="s">
        <v>8587</v>
      </c>
      <c r="I10465">
        <v>40</v>
      </c>
      <c r="J10465" t="s">
        <v>462</v>
      </c>
      <c r="K10465" t="s">
        <v>446</v>
      </c>
      <c r="M10465">
        <v>7108</v>
      </c>
      <c r="N10465" t="s">
        <v>16873</v>
      </c>
    </row>
    <row r="10466" spans="1:14">
      <c r="A10466">
        <v>64880000</v>
      </c>
      <c r="B10466">
        <v>3016617</v>
      </c>
      <c r="C10466" t="s">
        <v>4766</v>
      </c>
      <c r="D10466" t="s">
        <v>441</v>
      </c>
      <c r="F10466">
        <v>0</v>
      </c>
      <c r="G10466">
        <v>9.15</v>
      </c>
      <c r="H10466" t="s">
        <v>8580</v>
      </c>
      <c r="I10466">
        <v>6</v>
      </c>
      <c r="J10466" t="s">
        <v>445</v>
      </c>
      <c r="K10466" t="s">
        <v>446</v>
      </c>
      <c r="M10466">
        <v>3311</v>
      </c>
      <c r="N10466" t="s">
        <v>16875</v>
      </c>
    </row>
    <row r="10467" spans="1:14">
      <c r="A10467">
        <v>64880008</v>
      </c>
      <c r="B10467">
        <v>3016618</v>
      </c>
      <c r="C10467" t="s">
        <v>4767</v>
      </c>
      <c r="D10467" t="s">
        <v>441</v>
      </c>
      <c r="F10467">
        <v>0</v>
      </c>
      <c r="G10467">
        <v>7.79</v>
      </c>
      <c r="H10467" t="s">
        <v>8580</v>
      </c>
      <c r="I10467">
        <v>9</v>
      </c>
      <c r="J10467" t="s">
        <v>445</v>
      </c>
      <c r="K10467" t="s">
        <v>446</v>
      </c>
      <c r="M10467">
        <v>3211</v>
      </c>
      <c r="N10467" t="s">
        <v>16875</v>
      </c>
    </row>
    <row r="10468" spans="1:14">
      <c r="A10468">
        <v>64884110</v>
      </c>
      <c r="B10468">
        <v>4004303</v>
      </c>
      <c r="C10468" t="s">
        <v>4768</v>
      </c>
      <c r="D10468" t="s">
        <v>441</v>
      </c>
      <c r="F10468">
        <v>0</v>
      </c>
      <c r="G10468">
        <v>9.4700000000000006</v>
      </c>
      <c r="H10468" t="s">
        <v>8587</v>
      </c>
      <c r="I10468">
        <v>31</v>
      </c>
      <c r="J10468" t="s">
        <v>462</v>
      </c>
      <c r="K10468" t="s">
        <v>446</v>
      </c>
      <c r="M10468">
        <v>3711</v>
      </c>
      <c r="N10468" t="s">
        <v>16876</v>
      </c>
    </row>
    <row r="10469" spans="1:14">
      <c r="A10469">
        <v>64884120</v>
      </c>
      <c r="B10469">
        <v>4004304</v>
      </c>
      <c r="C10469" t="s">
        <v>4769</v>
      </c>
      <c r="D10469" t="s">
        <v>442</v>
      </c>
      <c r="E10469" t="s">
        <v>441</v>
      </c>
      <c r="F10469">
        <v>0.52</v>
      </c>
      <c r="G10469">
        <v>5.35</v>
      </c>
      <c r="H10469" t="s">
        <v>8587</v>
      </c>
      <c r="I10469">
        <v>31</v>
      </c>
      <c r="J10469" t="s">
        <v>462</v>
      </c>
      <c r="K10469" t="s">
        <v>446</v>
      </c>
      <c r="L10469" t="s">
        <v>13093</v>
      </c>
      <c r="M10469">
        <v>3711</v>
      </c>
      <c r="N10469" t="s">
        <v>16876</v>
      </c>
    </row>
    <row r="10470" spans="1:14">
      <c r="A10470">
        <v>64884140</v>
      </c>
      <c r="B10470">
        <v>4006041</v>
      </c>
      <c r="C10470" t="s">
        <v>4770</v>
      </c>
      <c r="D10470" t="s">
        <v>442</v>
      </c>
      <c r="E10470" t="s">
        <v>441</v>
      </c>
      <c r="F10470">
        <v>0.52</v>
      </c>
      <c r="G10470">
        <v>5.19</v>
      </c>
      <c r="H10470" t="s">
        <v>8587</v>
      </c>
      <c r="I10470">
        <v>31</v>
      </c>
      <c r="J10470" t="s">
        <v>462</v>
      </c>
      <c r="K10470" t="s">
        <v>446</v>
      </c>
      <c r="M10470">
        <v>3711</v>
      </c>
      <c r="N10470" t="s">
        <v>16876</v>
      </c>
    </row>
    <row r="10471" spans="1:14">
      <c r="A10471">
        <v>64884150</v>
      </c>
      <c r="B10471">
        <v>4018603</v>
      </c>
      <c r="C10471" t="s">
        <v>4771</v>
      </c>
      <c r="D10471" t="s">
        <v>442</v>
      </c>
      <c r="E10471" t="s">
        <v>441</v>
      </c>
      <c r="F10471">
        <v>0.52</v>
      </c>
      <c r="G10471">
        <v>5.08</v>
      </c>
      <c r="H10471" t="s">
        <v>8587</v>
      </c>
      <c r="I10471">
        <v>31</v>
      </c>
      <c r="J10471" t="s">
        <v>462</v>
      </c>
      <c r="K10471" t="s">
        <v>446</v>
      </c>
      <c r="M10471">
        <v>3711</v>
      </c>
      <c r="N10471" t="s">
        <v>16876</v>
      </c>
    </row>
    <row r="10472" spans="1:14">
      <c r="A10472">
        <v>64884220</v>
      </c>
      <c r="B10472">
        <v>4004307</v>
      </c>
      <c r="C10472" t="s">
        <v>4772</v>
      </c>
      <c r="D10472" t="s">
        <v>441</v>
      </c>
      <c r="F10472">
        <v>0</v>
      </c>
      <c r="G10472">
        <v>9.15</v>
      </c>
      <c r="H10472" t="s">
        <v>8587</v>
      </c>
      <c r="I10472">
        <v>24</v>
      </c>
      <c r="J10472" t="s">
        <v>462</v>
      </c>
      <c r="K10472" t="s">
        <v>446</v>
      </c>
      <c r="M10472">
        <v>3711</v>
      </c>
      <c r="N10472" t="s">
        <v>16876</v>
      </c>
    </row>
    <row r="10473" spans="1:14">
      <c r="A10473">
        <v>64884230</v>
      </c>
      <c r="B10473">
        <v>4018715</v>
      </c>
      <c r="C10473" t="s">
        <v>4773</v>
      </c>
      <c r="D10473" t="s">
        <v>441</v>
      </c>
      <c r="F10473">
        <v>0</v>
      </c>
      <c r="G10473">
        <v>9.23</v>
      </c>
      <c r="H10473" t="s">
        <v>8587</v>
      </c>
      <c r="I10473">
        <v>24</v>
      </c>
      <c r="J10473" t="s">
        <v>462</v>
      </c>
      <c r="K10473" t="s">
        <v>446</v>
      </c>
      <c r="M10473">
        <v>3711</v>
      </c>
      <c r="N10473" t="s">
        <v>16876</v>
      </c>
    </row>
    <row r="10474" spans="1:14">
      <c r="A10474">
        <v>64890000</v>
      </c>
      <c r="B10474">
        <v>3027565</v>
      </c>
      <c r="C10474" t="s">
        <v>4774</v>
      </c>
      <c r="D10474" t="s">
        <v>441</v>
      </c>
      <c r="F10474">
        <v>0</v>
      </c>
      <c r="G10474">
        <v>10.43</v>
      </c>
      <c r="H10474" t="s">
        <v>12573</v>
      </c>
      <c r="I10474">
        <v>6</v>
      </c>
      <c r="J10474" t="s">
        <v>445</v>
      </c>
      <c r="K10474" t="s">
        <v>446</v>
      </c>
      <c r="M10474">
        <v>3311</v>
      </c>
      <c r="N10474" t="s">
        <v>16877</v>
      </c>
    </row>
    <row r="10475" spans="1:14">
      <c r="A10475">
        <v>64890008</v>
      </c>
      <c r="B10475">
        <v>3027564</v>
      </c>
      <c r="C10475" t="s">
        <v>4775</v>
      </c>
      <c r="D10475" t="s">
        <v>441</v>
      </c>
      <c r="F10475">
        <v>0</v>
      </c>
      <c r="G10475">
        <v>9</v>
      </c>
      <c r="H10475" t="s">
        <v>12664</v>
      </c>
      <c r="I10475">
        <v>2</v>
      </c>
      <c r="J10475" t="s">
        <v>445</v>
      </c>
      <c r="K10475" t="s">
        <v>446</v>
      </c>
      <c r="M10475">
        <v>3211</v>
      </c>
      <c r="N10475" t="s">
        <v>16877</v>
      </c>
    </row>
    <row r="10476" spans="1:14">
      <c r="A10476">
        <v>64894210</v>
      </c>
      <c r="B10476">
        <v>4018280</v>
      </c>
      <c r="C10476" t="s">
        <v>4776</v>
      </c>
      <c r="D10476" t="s">
        <v>442</v>
      </c>
      <c r="E10476" t="s">
        <v>441</v>
      </c>
      <c r="F10476">
        <v>0.5</v>
      </c>
      <c r="G10476">
        <v>6.14</v>
      </c>
      <c r="H10476" t="s">
        <v>8587</v>
      </c>
      <c r="I10476">
        <v>35</v>
      </c>
      <c r="J10476" t="s">
        <v>462</v>
      </c>
      <c r="K10476" t="s">
        <v>446</v>
      </c>
      <c r="M10476">
        <v>3711</v>
      </c>
      <c r="N10476" t="s">
        <v>16877</v>
      </c>
    </row>
    <row r="10477" spans="1:14">
      <c r="A10477">
        <v>64900000</v>
      </c>
      <c r="B10477">
        <v>3027587</v>
      </c>
      <c r="C10477" t="s">
        <v>4777</v>
      </c>
      <c r="D10477" t="s">
        <v>441</v>
      </c>
      <c r="F10477">
        <v>0</v>
      </c>
      <c r="G10477">
        <v>5.83</v>
      </c>
      <c r="H10477" t="s">
        <v>12573</v>
      </c>
      <c r="I10477">
        <v>4</v>
      </c>
      <c r="J10477" t="s">
        <v>445</v>
      </c>
      <c r="M10477">
        <v>3349</v>
      </c>
      <c r="N10477" t="s">
        <v>16870</v>
      </c>
    </row>
    <row r="10478" spans="1:14">
      <c r="A10478">
        <v>64900008</v>
      </c>
      <c r="B10478">
        <v>3027585</v>
      </c>
      <c r="C10478" t="s">
        <v>4778</v>
      </c>
      <c r="D10478" t="s">
        <v>441</v>
      </c>
      <c r="F10478">
        <v>0</v>
      </c>
      <c r="G10478">
        <v>4.8899999999999997</v>
      </c>
      <c r="H10478" t="s">
        <v>12664</v>
      </c>
      <c r="I10478">
        <v>2</v>
      </c>
      <c r="J10478" t="s">
        <v>445</v>
      </c>
      <c r="M10478">
        <v>6666</v>
      </c>
      <c r="N10478" t="s">
        <v>16878</v>
      </c>
    </row>
    <row r="10479" spans="1:14">
      <c r="A10479">
        <v>64904210</v>
      </c>
      <c r="B10479">
        <v>4018283</v>
      </c>
      <c r="C10479" t="s">
        <v>17621</v>
      </c>
      <c r="D10479" t="s">
        <v>441</v>
      </c>
      <c r="F10479">
        <v>0</v>
      </c>
      <c r="G10479">
        <v>8.08</v>
      </c>
      <c r="H10479" t="s">
        <v>8587</v>
      </c>
      <c r="I10479">
        <v>34</v>
      </c>
      <c r="J10479" t="s">
        <v>462</v>
      </c>
      <c r="K10479" t="s">
        <v>446</v>
      </c>
      <c r="L10479" t="s">
        <v>13094</v>
      </c>
      <c r="M10479">
        <v>7108</v>
      </c>
      <c r="N10479" t="s">
        <v>16871</v>
      </c>
    </row>
    <row r="10480" spans="1:14">
      <c r="A10480">
        <v>64904220</v>
      </c>
      <c r="B10480">
        <v>4018284</v>
      </c>
      <c r="C10480" t="s">
        <v>15341</v>
      </c>
      <c r="D10480" t="s">
        <v>441</v>
      </c>
      <c r="F10480">
        <v>0</v>
      </c>
      <c r="G10480">
        <v>7.24</v>
      </c>
      <c r="H10480" t="s">
        <v>8587</v>
      </c>
      <c r="I10480">
        <v>34</v>
      </c>
      <c r="J10480" t="s">
        <v>462</v>
      </c>
      <c r="M10480">
        <v>7108</v>
      </c>
      <c r="N10480" t="s">
        <v>16871</v>
      </c>
    </row>
    <row r="10481" spans="1:14">
      <c r="A10481">
        <v>64904230</v>
      </c>
      <c r="B10481">
        <v>4018263</v>
      </c>
      <c r="C10481" t="s">
        <v>15535</v>
      </c>
      <c r="D10481" t="s">
        <v>442</v>
      </c>
      <c r="E10481" t="s">
        <v>441</v>
      </c>
      <c r="F10481">
        <v>1</v>
      </c>
      <c r="G10481">
        <v>8.1999999999999993</v>
      </c>
      <c r="H10481" t="s">
        <v>8587</v>
      </c>
      <c r="I10481">
        <v>34</v>
      </c>
      <c r="J10481" t="s">
        <v>462</v>
      </c>
      <c r="K10481" t="s">
        <v>446</v>
      </c>
      <c r="L10481" t="s">
        <v>13095</v>
      </c>
      <c r="M10481">
        <v>7108</v>
      </c>
      <c r="N10481" t="s">
        <v>16871</v>
      </c>
    </row>
    <row r="10482" spans="1:14">
      <c r="A10482">
        <v>64904240</v>
      </c>
      <c r="B10482">
        <v>4021483</v>
      </c>
      <c r="C10482" t="s">
        <v>4779</v>
      </c>
      <c r="D10482" t="s">
        <v>441</v>
      </c>
      <c r="F10482">
        <v>0</v>
      </c>
      <c r="G10482">
        <v>4.88</v>
      </c>
      <c r="H10482" t="s">
        <v>8587</v>
      </c>
      <c r="I10482">
        <v>34</v>
      </c>
      <c r="J10482" t="s">
        <v>462</v>
      </c>
      <c r="K10482" t="s">
        <v>446</v>
      </c>
      <c r="M10482">
        <v>3711</v>
      </c>
      <c r="N10482" t="s">
        <v>16871</v>
      </c>
    </row>
    <row r="10483" spans="1:14">
      <c r="A10483">
        <v>64909000</v>
      </c>
      <c r="B10483">
        <v>3038193</v>
      </c>
      <c r="C10483" t="s">
        <v>16879</v>
      </c>
      <c r="D10483" t="s">
        <v>441</v>
      </c>
      <c r="F10483">
        <v>0</v>
      </c>
      <c r="G10483">
        <v>3.4</v>
      </c>
      <c r="H10483" t="s">
        <v>12573</v>
      </c>
      <c r="I10483">
        <v>4</v>
      </c>
      <c r="J10483" t="s">
        <v>445</v>
      </c>
      <c r="M10483">
        <v>3350</v>
      </c>
      <c r="N10483" t="s">
        <v>16583</v>
      </c>
    </row>
    <row r="10484" spans="1:14">
      <c r="A10484">
        <v>64909002</v>
      </c>
      <c r="B10484">
        <v>3038190</v>
      </c>
      <c r="C10484" t="s">
        <v>16880</v>
      </c>
      <c r="D10484" t="s">
        <v>441</v>
      </c>
      <c r="F10484">
        <v>0</v>
      </c>
      <c r="G10484">
        <v>3.74</v>
      </c>
      <c r="H10484" t="s">
        <v>12573</v>
      </c>
      <c r="I10484">
        <v>180</v>
      </c>
      <c r="J10484" t="s">
        <v>445</v>
      </c>
      <c r="M10484">
        <v>7111</v>
      </c>
      <c r="N10484" t="s">
        <v>16585</v>
      </c>
    </row>
    <row r="10485" spans="1:14">
      <c r="A10485">
        <v>64909502</v>
      </c>
      <c r="B10485">
        <v>3038191</v>
      </c>
      <c r="C10485" t="s">
        <v>16881</v>
      </c>
      <c r="D10485" t="s">
        <v>441</v>
      </c>
      <c r="F10485">
        <v>0</v>
      </c>
      <c r="G10485">
        <v>3.62</v>
      </c>
      <c r="H10485" t="s">
        <v>12573</v>
      </c>
      <c r="I10485">
        <v>6</v>
      </c>
      <c r="J10485" t="s">
        <v>445</v>
      </c>
      <c r="M10485">
        <v>2502</v>
      </c>
      <c r="N10485" t="s">
        <v>16587</v>
      </c>
    </row>
    <row r="10486" spans="1:14">
      <c r="A10486">
        <v>64909602</v>
      </c>
      <c r="B10486">
        <v>3038192</v>
      </c>
      <c r="C10486" t="s">
        <v>16882</v>
      </c>
      <c r="D10486" t="s">
        <v>441</v>
      </c>
      <c r="F10486">
        <v>0</v>
      </c>
      <c r="G10486">
        <v>3.97</v>
      </c>
      <c r="H10486" t="s">
        <v>12573</v>
      </c>
      <c r="I10486">
        <v>2</v>
      </c>
      <c r="J10486" t="s">
        <v>445</v>
      </c>
      <c r="K10486" t="s">
        <v>446</v>
      </c>
      <c r="M10486">
        <v>2510</v>
      </c>
      <c r="N10486" t="s">
        <v>16589</v>
      </c>
    </row>
    <row r="10487" spans="1:14">
      <c r="A10487">
        <v>64910000</v>
      </c>
      <c r="B10487">
        <v>3027556</v>
      </c>
      <c r="C10487" t="s">
        <v>4780</v>
      </c>
      <c r="D10487" t="s">
        <v>441</v>
      </c>
      <c r="F10487">
        <v>0</v>
      </c>
      <c r="G10487">
        <v>4.43</v>
      </c>
      <c r="H10487" t="s">
        <v>12573</v>
      </c>
      <c r="I10487">
        <v>6</v>
      </c>
      <c r="J10487" t="s">
        <v>445</v>
      </c>
      <c r="K10487" t="s">
        <v>446</v>
      </c>
      <c r="M10487">
        <v>3311</v>
      </c>
    </row>
    <row r="10488" spans="1:14">
      <c r="A10488">
        <v>64910008</v>
      </c>
      <c r="B10488">
        <v>3011685</v>
      </c>
      <c r="C10488" t="s">
        <v>4781</v>
      </c>
      <c r="D10488" t="s">
        <v>441</v>
      </c>
      <c r="F10488">
        <v>0</v>
      </c>
      <c r="G10488">
        <v>3.68</v>
      </c>
      <c r="H10488" t="s">
        <v>8935</v>
      </c>
      <c r="I10488">
        <v>2</v>
      </c>
      <c r="J10488" t="s">
        <v>445</v>
      </c>
      <c r="K10488" t="s">
        <v>446</v>
      </c>
      <c r="M10488">
        <v>3211</v>
      </c>
    </row>
    <row r="10489" spans="1:14">
      <c r="A10489">
        <v>64920000</v>
      </c>
      <c r="B10489">
        <v>3027559</v>
      </c>
      <c r="C10489" t="s">
        <v>4782</v>
      </c>
      <c r="D10489" t="s">
        <v>441</v>
      </c>
      <c r="F10489">
        <v>0</v>
      </c>
      <c r="G10489">
        <v>6.56</v>
      </c>
      <c r="H10489" t="s">
        <v>12573</v>
      </c>
      <c r="I10489">
        <v>6</v>
      </c>
      <c r="J10489" t="s">
        <v>445</v>
      </c>
      <c r="K10489" t="s">
        <v>446</v>
      </c>
      <c r="M10489">
        <v>3311</v>
      </c>
      <c r="N10489" t="s">
        <v>16883</v>
      </c>
    </row>
    <row r="10490" spans="1:14">
      <c r="A10490">
        <v>64920008</v>
      </c>
      <c r="B10490">
        <v>3027558</v>
      </c>
      <c r="C10490" t="s">
        <v>4783</v>
      </c>
      <c r="D10490" t="s">
        <v>441</v>
      </c>
      <c r="F10490">
        <v>0</v>
      </c>
      <c r="G10490">
        <v>5.66</v>
      </c>
      <c r="H10490" t="s">
        <v>12664</v>
      </c>
      <c r="I10490">
        <v>2</v>
      </c>
      <c r="J10490" t="s">
        <v>445</v>
      </c>
      <c r="K10490" t="s">
        <v>446</v>
      </c>
      <c r="M10490">
        <v>3211</v>
      </c>
      <c r="N10490" t="s">
        <v>16883</v>
      </c>
    </row>
    <row r="10491" spans="1:14">
      <c r="A10491">
        <v>64924210</v>
      </c>
      <c r="B10491">
        <v>4018261</v>
      </c>
      <c r="C10491" t="s">
        <v>4784</v>
      </c>
      <c r="D10491" t="s">
        <v>441</v>
      </c>
      <c r="F10491">
        <v>0</v>
      </c>
      <c r="G10491">
        <v>7.46</v>
      </c>
      <c r="H10491" t="s">
        <v>8587</v>
      </c>
      <c r="I10491">
        <v>35</v>
      </c>
      <c r="J10491" t="s">
        <v>462</v>
      </c>
      <c r="K10491" t="s">
        <v>446</v>
      </c>
      <c r="M10491">
        <v>3711</v>
      </c>
      <c r="N10491" t="s">
        <v>16883</v>
      </c>
    </row>
    <row r="10492" spans="1:14">
      <c r="A10492">
        <v>64930000</v>
      </c>
      <c r="B10492">
        <v>3008410</v>
      </c>
      <c r="C10492" t="s">
        <v>4785</v>
      </c>
      <c r="D10492" t="s">
        <v>441</v>
      </c>
      <c r="F10492">
        <v>0</v>
      </c>
      <c r="G10492">
        <v>5.74</v>
      </c>
      <c r="I10492">
        <v>28</v>
      </c>
      <c r="J10492" t="s">
        <v>445</v>
      </c>
      <c r="K10492" t="s">
        <v>446</v>
      </c>
      <c r="M10492">
        <v>3311</v>
      </c>
    </row>
    <row r="10493" spans="1:14">
      <c r="A10493">
        <v>64930008</v>
      </c>
      <c r="B10493">
        <v>3008411</v>
      </c>
      <c r="C10493" t="s">
        <v>13096</v>
      </c>
      <c r="D10493" t="s">
        <v>441</v>
      </c>
      <c r="F10493">
        <v>0</v>
      </c>
      <c r="G10493">
        <v>5.1100000000000003</v>
      </c>
      <c r="I10493">
        <v>9</v>
      </c>
      <c r="J10493" t="s">
        <v>445</v>
      </c>
      <c r="K10493" t="s">
        <v>446</v>
      </c>
      <c r="M10493">
        <v>3211</v>
      </c>
    </row>
    <row r="10494" spans="1:14">
      <c r="A10494">
        <v>64940000</v>
      </c>
      <c r="B10494">
        <v>3027796</v>
      </c>
      <c r="C10494" t="s">
        <v>4786</v>
      </c>
      <c r="D10494" t="s">
        <v>441</v>
      </c>
      <c r="F10494">
        <v>0</v>
      </c>
      <c r="G10494">
        <v>7.43</v>
      </c>
      <c r="H10494" t="s">
        <v>12573</v>
      </c>
      <c r="I10494">
        <v>6</v>
      </c>
      <c r="J10494" t="s">
        <v>445</v>
      </c>
      <c r="K10494" t="s">
        <v>446</v>
      </c>
      <c r="M10494">
        <v>3311</v>
      </c>
    </row>
    <row r="10495" spans="1:14">
      <c r="A10495">
        <v>64940008</v>
      </c>
      <c r="B10495">
        <v>3027795</v>
      </c>
      <c r="C10495" t="s">
        <v>4787</v>
      </c>
      <c r="D10495" t="s">
        <v>441</v>
      </c>
      <c r="F10495">
        <v>0</v>
      </c>
      <c r="G10495">
        <v>6.33</v>
      </c>
      <c r="H10495" t="s">
        <v>12664</v>
      </c>
      <c r="I10495">
        <v>3</v>
      </c>
      <c r="J10495" t="s">
        <v>445</v>
      </c>
      <c r="K10495" t="s">
        <v>446</v>
      </c>
      <c r="M10495">
        <v>3211</v>
      </c>
    </row>
    <row r="10496" spans="1:14">
      <c r="A10496">
        <v>64944050</v>
      </c>
      <c r="B10496">
        <v>4018462</v>
      </c>
      <c r="C10496" t="s">
        <v>4788</v>
      </c>
      <c r="D10496" t="s">
        <v>441</v>
      </c>
      <c r="F10496">
        <v>0</v>
      </c>
      <c r="G10496">
        <v>8.68</v>
      </c>
      <c r="H10496" t="s">
        <v>8587</v>
      </c>
      <c r="I10496">
        <v>35</v>
      </c>
      <c r="J10496" t="s">
        <v>462</v>
      </c>
      <c r="K10496" t="s">
        <v>446</v>
      </c>
      <c r="M10496">
        <v>3711</v>
      </c>
    </row>
    <row r="10497" spans="1:14">
      <c r="A10497">
        <v>64950000</v>
      </c>
      <c r="B10497">
        <v>3046132</v>
      </c>
      <c r="C10497" t="s">
        <v>17622</v>
      </c>
      <c r="D10497" t="s">
        <v>441</v>
      </c>
      <c r="F10497">
        <v>0</v>
      </c>
      <c r="G10497">
        <v>17.170000000000002</v>
      </c>
      <c r="H10497" t="s">
        <v>12573</v>
      </c>
      <c r="I10497">
        <v>4</v>
      </c>
      <c r="J10497" t="s">
        <v>445</v>
      </c>
      <c r="M10497">
        <v>3349</v>
      </c>
      <c r="N10497" t="s">
        <v>16846</v>
      </c>
    </row>
    <row r="10498" spans="1:14">
      <c r="A10498">
        <v>64950008</v>
      </c>
      <c r="B10498">
        <v>3046130</v>
      </c>
      <c r="C10498" t="s">
        <v>17623</v>
      </c>
      <c r="D10498" t="s">
        <v>441</v>
      </c>
      <c r="F10498">
        <v>0</v>
      </c>
      <c r="G10498">
        <v>14.11</v>
      </c>
      <c r="H10498" t="s">
        <v>12664</v>
      </c>
      <c r="I10498">
        <v>2</v>
      </c>
      <c r="J10498" t="s">
        <v>445</v>
      </c>
      <c r="M10498">
        <v>6666</v>
      </c>
    </row>
    <row r="10499" spans="1:14">
      <c r="A10499">
        <v>64954211</v>
      </c>
      <c r="B10499">
        <v>3046152</v>
      </c>
      <c r="C10499" t="s">
        <v>17624</v>
      </c>
      <c r="D10499" t="s">
        <v>442</v>
      </c>
      <c r="E10499" t="s">
        <v>441</v>
      </c>
      <c r="F10499">
        <v>0.3</v>
      </c>
      <c r="G10499">
        <v>5.97</v>
      </c>
      <c r="H10499" t="s">
        <v>8587</v>
      </c>
      <c r="I10499">
        <v>32</v>
      </c>
      <c r="J10499" t="s">
        <v>445</v>
      </c>
      <c r="M10499">
        <v>3741</v>
      </c>
      <c r="N10499" t="s">
        <v>16848</v>
      </c>
    </row>
    <row r="10500" spans="1:14">
      <c r="A10500">
        <v>64960000</v>
      </c>
      <c r="B10500">
        <v>3013004</v>
      </c>
      <c r="C10500" t="s">
        <v>4789</v>
      </c>
      <c r="D10500" t="s">
        <v>441</v>
      </c>
      <c r="F10500">
        <v>0</v>
      </c>
      <c r="G10500">
        <v>15.53</v>
      </c>
      <c r="H10500" t="s">
        <v>12573</v>
      </c>
      <c r="I10500">
        <v>4</v>
      </c>
      <c r="J10500" t="s">
        <v>445</v>
      </c>
      <c r="M10500">
        <v>3349</v>
      </c>
      <c r="N10500" t="s">
        <v>16884</v>
      </c>
    </row>
    <row r="10501" spans="1:14">
      <c r="A10501">
        <v>64960008</v>
      </c>
      <c r="B10501">
        <v>3013284</v>
      </c>
      <c r="C10501" t="s">
        <v>4790</v>
      </c>
      <c r="D10501" t="s">
        <v>441</v>
      </c>
      <c r="F10501">
        <v>0</v>
      </c>
      <c r="G10501">
        <v>12.87</v>
      </c>
      <c r="H10501" t="s">
        <v>12664</v>
      </c>
      <c r="I10501">
        <v>12</v>
      </c>
      <c r="J10501" t="s">
        <v>445</v>
      </c>
      <c r="M10501">
        <v>6666</v>
      </c>
      <c r="N10501" t="s">
        <v>16885</v>
      </c>
    </row>
    <row r="10502" spans="1:14">
      <c r="A10502">
        <v>64964210</v>
      </c>
      <c r="B10502">
        <v>4018470</v>
      </c>
      <c r="C10502" t="s">
        <v>4791</v>
      </c>
      <c r="D10502" t="s">
        <v>442</v>
      </c>
      <c r="E10502" t="s">
        <v>441</v>
      </c>
      <c r="F10502">
        <v>0.3</v>
      </c>
      <c r="G10502">
        <v>4.34</v>
      </c>
      <c r="H10502" t="s">
        <v>8587</v>
      </c>
      <c r="I10502">
        <v>34</v>
      </c>
      <c r="J10502" t="s">
        <v>462</v>
      </c>
      <c r="K10502" t="s">
        <v>446</v>
      </c>
      <c r="L10502" t="s">
        <v>13097</v>
      </c>
      <c r="M10502">
        <v>3711</v>
      </c>
      <c r="N10502" t="s">
        <v>16886</v>
      </c>
    </row>
    <row r="10503" spans="1:14">
      <c r="A10503">
        <v>64964220</v>
      </c>
      <c r="B10503">
        <v>4019751</v>
      </c>
      <c r="C10503" t="s">
        <v>4792</v>
      </c>
      <c r="D10503" t="s">
        <v>441</v>
      </c>
      <c r="F10503">
        <v>0</v>
      </c>
      <c r="G10503">
        <v>10.5</v>
      </c>
      <c r="H10503" t="s">
        <v>8587</v>
      </c>
      <c r="I10503">
        <v>34</v>
      </c>
      <c r="J10503" t="s">
        <v>462</v>
      </c>
      <c r="K10503" t="s">
        <v>446</v>
      </c>
      <c r="M10503">
        <v>3711</v>
      </c>
      <c r="N10503" t="s">
        <v>16886</v>
      </c>
    </row>
    <row r="10504" spans="1:14">
      <c r="A10504">
        <v>64964230</v>
      </c>
      <c r="B10504">
        <v>4019757</v>
      </c>
      <c r="C10504" t="s">
        <v>4793</v>
      </c>
      <c r="D10504" t="s">
        <v>442</v>
      </c>
      <c r="E10504" t="s">
        <v>441</v>
      </c>
      <c r="F10504">
        <v>0.35</v>
      </c>
      <c r="G10504">
        <v>5</v>
      </c>
      <c r="H10504" t="s">
        <v>8587</v>
      </c>
      <c r="I10504">
        <v>34</v>
      </c>
      <c r="J10504" t="s">
        <v>462</v>
      </c>
      <c r="K10504" t="s">
        <v>446</v>
      </c>
      <c r="M10504">
        <v>3711</v>
      </c>
      <c r="N10504" t="s">
        <v>16886</v>
      </c>
    </row>
    <row r="10505" spans="1:14">
      <c r="A10505">
        <v>64964240</v>
      </c>
      <c r="B10505">
        <v>4020137</v>
      </c>
      <c r="C10505" t="s">
        <v>4794</v>
      </c>
      <c r="D10505" t="s">
        <v>442</v>
      </c>
      <c r="E10505" t="s">
        <v>441</v>
      </c>
      <c r="F10505">
        <v>0.22</v>
      </c>
      <c r="G10505">
        <v>2.89</v>
      </c>
      <c r="H10505" t="s">
        <v>8587</v>
      </c>
      <c r="I10505">
        <v>34</v>
      </c>
      <c r="J10505" t="s">
        <v>462</v>
      </c>
      <c r="K10505" t="s">
        <v>446</v>
      </c>
      <c r="L10505" t="s">
        <v>13098</v>
      </c>
      <c r="M10505">
        <v>3711</v>
      </c>
      <c r="N10505" t="s">
        <v>16886</v>
      </c>
    </row>
    <row r="10506" spans="1:14">
      <c r="A10506">
        <v>64964250</v>
      </c>
      <c r="B10506">
        <v>4020214</v>
      </c>
      <c r="C10506" t="s">
        <v>4795</v>
      </c>
      <c r="D10506" t="s">
        <v>441</v>
      </c>
      <c r="F10506">
        <v>0</v>
      </c>
      <c r="G10506">
        <v>10.77</v>
      </c>
      <c r="H10506" t="s">
        <v>8587</v>
      </c>
      <c r="I10506">
        <v>34</v>
      </c>
      <c r="J10506" t="s">
        <v>462</v>
      </c>
      <c r="K10506" t="s">
        <v>446</v>
      </c>
      <c r="M10506">
        <v>3711</v>
      </c>
      <c r="N10506" t="s">
        <v>16886</v>
      </c>
    </row>
    <row r="10507" spans="1:14">
      <c r="A10507">
        <v>64964260</v>
      </c>
      <c r="B10507">
        <v>4023792</v>
      </c>
      <c r="C10507" t="s">
        <v>4796</v>
      </c>
      <c r="D10507" t="s">
        <v>441</v>
      </c>
      <c r="F10507">
        <v>0</v>
      </c>
      <c r="G10507">
        <v>15.74</v>
      </c>
      <c r="H10507" t="s">
        <v>8587</v>
      </c>
      <c r="I10507">
        <v>34</v>
      </c>
      <c r="J10507" t="s">
        <v>462</v>
      </c>
      <c r="L10507" t="s">
        <v>4797</v>
      </c>
      <c r="M10507">
        <v>7108</v>
      </c>
      <c r="N10507" t="s">
        <v>16886</v>
      </c>
    </row>
    <row r="10508" spans="1:14">
      <c r="A10508">
        <v>64964270</v>
      </c>
      <c r="B10508">
        <v>4023793</v>
      </c>
      <c r="C10508" t="s">
        <v>4798</v>
      </c>
      <c r="D10508" t="s">
        <v>442</v>
      </c>
      <c r="E10508" t="s">
        <v>441</v>
      </c>
      <c r="F10508">
        <v>0.24</v>
      </c>
      <c r="G10508">
        <v>4.71</v>
      </c>
      <c r="H10508" t="s">
        <v>8587</v>
      </c>
      <c r="I10508">
        <v>34</v>
      </c>
      <c r="J10508" t="s">
        <v>462</v>
      </c>
      <c r="L10508" t="s">
        <v>13099</v>
      </c>
      <c r="M10508">
        <v>7108</v>
      </c>
      <c r="N10508" t="s">
        <v>16886</v>
      </c>
    </row>
    <row r="10509" spans="1:14">
      <c r="A10509">
        <v>64964280</v>
      </c>
      <c r="B10509">
        <v>4023812</v>
      </c>
      <c r="C10509" t="s">
        <v>4799</v>
      </c>
      <c r="D10509" t="s">
        <v>441</v>
      </c>
      <c r="F10509">
        <v>0</v>
      </c>
      <c r="G10509">
        <v>11.86</v>
      </c>
      <c r="H10509" t="s">
        <v>8587</v>
      </c>
      <c r="I10509">
        <v>34</v>
      </c>
      <c r="J10509" t="s">
        <v>462</v>
      </c>
      <c r="K10509" t="s">
        <v>446</v>
      </c>
      <c r="M10509">
        <v>3711</v>
      </c>
      <c r="N10509" t="s">
        <v>16886</v>
      </c>
    </row>
    <row r="10510" spans="1:14">
      <c r="A10510">
        <v>64964290</v>
      </c>
      <c r="B10510">
        <v>4023813</v>
      </c>
      <c r="C10510" t="s">
        <v>4800</v>
      </c>
      <c r="D10510" t="s">
        <v>442</v>
      </c>
      <c r="E10510" t="s">
        <v>441</v>
      </c>
      <c r="F10510">
        <v>0.24</v>
      </c>
      <c r="G10510">
        <v>3.72</v>
      </c>
      <c r="H10510" t="s">
        <v>8587</v>
      </c>
      <c r="I10510">
        <v>34</v>
      </c>
      <c r="J10510" t="s">
        <v>462</v>
      </c>
      <c r="K10510" t="s">
        <v>446</v>
      </c>
      <c r="M10510">
        <v>3711</v>
      </c>
      <c r="N10510" t="s">
        <v>16886</v>
      </c>
    </row>
    <row r="10511" spans="1:14">
      <c r="A10511">
        <v>64966210</v>
      </c>
      <c r="B10511">
        <v>4023860</v>
      </c>
      <c r="C10511" t="s">
        <v>15342</v>
      </c>
      <c r="D10511" t="s">
        <v>442</v>
      </c>
      <c r="E10511" t="s">
        <v>441</v>
      </c>
      <c r="F10511">
        <v>0.24</v>
      </c>
      <c r="G10511">
        <v>5.12</v>
      </c>
      <c r="H10511" t="s">
        <v>8587</v>
      </c>
      <c r="I10511">
        <v>34</v>
      </c>
      <c r="J10511" t="s">
        <v>462</v>
      </c>
      <c r="K10511" t="s">
        <v>446</v>
      </c>
      <c r="L10511" t="s">
        <v>13100</v>
      </c>
      <c r="M10511">
        <v>7108</v>
      </c>
      <c r="N10511" t="s">
        <v>16886</v>
      </c>
    </row>
    <row r="10512" spans="1:14">
      <c r="A10512">
        <v>64966220</v>
      </c>
      <c r="B10512">
        <v>4024376</v>
      </c>
      <c r="C10512" t="s">
        <v>4801</v>
      </c>
      <c r="D10512" t="s">
        <v>441</v>
      </c>
      <c r="F10512">
        <v>0</v>
      </c>
      <c r="G10512">
        <v>16.420000000000002</v>
      </c>
      <c r="H10512" t="s">
        <v>8587</v>
      </c>
      <c r="I10512">
        <v>34</v>
      </c>
      <c r="J10512" t="s">
        <v>462</v>
      </c>
      <c r="M10512">
        <v>7108</v>
      </c>
      <c r="N10512" t="s">
        <v>16886</v>
      </c>
    </row>
    <row r="10513" spans="1:14">
      <c r="A10513">
        <v>64966230</v>
      </c>
      <c r="B10513">
        <v>4025267</v>
      </c>
      <c r="C10513" t="s">
        <v>4802</v>
      </c>
      <c r="D10513" t="s">
        <v>441</v>
      </c>
      <c r="F10513">
        <v>0</v>
      </c>
      <c r="G10513">
        <v>16.78</v>
      </c>
      <c r="H10513" t="s">
        <v>8587</v>
      </c>
      <c r="I10513">
        <v>34</v>
      </c>
      <c r="J10513" t="s">
        <v>462</v>
      </c>
      <c r="M10513">
        <v>7108</v>
      </c>
      <c r="N10513" t="s">
        <v>16886</v>
      </c>
    </row>
    <row r="10514" spans="1:14">
      <c r="A10514">
        <v>64966240</v>
      </c>
      <c r="B10514">
        <v>4026058</v>
      </c>
      <c r="C10514" t="s">
        <v>4803</v>
      </c>
      <c r="D10514" t="s">
        <v>442</v>
      </c>
      <c r="E10514" t="s">
        <v>441</v>
      </c>
      <c r="F10514">
        <v>0.24</v>
      </c>
      <c r="G10514">
        <v>3.65</v>
      </c>
      <c r="H10514" t="s">
        <v>8587</v>
      </c>
      <c r="I10514">
        <v>34</v>
      </c>
      <c r="J10514" t="s">
        <v>462</v>
      </c>
      <c r="L10514" t="s">
        <v>13099</v>
      </c>
      <c r="M10514">
        <v>7108</v>
      </c>
      <c r="N10514" t="s">
        <v>16886</v>
      </c>
    </row>
    <row r="10515" spans="1:14">
      <c r="A10515">
        <v>64969000</v>
      </c>
      <c r="B10515">
        <v>3039147</v>
      </c>
      <c r="C10515" t="s">
        <v>16887</v>
      </c>
      <c r="D10515" t="s">
        <v>441</v>
      </c>
      <c r="F10515">
        <v>0</v>
      </c>
      <c r="G10515">
        <v>11.8</v>
      </c>
      <c r="H10515" t="s">
        <v>12573</v>
      </c>
      <c r="I10515">
        <v>4</v>
      </c>
      <c r="J10515" t="s">
        <v>445</v>
      </c>
      <c r="K10515" t="s">
        <v>446</v>
      </c>
      <c r="M10515">
        <v>3350</v>
      </c>
      <c r="N10515" t="s">
        <v>16583</v>
      </c>
    </row>
    <row r="10516" spans="1:14">
      <c r="A10516">
        <v>64970000</v>
      </c>
      <c r="B10516">
        <v>3027949</v>
      </c>
      <c r="C10516" t="s">
        <v>4804</v>
      </c>
      <c r="D10516" t="s">
        <v>441</v>
      </c>
      <c r="F10516">
        <v>0</v>
      </c>
      <c r="G10516">
        <v>6.43</v>
      </c>
      <c r="H10516" t="s">
        <v>12573</v>
      </c>
      <c r="I10516">
        <v>4</v>
      </c>
      <c r="J10516" t="s">
        <v>445</v>
      </c>
      <c r="K10516" t="s">
        <v>446</v>
      </c>
      <c r="M10516">
        <v>3311</v>
      </c>
      <c r="N10516" t="s">
        <v>16888</v>
      </c>
    </row>
    <row r="10517" spans="1:14">
      <c r="A10517">
        <v>64970008</v>
      </c>
      <c r="B10517">
        <v>3027948</v>
      </c>
      <c r="C10517" t="s">
        <v>4805</v>
      </c>
      <c r="D10517" t="s">
        <v>441</v>
      </c>
      <c r="F10517">
        <v>0</v>
      </c>
      <c r="G10517">
        <v>5.51</v>
      </c>
      <c r="H10517" t="s">
        <v>12664</v>
      </c>
      <c r="I10517">
        <v>2</v>
      </c>
      <c r="J10517" t="s">
        <v>445</v>
      </c>
      <c r="K10517" t="s">
        <v>446</v>
      </c>
      <c r="M10517">
        <v>3211</v>
      </c>
      <c r="N10517" t="s">
        <v>16889</v>
      </c>
    </row>
    <row r="10518" spans="1:14">
      <c r="A10518">
        <v>64974210</v>
      </c>
      <c r="B10518">
        <v>4018591</v>
      </c>
      <c r="C10518" t="s">
        <v>4806</v>
      </c>
      <c r="D10518" t="s">
        <v>442</v>
      </c>
      <c r="E10518" t="s">
        <v>441</v>
      </c>
      <c r="F10518">
        <v>0.54</v>
      </c>
      <c r="G10518">
        <v>4.42</v>
      </c>
      <c r="H10518" t="s">
        <v>8587</v>
      </c>
      <c r="I10518">
        <v>35</v>
      </c>
      <c r="J10518" t="s">
        <v>462</v>
      </c>
      <c r="K10518" t="s">
        <v>446</v>
      </c>
      <c r="L10518" t="s">
        <v>13101</v>
      </c>
      <c r="M10518">
        <v>3711</v>
      </c>
      <c r="N10518" t="s">
        <v>16888</v>
      </c>
    </row>
    <row r="10519" spans="1:14">
      <c r="A10519">
        <v>64974220</v>
      </c>
      <c r="B10519">
        <v>4018592</v>
      </c>
      <c r="C10519" t="s">
        <v>4807</v>
      </c>
      <c r="D10519" t="s">
        <v>442</v>
      </c>
      <c r="E10519" t="s">
        <v>441</v>
      </c>
      <c r="F10519">
        <v>0.27</v>
      </c>
      <c r="G10519">
        <v>2.31</v>
      </c>
      <c r="H10519" t="s">
        <v>8587</v>
      </c>
      <c r="I10519">
        <v>35</v>
      </c>
      <c r="J10519" t="s">
        <v>462</v>
      </c>
      <c r="K10519" t="s">
        <v>446</v>
      </c>
      <c r="L10519" t="s">
        <v>13102</v>
      </c>
      <c r="M10519">
        <v>3711</v>
      </c>
      <c r="N10519" t="s">
        <v>16888</v>
      </c>
    </row>
    <row r="10520" spans="1:14">
      <c r="A10520">
        <v>64974230</v>
      </c>
      <c r="B10520">
        <v>4019069</v>
      </c>
      <c r="C10520" t="s">
        <v>4808</v>
      </c>
      <c r="D10520" t="s">
        <v>442</v>
      </c>
      <c r="E10520" t="s">
        <v>441</v>
      </c>
      <c r="F10520">
        <v>0.54</v>
      </c>
      <c r="G10520">
        <v>4.45</v>
      </c>
      <c r="H10520" t="s">
        <v>8587</v>
      </c>
      <c r="I10520">
        <v>35</v>
      </c>
      <c r="J10520" t="s">
        <v>462</v>
      </c>
      <c r="K10520" t="s">
        <v>446</v>
      </c>
      <c r="L10520" t="s">
        <v>13101</v>
      </c>
      <c r="M10520">
        <v>3711</v>
      </c>
      <c r="N10520" t="s">
        <v>16888</v>
      </c>
    </row>
    <row r="10521" spans="1:14">
      <c r="A10521">
        <v>64980000</v>
      </c>
      <c r="B10521">
        <v>3027993</v>
      </c>
      <c r="C10521" t="s">
        <v>4809</v>
      </c>
      <c r="D10521" t="s">
        <v>441</v>
      </c>
      <c r="F10521">
        <v>0</v>
      </c>
      <c r="G10521">
        <v>6.14</v>
      </c>
      <c r="H10521" t="s">
        <v>12573</v>
      </c>
      <c r="I10521">
        <v>6</v>
      </c>
      <c r="J10521" t="s">
        <v>445</v>
      </c>
      <c r="K10521" t="s">
        <v>446</v>
      </c>
      <c r="M10521">
        <v>3311</v>
      </c>
      <c r="N10521" t="s">
        <v>16890</v>
      </c>
    </row>
    <row r="10522" spans="1:14">
      <c r="A10522">
        <v>64980008</v>
      </c>
      <c r="B10522">
        <v>3027992</v>
      </c>
      <c r="C10522" t="s">
        <v>4810</v>
      </c>
      <c r="D10522" t="s">
        <v>441</v>
      </c>
      <c r="F10522">
        <v>0</v>
      </c>
      <c r="G10522">
        <v>5.15</v>
      </c>
      <c r="H10522" t="s">
        <v>12664</v>
      </c>
      <c r="I10522">
        <v>2</v>
      </c>
      <c r="J10522" t="s">
        <v>445</v>
      </c>
      <c r="K10522" t="s">
        <v>446</v>
      </c>
      <c r="M10522">
        <v>3211</v>
      </c>
      <c r="N10522" t="s">
        <v>16890</v>
      </c>
    </row>
    <row r="10523" spans="1:14">
      <c r="A10523">
        <v>64984110</v>
      </c>
      <c r="B10523">
        <v>4018611</v>
      </c>
      <c r="C10523" t="s">
        <v>4811</v>
      </c>
      <c r="D10523" t="s">
        <v>442</v>
      </c>
      <c r="E10523" t="s">
        <v>441</v>
      </c>
      <c r="F10523">
        <v>0.5</v>
      </c>
      <c r="G10523">
        <v>3.83</v>
      </c>
      <c r="H10523" t="s">
        <v>8587</v>
      </c>
      <c r="I10523">
        <v>35</v>
      </c>
      <c r="J10523" t="s">
        <v>462</v>
      </c>
      <c r="K10523" t="s">
        <v>446</v>
      </c>
      <c r="L10523" t="s">
        <v>13103</v>
      </c>
      <c r="M10523">
        <v>3711</v>
      </c>
      <c r="N10523" t="s">
        <v>16890</v>
      </c>
    </row>
    <row r="10524" spans="1:14">
      <c r="A10524">
        <v>64990000</v>
      </c>
      <c r="B10524">
        <v>3034142</v>
      </c>
      <c r="C10524" t="s">
        <v>4812</v>
      </c>
      <c r="D10524" t="s">
        <v>441</v>
      </c>
      <c r="F10524">
        <v>0</v>
      </c>
      <c r="G10524">
        <v>9.6199999999999992</v>
      </c>
      <c r="H10524" t="s">
        <v>12573</v>
      </c>
      <c r="I10524">
        <v>4</v>
      </c>
      <c r="J10524" t="s">
        <v>445</v>
      </c>
      <c r="M10524">
        <v>3351</v>
      </c>
      <c r="N10524" t="s">
        <v>16758</v>
      </c>
    </row>
    <row r="10525" spans="1:14">
      <c r="A10525">
        <v>64994210</v>
      </c>
      <c r="B10525">
        <v>4022871</v>
      </c>
      <c r="C10525" t="s">
        <v>4813</v>
      </c>
      <c r="D10525" t="s">
        <v>441</v>
      </c>
      <c r="F10525">
        <v>0</v>
      </c>
      <c r="G10525">
        <v>13.12</v>
      </c>
      <c r="H10525" t="s">
        <v>8587</v>
      </c>
      <c r="I10525">
        <v>43</v>
      </c>
      <c r="J10525" t="s">
        <v>462</v>
      </c>
      <c r="M10525">
        <v>7108</v>
      </c>
      <c r="N10525" t="s">
        <v>16891</v>
      </c>
    </row>
    <row r="10526" spans="1:14">
      <c r="A10526">
        <v>64994220</v>
      </c>
      <c r="B10526">
        <v>4023354</v>
      </c>
      <c r="C10526" t="s">
        <v>4814</v>
      </c>
      <c r="D10526" t="s">
        <v>441</v>
      </c>
      <c r="F10526">
        <v>0</v>
      </c>
      <c r="G10526">
        <v>13.74</v>
      </c>
      <c r="H10526" t="s">
        <v>8587</v>
      </c>
      <c r="I10526">
        <v>43</v>
      </c>
      <c r="J10526" t="s">
        <v>462</v>
      </c>
      <c r="M10526">
        <v>7108</v>
      </c>
      <c r="N10526" t="s">
        <v>16761</v>
      </c>
    </row>
    <row r="10527" spans="1:14">
      <c r="A10527">
        <v>64994230</v>
      </c>
      <c r="B10527">
        <v>4024753</v>
      </c>
      <c r="C10527" t="s">
        <v>15440</v>
      </c>
      <c r="D10527" t="s">
        <v>441</v>
      </c>
      <c r="F10527">
        <v>0</v>
      </c>
      <c r="G10527">
        <v>11.29</v>
      </c>
      <c r="H10527" t="s">
        <v>8587</v>
      </c>
      <c r="I10527">
        <v>40</v>
      </c>
      <c r="J10527" t="s">
        <v>462</v>
      </c>
      <c r="K10527" t="s">
        <v>446</v>
      </c>
      <c r="M10527">
        <v>7108</v>
      </c>
      <c r="N10527" t="s">
        <v>16761</v>
      </c>
    </row>
    <row r="10528" spans="1:14">
      <c r="A10528">
        <v>64994240</v>
      </c>
      <c r="B10528">
        <v>4025973</v>
      </c>
      <c r="C10528" t="s">
        <v>14570</v>
      </c>
      <c r="D10528" t="s">
        <v>441</v>
      </c>
      <c r="F10528">
        <v>0</v>
      </c>
      <c r="G10528">
        <v>11.17</v>
      </c>
      <c r="H10528" t="s">
        <v>8587</v>
      </c>
      <c r="I10528">
        <v>40</v>
      </c>
      <c r="J10528" t="s">
        <v>462</v>
      </c>
      <c r="K10528" t="s">
        <v>446</v>
      </c>
      <c r="M10528">
        <v>7108</v>
      </c>
      <c r="N10528" t="s">
        <v>16761</v>
      </c>
    </row>
    <row r="10529" spans="1:14">
      <c r="A10529">
        <v>64994250</v>
      </c>
      <c r="B10529">
        <v>4030252</v>
      </c>
      <c r="C10529" t="s">
        <v>16892</v>
      </c>
      <c r="D10529" t="s">
        <v>442</v>
      </c>
      <c r="E10529" t="s">
        <v>441</v>
      </c>
      <c r="F10529">
        <v>0.5</v>
      </c>
      <c r="G10529">
        <v>7.07</v>
      </c>
      <c r="H10529" t="s">
        <v>8587</v>
      </c>
      <c r="I10529">
        <v>43</v>
      </c>
      <c r="J10529" t="s">
        <v>462</v>
      </c>
      <c r="L10529" t="s">
        <v>16893</v>
      </c>
      <c r="M10529">
        <v>7108</v>
      </c>
      <c r="N10529" t="s">
        <v>16761</v>
      </c>
    </row>
    <row r="10530" spans="1:14">
      <c r="A10530">
        <v>64994260</v>
      </c>
      <c r="B10530">
        <v>4030427</v>
      </c>
      <c r="C10530" t="s">
        <v>17625</v>
      </c>
      <c r="D10530" t="s">
        <v>441</v>
      </c>
      <c r="F10530">
        <v>0</v>
      </c>
      <c r="G10530">
        <v>13.06</v>
      </c>
      <c r="H10530" t="s">
        <v>8587</v>
      </c>
      <c r="I10530">
        <v>43</v>
      </c>
      <c r="J10530" t="s">
        <v>462</v>
      </c>
      <c r="M10530">
        <v>7108</v>
      </c>
      <c r="N10530" t="s">
        <v>16761</v>
      </c>
    </row>
    <row r="10531" spans="1:14">
      <c r="A10531">
        <v>64999000</v>
      </c>
      <c r="B10531">
        <v>3034662</v>
      </c>
      <c r="C10531" t="s">
        <v>15965</v>
      </c>
      <c r="D10531" t="s">
        <v>441</v>
      </c>
      <c r="F10531">
        <v>0</v>
      </c>
      <c r="G10531">
        <v>11.8</v>
      </c>
      <c r="H10531" t="s">
        <v>12573</v>
      </c>
      <c r="I10531">
        <v>4</v>
      </c>
      <c r="J10531" t="s">
        <v>445</v>
      </c>
      <c r="M10531">
        <v>3350</v>
      </c>
      <c r="N10531" t="s">
        <v>16583</v>
      </c>
    </row>
    <row r="10532" spans="1:14">
      <c r="A10532">
        <v>64999002</v>
      </c>
      <c r="B10532">
        <v>3034666</v>
      </c>
      <c r="C10532" t="s">
        <v>16894</v>
      </c>
      <c r="D10532" t="s">
        <v>441</v>
      </c>
      <c r="F10532">
        <v>0</v>
      </c>
      <c r="G10532">
        <v>12.65</v>
      </c>
      <c r="H10532" t="s">
        <v>8587</v>
      </c>
      <c r="I10532">
        <v>180</v>
      </c>
      <c r="J10532" t="s">
        <v>445</v>
      </c>
      <c r="M10532">
        <v>7111</v>
      </c>
      <c r="N10532" t="s">
        <v>16585</v>
      </c>
    </row>
    <row r="10533" spans="1:14">
      <c r="A10533">
        <v>64999502</v>
      </c>
      <c r="B10533">
        <v>3034667</v>
      </c>
      <c r="C10533" t="s">
        <v>16895</v>
      </c>
      <c r="D10533" t="s">
        <v>441</v>
      </c>
      <c r="F10533">
        <v>0</v>
      </c>
      <c r="G10533">
        <v>12.06</v>
      </c>
      <c r="H10533" t="s">
        <v>8587</v>
      </c>
      <c r="I10533">
        <v>6</v>
      </c>
      <c r="J10533" t="s">
        <v>445</v>
      </c>
      <c r="M10533">
        <v>2502</v>
      </c>
      <c r="N10533" t="s">
        <v>16587</v>
      </c>
    </row>
    <row r="10534" spans="1:14">
      <c r="A10534">
        <v>64999602</v>
      </c>
      <c r="B10534">
        <v>3034709</v>
      </c>
      <c r="C10534" t="s">
        <v>428</v>
      </c>
      <c r="D10534" t="s">
        <v>441</v>
      </c>
      <c r="F10534">
        <v>0</v>
      </c>
      <c r="G10534">
        <v>12.92</v>
      </c>
      <c r="H10534" t="s">
        <v>12573</v>
      </c>
      <c r="I10534">
        <v>2</v>
      </c>
      <c r="J10534" t="s">
        <v>445</v>
      </c>
      <c r="M10534">
        <v>2510</v>
      </c>
      <c r="N10534" t="s">
        <v>16589</v>
      </c>
    </row>
    <row r="10535" spans="1:14">
      <c r="A10535">
        <v>65100000</v>
      </c>
      <c r="B10535">
        <v>3028199</v>
      </c>
      <c r="C10535" t="s">
        <v>4815</v>
      </c>
      <c r="D10535" t="s">
        <v>441</v>
      </c>
      <c r="F10535">
        <v>0</v>
      </c>
      <c r="G10535">
        <v>8.81</v>
      </c>
      <c r="H10535" t="s">
        <v>12573</v>
      </c>
      <c r="I10535">
        <v>6</v>
      </c>
      <c r="J10535" t="s">
        <v>445</v>
      </c>
      <c r="K10535" t="s">
        <v>446</v>
      </c>
      <c r="M10535">
        <v>3311</v>
      </c>
      <c r="N10535" t="s">
        <v>16896</v>
      </c>
    </row>
    <row r="10536" spans="1:14">
      <c r="A10536">
        <v>65100008</v>
      </c>
      <c r="B10536">
        <v>3028198</v>
      </c>
      <c r="C10536" t="s">
        <v>4816</v>
      </c>
      <c r="D10536" t="s">
        <v>441</v>
      </c>
      <c r="F10536">
        <v>0</v>
      </c>
      <c r="G10536">
        <v>7.48</v>
      </c>
      <c r="H10536" t="s">
        <v>12664</v>
      </c>
      <c r="I10536">
        <v>2</v>
      </c>
      <c r="J10536" t="s">
        <v>445</v>
      </c>
      <c r="K10536" t="s">
        <v>446</v>
      </c>
      <c r="M10536">
        <v>3211</v>
      </c>
      <c r="N10536" t="s">
        <v>16896</v>
      </c>
    </row>
    <row r="10537" spans="1:14">
      <c r="A10537">
        <v>65104210</v>
      </c>
      <c r="B10537">
        <v>4018807</v>
      </c>
      <c r="C10537" t="s">
        <v>4817</v>
      </c>
      <c r="D10537" t="s">
        <v>442</v>
      </c>
      <c r="E10537" t="s">
        <v>441</v>
      </c>
      <c r="F10537">
        <v>0.55000000000000004</v>
      </c>
      <c r="G10537">
        <v>5.63</v>
      </c>
      <c r="H10537" t="s">
        <v>8587</v>
      </c>
      <c r="I10537">
        <v>35</v>
      </c>
      <c r="J10537" t="s">
        <v>462</v>
      </c>
      <c r="K10537" t="s">
        <v>446</v>
      </c>
      <c r="M10537">
        <v>3711</v>
      </c>
      <c r="N10537" t="s">
        <v>16896</v>
      </c>
    </row>
    <row r="10538" spans="1:14">
      <c r="A10538">
        <v>65110000</v>
      </c>
      <c r="B10538">
        <v>3028231</v>
      </c>
      <c r="C10538" t="s">
        <v>4818</v>
      </c>
      <c r="D10538" t="s">
        <v>441</v>
      </c>
      <c r="F10538">
        <v>0</v>
      </c>
      <c r="G10538">
        <v>8.19</v>
      </c>
      <c r="H10538" t="s">
        <v>12573</v>
      </c>
      <c r="I10538">
        <v>6</v>
      </c>
      <c r="J10538" t="s">
        <v>445</v>
      </c>
      <c r="K10538" t="s">
        <v>446</v>
      </c>
      <c r="M10538">
        <v>3311</v>
      </c>
      <c r="N10538" t="s">
        <v>16897</v>
      </c>
    </row>
    <row r="10539" spans="1:14">
      <c r="A10539">
        <v>65110008</v>
      </c>
      <c r="B10539">
        <v>3028230</v>
      </c>
      <c r="C10539" t="s">
        <v>4819</v>
      </c>
      <c r="D10539" t="s">
        <v>441</v>
      </c>
      <c r="F10539">
        <v>0</v>
      </c>
      <c r="G10539">
        <v>6.92</v>
      </c>
      <c r="H10539" t="s">
        <v>12664</v>
      </c>
      <c r="I10539">
        <v>2</v>
      </c>
      <c r="J10539" t="s">
        <v>445</v>
      </c>
      <c r="K10539" t="s">
        <v>446</v>
      </c>
      <c r="M10539">
        <v>3211</v>
      </c>
      <c r="N10539" t="s">
        <v>16897</v>
      </c>
    </row>
    <row r="10540" spans="1:14">
      <c r="A10540">
        <v>65114210</v>
      </c>
      <c r="B10540">
        <v>4018808</v>
      </c>
      <c r="C10540" t="s">
        <v>4820</v>
      </c>
      <c r="D10540" t="s">
        <v>442</v>
      </c>
      <c r="E10540" t="s">
        <v>441</v>
      </c>
      <c r="F10540">
        <v>0.55000000000000004</v>
      </c>
      <c r="G10540">
        <v>5.32</v>
      </c>
      <c r="H10540" t="s">
        <v>8587</v>
      </c>
      <c r="I10540">
        <v>35</v>
      </c>
      <c r="J10540" t="s">
        <v>462</v>
      </c>
      <c r="K10540" t="s">
        <v>446</v>
      </c>
      <c r="L10540" t="s">
        <v>13015</v>
      </c>
      <c r="M10540">
        <v>3711</v>
      </c>
      <c r="N10540" t="s">
        <v>16897</v>
      </c>
    </row>
    <row r="10541" spans="1:14">
      <c r="A10541">
        <v>65114220</v>
      </c>
      <c r="B10541">
        <v>4018809</v>
      </c>
      <c r="C10541" t="s">
        <v>4821</v>
      </c>
      <c r="D10541" t="s">
        <v>441</v>
      </c>
      <c r="F10541">
        <v>0</v>
      </c>
      <c r="G10541">
        <v>9.1199999999999992</v>
      </c>
      <c r="H10541" t="s">
        <v>8587</v>
      </c>
      <c r="I10541">
        <v>35</v>
      </c>
      <c r="J10541" t="s">
        <v>462</v>
      </c>
      <c r="K10541" t="s">
        <v>446</v>
      </c>
      <c r="M10541">
        <v>3711</v>
      </c>
      <c r="N10541" t="s">
        <v>16897</v>
      </c>
    </row>
    <row r="10542" spans="1:14">
      <c r="A10542">
        <v>65120000</v>
      </c>
      <c r="B10542">
        <v>3028529</v>
      </c>
      <c r="C10542" t="s">
        <v>4822</v>
      </c>
      <c r="D10542" t="s">
        <v>441</v>
      </c>
      <c r="F10542">
        <v>0</v>
      </c>
      <c r="G10542">
        <v>12.32</v>
      </c>
      <c r="H10542" t="s">
        <v>12573</v>
      </c>
      <c r="I10542">
        <v>4</v>
      </c>
      <c r="J10542" t="s">
        <v>445</v>
      </c>
      <c r="M10542">
        <v>3349</v>
      </c>
      <c r="N10542" t="s">
        <v>16898</v>
      </c>
    </row>
    <row r="10543" spans="1:14">
      <c r="A10543">
        <v>65120008</v>
      </c>
      <c r="B10543">
        <v>3028528</v>
      </c>
      <c r="C10543" t="s">
        <v>4823</v>
      </c>
      <c r="D10543" t="s">
        <v>441</v>
      </c>
      <c r="F10543">
        <v>0</v>
      </c>
      <c r="G10543">
        <v>10.52</v>
      </c>
      <c r="H10543" t="s">
        <v>12664</v>
      </c>
      <c r="I10543">
        <v>2</v>
      </c>
      <c r="J10543" t="s">
        <v>445</v>
      </c>
      <c r="M10543">
        <v>6666</v>
      </c>
      <c r="N10543" t="s">
        <v>16899</v>
      </c>
    </row>
    <row r="10544" spans="1:14">
      <c r="A10544">
        <v>65124210</v>
      </c>
      <c r="B10544">
        <v>4018903</v>
      </c>
      <c r="C10544" t="s">
        <v>4824</v>
      </c>
      <c r="D10544" t="s">
        <v>442</v>
      </c>
      <c r="E10544" t="s">
        <v>441</v>
      </c>
      <c r="F10544">
        <v>1.3</v>
      </c>
      <c r="G10544">
        <v>15.84</v>
      </c>
      <c r="H10544" t="s">
        <v>8587</v>
      </c>
      <c r="I10544">
        <v>35</v>
      </c>
      <c r="J10544" t="s">
        <v>462</v>
      </c>
      <c r="K10544" t="s">
        <v>446</v>
      </c>
      <c r="M10544">
        <v>3711</v>
      </c>
      <c r="N10544" t="s">
        <v>16900</v>
      </c>
    </row>
    <row r="10545" spans="1:14">
      <c r="A10545">
        <v>65124212</v>
      </c>
      <c r="B10545">
        <v>4019089</v>
      </c>
      <c r="C10545" t="s">
        <v>4825</v>
      </c>
      <c r="D10545" t="s">
        <v>442</v>
      </c>
      <c r="E10545" t="s">
        <v>441</v>
      </c>
      <c r="F10545">
        <v>1.3</v>
      </c>
      <c r="G10545">
        <v>16.23</v>
      </c>
      <c r="H10545" t="s">
        <v>8587</v>
      </c>
      <c r="I10545">
        <v>365</v>
      </c>
      <c r="J10545" t="s">
        <v>462</v>
      </c>
      <c r="K10545" t="s">
        <v>446</v>
      </c>
      <c r="M10545">
        <v>2501</v>
      </c>
    </row>
    <row r="10546" spans="1:14">
      <c r="A10546">
        <v>65124215</v>
      </c>
      <c r="B10546">
        <v>3028849</v>
      </c>
      <c r="C10546" t="s">
        <v>4826</v>
      </c>
      <c r="D10546" t="s">
        <v>442</v>
      </c>
      <c r="E10546" t="s">
        <v>441</v>
      </c>
      <c r="F10546">
        <v>1.3</v>
      </c>
      <c r="G10546">
        <v>14.63</v>
      </c>
      <c r="H10546" t="s">
        <v>8587</v>
      </c>
      <c r="I10546">
        <v>365</v>
      </c>
      <c r="J10546" t="s">
        <v>445</v>
      </c>
      <c r="K10546" t="s">
        <v>446</v>
      </c>
      <c r="M10546">
        <v>3711</v>
      </c>
    </row>
    <row r="10547" spans="1:14">
      <c r="A10547">
        <v>65124220</v>
      </c>
      <c r="B10547">
        <v>4018991</v>
      </c>
      <c r="C10547" t="s">
        <v>4827</v>
      </c>
      <c r="D10547" t="s">
        <v>442</v>
      </c>
      <c r="E10547" t="s">
        <v>441</v>
      </c>
      <c r="F10547">
        <v>1.3</v>
      </c>
      <c r="G10547">
        <v>15.26</v>
      </c>
      <c r="H10547" t="s">
        <v>8587</v>
      </c>
      <c r="I10547">
        <v>35</v>
      </c>
      <c r="J10547" t="s">
        <v>462</v>
      </c>
      <c r="K10547" t="s">
        <v>446</v>
      </c>
      <c r="L10547" t="s">
        <v>13104</v>
      </c>
      <c r="M10547">
        <v>3711</v>
      </c>
      <c r="N10547" t="s">
        <v>16901</v>
      </c>
    </row>
    <row r="10548" spans="1:14">
      <c r="A10548">
        <v>65124230</v>
      </c>
      <c r="B10548">
        <v>4019114</v>
      </c>
      <c r="C10548" t="s">
        <v>4828</v>
      </c>
      <c r="D10548" t="s">
        <v>442</v>
      </c>
      <c r="E10548" t="s">
        <v>441</v>
      </c>
      <c r="F10548">
        <v>1.3</v>
      </c>
      <c r="G10548">
        <v>13.94</v>
      </c>
      <c r="H10548" t="s">
        <v>8587</v>
      </c>
      <c r="I10548">
        <v>35</v>
      </c>
      <c r="J10548" t="s">
        <v>462</v>
      </c>
      <c r="K10548" t="s">
        <v>446</v>
      </c>
      <c r="L10548" t="s">
        <v>13104</v>
      </c>
      <c r="M10548">
        <v>3711</v>
      </c>
      <c r="N10548" t="s">
        <v>16901</v>
      </c>
    </row>
    <row r="10549" spans="1:14">
      <c r="A10549">
        <v>65124240</v>
      </c>
      <c r="B10549">
        <v>4019210</v>
      </c>
      <c r="C10549" t="s">
        <v>4829</v>
      </c>
      <c r="D10549" t="s">
        <v>441</v>
      </c>
      <c r="F10549">
        <v>0</v>
      </c>
      <c r="G10549">
        <v>10.91</v>
      </c>
      <c r="H10549" t="s">
        <v>8587</v>
      </c>
      <c r="I10549">
        <v>35</v>
      </c>
      <c r="J10549" t="s">
        <v>462</v>
      </c>
      <c r="K10549" t="s">
        <v>446</v>
      </c>
      <c r="M10549">
        <v>3711</v>
      </c>
      <c r="N10549" t="s">
        <v>16900</v>
      </c>
    </row>
    <row r="10550" spans="1:14">
      <c r="A10550">
        <v>65124250</v>
      </c>
      <c r="B10550">
        <v>4019182</v>
      </c>
      <c r="C10550" t="s">
        <v>4830</v>
      </c>
      <c r="D10550" t="s">
        <v>442</v>
      </c>
      <c r="E10550" t="s">
        <v>441</v>
      </c>
      <c r="F10550">
        <v>1.3</v>
      </c>
      <c r="G10550">
        <v>13.91</v>
      </c>
      <c r="H10550" t="s">
        <v>8587</v>
      </c>
      <c r="I10550">
        <v>35</v>
      </c>
      <c r="J10550" t="s">
        <v>462</v>
      </c>
      <c r="K10550" t="s">
        <v>446</v>
      </c>
      <c r="L10550" t="s">
        <v>13104</v>
      </c>
      <c r="M10550">
        <v>3711</v>
      </c>
      <c r="N10550" t="s">
        <v>16901</v>
      </c>
    </row>
    <row r="10551" spans="1:14">
      <c r="A10551">
        <v>65124260</v>
      </c>
      <c r="B10551">
        <v>4020711</v>
      </c>
      <c r="C10551" t="s">
        <v>4831</v>
      </c>
      <c r="D10551" t="s">
        <v>442</v>
      </c>
      <c r="E10551" t="s">
        <v>441</v>
      </c>
      <c r="F10551">
        <v>1.3</v>
      </c>
      <c r="G10551">
        <v>13.97</v>
      </c>
      <c r="H10551" t="s">
        <v>8587</v>
      </c>
      <c r="I10551">
        <v>35</v>
      </c>
      <c r="J10551" t="s">
        <v>462</v>
      </c>
      <c r="K10551" t="s">
        <v>446</v>
      </c>
      <c r="L10551" t="s">
        <v>13104</v>
      </c>
      <c r="M10551">
        <v>3711</v>
      </c>
      <c r="N10551" t="s">
        <v>16901</v>
      </c>
    </row>
    <row r="10552" spans="1:14">
      <c r="A10552">
        <v>65124270</v>
      </c>
      <c r="B10552">
        <v>4020712</v>
      </c>
      <c r="C10552" t="s">
        <v>4832</v>
      </c>
      <c r="D10552" t="s">
        <v>442</v>
      </c>
      <c r="E10552" t="s">
        <v>441</v>
      </c>
      <c r="F10552">
        <v>1.3</v>
      </c>
      <c r="G10552">
        <v>13.94</v>
      </c>
      <c r="H10552" t="s">
        <v>8587</v>
      </c>
      <c r="I10552">
        <v>35</v>
      </c>
      <c r="J10552" t="s">
        <v>462</v>
      </c>
      <c r="K10552" t="s">
        <v>446</v>
      </c>
      <c r="L10552" t="s">
        <v>13104</v>
      </c>
      <c r="M10552">
        <v>3711</v>
      </c>
      <c r="N10552" t="s">
        <v>16901</v>
      </c>
    </row>
    <row r="10553" spans="1:14">
      <c r="A10553">
        <v>65124280</v>
      </c>
      <c r="B10553">
        <v>4020771</v>
      </c>
      <c r="C10553" t="s">
        <v>4833</v>
      </c>
      <c r="D10553" t="s">
        <v>441</v>
      </c>
      <c r="F10553">
        <v>0</v>
      </c>
      <c r="G10553">
        <v>12.38</v>
      </c>
      <c r="H10553" t="s">
        <v>8587</v>
      </c>
      <c r="I10553">
        <v>35</v>
      </c>
      <c r="J10553" t="s">
        <v>462</v>
      </c>
      <c r="K10553" t="s">
        <v>446</v>
      </c>
      <c r="M10553">
        <v>3711</v>
      </c>
    </row>
    <row r="10554" spans="1:14">
      <c r="A10554">
        <v>65124290</v>
      </c>
      <c r="B10554">
        <v>4020699</v>
      </c>
      <c r="C10554" t="s">
        <v>4834</v>
      </c>
      <c r="D10554" t="s">
        <v>442</v>
      </c>
      <c r="E10554" t="s">
        <v>441</v>
      </c>
      <c r="F10554">
        <v>1.3</v>
      </c>
      <c r="G10554">
        <v>19.170000000000002</v>
      </c>
      <c r="H10554" t="s">
        <v>8587</v>
      </c>
      <c r="I10554">
        <v>35</v>
      </c>
      <c r="J10554" t="s">
        <v>462</v>
      </c>
      <c r="K10554" t="s">
        <v>446</v>
      </c>
      <c r="L10554" t="s">
        <v>13104</v>
      </c>
      <c r="M10554">
        <v>7108</v>
      </c>
      <c r="N10554" t="s">
        <v>16901</v>
      </c>
    </row>
    <row r="10555" spans="1:14">
      <c r="A10555">
        <v>65126210</v>
      </c>
      <c r="B10555">
        <v>4021315</v>
      </c>
      <c r="C10555" t="s">
        <v>4762</v>
      </c>
      <c r="D10555" t="s">
        <v>442</v>
      </c>
      <c r="E10555" t="s">
        <v>441</v>
      </c>
      <c r="F10555">
        <v>1.3</v>
      </c>
      <c r="G10555">
        <v>16.28</v>
      </c>
      <c r="H10555" t="s">
        <v>8587</v>
      </c>
      <c r="I10555">
        <v>35</v>
      </c>
      <c r="J10555" t="s">
        <v>462</v>
      </c>
      <c r="K10555" t="s">
        <v>446</v>
      </c>
      <c r="M10555">
        <v>3711</v>
      </c>
    </row>
    <row r="10556" spans="1:14">
      <c r="A10556">
        <v>65126220</v>
      </c>
      <c r="B10556">
        <v>4021591</v>
      </c>
      <c r="C10556" t="s">
        <v>4835</v>
      </c>
      <c r="D10556" t="s">
        <v>442</v>
      </c>
      <c r="E10556" t="s">
        <v>441</v>
      </c>
      <c r="F10556">
        <v>1.3</v>
      </c>
      <c r="G10556">
        <v>15.19</v>
      </c>
      <c r="H10556" t="s">
        <v>8587</v>
      </c>
      <c r="I10556">
        <v>35</v>
      </c>
      <c r="J10556" t="s">
        <v>462</v>
      </c>
      <c r="K10556" t="s">
        <v>446</v>
      </c>
      <c r="L10556" t="s">
        <v>13104</v>
      </c>
      <c r="M10556">
        <v>3711</v>
      </c>
      <c r="N10556" t="s">
        <v>16901</v>
      </c>
    </row>
    <row r="10557" spans="1:14">
      <c r="A10557">
        <v>65126230</v>
      </c>
      <c r="B10557">
        <v>4022999</v>
      </c>
      <c r="C10557" t="s">
        <v>4836</v>
      </c>
      <c r="D10557" t="s">
        <v>442</v>
      </c>
      <c r="E10557" t="s">
        <v>441</v>
      </c>
      <c r="F10557">
        <v>1.3</v>
      </c>
      <c r="G10557">
        <v>21.85</v>
      </c>
      <c r="H10557" t="s">
        <v>8587</v>
      </c>
      <c r="I10557">
        <v>38</v>
      </c>
      <c r="J10557" t="s">
        <v>462</v>
      </c>
      <c r="L10557" t="s">
        <v>13105</v>
      </c>
      <c r="M10557">
        <v>7108</v>
      </c>
      <c r="N10557" t="s">
        <v>16901</v>
      </c>
    </row>
    <row r="10558" spans="1:14">
      <c r="A10558">
        <v>65126240</v>
      </c>
      <c r="B10558">
        <v>4023010</v>
      </c>
      <c r="C10558" t="s">
        <v>4837</v>
      </c>
      <c r="D10558" t="s">
        <v>442</v>
      </c>
      <c r="E10558" t="s">
        <v>441</v>
      </c>
      <c r="F10558">
        <v>1.3</v>
      </c>
      <c r="G10558">
        <v>21.85</v>
      </c>
      <c r="H10558" t="s">
        <v>8587</v>
      </c>
      <c r="I10558">
        <v>38</v>
      </c>
      <c r="J10558" t="s">
        <v>462</v>
      </c>
      <c r="L10558" t="s">
        <v>13105</v>
      </c>
      <c r="M10558">
        <v>7108</v>
      </c>
      <c r="N10558" t="s">
        <v>16901</v>
      </c>
    </row>
    <row r="10559" spans="1:14">
      <c r="A10559">
        <v>65126250</v>
      </c>
      <c r="B10559">
        <v>4023011</v>
      </c>
      <c r="C10559" t="s">
        <v>4838</v>
      </c>
      <c r="D10559" t="s">
        <v>442</v>
      </c>
      <c r="E10559" t="s">
        <v>441</v>
      </c>
      <c r="F10559">
        <v>1.3</v>
      </c>
      <c r="G10559">
        <v>21.88</v>
      </c>
      <c r="H10559" t="s">
        <v>8587</v>
      </c>
      <c r="I10559">
        <v>38</v>
      </c>
      <c r="J10559" t="s">
        <v>462</v>
      </c>
      <c r="L10559" t="s">
        <v>13105</v>
      </c>
      <c r="M10559">
        <v>7108</v>
      </c>
      <c r="N10559" t="s">
        <v>16901</v>
      </c>
    </row>
    <row r="10560" spans="1:14">
      <c r="A10560">
        <v>65126260</v>
      </c>
      <c r="B10560">
        <v>4023034</v>
      </c>
      <c r="C10560" t="s">
        <v>4839</v>
      </c>
      <c r="D10560" t="s">
        <v>442</v>
      </c>
      <c r="E10560" t="s">
        <v>441</v>
      </c>
      <c r="F10560">
        <v>1.3</v>
      </c>
      <c r="G10560">
        <v>21.96</v>
      </c>
      <c r="H10560" t="s">
        <v>8587</v>
      </c>
      <c r="I10560">
        <v>38</v>
      </c>
      <c r="J10560" t="s">
        <v>462</v>
      </c>
      <c r="L10560" t="s">
        <v>13105</v>
      </c>
      <c r="M10560">
        <v>7108</v>
      </c>
      <c r="N10560" t="s">
        <v>16901</v>
      </c>
    </row>
    <row r="10561" spans="1:14">
      <c r="A10561">
        <v>65126270</v>
      </c>
      <c r="B10561">
        <v>4023033</v>
      </c>
      <c r="C10561" t="s">
        <v>17626</v>
      </c>
      <c r="D10561" t="s">
        <v>442</v>
      </c>
      <c r="E10561" t="s">
        <v>441</v>
      </c>
      <c r="F10561">
        <v>1.3</v>
      </c>
      <c r="G10561">
        <v>21.21</v>
      </c>
      <c r="H10561" t="s">
        <v>8587</v>
      </c>
      <c r="I10561">
        <v>38</v>
      </c>
      <c r="J10561" t="s">
        <v>462</v>
      </c>
      <c r="K10561" t="s">
        <v>446</v>
      </c>
      <c r="L10561" t="s">
        <v>13105</v>
      </c>
      <c r="M10561">
        <v>7108</v>
      </c>
      <c r="N10561" t="s">
        <v>16901</v>
      </c>
    </row>
    <row r="10562" spans="1:14">
      <c r="A10562">
        <v>65126280</v>
      </c>
      <c r="B10562">
        <v>4023028</v>
      </c>
      <c r="C10562" t="s">
        <v>13106</v>
      </c>
      <c r="D10562" t="s">
        <v>442</v>
      </c>
      <c r="E10562" t="s">
        <v>441</v>
      </c>
      <c r="F10562">
        <v>1.3</v>
      </c>
      <c r="G10562">
        <v>18.5</v>
      </c>
      <c r="H10562" t="s">
        <v>8587</v>
      </c>
      <c r="I10562">
        <v>35</v>
      </c>
      <c r="J10562" t="s">
        <v>462</v>
      </c>
      <c r="K10562" t="s">
        <v>446</v>
      </c>
      <c r="L10562" t="s">
        <v>13105</v>
      </c>
      <c r="M10562">
        <v>7108</v>
      </c>
      <c r="N10562" t="s">
        <v>16901</v>
      </c>
    </row>
    <row r="10563" spans="1:14">
      <c r="A10563">
        <v>65126290</v>
      </c>
      <c r="B10563">
        <v>4023029</v>
      </c>
      <c r="C10563" t="s">
        <v>4840</v>
      </c>
      <c r="D10563" t="s">
        <v>442</v>
      </c>
      <c r="E10563" t="s">
        <v>441</v>
      </c>
      <c r="F10563">
        <v>1.3</v>
      </c>
      <c r="G10563">
        <v>21.91</v>
      </c>
      <c r="H10563" t="s">
        <v>8587</v>
      </c>
      <c r="I10563">
        <v>38</v>
      </c>
      <c r="J10563" t="s">
        <v>462</v>
      </c>
      <c r="L10563" t="s">
        <v>13105</v>
      </c>
      <c r="M10563">
        <v>7108</v>
      </c>
      <c r="N10563" t="s">
        <v>16901</v>
      </c>
    </row>
    <row r="10564" spans="1:14">
      <c r="A10564">
        <v>65127210</v>
      </c>
      <c r="B10564">
        <v>4026099</v>
      </c>
      <c r="C10564" t="s">
        <v>4841</v>
      </c>
      <c r="D10564" t="s">
        <v>442</v>
      </c>
      <c r="E10564" t="s">
        <v>441</v>
      </c>
      <c r="F10564">
        <v>1.3</v>
      </c>
      <c r="G10564">
        <v>21.85</v>
      </c>
      <c r="H10564" t="s">
        <v>8587</v>
      </c>
      <c r="I10564">
        <v>38</v>
      </c>
      <c r="J10564" t="s">
        <v>462</v>
      </c>
      <c r="L10564" t="s">
        <v>13105</v>
      </c>
      <c r="M10564">
        <v>7108</v>
      </c>
      <c r="N10564" t="s">
        <v>16901</v>
      </c>
    </row>
    <row r="10565" spans="1:14">
      <c r="A10565">
        <v>65127220</v>
      </c>
      <c r="B10565">
        <v>4028971</v>
      </c>
      <c r="C10565" t="s">
        <v>14571</v>
      </c>
      <c r="D10565" t="s">
        <v>442</v>
      </c>
      <c r="E10565" t="s">
        <v>441</v>
      </c>
      <c r="F10565">
        <v>1.3</v>
      </c>
      <c r="G10565">
        <v>21.85</v>
      </c>
      <c r="H10565" t="s">
        <v>8587</v>
      </c>
      <c r="I10565">
        <v>38</v>
      </c>
      <c r="J10565" t="s">
        <v>462</v>
      </c>
      <c r="L10565" t="s">
        <v>13105</v>
      </c>
      <c r="M10565">
        <v>7108</v>
      </c>
      <c r="N10565" t="s">
        <v>16901</v>
      </c>
    </row>
    <row r="10566" spans="1:14">
      <c r="A10566">
        <v>65127230</v>
      </c>
      <c r="B10566">
        <v>4030450</v>
      </c>
      <c r="C10566" t="s">
        <v>17627</v>
      </c>
      <c r="D10566" t="s">
        <v>442</v>
      </c>
      <c r="E10566" t="s">
        <v>441</v>
      </c>
      <c r="F10566">
        <v>1.3</v>
      </c>
      <c r="G10566">
        <v>21.9</v>
      </c>
      <c r="H10566" t="s">
        <v>8587</v>
      </c>
      <c r="I10566">
        <v>38</v>
      </c>
      <c r="J10566" t="s">
        <v>462</v>
      </c>
      <c r="L10566" t="s">
        <v>13105</v>
      </c>
      <c r="M10566">
        <v>7108</v>
      </c>
      <c r="N10566" t="s">
        <v>16901</v>
      </c>
    </row>
    <row r="10567" spans="1:14">
      <c r="A10567">
        <v>65130000</v>
      </c>
      <c r="B10567">
        <v>3028781</v>
      </c>
      <c r="C10567" t="s">
        <v>4842</v>
      </c>
      <c r="D10567" t="s">
        <v>441</v>
      </c>
      <c r="F10567">
        <v>0</v>
      </c>
      <c r="G10567">
        <v>11.25</v>
      </c>
      <c r="H10567" t="s">
        <v>12573</v>
      </c>
      <c r="I10567">
        <v>4</v>
      </c>
      <c r="J10567" t="s">
        <v>445</v>
      </c>
      <c r="M10567">
        <v>3349</v>
      </c>
      <c r="N10567" t="s">
        <v>16794</v>
      </c>
    </row>
    <row r="10568" spans="1:14">
      <c r="A10568">
        <v>65130008</v>
      </c>
      <c r="B10568">
        <v>3028782</v>
      </c>
      <c r="C10568" t="s">
        <v>4843</v>
      </c>
      <c r="D10568" t="s">
        <v>441</v>
      </c>
      <c r="F10568">
        <v>0</v>
      </c>
      <c r="G10568">
        <v>9.33</v>
      </c>
      <c r="H10568" t="s">
        <v>12664</v>
      </c>
      <c r="I10568">
        <v>2</v>
      </c>
      <c r="J10568" t="s">
        <v>445</v>
      </c>
      <c r="M10568">
        <v>6666</v>
      </c>
      <c r="N10568" t="s">
        <v>16902</v>
      </c>
    </row>
    <row r="10569" spans="1:14">
      <c r="A10569">
        <v>65134050</v>
      </c>
      <c r="B10569">
        <v>4019054</v>
      </c>
      <c r="C10569" t="s">
        <v>4844</v>
      </c>
      <c r="D10569" t="s">
        <v>441</v>
      </c>
      <c r="F10569">
        <v>0</v>
      </c>
      <c r="G10569">
        <v>11.79</v>
      </c>
      <c r="H10569" t="s">
        <v>8587</v>
      </c>
      <c r="I10569">
        <v>42</v>
      </c>
      <c r="J10569" t="s">
        <v>462</v>
      </c>
      <c r="M10569">
        <v>7108</v>
      </c>
      <c r="N10569" t="s">
        <v>16903</v>
      </c>
    </row>
    <row r="10570" spans="1:14">
      <c r="A10570">
        <v>65134110</v>
      </c>
      <c r="B10570">
        <v>4020678</v>
      </c>
      <c r="C10570" t="s">
        <v>4845</v>
      </c>
      <c r="D10570" t="s">
        <v>441</v>
      </c>
      <c r="F10570">
        <v>0</v>
      </c>
      <c r="G10570">
        <v>9.42</v>
      </c>
      <c r="H10570" t="s">
        <v>8587</v>
      </c>
      <c r="I10570">
        <v>37</v>
      </c>
      <c r="J10570" t="s">
        <v>462</v>
      </c>
      <c r="K10570" t="s">
        <v>446</v>
      </c>
      <c r="M10570">
        <v>3711</v>
      </c>
      <c r="N10570" t="s">
        <v>16903</v>
      </c>
    </row>
    <row r="10571" spans="1:14">
      <c r="A10571">
        <v>65134120</v>
      </c>
      <c r="B10571">
        <v>4022213</v>
      </c>
      <c r="C10571" t="s">
        <v>4846</v>
      </c>
      <c r="D10571" t="s">
        <v>442</v>
      </c>
      <c r="E10571" t="s">
        <v>441</v>
      </c>
      <c r="F10571">
        <v>0.52</v>
      </c>
      <c r="G10571">
        <v>4.79</v>
      </c>
      <c r="H10571" t="s">
        <v>8587</v>
      </c>
      <c r="I10571">
        <v>42</v>
      </c>
      <c r="J10571" t="s">
        <v>462</v>
      </c>
      <c r="K10571" t="s">
        <v>446</v>
      </c>
      <c r="L10571" t="s">
        <v>13107</v>
      </c>
      <c r="M10571">
        <v>3711</v>
      </c>
      <c r="N10571" t="s">
        <v>16903</v>
      </c>
    </row>
    <row r="10572" spans="1:14">
      <c r="A10572">
        <v>65134130</v>
      </c>
      <c r="B10572">
        <v>4022331</v>
      </c>
      <c r="C10572" t="s">
        <v>14572</v>
      </c>
      <c r="D10572" t="s">
        <v>441</v>
      </c>
      <c r="F10572">
        <v>0</v>
      </c>
      <c r="G10572">
        <v>13.75</v>
      </c>
      <c r="H10572" t="s">
        <v>8587</v>
      </c>
      <c r="I10572">
        <v>37</v>
      </c>
      <c r="J10572" t="s">
        <v>462</v>
      </c>
      <c r="K10572" t="s">
        <v>446</v>
      </c>
      <c r="M10572">
        <v>7108</v>
      </c>
      <c r="N10572" t="s">
        <v>16903</v>
      </c>
    </row>
    <row r="10573" spans="1:14">
      <c r="A10573">
        <v>65134210</v>
      </c>
      <c r="B10573">
        <v>4027334</v>
      </c>
      <c r="C10573" t="s">
        <v>4847</v>
      </c>
      <c r="D10573" t="s">
        <v>442</v>
      </c>
      <c r="E10573" t="s">
        <v>441</v>
      </c>
      <c r="F10573">
        <v>0.52</v>
      </c>
      <c r="G10573">
        <v>4.9400000000000004</v>
      </c>
      <c r="H10573" t="s">
        <v>8587</v>
      </c>
      <c r="I10573">
        <v>42</v>
      </c>
      <c r="J10573" t="s">
        <v>462</v>
      </c>
      <c r="L10573" t="s">
        <v>13108</v>
      </c>
      <c r="M10573">
        <v>7108</v>
      </c>
      <c r="N10573" t="s">
        <v>16903</v>
      </c>
    </row>
    <row r="10574" spans="1:14">
      <c r="A10574">
        <v>65140000</v>
      </c>
      <c r="B10574">
        <v>3028798</v>
      </c>
      <c r="C10574" t="s">
        <v>4848</v>
      </c>
      <c r="D10574" t="s">
        <v>441</v>
      </c>
      <c r="F10574">
        <v>0</v>
      </c>
      <c r="G10574">
        <v>10.34</v>
      </c>
      <c r="H10574" t="s">
        <v>12573</v>
      </c>
      <c r="I10574">
        <v>6</v>
      </c>
      <c r="J10574" t="s">
        <v>445</v>
      </c>
      <c r="K10574" t="s">
        <v>446</v>
      </c>
      <c r="M10574">
        <v>3311</v>
      </c>
      <c r="N10574" t="s">
        <v>16904</v>
      </c>
    </row>
    <row r="10575" spans="1:14">
      <c r="A10575">
        <v>65140008</v>
      </c>
      <c r="B10575">
        <v>3028797</v>
      </c>
      <c r="C10575" t="s">
        <v>4849</v>
      </c>
      <c r="D10575" t="s">
        <v>441</v>
      </c>
      <c r="F10575">
        <v>0</v>
      </c>
      <c r="G10575">
        <v>8.91</v>
      </c>
      <c r="H10575" t="s">
        <v>12664</v>
      </c>
      <c r="I10575">
        <v>2</v>
      </c>
      <c r="J10575" t="s">
        <v>445</v>
      </c>
      <c r="K10575" t="s">
        <v>446</v>
      </c>
      <c r="M10575">
        <v>3211</v>
      </c>
      <c r="N10575" t="s">
        <v>16904</v>
      </c>
    </row>
    <row r="10576" spans="1:14">
      <c r="A10576">
        <v>65144210</v>
      </c>
      <c r="B10576">
        <v>4019065</v>
      </c>
      <c r="C10576" t="s">
        <v>4850</v>
      </c>
      <c r="D10576" t="s">
        <v>442</v>
      </c>
      <c r="E10576" t="s">
        <v>441</v>
      </c>
      <c r="F10576">
        <v>0.5</v>
      </c>
      <c r="G10576">
        <v>6.14</v>
      </c>
      <c r="H10576" t="s">
        <v>8587</v>
      </c>
      <c r="I10576">
        <v>35</v>
      </c>
      <c r="J10576" t="s">
        <v>462</v>
      </c>
      <c r="K10576" t="s">
        <v>446</v>
      </c>
      <c r="M10576">
        <v>3711</v>
      </c>
      <c r="N10576" t="s">
        <v>16904</v>
      </c>
    </row>
    <row r="10577" spans="1:14">
      <c r="A10577">
        <v>65144220</v>
      </c>
      <c r="B10577">
        <v>4019111</v>
      </c>
      <c r="C10577" t="s">
        <v>4851</v>
      </c>
      <c r="D10577" t="s">
        <v>442</v>
      </c>
      <c r="E10577" t="s">
        <v>441</v>
      </c>
      <c r="F10577">
        <v>0.5</v>
      </c>
      <c r="G10577">
        <v>6.14</v>
      </c>
      <c r="H10577" t="s">
        <v>8587</v>
      </c>
      <c r="I10577">
        <v>35</v>
      </c>
      <c r="J10577" t="s">
        <v>462</v>
      </c>
      <c r="K10577" t="s">
        <v>446</v>
      </c>
      <c r="M10577">
        <v>3711</v>
      </c>
      <c r="N10577" t="s">
        <v>16904</v>
      </c>
    </row>
    <row r="10578" spans="1:14">
      <c r="A10578">
        <v>65144230</v>
      </c>
      <c r="B10578">
        <v>4019112</v>
      </c>
      <c r="C10578" t="s">
        <v>4852</v>
      </c>
      <c r="D10578" t="s">
        <v>442</v>
      </c>
      <c r="E10578" t="s">
        <v>441</v>
      </c>
      <c r="F10578">
        <v>0.5</v>
      </c>
      <c r="G10578">
        <v>6.15</v>
      </c>
      <c r="H10578" t="s">
        <v>8587</v>
      </c>
      <c r="I10578">
        <v>35</v>
      </c>
      <c r="J10578" t="s">
        <v>462</v>
      </c>
      <c r="K10578" t="s">
        <v>446</v>
      </c>
      <c r="M10578">
        <v>3711</v>
      </c>
      <c r="N10578" t="s">
        <v>16904</v>
      </c>
    </row>
    <row r="10579" spans="1:14">
      <c r="A10579">
        <v>65144240</v>
      </c>
      <c r="B10579">
        <v>4019113</v>
      </c>
      <c r="C10579" t="s">
        <v>4853</v>
      </c>
      <c r="D10579" t="s">
        <v>442</v>
      </c>
      <c r="E10579" t="s">
        <v>441</v>
      </c>
      <c r="F10579">
        <v>0.5</v>
      </c>
      <c r="G10579">
        <v>6.12</v>
      </c>
      <c r="H10579" t="s">
        <v>8587</v>
      </c>
      <c r="I10579">
        <v>35</v>
      </c>
      <c r="J10579" t="s">
        <v>462</v>
      </c>
      <c r="K10579" t="s">
        <v>446</v>
      </c>
      <c r="M10579">
        <v>3711</v>
      </c>
      <c r="N10579" t="s">
        <v>16904</v>
      </c>
    </row>
    <row r="10580" spans="1:14">
      <c r="A10580">
        <v>65144250</v>
      </c>
      <c r="B10580">
        <v>4019117</v>
      </c>
      <c r="C10580" t="s">
        <v>4854</v>
      </c>
      <c r="D10580" t="s">
        <v>442</v>
      </c>
      <c r="E10580" t="s">
        <v>441</v>
      </c>
      <c r="F10580">
        <v>0.5</v>
      </c>
      <c r="G10580">
        <v>5.84</v>
      </c>
      <c r="H10580" t="s">
        <v>8587</v>
      </c>
      <c r="I10580">
        <v>35</v>
      </c>
      <c r="J10580" t="s">
        <v>462</v>
      </c>
      <c r="K10580" t="s">
        <v>446</v>
      </c>
      <c r="M10580">
        <v>3711</v>
      </c>
      <c r="N10580" t="s">
        <v>16905</v>
      </c>
    </row>
    <row r="10581" spans="1:14">
      <c r="A10581">
        <v>65150000</v>
      </c>
      <c r="B10581">
        <v>3029643</v>
      </c>
      <c r="C10581" t="s">
        <v>13109</v>
      </c>
      <c r="D10581" t="s">
        <v>441</v>
      </c>
      <c r="F10581">
        <v>0</v>
      </c>
      <c r="G10581">
        <v>8.19</v>
      </c>
      <c r="H10581" t="s">
        <v>12573</v>
      </c>
      <c r="I10581">
        <v>4</v>
      </c>
      <c r="J10581" t="s">
        <v>445</v>
      </c>
      <c r="K10581" t="s">
        <v>446</v>
      </c>
      <c r="M10581">
        <v>3312</v>
      </c>
      <c r="N10581" t="s">
        <v>16906</v>
      </c>
    </row>
    <row r="10582" spans="1:14">
      <c r="A10582">
        <v>65150008</v>
      </c>
      <c r="B10582">
        <v>3029642</v>
      </c>
      <c r="C10582" t="s">
        <v>13110</v>
      </c>
      <c r="D10582" t="s">
        <v>441</v>
      </c>
      <c r="F10582">
        <v>0</v>
      </c>
      <c r="G10582">
        <v>6.71</v>
      </c>
      <c r="H10582" t="s">
        <v>12664</v>
      </c>
      <c r="I10582">
        <v>2</v>
      </c>
      <c r="J10582" t="s">
        <v>445</v>
      </c>
      <c r="K10582" t="s">
        <v>446</v>
      </c>
      <c r="M10582">
        <v>3211</v>
      </c>
      <c r="N10582" t="s">
        <v>16907</v>
      </c>
    </row>
    <row r="10583" spans="1:14">
      <c r="A10583">
        <v>65154210</v>
      </c>
      <c r="B10583">
        <v>4019756</v>
      </c>
      <c r="C10583" t="s">
        <v>13111</v>
      </c>
      <c r="D10583" t="s">
        <v>442</v>
      </c>
      <c r="E10583" t="s">
        <v>441</v>
      </c>
      <c r="F10583">
        <v>0.24</v>
      </c>
      <c r="G10583">
        <v>2.72</v>
      </c>
      <c r="H10583" t="s">
        <v>8587</v>
      </c>
      <c r="I10583">
        <v>33</v>
      </c>
      <c r="J10583" t="s">
        <v>462</v>
      </c>
      <c r="K10583" t="s">
        <v>446</v>
      </c>
      <c r="L10583" t="s">
        <v>13112</v>
      </c>
      <c r="M10583">
        <v>3711</v>
      </c>
      <c r="N10583" t="s">
        <v>16906</v>
      </c>
    </row>
    <row r="10584" spans="1:14">
      <c r="A10584">
        <v>65154211</v>
      </c>
      <c r="B10584">
        <v>3030627</v>
      </c>
      <c r="C10584" t="s">
        <v>13113</v>
      </c>
      <c r="D10584" t="s">
        <v>442</v>
      </c>
      <c r="E10584" t="s">
        <v>441</v>
      </c>
      <c r="F10584">
        <v>0.24</v>
      </c>
      <c r="G10584">
        <v>2.5299999999999998</v>
      </c>
      <c r="H10584" t="s">
        <v>8587</v>
      </c>
      <c r="I10584">
        <v>33</v>
      </c>
      <c r="J10584" t="s">
        <v>445</v>
      </c>
      <c r="K10584" t="s">
        <v>446</v>
      </c>
      <c r="M10584">
        <v>3711</v>
      </c>
      <c r="N10584" t="s">
        <v>16906</v>
      </c>
    </row>
    <row r="10585" spans="1:14">
      <c r="A10585">
        <v>65154220</v>
      </c>
      <c r="B10585">
        <v>4020283</v>
      </c>
      <c r="C10585" t="s">
        <v>13114</v>
      </c>
      <c r="D10585" t="s">
        <v>442</v>
      </c>
      <c r="E10585" t="s">
        <v>441</v>
      </c>
      <c r="F10585">
        <v>0.24</v>
      </c>
      <c r="G10585">
        <v>2.8</v>
      </c>
      <c r="H10585" t="s">
        <v>8587</v>
      </c>
      <c r="I10585">
        <v>33</v>
      </c>
      <c r="J10585" t="s">
        <v>462</v>
      </c>
      <c r="K10585" t="s">
        <v>446</v>
      </c>
      <c r="L10585" t="s">
        <v>13115</v>
      </c>
      <c r="M10585">
        <v>3711</v>
      </c>
      <c r="N10585" t="s">
        <v>16906</v>
      </c>
    </row>
    <row r="10586" spans="1:14">
      <c r="A10586">
        <v>65154230</v>
      </c>
      <c r="B10586">
        <v>4020384</v>
      </c>
      <c r="C10586" t="s">
        <v>13116</v>
      </c>
      <c r="D10586" t="s">
        <v>442</v>
      </c>
      <c r="E10586" t="s">
        <v>441</v>
      </c>
      <c r="F10586">
        <v>0.24</v>
      </c>
      <c r="G10586">
        <v>2.68</v>
      </c>
      <c r="H10586" t="s">
        <v>8587</v>
      </c>
      <c r="I10586">
        <v>33</v>
      </c>
      <c r="J10586" t="s">
        <v>462</v>
      </c>
      <c r="K10586" t="s">
        <v>446</v>
      </c>
      <c r="L10586" t="s">
        <v>13117</v>
      </c>
      <c r="M10586">
        <v>3711</v>
      </c>
      <c r="N10586" t="s">
        <v>16906</v>
      </c>
    </row>
    <row r="10587" spans="1:14">
      <c r="A10587">
        <v>65154240</v>
      </c>
      <c r="B10587">
        <v>4020361</v>
      </c>
      <c r="C10587" t="s">
        <v>13118</v>
      </c>
      <c r="D10587" t="s">
        <v>442</v>
      </c>
      <c r="E10587" t="s">
        <v>441</v>
      </c>
      <c r="F10587">
        <v>1</v>
      </c>
      <c r="G10587">
        <v>9.7899999999999991</v>
      </c>
      <c r="H10587" t="s">
        <v>8587</v>
      </c>
      <c r="I10587">
        <v>33</v>
      </c>
      <c r="J10587" t="s">
        <v>462</v>
      </c>
      <c r="K10587" t="s">
        <v>446</v>
      </c>
      <c r="L10587" t="s">
        <v>13119</v>
      </c>
      <c r="M10587">
        <v>3711</v>
      </c>
      <c r="N10587" t="s">
        <v>16906</v>
      </c>
    </row>
    <row r="10588" spans="1:14">
      <c r="A10588">
        <v>65154242</v>
      </c>
      <c r="B10588">
        <v>4021191</v>
      </c>
      <c r="C10588" t="s">
        <v>13120</v>
      </c>
      <c r="D10588" t="s">
        <v>442</v>
      </c>
      <c r="E10588" t="s">
        <v>441</v>
      </c>
      <c r="F10588">
        <v>1</v>
      </c>
      <c r="G10588">
        <v>10.050000000000001</v>
      </c>
      <c r="H10588" t="s">
        <v>8587</v>
      </c>
      <c r="I10588">
        <v>365</v>
      </c>
      <c r="J10588" t="s">
        <v>462</v>
      </c>
      <c r="K10588" t="s">
        <v>446</v>
      </c>
      <c r="L10588" t="s">
        <v>13121</v>
      </c>
      <c r="M10588">
        <v>2501</v>
      </c>
      <c r="N10588" t="s">
        <v>16906</v>
      </c>
    </row>
    <row r="10589" spans="1:14">
      <c r="A10589">
        <v>65154245</v>
      </c>
      <c r="B10589">
        <v>3031698</v>
      </c>
      <c r="C10589" t="s">
        <v>13122</v>
      </c>
      <c r="D10589" t="s">
        <v>442</v>
      </c>
      <c r="E10589" t="s">
        <v>441</v>
      </c>
      <c r="F10589">
        <v>1</v>
      </c>
      <c r="G10589">
        <v>10.43</v>
      </c>
      <c r="H10589" t="s">
        <v>8587</v>
      </c>
      <c r="I10589">
        <v>365</v>
      </c>
      <c r="J10589" t="s">
        <v>445</v>
      </c>
      <c r="K10589" t="s">
        <v>446</v>
      </c>
      <c r="L10589" t="s">
        <v>13121</v>
      </c>
      <c r="M10589">
        <v>3711</v>
      </c>
      <c r="N10589" t="s">
        <v>16906</v>
      </c>
    </row>
    <row r="10590" spans="1:14">
      <c r="A10590">
        <v>65154250</v>
      </c>
      <c r="B10590">
        <v>4020359</v>
      </c>
      <c r="C10590" t="s">
        <v>13123</v>
      </c>
      <c r="D10590" t="s">
        <v>442</v>
      </c>
      <c r="E10590" t="s">
        <v>441</v>
      </c>
      <c r="F10590">
        <v>0.24</v>
      </c>
      <c r="G10590">
        <v>2.63</v>
      </c>
      <c r="H10590" t="s">
        <v>8587</v>
      </c>
      <c r="I10590">
        <v>33</v>
      </c>
      <c r="J10590" t="s">
        <v>462</v>
      </c>
      <c r="K10590" t="s">
        <v>446</v>
      </c>
      <c r="L10590" t="s">
        <v>13124</v>
      </c>
      <c r="M10590">
        <v>3711</v>
      </c>
      <c r="N10590" t="s">
        <v>16906</v>
      </c>
    </row>
    <row r="10591" spans="1:14">
      <c r="A10591">
        <v>65154260</v>
      </c>
      <c r="B10591">
        <v>4020375</v>
      </c>
      <c r="C10591" t="s">
        <v>13125</v>
      </c>
      <c r="D10591" t="s">
        <v>442</v>
      </c>
      <c r="E10591" t="s">
        <v>441</v>
      </c>
      <c r="F10591">
        <v>0.24</v>
      </c>
      <c r="G10591">
        <v>2.5299999999999998</v>
      </c>
      <c r="H10591" t="s">
        <v>8587</v>
      </c>
      <c r="I10591">
        <v>33</v>
      </c>
      <c r="J10591" t="s">
        <v>462</v>
      </c>
      <c r="K10591" t="s">
        <v>446</v>
      </c>
      <c r="M10591">
        <v>3711</v>
      </c>
      <c r="N10591" t="s">
        <v>16906</v>
      </c>
    </row>
    <row r="10592" spans="1:14">
      <c r="A10592">
        <v>65154270</v>
      </c>
      <c r="B10592">
        <v>4021051</v>
      </c>
      <c r="C10592" t="s">
        <v>13126</v>
      </c>
      <c r="D10592" t="s">
        <v>442</v>
      </c>
      <c r="E10592" t="s">
        <v>441</v>
      </c>
      <c r="F10592">
        <v>0.24</v>
      </c>
      <c r="G10592">
        <v>2.62</v>
      </c>
      <c r="H10592" t="s">
        <v>8587</v>
      </c>
      <c r="I10592">
        <v>33</v>
      </c>
      <c r="J10592" t="s">
        <v>462</v>
      </c>
      <c r="K10592" t="s">
        <v>446</v>
      </c>
      <c r="L10592" t="s">
        <v>13124</v>
      </c>
      <c r="M10592">
        <v>3711</v>
      </c>
      <c r="N10592" t="s">
        <v>16906</v>
      </c>
    </row>
    <row r="10593" spans="1:14">
      <c r="A10593">
        <v>65160000</v>
      </c>
      <c r="B10593">
        <v>3029646</v>
      </c>
      <c r="C10593" t="s">
        <v>4855</v>
      </c>
      <c r="D10593" t="s">
        <v>441</v>
      </c>
      <c r="F10593">
        <v>0</v>
      </c>
      <c r="G10593">
        <v>9.67</v>
      </c>
      <c r="H10593" t="s">
        <v>12573</v>
      </c>
      <c r="I10593">
        <v>5</v>
      </c>
      <c r="J10593" t="s">
        <v>445</v>
      </c>
      <c r="K10593" t="s">
        <v>446</v>
      </c>
      <c r="M10593">
        <v>3312</v>
      </c>
      <c r="N10593" t="s">
        <v>16908</v>
      </c>
    </row>
    <row r="10594" spans="1:14">
      <c r="A10594">
        <v>65160008</v>
      </c>
      <c r="B10594">
        <v>3029645</v>
      </c>
      <c r="C10594" t="s">
        <v>4856</v>
      </c>
      <c r="D10594" t="s">
        <v>441</v>
      </c>
      <c r="F10594">
        <v>0</v>
      </c>
      <c r="G10594">
        <v>8.33</v>
      </c>
      <c r="H10594" t="s">
        <v>12664</v>
      </c>
      <c r="I10594">
        <v>2</v>
      </c>
      <c r="J10594" t="s">
        <v>445</v>
      </c>
      <c r="K10594" t="s">
        <v>446</v>
      </c>
      <c r="M10594">
        <v>3211</v>
      </c>
      <c r="N10594" t="s">
        <v>16908</v>
      </c>
    </row>
    <row r="10595" spans="1:14">
      <c r="A10595">
        <v>65170000</v>
      </c>
      <c r="B10595">
        <v>3029963</v>
      </c>
      <c r="C10595" t="s">
        <v>4857</v>
      </c>
      <c r="D10595" t="s">
        <v>441</v>
      </c>
      <c r="F10595">
        <v>0</v>
      </c>
      <c r="G10595">
        <v>9.11</v>
      </c>
      <c r="H10595" t="s">
        <v>12573</v>
      </c>
      <c r="I10595">
        <v>4</v>
      </c>
      <c r="J10595" t="s">
        <v>445</v>
      </c>
      <c r="K10595" t="s">
        <v>446</v>
      </c>
      <c r="M10595">
        <v>3311</v>
      </c>
      <c r="N10595" t="s">
        <v>16909</v>
      </c>
    </row>
    <row r="10596" spans="1:14">
      <c r="A10596">
        <v>65170002</v>
      </c>
      <c r="B10596">
        <v>4020332</v>
      </c>
      <c r="C10596" t="s">
        <v>4858</v>
      </c>
      <c r="D10596" t="s">
        <v>441</v>
      </c>
      <c r="F10596">
        <v>0</v>
      </c>
      <c r="G10596">
        <v>9.82</v>
      </c>
      <c r="H10596" t="s">
        <v>8587</v>
      </c>
      <c r="I10596">
        <v>365</v>
      </c>
      <c r="J10596" t="s">
        <v>462</v>
      </c>
      <c r="K10596" t="s">
        <v>446</v>
      </c>
      <c r="M10596">
        <v>2501</v>
      </c>
      <c r="N10596" t="s">
        <v>16909</v>
      </c>
    </row>
    <row r="10597" spans="1:14">
      <c r="A10597">
        <v>65170008</v>
      </c>
      <c r="B10597">
        <v>3029962</v>
      </c>
      <c r="C10597" t="s">
        <v>4859</v>
      </c>
      <c r="D10597" t="s">
        <v>441</v>
      </c>
      <c r="F10597">
        <v>0</v>
      </c>
      <c r="G10597">
        <v>7.84</v>
      </c>
      <c r="H10597" t="s">
        <v>12664</v>
      </c>
      <c r="I10597">
        <v>2</v>
      </c>
      <c r="J10597" t="s">
        <v>445</v>
      </c>
      <c r="K10597" t="s">
        <v>446</v>
      </c>
      <c r="M10597">
        <v>3211</v>
      </c>
      <c r="N10597" t="s">
        <v>16910</v>
      </c>
    </row>
    <row r="10598" spans="1:14">
      <c r="A10598">
        <v>65170502</v>
      </c>
      <c r="B10598">
        <v>3030425</v>
      </c>
      <c r="C10598" t="s">
        <v>4860</v>
      </c>
      <c r="D10598" t="s">
        <v>441</v>
      </c>
      <c r="F10598">
        <v>0</v>
      </c>
      <c r="G10598">
        <v>9.4700000000000006</v>
      </c>
      <c r="H10598" t="s">
        <v>8587</v>
      </c>
      <c r="I10598">
        <v>365</v>
      </c>
      <c r="J10598" t="s">
        <v>445</v>
      </c>
      <c r="K10598" t="s">
        <v>446</v>
      </c>
      <c r="M10598">
        <v>3711</v>
      </c>
      <c r="N10598" t="s">
        <v>16909</v>
      </c>
    </row>
    <row r="10599" spans="1:14">
      <c r="A10599">
        <v>65172000</v>
      </c>
      <c r="B10599">
        <v>4020333</v>
      </c>
      <c r="C10599" t="s">
        <v>4861</v>
      </c>
      <c r="D10599" t="s">
        <v>441</v>
      </c>
      <c r="F10599">
        <v>0</v>
      </c>
      <c r="G10599">
        <v>8.5299999999999994</v>
      </c>
      <c r="H10599" t="s">
        <v>8588</v>
      </c>
      <c r="I10599">
        <v>2</v>
      </c>
      <c r="J10599" t="s">
        <v>462</v>
      </c>
      <c r="K10599" t="s">
        <v>446</v>
      </c>
      <c r="M10599">
        <v>3711</v>
      </c>
      <c r="N10599" t="s">
        <v>16909</v>
      </c>
    </row>
    <row r="10600" spans="1:14">
      <c r="A10600">
        <v>65174210</v>
      </c>
      <c r="B10600">
        <v>4019942</v>
      </c>
      <c r="C10600" t="s">
        <v>4862</v>
      </c>
      <c r="D10600" t="s">
        <v>442</v>
      </c>
      <c r="E10600" t="s">
        <v>441</v>
      </c>
      <c r="F10600">
        <v>0.5</v>
      </c>
      <c r="G10600">
        <v>5.01</v>
      </c>
      <c r="H10600" t="s">
        <v>8587</v>
      </c>
      <c r="I10600">
        <v>22</v>
      </c>
      <c r="J10600" t="s">
        <v>462</v>
      </c>
      <c r="K10600" t="s">
        <v>446</v>
      </c>
      <c r="M10600">
        <v>3711</v>
      </c>
      <c r="N10600" t="s">
        <v>16909</v>
      </c>
    </row>
    <row r="10601" spans="1:14">
      <c r="A10601">
        <v>65180000</v>
      </c>
      <c r="B10601">
        <v>3029977</v>
      </c>
      <c r="C10601" t="s">
        <v>4863</v>
      </c>
      <c r="D10601" t="s">
        <v>441</v>
      </c>
      <c r="F10601">
        <v>0</v>
      </c>
      <c r="G10601">
        <v>17.510000000000002</v>
      </c>
      <c r="H10601" t="s">
        <v>12573</v>
      </c>
      <c r="I10601">
        <v>6</v>
      </c>
      <c r="J10601" t="s">
        <v>445</v>
      </c>
      <c r="K10601" t="s">
        <v>446</v>
      </c>
      <c r="M10601">
        <v>3312</v>
      </c>
      <c r="N10601" t="s">
        <v>16911</v>
      </c>
    </row>
    <row r="10602" spans="1:14">
      <c r="A10602">
        <v>65180008</v>
      </c>
      <c r="B10602">
        <v>3029976</v>
      </c>
      <c r="C10602" t="s">
        <v>4864</v>
      </c>
      <c r="D10602" t="s">
        <v>441</v>
      </c>
      <c r="F10602">
        <v>0</v>
      </c>
      <c r="G10602">
        <v>11.9</v>
      </c>
      <c r="H10602" t="s">
        <v>12664</v>
      </c>
      <c r="I10602">
        <v>2</v>
      </c>
      <c r="J10602" t="s">
        <v>445</v>
      </c>
      <c r="K10602" t="s">
        <v>446</v>
      </c>
      <c r="M10602">
        <v>3211</v>
      </c>
      <c r="N10602" t="s">
        <v>16911</v>
      </c>
    </row>
    <row r="10603" spans="1:14">
      <c r="A10603">
        <v>65180009</v>
      </c>
      <c r="B10603">
        <v>3029978</v>
      </c>
      <c r="C10603" t="s">
        <v>4865</v>
      </c>
      <c r="D10603" t="s">
        <v>441</v>
      </c>
      <c r="F10603">
        <v>0</v>
      </c>
      <c r="G10603">
        <v>16.010000000000002</v>
      </c>
      <c r="H10603" t="s">
        <v>12573</v>
      </c>
      <c r="I10603">
        <v>6</v>
      </c>
      <c r="J10603" t="s">
        <v>445</v>
      </c>
      <c r="K10603" t="s">
        <v>446</v>
      </c>
      <c r="M10603">
        <v>3311</v>
      </c>
      <c r="N10603" t="s">
        <v>16911</v>
      </c>
    </row>
    <row r="10604" spans="1:14">
      <c r="A10604">
        <v>65184211</v>
      </c>
      <c r="B10604">
        <v>3030002</v>
      </c>
      <c r="C10604" t="s">
        <v>4866</v>
      </c>
      <c r="D10604" t="s">
        <v>442</v>
      </c>
      <c r="E10604" t="s">
        <v>441</v>
      </c>
      <c r="F10604">
        <v>0.35</v>
      </c>
      <c r="G10604">
        <v>6.91</v>
      </c>
      <c r="H10604" t="s">
        <v>8587</v>
      </c>
      <c r="I10604">
        <v>35</v>
      </c>
      <c r="J10604" t="s">
        <v>445</v>
      </c>
      <c r="K10604" t="s">
        <v>446</v>
      </c>
      <c r="M10604">
        <v>3711</v>
      </c>
      <c r="N10604" t="s">
        <v>16911</v>
      </c>
    </row>
    <row r="10605" spans="1:14">
      <c r="A10605">
        <v>65190000</v>
      </c>
      <c r="B10605">
        <v>3030003</v>
      </c>
      <c r="C10605" t="s">
        <v>4867</v>
      </c>
      <c r="D10605" t="s">
        <v>441</v>
      </c>
      <c r="F10605">
        <v>0</v>
      </c>
      <c r="G10605">
        <v>17.649999999999999</v>
      </c>
      <c r="H10605" t="s">
        <v>12573</v>
      </c>
      <c r="I10605">
        <v>6</v>
      </c>
      <c r="J10605" t="s">
        <v>445</v>
      </c>
      <c r="K10605" t="s">
        <v>446</v>
      </c>
      <c r="M10605">
        <v>3312</v>
      </c>
      <c r="N10605" t="s">
        <v>16912</v>
      </c>
    </row>
    <row r="10606" spans="1:14">
      <c r="A10606">
        <v>65190008</v>
      </c>
      <c r="B10606">
        <v>3030000</v>
      </c>
      <c r="C10606" t="s">
        <v>4868</v>
      </c>
      <c r="D10606" t="s">
        <v>441</v>
      </c>
      <c r="F10606">
        <v>0</v>
      </c>
      <c r="G10606">
        <v>12</v>
      </c>
      <c r="H10606" t="s">
        <v>12664</v>
      </c>
      <c r="I10606">
        <v>2</v>
      </c>
      <c r="J10606" t="s">
        <v>445</v>
      </c>
      <c r="K10606" t="s">
        <v>446</v>
      </c>
      <c r="M10606">
        <v>3211</v>
      </c>
      <c r="N10606" t="s">
        <v>16912</v>
      </c>
    </row>
    <row r="10607" spans="1:14">
      <c r="A10607">
        <v>65190009</v>
      </c>
      <c r="B10607">
        <v>3030001</v>
      </c>
      <c r="C10607" t="s">
        <v>4869</v>
      </c>
      <c r="D10607" t="s">
        <v>441</v>
      </c>
      <c r="F10607">
        <v>0</v>
      </c>
      <c r="G10607">
        <v>16.149999999999999</v>
      </c>
      <c r="H10607" t="s">
        <v>12573</v>
      </c>
      <c r="I10607">
        <v>6</v>
      </c>
      <c r="J10607" t="s">
        <v>445</v>
      </c>
      <c r="K10607" t="s">
        <v>446</v>
      </c>
      <c r="M10607">
        <v>3311</v>
      </c>
      <c r="N10607" t="s">
        <v>16912</v>
      </c>
    </row>
    <row r="10608" spans="1:14">
      <c r="A10608">
        <v>65194211</v>
      </c>
      <c r="B10608">
        <v>3030004</v>
      </c>
      <c r="C10608" t="s">
        <v>4870</v>
      </c>
      <c r="D10608" t="s">
        <v>442</v>
      </c>
      <c r="E10608" t="s">
        <v>441</v>
      </c>
      <c r="F10608">
        <v>0.35</v>
      </c>
      <c r="G10608">
        <v>6.96</v>
      </c>
      <c r="H10608" t="s">
        <v>8587</v>
      </c>
      <c r="I10608">
        <v>35</v>
      </c>
      <c r="J10608" t="s">
        <v>445</v>
      </c>
      <c r="K10608" t="s">
        <v>446</v>
      </c>
      <c r="M10608">
        <v>3711</v>
      </c>
      <c r="N10608" t="s">
        <v>16912</v>
      </c>
    </row>
    <row r="10609" spans="1:14">
      <c r="A10609">
        <v>65200000</v>
      </c>
      <c r="B10609">
        <v>3043791</v>
      </c>
      <c r="C10609" t="s">
        <v>13127</v>
      </c>
      <c r="D10609" t="s">
        <v>441</v>
      </c>
      <c r="F10609">
        <v>0</v>
      </c>
      <c r="G10609">
        <v>10.15</v>
      </c>
      <c r="H10609" t="s">
        <v>12573</v>
      </c>
      <c r="I10609">
        <v>4</v>
      </c>
      <c r="J10609" t="s">
        <v>445</v>
      </c>
      <c r="M10609">
        <v>3349</v>
      </c>
      <c r="N10609" t="s">
        <v>16794</v>
      </c>
    </row>
    <row r="10610" spans="1:14">
      <c r="A10610">
        <v>65200008</v>
      </c>
      <c r="B10610">
        <v>3043792</v>
      </c>
      <c r="C10610" t="s">
        <v>13128</v>
      </c>
      <c r="D10610" t="s">
        <v>441</v>
      </c>
      <c r="F10610">
        <v>0</v>
      </c>
      <c r="G10610">
        <v>8.3800000000000008</v>
      </c>
      <c r="H10610" t="s">
        <v>12664</v>
      </c>
      <c r="I10610">
        <v>2</v>
      </c>
      <c r="J10610" t="s">
        <v>445</v>
      </c>
      <c r="M10610">
        <v>6666</v>
      </c>
      <c r="N10610" t="s">
        <v>16902</v>
      </c>
    </row>
    <row r="10611" spans="1:14">
      <c r="A10611">
        <v>65204210</v>
      </c>
      <c r="B10611">
        <v>4019964</v>
      </c>
      <c r="C10611" t="s">
        <v>13129</v>
      </c>
      <c r="D10611" t="s">
        <v>442</v>
      </c>
      <c r="E10611" t="s">
        <v>441</v>
      </c>
      <c r="F10611">
        <v>0.35</v>
      </c>
      <c r="G10611">
        <v>7.41</v>
      </c>
      <c r="H10611" t="s">
        <v>8587</v>
      </c>
      <c r="I10611">
        <v>35</v>
      </c>
      <c r="J10611" t="s">
        <v>462</v>
      </c>
      <c r="K10611" t="s">
        <v>446</v>
      </c>
      <c r="L10611" t="s">
        <v>13130</v>
      </c>
      <c r="M10611">
        <v>3711</v>
      </c>
      <c r="N10611" t="s">
        <v>16913</v>
      </c>
    </row>
    <row r="10612" spans="1:14">
      <c r="A10612">
        <v>65214210</v>
      </c>
      <c r="B10612">
        <v>4010117</v>
      </c>
      <c r="C10612" t="s">
        <v>13131</v>
      </c>
      <c r="D10612" t="s">
        <v>442</v>
      </c>
      <c r="E10612" t="s">
        <v>441</v>
      </c>
      <c r="F10612">
        <v>0.18</v>
      </c>
      <c r="G10612">
        <v>3.59</v>
      </c>
      <c r="H10612" t="s">
        <v>8587</v>
      </c>
      <c r="I10612">
        <v>81</v>
      </c>
      <c r="J10612" t="s">
        <v>462</v>
      </c>
      <c r="K10612" t="s">
        <v>446</v>
      </c>
      <c r="M10612">
        <v>3711</v>
      </c>
    </row>
    <row r="10613" spans="1:14">
      <c r="A10613">
        <v>65220000</v>
      </c>
      <c r="B10613">
        <v>3019124</v>
      </c>
      <c r="C10613" t="s">
        <v>13132</v>
      </c>
      <c r="D10613" t="s">
        <v>441</v>
      </c>
      <c r="F10613">
        <v>0</v>
      </c>
      <c r="G10613">
        <v>14.12</v>
      </c>
      <c r="H10613" t="s">
        <v>8634</v>
      </c>
      <c r="I10613">
        <v>7</v>
      </c>
      <c r="J10613" t="s">
        <v>445</v>
      </c>
      <c r="K10613" t="s">
        <v>446</v>
      </c>
      <c r="M10613">
        <v>3311</v>
      </c>
    </row>
    <row r="10614" spans="1:14">
      <c r="A10614">
        <v>65220008</v>
      </c>
      <c r="B10614">
        <v>3019131</v>
      </c>
      <c r="C10614" t="s">
        <v>13133</v>
      </c>
      <c r="D10614" t="s">
        <v>441</v>
      </c>
      <c r="F10614">
        <v>0</v>
      </c>
      <c r="G10614">
        <v>8.23</v>
      </c>
      <c r="H10614" t="s">
        <v>8634</v>
      </c>
      <c r="I10614">
        <v>9</v>
      </c>
      <c r="J10614" t="s">
        <v>445</v>
      </c>
      <c r="K10614" t="s">
        <v>446</v>
      </c>
      <c r="M10614">
        <v>3211</v>
      </c>
    </row>
    <row r="10615" spans="1:14">
      <c r="A10615">
        <v>65224210</v>
      </c>
      <c r="B10615">
        <v>4007843</v>
      </c>
      <c r="C10615" t="s">
        <v>13134</v>
      </c>
      <c r="D10615" t="s">
        <v>442</v>
      </c>
      <c r="E10615" t="s">
        <v>441</v>
      </c>
      <c r="F10615">
        <v>0.18</v>
      </c>
      <c r="G10615">
        <v>3.23</v>
      </c>
      <c r="H10615" t="s">
        <v>8587</v>
      </c>
      <c r="I10615">
        <v>50</v>
      </c>
      <c r="J10615" t="s">
        <v>462</v>
      </c>
      <c r="K10615" t="s">
        <v>446</v>
      </c>
      <c r="M10615">
        <v>3711</v>
      </c>
    </row>
    <row r="10616" spans="1:14">
      <c r="A10616">
        <v>65224220</v>
      </c>
      <c r="B10616">
        <v>4008422</v>
      </c>
      <c r="C10616" t="s">
        <v>13135</v>
      </c>
      <c r="D10616" t="s">
        <v>442</v>
      </c>
      <c r="E10616" t="s">
        <v>441</v>
      </c>
      <c r="F10616">
        <v>0.18</v>
      </c>
      <c r="G10616">
        <v>3.28</v>
      </c>
      <c r="H10616" t="s">
        <v>8587</v>
      </c>
      <c r="I10616">
        <v>50</v>
      </c>
      <c r="J10616" t="s">
        <v>462</v>
      </c>
      <c r="K10616" t="s">
        <v>446</v>
      </c>
      <c r="M10616">
        <v>3711</v>
      </c>
    </row>
    <row r="10617" spans="1:14">
      <c r="A10617">
        <v>65224230</v>
      </c>
      <c r="B10617">
        <v>4009019</v>
      </c>
      <c r="C10617" t="s">
        <v>13136</v>
      </c>
      <c r="D10617" t="s">
        <v>442</v>
      </c>
      <c r="E10617" t="s">
        <v>441</v>
      </c>
      <c r="F10617">
        <v>0.18</v>
      </c>
      <c r="G10617">
        <v>3.29</v>
      </c>
      <c r="H10617" t="s">
        <v>8587</v>
      </c>
      <c r="I10617">
        <v>50</v>
      </c>
      <c r="J10617" t="s">
        <v>462</v>
      </c>
      <c r="K10617" t="s">
        <v>446</v>
      </c>
      <c r="M10617">
        <v>3711</v>
      </c>
    </row>
    <row r="10618" spans="1:14">
      <c r="A10618">
        <v>65230000</v>
      </c>
      <c r="B10618">
        <v>3011219</v>
      </c>
      <c r="C10618" t="s">
        <v>4871</v>
      </c>
      <c r="D10618" t="s">
        <v>441</v>
      </c>
      <c r="F10618">
        <v>0</v>
      </c>
      <c r="G10618">
        <v>21.55</v>
      </c>
      <c r="H10618" t="s">
        <v>8580</v>
      </c>
      <c r="I10618">
        <v>7</v>
      </c>
      <c r="J10618" t="s">
        <v>445</v>
      </c>
      <c r="K10618" t="s">
        <v>446</v>
      </c>
      <c r="M10618">
        <v>3312</v>
      </c>
      <c r="N10618" t="s">
        <v>16914</v>
      </c>
    </row>
    <row r="10619" spans="1:14">
      <c r="A10619">
        <v>65230008</v>
      </c>
      <c r="B10619">
        <v>3016771</v>
      </c>
      <c r="C10619" t="s">
        <v>4872</v>
      </c>
      <c r="D10619" t="s">
        <v>441</v>
      </c>
      <c r="F10619">
        <v>0</v>
      </c>
      <c r="G10619">
        <v>10.47</v>
      </c>
      <c r="H10619" t="s">
        <v>8580</v>
      </c>
      <c r="I10619">
        <v>5</v>
      </c>
      <c r="J10619" t="s">
        <v>445</v>
      </c>
      <c r="K10619" t="s">
        <v>446</v>
      </c>
      <c r="M10619">
        <v>3211</v>
      </c>
      <c r="N10619" t="s">
        <v>16914</v>
      </c>
    </row>
    <row r="10620" spans="1:14">
      <c r="A10620">
        <v>65230009</v>
      </c>
      <c r="B10620">
        <v>3016773</v>
      </c>
      <c r="C10620" t="s">
        <v>4873</v>
      </c>
      <c r="D10620" t="s">
        <v>441</v>
      </c>
      <c r="F10620">
        <v>0</v>
      </c>
      <c r="G10620">
        <v>17.559999999999999</v>
      </c>
      <c r="H10620" t="s">
        <v>8584</v>
      </c>
      <c r="I10620">
        <v>6</v>
      </c>
      <c r="J10620" t="s">
        <v>445</v>
      </c>
      <c r="K10620" t="s">
        <v>446</v>
      </c>
      <c r="M10620">
        <v>3311</v>
      </c>
      <c r="N10620" t="s">
        <v>16914</v>
      </c>
    </row>
    <row r="10621" spans="1:14">
      <c r="A10621">
        <v>65234210</v>
      </c>
      <c r="B10621">
        <v>4009386</v>
      </c>
      <c r="C10621" t="s">
        <v>4874</v>
      </c>
      <c r="D10621" t="s">
        <v>442</v>
      </c>
      <c r="E10621" t="s">
        <v>441</v>
      </c>
      <c r="F10621">
        <v>0.105</v>
      </c>
      <c r="G10621">
        <v>2.2400000000000002</v>
      </c>
      <c r="H10621" t="s">
        <v>8587</v>
      </c>
      <c r="I10621">
        <v>81</v>
      </c>
      <c r="J10621" t="s">
        <v>462</v>
      </c>
      <c r="K10621" t="s">
        <v>446</v>
      </c>
      <c r="M10621">
        <v>3711</v>
      </c>
    </row>
    <row r="10622" spans="1:14">
      <c r="A10622">
        <v>65234220</v>
      </c>
      <c r="B10622">
        <v>4009551</v>
      </c>
      <c r="C10622" t="s">
        <v>4875</v>
      </c>
      <c r="D10622" t="s">
        <v>442</v>
      </c>
      <c r="E10622" t="s">
        <v>441</v>
      </c>
      <c r="F10622">
        <v>0.105</v>
      </c>
      <c r="G10622">
        <v>2.44</v>
      </c>
      <c r="H10622" t="s">
        <v>8587</v>
      </c>
      <c r="I10622">
        <v>100</v>
      </c>
      <c r="J10622" t="s">
        <v>462</v>
      </c>
      <c r="K10622" t="s">
        <v>446</v>
      </c>
      <c r="M10622">
        <v>3711</v>
      </c>
      <c r="N10622" t="s">
        <v>16915</v>
      </c>
    </row>
    <row r="10623" spans="1:14">
      <c r="A10623">
        <v>65234230</v>
      </c>
      <c r="B10623">
        <v>4011205</v>
      </c>
      <c r="C10623" t="s">
        <v>4876</v>
      </c>
      <c r="D10623" t="s">
        <v>442</v>
      </c>
      <c r="E10623" t="s">
        <v>441</v>
      </c>
      <c r="F10623">
        <v>0.105</v>
      </c>
      <c r="G10623">
        <v>2.78</v>
      </c>
      <c r="H10623" t="s">
        <v>8587</v>
      </c>
      <c r="I10623">
        <v>100</v>
      </c>
      <c r="J10623" t="s">
        <v>462</v>
      </c>
      <c r="K10623" t="s">
        <v>446</v>
      </c>
      <c r="M10623">
        <v>3711</v>
      </c>
      <c r="N10623" t="s">
        <v>16914</v>
      </c>
    </row>
    <row r="10624" spans="1:14">
      <c r="A10624">
        <v>65234240</v>
      </c>
      <c r="B10624">
        <v>4011432</v>
      </c>
      <c r="C10624" t="s">
        <v>4877</v>
      </c>
      <c r="D10624" t="s">
        <v>442</v>
      </c>
      <c r="E10624" t="s">
        <v>441</v>
      </c>
      <c r="F10624">
        <v>1.47</v>
      </c>
      <c r="G10624">
        <v>27.73</v>
      </c>
      <c r="H10624" t="s">
        <v>8587</v>
      </c>
      <c r="I10624">
        <v>81</v>
      </c>
      <c r="J10624" t="s">
        <v>462</v>
      </c>
      <c r="K10624" t="s">
        <v>446</v>
      </c>
      <c r="M10624">
        <v>3711</v>
      </c>
    </row>
    <row r="10625" spans="1:14">
      <c r="A10625">
        <v>65234250</v>
      </c>
      <c r="B10625">
        <v>4012776</v>
      </c>
      <c r="C10625" t="s">
        <v>4878</v>
      </c>
      <c r="D10625" t="s">
        <v>442</v>
      </c>
      <c r="E10625" t="s">
        <v>441</v>
      </c>
      <c r="F10625">
        <v>0.105</v>
      </c>
      <c r="G10625">
        <v>2.4700000000000002</v>
      </c>
      <c r="H10625" t="s">
        <v>8587</v>
      </c>
      <c r="I10625">
        <v>81</v>
      </c>
      <c r="J10625" t="s">
        <v>462</v>
      </c>
      <c r="K10625" t="s">
        <v>446</v>
      </c>
      <c r="L10625" t="s">
        <v>13137</v>
      </c>
      <c r="M10625">
        <v>3711</v>
      </c>
    </row>
    <row r="10626" spans="1:14">
      <c r="A10626">
        <v>65234260</v>
      </c>
      <c r="B10626">
        <v>4013467</v>
      </c>
      <c r="C10626" t="s">
        <v>4879</v>
      </c>
      <c r="D10626" t="s">
        <v>442</v>
      </c>
      <c r="E10626" t="s">
        <v>441</v>
      </c>
      <c r="F10626">
        <v>1.47</v>
      </c>
      <c r="G10626">
        <v>35.93</v>
      </c>
      <c r="H10626" t="s">
        <v>8587</v>
      </c>
      <c r="I10626">
        <v>100</v>
      </c>
      <c r="J10626" t="s">
        <v>462</v>
      </c>
      <c r="K10626" t="s">
        <v>446</v>
      </c>
      <c r="L10626">
        <v>281194</v>
      </c>
      <c r="M10626">
        <v>3711</v>
      </c>
      <c r="N10626" t="s">
        <v>16914</v>
      </c>
    </row>
    <row r="10627" spans="1:14">
      <c r="A10627">
        <v>65234270</v>
      </c>
      <c r="B10627">
        <v>4013538</v>
      </c>
      <c r="C10627" t="s">
        <v>4880</v>
      </c>
      <c r="D10627" t="s">
        <v>442</v>
      </c>
      <c r="E10627" t="s">
        <v>441</v>
      </c>
      <c r="F10627">
        <v>0.105</v>
      </c>
      <c r="G10627">
        <v>2.52</v>
      </c>
      <c r="H10627" t="s">
        <v>8587</v>
      </c>
      <c r="I10627">
        <v>100</v>
      </c>
      <c r="J10627" t="s">
        <v>462</v>
      </c>
      <c r="K10627" t="s">
        <v>446</v>
      </c>
      <c r="L10627">
        <v>55130171</v>
      </c>
      <c r="M10627">
        <v>3711</v>
      </c>
      <c r="N10627" t="s">
        <v>16914</v>
      </c>
    </row>
    <row r="10628" spans="1:14">
      <c r="A10628">
        <v>65234280</v>
      </c>
      <c r="B10628">
        <v>4014867</v>
      </c>
      <c r="C10628" t="s">
        <v>4881</v>
      </c>
      <c r="D10628" t="s">
        <v>442</v>
      </c>
      <c r="E10628" t="s">
        <v>441</v>
      </c>
      <c r="F10628">
        <v>0.105</v>
      </c>
      <c r="G10628">
        <v>2.74</v>
      </c>
      <c r="H10628" t="s">
        <v>8587</v>
      </c>
      <c r="I10628">
        <v>81</v>
      </c>
      <c r="J10628" t="s">
        <v>462</v>
      </c>
      <c r="K10628" t="s">
        <v>446</v>
      </c>
      <c r="M10628">
        <v>3711</v>
      </c>
    </row>
    <row r="10629" spans="1:14">
      <c r="A10629">
        <v>65234290</v>
      </c>
      <c r="B10629">
        <v>4013737</v>
      </c>
      <c r="C10629" t="s">
        <v>4882</v>
      </c>
      <c r="D10629" t="s">
        <v>442</v>
      </c>
      <c r="E10629" t="s">
        <v>441</v>
      </c>
      <c r="F10629">
        <v>0.105</v>
      </c>
      <c r="G10629">
        <v>2.5</v>
      </c>
      <c r="H10629" t="s">
        <v>8587</v>
      </c>
      <c r="I10629">
        <v>100</v>
      </c>
      <c r="J10629" t="s">
        <v>462</v>
      </c>
      <c r="K10629" t="s">
        <v>446</v>
      </c>
      <c r="L10629" t="s">
        <v>13138</v>
      </c>
      <c r="M10629">
        <v>3711</v>
      </c>
      <c r="N10629" t="s">
        <v>16914</v>
      </c>
    </row>
    <row r="10630" spans="1:14">
      <c r="A10630">
        <v>65236210</v>
      </c>
      <c r="B10630">
        <v>4014252</v>
      </c>
      <c r="C10630" t="s">
        <v>4883</v>
      </c>
      <c r="D10630" t="s">
        <v>442</v>
      </c>
      <c r="E10630" t="s">
        <v>441</v>
      </c>
      <c r="F10630">
        <v>0.105</v>
      </c>
      <c r="G10630">
        <v>2.48</v>
      </c>
      <c r="H10630" t="s">
        <v>8587</v>
      </c>
      <c r="I10630">
        <v>81</v>
      </c>
      <c r="J10630" t="s">
        <v>462</v>
      </c>
      <c r="K10630" t="s">
        <v>446</v>
      </c>
      <c r="M10630">
        <v>3711</v>
      </c>
    </row>
    <row r="10631" spans="1:14">
      <c r="A10631">
        <v>65236220</v>
      </c>
      <c r="B10631">
        <v>4015187</v>
      </c>
      <c r="C10631" t="s">
        <v>4884</v>
      </c>
      <c r="D10631" t="s">
        <v>442</v>
      </c>
      <c r="E10631" t="s">
        <v>441</v>
      </c>
      <c r="F10631">
        <v>0.105</v>
      </c>
      <c r="G10631">
        <v>2.4500000000000002</v>
      </c>
      <c r="H10631" t="s">
        <v>8587</v>
      </c>
      <c r="I10631">
        <v>100</v>
      </c>
      <c r="J10631" t="s">
        <v>462</v>
      </c>
      <c r="K10631" t="s">
        <v>446</v>
      </c>
      <c r="M10631">
        <v>3711</v>
      </c>
      <c r="N10631" t="s">
        <v>16915</v>
      </c>
    </row>
    <row r="10632" spans="1:14">
      <c r="A10632">
        <v>65236230</v>
      </c>
      <c r="B10632">
        <v>4015753</v>
      </c>
      <c r="C10632" t="s">
        <v>4885</v>
      </c>
      <c r="D10632" t="s">
        <v>442</v>
      </c>
      <c r="E10632" t="s">
        <v>441</v>
      </c>
      <c r="F10632">
        <v>0.105</v>
      </c>
      <c r="G10632">
        <v>2.17</v>
      </c>
      <c r="H10632" t="s">
        <v>8587</v>
      </c>
      <c r="I10632">
        <v>81</v>
      </c>
      <c r="J10632" t="s">
        <v>462</v>
      </c>
      <c r="K10632" t="s">
        <v>446</v>
      </c>
      <c r="M10632">
        <v>3711</v>
      </c>
    </row>
    <row r="10633" spans="1:14">
      <c r="A10633">
        <v>65236240</v>
      </c>
      <c r="B10633">
        <v>4021168</v>
      </c>
      <c r="C10633" t="s">
        <v>4886</v>
      </c>
      <c r="D10633" t="s">
        <v>442</v>
      </c>
      <c r="E10633" t="s">
        <v>441</v>
      </c>
      <c r="F10633">
        <v>0.105</v>
      </c>
      <c r="G10633">
        <v>2.54</v>
      </c>
      <c r="H10633" t="s">
        <v>8587</v>
      </c>
      <c r="I10633">
        <v>100</v>
      </c>
      <c r="J10633" t="s">
        <v>462</v>
      </c>
      <c r="K10633" t="s">
        <v>446</v>
      </c>
      <c r="L10633" t="s">
        <v>13139</v>
      </c>
      <c r="M10633">
        <v>3711</v>
      </c>
      <c r="N10633" t="s">
        <v>16914</v>
      </c>
    </row>
    <row r="10634" spans="1:14">
      <c r="A10634">
        <v>65240000</v>
      </c>
      <c r="B10634">
        <v>3011215</v>
      </c>
      <c r="C10634" t="s">
        <v>4887</v>
      </c>
      <c r="D10634" t="s">
        <v>441</v>
      </c>
      <c r="F10634">
        <v>0</v>
      </c>
      <c r="G10634">
        <v>22.03</v>
      </c>
      <c r="H10634" t="s">
        <v>8584</v>
      </c>
      <c r="I10634">
        <v>9</v>
      </c>
      <c r="J10634" t="s">
        <v>445</v>
      </c>
      <c r="K10634" t="s">
        <v>446</v>
      </c>
      <c r="M10634">
        <v>3312</v>
      </c>
      <c r="N10634" t="s">
        <v>16916</v>
      </c>
    </row>
    <row r="10635" spans="1:14">
      <c r="A10635">
        <v>65240008</v>
      </c>
      <c r="B10635">
        <v>3016778</v>
      </c>
      <c r="C10635" t="s">
        <v>4888</v>
      </c>
      <c r="D10635" t="s">
        <v>441</v>
      </c>
      <c r="F10635">
        <v>0</v>
      </c>
      <c r="G10635">
        <v>10.72</v>
      </c>
      <c r="H10635" t="s">
        <v>8580</v>
      </c>
      <c r="I10635">
        <v>5</v>
      </c>
      <c r="J10635" t="s">
        <v>445</v>
      </c>
      <c r="K10635" t="s">
        <v>446</v>
      </c>
      <c r="M10635">
        <v>3211</v>
      </c>
      <c r="N10635" t="s">
        <v>16916</v>
      </c>
    </row>
    <row r="10636" spans="1:14">
      <c r="A10636">
        <v>65240009</v>
      </c>
      <c r="B10636">
        <v>3016777</v>
      </c>
      <c r="C10636" t="s">
        <v>4889</v>
      </c>
      <c r="D10636" t="s">
        <v>441</v>
      </c>
      <c r="F10636">
        <v>0</v>
      </c>
      <c r="G10636">
        <v>17.96</v>
      </c>
      <c r="H10636" t="s">
        <v>8580</v>
      </c>
      <c r="I10636">
        <v>6</v>
      </c>
      <c r="J10636" t="s">
        <v>445</v>
      </c>
      <c r="K10636" t="s">
        <v>446</v>
      </c>
      <c r="M10636">
        <v>3311</v>
      </c>
      <c r="N10636" t="s">
        <v>16916</v>
      </c>
    </row>
    <row r="10637" spans="1:14">
      <c r="A10637">
        <v>65244210</v>
      </c>
      <c r="B10637">
        <v>4009385</v>
      </c>
      <c r="C10637" t="s">
        <v>4890</v>
      </c>
      <c r="D10637" t="s">
        <v>442</v>
      </c>
      <c r="E10637" t="s">
        <v>441</v>
      </c>
      <c r="F10637">
        <v>0.105</v>
      </c>
      <c r="G10637">
        <v>2.33</v>
      </c>
      <c r="H10637" t="s">
        <v>8587</v>
      </c>
      <c r="I10637">
        <v>81</v>
      </c>
      <c r="J10637" t="s">
        <v>462</v>
      </c>
      <c r="K10637" t="s">
        <v>446</v>
      </c>
      <c r="M10637">
        <v>3711</v>
      </c>
    </row>
    <row r="10638" spans="1:14">
      <c r="A10638">
        <v>65244220</v>
      </c>
      <c r="B10638">
        <v>4009550</v>
      </c>
      <c r="C10638" t="s">
        <v>4891</v>
      </c>
      <c r="D10638" t="s">
        <v>442</v>
      </c>
      <c r="E10638" t="s">
        <v>441</v>
      </c>
      <c r="F10638">
        <v>0.105</v>
      </c>
      <c r="G10638">
        <v>2.34</v>
      </c>
      <c r="H10638" t="s">
        <v>8587</v>
      </c>
      <c r="I10638">
        <v>81</v>
      </c>
      <c r="J10638" t="s">
        <v>462</v>
      </c>
      <c r="K10638" t="s">
        <v>446</v>
      </c>
      <c r="M10638">
        <v>3711</v>
      </c>
    </row>
    <row r="10639" spans="1:14">
      <c r="A10639">
        <v>65244230</v>
      </c>
      <c r="B10639">
        <v>4011207</v>
      </c>
      <c r="C10639" t="s">
        <v>4892</v>
      </c>
      <c r="D10639" t="s">
        <v>442</v>
      </c>
      <c r="E10639" t="s">
        <v>441</v>
      </c>
      <c r="F10639">
        <v>0.105</v>
      </c>
      <c r="G10639">
        <v>2.63</v>
      </c>
      <c r="H10639" t="s">
        <v>8587</v>
      </c>
      <c r="I10639">
        <v>100</v>
      </c>
      <c r="J10639" t="s">
        <v>462</v>
      </c>
      <c r="K10639" t="s">
        <v>446</v>
      </c>
      <c r="M10639">
        <v>3711</v>
      </c>
      <c r="N10639" t="s">
        <v>16916</v>
      </c>
    </row>
    <row r="10640" spans="1:14">
      <c r="A10640">
        <v>65244240</v>
      </c>
      <c r="B10640">
        <v>4011433</v>
      </c>
      <c r="C10640" t="s">
        <v>4893</v>
      </c>
      <c r="D10640" t="s">
        <v>442</v>
      </c>
      <c r="E10640" t="s">
        <v>441</v>
      </c>
      <c r="F10640">
        <v>1.47</v>
      </c>
      <c r="G10640">
        <v>31.78</v>
      </c>
      <c r="H10640" t="s">
        <v>8587</v>
      </c>
      <c r="I10640">
        <v>81</v>
      </c>
      <c r="J10640" t="s">
        <v>462</v>
      </c>
      <c r="K10640" t="s">
        <v>446</v>
      </c>
      <c r="M10640">
        <v>3711</v>
      </c>
    </row>
    <row r="10641" spans="1:14">
      <c r="A10641">
        <v>65244250</v>
      </c>
      <c r="B10641">
        <v>4012777</v>
      </c>
      <c r="C10641" t="s">
        <v>4894</v>
      </c>
      <c r="D10641" t="s">
        <v>442</v>
      </c>
      <c r="E10641" t="s">
        <v>441</v>
      </c>
      <c r="F10641">
        <v>0.105</v>
      </c>
      <c r="G10641">
        <v>2.5299999999999998</v>
      </c>
      <c r="H10641" t="s">
        <v>8587</v>
      </c>
      <c r="I10641">
        <v>81</v>
      </c>
      <c r="J10641" t="s">
        <v>462</v>
      </c>
      <c r="K10641" t="s">
        <v>446</v>
      </c>
      <c r="M10641">
        <v>3711</v>
      </c>
    </row>
    <row r="10642" spans="1:14">
      <c r="A10642">
        <v>65244260</v>
      </c>
      <c r="B10642">
        <v>4013468</v>
      </c>
      <c r="C10642" t="s">
        <v>4895</v>
      </c>
      <c r="D10642" t="s">
        <v>442</v>
      </c>
      <c r="E10642" t="s">
        <v>441</v>
      </c>
      <c r="F10642">
        <v>1.47</v>
      </c>
      <c r="G10642">
        <v>36.82</v>
      </c>
      <c r="H10642" t="s">
        <v>8587</v>
      </c>
      <c r="I10642">
        <v>100</v>
      </c>
      <c r="J10642" t="s">
        <v>462</v>
      </c>
      <c r="K10642" t="s">
        <v>446</v>
      </c>
      <c r="L10642">
        <v>281195</v>
      </c>
      <c r="M10642">
        <v>3711</v>
      </c>
      <c r="N10642" t="s">
        <v>16916</v>
      </c>
    </row>
    <row r="10643" spans="1:14">
      <c r="A10643">
        <v>65244270</v>
      </c>
      <c r="B10643">
        <v>4013539</v>
      </c>
      <c r="C10643" t="s">
        <v>4896</v>
      </c>
      <c r="D10643" t="s">
        <v>442</v>
      </c>
      <c r="E10643" t="s">
        <v>441</v>
      </c>
      <c r="F10643">
        <v>0.105</v>
      </c>
      <c r="G10643">
        <v>2.59</v>
      </c>
      <c r="H10643" t="s">
        <v>8587</v>
      </c>
      <c r="I10643">
        <v>100</v>
      </c>
      <c r="J10643" t="s">
        <v>462</v>
      </c>
      <c r="K10643" t="s">
        <v>446</v>
      </c>
      <c r="L10643">
        <v>55140171</v>
      </c>
      <c r="M10643">
        <v>3711</v>
      </c>
      <c r="N10643" t="s">
        <v>16916</v>
      </c>
    </row>
    <row r="10644" spans="1:14">
      <c r="A10644">
        <v>65244280</v>
      </c>
      <c r="B10644">
        <v>4015757</v>
      </c>
      <c r="C10644" t="s">
        <v>4897</v>
      </c>
      <c r="D10644" t="s">
        <v>442</v>
      </c>
      <c r="E10644" t="s">
        <v>441</v>
      </c>
      <c r="F10644">
        <v>0.105</v>
      </c>
      <c r="G10644">
        <v>2.1</v>
      </c>
      <c r="H10644" t="s">
        <v>8587</v>
      </c>
      <c r="I10644">
        <v>100</v>
      </c>
      <c r="J10644" t="s">
        <v>462</v>
      </c>
      <c r="K10644" t="s">
        <v>446</v>
      </c>
      <c r="M10644">
        <v>3711</v>
      </c>
      <c r="N10644" t="s">
        <v>16917</v>
      </c>
    </row>
    <row r="10645" spans="1:14">
      <c r="A10645">
        <v>65244290</v>
      </c>
      <c r="B10645">
        <v>4013738</v>
      </c>
      <c r="C10645" t="s">
        <v>4898</v>
      </c>
      <c r="D10645" t="s">
        <v>442</v>
      </c>
      <c r="E10645" t="s">
        <v>441</v>
      </c>
      <c r="F10645">
        <v>0.105</v>
      </c>
      <c r="G10645">
        <v>2.78</v>
      </c>
      <c r="H10645" t="s">
        <v>8587</v>
      </c>
      <c r="I10645">
        <v>100</v>
      </c>
      <c r="J10645" t="s">
        <v>462</v>
      </c>
      <c r="K10645" t="s">
        <v>446</v>
      </c>
      <c r="L10645" t="s">
        <v>13140</v>
      </c>
      <c r="M10645">
        <v>3711</v>
      </c>
      <c r="N10645" t="s">
        <v>16916</v>
      </c>
    </row>
    <row r="10646" spans="1:14">
      <c r="A10646">
        <v>65250000</v>
      </c>
      <c r="B10646">
        <v>3011188</v>
      </c>
      <c r="C10646" t="s">
        <v>4899</v>
      </c>
      <c r="D10646" t="s">
        <v>441</v>
      </c>
      <c r="F10646">
        <v>0</v>
      </c>
      <c r="G10646">
        <v>20.28</v>
      </c>
      <c r="H10646" t="s">
        <v>8627</v>
      </c>
      <c r="I10646">
        <v>9</v>
      </c>
      <c r="J10646" t="s">
        <v>445</v>
      </c>
      <c r="K10646" t="s">
        <v>446</v>
      </c>
      <c r="M10646">
        <v>3312</v>
      </c>
      <c r="N10646" t="s">
        <v>16918</v>
      </c>
    </row>
    <row r="10647" spans="1:14">
      <c r="A10647">
        <v>65250008</v>
      </c>
      <c r="B10647">
        <v>3016775</v>
      </c>
      <c r="C10647" t="s">
        <v>4900</v>
      </c>
      <c r="D10647" t="s">
        <v>441</v>
      </c>
      <c r="F10647">
        <v>0</v>
      </c>
      <c r="G10647">
        <v>9.86</v>
      </c>
      <c r="H10647" t="s">
        <v>8584</v>
      </c>
      <c r="I10647">
        <v>5</v>
      </c>
      <c r="J10647" t="s">
        <v>445</v>
      </c>
      <c r="K10647" t="s">
        <v>446</v>
      </c>
      <c r="M10647">
        <v>3211</v>
      </c>
      <c r="N10647" t="s">
        <v>16918</v>
      </c>
    </row>
    <row r="10648" spans="1:14">
      <c r="A10648">
        <v>65250009</v>
      </c>
      <c r="B10648">
        <v>3016772</v>
      </c>
      <c r="C10648" t="s">
        <v>4901</v>
      </c>
      <c r="D10648" t="s">
        <v>441</v>
      </c>
      <c r="F10648">
        <v>0</v>
      </c>
      <c r="G10648">
        <v>16.53</v>
      </c>
      <c r="H10648" t="s">
        <v>8580</v>
      </c>
      <c r="I10648">
        <v>6</v>
      </c>
      <c r="J10648" t="s">
        <v>445</v>
      </c>
      <c r="K10648" t="s">
        <v>446</v>
      </c>
      <c r="M10648">
        <v>3311</v>
      </c>
      <c r="N10648" t="s">
        <v>16918</v>
      </c>
    </row>
    <row r="10649" spans="1:14">
      <c r="A10649">
        <v>65254210</v>
      </c>
      <c r="B10649">
        <v>4009384</v>
      </c>
      <c r="C10649" t="s">
        <v>4902</v>
      </c>
      <c r="D10649" t="s">
        <v>442</v>
      </c>
      <c r="E10649" t="s">
        <v>441</v>
      </c>
      <c r="F10649">
        <v>0.105</v>
      </c>
      <c r="G10649">
        <v>2.2999999999999998</v>
      </c>
      <c r="H10649" t="s">
        <v>8587</v>
      </c>
      <c r="I10649">
        <v>81</v>
      </c>
      <c r="J10649" t="s">
        <v>462</v>
      </c>
      <c r="K10649" t="s">
        <v>446</v>
      </c>
      <c r="M10649">
        <v>3711</v>
      </c>
    </row>
    <row r="10650" spans="1:14">
      <c r="A10650">
        <v>65254220</v>
      </c>
      <c r="B10650">
        <v>4009547</v>
      </c>
      <c r="C10650" t="s">
        <v>4903</v>
      </c>
      <c r="D10650" t="s">
        <v>442</v>
      </c>
      <c r="E10650" t="s">
        <v>441</v>
      </c>
      <c r="F10650">
        <v>0.105</v>
      </c>
      <c r="G10650">
        <v>2.29</v>
      </c>
      <c r="H10650" t="s">
        <v>8587</v>
      </c>
      <c r="I10650">
        <v>81</v>
      </c>
      <c r="J10650" t="s">
        <v>462</v>
      </c>
      <c r="K10650" t="s">
        <v>446</v>
      </c>
      <c r="M10650">
        <v>3711</v>
      </c>
    </row>
    <row r="10651" spans="1:14">
      <c r="A10651">
        <v>65254230</v>
      </c>
      <c r="B10651">
        <v>4011206</v>
      </c>
      <c r="C10651" t="s">
        <v>4904</v>
      </c>
      <c r="D10651" t="s">
        <v>442</v>
      </c>
      <c r="E10651" t="s">
        <v>441</v>
      </c>
      <c r="F10651">
        <v>0.105</v>
      </c>
      <c r="G10651">
        <v>2.65</v>
      </c>
      <c r="H10651" t="s">
        <v>8587</v>
      </c>
      <c r="I10651">
        <v>100</v>
      </c>
      <c r="J10651" t="s">
        <v>462</v>
      </c>
      <c r="K10651" t="s">
        <v>446</v>
      </c>
      <c r="M10651">
        <v>3711</v>
      </c>
      <c r="N10651" t="s">
        <v>16918</v>
      </c>
    </row>
    <row r="10652" spans="1:14">
      <c r="A10652">
        <v>65254240</v>
      </c>
      <c r="B10652">
        <v>4011275</v>
      </c>
      <c r="C10652" t="s">
        <v>4905</v>
      </c>
      <c r="D10652" t="s">
        <v>442</v>
      </c>
      <c r="E10652" t="s">
        <v>441</v>
      </c>
      <c r="F10652">
        <v>0.105</v>
      </c>
      <c r="G10652">
        <v>2.29</v>
      </c>
      <c r="H10652" t="s">
        <v>8587</v>
      </c>
      <c r="I10652">
        <v>81</v>
      </c>
      <c r="J10652" t="s">
        <v>462</v>
      </c>
      <c r="K10652" t="s">
        <v>446</v>
      </c>
      <c r="M10652">
        <v>3711</v>
      </c>
    </row>
    <row r="10653" spans="1:14">
      <c r="A10653">
        <v>65254250</v>
      </c>
      <c r="B10653">
        <v>4011431</v>
      </c>
      <c r="C10653" t="s">
        <v>4906</v>
      </c>
      <c r="D10653" t="s">
        <v>442</v>
      </c>
      <c r="E10653" t="s">
        <v>441</v>
      </c>
      <c r="F10653">
        <v>1.47</v>
      </c>
      <c r="G10653">
        <v>31.24</v>
      </c>
      <c r="H10653" t="s">
        <v>8587</v>
      </c>
      <c r="I10653">
        <v>81</v>
      </c>
      <c r="J10653" t="s">
        <v>462</v>
      </c>
      <c r="K10653" t="s">
        <v>446</v>
      </c>
      <c r="M10653">
        <v>3711</v>
      </c>
    </row>
    <row r="10654" spans="1:14">
      <c r="A10654">
        <v>65254260</v>
      </c>
      <c r="B10654">
        <v>4012778</v>
      </c>
      <c r="C10654" t="s">
        <v>4907</v>
      </c>
      <c r="D10654" t="s">
        <v>442</v>
      </c>
      <c r="E10654" t="s">
        <v>441</v>
      </c>
      <c r="F10654">
        <v>0.105</v>
      </c>
      <c r="G10654">
        <v>2.5</v>
      </c>
      <c r="H10654" t="s">
        <v>8587</v>
      </c>
      <c r="I10654">
        <v>81</v>
      </c>
      <c r="J10654" t="s">
        <v>462</v>
      </c>
      <c r="K10654" t="s">
        <v>446</v>
      </c>
      <c r="M10654">
        <v>3711</v>
      </c>
    </row>
    <row r="10655" spans="1:14">
      <c r="A10655">
        <v>65254270</v>
      </c>
      <c r="B10655">
        <v>4013469</v>
      </c>
      <c r="C10655" t="s">
        <v>4908</v>
      </c>
      <c r="D10655" t="s">
        <v>442</v>
      </c>
      <c r="E10655" t="s">
        <v>441</v>
      </c>
      <c r="F10655">
        <v>1.47</v>
      </c>
      <c r="G10655">
        <v>37.130000000000003</v>
      </c>
      <c r="H10655" t="s">
        <v>8587</v>
      </c>
      <c r="I10655">
        <v>100</v>
      </c>
      <c r="J10655" t="s">
        <v>462</v>
      </c>
      <c r="K10655" t="s">
        <v>446</v>
      </c>
      <c r="L10655">
        <v>281196</v>
      </c>
      <c r="M10655">
        <v>3711</v>
      </c>
      <c r="N10655" t="s">
        <v>16918</v>
      </c>
    </row>
    <row r="10656" spans="1:14">
      <c r="A10656">
        <v>65254280</v>
      </c>
      <c r="B10656">
        <v>4013540</v>
      </c>
      <c r="C10656" t="s">
        <v>4909</v>
      </c>
      <c r="D10656" t="s">
        <v>442</v>
      </c>
      <c r="E10656" t="s">
        <v>441</v>
      </c>
      <c r="F10656">
        <v>0.105</v>
      </c>
      <c r="G10656">
        <v>2.61</v>
      </c>
      <c r="H10656" t="s">
        <v>8587</v>
      </c>
      <c r="I10656">
        <v>100</v>
      </c>
      <c r="J10656" t="s">
        <v>462</v>
      </c>
      <c r="K10656" t="s">
        <v>446</v>
      </c>
      <c r="L10656">
        <v>55150171</v>
      </c>
      <c r="M10656">
        <v>3711</v>
      </c>
      <c r="N10656" t="s">
        <v>16918</v>
      </c>
    </row>
    <row r="10657" spans="1:14">
      <c r="A10657">
        <v>65254290</v>
      </c>
      <c r="B10657">
        <v>4013739</v>
      </c>
      <c r="C10657" t="s">
        <v>4910</v>
      </c>
      <c r="D10657" t="s">
        <v>442</v>
      </c>
      <c r="E10657" t="s">
        <v>441</v>
      </c>
      <c r="F10657">
        <v>0.105</v>
      </c>
      <c r="G10657">
        <v>2.58</v>
      </c>
      <c r="H10657" t="s">
        <v>8587</v>
      </c>
      <c r="I10657">
        <v>100</v>
      </c>
      <c r="J10657" t="s">
        <v>462</v>
      </c>
      <c r="K10657" t="s">
        <v>446</v>
      </c>
      <c r="L10657" t="s">
        <v>13141</v>
      </c>
      <c r="M10657">
        <v>3711</v>
      </c>
      <c r="N10657" t="s">
        <v>16918</v>
      </c>
    </row>
    <row r="10658" spans="1:14">
      <c r="A10658">
        <v>65256210</v>
      </c>
      <c r="B10658">
        <v>4014255</v>
      </c>
      <c r="C10658" t="s">
        <v>4911</v>
      </c>
      <c r="D10658" t="s">
        <v>442</v>
      </c>
      <c r="E10658" t="s">
        <v>441</v>
      </c>
      <c r="F10658">
        <v>0.105</v>
      </c>
      <c r="G10658">
        <v>2.2799999999999998</v>
      </c>
      <c r="H10658" t="s">
        <v>8587</v>
      </c>
      <c r="I10658">
        <v>81</v>
      </c>
      <c r="J10658" t="s">
        <v>462</v>
      </c>
      <c r="K10658" t="s">
        <v>446</v>
      </c>
      <c r="M10658">
        <v>3711</v>
      </c>
    </row>
    <row r="10659" spans="1:14">
      <c r="A10659">
        <v>65256220</v>
      </c>
      <c r="B10659">
        <v>4015758</v>
      </c>
      <c r="C10659" t="s">
        <v>4912</v>
      </c>
      <c r="D10659" t="s">
        <v>442</v>
      </c>
      <c r="E10659" t="s">
        <v>441</v>
      </c>
      <c r="F10659">
        <v>0.105</v>
      </c>
      <c r="G10659">
        <v>2.11</v>
      </c>
      <c r="H10659" t="s">
        <v>8587</v>
      </c>
      <c r="I10659">
        <v>100</v>
      </c>
      <c r="J10659" t="s">
        <v>462</v>
      </c>
      <c r="K10659" t="s">
        <v>446</v>
      </c>
      <c r="M10659">
        <v>3711</v>
      </c>
      <c r="N10659" t="s">
        <v>16919</v>
      </c>
    </row>
    <row r="10660" spans="1:14">
      <c r="A10660">
        <v>65260000</v>
      </c>
      <c r="B10660">
        <v>3011217</v>
      </c>
      <c r="C10660" t="s">
        <v>4913</v>
      </c>
      <c r="D10660" t="s">
        <v>441</v>
      </c>
      <c r="F10660">
        <v>0</v>
      </c>
      <c r="G10660">
        <v>15.82</v>
      </c>
      <c r="H10660" t="s">
        <v>8580</v>
      </c>
      <c r="I10660">
        <v>7</v>
      </c>
      <c r="J10660" t="s">
        <v>445</v>
      </c>
      <c r="K10660" t="s">
        <v>446</v>
      </c>
      <c r="M10660">
        <v>3312</v>
      </c>
      <c r="N10660" t="s">
        <v>16920</v>
      </c>
    </row>
    <row r="10661" spans="1:14">
      <c r="A10661">
        <v>65260008</v>
      </c>
      <c r="B10661">
        <v>3016774</v>
      </c>
      <c r="C10661" t="s">
        <v>4914</v>
      </c>
      <c r="D10661" t="s">
        <v>441</v>
      </c>
      <c r="F10661">
        <v>0</v>
      </c>
      <c r="G10661">
        <v>7.62</v>
      </c>
      <c r="H10661" t="s">
        <v>8580</v>
      </c>
      <c r="I10661">
        <v>5</v>
      </c>
      <c r="J10661" t="s">
        <v>445</v>
      </c>
      <c r="K10661" t="s">
        <v>446</v>
      </c>
      <c r="M10661">
        <v>3211</v>
      </c>
      <c r="N10661" t="s">
        <v>16920</v>
      </c>
    </row>
    <row r="10662" spans="1:14">
      <c r="A10662">
        <v>65260009</v>
      </c>
      <c r="B10662">
        <v>3016776</v>
      </c>
      <c r="C10662" t="s">
        <v>4915</v>
      </c>
      <c r="D10662" t="s">
        <v>441</v>
      </c>
      <c r="F10662">
        <v>0</v>
      </c>
      <c r="G10662">
        <v>12.85</v>
      </c>
      <c r="H10662" t="s">
        <v>8580</v>
      </c>
      <c r="I10662">
        <v>6</v>
      </c>
      <c r="J10662" t="s">
        <v>445</v>
      </c>
      <c r="K10662" t="s">
        <v>446</v>
      </c>
      <c r="M10662">
        <v>3311</v>
      </c>
      <c r="N10662" t="s">
        <v>16920</v>
      </c>
    </row>
    <row r="10663" spans="1:14">
      <c r="A10663">
        <v>65264210</v>
      </c>
      <c r="B10663">
        <v>4009421</v>
      </c>
      <c r="C10663" t="s">
        <v>4916</v>
      </c>
      <c r="D10663" t="s">
        <v>442</v>
      </c>
      <c r="E10663" t="s">
        <v>441</v>
      </c>
      <c r="F10663">
        <v>0.06</v>
      </c>
      <c r="G10663">
        <v>1.57</v>
      </c>
      <c r="H10663" t="s">
        <v>8587</v>
      </c>
      <c r="I10663">
        <v>81</v>
      </c>
      <c r="J10663" t="s">
        <v>462</v>
      </c>
      <c r="K10663" t="s">
        <v>446</v>
      </c>
      <c r="M10663">
        <v>3711</v>
      </c>
    </row>
    <row r="10664" spans="1:14">
      <c r="A10664">
        <v>65264220</v>
      </c>
      <c r="B10664">
        <v>4009725</v>
      </c>
      <c r="C10664" t="s">
        <v>4917</v>
      </c>
      <c r="D10664" t="s">
        <v>442</v>
      </c>
      <c r="E10664" t="s">
        <v>441</v>
      </c>
      <c r="F10664">
        <v>0.06</v>
      </c>
      <c r="G10664">
        <v>1.54</v>
      </c>
      <c r="H10664" t="s">
        <v>8587</v>
      </c>
      <c r="I10664">
        <v>81</v>
      </c>
      <c r="J10664" t="s">
        <v>462</v>
      </c>
      <c r="K10664" t="s">
        <v>446</v>
      </c>
      <c r="M10664">
        <v>3711</v>
      </c>
    </row>
    <row r="10665" spans="1:14">
      <c r="A10665">
        <v>65264230</v>
      </c>
      <c r="B10665">
        <v>4010988</v>
      </c>
      <c r="C10665" t="s">
        <v>4918</v>
      </c>
      <c r="D10665" t="s">
        <v>441</v>
      </c>
      <c r="F10665">
        <v>0</v>
      </c>
      <c r="G10665">
        <v>21.88</v>
      </c>
      <c r="H10665" t="s">
        <v>8587</v>
      </c>
      <c r="I10665">
        <v>81</v>
      </c>
      <c r="J10665" t="s">
        <v>462</v>
      </c>
      <c r="K10665" t="s">
        <v>446</v>
      </c>
      <c r="M10665">
        <v>3711</v>
      </c>
    </row>
    <row r="10666" spans="1:14">
      <c r="A10666">
        <v>65264240</v>
      </c>
      <c r="B10666">
        <v>4011258</v>
      </c>
      <c r="C10666" t="s">
        <v>4919</v>
      </c>
      <c r="D10666" t="s">
        <v>442</v>
      </c>
      <c r="E10666" t="s">
        <v>441</v>
      </c>
      <c r="F10666">
        <v>0.06</v>
      </c>
      <c r="G10666">
        <v>1.56</v>
      </c>
      <c r="H10666" t="s">
        <v>8587</v>
      </c>
      <c r="I10666">
        <v>81</v>
      </c>
      <c r="J10666" t="s">
        <v>462</v>
      </c>
      <c r="K10666" t="s">
        <v>446</v>
      </c>
      <c r="M10666">
        <v>3711</v>
      </c>
    </row>
    <row r="10667" spans="1:14">
      <c r="A10667">
        <v>65264250</v>
      </c>
      <c r="B10667">
        <v>4012594</v>
      </c>
      <c r="C10667" t="s">
        <v>4920</v>
      </c>
      <c r="D10667" t="s">
        <v>442</v>
      </c>
      <c r="E10667" t="s">
        <v>441</v>
      </c>
      <c r="F10667">
        <v>0.06</v>
      </c>
      <c r="G10667">
        <v>1.52</v>
      </c>
      <c r="H10667" t="s">
        <v>8587</v>
      </c>
      <c r="I10667">
        <v>81</v>
      </c>
      <c r="J10667" t="s">
        <v>462</v>
      </c>
      <c r="K10667" t="s">
        <v>446</v>
      </c>
      <c r="M10667">
        <v>3711</v>
      </c>
    </row>
    <row r="10668" spans="1:14">
      <c r="A10668">
        <v>65264260</v>
      </c>
      <c r="B10668">
        <v>4012774</v>
      </c>
      <c r="C10668" t="s">
        <v>4921</v>
      </c>
      <c r="D10668" t="s">
        <v>442</v>
      </c>
      <c r="E10668" t="s">
        <v>441</v>
      </c>
      <c r="F10668">
        <v>0.06</v>
      </c>
      <c r="G10668">
        <v>1.44</v>
      </c>
      <c r="H10668" t="s">
        <v>8587</v>
      </c>
      <c r="I10668">
        <v>81</v>
      </c>
      <c r="J10668" t="s">
        <v>462</v>
      </c>
      <c r="K10668" t="s">
        <v>446</v>
      </c>
      <c r="M10668">
        <v>3711</v>
      </c>
    </row>
    <row r="10669" spans="1:14">
      <c r="A10669">
        <v>65264270</v>
      </c>
      <c r="B10669">
        <v>4013439</v>
      </c>
      <c r="C10669" t="s">
        <v>4922</v>
      </c>
      <c r="D10669" t="s">
        <v>442</v>
      </c>
      <c r="E10669" t="s">
        <v>441</v>
      </c>
      <c r="F10669">
        <v>1.44</v>
      </c>
      <c r="G10669">
        <v>33.31</v>
      </c>
      <c r="H10669" t="s">
        <v>8587</v>
      </c>
      <c r="I10669">
        <v>81</v>
      </c>
      <c r="J10669" t="s">
        <v>462</v>
      </c>
      <c r="K10669" t="s">
        <v>446</v>
      </c>
      <c r="M10669">
        <v>3711</v>
      </c>
    </row>
    <row r="10670" spans="1:14">
      <c r="A10670">
        <v>65264280</v>
      </c>
      <c r="B10670">
        <v>4013914</v>
      </c>
      <c r="C10670" t="s">
        <v>4923</v>
      </c>
      <c r="D10670" t="s">
        <v>442</v>
      </c>
      <c r="E10670" t="s">
        <v>441</v>
      </c>
      <c r="F10670">
        <v>0.06</v>
      </c>
      <c r="G10670">
        <v>1.44</v>
      </c>
      <c r="H10670" t="s">
        <v>8587</v>
      </c>
      <c r="I10670">
        <v>100</v>
      </c>
      <c r="J10670" t="s">
        <v>462</v>
      </c>
      <c r="K10670" t="s">
        <v>446</v>
      </c>
      <c r="L10670" t="s">
        <v>13142</v>
      </c>
      <c r="M10670">
        <v>3711</v>
      </c>
      <c r="N10670" t="s">
        <v>16920</v>
      </c>
    </row>
    <row r="10671" spans="1:14">
      <c r="A10671">
        <v>65264290</v>
      </c>
      <c r="B10671">
        <v>4014802</v>
      </c>
      <c r="C10671" t="s">
        <v>4924</v>
      </c>
      <c r="D10671" t="s">
        <v>442</v>
      </c>
      <c r="E10671" t="s">
        <v>441</v>
      </c>
      <c r="F10671">
        <v>0.06</v>
      </c>
      <c r="G10671">
        <v>1.53</v>
      </c>
      <c r="H10671" t="s">
        <v>8587</v>
      </c>
      <c r="I10671">
        <v>81</v>
      </c>
      <c r="J10671" t="s">
        <v>462</v>
      </c>
      <c r="K10671" t="s">
        <v>446</v>
      </c>
      <c r="M10671">
        <v>3711</v>
      </c>
    </row>
    <row r="10672" spans="1:14">
      <c r="A10672">
        <v>65270000</v>
      </c>
      <c r="B10672">
        <v>3011220</v>
      </c>
      <c r="C10672" t="s">
        <v>4925</v>
      </c>
      <c r="D10672" t="s">
        <v>441</v>
      </c>
      <c r="F10672">
        <v>0</v>
      </c>
      <c r="G10672">
        <v>17.38</v>
      </c>
      <c r="H10672" t="s">
        <v>9302</v>
      </c>
      <c r="I10672">
        <v>7</v>
      </c>
      <c r="J10672" t="s">
        <v>445</v>
      </c>
      <c r="K10672" t="s">
        <v>446</v>
      </c>
      <c r="M10672">
        <v>3312</v>
      </c>
    </row>
    <row r="10673" spans="1:13">
      <c r="A10673">
        <v>65270008</v>
      </c>
      <c r="B10673">
        <v>3016780</v>
      </c>
      <c r="C10673" t="s">
        <v>4926</v>
      </c>
      <c r="D10673" t="s">
        <v>441</v>
      </c>
      <c r="F10673">
        <v>0</v>
      </c>
      <c r="G10673">
        <v>8.36</v>
      </c>
      <c r="H10673" t="s">
        <v>8580</v>
      </c>
      <c r="I10673">
        <v>5</v>
      </c>
      <c r="J10673" t="s">
        <v>445</v>
      </c>
      <c r="K10673" t="s">
        <v>446</v>
      </c>
      <c r="M10673">
        <v>3211</v>
      </c>
    </row>
    <row r="10674" spans="1:13">
      <c r="A10674">
        <v>65270009</v>
      </c>
      <c r="B10674">
        <v>3016779</v>
      </c>
      <c r="C10674" t="s">
        <v>4927</v>
      </c>
      <c r="D10674" t="s">
        <v>441</v>
      </c>
      <c r="F10674">
        <v>0</v>
      </c>
      <c r="G10674">
        <v>14.1</v>
      </c>
      <c r="H10674" t="s">
        <v>8580</v>
      </c>
      <c r="I10674">
        <v>6</v>
      </c>
      <c r="J10674" t="s">
        <v>445</v>
      </c>
      <c r="K10674" t="s">
        <v>446</v>
      </c>
      <c r="M10674">
        <v>3311</v>
      </c>
    </row>
    <row r="10675" spans="1:13">
      <c r="A10675">
        <v>65274210</v>
      </c>
      <c r="B10675">
        <v>4009420</v>
      </c>
      <c r="C10675" t="s">
        <v>4928</v>
      </c>
      <c r="D10675" t="s">
        <v>442</v>
      </c>
      <c r="E10675" t="s">
        <v>441</v>
      </c>
      <c r="F10675">
        <v>0.06</v>
      </c>
      <c r="G10675">
        <v>1.68</v>
      </c>
      <c r="H10675" t="s">
        <v>8587</v>
      </c>
      <c r="I10675">
        <v>81</v>
      </c>
      <c r="J10675" t="s">
        <v>462</v>
      </c>
      <c r="K10675" t="s">
        <v>446</v>
      </c>
      <c r="M10675">
        <v>3711</v>
      </c>
    </row>
    <row r="10676" spans="1:13">
      <c r="A10676">
        <v>65274220</v>
      </c>
      <c r="B10676">
        <v>4009724</v>
      </c>
      <c r="C10676" t="s">
        <v>4929</v>
      </c>
      <c r="D10676" t="s">
        <v>442</v>
      </c>
      <c r="E10676" t="s">
        <v>441</v>
      </c>
      <c r="F10676">
        <v>0.06</v>
      </c>
      <c r="G10676">
        <v>1.58</v>
      </c>
      <c r="H10676" t="s">
        <v>8587</v>
      </c>
      <c r="I10676">
        <v>81</v>
      </c>
      <c r="J10676" t="s">
        <v>462</v>
      </c>
      <c r="K10676" t="s">
        <v>446</v>
      </c>
      <c r="M10676">
        <v>3711</v>
      </c>
    </row>
    <row r="10677" spans="1:13">
      <c r="A10677">
        <v>65274230</v>
      </c>
      <c r="B10677">
        <v>4011045</v>
      </c>
      <c r="C10677" t="s">
        <v>4930</v>
      </c>
      <c r="D10677" t="s">
        <v>441</v>
      </c>
      <c r="F10677">
        <v>0</v>
      </c>
      <c r="G10677">
        <v>19.28</v>
      </c>
      <c r="H10677" t="s">
        <v>8587</v>
      </c>
      <c r="I10677">
        <v>81</v>
      </c>
      <c r="J10677" t="s">
        <v>462</v>
      </c>
      <c r="K10677" t="s">
        <v>446</v>
      </c>
      <c r="M10677">
        <v>3711</v>
      </c>
    </row>
    <row r="10678" spans="1:13">
      <c r="A10678">
        <v>65274240</v>
      </c>
      <c r="B10678">
        <v>4012775</v>
      </c>
      <c r="C10678" t="s">
        <v>4931</v>
      </c>
      <c r="D10678" t="s">
        <v>442</v>
      </c>
      <c r="E10678" t="s">
        <v>441</v>
      </c>
      <c r="F10678">
        <v>0.06</v>
      </c>
      <c r="G10678">
        <v>1.57</v>
      </c>
      <c r="H10678" t="s">
        <v>8587</v>
      </c>
      <c r="I10678">
        <v>81</v>
      </c>
      <c r="J10678" t="s">
        <v>462</v>
      </c>
      <c r="K10678" t="s">
        <v>446</v>
      </c>
      <c r="M10678">
        <v>3711</v>
      </c>
    </row>
    <row r="10679" spans="1:13">
      <c r="A10679">
        <v>65274250</v>
      </c>
      <c r="B10679">
        <v>4013460</v>
      </c>
      <c r="C10679" t="s">
        <v>4932</v>
      </c>
      <c r="D10679" t="s">
        <v>442</v>
      </c>
      <c r="E10679" t="s">
        <v>441</v>
      </c>
      <c r="F10679">
        <v>1.44</v>
      </c>
      <c r="G10679">
        <v>33.94</v>
      </c>
      <c r="H10679" t="s">
        <v>8587</v>
      </c>
      <c r="I10679">
        <v>81</v>
      </c>
      <c r="J10679" t="s">
        <v>462</v>
      </c>
      <c r="K10679" t="s">
        <v>446</v>
      </c>
      <c r="M10679">
        <v>3711</v>
      </c>
    </row>
    <row r="10680" spans="1:13">
      <c r="A10680">
        <v>65274260</v>
      </c>
      <c r="B10680">
        <v>4015242</v>
      </c>
      <c r="C10680" t="s">
        <v>4933</v>
      </c>
      <c r="D10680" t="s">
        <v>442</v>
      </c>
      <c r="E10680" t="s">
        <v>441</v>
      </c>
      <c r="F10680">
        <v>0.6</v>
      </c>
      <c r="G10680">
        <v>15.15</v>
      </c>
      <c r="H10680" t="s">
        <v>8587</v>
      </c>
      <c r="I10680">
        <v>81</v>
      </c>
      <c r="J10680" t="s">
        <v>462</v>
      </c>
      <c r="K10680" t="s">
        <v>446</v>
      </c>
      <c r="M10680">
        <v>3711</v>
      </c>
    </row>
    <row r="10681" spans="1:13">
      <c r="A10681">
        <v>65274280</v>
      </c>
      <c r="B10681">
        <v>4013915</v>
      </c>
      <c r="C10681" t="s">
        <v>4934</v>
      </c>
      <c r="D10681" t="s">
        <v>442</v>
      </c>
      <c r="E10681" t="s">
        <v>441</v>
      </c>
      <c r="F10681">
        <v>0.06</v>
      </c>
      <c r="G10681">
        <v>1.69</v>
      </c>
      <c r="H10681" t="s">
        <v>8587</v>
      </c>
      <c r="I10681">
        <v>81</v>
      </c>
      <c r="J10681" t="s">
        <v>462</v>
      </c>
      <c r="K10681" t="s">
        <v>446</v>
      </c>
      <c r="L10681" t="s">
        <v>13143</v>
      </c>
      <c r="M10681">
        <v>3711</v>
      </c>
    </row>
    <row r="10682" spans="1:13">
      <c r="A10682">
        <v>65280000</v>
      </c>
      <c r="B10682">
        <v>3011178</v>
      </c>
      <c r="C10682" t="s">
        <v>4935</v>
      </c>
      <c r="D10682" t="s">
        <v>441</v>
      </c>
      <c r="F10682">
        <v>0</v>
      </c>
      <c r="G10682">
        <v>17.57</v>
      </c>
      <c r="H10682" t="s">
        <v>8580</v>
      </c>
      <c r="I10682">
        <v>7</v>
      </c>
      <c r="J10682" t="s">
        <v>445</v>
      </c>
      <c r="K10682" t="s">
        <v>446</v>
      </c>
      <c r="M10682">
        <v>3312</v>
      </c>
    </row>
    <row r="10683" spans="1:13">
      <c r="A10683">
        <v>65280008</v>
      </c>
      <c r="B10683">
        <v>3016781</v>
      </c>
      <c r="C10683" t="s">
        <v>4936</v>
      </c>
      <c r="D10683" t="s">
        <v>441</v>
      </c>
      <c r="F10683">
        <v>0</v>
      </c>
      <c r="G10683">
        <v>8.4499999999999993</v>
      </c>
      <c r="H10683" t="s">
        <v>8580</v>
      </c>
      <c r="I10683">
        <v>5</v>
      </c>
      <c r="J10683" t="s">
        <v>445</v>
      </c>
      <c r="K10683" t="s">
        <v>446</v>
      </c>
      <c r="M10683">
        <v>3211</v>
      </c>
    </row>
    <row r="10684" spans="1:13">
      <c r="A10684">
        <v>65280009</v>
      </c>
      <c r="B10684">
        <v>3016767</v>
      </c>
      <c r="C10684" t="s">
        <v>4937</v>
      </c>
      <c r="D10684" t="s">
        <v>441</v>
      </c>
      <c r="F10684">
        <v>0</v>
      </c>
      <c r="G10684">
        <v>14.26</v>
      </c>
      <c r="H10684" t="s">
        <v>8580</v>
      </c>
      <c r="I10684">
        <v>6</v>
      </c>
      <c r="J10684" t="s">
        <v>445</v>
      </c>
      <c r="K10684" t="s">
        <v>446</v>
      </c>
      <c r="M10684">
        <v>3311</v>
      </c>
    </row>
    <row r="10685" spans="1:13">
      <c r="A10685">
        <v>65284210</v>
      </c>
      <c r="B10685">
        <v>4009359</v>
      </c>
      <c r="C10685" t="s">
        <v>4938</v>
      </c>
      <c r="D10685" t="s">
        <v>442</v>
      </c>
      <c r="E10685" t="s">
        <v>441</v>
      </c>
      <c r="F10685">
        <v>0.06</v>
      </c>
      <c r="G10685">
        <v>1.62</v>
      </c>
      <c r="H10685" t="s">
        <v>8587</v>
      </c>
      <c r="I10685">
        <v>81</v>
      </c>
      <c r="J10685" t="s">
        <v>462</v>
      </c>
      <c r="K10685" t="s">
        <v>446</v>
      </c>
      <c r="M10685">
        <v>3711</v>
      </c>
    </row>
    <row r="10686" spans="1:13">
      <c r="A10686">
        <v>65284220</v>
      </c>
      <c r="B10686">
        <v>4009718</v>
      </c>
      <c r="C10686" t="s">
        <v>4939</v>
      </c>
      <c r="D10686" t="s">
        <v>442</v>
      </c>
      <c r="E10686" t="s">
        <v>441</v>
      </c>
      <c r="F10686">
        <v>0.06</v>
      </c>
      <c r="G10686">
        <v>1.7</v>
      </c>
      <c r="H10686" t="s">
        <v>8587</v>
      </c>
      <c r="I10686">
        <v>81</v>
      </c>
      <c r="J10686" t="s">
        <v>462</v>
      </c>
      <c r="K10686" t="s">
        <v>446</v>
      </c>
      <c r="M10686">
        <v>3711</v>
      </c>
    </row>
    <row r="10687" spans="1:13">
      <c r="A10687">
        <v>65284230</v>
      </c>
      <c r="B10687">
        <v>4010987</v>
      </c>
      <c r="C10687" t="s">
        <v>4940</v>
      </c>
      <c r="D10687" t="s">
        <v>441</v>
      </c>
      <c r="F10687">
        <v>0</v>
      </c>
      <c r="G10687">
        <v>19.02</v>
      </c>
      <c r="H10687" t="s">
        <v>8587</v>
      </c>
      <c r="I10687">
        <v>81</v>
      </c>
      <c r="J10687" t="s">
        <v>462</v>
      </c>
      <c r="K10687" t="s">
        <v>446</v>
      </c>
      <c r="M10687">
        <v>3711</v>
      </c>
    </row>
    <row r="10688" spans="1:13">
      <c r="A10688">
        <v>65284240</v>
      </c>
      <c r="B10688">
        <v>4012799</v>
      </c>
      <c r="C10688" t="s">
        <v>4941</v>
      </c>
      <c r="D10688" t="s">
        <v>442</v>
      </c>
      <c r="E10688" t="s">
        <v>441</v>
      </c>
      <c r="F10688">
        <v>0.06</v>
      </c>
      <c r="G10688">
        <v>1.55</v>
      </c>
      <c r="H10688" t="s">
        <v>8587</v>
      </c>
      <c r="I10688">
        <v>81</v>
      </c>
      <c r="J10688" t="s">
        <v>462</v>
      </c>
      <c r="K10688" t="s">
        <v>446</v>
      </c>
      <c r="M10688">
        <v>3711</v>
      </c>
    </row>
    <row r="10689" spans="1:14">
      <c r="A10689">
        <v>65284250</v>
      </c>
      <c r="B10689">
        <v>4013465</v>
      </c>
      <c r="C10689" t="s">
        <v>4942</v>
      </c>
      <c r="D10689" t="s">
        <v>442</v>
      </c>
      <c r="E10689" t="s">
        <v>441</v>
      </c>
      <c r="F10689">
        <v>1.44</v>
      </c>
      <c r="G10689">
        <v>33.549999999999997</v>
      </c>
      <c r="H10689" t="s">
        <v>8587</v>
      </c>
      <c r="I10689">
        <v>81</v>
      </c>
      <c r="J10689" t="s">
        <v>462</v>
      </c>
      <c r="K10689" t="s">
        <v>446</v>
      </c>
      <c r="M10689">
        <v>3711</v>
      </c>
    </row>
    <row r="10690" spans="1:14">
      <c r="A10690">
        <v>65284260</v>
      </c>
      <c r="B10690">
        <v>4015243</v>
      </c>
      <c r="C10690" t="s">
        <v>4943</v>
      </c>
      <c r="D10690" t="s">
        <v>442</v>
      </c>
      <c r="E10690" t="s">
        <v>441</v>
      </c>
      <c r="F10690">
        <v>0.6</v>
      </c>
      <c r="G10690">
        <v>16.579999999999998</v>
      </c>
      <c r="H10690" t="s">
        <v>8587</v>
      </c>
      <c r="I10690">
        <v>81</v>
      </c>
      <c r="J10690" t="s">
        <v>462</v>
      </c>
      <c r="K10690" t="s">
        <v>446</v>
      </c>
      <c r="M10690">
        <v>3711</v>
      </c>
    </row>
    <row r="10691" spans="1:14">
      <c r="A10691">
        <v>65284280</v>
      </c>
      <c r="B10691">
        <v>4013916</v>
      </c>
      <c r="C10691" t="s">
        <v>4944</v>
      </c>
      <c r="D10691" t="s">
        <v>442</v>
      </c>
      <c r="E10691" t="s">
        <v>441</v>
      </c>
      <c r="F10691">
        <v>0.06</v>
      </c>
      <c r="G10691">
        <v>1.66</v>
      </c>
      <c r="H10691" t="s">
        <v>8587</v>
      </c>
      <c r="I10691">
        <v>81</v>
      </c>
      <c r="J10691" t="s">
        <v>462</v>
      </c>
      <c r="K10691" t="s">
        <v>446</v>
      </c>
      <c r="L10691" t="s">
        <v>13144</v>
      </c>
      <c r="M10691">
        <v>3711</v>
      </c>
    </row>
    <row r="10692" spans="1:14">
      <c r="A10692">
        <v>65294210</v>
      </c>
      <c r="B10692">
        <v>4009847</v>
      </c>
      <c r="C10692" t="s">
        <v>4945</v>
      </c>
      <c r="D10692" t="s">
        <v>442</v>
      </c>
      <c r="E10692" t="s">
        <v>441</v>
      </c>
      <c r="F10692">
        <v>0.06</v>
      </c>
      <c r="G10692">
        <v>1.67</v>
      </c>
      <c r="H10692" t="s">
        <v>8587</v>
      </c>
      <c r="I10692">
        <v>81</v>
      </c>
      <c r="J10692" t="s">
        <v>462</v>
      </c>
      <c r="K10692" t="s">
        <v>446</v>
      </c>
      <c r="M10692">
        <v>3711</v>
      </c>
    </row>
    <row r="10693" spans="1:14">
      <c r="A10693">
        <v>65294220</v>
      </c>
      <c r="B10693">
        <v>4012790</v>
      </c>
      <c r="C10693" t="s">
        <v>4946</v>
      </c>
      <c r="D10693" t="s">
        <v>442</v>
      </c>
      <c r="E10693" t="s">
        <v>441</v>
      </c>
      <c r="F10693">
        <v>0.06</v>
      </c>
      <c r="G10693">
        <v>1.54</v>
      </c>
      <c r="H10693" t="s">
        <v>8587</v>
      </c>
      <c r="I10693">
        <v>81</v>
      </c>
      <c r="J10693" t="s">
        <v>462</v>
      </c>
      <c r="K10693" t="s">
        <v>446</v>
      </c>
      <c r="M10693">
        <v>3711</v>
      </c>
    </row>
    <row r="10694" spans="1:14">
      <c r="A10694">
        <v>65294230</v>
      </c>
      <c r="B10694">
        <v>4013023</v>
      </c>
      <c r="C10694" t="s">
        <v>4947</v>
      </c>
      <c r="D10694" t="s">
        <v>442</v>
      </c>
      <c r="E10694" t="s">
        <v>441</v>
      </c>
      <c r="F10694">
        <v>0.06</v>
      </c>
      <c r="G10694">
        <v>1.41</v>
      </c>
      <c r="H10694" t="s">
        <v>8587</v>
      </c>
      <c r="I10694">
        <v>81</v>
      </c>
      <c r="J10694" t="s">
        <v>462</v>
      </c>
      <c r="K10694" t="s">
        <v>446</v>
      </c>
      <c r="M10694">
        <v>3711</v>
      </c>
    </row>
    <row r="10695" spans="1:14">
      <c r="A10695">
        <v>65294240</v>
      </c>
      <c r="B10695">
        <v>4013466</v>
      </c>
      <c r="C10695" t="s">
        <v>4948</v>
      </c>
      <c r="D10695" t="s">
        <v>442</v>
      </c>
      <c r="E10695" t="s">
        <v>441</v>
      </c>
      <c r="F10695">
        <v>2.7</v>
      </c>
      <c r="G10695">
        <v>76.790000000000006</v>
      </c>
      <c r="H10695" t="s">
        <v>8587</v>
      </c>
      <c r="I10695">
        <v>81</v>
      </c>
      <c r="J10695" t="s">
        <v>462</v>
      </c>
      <c r="K10695" t="s">
        <v>446</v>
      </c>
      <c r="L10695">
        <v>281205</v>
      </c>
      <c r="M10695">
        <v>3711</v>
      </c>
    </row>
    <row r="10696" spans="1:14">
      <c r="A10696">
        <v>65294250</v>
      </c>
      <c r="B10696">
        <v>4014283</v>
      </c>
      <c r="C10696" t="s">
        <v>4949</v>
      </c>
      <c r="D10696" t="s">
        <v>442</v>
      </c>
      <c r="E10696" t="s">
        <v>441</v>
      </c>
      <c r="F10696">
        <v>0.06</v>
      </c>
      <c r="G10696">
        <v>1.69</v>
      </c>
      <c r="H10696" t="s">
        <v>8587</v>
      </c>
      <c r="I10696">
        <v>81</v>
      </c>
      <c r="J10696" t="s">
        <v>462</v>
      </c>
      <c r="K10696" t="s">
        <v>446</v>
      </c>
      <c r="L10696" t="s">
        <v>13145</v>
      </c>
      <c r="M10696">
        <v>3711</v>
      </c>
    </row>
    <row r="10697" spans="1:14">
      <c r="A10697">
        <v>65304210</v>
      </c>
      <c r="B10697">
        <v>4012555</v>
      </c>
      <c r="C10697" t="s">
        <v>4950</v>
      </c>
      <c r="D10697" t="s">
        <v>442</v>
      </c>
      <c r="E10697" t="s">
        <v>441</v>
      </c>
      <c r="F10697">
        <v>0.105</v>
      </c>
      <c r="G10697">
        <v>2.5</v>
      </c>
      <c r="H10697" t="s">
        <v>8587</v>
      </c>
      <c r="I10697">
        <v>81</v>
      </c>
      <c r="J10697" t="s">
        <v>462</v>
      </c>
      <c r="K10697" t="s">
        <v>446</v>
      </c>
      <c r="M10697">
        <v>3711</v>
      </c>
    </row>
    <row r="10698" spans="1:14">
      <c r="A10698">
        <v>65304220</v>
      </c>
      <c r="B10698">
        <v>4012779</v>
      </c>
      <c r="C10698" t="s">
        <v>4951</v>
      </c>
      <c r="D10698" t="s">
        <v>442</v>
      </c>
      <c r="E10698" t="s">
        <v>441</v>
      </c>
      <c r="F10698">
        <v>0.105</v>
      </c>
      <c r="G10698">
        <v>2.31</v>
      </c>
      <c r="H10698" t="s">
        <v>8587</v>
      </c>
      <c r="I10698">
        <v>81</v>
      </c>
      <c r="J10698" t="s">
        <v>462</v>
      </c>
      <c r="K10698" t="s">
        <v>446</v>
      </c>
      <c r="M10698">
        <v>3711</v>
      </c>
    </row>
    <row r="10699" spans="1:14">
      <c r="A10699">
        <v>65304230</v>
      </c>
      <c r="B10699">
        <v>4014741</v>
      </c>
      <c r="C10699" t="s">
        <v>4952</v>
      </c>
      <c r="D10699" t="s">
        <v>442</v>
      </c>
      <c r="E10699" t="s">
        <v>441</v>
      </c>
      <c r="F10699">
        <v>0.105</v>
      </c>
      <c r="G10699">
        <v>2.33</v>
      </c>
      <c r="H10699" t="s">
        <v>8587</v>
      </c>
      <c r="I10699">
        <v>81</v>
      </c>
      <c r="J10699" t="s">
        <v>462</v>
      </c>
      <c r="K10699" t="s">
        <v>446</v>
      </c>
      <c r="M10699">
        <v>3711</v>
      </c>
    </row>
    <row r="10700" spans="1:14">
      <c r="A10700">
        <v>65304240</v>
      </c>
      <c r="B10700">
        <v>4015750</v>
      </c>
      <c r="C10700" t="s">
        <v>4953</v>
      </c>
      <c r="D10700" t="s">
        <v>442</v>
      </c>
      <c r="E10700" t="s">
        <v>441</v>
      </c>
      <c r="F10700">
        <v>0.105</v>
      </c>
      <c r="G10700">
        <v>2.13</v>
      </c>
      <c r="H10700" t="s">
        <v>8587</v>
      </c>
      <c r="I10700">
        <v>100</v>
      </c>
      <c r="J10700" t="s">
        <v>462</v>
      </c>
      <c r="K10700" t="s">
        <v>446</v>
      </c>
      <c r="M10700">
        <v>3711</v>
      </c>
      <c r="N10700" t="s">
        <v>16921</v>
      </c>
    </row>
    <row r="10701" spans="1:14">
      <c r="A10701">
        <v>65304250</v>
      </c>
      <c r="B10701">
        <v>4015751</v>
      </c>
      <c r="C10701" t="s">
        <v>4954</v>
      </c>
      <c r="D10701" t="s">
        <v>442</v>
      </c>
      <c r="E10701" t="s">
        <v>441</v>
      </c>
      <c r="F10701">
        <v>0.105</v>
      </c>
      <c r="G10701">
        <v>2.63</v>
      </c>
      <c r="H10701" t="s">
        <v>8587</v>
      </c>
      <c r="I10701">
        <v>100</v>
      </c>
      <c r="J10701" t="s">
        <v>462</v>
      </c>
      <c r="K10701" t="s">
        <v>446</v>
      </c>
      <c r="M10701">
        <v>3711</v>
      </c>
      <c r="N10701" t="s">
        <v>16921</v>
      </c>
    </row>
    <row r="10702" spans="1:14">
      <c r="A10702">
        <v>65304260</v>
      </c>
      <c r="B10702">
        <v>4015752</v>
      </c>
      <c r="C10702" t="s">
        <v>4955</v>
      </c>
      <c r="D10702" t="s">
        <v>442</v>
      </c>
      <c r="E10702" t="s">
        <v>441</v>
      </c>
      <c r="F10702">
        <v>0.105</v>
      </c>
      <c r="G10702">
        <v>2.35</v>
      </c>
      <c r="H10702" t="s">
        <v>8587</v>
      </c>
      <c r="I10702">
        <v>81</v>
      </c>
      <c r="J10702" t="s">
        <v>462</v>
      </c>
      <c r="K10702" t="s">
        <v>446</v>
      </c>
      <c r="L10702" t="s">
        <v>13146</v>
      </c>
      <c r="M10702">
        <v>3711</v>
      </c>
    </row>
    <row r="10703" spans="1:14">
      <c r="A10703">
        <v>65304270</v>
      </c>
      <c r="B10703">
        <v>4016280</v>
      </c>
      <c r="C10703" t="s">
        <v>4956</v>
      </c>
      <c r="D10703" t="s">
        <v>442</v>
      </c>
      <c r="E10703" t="s">
        <v>441</v>
      </c>
      <c r="F10703">
        <v>12.6</v>
      </c>
      <c r="G10703">
        <v>275.82</v>
      </c>
      <c r="H10703" t="s">
        <v>8587</v>
      </c>
      <c r="I10703">
        <v>81</v>
      </c>
      <c r="J10703" t="s">
        <v>462</v>
      </c>
      <c r="K10703" t="s">
        <v>446</v>
      </c>
      <c r="L10703" t="s">
        <v>13147</v>
      </c>
      <c r="M10703">
        <v>3711</v>
      </c>
    </row>
    <row r="10704" spans="1:14">
      <c r="A10704">
        <v>65310000</v>
      </c>
      <c r="B10704">
        <v>3019093</v>
      </c>
      <c r="C10704" t="s">
        <v>4957</v>
      </c>
      <c r="D10704" t="s">
        <v>441</v>
      </c>
      <c r="F10704">
        <v>0</v>
      </c>
      <c r="G10704">
        <v>19.72</v>
      </c>
      <c r="H10704" t="s">
        <v>8580</v>
      </c>
      <c r="I10704">
        <v>7</v>
      </c>
      <c r="J10704" t="s">
        <v>445</v>
      </c>
      <c r="M10704">
        <v>3312</v>
      </c>
    </row>
    <row r="10705" spans="1:14">
      <c r="A10705">
        <v>65310008</v>
      </c>
      <c r="B10705">
        <v>3019087</v>
      </c>
      <c r="C10705" t="s">
        <v>4958</v>
      </c>
      <c r="D10705" t="s">
        <v>441</v>
      </c>
      <c r="F10705">
        <v>0</v>
      </c>
      <c r="G10705">
        <v>9.43</v>
      </c>
      <c r="I10705">
        <v>5</v>
      </c>
      <c r="J10705" t="s">
        <v>445</v>
      </c>
      <c r="M10705">
        <v>3211</v>
      </c>
    </row>
    <row r="10706" spans="1:14">
      <c r="A10706">
        <v>65310009</v>
      </c>
      <c r="B10706">
        <v>3019092</v>
      </c>
      <c r="C10706" t="s">
        <v>4959</v>
      </c>
      <c r="D10706" t="s">
        <v>441</v>
      </c>
      <c r="F10706">
        <v>0</v>
      </c>
      <c r="G10706">
        <v>13.85</v>
      </c>
      <c r="I10706">
        <v>6</v>
      </c>
      <c r="J10706" t="s">
        <v>445</v>
      </c>
      <c r="M10706">
        <v>3311</v>
      </c>
    </row>
    <row r="10707" spans="1:14">
      <c r="A10707">
        <v>65314210</v>
      </c>
      <c r="B10707">
        <v>4013283</v>
      </c>
      <c r="C10707" t="s">
        <v>4960</v>
      </c>
      <c r="D10707" t="s">
        <v>442</v>
      </c>
      <c r="E10707" t="s">
        <v>441</v>
      </c>
      <c r="F10707">
        <v>0.06</v>
      </c>
      <c r="G10707">
        <v>1.7</v>
      </c>
      <c r="H10707" t="s">
        <v>8587</v>
      </c>
      <c r="I10707">
        <v>81</v>
      </c>
      <c r="J10707" t="s">
        <v>462</v>
      </c>
      <c r="K10707" t="s">
        <v>446</v>
      </c>
      <c r="M10707">
        <v>3711</v>
      </c>
    </row>
    <row r="10708" spans="1:14">
      <c r="A10708">
        <v>65320000</v>
      </c>
      <c r="B10708">
        <v>3019091</v>
      </c>
      <c r="C10708" t="s">
        <v>4961</v>
      </c>
      <c r="D10708" t="s">
        <v>441</v>
      </c>
      <c r="F10708">
        <v>0</v>
      </c>
      <c r="G10708">
        <v>17.97</v>
      </c>
      <c r="I10708">
        <v>7</v>
      </c>
      <c r="J10708" t="s">
        <v>445</v>
      </c>
      <c r="M10708">
        <v>3312</v>
      </c>
    </row>
    <row r="10709" spans="1:14">
      <c r="A10709">
        <v>65320008</v>
      </c>
      <c r="B10709">
        <v>3019089</v>
      </c>
      <c r="C10709" t="s">
        <v>4962</v>
      </c>
      <c r="D10709" t="s">
        <v>441</v>
      </c>
      <c r="F10709">
        <v>0</v>
      </c>
      <c r="G10709">
        <v>8.56</v>
      </c>
      <c r="H10709" t="s">
        <v>8584</v>
      </c>
      <c r="I10709">
        <v>5</v>
      </c>
      <c r="J10709" t="s">
        <v>445</v>
      </c>
      <c r="M10709">
        <v>3211</v>
      </c>
    </row>
    <row r="10710" spans="1:14">
      <c r="A10710">
        <v>65320009</v>
      </c>
      <c r="B10710">
        <v>3019090</v>
      </c>
      <c r="C10710" t="s">
        <v>4963</v>
      </c>
      <c r="D10710" t="s">
        <v>441</v>
      </c>
      <c r="F10710">
        <v>0</v>
      </c>
      <c r="G10710">
        <v>12.61</v>
      </c>
      <c r="H10710" t="s">
        <v>8584</v>
      </c>
      <c r="I10710">
        <v>6</v>
      </c>
      <c r="J10710" t="s">
        <v>445</v>
      </c>
      <c r="M10710">
        <v>3311</v>
      </c>
    </row>
    <row r="10711" spans="1:14">
      <c r="A10711">
        <v>65324210</v>
      </c>
      <c r="B10711">
        <v>4013282</v>
      </c>
      <c r="C10711" t="s">
        <v>4964</v>
      </c>
      <c r="D10711" t="s">
        <v>442</v>
      </c>
      <c r="E10711" t="s">
        <v>441</v>
      </c>
      <c r="F10711">
        <v>0.06</v>
      </c>
      <c r="G10711">
        <v>1.76</v>
      </c>
      <c r="H10711" t="s">
        <v>8587</v>
      </c>
      <c r="I10711">
        <v>81</v>
      </c>
      <c r="J10711" t="s">
        <v>462</v>
      </c>
      <c r="K10711" t="s">
        <v>446</v>
      </c>
      <c r="M10711">
        <v>3711</v>
      </c>
    </row>
    <row r="10712" spans="1:14">
      <c r="A10712">
        <v>65330000</v>
      </c>
      <c r="B10712">
        <v>3019101</v>
      </c>
      <c r="C10712" t="s">
        <v>4965</v>
      </c>
      <c r="D10712" t="s">
        <v>441</v>
      </c>
      <c r="F10712">
        <v>0</v>
      </c>
      <c r="G10712">
        <v>17.079999999999998</v>
      </c>
      <c r="H10712" t="s">
        <v>8584</v>
      </c>
      <c r="I10712">
        <v>7</v>
      </c>
      <c r="J10712" t="s">
        <v>445</v>
      </c>
      <c r="M10712">
        <v>3312</v>
      </c>
    </row>
    <row r="10713" spans="1:14">
      <c r="A10713">
        <v>65330008</v>
      </c>
      <c r="B10713">
        <v>3019099</v>
      </c>
      <c r="C10713" t="s">
        <v>4966</v>
      </c>
      <c r="D10713" t="s">
        <v>441</v>
      </c>
      <c r="F10713">
        <v>0</v>
      </c>
      <c r="G10713">
        <v>8.1199999999999992</v>
      </c>
      <c r="H10713" t="s">
        <v>8584</v>
      </c>
      <c r="I10713">
        <v>5</v>
      </c>
      <c r="J10713" t="s">
        <v>445</v>
      </c>
      <c r="M10713">
        <v>3211</v>
      </c>
    </row>
    <row r="10714" spans="1:14">
      <c r="A10714">
        <v>65330009</v>
      </c>
      <c r="B10714">
        <v>3019100</v>
      </c>
      <c r="C10714" t="s">
        <v>4967</v>
      </c>
      <c r="D10714" t="s">
        <v>441</v>
      </c>
      <c r="F10714">
        <v>0</v>
      </c>
      <c r="G10714">
        <v>11.98</v>
      </c>
      <c r="H10714" t="s">
        <v>8580</v>
      </c>
      <c r="I10714">
        <v>6</v>
      </c>
      <c r="J10714" t="s">
        <v>445</v>
      </c>
      <c r="M10714">
        <v>3311</v>
      </c>
    </row>
    <row r="10715" spans="1:14">
      <c r="A10715">
        <v>65334210</v>
      </c>
      <c r="B10715">
        <v>4013284</v>
      </c>
      <c r="C10715" t="s">
        <v>4968</v>
      </c>
      <c r="D10715" t="s">
        <v>442</v>
      </c>
      <c r="E10715" t="s">
        <v>441</v>
      </c>
      <c r="F10715">
        <v>0.06</v>
      </c>
      <c r="G10715">
        <v>1.71</v>
      </c>
      <c r="H10715" t="s">
        <v>8587</v>
      </c>
      <c r="I10715">
        <v>81</v>
      </c>
      <c r="J10715" t="s">
        <v>462</v>
      </c>
      <c r="K10715" t="s">
        <v>446</v>
      </c>
      <c r="M10715">
        <v>3711</v>
      </c>
    </row>
    <row r="10716" spans="1:14">
      <c r="A10716">
        <v>65340000</v>
      </c>
      <c r="B10716">
        <v>3021423</v>
      </c>
      <c r="C10716" t="s">
        <v>4969</v>
      </c>
      <c r="D10716" t="s">
        <v>441</v>
      </c>
      <c r="F10716">
        <v>0</v>
      </c>
      <c r="G10716">
        <v>20.03</v>
      </c>
      <c r="H10716" t="s">
        <v>8580</v>
      </c>
      <c r="I10716">
        <v>9</v>
      </c>
      <c r="J10716" t="s">
        <v>445</v>
      </c>
      <c r="K10716" t="s">
        <v>446</v>
      </c>
      <c r="M10716">
        <v>3312</v>
      </c>
      <c r="N10716" t="s">
        <v>16922</v>
      </c>
    </row>
    <row r="10717" spans="1:14">
      <c r="A10717">
        <v>65340008</v>
      </c>
      <c r="B10717">
        <v>3021421</v>
      </c>
      <c r="C10717" t="s">
        <v>4970</v>
      </c>
      <c r="D10717" t="s">
        <v>441</v>
      </c>
      <c r="F10717">
        <v>0</v>
      </c>
      <c r="G10717">
        <v>9.75</v>
      </c>
      <c r="H10717" t="s">
        <v>12664</v>
      </c>
      <c r="I10717">
        <v>5</v>
      </c>
      <c r="J10717" t="s">
        <v>445</v>
      </c>
      <c r="K10717" t="s">
        <v>446</v>
      </c>
      <c r="M10717">
        <v>3211</v>
      </c>
      <c r="N10717" t="s">
        <v>16922</v>
      </c>
    </row>
    <row r="10718" spans="1:14">
      <c r="A10718">
        <v>65340009</v>
      </c>
      <c r="B10718">
        <v>3021422</v>
      </c>
      <c r="C10718" t="s">
        <v>4971</v>
      </c>
      <c r="D10718" t="s">
        <v>441</v>
      </c>
      <c r="F10718">
        <v>0</v>
      </c>
      <c r="G10718">
        <v>16.34</v>
      </c>
      <c r="H10718" t="s">
        <v>12573</v>
      </c>
      <c r="I10718">
        <v>6</v>
      </c>
      <c r="J10718" t="s">
        <v>445</v>
      </c>
      <c r="K10718" t="s">
        <v>446</v>
      </c>
      <c r="M10718">
        <v>3311</v>
      </c>
      <c r="N10718" t="s">
        <v>16922</v>
      </c>
    </row>
    <row r="10719" spans="1:14">
      <c r="A10719">
        <v>65344210</v>
      </c>
      <c r="B10719">
        <v>4014002</v>
      </c>
      <c r="C10719" t="s">
        <v>4972</v>
      </c>
      <c r="D10719" t="s">
        <v>442</v>
      </c>
      <c r="E10719" t="s">
        <v>441</v>
      </c>
      <c r="F10719">
        <v>0.105</v>
      </c>
      <c r="G10719">
        <v>2.56</v>
      </c>
      <c r="H10719" t="s">
        <v>8587</v>
      </c>
      <c r="I10719">
        <v>100</v>
      </c>
      <c r="J10719" t="s">
        <v>462</v>
      </c>
      <c r="K10719" t="s">
        <v>446</v>
      </c>
      <c r="L10719" t="s">
        <v>13148</v>
      </c>
      <c r="M10719">
        <v>3711</v>
      </c>
      <c r="N10719" t="s">
        <v>16922</v>
      </c>
    </row>
    <row r="10720" spans="1:14">
      <c r="A10720">
        <v>65344220</v>
      </c>
      <c r="B10720">
        <v>4014805</v>
      </c>
      <c r="C10720" t="s">
        <v>4973</v>
      </c>
      <c r="D10720" t="s">
        <v>442</v>
      </c>
      <c r="E10720" t="s">
        <v>441</v>
      </c>
      <c r="F10720">
        <v>0.105</v>
      </c>
      <c r="G10720">
        <v>2.46</v>
      </c>
      <c r="H10720" t="s">
        <v>8587</v>
      </c>
      <c r="I10720">
        <v>100</v>
      </c>
      <c r="J10720" t="s">
        <v>462</v>
      </c>
      <c r="K10720" t="s">
        <v>446</v>
      </c>
      <c r="L10720" t="s">
        <v>13149</v>
      </c>
      <c r="M10720">
        <v>3711</v>
      </c>
      <c r="N10720" t="s">
        <v>16923</v>
      </c>
    </row>
    <row r="10721" spans="1:14">
      <c r="A10721">
        <v>65344230</v>
      </c>
      <c r="B10721">
        <v>4015146</v>
      </c>
      <c r="C10721" t="s">
        <v>4974</v>
      </c>
      <c r="D10721" t="s">
        <v>442</v>
      </c>
      <c r="E10721" t="s">
        <v>441</v>
      </c>
      <c r="F10721">
        <v>0.12</v>
      </c>
      <c r="G10721">
        <v>2.72</v>
      </c>
      <c r="H10721" t="s">
        <v>8587</v>
      </c>
      <c r="I10721">
        <v>81</v>
      </c>
      <c r="J10721" t="s">
        <v>462</v>
      </c>
      <c r="K10721" t="s">
        <v>446</v>
      </c>
      <c r="M10721">
        <v>3711</v>
      </c>
    </row>
    <row r="10722" spans="1:14">
      <c r="A10722">
        <v>65344240</v>
      </c>
      <c r="B10722">
        <v>4016164</v>
      </c>
      <c r="C10722" t="s">
        <v>4975</v>
      </c>
      <c r="D10722" t="s">
        <v>442</v>
      </c>
      <c r="E10722" t="s">
        <v>441</v>
      </c>
      <c r="F10722">
        <v>0.105</v>
      </c>
      <c r="G10722">
        <v>2.48</v>
      </c>
      <c r="H10722" t="s">
        <v>8587</v>
      </c>
      <c r="I10722">
        <v>100</v>
      </c>
      <c r="J10722" t="s">
        <v>462</v>
      </c>
      <c r="K10722" t="s">
        <v>446</v>
      </c>
      <c r="M10722">
        <v>3711</v>
      </c>
      <c r="N10722" t="s">
        <v>16923</v>
      </c>
    </row>
    <row r="10723" spans="1:14">
      <c r="A10723">
        <v>65344250</v>
      </c>
      <c r="B10723">
        <v>4021169</v>
      </c>
      <c r="C10723" t="s">
        <v>4976</v>
      </c>
      <c r="D10723" t="s">
        <v>442</v>
      </c>
      <c r="E10723" t="s">
        <v>441</v>
      </c>
      <c r="F10723">
        <v>0.105</v>
      </c>
      <c r="G10723">
        <v>2.61</v>
      </c>
      <c r="H10723" t="s">
        <v>8587</v>
      </c>
      <c r="I10723">
        <v>100</v>
      </c>
      <c r="J10723" t="s">
        <v>462</v>
      </c>
      <c r="K10723" t="s">
        <v>446</v>
      </c>
      <c r="L10723" t="s">
        <v>13150</v>
      </c>
      <c r="M10723">
        <v>3711</v>
      </c>
      <c r="N10723" t="s">
        <v>16922</v>
      </c>
    </row>
    <row r="10724" spans="1:14">
      <c r="A10724">
        <v>65350000</v>
      </c>
      <c r="B10724">
        <v>3023125</v>
      </c>
      <c r="C10724" t="s">
        <v>4977</v>
      </c>
      <c r="D10724" t="s">
        <v>441</v>
      </c>
      <c r="F10724">
        <v>0</v>
      </c>
      <c r="G10724">
        <v>20.68</v>
      </c>
      <c r="H10724" t="s">
        <v>8580</v>
      </c>
      <c r="I10724">
        <v>7</v>
      </c>
      <c r="J10724" t="s">
        <v>445</v>
      </c>
      <c r="K10724" t="s">
        <v>446</v>
      </c>
      <c r="M10724">
        <v>3311</v>
      </c>
      <c r="N10724" t="s">
        <v>16924</v>
      </c>
    </row>
    <row r="10725" spans="1:14">
      <c r="A10725">
        <v>65350008</v>
      </c>
      <c r="B10725">
        <v>3023123</v>
      </c>
      <c r="C10725" t="s">
        <v>4978</v>
      </c>
      <c r="D10725" t="s">
        <v>441</v>
      </c>
      <c r="F10725">
        <v>0</v>
      </c>
      <c r="G10725">
        <v>9.98</v>
      </c>
      <c r="H10725" t="s">
        <v>12664</v>
      </c>
      <c r="I10725">
        <v>5</v>
      </c>
      <c r="J10725" t="s">
        <v>445</v>
      </c>
      <c r="K10725" t="s">
        <v>446</v>
      </c>
      <c r="M10725">
        <v>3211</v>
      </c>
      <c r="N10725" t="s">
        <v>16924</v>
      </c>
    </row>
    <row r="10726" spans="1:14">
      <c r="A10726">
        <v>65350009</v>
      </c>
      <c r="B10726">
        <v>3023124</v>
      </c>
      <c r="C10726" t="s">
        <v>4979</v>
      </c>
      <c r="D10726" t="s">
        <v>441</v>
      </c>
      <c r="F10726">
        <v>0</v>
      </c>
      <c r="G10726">
        <v>14.62</v>
      </c>
      <c r="H10726" t="s">
        <v>12573</v>
      </c>
      <c r="I10726">
        <v>6</v>
      </c>
      <c r="J10726" t="s">
        <v>445</v>
      </c>
      <c r="K10726" t="s">
        <v>446</v>
      </c>
      <c r="M10726">
        <v>3311</v>
      </c>
      <c r="N10726" t="s">
        <v>16924</v>
      </c>
    </row>
    <row r="10727" spans="1:14">
      <c r="A10727">
        <v>65354210</v>
      </c>
      <c r="B10727">
        <v>4015269</v>
      </c>
      <c r="C10727" t="s">
        <v>4980</v>
      </c>
      <c r="D10727" t="s">
        <v>442</v>
      </c>
      <c r="E10727" t="s">
        <v>441</v>
      </c>
      <c r="F10727">
        <v>0.06</v>
      </c>
      <c r="G10727">
        <v>1.51</v>
      </c>
      <c r="H10727" t="s">
        <v>8587</v>
      </c>
      <c r="I10727">
        <v>81</v>
      </c>
      <c r="J10727" t="s">
        <v>462</v>
      </c>
      <c r="K10727" t="s">
        <v>446</v>
      </c>
      <c r="L10727" t="s">
        <v>13151</v>
      </c>
      <c r="M10727">
        <v>3711</v>
      </c>
    </row>
    <row r="10728" spans="1:14">
      <c r="A10728">
        <v>65360000</v>
      </c>
      <c r="B10728">
        <v>3030225</v>
      </c>
      <c r="C10728" t="s">
        <v>4981</v>
      </c>
      <c r="D10728" t="s">
        <v>441</v>
      </c>
      <c r="F10728">
        <v>0</v>
      </c>
      <c r="G10728">
        <v>8.5</v>
      </c>
      <c r="H10728" t="s">
        <v>12573</v>
      </c>
      <c r="I10728">
        <v>6</v>
      </c>
      <c r="J10728" t="s">
        <v>445</v>
      </c>
      <c r="K10728" t="s">
        <v>446</v>
      </c>
      <c r="M10728">
        <v>3311</v>
      </c>
      <c r="N10728" t="s">
        <v>16925</v>
      </c>
    </row>
    <row r="10729" spans="1:14">
      <c r="A10729">
        <v>65360008</v>
      </c>
      <c r="B10729">
        <v>3030243</v>
      </c>
      <c r="C10729" t="s">
        <v>4982</v>
      </c>
      <c r="D10729" t="s">
        <v>441</v>
      </c>
      <c r="F10729">
        <v>0</v>
      </c>
      <c r="G10729">
        <v>7.23</v>
      </c>
      <c r="H10729" t="s">
        <v>12664</v>
      </c>
      <c r="I10729">
        <v>2</v>
      </c>
      <c r="J10729" t="s">
        <v>445</v>
      </c>
      <c r="K10729" t="s">
        <v>446</v>
      </c>
      <c r="M10729">
        <v>3211</v>
      </c>
      <c r="N10729" t="s">
        <v>16926</v>
      </c>
    </row>
    <row r="10730" spans="1:14">
      <c r="A10730">
        <v>65364210</v>
      </c>
      <c r="B10730">
        <v>4020174</v>
      </c>
      <c r="C10730" t="s">
        <v>4983</v>
      </c>
      <c r="D10730" t="s">
        <v>442</v>
      </c>
      <c r="E10730" t="s">
        <v>441</v>
      </c>
      <c r="F10730">
        <v>0.54</v>
      </c>
      <c r="G10730">
        <v>5.26</v>
      </c>
      <c r="H10730" t="s">
        <v>8587</v>
      </c>
      <c r="I10730">
        <v>28</v>
      </c>
      <c r="J10730" t="s">
        <v>462</v>
      </c>
      <c r="K10730" t="s">
        <v>446</v>
      </c>
      <c r="L10730" t="s">
        <v>13152</v>
      </c>
      <c r="M10730">
        <v>3711</v>
      </c>
      <c r="N10730" t="s">
        <v>16925</v>
      </c>
    </row>
    <row r="10731" spans="1:14">
      <c r="A10731">
        <v>65364220</v>
      </c>
      <c r="B10731">
        <v>4020175</v>
      </c>
      <c r="C10731" t="s">
        <v>4984</v>
      </c>
      <c r="D10731" t="s">
        <v>441</v>
      </c>
      <c r="F10731">
        <v>0</v>
      </c>
      <c r="G10731">
        <v>9.09</v>
      </c>
      <c r="H10731" t="s">
        <v>8587</v>
      </c>
      <c r="I10731">
        <v>28</v>
      </c>
      <c r="J10731" t="s">
        <v>462</v>
      </c>
      <c r="K10731" t="s">
        <v>446</v>
      </c>
      <c r="M10731">
        <v>3711</v>
      </c>
      <c r="N10731" t="s">
        <v>16925</v>
      </c>
    </row>
    <row r="10732" spans="1:14">
      <c r="A10732">
        <v>65370000</v>
      </c>
      <c r="B10732">
        <v>3030465</v>
      </c>
      <c r="C10732" t="s">
        <v>13153</v>
      </c>
      <c r="D10732" t="s">
        <v>441</v>
      </c>
      <c r="F10732">
        <v>0</v>
      </c>
      <c r="G10732">
        <v>8.1</v>
      </c>
      <c r="H10732" t="s">
        <v>12573</v>
      </c>
      <c r="I10732">
        <v>4</v>
      </c>
      <c r="J10732" t="s">
        <v>445</v>
      </c>
      <c r="K10732" t="s">
        <v>446</v>
      </c>
      <c r="M10732">
        <v>3311</v>
      </c>
      <c r="N10732" t="s">
        <v>16927</v>
      </c>
    </row>
    <row r="10733" spans="1:14">
      <c r="A10733">
        <v>65370008</v>
      </c>
      <c r="B10733">
        <v>3030464</v>
      </c>
      <c r="C10733" t="s">
        <v>13154</v>
      </c>
      <c r="D10733" t="s">
        <v>441</v>
      </c>
      <c r="F10733">
        <v>0</v>
      </c>
      <c r="G10733">
        <v>7.09</v>
      </c>
      <c r="H10733" t="s">
        <v>12664</v>
      </c>
      <c r="I10733">
        <v>2</v>
      </c>
      <c r="J10733" t="s">
        <v>445</v>
      </c>
      <c r="K10733" t="s">
        <v>446</v>
      </c>
      <c r="M10733">
        <v>3211</v>
      </c>
      <c r="N10733" t="s">
        <v>16928</v>
      </c>
    </row>
    <row r="10734" spans="1:14">
      <c r="A10734">
        <v>65374210</v>
      </c>
      <c r="B10734">
        <v>4020350</v>
      </c>
      <c r="C10734" t="s">
        <v>13155</v>
      </c>
      <c r="D10734" t="s">
        <v>442</v>
      </c>
      <c r="E10734" t="s">
        <v>441</v>
      </c>
      <c r="F10734">
        <v>0.24</v>
      </c>
      <c r="G10734">
        <v>2.74</v>
      </c>
      <c r="H10734" t="s">
        <v>8587</v>
      </c>
      <c r="I10734">
        <v>28</v>
      </c>
      <c r="J10734" t="s">
        <v>462</v>
      </c>
      <c r="K10734" t="s">
        <v>446</v>
      </c>
      <c r="L10734" t="s">
        <v>13156</v>
      </c>
      <c r="M10734">
        <v>3711</v>
      </c>
      <c r="N10734" t="s">
        <v>16927</v>
      </c>
    </row>
    <row r="10735" spans="1:14">
      <c r="A10735">
        <v>65374220</v>
      </c>
      <c r="B10735">
        <v>4020360</v>
      </c>
      <c r="C10735" t="s">
        <v>13157</v>
      </c>
      <c r="D10735" t="s">
        <v>442</v>
      </c>
      <c r="E10735" t="s">
        <v>441</v>
      </c>
      <c r="F10735">
        <v>0.24</v>
      </c>
      <c r="G10735">
        <v>2.82</v>
      </c>
      <c r="H10735" t="s">
        <v>8587</v>
      </c>
      <c r="I10735">
        <v>28</v>
      </c>
      <c r="J10735" t="s">
        <v>462</v>
      </c>
      <c r="K10735" t="s">
        <v>446</v>
      </c>
      <c r="L10735" t="s">
        <v>13158</v>
      </c>
      <c r="M10735">
        <v>3711</v>
      </c>
      <c r="N10735" t="s">
        <v>16927</v>
      </c>
    </row>
    <row r="10736" spans="1:14">
      <c r="A10736">
        <v>65374230</v>
      </c>
      <c r="B10736">
        <v>4020382</v>
      </c>
      <c r="C10736" t="s">
        <v>13159</v>
      </c>
      <c r="D10736" t="s">
        <v>442</v>
      </c>
      <c r="E10736" t="s">
        <v>441</v>
      </c>
      <c r="F10736">
        <v>0.24</v>
      </c>
      <c r="G10736">
        <v>2.69</v>
      </c>
      <c r="H10736" t="s">
        <v>8587</v>
      </c>
      <c r="I10736">
        <v>28</v>
      </c>
      <c r="J10736" t="s">
        <v>462</v>
      </c>
      <c r="K10736" t="s">
        <v>446</v>
      </c>
      <c r="L10736" t="s">
        <v>13160</v>
      </c>
      <c r="M10736">
        <v>3711</v>
      </c>
      <c r="N10736" t="s">
        <v>16927</v>
      </c>
    </row>
    <row r="10737" spans="1:14">
      <c r="A10737">
        <v>65374240</v>
      </c>
      <c r="B10737">
        <v>4020663</v>
      </c>
      <c r="C10737" t="s">
        <v>13161</v>
      </c>
      <c r="D10737" t="s">
        <v>442</v>
      </c>
      <c r="E10737" t="s">
        <v>441</v>
      </c>
      <c r="F10737">
        <v>1</v>
      </c>
      <c r="G10737">
        <v>9.73</v>
      </c>
      <c r="H10737" t="s">
        <v>8587</v>
      </c>
      <c r="I10737">
        <v>28</v>
      </c>
      <c r="J10737" t="s">
        <v>462</v>
      </c>
      <c r="K10737" t="s">
        <v>446</v>
      </c>
      <c r="L10737" t="s">
        <v>13162</v>
      </c>
      <c r="M10737">
        <v>3711</v>
      </c>
      <c r="N10737" t="s">
        <v>16927</v>
      </c>
    </row>
    <row r="10738" spans="1:14">
      <c r="A10738">
        <v>65374250</v>
      </c>
      <c r="B10738">
        <v>4021052</v>
      </c>
      <c r="C10738" t="s">
        <v>13163</v>
      </c>
      <c r="D10738" t="s">
        <v>442</v>
      </c>
      <c r="E10738" t="s">
        <v>441</v>
      </c>
      <c r="F10738">
        <v>0.24</v>
      </c>
      <c r="G10738">
        <v>2.6</v>
      </c>
      <c r="H10738" t="s">
        <v>8587</v>
      </c>
      <c r="I10738">
        <v>28</v>
      </c>
      <c r="J10738" t="s">
        <v>462</v>
      </c>
      <c r="K10738" t="s">
        <v>446</v>
      </c>
      <c r="L10738" t="s">
        <v>13158</v>
      </c>
      <c r="M10738">
        <v>3711</v>
      </c>
      <c r="N10738" t="s">
        <v>16927</v>
      </c>
    </row>
    <row r="10739" spans="1:14">
      <c r="A10739">
        <v>65380000</v>
      </c>
      <c r="B10739">
        <v>3030468</v>
      </c>
      <c r="C10739" t="s">
        <v>13164</v>
      </c>
      <c r="D10739" t="s">
        <v>441</v>
      </c>
      <c r="F10739">
        <v>0</v>
      </c>
      <c r="G10739">
        <v>8.4</v>
      </c>
      <c r="H10739" t="s">
        <v>12573</v>
      </c>
      <c r="I10739">
        <v>4</v>
      </c>
      <c r="J10739" t="s">
        <v>445</v>
      </c>
      <c r="K10739" t="s">
        <v>446</v>
      </c>
      <c r="M10739">
        <v>3311</v>
      </c>
      <c r="N10739" t="s">
        <v>16929</v>
      </c>
    </row>
    <row r="10740" spans="1:14">
      <c r="A10740">
        <v>65380008</v>
      </c>
      <c r="B10740">
        <v>3030467</v>
      </c>
      <c r="C10740" t="s">
        <v>13165</v>
      </c>
      <c r="D10740" t="s">
        <v>441</v>
      </c>
      <c r="F10740">
        <v>0</v>
      </c>
      <c r="G10740">
        <v>6.89</v>
      </c>
      <c r="H10740" t="s">
        <v>12664</v>
      </c>
      <c r="I10740">
        <v>2</v>
      </c>
      <c r="J10740" t="s">
        <v>445</v>
      </c>
      <c r="K10740" t="s">
        <v>446</v>
      </c>
      <c r="M10740">
        <v>3211</v>
      </c>
      <c r="N10740" t="s">
        <v>16930</v>
      </c>
    </row>
    <row r="10741" spans="1:14">
      <c r="A10741">
        <v>65384210</v>
      </c>
      <c r="B10741">
        <v>4020352</v>
      </c>
      <c r="C10741" t="s">
        <v>13166</v>
      </c>
      <c r="D10741" t="s">
        <v>442</v>
      </c>
      <c r="E10741" t="s">
        <v>441</v>
      </c>
      <c r="F10741">
        <v>0.24</v>
      </c>
      <c r="G10741">
        <v>2.63</v>
      </c>
      <c r="H10741" t="s">
        <v>8587</v>
      </c>
      <c r="I10741">
        <v>33</v>
      </c>
      <c r="J10741" t="s">
        <v>462</v>
      </c>
      <c r="K10741" t="s">
        <v>446</v>
      </c>
      <c r="L10741" t="s">
        <v>13167</v>
      </c>
      <c r="M10741">
        <v>3711</v>
      </c>
      <c r="N10741" t="s">
        <v>16929</v>
      </c>
    </row>
    <row r="10742" spans="1:14">
      <c r="A10742">
        <v>65384211</v>
      </c>
      <c r="B10742">
        <v>3030628</v>
      </c>
      <c r="C10742" t="s">
        <v>13168</v>
      </c>
      <c r="D10742" t="s">
        <v>442</v>
      </c>
      <c r="E10742" t="s">
        <v>441</v>
      </c>
      <c r="F10742">
        <v>0.24</v>
      </c>
      <c r="G10742">
        <v>2.7</v>
      </c>
      <c r="H10742" t="s">
        <v>8587</v>
      </c>
      <c r="I10742">
        <v>33</v>
      </c>
      <c r="J10742" t="s">
        <v>445</v>
      </c>
      <c r="K10742" t="s">
        <v>446</v>
      </c>
      <c r="M10742">
        <v>3711</v>
      </c>
      <c r="N10742" t="s">
        <v>16929</v>
      </c>
    </row>
    <row r="10743" spans="1:14">
      <c r="A10743">
        <v>65384220</v>
      </c>
      <c r="B10743">
        <v>4020351</v>
      </c>
      <c r="C10743" t="s">
        <v>13169</v>
      </c>
      <c r="D10743" t="s">
        <v>442</v>
      </c>
      <c r="E10743" t="s">
        <v>441</v>
      </c>
      <c r="F10743">
        <v>0.24</v>
      </c>
      <c r="G10743">
        <v>2.72</v>
      </c>
      <c r="H10743" t="s">
        <v>8587</v>
      </c>
      <c r="I10743">
        <v>33</v>
      </c>
      <c r="J10743" t="s">
        <v>462</v>
      </c>
      <c r="K10743" t="s">
        <v>446</v>
      </c>
      <c r="L10743" t="s">
        <v>13170</v>
      </c>
      <c r="M10743">
        <v>3711</v>
      </c>
      <c r="N10743" t="s">
        <v>16929</v>
      </c>
    </row>
    <row r="10744" spans="1:14">
      <c r="A10744">
        <v>65384230</v>
      </c>
      <c r="B10744">
        <v>4020381</v>
      </c>
      <c r="C10744" t="s">
        <v>13171</v>
      </c>
      <c r="D10744" t="s">
        <v>442</v>
      </c>
      <c r="E10744" t="s">
        <v>441</v>
      </c>
      <c r="F10744">
        <v>0.24</v>
      </c>
      <c r="G10744">
        <v>2.86</v>
      </c>
      <c r="H10744" t="s">
        <v>8587</v>
      </c>
      <c r="I10744">
        <v>33</v>
      </c>
      <c r="J10744" t="s">
        <v>462</v>
      </c>
      <c r="K10744" t="s">
        <v>446</v>
      </c>
      <c r="L10744" t="s">
        <v>13172</v>
      </c>
      <c r="M10744">
        <v>3711</v>
      </c>
      <c r="N10744" t="s">
        <v>16929</v>
      </c>
    </row>
    <row r="10745" spans="1:14">
      <c r="A10745">
        <v>65384240</v>
      </c>
      <c r="B10745">
        <v>4021053</v>
      </c>
      <c r="C10745" t="s">
        <v>13173</v>
      </c>
      <c r="D10745" t="s">
        <v>442</v>
      </c>
      <c r="E10745" t="s">
        <v>441</v>
      </c>
      <c r="F10745">
        <v>0.24</v>
      </c>
      <c r="G10745">
        <v>2.54</v>
      </c>
      <c r="H10745" t="s">
        <v>8587</v>
      </c>
      <c r="I10745">
        <v>33</v>
      </c>
      <c r="J10745" t="s">
        <v>462</v>
      </c>
      <c r="K10745" t="s">
        <v>446</v>
      </c>
      <c r="M10745">
        <v>3711</v>
      </c>
      <c r="N10745" t="s">
        <v>16929</v>
      </c>
    </row>
    <row r="10746" spans="1:14">
      <c r="A10746">
        <v>65394210</v>
      </c>
      <c r="B10746">
        <v>4020510</v>
      </c>
      <c r="C10746" t="s">
        <v>13174</v>
      </c>
      <c r="D10746" t="s">
        <v>442</v>
      </c>
      <c r="E10746" t="s">
        <v>441</v>
      </c>
      <c r="F10746">
        <v>0.24</v>
      </c>
      <c r="G10746">
        <v>2.78</v>
      </c>
      <c r="H10746" t="s">
        <v>8587</v>
      </c>
      <c r="I10746">
        <v>33</v>
      </c>
      <c r="J10746" t="s">
        <v>462</v>
      </c>
      <c r="K10746" t="s">
        <v>446</v>
      </c>
      <c r="L10746" t="s">
        <v>13175</v>
      </c>
      <c r="M10746">
        <v>3711</v>
      </c>
      <c r="N10746" t="s">
        <v>16850</v>
      </c>
    </row>
    <row r="10747" spans="1:14">
      <c r="A10747">
        <v>65400000</v>
      </c>
      <c r="B10747">
        <v>3021064</v>
      </c>
      <c r="C10747" t="s">
        <v>4985</v>
      </c>
      <c r="D10747" t="s">
        <v>441</v>
      </c>
      <c r="F10747">
        <v>0</v>
      </c>
      <c r="G10747">
        <v>19.239999999999998</v>
      </c>
      <c r="H10747" t="s">
        <v>8580</v>
      </c>
      <c r="I10747">
        <v>7</v>
      </c>
      <c r="J10747" t="s">
        <v>445</v>
      </c>
      <c r="K10747" t="s">
        <v>446</v>
      </c>
      <c r="M10747">
        <v>3312</v>
      </c>
      <c r="N10747" t="s">
        <v>16931</v>
      </c>
    </row>
    <row r="10748" spans="1:14">
      <c r="A10748">
        <v>65400008</v>
      </c>
      <c r="B10748">
        <v>3021065</v>
      </c>
      <c r="C10748" t="s">
        <v>4986</v>
      </c>
      <c r="D10748" t="s">
        <v>441</v>
      </c>
      <c r="F10748">
        <v>0</v>
      </c>
      <c r="G10748">
        <v>9.36</v>
      </c>
      <c r="H10748" t="s">
        <v>8584</v>
      </c>
      <c r="I10748">
        <v>5</v>
      </c>
      <c r="J10748" t="s">
        <v>445</v>
      </c>
      <c r="K10748" t="s">
        <v>446</v>
      </c>
      <c r="M10748">
        <v>3211</v>
      </c>
      <c r="N10748" t="s">
        <v>16931</v>
      </c>
    </row>
    <row r="10749" spans="1:14">
      <c r="A10749">
        <v>65400009</v>
      </c>
      <c r="B10749">
        <v>3021073</v>
      </c>
      <c r="C10749" t="s">
        <v>4987</v>
      </c>
      <c r="D10749" t="s">
        <v>441</v>
      </c>
      <c r="F10749">
        <v>0</v>
      </c>
      <c r="G10749">
        <v>15.7</v>
      </c>
      <c r="H10749" t="s">
        <v>8580</v>
      </c>
      <c r="I10749">
        <v>6</v>
      </c>
      <c r="J10749" t="s">
        <v>445</v>
      </c>
      <c r="K10749" t="s">
        <v>446</v>
      </c>
      <c r="M10749">
        <v>3311</v>
      </c>
      <c r="N10749" t="s">
        <v>16931</v>
      </c>
    </row>
    <row r="10750" spans="1:14">
      <c r="A10750">
        <v>65404210</v>
      </c>
      <c r="B10750">
        <v>4017371</v>
      </c>
      <c r="C10750" t="s">
        <v>4988</v>
      </c>
      <c r="D10750" t="s">
        <v>442</v>
      </c>
      <c r="E10750" t="s">
        <v>441</v>
      </c>
      <c r="F10750">
        <v>0.155</v>
      </c>
      <c r="G10750">
        <v>3.1</v>
      </c>
      <c r="H10750" t="s">
        <v>8587</v>
      </c>
      <c r="I10750">
        <v>81</v>
      </c>
      <c r="J10750" t="s">
        <v>462</v>
      </c>
      <c r="K10750" t="s">
        <v>446</v>
      </c>
      <c r="L10750" t="s">
        <v>13176</v>
      </c>
      <c r="M10750">
        <v>3711</v>
      </c>
    </row>
    <row r="10751" spans="1:14">
      <c r="A10751">
        <v>65410000</v>
      </c>
      <c r="B10751">
        <v>3021066</v>
      </c>
      <c r="C10751" t="s">
        <v>4989</v>
      </c>
      <c r="D10751" t="s">
        <v>441</v>
      </c>
      <c r="F10751">
        <v>0</v>
      </c>
      <c r="G10751">
        <v>19.739999999999998</v>
      </c>
      <c r="H10751" t="s">
        <v>8584</v>
      </c>
      <c r="I10751">
        <v>7</v>
      </c>
      <c r="J10751" t="s">
        <v>445</v>
      </c>
      <c r="K10751" t="s">
        <v>446</v>
      </c>
      <c r="M10751">
        <v>3312</v>
      </c>
      <c r="N10751" t="s">
        <v>16932</v>
      </c>
    </row>
    <row r="10752" spans="1:14">
      <c r="A10752">
        <v>65410008</v>
      </c>
      <c r="B10752">
        <v>3021076</v>
      </c>
      <c r="C10752" t="s">
        <v>4990</v>
      </c>
      <c r="D10752" t="s">
        <v>441</v>
      </c>
      <c r="F10752">
        <v>0</v>
      </c>
      <c r="G10752">
        <v>9.6</v>
      </c>
      <c r="H10752" t="s">
        <v>8584</v>
      </c>
      <c r="I10752">
        <v>5</v>
      </c>
      <c r="J10752" t="s">
        <v>445</v>
      </c>
      <c r="K10752" t="s">
        <v>446</v>
      </c>
      <c r="M10752">
        <v>3211</v>
      </c>
      <c r="N10752" t="s">
        <v>16932</v>
      </c>
    </row>
    <row r="10753" spans="1:14">
      <c r="A10753">
        <v>65410009</v>
      </c>
      <c r="B10753">
        <v>3021074</v>
      </c>
      <c r="C10753" t="s">
        <v>4991</v>
      </c>
      <c r="D10753" t="s">
        <v>441</v>
      </c>
      <c r="F10753">
        <v>0</v>
      </c>
      <c r="G10753">
        <v>16.100000000000001</v>
      </c>
      <c r="H10753" t="s">
        <v>8580</v>
      </c>
      <c r="I10753">
        <v>6</v>
      </c>
      <c r="J10753" t="s">
        <v>445</v>
      </c>
      <c r="K10753" t="s">
        <v>446</v>
      </c>
      <c r="M10753">
        <v>3311</v>
      </c>
      <c r="N10753" t="s">
        <v>16932</v>
      </c>
    </row>
    <row r="10754" spans="1:14">
      <c r="A10754">
        <v>65420000</v>
      </c>
      <c r="B10754">
        <v>3021067</v>
      </c>
      <c r="C10754" t="s">
        <v>4992</v>
      </c>
      <c r="D10754" t="s">
        <v>441</v>
      </c>
      <c r="F10754">
        <v>0</v>
      </c>
      <c r="G10754">
        <v>19.940000000000001</v>
      </c>
      <c r="I10754">
        <v>7</v>
      </c>
      <c r="J10754" t="s">
        <v>445</v>
      </c>
      <c r="K10754" t="s">
        <v>446</v>
      </c>
      <c r="M10754">
        <v>3312</v>
      </c>
      <c r="N10754" t="s">
        <v>16933</v>
      </c>
    </row>
    <row r="10755" spans="1:14">
      <c r="A10755">
        <v>65420008</v>
      </c>
      <c r="B10755">
        <v>3021068</v>
      </c>
      <c r="C10755" t="s">
        <v>4993</v>
      </c>
      <c r="D10755" t="s">
        <v>441</v>
      </c>
      <c r="F10755">
        <v>0</v>
      </c>
      <c r="G10755">
        <v>9.7100000000000009</v>
      </c>
      <c r="H10755" t="s">
        <v>8580</v>
      </c>
      <c r="I10755">
        <v>5</v>
      </c>
      <c r="J10755" t="s">
        <v>445</v>
      </c>
      <c r="K10755" t="s">
        <v>446</v>
      </c>
      <c r="M10755">
        <v>3211</v>
      </c>
      <c r="N10755" t="s">
        <v>16933</v>
      </c>
    </row>
    <row r="10756" spans="1:14">
      <c r="A10756">
        <v>65420009</v>
      </c>
      <c r="B10756">
        <v>3021075</v>
      </c>
      <c r="C10756" t="s">
        <v>4994</v>
      </c>
      <c r="D10756" t="s">
        <v>441</v>
      </c>
      <c r="F10756">
        <v>0</v>
      </c>
      <c r="G10756">
        <v>16.27</v>
      </c>
      <c r="H10756" t="s">
        <v>8584</v>
      </c>
      <c r="I10756">
        <v>6</v>
      </c>
      <c r="J10756" t="s">
        <v>445</v>
      </c>
      <c r="K10756" t="s">
        <v>446</v>
      </c>
      <c r="M10756">
        <v>3311</v>
      </c>
      <c r="N10756" t="s">
        <v>16933</v>
      </c>
    </row>
    <row r="10757" spans="1:14">
      <c r="A10757">
        <v>65434210</v>
      </c>
      <c r="B10757">
        <v>4013787</v>
      </c>
      <c r="C10757" t="s">
        <v>4995</v>
      </c>
      <c r="D10757" t="s">
        <v>442</v>
      </c>
      <c r="E10757" t="s">
        <v>441</v>
      </c>
      <c r="F10757">
        <v>0.155</v>
      </c>
      <c r="G10757">
        <v>3.61</v>
      </c>
      <c r="H10757" t="s">
        <v>8587</v>
      </c>
      <c r="I10757">
        <v>81</v>
      </c>
      <c r="J10757" t="s">
        <v>462</v>
      </c>
      <c r="K10757" t="s">
        <v>446</v>
      </c>
      <c r="M10757">
        <v>3711</v>
      </c>
    </row>
    <row r="10758" spans="1:14">
      <c r="A10758">
        <v>65440000</v>
      </c>
      <c r="B10758">
        <v>3027331</v>
      </c>
      <c r="C10758" t="s">
        <v>154</v>
      </c>
      <c r="D10758" t="s">
        <v>441</v>
      </c>
      <c r="F10758">
        <v>0</v>
      </c>
      <c r="G10758">
        <v>20.04</v>
      </c>
      <c r="H10758" t="s">
        <v>12573</v>
      </c>
      <c r="I10758">
        <v>7</v>
      </c>
      <c r="J10758" t="s">
        <v>445</v>
      </c>
      <c r="K10758" t="s">
        <v>446</v>
      </c>
      <c r="M10758">
        <v>3312</v>
      </c>
      <c r="N10758" t="s">
        <v>16934</v>
      </c>
    </row>
    <row r="10759" spans="1:14">
      <c r="A10759">
        <v>65440008</v>
      </c>
      <c r="B10759">
        <v>3027309</v>
      </c>
      <c r="C10759" t="s">
        <v>13177</v>
      </c>
      <c r="D10759" t="s">
        <v>441</v>
      </c>
      <c r="F10759">
        <v>0</v>
      </c>
      <c r="G10759">
        <v>9.76</v>
      </c>
      <c r="H10759" t="s">
        <v>12664</v>
      </c>
      <c r="I10759">
        <v>5</v>
      </c>
      <c r="J10759" t="s">
        <v>445</v>
      </c>
      <c r="K10759" t="s">
        <v>446</v>
      </c>
      <c r="M10759">
        <v>3211</v>
      </c>
      <c r="N10759" t="s">
        <v>16934</v>
      </c>
    </row>
    <row r="10760" spans="1:14">
      <c r="A10760">
        <v>65440009</v>
      </c>
      <c r="B10760">
        <v>3027330</v>
      </c>
      <c r="C10760" t="s">
        <v>13178</v>
      </c>
      <c r="D10760" t="s">
        <v>441</v>
      </c>
      <c r="F10760">
        <v>0</v>
      </c>
      <c r="G10760">
        <v>16.350000000000001</v>
      </c>
      <c r="H10760" t="s">
        <v>12573</v>
      </c>
      <c r="I10760">
        <v>6</v>
      </c>
      <c r="J10760" t="s">
        <v>445</v>
      </c>
      <c r="K10760" t="s">
        <v>446</v>
      </c>
      <c r="M10760">
        <v>3311</v>
      </c>
      <c r="N10760" t="s">
        <v>16934</v>
      </c>
    </row>
    <row r="10761" spans="1:14">
      <c r="A10761">
        <v>65444210</v>
      </c>
      <c r="B10761">
        <v>4018096</v>
      </c>
      <c r="C10761" t="s">
        <v>13179</v>
      </c>
      <c r="D10761" t="s">
        <v>442</v>
      </c>
      <c r="E10761" t="s">
        <v>441</v>
      </c>
      <c r="F10761">
        <v>8.2000000000000003E-2</v>
      </c>
      <c r="G10761">
        <v>2</v>
      </c>
      <c r="H10761" t="s">
        <v>8587</v>
      </c>
      <c r="I10761">
        <v>100</v>
      </c>
      <c r="J10761" t="s">
        <v>462</v>
      </c>
      <c r="K10761" t="s">
        <v>446</v>
      </c>
      <c r="L10761" t="s">
        <v>13180</v>
      </c>
      <c r="M10761">
        <v>3711</v>
      </c>
      <c r="N10761" t="s">
        <v>16934</v>
      </c>
    </row>
    <row r="10762" spans="1:14">
      <c r="A10762">
        <v>65444220</v>
      </c>
      <c r="B10762">
        <v>4018820</v>
      </c>
      <c r="C10762" t="s">
        <v>13181</v>
      </c>
      <c r="D10762" t="s">
        <v>442</v>
      </c>
      <c r="E10762" t="s">
        <v>441</v>
      </c>
      <c r="F10762">
        <v>8.2000000000000003E-2</v>
      </c>
      <c r="G10762">
        <v>2.0499999999999998</v>
      </c>
      <c r="H10762" t="s">
        <v>8587</v>
      </c>
      <c r="I10762">
        <v>100</v>
      </c>
      <c r="J10762" t="s">
        <v>462</v>
      </c>
      <c r="K10762" t="s">
        <v>446</v>
      </c>
      <c r="L10762" t="s">
        <v>13182</v>
      </c>
      <c r="M10762">
        <v>3711</v>
      </c>
      <c r="N10762" t="s">
        <v>16934</v>
      </c>
    </row>
    <row r="10763" spans="1:14">
      <c r="A10763">
        <v>65444230</v>
      </c>
      <c r="B10763">
        <v>4018842</v>
      </c>
      <c r="C10763" t="s">
        <v>13183</v>
      </c>
      <c r="D10763" t="s">
        <v>442</v>
      </c>
      <c r="E10763" t="s">
        <v>441</v>
      </c>
      <c r="F10763">
        <v>8.2000000000000003E-2</v>
      </c>
      <c r="G10763">
        <v>2.14</v>
      </c>
      <c r="H10763" t="s">
        <v>8587</v>
      </c>
      <c r="I10763">
        <v>100</v>
      </c>
      <c r="J10763" t="s">
        <v>462</v>
      </c>
      <c r="K10763" t="s">
        <v>446</v>
      </c>
      <c r="M10763">
        <v>3711</v>
      </c>
      <c r="N10763" t="s">
        <v>16934</v>
      </c>
    </row>
    <row r="10764" spans="1:14">
      <c r="A10764">
        <v>65444240</v>
      </c>
      <c r="B10764">
        <v>4021121</v>
      </c>
      <c r="C10764" t="s">
        <v>13184</v>
      </c>
      <c r="D10764" t="s">
        <v>442</v>
      </c>
      <c r="E10764" t="s">
        <v>441</v>
      </c>
      <c r="F10764">
        <v>8.2000000000000003E-2</v>
      </c>
      <c r="G10764">
        <v>2.0699999999999998</v>
      </c>
      <c r="H10764" t="s">
        <v>8587</v>
      </c>
      <c r="I10764">
        <v>100</v>
      </c>
      <c r="J10764" t="s">
        <v>462</v>
      </c>
      <c r="K10764" t="s">
        <v>446</v>
      </c>
      <c r="L10764" t="s">
        <v>13185</v>
      </c>
      <c r="M10764">
        <v>3711</v>
      </c>
      <c r="N10764" t="s">
        <v>16934</v>
      </c>
    </row>
    <row r="10765" spans="1:14">
      <c r="A10765">
        <v>65450000</v>
      </c>
      <c r="B10765">
        <v>3027370</v>
      </c>
      <c r="C10765" t="s">
        <v>13186</v>
      </c>
      <c r="D10765" t="s">
        <v>441</v>
      </c>
      <c r="F10765">
        <v>0</v>
      </c>
      <c r="G10765">
        <v>16.489999999999998</v>
      </c>
      <c r="H10765" t="s">
        <v>12573</v>
      </c>
      <c r="I10765">
        <v>7</v>
      </c>
      <c r="J10765" t="s">
        <v>445</v>
      </c>
      <c r="K10765" t="s">
        <v>446</v>
      </c>
      <c r="M10765">
        <v>3312</v>
      </c>
      <c r="N10765" t="s">
        <v>16935</v>
      </c>
    </row>
    <row r="10766" spans="1:14">
      <c r="A10766">
        <v>65450008</v>
      </c>
      <c r="B10766">
        <v>3027368</v>
      </c>
      <c r="C10766" t="s">
        <v>13187</v>
      </c>
      <c r="D10766" t="s">
        <v>441</v>
      </c>
      <c r="F10766">
        <v>0</v>
      </c>
      <c r="G10766">
        <v>7.98</v>
      </c>
      <c r="H10766" t="s">
        <v>12664</v>
      </c>
      <c r="I10766">
        <v>5</v>
      </c>
      <c r="J10766" t="s">
        <v>445</v>
      </c>
      <c r="K10766" t="s">
        <v>446</v>
      </c>
      <c r="M10766">
        <v>3211</v>
      </c>
      <c r="N10766" t="s">
        <v>16935</v>
      </c>
    </row>
    <row r="10767" spans="1:14">
      <c r="A10767">
        <v>65450009</v>
      </c>
      <c r="B10767">
        <v>3027369</v>
      </c>
      <c r="C10767" t="s">
        <v>13188</v>
      </c>
      <c r="D10767" t="s">
        <v>441</v>
      </c>
      <c r="F10767">
        <v>0</v>
      </c>
      <c r="G10767">
        <v>13.44</v>
      </c>
      <c r="H10767" t="s">
        <v>12573</v>
      </c>
      <c r="I10767">
        <v>6</v>
      </c>
      <c r="J10767" t="s">
        <v>445</v>
      </c>
      <c r="K10767" t="s">
        <v>446</v>
      </c>
      <c r="M10767">
        <v>3311</v>
      </c>
      <c r="N10767" t="s">
        <v>16935</v>
      </c>
    </row>
    <row r="10768" spans="1:14">
      <c r="A10768">
        <v>65454210</v>
      </c>
      <c r="B10768">
        <v>4018139</v>
      </c>
      <c r="C10768" t="s">
        <v>13189</v>
      </c>
      <c r="D10768" t="s">
        <v>442</v>
      </c>
      <c r="E10768" t="s">
        <v>441</v>
      </c>
      <c r="F10768">
        <v>8.2000000000000003E-2</v>
      </c>
      <c r="G10768">
        <v>1.7</v>
      </c>
      <c r="H10768" t="s">
        <v>8587</v>
      </c>
      <c r="I10768">
        <v>100</v>
      </c>
      <c r="J10768" t="s">
        <v>462</v>
      </c>
      <c r="K10768" t="s">
        <v>446</v>
      </c>
      <c r="L10768" t="s">
        <v>13190</v>
      </c>
      <c r="M10768">
        <v>3711</v>
      </c>
      <c r="N10768" t="s">
        <v>16935</v>
      </c>
    </row>
    <row r="10769" spans="1:14">
      <c r="A10769">
        <v>65454220</v>
      </c>
      <c r="B10769">
        <v>4018770</v>
      </c>
      <c r="C10769" t="s">
        <v>13191</v>
      </c>
      <c r="D10769" t="s">
        <v>442</v>
      </c>
      <c r="E10769" t="s">
        <v>441</v>
      </c>
      <c r="F10769">
        <v>8.2000000000000003E-2</v>
      </c>
      <c r="G10769">
        <v>1.75</v>
      </c>
      <c r="H10769" t="s">
        <v>8587</v>
      </c>
      <c r="I10769">
        <v>100</v>
      </c>
      <c r="J10769" t="s">
        <v>462</v>
      </c>
      <c r="K10769" t="s">
        <v>446</v>
      </c>
      <c r="L10769" t="s">
        <v>13192</v>
      </c>
      <c r="M10769">
        <v>3711</v>
      </c>
      <c r="N10769" t="s">
        <v>16935</v>
      </c>
    </row>
    <row r="10770" spans="1:14">
      <c r="A10770">
        <v>65454230</v>
      </c>
      <c r="B10770">
        <v>4018841</v>
      </c>
      <c r="C10770" t="s">
        <v>13193</v>
      </c>
      <c r="D10770" t="s">
        <v>442</v>
      </c>
      <c r="E10770" t="s">
        <v>441</v>
      </c>
      <c r="F10770">
        <v>8.2000000000000003E-2</v>
      </c>
      <c r="G10770">
        <v>1.84</v>
      </c>
      <c r="H10770" t="s">
        <v>8587</v>
      </c>
      <c r="I10770">
        <v>100</v>
      </c>
      <c r="J10770" t="s">
        <v>462</v>
      </c>
      <c r="K10770" t="s">
        <v>446</v>
      </c>
      <c r="M10770">
        <v>3711</v>
      </c>
      <c r="N10770" t="s">
        <v>16935</v>
      </c>
    </row>
    <row r="10771" spans="1:14">
      <c r="A10771">
        <v>65454240</v>
      </c>
      <c r="B10771">
        <v>4021122</v>
      </c>
      <c r="C10771" t="s">
        <v>13194</v>
      </c>
      <c r="D10771" t="s">
        <v>442</v>
      </c>
      <c r="E10771" t="s">
        <v>441</v>
      </c>
      <c r="F10771">
        <v>8.2000000000000003E-2</v>
      </c>
      <c r="G10771">
        <v>1.78</v>
      </c>
      <c r="H10771" t="s">
        <v>8587</v>
      </c>
      <c r="I10771">
        <v>100</v>
      </c>
      <c r="J10771" t="s">
        <v>462</v>
      </c>
      <c r="K10771" t="s">
        <v>446</v>
      </c>
      <c r="L10771" t="s">
        <v>13195</v>
      </c>
      <c r="M10771">
        <v>3711</v>
      </c>
      <c r="N10771" t="s">
        <v>16935</v>
      </c>
    </row>
    <row r="10772" spans="1:14">
      <c r="A10772">
        <v>65460000</v>
      </c>
      <c r="B10772">
        <v>3027344</v>
      </c>
      <c r="C10772" t="s">
        <v>13196</v>
      </c>
      <c r="D10772" t="s">
        <v>441</v>
      </c>
      <c r="F10772">
        <v>0</v>
      </c>
      <c r="G10772">
        <v>20.25</v>
      </c>
      <c r="H10772" t="s">
        <v>12573</v>
      </c>
      <c r="I10772">
        <v>7</v>
      </c>
      <c r="J10772" t="s">
        <v>445</v>
      </c>
      <c r="K10772" t="s">
        <v>446</v>
      </c>
      <c r="M10772">
        <v>3312</v>
      </c>
      <c r="N10772" t="s">
        <v>16936</v>
      </c>
    </row>
    <row r="10773" spans="1:14">
      <c r="A10773">
        <v>65460008</v>
      </c>
      <c r="B10773">
        <v>3027342</v>
      </c>
      <c r="C10773" t="s">
        <v>13197</v>
      </c>
      <c r="D10773" t="s">
        <v>441</v>
      </c>
      <c r="F10773">
        <v>0</v>
      </c>
      <c r="G10773">
        <v>9.86</v>
      </c>
      <c r="H10773" t="s">
        <v>12664</v>
      </c>
      <c r="I10773">
        <v>5</v>
      </c>
      <c r="J10773" t="s">
        <v>445</v>
      </c>
      <c r="K10773" t="s">
        <v>446</v>
      </c>
      <c r="M10773">
        <v>3211</v>
      </c>
      <c r="N10773" t="s">
        <v>16936</v>
      </c>
    </row>
    <row r="10774" spans="1:14">
      <c r="A10774">
        <v>65460009</v>
      </c>
      <c r="B10774">
        <v>3027343</v>
      </c>
      <c r="C10774" t="s">
        <v>13198</v>
      </c>
      <c r="D10774" t="s">
        <v>441</v>
      </c>
      <c r="F10774">
        <v>0</v>
      </c>
      <c r="G10774">
        <v>16.52</v>
      </c>
      <c r="H10774" t="s">
        <v>12573</v>
      </c>
      <c r="I10774">
        <v>6</v>
      </c>
      <c r="J10774" t="s">
        <v>445</v>
      </c>
      <c r="K10774" t="s">
        <v>446</v>
      </c>
      <c r="M10774">
        <v>3311</v>
      </c>
      <c r="N10774" t="s">
        <v>16936</v>
      </c>
    </row>
    <row r="10775" spans="1:14">
      <c r="A10775">
        <v>65464210</v>
      </c>
      <c r="B10775">
        <v>4018133</v>
      </c>
      <c r="C10775" t="s">
        <v>13199</v>
      </c>
      <c r="D10775" t="s">
        <v>442</v>
      </c>
      <c r="E10775" t="s">
        <v>441</v>
      </c>
      <c r="F10775">
        <v>8.2000000000000003E-2</v>
      </c>
      <c r="G10775">
        <v>2.02</v>
      </c>
      <c r="H10775" t="s">
        <v>8587</v>
      </c>
      <c r="I10775">
        <v>100</v>
      </c>
      <c r="J10775" t="s">
        <v>462</v>
      </c>
      <c r="K10775" t="s">
        <v>446</v>
      </c>
      <c r="L10775" t="s">
        <v>13200</v>
      </c>
      <c r="M10775">
        <v>3711</v>
      </c>
      <c r="N10775" t="s">
        <v>16936</v>
      </c>
    </row>
    <row r="10776" spans="1:14">
      <c r="A10776">
        <v>65464220</v>
      </c>
      <c r="B10776">
        <v>4018771</v>
      </c>
      <c r="C10776" t="s">
        <v>13201</v>
      </c>
      <c r="D10776" t="s">
        <v>442</v>
      </c>
      <c r="E10776" t="s">
        <v>441</v>
      </c>
      <c r="F10776">
        <v>8.2000000000000003E-2</v>
      </c>
      <c r="G10776">
        <v>2.0699999999999998</v>
      </c>
      <c r="H10776" t="s">
        <v>8587</v>
      </c>
      <c r="I10776">
        <v>100</v>
      </c>
      <c r="J10776" t="s">
        <v>462</v>
      </c>
      <c r="K10776" t="s">
        <v>446</v>
      </c>
      <c r="L10776" t="s">
        <v>13202</v>
      </c>
      <c r="M10776">
        <v>3711</v>
      </c>
      <c r="N10776" t="s">
        <v>16936</v>
      </c>
    </row>
    <row r="10777" spans="1:14">
      <c r="A10777">
        <v>65464230</v>
      </c>
      <c r="B10777">
        <v>4018840</v>
      </c>
      <c r="C10777" t="s">
        <v>13203</v>
      </c>
      <c r="D10777" t="s">
        <v>442</v>
      </c>
      <c r="E10777" t="s">
        <v>441</v>
      </c>
      <c r="F10777">
        <v>8.2000000000000003E-2</v>
      </c>
      <c r="G10777">
        <v>2.16</v>
      </c>
      <c r="H10777" t="s">
        <v>8587</v>
      </c>
      <c r="I10777">
        <v>100</v>
      </c>
      <c r="J10777" t="s">
        <v>462</v>
      </c>
      <c r="K10777" t="s">
        <v>446</v>
      </c>
      <c r="M10777">
        <v>3711</v>
      </c>
      <c r="N10777" t="s">
        <v>16936</v>
      </c>
    </row>
    <row r="10778" spans="1:14">
      <c r="A10778">
        <v>65464240</v>
      </c>
      <c r="B10778">
        <v>4021123</v>
      </c>
      <c r="C10778" t="s">
        <v>13204</v>
      </c>
      <c r="D10778" t="s">
        <v>442</v>
      </c>
      <c r="E10778" t="s">
        <v>441</v>
      </c>
      <c r="F10778">
        <v>8.2000000000000003E-2</v>
      </c>
      <c r="G10778">
        <v>2.09</v>
      </c>
      <c r="H10778" t="s">
        <v>8587</v>
      </c>
      <c r="I10778">
        <v>100</v>
      </c>
      <c r="J10778" t="s">
        <v>462</v>
      </c>
      <c r="K10778" t="s">
        <v>446</v>
      </c>
      <c r="L10778" t="s">
        <v>13205</v>
      </c>
      <c r="M10778">
        <v>3711</v>
      </c>
      <c r="N10778" t="s">
        <v>16936</v>
      </c>
    </row>
    <row r="10779" spans="1:14">
      <c r="A10779">
        <v>65474210</v>
      </c>
      <c r="B10779">
        <v>4018738</v>
      </c>
      <c r="C10779" t="s">
        <v>13206</v>
      </c>
      <c r="D10779" t="s">
        <v>442</v>
      </c>
      <c r="E10779" t="s">
        <v>441</v>
      </c>
      <c r="F10779">
        <v>8.2000000000000003E-2</v>
      </c>
      <c r="G10779">
        <v>2.21</v>
      </c>
      <c r="H10779" t="s">
        <v>8587</v>
      </c>
      <c r="I10779">
        <v>100</v>
      </c>
      <c r="J10779" t="s">
        <v>462</v>
      </c>
      <c r="K10779" t="s">
        <v>446</v>
      </c>
      <c r="L10779" t="s">
        <v>13207</v>
      </c>
      <c r="M10779">
        <v>3711</v>
      </c>
      <c r="N10779" t="s">
        <v>16921</v>
      </c>
    </row>
    <row r="10780" spans="1:14">
      <c r="A10780">
        <v>65474220</v>
      </c>
      <c r="B10780">
        <v>4019326</v>
      </c>
      <c r="C10780" t="s">
        <v>13208</v>
      </c>
      <c r="D10780" t="s">
        <v>442</v>
      </c>
      <c r="E10780" t="s">
        <v>441</v>
      </c>
      <c r="F10780">
        <v>8.2000000000000003E-2</v>
      </c>
      <c r="G10780">
        <v>2.04</v>
      </c>
      <c r="H10780" t="s">
        <v>8587</v>
      </c>
      <c r="I10780">
        <v>100</v>
      </c>
      <c r="J10780" t="s">
        <v>462</v>
      </c>
      <c r="K10780" t="s">
        <v>446</v>
      </c>
      <c r="M10780">
        <v>3711</v>
      </c>
      <c r="N10780" t="s">
        <v>16921</v>
      </c>
    </row>
    <row r="10781" spans="1:14">
      <c r="A10781">
        <v>65474230</v>
      </c>
      <c r="B10781">
        <v>4019395</v>
      </c>
      <c r="C10781" t="s">
        <v>13209</v>
      </c>
      <c r="D10781" t="s">
        <v>442</v>
      </c>
      <c r="E10781" t="s">
        <v>441</v>
      </c>
      <c r="F10781">
        <v>8.2000000000000003E-2</v>
      </c>
      <c r="G10781">
        <v>1.92</v>
      </c>
      <c r="H10781" t="s">
        <v>8587</v>
      </c>
      <c r="I10781">
        <v>100</v>
      </c>
      <c r="J10781" t="s">
        <v>462</v>
      </c>
      <c r="K10781" t="s">
        <v>446</v>
      </c>
      <c r="M10781">
        <v>3711</v>
      </c>
      <c r="N10781" t="s">
        <v>16921</v>
      </c>
    </row>
    <row r="10782" spans="1:14">
      <c r="A10782">
        <v>65474240</v>
      </c>
      <c r="B10782">
        <v>4019614</v>
      </c>
      <c r="C10782" t="s">
        <v>13210</v>
      </c>
      <c r="D10782" t="s">
        <v>442</v>
      </c>
      <c r="E10782" t="s">
        <v>441</v>
      </c>
      <c r="F10782">
        <v>8.2000000000000003E-2</v>
      </c>
      <c r="G10782">
        <v>2.04</v>
      </c>
      <c r="H10782" t="s">
        <v>8587</v>
      </c>
      <c r="I10782">
        <v>100</v>
      </c>
      <c r="J10782" t="s">
        <v>462</v>
      </c>
      <c r="K10782" t="s">
        <v>446</v>
      </c>
      <c r="M10782">
        <v>3711</v>
      </c>
      <c r="N10782" t="s">
        <v>16921</v>
      </c>
    </row>
    <row r="10783" spans="1:14">
      <c r="A10783">
        <v>65480000</v>
      </c>
      <c r="B10783">
        <v>3036947</v>
      </c>
      <c r="C10783" t="s">
        <v>47</v>
      </c>
      <c r="D10783" t="s">
        <v>441</v>
      </c>
      <c r="F10783">
        <v>0</v>
      </c>
      <c r="G10783">
        <v>17.03</v>
      </c>
      <c r="H10783" t="s">
        <v>12573</v>
      </c>
      <c r="I10783">
        <v>5</v>
      </c>
      <c r="J10783" t="s">
        <v>445</v>
      </c>
      <c r="M10783">
        <v>3349</v>
      </c>
      <c r="N10783" t="s">
        <v>16937</v>
      </c>
    </row>
    <row r="10784" spans="1:14">
      <c r="A10784">
        <v>65480008</v>
      </c>
      <c r="B10784">
        <v>3036945</v>
      </c>
      <c r="C10784" t="s">
        <v>4996</v>
      </c>
      <c r="D10784" t="s">
        <v>441</v>
      </c>
      <c r="F10784">
        <v>0</v>
      </c>
      <c r="G10784">
        <v>13.66</v>
      </c>
      <c r="H10784" t="s">
        <v>12664</v>
      </c>
      <c r="I10784">
        <v>5</v>
      </c>
      <c r="J10784" t="s">
        <v>445</v>
      </c>
      <c r="M10784">
        <v>6666</v>
      </c>
      <c r="N10784" t="s">
        <v>16938</v>
      </c>
    </row>
    <row r="10785" spans="1:14">
      <c r="A10785">
        <v>65484210</v>
      </c>
      <c r="B10785">
        <v>4025133</v>
      </c>
      <c r="C10785" t="s">
        <v>4997</v>
      </c>
      <c r="D10785" t="s">
        <v>442</v>
      </c>
      <c r="E10785" t="s">
        <v>441</v>
      </c>
      <c r="F10785">
        <v>0.42</v>
      </c>
      <c r="G10785">
        <v>10.72</v>
      </c>
      <c r="H10785" t="s">
        <v>8587</v>
      </c>
      <c r="I10785">
        <v>270</v>
      </c>
      <c r="J10785" t="s">
        <v>462</v>
      </c>
      <c r="L10785" t="s">
        <v>13211</v>
      </c>
      <c r="M10785">
        <v>7111</v>
      </c>
      <c r="N10785" t="s">
        <v>16939</v>
      </c>
    </row>
    <row r="10786" spans="1:14">
      <c r="A10786">
        <v>65484215</v>
      </c>
      <c r="B10786">
        <v>3036994</v>
      </c>
      <c r="C10786" t="s">
        <v>4998</v>
      </c>
      <c r="D10786" t="s">
        <v>442</v>
      </c>
      <c r="E10786" t="s">
        <v>441</v>
      </c>
      <c r="F10786">
        <v>0.42</v>
      </c>
      <c r="G10786">
        <v>6.2</v>
      </c>
      <c r="H10786" t="s">
        <v>8587</v>
      </c>
      <c r="I10786">
        <v>270</v>
      </c>
      <c r="J10786" t="s">
        <v>445</v>
      </c>
      <c r="L10786" t="s">
        <v>13211</v>
      </c>
      <c r="M10786">
        <v>2502</v>
      </c>
      <c r="N10786" t="s">
        <v>16939</v>
      </c>
    </row>
    <row r="10787" spans="1:14">
      <c r="A10787">
        <v>65490000</v>
      </c>
      <c r="B10787">
        <v>3037543</v>
      </c>
      <c r="C10787" t="s">
        <v>155</v>
      </c>
      <c r="D10787" t="s">
        <v>441</v>
      </c>
      <c r="F10787">
        <v>0</v>
      </c>
      <c r="G10787">
        <v>12.17</v>
      </c>
      <c r="H10787" t="s">
        <v>12573</v>
      </c>
      <c r="I10787">
        <v>4</v>
      </c>
      <c r="J10787" t="s">
        <v>445</v>
      </c>
      <c r="M10787">
        <v>3349</v>
      </c>
      <c r="N10787" t="s">
        <v>16940</v>
      </c>
    </row>
    <row r="10788" spans="1:14">
      <c r="A10788">
        <v>65490008</v>
      </c>
      <c r="B10788">
        <v>3037542</v>
      </c>
      <c r="C10788" t="s">
        <v>4999</v>
      </c>
      <c r="D10788" t="s">
        <v>441</v>
      </c>
      <c r="F10788">
        <v>0</v>
      </c>
      <c r="G10788">
        <v>10.65</v>
      </c>
      <c r="H10788" t="s">
        <v>12664</v>
      </c>
      <c r="I10788">
        <v>5</v>
      </c>
      <c r="J10788" t="s">
        <v>445</v>
      </c>
      <c r="M10788">
        <v>6666</v>
      </c>
      <c r="N10788" t="s">
        <v>16574</v>
      </c>
    </row>
    <row r="10789" spans="1:14">
      <c r="A10789">
        <v>65494210</v>
      </c>
      <c r="B10789">
        <v>4025391</v>
      </c>
      <c r="C10789" t="s">
        <v>15441</v>
      </c>
      <c r="D10789" t="s">
        <v>442</v>
      </c>
      <c r="E10789" t="s">
        <v>441</v>
      </c>
      <c r="F10789">
        <v>0.42</v>
      </c>
      <c r="G10789">
        <v>6.67</v>
      </c>
      <c r="H10789" t="s">
        <v>8587</v>
      </c>
      <c r="I10789">
        <v>270</v>
      </c>
      <c r="J10789" t="s">
        <v>462</v>
      </c>
      <c r="L10789" t="s">
        <v>13212</v>
      </c>
      <c r="M10789">
        <v>7111</v>
      </c>
      <c r="N10789" t="s">
        <v>16941</v>
      </c>
    </row>
    <row r="10790" spans="1:14">
      <c r="A10790">
        <v>65494215</v>
      </c>
      <c r="B10790">
        <v>3037544</v>
      </c>
      <c r="C10790" t="s">
        <v>5000</v>
      </c>
      <c r="D10790" t="s">
        <v>442</v>
      </c>
      <c r="E10790" t="s">
        <v>441</v>
      </c>
      <c r="F10790">
        <v>0.42</v>
      </c>
      <c r="G10790">
        <v>6.01</v>
      </c>
      <c r="H10790" t="s">
        <v>8587</v>
      </c>
      <c r="I10790">
        <v>10</v>
      </c>
      <c r="J10790" t="s">
        <v>445</v>
      </c>
      <c r="L10790" t="s">
        <v>13212</v>
      </c>
      <c r="M10790">
        <v>2502</v>
      </c>
      <c r="N10790" t="s">
        <v>16941</v>
      </c>
    </row>
    <row r="10791" spans="1:14">
      <c r="A10791">
        <v>65510000</v>
      </c>
      <c r="B10791">
        <v>3040497</v>
      </c>
      <c r="C10791" t="s">
        <v>35</v>
      </c>
      <c r="D10791" t="s">
        <v>441</v>
      </c>
      <c r="F10791">
        <v>0</v>
      </c>
      <c r="G10791">
        <v>10.18</v>
      </c>
      <c r="H10791" t="s">
        <v>12573</v>
      </c>
      <c r="I10791">
        <v>4</v>
      </c>
      <c r="J10791" t="s">
        <v>445</v>
      </c>
      <c r="M10791">
        <v>3349</v>
      </c>
      <c r="N10791" t="s">
        <v>16811</v>
      </c>
    </row>
    <row r="10792" spans="1:14">
      <c r="A10792">
        <v>65510008</v>
      </c>
      <c r="B10792">
        <v>3040496</v>
      </c>
      <c r="C10792" t="s">
        <v>5001</v>
      </c>
      <c r="D10792" t="s">
        <v>441</v>
      </c>
      <c r="F10792">
        <v>0</v>
      </c>
      <c r="G10792">
        <v>8.35</v>
      </c>
      <c r="H10792" t="s">
        <v>12664</v>
      </c>
      <c r="I10792">
        <v>3</v>
      </c>
      <c r="J10792" t="s">
        <v>445</v>
      </c>
      <c r="M10792">
        <v>6666</v>
      </c>
      <c r="N10792" t="s">
        <v>16942</v>
      </c>
    </row>
    <row r="10793" spans="1:14">
      <c r="A10793">
        <v>65790000</v>
      </c>
      <c r="B10793">
        <v>3045277</v>
      </c>
      <c r="C10793" t="s">
        <v>15676</v>
      </c>
      <c r="D10793" t="s">
        <v>441</v>
      </c>
      <c r="F10793">
        <v>0</v>
      </c>
      <c r="G10793">
        <v>6.54</v>
      </c>
      <c r="H10793" t="s">
        <v>12573</v>
      </c>
      <c r="I10793">
        <v>4</v>
      </c>
      <c r="J10793" t="s">
        <v>445</v>
      </c>
      <c r="M10793">
        <v>3349</v>
      </c>
      <c r="N10793" t="s">
        <v>16858</v>
      </c>
    </row>
    <row r="10794" spans="1:14">
      <c r="A10794">
        <v>65790008</v>
      </c>
      <c r="B10794">
        <v>3045276</v>
      </c>
      <c r="C10794" t="s">
        <v>15677</v>
      </c>
      <c r="D10794" t="s">
        <v>441</v>
      </c>
      <c r="F10794">
        <v>0</v>
      </c>
      <c r="G10794">
        <v>5.31</v>
      </c>
      <c r="H10794" t="s">
        <v>12573</v>
      </c>
      <c r="I10794">
        <v>4</v>
      </c>
      <c r="J10794" t="s">
        <v>445</v>
      </c>
      <c r="M10794">
        <v>6666</v>
      </c>
      <c r="N10794" t="s">
        <v>16858</v>
      </c>
    </row>
    <row r="10795" spans="1:14">
      <c r="A10795">
        <v>65794210</v>
      </c>
      <c r="B10795">
        <v>4030295</v>
      </c>
      <c r="C10795" t="s">
        <v>17628</v>
      </c>
      <c r="D10795" t="s">
        <v>442</v>
      </c>
      <c r="E10795" t="s">
        <v>441</v>
      </c>
      <c r="F10795">
        <v>0.7</v>
      </c>
      <c r="G10795">
        <v>6.07</v>
      </c>
      <c r="H10795" t="s">
        <v>8587</v>
      </c>
      <c r="I10795">
        <v>43</v>
      </c>
      <c r="J10795" t="s">
        <v>462</v>
      </c>
      <c r="M10795">
        <v>7108</v>
      </c>
      <c r="N10795" t="s">
        <v>16858</v>
      </c>
    </row>
    <row r="10796" spans="1:14">
      <c r="A10796">
        <v>65990000</v>
      </c>
      <c r="B10796">
        <v>3045030</v>
      </c>
      <c r="C10796" t="s">
        <v>15606</v>
      </c>
      <c r="D10796" t="s">
        <v>441</v>
      </c>
      <c r="F10796">
        <v>0</v>
      </c>
      <c r="G10796">
        <v>11.35</v>
      </c>
      <c r="H10796" t="s">
        <v>12573</v>
      </c>
      <c r="I10796">
        <v>4</v>
      </c>
      <c r="J10796" t="s">
        <v>445</v>
      </c>
      <c r="M10796">
        <v>3351</v>
      </c>
      <c r="N10796" t="s">
        <v>16891</v>
      </c>
    </row>
    <row r="10797" spans="1:14">
      <c r="A10797">
        <v>65994210</v>
      </c>
      <c r="B10797">
        <v>4029862</v>
      </c>
      <c r="C10797" t="s">
        <v>17629</v>
      </c>
      <c r="D10797" t="s">
        <v>441</v>
      </c>
      <c r="F10797">
        <v>0</v>
      </c>
      <c r="G10797">
        <v>12.05</v>
      </c>
      <c r="H10797" t="s">
        <v>8587</v>
      </c>
      <c r="I10797">
        <v>40</v>
      </c>
      <c r="J10797" t="s">
        <v>462</v>
      </c>
      <c r="M10797">
        <v>7108</v>
      </c>
      <c r="N10797" t="s">
        <v>16891</v>
      </c>
    </row>
    <row r="10798" spans="1:14">
      <c r="A10798">
        <v>65994220</v>
      </c>
      <c r="B10798">
        <v>4030099</v>
      </c>
      <c r="C10798" t="s">
        <v>15932</v>
      </c>
      <c r="D10798" t="s">
        <v>442</v>
      </c>
      <c r="E10798" t="s">
        <v>441</v>
      </c>
      <c r="F10798">
        <v>0.55000000000000004</v>
      </c>
      <c r="G10798">
        <v>7.48</v>
      </c>
      <c r="H10798" t="s">
        <v>8587</v>
      </c>
      <c r="I10798">
        <v>43</v>
      </c>
      <c r="J10798" t="s">
        <v>462</v>
      </c>
      <c r="L10798" t="s">
        <v>13009</v>
      </c>
      <c r="M10798">
        <v>7108</v>
      </c>
      <c r="N10798" t="s">
        <v>16891</v>
      </c>
    </row>
    <row r="10799" spans="1:14">
      <c r="A10799">
        <v>65994230</v>
      </c>
      <c r="B10799">
        <v>4030250</v>
      </c>
      <c r="C10799" t="s">
        <v>16943</v>
      </c>
      <c r="D10799" t="s">
        <v>442</v>
      </c>
      <c r="E10799" t="s">
        <v>441</v>
      </c>
      <c r="F10799">
        <v>0.55000000000000004</v>
      </c>
      <c r="G10799">
        <v>7.51</v>
      </c>
      <c r="H10799" t="s">
        <v>8587</v>
      </c>
      <c r="I10799">
        <v>43</v>
      </c>
      <c r="J10799" t="s">
        <v>462</v>
      </c>
      <c r="L10799" t="s">
        <v>16944</v>
      </c>
      <c r="M10799">
        <v>7108</v>
      </c>
      <c r="N10799" t="s">
        <v>16891</v>
      </c>
    </row>
    <row r="10800" spans="1:14">
      <c r="A10800">
        <v>65994240</v>
      </c>
      <c r="B10800">
        <v>4030508</v>
      </c>
      <c r="C10800" t="s">
        <v>17630</v>
      </c>
      <c r="D10800" t="s">
        <v>441</v>
      </c>
      <c r="F10800">
        <v>0</v>
      </c>
      <c r="G10800">
        <v>12.04</v>
      </c>
      <c r="H10800" t="s">
        <v>8587</v>
      </c>
      <c r="I10800">
        <v>43</v>
      </c>
      <c r="J10800" t="s">
        <v>462</v>
      </c>
      <c r="M10800">
        <v>7108</v>
      </c>
      <c r="N10800" t="s">
        <v>16891</v>
      </c>
    </row>
    <row r="10801" spans="1:14">
      <c r="A10801">
        <v>65994250</v>
      </c>
      <c r="B10801">
        <v>4030700</v>
      </c>
      <c r="C10801" t="s">
        <v>17631</v>
      </c>
      <c r="D10801" t="s">
        <v>442</v>
      </c>
      <c r="E10801" t="s">
        <v>441</v>
      </c>
      <c r="F10801">
        <v>0.55000000000000004</v>
      </c>
      <c r="G10801">
        <v>7.08</v>
      </c>
      <c r="H10801" t="s">
        <v>8587</v>
      </c>
      <c r="I10801">
        <v>43</v>
      </c>
      <c r="J10801" t="s">
        <v>462</v>
      </c>
      <c r="M10801">
        <v>7108</v>
      </c>
      <c r="N10801" t="s">
        <v>16891</v>
      </c>
    </row>
    <row r="10802" spans="1:14">
      <c r="A10802">
        <v>65994260</v>
      </c>
      <c r="B10802">
        <v>4030285</v>
      </c>
      <c r="C10802" t="s">
        <v>16945</v>
      </c>
      <c r="D10802" t="s">
        <v>441</v>
      </c>
      <c r="F10802">
        <v>0</v>
      </c>
      <c r="G10802">
        <v>12.3</v>
      </c>
      <c r="H10802" t="s">
        <v>8587</v>
      </c>
      <c r="I10802">
        <v>43</v>
      </c>
      <c r="J10802" t="s">
        <v>462</v>
      </c>
      <c r="M10802">
        <v>7108</v>
      </c>
      <c r="N10802" t="s">
        <v>16891</v>
      </c>
    </row>
    <row r="10803" spans="1:14">
      <c r="A10803">
        <v>65999000</v>
      </c>
      <c r="B10803">
        <v>3045453</v>
      </c>
      <c r="C10803" t="s">
        <v>17632</v>
      </c>
      <c r="D10803" t="s">
        <v>441</v>
      </c>
      <c r="F10803">
        <v>0</v>
      </c>
      <c r="G10803">
        <v>11.8</v>
      </c>
      <c r="H10803" t="s">
        <v>12573</v>
      </c>
      <c r="I10803">
        <v>4</v>
      </c>
      <c r="J10803" t="s">
        <v>445</v>
      </c>
      <c r="M10803">
        <v>0</v>
      </c>
      <c r="N10803" t="s">
        <v>16583</v>
      </c>
    </row>
    <row r="10804" spans="1:14">
      <c r="A10804">
        <v>66050000</v>
      </c>
      <c r="B10804">
        <v>3016746</v>
      </c>
      <c r="C10804" t="s">
        <v>13213</v>
      </c>
      <c r="D10804" t="s">
        <v>441</v>
      </c>
      <c r="F10804">
        <v>0</v>
      </c>
      <c r="G10804">
        <v>5.95</v>
      </c>
      <c r="H10804" t="s">
        <v>8580</v>
      </c>
      <c r="I10804">
        <v>6</v>
      </c>
      <c r="J10804" t="s">
        <v>445</v>
      </c>
      <c r="K10804" t="s">
        <v>446</v>
      </c>
      <c r="M10804">
        <v>3311</v>
      </c>
    </row>
    <row r="10805" spans="1:14">
      <c r="A10805">
        <v>66050008</v>
      </c>
      <c r="B10805">
        <v>3016414</v>
      </c>
      <c r="C10805" t="s">
        <v>13214</v>
      </c>
      <c r="D10805" t="s">
        <v>441</v>
      </c>
      <c r="F10805">
        <v>0</v>
      </c>
      <c r="G10805">
        <v>5.33</v>
      </c>
      <c r="H10805" t="s">
        <v>8580</v>
      </c>
      <c r="I10805">
        <v>3</v>
      </c>
      <c r="J10805" t="s">
        <v>445</v>
      </c>
      <c r="K10805" t="s">
        <v>446</v>
      </c>
      <c r="M10805">
        <v>3211</v>
      </c>
    </row>
    <row r="10806" spans="1:14">
      <c r="A10806">
        <v>66054210</v>
      </c>
      <c r="B10806">
        <v>4004310</v>
      </c>
      <c r="C10806" t="s">
        <v>13215</v>
      </c>
      <c r="D10806" t="s">
        <v>441</v>
      </c>
      <c r="F10806">
        <v>0</v>
      </c>
      <c r="G10806">
        <v>7.08</v>
      </c>
      <c r="H10806" t="s">
        <v>8587</v>
      </c>
      <c r="I10806">
        <v>37</v>
      </c>
      <c r="J10806" t="s">
        <v>462</v>
      </c>
      <c r="K10806" t="s">
        <v>446</v>
      </c>
      <c r="M10806">
        <v>3711</v>
      </c>
    </row>
    <row r="10807" spans="1:14">
      <c r="A10807">
        <v>66090000</v>
      </c>
      <c r="B10807">
        <v>3016619</v>
      </c>
      <c r="C10807" t="s">
        <v>13216</v>
      </c>
      <c r="D10807" t="s">
        <v>441</v>
      </c>
      <c r="F10807">
        <v>0</v>
      </c>
      <c r="G10807">
        <v>8.7899999999999991</v>
      </c>
      <c r="H10807" t="s">
        <v>8580</v>
      </c>
      <c r="I10807">
        <v>28</v>
      </c>
      <c r="J10807" t="s">
        <v>445</v>
      </c>
      <c r="K10807" t="s">
        <v>446</v>
      </c>
      <c r="M10807">
        <v>3311</v>
      </c>
    </row>
    <row r="10808" spans="1:14">
      <c r="A10808">
        <v>66090008</v>
      </c>
      <c r="B10808">
        <v>3016620</v>
      </c>
      <c r="C10808" t="s">
        <v>13217</v>
      </c>
      <c r="D10808" t="s">
        <v>441</v>
      </c>
      <c r="F10808">
        <v>0</v>
      </c>
      <c r="G10808">
        <v>7.6</v>
      </c>
      <c r="H10808" t="s">
        <v>8580</v>
      </c>
      <c r="I10808">
        <v>9</v>
      </c>
      <c r="J10808" t="s">
        <v>445</v>
      </c>
      <c r="K10808" t="s">
        <v>446</v>
      </c>
      <c r="M10808">
        <v>3211</v>
      </c>
    </row>
    <row r="10809" spans="1:14">
      <c r="A10809">
        <v>66094112</v>
      </c>
      <c r="B10809">
        <v>4001929</v>
      </c>
      <c r="C10809" t="s">
        <v>13218</v>
      </c>
      <c r="D10809" t="s">
        <v>441</v>
      </c>
      <c r="F10809">
        <v>0</v>
      </c>
      <c r="G10809">
        <v>12.07</v>
      </c>
      <c r="H10809" t="s">
        <v>8587</v>
      </c>
      <c r="I10809">
        <v>548</v>
      </c>
      <c r="J10809" t="s">
        <v>462</v>
      </c>
      <c r="K10809" t="s">
        <v>446</v>
      </c>
      <c r="M10809">
        <v>2501</v>
      </c>
    </row>
    <row r="10810" spans="1:14">
      <c r="A10810">
        <v>66094115</v>
      </c>
      <c r="B10810">
        <v>3008416</v>
      </c>
      <c r="C10810" t="s">
        <v>13219</v>
      </c>
      <c r="D10810" t="s">
        <v>441</v>
      </c>
      <c r="F10810">
        <v>0</v>
      </c>
      <c r="G10810">
        <v>11.79</v>
      </c>
      <c r="I10810">
        <v>10</v>
      </c>
      <c r="J10810" t="s">
        <v>445</v>
      </c>
      <c r="K10810" t="s">
        <v>446</v>
      </c>
      <c r="M10810">
        <v>3711</v>
      </c>
    </row>
    <row r="10811" spans="1:14">
      <c r="A10811">
        <v>66094132</v>
      </c>
      <c r="B10811">
        <v>4006584</v>
      </c>
      <c r="C10811" t="s">
        <v>13220</v>
      </c>
      <c r="D10811" t="s">
        <v>442</v>
      </c>
      <c r="E10811" t="s">
        <v>441</v>
      </c>
      <c r="F10811">
        <v>0.22500000000000001</v>
      </c>
      <c r="G10811">
        <v>2.65</v>
      </c>
      <c r="H10811" t="s">
        <v>8587</v>
      </c>
      <c r="I10811">
        <v>548</v>
      </c>
      <c r="J10811" t="s">
        <v>462</v>
      </c>
      <c r="K10811" t="s">
        <v>446</v>
      </c>
      <c r="M10811">
        <v>2501</v>
      </c>
    </row>
    <row r="10812" spans="1:14">
      <c r="A10812">
        <v>66094135</v>
      </c>
      <c r="B10812">
        <v>3008746</v>
      </c>
      <c r="C10812" t="s">
        <v>13221</v>
      </c>
      <c r="D10812" t="s">
        <v>442</v>
      </c>
      <c r="E10812" t="s">
        <v>441</v>
      </c>
      <c r="F10812">
        <v>0.22500000000000001</v>
      </c>
      <c r="G10812">
        <v>2.6</v>
      </c>
      <c r="H10812" t="s">
        <v>8584</v>
      </c>
      <c r="I10812">
        <v>10</v>
      </c>
      <c r="J10812" t="s">
        <v>445</v>
      </c>
      <c r="K10812" t="s">
        <v>446</v>
      </c>
      <c r="M10812">
        <v>3711</v>
      </c>
    </row>
    <row r="10813" spans="1:14">
      <c r="A10813">
        <v>66094252</v>
      </c>
      <c r="B10813">
        <v>4001930</v>
      </c>
      <c r="C10813" t="s">
        <v>13222</v>
      </c>
      <c r="D10813" t="s">
        <v>441</v>
      </c>
      <c r="F10813">
        <v>0</v>
      </c>
      <c r="G10813">
        <v>10.61</v>
      </c>
      <c r="H10813" t="s">
        <v>8587</v>
      </c>
      <c r="I10813">
        <v>548</v>
      </c>
      <c r="J10813" t="s">
        <v>462</v>
      </c>
      <c r="K10813" t="s">
        <v>446</v>
      </c>
      <c r="M10813">
        <v>2501</v>
      </c>
    </row>
    <row r="10814" spans="1:14">
      <c r="A10814">
        <v>66094255</v>
      </c>
      <c r="B10814">
        <v>3008417</v>
      </c>
      <c r="C10814" t="s">
        <v>13223</v>
      </c>
      <c r="D10814" t="s">
        <v>441</v>
      </c>
      <c r="F10814">
        <v>0</v>
      </c>
      <c r="G10814">
        <v>10.33</v>
      </c>
      <c r="I10814">
        <v>10</v>
      </c>
      <c r="J10814" t="s">
        <v>445</v>
      </c>
      <c r="K10814" t="s">
        <v>446</v>
      </c>
      <c r="M10814">
        <v>3711</v>
      </c>
    </row>
    <row r="10815" spans="1:14">
      <c r="A10815">
        <v>66100000</v>
      </c>
      <c r="B10815">
        <v>3017115</v>
      </c>
      <c r="C10815" t="s">
        <v>13224</v>
      </c>
      <c r="D10815" t="s">
        <v>441</v>
      </c>
      <c r="F10815">
        <v>0</v>
      </c>
      <c r="G10815">
        <v>4.3499999999999996</v>
      </c>
      <c r="H10815" t="s">
        <v>8580</v>
      </c>
      <c r="I10815">
        <v>6</v>
      </c>
      <c r="J10815" t="s">
        <v>445</v>
      </c>
      <c r="K10815" t="s">
        <v>446</v>
      </c>
      <c r="M10815">
        <v>3311</v>
      </c>
    </row>
    <row r="10816" spans="1:14">
      <c r="A10816">
        <v>66100008</v>
      </c>
      <c r="B10816">
        <v>3010510</v>
      </c>
      <c r="C10816" t="s">
        <v>13225</v>
      </c>
      <c r="D10816" t="s">
        <v>441</v>
      </c>
      <c r="F10816">
        <v>0</v>
      </c>
      <c r="G10816">
        <v>3.71</v>
      </c>
      <c r="H10816" t="s">
        <v>8580</v>
      </c>
      <c r="I10816">
        <v>3</v>
      </c>
      <c r="J10816" t="s">
        <v>445</v>
      </c>
      <c r="K10816" t="s">
        <v>446</v>
      </c>
      <c r="M10816">
        <v>3211</v>
      </c>
    </row>
    <row r="10817" spans="1:13">
      <c r="A10817">
        <v>66104112</v>
      </c>
      <c r="B10817">
        <v>4011307</v>
      </c>
      <c r="C10817" t="s">
        <v>13226</v>
      </c>
      <c r="D10817" t="s">
        <v>442</v>
      </c>
      <c r="E10817" t="s">
        <v>441</v>
      </c>
      <c r="F10817">
        <v>0.7</v>
      </c>
      <c r="G10817">
        <v>4.0999999999999996</v>
      </c>
      <c r="H10817" t="s">
        <v>8587</v>
      </c>
      <c r="I10817">
        <v>270</v>
      </c>
      <c r="J10817" t="s">
        <v>462</v>
      </c>
      <c r="K10817" t="s">
        <v>446</v>
      </c>
      <c r="M10817">
        <v>2501</v>
      </c>
    </row>
    <row r="10818" spans="1:13">
      <c r="A10818">
        <v>66104115</v>
      </c>
      <c r="B10818">
        <v>3017106</v>
      </c>
      <c r="C10818" t="s">
        <v>13227</v>
      </c>
      <c r="D10818" t="s">
        <v>442</v>
      </c>
      <c r="E10818" t="s">
        <v>441</v>
      </c>
      <c r="F10818">
        <v>0.7</v>
      </c>
      <c r="G10818">
        <v>4.1900000000000004</v>
      </c>
      <c r="H10818" t="s">
        <v>8580</v>
      </c>
      <c r="I10818">
        <v>270</v>
      </c>
      <c r="J10818" t="s">
        <v>445</v>
      </c>
      <c r="K10818" t="s">
        <v>446</v>
      </c>
      <c r="M10818">
        <v>3711</v>
      </c>
    </row>
    <row r="10819" spans="1:13">
      <c r="A10819">
        <v>66110000</v>
      </c>
      <c r="B10819">
        <v>3017101</v>
      </c>
      <c r="C10819" t="s">
        <v>13228</v>
      </c>
      <c r="D10819" t="s">
        <v>441</v>
      </c>
      <c r="F10819">
        <v>0</v>
      </c>
      <c r="G10819">
        <v>3.99</v>
      </c>
      <c r="H10819" t="s">
        <v>8580</v>
      </c>
      <c r="I10819">
        <v>6</v>
      </c>
      <c r="J10819" t="s">
        <v>445</v>
      </c>
      <c r="K10819" t="s">
        <v>446</v>
      </c>
      <c r="M10819">
        <v>3311</v>
      </c>
    </row>
    <row r="10820" spans="1:13">
      <c r="A10820">
        <v>66110008</v>
      </c>
      <c r="B10820">
        <v>3013093</v>
      </c>
      <c r="C10820" t="s">
        <v>13229</v>
      </c>
      <c r="D10820" t="s">
        <v>441</v>
      </c>
      <c r="F10820">
        <v>0</v>
      </c>
      <c r="G10820">
        <v>3.42</v>
      </c>
      <c r="H10820" t="s">
        <v>8580</v>
      </c>
      <c r="I10820">
        <v>2</v>
      </c>
      <c r="J10820" t="s">
        <v>445</v>
      </c>
      <c r="K10820" t="s">
        <v>446</v>
      </c>
      <c r="M10820">
        <v>3211</v>
      </c>
    </row>
    <row r="10821" spans="1:13">
      <c r="A10821">
        <v>66114112</v>
      </c>
      <c r="B10821">
        <v>4011306</v>
      </c>
      <c r="C10821" t="s">
        <v>13230</v>
      </c>
      <c r="D10821" t="s">
        <v>442</v>
      </c>
      <c r="E10821" t="s">
        <v>441</v>
      </c>
      <c r="F10821">
        <v>0.9</v>
      </c>
      <c r="G10821">
        <v>4.8600000000000003</v>
      </c>
      <c r="H10821" t="s">
        <v>8587</v>
      </c>
      <c r="I10821">
        <v>270</v>
      </c>
      <c r="J10821" t="s">
        <v>462</v>
      </c>
      <c r="K10821" t="s">
        <v>446</v>
      </c>
      <c r="M10821">
        <v>2501</v>
      </c>
    </row>
    <row r="10822" spans="1:13">
      <c r="A10822">
        <v>66114115</v>
      </c>
      <c r="B10822">
        <v>3017108</v>
      </c>
      <c r="C10822" t="s">
        <v>5002</v>
      </c>
      <c r="D10822" t="s">
        <v>442</v>
      </c>
      <c r="E10822" t="s">
        <v>441</v>
      </c>
      <c r="F10822">
        <v>0.9</v>
      </c>
      <c r="G10822">
        <v>4.8099999999999996</v>
      </c>
      <c r="H10822" t="s">
        <v>8580</v>
      </c>
      <c r="I10822">
        <v>270</v>
      </c>
      <c r="J10822" t="s">
        <v>445</v>
      </c>
      <c r="K10822" t="s">
        <v>446</v>
      </c>
      <c r="M10822">
        <v>3711</v>
      </c>
    </row>
    <row r="10823" spans="1:13">
      <c r="A10823">
        <v>66120000</v>
      </c>
      <c r="B10823">
        <v>3017102</v>
      </c>
      <c r="C10823" t="s">
        <v>13231</v>
      </c>
      <c r="D10823" t="s">
        <v>441</v>
      </c>
      <c r="F10823">
        <v>0</v>
      </c>
      <c r="G10823">
        <v>5.14</v>
      </c>
      <c r="H10823" t="s">
        <v>8580</v>
      </c>
      <c r="I10823">
        <v>6</v>
      </c>
      <c r="J10823" t="s">
        <v>445</v>
      </c>
      <c r="K10823" t="s">
        <v>446</v>
      </c>
      <c r="M10823">
        <v>3311</v>
      </c>
    </row>
    <row r="10824" spans="1:13">
      <c r="A10824">
        <v>66120008</v>
      </c>
      <c r="B10824">
        <v>3017097</v>
      </c>
      <c r="C10824" t="s">
        <v>13232</v>
      </c>
      <c r="D10824" t="s">
        <v>441</v>
      </c>
      <c r="F10824">
        <v>0</v>
      </c>
      <c r="G10824">
        <v>4.47</v>
      </c>
      <c r="H10824" t="s">
        <v>8584</v>
      </c>
      <c r="I10824">
        <v>3</v>
      </c>
      <c r="J10824" t="s">
        <v>445</v>
      </c>
      <c r="K10824" t="s">
        <v>446</v>
      </c>
      <c r="M10824">
        <v>3211</v>
      </c>
    </row>
    <row r="10825" spans="1:13">
      <c r="A10825">
        <v>66124112</v>
      </c>
      <c r="B10825">
        <v>4011320</v>
      </c>
      <c r="C10825" t="s">
        <v>13233</v>
      </c>
      <c r="D10825" t="s">
        <v>442</v>
      </c>
      <c r="E10825" t="s">
        <v>441</v>
      </c>
      <c r="F10825">
        <v>0.7</v>
      </c>
      <c r="G10825">
        <v>4.68</v>
      </c>
      <c r="H10825" t="s">
        <v>8587</v>
      </c>
      <c r="I10825">
        <v>270</v>
      </c>
      <c r="J10825" t="s">
        <v>462</v>
      </c>
      <c r="K10825" t="s">
        <v>446</v>
      </c>
      <c r="M10825">
        <v>2501</v>
      </c>
    </row>
    <row r="10826" spans="1:13">
      <c r="A10826">
        <v>66124115</v>
      </c>
      <c r="B10826">
        <v>3017107</v>
      </c>
      <c r="C10826" t="s">
        <v>5003</v>
      </c>
      <c r="D10826" t="s">
        <v>442</v>
      </c>
      <c r="E10826" t="s">
        <v>441</v>
      </c>
      <c r="F10826">
        <v>0.7</v>
      </c>
      <c r="G10826">
        <v>4.8</v>
      </c>
      <c r="H10826" t="s">
        <v>8580</v>
      </c>
      <c r="I10826">
        <v>270</v>
      </c>
      <c r="J10826" t="s">
        <v>445</v>
      </c>
      <c r="K10826" t="s">
        <v>446</v>
      </c>
      <c r="M10826">
        <v>3711</v>
      </c>
    </row>
    <row r="10827" spans="1:13">
      <c r="A10827">
        <v>66130000</v>
      </c>
      <c r="B10827">
        <v>3018051</v>
      </c>
      <c r="C10827" t="s">
        <v>13234</v>
      </c>
      <c r="D10827" t="s">
        <v>441</v>
      </c>
      <c r="F10827">
        <v>0</v>
      </c>
      <c r="G10827">
        <v>4.75</v>
      </c>
      <c r="I10827">
        <v>6</v>
      </c>
      <c r="J10827" t="s">
        <v>445</v>
      </c>
      <c r="K10827" t="s">
        <v>446</v>
      </c>
      <c r="M10827">
        <v>3311</v>
      </c>
    </row>
    <row r="10828" spans="1:13">
      <c r="A10828">
        <v>66130008</v>
      </c>
      <c r="B10828">
        <v>3018050</v>
      </c>
      <c r="C10828" t="s">
        <v>13235</v>
      </c>
      <c r="D10828" t="s">
        <v>441</v>
      </c>
      <c r="F10828">
        <v>0</v>
      </c>
      <c r="G10828">
        <v>4.07</v>
      </c>
      <c r="H10828" t="s">
        <v>8634</v>
      </c>
      <c r="I10828">
        <v>3</v>
      </c>
      <c r="J10828" t="s">
        <v>445</v>
      </c>
      <c r="K10828" t="s">
        <v>446</v>
      </c>
      <c r="M10828">
        <v>3211</v>
      </c>
    </row>
    <row r="10829" spans="1:13">
      <c r="A10829">
        <v>66134112</v>
      </c>
      <c r="B10829">
        <v>4012392</v>
      </c>
      <c r="C10829" t="s">
        <v>13236</v>
      </c>
      <c r="D10829" t="s">
        <v>442</v>
      </c>
      <c r="E10829" t="s">
        <v>441</v>
      </c>
      <c r="F10829">
        <v>0.77</v>
      </c>
      <c r="G10829">
        <v>4.96</v>
      </c>
      <c r="H10829" t="s">
        <v>8587</v>
      </c>
      <c r="I10829">
        <v>270</v>
      </c>
      <c r="J10829" t="s">
        <v>462</v>
      </c>
      <c r="K10829" t="s">
        <v>446</v>
      </c>
      <c r="M10829">
        <v>2501</v>
      </c>
    </row>
    <row r="10830" spans="1:13">
      <c r="A10830">
        <v>66134115</v>
      </c>
      <c r="B10830">
        <v>3018044</v>
      </c>
      <c r="C10830" t="s">
        <v>13237</v>
      </c>
      <c r="D10830" t="s">
        <v>442</v>
      </c>
      <c r="E10830" t="s">
        <v>441</v>
      </c>
      <c r="F10830">
        <v>0.77</v>
      </c>
      <c r="G10830">
        <v>4.8</v>
      </c>
      <c r="H10830" t="s">
        <v>8627</v>
      </c>
      <c r="I10830">
        <v>270</v>
      </c>
      <c r="J10830" t="s">
        <v>445</v>
      </c>
      <c r="K10830" t="s">
        <v>446</v>
      </c>
      <c r="M10830">
        <v>3711</v>
      </c>
    </row>
    <row r="10831" spans="1:13">
      <c r="A10831">
        <v>66230000</v>
      </c>
      <c r="B10831">
        <v>3008418</v>
      </c>
      <c r="C10831" t="s">
        <v>13238</v>
      </c>
      <c r="D10831" t="s">
        <v>441</v>
      </c>
      <c r="F10831">
        <v>0</v>
      </c>
      <c r="G10831">
        <v>7.61</v>
      </c>
      <c r="I10831">
        <v>28</v>
      </c>
      <c r="J10831" t="s">
        <v>445</v>
      </c>
      <c r="K10831" t="s">
        <v>446</v>
      </c>
      <c r="M10831">
        <v>3311</v>
      </c>
    </row>
    <row r="10832" spans="1:13">
      <c r="A10832">
        <v>66230008</v>
      </c>
      <c r="B10832">
        <v>3008419</v>
      </c>
      <c r="C10832" t="s">
        <v>13239</v>
      </c>
      <c r="D10832" t="s">
        <v>441</v>
      </c>
      <c r="F10832">
        <v>0</v>
      </c>
      <c r="G10832">
        <v>6.5</v>
      </c>
      <c r="I10832">
        <v>9</v>
      </c>
      <c r="J10832" t="s">
        <v>445</v>
      </c>
      <c r="K10832" t="s">
        <v>446</v>
      </c>
      <c r="M10832">
        <v>3211</v>
      </c>
    </row>
    <row r="10833" spans="1:14">
      <c r="A10833">
        <v>66270000</v>
      </c>
      <c r="B10833">
        <v>3016621</v>
      </c>
      <c r="C10833" t="s">
        <v>5004</v>
      </c>
      <c r="D10833" t="s">
        <v>441</v>
      </c>
      <c r="F10833">
        <v>0</v>
      </c>
      <c r="G10833">
        <v>6.99</v>
      </c>
      <c r="H10833" t="s">
        <v>8580</v>
      </c>
      <c r="I10833">
        <v>81</v>
      </c>
      <c r="J10833" t="s">
        <v>445</v>
      </c>
      <c r="M10833">
        <v>3349</v>
      </c>
      <c r="N10833" t="s">
        <v>16946</v>
      </c>
    </row>
    <row r="10834" spans="1:14">
      <c r="A10834">
        <v>66270008</v>
      </c>
      <c r="B10834">
        <v>3016622</v>
      </c>
      <c r="C10834" t="s">
        <v>5005</v>
      </c>
      <c r="D10834" t="s">
        <v>441</v>
      </c>
      <c r="F10834">
        <v>0</v>
      </c>
      <c r="G10834">
        <v>7.32</v>
      </c>
      <c r="H10834" t="s">
        <v>8580</v>
      </c>
      <c r="I10834">
        <v>9</v>
      </c>
      <c r="J10834" t="s">
        <v>445</v>
      </c>
      <c r="M10834">
        <v>6666</v>
      </c>
      <c r="N10834" t="s">
        <v>16947</v>
      </c>
    </row>
    <row r="10835" spans="1:14">
      <c r="A10835">
        <v>66272000</v>
      </c>
      <c r="B10835">
        <v>4004320</v>
      </c>
      <c r="C10835" t="s">
        <v>13240</v>
      </c>
      <c r="D10835" t="s">
        <v>441</v>
      </c>
      <c r="F10835">
        <v>0</v>
      </c>
      <c r="G10835">
        <v>4.57</v>
      </c>
      <c r="H10835" t="s">
        <v>8587</v>
      </c>
      <c r="I10835">
        <v>74</v>
      </c>
      <c r="J10835" t="s">
        <v>462</v>
      </c>
      <c r="K10835" t="s">
        <v>446</v>
      </c>
      <c r="M10835">
        <v>3711</v>
      </c>
    </row>
    <row r="10836" spans="1:14">
      <c r="A10836">
        <v>66272010</v>
      </c>
      <c r="B10836">
        <v>4004321</v>
      </c>
      <c r="C10836" t="s">
        <v>13241</v>
      </c>
      <c r="D10836" t="s">
        <v>441</v>
      </c>
      <c r="F10836">
        <v>0</v>
      </c>
      <c r="G10836">
        <v>3.93</v>
      </c>
      <c r="H10836" t="s">
        <v>8587</v>
      </c>
      <c r="I10836">
        <v>74</v>
      </c>
      <c r="J10836" t="s">
        <v>462</v>
      </c>
      <c r="K10836" t="s">
        <v>446</v>
      </c>
      <c r="M10836">
        <v>3711</v>
      </c>
    </row>
    <row r="10837" spans="1:14">
      <c r="A10837">
        <v>66272030</v>
      </c>
      <c r="B10837">
        <v>4004322</v>
      </c>
      <c r="C10837" t="s">
        <v>5006</v>
      </c>
      <c r="D10837" t="s">
        <v>441</v>
      </c>
      <c r="F10837">
        <v>0</v>
      </c>
      <c r="G10837">
        <v>7.81</v>
      </c>
      <c r="H10837" t="s">
        <v>8587</v>
      </c>
      <c r="I10837">
        <v>81</v>
      </c>
      <c r="J10837" t="s">
        <v>462</v>
      </c>
      <c r="M10837">
        <v>7108</v>
      </c>
      <c r="N10837" t="s">
        <v>16948</v>
      </c>
    </row>
    <row r="10838" spans="1:14">
      <c r="A10838">
        <v>66272070</v>
      </c>
      <c r="B10838">
        <v>4004323</v>
      </c>
      <c r="C10838" t="s">
        <v>13242</v>
      </c>
      <c r="D10838" t="s">
        <v>441</v>
      </c>
      <c r="F10838">
        <v>0</v>
      </c>
      <c r="G10838">
        <v>5.04</v>
      </c>
      <c r="H10838" t="s">
        <v>8587</v>
      </c>
      <c r="I10838">
        <v>74</v>
      </c>
      <c r="J10838" t="s">
        <v>462</v>
      </c>
      <c r="K10838" t="s">
        <v>446</v>
      </c>
      <c r="M10838">
        <v>3711</v>
      </c>
      <c r="N10838" t="s">
        <v>16949</v>
      </c>
    </row>
    <row r="10839" spans="1:14">
      <c r="A10839">
        <v>66280000</v>
      </c>
      <c r="B10839">
        <v>3027590</v>
      </c>
      <c r="C10839" t="s">
        <v>5007</v>
      </c>
      <c r="D10839" t="s">
        <v>441</v>
      </c>
      <c r="F10839">
        <v>0</v>
      </c>
      <c r="G10839">
        <v>4.63</v>
      </c>
      <c r="H10839" t="s">
        <v>12573</v>
      </c>
      <c r="I10839">
        <v>4</v>
      </c>
      <c r="J10839" t="s">
        <v>445</v>
      </c>
      <c r="M10839">
        <v>3349</v>
      </c>
      <c r="N10839" t="s">
        <v>16950</v>
      </c>
    </row>
    <row r="10840" spans="1:14">
      <c r="A10840">
        <v>66280008</v>
      </c>
      <c r="B10840">
        <v>3027596</v>
      </c>
      <c r="C10840" t="s">
        <v>5008</v>
      </c>
      <c r="D10840" t="s">
        <v>441</v>
      </c>
      <c r="F10840">
        <v>0</v>
      </c>
      <c r="G10840">
        <v>3.85</v>
      </c>
      <c r="H10840" t="s">
        <v>12664</v>
      </c>
      <c r="I10840">
        <v>2</v>
      </c>
      <c r="J10840" t="s">
        <v>445</v>
      </c>
      <c r="M10840">
        <v>6666</v>
      </c>
      <c r="N10840" t="s">
        <v>16951</v>
      </c>
    </row>
    <row r="10841" spans="1:14">
      <c r="A10841">
        <v>66284210</v>
      </c>
      <c r="B10841">
        <v>4018262</v>
      </c>
      <c r="C10841" t="s">
        <v>5009</v>
      </c>
      <c r="D10841" t="s">
        <v>441</v>
      </c>
      <c r="F10841">
        <v>0</v>
      </c>
      <c r="G10841">
        <v>6.34</v>
      </c>
      <c r="H10841" t="s">
        <v>8587</v>
      </c>
      <c r="I10841">
        <v>40</v>
      </c>
      <c r="J10841" t="s">
        <v>462</v>
      </c>
      <c r="M10841">
        <v>7108</v>
      </c>
      <c r="N10841" t="s">
        <v>16952</v>
      </c>
    </row>
    <row r="10842" spans="1:14">
      <c r="A10842">
        <v>66290000</v>
      </c>
      <c r="B10842">
        <v>3044627</v>
      </c>
      <c r="C10842" t="s">
        <v>15286</v>
      </c>
      <c r="D10842" t="s">
        <v>441</v>
      </c>
      <c r="F10842">
        <v>0</v>
      </c>
      <c r="G10842">
        <v>10.33</v>
      </c>
      <c r="H10842" t="s">
        <v>12573</v>
      </c>
      <c r="I10842">
        <v>4</v>
      </c>
      <c r="J10842" t="s">
        <v>445</v>
      </c>
      <c r="M10842">
        <v>3349</v>
      </c>
      <c r="N10842" t="s">
        <v>16953</v>
      </c>
    </row>
    <row r="10843" spans="1:14">
      <c r="A10843">
        <v>66290008</v>
      </c>
      <c r="B10843">
        <v>3044597</v>
      </c>
      <c r="C10843" t="s">
        <v>15287</v>
      </c>
      <c r="D10843" t="s">
        <v>441</v>
      </c>
      <c r="F10843">
        <v>0</v>
      </c>
      <c r="G10843">
        <v>8.8699999999999992</v>
      </c>
      <c r="H10843" t="s">
        <v>12664</v>
      </c>
      <c r="I10843">
        <v>2</v>
      </c>
      <c r="J10843" t="s">
        <v>445</v>
      </c>
      <c r="M10843">
        <v>6666</v>
      </c>
    </row>
    <row r="10844" spans="1:14">
      <c r="A10844">
        <v>66294210</v>
      </c>
      <c r="B10844">
        <v>4029561</v>
      </c>
      <c r="C10844" t="s">
        <v>15288</v>
      </c>
      <c r="D10844" t="s">
        <v>441</v>
      </c>
      <c r="F10844">
        <v>0</v>
      </c>
      <c r="G10844">
        <v>12.02</v>
      </c>
      <c r="H10844" t="s">
        <v>8587</v>
      </c>
      <c r="I10844">
        <v>40</v>
      </c>
      <c r="J10844" t="s">
        <v>462</v>
      </c>
      <c r="M10844">
        <v>7108</v>
      </c>
      <c r="N10844" t="s">
        <v>16953</v>
      </c>
    </row>
    <row r="10845" spans="1:14">
      <c r="A10845">
        <v>66300000</v>
      </c>
      <c r="B10845">
        <v>3046117</v>
      </c>
      <c r="C10845" t="s">
        <v>17633</v>
      </c>
      <c r="D10845" t="s">
        <v>441</v>
      </c>
      <c r="F10845">
        <v>0</v>
      </c>
      <c r="G10845">
        <v>9.59</v>
      </c>
      <c r="H10845" t="s">
        <v>12573</v>
      </c>
      <c r="I10845">
        <v>4</v>
      </c>
      <c r="J10845" t="s">
        <v>445</v>
      </c>
      <c r="M10845">
        <v>3349</v>
      </c>
      <c r="N10845" t="s">
        <v>17634</v>
      </c>
    </row>
    <row r="10846" spans="1:14">
      <c r="A10846">
        <v>66300008</v>
      </c>
      <c r="B10846">
        <v>3046112</v>
      </c>
      <c r="C10846" t="s">
        <v>17635</v>
      </c>
      <c r="D10846" t="s">
        <v>441</v>
      </c>
      <c r="F10846">
        <v>0</v>
      </c>
      <c r="G10846">
        <v>8.2100000000000009</v>
      </c>
      <c r="H10846" t="s">
        <v>12664</v>
      </c>
      <c r="I10846">
        <v>2</v>
      </c>
      <c r="J10846" t="s">
        <v>445</v>
      </c>
      <c r="M10846">
        <v>0</v>
      </c>
    </row>
    <row r="10847" spans="1:14">
      <c r="A10847">
        <v>66304210</v>
      </c>
      <c r="B10847">
        <v>4030544</v>
      </c>
      <c r="C10847" t="s">
        <v>17636</v>
      </c>
      <c r="D10847" t="s">
        <v>441</v>
      </c>
      <c r="F10847">
        <v>0</v>
      </c>
      <c r="G10847">
        <v>11.24</v>
      </c>
      <c r="H10847" t="s">
        <v>8587</v>
      </c>
      <c r="I10847">
        <v>40</v>
      </c>
      <c r="J10847" t="s">
        <v>462</v>
      </c>
      <c r="M10847">
        <v>7108</v>
      </c>
      <c r="N10847" t="s">
        <v>17634</v>
      </c>
    </row>
    <row r="10848" spans="1:14">
      <c r="A10848">
        <v>66990000</v>
      </c>
      <c r="B10848">
        <v>3045358</v>
      </c>
      <c r="C10848" t="s">
        <v>15933</v>
      </c>
      <c r="D10848" t="s">
        <v>441</v>
      </c>
      <c r="F10848">
        <v>0</v>
      </c>
      <c r="G10848">
        <v>11.62</v>
      </c>
      <c r="H10848" t="s">
        <v>12573</v>
      </c>
      <c r="I10848">
        <v>4</v>
      </c>
      <c r="J10848" t="s">
        <v>445</v>
      </c>
      <c r="M10848">
        <v>3349</v>
      </c>
      <c r="N10848" t="s">
        <v>16891</v>
      </c>
    </row>
    <row r="10849" spans="1:14">
      <c r="A10849">
        <v>66990008</v>
      </c>
      <c r="B10849">
        <v>3045357</v>
      </c>
      <c r="C10849" t="s">
        <v>15919</v>
      </c>
      <c r="D10849" t="s">
        <v>441</v>
      </c>
      <c r="F10849">
        <v>0</v>
      </c>
      <c r="G10849">
        <v>9.98</v>
      </c>
      <c r="H10849" t="s">
        <v>12664</v>
      </c>
      <c r="I10849">
        <v>4</v>
      </c>
      <c r="J10849" t="s">
        <v>445</v>
      </c>
      <c r="M10849">
        <v>6666</v>
      </c>
    </row>
    <row r="10850" spans="1:14">
      <c r="A10850">
        <v>66994210</v>
      </c>
      <c r="B10850">
        <v>4030100</v>
      </c>
      <c r="C10850" t="s">
        <v>15934</v>
      </c>
      <c r="D10850" t="s">
        <v>442</v>
      </c>
      <c r="E10850" t="s">
        <v>441</v>
      </c>
      <c r="F10850">
        <v>0.73499999999999999</v>
      </c>
      <c r="G10850">
        <v>10.37</v>
      </c>
      <c r="H10850" t="s">
        <v>8587</v>
      </c>
      <c r="I10850">
        <v>43</v>
      </c>
      <c r="J10850" t="s">
        <v>462</v>
      </c>
      <c r="L10850" t="s">
        <v>15953</v>
      </c>
      <c r="M10850">
        <v>7108</v>
      </c>
      <c r="N10850" t="s">
        <v>16891</v>
      </c>
    </row>
    <row r="10851" spans="1:14">
      <c r="A10851">
        <v>66994220</v>
      </c>
      <c r="B10851">
        <v>4030251</v>
      </c>
      <c r="C10851" t="s">
        <v>16954</v>
      </c>
      <c r="D10851" t="s">
        <v>442</v>
      </c>
      <c r="E10851" t="s">
        <v>441</v>
      </c>
      <c r="F10851">
        <v>0.73499999999999999</v>
      </c>
      <c r="G10851">
        <v>10.45</v>
      </c>
      <c r="H10851" t="s">
        <v>8587</v>
      </c>
      <c r="I10851">
        <v>43</v>
      </c>
      <c r="J10851" t="s">
        <v>462</v>
      </c>
      <c r="M10851">
        <v>7108</v>
      </c>
      <c r="N10851" t="s">
        <v>16891</v>
      </c>
    </row>
    <row r="10852" spans="1:14">
      <c r="A10852">
        <v>66994230</v>
      </c>
      <c r="B10852">
        <v>4030224</v>
      </c>
      <c r="C10852" t="s">
        <v>16955</v>
      </c>
      <c r="D10852" t="s">
        <v>442</v>
      </c>
      <c r="E10852" t="s">
        <v>441</v>
      </c>
      <c r="F10852">
        <v>0.73499999999999999</v>
      </c>
      <c r="G10852">
        <v>10.45</v>
      </c>
      <c r="H10852" t="s">
        <v>8587</v>
      </c>
      <c r="I10852">
        <v>43</v>
      </c>
      <c r="J10852" t="s">
        <v>462</v>
      </c>
      <c r="M10852">
        <v>7108</v>
      </c>
      <c r="N10852" t="s">
        <v>16891</v>
      </c>
    </row>
    <row r="10853" spans="1:14">
      <c r="A10853">
        <v>67010000</v>
      </c>
      <c r="B10853">
        <v>3016623</v>
      </c>
      <c r="C10853" t="s">
        <v>13243</v>
      </c>
      <c r="D10853" t="s">
        <v>441</v>
      </c>
      <c r="F10853">
        <v>0</v>
      </c>
      <c r="G10853">
        <v>8.4</v>
      </c>
      <c r="H10853" t="s">
        <v>8580</v>
      </c>
      <c r="I10853">
        <v>64</v>
      </c>
      <c r="J10853" t="s">
        <v>445</v>
      </c>
      <c r="K10853" t="s">
        <v>446</v>
      </c>
      <c r="M10853">
        <v>3311</v>
      </c>
      <c r="N10853" t="s">
        <v>16956</v>
      </c>
    </row>
    <row r="10854" spans="1:14">
      <c r="A10854">
        <v>67010008</v>
      </c>
      <c r="B10854">
        <v>3016624</v>
      </c>
      <c r="C10854" t="s">
        <v>13244</v>
      </c>
      <c r="D10854" t="s">
        <v>441</v>
      </c>
      <c r="F10854">
        <v>0</v>
      </c>
      <c r="G10854">
        <v>7.89</v>
      </c>
      <c r="H10854" t="s">
        <v>8580</v>
      </c>
      <c r="I10854">
        <v>9</v>
      </c>
      <c r="J10854" t="s">
        <v>445</v>
      </c>
      <c r="K10854" t="s">
        <v>446</v>
      </c>
      <c r="M10854">
        <v>3211</v>
      </c>
      <c r="N10854" t="s">
        <v>16956</v>
      </c>
    </row>
    <row r="10855" spans="1:14">
      <c r="A10855">
        <v>67012000</v>
      </c>
      <c r="B10855">
        <v>4004328</v>
      </c>
      <c r="C10855" t="s">
        <v>13245</v>
      </c>
      <c r="D10855" t="s">
        <v>441</v>
      </c>
      <c r="F10855">
        <v>0</v>
      </c>
      <c r="G10855">
        <v>6.95</v>
      </c>
      <c r="H10855" t="s">
        <v>8587</v>
      </c>
      <c r="I10855">
        <v>64</v>
      </c>
      <c r="J10855" t="s">
        <v>462</v>
      </c>
      <c r="M10855">
        <v>3711</v>
      </c>
    </row>
    <row r="10856" spans="1:14">
      <c r="A10856">
        <v>67012010</v>
      </c>
      <c r="B10856">
        <v>4006775</v>
      </c>
      <c r="C10856" t="s">
        <v>13246</v>
      </c>
      <c r="D10856" t="s">
        <v>441</v>
      </c>
      <c r="F10856">
        <v>0</v>
      </c>
      <c r="G10856">
        <v>8.5399999999999991</v>
      </c>
      <c r="H10856" t="s">
        <v>8587</v>
      </c>
      <c r="I10856">
        <v>64</v>
      </c>
      <c r="J10856" t="s">
        <v>462</v>
      </c>
      <c r="K10856" t="s">
        <v>446</v>
      </c>
      <c r="M10856">
        <v>3711</v>
      </c>
      <c r="N10856" t="s">
        <v>16957</v>
      </c>
    </row>
    <row r="10857" spans="1:14">
      <c r="A10857">
        <v>67012020</v>
      </c>
      <c r="B10857">
        <v>4001937</v>
      </c>
      <c r="C10857" t="s">
        <v>13247</v>
      </c>
      <c r="D10857" t="s">
        <v>441</v>
      </c>
      <c r="F10857">
        <v>0</v>
      </c>
      <c r="G10857">
        <v>5.59</v>
      </c>
      <c r="H10857" t="s">
        <v>8587</v>
      </c>
      <c r="I10857">
        <v>64</v>
      </c>
      <c r="J10857" t="s">
        <v>462</v>
      </c>
      <c r="K10857" t="s">
        <v>446</v>
      </c>
      <c r="M10857">
        <v>3711</v>
      </c>
    </row>
    <row r="10858" spans="1:14">
      <c r="A10858">
        <v>67012060</v>
      </c>
      <c r="B10858">
        <v>4004329</v>
      </c>
      <c r="C10858" t="s">
        <v>13248</v>
      </c>
      <c r="D10858" t="s">
        <v>441</v>
      </c>
      <c r="F10858">
        <v>0</v>
      </c>
      <c r="G10858">
        <v>8.51</v>
      </c>
      <c r="H10858" t="s">
        <v>8587</v>
      </c>
      <c r="I10858">
        <v>64</v>
      </c>
      <c r="J10858" t="s">
        <v>462</v>
      </c>
      <c r="K10858" t="s">
        <v>446</v>
      </c>
      <c r="M10858">
        <v>3711</v>
      </c>
      <c r="N10858" t="s">
        <v>16957</v>
      </c>
    </row>
    <row r="10859" spans="1:14">
      <c r="A10859">
        <v>67020000</v>
      </c>
      <c r="B10859">
        <v>3016760</v>
      </c>
      <c r="C10859" t="s">
        <v>13249</v>
      </c>
      <c r="D10859" t="s">
        <v>441</v>
      </c>
      <c r="F10859">
        <v>0</v>
      </c>
      <c r="G10859">
        <v>9.67</v>
      </c>
      <c r="I10859">
        <v>60</v>
      </c>
      <c r="J10859" t="s">
        <v>445</v>
      </c>
      <c r="K10859" t="s">
        <v>446</v>
      </c>
      <c r="M10859">
        <v>3311</v>
      </c>
    </row>
    <row r="10860" spans="1:14">
      <c r="A10860">
        <v>67020008</v>
      </c>
      <c r="B10860">
        <v>3016762</v>
      </c>
      <c r="C10860" t="s">
        <v>13250</v>
      </c>
      <c r="D10860" t="s">
        <v>441</v>
      </c>
      <c r="F10860">
        <v>0</v>
      </c>
      <c r="G10860">
        <v>9.0399999999999991</v>
      </c>
      <c r="H10860" t="s">
        <v>8580</v>
      </c>
      <c r="I10860">
        <v>5</v>
      </c>
      <c r="J10860" t="s">
        <v>445</v>
      </c>
      <c r="K10860" t="s">
        <v>446</v>
      </c>
      <c r="M10860">
        <v>3211</v>
      </c>
    </row>
    <row r="10861" spans="1:14">
      <c r="A10861">
        <v>67022000</v>
      </c>
      <c r="B10861">
        <v>4009302</v>
      </c>
      <c r="C10861" t="s">
        <v>13251</v>
      </c>
      <c r="D10861" t="s">
        <v>441</v>
      </c>
      <c r="F10861">
        <v>0</v>
      </c>
      <c r="G10861">
        <v>9.41</v>
      </c>
      <c r="H10861" t="s">
        <v>8587</v>
      </c>
      <c r="I10861">
        <v>60</v>
      </c>
      <c r="J10861" t="s">
        <v>462</v>
      </c>
      <c r="K10861" t="s">
        <v>446</v>
      </c>
      <c r="M10861">
        <v>3711</v>
      </c>
    </row>
    <row r="10862" spans="1:14">
      <c r="A10862">
        <v>67030000</v>
      </c>
      <c r="B10862">
        <v>3016757</v>
      </c>
      <c r="C10862" t="s">
        <v>13252</v>
      </c>
      <c r="D10862" t="s">
        <v>441</v>
      </c>
      <c r="F10862">
        <v>0</v>
      </c>
      <c r="G10862">
        <v>9.4499999999999993</v>
      </c>
      <c r="H10862" t="s">
        <v>8580</v>
      </c>
      <c r="I10862">
        <v>60</v>
      </c>
      <c r="J10862" t="s">
        <v>445</v>
      </c>
      <c r="K10862" t="s">
        <v>446</v>
      </c>
      <c r="M10862">
        <v>3311</v>
      </c>
    </row>
    <row r="10863" spans="1:14">
      <c r="A10863">
        <v>67030008</v>
      </c>
      <c r="B10863">
        <v>3016758</v>
      </c>
      <c r="C10863" t="s">
        <v>13253</v>
      </c>
      <c r="D10863" t="s">
        <v>441</v>
      </c>
      <c r="F10863">
        <v>0</v>
      </c>
      <c r="G10863">
        <v>8.82</v>
      </c>
      <c r="I10863">
        <v>5</v>
      </c>
      <c r="J10863" t="s">
        <v>445</v>
      </c>
      <c r="K10863" t="s">
        <v>446</v>
      </c>
      <c r="M10863">
        <v>3211</v>
      </c>
    </row>
    <row r="10864" spans="1:14">
      <c r="A10864">
        <v>67032000</v>
      </c>
      <c r="B10864">
        <v>4009301</v>
      </c>
      <c r="C10864" t="s">
        <v>13254</v>
      </c>
      <c r="D10864" t="s">
        <v>441</v>
      </c>
      <c r="F10864">
        <v>0</v>
      </c>
      <c r="G10864">
        <v>9.7100000000000009</v>
      </c>
      <c r="H10864" t="s">
        <v>8587</v>
      </c>
      <c r="I10864">
        <v>60</v>
      </c>
      <c r="J10864" t="s">
        <v>462</v>
      </c>
      <c r="K10864" t="s">
        <v>446</v>
      </c>
      <c r="M10864">
        <v>3711</v>
      </c>
    </row>
    <row r="10865" spans="1:14">
      <c r="A10865">
        <v>67032010</v>
      </c>
      <c r="B10865">
        <v>4009581</v>
      </c>
      <c r="C10865" t="s">
        <v>13255</v>
      </c>
      <c r="D10865" t="s">
        <v>441</v>
      </c>
      <c r="F10865">
        <v>0</v>
      </c>
      <c r="G10865">
        <v>9.7100000000000009</v>
      </c>
      <c r="H10865" t="s">
        <v>8587</v>
      </c>
      <c r="I10865">
        <v>60</v>
      </c>
      <c r="J10865" t="s">
        <v>462</v>
      </c>
      <c r="K10865" t="s">
        <v>446</v>
      </c>
      <c r="M10865">
        <v>3711</v>
      </c>
    </row>
    <row r="10866" spans="1:14">
      <c r="A10866">
        <v>67032020</v>
      </c>
      <c r="B10866">
        <v>4009858</v>
      </c>
      <c r="C10866" t="s">
        <v>13256</v>
      </c>
      <c r="D10866" t="s">
        <v>441</v>
      </c>
      <c r="F10866">
        <v>0</v>
      </c>
      <c r="G10866">
        <v>8.5399999999999991</v>
      </c>
      <c r="H10866" t="s">
        <v>8587</v>
      </c>
      <c r="I10866">
        <v>60</v>
      </c>
      <c r="J10866" t="s">
        <v>462</v>
      </c>
      <c r="K10866" t="s">
        <v>446</v>
      </c>
      <c r="M10866">
        <v>3711</v>
      </c>
    </row>
    <row r="10867" spans="1:14">
      <c r="A10867">
        <v>67040000</v>
      </c>
      <c r="B10867">
        <v>3016787</v>
      </c>
      <c r="C10867" t="s">
        <v>13257</v>
      </c>
      <c r="D10867" t="s">
        <v>441</v>
      </c>
      <c r="F10867">
        <v>0</v>
      </c>
      <c r="G10867">
        <v>9.4499999999999993</v>
      </c>
      <c r="H10867" t="s">
        <v>8580</v>
      </c>
      <c r="I10867">
        <v>60</v>
      </c>
      <c r="J10867" t="s">
        <v>445</v>
      </c>
      <c r="K10867" t="s">
        <v>446</v>
      </c>
      <c r="M10867">
        <v>3311</v>
      </c>
    </row>
    <row r="10868" spans="1:14">
      <c r="A10868">
        <v>67040008</v>
      </c>
      <c r="B10868">
        <v>3016788</v>
      </c>
      <c r="C10868" t="s">
        <v>13258</v>
      </c>
      <c r="D10868" t="s">
        <v>441</v>
      </c>
      <c r="F10868">
        <v>0</v>
      </c>
      <c r="G10868">
        <v>9.06</v>
      </c>
      <c r="H10868" t="s">
        <v>8580</v>
      </c>
      <c r="I10868">
        <v>5</v>
      </c>
      <c r="J10868" t="s">
        <v>445</v>
      </c>
      <c r="K10868" t="s">
        <v>446</v>
      </c>
      <c r="M10868">
        <v>3211</v>
      </c>
    </row>
    <row r="10869" spans="1:14">
      <c r="A10869">
        <v>67042000</v>
      </c>
      <c r="B10869">
        <v>4009594</v>
      </c>
      <c r="C10869" t="s">
        <v>13259</v>
      </c>
      <c r="D10869" t="s">
        <v>441</v>
      </c>
      <c r="F10869">
        <v>0</v>
      </c>
      <c r="G10869">
        <v>9.17</v>
      </c>
      <c r="H10869" t="s">
        <v>8587</v>
      </c>
      <c r="I10869">
        <v>60</v>
      </c>
      <c r="J10869" t="s">
        <v>462</v>
      </c>
      <c r="K10869" t="s">
        <v>446</v>
      </c>
      <c r="M10869">
        <v>3711</v>
      </c>
    </row>
    <row r="10870" spans="1:14">
      <c r="A10870">
        <v>67050000</v>
      </c>
      <c r="B10870">
        <v>3024526</v>
      </c>
      <c r="C10870" t="s">
        <v>5010</v>
      </c>
      <c r="D10870" t="s">
        <v>441</v>
      </c>
      <c r="F10870">
        <v>0</v>
      </c>
      <c r="G10870">
        <v>5.95</v>
      </c>
      <c r="I10870">
        <v>28</v>
      </c>
      <c r="J10870" t="s">
        <v>445</v>
      </c>
      <c r="K10870" t="s">
        <v>446</v>
      </c>
      <c r="M10870">
        <v>3311</v>
      </c>
    </row>
    <row r="10871" spans="1:14">
      <c r="A10871">
        <v>67050008</v>
      </c>
      <c r="B10871">
        <v>3024532</v>
      </c>
      <c r="C10871" t="s">
        <v>5011</v>
      </c>
      <c r="D10871" t="s">
        <v>441</v>
      </c>
      <c r="F10871">
        <v>0</v>
      </c>
      <c r="G10871">
        <v>5.47</v>
      </c>
      <c r="H10871" t="s">
        <v>8935</v>
      </c>
      <c r="I10871">
        <v>9</v>
      </c>
      <c r="J10871" t="s">
        <v>445</v>
      </c>
      <c r="K10871" t="s">
        <v>446</v>
      </c>
      <c r="M10871">
        <v>3211</v>
      </c>
    </row>
    <row r="10872" spans="1:14">
      <c r="A10872">
        <v>67052010</v>
      </c>
      <c r="B10872">
        <v>4016237</v>
      </c>
      <c r="C10872" t="s">
        <v>5012</v>
      </c>
      <c r="D10872" t="s">
        <v>441</v>
      </c>
      <c r="F10872">
        <v>0</v>
      </c>
      <c r="G10872">
        <v>6.36</v>
      </c>
      <c r="H10872" t="s">
        <v>8587</v>
      </c>
      <c r="I10872">
        <v>28</v>
      </c>
      <c r="J10872" t="s">
        <v>462</v>
      </c>
      <c r="K10872" t="s">
        <v>446</v>
      </c>
      <c r="M10872">
        <v>0</v>
      </c>
    </row>
    <row r="10873" spans="1:14">
      <c r="A10873">
        <v>67060000</v>
      </c>
      <c r="B10873">
        <v>3024523</v>
      </c>
      <c r="C10873" t="s">
        <v>13260</v>
      </c>
      <c r="D10873" t="s">
        <v>441</v>
      </c>
      <c r="F10873">
        <v>0</v>
      </c>
      <c r="G10873">
        <v>8.1199999999999992</v>
      </c>
      <c r="H10873" t="s">
        <v>8584</v>
      </c>
      <c r="I10873">
        <v>28</v>
      </c>
      <c r="J10873" t="s">
        <v>445</v>
      </c>
      <c r="K10873" t="s">
        <v>446</v>
      </c>
      <c r="M10873">
        <v>3311</v>
      </c>
    </row>
    <row r="10874" spans="1:14">
      <c r="A10874">
        <v>67060008</v>
      </c>
      <c r="B10874">
        <v>3024524</v>
      </c>
      <c r="C10874" t="s">
        <v>13261</v>
      </c>
      <c r="D10874" t="s">
        <v>441</v>
      </c>
      <c r="F10874">
        <v>0</v>
      </c>
      <c r="G10874">
        <v>7.08</v>
      </c>
      <c r="I10874">
        <v>9</v>
      </c>
      <c r="J10874" t="s">
        <v>445</v>
      </c>
      <c r="K10874" t="s">
        <v>446</v>
      </c>
      <c r="M10874">
        <v>3211</v>
      </c>
    </row>
    <row r="10875" spans="1:14">
      <c r="A10875">
        <v>67062010</v>
      </c>
      <c r="B10875">
        <v>4016238</v>
      </c>
      <c r="C10875" t="s">
        <v>13262</v>
      </c>
      <c r="D10875" t="s">
        <v>441</v>
      </c>
      <c r="F10875">
        <v>0</v>
      </c>
      <c r="G10875">
        <v>8.5</v>
      </c>
      <c r="H10875" t="s">
        <v>8587</v>
      </c>
      <c r="I10875">
        <v>28</v>
      </c>
      <c r="J10875" t="s">
        <v>462</v>
      </c>
      <c r="K10875" t="s">
        <v>446</v>
      </c>
      <c r="M10875">
        <v>0</v>
      </c>
    </row>
    <row r="10876" spans="1:14">
      <c r="A10876">
        <v>67070000</v>
      </c>
      <c r="B10876">
        <v>3016625</v>
      </c>
      <c r="C10876" t="s">
        <v>13263</v>
      </c>
      <c r="D10876" t="s">
        <v>441</v>
      </c>
      <c r="F10876">
        <v>0</v>
      </c>
      <c r="G10876">
        <v>6.76</v>
      </c>
      <c r="H10876" t="s">
        <v>8580</v>
      </c>
      <c r="I10876">
        <v>50</v>
      </c>
      <c r="J10876" t="s">
        <v>445</v>
      </c>
      <c r="M10876">
        <v>3349</v>
      </c>
      <c r="N10876" t="s">
        <v>16958</v>
      </c>
    </row>
    <row r="10877" spans="1:14">
      <c r="A10877">
        <v>67070008</v>
      </c>
      <c r="B10877">
        <v>3016626</v>
      </c>
      <c r="C10877" t="s">
        <v>13264</v>
      </c>
      <c r="D10877" t="s">
        <v>441</v>
      </c>
      <c r="F10877">
        <v>0</v>
      </c>
      <c r="G10877">
        <v>5.86</v>
      </c>
      <c r="H10877" t="s">
        <v>8584</v>
      </c>
      <c r="I10877">
        <v>9</v>
      </c>
      <c r="J10877" t="s">
        <v>445</v>
      </c>
      <c r="M10877">
        <v>6666</v>
      </c>
      <c r="N10877" t="s">
        <v>16959</v>
      </c>
    </row>
    <row r="10878" spans="1:14">
      <c r="A10878">
        <v>67072000</v>
      </c>
      <c r="B10878">
        <v>4001091</v>
      </c>
      <c r="C10878" t="s">
        <v>15536</v>
      </c>
      <c r="D10878" t="s">
        <v>441</v>
      </c>
      <c r="F10878">
        <v>0</v>
      </c>
      <c r="G10878">
        <v>7.68</v>
      </c>
      <c r="H10878" t="s">
        <v>8587</v>
      </c>
      <c r="I10878">
        <v>50</v>
      </c>
      <c r="J10878" t="s">
        <v>462</v>
      </c>
      <c r="M10878">
        <v>7108</v>
      </c>
      <c r="N10878" t="s">
        <v>16960</v>
      </c>
    </row>
    <row r="10879" spans="1:14">
      <c r="A10879">
        <v>67072010</v>
      </c>
      <c r="B10879">
        <v>4012728</v>
      </c>
      <c r="C10879" t="s">
        <v>17637</v>
      </c>
      <c r="D10879" t="s">
        <v>441</v>
      </c>
      <c r="F10879">
        <v>0</v>
      </c>
      <c r="G10879">
        <v>8.19</v>
      </c>
      <c r="H10879" t="s">
        <v>8587</v>
      </c>
      <c r="I10879">
        <v>50</v>
      </c>
      <c r="J10879" t="s">
        <v>462</v>
      </c>
      <c r="K10879" t="s">
        <v>446</v>
      </c>
      <c r="M10879">
        <v>7108</v>
      </c>
      <c r="N10879" t="s">
        <v>16960</v>
      </c>
    </row>
    <row r="10880" spans="1:14">
      <c r="A10880">
        <v>67072020</v>
      </c>
      <c r="B10880">
        <v>4005999</v>
      </c>
      <c r="C10880" t="s">
        <v>13265</v>
      </c>
      <c r="D10880" t="s">
        <v>441</v>
      </c>
      <c r="F10880">
        <v>0</v>
      </c>
      <c r="G10880">
        <v>4.58</v>
      </c>
      <c r="H10880" t="s">
        <v>8587</v>
      </c>
      <c r="I10880">
        <v>50</v>
      </c>
      <c r="J10880" t="s">
        <v>462</v>
      </c>
      <c r="K10880" t="s">
        <v>446</v>
      </c>
      <c r="M10880">
        <v>3711</v>
      </c>
      <c r="N10880" t="s">
        <v>16961</v>
      </c>
    </row>
    <row r="10881" spans="1:14">
      <c r="A10881">
        <v>67072060</v>
      </c>
      <c r="B10881">
        <v>4004330</v>
      </c>
      <c r="C10881" t="s">
        <v>13266</v>
      </c>
      <c r="D10881" t="s">
        <v>441</v>
      </c>
      <c r="F10881">
        <v>0</v>
      </c>
      <c r="G10881">
        <v>4.88</v>
      </c>
      <c r="H10881" t="s">
        <v>8587</v>
      </c>
      <c r="I10881">
        <v>50</v>
      </c>
      <c r="J10881" t="s">
        <v>462</v>
      </c>
      <c r="K10881" t="s">
        <v>446</v>
      </c>
      <c r="M10881">
        <v>3711</v>
      </c>
      <c r="N10881" t="s">
        <v>16961</v>
      </c>
    </row>
    <row r="10882" spans="1:14">
      <c r="A10882">
        <v>67080000</v>
      </c>
      <c r="B10882">
        <v>3012253</v>
      </c>
      <c r="C10882" t="s">
        <v>13267</v>
      </c>
      <c r="D10882" t="s">
        <v>441</v>
      </c>
      <c r="F10882">
        <v>0</v>
      </c>
      <c r="G10882">
        <v>2.91</v>
      </c>
      <c r="I10882">
        <v>6</v>
      </c>
      <c r="J10882" t="s">
        <v>445</v>
      </c>
      <c r="K10882" t="s">
        <v>446</v>
      </c>
      <c r="M10882">
        <v>3311</v>
      </c>
    </row>
    <row r="10883" spans="1:14">
      <c r="A10883">
        <v>67080008</v>
      </c>
      <c r="B10883">
        <v>3012252</v>
      </c>
      <c r="C10883" t="s">
        <v>13268</v>
      </c>
      <c r="D10883" t="s">
        <v>441</v>
      </c>
      <c r="F10883">
        <v>0</v>
      </c>
      <c r="G10883">
        <v>2.15</v>
      </c>
      <c r="I10883">
        <v>5</v>
      </c>
      <c r="J10883" t="s">
        <v>445</v>
      </c>
      <c r="K10883" t="s">
        <v>446</v>
      </c>
      <c r="M10883">
        <v>3211</v>
      </c>
    </row>
    <row r="10884" spans="1:14">
      <c r="A10884">
        <v>67082000</v>
      </c>
      <c r="B10884">
        <v>4009850</v>
      </c>
      <c r="C10884" t="s">
        <v>13269</v>
      </c>
      <c r="D10884" t="s">
        <v>441</v>
      </c>
      <c r="F10884">
        <v>0</v>
      </c>
      <c r="G10884">
        <v>3.2</v>
      </c>
      <c r="H10884" t="s">
        <v>8587</v>
      </c>
      <c r="I10884">
        <v>50</v>
      </c>
      <c r="J10884" t="s">
        <v>462</v>
      </c>
      <c r="K10884" t="s">
        <v>446</v>
      </c>
      <c r="M10884">
        <v>3711</v>
      </c>
    </row>
    <row r="10885" spans="1:14">
      <c r="A10885">
        <v>67150000</v>
      </c>
      <c r="B10885">
        <v>3016627</v>
      </c>
      <c r="C10885" t="s">
        <v>13270</v>
      </c>
      <c r="D10885" t="s">
        <v>441</v>
      </c>
      <c r="F10885">
        <v>0</v>
      </c>
      <c r="G10885">
        <v>6.15</v>
      </c>
      <c r="H10885" t="s">
        <v>8580</v>
      </c>
      <c r="I10885">
        <v>64</v>
      </c>
      <c r="J10885" t="s">
        <v>445</v>
      </c>
      <c r="K10885" t="s">
        <v>446</v>
      </c>
      <c r="M10885">
        <v>3311</v>
      </c>
      <c r="N10885" t="s">
        <v>16962</v>
      </c>
    </row>
    <row r="10886" spans="1:14">
      <c r="A10886">
        <v>67150008</v>
      </c>
      <c r="B10886">
        <v>3016628</v>
      </c>
      <c r="C10886" t="s">
        <v>13271</v>
      </c>
      <c r="D10886" t="s">
        <v>441</v>
      </c>
      <c r="F10886">
        <v>0</v>
      </c>
      <c r="G10886">
        <v>5.7</v>
      </c>
      <c r="H10886" t="s">
        <v>8580</v>
      </c>
      <c r="I10886">
        <v>9</v>
      </c>
      <c r="J10886" t="s">
        <v>445</v>
      </c>
      <c r="K10886" t="s">
        <v>446</v>
      </c>
      <c r="M10886">
        <v>3211</v>
      </c>
      <c r="N10886" t="s">
        <v>16962</v>
      </c>
    </row>
    <row r="10887" spans="1:14">
      <c r="A10887">
        <v>67152000</v>
      </c>
      <c r="B10887">
        <v>4005426</v>
      </c>
      <c r="C10887" t="s">
        <v>13272</v>
      </c>
      <c r="D10887" t="s">
        <v>442</v>
      </c>
      <c r="E10887" t="s">
        <v>441</v>
      </c>
      <c r="F10887">
        <v>0.36</v>
      </c>
      <c r="G10887">
        <v>2.56</v>
      </c>
      <c r="H10887" t="s">
        <v>8587</v>
      </c>
      <c r="I10887">
        <v>64</v>
      </c>
      <c r="J10887" t="s">
        <v>462</v>
      </c>
      <c r="K10887" t="s">
        <v>446</v>
      </c>
      <c r="L10887" t="s">
        <v>13273</v>
      </c>
      <c r="M10887">
        <v>3711</v>
      </c>
      <c r="N10887" t="s">
        <v>16962</v>
      </c>
    </row>
    <row r="10888" spans="1:14">
      <c r="A10888">
        <v>67152010</v>
      </c>
      <c r="B10888">
        <v>4005922</v>
      </c>
      <c r="C10888" t="s">
        <v>13274</v>
      </c>
      <c r="D10888" t="s">
        <v>442</v>
      </c>
      <c r="E10888" t="s">
        <v>441</v>
      </c>
      <c r="F10888">
        <v>0.36</v>
      </c>
      <c r="G10888">
        <v>2.61</v>
      </c>
      <c r="H10888" t="s">
        <v>8587</v>
      </c>
      <c r="I10888">
        <v>64</v>
      </c>
      <c r="J10888" t="s">
        <v>462</v>
      </c>
      <c r="K10888" t="s">
        <v>446</v>
      </c>
      <c r="L10888" t="s">
        <v>13275</v>
      </c>
      <c r="M10888">
        <v>3711</v>
      </c>
      <c r="N10888" t="s">
        <v>16962</v>
      </c>
    </row>
    <row r="10889" spans="1:14">
      <c r="A10889">
        <v>67152020</v>
      </c>
      <c r="B10889">
        <v>4006299</v>
      </c>
      <c r="C10889" t="s">
        <v>13276</v>
      </c>
      <c r="D10889" t="s">
        <v>442</v>
      </c>
      <c r="E10889" t="s">
        <v>441</v>
      </c>
      <c r="F10889">
        <v>0.36</v>
      </c>
      <c r="G10889">
        <v>2.2400000000000002</v>
      </c>
      <c r="H10889" t="s">
        <v>8587</v>
      </c>
      <c r="I10889">
        <v>64</v>
      </c>
      <c r="J10889" t="s">
        <v>462</v>
      </c>
      <c r="K10889" t="s">
        <v>446</v>
      </c>
      <c r="M10889">
        <v>3711</v>
      </c>
    </row>
    <row r="10890" spans="1:14">
      <c r="A10890">
        <v>67152030</v>
      </c>
      <c r="B10890">
        <v>4006724</v>
      </c>
      <c r="C10890" t="s">
        <v>13277</v>
      </c>
      <c r="D10890" t="s">
        <v>442</v>
      </c>
      <c r="E10890" t="s">
        <v>441</v>
      </c>
      <c r="F10890">
        <v>0.36</v>
      </c>
      <c r="G10890">
        <v>2.61</v>
      </c>
      <c r="H10890" t="s">
        <v>8587</v>
      </c>
      <c r="I10890">
        <v>64</v>
      </c>
      <c r="J10890" t="s">
        <v>462</v>
      </c>
      <c r="K10890" t="s">
        <v>446</v>
      </c>
      <c r="M10890">
        <v>3711</v>
      </c>
      <c r="N10890" t="s">
        <v>16962</v>
      </c>
    </row>
    <row r="10891" spans="1:14">
      <c r="A10891">
        <v>67152040</v>
      </c>
      <c r="B10891">
        <v>4006738</v>
      </c>
      <c r="C10891" t="s">
        <v>13278</v>
      </c>
      <c r="D10891" t="s">
        <v>442</v>
      </c>
      <c r="E10891" t="s">
        <v>441</v>
      </c>
      <c r="F10891">
        <v>0.36</v>
      </c>
      <c r="G10891">
        <v>2.4300000000000002</v>
      </c>
      <c r="H10891" t="s">
        <v>8587</v>
      </c>
      <c r="I10891">
        <v>64</v>
      </c>
      <c r="J10891" t="s">
        <v>462</v>
      </c>
      <c r="K10891" t="s">
        <v>446</v>
      </c>
      <c r="M10891">
        <v>3711</v>
      </c>
    </row>
    <row r="10892" spans="1:14">
      <c r="A10892">
        <v>67152050</v>
      </c>
      <c r="B10892">
        <v>4007062</v>
      </c>
      <c r="C10892" t="s">
        <v>13279</v>
      </c>
      <c r="D10892" t="s">
        <v>442</v>
      </c>
      <c r="E10892" t="s">
        <v>441</v>
      </c>
      <c r="F10892">
        <v>0.36</v>
      </c>
      <c r="G10892">
        <v>2.62</v>
      </c>
      <c r="H10892" t="s">
        <v>8587</v>
      </c>
      <c r="I10892">
        <v>64</v>
      </c>
      <c r="J10892" t="s">
        <v>462</v>
      </c>
      <c r="K10892" t="s">
        <v>446</v>
      </c>
      <c r="M10892">
        <v>3711</v>
      </c>
      <c r="N10892" t="s">
        <v>16962</v>
      </c>
    </row>
    <row r="10893" spans="1:14">
      <c r="A10893">
        <v>67152060</v>
      </c>
      <c r="B10893">
        <v>4008133</v>
      </c>
      <c r="C10893" t="s">
        <v>13280</v>
      </c>
      <c r="D10893" t="s">
        <v>442</v>
      </c>
      <c r="E10893" t="s">
        <v>441</v>
      </c>
      <c r="F10893">
        <v>0.36</v>
      </c>
      <c r="G10893">
        <v>2.2400000000000002</v>
      </c>
      <c r="H10893" t="s">
        <v>8587</v>
      </c>
      <c r="I10893">
        <v>64</v>
      </c>
      <c r="J10893" t="s">
        <v>462</v>
      </c>
      <c r="K10893" t="s">
        <v>446</v>
      </c>
      <c r="M10893">
        <v>3711</v>
      </c>
    </row>
    <row r="10894" spans="1:14">
      <c r="A10894">
        <v>67152070</v>
      </c>
      <c r="B10894">
        <v>4008495</v>
      </c>
      <c r="C10894" t="s">
        <v>13281</v>
      </c>
      <c r="D10894" t="s">
        <v>442</v>
      </c>
      <c r="E10894" t="s">
        <v>441</v>
      </c>
      <c r="F10894">
        <v>0.36</v>
      </c>
      <c r="G10894">
        <v>2.2799999999999998</v>
      </c>
      <c r="H10894" t="s">
        <v>8587</v>
      </c>
      <c r="I10894">
        <v>64</v>
      </c>
      <c r="J10894" t="s">
        <v>462</v>
      </c>
      <c r="K10894" t="s">
        <v>446</v>
      </c>
      <c r="M10894">
        <v>3711</v>
      </c>
    </row>
    <row r="10895" spans="1:14">
      <c r="A10895">
        <v>67152080</v>
      </c>
      <c r="B10895">
        <v>4010579</v>
      </c>
      <c r="C10895" t="s">
        <v>13282</v>
      </c>
      <c r="D10895" t="s">
        <v>441</v>
      </c>
      <c r="F10895">
        <v>0</v>
      </c>
      <c r="G10895">
        <v>6.83</v>
      </c>
      <c r="H10895" t="s">
        <v>8587</v>
      </c>
      <c r="I10895">
        <v>64</v>
      </c>
      <c r="J10895" t="s">
        <v>462</v>
      </c>
      <c r="K10895" t="s">
        <v>446</v>
      </c>
      <c r="M10895">
        <v>3711</v>
      </c>
    </row>
    <row r="10896" spans="1:14">
      <c r="A10896">
        <v>67160000</v>
      </c>
      <c r="B10896">
        <v>3016629</v>
      </c>
      <c r="C10896" t="s">
        <v>13283</v>
      </c>
      <c r="D10896" t="s">
        <v>441</v>
      </c>
      <c r="F10896">
        <v>0</v>
      </c>
      <c r="G10896">
        <v>5.38</v>
      </c>
      <c r="H10896" t="s">
        <v>9302</v>
      </c>
      <c r="I10896">
        <v>64</v>
      </c>
      <c r="J10896" t="s">
        <v>445</v>
      </c>
      <c r="K10896" t="s">
        <v>446</v>
      </c>
      <c r="M10896">
        <v>3311</v>
      </c>
      <c r="N10896" t="s">
        <v>16957</v>
      </c>
    </row>
    <row r="10897" spans="1:14">
      <c r="A10897">
        <v>67160008</v>
      </c>
      <c r="B10897">
        <v>3016630</v>
      </c>
      <c r="C10897" t="s">
        <v>13284</v>
      </c>
      <c r="D10897" t="s">
        <v>441</v>
      </c>
      <c r="F10897">
        <v>0</v>
      </c>
      <c r="G10897">
        <v>5.15</v>
      </c>
      <c r="H10897" t="s">
        <v>8580</v>
      </c>
      <c r="I10897">
        <v>9</v>
      </c>
      <c r="J10897" t="s">
        <v>445</v>
      </c>
      <c r="K10897" t="s">
        <v>446</v>
      </c>
      <c r="M10897">
        <v>3211</v>
      </c>
      <c r="N10897" t="s">
        <v>16957</v>
      </c>
    </row>
    <row r="10898" spans="1:14">
      <c r="A10898">
        <v>67162000</v>
      </c>
      <c r="B10898">
        <v>4007116</v>
      </c>
      <c r="C10898" t="s">
        <v>13285</v>
      </c>
      <c r="D10898" t="s">
        <v>441</v>
      </c>
      <c r="F10898">
        <v>0</v>
      </c>
      <c r="G10898">
        <v>5.83</v>
      </c>
      <c r="H10898" t="s">
        <v>8587</v>
      </c>
      <c r="I10898">
        <v>64</v>
      </c>
      <c r="J10898" t="s">
        <v>462</v>
      </c>
      <c r="K10898" t="s">
        <v>446</v>
      </c>
      <c r="M10898">
        <v>3711</v>
      </c>
      <c r="N10898" t="s">
        <v>16957</v>
      </c>
    </row>
    <row r="10899" spans="1:14">
      <c r="A10899">
        <v>67162010</v>
      </c>
      <c r="B10899">
        <v>4007793</v>
      </c>
      <c r="C10899" t="s">
        <v>13286</v>
      </c>
      <c r="D10899" t="s">
        <v>441</v>
      </c>
      <c r="F10899">
        <v>0</v>
      </c>
      <c r="G10899">
        <v>6.17</v>
      </c>
      <c r="H10899" t="s">
        <v>8587</v>
      </c>
      <c r="I10899">
        <v>64</v>
      </c>
      <c r="J10899" t="s">
        <v>462</v>
      </c>
      <c r="K10899" t="s">
        <v>446</v>
      </c>
      <c r="M10899">
        <v>3711</v>
      </c>
      <c r="N10899" t="s">
        <v>16957</v>
      </c>
    </row>
    <row r="10900" spans="1:14">
      <c r="A10900">
        <v>67162020</v>
      </c>
      <c r="B10900">
        <v>4007809</v>
      </c>
      <c r="C10900" t="s">
        <v>13287</v>
      </c>
      <c r="D10900" t="s">
        <v>441</v>
      </c>
      <c r="F10900">
        <v>0</v>
      </c>
      <c r="G10900">
        <v>5.37</v>
      </c>
      <c r="H10900" t="s">
        <v>8587</v>
      </c>
      <c r="I10900">
        <v>64</v>
      </c>
      <c r="J10900" t="s">
        <v>462</v>
      </c>
      <c r="K10900" t="s">
        <v>446</v>
      </c>
      <c r="M10900">
        <v>3711</v>
      </c>
    </row>
    <row r="10901" spans="1:14">
      <c r="A10901">
        <v>67162030</v>
      </c>
      <c r="B10901">
        <v>4008135</v>
      </c>
      <c r="C10901" t="s">
        <v>13288</v>
      </c>
      <c r="D10901" t="s">
        <v>441</v>
      </c>
      <c r="F10901">
        <v>0</v>
      </c>
      <c r="G10901">
        <v>5.63</v>
      </c>
      <c r="H10901" t="s">
        <v>8587</v>
      </c>
      <c r="I10901">
        <v>64</v>
      </c>
      <c r="J10901" t="s">
        <v>462</v>
      </c>
      <c r="K10901" t="s">
        <v>446</v>
      </c>
      <c r="M10901">
        <v>3711</v>
      </c>
    </row>
    <row r="10902" spans="1:14">
      <c r="A10902">
        <v>67162040</v>
      </c>
      <c r="B10902">
        <v>4009018</v>
      </c>
      <c r="C10902" t="s">
        <v>13289</v>
      </c>
      <c r="D10902" t="s">
        <v>441</v>
      </c>
      <c r="F10902">
        <v>0</v>
      </c>
      <c r="G10902">
        <v>5.62</v>
      </c>
      <c r="H10902" t="s">
        <v>8587</v>
      </c>
      <c r="I10902">
        <v>64</v>
      </c>
      <c r="J10902" t="s">
        <v>462</v>
      </c>
      <c r="K10902" t="s">
        <v>446</v>
      </c>
      <c r="M10902">
        <v>3711</v>
      </c>
    </row>
    <row r="10903" spans="1:14">
      <c r="A10903">
        <v>67162050</v>
      </c>
      <c r="B10903">
        <v>4015323</v>
      </c>
      <c r="C10903" t="s">
        <v>13290</v>
      </c>
      <c r="D10903" t="s">
        <v>441</v>
      </c>
      <c r="F10903">
        <v>0</v>
      </c>
      <c r="G10903">
        <v>6.2</v>
      </c>
      <c r="H10903" t="s">
        <v>8587</v>
      </c>
      <c r="I10903">
        <v>64</v>
      </c>
      <c r="J10903" t="s">
        <v>462</v>
      </c>
      <c r="K10903" t="s">
        <v>446</v>
      </c>
      <c r="M10903">
        <v>3711</v>
      </c>
      <c r="N10903" t="s">
        <v>16957</v>
      </c>
    </row>
    <row r="10904" spans="1:14">
      <c r="A10904">
        <v>67170000</v>
      </c>
      <c r="B10904">
        <v>3016691</v>
      </c>
      <c r="C10904" t="s">
        <v>13291</v>
      </c>
      <c r="D10904" t="s">
        <v>441</v>
      </c>
      <c r="F10904">
        <v>0</v>
      </c>
      <c r="G10904">
        <v>5.24</v>
      </c>
      <c r="H10904" t="s">
        <v>8580</v>
      </c>
      <c r="I10904">
        <v>28</v>
      </c>
      <c r="J10904" t="s">
        <v>445</v>
      </c>
      <c r="K10904" t="s">
        <v>446</v>
      </c>
      <c r="M10904">
        <v>3311</v>
      </c>
    </row>
    <row r="10905" spans="1:14">
      <c r="A10905">
        <v>67170008</v>
      </c>
      <c r="B10905">
        <v>3016692</v>
      </c>
      <c r="C10905" t="s">
        <v>13292</v>
      </c>
      <c r="D10905" t="s">
        <v>441</v>
      </c>
      <c r="F10905">
        <v>0</v>
      </c>
      <c r="G10905">
        <v>4.66</v>
      </c>
      <c r="H10905" t="s">
        <v>8580</v>
      </c>
      <c r="I10905">
        <v>9</v>
      </c>
      <c r="J10905" t="s">
        <v>445</v>
      </c>
      <c r="K10905" t="s">
        <v>446</v>
      </c>
      <c r="M10905">
        <v>3211</v>
      </c>
    </row>
    <row r="10906" spans="1:14">
      <c r="A10906">
        <v>67172000</v>
      </c>
      <c r="B10906">
        <v>4007928</v>
      </c>
      <c r="C10906" t="s">
        <v>13293</v>
      </c>
      <c r="D10906" t="s">
        <v>441</v>
      </c>
      <c r="F10906">
        <v>0</v>
      </c>
      <c r="G10906">
        <v>5.8</v>
      </c>
      <c r="H10906" t="s">
        <v>8587</v>
      </c>
      <c r="I10906">
        <v>40</v>
      </c>
      <c r="J10906" t="s">
        <v>462</v>
      </c>
      <c r="K10906" t="s">
        <v>446</v>
      </c>
      <c r="M10906">
        <v>3711</v>
      </c>
    </row>
    <row r="10907" spans="1:14">
      <c r="A10907">
        <v>67260000</v>
      </c>
      <c r="B10907">
        <v>3016631</v>
      </c>
      <c r="C10907" t="s">
        <v>13294</v>
      </c>
      <c r="D10907" t="s">
        <v>441</v>
      </c>
      <c r="F10907">
        <v>0</v>
      </c>
      <c r="G10907">
        <v>2.88</v>
      </c>
      <c r="H10907" t="s">
        <v>8580</v>
      </c>
      <c r="I10907">
        <v>35</v>
      </c>
      <c r="J10907" t="s">
        <v>445</v>
      </c>
      <c r="K10907" t="s">
        <v>446</v>
      </c>
      <c r="M10907">
        <v>3311</v>
      </c>
    </row>
    <row r="10908" spans="1:14">
      <c r="A10908">
        <v>67260008</v>
      </c>
      <c r="B10908">
        <v>3016632</v>
      </c>
      <c r="C10908" t="s">
        <v>13295</v>
      </c>
      <c r="D10908" t="s">
        <v>441</v>
      </c>
      <c r="F10908">
        <v>0</v>
      </c>
      <c r="G10908">
        <v>2.58</v>
      </c>
      <c r="H10908" t="s">
        <v>8580</v>
      </c>
      <c r="I10908">
        <v>9</v>
      </c>
      <c r="J10908" t="s">
        <v>445</v>
      </c>
      <c r="K10908" t="s">
        <v>446</v>
      </c>
      <c r="M10908">
        <v>3211</v>
      </c>
    </row>
    <row r="10909" spans="1:14">
      <c r="A10909">
        <v>67262000</v>
      </c>
      <c r="B10909">
        <v>4001938</v>
      </c>
      <c r="C10909" t="s">
        <v>13296</v>
      </c>
      <c r="D10909" t="s">
        <v>441</v>
      </c>
      <c r="F10909">
        <v>0</v>
      </c>
      <c r="G10909">
        <v>3.48</v>
      </c>
      <c r="H10909" t="s">
        <v>8587</v>
      </c>
      <c r="I10909">
        <v>35</v>
      </c>
      <c r="J10909" t="s">
        <v>462</v>
      </c>
      <c r="K10909" t="s">
        <v>446</v>
      </c>
      <c r="M10909">
        <v>3711</v>
      </c>
    </row>
    <row r="10910" spans="1:14">
      <c r="A10910">
        <v>67262010</v>
      </c>
      <c r="B10910">
        <v>4001939</v>
      </c>
      <c r="C10910" t="s">
        <v>13297</v>
      </c>
      <c r="D10910" t="s">
        <v>441</v>
      </c>
      <c r="F10910">
        <v>0</v>
      </c>
      <c r="G10910">
        <v>3.34</v>
      </c>
      <c r="H10910" t="s">
        <v>8587</v>
      </c>
      <c r="I10910">
        <v>35</v>
      </c>
      <c r="J10910" t="s">
        <v>462</v>
      </c>
      <c r="K10910" t="s">
        <v>446</v>
      </c>
      <c r="M10910">
        <v>3711</v>
      </c>
    </row>
    <row r="10911" spans="1:14">
      <c r="A10911">
        <v>67262070</v>
      </c>
      <c r="B10911">
        <v>4006781</v>
      </c>
      <c r="C10911" t="s">
        <v>13298</v>
      </c>
      <c r="D10911" t="s">
        <v>441</v>
      </c>
      <c r="F10911">
        <v>0</v>
      </c>
      <c r="G10911">
        <v>3.36</v>
      </c>
      <c r="H10911" t="s">
        <v>8587</v>
      </c>
      <c r="I10911">
        <v>35</v>
      </c>
      <c r="J10911" t="s">
        <v>462</v>
      </c>
      <c r="K10911" t="s">
        <v>446</v>
      </c>
      <c r="M10911">
        <v>3711</v>
      </c>
    </row>
    <row r="10912" spans="1:14">
      <c r="A10912">
        <v>67300000</v>
      </c>
      <c r="B10912">
        <v>3016633</v>
      </c>
      <c r="C10912" t="s">
        <v>13299</v>
      </c>
      <c r="D10912" t="s">
        <v>441</v>
      </c>
      <c r="F10912">
        <v>0</v>
      </c>
      <c r="G10912">
        <v>5.8</v>
      </c>
      <c r="H10912" t="s">
        <v>8580</v>
      </c>
      <c r="I10912">
        <v>35</v>
      </c>
      <c r="J10912" t="s">
        <v>445</v>
      </c>
      <c r="K10912" t="s">
        <v>446</v>
      </c>
      <c r="M10912">
        <v>3311</v>
      </c>
      <c r="N10912" t="s">
        <v>16963</v>
      </c>
    </row>
    <row r="10913" spans="1:14">
      <c r="A10913">
        <v>67300008</v>
      </c>
      <c r="B10913">
        <v>3016634</v>
      </c>
      <c r="C10913" t="s">
        <v>13300</v>
      </c>
      <c r="D10913" t="s">
        <v>441</v>
      </c>
      <c r="F10913">
        <v>0</v>
      </c>
      <c r="G10913">
        <v>5.65</v>
      </c>
      <c r="H10913" t="s">
        <v>8580</v>
      </c>
      <c r="I10913">
        <v>9</v>
      </c>
      <c r="J10913" t="s">
        <v>445</v>
      </c>
      <c r="K10913" t="s">
        <v>446</v>
      </c>
      <c r="M10913">
        <v>3211</v>
      </c>
      <c r="N10913" t="s">
        <v>16963</v>
      </c>
    </row>
    <row r="10914" spans="1:14">
      <c r="A10914">
        <v>67302000</v>
      </c>
      <c r="B10914">
        <v>4001092</v>
      </c>
      <c r="C10914" t="s">
        <v>13301</v>
      </c>
      <c r="D10914" t="s">
        <v>442</v>
      </c>
      <c r="E10914" t="s">
        <v>441</v>
      </c>
      <c r="F10914">
        <v>0.3</v>
      </c>
      <c r="G10914">
        <v>1.34</v>
      </c>
      <c r="H10914" t="s">
        <v>8587</v>
      </c>
      <c r="I10914">
        <v>35</v>
      </c>
      <c r="J10914" t="s">
        <v>462</v>
      </c>
      <c r="K10914" t="s">
        <v>446</v>
      </c>
      <c r="M10914">
        <v>3711</v>
      </c>
    </row>
    <row r="10915" spans="1:14">
      <c r="A10915">
        <v>67302010</v>
      </c>
      <c r="B10915">
        <v>4001941</v>
      </c>
      <c r="C10915" t="s">
        <v>13302</v>
      </c>
      <c r="D10915" t="s">
        <v>442</v>
      </c>
      <c r="E10915" t="s">
        <v>441</v>
      </c>
      <c r="F10915">
        <v>0.3</v>
      </c>
      <c r="G10915">
        <v>2.1</v>
      </c>
      <c r="H10915" t="s">
        <v>8587</v>
      </c>
      <c r="I10915">
        <v>35</v>
      </c>
      <c r="J10915" t="s">
        <v>462</v>
      </c>
      <c r="K10915" t="s">
        <v>446</v>
      </c>
      <c r="M10915">
        <v>3711</v>
      </c>
      <c r="N10915" t="s">
        <v>16963</v>
      </c>
    </row>
    <row r="10916" spans="1:14">
      <c r="A10916">
        <v>67302020</v>
      </c>
      <c r="B10916">
        <v>4001942</v>
      </c>
      <c r="C10916" t="s">
        <v>13303</v>
      </c>
      <c r="D10916" t="s">
        <v>442</v>
      </c>
      <c r="E10916" t="s">
        <v>441</v>
      </c>
      <c r="F10916">
        <v>0.3</v>
      </c>
      <c r="G10916">
        <v>1.43</v>
      </c>
      <c r="H10916" t="s">
        <v>8587</v>
      </c>
      <c r="I10916">
        <v>35</v>
      </c>
      <c r="J10916" t="s">
        <v>462</v>
      </c>
      <c r="K10916" t="s">
        <v>446</v>
      </c>
      <c r="M10916">
        <v>3711</v>
      </c>
    </row>
    <row r="10917" spans="1:14">
      <c r="A10917">
        <v>67302030</v>
      </c>
      <c r="B10917">
        <v>4001943</v>
      </c>
      <c r="C10917" t="s">
        <v>13304</v>
      </c>
      <c r="D10917" t="s">
        <v>442</v>
      </c>
      <c r="E10917" t="s">
        <v>441</v>
      </c>
      <c r="F10917">
        <v>0.3</v>
      </c>
      <c r="G10917">
        <v>1.25</v>
      </c>
      <c r="H10917" t="s">
        <v>8587</v>
      </c>
      <c r="I10917">
        <v>35</v>
      </c>
      <c r="J10917" t="s">
        <v>462</v>
      </c>
      <c r="K10917" t="s">
        <v>446</v>
      </c>
      <c r="M10917">
        <v>3711</v>
      </c>
    </row>
    <row r="10918" spans="1:14">
      <c r="A10918">
        <v>67302040</v>
      </c>
      <c r="B10918">
        <v>4006128</v>
      </c>
      <c r="C10918" t="s">
        <v>13305</v>
      </c>
      <c r="D10918" t="s">
        <v>442</v>
      </c>
      <c r="E10918" t="s">
        <v>441</v>
      </c>
      <c r="F10918">
        <v>0.3</v>
      </c>
      <c r="G10918">
        <v>1.34</v>
      </c>
      <c r="H10918" t="s">
        <v>8587</v>
      </c>
      <c r="I10918">
        <v>35</v>
      </c>
      <c r="J10918" t="s">
        <v>462</v>
      </c>
      <c r="K10918" t="s">
        <v>446</v>
      </c>
      <c r="M10918">
        <v>3711</v>
      </c>
    </row>
    <row r="10919" spans="1:14">
      <c r="A10919">
        <v>67302050</v>
      </c>
      <c r="B10919">
        <v>4006806</v>
      </c>
      <c r="C10919" t="s">
        <v>13306</v>
      </c>
      <c r="D10919" t="s">
        <v>442</v>
      </c>
      <c r="E10919" t="s">
        <v>441</v>
      </c>
      <c r="F10919">
        <v>0.3</v>
      </c>
      <c r="G10919">
        <v>1.31</v>
      </c>
      <c r="H10919" t="s">
        <v>8587</v>
      </c>
      <c r="I10919">
        <v>35</v>
      </c>
      <c r="J10919" t="s">
        <v>462</v>
      </c>
      <c r="K10919" t="s">
        <v>446</v>
      </c>
      <c r="M10919">
        <v>3711</v>
      </c>
    </row>
    <row r="10920" spans="1:14">
      <c r="A10920">
        <v>67302060</v>
      </c>
      <c r="B10920">
        <v>4007816</v>
      </c>
      <c r="C10920" t="s">
        <v>13307</v>
      </c>
      <c r="D10920" t="s">
        <v>442</v>
      </c>
      <c r="E10920" t="s">
        <v>441</v>
      </c>
      <c r="F10920">
        <v>0.3</v>
      </c>
      <c r="G10920">
        <v>2.13</v>
      </c>
      <c r="H10920" t="s">
        <v>8587</v>
      </c>
      <c r="I10920">
        <v>35</v>
      </c>
      <c r="J10920" t="s">
        <v>462</v>
      </c>
      <c r="K10920" t="s">
        <v>446</v>
      </c>
      <c r="M10920">
        <v>3711</v>
      </c>
      <c r="N10920" t="s">
        <v>16963</v>
      </c>
    </row>
    <row r="10921" spans="1:14">
      <c r="A10921">
        <v>67302070</v>
      </c>
      <c r="B10921">
        <v>4008841</v>
      </c>
      <c r="C10921" t="s">
        <v>13308</v>
      </c>
      <c r="D10921" t="s">
        <v>442</v>
      </c>
      <c r="E10921" t="s">
        <v>441</v>
      </c>
      <c r="F10921">
        <v>0.3</v>
      </c>
      <c r="G10921">
        <v>2.12</v>
      </c>
      <c r="H10921" t="s">
        <v>8587</v>
      </c>
      <c r="I10921">
        <v>35</v>
      </c>
      <c r="J10921" t="s">
        <v>462</v>
      </c>
      <c r="K10921" t="s">
        <v>446</v>
      </c>
      <c r="M10921">
        <v>3711</v>
      </c>
      <c r="N10921" t="s">
        <v>16963</v>
      </c>
    </row>
    <row r="10922" spans="1:14">
      <c r="A10922">
        <v>67302080</v>
      </c>
      <c r="B10922">
        <v>4009124</v>
      </c>
      <c r="C10922" t="s">
        <v>5013</v>
      </c>
      <c r="D10922" t="s">
        <v>442</v>
      </c>
      <c r="E10922" t="s">
        <v>441</v>
      </c>
      <c r="F10922">
        <v>0.3</v>
      </c>
      <c r="G10922">
        <v>2.1</v>
      </c>
      <c r="H10922" t="s">
        <v>8587</v>
      </c>
      <c r="I10922">
        <v>35</v>
      </c>
      <c r="J10922" t="s">
        <v>462</v>
      </c>
      <c r="K10922" t="s">
        <v>446</v>
      </c>
      <c r="M10922">
        <v>3711</v>
      </c>
      <c r="N10922" t="s">
        <v>16963</v>
      </c>
    </row>
    <row r="10923" spans="1:14">
      <c r="A10923">
        <v>67302090</v>
      </c>
      <c r="B10923">
        <v>4009908</v>
      </c>
      <c r="C10923" t="s">
        <v>13309</v>
      </c>
      <c r="D10923" t="s">
        <v>442</v>
      </c>
      <c r="E10923" t="s">
        <v>441</v>
      </c>
      <c r="F10923">
        <v>0.3</v>
      </c>
      <c r="G10923">
        <v>2.13</v>
      </c>
      <c r="H10923" t="s">
        <v>8587</v>
      </c>
      <c r="I10923">
        <v>35</v>
      </c>
      <c r="J10923" t="s">
        <v>462</v>
      </c>
      <c r="K10923" t="s">
        <v>446</v>
      </c>
      <c r="L10923" t="s">
        <v>13310</v>
      </c>
      <c r="M10923">
        <v>3711</v>
      </c>
      <c r="N10923" t="s">
        <v>16963</v>
      </c>
    </row>
    <row r="10924" spans="1:14">
      <c r="A10924">
        <v>67310000</v>
      </c>
      <c r="B10924">
        <v>3016635</v>
      </c>
      <c r="C10924" t="s">
        <v>13311</v>
      </c>
      <c r="D10924" t="s">
        <v>441</v>
      </c>
      <c r="F10924">
        <v>0</v>
      </c>
      <c r="G10924">
        <v>3.26</v>
      </c>
      <c r="H10924" t="s">
        <v>8580</v>
      </c>
      <c r="I10924">
        <v>35</v>
      </c>
      <c r="J10924" t="s">
        <v>445</v>
      </c>
      <c r="K10924" t="s">
        <v>446</v>
      </c>
      <c r="M10924">
        <v>3311</v>
      </c>
    </row>
    <row r="10925" spans="1:14">
      <c r="A10925">
        <v>67310008</v>
      </c>
      <c r="B10925">
        <v>3016636</v>
      </c>
      <c r="C10925" t="s">
        <v>13312</v>
      </c>
      <c r="D10925" t="s">
        <v>441</v>
      </c>
      <c r="F10925">
        <v>0</v>
      </c>
      <c r="G10925">
        <v>3.11</v>
      </c>
      <c r="H10925" t="s">
        <v>8580</v>
      </c>
      <c r="I10925">
        <v>9</v>
      </c>
      <c r="J10925" t="s">
        <v>445</v>
      </c>
      <c r="K10925" t="s">
        <v>446</v>
      </c>
      <c r="M10925">
        <v>3211</v>
      </c>
    </row>
    <row r="10926" spans="1:14">
      <c r="A10926">
        <v>67312000</v>
      </c>
      <c r="B10926">
        <v>4006048</v>
      </c>
      <c r="C10926" t="s">
        <v>13313</v>
      </c>
      <c r="D10926" t="s">
        <v>441</v>
      </c>
      <c r="F10926">
        <v>0</v>
      </c>
      <c r="G10926">
        <v>3.55</v>
      </c>
      <c r="H10926" t="s">
        <v>8587</v>
      </c>
      <c r="I10926">
        <v>35</v>
      </c>
      <c r="J10926" t="s">
        <v>462</v>
      </c>
      <c r="K10926" t="s">
        <v>446</v>
      </c>
      <c r="M10926">
        <v>3711</v>
      </c>
    </row>
    <row r="10927" spans="1:14">
      <c r="A10927">
        <v>67312010</v>
      </c>
      <c r="B10927">
        <v>4006445</v>
      </c>
      <c r="C10927" t="s">
        <v>13314</v>
      </c>
      <c r="D10927" t="s">
        <v>441</v>
      </c>
      <c r="F10927">
        <v>0</v>
      </c>
      <c r="G10927">
        <v>3.92</v>
      </c>
      <c r="H10927" t="s">
        <v>8587</v>
      </c>
      <c r="I10927">
        <v>35</v>
      </c>
      <c r="J10927" t="s">
        <v>462</v>
      </c>
      <c r="K10927" t="s">
        <v>446</v>
      </c>
      <c r="M10927">
        <v>3711</v>
      </c>
    </row>
    <row r="10928" spans="1:14">
      <c r="A10928">
        <v>67312020</v>
      </c>
      <c r="B10928">
        <v>4006551</v>
      </c>
      <c r="C10928" t="s">
        <v>13315</v>
      </c>
      <c r="D10928" t="s">
        <v>441</v>
      </c>
      <c r="F10928">
        <v>0</v>
      </c>
      <c r="G10928">
        <v>3.49</v>
      </c>
      <c r="H10928" t="s">
        <v>8587</v>
      </c>
      <c r="I10928">
        <v>35</v>
      </c>
      <c r="J10928" t="s">
        <v>462</v>
      </c>
      <c r="K10928" t="s">
        <v>446</v>
      </c>
      <c r="M10928">
        <v>3711</v>
      </c>
    </row>
    <row r="10929" spans="1:14">
      <c r="A10929">
        <v>67312030</v>
      </c>
      <c r="B10929">
        <v>4007347</v>
      </c>
      <c r="C10929" t="s">
        <v>13316</v>
      </c>
      <c r="D10929" t="s">
        <v>441</v>
      </c>
      <c r="F10929">
        <v>0</v>
      </c>
      <c r="G10929">
        <v>3.53</v>
      </c>
      <c r="H10929" t="s">
        <v>8587</v>
      </c>
      <c r="I10929">
        <v>35</v>
      </c>
      <c r="J10929" t="s">
        <v>462</v>
      </c>
      <c r="K10929" t="s">
        <v>446</v>
      </c>
      <c r="M10929">
        <v>3711</v>
      </c>
    </row>
    <row r="10930" spans="1:14">
      <c r="A10930">
        <v>67312040</v>
      </c>
      <c r="B10930">
        <v>4009643</v>
      </c>
      <c r="C10930" t="s">
        <v>5014</v>
      </c>
      <c r="D10930" t="s">
        <v>441</v>
      </c>
      <c r="F10930">
        <v>0</v>
      </c>
      <c r="G10930">
        <v>3.42</v>
      </c>
      <c r="H10930" t="s">
        <v>8587</v>
      </c>
      <c r="I10930">
        <v>35</v>
      </c>
      <c r="J10930" t="s">
        <v>462</v>
      </c>
      <c r="K10930" t="s">
        <v>446</v>
      </c>
      <c r="M10930">
        <v>3711</v>
      </c>
    </row>
    <row r="10931" spans="1:14">
      <c r="A10931">
        <v>67312050</v>
      </c>
      <c r="B10931">
        <v>4010672</v>
      </c>
      <c r="C10931" t="s">
        <v>13317</v>
      </c>
      <c r="D10931" t="s">
        <v>442</v>
      </c>
      <c r="E10931" t="s">
        <v>441</v>
      </c>
      <c r="F10931">
        <v>0.8</v>
      </c>
      <c r="G10931">
        <v>3.25</v>
      </c>
      <c r="H10931" t="s">
        <v>8587</v>
      </c>
      <c r="I10931">
        <v>35</v>
      </c>
      <c r="J10931" t="s">
        <v>462</v>
      </c>
      <c r="K10931" t="s">
        <v>446</v>
      </c>
      <c r="M10931">
        <v>3711</v>
      </c>
    </row>
    <row r="10932" spans="1:14">
      <c r="A10932">
        <v>67320000</v>
      </c>
      <c r="B10932">
        <v>3016753</v>
      </c>
      <c r="C10932" t="s">
        <v>13318</v>
      </c>
      <c r="D10932" t="s">
        <v>441</v>
      </c>
      <c r="F10932">
        <v>0</v>
      </c>
      <c r="G10932">
        <v>3.72</v>
      </c>
      <c r="H10932" t="s">
        <v>8580</v>
      </c>
      <c r="I10932">
        <v>28</v>
      </c>
      <c r="J10932" t="s">
        <v>445</v>
      </c>
      <c r="K10932" t="s">
        <v>446</v>
      </c>
      <c r="M10932">
        <v>3312</v>
      </c>
    </row>
    <row r="10933" spans="1:14">
      <c r="A10933">
        <v>67320008</v>
      </c>
      <c r="B10933">
        <v>3016756</v>
      </c>
      <c r="C10933" t="s">
        <v>13319</v>
      </c>
      <c r="D10933" t="s">
        <v>441</v>
      </c>
      <c r="F10933">
        <v>0</v>
      </c>
      <c r="G10933">
        <v>3.44</v>
      </c>
      <c r="H10933" t="s">
        <v>8580</v>
      </c>
      <c r="I10933">
        <v>5</v>
      </c>
      <c r="J10933" t="s">
        <v>445</v>
      </c>
      <c r="K10933" t="s">
        <v>446</v>
      </c>
      <c r="M10933">
        <v>3211</v>
      </c>
    </row>
    <row r="10934" spans="1:14">
      <c r="A10934">
        <v>67322000</v>
      </c>
      <c r="B10934">
        <v>4009255</v>
      </c>
      <c r="C10934" t="s">
        <v>13320</v>
      </c>
      <c r="D10934" t="s">
        <v>442</v>
      </c>
      <c r="E10934" t="s">
        <v>441</v>
      </c>
      <c r="F10934">
        <v>0.14000000000000001</v>
      </c>
      <c r="G10934">
        <v>0.72</v>
      </c>
      <c r="H10934" t="s">
        <v>8587</v>
      </c>
      <c r="I10934">
        <v>35</v>
      </c>
      <c r="J10934" t="s">
        <v>462</v>
      </c>
      <c r="K10934" t="s">
        <v>446</v>
      </c>
      <c r="M10934">
        <v>3711</v>
      </c>
    </row>
    <row r="10935" spans="1:14">
      <c r="A10935">
        <v>67322010</v>
      </c>
      <c r="B10935">
        <v>4009642</v>
      </c>
      <c r="C10935" t="s">
        <v>13321</v>
      </c>
      <c r="D10935" t="s">
        <v>442</v>
      </c>
      <c r="E10935" t="s">
        <v>441</v>
      </c>
      <c r="F10935">
        <v>0.14000000000000001</v>
      </c>
      <c r="G10935">
        <v>0.76</v>
      </c>
      <c r="H10935" t="s">
        <v>8587</v>
      </c>
      <c r="I10935">
        <v>35</v>
      </c>
      <c r="J10935" t="s">
        <v>462</v>
      </c>
      <c r="K10935" t="s">
        <v>446</v>
      </c>
      <c r="M10935">
        <v>3711</v>
      </c>
    </row>
    <row r="10936" spans="1:14">
      <c r="A10936">
        <v>67670000</v>
      </c>
      <c r="B10936">
        <v>3016637</v>
      </c>
      <c r="C10936" t="s">
        <v>17638</v>
      </c>
      <c r="D10936" t="s">
        <v>441</v>
      </c>
      <c r="F10936">
        <v>0</v>
      </c>
      <c r="G10936">
        <v>6.14</v>
      </c>
      <c r="H10936" t="s">
        <v>8580</v>
      </c>
      <c r="I10936">
        <v>4</v>
      </c>
      <c r="J10936" t="s">
        <v>445</v>
      </c>
      <c r="K10936" t="s">
        <v>446</v>
      </c>
      <c r="M10936">
        <v>3349</v>
      </c>
      <c r="N10936" t="s">
        <v>16964</v>
      </c>
    </row>
    <row r="10937" spans="1:14">
      <c r="A10937">
        <v>67670008</v>
      </c>
      <c r="B10937">
        <v>3016638</v>
      </c>
      <c r="C10937" t="s">
        <v>17639</v>
      </c>
      <c r="D10937" t="s">
        <v>441</v>
      </c>
      <c r="F10937">
        <v>0</v>
      </c>
      <c r="G10937">
        <v>5.8</v>
      </c>
      <c r="H10937" t="s">
        <v>8580</v>
      </c>
      <c r="I10937">
        <v>9</v>
      </c>
      <c r="J10937" t="s">
        <v>445</v>
      </c>
      <c r="K10937" t="s">
        <v>446</v>
      </c>
      <c r="M10937">
        <v>6666</v>
      </c>
      <c r="N10937" t="s">
        <v>16965</v>
      </c>
    </row>
    <row r="10938" spans="1:14">
      <c r="A10938">
        <v>67674110</v>
      </c>
      <c r="B10938">
        <v>4001093</v>
      </c>
      <c r="C10938" t="s">
        <v>13322</v>
      </c>
      <c r="D10938" t="s">
        <v>442</v>
      </c>
      <c r="E10938" t="s">
        <v>441</v>
      </c>
      <c r="F10938">
        <v>0.3</v>
      </c>
      <c r="G10938">
        <v>1.76</v>
      </c>
      <c r="H10938" t="s">
        <v>8587</v>
      </c>
      <c r="I10938">
        <v>26</v>
      </c>
      <c r="J10938" t="s">
        <v>462</v>
      </c>
      <c r="K10938" t="s">
        <v>446</v>
      </c>
      <c r="M10938">
        <v>3711</v>
      </c>
      <c r="N10938" t="s">
        <v>16966</v>
      </c>
    </row>
    <row r="10939" spans="1:14">
      <c r="A10939">
        <v>67674210</v>
      </c>
      <c r="B10939">
        <v>4004336</v>
      </c>
      <c r="C10939" t="s">
        <v>13323</v>
      </c>
      <c r="D10939" t="s">
        <v>441</v>
      </c>
      <c r="F10939">
        <v>0</v>
      </c>
      <c r="G10939">
        <v>4.34</v>
      </c>
      <c r="H10939" t="s">
        <v>8587</v>
      </c>
      <c r="I10939">
        <v>22</v>
      </c>
      <c r="J10939" t="s">
        <v>462</v>
      </c>
      <c r="K10939" t="s">
        <v>446</v>
      </c>
      <c r="M10939">
        <v>3711</v>
      </c>
    </row>
    <row r="10940" spans="1:14">
      <c r="A10940">
        <v>67674220</v>
      </c>
      <c r="B10940">
        <v>4004337</v>
      </c>
      <c r="C10940" t="s">
        <v>13324</v>
      </c>
      <c r="D10940" t="s">
        <v>442</v>
      </c>
      <c r="E10940" t="s">
        <v>441</v>
      </c>
      <c r="F10940">
        <v>0.6</v>
      </c>
      <c r="G10940">
        <v>2.87</v>
      </c>
      <c r="H10940" t="s">
        <v>8587</v>
      </c>
      <c r="I10940">
        <v>22</v>
      </c>
      <c r="J10940" t="s">
        <v>462</v>
      </c>
      <c r="K10940" t="s">
        <v>446</v>
      </c>
      <c r="M10940">
        <v>3711</v>
      </c>
    </row>
    <row r="10941" spans="1:14">
      <c r="A10941">
        <v>67674230</v>
      </c>
      <c r="B10941">
        <v>4010840</v>
      </c>
      <c r="C10941" t="s">
        <v>13325</v>
      </c>
      <c r="D10941" t="s">
        <v>442</v>
      </c>
      <c r="E10941" t="s">
        <v>441</v>
      </c>
      <c r="F10941">
        <v>0.6</v>
      </c>
      <c r="G10941">
        <v>2.42</v>
      </c>
      <c r="H10941" t="s">
        <v>8587</v>
      </c>
      <c r="I10941">
        <v>22</v>
      </c>
      <c r="J10941" t="s">
        <v>462</v>
      </c>
      <c r="K10941" t="s">
        <v>446</v>
      </c>
      <c r="M10941">
        <v>3711</v>
      </c>
    </row>
    <row r="10942" spans="1:14">
      <c r="A10942">
        <v>67674240</v>
      </c>
      <c r="B10942">
        <v>4001094</v>
      </c>
      <c r="C10942" t="s">
        <v>17640</v>
      </c>
      <c r="D10942" t="s">
        <v>442</v>
      </c>
      <c r="E10942" t="s">
        <v>441</v>
      </c>
      <c r="F10942">
        <v>0.6</v>
      </c>
      <c r="G10942">
        <v>5.04</v>
      </c>
      <c r="H10942" t="s">
        <v>8587</v>
      </c>
      <c r="I10942">
        <v>26</v>
      </c>
      <c r="J10942" t="s">
        <v>462</v>
      </c>
      <c r="L10942" t="s">
        <v>13326</v>
      </c>
      <c r="M10942">
        <v>7108</v>
      </c>
      <c r="N10942" t="s">
        <v>16967</v>
      </c>
    </row>
    <row r="10943" spans="1:14">
      <c r="A10943">
        <v>67674250</v>
      </c>
      <c r="B10943">
        <v>4004338</v>
      </c>
      <c r="C10943" t="s">
        <v>13327</v>
      </c>
      <c r="D10943" t="s">
        <v>441</v>
      </c>
      <c r="F10943">
        <v>0</v>
      </c>
      <c r="G10943">
        <v>4.92</v>
      </c>
      <c r="H10943" t="s">
        <v>8587</v>
      </c>
      <c r="I10943">
        <v>26</v>
      </c>
      <c r="J10943" t="s">
        <v>462</v>
      </c>
      <c r="K10943" t="s">
        <v>446</v>
      </c>
      <c r="M10943">
        <v>3711</v>
      </c>
      <c r="N10943" t="s">
        <v>16966</v>
      </c>
    </row>
    <row r="10944" spans="1:14">
      <c r="A10944">
        <v>67674260</v>
      </c>
      <c r="B10944">
        <v>4001095</v>
      </c>
      <c r="C10944" t="s">
        <v>13328</v>
      </c>
      <c r="D10944" t="s">
        <v>442</v>
      </c>
      <c r="E10944" t="s">
        <v>441</v>
      </c>
      <c r="F10944">
        <v>0.6</v>
      </c>
      <c r="G10944">
        <v>3.05</v>
      </c>
      <c r="H10944" t="s">
        <v>8587</v>
      </c>
      <c r="I10944">
        <v>26</v>
      </c>
      <c r="J10944" t="s">
        <v>462</v>
      </c>
      <c r="K10944" t="s">
        <v>446</v>
      </c>
      <c r="L10944" t="s">
        <v>13329</v>
      </c>
      <c r="M10944">
        <v>3711</v>
      </c>
      <c r="N10944" t="s">
        <v>16966</v>
      </c>
    </row>
    <row r="10945" spans="1:14">
      <c r="A10945">
        <v>67674280</v>
      </c>
      <c r="B10945">
        <v>4004340</v>
      </c>
      <c r="C10945" t="s">
        <v>17641</v>
      </c>
      <c r="D10945" t="s">
        <v>442</v>
      </c>
      <c r="E10945" t="s">
        <v>441</v>
      </c>
      <c r="F10945">
        <v>0.6</v>
      </c>
      <c r="G10945">
        <v>5.32</v>
      </c>
      <c r="H10945" t="s">
        <v>8587</v>
      </c>
      <c r="I10945">
        <v>26</v>
      </c>
      <c r="J10945" t="s">
        <v>462</v>
      </c>
      <c r="L10945" t="s">
        <v>13326</v>
      </c>
      <c r="M10945">
        <v>7108</v>
      </c>
      <c r="N10945" t="s">
        <v>16967</v>
      </c>
    </row>
    <row r="10946" spans="1:14">
      <c r="A10946">
        <v>67674290</v>
      </c>
      <c r="B10946">
        <v>4006753</v>
      </c>
      <c r="C10946" t="s">
        <v>13330</v>
      </c>
      <c r="D10946" t="s">
        <v>441</v>
      </c>
      <c r="F10946">
        <v>0</v>
      </c>
      <c r="G10946">
        <v>4.8600000000000003</v>
      </c>
      <c r="H10946" t="s">
        <v>8587</v>
      </c>
      <c r="I10946">
        <v>26</v>
      </c>
      <c r="J10946" t="s">
        <v>462</v>
      </c>
      <c r="K10946" t="s">
        <v>446</v>
      </c>
      <c r="M10946">
        <v>3711</v>
      </c>
      <c r="N10946" t="s">
        <v>16966</v>
      </c>
    </row>
    <row r="10947" spans="1:14">
      <c r="A10947">
        <v>67675110</v>
      </c>
      <c r="B10947">
        <v>4004341</v>
      </c>
      <c r="C10947" t="s">
        <v>13331</v>
      </c>
      <c r="D10947" t="s">
        <v>442</v>
      </c>
      <c r="E10947" t="s">
        <v>441</v>
      </c>
      <c r="F10947">
        <v>0.3</v>
      </c>
      <c r="G10947">
        <v>1.75</v>
      </c>
      <c r="H10947" t="s">
        <v>8587</v>
      </c>
      <c r="I10947">
        <v>22</v>
      </c>
      <c r="J10947" t="s">
        <v>462</v>
      </c>
      <c r="K10947" t="s">
        <v>446</v>
      </c>
      <c r="M10947">
        <v>3711</v>
      </c>
    </row>
    <row r="10948" spans="1:14">
      <c r="A10948">
        <v>67676210</v>
      </c>
      <c r="B10948">
        <v>4007421</v>
      </c>
      <c r="C10948" t="s">
        <v>13332</v>
      </c>
      <c r="D10948" t="s">
        <v>441</v>
      </c>
      <c r="F10948">
        <v>0</v>
      </c>
      <c r="G10948">
        <v>3.81</v>
      </c>
      <c r="H10948" t="s">
        <v>8587</v>
      </c>
      <c r="I10948">
        <v>22</v>
      </c>
      <c r="J10948" t="s">
        <v>462</v>
      </c>
      <c r="K10948" t="s">
        <v>446</v>
      </c>
      <c r="M10948">
        <v>3711</v>
      </c>
    </row>
    <row r="10949" spans="1:14">
      <c r="A10949">
        <v>67676220</v>
      </c>
      <c r="B10949">
        <v>4008581</v>
      </c>
      <c r="C10949" t="s">
        <v>13333</v>
      </c>
      <c r="D10949" t="s">
        <v>442</v>
      </c>
      <c r="E10949" t="s">
        <v>441</v>
      </c>
      <c r="F10949">
        <v>0.6</v>
      </c>
      <c r="G10949">
        <v>2.56</v>
      </c>
      <c r="H10949" t="s">
        <v>8587</v>
      </c>
      <c r="I10949">
        <v>23</v>
      </c>
      <c r="J10949" t="s">
        <v>462</v>
      </c>
      <c r="K10949" t="s">
        <v>446</v>
      </c>
      <c r="M10949">
        <v>3711</v>
      </c>
    </row>
    <row r="10950" spans="1:14">
      <c r="A10950">
        <v>67676230</v>
      </c>
      <c r="B10950">
        <v>4012280</v>
      </c>
      <c r="C10950" t="s">
        <v>13334</v>
      </c>
      <c r="D10950" t="s">
        <v>442</v>
      </c>
      <c r="E10950" t="s">
        <v>441</v>
      </c>
      <c r="F10950">
        <v>0.48</v>
      </c>
      <c r="G10950">
        <v>3.68</v>
      </c>
      <c r="H10950" t="s">
        <v>8587</v>
      </c>
      <c r="I10950">
        <v>26</v>
      </c>
      <c r="J10950" t="s">
        <v>462</v>
      </c>
      <c r="K10950" t="s">
        <v>446</v>
      </c>
      <c r="L10950" t="s">
        <v>13335</v>
      </c>
      <c r="M10950">
        <v>7108</v>
      </c>
      <c r="N10950" t="s">
        <v>16967</v>
      </c>
    </row>
    <row r="10951" spans="1:14">
      <c r="A10951">
        <v>67676240</v>
      </c>
      <c r="B10951">
        <v>4012580</v>
      </c>
      <c r="C10951" t="s">
        <v>13336</v>
      </c>
      <c r="D10951" t="s">
        <v>442</v>
      </c>
      <c r="E10951" t="s">
        <v>441</v>
      </c>
      <c r="F10951">
        <v>0.6</v>
      </c>
      <c r="G10951">
        <v>3.1</v>
      </c>
      <c r="H10951" t="s">
        <v>8587</v>
      </c>
      <c r="I10951">
        <v>26</v>
      </c>
      <c r="J10951" t="s">
        <v>462</v>
      </c>
      <c r="K10951" t="s">
        <v>446</v>
      </c>
      <c r="M10951">
        <v>3711</v>
      </c>
      <c r="N10951" t="s">
        <v>16966</v>
      </c>
    </row>
    <row r="10952" spans="1:14">
      <c r="A10952">
        <v>67676250</v>
      </c>
      <c r="B10952">
        <v>4012751</v>
      </c>
      <c r="C10952" t="s">
        <v>13337</v>
      </c>
      <c r="D10952" t="s">
        <v>441</v>
      </c>
      <c r="F10952">
        <v>0</v>
      </c>
      <c r="G10952">
        <v>5.3</v>
      </c>
      <c r="H10952" t="s">
        <v>8587</v>
      </c>
      <c r="I10952">
        <v>26</v>
      </c>
      <c r="J10952" t="s">
        <v>462</v>
      </c>
      <c r="K10952" t="s">
        <v>446</v>
      </c>
      <c r="M10952">
        <v>3711</v>
      </c>
      <c r="N10952" t="s">
        <v>16744</v>
      </c>
    </row>
    <row r="10953" spans="1:14">
      <c r="A10953">
        <v>67680000</v>
      </c>
      <c r="B10953">
        <v>3024252</v>
      </c>
      <c r="C10953" t="s">
        <v>13338</v>
      </c>
      <c r="D10953" t="s">
        <v>441</v>
      </c>
      <c r="F10953">
        <v>0</v>
      </c>
      <c r="G10953">
        <v>3.81</v>
      </c>
      <c r="I10953">
        <v>6</v>
      </c>
      <c r="J10953" t="s">
        <v>445</v>
      </c>
      <c r="K10953" t="s">
        <v>446</v>
      </c>
      <c r="M10953">
        <v>3311</v>
      </c>
      <c r="N10953" t="s">
        <v>16744</v>
      </c>
    </row>
    <row r="10954" spans="1:14">
      <c r="A10954">
        <v>67680008</v>
      </c>
      <c r="B10954">
        <v>3024251</v>
      </c>
      <c r="C10954" t="s">
        <v>13339</v>
      </c>
      <c r="D10954" t="s">
        <v>441</v>
      </c>
      <c r="F10954">
        <v>0</v>
      </c>
      <c r="G10954">
        <v>3.59</v>
      </c>
      <c r="I10954">
        <v>9</v>
      </c>
      <c r="J10954" t="s">
        <v>445</v>
      </c>
      <c r="K10954" t="s">
        <v>446</v>
      </c>
      <c r="M10954">
        <v>3211</v>
      </c>
      <c r="N10954" t="s">
        <v>16968</v>
      </c>
    </row>
    <row r="10955" spans="1:14">
      <c r="A10955">
        <v>67684210</v>
      </c>
      <c r="B10955">
        <v>4016090</v>
      </c>
      <c r="C10955" t="s">
        <v>13340</v>
      </c>
      <c r="D10955" t="s">
        <v>442</v>
      </c>
      <c r="E10955" t="s">
        <v>441</v>
      </c>
      <c r="F10955">
        <v>0.6</v>
      </c>
      <c r="G10955">
        <v>2.75</v>
      </c>
      <c r="H10955" t="s">
        <v>8587</v>
      </c>
      <c r="I10955">
        <v>23</v>
      </c>
      <c r="J10955" t="s">
        <v>462</v>
      </c>
      <c r="K10955" t="s">
        <v>446</v>
      </c>
      <c r="M10955">
        <v>3711</v>
      </c>
    </row>
    <row r="10956" spans="1:14">
      <c r="A10956">
        <v>67684220</v>
      </c>
      <c r="B10956">
        <v>4016314</v>
      </c>
      <c r="C10956" t="s">
        <v>13341</v>
      </c>
      <c r="D10956" t="s">
        <v>442</v>
      </c>
      <c r="E10956" t="s">
        <v>441</v>
      </c>
      <c r="F10956">
        <v>0.6</v>
      </c>
      <c r="G10956">
        <v>2.71</v>
      </c>
      <c r="H10956" t="s">
        <v>8587</v>
      </c>
      <c r="I10956">
        <v>23</v>
      </c>
      <c r="J10956" t="s">
        <v>462</v>
      </c>
      <c r="K10956" t="s">
        <v>446</v>
      </c>
      <c r="M10956">
        <v>3711</v>
      </c>
    </row>
    <row r="10957" spans="1:14">
      <c r="A10957">
        <v>67684230</v>
      </c>
      <c r="B10957">
        <v>4017677</v>
      </c>
      <c r="C10957" t="s">
        <v>13342</v>
      </c>
      <c r="D10957" t="s">
        <v>442</v>
      </c>
      <c r="E10957" t="s">
        <v>441</v>
      </c>
      <c r="F10957">
        <v>0.6</v>
      </c>
      <c r="G10957">
        <v>3.41</v>
      </c>
      <c r="H10957" t="s">
        <v>8587</v>
      </c>
      <c r="I10957">
        <v>23</v>
      </c>
      <c r="J10957" t="s">
        <v>462</v>
      </c>
      <c r="K10957" t="s">
        <v>446</v>
      </c>
      <c r="L10957" t="s">
        <v>13343</v>
      </c>
      <c r="M10957">
        <v>0</v>
      </c>
      <c r="N10957" t="s">
        <v>16968</v>
      </c>
    </row>
    <row r="10958" spans="1:14">
      <c r="A10958">
        <v>68040000</v>
      </c>
      <c r="B10958">
        <v>3016639</v>
      </c>
      <c r="C10958" t="s">
        <v>5015</v>
      </c>
      <c r="D10958" t="s">
        <v>441</v>
      </c>
      <c r="F10958">
        <v>0</v>
      </c>
      <c r="G10958">
        <v>8.2799999999999994</v>
      </c>
      <c r="H10958" t="s">
        <v>8580</v>
      </c>
      <c r="I10958">
        <v>64</v>
      </c>
      <c r="J10958" t="s">
        <v>445</v>
      </c>
      <c r="K10958" t="s">
        <v>446</v>
      </c>
      <c r="M10958">
        <v>3311</v>
      </c>
    </row>
    <row r="10959" spans="1:14">
      <c r="A10959">
        <v>68040008</v>
      </c>
      <c r="B10959">
        <v>3016640</v>
      </c>
      <c r="C10959" t="s">
        <v>13344</v>
      </c>
      <c r="D10959" t="s">
        <v>441</v>
      </c>
      <c r="F10959">
        <v>0</v>
      </c>
      <c r="G10959">
        <v>7.61</v>
      </c>
      <c r="H10959" t="s">
        <v>8580</v>
      </c>
      <c r="I10959">
        <v>9</v>
      </c>
      <c r="J10959" t="s">
        <v>445</v>
      </c>
      <c r="K10959" t="s">
        <v>446</v>
      </c>
      <c r="M10959">
        <v>3211</v>
      </c>
    </row>
    <row r="10960" spans="1:14">
      <c r="A10960">
        <v>68042000</v>
      </c>
      <c r="B10960">
        <v>4001096</v>
      </c>
      <c r="C10960" t="s">
        <v>13345</v>
      </c>
      <c r="D10960" t="s">
        <v>441</v>
      </c>
      <c r="F10960">
        <v>0</v>
      </c>
      <c r="G10960">
        <v>8.82</v>
      </c>
      <c r="H10960" t="s">
        <v>8922</v>
      </c>
      <c r="I10960">
        <v>64</v>
      </c>
      <c r="J10960" t="s">
        <v>462</v>
      </c>
      <c r="K10960" t="s">
        <v>446</v>
      </c>
      <c r="M10960">
        <v>3711</v>
      </c>
    </row>
    <row r="10961" spans="1:13">
      <c r="A10961">
        <v>68042030</v>
      </c>
      <c r="B10961">
        <v>4004342</v>
      </c>
      <c r="C10961" t="s">
        <v>13346</v>
      </c>
      <c r="D10961" t="s">
        <v>441</v>
      </c>
      <c r="F10961">
        <v>0</v>
      </c>
      <c r="G10961">
        <v>9.7100000000000009</v>
      </c>
      <c r="H10961" t="s">
        <v>8587</v>
      </c>
      <c r="I10961">
        <v>64</v>
      </c>
      <c r="J10961" t="s">
        <v>462</v>
      </c>
      <c r="K10961" t="s">
        <v>446</v>
      </c>
      <c r="M10961">
        <v>3711</v>
      </c>
    </row>
    <row r="10962" spans="1:13">
      <c r="A10962">
        <v>68042033</v>
      </c>
      <c r="B10962">
        <v>4008344</v>
      </c>
      <c r="C10962" t="s">
        <v>5016</v>
      </c>
      <c r="D10962" t="s">
        <v>441</v>
      </c>
      <c r="F10962">
        <v>0</v>
      </c>
      <c r="G10962">
        <v>8.75</v>
      </c>
      <c r="H10962" t="s">
        <v>8587</v>
      </c>
      <c r="I10962">
        <v>64</v>
      </c>
      <c r="J10962" t="s">
        <v>462</v>
      </c>
      <c r="K10962" t="s">
        <v>446</v>
      </c>
      <c r="M10962">
        <v>3711</v>
      </c>
    </row>
    <row r="10963" spans="1:13">
      <c r="A10963">
        <v>68042040</v>
      </c>
      <c r="B10963">
        <v>4004343</v>
      </c>
      <c r="C10963" t="s">
        <v>5017</v>
      </c>
      <c r="D10963" t="s">
        <v>441</v>
      </c>
      <c r="F10963">
        <v>0</v>
      </c>
      <c r="G10963">
        <v>8.7200000000000006</v>
      </c>
      <c r="H10963" t="s">
        <v>8587</v>
      </c>
      <c r="I10963">
        <v>64</v>
      </c>
      <c r="J10963" t="s">
        <v>462</v>
      </c>
      <c r="K10963" t="s">
        <v>446</v>
      </c>
      <c r="M10963">
        <v>3731</v>
      </c>
    </row>
    <row r="10964" spans="1:13">
      <c r="A10964">
        <v>68042080</v>
      </c>
      <c r="B10964">
        <v>4004344</v>
      </c>
      <c r="C10964" t="s">
        <v>13347</v>
      </c>
      <c r="D10964" t="s">
        <v>441</v>
      </c>
      <c r="F10964">
        <v>0</v>
      </c>
      <c r="G10964">
        <v>9.15</v>
      </c>
      <c r="H10964" t="s">
        <v>8587</v>
      </c>
      <c r="I10964">
        <v>64</v>
      </c>
      <c r="J10964" t="s">
        <v>462</v>
      </c>
      <c r="K10964" t="s">
        <v>446</v>
      </c>
      <c r="M10964">
        <v>3711</v>
      </c>
    </row>
    <row r="10965" spans="1:13">
      <c r="A10965">
        <v>68050000</v>
      </c>
      <c r="B10965">
        <v>3018562</v>
      </c>
      <c r="C10965" t="s">
        <v>5018</v>
      </c>
      <c r="D10965" t="s">
        <v>441</v>
      </c>
      <c r="F10965">
        <v>0</v>
      </c>
      <c r="G10965">
        <v>8</v>
      </c>
      <c r="H10965" t="s">
        <v>8580</v>
      </c>
      <c r="I10965">
        <v>64</v>
      </c>
      <c r="J10965" t="s">
        <v>445</v>
      </c>
      <c r="K10965" t="s">
        <v>446</v>
      </c>
      <c r="M10965">
        <v>3311</v>
      </c>
    </row>
    <row r="10966" spans="1:13">
      <c r="A10966">
        <v>68050008</v>
      </c>
      <c r="B10966">
        <v>3018561</v>
      </c>
      <c r="C10966" t="s">
        <v>5019</v>
      </c>
      <c r="D10966" t="s">
        <v>441</v>
      </c>
      <c r="F10966">
        <v>0</v>
      </c>
      <c r="G10966">
        <v>7.33</v>
      </c>
      <c r="I10966">
        <v>4</v>
      </c>
      <c r="J10966" t="s">
        <v>445</v>
      </c>
      <c r="K10966" t="s">
        <v>446</v>
      </c>
      <c r="M10966">
        <v>3211</v>
      </c>
    </row>
    <row r="10967" spans="1:13">
      <c r="A10967">
        <v>68052000</v>
      </c>
      <c r="B10967">
        <v>4012876</v>
      </c>
      <c r="C10967" t="s">
        <v>5020</v>
      </c>
      <c r="D10967" t="s">
        <v>441</v>
      </c>
      <c r="F10967">
        <v>0</v>
      </c>
      <c r="G10967">
        <v>9.3699999999999992</v>
      </c>
      <c r="H10967" t="s">
        <v>8587</v>
      </c>
      <c r="I10967">
        <v>64</v>
      </c>
      <c r="J10967" t="s">
        <v>462</v>
      </c>
      <c r="K10967" t="s">
        <v>446</v>
      </c>
      <c r="M10967">
        <v>3731</v>
      </c>
    </row>
    <row r="10968" spans="1:13">
      <c r="A10968">
        <v>68072000</v>
      </c>
      <c r="B10968">
        <v>4004345</v>
      </c>
      <c r="C10968" t="s">
        <v>5021</v>
      </c>
      <c r="D10968" t="s">
        <v>441</v>
      </c>
      <c r="F10968">
        <v>0</v>
      </c>
      <c r="G10968">
        <v>9.85</v>
      </c>
      <c r="H10968" t="s">
        <v>8587</v>
      </c>
      <c r="I10968">
        <v>30</v>
      </c>
      <c r="J10968" t="s">
        <v>462</v>
      </c>
      <c r="K10968" t="s">
        <v>446</v>
      </c>
      <c r="M10968">
        <v>3711</v>
      </c>
    </row>
    <row r="10969" spans="1:13">
      <c r="A10969">
        <v>68072020</v>
      </c>
      <c r="B10969">
        <v>4008542</v>
      </c>
      <c r="C10969" t="s">
        <v>5022</v>
      </c>
      <c r="D10969" t="s">
        <v>441</v>
      </c>
      <c r="F10969">
        <v>0</v>
      </c>
      <c r="G10969">
        <v>9.8000000000000007</v>
      </c>
      <c r="H10969" t="s">
        <v>8587</v>
      </c>
      <c r="I10969">
        <v>30</v>
      </c>
      <c r="J10969" t="s">
        <v>462</v>
      </c>
      <c r="K10969" t="s">
        <v>446</v>
      </c>
      <c r="M10969">
        <v>3711</v>
      </c>
    </row>
    <row r="10970" spans="1:13">
      <c r="A10970">
        <v>68100000</v>
      </c>
      <c r="B10970">
        <v>3016641</v>
      </c>
      <c r="C10970" t="s">
        <v>13348</v>
      </c>
      <c r="D10970" t="s">
        <v>441</v>
      </c>
      <c r="F10970">
        <v>0</v>
      </c>
      <c r="G10970">
        <v>8.23</v>
      </c>
      <c r="H10970" t="s">
        <v>8580</v>
      </c>
      <c r="I10970">
        <v>64</v>
      </c>
      <c r="J10970" t="s">
        <v>445</v>
      </c>
      <c r="K10970" t="s">
        <v>446</v>
      </c>
      <c r="M10970">
        <v>3311</v>
      </c>
    </row>
    <row r="10971" spans="1:13">
      <c r="A10971">
        <v>68100008</v>
      </c>
      <c r="B10971">
        <v>3016642</v>
      </c>
      <c r="C10971" t="s">
        <v>13349</v>
      </c>
      <c r="D10971" t="s">
        <v>441</v>
      </c>
      <c r="F10971">
        <v>0</v>
      </c>
      <c r="G10971">
        <v>7.58</v>
      </c>
      <c r="H10971" t="s">
        <v>8580</v>
      </c>
      <c r="I10971">
        <v>9</v>
      </c>
      <c r="J10971" t="s">
        <v>445</v>
      </c>
      <c r="K10971" t="s">
        <v>446</v>
      </c>
      <c r="M10971">
        <v>3211</v>
      </c>
    </row>
    <row r="10972" spans="1:13">
      <c r="A10972">
        <v>68102000</v>
      </c>
      <c r="B10972">
        <v>4001097</v>
      </c>
      <c r="C10972" t="s">
        <v>5023</v>
      </c>
      <c r="D10972" t="s">
        <v>441</v>
      </c>
      <c r="F10972">
        <v>0</v>
      </c>
      <c r="G10972">
        <v>8.4</v>
      </c>
      <c r="H10972" t="s">
        <v>8587</v>
      </c>
      <c r="I10972">
        <v>64</v>
      </c>
      <c r="J10972" t="s">
        <v>462</v>
      </c>
      <c r="K10972" t="s">
        <v>446</v>
      </c>
      <c r="M10972">
        <v>3711</v>
      </c>
    </row>
    <row r="10973" spans="1:13">
      <c r="A10973">
        <v>68102010</v>
      </c>
      <c r="B10973">
        <v>4006251</v>
      </c>
      <c r="C10973" t="s">
        <v>5024</v>
      </c>
      <c r="D10973" t="s">
        <v>441</v>
      </c>
      <c r="F10973">
        <v>0</v>
      </c>
      <c r="G10973">
        <v>8.9499999999999993</v>
      </c>
      <c r="H10973" t="s">
        <v>8587</v>
      </c>
      <c r="I10973">
        <v>64</v>
      </c>
      <c r="J10973" t="s">
        <v>462</v>
      </c>
      <c r="K10973" t="s">
        <v>446</v>
      </c>
      <c r="M10973">
        <v>3711</v>
      </c>
    </row>
    <row r="10974" spans="1:13">
      <c r="A10974">
        <v>68102020</v>
      </c>
      <c r="B10974">
        <v>4004348</v>
      </c>
      <c r="C10974" t="s">
        <v>5025</v>
      </c>
      <c r="D10974" t="s">
        <v>441</v>
      </c>
      <c r="F10974">
        <v>0</v>
      </c>
      <c r="G10974">
        <v>8.4</v>
      </c>
      <c r="H10974" t="s">
        <v>8587</v>
      </c>
      <c r="I10974">
        <v>64</v>
      </c>
      <c r="J10974" t="s">
        <v>462</v>
      </c>
      <c r="K10974" t="s">
        <v>446</v>
      </c>
      <c r="M10974">
        <v>3711</v>
      </c>
    </row>
    <row r="10975" spans="1:13">
      <c r="A10975">
        <v>68102030</v>
      </c>
      <c r="B10975">
        <v>4004349</v>
      </c>
      <c r="C10975" t="s">
        <v>13350</v>
      </c>
      <c r="D10975" t="s">
        <v>441</v>
      </c>
      <c r="F10975">
        <v>0</v>
      </c>
      <c r="G10975">
        <v>8.34</v>
      </c>
      <c r="H10975" t="s">
        <v>8587</v>
      </c>
      <c r="I10975">
        <v>64</v>
      </c>
      <c r="J10975" t="s">
        <v>462</v>
      </c>
      <c r="K10975" t="s">
        <v>446</v>
      </c>
      <c r="M10975">
        <v>3711</v>
      </c>
    </row>
    <row r="10976" spans="1:13">
      <c r="A10976">
        <v>68102040</v>
      </c>
      <c r="B10976">
        <v>4001098</v>
      </c>
      <c r="C10976" t="s">
        <v>13351</v>
      </c>
      <c r="D10976" t="s">
        <v>441</v>
      </c>
      <c r="F10976">
        <v>0</v>
      </c>
      <c r="G10976">
        <v>8.4</v>
      </c>
      <c r="H10976" t="s">
        <v>8587</v>
      </c>
      <c r="I10976">
        <v>64</v>
      </c>
      <c r="J10976" t="s">
        <v>462</v>
      </c>
      <c r="K10976" t="s">
        <v>446</v>
      </c>
      <c r="M10976">
        <v>3711</v>
      </c>
    </row>
    <row r="10977" spans="1:13">
      <c r="A10977">
        <v>68102060</v>
      </c>
      <c r="B10977">
        <v>4004350</v>
      </c>
      <c r="C10977" t="s">
        <v>13352</v>
      </c>
      <c r="D10977" t="s">
        <v>441</v>
      </c>
      <c r="F10977">
        <v>0</v>
      </c>
      <c r="G10977">
        <v>7.66</v>
      </c>
      <c r="H10977" t="s">
        <v>8587</v>
      </c>
      <c r="I10977">
        <v>64</v>
      </c>
      <c r="J10977" t="s">
        <v>462</v>
      </c>
      <c r="K10977" t="s">
        <v>446</v>
      </c>
      <c r="M10977">
        <v>3711</v>
      </c>
    </row>
    <row r="10978" spans="1:13">
      <c r="A10978">
        <v>68102080</v>
      </c>
      <c r="B10978">
        <v>4005487</v>
      </c>
      <c r="C10978" t="s">
        <v>13353</v>
      </c>
      <c r="D10978" t="s">
        <v>441</v>
      </c>
      <c r="F10978">
        <v>0</v>
      </c>
      <c r="G10978">
        <v>8.73</v>
      </c>
      <c r="H10978" t="s">
        <v>8587</v>
      </c>
      <c r="I10978">
        <v>64</v>
      </c>
      <c r="J10978" t="s">
        <v>462</v>
      </c>
      <c r="K10978" t="s">
        <v>446</v>
      </c>
      <c r="M10978">
        <v>3711</v>
      </c>
    </row>
    <row r="10979" spans="1:13">
      <c r="A10979">
        <v>68102090</v>
      </c>
      <c r="B10979">
        <v>4008098</v>
      </c>
      <c r="C10979" t="s">
        <v>13354</v>
      </c>
      <c r="D10979" t="s">
        <v>441</v>
      </c>
      <c r="F10979">
        <v>0</v>
      </c>
      <c r="G10979">
        <v>8.8800000000000008</v>
      </c>
      <c r="H10979" t="s">
        <v>8587</v>
      </c>
      <c r="I10979">
        <v>64</v>
      </c>
      <c r="J10979" t="s">
        <v>462</v>
      </c>
      <c r="K10979" t="s">
        <v>446</v>
      </c>
      <c r="M10979">
        <v>3711</v>
      </c>
    </row>
    <row r="10980" spans="1:13">
      <c r="A10980">
        <v>68102410</v>
      </c>
      <c r="B10980">
        <v>4008361</v>
      </c>
      <c r="C10980" t="s">
        <v>13355</v>
      </c>
      <c r="D10980" t="s">
        <v>441</v>
      </c>
      <c r="F10980">
        <v>0</v>
      </c>
      <c r="G10980">
        <v>8.92</v>
      </c>
      <c r="H10980" t="s">
        <v>8587</v>
      </c>
      <c r="I10980">
        <v>64</v>
      </c>
      <c r="J10980" t="s">
        <v>462</v>
      </c>
      <c r="K10980" t="s">
        <v>446</v>
      </c>
      <c r="M10980">
        <v>3711</v>
      </c>
    </row>
    <row r="10981" spans="1:13">
      <c r="A10981">
        <v>68102420</v>
      </c>
      <c r="B10981">
        <v>4008966</v>
      </c>
      <c r="C10981" t="s">
        <v>5026</v>
      </c>
      <c r="D10981" t="s">
        <v>441</v>
      </c>
      <c r="F10981">
        <v>0</v>
      </c>
      <c r="G10981">
        <v>8.86</v>
      </c>
      <c r="H10981" t="s">
        <v>8587</v>
      </c>
      <c r="I10981">
        <v>64</v>
      </c>
      <c r="J10981" t="s">
        <v>462</v>
      </c>
      <c r="K10981" t="s">
        <v>446</v>
      </c>
      <c r="M10981">
        <v>3731</v>
      </c>
    </row>
    <row r="10982" spans="1:13">
      <c r="A10982">
        <v>68110000</v>
      </c>
      <c r="B10982">
        <v>3016747</v>
      </c>
      <c r="C10982" t="s">
        <v>13356</v>
      </c>
      <c r="D10982" t="s">
        <v>441</v>
      </c>
      <c r="F10982">
        <v>0</v>
      </c>
      <c r="G10982">
        <v>8.34</v>
      </c>
      <c r="H10982" t="s">
        <v>8580</v>
      </c>
      <c r="I10982">
        <v>64</v>
      </c>
      <c r="J10982" t="s">
        <v>445</v>
      </c>
      <c r="K10982" t="s">
        <v>446</v>
      </c>
      <c r="M10982">
        <v>3311</v>
      </c>
    </row>
    <row r="10983" spans="1:13">
      <c r="A10983">
        <v>68110008</v>
      </c>
      <c r="B10983">
        <v>3013432</v>
      </c>
      <c r="C10983" t="s">
        <v>13357</v>
      </c>
      <c r="D10983" t="s">
        <v>441</v>
      </c>
      <c r="F10983">
        <v>0</v>
      </c>
      <c r="G10983">
        <v>7.75</v>
      </c>
      <c r="I10983">
        <v>2</v>
      </c>
      <c r="J10983" t="s">
        <v>445</v>
      </c>
      <c r="K10983" t="s">
        <v>446</v>
      </c>
      <c r="M10983">
        <v>3211</v>
      </c>
    </row>
    <row r="10984" spans="1:13">
      <c r="A10984">
        <v>68112010</v>
      </c>
      <c r="B10984">
        <v>4009109</v>
      </c>
      <c r="C10984" t="s">
        <v>5027</v>
      </c>
      <c r="D10984" t="s">
        <v>441</v>
      </c>
      <c r="F10984">
        <v>0</v>
      </c>
      <c r="G10984">
        <v>8.84</v>
      </c>
      <c r="H10984" t="s">
        <v>8587</v>
      </c>
      <c r="I10984">
        <v>64</v>
      </c>
      <c r="J10984" t="s">
        <v>462</v>
      </c>
      <c r="K10984" t="s">
        <v>446</v>
      </c>
      <c r="M10984">
        <v>3711</v>
      </c>
    </row>
    <row r="10985" spans="1:13">
      <c r="A10985">
        <v>68130000</v>
      </c>
      <c r="B10985">
        <v>3016643</v>
      </c>
      <c r="C10985" t="s">
        <v>13358</v>
      </c>
      <c r="D10985" t="s">
        <v>441</v>
      </c>
      <c r="F10985">
        <v>0</v>
      </c>
      <c r="G10985">
        <v>8.39</v>
      </c>
      <c r="H10985" t="s">
        <v>8580</v>
      </c>
      <c r="I10985">
        <v>64</v>
      </c>
      <c r="J10985" t="s">
        <v>445</v>
      </c>
      <c r="K10985" t="s">
        <v>446</v>
      </c>
      <c r="M10985">
        <v>3311</v>
      </c>
    </row>
    <row r="10986" spans="1:13">
      <c r="A10986">
        <v>68130008</v>
      </c>
      <c r="B10986">
        <v>3016698</v>
      </c>
      <c r="C10986" t="s">
        <v>13359</v>
      </c>
      <c r="D10986" t="s">
        <v>441</v>
      </c>
      <c r="F10986">
        <v>0</v>
      </c>
      <c r="G10986">
        <v>7.63</v>
      </c>
      <c r="H10986" t="s">
        <v>8580</v>
      </c>
      <c r="I10986">
        <v>9</v>
      </c>
      <c r="J10986" t="s">
        <v>445</v>
      </c>
      <c r="K10986" t="s">
        <v>446</v>
      </c>
      <c r="M10986">
        <v>3211</v>
      </c>
    </row>
    <row r="10987" spans="1:13">
      <c r="A10987">
        <v>68132000</v>
      </c>
      <c r="B10987">
        <v>4004353</v>
      </c>
      <c r="C10987" t="s">
        <v>5028</v>
      </c>
      <c r="D10987" t="s">
        <v>441</v>
      </c>
      <c r="F10987">
        <v>0</v>
      </c>
      <c r="G10987">
        <v>8.56</v>
      </c>
      <c r="H10987" t="s">
        <v>8587</v>
      </c>
      <c r="I10987">
        <v>64</v>
      </c>
      <c r="J10987" t="s">
        <v>462</v>
      </c>
      <c r="K10987" t="s">
        <v>446</v>
      </c>
      <c r="M10987">
        <v>3711</v>
      </c>
    </row>
    <row r="10988" spans="1:13">
      <c r="A10988">
        <v>68140000</v>
      </c>
      <c r="B10988">
        <v>3016644</v>
      </c>
      <c r="C10988" t="s">
        <v>13360</v>
      </c>
      <c r="D10988" t="s">
        <v>441</v>
      </c>
      <c r="F10988">
        <v>0</v>
      </c>
      <c r="G10988">
        <v>8.6199999999999992</v>
      </c>
      <c r="H10988" t="s">
        <v>8580</v>
      </c>
      <c r="I10988">
        <v>64</v>
      </c>
      <c r="J10988" t="s">
        <v>445</v>
      </c>
      <c r="K10988" t="s">
        <v>446</v>
      </c>
      <c r="M10988">
        <v>3311</v>
      </c>
    </row>
    <row r="10989" spans="1:13">
      <c r="A10989">
        <v>68140008</v>
      </c>
      <c r="B10989">
        <v>3016645</v>
      </c>
      <c r="C10989" t="s">
        <v>13361</v>
      </c>
      <c r="D10989" t="s">
        <v>441</v>
      </c>
      <c r="F10989">
        <v>0</v>
      </c>
      <c r="G10989">
        <v>8.07</v>
      </c>
      <c r="H10989" t="s">
        <v>8584</v>
      </c>
      <c r="I10989">
        <v>9</v>
      </c>
      <c r="J10989" t="s">
        <v>445</v>
      </c>
      <c r="K10989" t="s">
        <v>446</v>
      </c>
      <c r="M10989">
        <v>3211</v>
      </c>
    </row>
    <row r="10990" spans="1:13">
      <c r="A10990">
        <v>68142010</v>
      </c>
      <c r="B10990">
        <v>4004354</v>
      </c>
      <c r="C10990" t="s">
        <v>5029</v>
      </c>
      <c r="D10990" t="s">
        <v>442</v>
      </c>
      <c r="E10990" t="s">
        <v>441</v>
      </c>
      <c r="F10990">
        <v>0.5</v>
      </c>
      <c r="G10990">
        <v>4.7699999999999996</v>
      </c>
      <c r="H10990" t="s">
        <v>8587</v>
      </c>
      <c r="I10990">
        <v>64</v>
      </c>
      <c r="J10990" t="s">
        <v>462</v>
      </c>
      <c r="K10990" t="s">
        <v>446</v>
      </c>
      <c r="L10990" t="s">
        <v>13362</v>
      </c>
      <c r="M10990">
        <v>3711</v>
      </c>
    </row>
    <row r="10991" spans="1:13">
      <c r="A10991">
        <v>68142030</v>
      </c>
      <c r="B10991">
        <v>4001099</v>
      </c>
      <c r="C10991" t="s">
        <v>13363</v>
      </c>
      <c r="D10991" t="s">
        <v>442</v>
      </c>
      <c r="E10991" t="s">
        <v>441</v>
      </c>
      <c r="F10991">
        <v>0.5</v>
      </c>
      <c r="G10991">
        <v>4.8</v>
      </c>
      <c r="H10991" t="s">
        <v>8922</v>
      </c>
      <c r="I10991">
        <v>64</v>
      </c>
      <c r="J10991" t="s">
        <v>462</v>
      </c>
      <c r="K10991" t="s">
        <v>446</v>
      </c>
      <c r="M10991">
        <v>3711</v>
      </c>
    </row>
    <row r="10992" spans="1:13">
      <c r="A10992">
        <v>68142040</v>
      </c>
      <c r="B10992">
        <v>4004355</v>
      </c>
      <c r="C10992" t="s">
        <v>5030</v>
      </c>
      <c r="D10992" t="s">
        <v>442</v>
      </c>
      <c r="E10992" t="s">
        <v>441</v>
      </c>
      <c r="F10992">
        <v>0.5</v>
      </c>
      <c r="G10992">
        <v>5.09</v>
      </c>
      <c r="H10992" t="s">
        <v>8587</v>
      </c>
      <c r="I10992">
        <v>64</v>
      </c>
      <c r="J10992" t="s">
        <v>462</v>
      </c>
      <c r="K10992" t="s">
        <v>446</v>
      </c>
      <c r="M10992">
        <v>3711</v>
      </c>
    </row>
    <row r="10993" spans="1:13">
      <c r="A10993">
        <v>68142060</v>
      </c>
      <c r="B10993">
        <v>4014326</v>
      </c>
      <c r="C10993" t="s">
        <v>5031</v>
      </c>
      <c r="D10993" t="s">
        <v>442</v>
      </c>
      <c r="E10993" t="s">
        <v>441</v>
      </c>
      <c r="F10993">
        <v>0.5</v>
      </c>
      <c r="G10993">
        <v>5.51</v>
      </c>
      <c r="H10993" t="s">
        <v>8587</v>
      </c>
      <c r="I10993">
        <v>64</v>
      </c>
      <c r="J10993" t="s">
        <v>462</v>
      </c>
      <c r="K10993" t="s">
        <v>446</v>
      </c>
      <c r="M10993">
        <v>3711</v>
      </c>
    </row>
    <row r="10994" spans="1:13">
      <c r="A10994">
        <v>68142070</v>
      </c>
      <c r="B10994">
        <v>4014335</v>
      </c>
      <c r="C10994" t="s">
        <v>5032</v>
      </c>
      <c r="D10994" t="s">
        <v>442</v>
      </c>
      <c r="E10994" t="s">
        <v>441</v>
      </c>
      <c r="F10994">
        <v>0.5</v>
      </c>
      <c r="G10994">
        <v>5.65</v>
      </c>
      <c r="H10994" t="s">
        <v>8587</v>
      </c>
      <c r="I10994">
        <v>64</v>
      </c>
      <c r="J10994" t="s">
        <v>462</v>
      </c>
      <c r="K10994" t="s">
        <v>446</v>
      </c>
      <c r="M10994">
        <v>3711</v>
      </c>
    </row>
    <row r="10995" spans="1:13">
      <c r="A10995">
        <v>68150000</v>
      </c>
      <c r="B10995">
        <v>3016646</v>
      </c>
      <c r="C10995" t="s">
        <v>13364</v>
      </c>
      <c r="D10995" t="s">
        <v>441</v>
      </c>
      <c r="F10995">
        <v>0</v>
      </c>
      <c r="G10995">
        <v>8.33</v>
      </c>
      <c r="I10995">
        <v>64</v>
      </c>
      <c r="J10995" t="s">
        <v>445</v>
      </c>
      <c r="K10995" t="s">
        <v>446</v>
      </c>
      <c r="M10995">
        <v>3311</v>
      </c>
    </row>
    <row r="10996" spans="1:13">
      <c r="A10996">
        <v>68150008</v>
      </c>
      <c r="B10996">
        <v>3016647</v>
      </c>
      <c r="C10996" t="s">
        <v>13365</v>
      </c>
      <c r="D10996" t="s">
        <v>441</v>
      </c>
      <c r="F10996">
        <v>0</v>
      </c>
      <c r="G10996">
        <v>7.66</v>
      </c>
      <c r="H10996" t="s">
        <v>8580</v>
      </c>
      <c r="I10996">
        <v>9</v>
      </c>
      <c r="J10996" t="s">
        <v>445</v>
      </c>
      <c r="K10996" t="s">
        <v>446</v>
      </c>
      <c r="M10996">
        <v>3211</v>
      </c>
    </row>
    <row r="10997" spans="1:13">
      <c r="A10997">
        <v>68152010</v>
      </c>
      <c r="B10997">
        <v>4001950</v>
      </c>
      <c r="C10997" t="s">
        <v>13366</v>
      </c>
      <c r="D10997" t="s">
        <v>441</v>
      </c>
      <c r="F10997">
        <v>0</v>
      </c>
      <c r="G10997">
        <v>9.0500000000000007</v>
      </c>
      <c r="H10997" t="s">
        <v>8587</v>
      </c>
      <c r="I10997">
        <v>64</v>
      </c>
      <c r="J10997" t="s">
        <v>462</v>
      </c>
      <c r="K10997" t="s">
        <v>446</v>
      </c>
      <c r="M10997">
        <v>3711</v>
      </c>
    </row>
    <row r="10998" spans="1:13">
      <c r="A10998">
        <v>68152050</v>
      </c>
      <c r="B10998">
        <v>4001954</v>
      </c>
      <c r="C10998" t="s">
        <v>13367</v>
      </c>
      <c r="D10998" t="s">
        <v>441</v>
      </c>
      <c r="F10998">
        <v>0</v>
      </c>
      <c r="G10998">
        <v>8.82</v>
      </c>
      <c r="H10998" t="s">
        <v>8587</v>
      </c>
      <c r="I10998">
        <v>64</v>
      </c>
      <c r="J10998" t="s">
        <v>462</v>
      </c>
      <c r="K10998" t="s">
        <v>446</v>
      </c>
      <c r="M10998">
        <v>3711</v>
      </c>
    </row>
    <row r="10999" spans="1:13">
      <c r="A10999">
        <v>68152060</v>
      </c>
      <c r="B10999">
        <v>4004356</v>
      </c>
      <c r="C10999" t="s">
        <v>13368</v>
      </c>
      <c r="D10999" t="s">
        <v>441</v>
      </c>
      <c r="F10999">
        <v>0</v>
      </c>
      <c r="G10999">
        <v>10.039999999999999</v>
      </c>
      <c r="H10999" t="s">
        <v>8587</v>
      </c>
      <c r="I10999">
        <v>64</v>
      </c>
      <c r="J10999" t="s">
        <v>462</v>
      </c>
      <c r="K10999" t="s">
        <v>446</v>
      </c>
      <c r="M10999">
        <v>3711</v>
      </c>
    </row>
    <row r="11000" spans="1:13">
      <c r="A11000">
        <v>68152080</v>
      </c>
      <c r="B11000">
        <v>4006158</v>
      </c>
      <c r="C11000" t="s">
        <v>13369</v>
      </c>
      <c r="D11000" t="s">
        <v>441</v>
      </c>
      <c r="F11000">
        <v>0</v>
      </c>
      <c r="G11000">
        <v>8.99</v>
      </c>
      <c r="H11000" t="s">
        <v>8587</v>
      </c>
      <c r="I11000">
        <v>64</v>
      </c>
      <c r="J11000" t="s">
        <v>462</v>
      </c>
      <c r="K11000" t="s">
        <v>446</v>
      </c>
      <c r="M11000">
        <v>3711</v>
      </c>
    </row>
    <row r="11001" spans="1:13">
      <c r="A11001">
        <v>68152090</v>
      </c>
      <c r="B11001">
        <v>4006845</v>
      </c>
      <c r="C11001" t="s">
        <v>13370</v>
      </c>
      <c r="D11001" t="s">
        <v>441</v>
      </c>
      <c r="F11001">
        <v>0</v>
      </c>
      <c r="G11001">
        <v>8.99</v>
      </c>
      <c r="H11001" t="s">
        <v>8587</v>
      </c>
      <c r="I11001">
        <v>64</v>
      </c>
      <c r="J11001" t="s">
        <v>462</v>
      </c>
      <c r="K11001" t="s">
        <v>446</v>
      </c>
      <c r="M11001">
        <v>3711</v>
      </c>
    </row>
    <row r="11002" spans="1:13">
      <c r="A11002">
        <v>68152410</v>
      </c>
      <c r="B11002">
        <v>4007416</v>
      </c>
      <c r="C11002" t="s">
        <v>13371</v>
      </c>
      <c r="D11002" t="s">
        <v>441</v>
      </c>
      <c r="F11002">
        <v>0</v>
      </c>
      <c r="G11002">
        <v>8.52</v>
      </c>
      <c r="H11002" t="s">
        <v>8587</v>
      </c>
      <c r="I11002">
        <v>64</v>
      </c>
      <c r="J11002" t="s">
        <v>462</v>
      </c>
      <c r="K11002" t="s">
        <v>446</v>
      </c>
      <c r="M11002">
        <v>3711</v>
      </c>
    </row>
    <row r="11003" spans="1:13">
      <c r="A11003">
        <v>68160000</v>
      </c>
      <c r="B11003">
        <v>3016648</v>
      </c>
      <c r="C11003" t="s">
        <v>13372</v>
      </c>
      <c r="D11003" t="s">
        <v>441</v>
      </c>
      <c r="F11003">
        <v>0</v>
      </c>
      <c r="G11003">
        <v>7.99</v>
      </c>
      <c r="H11003" t="s">
        <v>8580</v>
      </c>
      <c r="I11003">
        <v>64</v>
      </c>
      <c r="J11003" t="s">
        <v>445</v>
      </c>
      <c r="K11003" t="s">
        <v>446</v>
      </c>
      <c r="M11003">
        <v>3311</v>
      </c>
    </row>
    <row r="11004" spans="1:13">
      <c r="A11004">
        <v>68160008</v>
      </c>
      <c r="B11004">
        <v>3016649</v>
      </c>
      <c r="C11004" t="s">
        <v>13373</v>
      </c>
      <c r="D11004" t="s">
        <v>441</v>
      </c>
      <c r="F11004">
        <v>0</v>
      </c>
      <c r="G11004">
        <v>7.63</v>
      </c>
      <c r="H11004" t="s">
        <v>8580</v>
      </c>
      <c r="I11004">
        <v>9</v>
      </c>
      <c r="J11004" t="s">
        <v>445</v>
      </c>
      <c r="K11004" t="s">
        <v>446</v>
      </c>
      <c r="M11004">
        <v>3211</v>
      </c>
    </row>
    <row r="11005" spans="1:13">
      <c r="A11005">
        <v>68162000</v>
      </c>
      <c r="B11005">
        <v>4001955</v>
      </c>
      <c r="C11005" t="s">
        <v>13374</v>
      </c>
      <c r="D11005" t="s">
        <v>441</v>
      </c>
      <c r="F11005">
        <v>0</v>
      </c>
      <c r="G11005">
        <v>8.7200000000000006</v>
      </c>
      <c r="H11005" t="s">
        <v>8922</v>
      </c>
      <c r="I11005">
        <v>64</v>
      </c>
      <c r="J11005" t="s">
        <v>462</v>
      </c>
      <c r="K11005" t="s">
        <v>446</v>
      </c>
      <c r="M11005">
        <v>3711</v>
      </c>
    </row>
    <row r="11006" spans="1:13">
      <c r="A11006">
        <v>68162010</v>
      </c>
      <c r="B11006">
        <v>4009147</v>
      </c>
      <c r="C11006" t="s">
        <v>5033</v>
      </c>
      <c r="D11006" t="s">
        <v>441</v>
      </c>
      <c r="F11006">
        <v>0</v>
      </c>
      <c r="G11006">
        <v>8.66</v>
      </c>
      <c r="H11006" t="s">
        <v>8922</v>
      </c>
      <c r="I11006">
        <v>64</v>
      </c>
      <c r="J11006" t="s">
        <v>462</v>
      </c>
      <c r="K11006" t="s">
        <v>446</v>
      </c>
      <c r="M11006">
        <v>3711</v>
      </c>
    </row>
    <row r="11007" spans="1:13">
      <c r="A11007">
        <v>68162020</v>
      </c>
      <c r="B11007">
        <v>4009634</v>
      </c>
      <c r="C11007" t="s">
        <v>13375</v>
      </c>
      <c r="D11007" t="s">
        <v>441</v>
      </c>
      <c r="F11007">
        <v>0</v>
      </c>
      <c r="G11007">
        <v>8.98</v>
      </c>
      <c r="H11007" t="s">
        <v>8587</v>
      </c>
      <c r="I11007">
        <v>64</v>
      </c>
      <c r="J11007" t="s">
        <v>462</v>
      </c>
      <c r="K11007" t="s">
        <v>446</v>
      </c>
      <c r="M11007">
        <v>3711</v>
      </c>
    </row>
    <row r="11008" spans="1:13">
      <c r="A11008">
        <v>68170000</v>
      </c>
      <c r="B11008">
        <v>3016650</v>
      </c>
      <c r="C11008" t="s">
        <v>13376</v>
      </c>
      <c r="D11008" t="s">
        <v>441</v>
      </c>
      <c r="F11008">
        <v>0</v>
      </c>
      <c r="G11008">
        <v>7.54</v>
      </c>
      <c r="H11008" t="s">
        <v>8580</v>
      </c>
      <c r="I11008">
        <v>28</v>
      </c>
      <c r="J11008" t="s">
        <v>445</v>
      </c>
      <c r="K11008" t="s">
        <v>446</v>
      </c>
      <c r="M11008">
        <v>3311</v>
      </c>
    </row>
    <row r="11009" spans="1:13">
      <c r="A11009">
        <v>68170008</v>
      </c>
      <c r="B11009">
        <v>3016651</v>
      </c>
      <c r="C11009" t="s">
        <v>13377</v>
      </c>
      <c r="D11009" t="s">
        <v>441</v>
      </c>
      <c r="F11009">
        <v>0</v>
      </c>
      <c r="G11009">
        <v>7.36</v>
      </c>
      <c r="H11009" t="s">
        <v>8624</v>
      </c>
      <c r="I11009">
        <v>9</v>
      </c>
      <c r="J11009" t="s">
        <v>445</v>
      </c>
      <c r="K11009" t="s">
        <v>446</v>
      </c>
      <c r="M11009">
        <v>3211</v>
      </c>
    </row>
    <row r="11010" spans="1:13">
      <c r="A11010">
        <v>68180000</v>
      </c>
      <c r="B11010">
        <v>3017043</v>
      </c>
      <c r="C11010" t="s">
        <v>13378</v>
      </c>
      <c r="D11010" t="s">
        <v>441</v>
      </c>
      <c r="F11010">
        <v>0</v>
      </c>
      <c r="G11010">
        <v>13.3</v>
      </c>
      <c r="H11010" t="s">
        <v>10089</v>
      </c>
      <c r="I11010">
        <v>90</v>
      </c>
      <c r="J11010" t="s">
        <v>445</v>
      </c>
      <c r="M11010">
        <v>3311</v>
      </c>
    </row>
    <row r="11011" spans="1:13">
      <c r="A11011">
        <v>68180008</v>
      </c>
      <c r="B11011">
        <v>3017062</v>
      </c>
      <c r="C11011" t="s">
        <v>13379</v>
      </c>
      <c r="D11011" t="s">
        <v>441</v>
      </c>
      <c r="F11011">
        <v>0</v>
      </c>
      <c r="G11011">
        <v>10.71</v>
      </c>
      <c r="H11011" t="s">
        <v>8580</v>
      </c>
      <c r="I11011">
        <v>5</v>
      </c>
      <c r="J11011" t="s">
        <v>445</v>
      </c>
      <c r="M11011">
        <v>3211</v>
      </c>
    </row>
    <row r="11012" spans="1:13">
      <c r="A11012">
        <v>68182000</v>
      </c>
      <c r="B11012">
        <v>4011293</v>
      </c>
      <c r="C11012" t="s">
        <v>13380</v>
      </c>
      <c r="D11012" t="s">
        <v>442</v>
      </c>
      <c r="E11012" t="s">
        <v>441</v>
      </c>
      <c r="F11012">
        <v>0.55000000000000004</v>
      </c>
      <c r="G11012">
        <v>8.5299999999999994</v>
      </c>
      <c r="H11012" t="s">
        <v>8922</v>
      </c>
      <c r="I11012">
        <v>91</v>
      </c>
      <c r="J11012" t="s">
        <v>462</v>
      </c>
      <c r="K11012" t="s">
        <v>446</v>
      </c>
      <c r="L11012">
        <v>21203201</v>
      </c>
      <c r="M11012">
        <v>3731</v>
      </c>
    </row>
    <row r="11013" spans="1:13">
      <c r="A11013">
        <v>68182010</v>
      </c>
      <c r="B11013">
        <v>4011403</v>
      </c>
      <c r="C11013" t="s">
        <v>13381</v>
      </c>
      <c r="D11013" t="s">
        <v>442</v>
      </c>
      <c r="E11013" t="s">
        <v>441</v>
      </c>
      <c r="F11013">
        <v>0.55000000000000004</v>
      </c>
      <c r="G11013">
        <v>8.61</v>
      </c>
      <c r="H11013" t="s">
        <v>8922</v>
      </c>
      <c r="I11013">
        <v>91</v>
      </c>
      <c r="J11013" t="s">
        <v>462</v>
      </c>
      <c r="K11013" t="s">
        <v>446</v>
      </c>
      <c r="L11013" t="s">
        <v>13382</v>
      </c>
      <c r="M11013">
        <v>3731</v>
      </c>
    </row>
    <row r="11014" spans="1:13">
      <c r="A11014">
        <v>68190000</v>
      </c>
      <c r="B11014">
        <v>3020125</v>
      </c>
      <c r="C11014" t="s">
        <v>13383</v>
      </c>
      <c r="D11014" t="s">
        <v>441</v>
      </c>
      <c r="F11014">
        <v>0</v>
      </c>
      <c r="G11014">
        <v>19.98</v>
      </c>
      <c r="H11014" t="s">
        <v>8624</v>
      </c>
      <c r="I11014">
        <v>90</v>
      </c>
      <c r="J11014" t="s">
        <v>445</v>
      </c>
      <c r="M11014">
        <v>3311</v>
      </c>
    </row>
    <row r="11015" spans="1:13">
      <c r="A11015">
        <v>68190008</v>
      </c>
      <c r="B11015">
        <v>3020124</v>
      </c>
      <c r="C11015" t="s">
        <v>13384</v>
      </c>
      <c r="D11015" t="s">
        <v>441</v>
      </c>
      <c r="F11015">
        <v>0</v>
      </c>
      <c r="G11015">
        <v>18.46</v>
      </c>
      <c r="H11015" t="s">
        <v>8624</v>
      </c>
      <c r="I11015">
        <v>5</v>
      </c>
      <c r="J11015" t="s">
        <v>445</v>
      </c>
      <c r="M11015">
        <v>3211</v>
      </c>
    </row>
    <row r="11016" spans="1:13">
      <c r="A11016">
        <v>68192000</v>
      </c>
      <c r="B11016">
        <v>4013653</v>
      </c>
      <c r="C11016" t="s">
        <v>13385</v>
      </c>
      <c r="D11016" t="s">
        <v>442</v>
      </c>
      <c r="E11016" t="s">
        <v>441</v>
      </c>
      <c r="F11016">
        <v>0.5</v>
      </c>
      <c r="G11016">
        <v>11.47</v>
      </c>
      <c r="H11016" t="s">
        <v>8922</v>
      </c>
      <c r="I11016">
        <v>91</v>
      </c>
      <c r="J11016" t="s">
        <v>462</v>
      </c>
      <c r="K11016" t="s">
        <v>446</v>
      </c>
      <c r="M11016">
        <v>3731</v>
      </c>
    </row>
    <row r="11017" spans="1:13">
      <c r="A11017">
        <v>68192010</v>
      </c>
      <c r="B11017">
        <v>4013941</v>
      </c>
      <c r="C11017" t="s">
        <v>13386</v>
      </c>
      <c r="D11017" t="s">
        <v>442</v>
      </c>
      <c r="E11017" t="s">
        <v>441</v>
      </c>
      <c r="F11017">
        <v>0.5</v>
      </c>
      <c r="G11017">
        <v>11.4</v>
      </c>
      <c r="H11017" t="s">
        <v>8922</v>
      </c>
      <c r="I11017">
        <v>91</v>
      </c>
      <c r="J11017" t="s">
        <v>462</v>
      </c>
      <c r="K11017" t="s">
        <v>446</v>
      </c>
      <c r="M11017">
        <v>3731</v>
      </c>
    </row>
    <row r="11018" spans="1:13">
      <c r="A11018">
        <v>68200000</v>
      </c>
      <c r="B11018">
        <v>3020128</v>
      </c>
      <c r="C11018" t="s">
        <v>13387</v>
      </c>
      <c r="D11018" t="s">
        <v>441</v>
      </c>
      <c r="F11018">
        <v>0</v>
      </c>
      <c r="G11018">
        <v>15.1</v>
      </c>
      <c r="H11018" t="s">
        <v>8624</v>
      </c>
      <c r="I11018">
        <v>45</v>
      </c>
      <c r="J11018" t="s">
        <v>445</v>
      </c>
      <c r="M11018">
        <v>3311</v>
      </c>
    </row>
    <row r="11019" spans="1:13">
      <c r="A11019">
        <v>68200008</v>
      </c>
      <c r="B11019">
        <v>3020129</v>
      </c>
      <c r="C11019" t="s">
        <v>13388</v>
      </c>
      <c r="D11019" t="s">
        <v>441</v>
      </c>
      <c r="F11019">
        <v>0</v>
      </c>
      <c r="G11019">
        <v>13.55</v>
      </c>
      <c r="H11019" t="s">
        <v>8624</v>
      </c>
      <c r="I11019">
        <v>5</v>
      </c>
      <c r="J11019" t="s">
        <v>445</v>
      </c>
      <c r="M11019">
        <v>3211</v>
      </c>
    </row>
    <row r="11020" spans="1:13">
      <c r="A11020">
        <v>68202000</v>
      </c>
      <c r="B11020">
        <v>4013656</v>
      </c>
      <c r="C11020" t="s">
        <v>13389</v>
      </c>
      <c r="D11020" t="s">
        <v>442</v>
      </c>
      <c r="E11020" t="s">
        <v>441</v>
      </c>
      <c r="F11020">
        <v>0.55000000000000004</v>
      </c>
      <c r="G11020">
        <v>9.73</v>
      </c>
      <c r="H11020" t="s">
        <v>8922</v>
      </c>
      <c r="I11020">
        <v>45</v>
      </c>
      <c r="J11020" t="s">
        <v>462</v>
      </c>
      <c r="K11020" t="s">
        <v>446</v>
      </c>
      <c r="M11020">
        <v>3731</v>
      </c>
    </row>
    <row r="11021" spans="1:13">
      <c r="A11021">
        <v>68210000</v>
      </c>
      <c r="B11021">
        <v>3020946</v>
      </c>
      <c r="C11021" t="s">
        <v>5034</v>
      </c>
      <c r="D11021" t="s">
        <v>441</v>
      </c>
      <c r="F11021">
        <v>0</v>
      </c>
      <c r="G11021">
        <v>15.04</v>
      </c>
      <c r="H11021" t="s">
        <v>8583</v>
      </c>
      <c r="I11021">
        <v>35</v>
      </c>
      <c r="J11021" t="s">
        <v>445</v>
      </c>
      <c r="M11021">
        <v>3311</v>
      </c>
    </row>
    <row r="11022" spans="1:13">
      <c r="A11022">
        <v>68210008</v>
      </c>
      <c r="B11022">
        <v>3020947</v>
      </c>
      <c r="C11022" t="s">
        <v>5035</v>
      </c>
      <c r="D11022" t="s">
        <v>441</v>
      </c>
      <c r="F11022">
        <v>0</v>
      </c>
      <c r="G11022">
        <v>12</v>
      </c>
      <c r="H11022" t="s">
        <v>8583</v>
      </c>
      <c r="I11022">
        <v>5</v>
      </c>
      <c r="J11022" t="s">
        <v>445</v>
      </c>
      <c r="M11022">
        <v>3211</v>
      </c>
    </row>
    <row r="11023" spans="1:13">
      <c r="A11023">
        <v>68210042</v>
      </c>
      <c r="B11023">
        <v>4013722</v>
      </c>
      <c r="C11023" t="s">
        <v>13390</v>
      </c>
      <c r="D11023" t="s">
        <v>442</v>
      </c>
      <c r="E11023" t="s">
        <v>441</v>
      </c>
      <c r="F11023">
        <v>0.55000000000000004</v>
      </c>
      <c r="G11023">
        <v>11.45</v>
      </c>
      <c r="H11023" t="s">
        <v>8922</v>
      </c>
      <c r="I11023">
        <v>35</v>
      </c>
      <c r="J11023" t="s">
        <v>462</v>
      </c>
      <c r="K11023" t="s">
        <v>446</v>
      </c>
      <c r="M11023">
        <v>3711</v>
      </c>
    </row>
    <row r="11024" spans="1:13">
      <c r="A11024">
        <v>68210043</v>
      </c>
      <c r="B11024">
        <v>4013868</v>
      </c>
      <c r="C11024" t="s">
        <v>5036</v>
      </c>
      <c r="D11024" t="s">
        <v>442</v>
      </c>
      <c r="E11024" t="s">
        <v>441</v>
      </c>
      <c r="F11024">
        <v>0.55000000000000004</v>
      </c>
      <c r="G11024">
        <v>11.36</v>
      </c>
      <c r="H11024" t="s">
        <v>8922</v>
      </c>
      <c r="I11024">
        <v>35</v>
      </c>
      <c r="J11024" t="s">
        <v>462</v>
      </c>
      <c r="K11024" t="s">
        <v>446</v>
      </c>
      <c r="M11024">
        <v>3711</v>
      </c>
    </row>
    <row r="11025" spans="1:14">
      <c r="A11025">
        <v>68210044</v>
      </c>
      <c r="B11025">
        <v>4014299</v>
      </c>
      <c r="C11025" t="s">
        <v>5037</v>
      </c>
      <c r="D11025" t="s">
        <v>442</v>
      </c>
      <c r="E11025" t="s">
        <v>441</v>
      </c>
      <c r="F11025">
        <v>0.55000000000000004</v>
      </c>
      <c r="G11025">
        <v>11.41</v>
      </c>
      <c r="H11025" t="s">
        <v>8922</v>
      </c>
      <c r="I11025">
        <v>35</v>
      </c>
      <c r="J11025" t="s">
        <v>462</v>
      </c>
      <c r="K11025" t="s">
        <v>446</v>
      </c>
      <c r="M11025">
        <v>3711</v>
      </c>
    </row>
    <row r="11026" spans="1:14">
      <c r="A11026">
        <v>68220000</v>
      </c>
      <c r="B11026">
        <v>3026945</v>
      </c>
      <c r="C11026" t="s">
        <v>5038</v>
      </c>
      <c r="D11026" t="s">
        <v>441</v>
      </c>
      <c r="F11026">
        <v>0</v>
      </c>
      <c r="G11026">
        <v>11.92</v>
      </c>
      <c r="H11026" t="s">
        <v>8587</v>
      </c>
      <c r="I11026">
        <v>80</v>
      </c>
      <c r="J11026" t="s">
        <v>445</v>
      </c>
      <c r="K11026" t="s">
        <v>446</v>
      </c>
      <c r="M11026">
        <v>3311</v>
      </c>
    </row>
    <row r="11027" spans="1:14">
      <c r="A11027">
        <v>68220008</v>
      </c>
      <c r="B11027">
        <v>3026958</v>
      </c>
      <c r="C11027" t="s">
        <v>5039</v>
      </c>
      <c r="D11027" t="s">
        <v>441</v>
      </c>
      <c r="F11027">
        <v>0</v>
      </c>
      <c r="G11027">
        <v>11.28</v>
      </c>
      <c r="H11027" t="s">
        <v>12664</v>
      </c>
      <c r="I11027">
        <v>5</v>
      </c>
      <c r="J11027" t="s">
        <v>445</v>
      </c>
      <c r="M11027">
        <v>3211</v>
      </c>
    </row>
    <row r="11028" spans="1:14">
      <c r="A11028">
        <v>68224210</v>
      </c>
      <c r="B11028">
        <v>4017892</v>
      </c>
      <c r="C11028" t="s">
        <v>5040</v>
      </c>
      <c r="D11028" t="s">
        <v>441</v>
      </c>
      <c r="F11028">
        <v>0</v>
      </c>
      <c r="G11028">
        <v>13.07</v>
      </c>
      <c r="H11028" t="s">
        <v>8587</v>
      </c>
      <c r="I11028">
        <v>80</v>
      </c>
      <c r="J11028" t="s">
        <v>462</v>
      </c>
      <c r="K11028" t="s">
        <v>446</v>
      </c>
      <c r="M11028">
        <v>3711</v>
      </c>
    </row>
    <row r="11029" spans="1:14">
      <c r="A11029">
        <v>68230000</v>
      </c>
      <c r="B11029">
        <v>3026946</v>
      </c>
      <c r="C11029" t="s">
        <v>5041</v>
      </c>
      <c r="D11029" t="s">
        <v>441</v>
      </c>
      <c r="F11029">
        <v>0</v>
      </c>
      <c r="G11029">
        <v>12.51</v>
      </c>
      <c r="H11029" t="s">
        <v>9888</v>
      </c>
      <c r="I11029">
        <v>80</v>
      </c>
      <c r="J11029" t="s">
        <v>445</v>
      </c>
      <c r="K11029" t="s">
        <v>446</v>
      </c>
      <c r="M11029">
        <v>3311</v>
      </c>
    </row>
    <row r="11030" spans="1:14">
      <c r="A11030">
        <v>68230008</v>
      </c>
      <c r="B11030">
        <v>3026959</v>
      </c>
      <c r="C11030" t="s">
        <v>5042</v>
      </c>
      <c r="D11030" t="s">
        <v>441</v>
      </c>
      <c r="F11030">
        <v>0</v>
      </c>
      <c r="G11030">
        <v>11.26</v>
      </c>
      <c r="H11030" t="s">
        <v>8549</v>
      </c>
      <c r="I11030">
        <v>5</v>
      </c>
      <c r="J11030" t="s">
        <v>445</v>
      </c>
      <c r="M11030">
        <v>3211</v>
      </c>
    </row>
    <row r="11031" spans="1:14">
      <c r="A11031">
        <v>68234210</v>
      </c>
      <c r="B11031">
        <v>4017890</v>
      </c>
      <c r="C11031" t="s">
        <v>5043</v>
      </c>
      <c r="D11031" t="s">
        <v>441</v>
      </c>
      <c r="F11031">
        <v>0</v>
      </c>
      <c r="G11031">
        <v>13.69</v>
      </c>
      <c r="H11031" t="s">
        <v>8587</v>
      </c>
      <c r="I11031">
        <v>80</v>
      </c>
      <c r="J11031" t="s">
        <v>462</v>
      </c>
      <c r="K11031" t="s">
        <v>446</v>
      </c>
      <c r="M11031">
        <v>3711</v>
      </c>
    </row>
    <row r="11032" spans="1:14">
      <c r="A11032">
        <v>68234220</v>
      </c>
      <c r="B11032">
        <v>4018002</v>
      </c>
      <c r="C11032" t="s">
        <v>5044</v>
      </c>
      <c r="D11032" t="s">
        <v>441</v>
      </c>
      <c r="F11032">
        <v>0</v>
      </c>
      <c r="G11032">
        <v>13.69</v>
      </c>
      <c r="H11032" t="s">
        <v>8587</v>
      </c>
      <c r="I11032">
        <v>80</v>
      </c>
      <c r="J11032" t="s">
        <v>462</v>
      </c>
      <c r="K11032" t="s">
        <v>446</v>
      </c>
      <c r="M11032">
        <v>3711</v>
      </c>
    </row>
    <row r="11033" spans="1:14">
      <c r="A11033">
        <v>68240000</v>
      </c>
      <c r="B11033">
        <v>3026983</v>
      </c>
      <c r="C11033" t="s">
        <v>5045</v>
      </c>
      <c r="D11033" t="s">
        <v>441</v>
      </c>
      <c r="F11033">
        <v>0</v>
      </c>
      <c r="G11033">
        <v>9.17</v>
      </c>
      <c r="H11033" t="s">
        <v>12573</v>
      </c>
      <c r="I11033">
        <v>80</v>
      </c>
      <c r="J11033" t="s">
        <v>445</v>
      </c>
      <c r="K11033" t="s">
        <v>446</v>
      </c>
      <c r="M11033">
        <v>3311</v>
      </c>
    </row>
    <row r="11034" spans="1:14">
      <c r="A11034">
        <v>68240008</v>
      </c>
      <c r="B11034">
        <v>3026960</v>
      </c>
      <c r="C11034" t="s">
        <v>5046</v>
      </c>
      <c r="D11034" t="s">
        <v>441</v>
      </c>
      <c r="F11034">
        <v>0</v>
      </c>
      <c r="G11034">
        <v>8.59</v>
      </c>
      <c r="H11034" t="s">
        <v>9888</v>
      </c>
      <c r="I11034">
        <v>5</v>
      </c>
      <c r="J11034" t="s">
        <v>445</v>
      </c>
      <c r="K11034" t="s">
        <v>446</v>
      </c>
      <c r="M11034">
        <v>3211</v>
      </c>
    </row>
    <row r="11035" spans="1:14">
      <c r="A11035">
        <v>68244210</v>
      </c>
      <c r="B11035">
        <v>4017891</v>
      </c>
      <c r="C11035" t="s">
        <v>5047</v>
      </c>
      <c r="D11035" t="s">
        <v>441</v>
      </c>
      <c r="F11035">
        <v>0</v>
      </c>
      <c r="G11035">
        <v>10.4</v>
      </c>
      <c r="H11035" t="s">
        <v>8587</v>
      </c>
      <c r="I11035">
        <v>80</v>
      </c>
      <c r="J11035" t="s">
        <v>462</v>
      </c>
      <c r="K11035" t="s">
        <v>446</v>
      </c>
      <c r="M11035">
        <v>3711</v>
      </c>
    </row>
    <row r="11036" spans="1:14">
      <c r="A11036">
        <v>68250000</v>
      </c>
      <c r="B11036">
        <v>3027492</v>
      </c>
      <c r="C11036" t="s">
        <v>5048</v>
      </c>
      <c r="D11036" t="s">
        <v>441</v>
      </c>
      <c r="F11036">
        <v>0</v>
      </c>
      <c r="G11036">
        <v>49.78</v>
      </c>
      <c r="H11036" t="s">
        <v>12573</v>
      </c>
      <c r="I11036">
        <v>5</v>
      </c>
      <c r="J11036" t="s">
        <v>445</v>
      </c>
      <c r="M11036">
        <v>3349</v>
      </c>
      <c r="N11036" t="s">
        <v>16969</v>
      </c>
    </row>
    <row r="11037" spans="1:14">
      <c r="A11037">
        <v>68250002</v>
      </c>
      <c r="B11037">
        <v>4018231</v>
      </c>
      <c r="C11037" t="s">
        <v>5049</v>
      </c>
      <c r="D11037" t="s">
        <v>441</v>
      </c>
      <c r="F11037">
        <v>0</v>
      </c>
      <c r="G11037">
        <v>48.61</v>
      </c>
      <c r="H11037" t="s">
        <v>8588</v>
      </c>
      <c r="I11037">
        <v>365</v>
      </c>
      <c r="J11037" t="s">
        <v>462</v>
      </c>
      <c r="K11037" t="s">
        <v>446</v>
      </c>
      <c r="M11037">
        <v>2501</v>
      </c>
      <c r="N11037" t="s">
        <v>16970</v>
      </c>
    </row>
    <row r="11038" spans="1:14">
      <c r="A11038">
        <v>68250008</v>
      </c>
      <c r="B11038">
        <v>3027455</v>
      </c>
      <c r="C11038" t="s">
        <v>5050</v>
      </c>
      <c r="D11038" t="s">
        <v>441</v>
      </c>
      <c r="F11038">
        <v>0</v>
      </c>
      <c r="G11038">
        <v>18.21</v>
      </c>
      <c r="H11038" t="s">
        <v>12573</v>
      </c>
      <c r="I11038">
        <v>5</v>
      </c>
      <c r="J11038" t="s">
        <v>445</v>
      </c>
      <c r="M11038">
        <v>6666</v>
      </c>
      <c r="N11038" t="s">
        <v>16971</v>
      </c>
    </row>
    <row r="11039" spans="1:14">
      <c r="A11039">
        <v>68250009</v>
      </c>
      <c r="B11039">
        <v>3027456</v>
      </c>
      <c r="C11039" t="s">
        <v>5051</v>
      </c>
      <c r="D11039" t="s">
        <v>441</v>
      </c>
      <c r="F11039">
        <v>0</v>
      </c>
      <c r="G11039">
        <v>14.88</v>
      </c>
      <c r="H11039" t="s">
        <v>12573</v>
      </c>
      <c r="I11039">
        <v>28</v>
      </c>
      <c r="J11039" t="s">
        <v>445</v>
      </c>
      <c r="K11039" t="s">
        <v>446</v>
      </c>
      <c r="M11039">
        <v>2615</v>
      </c>
    </row>
    <row r="11040" spans="1:14">
      <c r="A11040">
        <v>68250502</v>
      </c>
      <c r="B11040">
        <v>3027500</v>
      </c>
      <c r="C11040" t="s">
        <v>5052</v>
      </c>
      <c r="D11040" t="s">
        <v>441</v>
      </c>
      <c r="F11040">
        <v>0</v>
      </c>
      <c r="G11040">
        <v>48.34</v>
      </c>
      <c r="H11040" t="s">
        <v>8588</v>
      </c>
      <c r="I11040">
        <v>14</v>
      </c>
      <c r="J11040" t="s">
        <v>445</v>
      </c>
      <c r="M11040">
        <v>2502</v>
      </c>
      <c r="N11040" t="s">
        <v>16970</v>
      </c>
    </row>
    <row r="11041" spans="1:14">
      <c r="A11041">
        <v>68260000</v>
      </c>
      <c r="B11041">
        <v>3026578</v>
      </c>
      <c r="C11041" t="s">
        <v>5053</v>
      </c>
      <c r="D11041" t="s">
        <v>441</v>
      </c>
      <c r="F11041">
        <v>0</v>
      </c>
      <c r="G11041">
        <v>46.3</v>
      </c>
      <c r="H11041" t="s">
        <v>12573</v>
      </c>
      <c r="I11041">
        <v>5</v>
      </c>
      <c r="J11041" t="s">
        <v>445</v>
      </c>
      <c r="M11041">
        <v>3349</v>
      </c>
      <c r="N11041" t="s">
        <v>16972</v>
      </c>
    </row>
    <row r="11042" spans="1:14">
      <c r="A11042">
        <v>68260002</v>
      </c>
      <c r="B11042">
        <v>4018460</v>
      </c>
      <c r="C11042" t="s">
        <v>5054</v>
      </c>
      <c r="D11042" t="s">
        <v>441</v>
      </c>
      <c r="F11042">
        <v>0</v>
      </c>
      <c r="G11042">
        <v>52.47</v>
      </c>
      <c r="H11042" t="s">
        <v>8588</v>
      </c>
      <c r="I11042">
        <v>365</v>
      </c>
      <c r="J11042" t="s">
        <v>462</v>
      </c>
      <c r="K11042" t="s">
        <v>446</v>
      </c>
      <c r="M11042">
        <v>0</v>
      </c>
      <c r="N11042" t="s">
        <v>16973</v>
      </c>
    </row>
    <row r="11043" spans="1:14">
      <c r="A11043">
        <v>68260008</v>
      </c>
      <c r="B11043">
        <v>3026577</v>
      </c>
      <c r="C11043" t="s">
        <v>5055</v>
      </c>
      <c r="D11043" t="s">
        <v>441</v>
      </c>
      <c r="F11043">
        <v>0</v>
      </c>
      <c r="G11043">
        <v>16.88</v>
      </c>
      <c r="H11043" t="s">
        <v>12664</v>
      </c>
      <c r="I11043">
        <v>5</v>
      </c>
      <c r="J11043" t="s">
        <v>445</v>
      </c>
      <c r="M11043">
        <v>6666</v>
      </c>
      <c r="N11043" t="s">
        <v>16974</v>
      </c>
    </row>
    <row r="11044" spans="1:14">
      <c r="A11044">
        <v>68260502</v>
      </c>
      <c r="B11044">
        <v>3027775</v>
      </c>
      <c r="C11044" t="s">
        <v>5056</v>
      </c>
      <c r="D11044" t="s">
        <v>441</v>
      </c>
      <c r="F11044">
        <v>0</v>
      </c>
      <c r="G11044">
        <v>54.97</v>
      </c>
      <c r="H11044" t="s">
        <v>8588</v>
      </c>
      <c r="I11044">
        <v>14</v>
      </c>
      <c r="J11044" t="s">
        <v>445</v>
      </c>
      <c r="M11044">
        <v>2502</v>
      </c>
      <c r="N11044" t="s">
        <v>16973</v>
      </c>
    </row>
    <row r="11045" spans="1:14">
      <c r="A11045">
        <v>68270000</v>
      </c>
      <c r="B11045">
        <v>3024521</v>
      </c>
      <c r="C11045" t="s">
        <v>5057</v>
      </c>
      <c r="D11045" t="s">
        <v>441</v>
      </c>
      <c r="F11045">
        <v>0</v>
      </c>
      <c r="G11045">
        <v>11.57</v>
      </c>
      <c r="H11045" t="s">
        <v>12573</v>
      </c>
      <c r="I11045">
        <v>6</v>
      </c>
      <c r="J11045" t="s">
        <v>445</v>
      </c>
      <c r="M11045">
        <v>3349</v>
      </c>
      <c r="N11045" t="s">
        <v>16975</v>
      </c>
    </row>
    <row r="11046" spans="1:14">
      <c r="A11046">
        <v>68270008</v>
      </c>
      <c r="B11046">
        <v>3024520</v>
      </c>
      <c r="C11046" t="s">
        <v>5058</v>
      </c>
      <c r="D11046" t="s">
        <v>441</v>
      </c>
      <c r="F11046">
        <v>0</v>
      </c>
      <c r="G11046">
        <v>9.09</v>
      </c>
      <c r="H11046" t="s">
        <v>12664</v>
      </c>
      <c r="I11046">
        <v>2</v>
      </c>
      <c r="J11046" t="s">
        <v>445</v>
      </c>
      <c r="M11046">
        <v>6666</v>
      </c>
      <c r="N11046" t="s">
        <v>16976</v>
      </c>
    </row>
    <row r="11047" spans="1:14">
      <c r="A11047">
        <v>68274210</v>
      </c>
      <c r="B11047">
        <v>4019748</v>
      </c>
      <c r="C11047" t="s">
        <v>5059</v>
      </c>
      <c r="D11047" t="s">
        <v>441</v>
      </c>
      <c r="F11047">
        <v>0</v>
      </c>
      <c r="G11047">
        <v>13.03</v>
      </c>
      <c r="H11047" t="s">
        <v>8587</v>
      </c>
      <c r="I11047">
        <v>30</v>
      </c>
      <c r="J11047" t="s">
        <v>462</v>
      </c>
      <c r="K11047" t="s">
        <v>446</v>
      </c>
      <c r="M11047">
        <v>7108</v>
      </c>
      <c r="N11047" t="s">
        <v>16977</v>
      </c>
    </row>
    <row r="11048" spans="1:14">
      <c r="A11048">
        <v>68274220</v>
      </c>
      <c r="B11048">
        <v>4021127</v>
      </c>
      <c r="C11048" t="s">
        <v>14573</v>
      </c>
      <c r="D11048" t="s">
        <v>441</v>
      </c>
      <c r="F11048">
        <v>0</v>
      </c>
      <c r="G11048">
        <v>12.84</v>
      </c>
      <c r="H11048" t="s">
        <v>8587</v>
      </c>
      <c r="I11048">
        <v>30</v>
      </c>
      <c r="J11048" t="s">
        <v>462</v>
      </c>
      <c r="M11048">
        <v>7108</v>
      </c>
      <c r="N11048" t="s">
        <v>16977</v>
      </c>
    </row>
    <row r="11049" spans="1:14">
      <c r="A11049">
        <v>68280000</v>
      </c>
      <c r="B11049">
        <v>3030161</v>
      </c>
      <c r="C11049" t="s">
        <v>5060</v>
      </c>
      <c r="D11049" t="s">
        <v>441</v>
      </c>
      <c r="F11049">
        <v>0</v>
      </c>
      <c r="G11049">
        <v>46.95</v>
      </c>
      <c r="H11049" t="s">
        <v>12573</v>
      </c>
      <c r="I11049">
        <v>5</v>
      </c>
      <c r="J11049" t="s">
        <v>445</v>
      </c>
      <c r="K11049" t="s">
        <v>446</v>
      </c>
      <c r="M11049">
        <v>3311</v>
      </c>
      <c r="N11049" t="s">
        <v>16978</v>
      </c>
    </row>
    <row r="11050" spans="1:14">
      <c r="A11050">
        <v>68280002</v>
      </c>
      <c r="B11050">
        <v>4020100</v>
      </c>
      <c r="C11050" t="s">
        <v>5061</v>
      </c>
      <c r="D11050" t="s">
        <v>441</v>
      </c>
      <c r="F11050">
        <v>0</v>
      </c>
      <c r="G11050">
        <v>56.34</v>
      </c>
      <c r="H11050" t="s">
        <v>8587</v>
      </c>
      <c r="I11050">
        <v>365</v>
      </c>
      <c r="J11050" t="s">
        <v>462</v>
      </c>
      <c r="K11050" t="s">
        <v>446</v>
      </c>
      <c r="M11050">
        <v>3711</v>
      </c>
      <c r="N11050" t="s">
        <v>16978</v>
      </c>
    </row>
    <row r="11051" spans="1:14">
      <c r="A11051">
        <v>68280008</v>
      </c>
      <c r="B11051">
        <v>3030171</v>
      </c>
      <c r="C11051" t="s">
        <v>5062</v>
      </c>
      <c r="D11051" t="s">
        <v>441</v>
      </c>
      <c r="F11051">
        <v>0</v>
      </c>
      <c r="G11051">
        <v>16.649999999999999</v>
      </c>
      <c r="H11051" t="s">
        <v>12664</v>
      </c>
      <c r="I11051">
        <v>5</v>
      </c>
      <c r="J11051" t="s">
        <v>445</v>
      </c>
      <c r="K11051" t="s">
        <v>446</v>
      </c>
      <c r="M11051">
        <v>3211</v>
      </c>
      <c r="N11051" t="s">
        <v>16979</v>
      </c>
    </row>
    <row r="11052" spans="1:14">
      <c r="A11052">
        <v>68280502</v>
      </c>
      <c r="B11052">
        <v>3030173</v>
      </c>
      <c r="C11052" t="s">
        <v>5063</v>
      </c>
      <c r="D11052" t="s">
        <v>441</v>
      </c>
      <c r="F11052">
        <v>0</v>
      </c>
      <c r="G11052">
        <v>52.16</v>
      </c>
      <c r="H11052" t="s">
        <v>8588</v>
      </c>
      <c r="I11052">
        <v>14</v>
      </c>
      <c r="J11052" t="s">
        <v>445</v>
      </c>
      <c r="K11052" t="s">
        <v>446</v>
      </c>
      <c r="M11052">
        <v>3711</v>
      </c>
      <c r="N11052" t="s">
        <v>16978</v>
      </c>
    </row>
    <row r="11053" spans="1:14">
      <c r="A11053">
        <v>68290000</v>
      </c>
      <c r="B11053">
        <v>3030174</v>
      </c>
      <c r="C11053" t="s">
        <v>5064</v>
      </c>
      <c r="D11053" t="s">
        <v>441</v>
      </c>
      <c r="F11053">
        <v>0</v>
      </c>
      <c r="G11053">
        <v>40.72</v>
      </c>
      <c r="H11053" t="s">
        <v>12573</v>
      </c>
      <c r="I11053">
        <v>5</v>
      </c>
      <c r="J11053" t="s">
        <v>445</v>
      </c>
      <c r="K11053" t="s">
        <v>446</v>
      </c>
      <c r="M11053">
        <v>3311</v>
      </c>
      <c r="N11053" t="s">
        <v>16980</v>
      </c>
    </row>
    <row r="11054" spans="1:14">
      <c r="A11054">
        <v>68290002</v>
      </c>
      <c r="B11054">
        <v>4020111</v>
      </c>
      <c r="C11054" t="s">
        <v>5065</v>
      </c>
      <c r="D11054" t="s">
        <v>441</v>
      </c>
      <c r="F11054">
        <v>0</v>
      </c>
      <c r="G11054">
        <v>48.4</v>
      </c>
      <c r="H11054" t="s">
        <v>8587</v>
      </c>
      <c r="I11054">
        <v>365</v>
      </c>
      <c r="J11054" t="s">
        <v>462</v>
      </c>
      <c r="K11054" t="s">
        <v>446</v>
      </c>
      <c r="M11054">
        <v>3711</v>
      </c>
      <c r="N11054" t="s">
        <v>16980</v>
      </c>
    </row>
    <row r="11055" spans="1:14">
      <c r="A11055">
        <v>68290008</v>
      </c>
      <c r="B11055">
        <v>3030170</v>
      </c>
      <c r="C11055" t="s">
        <v>5066</v>
      </c>
      <c r="D11055" t="s">
        <v>441</v>
      </c>
      <c r="F11055">
        <v>0</v>
      </c>
      <c r="G11055">
        <v>14.28</v>
      </c>
      <c r="H11055" t="s">
        <v>12664</v>
      </c>
      <c r="I11055">
        <v>5</v>
      </c>
      <c r="J11055" t="s">
        <v>445</v>
      </c>
      <c r="K11055" t="s">
        <v>446</v>
      </c>
      <c r="M11055">
        <v>3211</v>
      </c>
      <c r="N11055" t="s">
        <v>16981</v>
      </c>
    </row>
    <row r="11056" spans="1:14">
      <c r="A11056">
        <v>68290502</v>
      </c>
      <c r="B11056">
        <v>3030175</v>
      </c>
      <c r="C11056" t="s">
        <v>5067</v>
      </c>
      <c r="D11056" t="s">
        <v>441</v>
      </c>
      <c r="F11056">
        <v>0</v>
      </c>
      <c r="G11056">
        <v>45.81</v>
      </c>
      <c r="H11056" t="s">
        <v>8588</v>
      </c>
      <c r="I11056">
        <v>14</v>
      </c>
      <c r="J11056" t="s">
        <v>445</v>
      </c>
      <c r="K11056" t="s">
        <v>446</v>
      </c>
      <c r="M11056">
        <v>3711</v>
      </c>
      <c r="N11056" t="s">
        <v>16980</v>
      </c>
    </row>
    <row r="11057" spans="1:14">
      <c r="A11057">
        <v>68300000</v>
      </c>
      <c r="B11057">
        <v>3030639</v>
      </c>
      <c r="C11057" t="s">
        <v>5068</v>
      </c>
      <c r="D11057" t="s">
        <v>441</v>
      </c>
      <c r="F11057">
        <v>0</v>
      </c>
      <c r="G11057">
        <v>13.06</v>
      </c>
      <c r="H11057" t="s">
        <v>12573</v>
      </c>
      <c r="I11057">
        <v>6</v>
      </c>
      <c r="J11057" t="s">
        <v>445</v>
      </c>
      <c r="M11057">
        <v>3349</v>
      </c>
      <c r="N11057" t="s">
        <v>16982</v>
      </c>
    </row>
    <row r="11058" spans="1:14">
      <c r="A11058">
        <v>68300008</v>
      </c>
      <c r="B11058">
        <v>3030712</v>
      </c>
      <c r="C11058" t="s">
        <v>5069</v>
      </c>
      <c r="D11058" t="s">
        <v>441</v>
      </c>
      <c r="F11058">
        <v>0</v>
      </c>
      <c r="G11058">
        <v>10.27</v>
      </c>
      <c r="H11058" t="s">
        <v>12664</v>
      </c>
      <c r="I11058">
        <v>5</v>
      </c>
      <c r="J11058" t="s">
        <v>445</v>
      </c>
      <c r="M11058">
        <v>6666</v>
      </c>
      <c r="N11058" t="s">
        <v>16983</v>
      </c>
    </row>
    <row r="11059" spans="1:14">
      <c r="A11059">
        <v>68305110</v>
      </c>
      <c r="B11059">
        <v>4020449</v>
      </c>
      <c r="C11059" t="s">
        <v>5070</v>
      </c>
      <c r="D11059" t="s">
        <v>441</v>
      </c>
      <c r="F11059">
        <v>0</v>
      </c>
      <c r="G11059">
        <v>12.39</v>
      </c>
      <c r="H11059" t="s">
        <v>8587</v>
      </c>
      <c r="I11059">
        <v>44</v>
      </c>
      <c r="J11059" t="s">
        <v>462</v>
      </c>
      <c r="M11059">
        <v>7108</v>
      </c>
      <c r="N11059" t="s">
        <v>16984</v>
      </c>
    </row>
    <row r="11060" spans="1:14">
      <c r="A11060">
        <v>68305120</v>
      </c>
      <c r="B11060">
        <v>4021222</v>
      </c>
      <c r="C11060" t="s">
        <v>5071</v>
      </c>
      <c r="D11060" t="s">
        <v>441</v>
      </c>
      <c r="F11060">
        <v>0</v>
      </c>
      <c r="G11060">
        <v>9.5299999999999994</v>
      </c>
      <c r="H11060" t="s">
        <v>8587</v>
      </c>
      <c r="I11060">
        <v>44</v>
      </c>
      <c r="J11060" t="s">
        <v>462</v>
      </c>
      <c r="K11060" t="s">
        <v>446</v>
      </c>
      <c r="M11060">
        <v>3711</v>
      </c>
      <c r="N11060" t="s">
        <v>16984</v>
      </c>
    </row>
    <row r="11061" spans="1:14">
      <c r="A11061">
        <v>68310000</v>
      </c>
      <c r="B11061">
        <v>3015580</v>
      </c>
      <c r="C11061" t="s">
        <v>157</v>
      </c>
      <c r="D11061" t="s">
        <v>441</v>
      </c>
      <c r="F11061">
        <v>0</v>
      </c>
      <c r="G11061">
        <v>7.67</v>
      </c>
      <c r="I11061">
        <v>10</v>
      </c>
      <c r="J11061" t="s">
        <v>445</v>
      </c>
      <c r="K11061" t="s">
        <v>446</v>
      </c>
      <c r="M11061">
        <v>3311</v>
      </c>
      <c r="N11061" t="s">
        <v>16985</v>
      </c>
    </row>
    <row r="11062" spans="1:14">
      <c r="A11062">
        <v>68310008</v>
      </c>
      <c r="B11062">
        <v>3015581</v>
      </c>
      <c r="C11062" t="s">
        <v>5072</v>
      </c>
      <c r="D11062" t="s">
        <v>441</v>
      </c>
      <c r="F11062">
        <v>0</v>
      </c>
      <c r="G11062">
        <v>6</v>
      </c>
      <c r="I11062">
        <v>2</v>
      </c>
      <c r="J11062" t="s">
        <v>445</v>
      </c>
      <c r="K11062" t="s">
        <v>446</v>
      </c>
      <c r="M11062">
        <v>3211</v>
      </c>
      <c r="N11062" t="s">
        <v>16986</v>
      </c>
    </row>
    <row r="11063" spans="1:14">
      <c r="A11063">
        <v>68314210</v>
      </c>
      <c r="B11063">
        <v>4020553</v>
      </c>
      <c r="C11063" t="s">
        <v>5073</v>
      </c>
      <c r="D11063" t="s">
        <v>441</v>
      </c>
      <c r="F11063">
        <v>0</v>
      </c>
      <c r="G11063">
        <v>9.26</v>
      </c>
      <c r="H11063" t="s">
        <v>8587</v>
      </c>
      <c r="I11063">
        <v>32</v>
      </c>
      <c r="J11063" t="s">
        <v>462</v>
      </c>
      <c r="K11063" t="s">
        <v>446</v>
      </c>
      <c r="M11063">
        <v>3711</v>
      </c>
      <c r="N11063" t="s">
        <v>16985</v>
      </c>
    </row>
    <row r="11064" spans="1:14">
      <c r="A11064">
        <v>68320000</v>
      </c>
      <c r="B11064">
        <v>3031601</v>
      </c>
      <c r="C11064" t="s">
        <v>5074</v>
      </c>
      <c r="D11064" t="s">
        <v>441</v>
      </c>
      <c r="F11064">
        <v>0</v>
      </c>
      <c r="G11064">
        <v>16.75</v>
      </c>
      <c r="H11064" t="s">
        <v>12573</v>
      </c>
      <c r="I11064">
        <v>6</v>
      </c>
      <c r="J11064" t="s">
        <v>445</v>
      </c>
      <c r="M11064">
        <v>3349</v>
      </c>
      <c r="N11064" t="s">
        <v>16987</v>
      </c>
    </row>
    <row r="11065" spans="1:14">
      <c r="A11065">
        <v>68320008</v>
      </c>
      <c r="B11065">
        <v>3031600</v>
      </c>
      <c r="C11065" t="s">
        <v>5075</v>
      </c>
      <c r="D11065" t="s">
        <v>441</v>
      </c>
      <c r="F11065">
        <v>0</v>
      </c>
      <c r="G11065">
        <v>13.25</v>
      </c>
      <c r="H11065" t="s">
        <v>12664</v>
      </c>
      <c r="I11065">
        <v>5</v>
      </c>
      <c r="J11065" t="s">
        <v>445</v>
      </c>
      <c r="M11065">
        <v>6666</v>
      </c>
      <c r="N11065" t="s">
        <v>16988</v>
      </c>
    </row>
    <row r="11066" spans="1:14">
      <c r="A11066">
        <v>68324110</v>
      </c>
      <c r="B11066">
        <v>4021120</v>
      </c>
      <c r="C11066" t="s">
        <v>5076</v>
      </c>
      <c r="D11066" t="s">
        <v>441</v>
      </c>
      <c r="F11066">
        <v>0</v>
      </c>
      <c r="G11066">
        <v>13.49</v>
      </c>
      <c r="H11066" t="s">
        <v>8587</v>
      </c>
      <c r="I11066">
        <v>35</v>
      </c>
      <c r="J11066" t="s">
        <v>462</v>
      </c>
      <c r="M11066">
        <v>3711</v>
      </c>
      <c r="N11066" t="s">
        <v>16989</v>
      </c>
    </row>
    <row r="11067" spans="1:14">
      <c r="A11067">
        <v>68324120</v>
      </c>
      <c r="B11067">
        <v>4024583</v>
      </c>
      <c r="C11067" t="s">
        <v>15343</v>
      </c>
      <c r="D11067" t="s">
        <v>441</v>
      </c>
      <c r="F11067">
        <v>0</v>
      </c>
      <c r="G11067">
        <v>21.32</v>
      </c>
      <c r="H11067" t="s">
        <v>8587</v>
      </c>
      <c r="I11067">
        <v>35</v>
      </c>
      <c r="J11067" t="s">
        <v>462</v>
      </c>
      <c r="K11067" t="s">
        <v>446</v>
      </c>
      <c r="M11067">
        <v>7108</v>
      </c>
      <c r="N11067" t="s">
        <v>16989</v>
      </c>
    </row>
    <row r="11068" spans="1:14">
      <c r="A11068">
        <v>68330000</v>
      </c>
      <c r="B11068">
        <v>3032709</v>
      </c>
      <c r="C11068" t="s">
        <v>5077</v>
      </c>
      <c r="D11068" t="s">
        <v>441</v>
      </c>
      <c r="F11068">
        <v>0</v>
      </c>
      <c r="G11068">
        <v>15.19</v>
      </c>
      <c r="H11068" t="s">
        <v>12573</v>
      </c>
      <c r="I11068">
        <v>6</v>
      </c>
      <c r="J11068" t="s">
        <v>445</v>
      </c>
      <c r="M11068">
        <v>3349</v>
      </c>
      <c r="N11068" t="s">
        <v>16990</v>
      </c>
    </row>
    <row r="11069" spans="1:14">
      <c r="A11069">
        <v>68330008</v>
      </c>
      <c r="B11069">
        <v>3032708</v>
      </c>
      <c r="C11069" t="s">
        <v>5078</v>
      </c>
      <c r="D11069" t="s">
        <v>441</v>
      </c>
      <c r="F11069">
        <v>0</v>
      </c>
      <c r="G11069">
        <v>12.04</v>
      </c>
      <c r="H11069" t="s">
        <v>12664</v>
      </c>
      <c r="I11069">
        <v>5</v>
      </c>
      <c r="J11069" t="s">
        <v>445</v>
      </c>
      <c r="M11069">
        <v>6666</v>
      </c>
      <c r="N11069" t="s">
        <v>16991</v>
      </c>
    </row>
    <row r="11070" spans="1:14">
      <c r="A11070">
        <v>68334110</v>
      </c>
      <c r="B11070">
        <v>4021752</v>
      </c>
      <c r="C11070" t="s">
        <v>5079</v>
      </c>
      <c r="D11070" t="s">
        <v>441</v>
      </c>
      <c r="F11070">
        <v>0</v>
      </c>
      <c r="G11070">
        <v>13.42</v>
      </c>
      <c r="H11070" t="s">
        <v>8587</v>
      </c>
      <c r="I11070">
        <v>35</v>
      </c>
      <c r="J11070" t="s">
        <v>462</v>
      </c>
      <c r="K11070" t="s">
        <v>446</v>
      </c>
      <c r="M11070">
        <v>3711</v>
      </c>
      <c r="N11070" t="s">
        <v>16992</v>
      </c>
    </row>
    <row r="11071" spans="1:14">
      <c r="A11071">
        <v>68334120</v>
      </c>
      <c r="B11071">
        <v>4022678</v>
      </c>
      <c r="C11071" t="s">
        <v>5080</v>
      </c>
      <c r="D11071" t="s">
        <v>441</v>
      </c>
      <c r="F11071">
        <v>0</v>
      </c>
      <c r="G11071">
        <v>10.69</v>
      </c>
      <c r="H11071" t="s">
        <v>8587</v>
      </c>
      <c r="I11071">
        <v>35</v>
      </c>
      <c r="J11071" t="s">
        <v>462</v>
      </c>
      <c r="K11071" t="s">
        <v>446</v>
      </c>
      <c r="M11071">
        <v>3711</v>
      </c>
      <c r="N11071" t="s">
        <v>16993</v>
      </c>
    </row>
    <row r="11072" spans="1:14">
      <c r="A11072">
        <v>68334130</v>
      </c>
      <c r="B11072">
        <v>4023152</v>
      </c>
      <c r="C11072" t="s">
        <v>5081</v>
      </c>
      <c r="D11072" t="s">
        <v>441</v>
      </c>
      <c r="F11072">
        <v>0</v>
      </c>
      <c r="G11072">
        <v>11.22</v>
      </c>
      <c r="H11072" t="s">
        <v>8587</v>
      </c>
      <c r="I11072">
        <v>35</v>
      </c>
      <c r="J11072" t="s">
        <v>462</v>
      </c>
      <c r="M11072">
        <v>7161</v>
      </c>
      <c r="N11072" t="s">
        <v>16993</v>
      </c>
    </row>
    <row r="11073" spans="1:14">
      <c r="A11073">
        <v>68334140</v>
      </c>
      <c r="B11073">
        <v>4023153</v>
      </c>
      <c r="C11073" t="s">
        <v>5082</v>
      </c>
      <c r="D11073" t="s">
        <v>441</v>
      </c>
      <c r="F11073">
        <v>0</v>
      </c>
      <c r="G11073">
        <v>11.23</v>
      </c>
      <c r="H11073" t="s">
        <v>8587</v>
      </c>
      <c r="I11073">
        <v>35</v>
      </c>
      <c r="J11073" t="s">
        <v>462</v>
      </c>
      <c r="M11073">
        <v>3711</v>
      </c>
      <c r="N11073" t="s">
        <v>16993</v>
      </c>
    </row>
    <row r="11074" spans="1:14">
      <c r="A11074">
        <v>68334150</v>
      </c>
      <c r="B11074">
        <v>4024507</v>
      </c>
      <c r="C11074" t="s">
        <v>15344</v>
      </c>
      <c r="D11074" t="s">
        <v>441</v>
      </c>
      <c r="F11074">
        <v>0</v>
      </c>
      <c r="G11074">
        <v>17.48</v>
      </c>
      <c r="H11074" t="s">
        <v>8587</v>
      </c>
      <c r="I11074">
        <v>35</v>
      </c>
      <c r="J11074" t="s">
        <v>462</v>
      </c>
      <c r="M11074">
        <v>7108</v>
      </c>
      <c r="N11074" t="s">
        <v>16993</v>
      </c>
    </row>
    <row r="11075" spans="1:14">
      <c r="A11075">
        <v>68334160</v>
      </c>
      <c r="B11075">
        <v>4026040</v>
      </c>
      <c r="C11075" t="s">
        <v>5083</v>
      </c>
      <c r="D11075" t="s">
        <v>441</v>
      </c>
      <c r="F11075">
        <v>0</v>
      </c>
      <c r="G11075">
        <v>16.14</v>
      </c>
      <c r="H11075" t="s">
        <v>8587</v>
      </c>
      <c r="I11075">
        <v>35</v>
      </c>
      <c r="J11075" t="s">
        <v>462</v>
      </c>
      <c r="L11075" t="s">
        <v>15537</v>
      </c>
      <c r="M11075">
        <v>7108</v>
      </c>
      <c r="N11075" t="s">
        <v>16993</v>
      </c>
    </row>
    <row r="11076" spans="1:14">
      <c r="A11076">
        <v>68334170</v>
      </c>
      <c r="B11076">
        <v>4027029</v>
      </c>
      <c r="C11076" t="s">
        <v>5084</v>
      </c>
      <c r="D11076" t="s">
        <v>441</v>
      </c>
      <c r="F11076">
        <v>0</v>
      </c>
      <c r="G11076">
        <v>11.85</v>
      </c>
      <c r="H11076" t="s">
        <v>8587</v>
      </c>
      <c r="I11076">
        <v>35</v>
      </c>
      <c r="J11076" t="s">
        <v>462</v>
      </c>
      <c r="M11076">
        <v>7108</v>
      </c>
      <c r="N11076" t="s">
        <v>16993</v>
      </c>
    </row>
    <row r="11077" spans="1:14">
      <c r="A11077">
        <v>68340000</v>
      </c>
      <c r="B11077">
        <v>3034722</v>
      </c>
      <c r="C11077" t="s">
        <v>160</v>
      </c>
      <c r="D11077" t="s">
        <v>441</v>
      </c>
      <c r="F11077">
        <v>0</v>
      </c>
      <c r="G11077">
        <v>14.52</v>
      </c>
      <c r="H11077" t="s">
        <v>12573</v>
      </c>
      <c r="I11077">
        <v>6</v>
      </c>
      <c r="J11077" t="s">
        <v>445</v>
      </c>
      <c r="M11077">
        <v>3349</v>
      </c>
      <c r="N11077" t="s">
        <v>16994</v>
      </c>
    </row>
    <row r="11078" spans="1:14">
      <c r="A11078">
        <v>68340008</v>
      </c>
      <c r="B11078">
        <v>3034723</v>
      </c>
      <c r="C11078" t="s">
        <v>5085</v>
      </c>
      <c r="D11078" t="s">
        <v>441</v>
      </c>
      <c r="F11078">
        <v>0</v>
      </c>
      <c r="G11078">
        <v>13.92</v>
      </c>
      <c r="H11078" t="s">
        <v>12664</v>
      </c>
      <c r="I11078">
        <v>3</v>
      </c>
      <c r="J11078" t="s">
        <v>445</v>
      </c>
      <c r="M11078">
        <v>6666</v>
      </c>
      <c r="N11078" t="s">
        <v>16995</v>
      </c>
    </row>
    <row r="11079" spans="1:14">
      <c r="A11079">
        <v>68344210</v>
      </c>
      <c r="B11079">
        <v>4023364</v>
      </c>
      <c r="C11079" t="s">
        <v>5086</v>
      </c>
      <c r="D11079" t="s">
        <v>441</v>
      </c>
      <c r="F11079">
        <v>0</v>
      </c>
      <c r="G11079">
        <v>14.48</v>
      </c>
      <c r="H11079" t="s">
        <v>8587</v>
      </c>
      <c r="I11079">
        <v>30</v>
      </c>
      <c r="J11079" t="s">
        <v>462</v>
      </c>
      <c r="K11079" t="s">
        <v>446</v>
      </c>
      <c r="M11079">
        <v>7108</v>
      </c>
      <c r="N11079" t="s">
        <v>16996</v>
      </c>
    </row>
    <row r="11080" spans="1:14">
      <c r="A11080">
        <v>68344220</v>
      </c>
      <c r="B11080">
        <v>4024184</v>
      </c>
      <c r="C11080" t="s">
        <v>13391</v>
      </c>
      <c r="D11080" t="s">
        <v>441</v>
      </c>
      <c r="F11080">
        <v>0</v>
      </c>
      <c r="G11080">
        <v>17.510000000000002</v>
      </c>
      <c r="H11080" t="s">
        <v>8587</v>
      </c>
      <c r="I11080">
        <v>30</v>
      </c>
      <c r="J11080" t="s">
        <v>462</v>
      </c>
      <c r="M11080">
        <v>7108</v>
      </c>
      <c r="N11080" t="s">
        <v>16996</v>
      </c>
    </row>
    <row r="11081" spans="1:14">
      <c r="A11081">
        <v>68344230</v>
      </c>
      <c r="B11081">
        <v>4025945</v>
      </c>
      <c r="C11081" t="s">
        <v>5087</v>
      </c>
      <c r="D11081" t="s">
        <v>441</v>
      </c>
      <c r="F11081">
        <v>0</v>
      </c>
      <c r="G11081">
        <v>18.84</v>
      </c>
      <c r="H11081" t="s">
        <v>8587</v>
      </c>
      <c r="I11081">
        <v>30</v>
      </c>
      <c r="J11081" t="s">
        <v>462</v>
      </c>
      <c r="M11081">
        <v>7108</v>
      </c>
      <c r="N11081" t="s">
        <v>16996</v>
      </c>
    </row>
    <row r="11082" spans="1:14">
      <c r="A11082">
        <v>68344240</v>
      </c>
      <c r="B11082">
        <v>4027940</v>
      </c>
      <c r="C11082" t="s">
        <v>5088</v>
      </c>
      <c r="D11082" t="s">
        <v>441</v>
      </c>
      <c r="F11082">
        <v>0</v>
      </c>
      <c r="G11082">
        <v>18.68</v>
      </c>
      <c r="H11082" t="s">
        <v>8587</v>
      </c>
      <c r="I11082">
        <v>30</v>
      </c>
      <c r="J11082" t="s">
        <v>462</v>
      </c>
      <c r="M11082">
        <v>7108</v>
      </c>
      <c r="N11082" t="s">
        <v>16996</v>
      </c>
    </row>
    <row r="11083" spans="1:14">
      <c r="A11083">
        <v>68344250</v>
      </c>
      <c r="B11083">
        <v>4028256</v>
      </c>
      <c r="C11083" t="s">
        <v>17642</v>
      </c>
      <c r="D11083" t="s">
        <v>441</v>
      </c>
      <c r="F11083">
        <v>0</v>
      </c>
      <c r="G11083">
        <v>17.59</v>
      </c>
      <c r="H11083" t="s">
        <v>8587</v>
      </c>
      <c r="I11083">
        <v>30</v>
      </c>
      <c r="J11083" t="s">
        <v>462</v>
      </c>
      <c r="K11083" t="s">
        <v>446</v>
      </c>
      <c r="M11083">
        <v>7108</v>
      </c>
      <c r="N11083" t="s">
        <v>16996</v>
      </c>
    </row>
    <row r="11084" spans="1:14">
      <c r="A11084">
        <v>68344260</v>
      </c>
      <c r="B11084">
        <v>4028996</v>
      </c>
      <c r="C11084" t="s">
        <v>14574</v>
      </c>
      <c r="D11084" t="s">
        <v>441</v>
      </c>
      <c r="F11084">
        <v>0</v>
      </c>
      <c r="G11084">
        <v>18.72</v>
      </c>
      <c r="H11084" t="s">
        <v>8587</v>
      </c>
      <c r="I11084">
        <v>30</v>
      </c>
      <c r="J11084" t="s">
        <v>462</v>
      </c>
      <c r="L11084" t="s">
        <v>14575</v>
      </c>
      <c r="M11084">
        <v>7108</v>
      </c>
      <c r="N11084" t="s">
        <v>16996</v>
      </c>
    </row>
    <row r="11085" spans="1:14">
      <c r="A11085">
        <v>68344270</v>
      </c>
      <c r="B11085">
        <v>4030292</v>
      </c>
      <c r="C11085" t="s">
        <v>17643</v>
      </c>
      <c r="D11085" t="s">
        <v>441</v>
      </c>
      <c r="F11085">
        <v>0</v>
      </c>
      <c r="G11085">
        <v>18.95</v>
      </c>
      <c r="H11085" t="s">
        <v>8587</v>
      </c>
      <c r="I11085">
        <v>30</v>
      </c>
      <c r="J11085" t="s">
        <v>462</v>
      </c>
      <c r="M11085">
        <v>7108</v>
      </c>
      <c r="N11085" t="s">
        <v>16996</v>
      </c>
    </row>
    <row r="11086" spans="1:14">
      <c r="A11086">
        <v>68344280</v>
      </c>
      <c r="B11086">
        <v>4030293</v>
      </c>
      <c r="C11086" t="s">
        <v>17644</v>
      </c>
      <c r="D11086" t="s">
        <v>441</v>
      </c>
      <c r="F11086">
        <v>0</v>
      </c>
      <c r="G11086">
        <v>18.95</v>
      </c>
      <c r="H11086" t="s">
        <v>8587</v>
      </c>
      <c r="I11086">
        <v>30</v>
      </c>
      <c r="J11086" t="s">
        <v>462</v>
      </c>
      <c r="M11086">
        <v>7108</v>
      </c>
      <c r="N11086" t="s">
        <v>16996</v>
      </c>
    </row>
    <row r="11087" spans="1:14">
      <c r="A11087">
        <v>68660000</v>
      </c>
      <c r="B11087">
        <v>3016652</v>
      </c>
      <c r="C11087" t="s">
        <v>13392</v>
      </c>
      <c r="D11087" t="s">
        <v>441</v>
      </c>
      <c r="F11087">
        <v>0</v>
      </c>
      <c r="G11087">
        <v>6.01</v>
      </c>
      <c r="H11087" t="s">
        <v>8619</v>
      </c>
      <c r="I11087">
        <v>67</v>
      </c>
      <c r="J11087" t="s">
        <v>445</v>
      </c>
      <c r="K11087" t="s">
        <v>446</v>
      </c>
      <c r="M11087">
        <v>3311</v>
      </c>
    </row>
    <row r="11088" spans="1:14">
      <c r="A11088">
        <v>68660008</v>
      </c>
      <c r="B11088">
        <v>3016653</v>
      </c>
      <c r="C11088" t="s">
        <v>13393</v>
      </c>
      <c r="D11088" t="s">
        <v>441</v>
      </c>
      <c r="F11088">
        <v>0</v>
      </c>
      <c r="G11088">
        <v>5.48</v>
      </c>
      <c r="H11088" t="s">
        <v>8634</v>
      </c>
      <c r="I11088">
        <v>9</v>
      </c>
      <c r="J11088" t="s">
        <v>445</v>
      </c>
      <c r="K11088" t="s">
        <v>446</v>
      </c>
      <c r="M11088">
        <v>3211</v>
      </c>
    </row>
    <row r="11089" spans="1:14">
      <c r="A11089">
        <v>68662000</v>
      </c>
      <c r="B11089">
        <v>4006731</v>
      </c>
      <c r="C11089" t="s">
        <v>13394</v>
      </c>
      <c r="D11089" t="s">
        <v>441</v>
      </c>
      <c r="F11089">
        <v>0</v>
      </c>
      <c r="G11089">
        <v>6.49</v>
      </c>
      <c r="H11089" t="s">
        <v>8587</v>
      </c>
      <c r="I11089">
        <v>67</v>
      </c>
      <c r="J11089" t="s">
        <v>462</v>
      </c>
      <c r="K11089" t="s">
        <v>446</v>
      </c>
      <c r="M11089">
        <v>3711</v>
      </c>
    </row>
    <row r="11090" spans="1:14">
      <c r="A11090">
        <v>68662010</v>
      </c>
      <c r="B11090">
        <v>4001101</v>
      </c>
      <c r="C11090" t="s">
        <v>13395</v>
      </c>
      <c r="D11090" t="s">
        <v>441</v>
      </c>
      <c r="F11090">
        <v>0</v>
      </c>
      <c r="G11090">
        <v>6.43</v>
      </c>
      <c r="H11090" t="s">
        <v>8587</v>
      </c>
      <c r="I11090">
        <v>67</v>
      </c>
      <c r="J11090" t="s">
        <v>462</v>
      </c>
      <c r="K11090" t="s">
        <v>446</v>
      </c>
      <c r="M11090">
        <v>3711</v>
      </c>
    </row>
    <row r="11091" spans="1:14">
      <c r="A11091">
        <v>68662020</v>
      </c>
      <c r="B11091">
        <v>4004363</v>
      </c>
      <c r="C11091" t="s">
        <v>13396</v>
      </c>
      <c r="D11091" t="s">
        <v>441</v>
      </c>
      <c r="F11091">
        <v>0</v>
      </c>
      <c r="G11091">
        <v>6.43</v>
      </c>
      <c r="H11091" t="s">
        <v>8587</v>
      </c>
      <c r="I11091">
        <v>67</v>
      </c>
      <c r="J11091" t="s">
        <v>462</v>
      </c>
      <c r="K11091" t="s">
        <v>446</v>
      </c>
      <c r="M11091">
        <v>3711</v>
      </c>
    </row>
    <row r="11092" spans="1:14">
      <c r="A11092">
        <v>68690000</v>
      </c>
      <c r="B11092">
        <v>3016654</v>
      </c>
      <c r="C11092" t="s">
        <v>13397</v>
      </c>
      <c r="D11092" t="s">
        <v>441</v>
      </c>
      <c r="F11092">
        <v>0</v>
      </c>
      <c r="G11092">
        <v>7.07</v>
      </c>
      <c r="H11092" t="s">
        <v>8634</v>
      </c>
      <c r="I11092">
        <v>80</v>
      </c>
      <c r="J11092" t="s">
        <v>445</v>
      </c>
      <c r="K11092" t="s">
        <v>446</v>
      </c>
      <c r="M11092">
        <v>3311</v>
      </c>
      <c r="N11092" t="s">
        <v>16997</v>
      </c>
    </row>
    <row r="11093" spans="1:14">
      <c r="A11093">
        <v>68690008</v>
      </c>
      <c r="B11093">
        <v>3016655</v>
      </c>
      <c r="C11093" t="s">
        <v>13398</v>
      </c>
      <c r="D11093" t="s">
        <v>441</v>
      </c>
      <c r="F11093">
        <v>0</v>
      </c>
      <c r="G11093">
        <v>6.19</v>
      </c>
      <c r="H11093" t="s">
        <v>8634</v>
      </c>
      <c r="I11093">
        <v>9</v>
      </c>
      <c r="J11093" t="s">
        <v>445</v>
      </c>
      <c r="K11093" t="s">
        <v>446</v>
      </c>
      <c r="M11093">
        <v>3211</v>
      </c>
      <c r="N11093" t="s">
        <v>16997</v>
      </c>
    </row>
    <row r="11094" spans="1:14">
      <c r="A11094">
        <v>68692020</v>
      </c>
      <c r="B11094">
        <v>4006002</v>
      </c>
      <c r="C11094" t="s">
        <v>13399</v>
      </c>
      <c r="D11094" t="s">
        <v>442</v>
      </c>
      <c r="E11094" t="s">
        <v>441</v>
      </c>
      <c r="F11094">
        <v>0.56999999999999995</v>
      </c>
      <c r="G11094">
        <v>4.45</v>
      </c>
      <c r="H11094" t="s">
        <v>8587</v>
      </c>
      <c r="I11094">
        <v>80</v>
      </c>
      <c r="J11094" t="s">
        <v>462</v>
      </c>
      <c r="K11094" t="s">
        <v>446</v>
      </c>
      <c r="M11094">
        <v>3711</v>
      </c>
      <c r="N11094" t="s">
        <v>16997</v>
      </c>
    </row>
    <row r="11095" spans="1:14">
      <c r="A11095">
        <v>68692030</v>
      </c>
      <c r="B11095">
        <v>4004366</v>
      </c>
      <c r="C11095" t="s">
        <v>13400</v>
      </c>
      <c r="D11095" t="s">
        <v>442</v>
      </c>
      <c r="E11095" t="s">
        <v>441</v>
      </c>
      <c r="F11095">
        <v>0.56999999999999995</v>
      </c>
      <c r="G11095">
        <v>4.53</v>
      </c>
      <c r="H11095" t="s">
        <v>8587</v>
      </c>
      <c r="I11095">
        <v>80</v>
      </c>
      <c r="J11095" t="s">
        <v>462</v>
      </c>
      <c r="K11095" t="s">
        <v>446</v>
      </c>
      <c r="L11095" t="s">
        <v>13401</v>
      </c>
      <c r="M11095">
        <v>3711</v>
      </c>
      <c r="N11095" t="s">
        <v>16997</v>
      </c>
    </row>
    <row r="11096" spans="1:14">
      <c r="A11096">
        <v>68692040</v>
      </c>
      <c r="B11096">
        <v>4001103</v>
      </c>
      <c r="C11096" t="s">
        <v>13402</v>
      </c>
      <c r="D11096" t="s">
        <v>442</v>
      </c>
      <c r="E11096" t="s">
        <v>441</v>
      </c>
      <c r="F11096">
        <v>0.56999999999999995</v>
      </c>
      <c r="G11096">
        <v>3.97</v>
      </c>
      <c r="H11096" t="s">
        <v>8587</v>
      </c>
      <c r="I11096">
        <v>80</v>
      </c>
      <c r="J11096" t="s">
        <v>462</v>
      </c>
      <c r="K11096" t="s">
        <v>446</v>
      </c>
      <c r="L11096" t="s">
        <v>13403</v>
      </c>
      <c r="M11096">
        <v>3711</v>
      </c>
    </row>
    <row r="11097" spans="1:14">
      <c r="A11097">
        <v>68692050</v>
      </c>
      <c r="B11097">
        <v>4006330</v>
      </c>
      <c r="C11097" t="s">
        <v>13404</v>
      </c>
      <c r="D11097" t="s">
        <v>442</v>
      </c>
      <c r="E11097" t="s">
        <v>441</v>
      </c>
      <c r="F11097">
        <v>0.56999999999999995</v>
      </c>
      <c r="G11097">
        <v>4.04</v>
      </c>
      <c r="H11097" t="s">
        <v>8587</v>
      </c>
      <c r="I11097">
        <v>90</v>
      </c>
      <c r="J11097" t="s">
        <v>462</v>
      </c>
      <c r="K11097" t="s">
        <v>446</v>
      </c>
      <c r="M11097">
        <v>3711</v>
      </c>
    </row>
    <row r="11098" spans="1:14">
      <c r="A11098">
        <v>68692060</v>
      </c>
      <c r="B11098">
        <v>4006443</v>
      </c>
      <c r="C11098" t="s">
        <v>13405</v>
      </c>
      <c r="D11098" t="s">
        <v>442</v>
      </c>
      <c r="E11098" t="s">
        <v>441</v>
      </c>
      <c r="F11098">
        <v>0.56999999999999995</v>
      </c>
      <c r="G11098">
        <v>3.96</v>
      </c>
      <c r="H11098" t="s">
        <v>8587</v>
      </c>
      <c r="I11098">
        <v>90</v>
      </c>
      <c r="J11098" t="s">
        <v>462</v>
      </c>
      <c r="K11098" t="s">
        <v>446</v>
      </c>
      <c r="M11098">
        <v>3711</v>
      </c>
    </row>
    <row r="11099" spans="1:14">
      <c r="A11099">
        <v>68692070</v>
      </c>
      <c r="B11099">
        <v>4006538</v>
      </c>
      <c r="C11099" t="s">
        <v>13406</v>
      </c>
      <c r="D11099" t="s">
        <v>442</v>
      </c>
      <c r="E11099" t="s">
        <v>441</v>
      </c>
      <c r="F11099">
        <v>0.56999999999999995</v>
      </c>
      <c r="G11099">
        <v>4.04</v>
      </c>
      <c r="H11099" t="s">
        <v>8587</v>
      </c>
      <c r="I11099">
        <v>90</v>
      </c>
      <c r="J11099" t="s">
        <v>462</v>
      </c>
      <c r="K11099" t="s">
        <v>446</v>
      </c>
      <c r="M11099">
        <v>3711</v>
      </c>
    </row>
    <row r="11100" spans="1:14">
      <c r="A11100">
        <v>68692080</v>
      </c>
      <c r="B11100">
        <v>4006665</v>
      </c>
      <c r="C11100" t="s">
        <v>13407</v>
      </c>
      <c r="D11100" t="s">
        <v>442</v>
      </c>
      <c r="E11100" t="s">
        <v>441</v>
      </c>
      <c r="F11100">
        <v>0.56999999999999995</v>
      </c>
      <c r="G11100">
        <v>4.05</v>
      </c>
      <c r="H11100" t="s">
        <v>8587</v>
      </c>
      <c r="I11100">
        <v>90</v>
      </c>
      <c r="J11100" t="s">
        <v>462</v>
      </c>
      <c r="K11100" t="s">
        <v>446</v>
      </c>
      <c r="M11100">
        <v>3711</v>
      </c>
    </row>
    <row r="11101" spans="1:14">
      <c r="A11101">
        <v>68692090</v>
      </c>
      <c r="B11101">
        <v>4006773</v>
      </c>
      <c r="C11101" t="s">
        <v>13408</v>
      </c>
      <c r="D11101" t="s">
        <v>442</v>
      </c>
      <c r="E11101" t="s">
        <v>441</v>
      </c>
      <c r="F11101">
        <v>0.56999999999999995</v>
      </c>
      <c r="G11101">
        <v>4.2</v>
      </c>
      <c r="H11101" t="s">
        <v>8587</v>
      </c>
      <c r="I11101">
        <v>80</v>
      </c>
      <c r="J11101" t="s">
        <v>462</v>
      </c>
      <c r="K11101" t="s">
        <v>446</v>
      </c>
      <c r="M11101">
        <v>3711</v>
      </c>
    </row>
    <row r="11102" spans="1:14">
      <c r="A11102">
        <v>68692410</v>
      </c>
      <c r="B11102">
        <v>4008136</v>
      </c>
      <c r="C11102" t="s">
        <v>13409</v>
      </c>
      <c r="D11102" t="s">
        <v>442</v>
      </c>
      <c r="E11102" t="s">
        <v>441</v>
      </c>
      <c r="F11102">
        <v>0.56999999999999995</v>
      </c>
      <c r="G11102">
        <v>4.18</v>
      </c>
      <c r="H11102" t="s">
        <v>8587</v>
      </c>
      <c r="I11102">
        <v>90</v>
      </c>
      <c r="J11102" t="s">
        <v>462</v>
      </c>
      <c r="K11102" t="s">
        <v>446</v>
      </c>
      <c r="M11102">
        <v>3711</v>
      </c>
    </row>
    <row r="11103" spans="1:14">
      <c r="A11103">
        <v>68692420</v>
      </c>
      <c r="B11103">
        <v>4008375</v>
      </c>
      <c r="C11103" t="s">
        <v>13410</v>
      </c>
      <c r="D11103" t="s">
        <v>442</v>
      </c>
      <c r="E11103" t="s">
        <v>441</v>
      </c>
      <c r="F11103">
        <v>0.56999999999999995</v>
      </c>
      <c r="G11103">
        <v>4.18</v>
      </c>
      <c r="H11103" t="s">
        <v>8587</v>
      </c>
      <c r="I11103">
        <v>90</v>
      </c>
      <c r="J11103" t="s">
        <v>462</v>
      </c>
      <c r="K11103" t="s">
        <v>446</v>
      </c>
      <c r="M11103">
        <v>3711</v>
      </c>
    </row>
    <row r="11104" spans="1:14">
      <c r="A11104">
        <v>69800000</v>
      </c>
      <c r="B11104">
        <v>3022757</v>
      </c>
      <c r="C11104" t="s">
        <v>13411</v>
      </c>
      <c r="D11104" t="s">
        <v>441</v>
      </c>
      <c r="F11104">
        <v>0</v>
      </c>
      <c r="G11104">
        <v>7.99</v>
      </c>
      <c r="H11104" t="s">
        <v>12573</v>
      </c>
      <c r="I11104">
        <v>6</v>
      </c>
      <c r="J11104" t="s">
        <v>445</v>
      </c>
      <c r="K11104" t="s">
        <v>446</v>
      </c>
      <c r="M11104">
        <v>3311</v>
      </c>
    </row>
    <row r="11105" spans="1:13">
      <c r="A11105">
        <v>69800008</v>
      </c>
      <c r="B11105">
        <v>3022753</v>
      </c>
      <c r="C11105" t="s">
        <v>13412</v>
      </c>
      <c r="D11105" t="s">
        <v>441</v>
      </c>
      <c r="F11105">
        <v>0</v>
      </c>
      <c r="G11105">
        <v>5.96</v>
      </c>
      <c r="H11105" t="s">
        <v>12664</v>
      </c>
      <c r="I11105">
        <v>2</v>
      </c>
      <c r="J11105" t="s">
        <v>445</v>
      </c>
      <c r="K11105" t="s">
        <v>446</v>
      </c>
      <c r="M11105">
        <v>3211</v>
      </c>
    </row>
    <row r="11106" spans="1:13">
      <c r="A11106">
        <v>69804110</v>
      </c>
      <c r="B11106">
        <v>4015054</v>
      </c>
      <c r="C11106" t="s">
        <v>13413</v>
      </c>
      <c r="D11106" t="s">
        <v>441</v>
      </c>
      <c r="F11106">
        <v>0</v>
      </c>
      <c r="G11106">
        <v>9.32</v>
      </c>
      <c r="H11106" t="s">
        <v>8587</v>
      </c>
      <c r="I11106">
        <v>21</v>
      </c>
      <c r="J11106" t="s">
        <v>462</v>
      </c>
      <c r="K11106" t="s">
        <v>446</v>
      </c>
      <c r="M11106">
        <v>3711</v>
      </c>
    </row>
    <row r="11107" spans="1:13">
      <c r="A11107">
        <v>69840000</v>
      </c>
      <c r="B11107">
        <v>3016656</v>
      </c>
      <c r="C11107" t="s">
        <v>13414</v>
      </c>
      <c r="D11107" t="s">
        <v>441</v>
      </c>
      <c r="F11107">
        <v>0</v>
      </c>
      <c r="G11107">
        <v>4.2300000000000004</v>
      </c>
      <c r="H11107" t="s">
        <v>8634</v>
      </c>
      <c r="I11107">
        <v>6</v>
      </c>
      <c r="J11107" t="s">
        <v>445</v>
      </c>
      <c r="K11107" t="s">
        <v>446</v>
      </c>
      <c r="M11107">
        <v>3311</v>
      </c>
    </row>
    <row r="11108" spans="1:13">
      <c r="A11108">
        <v>69840008</v>
      </c>
      <c r="B11108">
        <v>3016657</v>
      </c>
      <c r="C11108" t="s">
        <v>13415</v>
      </c>
      <c r="D11108" t="s">
        <v>441</v>
      </c>
      <c r="F11108">
        <v>0</v>
      </c>
      <c r="G11108">
        <v>3.46</v>
      </c>
      <c r="H11108" t="s">
        <v>8634</v>
      </c>
      <c r="I11108">
        <v>9</v>
      </c>
      <c r="J11108" t="s">
        <v>445</v>
      </c>
      <c r="K11108" t="s">
        <v>446</v>
      </c>
      <c r="M11108">
        <v>3211</v>
      </c>
    </row>
    <row r="11109" spans="1:13">
      <c r="A11109">
        <v>69842000</v>
      </c>
      <c r="B11109">
        <v>4001107</v>
      </c>
      <c r="C11109" t="s">
        <v>13416</v>
      </c>
      <c r="D11109" t="s">
        <v>441</v>
      </c>
      <c r="F11109">
        <v>0</v>
      </c>
      <c r="G11109">
        <v>5.28</v>
      </c>
      <c r="H11109" t="s">
        <v>8587</v>
      </c>
      <c r="I11109">
        <v>45</v>
      </c>
      <c r="J11109" t="s">
        <v>462</v>
      </c>
      <c r="K11109" t="s">
        <v>446</v>
      </c>
      <c r="M11109">
        <v>3711</v>
      </c>
    </row>
    <row r="11110" spans="1:13">
      <c r="A11110">
        <v>69844110</v>
      </c>
      <c r="B11110">
        <v>4004369</v>
      </c>
      <c r="C11110" t="s">
        <v>13417</v>
      </c>
      <c r="D11110" t="s">
        <v>442</v>
      </c>
      <c r="E11110" t="s">
        <v>441</v>
      </c>
      <c r="F11110">
        <v>0.4</v>
      </c>
      <c r="G11110">
        <v>2.2400000000000002</v>
      </c>
      <c r="H11110" t="s">
        <v>8587</v>
      </c>
      <c r="I11110">
        <v>45</v>
      </c>
      <c r="J11110" t="s">
        <v>462</v>
      </c>
      <c r="K11110" t="s">
        <v>446</v>
      </c>
      <c r="L11110" t="s">
        <v>13418</v>
      </c>
      <c r="M11110">
        <v>3711</v>
      </c>
    </row>
    <row r="11111" spans="1:13">
      <c r="A11111">
        <v>69844130</v>
      </c>
      <c r="B11111">
        <v>4001108</v>
      </c>
      <c r="C11111" t="s">
        <v>13419</v>
      </c>
      <c r="D11111" t="s">
        <v>442</v>
      </c>
      <c r="E11111" t="s">
        <v>441</v>
      </c>
      <c r="F11111">
        <v>0.4</v>
      </c>
      <c r="G11111">
        <v>2.1</v>
      </c>
      <c r="H11111" t="s">
        <v>8587</v>
      </c>
      <c r="I11111">
        <v>45</v>
      </c>
      <c r="J11111" t="s">
        <v>462</v>
      </c>
      <c r="K11111" t="s">
        <v>446</v>
      </c>
      <c r="M11111">
        <v>3711</v>
      </c>
    </row>
    <row r="11112" spans="1:13">
      <c r="A11112">
        <v>69844150</v>
      </c>
      <c r="B11112">
        <v>4006807</v>
      </c>
      <c r="C11112" t="s">
        <v>13420</v>
      </c>
      <c r="D11112" t="s">
        <v>442</v>
      </c>
      <c r="E11112" t="s">
        <v>441</v>
      </c>
      <c r="F11112">
        <v>0.4</v>
      </c>
      <c r="G11112">
        <v>2.14</v>
      </c>
      <c r="H11112" t="s">
        <v>8587</v>
      </c>
      <c r="I11112">
        <v>45</v>
      </c>
      <c r="J11112" t="s">
        <v>462</v>
      </c>
      <c r="K11112" t="s">
        <v>446</v>
      </c>
      <c r="M11112">
        <v>3711</v>
      </c>
    </row>
    <row r="11113" spans="1:13">
      <c r="A11113">
        <v>69844170</v>
      </c>
      <c r="B11113">
        <v>4007631</v>
      </c>
      <c r="C11113" t="s">
        <v>13421</v>
      </c>
      <c r="D11113" t="s">
        <v>442</v>
      </c>
      <c r="E11113" t="s">
        <v>441</v>
      </c>
      <c r="F11113">
        <v>0.4</v>
      </c>
      <c r="G11113">
        <v>2.13</v>
      </c>
      <c r="H11113" t="s">
        <v>8587</v>
      </c>
      <c r="I11113">
        <v>45</v>
      </c>
      <c r="J11113" t="s">
        <v>462</v>
      </c>
      <c r="K11113" t="s">
        <v>446</v>
      </c>
      <c r="M11113">
        <v>3711</v>
      </c>
    </row>
    <row r="11114" spans="1:13">
      <c r="A11114">
        <v>69844180</v>
      </c>
      <c r="B11114">
        <v>4007844</v>
      </c>
      <c r="C11114" t="s">
        <v>13422</v>
      </c>
      <c r="D11114" t="s">
        <v>442</v>
      </c>
      <c r="E11114" t="s">
        <v>441</v>
      </c>
      <c r="F11114">
        <v>0.4</v>
      </c>
      <c r="G11114">
        <v>2.25</v>
      </c>
      <c r="H11114" t="s">
        <v>8587</v>
      </c>
      <c r="I11114">
        <v>45</v>
      </c>
      <c r="J11114" t="s">
        <v>462</v>
      </c>
      <c r="K11114" t="s">
        <v>446</v>
      </c>
      <c r="L11114" t="s">
        <v>13423</v>
      </c>
      <c r="M11114">
        <v>3711</v>
      </c>
    </row>
    <row r="11115" spans="1:13">
      <c r="A11115">
        <v>69844190</v>
      </c>
      <c r="B11115">
        <v>4008506</v>
      </c>
      <c r="C11115" t="s">
        <v>13424</v>
      </c>
      <c r="D11115" t="s">
        <v>442</v>
      </c>
      <c r="E11115" t="s">
        <v>441</v>
      </c>
      <c r="F11115">
        <v>0.4</v>
      </c>
      <c r="G11115">
        <v>2.17</v>
      </c>
      <c r="H11115" t="s">
        <v>8587</v>
      </c>
      <c r="I11115">
        <v>45</v>
      </c>
      <c r="J11115" t="s">
        <v>462</v>
      </c>
      <c r="K11115" t="s">
        <v>446</v>
      </c>
      <c r="L11115" t="s">
        <v>13425</v>
      </c>
      <c r="M11115">
        <v>3711</v>
      </c>
    </row>
    <row r="11116" spans="1:13">
      <c r="A11116">
        <v>69844510</v>
      </c>
      <c r="B11116">
        <v>4013061</v>
      </c>
      <c r="C11116" t="s">
        <v>13426</v>
      </c>
      <c r="D11116" t="s">
        <v>441</v>
      </c>
      <c r="F11116">
        <v>0</v>
      </c>
      <c r="G11116">
        <v>5.15</v>
      </c>
      <c r="H11116" t="s">
        <v>8587</v>
      </c>
      <c r="I11116">
        <v>45</v>
      </c>
      <c r="J11116" t="s">
        <v>462</v>
      </c>
      <c r="K11116" t="s">
        <v>446</v>
      </c>
      <c r="M11116">
        <v>3711</v>
      </c>
    </row>
    <row r="11117" spans="1:13">
      <c r="A11117">
        <v>69844520</v>
      </c>
      <c r="B11117">
        <v>4016233</v>
      </c>
      <c r="C11117" t="s">
        <v>13427</v>
      </c>
      <c r="D11117" t="s">
        <v>442</v>
      </c>
      <c r="E11117" t="s">
        <v>441</v>
      </c>
      <c r="F11117">
        <v>0.4</v>
      </c>
      <c r="G11117">
        <v>2.23</v>
      </c>
      <c r="H11117" t="s">
        <v>8587</v>
      </c>
      <c r="I11117">
        <v>45</v>
      </c>
      <c r="J11117" t="s">
        <v>462</v>
      </c>
      <c r="K11117" t="s">
        <v>446</v>
      </c>
      <c r="M11117">
        <v>3711</v>
      </c>
    </row>
    <row r="11118" spans="1:13">
      <c r="A11118">
        <v>69950000</v>
      </c>
      <c r="B11118">
        <v>3016658</v>
      </c>
      <c r="C11118" t="s">
        <v>5089</v>
      </c>
      <c r="D11118" t="s">
        <v>441</v>
      </c>
      <c r="F11118">
        <v>0</v>
      </c>
      <c r="G11118">
        <v>8.15</v>
      </c>
      <c r="H11118" t="s">
        <v>8584</v>
      </c>
      <c r="I11118">
        <v>6</v>
      </c>
      <c r="J11118" t="s">
        <v>445</v>
      </c>
      <c r="K11118" t="s">
        <v>446</v>
      </c>
      <c r="M11118">
        <v>3311</v>
      </c>
    </row>
    <row r="11119" spans="1:13">
      <c r="A11119">
        <v>69950008</v>
      </c>
      <c r="B11119">
        <v>3016659</v>
      </c>
      <c r="C11119" t="s">
        <v>13428</v>
      </c>
      <c r="D11119" t="s">
        <v>441</v>
      </c>
      <c r="F11119">
        <v>0</v>
      </c>
      <c r="G11119">
        <v>6.79</v>
      </c>
      <c r="H11119" t="s">
        <v>8584</v>
      </c>
      <c r="I11119">
        <v>9</v>
      </c>
      <c r="J11119" t="s">
        <v>445</v>
      </c>
      <c r="K11119" t="s">
        <v>446</v>
      </c>
      <c r="M11119">
        <v>3211</v>
      </c>
    </row>
    <row r="11120" spans="1:13">
      <c r="A11120">
        <v>69954210</v>
      </c>
      <c r="B11120">
        <v>4004371</v>
      </c>
      <c r="C11120" t="s">
        <v>13429</v>
      </c>
      <c r="D11120" t="s">
        <v>441</v>
      </c>
      <c r="F11120">
        <v>0</v>
      </c>
      <c r="G11120">
        <v>7.68</v>
      </c>
      <c r="H11120" t="s">
        <v>8587</v>
      </c>
      <c r="I11120">
        <v>30</v>
      </c>
      <c r="J11120" t="s">
        <v>462</v>
      </c>
      <c r="K11120" t="s">
        <v>446</v>
      </c>
      <c r="M11120">
        <v>3711</v>
      </c>
    </row>
    <row r="11121" spans="1:14">
      <c r="A11121">
        <v>69954260</v>
      </c>
      <c r="B11121">
        <v>4004372</v>
      </c>
      <c r="C11121" t="s">
        <v>13430</v>
      </c>
      <c r="D11121" t="s">
        <v>441</v>
      </c>
      <c r="F11121">
        <v>0</v>
      </c>
      <c r="G11121">
        <v>8.9</v>
      </c>
      <c r="H11121" t="s">
        <v>8587</v>
      </c>
      <c r="I11121">
        <v>30</v>
      </c>
      <c r="J11121" t="s">
        <v>462</v>
      </c>
      <c r="K11121" t="s">
        <v>446</v>
      </c>
      <c r="M11121">
        <v>3711</v>
      </c>
    </row>
    <row r="11122" spans="1:14">
      <c r="A11122">
        <v>69954280</v>
      </c>
      <c r="B11122">
        <v>4008360</v>
      </c>
      <c r="C11122" t="s">
        <v>5090</v>
      </c>
      <c r="D11122" t="s">
        <v>441</v>
      </c>
      <c r="F11122">
        <v>0</v>
      </c>
      <c r="G11122">
        <v>9.3699999999999992</v>
      </c>
      <c r="H11122" t="s">
        <v>8587</v>
      </c>
      <c r="I11122">
        <v>30</v>
      </c>
      <c r="J11122" t="s">
        <v>462</v>
      </c>
      <c r="K11122" t="s">
        <v>446</v>
      </c>
      <c r="M11122">
        <v>3711</v>
      </c>
    </row>
    <row r="11123" spans="1:14">
      <c r="A11123">
        <v>69960000</v>
      </c>
      <c r="B11123">
        <v>3016883</v>
      </c>
      <c r="C11123" t="s">
        <v>5091</v>
      </c>
      <c r="D11123" t="s">
        <v>441</v>
      </c>
      <c r="F11123">
        <v>0</v>
      </c>
      <c r="G11123">
        <v>9.2200000000000006</v>
      </c>
      <c r="H11123" t="s">
        <v>8935</v>
      </c>
      <c r="I11123">
        <v>6</v>
      </c>
      <c r="J11123" t="s">
        <v>445</v>
      </c>
      <c r="K11123" t="s">
        <v>446</v>
      </c>
      <c r="M11123">
        <v>3311</v>
      </c>
    </row>
    <row r="11124" spans="1:14">
      <c r="A11124">
        <v>69960008</v>
      </c>
      <c r="B11124">
        <v>3016882</v>
      </c>
      <c r="C11124" t="s">
        <v>5092</v>
      </c>
      <c r="D11124" t="s">
        <v>441</v>
      </c>
      <c r="F11124">
        <v>0</v>
      </c>
      <c r="G11124">
        <v>7.52</v>
      </c>
      <c r="H11124" t="s">
        <v>8935</v>
      </c>
      <c r="I11124">
        <v>4</v>
      </c>
      <c r="J11124" t="s">
        <v>445</v>
      </c>
      <c r="K11124" t="s">
        <v>446</v>
      </c>
      <c r="M11124">
        <v>3211</v>
      </c>
    </row>
    <row r="11125" spans="1:14">
      <c r="A11125">
        <v>69964210</v>
      </c>
      <c r="B11125">
        <v>4011167</v>
      </c>
      <c r="C11125" t="s">
        <v>5093</v>
      </c>
      <c r="D11125" t="s">
        <v>441</v>
      </c>
      <c r="F11125">
        <v>0</v>
      </c>
      <c r="G11125">
        <v>10.210000000000001</v>
      </c>
      <c r="H11125" t="s">
        <v>8587</v>
      </c>
      <c r="I11125">
        <v>23</v>
      </c>
      <c r="J11125" t="s">
        <v>462</v>
      </c>
      <c r="K11125" t="s">
        <v>446</v>
      </c>
      <c r="M11125">
        <v>3711</v>
      </c>
    </row>
    <row r="11126" spans="1:14">
      <c r="A11126">
        <v>69964220</v>
      </c>
      <c r="B11126">
        <v>4011166</v>
      </c>
      <c r="C11126" t="s">
        <v>5094</v>
      </c>
      <c r="D11126" t="s">
        <v>441</v>
      </c>
      <c r="F11126">
        <v>0</v>
      </c>
      <c r="G11126">
        <v>11.46</v>
      </c>
      <c r="H11126" t="s">
        <v>8587</v>
      </c>
      <c r="I11126">
        <v>23</v>
      </c>
      <c r="J11126" t="s">
        <v>462</v>
      </c>
      <c r="K11126" t="s">
        <v>446</v>
      </c>
      <c r="M11126">
        <v>3711</v>
      </c>
    </row>
    <row r="11127" spans="1:14">
      <c r="A11127">
        <v>69980000</v>
      </c>
      <c r="B11127">
        <v>3016699</v>
      </c>
      <c r="C11127" t="s">
        <v>5095</v>
      </c>
      <c r="D11127" t="s">
        <v>441</v>
      </c>
      <c r="F11127">
        <v>0</v>
      </c>
      <c r="G11127">
        <v>8.68</v>
      </c>
      <c r="H11127" t="s">
        <v>8580</v>
      </c>
      <c r="I11127">
        <v>6</v>
      </c>
      <c r="J11127" t="s">
        <v>445</v>
      </c>
      <c r="K11127" t="s">
        <v>446</v>
      </c>
      <c r="M11127">
        <v>3311</v>
      </c>
    </row>
    <row r="11128" spans="1:14">
      <c r="A11128">
        <v>69980008</v>
      </c>
      <c r="B11128">
        <v>3016702</v>
      </c>
      <c r="C11128" t="s">
        <v>13431</v>
      </c>
      <c r="D11128" t="s">
        <v>441</v>
      </c>
      <c r="F11128">
        <v>0</v>
      </c>
      <c r="G11128">
        <v>6.82</v>
      </c>
      <c r="H11128" t="s">
        <v>8580</v>
      </c>
      <c r="I11128">
        <v>9</v>
      </c>
      <c r="J11128" t="s">
        <v>445</v>
      </c>
      <c r="K11128" t="s">
        <v>446</v>
      </c>
      <c r="M11128">
        <v>3211</v>
      </c>
    </row>
    <row r="11129" spans="1:14">
      <c r="A11129">
        <v>69984210</v>
      </c>
      <c r="B11129">
        <v>4004373</v>
      </c>
      <c r="C11129" t="s">
        <v>13432</v>
      </c>
      <c r="D11129" t="s">
        <v>441</v>
      </c>
      <c r="F11129">
        <v>0</v>
      </c>
      <c r="G11129">
        <v>8.27</v>
      </c>
      <c r="H11129" t="s">
        <v>8587</v>
      </c>
      <c r="I11129">
        <v>23</v>
      </c>
      <c r="J11129" t="s">
        <v>462</v>
      </c>
      <c r="K11129" t="s">
        <v>446</v>
      </c>
      <c r="M11129">
        <v>3711</v>
      </c>
    </row>
    <row r="11130" spans="1:14">
      <c r="A11130">
        <v>69984220</v>
      </c>
      <c r="B11130">
        <v>4007716</v>
      </c>
      <c r="C11130" t="s">
        <v>5096</v>
      </c>
      <c r="D11130" t="s">
        <v>441</v>
      </c>
      <c r="F11130">
        <v>0</v>
      </c>
      <c r="G11130">
        <v>7.52</v>
      </c>
      <c r="H11130" t="s">
        <v>8587</v>
      </c>
      <c r="I11130">
        <v>23</v>
      </c>
      <c r="J11130" t="s">
        <v>462</v>
      </c>
      <c r="K11130" t="s">
        <v>446</v>
      </c>
      <c r="M11130">
        <v>3711</v>
      </c>
    </row>
    <row r="11131" spans="1:14">
      <c r="A11131">
        <v>69984230</v>
      </c>
      <c r="B11131">
        <v>4007717</v>
      </c>
      <c r="C11131" t="s">
        <v>5097</v>
      </c>
      <c r="D11131" t="s">
        <v>441</v>
      </c>
      <c r="F11131">
        <v>0</v>
      </c>
      <c r="G11131">
        <v>7.72</v>
      </c>
      <c r="H11131" t="s">
        <v>8587</v>
      </c>
      <c r="I11131">
        <v>23</v>
      </c>
      <c r="J11131" t="s">
        <v>462</v>
      </c>
      <c r="K11131" t="s">
        <v>446</v>
      </c>
      <c r="M11131">
        <v>3711</v>
      </c>
    </row>
    <row r="11132" spans="1:14">
      <c r="A11132">
        <v>69984240</v>
      </c>
      <c r="B11132">
        <v>4007719</v>
      </c>
      <c r="C11132" t="s">
        <v>5098</v>
      </c>
      <c r="D11132" t="s">
        <v>441</v>
      </c>
      <c r="F11132">
        <v>0</v>
      </c>
      <c r="G11132">
        <v>7.72</v>
      </c>
      <c r="H11132" t="s">
        <v>8587</v>
      </c>
      <c r="I11132">
        <v>23</v>
      </c>
      <c r="J11132" t="s">
        <v>462</v>
      </c>
      <c r="K11132" t="s">
        <v>446</v>
      </c>
      <c r="M11132">
        <v>3711</v>
      </c>
    </row>
    <row r="11133" spans="1:14">
      <c r="A11133">
        <v>69984250</v>
      </c>
      <c r="B11133">
        <v>4007720</v>
      </c>
      <c r="C11133" t="s">
        <v>5099</v>
      </c>
      <c r="D11133" t="s">
        <v>441</v>
      </c>
      <c r="F11133">
        <v>0</v>
      </c>
      <c r="G11133">
        <v>7.71</v>
      </c>
      <c r="H11133" t="s">
        <v>8587</v>
      </c>
      <c r="I11133">
        <v>23</v>
      </c>
      <c r="J11133" t="s">
        <v>462</v>
      </c>
      <c r="K11133" t="s">
        <v>446</v>
      </c>
      <c r="M11133">
        <v>3711</v>
      </c>
    </row>
    <row r="11134" spans="1:14">
      <c r="A11134">
        <v>70010000</v>
      </c>
      <c r="B11134">
        <v>3046212</v>
      </c>
      <c r="C11134" t="s">
        <v>17340</v>
      </c>
      <c r="D11134" t="s">
        <v>441</v>
      </c>
      <c r="F11134">
        <v>0</v>
      </c>
      <c r="G11134">
        <v>19.04</v>
      </c>
      <c r="H11134" t="s">
        <v>12573</v>
      </c>
      <c r="I11134">
        <v>3</v>
      </c>
      <c r="J11134" t="s">
        <v>445</v>
      </c>
      <c r="M11134">
        <v>3349</v>
      </c>
      <c r="N11134" t="s">
        <v>17645</v>
      </c>
    </row>
    <row r="11135" spans="1:14">
      <c r="A11135">
        <v>70010008</v>
      </c>
      <c r="B11135">
        <v>3046213</v>
      </c>
      <c r="C11135" t="s">
        <v>17646</v>
      </c>
      <c r="D11135" t="s">
        <v>441</v>
      </c>
      <c r="F11135">
        <v>0</v>
      </c>
      <c r="G11135">
        <v>15.58</v>
      </c>
      <c r="H11135" t="s">
        <v>12664</v>
      </c>
      <c r="I11135">
        <v>2</v>
      </c>
      <c r="J11135" t="s">
        <v>445</v>
      </c>
      <c r="M11135">
        <v>6666</v>
      </c>
    </row>
    <row r="11136" spans="1:14">
      <c r="A11136">
        <v>70015110</v>
      </c>
      <c r="B11136">
        <v>4030608</v>
      </c>
      <c r="C11136" t="s">
        <v>17647</v>
      </c>
      <c r="D11136" t="s">
        <v>441</v>
      </c>
      <c r="F11136">
        <v>0</v>
      </c>
      <c r="G11136">
        <v>20.95</v>
      </c>
      <c r="H11136" t="s">
        <v>8587</v>
      </c>
      <c r="I11136">
        <v>32</v>
      </c>
      <c r="J11136" t="s">
        <v>462</v>
      </c>
      <c r="M11136">
        <v>7108</v>
      </c>
      <c r="N11136" t="s">
        <v>17645</v>
      </c>
    </row>
    <row r="11137" spans="1:14">
      <c r="A11137">
        <v>70020000</v>
      </c>
      <c r="B11137">
        <v>3016660</v>
      </c>
      <c r="C11137" t="s">
        <v>5100</v>
      </c>
      <c r="D11137" t="s">
        <v>441</v>
      </c>
      <c r="F11137">
        <v>0</v>
      </c>
      <c r="G11137">
        <v>14.84</v>
      </c>
      <c r="H11137" t="s">
        <v>8584</v>
      </c>
      <c r="I11137">
        <v>4</v>
      </c>
      <c r="J11137" t="s">
        <v>445</v>
      </c>
      <c r="M11137">
        <v>3349</v>
      </c>
      <c r="N11137" t="s">
        <v>16998</v>
      </c>
    </row>
    <row r="11138" spans="1:14">
      <c r="A11138">
        <v>70020008</v>
      </c>
      <c r="B11138">
        <v>3016661</v>
      </c>
      <c r="C11138" t="s">
        <v>5101</v>
      </c>
      <c r="D11138" t="s">
        <v>441</v>
      </c>
      <c r="F11138">
        <v>0</v>
      </c>
      <c r="G11138">
        <v>12.59</v>
      </c>
      <c r="I11138">
        <v>9</v>
      </c>
      <c r="J11138" t="s">
        <v>445</v>
      </c>
      <c r="M11138">
        <v>6666</v>
      </c>
      <c r="N11138" t="s">
        <v>16999</v>
      </c>
    </row>
    <row r="11139" spans="1:14">
      <c r="A11139">
        <v>70024110</v>
      </c>
      <c r="B11139">
        <v>4001109</v>
      </c>
      <c r="C11139" t="s">
        <v>5102</v>
      </c>
      <c r="D11139" t="s">
        <v>441</v>
      </c>
      <c r="F11139">
        <v>0</v>
      </c>
      <c r="G11139">
        <v>12.92</v>
      </c>
      <c r="H11139" t="s">
        <v>8587</v>
      </c>
      <c r="I11139">
        <v>36</v>
      </c>
      <c r="J11139" t="s">
        <v>462</v>
      </c>
      <c r="M11139">
        <v>3711</v>
      </c>
      <c r="N11139" t="s">
        <v>17000</v>
      </c>
    </row>
    <row r="11140" spans="1:14">
      <c r="A11140">
        <v>70024111</v>
      </c>
      <c r="B11140">
        <v>3008461</v>
      </c>
      <c r="C11140" t="s">
        <v>5103</v>
      </c>
      <c r="D11140" t="s">
        <v>441</v>
      </c>
      <c r="F11140">
        <v>0</v>
      </c>
      <c r="G11140">
        <v>12.63</v>
      </c>
      <c r="I11140">
        <v>36</v>
      </c>
      <c r="J11140" t="s">
        <v>445</v>
      </c>
      <c r="M11140">
        <v>3741</v>
      </c>
      <c r="N11140" t="s">
        <v>17000</v>
      </c>
    </row>
    <row r="11141" spans="1:14">
      <c r="A11141">
        <v>70024130</v>
      </c>
      <c r="B11141">
        <v>4008280</v>
      </c>
      <c r="C11141" t="s">
        <v>5104</v>
      </c>
      <c r="D11141" t="s">
        <v>441</v>
      </c>
      <c r="F11141">
        <v>0</v>
      </c>
      <c r="G11141">
        <v>13.61</v>
      </c>
      <c r="H11141" t="s">
        <v>8587</v>
      </c>
      <c r="I11141">
        <v>34</v>
      </c>
      <c r="J11141" t="s">
        <v>462</v>
      </c>
      <c r="K11141" t="s">
        <v>446</v>
      </c>
      <c r="M11141">
        <v>3711</v>
      </c>
    </row>
    <row r="11142" spans="1:14">
      <c r="A11142">
        <v>70024140</v>
      </c>
      <c r="B11142">
        <v>4004375</v>
      </c>
      <c r="C11142" t="s">
        <v>13433</v>
      </c>
      <c r="D11142" t="s">
        <v>441</v>
      </c>
      <c r="F11142">
        <v>0</v>
      </c>
      <c r="G11142">
        <v>12.42</v>
      </c>
      <c r="H11142" t="s">
        <v>8587</v>
      </c>
      <c r="I11142">
        <v>34</v>
      </c>
      <c r="J11142" t="s">
        <v>462</v>
      </c>
      <c r="K11142" t="s">
        <v>446</v>
      </c>
      <c r="M11142">
        <v>3711</v>
      </c>
    </row>
    <row r="11143" spans="1:14">
      <c r="A11143">
        <v>70024150</v>
      </c>
      <c r="B11143">
        <v>4004376</v>
      </c>
      <c r="C11143" t="s">
        <v>17648</v>
      </c>
      <c r="D11143" t="s">
        <v>441</v>
      </c>
      <c r="F11143">
        <v>0</v>
      </c>
      <c r="G11143">
        <v>21.1</v>
      </c>
      <c r="H11143" t="s">
        <v>8587</v>
      </c>
      <c r="I11143">
        <v>36</v>
      </c>
      <c r="J11143" t="s">
        <v>462</v>
      </c>
      <c r="M11143">
        <v>7108</v>
      </c>
      <c r="N11143" t="s">
        <v>17000</v>
      </c>
    </row>
    <row r="11144" spans="1:14">
      <c r="A11144">
        <v>70024160</v>
      </c>
      <c r="B11144">
        <v>4018104</v>
      </c>
      <c r="C11144" t="s">
        <v>5105</v>
      </c>
      <c r="D11144" t="s">
        <v>441</v>
      </c>
      <c r="F11144">
        <v>0</v>
      </c>
      <c r="G11144">
        <v>16.61</v>
      </c>
      <c r="H11144" t="s">
        <v>8587</v>
      </c>
      <c r="I11144">
        <v>36</v>
      </c>
      <c r="J11144" t="s">
        <v>462</v>
      </c>
      <c r="K11144" t="s">
        <v>446</v>
      </c>
      <c r="M11144">
        <v>3711</v>
      </c>
      <c r="N11144" t="s">
        <v>17001</v>
      </c>
    </row>
    <row r="11145" spans="1:14">
      <c r="A11145">
        <v>70024170</v>
      </c>
      <c r="B11145">
        <v>4018356</v>
      </c>
      <c r="C11145" t="s">
        <v>5106</v>
      </c>
      <c r="D11145" t="s">
        <v>441</v>
      </c>
      <c r="F11145">
        <v>0</v>
      </c>
      <c r="G11145">
        <v>12.98</v>
      </c>
      <c r="H11145" t="s">
        <v>8587</v>
      </c>
      <c r="I11145">
        <v>36</v>
      </c>
      <c r="J11145" t="s">
        <v>462</v>
      </c>
      <c r="M11145">
        <v>3711</v>
      </c>
      <c r="N11145" t="s">
        <v>17000</v>
      </c>
    </row>
    <row r="11146" spans="1:14">
      <c r="A11146">
        <v>70024180</v>
      </c>
      <c r="B11146">
        <v>4021156</v>
      </c>
      <c r="C11146" t="s">
        <v>5107</v>
      </c>
      <c r="D11146" t="s">
        <v>441</v>
      </c>
      <c r="F11146">
        <v>0</v>
      </c>
      <c r="G11146">
        <v>12.76</v>
      </c>
      <c r="H11146" t="s">
        <v>8587</v>
      </c>
      <c r="I11146">
        <v>36</v>
      </c>
      <c r="J11146" t="s">
        <v>462</v>
      </c>
      <c r="K11146" t="s">
        <v>446</v>
      </c>
      <c r="M11146">
        <v>3711</v>
      </c>
      <c r="N11146" t="s">
        <v>17000</v>
      </c>
    </row>
    <row r="11147" spans="1:14">
      <c r="A11147">
        <v>70024190</v>
      </c>
      <c r="B11147">
        <v>4029531</v>
      </c>
      <c r="C11147" t="s">
        <v>15289</v>
      </c>
      <c r="D11147" t="s">
        <v>441</v>
      </c>
      <c r="F11147">
        <v>0</v>
      </c>
      <c r="G11147">
        <v>19.2</v>
      </c>
      <c r="H11147" t="s">
        <v>8587</v>
      </c>
      <c r="I11147">
        <v>36</v>
      </c>
      <c r="J11147" t="s">
        <v>462</v>
      </c>
      <c r="L11147" t="s">
        <v>15345</v>
      </c>
      <c r="M11147">
        <v>0</v>
      </c>
      <c r="N11147" t="s">
        <v>17000</v>
      </c>
    </row>
    <row r="11148" spans="1:14">
      <c r="A11148">
        <v>70025110</v>
      </c>
      <c r="B11148">
        <v>4009617</v>
      </c>
      <c r="C11148" t="s">
        <v>5108</v>
      </c>
      <c r="D11148" t="s">
        <v>441</v>
      </c>
      <c r="F11148">
        <v>0</v>
      </c>
      <c r="G11148">
        <v>15.03</v>
      </c>
      <c r="H11148" t="s">
        <v>8587</v>
      </c>
      <c r="I11148">
        <v>34</v>
      </c>
      <c r="J11148" t="s">
        <v>462</v>
      </c>
      <c r="K11148" t="s">
        <v>446</v>
      </c>
      <c r="M11148">
        <v>3711</v>
      </c>
    </row>
    <row r="11149" spans="1:14">
      <c r="A11149">
        <v>70025120</v>
      </c>
      <c r="B11149">
        <v>4010785</v>
      </c>
      <c r="C11149" t="s">
        <v>5109</v>
      </c>
      <c r="D11149" t="s">
        <v>441</v>
      </c>
      <c r="F11149">
        <v>0</v>
      </c>
      <c r="G11149">
        <v>11.11</v>
      </c>
      <c r="H11149" t="s">
        <v>8587</v>
      </c>
      <c r="I11149">
        <v>36</v>
      </c>
      <c r="J11149" t="s">
        <v>462</v>
      </c>
      <c r="K11149" t="s">
        <v>446</v>
      </c>
      <c r="M11149">
        <v>3711</v>
      </c>
      <c r="N11149" t="s">
        <v>17000</v>
      </c>
    </row>
    <row r="11150" spans="1:14">
      <c r="A11150">
        <v>70025121</v>
      </c>
      <c r="B11150">
        <v>3016998</v>
      </c>
      <c r="C11150" t="s">
        <v>5110</v>
      </c>
      <c r="D11150" t="s">
        <v>441</v>
      </c>
      <c r="F11150">
        <v>0</v>
      </c>
      <c r="G11150">
        <v>11.58</v>
      </c>
      <c r="H11150" t="s">
        <v>8935</v>
      </c>
      <c r="I11150">
        <v>36</v>
      </c>
      <c r="J11150" t="s">
        <v>445</v>
      </c>
      <c r="M11150">
        <v>7161</v>
      </c>
      <c r="N11150" t="s">
        <v>17000</v>
      </c>
    </row>
    <row r="11151" spans="1:14">
      <c r="A11151">
        <v>70030000</v>
      </c>
      <c r="B11151">
        <v>3016662</v>
      </c>
      <c r="C11151" t="s">
        <v>5111</v>
      </c>
      <c r="D11151" t="s">
        <v>441</v>
      </c>
      <c r="F11151">
        <v>0</v>
      </c>
      <c r="G11151">
        <v>20.440000000000001</v>
      </c>
      <c r="H11151" t="s">
        <v>8584</v>
      </c>
      <c r="I11151">
        <v>4</v>
      </c>
      <c r="J11151" t="s">
        <v>445</v>
      </c>
      <c r="M11151">
        <v>3349</v>
      </c>
      <c r="N11151" t="s">
        <v>17002</v>
      </c>
    </row>
    <row r="11152" spans="1:14">
      <c r="A11152">
        <v>70030008</v>
      </c>
      <c r="B11152">
        <v>3016663</v>
      </c>
      <c r="C11152" t="s">
        <v>5112</v>
      </c>
      <c r="D11152" t="s">
        <v>441</v>
      </c>
      <c r="F11152">
        <v>0</v>
      </c>
      <c r="G11152">
        <v>17</v>
      </c>
      <c r="H11152" t="s">
        <v>8580</v>
      </c>
      <c r="I11152">
        <v>9</v>
      </c>
      <c r="J11152" t="s">
        <v>445</v>
      </c>
      <c r="M11152">
        <v>6666</v>
      </c>
      <c r="N11152" t="s">
        <v>17003</v>
      </c>
    </row>
    <row r="11153" spans="1:14">
      <c r="A11153">
        <v>70032000</v>
      </c>
      <c r="B11153">
        <v>3001189</v>
      </c>
      <c r="C11153" t="s">
        <v>5113</v>
      </c>
      <c r="D11153" t="s">
        <v>441</v>
      </c>
      <c r="F11153">
        <v>0</v>
      </c>
      <c r="G11153">
        <v>18.55</v>
      </c>
      <c r="H11153" t="s">
        <v>8587</v>
      </c>
      <c r="I11153">
        <v>10</v>
      </c>
      <c r="J11153" t="s">
        <v>445</v>
      </c>
      <c r="K11153" t="s">
        <v>446</v>
      </c>
      <c r="M11153">
        <v>3711</v>
      </c>
    </row>
    <row r="11154" spans="1:14">
      <c r="A11154">
        <v>70032400</v>
      </c>
      <c r="B11154">
        <v>3012590</v>
      </c>
      <c r="C11154" t="s">
        <v>5113</v>
      </c>
      <c r="D11154" t="s">
        <v>441</v>
      </c>
      <c r="F11154">
        <v>0</v>
      </c>
      <c r="G11154">
        <v>16.12</v>
      </c>
      <c r="H11154" t="s">
        <v>8587</v>
      </c>
      <c r="I11154">
        <v>10</v>
      </c>
      <c r="J11154" t="s">
        <v>445</v>
      </c>
      <c r="K11154" t="s">
        <v>446</v>
      </c>
      <c r="M11154">
        <v>3711</v>
      </c>
    </row>
    <row r="11155" spans="1:14">
      <c r="A11155">
        <v>70034110</v>
      </c>
      <c r="B11155">
        <v>4001110</v>
      </c>
      <c r="C11155" t="s">
        <v>5114</v>
      </c>
      <c r="D11155" t="s">
        <v>441</v>
      </c>
      <c r="F11155">
        <v>0</v>
      </c>
      <c r="G11155">
        <v>16.62</v>
      </c>
      <c r="H11155" t="s">
        <v>8587</v>
      </c>
      <c r="I11155">
        <v>34</v>
      </c>
      <c r="J11155" t="s">
        <v>462</v>
      </c>
      <c r="K11155" t="s">
        <v>446</v>
      </c>
      <c r="M11155">
        <v>3711</v>
      </c>
    </row>
    <row r="11156" spans="1:14">
      <c r="A11156">
        <v>70034111</v>
      </c>
      <c r="B11156">
        <v>3008464</v>
      </c>
      <c r="C11156" t="s">
        <v>5115</v>
      </c>
      <c r="D11156" t="s">
        <v>441</v>
      </c>
      <c r="F11156">
        <v>0</v>
      </c>
      <c r="G11156">
        <v>17.149999999999999</v>
      </c>
      <c r="H11156" t="s">
        <v>8580</v>
      </c>
      <c r="I11156">
        <v>34</v>
      </c>
      <c r="J11156" t="s">
        <v>445</v>
      </c>
      <c r="M11156">
        <v>3741</v>
      </c>
      <c r="N11156" t="s">
        <v>17004</v>
      </c>
    </row>
    <row r="11157" spans="1:14">
      <c r="A11157">
        <v>70034120</v>
      </c>
      <c r="B11157">
        <v>4021193</v>
      </c>
      <c r="C11157" t="s">
        <v>15346</v>
      </c>
      <c r="D11157" t="s">
        <v>441</v>
      </c>
      <c r="F11157">
        <v>0</v>
      </c>
      <c r="G11157">
        <v>24.26</v>
      </c>
      <c r="H11157" t="s">
        <v>8587</v>
      </c>
      <c r="I11157">
        <v>34</v>
      </c>
      <c r="J11157" t="s">
        <v>462</v>
      </c>
      <c r="M11157">
        <v>7108</v>
      </c>
      <c r="N11157" t="s">
        <v>17004</v>
      </c>
    </row>
    <row r="11158" spans="1:14">
      <c r="A11158">
        <v>70034160</v>
      </c>
      <c r="B11158">
        <v>4004379</v>
      </c>
      <c r="C11158" t="s">
        <v>5116</v>
      </c>
      <c r="D11158" t="s">
        <v>441</v>
      </c>
      <c r="F11158">
        <v>0</v>
      </c>
      <c r="G11158">
        <v>20.399999999999999</v>
      </c>
      <c r="H11158" t="s">
        <v>8587</v>
      </c>
      <c r="I11158">
        <v>34</v>
      </c>
      <c r="J11158" t="s">
        <v>462</v>
      </c>
      <c r="K11158" t="s">
        <v>446</v>
      </c>
      <c r="M11158">
        <v>3711</v>
      </c>
      <c r="N11158" t="s">
        <v>17005</v>
      </c>
    </row>
    <row r="11159" spans="1:14">
      <c r="A11159">
        <v>70034170</v>
      </c>
      <c r="B11159">
        <v>4004380</v>
      </c>
      <c r="C11159" t="s">
        <v>5117</v>
      </c>
      <c r="D11159" t="s">
        <v>441</v>
      </c>
      <c r="F11159">
        <v>0</v>
      </c>
      <c r="G11159">
        <v>19.84</v>
      </c>
      <c r="H11159" t="s">
        <v>8587</v>
      </c>
      <c r="I11159">
        <v>34</v>
      </c>
      <c r="J11159" t="s">
        <v>462</v>
      </c>
      <c r="K11159" t="s">
        <v>446</v>
      </c>
      <c r="M11159">
        <v>3711</v>
      </c>
      <c r="N11159" t="s">
        <v>17006</v>
      </c>
    </row>
    <row r="11160" spans="1:14">
      <c r="A11160">
        <v>70034180</v>
      </c>
      <c r="B11160">
        <v>4006876</v>
      </c>
      <c r="C11160" t="s">
        <v>5118</v>
      </c>
      <c r="D11160" t="s">
        <v>441</v>
      </c>
      <c r="F11160">
        <v>0</v>
      </c>
      <c r="G11160">
        <v>22.1</v>
      </c>
      <c r="H11160" t="s">
        <v>8587</v>
      </c>
      <c r="I11160">
        <v>34</v>
      </c>
      <c r="J11160" t="s">
        <v>462</v>
      </c>
      <c r="K11160" t="s">
        <v>446</v>
      </c>
      <c r="M11160">
        <v>3711</v>
      </c>
      <c r="N11160" t="s">
        <v>17005</v>
      </c>
    </row>
    <row r="11161" spans="1:14">
      <c r="A11161">
        <v>70034190</v>
      </c>
      <c r="B11161">
        <v>4027030</v>
      </c>
      <c r="C11161" t="s">
        <v>5119</v>
      </c>
      <c r="D11161" t="s">
        <v>441</v>
      </c>
      <c r="F11161">
        <v>0</v>
      </c>
      <c r="G11161">
        <v>20.260000000000002</v>
      </c>
      <c r="H11161" t="s">
        <v>8587</v>
      </c>
      <c r="I11161">
        <v>34</v>
      </c>
      <c r="J11161" t="s">
        <v>462</v>
      </c>
      <c r="M11161">
        <v>7108</v>
      </c>
      <c r="N11161" t="s">
        <v>17004</v>
      </c>
    </row>
    <row r="11162" spans="1:14">
      <c r="A11162">
        <v>70034410</v>
      </c>
      <c r="B11162">
        <v>4011322</v>
      </c>
      <c r="C11162" t="s">
        <v>5120</v>
      </c>
      <c r="D11162" t="s">
        <v>441</v>
      </c>
      <c r="F11162">
        <v>0</v>
      </c>
      <c r="G11162">
        <v>16.27</v>
      </c>
      <c r="H11162" t="s">
        <v>8587</v>
      </c>
      <c r="I11162">
        <v>34</v>
      </c>
      <c r="J11162" t="s">
        <v>462</v>
      </c>
      <c r="K11162" t="s">
        <v>446</v>
      </c>
      <c r="M11162">
        <v>3711</v>
      </c>
    </row>
    <row r="11163" spans="1:14">
      <c r="A11163">
        <v>70035110</v>
      </c>
      <c r="B11163">
        <v>4009624</v>
      </c>
      <c r="C11163" t="s">
        <v>5121</v>
      </c>
      <c r="D11163" t="s">
        <v>441</v>
      </c>
      <c r="F11163">
        <v>0</v>
      </c>
      <c r="G11163">
        <v>16.690000000000001</v>
      </c>
      <c r="H11163" t="s">
        <v>8587</v>
      </c>
      <c r="I11163">
        <v>34</v>
      </c>
      <c r="J11163" t="s">
        <v>462</v>
      </c>
      <c r="K11163" t="s">
        <v>446</v>
      </c>
      <c r="M11163">
        <v>3711</v>
      </c>
    </row>
    <row r="11164" spans="1:14">
      <c r="A11164">
        <v>70040000</v>
      </c>
      <c r="B11164">
        <v>3012305</v>
      </c>
      <c r="C11164" t="s">
        <v>5122</v>
      </c>
      <c r="D11164" t="s">
        <v>441</v>
      </c>
      <c r="F11164">
        <v>0</v>
      </c>
      <c r="G11164">
        <v>20.99</v>
      </c>
      <c r="I11164">
        <v>3</v>
      </c>
      <c r="J11164" t="s">
        <v>445</v>
      </c>
      <c r="M11164">
        <v>3349</v>
      </c>
      <c r="N11164" t="s">
        <v>17007</v>
      </c>
    </row>
    <row r="11165" spans="1:14">
      <c r="A11165">
        <v>70040008</v>
      </c>
      <c r="B11165">
        <v>3016799</v>
      </c>
      <c r="C11165" t="s">
        <v>5123</v>
      </c>
      <c r="D11165" t="s">
        <v>441</v>
      </c>
      <c r="F11165">
        <v>0</v>
      </c>
      <c r="G11165">
        <v>16.66</v>
      </c>
      <c r="H11165" t="s">
        <v>8580</v>
      </c>
      <c r="I11165">
        <v>5</v>
      </c>
      <c r="J11165" t="s">
        <v>445</v>
      </c>
      <c r="M11165">
        <v>6666</v>
      </c>
      <c r="N11165" t="s">
        <v>17008</v>
      </c>
    </row>
    <row r="11166" spans="1:14">
      <c r="A11166">
        <v>70040009</v>
      </c>
      <c r="B11166">
        <v>3016800</v>
      </c>
      <c r="C11166" t="s">
        <v>5124</v>
      </c>
      <c r="D11166" t="s">
        <v>441</v>
      </c>
      <c r="F11166">
        <v>0</v>
      </c>
      <c r="G11166">
        <v>22.31</v>
      </c>
      <c r="H11166" t="s">
        <v>8580</v>
      </c>
      <c r="I11166">
        <v>6</v>
      </c>
      <c r="J11166" t="s">
        <v>445</v>
      </c>
      <c r="M11166">
        <v>3349</v>
      </c>
      <c r="N11166" t="s">
        <v>17009</v>
      </c>
    </row>
    <row r="11167" spans="1:14">
      <c r="A11167">
        <v>70044110</v>
      </c>
      <c r="B11167">
        <v>4009887</v>
      </c>
      <c r="C11167" t="s">
        <v>15678</v>
      </c>
      <c r="D11167" t="s">
        <v>442</v>
      </c>
      <c r="E11167" t="s">
        <v>441</v>
      </c>
      <c r="F11167">
        <v>0.18</v>
      </c>
      <c r="G11167">
        <v>7.74</v>
      </c>
      <c r="H11167" t="s">
        <v>8587</v>
      </c>
      <c r="I11167">
        <v>111</v>
      </c>
      <c r="J11167" t="s">
        <v>462</v>
      </c>
      <c r="K11167" t="s">
        <v>446</v>
      </c>
      <c r="L11167" t="s">
        <v>13434</v>
      </c>
      <c r="M11167">
        <v>7108</v>
      </c>
      <c r="N11167" t="s">
        <v>17007</v>
      </c>
    </row>
    <row r="11168" spans="1:14">
      <c r="A11168">
        <v>70044111</v>
      </c>
      <c r="B11168">
        <v>3036432</v>
      </c>
      <c r="C11168" t="s">
        <v>5125</v>
      </c>
      <c r="D11168" t="s">
        <v>442</v>
      </c>
      <c r="E11168" t="s">
        <v>441</v>
      </c>
      <c r="F11168">
        <v>0.18</v>
      </c>
      <c r="G11168">
        <v>4.66</v>
      </c>
      <c r="H11168" t="s">
        <v>8587</v>
      </c>
      <c r="I11168">
        <v>111</v>
      </c>
      <c r="J11168" t="s">
        <v>445</v>
      </c>
      <c r="M11168">
        <v>3741</v>
      </c>
      <c r="N11168" t="s">
        <v>17007</v>
      </c>
    </row>
    <row r="11169" spans="1:14">
      <c r="A11169">
        <v>70044120</v>
      </c>
      <c r="B11169">
        <v>4009892</v>
      </c>
      <c r="C11169" t="s">
        <v>5126</v>
      </c>
      <c r="D11169" t="s">
        <v>442</v>
      </c>
      <c r="E11169" t="s">
        <v>441</v>
      </c>
      <c r="F11169">
        <v>0.18</v>
      </c>
      <c r="G11169">
        <v>6.27</v>
      </c>
      <c r="H11169" t="s">
        <v>8587</v>
      </c>
      <c r="I11169">
        <v>111</v>
      </c>
      <c r="J11169" t="s">
        <v>462</v>
      </c>
      <c r="K11169" t="s">
        <v>446</v>
      </c>
      <c r="M11169">
        <v>7108</v>
      </c>
      <c r="N11169" t="s">
        <v>17007</v>
      </c>
    </row>
    <row r="11170" spans="1:14">
      <c r="A11170">
        <v>70044130</v>
      </c>
      <c r="B11170">
        <v>4009889</v>
      </c>
      <c r="C11170" t="s">
        <v>5127</v>
      </c>
      <c r="D11170" t="s">
        <v>442</v>
      </c>
      <c r="E11170" t="s">
        <v>441</v>
      </c>
      <c r="F11170">
        <v>0.18</v>
      </c>
      <c r="G11170">
        <v>6.1</v>
      </c>
      <c r="H11170" t="s">
        <v>8587</v>
      </c>
      <c r="I11170">
        <v>111</v>
      </c>
      <c r="J11170" t="s">
        <v>462</v>
      </c>
      <c r="L11170" t="s">
        <v>13435</v>
      </c>
      <c r="M11170">
        <v>7108</v>
      </c>
      <c r="N11170" t="s">
        <v>17007</v>
      </c>
    </row>
    <row r="11171" spans="1:14">
      <c r="A11171">
        <v>70044140</v>
      </c>
      <c r="B11171">
        <v>4009875</v>
      </c>
      <c r="C11171" t="s">
        <v>14576</v>
      </c>
      <c r="D11171" t="s">
        <v>442</v>
      </c>
      <c r="E11171" t="s">
        <v>441</v>
      </c>
      <c r="F11171">
        <v>0.18</v>
      </c>
      <c r="G11171">
        <v>6.71</v>
      </c>
      <c r="H11171" t="s">
        <v>8587</v>
      </c>
      <c r="I11171">
        <v>111</v>
      </c>
      <c r="J11171" t="s">
        <v>462</v>
      </c>
      <c r="K11171" t="s">
        <v>446</v>
      </c>
      <c r="M11171">
        <v>7108</v>
      </c>
      <c r="N11171" t="s">
        <v>17007</v>
      </c>
    </row>
    <row r="11172" spans="1:14">
      <c r="A11172">
        <v>70044150</v>
      </c>
      <c r="B11172">
        <v>4010757</v>
      </c>
      <c r="C11172" t="s">
        <v>5128</v>
      </c>
      <c r="D11172" t="s">
        <v>442</v>
      </c>
      <c r="E11172" t="s">
        <v>441</v>
      </c>
      <c r="F11172">
        <v>0.18</v>
      </c>
      <c r="G11172">
        <v>4.7</v>
      </c>
      <c r="H11172" t="s">
        <v>8587</v>
      </c>
      <c r="I11172">
        <v>111</v>
      </c>
      <c r="J11172" t="s">
        <v>462</v>
      </c>
      <c r="K11172" t="s">
        <v>446</v>
      </c>
      <c r="L11172" t="s">
        <v>13436</v>
      </c>
      <c r="M11172">
        <v>3711</v>
      </c>
      <c r="N11172" t="s">
        <v>17007</v>
      </c>
    </row>
    <row r="11173" spans="1:14">
      <c r="A11173">
        <v>70044160</v>
      </c>
      <c r="B11173">
        <v>4011405</v>
      </c>
      <c r="C11173" t="s">
        <v>5129</v>
      </c>
      <c r="D11173" t="s">
        <v>442</v>
      </c>
      <c r="E11173" t="s">
        <v>441</v>
      </c>
      <c r="F11173">
        <v>0.18</v>
      </c>
      <c r="G11173">
        <v>6.16</v>
      </c>
      <c r="H11173" t="s">
        <v>8587</v>
      </c>
      <c r="I11173">
        <v>111</v>
      </c>
      <c r="J11173" t="s">
        <v>462</v>
      </c>
      <c r="L11173">
        <v>281192</v>
      </c>
      <c r="M11173">
        <v>7108</v>
      </c>
      <c r="N11173" t="s">
        <v>17007</v>
      </c>
    </row>
    <row r="11174" spans="1:14">
      <c r="A11174">
        <v>70044170</v>
      </c>
      <c r="B11174">
        <v>4013350</v>
      </c>
      <c r="C11174" t="s">
        <v>5130</v>
      </c>
      <c r="D11174" t="s">
        <v>442</v>
      </c>
      <c r="E11174" t="s">
        <v>441</v>
      </c>
      <c r="F11174">
        <v>0.18</v>
      </c>
      <c r="G11174">
        <v>4.3899999999999997</v>
      </c>
      <c r="H11174" t="s">
        <v>8587</v>
      </c>
      <c r="I11174">
        <v>81</v>
      </c>
      <c r="J11174" t="s">
        <v>462</v>
      </c>
      <c r="K11174" t="s">
        <v>446</v>
      </c>
      <c r="M11174">
        <v>3711</v>
      </c>
      <c r="N11174" t="s">
        <v>17010</v>
      </c>
    </row>
    <row r="11175" spans="1:14">
      <c r="A11175">
        <v>70044180</v>
      </c>
      <c r="B11175">
        <v>4013535</v>
      </c>
      <c r="C11175" t="s">
        <v>5131</v>
      </c>
      <c r="D11175" t="s">
        <v>442</v>
      </c>
      <c r="E11175" t="s">
        <v>441</v>
      </c>
      <c r="F11175">
        <v>0.18</v>
      </c>
      <c r="G11175">
        <v>4.49</v>
      </c>
      <c r="H11175" t="s">
        <v>8587</v>
      </c>
      <c r="I11175">
        <v>111</v>
      </c>
      <c r="J11175" t="s">
        <v>462</v>
      </c>
      <c r="K11175" t="s">
        <v>446</v>
      </c>
      <c r="M11175">
        <v>3711</v>
      </c>
      <c r="N11175" t="s">
        <v>17010</v>
      </c>
    </row>
    <row r="11176" spans="1:14">
      <c r="A11176">
        <v>70044190</v>
      </c>
      <c r="B11176">
        <v>4019486</v>
      </c>
      <c r="C11176" t="s">
        <v>5132</v>
      </c>
      <c r="D11176" t="s">
        <v>442</v>
      </c>
      <c r="E11176" t="s">
        <v>441</v>
      </c>
      <c r="F11176">
        <v>0.18</v>
      </c>
      <c r="G11176">
        <v>4.49</v>
      </c>
      <c r="H11176" t="s">
        <v>8587</v>
      </c>
      <c r="I11176">
        <v>111</v>
      </c>
      <c r="J11176" t="s">
        <v>462</v>
      </c>
      <c r="K11176" t="s">
        <v>446</v>
      </c>
      <c r="L11176" t="s">
        <v>13437</v>
      </c>
      <c r="M11176">
        <v>3711</v>
      </c>
      <c r="N11176" t="s">
        <v>17010</v>
      </c>
    </row>
    <row r="11177" spans="1:14">
      <c r="A11177">
        <v>70044210</v>
      </c>
      <c r="B11177">
        <v>4009878</v>
      </c>
      <c r="C11177" t="s">
        <v>5133</v>
      </c>
      <c r="D11177" t="s">
        <v>441</v>
      </c>
      <c r="F11177">
        <v>0</v>
      </c>
      <c r="G11177">
        <v>23.56</v>
      </c>
      <c r="H11177" t="s">
        <v>8587</v>
      </c>
      <c r="I11177">
        <v>100</v>
      </c>
      <c r="J11177" t="s">
        <v>462</v>
      </c>
      <c r="M11177">
        <v>3711</v>
      </c>
      <c r="N11177" t="s">
        <v>17007</v>
      </c>
    </row>
    <row r="11178" spans="1:14">
      <c r="A11178">
        <v>70044220</v>
      </c>
      <c r="B11178">
        <v>4009888</v>
      </c>
      <c r="C11178" t="s">
        <v>5134</v>
      </c>
      <c r="D11178" t="s">
        <v>441</v>
      </c>
      <c r="F11178">
        <v>0</v>
      </c>
      <c r="G11178">
        <v>22.23</v>
      </c>
      <c r="H11178" t="s">
        <v>8587</v>
      </c>
      <c r="I11178">
        <v>82</v>
      </c>
      <c r="J11178" t="s">
        <v>462</v>
      </c>
      <c r="K11178" t="s">
        <v>446</v>
      </c>
      <c r="M11178">
        <v>3711</v>
      </c>
      <c r="N11178" t="s">
        <v>17010</v>
      </c>
    </row>
    <row r="11179" spans="1:14">
      <c r="A11179">
        <v>70044230</v>
      </c>
      <c r="B11179">
        <v>4009891</v>
      </c>
      <c r="C11179" t="s">
        <v>13438</v>
      </c>
      <c r="D11179" t="s">
        <v>442</v>
      </c>
      <c r="E11179" t="s">
        <v>441</v>
      </c>
      <c r="F11179">
        <v>0.18</v>
      </c>
      <c r="G11179">
        <v>4.12</v>
      </c>
      <c r="H11179" t="s">
        <v>8587</v>
      </c>
      <c r="I11179">
        <v>42</v>
      </c>
      <c r="J11179" t="s">
        <v>462</v>
      </c>
      <c r="K11179" t="s">
        <v>446</v>
      </c>
      <c r="M11179">
        <v>3711</v>
      </c>
    </row>
    <row r="11180" spans="1:14">
      <c r="A11180">
        <v>70044240</v>
      </c>
      <c r="B11180">
        <v>4009876</v>
      </c>
      <c r="C11180" t="s">
        <v>5135</v>
      </c>
      <c r="D11180" t="s">
        <v>441</v>
      </c>
      <c r="F11180">
        <v>0</v>
      </c>
      <c r="G11180">
        <v>22.59</v>
      </c>
      <c r="H11180" t="s">
        <v>8587</v>
      </c>
      <c r="I11180">
        <v>82</v>
      </c>
      <c r="J11180" t="s">
        <v>462</v>
      </c>
      <c r="K11180" t="s">
        <v>446</v>
      </c>
      <c r="M11180">
        <v>3711</v>
      </c>
      <c r="N11180" t="s">
        <v>17010</v>
      </c>
    </row>
    <row r="11181" spans="1:14">
      <c r="A11181">
        <v>70044250</v>
      </c>
      <c r="B11181">
        <v>4010601</v>
      </c>
      <c r="C11181" t="s">
        <v>13439</v>
      </c>
      <c r="D11181" t="s">
        <v>442</v>
      </c>
      <c r="E11181" t="s">
        <v>441</v>
      </c>
      <c r="F11181">
        <v>0.18</v>
      </c>
      <c r="G11181">
        <v>3.97</v>
      </c>
      <c r="H11181" t="s">
        <v>8587</v>
      </c>
      <c r="I11181">
        <v>42</v>
      </c>
      <c r="J11181" t="s">
        <v>462</v>
      </c>
      <c r="K11181" t="s">
        <v>446</v>
      </c>
      <c r="M11181">
        <v>3711</v>
      </c>
    </row>
    <row r="11182" spans="1:14">
      <c r="A11182">
        <v>70044260</v>
      </c>
      <c r="B11182">
        <v>4020212</v>
      </c>
      <c r="C11182" t="s">
        <v>5136</v>
      </c>
      <c r="D11182" t="s">
        <v>442</v>
      </c>
      <c r="E11182" t="s">
        <v>441</v>
      </c>
      <c r="F11182">
        <v>0.15</v>
      </c>
      <c r="G11182">
        <v>3.14</v>
      </c>
      <c r="H11182" t="s">
        <v>8587</v>
      </c>
      <c r="I11182">
        <v>82</v>
      </c>
      <c r="J11182" t="s">
        <v>462</v>
      </c>
      <c r="K11182" t="s">
        <v>446</v>
      </c>
      <c r="L11182" t="s">
        <v>13440</v>
      </c>
      <c r="M11182">
        <v>3711</v>
      </c>
      <c r="N11182" t="s">
        <v>17007</v>
      </c>
    </row>
    <row r="11183" spans="1:14">
      <c r="A11183">
        <v>70044261</v>
      </c>
      <c r="B11183">
        <v>3033002</v>
      </c>
      <c r="C11183" t="s">
        <v>5137</v>
      </c>
      <c r="D11183" t="s">
        <v>442</v>
      </c>
      <c r="E11183" t="s">
        <v>441</v>
      </c>
      <c r="F11183">
        <v>0.15</v>
      </c>
      <c r="G11183">
        <v>3.09</v>
      </c>
      <c r="H11183" t="s">
        <v>8587</v>
      </c>
      <c r="I11183">
        <v>81</v>
      </c>
      <c r="J11183" t="s">
        <v>445</v>
      </c>
      <c r="K11183" t="s">
        <v>446</v>
      </c>
      <c r="M11183">
        <v>3711</v>
      </c>
      <c r="N11183" t="s">
        <v>17007</v>
      </c>
    </row>
    <row r="11184" spans="1:14">
      <c r="A11184">
        <v>70044270</v>
      </c>
      <c r="B11184">
        <v>4020213</v>
      </c>
      <c r="C11184" t="s">
        <v>5138</v>
      </c>
      <c r="D11184" t="s">
        <v>441</v>
      </c>
      <c r="F11184">
        <v>0</v>
      </c>
      <c r="G11184">
        <v>18.97</v>
      </c>
      <c r="H11184" t="s">
        <v>8587</v>
      </c>
      <c r="I11184">
        <v>82</v>
      </c>
      <c r="J11184" t="s">
        <v>462</v>
      </c>
      <c r="K11184" t="s">
        <v>446</v>
      </c>
      <c r="M11184">
        <v>3711</v>
      </c>
      <c r="N11184" t="s">
        <v>17007</v>
      </c>
    </row>
    <row r="11185" spans="1:14">
      <c r="A11185">
        <v>70044280</v>
      </c>
      <c r="B11185">
        <v>4020424</v>
      </c>
      <c r="C11185" t="s">
        <v>5139</v>
      </c>
      <c r="D11185" t="s">
        <v>442</v>
      </c>
      <c r="E11185" t="s">
        <v>441</v>
      </c>
      <c r="F11185">
        <v>0.15</v>
      </c>
      <c r="G11185">
        <v>3.19</v>
      </c>
      <c r="H11185" t="s">
        <v>8587</v>
      </c>
      <c r="I11185">
        <v>82</v>
      </c>
      <c r="J11185" t="s">
        <v>462</v>
      </c>
      <c r="K11185" t="s">
        <v>446</v>
      </c>
      <c r="L11185" t="s">
        <v>13441</v>
      </c>
      <c r="M11185">
        <v>3711</v>
      </c>
      <c r="N11185" t="s">
        <v>17007</v>
      </c>
    </row>
    <row r="11186" spans="1:14">
      <c r="A11186">
        <v>70044290</v>
      </c>
      <c r="B11186">
        <v>4021568</v>
      </c>
      <c r="C11186" t="s">
        <v>5140</v>
      </c>
      <c r="D11186" t="s">
        <v>442</v>
      </c>
      <c r="E11186" t="s">
        <v>441</v>
      </c>
      <c r="F11186">
        <v>0.15</v>
      </c>
      <c r="G11186">
        <v>3.09</v>
      </c>
      <c r="H11186" t="s">
        <v>8587</v>
      </c>
      <c r="I11186">
        <v>82</v>
      </c>
      <c r="J11186" t="s">
        <v>462</v>
      </c>
      <c r="K11186" t="s">
        <v>446</v>
      </c>
      <c r="M11186">
        <v>3711</v>
      </c>
      <c r="N11186" t="s">
        <v>17007</v>
      </c>
    </row>
    <row r="11187" spans="1:14">
      <c r="A11187">
        <v>70044410</v>
      </c>
      <c r="B11187">
        <v>4009879</v>
      </c>
      <c r="C11187" t="s">
        <v>5141</v>
      </c>
      <c r="D11187" t="s">
        <v>442</v>
      </c>
      <c r="E11187" t="s">
        <v>441</v>
      </c>
      <c r="F11187">
        <v>1.08</v>
      </c>
      <c r="G11187">
        <v>26.02</v>
      </c>
      <c r="H11187" t="s">
        <v>8587</v>
      </c>
      <c r="I11187">
        <v>111</v>
      </c>
      <c r="J11187" t="s">
        <v>462</v>
      </c>
      <c r="K11187" t="s">
        <v>446</v>
      </c>
      <c r="L11187" t="s">
        <v>13442</v>
      </c>
      <c r="M11187">
        <v>3711</v>
      </c>
      <c r="N11187" t="s">
        <v>17007</v>
      </c>
    </row>
    <row r="11188" spans="1:14">
      <c r="A11188">
        <v>70044420</v>
      </c>
      <c r="B11188">
        <v>4009877</v>
      </c>
      <c r="C11188" t="s">
        <v>13443</v>
      </c>
      <c r="D11188" t="s">
        <v>442</v>
      </c>
      <c r="E11188" t="s">
        <v>441</v>
      </c>
      <c r="F11188">
        <v>0.18</v>
      </c>
      <c r="G11188">
        <v>4.82</v>
      </c>
      <c r="H11188" t="s">
        <v>8587</v>
      </c>
      <c r="I11188">
        <v>111</v>
      </c>
      <c r="J11188" t="s">
        <v>462</v>
      </c>
      <c r="K11188" t="s">
        <v>446</v>
      </c>
      <c r="M11188">
        <v>3711</v>
      </c>
    </row>
    <row r="11189" spans="1:14">
      <c r="A11189">
        <v>70044430</v>
      </c>
      <c r="B11189">
        <v>4010087</v>
      </c>
      <c r="C11189" t="s">
        <v>13444</v>
      </c>
      <c r="D11189" t="s">
        <v>442</v>
      </c>
      <c r="E11189" t="s">
        <v>441</v>
      </c>
      <c r="F11189">
        <v>0.18</v>
      </c>
      <c r="G11189">
        <v>4.4400000000000004</v>
      </c>
      <c r="H11189" t="s">
        <v>8587</v>
      </c>
      <c r="I11189">
        <v>111</v>
      </c>
      <c r="J11189" t="s">
        <v>462</v>
      </c>
      <c r="K11189" t="s">
        <v>446</v>
      </c>
      <c r="M11189">
        <v>3711</v>
      </c>
    </row>
    <row r="11190" spans="1:14">
      <c r="A11190">
        <v>70046210</v>
      </c>
      <c r="B11190">
        <v>4021608</v>
      </c>
      <c r="C11190" t="s">
        <v>5142</v>
      </c>
      <c r="D11190" t="s">
        <v>442</v>
      </c>
      <c r="E11190" t="s">
        <v>441</v>
      </c>
      <c r="F11190">
        <v>0.15</v>
      </c>
      <c r="G11190">
        <v>5.0199999999999996</v>
      </c>
      <c r="H11190" t="s">
        <v>8587</v>
      </c>
      <c r="I11190">
        <v>100</v>
      </c>
      <c r="J11190" t="s">
        <v>462</v>
      </c>
      <c r="L11190" t="s">
        <v>13445</v>
      </c>
      <c r="M11190">
        <v>7108</v>
      </c>
      <c r="N11190" t="s">
        <v>17007</v>
      </c>
    </row>
    <row r="11191" spans="1:14">
      <c r="A11191">
        <v>70046211</v>
      </c>
      <c r="B11191">
        <v>3033351</v>
      </c>
      <c r="C11191" t="s">
        <v>5143</v>
      </c>
      <c r="D11191" t="s">
        <v>442</v>
      </c>
      <c r="E11191" t="s">
        <v>441</v>
      </c>
      <c r="F11191">
        <v>0.15</v>
      </c>
      <c r="G11191">
        <v>3.75</v>
      </c>
      <c r="H11191" t="s">
        <v>8587</v>
      </c>
      <c r="I11191">
        <v>100</v>
      </c>
      <c r="J11191" t="s">
        <v>445</v>
      </c>
      <c r="M11191">
        <v>3741</v>
      </c>
      <c r="N11191" t="s">
        <v>17007</v>
      </c>
    </row>
    <row r="11192" spans="1:14">
      <c r="A11192">
        <v>70046220</v>
      </c>
      <c r="B11192">
        <v>4021641</v>
      </c>
      <c r="C11192" t="s">
        <v>5144</v>
      </c>
      <c r="D11192" t="s">
        <v>442</v>
      </c>
      <c r="E11192" t="s">
        <v>441</v>
      </c>
      <c r="F11192">
        <v>0.15</v>
      </c>
      <c r="G11192">
        <v>5.07</v>
      </c>
      <c r="H11192" t="s">
        <v>8587</v>
      </c>
      <c r="I11192">
        <v>100</v>
      </c>
      <c r="J11192" t="s">
        <v>462</v>
      </c>
      <c r="L11192" t="s">
        <v>13446</v>
      </c>
      <c r="M11192">
        <v>7108</v>
      </c>
      <c r="N11192" t="s">
        <v>17007</v>
      </c>
    </row>
    <row r="11193" spans="1:14">
      <c r="A11193">
        <v>70046230</v>
      </c>
      <c r="B11193">
        <v>4022854</v>
      </c>
      <c r="C11193" t="s">
        <v>5145</v>
      </c>
      <c r="D11193" t="s">
        <v>442</v>
      </c>
      <c r="E11193" t="s">
        <v>441</v>
      </c>
      <c r="F11193">
        <v>0.15</v>
      </c>
      <c r="G11193">
        <v>4.8899999999999997</v>
      </c>
      <c r="H11193" t="s">
        <v>8587</v>
      </c>
      <c r="I11193">
        <v>100</v>
      </c>
      <c r="J11193" t="s">
        <v>462</v>
      </c>
      <c r="M11193">
        <v>7108</v>
      </c>
      <c r="N11193" t="s">
        <v>17007</v>
      </c>
    </row>
    <row r="11194" spans="1:14">
      <c r="A11194">
        <v>70046240</v>
      </c>
      <c r="B11194">
        <v>3040217</v>
      </c>
      <c r="C11194" t="s">
        <v>5144</v>
      </c>
      <c r="D11194" t="s">
        <v>442</v>
      </c>
      <c r="E11194" t="s">
        <v>441</v>
      </c>
      <c r="F11194">
        <v>0.15</v>
      </c>
      <c r="G11194">
        <v>3.94</v>
      </c>
      <c r="H11194" t="s">
        <v>8587</v>
      </c>
      <c r="I11194">
        <v>100</v>
      </c>
      <c r="J11194" t="s">
        <v>445</v>
      </c>
      <c r="L11194" t="s">
        <v>13446</v>
      </c>
      <c r="M11194">
        <v>7108</v>
      </c>
      <c r="N11194" t="s">
        <v>17007</v>
      </c>
    </row>
    <row r="11195" spans="1:14">
      <c r="A11195">
        <v>70046250</v>
      </c>
      <c r="B11195">
        <v>4028252</v>
      </c>
      <c r="C11195" t="s">
        <v>5146</v>
      </c>
      <c r="D11195" t="s">
        <v>442</v>
      </c>
      <c r="E11195" t="s">
        <v>441</v>
      </c>
      <c r="F11195">
        <v>0.15</v>
      </c>
      <c r="G11195">
        <v>4.91</v>
      </c>
      <c r="H11195" t="s">
        <v>8587</v>
      </c>
      <c r="I11195">
        <v>110</v>
      </c>
      <c r="J11195" t="s">
        <v>462</v>
      </c>
      <c r="M11195">
        <v>7108</v>
      </c>
      <c r="N11195" t="s">
        <v>17007</v>
      </c>
    </row>
    <row r="11196" spans="1:14">
      <c r="A11196">
        <v>70050000</v>
      </c>
      <c r="B11196">
        <v>3008465</v>
      </c>
      <c r="C11196" t="s">
        <v>13447</v>
      </c>
      <c r="D11196" t="s">
        <v>441</v>
      </c>
      <c r="F11196">
        <v>0</v>
      </c>
      <c r="G11196">
        <v>18.27</v>
      </c>
      <c r="H11196" t="s">
        <v>8580</v>
      </c>
      <c r="I11196">
        <v>28</v>
      </c>
      <c r="J11196" t="s">
        <v>445</v>
      </c>
      <c r="K11196" t="s">
        <v>446</v>
      </c>
      <c r="M11196">
        <v>3312</v>
      </c>
    </row>
    <row r="11197" spans="1:14">
      <c r="A11197">
        <v>70050008</v>
      </c>
      <c r="B11197">
        <v>3016664</v>
      </c>
      <c r="C11197" t="s">
        <v>13448</v>
      </c>
      <c r="D11197" t="s">
        <v>441</v>
      </c>
      <c r="F11197">
        <v>0</v>
      </c>
      <c r="G11197">
        <v>10.56</v>
      </c>
      <c r="H11197" t="s">
        <v>8584</v>
      </c>
      <c r="I11197">
        <v>9</v>
      </c>
      <c r="J11197" t="s">
        <v>445</v>
      </c>
      <c r="K11197" t="s">
        <v>446</v>
      </c>
      <c r="M11197">
        <v>3211</v>
      </c>
    </row>
    <row r="11198" spans="1:14">
      <c r="A11198">
        <v>70050009</v>
      </c>
      <c r="B11198">
        <v>3016693</v>
      </c>
      <c r="C11198" t="s">
        <v>13449</v>
      </c>
      <c r="D11198" t="s">
        <v>441</v>
      </c>
      <c r="F11198">
        <v>0</v>
      </c>
      <c r="G11198">
        <v>14.84</v>
      </c>
      <c r="H11198" t="s">
        <v>8580</v>
      </c>
      <c r="I11198">
        <v>9</v>
      </c>
      <c r="J11198" t="s">
        <v>445</v>
      </c>
      <c r="K11198" t="s">
        <v>446</v>
      </c>
      <c r="M11198">
        <v>3311</v>
      </c>
    </row>
    <row r="11199" spans="1:14">
      <c r="A11199">
        <v>70054050</v>
      </c>
      <c r="B11199">
        <v>4001111</v>
      </c>
      <c r="C11199" t="s">
        <v>13450</v>
      </c>
      <c r="D11199" t="s">
        <v>441</v>
      </c>
      <c r="F11199">
        <v>0</v>
      </c>
      <c r="G11199">
        <v>19.84</v>
      </c>
      <c r="H11199" t="s">
        <v>8587</v>
      </c>
      <c r="I11199">
        <v>42</v>
      </c>
      <c r="J11199" t="s">
        <v>462</v>
      </c>
      <c r="K11199" t="s">
        <v>446</v>
      </c>
      <c r="M11199">
        <v>3711</v>
      </c>
    </row>
    <row r="11200" spans="1:14">
      <c r="A11200">
        <v>70054053</v>
      </c>
      <c r="B11200">
        <v>4004382</v>
      </c>
      <c r="C11200" t="s">
        <v>13451</v>
      </c>
      <c r="D11200" t="s">
        <v>441</v>
      </c>
      <c r="F11200">
        <v>0</v>
      </c>
      <c r="G11200">
        <v>19.84</v>
      </c>
      <c r="H11200" t="s">
        <v>8587</v>
      </c>
      <c r="I11200">
        <v>42</v>
      </c>
      <c r="J11200" t="s">
        <v>462</v>
      </c>
      <c r="K11200" t="s">
        <v>446</v>
      </c>
      <c r="M11200">
        <v>3711</v>
      </c>
    </row>
    <row r="11201" spans="1:13">
      <c r="A11201">
        <v>70054054</v>
      </c>
      <c r="B11201">
        <v>4008580</v>
      </c>
      <c r="C11201" t="s">
        <v>13452</v>
      </c>
      <c r="D11201" t="s">
        <v>441</v>
      </c>
      <c r="F11201">
        <v>0</v>
      </c>
      <c r="G11201">
        <v>19.7</v>
      </c>
      <c r="H11201" t="s">
        <v>8587</v>
      </c>
      <c r="I11201">
        <v>42</v>
      </c>
      <c r="J11201" t="s">
        <v>462</v>
      </c>
      <c r="K11201" t="s">
        <v>446</v>
      </c>
      <c r="M11201">
        <v>3711</v>
      </c>
    </row>
    <row r="11202" spans="1:13">
      <c r="A11202">
        <v>70054112</v>
      </c>
      <c r="B11202">
        <v>4009086</v>
      </c>
      <c r="C11202" t="s">
        <v>13453</v>
      </c>
      <c r="D11202" t="s">
        <v>442</v>
      </c>
      <c r="E11202" t="s">
        <v>441</v>
      </c>
      <c r="F11202">
        <v>0.18</v>
      </c>
      <c r="G11202">
        <v>4.0199999999999996</v>
      </c>
      <c r="H11202" t="s">
        <v>8587</v>
      </c>
      <c r="I11202">
        <v>548</v>
      </c>
      <c r="J11202" t="s">
        <v>462</v>
      </c>
      <c r="K11202" t="s">
        <v>446</v>
      </c>
      <c r="M11202">
        <v>2501</v>
      </c>
    </row>
    <row r="11203" spans="1:13">
      <c r="A11203">
        <v>70054115</v>
      </c>
      <c r="B11203">
        <v>3010040</v>
      </c>
      <c r="C11203" t="s">
        <v>13454</v>
      </c>
      <c r="D11203" t="s">
        <v>442</v>
      </c>
      <c r="E11203" t="s">
        <v>441</v>
      </c>
      <c r="F11203">
        <v>0.18</v>
      </c>
      <c r="G11203">
        <v>3.98</v>
      </c>
      <c r="H11203" t="s">
        <v>8580</v>
      </c>
      <c r="I11203">
        <v>548</v>
      </c>
      <c r="J11203" t="s">
        <v>445</v>
      </c>
      <c r="K11203" t="s">
        <v>446</v>
      </c>
      <c r="M11203">
        <v>3711</v>
      </c>
    </row>
    <row r="11204" spans="1:13">
      <c r="A11204">
        <v>70054121</v>
      </c>
      <c r="B11204">
        <v>3011892</v>
      </c>
      <c r="C11204" t="s">
        <v>13455</v>
      </c>
      <c r="D11204" t="s">
        <v>442</v>
      </c>
      <c r="E11204" t="s">
        <v>441</v>
      </c>
      <c r="F11204">
        <v>0.18</v>
      </c>
      <c r="G11204">
        <v>3.95</v>
      </c>
      <c r="H11204" t="s">
        <v>8580</v>
      </c>
      <c r="I11204">
        <v>111</v>
      </c>
      <c r="J11204" t="s">
        <v>445</v>
      </c>
      <c r="K11204" t="s">
        <v>446</v>
      </c>
      <c r="M11204">
        <v>3711</v>
      </c>
    </row>
    <row r="11205" spans="1:13">
      <c r="A11205">
        <v>70054140</v>
      </c>
      <c r="B11205">
        <v>4001112</v>
      </c>
      <c r="C11205" t="s">
        <v>13456</v>
      </c>
      <c r="D11205" t="s">
        <v>442</v>
      </c>
      <c r="E11205" t="s">
        <v>441</v>
      </c>
      <c r="F11205">
        <v>0.18</v>
      </c>
      <c r="G11205">
        <v>4</v>
      </c>
      <c r="H11205" t="s">
        <v>8587</v>
      </c>
      <c r="I11205">
        <v>111</v>
      </c>
      <c r="J11205" t="s">
        <v>462</v>
      </c>
      <c r="K11205" t="s">
        <v>446</v>
      </c>
      <c r="M11205">
        <v>3711</v>
      </c>
    </row>
    <row r="11206" spans="1:13">
      <c r="A11206">
        <v>70054170</v>
      </c>
      <c r="B11206">
        <v>4001962</v>
      </c>
      <c r="C11206" t="s">
        <v>13457</v>
      </c>
      <c r="D11206" t="s">
        <v>442</v>
      </c>
      <c r="E11206" t="s">
        <v>441</v>
      </c>
      <c r="F11206">
        <v>0.18</v>
      </c>
      <c r="G11206">
        <v>4.03</v>
      </c>
      <c r="H11206" t="s">
        <v>8587</v>
      </c>
      <c r="I11206">
        <v>111</v>
      </c>
      <c r="J11206" t="s">
        <v>462</v>
      </c>
      <c r="K11206" t="s">
        <v>446</v>
      </c>
      <c r="M11206">
        <v>3711</v>
      </c>
    </row>
    <row r="11207" spans="1:13">
      <c r="A11207">
        <v>70054190</v>
      </c>
      <c r="B11207">
        <v>4004383</v>
      </c>
      <c r="C11207" t="s">
        <v>13458</v>
      </c>
      <c r="D11207" t="s">
        <v>442</v>
      </c>
      <c r="E11207" t="s">
        <v>441</v>
      </c>
      <c r="F11207">
        <v>0.18</v>
      </c>
      <c r="G11207">
        <v>4.0199999999999996</v>
      </c>
      <c r="H11207" t="s">
        <v>8587</v>
      </c>
      <c r="I11207">
        <v>111</v>
      </c>
      <c r="J11207" t="s">
        <v>462</v>
      </c>
      <c r="K11207" t="s">
        <v>446</v>
      </c>
      <c r="M11207">
        <v>3711</v>
      </c>
    </row>
    <row r="11208" spans="1:13">
      <c r="A11208">
        <v>70054210</v>
      </c>
      <c r="B11208">
        <v>4004384</v>
      </c>
      <c r="C11208" t="s">
        <v>13459</v>
      </c>
      <c r="D11208" t="s">
        <v>441</v>
      </c>
      <c r="F11208">
        <v>0</v>
      </c>
      <c r="G11208">
        <v>19.73</v>
      </c>
      <c r="H11208" t="s">
        <v>8587</v>
      </c>
      <c r="I11208">
        <v>42</v>
      </c>
      <c r="J11208" t="s">
        <v>462</v>
      </c>
      <c r="K11208" t="s">
        <v>446</v>
      </c>
      <c r="M11208">
        <v>3711</v>
      </c>
    </row>
    <row r="11209" spans="1:13">
      <c r="A11209">
        <v>70054220</v>
      </c>
      <c r="B11209">
        <v>4001113</v>
      </c>
      <c r="C11209" t="s">
        <v>13460</v>
      </c>
      <c r="D11209" t="s">
        <v>441</v>
      </c>
      <c r="F11209">
        <v>0</v>
      </c>
      <c r="G11209">
        <v>19.84</v>
      </c>
      <c r="H11209" t="s">
        <v>8587</v>
      </c>
      <c r="I11209">
        <v>42</v>
      </c>
      <c r="J11209" t="s">
        <v>462</v>
      </c>
      <c r="K11209" t="s">
        <v>446</v>
      </c>
      <c r="M11209">
        <v>3711</v>
      </c>
    </row>
    <row r="11210" spans="1:13">
      <c r="A11210">
        <v>70054230</v>
      </c>
      <c r="B11210">
        <v>4004385</v>
      </c>
      <c r="C11210" t="s">
        <v>13461</v>
      </c>
      <c r="D11210" t="s">
        <v>441</v>
      </c>
      <c r="F11210">
        <v>0</v>
      </c>
      <c r="G11210">
        <v>19.63</v>
      </c>
      <c r="H11210" t="s">
        <v>8587</v>
      </c>
      <c r="I11210">
        <v>42</v>
      </c>
      <c r="J11210" t="s">
        <v>462</v>
      </c>
      <c r="K11210" t="s">
        <v>446</v>
      </c>
      <c r="M11210">
        <v>3711</v>
      </c>
    </row>
    <row r="11211" spans="1:13">
      <c r="A11211">
        <v>70054240</v>
      </c>
      <c r="B11211">
        <v>4004386</v>
      </c>
      <c r="C11211" t="s">
        <v>13462</v>
      </c>
      <c r="D11211" t="s">
        <v>441</v>
      </c>
      <c r="F11211">
        <v>0</v>
      </c>
      <c r="G11211">
        <v>19.72</v>
      </c>
      <c r="H11211" t="s">
        <v>8587</v>
      </c>
      <c r="I11211">
        <v>42</v>
      </c>
      <c r="J11211" t="s">
        <v>462</v>
      </c>
      <c r="K11211" t="s">
        <v>446</v>
      </c>
      <c r="M11211">
        <v>3711</v>
      </c>
    </row>
    <row r="11212" spans="1:13">
      <c r="A11212">
        <v>70054420</v>
      </c>
      <c r="B11212">
        <v>4004388</v>
      </c>
      <c r="C11212" t="s">
        <v>13463</v>
      </c>
      <c r="D11212" t="s">
        <v>442</v>
      </c>
      <c r="E11212" t="s">
        <v>441</v>
      </c>
      <c r="F11212">
        <v>1.08</v>
      </c>
      <c r="G11212">
        <v>23.18</v>
      </c>
      <c r="H11212" t="s">
        <v>8587</v>
      </c>
      <c r="I11212">
        <v>111</v>
      </c>
      <c r="J11212" t="s">
        <v>462</v>
      </c>
      <c r="K11212" t="s">
        <v>446</v>
      </c>
      <c r="M11212">
        <v>3711</v>
      </c>
    </row>
    <row r="11213" spans="1:13">
      <c r="A11213">
        <v>70054430</v>
      </c>
      <c r="B11213">
        <v>4008553</v>
      </c>
      <c r="C11213" t="s">
        <v>13464</v>
      </c>
      <c r="D11213" t="s">
        <v>442</v>
      </c>
      <c r="E11213" t="s">
        <v>441</v>
      </c>
      <c r="F11213">
        <v>0.18</v>
      </c>
      <c r="G11213">
        <v>4.54</v>
      </c>
      <c r="H11213" t="s">
        <v>8587</v>
      </c>
      <c r="I11213">
        <v>111</v>
      </c>
      <c r="J11213" t="s">
        <v>462</v>
      </c>
      <c r="K11213" t="s">
        <v>446</v>
      </c>
      <c r="M11213">
        <v>3711</v>
      </c>
    </row>
    <row r="11214" spans="1:13">
      <c r="A11214">
        <v>70054510</v>
      </c>
      <c r="B11214">
        <v>4006243</v>
      </c>
      <c r="C11214" t="s">
        <v>13465</v>
      </c>
      <c r="D11214" t="s">
        <v>442</v>
      </c>
      <c r="E11214" t="s">
        <v>441</v>
      </c>
      <c r="F11214">
        <v>0.18</v>
      </c>
      <c r="G11214">
        <v>4.1100000000000003</v>
      </c>
      <c r="H11214" t="s">
        <v>8587</v>
      </c>
      <c r="I11214">
        <v>42</v>
      </c>
      <c r="J11214" t="s">
        <v>462</v>
      </c>
      <c r="K11214" t="s">
        <v>446</v>
      </c>
      <c r="M11214">
        <v>3711</v>
      </c>
    </row>
    <row r="11215" spans="1:13">
      <c r="A11215">
        <v>70054520</v>
      </c>
      <c r="B11215">
        <v>4008359</v>
      </c>
      <c r="C11215" t="s">
        <v>13466</v>
      </c>
      <c r="D11215" t="s">
        <v>442</v>
      </c>
      <c r="E11215" t="s">
        <v>441</v>
      </c>
      <c r="F11215">
        <v>0.18</v>
      </c>
      <c r="G11215">
        <v>3.84</v>
      </c>
      <c r="H11215" t="s">
        <v>8587</v>
      </c>
      <c r="I11215">
        <v>111</v>
      </c>
      <c r="J11215" t="s">
        <v>462</v>
      </c>
      <c r="K11215" t="s">
        <v>446</v>
      </c>
      <c r="M11215">
        <v>3711</v>
      </c>
    </row>
    <row r="11216" spans="1:13">
      <c r="A11216">
        <v>70054530</v>
      </c>
      <c r="B11216">
        <v>4008554</v>
      </c>
      <c r="C11216" t="s">
        <v>13467</v>
      </c>
      <c r="D11216" t="s">
        <v>442</v>
      </c>
      <c r="E11216" t="s">
        <v>441</v>
      </c>
      <c r="F11216">
        <v>2.16</v>
      </c>
      <c r="G11216">
        <v>44.58</v>
      </c>
      <c r="H11216" t="s">
        <v>8587</v>
      </c>
      <c r="I11216">
        <v>42</v>
      </c>
      <c r="J11216" t="s">
        <v>462</v>
      </c>
      <c r="K11216" t="s">
        <v>446</v>
      </c>
      <c r="M11216">
        <v>3711</v>
      </c>
    </row>
    <row r="11217" spans="1:14">
      <c r="A11217">
        <v>70056130</v>
      </c>
      <c r="B11217">
        <v>4001963</v>
      </c>
      <c r="C11217" t="s">
        <v>13468</v>
      </c>
      <c r="D11217" t="s">
        <v>442</v>
      </c>
      <c r="E11217" t="s">
        <v>441</v>
      </c>
      <c r="F11217">
        <v>0.18</v>
      </c>
      <c r="G11217">
        <v>3.96</v>
      </c>
      <c r="H11217" t="s">
        <v>8587</v>
      </c>
      <c r="I11217">
        <v>111</v>
      </c>
      <c r="J11217" t="s">
        <v>462</v>
      </c>
      <c r="K11217" t="s">
        <v>446</v>
      </c>
      <c r="M11217">
        <v>3711</v>
      </c>
    </row>
    <row r="11218" spans="1:14">
      <c r="A11218">
        <v>70056160</v>
      </c>
      <c r="B11218">
        <v>4001964</v>
      </c>
      <c r="C11218" t="s">
        <v>13469</v>
      </c>
      <c r="D11218" t="s">
        <v>442</v>
      </c>
      <c r="E11218" t="s">
        <v>441</v>
      </c>
      <c r="F11218">
        <v>0.18</v>
      </c>
      <c r="G11218">
        <v>3.99</v>
      </c>
      <c r="H11218" t="s">
        <v>8587</v>
      </c>
      <c r="I11218">
        <v>111</v>
      </c>
      <c r="J11218" t="s">
        <v>462</v>
      </c>
      <c r="K11218" t="s">
        <v>446</v>
      </c>
      <c r="M11218">
        <v>3711</v>
      </c>
    </row>
    <row r="11219" spans="1:14">
      <c r="A11219">
        <v>70056170</v>
      </c>
      <c r="B11219">
        <v>4007263</v>
      </c>
      <c r="C11219" t="s">
        <v>13470</v>
      </c>
      <c r="D11219" t="s">
        <v>442</v>
      </c>
      <c r="E11219" t="s">
        <v>441</v>
      </c>
      <c r="F11219">
        <v>0.18</v>
      </c>
      <c r="G11219">
        <v>4.0199999999999996</v>
      </c>
      <c r="H11219" t="s">
        <v>8587</v>
      </c>
      <c r="I11219">
        <v>111</v>
      </c>
      <c r="J11219" t="s">
        <v>462</v>
      </c>
      <c r="K11219" t="s">
        <v>446</v>
      </c>
      <c r="M11219">
        <v>3711</v>
      </c>
    </row>
    <row r="11220" spans="1:14">
      <c r="A11220">
        <v>70056180</v>
      </c>
      <c r="B11220">
        <v>4007417</v>
      </c>
      <c r="C11220" t="s">
        <v>13471</v>
      </c>
      <c r="D11220" t="s">
        <v>442</v>
      </c>
      <c r="E11220" t="s">
        <v>441</v>
      </c>
      <c r="F11220">
        <v>0.18</v>
      </c>
      <c r="G11220">
        <v>3.97</v>
      </c>
      <c r="H11220" t="s">
        <v>8587</v>
      </c>
      <c r="I11220">
        <v>111</v>
      </c>
      <c r="J11220" t="s">
        <v>462</v>
      </c>
      <c r="K11220" t="s">
        <v>446</v>
      </c>
      <c r="M11220">
        <v>3711</v>
      </c>
    </row>
    <row r="11221" spans="1:14">
      <c r="A11221">
        <v>70056190</v>
      </c>
      <c r="B11221">
        <v>4009473</v>
      </c>
      <c r="C11221" t="s">
        <v>13472</v>
      </c>
      <c r="D11221" t="s">
        <v>442</v>
      </c>
      <c r="E11221" t="s">
        <v>441</v>
      </c>
      <c r="F11221">
        <v>0.18</v>
      </c>
      <c r="G11221">
        <v>4.0199999999999996</v>
      </c>
      <c r="H11221" t="s">
        <v>8587</v>
      </c>
      <c r="I11221">
        <v>111</v>
      </c>
      <c r="J11221" t="s">
        <v>462</v>
      </c>
      <c r="K11221" t="s">
        <v>446</v>
      </c>
      <c r="M11221">
        <v>3711</v>
      </c>
    </row>
    <row r="11222" spans="1:14">
      <c r="A11222">
        <v>70056210</v>
      </c>
      <c r="B11222">
        <v>4004390</v>
      </c>
      <c r="C11222" t="s">
        <v>13473</v>
      </c>
      <c r="D11222" t="s">
        <v>441</v>
      </c>
      <c r="F11222">
        <v>0</v>
      </c>
      <c r="G11222">
        <v>19.75</v>
      </c>
      <c r="H11222" t="s">
        <v>8587</v>
      </c>
      <c r="I11222">
        <v>42</v>
      </c>
      <c r="J11222" t="s">
        <v>462</v>
      </c>
      <c r="K11222" t="s">
        <v>446</v>
      </c>
      <c r="M11222">
        <v>3711</v>
      </c>
    </row>
    <row r="11223" spans="1:14">
      <c r="A11223">
        <v>70060000</v>
      </c>
      <c r="B11223">
        <v>3014625</v>
      </c>
      <c r="C11223" t="s">
        <v>5147</v>
      </c>
      <c r="D11223" t="s">
        <v>441</v>
      </c>
      <c r="F11223">
        <v>0</v>
      </c>
      <c r="G11223">
        <v>16.21</v>
      </c>
      <c r="H11223" t="s">
        <v>8584</v>
      </c>
      <c r="I11223">
        <v>7</v>
      </c>
      <c r="J11223" t="s">
        <v>445</v>
      </c>
      <c r="K11223" t="s">
        <v>446</v>
      </c>
      <c r="M11223">
        <v>3312</v>
      </c>
      <c r="N11223" t="s">
        <v>17011</v>
      </c>
    </row>
    <row r="11224" spans="1:14">
      <c r="A11224">
        <v>70060008</v>
      </c>
      <c r="B11224">
        <v>3014626</v>
      </c>
      <c r="C11224" t="s">
        <v>5148</v>
      </c>
      <c r="D11224" t="s">
        <v>441</v>
      </c>
      <c r="F11224">
        <v>0</v>
      </c>
      <c r="G11224">
        <v>8.9</v>
      </c>
      <c r="H11224" t="s">
        <v>8580</v>
      </c>
      <c r="I11224">
        <v>4</v>
      </c>
      <c r="J11224" t="s">
        <v>445</v>
      </c>
      <c r="K11224" t="s">
        <v>446</v>
      </c>
      <c r="M11224">
        <v>3211</v>
      </c>
      <c r="N11224" t="s">
        <v>17011</v>
      </c>
    </row>
    <row r="11225" spans="1:14">
      <c r="A11225">
        <v>70060009</v>
      </c>
      <c r="B11225">
        <v>3014627</v>
      </c>
      <c r="C11225" t="s">
        <v>5149</v>
      </c>
      <c r="D11225" t="s">
        <v>441</v>
      </c>
      <c r="F11225">
        <v>0</v>
      </c>
      <c r="G11225">
        <v>11.93</v>
      </c>
      <c r="H11225" t="s">
        <v>8580</v>
      </c>
      <c r="I11225">
        <v>6</v>
      </c>
      <c r="J11225" t="s">
        <v>445</v>
      </c>
      <c r="K11225" t="s">
        <v>446</v>
      </c>
      <c r="M11225">
        <v>3311</v>
      </c>
      <c r="N11225" t="s">
        <v>17011</v>
      </c>
    </row>
    <row r="11226" spans="1:14">
      <c r="A11226">
        <v>70064110</v>
      </c>
      <c r="B11226">
        <v>4013493</v>
      </c>
      <c r="C11226" t="s">
        <v>5150</v>
      </c>
      <c r="D11226" t="s">
        <v>442</v>
      </c>
      <c r="E11226" t="s">
        <v>441</v>
      </c>
      <c r="F11226">
        <v>0.15</v>
      </c>
      <c r="G11226">
        <v>3.54</v>
      </c>
      <c r="H11226" t="s">
        <v>8587</v>
      </c>
      <c r="I11226">
        <v>111</v>
      </c>
      <c r="J11226" t="s">
        <v>462</v>
      </c>
      <c r="K11226" t="s">
        <v>446</v>
      </c>
      <c r="M11226">
        <v>3711</v>
      </c>
    </row>
    <row r="11227" spans="1:14">
      <c r="A11227">
        <v>70064120</v>
      </c>
      <c r="B11227">
        <v>4016401</v>
      </c>
      <c r="C11227" t="s">
        <v>5151</v>
      </c>
      <c r="D11227" t="s">
        <v>442</v>
      </c>
      <c r="E11227" t="s">
        <v>441</v>
      </c>
      <c r="F11227">
        <v>0.15</v>
      </c>
      <c r="G11227">
        <v>3.44</v>
      </c>
      <c r="H11227" t="s">
        <v>8587</v>
      </c>
      <c r="I11227">
        <v>140</v>
      </c>
      <c r="J11227" t="s">
        <v>462</v>
      </c>
      <c r="K11227" t="s">
        <v>446</v>
      </c>
      <c r="M11227">
        <v>3711</v>
      </c>
    </row>
    <row r="11228" spans="1:14">
      <c r="A11228">
        <v>70064210</v>
      </c>
      <c r="B11228">
        <v>4010786</v>
      </c>
      <c r="C11228" t="s">
        <v>5152</v>
      </c>
      <c r="D11228" t="s">
        <v>442</v>
      </c>
      <c r="E11228" t="s">
        <v>441</v>
      </c>
      <c r="F11228">
        <v>0.18</v>
      </c>
      <c r="G11228">
        <v>3.57</v>
      </c>
      <c r="H11228" t="s">
        <v>8587</v>
      </c>
      <c r="I11228">
        <v>42</v>
      </c>
      <c r="J11228" t="s">
        <v>462</v>
      </c>
      <c r="K11228" t="s">
        <v>446</v>
      </c>
      <c r="L11228" t="s">
        <v>13474</v>
      </c>
      <c r="M11228">
        <v>3711</v>
      </c>
      <c r="N11228" t="s">
        <v>17011</v>
      </c>
    </row>
    <row r="11229" spans="1:14">
      <c r="A11229">
        <v>70064220</v>
      </c>
      <c r="B11229">
        <v>4010868</v>
      </c>
      <c r="C11229" t="s">
        <v>5153</v>
      </c>
      <c r="D11229" t="s">
        <v>442</v>
      </c>
      <c r="E11229" t="s">
        <v>441</v>
      </c>
      <c r="F11229">
        <v>0.27</v>
      </c>
      <c r="G11229">
        <v>5.6</v>
      </c>
      <c r="H11229" t="s">
        <v>8587</v>
      </c>
      <c r="I11229">
        <v>111</v>
      </c>
      <c r="J11229" t="s">
        <v>462</v>
      </c>
      <c r="K11229" t="s">
        <v>446</v>
      </c>
      <c r="L11229" t="s">
        <v>13475</v>
      </c>
      <c r="M11229">
        <v>3711</v>
      </c>
    </row>
    <row r="11230" spans="1:14">
      <c r="A11230">
        <v>70064230</v>
      </c>
      <c r="B11230">
        <v>4012773</v>
      </c>
      <c r="C11230" t="s">
        <v>5154</v>
      </c>
      <c r="D11230" t="s">
        <v>442</v>
      </c>
      <c r="E11230" t="s">
        <v>441</v>
      </c>
      <c r="F11230">
        <v>0.18</v>
      </c>
      <c r="G11230">
        <v>3.61</v>
      </c>
      <c r="H11230" t="s">
        <v>8587</v>
      </c>
      <c r="I11230">
        <v>42</v>
      </c>
      <c r="J11230" t="s">
        <v>462</v>
      </c>
      <c r="K11230" t="s">
        <v>446</v>
      </c>
      <c r="M11230">
        <v>3711</v>
      </c>
      <c r="N11230" t="s">
        <v>17011</v>
      </c>
    </row>
    <row r="11231" spans="1:14">
      <c r="A11231">
        <v>70064240</v>
      </c>
      <c r="B11231">
        <v>4012903</v>
      </c>
      <c r="C11231" t="s">
        <v>5155</v>
      </c>
      <c r="D11231" t="s">
        <v>442</v>
      </c>
      <c r="E11231" t="s">
        <v>441</v>
      </c>
      <c r="F11231">
        <v>0.21</v>
      </c>
      <c r="G11231">
        <v>4.09</v>
      </c>
      <c r="H11231" t="s">
        <v>8587</v>
      </c>
      <c r="I11231">
        <v>42</v>
      </c>
      <c r="J11231" t="s">
        <v>462</v>
      </c>
      <c r="K11231" t="s">
        <v>446</v>
      </c>
      <c r="L11231" t="s">
        <v>13476</v>
      </c>
      <c r="M11231">
        <v>3711</v>
      </c>
      <c r="N11231" t="s">
        <v>17011</v>
      </c>
    </row>
    <row r="11232" spans="1:14">
      <c r="A11232">
        <v>70064250</v>
      </c>
      <c r="B11232">
        <v>4013536</v>
      </c>
      <c r="C11232" t="s">
        <v>5156</v>
      </c>
      <c r="D11232" t="s">
        <v>442</v>
      </c>
      <c r="E11232" t="s">
        <v>441</v>
      </c>
      <c r="F11232">
        <v>0.18</v>
      </c>
      <c r="G11232">
        <v>4.1399999999999997</v>
      </c>
      <c r="H11232" t="s">
        <v>8587</v>
      </c>
      <c r="I11232">
        <v>42</v>
      </c>
      <c r="J11232" t="s">
        <v>462</v>
      </c>
      <c r="K11232" t="s">
        <v>446</v>
      </c>
      <c r="M11232">
        <v>3711</v>
      </c>
    </row>
    <row r="11233" spans="1:14">
      <c r="A11233">
        <v>70064260</v>
      </c>
      <c r="B11233">
        <v>4013566</v>
      </c>
      <c r="C11233" t="s">
        <v>5157</v>
      </c>
      <c r="D11233" t="s">
        <v>442</v>
      </c>
      <c r="E11233" t="s">
        <v>441</v>
      </c>
      <c r="F11233">
        <v>0.21</v>
      </c>
      <c r="G11233">
        <v>4.75</v>
      </c>
      <c r="H11233" t="s">
        <v>8587</v>
      </c>
      <c r="I11233">
        <v>42</v>
      </c>
      <c r="J11233" t="s">
        <v>462</v>
      </c>
      <c r="K11233" t="s">
        <v>446</v>
      </c>
      <c r="M11233">
        <v>3711</v>
      </c>
    </row>
    <row r="11234" spans="1:14">
      <c r="A11234">
        <v>70064270</v>
      </c>
      <c r="B11234">
        <v>4015525</v>
      </c>
      <c r="C11234" t="s">
        <v>5158</v>
      </c>
      <c r="D11234" t="s">
        <v>442</v>
      </c>
      <c r="E11234" t="s">
        <v>441</v>
      </c>
      <c r="F11234">
        <v>0.24</v>
      </c>
      <c r="G11234">
        <v>5.08</v>
      </c>
      <c r="H11234" t="s">
        <v>8587</v>
      </c>
      <c r="I11234">
        <v>42</v>
      </c>
      <c r="J11234" t="s">
        <v>462</v>
      </c>
      <c r="K11234" t="s">
        <v>446</v>
      </c>
      <c r="L11234" t="s">
        <v>13477</v>
      </c>
      <c r="M11234">
        <v>3711</v>
      </c>
    </row>
    <row r="11235" spans="1:14">
      <c r="A11235">
        <v>70070000</v>
      </c>
      <c r="B11235">
        <v>3008467</v>
      </c>
      <c r="C11235" t="s">
        <v>5159</v>
      </c>
      <c r="D11235" t="s">
        <v>441</v>
      </c>
      <c r="F11235">
        <v>0</v>
      </c>
      <c r="G11235">
        <v>17.12</v>
      </c>
      <c r="H11235" t="s">
        <v>8580</v>
      </c>
      <c r="I11235">
        <v>30</v>
      </c>
      <c r="J11235" t="s">
        <v>445</v>
      </c>
      <c r="K11235" t="s">
        <v>446</v>
      </c>
      <c r="M11235">
        <v>3312</v>
      </c>
    </row>
    <row r="11236" spans="1:14">
      <c r="A11236">
        <v>70070008</v>
      </c>
      <c r="B11236">
        <v>3008468</v>
      </c>
      <c r="C11236" t="s">
        <v>13478</v>
      </c>
      <c r="D11236" t="s">
        <v>441</v>
      </c>
      <c r="F11236">
        <v>0</v>
      </c>
      <c r="G11236">
        <v>11.02</v>
      </c>
      <c r="H11236" t="s">
        <v>8580</v>
      </c>
      <c r="I11236">
        <v>9</v>
      </c>
      <c r="J11236" t="s">
        <v>445</v>
      </c>
      <c r="K11236" t="s">
        <v>446</v>
      </c>
      <c r="M11236">
        <v>3211</v>
      </c>
    </row>
    <row r="11237" spans="1:14">
      <c r="A11237">
        <v>70070009</v>
      </c>
      <c r="B11237">
        <v>3008469</v>
      </c>
      <c r="C11237" t="s">
        <v>13479</v>
      </c>
      <c r="D11237" t="s">
        <v>441</v>
      </c>
      <c r="F11237">
        <v>0</v>
      </c>
      <c r="G11237">
        <v>12.08</v>
      </c>
      <c r="H11237" t="s">
        <v>8580</v>
      </c>
      <c r="I11237">
        <v>36</v>
      </c>
      <c r="J11237" t="s">
        <v>445</v>
      </c>
      <c r="K11237" t="s">
        <v>446</v>
      </c>
      <c r="M11237">
        <v>3311</v>
      </c>
    </row>
    <row r="11238" spans="1:14">
      <c r="A11238">
        <v>70074050</v>
      </c>
      <c r="B11238">
        <v>4001114</v>
      </c>
      <c r="C11238" t="s">
        <v>13480</v>
      </c>
      <c r="D11238" t="s">
        <v>441</v>
      </c>
      <c r="F11238">
        <v>0</v>
      </c>
      <c r="G11238">
        <v>18</v>
      </c>
      <c r="H11238" t="s">
        <v>8587</v>
      </c>
      <c r="I11238">
        <v>49</v>
      </c>
      <c r="J11238" t="s">
        <v>462</v>
      </c>
      <c r="K11238" t="s">
        <v>446</v>
      </c>
      <c r="M11238">
        <v>3711</v>
      </c>
    </row>
    <row r="11239" spans="1:14">
      <c r="A11239">
        <v>70074053</v>
      </c>
      <c r="B11239">
        <v>4004391</v>
      </c>
      <c r="C11239" t="s">
        <v>5160</v>
      </c>
      <c r="D11239" t="s">
        <v>441</v>
      </c>
      <c r="F11239">
        <v>0</v>
      </c>
      <c r="G11239">
        <v>18</v>
      </c>
      <c r="H11239" t="s">
        <v>8587</v>
      </c>
      <c r="I11239">
        <v>49</v>
      </c>
      <c r="J11239" t="s">
        <v>462</v>
      </c>
      <c r="K11239" t="s">
        <v>446</v>
      </c>
      <c r="M11239">
        <v>3711</v>
      </c>
    </row>
    <row r="11240" spans="1:14">
      <c r="A11240">
        <v>70074110</v>
      </c>
      <c r="B11240">
        <v>4004392</v>
      </c>
      <c r="C11240" t="s">
        <v>13481</v>
      </c>
      <c r="D11240" t="s">
        <v>441</v>
      </c>
      <c r="F11240">
        <v>0</v>
      </c>
      <c r="G11240">
        <v>18.04</v>
      </c>
      <c r="H11240" t="s">
        <v>8587</v>
      </c>
      <c r="I11240">
        <v>111</v>
      </c>
      <c r="J11240" t="s">
        <v>462</v>
      </c>
      <c r="K11240" t="s">
        <v>446</v>
      </c>
      <c r="M11240">
        <v>3711</v>
      </c>
    </row>
    <row r="11241" spans="1:14">
      <c r="A11241">
        <v>70074120</v>
      </c>
      <c r="B11241">
        <v>4028978</v>
      </c>
      <c r="C11241" t="s">
        <v>14577</v>
      </c>
      <c r="D11241" t="s">
        <v>442</v>
      </c>
      <c r="E11241" t="s">
        <v>441</v>
      </c>
      <c r="F11241">
        <v>0.25</v>
      </c>
      <c r="G11241">
        <v>8.01</v>
      </c>
      <c r="H11241" t="s">
        <v>8587</v>
      </c>
      <c r="I11241">
        <v>111</v>
      </c>
      <c r="J11241" t="s">
        <v>462</v>
      </c>
      <c r="M11241">
        <v>7329</v>
      </c>
      <c r="N11241" t="s">
        <v>16409</v>
      </c>
    </row>
    <row r="11242" spans="1:14">
      <c r="A11242">
        <v>70074121</v>
      </c>
      <c r="B11242">
        <v>3011890</v>
      </c>
      <c r="C11242" t="s">
        <v>5161</v>
      </c>
      <c r="D11242" t="s">
        <v>442</v>
      </c>
      <c r="E11242" t="s">
        <v>441</v>
      </c>
      <c r="F11242">
        <v>0.32</v>
      </c>
      <c r="G11242">
        <v>6.03</v>
      </c>
      <c r="H11242" t="s">
        <v>8580</v>
      </c>
      <c r="I11242">
        <v>111</v>
      </c>
      <c r="J11242" t="s">
        <v>445</v>
      </c>
      <c r="K11242" t="s">
        <v>446</v>
      </c>
      <c r="M11242">
        <v>3711</v>
      </c>
    </row>
    <row r="11243" spans="1:14">
      <c r="A11243">
        <v>70074130</v>
      </c>
      <c r="B11243">
        <v>4029303</v>
      </c>
      <c r="C11243" t="s">
        <v>14578</v>
      </c>
      <c r="D11243" t="s">
        <v>442</v>
      </c>
      <c r="E11243" t="s">
        <v>441</v>
      </c>
      <c r="F11243">
        <v>0.25</v>
      </c>
      <c r="G11243">
        <v>8.06</v>
      </c>
      <c r="H11243" t="s">
        <v>8587</v>
      </c>
      <c r="I11243">
        <v>111</v>
      </c>
      <c r="J11243" t="s">
        <v>462</v>
      </c>
      <c r="M11243">
        <v>7329</v>
      </c>
      <c r="N11243" t="s">
        <v>16409</v>
      </c>
    </row>
    <row r="11244" spans="1:14">
      <c r="A11244">
        <v>70074140</v>
      </c>
      <c r="B11244">
        <v>4030211</v>
      </c>
      <c r="C11244" t="s">
        <v>17012</v>
      </c>
      <c r="D11244" t="s">
        <v>442</v>
      </c>
      <c r="E11244" t="s">
        <v>441</v>
      </c>
      <c r="F11244">
        <v>0.25</v>
      </c>
      <c r="G11244">
        <v>9.0500000000000007</v>
      </c>
      <c r="H11244" t="s">
        <v>8587</v>
      </c>
      <c r="I11244">
        <v>111</v>
      </c>
      <c r="J11244" t="s">
        <v>462</v>
      </c>
      <c r="M11244">
        <v>7329</v>
      </c>
      <c r="N11244" t="s">
        <v>16409</v>
      </c>
    </row>
    <row r="11245" spans="1:14">
      <c r="A11245">
        <v>70074150</v>
      </c>
      <c r="B11245">
        <v>4001115</v>
      </c>
      <c r="C11245" t="s">
        <v>5162</v>
      </c>
      <c r="D11245" t="s">
        <v>442</v>
      </c>
      <c r="E11245" t="s">
        <v>441</v>
      </c>
      <c r="F11245">
        <v>0.32</v>
      </c>
      <c r="G11245">
        <v>6.13</v>
      </c>
      <c r="H11245" t="s">
        <v>8587</v>
      </c>
      <c r="I11245">
        <v>111</v>
      </c>
      <c r="J11245" t="s">
        <v>462</v>
      </c>
      <c r="K11245" t="s">
        <v>446</v>
      </c>
      <c r="M11245">
        <v>3711</v>
      </c>
    </row>
    <row r="11246" spans="1:14">
      <c r="A11246">
        <v>70074190</v>
      </c>
      <c r="B11246">
        <v>4001965</v>
      </c>
      <c r="C11246" t="s">
        <v>13482</v>
      </c>
      <c r="D11246" t="s">
        <v>442</v>
      </c>
      <c r="E11246" t="s">
        <v>441</v>
      </c>
      <c r="F11246">
        <v>0.32</v>
      </c>
      <c r="G11246">
        <v>6.15</v>
      </c>
      <c r="H11246" t="s">
        <v>8587</v>
      </c>
      <c r="I11246">
        <v>111</v>
      </c>
      <c r="J11246" t="s">
        <v>462</v>
      </c>
      <c r="K11246" t="s">
        <v>446</v>
      </c>
      <c r="M11246">
        <v>3711</v>
      </c>
    </row>
    <row r="11247" spans="1:14">
      <c r="A11247">
        <v>70074410</v>
      </c>
      <c r="B11247">
        <v>4004393</v>
      </c>
      <c r="C11247" t="s">
        <v>5163</v>
      </c>
      <c r="D11247" t="s">
        <v>442</v>
      </c>
      <c r="E11247" t="s">
        <v>441</v>
      </c>
      <c r="F11247">
        <v>0.9</v>
      </c>
      <c r="G11247">
        <v>17.93</v>
      </c>
      <c r="H11247" t="s">
        <v>8587</v>
      </c>
      <c r="I11247">
        <v>111</v>
      </c>
      <c r="J11247" t="s">
        <v>462</v>
      </c>
      <c r="K11247" t="s">
        <v>446</v>
      </c>
      <c r="M11247">
        <v>3711</v>
      </c>
    </row>
    <row r="11248" spans="1:14">
      <c r="A11248">
        <v>70075110</v>
      </c>
      <c r="B11248">
        <v>4004394</v>
      </c>
      <c r="C11248" t="s">
        <v>13483</v>
      </c>
      <c r="D11248" t="s">
        <v>441</v>
      </c>
      <c r="F11248">
        <v>0</v>
      </c>
      <c r="G11248">
        <v>18.55</v>
      </c>
      <c r="H11248" t="s">
        <v>8587</v>
      </c>
      <c r="I11248">
        <v>111</v>
      </c>
      <c r="J11248" t="s">
        <v>462</v>
      </c>
      <c r="K11248" t="s">
        <v>446</v>
      </c>
      <c r="M11248">
        <v>3711</v>
      </c>
    </row>
    <row r="11249" spans="1:14">
      <c r="A11249">
        <v>70075140</v>
      </c>
      <c r="B11249">
        <v>4006367</v>
      </c>
      <c r="C11249" t="s">
        <v>5164</v>
      </c>
      <c r="D11249" t="s">
        <v>441</v>
      </c>
      <c r="F11249">
        <v>0</v>
      </c>
      <c r="G11249">
        <v>18.559999999999999</v>
      </c>
      <c r="H11249" t="s">
        <v>8587</v>
      </c>
      <c r="I11249">
        <v>111</v>
      </c>
      <c r="J11249" t="s">
        <v>462</v>
      </c>
      <c r="K11249" t="s">
        <v>446</v>
      </c>
      <c r="M11249">
        <v>3711</v>
      </c>
    </row>
    <row r="11250" spans="1:14">
      <c r="A11250">
        <v>70076120</v>
      </c>
      <c r="B11250">
        <v>4006239</v>
      </c>
      <c r="C11250" t="s">
        <v>5165</v>
      </c>
      <c r="D11250" t="s">
        <v>442</v>
      </c>
      <c r="E11250" t="s">
        <v>441</v>
      </c>
      <c r="F11250">
        <v>0.32</v>
      </c>
      <c r="G11250">
        <v>6.22</v>
      </c>
      <c r="H11250" t="s">
        <v>8587</v>
      </c>
      <c r="I11250">
        <v>111</v>
      </c>
      <c r="J11250" t="s">
        <v>462</v>
      </c>
      <c r="K11250" t="s">
        <v>446</v>
      </c>
      <c r="M11250">
        <v>3711</v>
      </c>
    </row>
    <row r="11251" spans="1:14">
      <c r="A11251">
        <v>70076130</v>
      </c>
      <c r="B11251">
        <v>4001967</v>
      </c>
      <c r="C11251" t="s">
        <v>13484</v>
      </c>
      <c r="D11251" t="s">
        <v>442</v>
      </c>
      <c r="E11251" t="s">
        <v>441</v>
      </c>
      <c r="F11251">
        <v>0.32</v>
      </c>
      <c r="G11251">
        <v>6.15</v>
      </c>
      <c r="H11251" t="s">
        <v>8587</v>
      </c>
      <c r="I11251">
        <v>111</v>
      </c>
      <c r="J11251" t="s">
        <v>462</v>
      </c>
      <c r="K11251" t="s">
        <v>446</v>
      </c>
      <c r="M11251">
        <v>3711</v>
      </c>
    </row>
    <row r="11252" spans="1:14">
      <c r="A11252">
        <v>70076170</v>
      </c>
      <c r="B11252">
        <v>4001969</v>
      </c>
      <c r="C11252" t="s">
        <v>13485</v>
      </c>
      <c r="D11252" t="s">
        <v>442</v>
      </c>
      <c r="E11252" t="s">
        <v>441</v>
      </c>
      <c r="F11252">
        <v>0.32</v>
      </c>
      <c r="G11252">
        <v>6.14</v>
      </c>
      <c r="H11252" t="s">
        <v>8587</v>
      </c>
      <c r="I11252">
        <v>111</v>
      </c>
      <c r="J11252" t="s">
        <v>462</v>
      </c>
      <c r="K11252" t="s">
        <v>446</v>
      </c>
      <c r="M11252">
        <v>3711</v>
      </c>
    </row>
    <row r="11253" spans="1:14">
      <c r="A11253">
        <v>70076180</v>
      </c>
      <c r="B11253">
        <v>4001970</v>
      </c>
      <c r="C11253" t="s">
        <v>5166</v>
      </c>
      <c r="D11253" t="s">
        <v>442</v>
      </c>
      <c r="E11253" t="s">
        <v>441</v>
      </c>
      <c r="F11253">
        <v>0.32</v>
      </c>
      <c r="G11253">
        <v>6.15</v>
      </c>
      <c r="H11253" t="s">
        <v>8587</v>
      </c>
      <c r="I11253">
        <v>111</v>
      </c>
      <c r="J11253" t="s">
        <v>462</v>
      </c>
      <c r="K11253" t="s">
        <v>446</v>
      </c>
      <c r="M11253">
        <v>3711</v>
      </c>
    </row>
    <row r="11254" spans="1:14">
      <c r="A11254">
        <v>70076190</v>
      </c>
      <c r="B11254">
        <v>4007418</v>
      </c>
      <c r="C11254" t="s">
        <v>5167</v>
      </c>
      <c r="D11254" t="s">
        <v>442</v>
      </c>
      <c r="E11254" t="s">
        <v>441</v>
      </c>
      <c r="F11254">
        <v>0.32</v>
      </c>
      <c r="G11254">
        <v>6.19</v>
      </c>
      <c r="H11254" t="s">
        <v>8587</v>
      </c>
      <c r="I11254">
        <v>111</v>
      </c>
      <c r="J11254" t="s">
        <v>462</v>
      </c>
      <c r="K11254" t="s">
        <v>446</v>
      </c>
      <c r="M11254">
        <v>3711</v>
      </c>
    </row>
    <row r="11255" spans="1:14">
      <c r="A11255">
        <v>70080000</v>
      </c>
      <c r="B11255">
        <v>3008470</v>
      </c>
      <c r="C11255" t="s">
        <v>5168</v>
      </c>
      <c r="D11255" t="s">
        <v>441</v>
      </c>
      <c r="F11255">
        <v>0</v>
      </c>
      <c r="G11255">
        <v>11.21</v>
      </c>
      <c r="H11255" t="s">
        <v>8580</v>
      </c>
      <c r="I11255">
        <v>7</v>
      </c>
      <c r="J11255" t="s">
        <v>445</v>
      </c>
      <c r="M11255">
        <v>3349</v>
      </c>
      <c r="N11255" t="s">
        <v>17013</v>
      </c>
    </row>
    <row r="11256" spans="1:14">
      <c r="A11256">
        <v>70080008</v>
      </c>
      <c r="B11256">
        <v>3016665</v>
      </c>
      <c r="C11256" t="s">
        <v>5169</v>
      </c>
      <c r="D11256" t="s">
        <v>441</v>
      </c>
      <c r="F11256">
        <v>0</v>
      </c>
      <c r="G11256">
        <v>13.09</v>
      </c>
      <c r="H11256" t="s">
        <v>8580</v>
      </c>
      <c r="I11256">
        <v>9</v>
      </c>
      <c r="J11256" t="s">
        <v>445</v>
      </c>
      <c r="M11256">
        <v>6666</v>
      </c>
      <c r="N11256" t="s">
        <v>17014</v>
      </c>
    </row>
    <row r="11257" spans="1:14">
      <c r="A11257">
        <v>70080009</v>
      </c>
      <c r="B11257">
        <v>3016666</v>
      </c>
      <c r="C11257" t="s">
        <v>5170</v>
      </c>
      <c r="D11257" t="s">
        <v>441</v>
      </c>
      <c r="F11257">
        <v>0</v>
      </c>
      <c r="G11257">
        <v>14.32</v>
      </c>
      <c r="H11257" t="s">
        <v>8580</v>
      </c>
      <c r="I11257">
        <v>6</v>
      </c>
      <c r="J11257" t="s">
        <v>445</v>
      </c>
      <c r="M11257">
        <v>3349</v>
      </c>
      <c r="N11257" t="s">
        <v>17015</v>
      </c>
    </row>
    <row r="11258" spans="1:14">
      <c r="A11258">
        <v>70084050</v>
      </c>
      <c r="B11258">
        <v>4001119</v>
      </c>
      <c r="C11258" t="s">
        <v>5171</v>
      </c>
      <c r="D11258" t="s">
        <v>441</v>
      </c>
      <c r="F11258">
        <v>0</v>
      </c>
      <c r="G11258">
        <v>11.88</v>
      </c>
      <c r="H11258" t="s">
        <v>8587</v>
      </c>
      <c r="I11258">
        <v>42</v>
      </c>
      <c r="J11258" t="s">
        <v>462</v>
      </c>
      <c r="K11258" t="s">
        <v>446</v>
      </c>
      <c r="M11258">
        <v>3711</v>
      </c>
    </row>
    <row r="11259" spans="1:14">
      <c r="A11259">
        <v>70084053</v>
      </c>
      <c r="B11259">
        <v>4001120</v>
      </c>
      <c r="C11259" t="s">
        <v>5172</v>
      </c>
      <c r="D11259" t="s">
        <v>441</v>
      </c>
      <c r="F11259">
        <v>0</v>
      </c>
      <c r="G11259">
        <v>13.61</v>
      </c>
      <c r="H11259" t="s">
        <v>8587</v>
      </c>
      <c r="I11259">
        <v>42</v>
      </c>
      <c r="J11259" t="s">
        <v>462</v>
      </c>
      <c r="K11259" t="s">
        <v>446</v>
      </c>
      <c r="M11259">
        <v>3711</v>
      </c>
    </row>
    <row r="11260" spans="1:14">
      <c r="A11260">
        <v>70084054</v>
      </c>
      <c r="B11260">
        <v>4004396</v>
      </c>
      <c r="C11260" t="s">
        <v>5173</v>
      </c>
      <c r="D11260" t="s">
        <v>441</v>
      </c>
      <c r="F11260">
        <v>0</v>
      </c>
      <c r="G11260">
        <v>13.62</v>
      </c>
      <c r="H11260" t="s">
        <v>8587</v>
      </c>
      <c r="I11260">
        <v>42</v>
      </c>
      <c r="J11260" t="s">
        <v>462</v>
      </c>
      <c r="K11260" t="s">
        <v>446</v>
      </c>
      <c r="M11260">
        <v>3711</v>
      </c>
    </row>
    <row r="11261" spans="1:14">
      <c r="A11261">
        <v>70084110</v>
      </c>
      <c r="B11261">
        <v>4004397</v>
      </c>
      <c r="C11261" t="s">
        <v>5174</v>
      </c>
      <c r="D11261" t="s">
        <v>441</v>
      </c>
      <c r="F11261">
        <v>0</v>
      </c>
      <c r="G11261">
        <v>13.78</v>
      </c>
      <c r="H11261" t="s">
        <v>8587</v>
      </c>
      <c r="I11261">
        <v>81</v>
      </c>
      <c r="J11261" t="s">
        <v>462</v>
      </c>
      <c r="K11261" t="s">
        <v>446</v>
      </c>
      <c r="M11261">
        <v>3711</v>
      </c>
    </row>
    <row r="11262" spans="1:14">
      <c r="A11262">
        <v>70084120</v>
      </c>
      <c r="B11262">
        <v>4004398</v>
      </c>
      <c r="C11262" t="s">
        <v>5175</v>
      </c>
      <c r="D11262" t="s">
        <v>441</v>
      </c>
      <c r="F11262">
        <v>0</v>
      </c>
      <c r="G11262">
        <v>13.9</v>
      </c>
      <c r="H11262" t="s">
        <v>8587</v>
      </c>
      <c r="I11262">
        <v>81</v>
      </c>
      <c r="J11262" t="s">
        <v>462</v>
      </c>
      <c r="K11262" t="s">
        <v>446</v>
      </c>
      <c r="M11262">
        <v>3711</v>
      </c>
    </row>
    <row r="11263" spans="1:14">
      <c r="A11263">
        <v>70084130</v>
      </c>
      <c r="B11263">
        <v>4009358</v>
      </c>
      <c r="C11263" t="s">
        <v>5176</v>
      </c>
      <c r="D11263" t="s">
        <v>442</v>
      </c>
      <c r="E11263" t="s">
        <v>441</v>
      </c>
      <c r="F11263">
        <v>0.28599999999999998</v>
      </c>
      <c r="G11263">
        <v>4.17</v>
      </c>
      <c r="H11263" t="s">
        <v>8587</v>
      </c>
      <c r="I11263">
        <v>81</v>
      </c>
      <c r="J11263" t="s">
        <v>462</v>
      </c>
      <c r="K11263" t="s">
        <v>446</v>
      </c>
      <c r="M11263">
        <v>3711</v>
      </c>
    </row>
    <row r="11264" spans="1:14">
      <c r="A11264">
        <v>70084140</v>
      </c>
      <c r="B11264">
        <v>4010680</v>
      </c>
      <c r="C11264" t="s">
        <v>5177</v>
      </c>
      <c r="D11264" t="s">
        <v>441</v>
      </c>
      <c r="F11264">
        <v>0</v>
      </c>
      <c r="G11264">
        <v>13.85</v>
      </c>
      <c r="H11264" t="s">
        <v>8587</v>
      </c>
      <c r="I11264">
        <v>81</v>
      </c>
      <c r="J11264" t="s">
        <v>462</v>
      </c>
      <c r="K11264" t="s">
        <v>446</v>
      </c>
      <c r="M11264">
        <v>3711</v>
      </c>
    </row>
    <row r="11265" spans="1:14">
      <c r="A11265">
        <v>70084150</v>
      </c>
      <c r="B11265">
        <v>4001971</v>
      </c>
      <c r="C11265" t="s">
        <v>5178</v>
      </c>
      <c r="D11265" t="s">
        <v>442</v>
      </c>
      <c r="E11265" t="s">
        <v>441</v>
      </c>
      <c r="F11265">
        <v>0.28599999999999998</v>
      </c>
      <c r="G11265">
        <v>4.3899999999999997</v>
      </c>
      <c r="H11265" t="s">
        <v>8587</v>
      </c>
      <c r="I11265">
        <v>81</v>
      </c>
      <c r="J11265" t="s">
        <v>462</v>
      </c>
      <c r="K11265" t="s">
        <v>446</v>
      </c>
      <c r="M11265">
        <v>3711</v>
      </c>
      <c r="N11265" t="s">
        <v>17016</v>
      </c>
    </row>
    <row r="11266" spans="1:14">
      <c r="A11266">
        <v>70084160</v>
      </c>
      <c r="B11266">
        <v>4013072</v>
      </c>
      <c r="C11266" t="s">
        <v>5179</v>
      </c>
      <c r="D11266" t="s">
        <v>442</v>
      </c>
      <c r="E11266" t="s">
        <v>441</v>
      </c>
      <c r="F11266">
        <v>0.57199999999999995</v>
      </c>
      <c r="G11266">
        <v>8.42</v>
      </c>
      <c r="H11266" t="s">
        <v>8587</v>
      </c>
      <c r="I11266">
        <v>81</v>
      </c>
      <c r="J11266" t="s">
        <v>462</v>
      </c>
      <c r="K11266" t="s">
        <v>446</v>
      </c>
      <c r="M11266">
        <v>3711</v>
      </c>
    </row>
    <row r="11267" spans="1:14">
      <c r="A11267">
        <v>70084170</v>
      </c>
      <c r="B11267">
        <v>4004399</v>
      </c>
      <c r="C11267" t="s">
        <v>5180</v>
      </c>
      <c r="D11267" t="s">
        <v>442</v>
      </c>
      <c r="E11267" t="s">
        <v>441</v>
      </c>
      <c r="F11267">
        <v>0.28599999999999998</v>
      </c>
      <c r="G11267">
        <v>3.44</v>
      </c>
      <c r="H11267" t="s">
        <v>8587</v>
      </c>
      <c r="I11267">
        <v>81</v>
      </c>
      <c r="J11267" t="s">
        <v>462</v>
      </c>
      <c r="K11267" t="s">
        <v>446</v>
      </c>
      <c r="M11267">
        <v>3711</v>
      </c>
      <c r="N11267" t="s">
        <v>17016</v>
      </c>
    </row>
    <row r="11268" spans="1:14">
      <c r="A11268">
        <v>70084180</v>
      </c>
      <c r="B11268">
        <v>4017661</v>
      </c>
      <c r="C11268" t="s">
        <v>5181</v>
      </c>
      <c r="D11268" t="s">
        <v>442</v>
      </c>
      <c r="E11268" t="s">
        <v>441</v>
      </c>
      <c r="F11268">
        <v>0.28599999999999998</v>
      </c>
      <c r="G11268">
        <v>3.45</v>
      </c>
      <c r="H11268" t="s">
        <v>8587</v>
      </c>
      <c r="I11268">
        <v>81</v>
      </c>
      <c r="J11268" t="s">
        <v>462</v>
      </c>
      <c r="K11268" t="s">
        <v>446</v>
      </c>
      <c r="L11268">
        <v>20498061</v>
      </c>
      <c r="M11268">
        <v>3711</v>
      </c>
      <c r="N11268" t="s">
        <v>17016</v>
      </c>
    </row>
    <row r="11269" spans="1:14">
      <c r="A11269">
        <v>70084190</v>
      </c>
      <c r="B11269">
        <v>4001121</v>
      </c>
      <c r="C11269" t="s">
        <v>5182</v>
      </c>
      <c r="D11269" t="s">
        <v>442</v>
      </c>
      <c r="E11269" t="s">
        <v>441</v>
      </c>
      <c r="F11269">
        <v>0.28599999999999998</v>
      </c>
      <c r="G11269">
        <v>4.21</v>
      </c>
      <c r="H11269" t="s">
        <v>8587</v>
      </c>
      <c r="I11269">
        <v>81</v>
      </c>
      <c r="J11269" t="s">
        <v>462</v>
      </c>
      <c r="K11269" t="s">
        <v>446</v>
      </c>
      <c r="M11269">
        <v>3711</v>
      </c>
    </row>
    <row r="11270" spans="1:14">
      <c r="A11270">
        <v>70084410</v>
      </c>
      <c r="B11270">
        <v>4004400</v>
      </c>
      <c r="C11270" t="s">
        <v>5183</v>
      </c>
      <c r="D11270" t="s">
        <v>442</v>
      </c>
      <c r="E11270" t="s">
        <v>441</v>
      </c>
      <c r="F11270">
        <v>0.85799999999999998</v>
      </c>
      <c r="G11270">
        <v>13.03</v>
      </c>
      <c r="H11270" t="s">
        <v>8587</v>
      </c>
      <c r="I11270">
        <v>81</v>
      </c>
      <c r="J11270" t="s">
        <v>462</v>
      </c>
      <c r="K11270" t="s">
        <v>446</v>
      </c>
      <c r="M11270">
        <v>3711</v>
      </c>
    </row>
    <row r="11271" spans="1:14">
      <c r="A11271">
        <v>70084510</v>
      </c>
      <c r="B11271">
        <v>4008322</v>
      </c>
      <c r="C11271" t="s">
        <v>5184</v>
      </c>
      <c r="D11271" t="s">
        <v>442</v>
      </c>
      <c r="E11271" t="s">
        <v>441</v>
      </c>
      <c r="F11271">
        <v>0.28599999999999998</v>
      </c>
      <c r="G11271">
        <v>4.1399999999999997</v>
      </c>
      <c r="H11271" t="s">
        <v>8587</v>
      </c>
      <c r="I11271">
        <v>81</v>
      </c>
      <c r="J11271" t="s">
        <v>462</v>
      </c>
      <c r="K11271" t="s">
        <v>446</v>
      </c>
      <c r="M11271">
        <v>3711</v>
      </c>
    </row>
    <row r="11272" spans="1:14">
      <c r="A11272">
        <v>70084520</v>
      </c>
      <c r="B11272">
        <v>4008437</v>
      </c>
      <c r="C11272" t="s">
        <v>5185</v>
      </c>
      <c r="D11272" t="s">
        <v>442</v>
      </c>
      <c r="E11272" t="s">
        <v>441</v>
      </c>
      <c r="F11272">
        <v>0.28599999999999998</v>
      </c>
      <c r="G11272">
        <v>4.12</v>
      </c>
      <c r="H11272" t="s">
        <v>8587</v>
      </c>
      <c r="I11272">
        <v>81</v>
      </c>
      <c r="J11272" t="s">
        <v>462</v>
      </c>
      <c r="K11272" t="s">
        <v>446</v>
      </c>
      <c r="M11272">
        <v>3711</v>
      </c>
    </row>
    <row r="11273" spans="1:14">
      <c r="A11273">
        <v>70084530</v>
      </c>
      <c r="B11273">
        <v>4008726</v>
      </c>
      <c r="C11273" t="s">
        <v>5186</v>
      </c>
      <c r="D11273" t="s">
        <v>442</v>
      </c>
      <c r="E11273" t="s">
        <v>441</v>
      </c>
      <c r="F11273">
        <v>0.28599999999999998</v>
      </c>
      <c r="G11273">
        <v>4.1100000000000003</v>
      </c>
      <c r="H11273" t="s">
        <v>8587</v>
      </c>
      <c r="I11273">
        <v>81</v>
      </c>
      <c r="J11273" t="s">
        <v>462</v>
      </c>
      <c r="K11273" t="s">
        <v>446</v>
      </c>
      <c r="M11273">
        <v>3711</v>
      </c>
    </row>
    <row r="11274" spans="1:14">
      <c r="A11274">
        <v>70084540</v>
      </c>
      <c r="B11274">
        <v>4009506</v>
      </c>
      <c r="C11274" t="s">
        <v>13486</v>
      </c>
      <c r="D11274" t="s">
        <v>442</v>
      </c>
      <c r="E11274" t="s">
        <v>441</v>
      </c>
      <c r="F11274">
        <v>0.28599999999999998</v>
      </c>
      <c r="G11274">
        <v>4.13</v>
      </c>
      <c r="H11274" t="s">
        <v>8587</v>
      </c>
      <c r="I11274">
        <v>81</v>
      </c>
      <c r="J11274" t="s">
        <v>462</v>
      </c>
      <c r="K11274" t="s">
        <v>446</v>
      </c>
      <c r="M11274">
        <v>3711</v>
      </c>
    </row>
    <row r="11275" spans="1:14">
      <c r="A11275">
        <v>70084550</v>
      </c>
      <c r="B11275">
        <v>4014056</v>
      </c>
      <c r="C11275" t="s">
        <v>5187</v>
      </c>
      <c r="D11275" t="s">
        <v>442</v>
      </c>
      <c r="E11275" t="s">
        <v>441</v>
      </c>
      <c r="F11275">
        <v>0.57199999999999995</v>
      </c>
      <c r="G11275">
        <v>7.29</v>
      </c>
      <c r="H11275" t="s">
        <v>8587</v>
      </c>
      <c r="I11275">
        <v>81</v>
      </c>
      <c r="J11275" t="s">
        <v>462</v>
      </c>
      <c r="K11275" t="s">
        <v>446</v>
      </c>
      <c r="L11275" t="s">
        <v>13487</v>
      </c>
      <c r="M11275">
        <v>3711</v>
      </c>
    </row>
    <row r="11276" spans="1:14">
      <c r="A11276">
        <v>70084560</v>
      </c>
      <c r="B11276">
        <v>4014057</v>
      </c>
      <c r="C11276" t="s">
        <v>5188</v>
      </c>
      <c r="D11276" t="s">
        <v>442</v>
      </c>
      <c r="E11276" t="s">
        <v>441</v>
      </c>
      <c r="F11276">
        <v>0.57199999999999995</v>
      </c>
      <c r="G11276">
        <v>8.67</v>
      </c>
      <c r="H11276" t="s">
        <v>8587</v>
      </c>
      <c r="I11276">
        <v>81</v>
      </c>
      <c r="J11276" t="s">
        <v>462</v>
      </c>
      <c r="K11276" t="s">
        <v>446</v>
      </c>
      <c r="M11276">
        <v>3711</v>
      </c>
      <c r="N11276" t="s">
        <v>17016</v>
      </c>
    </row>
    <row r="11277" spans="1:14">
      <c r="A11277">
        <v>70084570</v>
      </c>
      <c r="B11277">
        <v>4014179</v>
      </c>
      <c r="C11277" t="s">
        <v>5189</v>
      </c>
      <c r="D11277" t="s">
        <v>442</v>
      </c>
      <c r="E11277" t="s">
        <v>441</v>
      </c>
      <c r="F11277">
        <v>0.28599999999999998</v>
      </c>
      <c r="G11277">
        <v>3.72</v>
      </c>
      <c r="H11277" t="s">
        <v>8587</v>
      </c>
      <c r="I11277">
        <v>81</v>
      </c>
      <c r="J11277" t="s">
        <v>462</v>
      </c>
      <c r="K11277" t="s">
        <v>446</v>
      </c>
      <c r="L11277" t="s">
        <v>13488</v>
      </c>
      <c r="M11277">
        <v>3711</v>
      </c>
    </row>
    <row r="11278" spans="1:14">
      <c r="A11278">
        <v>70084580</v>
      </c>
      <c r="B11278">
        <v>4014250</v>
      </c>
      <c r="C11278" t="s">
        <v>5190</v>
      </c>
      <c r="D11278" t="s">
        <v>441</v>
      </c>
      <c r="F11278">
        <v>0</v>
      </c>
      <c r="G11278">
        <v>12.9</v>
      </c>
      <c r="H11278" t="s">
        <v>8587</v>
      </c>
      <c r="I11278">
        <v>81</v>
      </c>
      <c r="J11278" t="s">
        <v>462</v>
      </c>
      <c r="K11278" t="s">
        <v>446</v>
      </c>
      <c r="M11278">
        <v>3711</v>
      </c>
      <c r="N11278" t="s">
        <v>17013</v>
      </c>
    </row>
    <row r="11279" spans="1:14">
      <c r="A11279">
        <v>70085110</v>
      </c>
      <c r="B11279">
        <v>4019564</v>
      </c>
      <c r="C11279" t="s">
        <v>5191</v>
      </c>
      <c r="D11279" t="s">
        <v>442</v>
      </c>
      <c r="E11279" t="s">
        <v>441</v>
      </c>
      <c r="F11279">
        <v>0.28599999999999998</v>
      </c>
      <c r="G11279">
        <v>4.21</v>
      </c>
      <c r="H11279" t="s">
        <v>8587</v>
      </c>
      <c r="I11279">
        <v>81</v>
      </c>
      <c r="J11279" t="s">
        <v>462</v>
      </c>
      <c r="K11279" t="s">
        <v>446</v>
      </c>
      <c r="L11279">
        <v>20498061</v>
      </c>
      <c r="M11279">
        <v>3711</v>
      </c>
      <c r="N11279" t="s">
        <v>17013</v>
      </c>
    </row>
    <row r="11280" spans="1:14">
      <c r="A11280">
        <v>70085120</v>
      </c>
      <c r="B11280">
        <v>4001122</v>
      </c>
      <c r="C11280" t="s">
        <v>5192</v>
      </c>
      <c r="D11280" t="s">
        <v>442</v>
      </c>
      <c r="E11280" t="s">
        <v>441</v>
      </c>
      <c r="F11280">
        <v>0.57199999999999995</v>
      </c>
      <c r="G11280">
        <v>8.32</v>
      </c>
      <c r="H11280" t="s">
        <v>8587</v>
      </c>
      <c r="I11280">
        <v>81</v>
      </c>
      <c r="J11280" t="s">
        <v>462</v>
      </c>
      <c r="K11280" t="s">
        <v>446</v>
      </c>
      <c r="M11280">
        <v>3711</v>
      </c>
    </row>
    <row r="11281" spans="1:14">
      <c r="A11281">
        <v>70085130</v>
      </c>
      <c r="B11281">
        <v>4004401</v>
      </c>
      <c r="C11281" t="s">
        <v>5193</v>
      </c>
      <c r="D11281" t="s">
        <v>441</v>
      </c>
      <c r="F11281">
        <v>0</v>
      </c>
      <c r="G11281">
        <v>14.01</v>
      </c>
      <c r="H11281" t="s">
        <v>8587</v>
      </c>
      <c r="I11281">
        <v>81</v>
      </c>
      <c r="J11281" t="s">
        <v>462</v>
      </c>
      <c r="K11281" t="s">
        <v>446</v>
      </c>
      <c r="M11281">
        <v>3711</v>
      </c>
    </row>
    <row r="11282" spans="1:14">
      <c r="A11282">
        <v>70085160</v>
      </c>
      <c r="B11282">
        <v>4006843</v>
      </c>
      <c r="C11282" t="s">
        <v>5194</v>
      </c>
      <c r="D11282" t="s">
        <v>442</v>
      </c>
      <c r="E11282" t="s">
        <v>441</v>
      </c>
      <c r="F11282">
        <v>0.57199999999999995</v>
      </c>
      <c r="G11282">
        <v>7.58</v>
      </c>
      <c r="H11282" t="s">
        <v>8587</v>
      </c>
      <c r="I11282">
        <v>81</v>
      </c>
      <c r="J11282" t="s">
        <v>462</v>
      </c>
      <c r="K11282" t="s">
        <v>446</v>
      </c>
      <c r="M11282">
        <v>3711</v>
      </c>
    </row>
    <row r="11283" spans="1:14">
      <c r="A11283">
        <v>70085210</v>
      </c>
      <c r="B11283">
        <v>4001123</v>
      </c>
      <c r="C11283" t="s">
        <v>5195</v>
      </c>
      <c r="D11283" t="s">
        <v>441</v>
      </c>
      <c r="F11283">
        <v>0</v>
      </c>
      <c r="G11283">
        <v>13.65</v>
      </c>
      <c r="H11283" t="s">
        <v>8587</v>
      </c>
      <c r="I11283">
        <v>42</v>
      </c>
      <c r="J11283" t="s">
        <v>462</v>
      </c>
      <c r="K11283" t="s">
        <v>446</v>
      </c>
      <c r="M11283">
        <v>3711</v>
      </c>
    </row>
    <row r="11284" spans="1:14">
      <c r="A11284">
        <v>70086110</v>
      </c>
      <c r="B11284">
        <v>4026088</v>
      </c>
      <c r="C11284" t="s">
        <v>14579</v>
      </c>
      <c r="D11284" t="s">
        <v>442</v>
      </c>
      <c r="E11284" t="s">
        <v>441</v>
      </c>
      <c r="F11284">
        <v>0.28599999999999998</v>
      </c>
      <c r="G11284">
        <v>5.89</v>
      </c>
      <c r="H11284" t="s">
        <v>8587</v>
      </c>
      <c r="I11284">
        <v>81</v>
      </c>
      <c r="J11284" t="s">
        <v>462</v>
      </c>
      <c r="K11284" t="s">
        <v>446</v>
      </c>
      <c r="M11284">
        <v>7108</v>
      </c>
      <c r="N11284" t="s">
        <v>17013</v>
      </c>
    </row>
    <row r="11285" spans="1:14">
      <c r="A11285">
        <v>70086120</v>
      </c>
      <c r="B11285">
        <v>4001972</v>
      </c>
      <c r="C11285" t="s">
        <v>5196</v>
      </c>
      <c r="D11285" t="s">
        <v>442</v>
      </c>
      <c r="E11285" t="s">
        <v>441</v>
      </c>
      <c r="F11285">
        <v>0.28599999999999998</v>
      </c>
      <c r="G11285">
        <v>3.93</v>
      </c>
      <c r="H11285" t="s">
        <v>8587</v>
      </c>
      <c r="I11285">
        <v>81</v>
      </c>
      <c r="J11285" t="s">
        <v>462</v>
      </c>
      <c r="K11285" t="s">
        <v>446</v>
      </c>
      <c r="M11285">
        <v>3711</v>
      </c>
      <c r="N11285" t="s">
        <v>17013</v>
      </c>
    </row>
    <row r="11286" spans="1:14">
      <c r="A11286">
        <v>70086170</v>
      </c>
      <c r="B11286">
        <v>4001975</v>
      </c>
      <c r="C11286" t="s">
        <v>5197</v>
      </c>
      <c r="D11286" t="s">
        <v>442</v>
      </c>
      <c r="E11286" t="s">
        <v>441</v>
      </c>
      <c r="F11286">
        <v>0.28599999999999998</v>
      </c>
      <c r="G11286">
        <v>5.58</v>
      </c>
      <c r="H11286" t="s">
        <v>8587</v>
      </c>
      <c r="I11286">
        <v>89</v>
      </c>
      <c r="J11286" t="s">
        <v>462</v>
      </c>
      <c r="M11286">
        <v>7108</v>
      </c>
      <c r="N11286" t="s">
        <v>17013</v>
      </c>
    </row>
    <row r="11287" spans="1:14">
      <c r="A11287">
        <v>70086180</v>
      </c>
      <c r="B11287">
        <v>4004403</v>
      </c>
      <c r="C11287" t="s">
        <v>5198</v>
      </c>
      <c r="D11287" t="s">
        <v>442</v>
      </c>
      <c r="E11287" t="s">
        <v>441</v>
      </c>
      <c r="F11287">
        <v>0.28599999999999998</v>
      </c>
      <c r="G11287">
        <v>3.65</v>
      </c>
      <c r="H11287" t="s">
        <v>8587</v>
      </c>
      <c r="I11287">
        <v>81</v>
      </c>
      <c r="J11287" t="s">
        <v>462</v>
      </c>
      <c r="K11287" t="s">
        <v>446</v>
      </c>
      <c r="L11287" t="s">
        <v>13488</v>
      </c>
      <c r="M11287">
        <v>3711</v>
      </c>
    </row>
    <row r="11288" spans="1:14">
      <c r="A11288">
        <v>70086190</v>
      </c>
      <c r="B11288">
        <v>4004404</v>
      </c>
      <c r="C11288" t="s">
        <v>5199</v>
      </c>
      <c r="D11288" t="s">
        <v>442</v>
      </c>
      <c r="E11288" t="s">
        <v>441</v>
      </c>
      <c r="F11288">
        <v>0.57199999999999995</v>
      </c>
      <c r="G11288">
        <v>8.2899999999999991</v>
      </c>
      <c r="H11288" t="s">
        <v>8587</v>
      </c>
      <c r="I11288">
        <v>81</v>
      </c>
      <c r="J11288" t="s">
        <v>462</v>
      </c>
      <c r="K11288" t="s">
        <v>446</v>
      </c>
      <c r="M11288">
        <v>3711</v>
      </c>
    </row>
    <row r="11289" spans="1:14">
      <c r="A11289">
        <v>70087110</v>
      </c>
      <c r="B11289">
        <v>4030538</v>
      </c>
      <c r="C11289" t="s">
        <v>17649</v>
      </c>
      <c r="D11289" t="s">
        <v>442</v>
      </c>
      <c r="E11289" t="s">
        <v>441</v>
      </c>
      <c r="F11289">
        <v>0.28599999999999998</v>
      </c>
      <c r="G11289">
        <v>7.21</v>
      </c>
      <c r="H11289" t="s">
        <v>8587</v>
      </c>
      <c r="I11289">
        <v>89</v>
      </c>
      <c r="J11289" t="s">
        <v>462</v>
      </c>
      <c r="L11289" t="s">
        <v>17650</v>
      </c>
      <c r="M11289">
        <v>7108</v>
      </c>
      <c r="N11289" t="s">
        <v>17013</v>
      </c>
    </row>
    <row r="11290" spans="1:14">
      <c r="A11290">
        <v>70090000</v>
      </c>
      <c r="B11290">
        <v>3018568</v>
      </c>
      <c r="C11290" t="s">
        <v>5200</v>
      </c>
      <c r="D11290" t="s">
        <v>441</v>
      </c>
      <c r="F11290">
        <v>0</v>
      </c>
      <c r="G11290">
        <v>10.98</v>
      </c>
      <c r="H11290" t="s">
        <v>8580</v>
      </c>
      <c r="I11290">
        <v>7</v>
      </c>
      <c r="J11290" t="s">
        <v>445</v>
      </c>
      <c r="K11290" t="s">
        <v>446</v>
      </c>
      <c r="M11290">
        <v>3312</v>
      </c>
    </row>
    <row r="11291" spans="1:14">
      <c r="A11291">
        <v>70090008</v>
      </c>
      <c r="B11291">
        <v>3018570</v>
      </c>
      <c r="C11291" t="s">
        <v>5201</v>
      </c>
      <c r="D11291" t="s">
        <v>441</v>
      </c>
      <c r="F11291">
        <v>0</v>
      </c>
      <c r="G11291">
        <v>7.99</v>
      </c>
      <c r="H11291" t="s">
        <v>8580</v>
      </c>
      <c r="I11291">
        <v>9</v>
      </c>
      <c r="J11291" t="s">
        <v>445</v>
      </c>
      <c r="K11291" t="s">
        <v>446</v>
      </c>
      <c r="M11291">
        <v>3211</v>
      </c>
    </row>
    <row r="11292" spans="1:14">
      <c r="A11292">
        <v>70090009</v>
      </c>
      <c r="B11292">
        <v>3018569</v>
      </c>
      <c r="C11292" t="s">
        <v>5202</v>
      </c>
      <c r="D11292" t="s">
        <v>441</v>
      </c>
      <c r="F11292">
        <v>0</v>
      </c>
      <c r="G11292">
        <v>8.74</v>
      </c>
      <c r="H11292" t="s">
        <v>8580</v>
      </c>
      <c r="I11292">
        <v>36</v>
      </c>
      <c r="J11292" t="s">
        <v>445</v>
      </c>
      <c r="K11292" t="s">
        <v>446</v>
      </c>
      <c r="M11292">
        <v>3311</v>
      </c>
    </row>
    <row r="11293" spans="1:14">
      <c r="A11293">
        <v>70095110</v>
      </c>
      <c r="B11293">
        <v>4012882</v>
      </c>
      <c r="C11293" t="s">
        <v>5203</v>
      </c>
      <c r="D11293" t="s">
        <v>442</v>
      </c>
      <c r="E11293" t="s">
        <v>441</v>
      </c>
      <c r="F11293">
        <v>0.45</v>
      </c>
      <c r="G11293">
        <v>6.73</v>
      </c>
      <c r="H11293" t="s">
        <v>8587</v>
      </c>
      <c r="I11293">
        <v>81</v>
      </c>
      <c r="J11293" t="s">
        <v>462</v>
      </c>
      <c r="K11293" t="s">
        <v>446</v>
      </c>
      <c r="M11293">
        <v>3711</v>
      </c>
    </row>
    <row r="11294" spans="1:14">
      <c r="A11294">
        <v>70100000</v>
      </c>
      <c r="B11294">
        <v>3008473</v>
      </c>
      <c r="C11294" t="s">
        <v>13489</v>
      </c>
      <c r="D11294" t="s">
        <v>441</v>
      </c>
      <c r="F11294">
        <v>0</v>
      </c>
      <c r="G11294">
        <v>13.35</v>
      </c>
      <c r="H11294" t="s">
        <v>8580</v>
      </c>
      <c r="I11294">
        <v>90</v>
      </c>
      <c r="J11294" t="s">
        <v>445</v>
      </c>
      <c r="K11294" t="s">
        <v>446</v>
      </c>
      <c r="M11294">
        <v>3311</v>
      </c>
    </row>
    <row r="11295" spans="1:14">
      <c r="A11295">
        <v>70100006</v>
      </c>
      <c r="B11295">
        <v>3008474</v>
      </c>
      <c r="C11295" t="s">
        <v>13490</v>
      </c>
      <c r="D11295" t="s">
        <v>441</v>
      </c>
      <c r="F11295">
        <v>0</v>
      </c>
      <c r="G11295">
        <v>10.67</v>
      </c>
      <c r="H11295" t="s">
        <v>8580</v>
      </c>
      <c r="I11295">
        <v>9</v>
      </c>
      <c r="J11295" t="s">
        <v>445</v>
      </c>
      <c r="K11295" t="s">
        <v>446</v>
      </c>
      <c r="M11295">
        <v>3311</v>
      </c>
    </row>
    <row r="11296" spans="1:14">
      <c r="A11296">
        <v>70100008</v>
      </c>
      <c r="B11296">
        <v>3008475</v>
      </c>
      <c r="C11296" t="s">
        <v>13491</v>
      </c>
      <c r="D11296" t="s">
        <v>441</v>
      </c>
      <c r="F11296">
        <v>0</v>
      </c>
      <c r="G11296">
        <v>10.17</v>
      </c>
      <c r="H11296" t="s">
        <v>8580</v>
      </c>
      <c r="I11296">
        <v>9</v>
      </c>
      <c r="J11296" t="s">
        <v>445</v>
      </c>
      <c r="K11296" t="s">
        <v>446</v>
      </c>
      <c r="M11296">
        <v>3211</v>
      </c>
    </row>
    <row r="11297" spans="1:14">
      <c r="A11297">
        <v>70104110</v>
      </c>
      <c r="B11297">
        <v>4001125</v>
      </c>
      <c r="C11297" t="s">
        <v>5204</v>
      </c>
      <c r="D11297" t="s">
        <v>441</v>
      </c>
      <c r="F11297">
        <v>0</v>
      </c>
      <c r="G11297">
        <v>16.04</v>
      </c>
      <c r="H11297" t="s">
        <v>8587</v>
      </c>
      <c r="I11297">
        <v>37</v>
      </c>
      <c r="J11297" t="s">
        <v>462</v>
      </c>
      <c r="K11297" t="s">
        <v>446</v>
      </c>
      <c r="M11297">
        <v>3711</v>
      </c>
    </row>
    <row r="11298" spans="1:14">
      <c r="A11298">
        <v>70104111</v>
      </c>
      <c r="B11298">
        <v>3008476</v>
      </c>
      <c r="C11298" t="s">
        <v>13492</v>
      </c>
      <c r="D11298" t="s">
        <v>441</v>
      </c>
      <c r="F11298">
        <v>0</v>
      </c>
      <c r="G11298">
        <v>15.37</v>
      </c>
      <c r="H11298" t="s">
        <v>8580</v>
      </c>
      <c r="I11298">
        <v>40</v>
      </c>
      <c r="J11298" t="s">
        <v>445</v>
      </c>
      <c r="K11298" t="s">
        <v>446</v>
      </c>
      <c r="M11298">
        <v>3711</v>
      </c>
    </row>
    <row r="11299" spans="1:14">
      <c r="A11299">
        <v>70104120</v>
      </c>
      <c r="B11299">
        <v>4001126</v>
      </c>
      <c r="C11299" t="s">
        <v>5205</v>
      </c>
      <c r="D11299" t="s">
        <v>441</v>
      </c>
      <c r="F11299">
        <v>0</v>
      </c>
      <c r="G11299">
        <v>15.28</v>
      </c>
      <c r="H11299" t="s">
        <v>8587</v>
      </c>
      <c r="I11299">
        <v>37</v>
      </c>
      <c r="J11299" t="s">
        <v>462</v>
      </c>
      <c r="K11299" t="s">
        <v>446</v>
      </c>
      <c r="M11299">
        <v>3711</v>
      </c>
    </row>
    <row r="11300" spans="1:14">
      <c r="A11300">
        <v>70104121</v>
      </c>
      <c r="B11300">
        <v>3008477</v>
      </c>
      <c r="C11300" t="s">
        <v>13493</v>
      </c>
      <c r="D11300" t="s">
        <v>441</v>
      </c>
      <c r="F11300">
        <v>0</v>
      </c>
      <c r="G11300">
        <v>14.75</v>
      </c>
      <c r="H11300" t="s">
        <v>8580</v>
      </c>
      <c r="I11300">
        <v>40</v>
      </c>
      <c r="J11300" t="s">
        <v>445</v>
      </c>
      <c r="K11300" t="s">
        <v>446</v>
      </c>
      <c r="M11300">
        <v>3711</v>
      </c>
    </row>
    <row r="11301" spans="1:14">
      <c r="A11301">
        <v>70104130</v>
      </c>
      <c r="B11301">
        <v>4001127</v>
      </c>
      <c r="C11301" t="s">
        <v>5206</v>
      </c>
      <c r="D11301" t="s">
        <v>441</v>
      </c>
      <c r="F11301">
        <v>0</v>
      </c>
      <c r="G11301">
        <v>14.93</v>
      </c>
      <c r="H11301" t="s">
        <v>8587</v>
      </c>
      <c r="I11301">
        <v>37</v>
      </c>
      <c r="J11301" t="s">
        <v>462</v>
      </c>
      <c r="K11301" t="s">
        <v>446</v>
      </c>
      <c r="M11301">
        <v>3711</v>
      </c>
    </row>
    <row r="11302" spans="1:14">
      <c r="A11302">
        <v>70104131</v>
      </c>
      <c r="B11302">
        <v>3008478</v>
      </c>
      <c r="C11302" t="s">
        <v>13494</v>
      </c>
      <c r="D11302" t="s">
        <v>441</v>
      </c>
      <c r="F11302">
        <v>0</v>
      </c>
      <c r="G11302">
        <v>14.53</v>
      </c>
      <c r="H11302" t="s">
        <v>8580</v>
      </c>
      <c r="I11302">
        <v>40</v>
      </c>
      <c r="J11302" t="s">
        <v>445</v>
      </c>
      <c r="K11302" t="s">
        <v>446</v>
      </c>
      <c r="M11302">
        <v>3711</v>
      </c>
    </row>
    <row r="11303" spans="1:14">
      <c r="A11303">
        <v>70105120</v>
      </c>
      <c r="B11303">
        <v>4008316</v>
      </c>
      <c r="C11303" t="s">
        <v>5207</v>
      </c>
      <c r="D11303" t="s">
        <v>441</v>
      </c>
      <c r="F11303">
        <v>0</v>
      </c>
      <c r="G11303">
        <v>13.94</v>
      </c>
      <c r="H11303" t="s">
        <v>8587</v>
      </c>
      <c r="I11303">
        <v>37</v>
      </c>
      <c r="J11303" t="s">
        <v>462</v>
      </c>
      <c r="K11303" t="s">
        <v>446</v>
      </c>
      <c r="M11303">
        <v>3711</v>
      </c>
    </row>
    <row r="11304" spans="1:14">
      <c r="A11304">
        <v>70105140</v>
      </c>
      <c r="B11304">
        <v>4006381</v>
      </c>
      <c r="C11304" t="s">
        <v>13495</v>
      </c>
      <c r="D11304" t="s">
        <v>441</v>
      </c>
      <c r="F11304">
        <v>0</v>
      </c>
      <c r="G11304">
        <v>15.43</v>
      </c>
      <c r="H11304" t="s">
        <v>8587</v>
      </c>
      <c r="I11304">
        <v>37</v>
      </c>
      <c r="J11304" t="s">
        <v>462</v>
      </c>
      <c r="K11304" t="s">
        <v>446</v>
      </c>
      <c r="M11304">
        <v>3711</v>
      </c>
    </row>
    <row r="11305" spans="1:14">
      <c r="A11305">
        <v>70105150</v>
      </c>
      <c r="B11305">
        <v>4004405</v>
      </c>
      <c r="C11305" t="s">
        <v>13496</v>
      </c>
      <c r="D11305" t="s">
        <v>441</v>
      </c>
      <c r="F11305">
        <v>0</v>
      </c>
      <c r="G11305">
        <v>14.93</v>
      </c>
      <c r="H11305" t="s">
        <v>8587</v>
      </c>
      <c r="I11305">
        <v>37</v>
      </c>
      <c r="J11305" t="s">
        <v>462</v>
      </c>
      <c r="K11305" t="s">
        <v>446</v>
      </c>
      <c r="M11305">
        <v>3711</v>
      </c>
    </row>
    <row r="11306" spans="1:14">
      <c r="A11306">
        <v>70105180</v>
      </c>
      <c r="B11306">
        <v>4001977</v>
      </c>
      <c r="C11306" t="s">
        <v>5208</v>
      </c>
      <c r="D11306" t="s">
        <v>441</v>
      </c>
      <c r="F11306">
        <v>0</v>
      </c>
      <c r="G11306">
        <v>13.92</v>
      </c>
      <c r="H11306" t="s">
        <v>8587</v>
      </c>
      <c r="I11306">
        <v>37</v>
      </c>
      <c r="J11306" t="s">
        <v>462</v>
      </c>
      <c r="K11306" t="s">
        <v>446</v>
      </c>
      <c r="M11306">
        <v>3711</v>
      </c>
    </row>
    <row r="11307" spans="1:14">
      <c r="A11307">
        <v>70107110</v>
      </c>
      <c r="B11307">
        <v>4006725</v>
      </c>
      <c r="C11307" t="s">
        <v>13497</v>
      </c>
      <c r="D11307" t="s">
        <v>441</v>
      </c>
      <c r="F11307">
        <v>0</v>
      </c>
      <c r="G11307">
        <v>14.95</v>
      </c>
      <c r="H11307" t="s">
        <v>8587</v>
      </c>
      <c r="I11307">
        <v>37</v>
      </c>
      <c r="J11307" t="s">
        <v>462</v>
      </c>
      <c r="K11307" t="s">
        <v>446</v>
      </c>
      <c r="M11307">
        <v>3711</v>
      </c>
    </row>
    <row r="11308" spans="1:14">
      <c r="A11308">
        <v>70107120</v>
      </c>
      <c r="B11308">
        <v>4007092</v>
      </c>
      <c r="C11308" t="s">
        <v>13498</v>
      </c>
      <c r="D11308" t="s">
        <v>441</v>
      </c>
      <c r="F11308">
        <v>0</v>
      </c>
      <c r="G11308">
        <v>14.95</v>
      </c>
      <c r="H11308" t="s">
        <v>8587</v>
      </c>
      <c r="I11308">
        <v>37</v>
      </c>
      <c r="J11308" t="s">
        <v>462</v>
      </c>
      <c r="K11308" t="s">
        <v>446</v>
      </c>
      <c r="M11308">
        <v>3711</v>
      </c>
    </row>
    <row r="11309" spans="1:14">
      <c r="A11309">
        <v>70107130</v>
      </c>
      <c r="B11309">
        <v>4008692</v>
      </c>
      <c r="C11309" t="s">
        <v>5209</v>
      </c>
      <c r="D11309" t="s">
        <v>441</v>
      </c>
      <c r="F11309">
        <v>0</v>
      </c>
      <c r="G11309">
        <v>15.79</v>
      </c>
      <c r="H11309" t="s">
        <v>8587</v>
      </c>
      <c r="I11309">
        <v>37</v>
      </c>
      <c r="J11309" t="s">
        <v>462</v>
      </c>
      <c r="K11309" t="s">
        <v>446</v>
      </c>
      <c r="M11309">
        <v>3711</v>
      </c>
    </row>
    <row r="11310" spans="1:14">
      <c r="A11310">
        <v>70107140</v>
      </c>
      <c r="B11310">
        <v>4008970</v>
      </c>
      <c r="C11310" t="s">
        <v>5210</v>
      </c>
      <c r="D11310" t="s">
        <v>441</v>
      </c>
      <c r="F11310">
        <v>0</v>
      </c>
      <c r="G11310">
        <v>15.88</v>
      </c>
      <c r="H11310" t="s">
        <v>8587</v>
      </c>
      <c r="I11310">
        <v>37</v>
      </c>
      <c r="J11310" t="s">
        <v>462</v>
      </c>
      <c r="K11310" t="s">
        <v>446</v>
      </c>
      <c r="M11310">
        <v>3711</v>
      </c>
    </row>
    <row r="11311" spans="1:14">
      <c r="A11311">
        <v>70110000</v>
      </c>
      <c r="B11311">
        <v>3016227</v>
      </c>
      <c r="C11311" t="s">
        <v>5211</v>
      </c>
      <c r="D11311" t="s">
        <v>441</v>
      </c>
      <c r="F11311">
        <v>0</v>
      </c>
      <c r="G11311">
        <v>28.79</v>
      </c>
      <c r="H11311" t="s">
        <v>12573</v>
      </c>
      <c r="I11311">
        <v>4</v>
      </c>
      <c r="J11311" t="s">
        <v>445</v>
      </c>
      <c r="M11311">
        <v>3349</v>
      </c>
      <c r="N11311" t="s">
        <v>17017</v>
      </c>
    </row>
    <row r="11312" spans="1:14">
      <c r="A11312">
        <v>70110008</v>
      </c>
      <c r="B11312">
        <v>3016226</v>
      </c>
      <c r="C11312" t="s">
        <v>5212</v>
      </c>
      <c r="D11312" t="s">
        <v>441</v>
      </c>
      <c r="F11312">
        <v>0</v>
      </c>
      <c r="G11312">
        <v>22.51</v>
      </c>
      <c r="H11312" t="s">
        <v>10826</v>
      </c>
      <c r="I11312">
        <v>5</v>
      </c>
      <c r="J11312" t="s">
        <v>445</v>
      </c>
      <c r="M11312">
        <v>3111</v>
      </c>
      <c r="N11312" t="s">
        <v>17018</v>
      </c>
    </row>
    <row r="11313" spans="1:14">
      <c r="A11313">
        <v>70114110</v>
      </c>
      <c r="B11313">
        <v>4011046</v>
      </c>
      <c r="C11313" t="s">
        <v>5213</v>
      </c>
      <c r="D11313" t="s">
        <v>441</v>
      </c>
      <c r="F11313">
        <v>0</v>
      </c>
      <c r="G11313">
        <v>20.99</v>
      </c>
      <c r="H11313" t="s">
        <v>8587</v>
      </c>
      <c r="I11313">
        <v>42</v>
      </c>
      <c r="J11313" t="s">
        <v>462</v>
      </c>
      <c r="K11313" t="s">
        <v>446</v>
      </c>
      <c r="M11313">
        <v>3711</v>
      </c>
      <c r="N11313" t="s">
        <v>17019</v>
      </c>
    </row>
    <row r="11314" spans="1:14">
      <c r="A11314">
        <v>70114120</v>
      </c>
      <c r="B11314">
        <v>4012267</v>
      </c>
      <c r="C11314" t="s">
        <v>5214</v>
      </c>
      <c r="D11314" t="s">
        <v>441</v>
      </c>
      <c r="F11314">
        <v>0</v>
      </c>
      <c r="G11314">
        <v>26.43</v>
      </c>
      <c r="H11314" t="s">
        <v>8587</v>
      </c>
      <c r="I11314">
        <v>42</v>
      </c>
      <c r="J11314" t="s">
        <v>462</v>
      </c>
      <c r="K11314" t="s">
        <v>446</v>
      </c>
      <c r="M11314">
        <v>3711</v>
      </c>
      <c r="N11314" t="s">
        <v>17020</v>
      </c>
    </row>
    <row r="11315" spans="1:14">
      <c r="A11315">
        <v>70114130</v>
      </c>
      <c r="B11315">
        <v>4013371</v>
      </c>
      <c r="C11315" t="s">
        <v>5215</v>
      </c>
      <c r="D11315" t="s">
        <v>441</v>
      </c>
      <c r="F11315">
        <v>0</v>
      </c>
      <c r="G11315">
        <v>22.01</v>
      </c>
      <c r="H11315" t="s">
        <v>8587</v>
      </c>
      <c r="I11315">
        <v>42</v>
      </c>
      <c r="J11315" t="s">
        <v>462</v>
      </c>
      <c r="K11315" t="s">
        <v>446</v>
      </c>
      <c r="M11315">
        <v>3711</v>
      </c>
      <c r="N11315" t="s">
        <v>17019</v>
      </c>
    </row>
    <row r="11316" spans="1:14">
      <c r="A11316">
        <v>70114140</v>
      </c>
      <c r="B11316">
        <v>4017702</v>
      </c>
      <c r="C11316" t="s">
        <v>5216</v>
      </c>
      <c r="D11316" t="s">
        <v>441</v>
      </c>
      <c r="F11316">
        <v>0</v>
      </c>
      <c r="G11316">
        <v>21.78</v>
      </c>
      <c r="H11316" t="s">
        <v>8587</v>
      </c>
      <c r="I11316">
        <v>42</v>
      </c>
      <c r="J11316" t="s">
        <v>462</v>
      </c>
      <c r="K11316" t="s">
        <v>446</v>
      </c>
      <c r="M11316">
        <v>3711</v>
      </c>
      <c r="N11316" t="s">
        <v>17019</v>
      </c>
    </row>
    <row r="11317" spans="1:14">
      <c r="A11317">
        <v>70114150</v>
      </c>
      <c r="B11317">
        <v>4022048</v>
      </c>
      <c r="C11317" t="s">
        <v>5217</v>
      </c>
      <c r="D11317" t="s">
        <v>441</v>
      </c>
      <c r="F11317">
        <v>0</v>
      </c>
      <c r="G11317">
        <v>23.18</v>
      </c>
      <c r="H11317" t="s">
        <v>8587</v>
      </c>
      <c r="I11317">
        <v>42</v>
      </c>
      <c r="J11317" t="s">
        <v>462</v>
      </c>
      <c r="M11317">
        <v>3711</v>
      </c>
      <c r="N11317" t="s">
        <v>17019</v>
      </c>
    </row>
    <row r="11318" spans="1:14">
      <c r="A11318">
        <v>70120000</v>
      </c>
      <c r="B11318">
        <v>3016763</v>
      </c>
      <c r="C11318" t="s">
        <v>5218</v>
      </c>
      <c r="D11318" t="s">
        <v>441</v>
      </c>
      <c r="F11318">
        <v>0</v>
      </c>
      <c r="G11318">
        <v>25.15</v>
      </c>
      <c r="H11318" t="s">
        <v>8580</v>
      </c>
      <c r="I11318">
        <v>4</v>
      </c>
      <c r="J11318" t="s">
        <v>445</v>
      </c>
      <c r="M11318">
        <v>3349</v>
      </c>
      <c r="N11318" t="s">
        <v>17021</v>
      </c>
    </row>
    <row r="11319" spans="1:14">
      <c r="A11319">
        <v>70120008</v>
      </c>
      <c r="B11319">
        <v>3016765</v>
      </c>
      <c r="C11319" t="s">
        <v>13499</v>
      </c>
      <c r="D11319" t="s">
        <v>441</v>
      </c>
      <c r="F11319">
        <v>0</v>
      </c>
      <c r="G11319">
        <v>19.95</v>
      </c>
      <c r="H11319" t="s">
        <v>8584</v>
      </c>
      <c r="I11319">
        <v>5</v>
      </c>
      <c r="J11319" t="s">
        <v>445</v>
      </c>
      <c r="M11319">
        <v>6666</v>
      </c>
      <c r="N11319" t="s">
        <v>17022</v>
      </c>
    </row>
    <row r="11320" spans="1:14">
      <c r="A11320">
        <v>70124110</v>
      </c>
      <c r="B11320">
        <v>4009330</v>
      </c>
      <c r="C11320" t="s">
        <v>13500</v>
      </c>
      <c r="D11320" t="s">
        <v>441</v>
      </c>
      <c r="F11320">
        <v>0</v>
      </c>
      <c r="G11320">
        <v>21.99</v>
      </c>
      <c r="H11320" t="s">
        <v>8587</v>
      </c>
      <c r="I11320">
        <v>45</v>
      </c>
      <c r="J11320" t="s">
        <v>462</v>
      </c>
      <c r="K11320" t="s">
        <v>446</v>
      </c>
      <c r="M11320">
        <v>3711</v>
      </c>
    </row>
    <row r="11321" spans="1:14">
      <c r="A11321">
        <v>70124111</v>
      </c>
      <c r="B11321">
        <v>3016999</v>
      </c>
      <c r="C11321" t="s">
        <v>5219</v>
      </c>
      <c r="D11321" t="s">
        <v>441</v>
      </c>
      <c r="F11321">
        <v>0</v>
      </c>
      <c r="G11321">
        <v>20.23</v>
      </c>
      <c r="H11321" t="s">
        <v>8935</v>
      </c>
      <c r="I11321">
        <v>45</v>
      </c>
      <c r="J11321" t="s">
        <v>445</v>
      </c>
      <c r="M11321">
        <v>3741</v>
      </c>
      <c r="N11321" t="s">
        <v>17023</v>
      </c>
    </row>
    <row r="11322" spans="1:14">
      <c r="A11322">
        <v>70124120</v>
      </c>
      <c r="B11322">
        <v>4009640</v>
      </c>
      <c r="C11322" t="s">
        <v>13501</v>
      </c>
      <c r="D11322" t="s">
        <v>441</v>
      </c>
      <c r="F11322">
        <v>0</v>
      </c>
      <c r="G11322">
        <v>28.27</v>
      </c>
      <c r="H11322" t="s">
        <v>8587</v>
      </c>
      <c r="I11322">
        <v>45</v>
      </c>
      <c r="J11322" t="s">
        <v>462</v>
      </c>
      <c r="M11322">
        <v>7108</v>
      </c>
      <c r="N11322" t="s">
        <v>17023</v>
      </c>
    </row>
    <row r="11323" spans="1:14">
      <c r="A11323">
        <v>70124130</v>
      </c>
      <c r="B11323">
        <v>4013567</v>
      </c>
      <c r="C11323" t="s">
        <v>5220</v>
      </c>
      <c r="D11323" t="s">
        <v>441</v>
      </c>
      <c r="F11323">
        <v>0</v>
      </c>
      <c r="G11323">
        <v>23.81</v>
      </c>
      <c r="H11323" t="s">
        <v>8587</v>
      </c>
      <c r="I11323">
        <v>45</v>
      </c>
      <c r="J11323" t="s">
        <v>462</v>
      </c>
      <c r="K11323" t="s">
        <v>446</v>
      </c>
      <c r="L11323" t="s">
        <v>13502</v>
      </c>
      <c r="M11323">
        <v>3711</v>
      </c>
      <c r="N11323" t="s">
        <v>17024</v>
      </c>
    </row>
    <row r="11324" spans="1:14">
      <c r="A11324">
        <v>70124140</v>
      </c>
      <c r="B11324">
        <v>4024582</v>
      </c>
      <c r="C11324" t="s">
        <v>5221</v>
      </c>
      <c r="D11324" t="s">
        <v>441</v>
      </c>
      <c r="F11324">
        <v>0</v>
      </c>
      <c r="G11324">
        <v>16.88</v>
      </c>
      <c r="H11324" t="s">
        <v>8587</v>
      </c>
      <c r="I11324">
        <v>45</v>
      </c>
      <c r="J11324" t="s">
        <v>462</v>
      </c>
      <c r="M11324">
        <v>3711</v>
      </c>
      <c r="N11324" t="s">
        <v>17023</v>
      </c>
    </row>
    <row r="11325" spans="1:14">
      <c r="A11325">
        <v>70124150</v>
      </c>
      <c r="B11325">
        <v>4024670</v>
      </c>
      <c r="C11325" t="s">
        <v>5222</v>
      </c>
      <c r="D11325" t="s">
        <v>441</v>
      </c>
      <c r="F11325">
        <v>0</v>
      </c>
      <c r="G11325">
        <v>29.87</v>
      </c>
      <c r="H11325" t="s">
        <v>8587</v>
      </c>
      <c r="I11325">
        <v>45</v>
      </c>
      <c r="J11325" t="s">
        <v>462</v>
      </c>
      <c r="M11325">
        <v>7108</v>
      </c>
      <c r="N11325" t="s">
        <v>17023</v>
      </c>
    </row>
    <row r="11326" spans="1:14">
      <c r="A11326">
        <v>70130000</v>
      </c>
      <c r="B11326">
        <v>3040558</v>
      </c>
      <c r="C11326" t="s">
        <v>165</v>
      </c>
      <c r="D11326" t="s">
        <v>441</v>
      </c>
      <c r="F11326">
        <v>0</v>
      </c>
      <c r="G11326">
        <v>28.64</v>
      </c>
      <c r="H11326" t="s">
        <v>12573</v>
      </c>
      <c r="I11326">
        <v>4</v>
      </c>
      <c r="J11326" t="s">
        <v>445</v>
      </c>
      <c r="M11326">
        <v>3349</v>
      </c>
      <c r="N11326" t="s">
        <v>17025</v>
      </c>
    </row>
    <row r="11327" spans="1:14">
      <c r="A11327">
        <v>70130008</v>
      </c>
      <c r="B11327">
        <v>3040557</v>
      </c>
      <c r="C11327" t="s">
        <v>5223</v>
      </c>
      <c r="D11327" t="s">
        <v>441</v>
      </c>
      <c r="F11327">
        <v>0</v>
      </c>
      <c r="G11327">
        <v>23.5</v>
      </c>
      <c r="H11327" t="s">
        <v>10826</v>
      </c>
      <c r="I11327">
        <v>5</v>
      </c>
      <c r="J11327" t="s">
        <v>445</v>
      </c>
      <c r="M11327">
        <v>6666</v>
      </c>
      <c r="N11327" t="s">
        <v>17026</v>
      </c>
    </row>
    <row r="11328" spans="1:14">
      <c r="A11328">
        <v>70134110</v>
      </c>
      <c r="B11328">
        <v>4026947</v>
      </c>
      <c r="C11328" t="s">
        <v>17651</v>
      </c>
      <c r="D11328" t="s">
        <v>441</v>
      </c>
      <c r="F11328">
        <v>0</v>
      </c>
      <c r="G11328">
        <v>38.25</v>
      </c>
      <c r="H11328" t="s">
        <v>8587</v>
      </c>
      <c r="I11328">
        <v>34</v>
      </c>
      <c r="J11328" t="s">
        <v>462</v>
      </c>
      <c r="K11328" t="s">
        <v>446</v>
      </c>
      <c r="M11328">
        <v>7108</v>
      </c>
      <c r="N11328" t="s">
        <v>17027</v>
      </c>
    </row>
    <row r="11329" spans="1:14">
      <c r="A11329">
        <v>70134111</v>
      </c>
      <c r="B11329">
        <v>3041058</v>
      </c>
      <c r="C11329" t="s">
        <v>5224</v>
      </c>
      <c r="D11329" t="s">
        <v>441</v>
      </c>
      <c r="F11329">
        <v>0</v>
      </c>
      <c r="G11329">
        <v>22.83</v>
      </c>
      <c r="I11329">
        <v>34</v>
      </c>
      <c r="J11329" t="s">
        <v>445</v>
      </c>
      <c r="M11329">
        <v>3741</v>
      </c>
      <c r="N11329" t="s">
        <v>17027</v>
      </c>
    </row>
    <row r="11330" spans="1:14">
      <c r="A11330">
        <v>70140000</v>
      </c>
      <c r="B11330">
        <v>3022462</v>
      </c>
      <c r="C11330" t="s">
        <v>5225</v>
      </c>
      <c r="D11330" t="s">
        <v>441</v>
      </c>
      <c r="F11330">
        <v>0</v>
      </c>
      <c r="G11330">
        <v>20.63</v>
      </c>
      <c r="H11330" t="s">
        <v>8580</v>
      </c>
      <c r="I11330">
        <v>10</v>
      </c>
      <c r="J11330" t="s">
        <v>445</v>
      </c>
      <c r="K11330" t="s">
        <v>446</v>
      </c>
      <c r="M11330">
        <v>3312</v>
      </c>
      <c r="N11330" t="s">
        <v>17028</v>
      </c>
    </row>
    <row r="11331" spans="1:14">
      <c r="A11331">
        <v>70140008</v>
      </c>
      <c r="B11331">
        <v>3022616</v>
      </c>
      <c r="C11331" t="s">
        <v>5226</v>
      </c>
      <c r="D11331" t="s">
        <v>441</v>
      </c>
      <c r="F11331">
        <v>0</v>
      </c>
      <c r="G11331">
        <v>11.38</v>
      </c>
      <c r="I11331">
        <v>5</v>
      </c>
      <c r="J11331" t="s">
        <v>445</v>
      </c>
      <c r="K11331" t="s">
        <v>446</v>
      </c>
      <c r="M11331">
        <v>3211</v>
      </c>
      <c r="N11331" t="s">
        <v>17028</v>
      </c>
    </row>
    <row r="11332" spans="1:14">
      <c r="A11332">
        <v>70140009</v>
      </c>
      <c r="B11332">
        <v>3022614</v>
      </c>
      <c r="C11332" t="s">
        <v>5227</v>
      </c>
      <c r="D11332" t="s">
        <v>441</v>
      </c>
      <c r="F11332">
        <v>0</v>
      </c>
      <c r="G11332">
        <v>15.18</v>
      </c>
      <c r="I11332">
        <v>6</v>
      </c>
      <c r="J11332" t="s">
        <v>445</v>
      </c>
      <c r="K11332" t="s">
        <v>446</v>
      </c>
      <c r="M11332">
        <v>3311</v>
      </c>
      <c r="N11332" t="s">
        <v>17028</v>
      </c>
    </row>
    <row r="11333" spans="1:14">
      <c r="A11333">
        <v>70144110</v>
      </c>
      <c r="B11333">
        <v>4014907</v>
      </c>
      <c r="C11333" t="s">
        <v>5228</v>
      </c>
      <c r="D11333" t="s">
        <v>442</v>
      </c>
      <c r="E11333" t="s">
        <v>441</v>
      </c>
      <c r="F11333">
        <v>0.15</v>
      </c>
      <c r="G11333">
        <v>3.79</v>
      </c>
      <c r="H11333" t="s">
        <v>8587</v>
      </c>
      <c r="I11333">
        <v>111</v>
      </c>
      <c r="J11333" t="s">
        <v>462</v>
      </c>
      <c r="K11333" t="s">
        <v>446</v>
      </c>
      <c r="L11333" t="s">
        <v>13503</v>
      </c>
      <c r="M11333">
        <v>3711</v>
      </c>
      <c r="N11333" t="s">
        <v>17028</v>
      </c>
    </row>
    <row r="11334" spans="1:14">
      <c r="A11334">
        <v>70150000</v>
      </c>
      <c r="B11334">
        <v>3024040</v>
      </c>
      <c r="C11334" t="s">
        <v>5229</v>
      </c>
      <c r="D11334" t="s">
        <v>441</v>
      </c>
      <c r="F11334">
        <v>0</v>
      </c>
      <c r="G11334">
        <v>14.06</v>
      </c>
      <c r="H11334" t="s">
        <v>12573</v>
      </c>
      <c r="I11334">
        <v>7</v>
      </c>
      <c r="J11334" t="s">
        <v>445</v>
      </c>
      <c r="K11334" t="s">
        <v>446</v>
      </c>
      <c r="M11334">
        <v>3312</v>
      </c>
      <c r="N11334" t="s">
        <v>17029</v>
      </c>
    </row>
    <row r="11335" spans="1:14">
      <c r="A11335">
        <v>70150008</v>
      </c>
      <c r="B11335">
        <v>3024030</v>
      </c>
      <c r="C11335" t="s">
        <v>5230</v>
      </c>
      <c r="D11335" t="s">
        <v>441</v>
      </c>
      <c r="F11335">
        <v>0</v>
      </c>
      <c r="G11335">
        <v>10.29</v>
      </c>
      <c r="H11335" t="s">
        <v>12664</v>
      </c>
      <c r="I11335">
        <v>9</v>
      </c>
      <c r="J11335" t="s">
        <v>445</v>
      </c>
      <c r="K11335" t="s">
        <v>446</v>
      </c>
      <c r="M11335">
        <v>3211</v>
      </c>
      <c r="N11335" t="s">
        <v>17030</v>
      </c>
    </row>
    <row r="11336" spans="1:14">
      <c r="A11336">
        <v>70150009</v>
      </c>
      <c r="B11336">
        <v>3024055</v>
      </c>
      <c r="C11336" t="s">
        <v>5231</v>
      </c>
      <c r="D11336" t="s">
        <v>441</v>
      </c>
      <c r="F11336">
        <v>0</v>
      </c>
      <c r="G11336">
        <v>11.21</v>
      </c>
      <c r="H11336" t="s">
        <v>12573</v>
      </c>
      <c r="I11336">
        <v>6</v>
      </c>
      <c r="J11336" t="s">
        <v>445</v>
      </c>
      <c r="K11336" t="s">
        <v>446</v>
      </c>
      <c r="M11336">
        <v>3311</v>
      </c>
      <c r="N11336" t="s">
        <v>17029</v>
      </c>
    </row>
    <row r="11337" spans="1:14">
      <c r="A11337">
        <v>70154050</v>
      </c>
      <c r="B11337">
        <v>4016489</v>
      </c>
      <c r="C11337" t="s">
        <v>5232</v>
      </c>
      <c r="D11337" t="s">
        <v>441</v>
      </c>
      <c r="F11337">
        <v>0</v>
      </c>
      <c r="G11337">
        <v>15.1</v>
      </c>
      <c r="H11337" t="s">
        <v>8587</v>
      </c>
      <c r="I11337">
        <v>42</v>
      </c>
      <c r="J11337" t="s">
        <v>462</v>
      </c>
      <c r="K11337" t="s">
        <v>446</v>
      </c>
      <c r="M11337">
        <v>3711</v>
      </c>
      <c r="N11337" t="s">
        <v>17029</v>
      </c>
    </row>
    <row r="11338" spans="1:14">
      <c r="A11338">
        <v>70154110</v>
      </c>
      <c r="B11338">
        <v>4015948</v>
      </c>
      <c r="C11338" t="s">
        <v>5233</v>
      </c>
      <c r="D11338" t="s">
        <v>442</v>
      </c>
      <c r="E11338" t="s">
        <v>441</v>
      </c>
      <c r="F11338">
        <v>0.28599999999999998</v>
      </c>
      <c r="G11338">
        <v>4.28</v>
      </c>
      <c r="H11338" t="s">
        <v>8587</v>
      </c>
      <c r="I11338">
        <v>81</v>
      </c>
      <c r="J11338" t="s">
        <v>462</v>
      </c>
      <c r="K11338" t="s">
        <v>446</v>
      </c>
      <c r="M11338">
        <v>0</v>
      </c>
    </row>
    <row r="11339" spans="1:14">
      <c r="A11339">
        <v>70154120</v>
      </c>
      <c r="B11339">
        <v>4016550</v>
      </c>
      <c r="C11339" t="s">
        <v>5234</v>
      </c>
      <c r="D11339" t="s">
        <v>442</v>
      </c>
      <c r="E11339" t="s">
        <v>441</v>
      </c>
      <c r="F11339">
        <v>0.26</v>
      </c>
      <c r="G11339">
        <v>3.57</v>
      </c>
      <c r="H11339" t="s">
        <v>8587</v>
      </c>
      <c r="I11339">
        <v>81</v>
      </c>
      <c r="J11339" t="s">
        <v>462</v>
      </c>
      <c r="K11339" t="s">
        <v>446</v>
      </c>
      <c r="L11339" t="s">
        <v>13504</v>
      </c>
      <c r="M11339">
        <v>3711</v>
      </c>
      <c r="N11339" t="s">
        <v>17029</v>
      </c>
    </row>
    <row r="11340" spans="1:14">
      <c r="A11340">
        <v>70154130</v>
      </c>
      <c r="B11340">
        <v>4016551</v>
      </c>
      <c r="C11340" t="s">
        <v>5235</v>
      </c>
      <c r="D11340" t="s">
        <v>442</v>
      </c>
      <c r="E11340" t="s">
        <v>441</v>
      </c>
      <c r="F11340">
        <v>0.26</v>
      </c>
      <c r="G11340">
        <v>4.53</v>
      </c>
      <c r="H11340" t="s">
        <v>8587</v>
      </c>
      <c r="I11340">
        <v>81</v>
      </c>
      <c r="J11340" t="s">
        <v>462</v>
      </c>
      <c r="K11340" t="s">
        <v>446</v>
      </c>
      <c r="L11340" t="s">
        <v>13505</v>
      </c>
      <c r="M11340">
        <v>3711</v>
      </c>
      <c r="N11340" t="s">
        <v>17030</v>
      </c>
    </row>
    <row r="11341" spans="1:14">
      <c r="A11341">
        <v>70154140</v>
      </c>
      <c r="B11341">
        <v>4016552</v>
      </c>
      <c r="C11341" t="s">
        <v>5236</v>
      </c>
      <c r="D11341" t="s">
        <v>442</v>
      </c>
      <c r="E11341" t="s">
        <v>441</v>
      </c>
      <c r="F11341">
        <v>0.52</v>
      </c>
      <c r="G11341">
        <v>7.87</v>
      </c>
      <c r="H11341" t="s">
        <v>8587</v>
      </c>
      <c r="I11341">
        <v>81</v>
      </c>
      <c r="J11341" t="s">
        <v>462</v>
      </c>
      <c r="K11341" t="s">
        <v>446</v>
      </c>
      <c r="L11341" t="s">
        <v>13506</v>
      </c>
      <c r="M11341">
        <v>3711</v>
      </c>
      <c r="N11341" t="s">
        <v>17029</v>
      </c>
    </row>
    <row r="11342" spans="1:14">
      <c r="A11342">
        <v>70154141</v>
      </c>
      <c r="B11342">
        <v>3033004</v>
      </c>
      <c r="C11342" t="s">
        <v>5237</v>
      </c>
      <c r="D11342" t="s">
        <v>442</v>
      </c>
      <c r="E11342" t="s">
        <v>441</v>
      </c>
      <c r="F11342">
        <v>0.52</v>
      </c>
      <c r="G11342">
        <v>8.16</v>
      </c>
      <c r="H11342" t="s">
        <v>8587</v>
      </c>
      <c r="I11342">
        <v>81</v>
      </c>
      <c r="J11342" t="s">
        <v>445</v>
      </c>
      <c r="K11342" t="s">
        <v>446</v>
      </c>
      <c r="M11342">
        <v>3711</v>
      </c>
      <c r="N11342" t="s">
        <v>17029</v>
      </c>
    </row>
    <row r="11343" spans="1:14">
      <c r="A11343">
        <v>70154150</v>
      </c>
      <c r="B11343">
        <v>4016553</v>
      </c>
      <c r="C11343" t="s">
        <v>5238</v>
      </c>
      <c r="D11343" t="s">
        <v>441</v>
      </c>
      <c r="F11343">
        <v>0</v>
      </c>
      <c r="G11343">
        <v>13.24</v>
      </c>
      <c r="H11343" t="s">
        <v>8587</v>
      </c>
      <c r="I11343">
        <v>81</v>
      </c>
      <c r="J11343" t="s">
        <v>462</v>
      </c>
      <c r="K11343" t="s">
        <v>446</v>
      </c>
      <c r="M11343">
        <v>3711</v>
      </c>
      <c r="N11343" t="s">
        <v>17029</v>
      </c>
    </row>
    <row r="11344" spans="1:14">
      <c r="A11344">
        <v>70154160</v>
      </c>
      <c r="B11344">
        <v>4020509</v>
      </c>
      <c r="C11344" t="s">
        <v>5239</v>
      </c>
      <c r="D11344" t="s">
        <v>442</v>
      </c>
      <c r="E11344" t="s">
        <v>441</v>
      </c>
      <c r="F11344">
        <v>0.52</v>
      </c>
      <c r="G11344">
        <v>8.14</v>
      </c>
      <c r="H11344" t="s">
        <v>8587</v>
      </c>
      <c r="I11344">
        <v>81</v>
      </c>
      <c r="J11344" t="s">
        <v>462</v>
      </c>
      <c r="K11344" t="s">
        <v>446</v>
      </c>
      <c r="L11344" t="s">
        <v>13506</v>
      </c>
      <c r="M11344">
        <v>0</v>
      </c>
      <c r="N11344" t="s">
        <v>17029</v>
      </c>
    </row>
    <row r="11345" spans="1:14">
      <c r="A11345">
        <v>70154170</v>
      </c>
      <c r="B11345">
        <v>4020550</v>
      </c>
      <c r="C11345" t="s">
        <v>5240</v>
      </c>
      <c r="D11345" t="s">
        <v>442</v>
      </c>
      <c r="E11345" t="s">
        <v>441</v>
      </c>
      <c r="F11345">
        <v>0.52</v>
      </c>
      <c r="G11345">
        <v>8.41</v>
      </c>
      <c r="H11345" t="s">
        <v>8587</v>
      </c>
      <c r="I11345">
        <v>81</v>
      </c>
      <c r="J11345" t="s">
        <v>462</v>
      </c>
      <c r="K11345" t="s">
        <v>446</v>
      </c>
      <c r="L11345" t="s">
        <v>13506</v>
      </c>
      <c r="M11345">
        <v>0</v>
      </c>
      <c r="N11345" t="s">
        <v>17029</v>
      </c>
    </row>
    <row r="11346" spans="1:14">
      <c r="A11346">
        <v>70154180</v>
      </c>
      <c r="B11346">
        <v>4020557</v>
      </c>
      <c r="C11346" t="s">
        <v>5241</v>
      </c>
      <c r="D11346" t="s">
        <v>442</v>
      </c>
      <c r="E11346" t="s">
        <v>441</v>
      </c>
      <c r="F11346">
        <v>0.52</v>
      </c>
      <c r="G11346">
        <v>8.31</v>
      </c>
      <c r="H11346" t="s">
        <v>8587</v>
      </c>
      <c r="I11346">
        <v>81</v>
      </c>
      <c r="J11346" t="s">
        <v>462</v>
      </c>
      <c r="K11346" t="s">
        <v>446</v>
      </c>
      <c r="L11346" t="s">
        <v>13506</v>
      </c>
      <c r="M11346">
        <v>3711</v>
      </c>
      <c r="N11346" t="s">
        <v>17029</v>
      </c>
    </row>
    <row r="11347" spans="1:14">
      <c r="A11347">
        <v>70154190</v>
      </c>
      <c r="B11347">
        <v>4020571</v>
      </c>
      <c r="C11347" t="s">
        <v>5242</v>
      </c>
      <c r="D11347" t="s">
        <v>442</v>
      </c>
      <c r="E11347" t="s">
        <v>441</v>
      </c>
      <c r="F11347">
        <v>0.26</v>
      </c>
      <c r="G11347">
        <v>4.2699999999999996</v>
      </c>
      <c r="H11347" t="s">
        <v>8587</v>
      </c>
      <c r="I11347">
        <v>81</v>
      </c>
      <c r="J11347" t="s">
        <v>462</v>
      </c>
      <c r="K11347" t="s">
        <v>446</v>
      </c>
      <c r="L11347" t="s">
        <v>13504</v>
      </c>
      <c r="M11347">
        <v>3711</v>
      </c>
      <c r="N11347" t="s">
        <v>17029</v>
      </c>
    </row>
    <row r="11348" spans="1:14">
      <c r="A11348">
        <v>70155110</v>
      </c>
      <c r="B11348">
        <v>4021173</v>
      </c>
      <c r="C11348" t="s">
        <v>5243</v>
      </c>
      <c r="D11348" t="s">
        <v>441</v>
      </c>
      <c r="F11348">
        <v>0</v>
      </c>
      <c r="G11348">
        <v>12.96</v>
      </c>
      <c r="H11348" t="s">
        <v>8587</v>
      </c>
      <c r="I11348">
        <v>81</v>
      </c>
      <c r="J11348" t="s">
        <v>462</v>
      </c>
      <c r="K11348" t="s">
        <v>446</v>
      </c>
      <c r="M11348">
        <v>3711</v>
      </c>
      <c r="N11348" t="s">
        <v>17029</v>
      </c>
    </row>
    <row r="11349" spans="1:14">
      <c r="A11349">
        <v>70155120</v>
      </c>
      <c r="B11349">
        <v>4022773</v>
      </c>
      <c r="C11349" t="s">
        <v>5244</v>
      </c>
      <c r="D11349" t="s">
        <v>442</v>
      </c>
      <c r="E11349" t="s">
        <v>441</v>
      </c>
      <c r="F11349">
        <v>0.52</v>
      </c>
      <c r="G11349">
        <v>8.24</v>
      </c>
      <c r="H11349" t="s">
        <v>8587</v>
      </c>
      <c r="I11349">
        <v>81</v>
      </c>
      <c r="J11349" t="s">
        <v>462</v>
      </c>
      <c r="K11349" t="s">
        <v>446</v>
      </c>
      <c r="L11349" t="s">
        <v>13506</v>
      </c>
      <c r="M11349">
        <v>3711</v>
      </c>
      <c r="N11349" t="s">
        <v>17029</v>
      </c>
    </row>
    <row r="11350" spans="1:14">
      <c r="A11350">
        <v>70156110</v>
      </c>
      <c r="B11350">
        <v>4021569</v>
      </c>
      <c r="C11350" t="s">
        <v>5245</v>
      </c>
      <c r="D11350" t="s">
        <v>442</v>
      </c>
      <c r="E11350" t="s">
        <v>441</v>
      </c>
      <c r="F11350">
        <v>0.26</v>
      </c>
      <c r="G11350">
        <v>3.97</v>
      </c>
      <c r="H11350" t="s">
        <v>8587</v>
      </c>
      <c r="I11350">
        <v>81</v>
      </c>
      <c r="J11350" t="s">
        <v>462</v>
      </c>
      <c r="K11350" t="s">
        <v>446</v>
      </c>
      <c r="M11350">
        <v>3711</v>
      </c>
      <c r="N11350" t="s">
        <v>17029</v>
      </c>
    </row>
    <row r="11351" spans="1:14">
      <c r="A11351">
        <v>70160000</v>
      </c>
      <c r="B11351">
        <v>3009182</v>
      </c>
      <c r="C11351" t="s">
        <v>5246</v>
      </c>
      <c r="D11351" t="s">
        <v>441</v>
      </c>
      <c r="F11351">
        <v>0</v>
      </c>
      <c r="G11351">
        <v>11.17</v>
      </c>
      <c r="H11351" t="s">
        <v>8580</v>
      </c>
      <c r="I11351">
        <v>10</v>
      </c>
      <c r="J11351" t="s">
        <v>445</v>
      </c>
      <c r="K11351" t="s">
        <v>446</v>
      </c>
      <c r="M11351">
        <v>3311</v>
      </c>
    </row>
    <row r="11352" spans="1:14">
      <c r="A11352">
        <v>70160008</v>
      </c>
      <c r="B11352">
        <v>3009183</v>
      </c>
      <c r="C11352" t="s">
        <v>13507</v>
      </c>
      <c r="D11352" t="s">
        <v>441</v>
      </c>
      <c r="F11352">
        <v>0</v>
      </c>
      <c r="G11352">
        <v>9.85</v>
      </c>
      <c r="I11352">
        <v>10</v>
      </c>
      <c r="J11352" t="s">
        <v>445</v>
      </c>
      <c r="K11352" t="s">
        <v>446</v>
      </c>
      <c r="M11352">
        <v>3211</v>
      </c>
    </row>
    <row r="11353" spans="1:14">
      <c r="A11353">
        <v>70162060</v>
      </c>
      <c r="B11353">
        <v>4008468</v>
      </c>
      <c r="C11353" t="s">
        <v>5247</v>
      </c>
      <c r="D11353" t="s">
        <v>441</v>
      </c>
      <c r="F11353">
        <v>0</v>
      </c>
      <c r="G11353">
        <v>11.37</v>
      </c>
      <c r="H11353" t="s">
        <v>8587</v>
      </c>
      <c r="I11353">
        <v>180</v>
      </c>
      <c r="J11353" t="s">
        <v>462</v>
      </c>
      <c r="K11353" t="s">
        <v>446</v>
      </c>
      <c r="M11353">
        <v>3711</v>
      </c>
    </row>
    <row r="11354" spans="1:14">
      <c r="A11354">
        <v>70170000</v>
      </c>
      <c r="B11354">
        <v>3012432</v>
      </c>
      <c r="C11354" t="s">
        <v>13508</v>
      </c>
      <c r="D11354" t="s">
        <v>441</v>
      </c>
      <c r="F11354">
        <v>0</v>
      </c>
      <c r="G11354">
        <v>11.31</v>
      </c>
      <c r="I11354">
        <v>365</v>
      </c>
      <c r="J11354" t="s">
        <v>445</v>
      </c>
      <c r="K11354" t="s">
        <v>446</v>
      </c>
      <c r="M11354">
        <v>3311</v>
      </c>
    </row>
    <row r="11355" spans="1:14">
      <c r="A11355">
        <v>70170008</v>
      </c>
      <c r="B11355">
        <v>3012431</v>
      </c>
      <c r="C11355" t="s">
        <v>13509</v>
      </c>
      <c r="D11355" t="s">
        <v>441</v>
      </c>
      <c r="F11355">
        <v>0</v>
      </c>
      <c r="G11355">
        <v>10.8</v>
      </c>
      <c r="I11355">
        <v>9</v>
      </c>
      <c r="J11355" t="s">
        <v>445</v>
      </c>
      <c r="K11355" t="s">
        <v>446</v>
      </c>
      <c r="M11355">
        <v>3211</v>
      </c>
    </row>
    <row r="11356" spans="1:14">
      <c r="A11356">
        <v>70172020</v>
      </c>
      <c r="B11356">
        <v>4009967</v>
      </c>
      <c r="C11356" t="s">
        <v>13510</v>
      </c>
      <c r="D11356" t="s">
        <v>441</v>
      </c>
      <c r="F11356">
        <v>0</v>
      </c>
      <c r="G11356">
        <v>11.81</v>
      </c>
      <c r="H11356" t="s">
        <v>8587</v>
      </c>
      <c r="I11356">
        <v>365</v>
      </c>
      <c r="J11356" t="s">
        <v>462</v>
      </c>
      <c r="K11356" t="s">
        <v>446</v>
      </c>
      <c r="M11356">
        <v>3711</v>
      </c>
    </row>
    <row r="11357" spans="1:14">
      <c r="A11357">
        <v>70172030</v>
      </c>
      <c r="B11357">
        <v>4009960</v>
      </c>
      <c r="C11357" t="s">
        <v>5248</v>
      </c>
      <c r="D11357" t="s">
        <v>442</v>
      </c>
      <c r="E11357" t="s">
        <v>441</v>
      </c>
      <c r="F11357">
        <v>2.5</v>
      </c>
      <c r="G11357">
        <v>29.92</v>
      </c>
      <c r="H11357" t="s">
        <v>8922</v>
      </c>
      <c r="I11357">
        <v>365</v>
      </c>
      <c r="J11357" t="s">
        <v>462</v>
      </c>
      <c r="K11357" t="s">
        <v>446</v>
      </c>
      <c r="L11357" t="s">
        <v>13511</v>
      </c>
      <c r="M11357">
        <v>3711</v>
      </c>
    </row>
    <row r="11358" spans="1:14">
      <c r="A11358">
        <v>70172410</v>
      </c>
      <c r="B11358">
        <v>4012423</v>
      </c>
      <c r="C11358" t="s">
        <v>4210</v>
      </c>
      <c r="D11358" t="s">
        <v>442</v>
      </c>
      <c r="E11358" t="s">
        <v>441</v>
      </c>
      <c r="F11358">
        <v>2.5</v>
      </c>
      <c r="G11358">
        <v>30.21</v>
      </c>
      <c r="H11358" t="s">
        <v>8922</v>
      </c>
      <c r="I11358">
        <v>365</v>
      </c>
      <c r="J11358" t="s">
        <v>462</v>
      </c>
      <c r="K11358" t="s">
        <v>446</v>
      </c>
      <c r="M11358">
        <v>3731</v>
      </c>
    </row>
    <row r="11359" spans="1:14">
      <c r="A11359">
        <v>70172420</v>
      </c>
      <c r="B11359">
        <v>4013058</v>
      </c>
      <c r="C11359" t="s">
        <v>5249</v>
      </c>
      <c r="D11359" t="s">
        <v>442</v>
      </c>
      <c r="E11359" t="s">
        <v>441</v>
      </c>
      <c r="F11359">
        <v>2.5</v>
      </c>
      <c r="G11359">
        <v>30.03</v>
      </c>
      <c r="H11359" t="s">
        <v>8922</v>
      </c>
      <c r="I11359">
        <v>365</v>
      </c>
      <c r="J11359" t="s">
        <v>462</v>
      </c>
      <c r="K11359" t="s">
        <v>446</v>
      </c>
      <c r="M11359">
        <v>3731</v>
      </c>
    </row>
    <row r="11360" spans="1:14">
      <c r="A11360">
        <v>70172430</v>
      </c>
      <c r="B11360">
        <v>4013748</v>
      </c>
      <c r="C11360" t="s">
        <v>5250</v>
      </c>
      <c r="D11360" t="s">
        <v>442</v>
      </c>
      <c r="E11360" t="s">
        <v>441</v>
      </c>
      <c r="F11360">
        <v>2.5</v>
      </c>
      <c r="G11360">
        <v>29.96</v>
      </c>
      <c r="H11360" t="s">
        <v>8922</v>
      </c>
      <c r="I11360">
        <v>365</v>
      </c>
      <c r="J11360" t="s">
        <v>462</v>
      </c>
      <c r="K11360" t="s">
        <v>446</v>
      </c>
      <c r="M11360">
        <v>3731</v>
      </c>
    </row>
    <row r="11361" spans="1:14">
      <c r="A11361">
        <v>70180000</v>
      </c>
      <c r="B11361">
        <v>3016667</v>
      </c>
      <c r="C11361" t="s">
        <v>13512</v>
      </c>
      <c r="D11361" t="s">
        <v>441</v>
      </c>
      <c r="F11361">
        <v>0</v>
      </c>
      <c r="G11361">
        <v>11.93</v>
      </c>
      <c r="H11361" t="s">
        <v>8580</v>
      </c>
      <c r="I11361">
        <v>150</v>
      </c>
      <c r="J11361" t="s">
        <v>445</v>
      </c>
      <c r="K11361" t="s">
        <v>446</v>
      </c>
      <c r="M11361">
        <v>3311</v>
      </c>
    </row>
    <row r="11362" spans="1:14">
      <c r="A11362">
        <v>70180008</v>
      </c>
      <c r="B11362">
        <v>3016668</v>
      </c>
      <c r="C11362" t="s">
        <v>13513</v>
      </c>
      <c r="D11362" t="s">
        <v>441</v>
      </c>
      <c r="F11362">
        <v>0</v>
      </c>
      <c r="G11362">
        <v>10.92</v>
      </c>
      <c r="H11362" t="s">
        <v>8580</v>
      </c>
      <c r="I11362">
        <v>9</v>
      </c>
      <c r="J11362" t="s">
        <v>445</v>
      </c>
      <c r="K11362" t="s">
        <v>446</v>
      </c>
      <c r="M11362">
        <v>3211</v>
      </c>
    </row>
    <row r="11363" spans="1:14">
      <c r="A11363">
        <v>70182010</v>
      </c>
      <c r="B11363">
        <v>4001131</v>
      </c>
      <c r="C11363" t="s">
        <v>5251</v>
      </c>
      <c r="D11363" t="s">
        <v>442</v>
      </c>
      <c r="E11363" t="s">
        <v>441</v>
      </c>
      <c r="F11363">
        <v>0.56999999999999995</v>
      </c>
      <c r="G11363">
        <v>7.2</v>
      </c>
      <c r="H11363" t="s">
        <v>8922</v>
      </c>
      <c r="I11363">
        <v>150</v>
      </c>
      <c r="J11363" t="s">
        <v>462</v>
      </c>
      <c r="K11363" t="s">
        <v>446</v>
      </c>
      <c r="L11363" t="s">
        <v>13514</v>
      </c>
      <c r="M11363">
        <v>3711</v>
      </c>
    </row>
    <row r="11364" spans="1:14">
      <c r="A11364">
        <v>70182020</v>
      </c>
      <c r="B11364">
        <v>4013470</v>
      </c>
      <c r="C11364" t="s">
        <v>5252</v>
      </c>
      <c r="D11364" t="s">
        <v>442</v>
      </c>
      <c r="E11364" t="s">
        <v>441</v>
      </c>
      <c r="F11364">
        <v>4.5599999999999996</v>
      </c>
      <c r="G11364">
        <v>57.85</v>
      </c>
      <c r="H11364" t="s">
        <v>8922</v>
      </c>
      <c r="I11364">
        <v>150</v>
      </c>
      <c r="J11364" t="s">
        <v>462</v>
      </c>
      <c r="K11364" t="s">
        <v>446</v>
      </c>
      <c r="L11364">
        <v>281193</v>
      </c>
      <c r="M11364">
        <v>3731</v>
      </c>
    </row>
    <row r="11365" spans="1:14">
      <c r="A11365">
        <v>70182021</v>
      </c>
      <c r="B11365">
        <v>3011891</v>
      </c>
      <c r="C11365" t="s">
        <v>5253</v>
      </c>
      <c r="D11365" t="s">
        <v>442</v>
      </c>
      <c r="E11365" t="s">
        <v>441</v>
      </c>
      <c r="F11365">
        <v>0.56999999999999995</v>
      </c>
      <c r="G11365">
        <v>7.08</v>
      </c>
      <c r="I11365">
        <v>150</v>
      </c>
      <c r="J11365" t="s">
        <v>445</v>
      </c>
      <c r="K11365" t="s">
        <v>446</v>
      </c>
      <c r="M11365">
        <v>3711</v>
      </c>
    </row>
    <row r="11366" spans="1:14">
      <c r="A11366">
        <v>70182030</v>
      </c>
      <c r="B11366">
        <v>4001985</v>
      </c>
      <c r="C11366" t="s">
        <v>5254</v>
      </c>
      <c r="D11366" t="s">
        <v>442</v>
      </c>
      <c r="E11366" t="s">
        <v>441</v>
      </c>
      <c r="F11366">
        <v>0.56999999999999995</v>
      </c>
      <c r="G11366">
        <v>7.21</v>
      </c>
      <c r="H11366" t="s">
        <v>8922</v>
      </c>
      <c r="I11366">
        <v>150</v>
      </c>
      <c r="J11366" t="s">
        <v>462</v>
      </c>
      <c r="K11366" t="s">
        <v>446</v>
      </c>
      <c r="M11366">
        <v>3711</v>
      </c>
    </row>
    <row r="11367" spans="1:14">
      <c r="A11367">
        <v>70182050</v>
      </c>
      <c r="B11367">
        <v>4004412</v>
      </c>
      <c r="C11367" t="s">
        <v>5255</v>
      </c>
      <c r="D11367" t="s">
        <v>442</v>
      </c>
      <c r="E11367" t="s">
        <v>441</v>
      </c>
      <c r="F11367">
        <v>0.56999999999999995</v>
      </c>
      <c r="G11367">
        <v>6.96</v>
      </c>
      <c r="H11367" t="s">
        <v>8922</v>
      </c>
      <c r="I11367">
        <v>150</v>
      </c>
      <c r="J11367" t="s">
        <v>462</v>
      </c>
      <c r="K11367" t="s">
        <v>446</v>
      </c>
      <c r="M11367">
        <v>3711</v>
      </c>
    </row>
    <row r="11368" spans="1:14">
      <c r="A11368">
        <v>70182060</v>
      </c>
      <c r="B11368">
        <v>4004413</v>
      </c>
      <c r="C11368" t="s">
        <v>5256</v>
      </c>
      <c r="D11368" t="s">
        <v>442</v>
      </c>
      <c r="E11368" t="s">
        <v>441</v>
      </c>
      <c r="F11368">
        <v>0.56999999999999995</v>
      </c>
      <c r="G11368">
        <v>6.65</v>
      </c>
      <c r="H11368" t="s">
        <v>8922</v>
      </c>
      <c r="I11368">
        <v>150</v>
      </c>
      <c r="J11368" t="s">
        <v>462</v>
      </c>
      <c r="K11368" t="s">
        <v>446</v>
      </c>
      <c r="M11368">
        <v>3711</v>
      </c>
    </row>
    <row r="11369" spans="1:14">
      <c r="A11369">
        <v>70182070</v>
      </c>
      <c r="B11369">
        <v>4001987</v>
      </c>
      <c r="C11369" t="s">
        <v>13515</v>
      </c>
      <c r="D11369" t="s">
        <v>442</v>
      </c>
      <c r="E11369" t="s">
        <v>441</v>
      </c>
      <c r="F11369">
        <v>0.56999999999999995</v>
      </c>
      <c r="G11369">
        <v>7.05</v>
      </c>
      <c r="H11369" t="s">
        <v>8922</v>
      </c>
      <c r="I11369">
        <v>150</v>
      </c>
      <c r="J11369" t="s">
        <v>462</v>
      </c>
      <c r="K11369" t="s">
        <v>446</v>
      </c>
      <c r="M11369">
        <v>3711</v>
      </c>
    </row>
    <row r="11370" spans="1:14">
      <c r="A11370">
        <v>70182090</v>
      </c>
      <c r="B11370">
        <v>4004414</v>
      </c>
      <c r="C11370" t="s">
        <v>5257</v>
      </c>
      <c r="D11370" t="s">
        <v>442</v>
      </c>
      <c r="E11370" t="s">
        <v>441</v>
      </c>
      <c r="F11370">
        <v>0.56999999999999995</v>
      </c>
      <c r="G11370">
        <v>7.25</v>
      </c>
      <c r="H11370" t="s">
        <v>8922</v>
      </c>
      <c r="I11370">
        <v>150</v>
      </c>
      <c r="J11370" t="s">
        <v>462</v>
      </c>
      <c r="K11370" t="s">
        <v>446</v>
      </c>
      <c r="L11370" t="s">
        <v>13514</v>
      </c>
      <c r="M11370">
        <v>3711</v>
      </c>
    </row>
    <row r="11371" spans="1:14">
      <c r="A11371">
        <v>70182420</v>
      </c>
      <c r="B11371">
        <v>4007264</v>
      </c>
      <c r="C11371" t="s">
        <v>5258</v>
      </c>
      <c r="D11371" t="s">
        <v>442</v>
      </c>
      <c r="E11371" t="s">
        <v>441</v>
      </c>
      <c r="F11371">
        <v>0.56999999999999995</v>
      </c>
      <c r="G11371">
        <v>7.24</v>
      </c>
      <c r="H11371" t="s">
        <v>8922</v>
      </c>
      <c r="I11371">
        <v>150</v>
      </c>
      <c r="J11371" t="s">
        <v>462</v>
      </c>
      <c r="K11371" t="s">
        <v>446</v>
      </c>
      <c r="M11371">
        <v>3711</v>
      </c>
    </row>
    <row r="11372" spans="1:14">
      <c r="A11372">
        <v>70182430</v>
      </c>
      <c r="B11372">
        <v>4008967</v>
      </c>
      <c r="C11372" t="s">
        <v>5259</v>
      </c>
      <c r="D11372" t="s">
        <v>442</v>
      </c>
      <c r="E11372" t="s">
        <v>441</v>
      </c>
      <c r="F11372">
        <v>0.56999999999999995</v>
      </c>
      <c r="G11372">
        <v>7.13</v>
      </c>
      <c r="H11372" t="s">
        <v>8922</v>
      </c>
      <c r="I11372">
        <v>150</v>
      </c>
      <c r="J11372" t="s">
        <v>462</v>
      </c>
      <c r="K11372" t="s">
        <v>446</v>
      </c>
      <c r="M11372">
        <v>3711</v>
      </c>
    </row>
    <row r="11373" spans="1:14">
      <c r="A11373">
        <v>70182440</v>
      </c>
      <c r="B11373">
        <v>4013734</v>
      </c>
      <c r="C11373" t="s">
        <v>5260</v>
      </c>
      <c r="D11373" t="s">
        <v>442</v>
      </c>
      <c r="E11373" t="s">
        <v>441</v>
      </c>
      <c r="F11373">
        <v>0.56999999999999995</v>
      </c>
      <c r="G11373">
        <v>7.28</v>
      </c>
      <c r="H11373" t="s">
        <v>8922</v>
      </c>
      <c r="I11373">
        <v>150</v>
      </c>
      <c r="J11373" t="s">
        <v>462</v>
      </c>
      <c r="K11373" t="s">
        <v>446</v>
      </c>
      <c r="L11373" t="s">
        <v>13516</v>
      </c>
      <c r="M11373">
        <v>3711</v>
      </c>
    </row>
    <row r="11374" spans="1:14">
      <c r="A11374">
        <v>70182450</v>
      </c>
      <c r="B11374">
        <v>4016507</v>
      </c>
      <c r="C11374" t="s">
        <v>5261</v>
      </c>
      <c r="D11374" t="s">
        <v>442</v>
      </c>
      <c r="E11374" t="s">
        <v>441</v>
      </c>
      <c r="F11374">
        <v>0.56999999999999995</v>
      </c>
      <c r="G11374">
        <v>7.4</v>
      </c>
      <c r="H11374" t="s">
        <v>8922</v>
      </c>
      <c r="I11374">
        <v>150</v>
      </c>
      <c r="J11374" t="s">
        <v>462</v>
      </c>
      <c r="K11374" t="s">
        <v>446</v>
      </c>
      <c r="M11374">
        <v>3711</v>
      </c>
    </row>
    <row r="11375" spans="1:14">
      <c r="A11375">
        <v>70182460</v>
      </c>
      <c r="B11375">
        <v>4028980</v>
      </c>
      <c r="C11375" t="s">
        <v>14580</v>
      </c>
      <c r="D11375" t="s">
        <v>442</v>
      </c>
      <c r="E11375" t="s">
        <v>441</v>
      </c>
      <c r="F11375">
        <v>0.45500000000000002</v>
      </c>
      <c r="G11375">
        <v>10.75</v>
      </c>
      <c r="H11375" t="s">
        <v>8587</v>
      </c>
      <c r="I11375">
        <v>540</v>
      </c>
      <c r="J11375" t="s">
        <v>462</v>
      </c>
      <c r="M11375">
        <v>7329</v>
      </c>
      <c r="N11375" t="s">
        <v>16411</v>
      </c>
    </row>
    <row r="11376" spans="1:14">
      <c r="A11376">
        <v>70190000</v>
      </c>
      <c r="B11376">
        <v>3041134</v>
      </c>
      <c r="C11376" t="s">
        <v>5262</v>
      </c>
      <c r="D11376" t="s">
        <v>441</v>
      </c>
      <c r="F11376">
        <v>0</v>
      </c>
      <c r="G11376">
        <v>20.239999999999998</v>
      </c>
      <c r="H11376" t="s">
        <v>12573</v>
      </c>
      <c r="I11376">
        <v>6</v>
      </c>
      <c r="J11376" t="s">
        <v>445</v>
      </c>
      <c r="M11376">
        <v>3349</v>
      </c>
      <c r="N11376" t="s">
        <v>17031</v>
      </c>
    </row>
    <row r="11377" spans="1:14">
      <c r="A11377">
        <v>70190008</v>
      </c>
      <c r="B11377">
        <v>3041145</v>
      </c>
      <c r="C11377" t="s">
        <v>5263</v>
      </c>
      <c r="D11377" t="s">
        <v>441</v>
      </c>
      <c r="F11377">
        <v>0</v>
      </c>
      <c r="G11377">
        <v>15.61</v>
      </c>
      <c r="H11377" t="s">
        <v>12664</v>
      </c>
      <c r="I11377">
        <v>5</v>
      </c>
      <c r="J11377" t="s">
        <v>445</v>
      </c>
      <c r="M11377">
        <v>6666</v>
      </c>
      <c r="N11377" t="s">
        <v>17032</v>
      </c>
    </row>
    <row r="11378" spans="1:14">
      <c r="A11378">
        <v>70195110</v>
      </c>
      <c r="B11378">
        <v>4027167</v>
      </c>
      <c r="C11378" t="s">
        <v>5264</v>
      </c>
      <c r="D11378" t="s">
        <v>441</v>
      </c>
      <c r="F11378">
        <v>0</v>
      </c>
      <c r="G11378">
        <v>19.899999999999999</v>
      </c>
      <c r="H11378" t="s">
        <v>8922</v>
      </c>
      <c r="I11378">
        <v>35</v>
      </c>
      <c r="J11378" t="s">
        <v>462</v>
      </c>
      <c r="M11378">
        <v>7108</v>
      </c>
      <c r="N11378" t="s">
        <v>17033</v>
      </c>
    </row>
    <row r="11379" spans="1:14">
      <c r="A11379">
        <v>70195120</v>
      </c>
      <c r="B11379">
        <v>4028754</v>
      </c>
      <c r="C11379" t="s">
        <v>13517</v>
      </c>
      <c r="D11379" t="s">
        <v>441</v>
      </c>
      <c r="F11379">
        <v>0</v>
      </c>
      <c r="G11379">
        <v>22.7</v>
      </c>
      <c r="H11379" t="s">
        <v>8587</v>
      </c>
      <c r="I11379">
        <v>35</v>
      </c>
      <c r="J11379" t="s">
        <v>462</v>
      </c>
      <c r="M11379">
        <v>7108</v>
      </c>
      <c r="N11379" t="s">
        <v>17033</v>
      </c>
    </row>
    <row r="11380" spans="1:14">
      <c r="A11380">
        <v>70195130</v>
      </c>
      <c r="B11380">
        <v>4029059</v>
      </c>
      <c r="C11380" t="s">
        <v>14581</v>
      </c>
      <c r="D11380" t="s">
        <v>441</v>
      </c>
      <c r="F11380">
        <v>0</v>
      </c>
      <c r="G11380">
        <v>22.1</v>
      </c>
      <c r="H11380" t="s">
        <v>8587</v>
      </c>
      <c r="I11380">
        <v>35</v>
      </c>
      <c r="J11380" t="s">
        <v>462</v>
      </c>
      <c r="L11380" t="s">
        <v>15290</v>
      </c>
      <c r="M11380">
        <v>7108</v>
      </c>
      <c r="N11380" t="s">
        <v>17033</v>
      </c>
    </row>
    <row r="11381" spans="1:14">
      <c r="A11381">
        <v>70200000</v>
      </c>
      <c r="B11381">
        <v>3023172</v>
      </c>
      <c r="C11381" t="s">
        <v>5265</v>
      </c>
      <c r="D11381" t="s">
        <v>441</v>
      </c>
      <c r="F11381">
        <v>0</v>
      </c>
      <c r="G11381">
        <v>16.68</v>
      </c>
      <c r="H11381" t="s">
        <v>8580</v>
      </c>
      <c r="I11381">
        <v>7</v>
      </c>
      <c r="J11381" t="s">
        <v>445</v>
      </c>
      <c r="K11381" t="s">
        <v>446</v>
      </c>
      <c r="M11381">
        <v>3312</v>
      </c>
      <c r="N11381" t="s">
        <v>17034</v>
      </c>
    </row>
    <row r="11382" spans="1:14">
      <c r="A11382">
        <v>70200008</v>
      </c>
      <c r="B11382">
        <v>3023171</v>
      </c>
      <c r="C11382" t="s">
        <v>5266</v>
      </c>
      <c r="D11382" t="s">
        <v>441</v>
      </c>
      <c r="F11382">
        <v>0</v>
      </c>
      <c r="G11382">
        <v>7.92</v>
      </c>
      <c r="H11382" t="s">
        <v>8580</v>
      </c>
      <c r="I11382">
        <v>5</v>
      </c>
      <c r="J11382" t="s">
        <v>445</v>
      </c>
      <c r="K11382" t="s">
        <v>446</v>
      </c>
      <c r="M11382">
        <v>3211</v>
      </c>
      <c r="N11382" t="s">
        <v>17035</v>
      </c>
    </row>
    <row r="11383" spans="1:14">
      <c r="A11383">
        <v>70200009</v>
      </c>
      <c r="B11383">
        <v>3023170</v>
      </c>
      <c r="C11383" t="s">
        <v>5267</v>
      </c>
      <c r="D11383" t="s">
        <v>441</v>
      </c>
      <c r="F11383">
        <v>0</v>
      </c>
      <c r="G11383">
        <v>11.57</v>
      </c>
      <c r="H11383" t="s">
        <v>8580</v>
      </c>
      <c r="I11383">
        <v>6</v>
      </c>
      <c r="J11383" t="s">
        <v>445</v>
      </c>
      <c r="K11383" t="s">
        <v>446</v>
      </c>
      <c r="M11383">
        <v>3311</v>
      </c>
      <c r="N11383" t="s">
        <v>17034</v>
      </c>
    </row>
    <row r="11384" spans="1:14">
      <c r="A11384">
        <v>70204210</v>
      </c>
      <c r="B11384">
        <v>4015292</v>
      </c>
      <c r="C11384" t="s">
        <v>5268</v>
      </c>
      <c r="D11384" t="s">
        <v>442</v>
      </c>
      <c r="E11384" t="s">
        <v>441</v>
      </c>
      <c r="F11384">
        <v>0.105</v>
      </c>
      <c r="G11384">
        <v>2.34</v>
      </c>
      <c r="H11384" t="s">
        <v>8587</v>
      </c>
      <c r="I11384">
        <v>100</v>
      </c>
      <c r="J11384" t="s">
        <v>462</v>
      </c>
      <c r="K11384" t="s">
        <v>446</v>
      </c>
      <c r="M11384">
        <v>3711</v>
      </c>
      <c r="N11384" t="s">
        <v>17034</v>
      </c>
    </row>
    <row r="11385" spans="1:14">
      <c r="A11385">
        <v>70204220</v>
      </c>
      <c r="B11385">
        <v>4016154</v>
      </c>
      <c r="C11385" t="s">
        <v>5269</v>
      </c>
      <c r="D11385" t="s">
        <v>442</v>
      </c>
      <c r="E11385" t="s">
        <v>441</v>
      </c>
      <c r="F11385">
        <v>0.105</v>
      </c>
      <c r="G11385">
        <v>2.63</v>
      </c>
      <c r="H11385" t="s">
        <v>8587</v>
      </c>
      <c r="I11385">
        <v>100</v>
      </c>
      <c r="J11385" t="s">
        <v>462</v>
      </c>
      <c r="K11385" t="s">
        <v>446</v>
      </c>
      <c r="M11385">
        <v>0</v>
      </c>
      <c r="N11385" t="s">
        <v>17036</v>
      </c>
    </row>
    <row r="11386" spans="1:14">
      <c r="A11386">
        <v>70210000</v>
      </c>
      <c r="B11386">
        <v>3023134</v>
      </c>
      <c r="C11386" t="s">
        <v>5270</v>
      </c>
      <c r="D11386" t="s">
        <v>441</v>
      </c>
      <c r="F11386">
        <v>0</v>
      </c>
      <c r="G11386">
        <v>18.45</v>
      </c>
      <c r="H11386" t="s">
        <v>8580</v>
      </c>
      <c r="I11386">
        <v>7</v>
      </c>
      <c r="J11386" t="s">
        <v>445</v>
      </c>
      <c r="K11386" t="s">
        <v>446</v>
      </c>
      <c r="M11386">
        <v>3312</v>
      </c>
      <c r="N11386" t="s">
        <v>17037</v>
      </c>
    </row>
    <row r="11387" spans="1:14">
      <c r="A11387">
        <v>70210008</v>
      </c>
      <c r="B11387">
        <v>3023183</v>
      </c>
      <c r="C11387" t="s">
        <v>5271</v>
      </c>
      <c r="D11387" t="s">
        <v>441</v>
      </c>
      <c r="F11387">
        <v>0</v>
      </c>
      <c r="G11387">
        <v>8.7899999999999991</v>
      </c>
      <c r="H11387" t="s">
        <v>8580</v>
      </c>
      <c r="I11387">
        <v>5</v>
      </c>
      <c r="J11387" t="s">
        <v>445</v>
      </c>
      <c r="K11387" t="s">
        <v>446</v>
      </c>
      <c r="M11387">
        <v>3211</v>
      </c>
      <c r="N11387" t="s">
        <v>17038</v>
      </c>
    </row>
    <row r="11388" spans="1:14">
      <c r="A11388">
        <v>70210009</v>
      </c>
      <c r="B11388">
        <v>3023184</v>
      </c>
      <c r="C11388" t="s">
        <v>5272</v>
      </c>
      <c r="D11388" t="s">
        <v>441</v>
      </c>
      <c r="F11388">
        <v>0</v>
      </c>
      <c r="G11388">
        <v>14.95</v>
      </c>
      <c r="I11388">
        <v>6</v>
      </c>
      <c r="J11388" t="s">
        <v>445</v>
      </c>
      <c r="K11388" t="s">
        <v>446</v>
      </c>
      <c r="M11388">
        <v>3311</v>
      </c>
      <c r="N11388" t="s">
        <v>17037</v>
      </c>
    </row>
    <row r="11389" spans="1:14">
      <c r="A11389">
        <v>70214210</v>
      </c>
      <c r="B11389">
        <v>4015293</v>
      </c>
      <c r="C11389" t="s">
        <v>5273</v>
      </c>
      <c r="D11389" t="s">
        <v>442</v>
      </c>
      <c r="E11389" t="s">
        <v>441</v>
      </c>
      <c r="F11389">
        <v>0.105</v>
      </c>
      <c r="G11389">
        <v>2.52</v>
      </c>
      <c r="H11389" t="s">
        <v>8587</v>
      </c>
      <c r="I11389">
        <v>100</v>
      </c>
      <c r="J11389" t="s">
        <v>462</v>
      </c>
      <c r="K11389" t="s">
        <v>446</v>
      </c>
      <c r="M11389">
        <v>3711</v>
      </c>
      <c r="N11389" t="s">
        <v>17037</v>
      </c>
    </row>
    <row r="11390" spans="1:14">
      <c r="A11390">
        <v>70214220</v>
      </c>
      <c r="B11390">
        <v>4016155</v>
      </c>
      <c r="C11390" t="s">
        <v>5274</v>
      </c>
      <c r="D11390" t="s">
        <v>442</v>
      </c>
      <c r="E11390" t="s">
        <v>441</v>
      </c>
      <c r="F11390">
        <v>0.105</v>
      </c>
      <c r="G11390">
        <v>2.61</v>
      </c>
      <c r="H11390" t="s">
        <v>8587</v>
      </c>
      <c r="I11390">
        <v>81</v>
      </c>
      <c r="J11390" t="s">
        <v>462</v>
      </c>
      <c r="K11390" t="s">
        <v>446</v>
      </c>
      <c r="M11390">
        <v>3711</v>
      </c>
    </row>
    <row r="11391" spans="1:14">
      <c r="A11391">
        <v>70220000</v>
      </c>
      <c r="B11391">
        <v>3025749</v>
      </c>
      <c r="C11391" t="s">
        <v>5275</v>
      </c>
      <c r="D11391" t="s">
        <v>441</v>
      </c>
      <c r="F11391">
        <v>0</v>
      </c>
      <c r="G11391">
        <v>21.28</v>
      </c>
      <c r="H11391" t="s">
        <v>12573</v>
      </c>
      <c r="I11391">
        <v>7</v>
      </c>
      <c r="J11391" t="s">
        <v>445</v>
      </c>
      <c r="K11391" t="s">
        <v>446</v>
      </c>
      <c r="M11391">
        <v>3312</v>
      </c>
      <c r="N11391" t="s">
        <v>17039</v>
      </c>
    </row>
    <row r="11392" spans="1:14">
      <c r="A11392">
        <v>70220008</v>
      </c>
      <c r="B11392">
        <v>3025747</v>
      </c>
      <c r="C11392" t="s">
        <v>5276</v>
      </c>
      <c r="D11392" t="s">
        <v>441</v>
      </c>
      <c r="F11392">
        <v>0</v>
      </c>
      <c r="G11392">
        <v>11.82</v>
      </c>
      <c r="H11392" t="s">
        <v>12664</v>
      </c>
      <c r="I11392">
        <v>4</v>
      </c>
      <c r="J11392" t="s">
        <v>445</v>
      </c>
      <c r="K11392" t="s">
        <v>446</v>
      </c>
      <c r="M11392">
        <v>3211</v>
      </c>
      <c r="N11392" t="s">
        <v>17039</v>
      </c>
    </row>
    <row r="11393" spans="1:14">
      <c r="A11393">
        <v>70220009</v>
      </c>
      <c r="B11393">
        <v>3025748</v>
      </c>
      <c r="C11393" t="s">
        <v>5277</v>
      </c>
      <c r="D11393" t="s">
        <v>441</v>
      </c>
      <c r="F11393">
        <v>0</v>
      </c>
      <c r="G11393">
        <v>15.73</v>
      </c>
      <c r="H11393" t="s">
        <v>12573</v>
      </c>
      <c r="I11393">
        <v>6</v>
      </c>
      <c r="J11393" t="s">
        <v>445</v>
      </c>
      <c r="K11393" t="s">
        <v>446</v>
      </c>
      <c r="M11393">
        <v>3311</v>
      </c>
      <c r="N11393" t="s">
        <v>17039</v>
      </c>
    </row>
    <row r="11394" spans="1:14">
      <c r="A11394">
        <v>70224110</v>
      </c>
      <c r="B11394">
        <v>4016741</v>
      </c>
      <c r="C11394" t="s">
        <v>5278</v>
      </c>
      <c r="D11394" t="s">
        <v>442</v>
      </c>
      <c r="E11394" t="s">
        <v>441</v>
      </c>
      <c r="F11394">
        <v>0.15</v>
      </c>
      <c r="G11394">
        <v>3.84</v>
      </c>
      <c r="H11394" t="s">
        <v>8587</v>
      </c>
      <c r="I11394">
        <v>140</v>
      </c>
      <c r="J11394" t="s">
        <v>462</v>
      </c>
      <c r="K11394" t="s">
        <v>446</v>
      </c>
      <c r="M11394">
        <v>3711</v>
      </c>
      <c r="N11394" t="s">
        <v>17040</v>
      </c>
    </row>
    <row r="11395" spans="1:14">
      <c r="A11395">
        <v>70230000</v>
      </c>
      <c r="B11395">
        <v>3027103</v>
      </c>
      <c r="C11395" t="s">
        <v>5279</v>
      </c>
      <c r="D11395" t="s">
        <v>441</v>
      </c>
      <c r="F11395">
        <v>0</v>
      </c>
      <c r="G11395">
        <v>17.350000000000001</v>
      </c>
      <c r="H11395" t="s">
        <v>12573</v>
      </c>
      <c r="I11395">
        <v>7</v>
      </c>
      <c r="J11395" t="s">
        <v>445</v>
      </c>
      <c r="K11395" t="s">
        <v>446</v>
      </c>
      <c r="M11395">
        <v>3312</v>
      </c>
    </row>
    <row r="11396" spans="1:14">
      <c r="A11396">
        <v>70230008</v>
      </c>
      <c r="B11396">
        <v>3027101</v>
      </c>
      <c r="C11396" t="s">
        <v>5280</v>
      </c>
      <c r="D11396" t="s">
        <v>441</v>
      </c>
      <c r="F11396">
        <v>0</v>
      </c>
      <c r="G11396">
        <v>9.3800000000000008</v>
      </c>
      <c r="H11396" t="s">
        <v>12664</v>
      </c>
      <c r="I11396">
        <v>5</v>
      </c>
      <c r="J11396" t="s">
        <v>445</v>
      </c>
      <c r="K11396" t="s">
        <v>446</v>
      </c>
      <c r="M11396">
        <v>3211</v>
      </c>
    </row>
    <row r="11397" spans="1:14">
      <c r="A11397">
        <v>70230009</v>
      </c>
      <c r="B11397">
        <v>3027102</v>
      </c>
      <c r="C11397" t="s">
        <v>5281</v>
      </c>
      <c r="D11397" t="s">
        <v>441</v>
      </c>
      <c r="F11397">
        <v>0</v>
      </c>
      <c r="G11397">
        <v>12.66</v>
      </c>
      <c r="H11397" t="s">
        <v>12573</v>
      </c>
      <c r="I11397">
        <v>6</v>
      </c>
      <c r="J11397" t="s">
        <v>445</v>
      </c>
      <c r="K11397" t="s">
        <v>446</v>
      </c>
      <c r="M11397">
        <v>3311</v>
      </c>
    </row>
    <row r="11398" spans="1:14">
      <c r="A11398">
        <v>70234111</v>
      </c>
      <c r="B11398">
        <v>3027104</v>
      </c>
      <c r="C11398" t="s">
        <v>5282</v>
      </c>
      <c r="D11398" t="s">
        <v>442</v>
      </c>
      <c r="E11398" t="s">
        <v>441</v>
      </c>
      <c r="F11398">
        <v>0.18</v>
      </c>
      <c r="G11398">
        <v>3.75</v>
      </c>
      <c r="H11398" t="s">
        <v>8587</v>
      </c>
      <c r="I11398">
        <v>111</v>
      </c>
      <c r="J11398" t="s">
        <v>445</v>
      </c>
      <c r="K11398" t="s">
        <v>446</v>
      </c>
      <c r="M11398">
        <v>3711</v>
      </c>
    </row>
    <row r="11399" spans="1:14">
      <c r="A11399">
        <v>70240000</v>
      </c>
      <c r="B11399">
        <v>3027108</v>
      </c>
      <c r="C11399" t="s">
        <v>5283</v>
      </c>
      <c r="D11399" t="s">
        <v>441</v>
      </c>
      <c r="F11399">
        <v>0</v>
      </c>
      <c r="G11399">
        <v>17.36</v>
      </c>
      <c r="H11399" t="s">
        <v>12573</v>
      </c>
      <c r="I11399">
        <v>7</v>
      </c>
      <c r="J11399" t="s">
        <v>445</v>
      </c>
      <c r="K11399" t="s">
        <v>446</v>
      </c>
      <c r="M11399">
        <v>3312</v>
      </c>
    </row>
    <row r="11400" spans="1:14">
      <c r="A11400">
        <v>70240008</v>
      </c>
      <c r="B11400">
        <v>3027106</v>
      </c>
      <c r="C11400" t="s">
        <v>5284</v>
      </c>
      <c r="D11400" t="s">
        <v>441</v>
      </c>
      <c r="F11400">
        <v>0</v>
      </c>
      <c r="G11400">
        <v>9.39</v>
      </c>
      <c r="H11400" t="s">
        <v>12664</v>
      </c>
      <c r="I11400">
        <v>5</v>
      </c>
      <c r="J11400" t="s">
        <v>445</v>
      </c>
      <c r="K11400" t="s">
        <v>446</v>
      </c>
      <c r="M11400">
        <v>3211</v>
      </c>
    </row>
    <row r="11401" spans="1:14">
      <c r="A11401">
        <v>70240009</v>
      </c>
      <c r="B11401">
        <v>3027107</v>
      </c>
      <c r="C11401" t="s">
        <v>5285</v>
      </c>
      <c r="D11401" t="s">
        <v>441</v>
      </c>
      <c r="F11401">
        <v>0</v>
      </c>
      <c r="G11401">
        <v>12.67</v>
      </c>
      <c r="H11401" t="s">
        <v>12573</v>
      </c>
      <c r="I11401">
        <v>6</v>
      </c>
      <c r="J11401" t="s">
        <v>445</v>
      </c>
      <c r="K11401" t="s">
        <v>446</v>
      </c>
      <c r="M11401">
        <v>3311</v>
      </c>
    </row>
    <row r="11402" spans="1:14">
      <c r="A11402">
        <v>70244111</v>
      </c>
      <c r="B11402">
        <v>3027109</v>
      </c>
      <c r="C11402" t="s">
        <v>5286</v>
      </c>
      <c r="D11402" t="s">
        <v>442</v>
      </c>
      <c r="E11402" t="s">
        <v>441</v>
      </c>
      <c r="F11402">
        <v>0.18</v>
      </c>
      <c r="G11402">
        <v>3.76</v>
      </c>
      <c r="H11402" t="s">
        <v>8587</v>
      </c>
      <c r="I11402">
        <v>111</v>
      </c>
      <c r="J11402" t="s">
        <v>445</v>
      </c>
      <c r="K11402" t="s">
        <v>446</v>
      </c>
      <c r="M11402">
        <v>3711</v>
      </c>
    </row>
    <row r="11403" spans="1:14">
      <c r="A11403">
        <v>70252000</v>
      </c>
      <c r="B11403">
        <v>4029294</v>
      </c>
      <c r="C11403" t="s">
        <v>14582</v>
      </c>
      <c r="D11403" t="s">
        <v>442</v>
      </c>
      <c r="E11403" t="s">
        <v>441</v>
      </c>
      <c r="F11403">
        <v>0.3</v>
      </c>
      <c r="G11403">
        <v>5.54</v>
      </c>
      <c r="H11403" t="s">
        <v>8922</v>
      </c>
      <c r="I11403">
        <v>365</v>
      </c>
      <c r="J11403" t="s">
        <v>462</v>
      </c>
      <c r="M11403">
        <v>7329</v>
      </c>
      <c r="N11403" t="s">
        <v>17652</v>
      </c>
    </row>
    <row r="11404" spans="1:14">
      <c r="A11404">
        <v>70252010</v>
      </c>
      <c r="B11404">
        <v>4029636</v>
      </c>
      <c r="C11404" t="s">
        <v>15442</v>
      </c>
      <c r="D11404" t="s">
        <v>442</v>
      </c>
      <c r="E11404" t="s">
        <v>441</v>
      </c>
      <c r="F11404">
        <v>0.3</v>
      </c>
      <c r="G11404">
        <v>5.75</v>
      </c>
      <c r="H11404" t="s">
        <v>8922</v>
      </c>
      <c r="I11404">
        <v>730</v>
      </c>
      <c r="J11404" t="s">
        <v>462</v>
      </c>
      <c r="M11404">
        <v>7329</v>
      </c>
      <c r="N11404" t="s">
        <v>17652</v>
      </c>
    </row>
    <row r="11405" spans="1:14">
      <c r="A11405">
        <v>70254110</v>
      </c>
      <c r="B11405">
        <v>4017971</v>
      </c>
      <c r="C11405" t="s">
        <v>13518</v>
      </c>
      <c r="D11405" t="s">
        <v>442</v>
      </c>
      <c r="E11405" t="s">
        <v>441</v>
      </c>
      <c r="F11405">
        <v>0.18</v>
      </c>
      <c r="G11405">
        <v>4.04</v>
      </c>
      <c r="H11405" t="s">
        <v>8587</v>
      </c>
      <c r="I11405">
        <v>111</v>
      </c>
      <c r="J11405" t="s">
        <v>462</v>
      </c>
      <c r="K11405" t="s">
        <v>446</v>
      </c>
      <c r="L11405" t="s">
        <v>13519</v>
      </c>
      <c r="M11405">
        <v>3711</v>
      </c>
    </row>
    <row r="11406" spans="1:14">
      <c r="A11406">
        <v>70260000</v>
      </c>
      <c r="B11406">
        <v>3027990</v>
      </c>
      <c r="C11406" t="s">
        <v>5287</v>
      </c>
      <c r="D11406" t="s">
        <v>441</v>
      </c>
      <c r="F11406">
        <v>0</v>
      </c>
      <c r="G11406">
        <v>21.82</v>
      </c>
      <c r="H11406" t="s">
        <v>8587</v>
      </c>
      <c r="I11406">
        <v>6</v>
      </c>
      <c r="J11406" t="s">
        <v>445</v>
      </c>
      <c r="K11406" t="s">
        <v>446</v>
      </c>
      <c r="M11406">
        <v>3312</v>
      </c>
      <c r="N11406" t="s">
        <v>17042</v>
      </c>
    </row>
    <row r="11407" spans="1:14">
      <c r="A11407">
        <v>70260008</v>
      </c>
      <c r="B11407">
        <v>3027982</v>
      </c>
      <c r="C11407" t="s">
        <v>5288</v>
      </c>
      <c r="D11407" t="s">
        <v>441</v>
      </c>
      <c r="F11407">
        <v>0</v>
      </c>
      <c r="G11407">
        <v>12.13</v>
      </c>
      <c r="H11407" t="s">
        <v>12664</v>
      </c>
      <c r="I11407">
        <v>2</v>
      </c>
      <c r="J11407" t="s">
        <v>445</v>
      </c>
      <c r="K11407" t="s">
        <v>446</v>
      </c>
      <c r="M11407">
        <v>3211</v>
      </c>
      <c r="N11407" t="s">
        <v>17042</v>
      </c>
    </row>
    <row r="11408" spans="1:14">
      <c r="A11408">
        <v>70260009</v>
      </c>
      <c r="B11408">
        <v>3027981</v>
      </c>
      <c r="C11408" t="s">
        <v>5289</v>
      </c>
      <c r="D11408" t="s">
        <v>441</v>
      </c>
      <c r="F11408">
        <v>0</v>
      </c>
      <c r="G11408">
        <v>16.14</v>
      </c>
      <c r="H11408" t="s">
        <v>12573</v>
      </c>
      <c r="I11408">
        <v>6</v>
      </c>
      <c r="J11408" t="s">
        <v>445</v>
      </c>
      <c r="K11408" t="s">
        <v>446</v>
      </c>
      <c r="M11408">
        <v>3311</v>
      </c>
      <c r="N11408" t="s">
        <v>17042</v>
      </c>
    </row>
    <row r="11409" spans="1:14">
      <c r="A11409">
        <v>70264110</v>
      </c>
      <c r="B11409">
        <v>4018594</v>
      </c>
      <c r="C11409" t="s">
        <v>5151</v>
      </c>
      <c r="D11409" t="s">
        <v>442</v>
      </c>
      <c r="E11409" t="s">
        <v>441</v>
      </c>
      <c r="F11409">
        <v>0.15</v>
      </c>
      <c r="G11409">
        <v>3.84</v>
      </c>
      <c r="H11409" t="s">
        <v>8587</v>
      </c>
      <c r="I11409">
        <v>200</v>
      </c>
      <c r="J11409" t="s">
        <v>462</v>
      </c>
      <c r="K11409" t="s">
        <v>446</v>
      </c>
      <c r="M11409">
        <v>3711</v>
      </c>
      <c r="N11409" t="s">
        <v>17043</v>
      </c>
    </row>
    <row r="11410" spans="1:14">
      <c r="A11410">
        <v>70264120</v>
      </c>
      <c r="B11410">
        <v>4019570</v>
      </c>
      <c r="C11410" t="s">
        <v>5290</v>
      </c>
      <c r="D11410" t="s">
        <v>442</v>
      </c>
      <c r="E11410" t="s">
        <v>441</v>
      </c>
      <c r="F11410">
        <v>0.15</v>
      </c>
      <c r="G11410">
        <v>3.91</v>
      </c>
      <c r="H11410" t="s">
        <v>8587</v>
      </c>
      <c r="I11410">
        <v>200</v>
      </c>
      <c r="J11410" t="s">
        <v>462</v>
      </c>
      <c r="K11410" t="s">
        <v>446</v>
      </c>
      <c r="M11410">
        <v>3711</v>
      </c>
      <c r="N11410" t="s">
        <v>17011</v>
      </c>
    </row>
    <row r="11411" spans="1:14">
      <c r="A11411">
        <v>70264130</v>
      </c>
      <c r="B11411">
        <v>4020397</v>
      </c>
      <c r="C11411" t="s">
        <v>5291</v>
      </c>
      <c r="D11411" t="s">
        <v>442</v>
      </c>
      <c r="E11411" t="s">
        <v>441</v>
      </c>
      <c r="F11411">
        <v>0.15</v>
      </c>
      <c r="G11411">
        <v>4.09</v>
      </c>
      <c r="H11411" t="s">
        <v>8587</v>
      </c>
      <c r="I11411">
        <v>200</v>
      </c>
      <c r="J11411" t="s">
        <v>462</v>
      </c>
      <c r="K11411" t="s">
        <v>446</v>
      </c>
      <c r="M11411">
        <v>3711</v>
      </c>
      <c r="N11411" t="s">
        <v>17042</v>
      </c>
    </row>
    <row r="11412" spans="1:14">
      <c r="A11412">
        <v>70270000</v>
      </c>
      <c r="B11412">
        <v>3029047</v>
      </c>
      <c r="C11412" t="s">
        <v>5292</v>
      </c>
      <c r="D11412" t="s">
        <v>441</v>
      </c>
      <c r="F11412">
        <v>0</v>
      </c>
      <c r="G11412">
        <v>14.66</v>
      </c>
      <c r="H11412" t="s">
        <v>12573</v>
      </c>
      <c r="I11412">
        <v>7</v>
      </c>
      <c r="J11412" t="s">
        <v>445</v>
      </c>
      <c r="K11412" t="s">
        <v>446</v>
      </c>
      <c r="M11412">
        <v>3312</v>
      </c>
      <c r="N11412" t="s">
        <v>17044</v>
      </c>
    </row>
    <row r="11413" spans="1:14">
      <c r="A11413">
        <v>70270008</v>
      </c>
      <c r="B11413">
        <v>3029045</v>
      </c>
      <c r="C11413" t="s">
        <v>5293</v>
      </c>
      <c r="D11413" t="s">
        <v>441</v>
      </c>
      <c r="F11413">
        <v>0</v>
      </c>
      <c r="G11413">
        <v>6.97</v>
      </c>
      <c r="H11413" t="s">
        <v>12664</v>
      </c>
      <c r="I11413">
        <v>5</v>
      </c>
      <c r="J11413" t="s">
        <v>445</v>
      </c>
      <c r="K11413" t="s">
        <v>446</v>
      </c>
      <c r="M11413">
        <v>3211</v>
      </c>
      <c r="N11413" t="s">
        <v>17045</v>
      </c>
    </row>
    <row r="11414" spans="1:14">
      <c r="A11414">
        <v>70270009</v>
      </c>
      <c r="B11414">
        <v>3029046</v>
      </c>
      <c r="C11414" t="s">
        <v>5294</v>
      </c>
      <c r="D11414" t="s">
        <v>441</v>
      </c>
      <c r="F11414">
        <v>0</v>
      </c>
      <c r="G11414">
        <v>11.84</v>
      </c>
      <c r="H11414" t="s">
        <v>12573</v>
      </c>
      <c r="I11414">
        <v>6</v>
      </c>
      <c r="J11414" t="s">
        <v>445</v>
      </c>
      <c r="K11414" t="s">
        <v>446</v>
      </c>
      <c r="M11414">
        <v>3311</v>
      </c>
      <c r="N11414" t="s">
        <v>17044</v>
      </c>
    </row>
    <row r="11415" spans="1:14">
      <c r="A11415">
        <v>70274210</v>
      </c>
      <c r="B11415">
        <v>4019187</v>
      </c>
      <c r="C11415" t="s">
        <v>5295</v>
      </c>
      <c r="D11415" t="s">
        <v>442</v>
      </c>
      <c r="E11415" t="s">
        <v>441</v>
      </c>
      <c r="F11415">
        <v>0.105</v>
      </c>
      <c r="G11415">
        <v>2.1</v>
      </c>
      <c r="H11415" t="s">
        <v>8587</v>
      </c>
      <c r="I11415">
        <v>100</v>
      </c>
      <c r="J11415" t="s">
        <v>462</v>
      </c>
      <c r="K11415" t="s">
        <v>446</v>
      </c>
      <c r="M11415">
        <v>3711</v>
      </c>
      <c r="N11415" t="s">
        <v>17044</v>
      </c>
    </row>
    <row r="11416" spans="1:14">
      <c r="A11416">
        <v>70280000</v>
      </c>
      <c r="B11416">
        <v>3030724</v>
      </c>
      <c r="C11416" t="s">
        <v>5296</v>
      </c>
      <c r="D11416" t="s">
        <v>441</v>
      </c>
      <c r="F11416">
        <v>0</v>
      </c>
      <c r="G11416">
        <v>15.65</v>
      </c>
      <c r="H11416" t="s">
        <v>12573</v>
      </c>
      <c r="I11416">
        <v>4</v>
      </c>
      <c r="J11416" t="s">
        <v>445</v>
      </c>
      <c r="M11416">
        <v>3349</v>
      </c>
      <c r="N11416" t="s">
        <v>17046</v>
      </c>
    </row>
    <row r="11417" spans="1:14">
      <c r="A11417">
        <v>70280008</v>
      </c>
      <c r="B11417">
        <v>3030723</v>
      </c>
      <c r="C11417" t="s">
        <v>5297</v>
      </c>
      <c r="D11417" t="s">
        <v>441</v>
      </c>
      <c r="F11417">
        <v>0</v>
      </c>
      <c r="G11417">
        <v>12.97</v>
      </c>
      <c r="H11417" t="s">
        <v>12664</v>
      </c>
      <c r="I11417">
        <v>2</v>
      </c>
      <c r="J11417" t="s">
        <v>445</v>
      </c>
      <c r="M11417">
        <v>6666</v>
      </c>
      <c r="N11417" t="s">
        <v>17047</v>
      </c>
    </row>
    <row r="11418" spans="1:14">
      <c r="A11418">
        <v>70284210</v>
      </c>
      <c r="B11418">
        <v>4020522</v>
      </c>
      <c r="C11418" t="s">
        <v>13520</v>
      </c>
      <c r="D11418" t="s">
        <v>442</v>
      </c>
      <c r="E11418" t="s">
        <v>441</v>
      </c>
      <c r="F11418">
        <v>0.3</v>
      </c>
      <c r="G11418">
        <v>6.2</v>
      </c>
      <c r="H11418" t="s">
        <v>8587</v>
      </c>
      <c r="I11418">
        <v>28</v>
      </c>
      <c r="J11418" t="s">
        <v>462</v>
      </c>
      <c r="K11418" t="s">
        <v>446</v>
      </c>
      <c r="L11418" t="s">
        <v>13521</v>
      </c>
      <c r="M11418">
        <v>7108</v>
      </c>
      <c r="N11418" t="s">
        <v>17048</v>
      </c>
    </row>
    <row r="11419" spans="1:14">
      <c r="A11419">
        <v>70284211</v>
      </c>
      <c r="B11419">
        <v>3033355</v>
      </c>
      <c r="C11419" t="s">
        <v>5298</v>
      </c>
      <c r="D11419" t="s">
        <v>442</v>
      </c>
      <c r="E11419" t="s">
        <v>441</v>
      </c>
      <c r="F11419">
        <v>0.3</v>
      </c>
      <c r="G11419">
        <v>3.69</v>
      </c>
      <c r="H11419" t="s">
        <v>8587</v>
      </c>
      <c r="I11419">
        <v>28</v>
      </c>
      <c r="J11419" t="s">
        <v>445</v>
      </c>
      <c r="M11419">
        <v>3741</v>
      </c>
      <c r="N11419" t="s">
        <v>17048</v>
      </c>
    </row>
    <row r="11420" spans="1:14">
      <c r="A11420">
        <v>70284220</v>
      </c>
      <c r="B11420">
        <v>4023363</v>
      </c>
      <c r="C11420" t="s">
        <v>5299</v>
      </c>
      <c r="D11420" t="s">
        <v>441</v>
      </c>
      <c r="F11420">
        <v>0</v>
      </c>
      <c r="G11420">
        <v>16.32</v>
      </c>
      <c r="H11420" t="s">
        <v>8587</v>
      </c>
      <c r="I11420">
        <v>28</v>
      </c>
      <c r="J11420" t="s">
        <v>462</v>
      </c>
      <c r="K11420" t="s">
        <v>446</v>
      </c>
      <c r="M11420">
        <v>7108</v>
      </c>
      <c r="N11420" t="s">
        <v>17048</v>
      </c>
    </row>
    <row r="11421" spans="1:14">
      <c r="A11421">
        <v>70284230</v>
      </c>
      <c r="B11421">
        <v>4026320</v>
      </c>
      <c r="C11421" t="s">
        <v>15347</v>
      </c>
      <c r="D11421" t="s">
        <v>442</v>
      </c>
      <c r="E11421" t="s">
        <v>441</v>
      </c>
      <c r="F11421">
        <v>0.3</v>
      </c>
      <c r="G11421">
        <v>6.38</v>
      </c>
      <c r="H11421" t="s">
        <v>8587</v>
      </c>
      <c r="I11421">
        <v>28</v>
      </c>
      <c r="J11421" t="s">
        <v>462</v>
      </c>
      <c r="K11421" t="s">
        <v>446</v>
      </c>
      <c r="L11421" t="s">
        <v>13522</v>
      </c>
      <c r="M11421">
        <v>7108</v>
      </c>
      <c r="N11421" t="s">
        <v>17048</v>
      </c>
    </row>
    <row r="11422" spans="1:14">
      <c r="A11422">
        <v>70284240</v>
      </c>
      <c r="B11422">
        <v>4026331</v>
      </c>
      <c r="C11422" t="s">
        <v>5300</v>
      </c>
      <c r="D11422" t="s">
        <v>442</v>
      </c>
      <c r="E11422" t="s">
        <v>441</v>
      </c>
      <c r="F11422">
        <v>0.24</v>
      </c>
      <c r="G11422">
        <v>3.67</v>
      </c>
      <c r="H11422" t="s">
        <v>8587</v>
      </c>
      <c r="I11422">
        <v>28</v>
      </c>
      <c r="J11422" t="s">
        <v>462</v>
      </c>
      <c r="K11422" t="s">
        <v>446</v>
      </c>
      <c r="L11422" t="s">
        <v>13036</v>
      </c>
      <c r="M11422">
        <v>3711</v>
      </c>
      <c r="N11422" t="s">
        <v>17048</v>
      </c>
    </row>
    <row r="11423" spans="1:14">
      <c r="A11423">
        <v>70284251</v>
      </c>
      <c r="B11423">
        <v>3040480</v>
      </c>
      <c r="C11423" t="s">
        <v>5301</v>
      </c>
      <c r="D11423" t="s">
        <v>442</v>
      </c>
      <c r="E11423" t="s">
        <v>441</v>
      </c>
      <c r="F11423">
        <v>0.25</v>
      </c>
      <c r="G11423">
        <v>3.12</v>
      </c>
      <c r="H11423" t="s">
        <v>8587</v>
      </c>
      <c r="I11423">
        <v>28</v>
      </c>
      <c r="J11423" t="s">
        <v>445</v>
      </c>
      <c r="M11423">
        <v>3741</v>
      </c>
      <c r="N11423" t="s">
        <v>17048</v>
      </c>
    </row>
    <row r="11424" spans="1:14">
      <c r="A11424">
        <v>70289000</v>
      </c>
      <c r="B11424">
        <v>3039146</v>
      </c>
      <c r="C11424" t="s">
        <v>17049</v>
      </c>
      <c r="D11424" t="s">
        <v>441</v>
      </c>
      <c r="F11424">
        <v>0</v>
      </c>
      <c r="G11424">
        <v>11.8</v>
      </c>
      <c r="H11424" t="s">
        <v>12573</v>
      </c>
      <c r="I11424">
        <v>4</v>
      </c>
      <c r="J11424" t="s">
        <v>445</v>
      </c>
      <c r="K11424" t="s">
        <v>446</v>
      </c>
      <c r="M11424">
        <v>3350</v>
      </c>
      <c r="N11424" t="s">
        <v>16583</v>
      </c>
    </row>
    <row r="11425" spans="1:14">
      <c r="A11425">
        <v>70290000</v>
      </c>
      <c r="B11425">
        <v>3030808</v>
      </c>
      <c r="C11425" t="s">
        <v>5302</v>
      </c>
      <c r="D11425" t="s">
        <v>441</v>
      </c>
      <c r="F11425">
        <v>0</v>
      </c>
      <c r="G11425">
        <v>14.52</v>
      </c>
      <c r="H11425" t="s">
        <v>12573</v>
      </c>
      <c r="I11425">
        <v>6</v>
      </c>
      <c r="J11425" t="s">
        <v>445</v>
      </c>
      <c r="K11425" t="s">
        <v>446</v>
      </c>
      <c r="M11425">
        <v>3311</v>
      </c>
      <c r="N11425" t="s">
        <v>17050</v>
      </c>
    </row>
    <row r="11426" spans="1:14">
      <c r="A11426">
        <v>70290008</v>
      </c>
      <c r="B11426">
        <v>3030807</v>
      </c>
      <c r="C11426" t="s">
        <v>5303</v>
      </c>
      <c r="D11426" t="s">
        <v>441</v>
      </c>
      <c r="F11426">
        <v>0</v>
      </c>
      <c r="G11426">
        <v>12.29</v>
      </c>
      <c r="H11426" t="s">
        <v>12664</v>
      </c>
      <c r="I11426">
        <v>2</v>
      </c>
      <c r="J11426" t="s">
        <v>445</v>
      </c>
      <c r="K11426" t="s">
        <v>446</v>
      </c>
      <c r="M11426">
        <v>3211</v>
      </c>
      <c r="N11426" t="s">
        <v>17050</v>
      </c>
    </row>
    <row r="11427" spans="1:14">
      <c r="A11427">
        <v>70294210</v>
      </c>
      <c r="B11427">
        <v>4020586</v>
      </c>
      <c r="C11427" t="s">
        <v>5304</v>
      </c>
      <c r="D11427" t="s">
        <v>442</v>
      </c>
      <c r="E11427" t="s">
        <v>441</v>
      </c>
      <c r="F11427">
        <v>0.3</v>
      </c>
      <c r="G11427">
        <v>5.28</v>
      </c>
      <c r="H11427" t="s">
        <v>8587</v>
      </c>
      <c r="I11427">
        <v>35</v>
      </c>
      <c r="J11427" t="s">
        <v>462</v>
      </c>
      <c r="K11427" t="s">
        <v>446</v>
      </c>
      <c r="L11427" t="s">
        <v>13523</v>
      </c>
      <c r="M11427">
        <v>3711</v>
      </c>
      <c r="N11427" t="s">
        <v>17050</v>
      </c>
    </row>
    <row r="11428" spans="1:14">
      <c r="A11428">
        <v>70300000</v>
      </c>
      <c r="B11428">
        <v>3032343</v>
      </c>
      <c r="C11428" t="s">
        <v>5225</v>
      </c>
      <c r="D11428" t="s">
        <v>441</v>
      </c>
      <c r="F11428">
        <v>0</v>
      </c>
      <c r="G11428">
        <v>24.28</v>
      </c>
      <c r="H11428" t="s">
        <v>12573</v>
      </c>
      <c r="I11428">
        <v>3</v>
      </c>
      <c r="J11428" t="s">
        <v>445</v>
      </c>
      <c r="K11428" t="s">
        <v>446</v>
      </c>
      <c r="M11428">
        <v>3349</v>
      </c>
      <c r="N11428" t="s">
        <v>17051</v>
      </c>
    </row>
    <row r="11429" spans="1:14">
      <c r="A11429">
        <v>70300008</v>
      </c>
      <c r="B11429">
        <v>3032353</v>
      </c>
      <c r="C11429" t="s">
        <v>5226</v>
      </c>
      <c r="D11429" t="s">
        <v>441</v>
      </c>
      <c r="F11429">
        <v>0</v>
      </c>
      <c r="G11429">
        <v>11.41</v>
      </c>
      <c r="H11429" t="s">
        <v>12664</v>
      </c>
      <c r="I11429">
        <v>5</v>
      </c>
      <c r="J11429" t="s">
        <v>445</v>
      </c>
      <c r="K11429" t="s">
        <v>446</v>
      </c>
      <c r="M11429">
        <v>6666</v>
      </c>
      <c r="N11429" t="s">
        <v>17052</v>
      </c>
    </row>
    <row r="11430" spans="1:14">
      <c r="A11430">
        <v>70300009</v>
      </c>
      <c r="B11430">
        <v>3032342</v>
      </c>
      <c r="C11430" t="s">
        <v>5227</v>
      </c>
      <c r="D11430" t="s">
        <v>441</v>
      </c>
      <c r="F11430">
        <v>0</v>
      </c>
      <c r="G11430">
        <v>16.62</v>
      </c>
      <c r="H11430" t="s">
        <v>12573</v>
      </c>
      <c r="I11430">
        <v>6</v>
      </c>
      <c r="J11430" t="s">
        <v>445</v>
      </c>
      <c r="K11430" t="s">
        <v>446</v>
      </c>
      <c r="M11430">
        <v>3349</v>
      </c>
      <c r="N11430" t="s">
        <v>17051</v>
      </c>
    </row>
    <row r="11431" spans="1:14">
      <c r="A11431">
        <v>70304210</v>
      </c>
      <c r="B11431">
        <v>4021520</v>
      </c>
      <c r="C11431" t="s">
        <v>5305</v>
      </c>
      <c r="D11431" t="s">
        <v>442</v>
      </c>
      <c r="E11431" t="s">
        <v>441</v>
      </c>
      <c r="F11431">
        <v>9.5000000000000001E-2</v>
      </c>
      <c r="G11431">
        <v>1.97</v>
      </c>
      <c r="H11431" t="s">
        <v>8587</v>
      </c>
      <c r="I11431">
        <v>100</v>
      </c>
      <c r="J11431" t="s">
        <v>462</v>
      </c>
      <c r="K11431" t="s">
        <v>446</v>
      </c>
      <c r="L11431" t="s">
        <v>13524</v>
      </c>
      <c r="M11431">
        <v>3711</v>
      </c>
      <c r="N11431" t="s">
        <v>17051</v>
      </c>
    </row>
    <row r="11432" spans="1:14">
      <c r="A11432">
        <v>70304220</v>
      </c>
      <c r="B11432">
        <v>4021521</v>
      </c>
      <c r="C11432" t="s">
        <v>5306</v>
      </c>
      <c r="D11432" t="s">
        <v>442</v>
      </c>
      <c r="E11432" t="s">
        <v>441</v>
      </c>
      <c r="F11432">
        <v>9.5000000000000001E-2</v>
      </c>
      <c r="G11432">
        <v>2.2000000000000002</v>
      </c>
      <c r="H11432" t="s">
        <v>8587</v>
      </c>
      <c r="I11432">
        <v>100</v>
      </c>
      <c r="J11432" t="s">
        <v>462</v>
      </c>
      <c r="K11432" t="s">
        <v>446</v>
      </c>
      <c r="L11432" t="s">
        <v>13525</v>
      </c>
      <c r="M11432">
        <v>3711</v>
      </c>
      <c r="N11432" t="s">
        <v>17051</v>
      </c>
    </row>
    <row r="11433" spans="1:14">
      <c r="A11433">
        <v>70310000</v>
      </c>
      <c r="B11433">
        <v>3032356</v>
      </c>
      <c r="C11433" t="s">
        <v>5307</v>
      </c>
      <c r="D11433" t="s">
        <v>441</v>
      </c>
      <c r="F11433">
        <v>0</v>
      </c>
      <c r="G11433">
        <v>16.55</v>
      </c>
      <c r="H11433" t="s">
        <v>12573</v>
      </c>
      <c r="I11433">
        <v>3</v>
      </c>
      <c r="J11433" t="s">
        <v>445</v>
      </c>
      <c r="M11433">
        <v>3349</v>
      </c>
      <c r="N11433" t="s">
        <v>17053</v>
      </c>
    </row>
    <row r="11434" spans="1:14">
      <c r="A11434">
        <v>70310008</v>
      </c>
      <c r="B11434">
        <v>3032345</v>
      </c>
      <c r="C11434" t="s">
        <v>5308</v>
      </c>
      <c r="D11434" t="s">
        <v>441</v>
      </c>
      <c r="F11434">
        <v>0</v>
      </c>
      <c r="G11434">
        <v>12.29</v>
      </c>
      <c r="H11434" t="s">
        <v>12664</v>
      </c>
      <c r="I11434">
        <v>5</v>
      </c>
      <c r="J11434" t="s">
        <v>445</v>
      </c>
      <c r="M11434">
        <v>6666</v>
      </c>
      <c r="N11434" t="s">
        <v>17054</v>
      </c>
    </row>
    <row r="11435" spans="1:14">
      <c r="A11435">
        <v>70310009</v>
      </c>
      <c r="B11435">
        <v>3032346</v>
      </c>
      <c r="C11435" t="s">
        <v>5309</v>
      </c>
      <c r="D11435" t="s">
        <v>441</v>
      </c>
      <c r="F11435">
        <v>0</v>
      </c>
      <c r="G11435">
        <v>17.97</v>
      </c>
      <c r="H11435" t="s">
        <v>12573</v>
      </c>
      <c r="I11435">
        <v>6</v>
      </c>
      <c r="J11435" t="s">
        <v>445</v>
      </c>
      <c r="M11435">
        <v>3349</v>
      </c>
      <c r="N11435" t="s">
        <v>17055</v>
      </c>
    </row>
    <row r="11436" spans="1:14">
      <c r="A11436">
        <v>70314210</v>
      </c>
      <c r="B11436">
        <v>4021515</v>
      </c>
      <c r="C11436" t="s">
        <v>5310</v>
      </c>
      <c r="D11436" t="s">
        <v>442</v>
      </c>
      <c r="E11436" t="s">
        <v>441</v>
      </c>
      <c r="F11436">
        <v>9.5000000000000001E-2</v>
      </c>
      <c r="G11436">
        <v>2.84</v>
      </c>
      <c r="H11436" t="s">
        <v>8587</v>
      </c>
      <c r="I11436">
        <v>110</v>
      </c>
      <c r="J11436" t="s">
        <v>462</v>
      </c>
      <c r="L11436" t="s">
        <v>13526</v>
      </c>
      <c r="M11436">
        <v>7108</v>
      </c>
      <c r="N11436" t="s">
        <v>17053</v>
      </c>
    </row>
    <row r="11437" spans="1:14">
      <c r="A11437">
        <v>70314211</v>
      </c>
      <c r="B11437">
        <v>3033352</v>
      </c>
      <c r="C11437" t="s">
        <v>5311</v>
      </c>
      <c r="D11437" t="s">
        <v>442</v>
      </c>
      <c r="E11437" t="s">
        <v>441</v>
      </c>
      <c r="F11437">
        <v>9.5000000000000001E-2</v>
      </c>
      <c r="G11437">
        <v>2.72</v>
      </c>
      <c r="H11437" t="s">
        <v>8587</v>
      </c>
      <c r="I11437">
        <v>110</v>
      </c>
      <c r="J11437" t="s">
        <v>445</v>
      </c>
      <c r="M11437">
        <v>3741</v>
      </c>
      <c r="N11437" t="s">
        <v>17053</v>
      </c>
    </row>
    <row r="11438" spans="1:14">
      <c r="A11438">
        <v>70314220</v>
      </c>
      <c r="B11438">
        <v>4021516</v>
      </c>
      <c r="C11438" t="s">
        <v>5312</v>
      </c>
      <c r="D11438" t="s">
        <v>442</v>
      </c>
      <c r="E11438" t="s">
        <v>441</v>
      </c>
      <c r="F11438">
        <v>9.5000000000000001E-2</v>
      </c>
      <c r="G11438">
        <v>2.91</v>
      </c>
      <c r="H11438" t="s">
        <v>8587</v>
      </c>
      <c r="I11438">
        <v>110</v>
      </c>
      <c r="J11438" t="s">
        <v>462</v>
      </c>
      <c r="L11438" t="s">
        <v>13527</v>
      </c>
      <c r="M11438">
        <v>7108</v>
      </c>
      <c r="N11438" t="s">
        <v>17053</v>
      </c>
    </row>
    <row r="11439" spans="1:14">
      <c r="A11439">
        <v>70314221</v>
      </c>
      <c r="B11439">
        <v>3045447</v>
      </c>
      <c r="C11439" t="s">
        <v>17056</v>
      </c>
      <c r="D11439" t="s">
        <v>442</v>
      </c>
      <c r="E11439" t="s">
        <v>441</v>
      </c>
      <c r="F11439">
        <v>9.5000000000000001E-2</v>
      </c>
      <c r="G11439">
        <v>3.55</v>
      </c>
      <c r="H11439" t="s">
        <v>8587</v>
      </c>
      <c r="I11439">
        <v>110</v>
      </c>
      <c r="J11439" t="s">
        <v>445</v>
      </c>
      <c r="M11439">
        <v>3741</v>
      </c>
      <c r="N11439" t="s">
        <v>17053</v>
      </c>
    </row>
    <row r="11440" spans="1:14">
      <c r="A11440">
        <v>70314230</v>
      </c>
      <c r="B11440">
        <v>4021738</v>
      </c>
      <c r="C11440" t="s">
        <v>5313</v>
      </c>
      <c r="D11440" t="s">
        <v>442</v>
      </c>
      <c r="E11440" t="s">
        <v>441</v>
      </c>
      <c r="F11440">
        <v>9.5000000000000001E-2</v>
      </c>
      <c r="G11440">
        <v>2.14</v>
      </c>
      <c r="H11440" t="s">
        <v>8587</v>
      </c>
      <c r="I11440">
        <v>100</v>
      </c>
      <c r="J11440" t="s">
        <v>462</v>
      </c>
      <c r="K11440" t="s">
        <v>446</v>
      </c>
      <c r="L11440" t="s">
        <v>13526</v>
      </c>
      <c r="M11440">
        <v>3711</v>
      </c>
      <c r="N11440" t="s">
        <v>17053</v>
      </c>
    </row>
    <row r="11441" spans="1:14">
      <c r="A11441">
        <v>70314240</v>
      </c>
      <c r="B11441">
        <v>4021739</v>
      </c>
      <c r="C11441" t="s">
        <v>5314</v>
      </c>
      <c r="D11441" t="s">
        <v>442</v>
      </c>
      <c r="E11441" t="s">
        <v>441</v>
      </c>
      <c r="F11441">
        <v>9.5000000000000001E-2</v>
      </c>
      <c r="G11441">
        <v>2.92</v>
      </c>
      <c r="H11441" t="s">
        <v>8587</v>
      </c>
      <c r="I11441">
        <v>110</v>
      </c>
      <c r="J11441" t="s">
        <v>462</v>
      </c>
      <c r="L11441" t="s">
        <v>13527</v>
      </c>
      <c r="M11441">
        <v>7108</v>
      </c>
      <c r="N11441" t="s">
        <v>17053</v>
      </c>
    </row>
    <row r="11442" spans="1:14">
      <c r="A11442">
        <v>70314250</v>
      </c>
      <c r="B11442">
        <v>4026091</v>
      </c>
      <c r="C11442" t="s">
        <v>13528</v>
      </c>
      <c r="D11442" t="s">
        <v>442</v>
      </c>
      <c r="E11442" t="s">
        <v>441</v>
      </c>
      <c r="F11442">
        <v>9.5000000000000001E-2</v>
      </c>
      <c r="G11442">
        <v>2.95</v>
      </c>
      <c r="H11442" t="s">
        <v>8587</v>
      </c>
      <c r="I11442">
        <v>110</v>
      </c>
      <c r="J11442" t="s">
        <v>462</v>
      </c>
      <c r="M11442">
        <v>7108</v>
      </c>
      <c r="N11442" t="s">
        <v>17053</v>
      </c>
    </row>
    <row r="11443" spans="1:14">
      <c r="A11443">
        <v>70314260</v>
      </c>
      <c r="B11443">
        <v>4026319</v>
      </c>
      <c r="C11443" t="s">
        <v>5315</v>
      </c>
      <c r="D11443" t="s">
        <v>442</v>
      </c>
      <c r="E11443" t="s">
        <v>441</v>
      </c>
      <c r="F11443">
        <v>9.5000000000000001E-2</v>
      </c>
      <c r="G11443">
        <v>3.45</v>
      </c>
      <c r="H11443" t="s">
        <v>8587</v>
      </c>
      <c r="I11443">
        <v>110</v>
      </c>
      <c r="J11443" t="s">
        <v>462</v>
      </c>
      <c r="M11443">
        <v>7108</v>
      </c>
      <c r="N11443" t="s">
        <v>17053</v>
      </c>
    </row>
    <row r="11444" spans="1:14">
      <c r="A11444">
        <v>70314270</v>
      </c>
      <c r="B11444">
        <v>4028608</v>
      </c>
      <c r="C11444" t="s">
        <v>15679</v>
      </c>
      <c r="D11444" t="s">
        <v>442</v>
      </c>
      <c r="E11444" t="s">
        <v>441</v>
      </c>
      <c r="F11444">
        <v>9.5000000000000001E-2</v>
      </c>
      <c r="G11444">
        <v>4.03</v>
      </c>
      <c r="H11444" t="s">
        <v>8587</v>
      </c>
      <c r="I11444">
        <v>110</v>
      </c>
      <c r="J11444" t="s">
        <v>462</v>
      </c>
      <c r="K11444" t="s">
        <v>446</v>
      </c>
      <c r="L11444" t="s">
        <v>13529</v>
      </c>
      <c r="M11444">
        <v>7108</v>
      </c>
      <c r="N11444" t="s">
        <v>17053</v>
      </c>
    </row>
    <row r="11445" spans="1:14">
      <c r="A11445">
        <v>70314280</v>
      </c>
      <c r="B11445">
        <v>4028783</v>
      </c>
      <c r="C11445" t="s">
        <v>13530</v>
      </c>
      <c r="D11445" t="s">
        <v>442</v>
      </c>
      <c r="E11445" t="s">
        <v>441</v>
      </c>
      <c r="F11445">
        <v>9.5000000000000001E-2</v>
      </c>
      <c r="G11445">
        <v>3.36</v>
      </c>
      <c r="H11445" t="s">
        <v>8587</v>
      </c>
      <c r="I11445">
        <v>110</v>
      </c>
      <c r="J11445" t="s">
        <v>462</v>
      </c>
      <c r="M11445">
        <v>7108</v>
      </c>
      <c r="N11445" t="s">
        <v>17053</v>
      </c>
    </row>
    <row r="11446" spans="1:14">
      <c r="A11446">
        <v>70314290</v>
      </c>
      <c r="B11446">
        <v>4030640</v>
      </c>
      <c r="C11446" t="s">
        <v>17653</v>
      </c>
      <c r="D11446" t="s">
        <v>442</v>
      </c>
      <c r="E11446" t="s">
        <v>441</v>
      </c>
      <c r="F11446">
        <v>9.5000000000000001E-2</v>
      </c>
      <c r="G11446">
        <v>3.53</v>
      </c>
      <c r="H11446" t="s">
        <v>8587</v>
      </c>
      <c r="I11446">
        <v>110</v>
      </c>
      <c r="J11446" t="s">
        <v>462</v>
      </c>
      <c r="M11446">
        <v>7108</v>
      </c>
      <c r="N11446" t="s">
        <v>17053</v>
      </c>
    </row>
    <row r="11447" spans="1:14">
      <c r="A11447">
        <v>70320000</v>
      </c>
      <c r="B11447">
        <v>3032360</v>
      </c>
      <c r="C11447" t="s">
        <v>14583</v>
      </c>
      <c r="D11447" t="s">
        <v>441</v>
      </c>
      <c r="F11447">
        <v>0</v>
      </c>
      <c r="G11447">
        <v>21.56</v>
      </c>
      <c r="H11447" t="s">
        <v>12573</v>
      </c>
      <c r="I11447">
        <v>3</v>
      </c>
      <c r="J11447" t="s">
        <v>445</v>
      </c>
      <c r="M11447">
        <v>3349</v>
      </c>
      <c r="N11447" t="s">
        <v>17057</v>
      </c>
    </row>
    <row r="11448" spans="1:14">
      <c r="A11448">
        <v>70320008</v>
      </c>
      <c r="B11448">
        <v>3032358</v>
      </c>
      <c r="C11448" t="s">
        <v>5316</v>
      </c>
      <c r="D11448" t="s">
        <v>441</v>
      </c>
      <c r="F11448">
        <v>0</v>
      </c>
      <c r="G11448">
        <v>10.039999999999999</v>
      </c>
      <c r="H11448" t="s">
        <v>12664</v>
      </c>
      <c r="I11448">
        <v>5</v>
      </c>
      <c r="J11448" t="s">
        <v>445</v>
      </c>
      <c r="M11448">
        <v>6666</v>
      </c>
      <c r="N11448" t="s">
        <v>17058</v>
      </c>
    </row>
    <row r="11449" spans="1:14">
      <c r="A11449">
        <v>70320009</v>
      </c>
      <c r="B11449">
        <v>3032359</v>
      </c>
      <c r="C11449" t="s">
        <v>14584</v>
      </c>
      <c r="D11449" t="s">
        <v>441</v>
      </c>
      <c r="F11449">
        <v>0</v>
      </c>
      <c r="G11449">
        <v>14.8</v>
      </c>
      <c r="H11449" t="s">
        <v>12573</v>
      </c>
      <c r="I11449">
        <v>6</v>
      </c>
      <c r="J11449" t="s">
        <v>445</v>
      </c>
      <c r="M11449">
        <v>3349</v>
      </c>
      <c r="N11449" t="s">
        <v>17059</v>
      </c>
    </row>
    <row r="11450" spans="1:14">
      <c r="A11450">
        <v>70324210</v>
      </c>
      <c r="B11450">
        <v>4021517</v>
      </c>
      <c r="C11450" t="s">
        <v>5317</v>
      </c>
      <c r="D11450" t="s">
        <v>442</v>
      </c>
      <c r="E11450" t="s">
        <v>441</v>
      </c>
      <c r="F11450">
        <v>9.5000000000000001E-2</v>
      </c>
      <c r="G11450">
        <v>2.5099999999999998</v>
      </c>
      <c r="H11450" t="s">
        <v>8587</v>
      </c>
      <c r="I11450">
        <v>110</v>
      </c>
      <c r="J11450" t="s">
        <v>462</v>
      </c>
      <c r="L11450" t="s">
        <v>13531</v>
      </c>
      <c r="M11450">
        <v>7108</v>
      </c>
      <c r="N11450" t="s">
        <v>17057</v>
      </c>
    </row>
    <row r="11451" spans="1:14">
      <c r="A11451">
        <v>70324211</v>
      </c>
      <c r="B11451">
        <v>3033003</v>
      </c>
      <c r="C11451" t="s">
        <v>14585</v>
      </c>
      <c r="D11451" t="s">
        <v>442</v>
      </c>
      <c r="E11451" t="s">
        <v>441</v>
      </c>
      <c r="F11451">
        <v>9.5000000000000001E-2</v>
      </c>
      <c r="G11451">
        <v>2.57</v>
      </c>
      <c r="H11451" t="s">
        <v>8587</v>
      </c>
      <c r="I11451">
        <v>110</v>
      </c>
      <c r="J11451" t="s">
        <v>445</v>
      </c>
      <c r="M11451">
        <v>3741</v>
      </c>
      <c r="N11451" t="s">
        <v>17057</v>
      </c>
    </row>
    <row r="11452" spans="1:14">
      <c r="A11452">
        <v>70324220</v>
      </c>
      <c r="B11452">
        <v>4021518</v>
      </c>
      <c r="C11452" t="s">
        <v>17654</v>
      </c>
      <c r="D11452" t="s">
        <v>442</v>
      </c>
      <c r="E11452" t="s">
        <v>441</v>
      </c>
      <c r="F11452">
        <v>9.5000000000000001E-2</v>
      </c>
      <c r="G11452">
        <v>3.01</v>
      </c>
      <c r="H11452" t="s">
        <v>8587</v>
      </c>
      <c r="I11452">
        <v>110</v>
      </c>
      <c r="J11452" t="s">
        <v>462</v>
      </c>
      <c r="K11452" t="s">
        <v>446</v>
      </c>
      <c r="L11452" t="s">
        <v>13532</v>
      </c>
      <c r="M11452">
        <v>7108</v>
      </c>
      <c r="N11452" t="s">
        <v>17057</v>
      </c>
    </row>
    <row r="11453" spans="1:14">
      <c r="A11453">
        <v>70324221</v>
      </c>
      <c r="B11453">
        <v>3045448</v>
      </c>
      <c r="C11453" t="s">
        <v>17060</v>
      </c>
      <c r="D11453" t="s">
        <v>442</v>
      </c>
      <c r="E11453" t="s">
        <v>441</v>
      </c>
      <c r="F11453">
        <v>9.5000000000000001E-2</v>
      </c>
      <c r="G11453">
        <v>3.1</v>
      </c>
      <c r="H11453" t="s">
        <v>8587</v>
      </c>
      <c r="I11453">
        <v>110</v>
      </c>
      <c r="J11453" t="s">
        <v>445</v>
      </c>
      <c r="M11453">
        <v>3741</v>
      </c>
      <c r="N11453" t="s">
        <v>17057</v>
      </c>
    </row>
    <row r="11454" spans="1:14">
      <c r="A11454">
        <v>70324230</v>
      </c>
      <c r="B11454">
        <v>4021750</v>
      </c>
      <c r="C11454" t="s">
        <v>14586</v>
      </c>
      <c r="D11454" t="s">
        <v>442</v>
      </c>
      <c r="E11454" t="s">
        <v>441</v>
      </c>
      <c r="F11454">
        <v>9.5000000000000001E-2</v>
      </c>
      <c r="G11454">
        <v>2.73</v>
      </c>
      <c r="H11454" t="s">
        <v>8587</v>
      </c>
      <c r="I11454">
        <v>110</v>
      </c>
      <c r="J11454" t="s">
        <v>462</v>
      </c>
      <c r="L11454" t="s">
        <v>13531</v>
      </c>
      <c r="M11454">
        <v>7108</v>
      </c>
      <c r="N11454" t="s">
        <v>17057</v>
      </c>
    </row>
    <row r="11455" spans="1:14">
      <c r="A11455">
        <v>70324240</v>
      </c>
      <c r="B11455">
        <v>4021751</v>
      </c>
      <c r="C11455" t="s">
        <v>14587</v>
      </c>
      <c r="D11455" t="s">
        <v>442</v>
      </c>
      <c r="E11455" t="s">
        <v>441</v>
      </c>
      <c r="F11455">
        <v>9.5000000000000001E-2</v>
      </c>
      <c r="G11455">
        <v>2.78</v>
      </c>
      <c r="H11455" t="s">
        <v>8587</v>
      </c>
      <c r="I11455">
        <v>110</v>
      </c>
      <c r="J11455" t="s">
        <v>462</v>
      </c>
      <c r="L11455" t="s">
        <v>13532</v>
      </c>
      <c r="M11455">
        <v>7108</v>
      </c>
      <c r="N11455" t="s">
        <v>17057</v>
      </c>
    </row>
    <row r="11456" spans="1:14">
      <c r="A11456">
        <v>70324250</v>
      </c>
      <c r="B11456">
        <v>4022852</v>
      </c>
      <c r="C11456" t="s">
        <v>14588</v>
      </c>
      <c r="D11456" t="s">
        <v>442</v>
      </c>
      <c r="E11456" t="s">
        <v>441</v>
      </c>
      <c r="F11456">
        <v>9.5000000000000001E-2</v>
      </c>
      <c r="G11456">
        <v>2.92</v>
      </c>
      <c r="H11456" t="s">
        <v>8587</v>
      </c>
      <c r="I11456">
        <v>110</v>
      </c>
      <c r="J11456" t="s">
        <v>462</v>
      </c>
      <c r="M11456">
        <v>7108</v>
      </c>
      <c r="N11456" t="s">
        <v>17057</v>
      </c>
    </row>
    <row r="11457" spans="1:14">
      <c r="A11457">
        <v>70324260</v>
      </c>
      <c r="B11457">
        <v>4028623</v>
      </c>
      <c r="C11457" t="s">
        <v>15538</v>
      </c>
      <c r="D11457" t="s">
        <v>442</v>
      </c>
      <c r="E11457" t="s">
        <v>441</v>
      </c>
      <c r="F11457">
        <v>9.5000000000000001E-2</v>
      </c>
      <c r="G11457">
        <v>3.38</v>
      </c>
      <c r="H11457" t="s">
        <v>8587</v>
      </c>
      <c r="I11457">
        <v>110</v>
      </c>
      <c r="J11457" t="s">
        <v>462</v>
      </c>
      <c r="L11457" t="s">
        <v>13533</v>
      </c>
      <c r="M11457">
        <v>7108</v>
      </c>
      <c r="N11457" t="s">
        <v>17057</v>
      </c>
    </row>
    <row r="11458" spans="1:14">
      <c r="A11458">
        <v>70324270</v>
      </c>
      <c r="B11458">
        <v>4028773</v>
      </c>
      <c r="C11458" t="s">
        <v>13534</v>
      </c>
      <c r="D11458" t="s">
        <v>442</v>
      </c>
      <c r="E11458" t="s">
        <v>441</v>
      </c>
      <c r="F11458">
        <v>9.5000000000000001E-2</v>
      </c>
      <c r="G11458">
        <v>2.96</v>
      </c>
      <c r="H11458" t="s">
        <v>8587</v>
      </c>
      <c r="I11458">
        <v>110</v>
      </c>
      <c r="J11458" t="s">
        <v>462</v>
      </c>
      <c r="M11458">
        <v>7108</v>
      </c>
      <c r="N11458" t="s">
        <v>17057</v>
      </c>
    </row>
    <row r="11459" spans="1:14">
      <c r="A11459">
        <v>70324290</v>
      </c>
      <c r="B11459">
        <v>4030645</v>
      </c>
      <c r="C11459" t="s">
        <v>17655</v>
      </c>
      <c r="D11459" t="s">
        <v>442</v>
      </c>
      <c r="E11459" t="s">
        <v>441</v>
      </c>
      <c r="F11459">
        <v>9.5000000000000001E-2</v>
      </c>
      <c r="G11459">
        <v>2.96</v>
      </c>
      <c r="H11459" t="s">
        <v>8587</v>
      </c>
      <c r="I11459">
        <v>110</v>
      </c>
      <c r="J11459" t="s">
        <v>462</v>
      </c>
      <c r="M11459">
        <v>7108</v>
      </c>
      <c r="N11459" t="s">
        <v>17057</v>
      </c>
    </row>
    <row r="11460" spans="1:14">
      <c r="A11460">
        <v>70330000</v>
      </c>
      <c r="B11460">
        <v>3008481</v>
      </c>
      <c r="C11460" t="s">
        <v>13535</v>
      </c>
      <c r="D11460" t="s">
        <v>441</v>
      </c>
      <c r="F11460">
        <v>0</v>
      </c>
      <c r="G11460">
        <v>19.55</v>
      </c>
      <c r="H11460" t="s">
        <v>8580</v>
      </c>
      <c r="I11460">
        <v>28</v>
      </c>
      <c r="J11460" t="s">
        <v>445</v>
      </c>
      <c r="K11460" t="s">
        <v>446</v>
      </c>
      <c r="M11460">
        <v>3312</v>
      </c>
    </row>
    <row r="11461" spans="1:14">
      <c r="A11461">
        <v>70330008</v>
      </c>
      <c r="B11461">
        <v>3008482</v>
      </c>
      <c r="C11461" t="s">
        <v>13536</v>
      </c>
      <c r="D11461" t="s">
        <v>441</v>
      </c>
      <c r="F11461">
        <v>0</v>
      </c>
      <c r="G11461">
        <v>11.08</v>
      </c>
      <c r="H11461" t="s">
        <v>8580</v>
      </c>
      <c r="I11461">
        <v>9</v>
      </c>
      <c r="J11461" t="s">
        <v>445</v>
      </c>
      <c r="K11461" t="s">
        <v>446</v>
      </c>
      <c r="M11461">
        <v>3211</v>
      </c>
    </row>
    <row r="11462" spans="1:14">
      <c r="A11462">
        <v>70330009</v>
      </c>
      <c r="B11462">
        <v>3008750</v>
      </c>
      <c r="C11462" t="s">
        <v>13537</v>
      </c>
      <c r="D11462" t="s">
        <v>441</v>
      </c>
      <c r="F11462">
        <v>0</v>
      </c>
      <c r="G11462">
        <v>15.91</v>
      </c>
      <c r="H11462" t="s">
        <v>8580</v>
      </c>
      <c r="I11462">
        <v>36</v>
      </c>
      <c r="J11462" t="s">
        <v>445</v>
      </c>
      <c r="K11462" t="s">
        <v>446</v>
      </c>
      <c r="M11462">
        <v>3311</v>
      </c>
    </row>
    <row r="11463" spans="1:14">
      <c r="A11463">
        <v>70334210</v>
      </c>
      <c r="B11463">
        <v>4004416</v>
      </c>
      <c r="C11463" t="s">
        <v>13538</v>
      </c>
      <c r="D11463" t="s">
        <v>442</v>
      </c>
      <c r="E11463" t="s">
        <v>441</v>
      </c>
      <c r="F11463">
        <v>0.28000000000000003</v>
      </c>
      <c r="G11463">
        <v>6.22</v>
      </c>
      <c r="H11463" t="s">
        <v>8587</v>
      </c>
      <c r="I11463">
        <v>42</v>
      </c>
      <c r="J11463" t="s">
        <v>462</v>
      </c>
      <c r="K11463" t="s">
        <v>446</v>
      </c>
      <c r="M11463">
        <v>3711</v>
      </c>
    </row>
    <row r="11464" spans="1:14">
      <c r="A11464">
        <v>70334240</v>
      </c>
      <c r="B11464">
        <v>4006133</v>
      </c>
      <c r="C11464" t="s">
        <v>13539</v>
      </c>
      <c r="D11464" t="s">
        <v>442</v>
      </c>
      <c r="E11464" t="s">
        <v>441</v>
      </c>
      <c r="F11464">
        <v>0.28000000000000003</v>
      </c>
      <c r="G11464">
        <v>6.38</v>
      </c>
      <c r="H11464" t="s">
        <v>8587</v>
      </c>
      <c r="I11464">
        <v>42</v>
      </c>
      <c r="J11464" t="s">
        <v>462</v>
      </c>
      <c r="K11464" t="s">
        <v>446</v>
      </c>
      <c r="M11464">
        <v>3711</v>
      </c>
    </row>
    <row r="11465" spans="1:14">
      <c r="A11465">
        <v>70340000</v>
      </c>
      <c r="B11465">
        <v>3008483</v>
      </c>
      <c r="C11465" t="s">
        <v>5318</v>
      </c>
      <c r="D11465" t="s">
        <v>441</v>
      </c>
      <c r="F11465">
        <v>0</v>
      </c>
      <c r="G11465">
        <v>11.14</v>
      </c>
      <c r="H11465" t="s">
        <v>12573</v>
      </c>
      <c r="I11465">
        <v>7</v>
      </c>
      <c r="J11465" t="s">
        <v>445</v>
      </c>
      <c r="M11465">
        <v>3349</v>
      </c>
      <c r="N11465" t="s">
        <v>17061</v>
      </c>
    </row>
    <row r="11466" spans="1:14">
      <c r="A11466">
        <v>70340008</v>
      </c>
      <c r="B11466">
        <v>3016669</v>
      </c>
      <c r="C11466" t="s">
        <v>5319</v>
      </c>
      <c r="D11466" t="s">
        <v>441</v>
      </c>
      <c r="F11466">
        <v>0</v>
      </c>
      <c r="G11466">
        <v>13.09</v>
      </c>
      <c r="H11466" t="s">
        <v>12664</v>
      </c>
      <c r="I11466">
        <v>9</v>
      </c>
      <c r="J11466" t="s">
        <v>445</v>
      </c>
      <c r="M11466">
        <v>6666</v>
      </c>
      <c r="N11466" t="s">
        <v>17062</v>
      </c>
    </row>
    <row r="11467" spans="1:14">
      <c r="A11467">
        <v>70340009</v>
      </c>
      <c r="B11467">
        <v>3016670</v>
      </c>
      <c r="C11467" t="s">
        <v>5320</v>
      </c>
      <c r="D11467" t="s">
        <v>441</v>
      </c>
      <c r="F11467">
        <v>0</v>
      </c>
      <c r="G11467">
        <v>14.32</v>
      </c>
      <c r="H11467" t="s">
        <v>12573</v>
      </c>
      <c r="I11467">
        <v>6</v>
      </c>
      <c r="J11467" t="s">
        <v>445</v>
      </c>
      <c r="M11467">
        <v>3349</v>
      </c>
      <c r="N11467" t="s">
        <v>17063</v>
      </c>
    </row>
    <row r="11468" spans="1:14">
      <c r="A11468">
        <v>70344110</v>
      </c>
      <c r="B11468">
        <v>4007721</v>
      </c>
      <c r="C11468" t="s">
        <v>5321</v>
      </c>
      <c r="D11468" t="s">
        <v>441</v>
      </c>
      <c r="F11468">
        <v>0</v>
      </c>
      <c r="G11468">
        <v>13.81</v>
      </c>
      <c r="H11468" t="s">
        <v>8587</v>
      </c>
      <c r="I11468">
        <v>81</v>
      </c>
      <c r="J11468" t="s">
        <v>462</v>
      </c>
      <c r="K11468" t="s">
        <v>446</v>
      </c>
      <c r="M11468">
        <v>3711</v>
      </c>
    </row>
    <row r="11469" spans="1:14">
      <c r="A11469">
        <v>70344120</v>
      </c>
      <c r="B11469">
        <v>4014190</v>
      </c>
      <c r="C11469" t="s">
        <v>5322</v>
      </c>
      <c r="D11469" t="s">
        <v>442</v>
      </c>
      <c r="E11469" t="s">
        <v>441</v>
      </c>
      <c r="F11469">
        <v>0.28599999999999998</v>
      </c>
      <c r="G11469">
        <v>3.45</v>
      </c>
      <c r="H11469" t="s">
        <v>8587</v>
      </c>
      <c r="I11469">
        <v>81</v>
      </c>
      <c r="J11469" t="s">
        <v>462</v>
      </c>
      <c r="K11469" t="s">
        <v>446</v>
      </c>
      <c r="M11469">
        <v>3711</v>
      </c>
      <c r="N11469" t="s">
        <v>17064</v>
      </c>
    </row>
    <row r="11470" spans="1:14">
      <c r="A11470">
        <v>70344130</v>
      </c>
      <c r="B11470">
        <v>4015253</v>
      </c>
      <c r="C11470" t="s">
        <v>5323</v>
      </c>
      <c r="D11470" t="s">
        <v>442</v>
      </c>
      <c r="E11470" t="s">
        <v>441</v>
      </c>
      <c r="F11470">
        <v>0.6</v>
      </c>
      <c r="G11470">
        <v>7.54</v>
      </c>
      <c r="H11470" t="s">
        <v>8587</v>
      </c>
      <c r="I11470">
        <v>81</v>
      </c>
      <c r="J11470" t="s">
        <v>462</v>
      </c>
      <c r="K11470" t="s">
        <v>446</v>
      </c>
      <c r="M11470">
        <v>3711</v>
      </c>
    </row>
    <row r="11471" spans="1:14">
      <c r="A11471">
        <v>70345110</v>
      </c>
      <c r="B11471">
        <v>4004417</v>
      </c>
      <c r="C11471" t="s">
        <v>5324</v>
      </c>
      <c r="D11471" t="s">
        <v>442</v>
      </c>
      <c r="E11471" t="s">
        <v>441</v>
      </c>
      <c r="F11471">
        <v>0.6</v>
      </c>
      <c r="G11471">
        <v>7.7</v>
      </c>
      <c r="H11471" t="s">
        <v>8587</v>
      </c>
      <c r="I11471">
        <v>81</v>
      </c>
      <c r="J11471" t="s">
        <v>462</v>
      </c>
      <c r="K11471" t="s">
        <v>446</v>
      </c>
      <c r="L11471" t="s">
        <v>13540</v>
      </c>
      <c r="M11471">
        <v>3711</v>
      </c>
    </row>
    <row r="11472" spans="1:14">
      <c r="A11472">
        <v>70345120</v>
      </c>
      <c r="B11472">
        <v>4017635</v>
      </c>
      <c r="C11472" t="s">
        <v>5325</v>
      </c>
      <c r="D11472" t="s">
        <v>442</v>
      </c>
      <c r="E11472" t="s">
        <v>441</v>
      </c>
      <c r="F11472">
        <v>0.6</v>
      </c>
      <c r="G11472">
        <v>10.85</v>
      </c>
      <c r="H11472" t="s">
        <v>8587</v>
      </c>
      <c r="I11472">
        <v>81</v>
      </c>
      <c r="J11472" t="s">
        <v>462</v>
      </c>
      <c r="L11472" t="s">
        <v>13541</v>
      </c>
      <c r="M11472">
        <v>7108</v>
      </c>
      <c r="N11472" t="s">
        <v>17061</v>
      </c>
    </row>
    <row r="11473" spans="1:14">
      <c r="A11473">
        <v>70345130</v>
      </c>
      <c r="B11473">
        <v>4019565</v>
      </c>
      <c r="C11473" t="s">
        <v>5326</v>
      </c>
      <c r="D11473" t="s">
        <v>442</v>
      </c>
      <c r="E11473" t="s">
        <v>441</v>
      </c>
      <c r="F11473">
        <v>0.6</v>
      </c>
      <c r="G11473">
        <v>7.57</v>
      </c>
      <c r="H11473" t="s">
        <v>8587</v>
      </c>
      <c r="I11473">
        <v>81</v>
      </c>
      <c r="J11473" t="s">
        <v>462</v>
      </c>
      <c r="K11473" t="s">
        <v>446</v>
      </c>
      <c r="M11473">
        <v>3711</v>
      </c>
    </row>
    <row r="11474" spans="1:14">
      <c r="A11474">
        <v>70345140</v>
      </c>
      <c r="B11474">
        <v>4023502</v>
      </c>
      <c r="C11474" t="s">
        <v>15443</v>
      </c>
      <c r="D11474" t="s">
        <v>442</v>
      </c>
      <c r="E11474" t="s">
        <v>441</v>
      </c>
      <c r="F11474">
        <v>0.6</v>
      </c>
      <c r="G11474">
        <v>12.01</v>
      </c>
      <c r="H11474" t="s">
        <v>8587</v>
      </c>
      <c r="I11474">
        <v>81</v>
      </c>
      <c r="J11474" t="s">
        <v>462</v>
      </c>
      <c r="K11474" t="s">
        <v>446</v>
      </c>
      <c r="L11474" t="s">
        <v>13542</v>
      </c>
      <c r="M11474">
        <v>7108</v>
      </c>
      <c r="N11474" t="s">
        <v>17061</v>
      </c>
    </row>
    <row r="11475" spans="1:14">
      <c r="A11475">
        <v>70345150</v>
      </c>
      <c r="B11475">
        <v>4024682</v>
      </c>
      <c r="C11475" t="s">
        <v>5327</v>
      </c>
      <c r="D11475" t="s">
        <v>442</v>
      </c>
      <c r="E11475" t="s">
        <v>441</v>
      </c>
      <c r="F11475">
        <v>0.6</v>
      </c>
      <c r="G11475">
        <v>8.9499999999999993</v>
      </c>
      <c r="H11475" t="s">
        <v>8587</v>
      </c>
      <c r="I11475">
        <v>81</v>
      </c>
      <c r="J11475" t="s">
        <v>462</v>
      </c>
      <c r="K11475" t="s">
        <v>446</v>
      </c>
      <c r="M11475">
        <v>3711</v>
      </c>
      <c r="N11475" t="s">
        <v>17061</v>
      </c>
    </row>
    <row r="11476" spans="1:14">
      <c r="A11476">
        <v>70345160</v>
      </c>
      <c r="B11476">
        <v>4029273</v>
      </c>
      <c r="C11476" t="s">
        <v>14589</v>
      </c>
      <c r="D11476" t="s">
        <v>441</v>
      </c>
      <c r="F11476">
        <v>0</v>
      </c>
      <c r="G11476">
        <v>24.04</v>
      </c>
      <c r="H11476" t="s">
        <v>8587</v>
      </c>
      <c r="I11476">
        <v>81</v>
      </c>
      <c r="J11476" t="s">
        <v>462</v>
      </c>
      <c r="M11476">
        <v>7108</v>
      </c>
      <c r="N11476" t="s">
        <v>17061</v>
      </c>
    </row>
    <row r="11477" spans="1:14">
      <c r="A11477">
        <v>70350000</v>
      </c>
      <c r="B11477">
        <v>3032526</v>
      </c>
      <c r="C11477" t="s">
        <v>5328</v>
      </c>
      <c r="D11477" t="s">
        <v>441</v>
      </c>
      <c r="F11477">
        <v>0</v>
      </c>
      <c r="G11477">
        <v>23.07</v>
      </c>
      <c r="H11477" t="s">
        <v>12573</v>
      </c>
      <c r="I11477">
        <v>3</v>
      </c>
      <c r="J11477" t="s">
        <v>445</v>
      </c>
      <c r="M11477">
        <v>3349</v>
      </c>
      <c r="N11477" t="s">
        <v>17065</v>
      </c>
    </row>
    <row r="11478" spans="1:14">
      <c r="A11478">
        <v>70350008</v>
      </c>
      <c r="B11478">
        <v>3032524</v>
      </c>
      <c r="C11478" t="s">
        <v>5329</v>
      </c>
      <c r="D11478" t="s">
        <v>441</v>
      </c>
      <c r="F11478">
        <v>0</v>
      </c>
      <c r="G11478">
        <v>15.61</v>
      </c>
      <c r="H11478" t="s">
        <v>12664</v>
      </c>
      <c r="I11478">
        <v>5</v>
      </c>
      <c r="J11478" t="s">
        <v>445</v>
      </c>
      <c r="M11478">
        <v>6666</v>
      </c>
      <c r="N11478" t="s">
        <v>17066</v>
      </c>
    </row>
    <row r="11479" spans="1:14">
      <c r="A11479">
        <v>70350009</v>
      </c>
      <c r="B11479">
        <v>3032525</v>
      </c>
      <c r="C11479" t="s">
        <v>5330</v>
      </c>
      <c r="D11479" t="s">
        <v>441</v>
      </c>
      <c r="F11479">
        <v>0</v>
      </c>
      <c r="G11479">
        <v>20.94</v>
      </c>
      <c r="H11479" t="s">
        <v>12573</v>
      </c>
      <c r="I11479">
        <v>6</v>
      </c>
      <c r="J11479" t="s">
        <v>445</v>
      </c>
      <c r="M11479">
        <v>3349</v>
      </c>
      <c r="N11479" t="s">
        <v>17067</v>
      </c>
    </row>
    <row r="11480" spans="1:14">
      <c r="A11480">
        <v>70354210</v>
      </c>
      <c r="B11480">
        <v>4021628</v>
      </c>
      <c r="C11480" t="s">
        <v>5331</v>
      </c>
      <c r="D11480" t="s">
        <v>442</v>
      </c>
      <c r="E11480" t="s">
        <v>441</v>
      </c>
      <c r="F11480">
        <v>0.15</v>
      </c>
      <c r="G11480">
        <v>4.9000000000000004</v>
      </c>
      <c r="H11480" t="s">
        <v>8587</v>
      </c>
      <c r="I11480">
        <v>100</v>
      </c>
      <c r="J11480" t="s">
        <v>462</v>
      </c>
      <c r="L11480" t="s">
        <v>13543</v>
      </c>
      <c r="M11480">
        <v>7108</v>
      </c>
      <c r="N11480" t="s">
        <v>17065</v>
      </c>
    </row>
    <row r="11481" spans="1:14">
      <c r="A11481">
        <v>70354211</v>
      </c>
      <c r="B11481">
        <v>3033353</v>
      </c>
      <c r="C11481" t="s">
        <v>5332</v>
      </c>
      <c r="D11481" t="s">
        <v>442</v>
      </c>
      <c r="E11481" t="s">
        <v>441</v>
      </c>
      <c r="F11481">
        <v>0.15</v>
      </c>
      <c r="G11481">
        <v>4.04</v>
      </c>
      <c r="H11481" t="s">
        <v>8587</v>
      </c>
      <c r="I11481">
        <v>100</v>
      </c>
      <c r="J11481" t="s">
        <v>445</v>
      </c>
      <c r="M11481">
        <v>3741</v>
      </c>
      <c r="N11481" t="s">
        <v>17065</v>
      </c>
    </row>
    <row r="11482" spans="1:14">
      <c r="A11482">
        <v>70354220</v>
      </c>
      <c r="B11482">
        <v>4021627</v>
      </c>
      <c r="C11482" t="s">
        <v>5333</v>
      </c>
      <c r="D11482" t="s">
        <v>442</v>
      </c>
      <c r="E11482" t="s">
        <v>441</v>
      </c>
      <c r="F11482">
        <v>0.15</v>
      </c>
      <c r="G11482">
        <v>4.95</v>
      </c>
      <c r="H11482" t="s">
        <v>8587</v>
      </c>
      <c r="I11482">
        <v>100</v>
      </c>
      <c r="J11482" t="s">
        <v>462</v>
      </c>
      <c r="L11482" t="s">
        <v>13544</v>
      </c>
      <c r="M11482">
        <v>7108</v>
      </c>
      <c r="N11482" t="s">
        <v>17065</v>
      </c>
    </row>
    <row r="11483" spans="1:14">
      <c r="A11483">
        <v>70354230</v>
      </c>
      <c r="B11483">
        <v>4022853</v>
      </c>
      <c r="C11483" t="s">
        <v>5334</v>
      </c>
      <c r="D11483" t="s">
        <v>442</v>
      </c>
      <c r="E11483" t="s">
        <v>441</v>
      </c>
      <c r="F11483">
        <v>0.15</v>
      </c>
      <c r="G11483">
        <v>4.7699999999999996</v>
      </c>
      <c r="H11483" t="s">
        <v>8587</v>
      </c>
      <c r="I11483">
        <v>100</v>
      </c>
      <c r="J11483" t="s">
        <v>462</v>
      </c>
      <c r="M11483">
        <v>7108</v>
      </c>
      <c r="N11483" t="s">
        <v>17065</v>
      </c>
    </row>
    <row r="11484" spans="1:14">
      <c r="A11484">
        <v>70354240</v>
      </c>
      <c r="B11484">
        <v>3040216</v>
      </c>
      <c r="C11484" t="s">
        <v>5335</v>
      </c>
      <c r="D11484" t="s">
        <v>442</v>
      </c>
      <c r="E11484" t="s">
        <v>441</v>
      </c>
      <c r="F11484">
        <v>0.15</v>
      </c>
      <c r="G11484">
        <v>4.2300000000000004</v>
      </c>
      <c r="H11484" t="s">
        <v>8587</v>
      </c>
      <c r="I11484">
        <v>100</v>
      </c>
      <c r="J11484" t="s">
        <v>445</v>
      </c>
      <c r="L11484" t="s">
        <v>13544</v>
      </c>
      <c r="M11484">
        <v>7108</v>
      </c>
      <c r="N11484" t="s">
        <v>17065</v>
      </c>
    </row>
    <row r="11485" spans="1:14">
      <c r="A11485">
        <v>70354250</v>
      </c>
      <c r="B11485">
        <v>4028251</v>
      </c>
      <c r="C11485" t="s">
        <v>5336</v>
      </c>
      <c r="D11485" t="s">
        <v>442</v>
      </c>
      <c r="E11485" t="s">
        <v>441</v>
      </c>
      <c r="F11485">
        <v>0.15</v>
      </c>
      <c r="G11485">
        <v>4.78</v>
      </c>
      <c r="H11485" t="s">
        <v>8587</v>
      </c>
      <c r="I11485">
        <v>110</v>
      </c>
      <c r="J11485" t="s">
        <v>462</v>
      </c>
      <c r="M11485">
        <v>7108</v>
      </c>
      <c r="N11485" t="s">
        <v>17065</v>
      </c>
    </row>
    <row r="11486" spans="1:14">
      <c r="A11486">
        <v>70364210</v>
      </c>
      <c r="B11486">
        <v>4021755</v>
      </c>
      <c r="C11486" t="s">
        <v>13545</v>
      </c>
      <c r="D11486" t="s">
        <v>442</v>
      </c>
      <c r="E11486" t="s">
        <v>441</v>
      </c>
      <c r="F11486">
        <v>9.5000000000000001E-2</v>
      </c>
      <c r="G11486">
        <v>2.1</v>
      </c>
      <c r="H11486" t="s">
        <v>8587</v>
      </c>
      <c r="I11486">
        <v>100</v>
      </c>
      <c r="J11486" t="s">
        <v>462</v>
      </c>
      <c r="K11486" t="s">
        <v>446</v>
      </c>
      <c r="L11486" t="s">
        <v>13546</v>
      </c>
      <c r="M11486">
        <v>3711</v>
      </c>
      <c r="N11486" t="s">
        <v>17068</v>
      </c>
    </row>
    <row r="11487" spans="1:14">
      <c r="A11487">
        <v>70364220</v>
      </c>
      <c r="B11487">
        <v>4024400</v>
      </c>
      <c r="C11487" t="s">
        <v>5337</v>
      </c>
      <c r="D11487" t="s">
        <v>442</v>
      </c>
      <c r="E11487" t="s">
        <v>441</v>
      </c>
      <c r="F11487">
        <v>27.6</v>
      </c>
      <c r="G11487">
        <v>604.27</v>
      </c>
      <c r="H11487" t="s">
        <v>8587</v>
      </c>
      <c r="I11487">
        <v>100</v>
      </c>
      <c r="J11487" t="s">
        <v>462</v>
      </c>
      <c r="K11487" t="s">
        <v>446</v>
      </c>
      <c r="M11487">
        <v>3711</v>
      </c>
      <c r="N11487" t="s">
        <v>17068</v>
      </c>
    </row>
    <row r="11488" spans="1:14">
      <c r="A11488">
        <v>70364230</v>
      </c>
      <c r="B11488">
        <v>4024385</v>
      </c>
      <c r="C11488" t="s">
        <v>14590</v>
      </c>
      <c r="D11488" t="s">
        <v>442</v>
      </c>
      <c r="E11488" t="s">
        <v>441</v>
      </c>
      <c r="F11488">
        <v>0.15</v>
      </c>
      <c r="G11488">
        <v>5.67</v>
      </c>
      <c r="H11488" t="s">
        <v>8587</v>
      </c>
      <c r="I11488">
        <v>100</v>
      </c>
      <c r="J11488" t="s">
        <v>462</v>
      </c>
      <c r="K11488" t="s">
        <v>446</v>
      </c>
      <c r="L11488" t="s">
        <v>13547</v>
      </c>
      <c r="M11488">
        <v>7108</v>
      </c>
      <c r="N11488" t="s">
        <v>17068</v>
      </c>
    </row>
    <row r="11489" spans="1:14">
      <c r="A11489">
        <v>70374210</v>
      </c>
      <c r="B11489">
        <v>4021989</v>
      </c>
      <c r="C11489" t="s">
        <v>5338</v>
      </c>
      <c r="D11489" t="s">
        <v>442</v>
      </c>
      <c r="E11489" t="s">
        <v>441</v>
      </c>
      <c r="F11489">
        <v>28.65</v>
      </c>
      <c r="G11489">
        <v>471.32</v>
      </c>
      <c r="H11489" t="s">
        <v>8587</v>
      </c>
      <c r="I11489">
        <v>81</v>
      </c>
      <c r="J11489" t="s">
        <v>462</v>
      </c>
      <c r="K11489" t="s">
        <v>446</v>
      </c>
      <c r="L11489" t="s">
        <v>13548</v>
      </c>
      <c r="M11489">
        <v>3711</v>
      </c>
      <c r="N11489" t="s">
        <v>17041</v>
      </c>
    </row>
    <row r="11490" spans="1:14">
      <c r="A11490">
        <v>70374220</v>
      </c>
      <c r="B11490">
        <v>4024171</v>
      </c>
      <c r="C11490" t="s">
        <v>13549</v>
      </c>
      <c r="D11490" t="s">
        <v>442</v>
      </c>
      <c r="E11490" t="s">
        <v>441</v>
      </c>
      <c r="F11490">
        <v>45.6</v>
      </c>
      <c r="G11490">
        <v>949.85</v>
      </c>
      <c r="H11490" t="s">
        <v>8587</v>
      </c>
      <c r="I11490">
        <v>81</v>
      </c>
      <c r="J11490" t="s">
        <v>462</v>
      </c>
      <c r="K11490" t="s">
        <v>446</v>
      </c>
      <c r="L11490" t="s">
        <v>13550</v>
      </c>
      <c r="M11490">
        <v>7108</v>
      </c>
      <c r="N11490" t="s">
        <v>17068</v>
      </c>
    </row>
    <row r="11491" spans="1:14">
      <c r="A11491">
        <v>70374230</v>
      </c>
      <c r="B11491">
        <v>4024471</v>
      </c>
      <c r="C11491" t="s">
        <v>14591</v>
      </c>
      <c r="D11491" t="s">
        <v>442</v>
      </c>
      <c r="E11491" t="s">
        <v>441</v>
      </c>
      <c r="F11491">
        <v>43.98</v>
      </c>
      <c r="G11491">
        <v>1384.4</v>
      </c>
      <c r="H11491" t="s">
        <v>8587</v>
      </c>
      <c r="I11491">
        <v>50</v>
      </c>
      <c r="J11491" t="s">
        <v>462</v>
      </c>
      <c r="K11491" t="s">
        <v>446</v>
      </c>
      <c r="L11491" t="s">
        <v>13551</v>
      </c>
      <c r="M11491">
        <v>7108</v>
      </c>
      <c r="N11491" t="s">
        <v>17068</v>
      </c>
    </row>
    <row r="11492" spans="1:14">
      <c r="A11492">
        <v>70374240</v>
      </c>
      <c r="B11492">
        <v>4024510</v>
      </c>
      <c r="C11492" t="s">
        <v>13552</v>
      </c>
      <c r="D11492" t="s">
        <v>442</v>
      </c>
      <c r="E11492" t="s">
        <v>441</v>
      </c>
      <c r="F11492">
        <v>40.200000000000003</v>
      </c>
      <c r="G11492">
        <v>1142.81</v>
      </c>
      <c r="H11492" t="s">
        <v>8587</v>
      </c>
      <c r="I11492">
        <v>50</v>
      </c>
      <c r="J11492" t="s">
        <v>462</v>
      </c>
      <c r="K11492" t="s">
        <v>446</v>
      </c>
      <c r="L11492" t="s">
        <v>13553</v>
      </c>
      <c r="M11492">
        <v>7108</v>
      </c>
      <c r="N11492" t="s">
        <v>17068</v>
      </c>
    </row>
    <row r="11493" spans="1:14">
      <c r="A11493">
        <v>70374250</v>
      </c>
      <c r="B11493">
        <v>4024479</v>
      </c>
      <c r="C11493" t="s">
        <v>13554</v>
      </c>
      <c r="D11493" t="s">
        <v>442</v>
      </c>
      <c r="E11493" t="s">
        <v>441</v>
      </c>
      <c r="F11493">
        <v>23.28</v>
      </c>
      <c r="G11493">
        <v>626.33000000000004</v>
      </c>
      <c r="H11493" t="s">
        <v>8587</v>
      </c>
      <c r="I11493">
        <v>81</v>
      </c>
      <c r="J11493" t="s">
        <v>462</v>
      </c>
      <c r="K11493" t="s">
        <v>446</v>
      </c>
      <c r="L11493" t="s">
        <v>13555</v>
      </c>
      <c r="M11493">
        <v>7108</v>
      </c>
      <c r="N11493" t="s">
        <v>17068</v>
      </c>
    </row>
    <row r="11494" spans="1:14">
      <c r="A11494">
        <v>70374260</v>
      </c>
      <c r="B11494">
        <v>4024664</v>
      </c>
      <c r="C11494" t="s">
        <v>14592</v>
      </c>
      <c r="D11494" t="s">
        <v>442</v>
      </c>
      <c r="E11494" t="s">
        <v>441</v>
      </c>
      <c r="F11494">
        <v>33.9</v>
      </c>
      <c r="G11494">
        <v>1007.31</v>
      </c>
      <c r="H11494" t="s">
        <v>8587</v>
      </c>
      <c r="I11494">
        <v>81</v>
      </c>
      <c r="J11494" t="s">
        <v>462</v>
      </c>
      <c r="K11494" t="s">
        <v>446</v>
      </c>
      <c r="L11494" t="s">
        <v>13556</v>
      </c>
      <c r="M11494">
        <v>7108</v>
      </c>
      <c r="N11494" t="s">
        <v>17068</v>
      </c>
    </row>
    <row r="11495" spans="1:14">
      <c r="A11495">
        <v>70374270</v>
      </c>
      <c r="B11495">
        <v>4024719</v>
      </c>
      <c r="C11495" t="s">
        <v>13557</v>
      </c>
      <c r="D11495" t="s">
        <v>442</v>
      </c>
      <c r="E11495" t="s">
        <v>441</v>
      </c>
      <c r="F11495">
        <v>26.79</v>
      </c>
      <c r="G11495">
        <v>774.51</v>
      </c>
      <c r="H11495" t="s">
        <v>8587</v>
      </c>
      <c r="I11495">
        <v>50</v>
      </c>
      <c r="J11495" t="s">
        <v>462</v>
      </c>
      <c r="K11495" t="s">
        <v>446</v>
      </c>
      <c r="L11495" t="s">
        <v>13558</v>
      </c>
      <c r="M11495">
        <v>7108</v>
      </c>
      <c r="N11495" t="s">
        <v>17068</v>
      </c>
    </row>
    <row r="11496" spans="1:14">
      <c r="A11496">
        <v>70374280</v>
      </c>
      <c r="B11496">
        <v>4025075</v>
      </c>
      <c r="C11496" t="s">
        <v>15348</v>
      </c>
      <c r="D11496" t="s">
        <v>442</v>
      </c>
      <c r="E11496" t="s">
        <v>441</v>
      </c>
      <c r="F11496">
        <v>32.5</v>
      </c>
      <c r="G11496">
        <v>974.06</v>
      </c>
      <c r="H11496" t="s">
        <v>8587</v>
      </c>
      <c r="I11496">
        <v>100</v>
      </c>
      <c r="J11496" t="s">
        <v>462</v>
      </c>
      <c r="K11496" t="s">
        <v>446</v>
      </c>
      <c r="L11496" t="s">
        <v>13559</v>
      </c>
      <c r="M11496">
        <v>7108</v>
      </c>
      <c r="N11496" t="s">
        <v>17068</v>
      </c>
    </row>
    <row r="11497" spans="1:14">
      <c r="A11497">
        <v>70374290</v>
      </c>
      <c r="B11497">
        <v>4025093</v>
      </c>
      <c r="C11497" t="s">
        <v>13560</v>
      </c>
      <c r="D11497" t="s">
        <v>442</v>
      </c>
      <c r="E11497" t="s">
        <v>441</v>
      </c>
      <c r="F11497">
        <v>24.46</v>
      </c>
      <c r="G11497">
        <v>733.52</v>
      </c>
      <c r="H11497" t="s">
        <v>8587</v>
      </c>
      <c r="I11497">
        <v>100</v>
      </c>
      <c r="J11497" t="s">
        <v>462</v>
      </c>
      <c r="K11497" t="s">
        <v>446</v>
      </c>
      <c r="L11497" t="s">
        <v>13561</v>
      </c>
      <c r="M11497">
        <v>7108</v>
      </c>
      <c r="N11497" t="s">
        <v>17068</v>
      </c>
    </row>
    <row r="11498" spans="1:14">
      <c r="A11498">
        <v>70376210</v>
      </c>
      <c r="B11498">
        <v>4025273</v>
      </c>
      <c r="C11498" t="s">
        <v>13562</v>
      </c>
      <c r="D11498" t="s">
        <v>442</v>
      </c>
      <c r="E11498" t="s">
        <v>441</v>
      </c>
      <c r="F11498">
        <v>39.14</v>
      </c>
      <c r="G11498">
        <v>1146.23</v>
      </c>
      <c r="H11498" t="s">
        <v>8587</v>
      </c>
      <c r="I11498">
        <v>60</v>
      </c>
      <c r="J11498" t="s">
        <v>462</v>
      </c>
      <c r="K11498" t="s">
        <v>446</v>
      </c>
      <c r="L11498" t="s">
        <v>13563</v>
      </c>
      <c r="M11498">
        <v>7108</v>
      </c>
      <c r="N11498" t="s">
        <v>17068</v>
      </c>
    </row>
    <row r="11499" spans="1:14">
      <c r="A11499">
        <v>70376220</v>
      </c>
      <c r="B11499">
        <v>4025272</v>
      </c>
      <c r="C11499" t="s">
        <v>14593</v>
      </c>
      <c r="D11499" t="s">
        <v>442</v>
      </c>
      <c r="E11499" t="s">
        <v>441</v>
      </c>
      <c r="F11499">
        <v>36.06</v>
      </c>
      <c r="G11499">
        <v>1229.8699999999999</v>
      </c>
      <c r="H11499" t="s">
        <v>8587</v>
      </c>
      <c r="I11499">
        <v>100</v>
      </c>
      <c r="J11499" t="s">
        <v>462</v>
      </c>
      <c r="K11499" t="s">
        <v>446</v>
      </c>
      <c r="L11499" t="s">
        <v>13564</v>
      </c>
      <c r="M11499">
        <v>7108</v>
      </c>
      <c r="N11499" t="s">
        <v>17068</v>
      </c>
    </row>
    <row r="11500" spans="1:14">
      <c r="A11500">
        <v>70376230</v>
      </c>
      <c r="B11500">
        <v>4025362</v>
      </c>
      <c r="C11500" t="s">
        <v>13565</v>
      </c>
      <c r="D11500" t="s">
        <v>442</v>
      </c>
      <c r="E11500" t="s">
        <v>441</v>
      </c>
      <c r="F11500">
        <v>23.76</v>
      </c>
      <c r="G11500">
        <v>663.71</v>
      </c>
      <c r="H11500" t="s">
        <v>8587</v>
      </c>
      <c r="I11500">
        <v>110</v>
      </c>
      <c r="J11500" t="s">
        <v>462</v>
      </c>
      <c r="K11500" t="s">
        <v>446</v>
      </c>
      <c r="L11500" t="s">
        <v>13566</v>
      </c>
      <c r="M11500">
        <v>7108</v>
      </c>
      <c r="N11500" t="s">
        <v>17068</v>
      </c>
    </row>
    <row r="11501" spans="1:14">
      <c r="A11501">
        <v>70376240</v>
      </c>
      <c r="B11501">
        <v>4025757</v>
      </c>
      <c r="C11501" t="s">
        <v>13567</v>
      </c>
      <c r="D11501" t="s">
        <v>442</v>
      </c>
      <c r="E11501" t="s">
        <v>441</v>
      </c>
      <c r="F11501">
        <v>27.2</v>
      </c>
      <c r="G11501">
        <v>795.4</v>
      </c>
      <c r="H11501" t="s">
        <v>8587</v>
      </c>
      <c r="I11501">
        <v>81</v>
      </c>
      <c r="J11501" t="s">
        <v>462</v>
      </c>
      <c r="L11501" t="s">
        <v>13568</v>
      </c>
      <c r="M11501">
        <v>7108</v>
      </c>
      <c r="N11501" t="s">
        <v>17068</v>
      </c>
    </row>
    <row r="11502" spans="1:14">
      <c r="A11502">
        <v>70376250</v>
      </c>
      <c r="B11502">
        <v>4025914</v>
      </c>
      <c r="C11502" t="s">
        <v>14594</v>
      </c>
      <c r="D11502" t="s">
        <v>442</v>
      </c>
      <c r="E11502" t="s">
        <v>441</v>
      </c>
      <c r="F11502">
        <v>22.8</v>
      </c>
      <c r="G11502">
        <v>656.66</v>
      </c>
      <c r="H11502" t="s">
        <v>8587</v>
      </c>
      <c r="I11502">
        <v>110</v>
      </c>
      <c r="J11502" t="s">
        <v>462</v>
      </c>
      <c r="K11502" t="s">
        <v>446</v>
      </c>
      <c r="L11502" t="s">
        <v>13569</v>
      </c>
      <c r="M11502">
        <v>7108</v>
      </c>
      <c r="N11502" t="s">
        <v>17068</v>
      </c>
    </row>
    <row r="11503" spans="1:14">
      <c r="A11503">
        <v>70376260</v>
      </c>
      <c r="B11503">
        <v>4025966</v>
      </c>
      <c r="C11503" t="s">
        <v>13570</v>
      </c>
      <c r="D11503" t="s">
        <v>442</v>
      </c>
      <c r="E11503" t="s">
        <v>441</v>
      </c>
      <c r="F11503">
        <v>24.045000000000002</v>
      </c>
      <c r="G11503">
        <v>669.97</v>
      </c>
      <c r="H11503" t="s">
        <v>8587</v>
      </c>
      <c r="I11503">
        <v>110</v>
      </c>
      <c r="J11503" t="s">
        <v>462</v>
      </c>
      <c r="K11503" t="s">
        <v>446</v>
      </c>
      <c r="L11503" t="s">
        <v>13571</v>
      </c>
      <c r="M11503">
        <v>7108</v>
      </c>
      <c r="N11503" t="s">
        <v>17068</v>
      </c>
    </row>
    <row r="11504" spans="1:14">
      <c r="A11504">
        <v>70376270</v>
      </c>
      <c r="B11504">
        <v>4026030</v>
      </c>
      <c r="C11504" t="s">
        <v>14595</v>
      </c>
      <c r="D11504" t="s">
        <v>442</v>
      </c>
      <c r="E11504" t="s">
        <v>441</v>
      </c>
      <c r="F11504">
        <v>15.2</v>
      </c>
      <c r="G11504">
        <v>445.22</v>
      </c>
      <c r="H11504" t="s">
        <v>8587</v>
      </c>
      <c r="I11504">
        <v>110</v>
      </c>
      <c r="J11504" t="s">
        <v>462</v>
      </c>
      <c r="K11504" t="s">
        <v>446</v>
      </c>
      <c r="L11504" t="s">
        <v>13572</v>
      </c>
      <c r="M11504">
        <v>7108</v>
      </c>
      <c r="N11504" t="s">
        <v>17068</v>
      </c>
    </row>
    <row r="11505" spans="1:14">
      <c r="A11505">
        <v>70376280</v>
      </c>
      <c r="B11505">
        <v>4026170</v>
      </c>
      <c r="C11505" t="s">
        <v>13573</v>
      </c>
      <c r="D11505" t="s">
        <v>442</v>
      </c>
      <c r="E11505" t="s">
        <v>441</v>
      </c>
      <c r="F11505">
        <v>60.36</v>
      </c>
      <c r="G11505">
        <v>1581.93</v>
      </c>
      <c r="H11505" t="s">
        <v>8587</v>
      </c>
      <c r="I11505">
        <v>50</v>
      </c>
      <c r="J11505" t="s">
        <v>462</v>
      </c>
      <c r="K11505" t="s">
        <v>446</v>
      </c>
      <c r="L11505" t="s">
        <v>13574</v>
      </c>
      <c r="M11505">
        <v>7108</v>
      </c>
      <c r="N11505" t="s">
        <v>17068</v>
      </c>
    </row>
    <row r="11506" spans="1:14">
      <c r="A11506">
        <v>70376290</v>
      </c>
      <c r="B11506">
        <v>4026230</v>
      </c>
      <c r="C11506" t="s">
        <v>13575</v>
      </c>
      <c r="D11506" t="s">
        <v>442</v>
      </c>
      <c r="E11506" t="s">
        <v>441</v>
      </c>
      <c r="F11506">
        <v>32.5</v>
      </c>
      <c r="G11506">
        <v>879.92</v>
      </c>
      <c r="H11506" t="s">
        <v>8587</v>
      </c>
      <c r="I11506">
        <v>100</v>
      </c>
      <c r="J11506" t="s">
        <v>462</v>
      </c>
      <c r="L11506" t="s">
        <v>13576</v>
      </c>
      <c r="M11506">
        <v>7108</v>
      </c>
      <c r="N11506" t="s">
        <v>17068</v>
      </c>
    </row>
    <row r="11507" spans="1:14">
      <c r="A11507">
        <v>70377210</v>
      </c>
      <c r="B11507">
        <v>4026473</v>
      </c>
      <c r="C11507" t="s">
        <v>14596</v>
      </c>
      <c r="D11507" t="s">
        <v>442</v>
      </c>
      <c r="E11507" t="s">
        <v>441</v>
      </c>
      <c r="F11507">
        <v>24.33</v>
      </c>
      <c r="G11507">
        <v>686.82</v>
      </c>
      <c r="H11507" t="s">
        <v>8587</v>
      </c>
      <c r="I11507">
        <v>110</v>
      </c>
      <c r="J11507" t="s">
        <v>462</v>
      </c>
      <c r="K11507" t="s">
        <v>446</v>
      </c>
      <c r="L11507" t="s">
        <v>13577</v>
      </c>
      <c r="M11507">
        <v>7108</v>
      </c>
      <c r="N11507" t="s">
        <v>17068</v>
      </c>
    </row>
    <row r="11508" spans="1:14">
      <c r="A11508">
        <v>70377220</v>
      </c>
      <c r="B11508">
        <v>4026506</v>
      </c>
      <c r="C11508" t="s">
        <v>13578</v>
      </c>
      <c r="D11508" t="s">
        <v>442</v>
      </c>
      <c r="E11508" t="s">
        <v>441</v>
      </c>
      <c r="F11508">
        <v>24.3</v>
      </c>
      <c r="G11508">
        <v>657.08</v>
      </c>
      <c r="H11508" t="s">
        <v>8587</v>
      </c>
      <c r="I11508">
        <v>100</v>
      </c>
      <c r="J11508" t="s">
        <v>462</v>
      </c>
      <c r="L11508" t="s">
        <v>13579</v>
      </c>
      <c r="M11508">
        <v>7108</v>
      </c>
      <c r="N11508" t="s">
        <v>17068</v>
      </c>
    </row>
    <row r="11509" spans="1:14">
      <c r="A11509">
        <v>70377230</v>
      </c>
      <c r="B11509">
        <v>4026730</v>
      </c>
      <c r="C11509" t="s">
        <v>15349</v>
      </c>
      <c r="D11509" t="s">
        <v>442</v>
      </c>
      <c r="E11509" t="s">
        <v>441</v>
      </c>
      <c r="F11509">
        <v>25.7</v>
      </c>
      <c r="G11509">
        <v>789.37</v>
      </c>
      <c r="H11509" t="s">
        <v>8587</v>
      </c>
      <c r="I11509">
        <v>50</v>
      </c>
      <c r="J11509" t="s">
        <v>462</v>
      </c>
      <c r="K11509" t="s">
        <v>446</v>
      </c>
      <c r="L11509" t="s">
        <v>13580</v>
      </c>
      <c r="M11509">
        <v>7108</v>
      </c>
      <c r="N11509" t="s">
        <v>17068</v>
      </c>
    </row>
    <row r="11510" spans="1:14">
      <c r="A11510">
        <v>70377240</v>
      </c>
      <c r="B11510">
        <v>4026776</v>
      </c>
      <c r="C11510" t="s">
        <v>17656</v>
      </c>
      <c r="D11510" t="s">
        <v>442</v>
      </c>
      <c r="E11510" t="s">
        <v>441</v>
      </c>
      <c r="F11510">
        <v>17.100000000000001</v>
      </c>
      <c r="G11510">
        <v>583.54999999999995</v>
      </c>
      <c r="H11510" t="s">
        <v>8587</v>
      </c>
      <c r="I11510">
        <v>110</v>
      </c>
      <c r="J11510" t="s">
        <v>462</v>
      </c>
      <c r="L11510" t="s">
        <v>13581</v>
      </c>
      <c r="M11510">
        <v>7108</v>
      </c>
      <c r="N11510" t="s">
        <v>17068</v>
      </c>
    </row>
    <row r="11511" spans="1:14">
      <c r="A11511">
        <v>70377250</v>
      </c>
      <c r="B11511">
        <v>4027120</v>
      </c>
      <c r="C11511" t="s">
        <v>15350</v>
      </c>
      <c r="D11511" t="s">
        <v>442</v>
      </c>
      <c r="E11511" t="s">
        <v>441</v>
      </c>
      <c r="F11511">
        <v>38.950000000000003</v>
      </c>
      <c r="G11511">
        <v>1130.9100000000001</v>
      </c>
      <c r="H11511" t="s">
        <v>8587</v>
      </c>
      <c r="I11511">
        <v>81</v>
      </c>
      <c r="J11511" t="s">
        <v>462</v>
      </c>
      <c r="K11511" t="s">
        <v>446</v>
      </c>
      <c r="L11511" t="s">
        <v>13582</v>
      </c>
      <c r="M11511">
        <v>7314</v>
      </c>
      <c r="N11511" t="s">
        <v>17068</v>
      </c>
    </row>
    <row r="11512" spans="1:14">
      <c r="A11512">
        <v>70377260</v>
      </c>
      <c r="B11512">
        <v>4027328</v>
      </c>
      <c r="C11512" t="s">
        <v>13583</v>
      </c>
      <c r="D11512" t="s">
        <v>442</v>
      </c>
      <c r="E11512" t="s">
        <v>441</v>
      </c>
      <c r="F11512">
        <v>19.5</v>
      </c>
      <c r="G11512">
        <v>571.41999999999996</v>
      </c>
      <c r="H11512" t="s">
        <v>8587</v>
      </c>
      <c r="I11512">
        <v>100</v>
      </c>
      <c r="J11512" t="s">
        <v>462</v>
      </c>
      <c r="L11512" t="s">
        <v>13584</v>
      </c>
      <c r="M11512">
        <v>7314</v>
      </c>
      <c r="N11512" t="s">
        <v>17068</v>
      </c>
    </row>
    <row r="11513" spans="1:14">
      <c r="A11513">
        <v>70377270</v>
      </c>
      <c r="B11513">
        <v>4027426</v>
      </c>
      <c r="C11513" t="s">
        <v>17657</v>
      </c>
      <c r="D11513" t="s">
        <v>442</v>
      </c>
      <c r="E11513" t="s">
        <v>441</v>
      </c>
      <c r="F11513">
        <v>24.62</v>
      </c>
      <c r="G11513">
        <v>805.19</v>
      </c>
      <c r="H11513" t="s">
        <v>8587</v>
      </c>
      <c r="I11513">
        <v>110</v>
      </c>
      <c r="J11513" t="s">
        <v>462</v>
      </c>
      <c r="K11513" t="s">
        <v>446</v>
      </c>
      <c r="L11513" t="s">
        <v>13585</v>
      </c>
      <c r="M11513">
        <v>7108</v>
      </c>
      <c r="N11513" t="s">
        <v>17068</v>
      </c>
    </row>
    <row r="11514" spans="1:14">
      <c r="A11514">
        <v>70377280</v>
      </c>
      <c r="B11514">
        <v>4027398</v>
      </c>
      <c r="C11514" t="s">
        <v>13586</v>
      </c>
      <c r="D11514" t="s">
        <v>442</v>
      </c>
      <c r="E11514" t="s">
        <v>441</v>
      </c>
      <c r="F11514">
        <v>30.25</v>
      </c>
      <c r="G11514">
        <v>834.6</v>
      </c>
      <c r="H11514" t="s">
        <v>8587</v>
      </c>
      <c r="I11514">
        <v>100</v>
      </c>
      <c r="J11514" t="s">
        <v>462</v>
      </c>
      <c r="L11514" t="s">
        <v>13587</v>
      </c>
      <c r="M11514">
        <v>7108</v>
      </c>
      <c r="N11514" t="s">
        <v>17068</v>
      </c>
    </row>
    <row r="11515" spans="1:14">
      <c r="A11515">
        <v>70377290</v>
      </c>
      <c r="B11515">
        <v>4027835</v>
      </c>
      <c r="C11515" t="s">
        <v>13588</v>
      </c>
      <c r="D11515" t="s">
        <v>442</v>
      </c>
      <c r="E11515" t="s">
        <v>441</v>
      </c>
      <c r="F11515">
        <v>24.62</v>
      </c>
      <c r="G11515">
        <v>642.77</v>
      </c>
      <c r="H11515" t="s">
        <v>8587</v>
      </c>
      <c r="I11515">
        <v>110</v>
      </c>
      <c r="J11515" t="s">
        <v>462</v>
      </c>
      <c r="L11515" t="s">
        <v>13589</v>
      </c>
      <c r="M11515">
        <v>7108</v>
      </c>
      <c r="N11515" t="s">
        <v>17068</v>
      </c>
    </row>
    <row r="11516" spans="1:14">
      <c r="A11516">
        <v>70378210</v>
      </c>
      <c r="B11516">
        <v>4028343</v>
      </c>
      <c r="C11516" t="s">
        <v>13590</v>
      </c>
      <c r="D11516" t="s">
        <v>442</v>
      </c>
      <c r="E11516" t="s">
        <v>441</v>
      </c>
      <c r="F11516">
        <v>24.33</v>
      </c>
      <c r="G11516">
        <v>728.05</v>
      </c>
      <c r="H11516" t="s">
        <v>8587</v>
      </c>
      <c r="I11516">
        <v>110</v>
      </c>
      <c r="J11516" t="s">
        <v>462</v>
      </c>
      <c r="L11516" t="s">
        <v>13591</v>
      </c>
      <c r="M11516">
        <v>7108</v>
      </c>
      <c r="N11516" t="s">
        <v>17068</v>
      </c>
    </row>
    <row r="11517" spans="1:14">
      <c r="A11517">
        <v>70378220</v>
      </c>
      <c r="B11517">
        <v>4028441</v>
      </c>
      <c r="C11517" t="s">
        <v>13592</v>
      </c>
      <c r="D11517" t="s">
        <v>442</v>
      </c>
      <c r="E11517" t="s">
        <v>441</v>
      </c>
      <c r="F11517">
        <v>24.33</v>
      </c>
      <c r="G11517">
        <v>726.6</v>
      </c>
      <c r="H11517" t="s">
        <v>8587</v>
      </c>
      <c r="I11517">
        <v>110</v>
      </c>
      <c r="J11517" t="s">
        <v>462</v>
      </c>
      <c r="L11517" t="s">
        <v>13591</v>
      </c>
      <c r="M11517">
        <v>7108</v>
      </c>
      <c r="N11517" t="s">
        <v>17068</v>
      </c>
    </row>
    <row r="11518" spans="1:14">
      <c r="A11518">
        <v>70378230</v>
      </c>
      <c r="B11518">
        <v>4028733</v>
      </c>
      <c r="C11518" t="s">
        <v>13593</v>
      </c>
      <c r="D11518" t="s">
        <v>442</v>
      </c>
      <c r="E11518" t="s">
        <v>441</v>
      </c>
      <c r="F11518">
        <v>23.26</v>
      </c>
      <c r="G11518">
        <v>703.12</v>
      </c>
      <c r="H11518" t="s">
        <v>8587</v>
      </c>
      <c r="I11518">
        <v>110</v>
      </c>
      <c r="J11518" t="s">
        <v>462</v>
      </c>
      <c r="L11518" t="s">
        <v>13594</v>
      </c>
      <c r="M11518">
        <v>7108</v>
      </c>
      <c r="N11518" t="s">
        <v>17068</v>
      </c>
    </row>
    <row r="11519" spans="1:14">
      <c r="A11519">
        <v>70378240</v>
      </c>
      <c r="B11519">
        <v>4028962</v>
      </c>
      <c r="C11519" t="s">
        <v>14597</v>
      </c>
      <c r="D11519" t="s">
        <v>442</v>
      </c>
      <c r="E11519" t="s">
        <v>441</v>
      </c>
      <c r="F11519">
        <v>24.3</v>
      </c>
      <c r="G11519">
        <v>883.1</v>
      </c>
      <c r="H11519" t="s">
        <v>8587</v>
      </c>
      <c r="I11519">
        <v>100</v>
      </c>
      <c r="J11519" t="s">
        <v>462</v>
      </c>
      <c r="L11519" t="s">
        <v>13579</v>
      </c>
      <c r="M11519">
        <v>7329</v>
      </c>
      <c r="N11519" t="s">
        <v>17068</v>
      </c>
    </row>
    <row r="11520" spans="1:14">
      <c r="A11520">
        <v>70378250</v>
      </c>
      <c r="B11520">
        <v>4028956</v>
      </c>
      <c r="C11520" t="s">
        <v>14598</v>
      </c>
      <c r="D11520" t="s">
        <v>442</v>
      </c>
      <c r="E11520" t="s">
        <v>441</v>
      </c>
      <c r="F11520">
        <v>17.100000000000001</v>
      </c>
      <c r="G11520">
        <v>583.85</v>
      </c>
      <c r="H11520" t="s">
        <v>8587</v>
      </c>
      <c r="I11520">
        <v>110</v>
      </c>
      <c r="J11520" t="s">
        <v>462</v>
      </c>
      <c r="L11520" t="s">
        <v>13581</v>
      </c>
      <c r="M11520">
        <v>7329</v>
      </c>
      <c r="N11520" t="s">
        <v>17068</v>
      </c>
    </row>
    <row r="11521" spans="1:14">
      <c r="A11521">
        <v>70378260</v>
      </c>
      <c r="B11521">
        <v>4029126</v>
      </c>
      <c r="C11521" t="s">
        <v>14599</v>
      </c>
      <c r="D11521" t="s">
        <v>442</v>
      </c>
      <c r="E11521" t="s">
        <v>441</v>
      </c>
      <c r="F11521">
        <v>19.5</v>
      </c>
      <c r="G11521">
        <v>693.47</v>
      </c>
      <c r="H11521" t="s">
        <v>8587</v>
      </c>
      <c r="I11521">
        <v>100</v>
      </c>
      <c r="J11521" t="s">
        <v>462</v>
      </c>
      <c r="L11521" t="s">
        <v>13584</v>
      </c>
      <c r="M11521">
        <v>7108</v>
      </c>
      <c r="N11521" t="s">
        <v>17068</v>
      </c>
    </row>
    <row r="11522" spans="1:14">
      <c r="A11522">
        <v>70378270</v>
      </c>
      <c r="B11522">
        <v>4029133</v>
      </c>
      <c r="C11522" t="s">
        <v>14600</v>
      </c>
      <c r="D11522" t="s">
        <v>442</v>
      </c>
      <c r="E11522" t="s">
        <v>441</v>
      </c>
      <c r="F11522">
        <v>23.26</v>
      </c>
      <c r="G11522">
        <v>771.11</v>
      </c>
      <c r="H11522" t="s">
        <v>8587</v>
      </c>
      <c r="I11522">
        <v>110</v>
      </c>
      <c r="J11522" t="s">
        <v>462</v>
      </c>
      <c r="L11522" t="s">
        <v>13594</v>
      </c>
      <c r="M11522">
        <v>7329</v>
      </c>
      <c r="N11522" t="s">
        <v>17068</v>
      </c>
    </row>
    <row r="11523" spans="1:14">
      <c r="A11523">
        <v>70378280</v>
      </c>
      <c r="B11523">
        <v>4029195</v>
      </c>
      <c r="C11523" t="s">
        <v>14601</v>
      </c>
      <c r="D11523" t="s">
        <v>442</v>
      </c>
      <c r="E11523" t="s">
        <v>441</v>
      </c>
      <c r="F11523">
        <v>60.48</v>
      </c>
      <c r="G11523">
        <v>1835.53</v>
      </c>
      <c r="H11523" t="s">
        <v>8587</v>
      </c>
      <c r="I11523">
        <v>81</v>
      </c>
      <c r="J11523" t="s">
        <v>462</v>
      </c>
      <c r="L11523" t="s">
        <v>14602</v>
      </c>
      <c r="M11523">
        <v>7329</v>
      </c>
      <c r="N11523" t="s">
        <v>17068</v>
      </c>
    </row>
    <row r="11524" spans="1:14">
      <c r="A11524">
        <v>70378290</v>
      </c>
      <c r="B11524">
        <v>4029434</v>
      </c>
      <c r="C11524" t="s">
        <v>15211</v>
      </c>
      <c r="D11524" t="s">
        <v>442</v>
      </c>
      <c r="E11524" t="s">
        <v>441</v>
      </c>
      <c r="F11524">
        <v>27.2</v>
      </c>
      <c r="G11524">
        <v>966.9</v>
      </c>
      <c r="H11524" t="s">
        <v>8587</v>
      </c>
      <c r="I11524">
        <v>81</v>
      </c>
      <c r="J11524" t="s">
        <v>462</v>
      </c>
      <c r="L11524" t="s">
        <v>13568</v>
      </c>
      <c r="M11524">
        <v>7329</v>
      </c>
      <c r="N11524" t="s">
        <v>17068</v>
      </c>
    </row>
    <row r="11525" spans="1:14">
      <c r="A11525">
        <v>70378310</v>
      </c>
      <c r="B11525">
        <v>4029528</v>
      </c>
      <c r="C11525" t="s">
        <v>15291</v>
      </c>
      <c r="D11525" t="s">
        <v>442</v>
      </c>
      <c r="E11525" t="s">
        <v>441</v>
      </c>
      <c r="F11525">
        <v>24.36</v>
      </c>
      <c r="G11525">
        <v>771.08</v>
      </c>
      <c r="H11525" t="s">
        <v>8587</v>
      </c>
      <c r="I11525">
        <v>70</v>
      </c>
      <c r="J11525" t="s">
        <v>462</v>
      </c>
      <c r="L11525" t="s">
        <v>15292</v>
      </c>
      <c r="M11525">
        <v>7329</v>
      </c>
      <c r="N11525" t="s">
        <v>17068</v>
      </c>
    </row>
    <row r="11526" spans="1:14">
      <c r="A11526">
        <v>70378320</v>
      </c>
      <c r="B11526">
        <v>4029552</v>
      </c>
      <c r="C11526" t="s">
        <v>15351</v>
      </c>
      <c r="D11526" t="s">
        <v>442</v>
      </c>
      <c r="E11526" t="s">
        <v>441</v>
      </c>
      <c r="F11526">
        <v>26.45</v>
      </c>
      <c r="G11526">
        <v>866.52</v>
      </c>
      <c r="H11526" t="s">
        <v>8587</v>
      </c>
      <c r="I11526">
        <v>60</v>
      </c>
      <c r="J11526" t="s">
        <v>462</v>
      </c>
      <c r="L11526" t="s">
        <v>15392</v>
      </c>
      <c r="M11526">
        <v>7329</v>
      </c>
      <c r="N11526" t="s">
        <v>17068</v>
      </c>
    </row>
    <row r="11527" spans="1:14">
      <c r="A11527">
        <v>70378330</v>
      </c>
      <c r="B11527">
        <v>4029651</v>
      </c>
      <c r="C11527" t="s">
        <v>15444</v>
      </c>
      <c r="D11527" t="s">
        <v>442</v>
      </c>
      <c r="E11527" t="s">
        <v>441</v>
      </c>
      <c r="F11527">
        <v>16.8</v>
      </c>
      <c r="G11527">
        <v>704.52</v>
      </c>
      <c r="H11527" t="s">
        <v>8587</v>
      </c>
      <c r="I11527">
        <v>100</v>
      </c>
      <c r="J11527" t="s">
        <v>462</v>
      </c>
      <c r="L11527" t="s">
        <v>15445</v>
      </c>
      <c r="M11527">
        <v>7329</v>
      </c>
      <c r="N11527" t="s">
        <v>17068</v>
      </c>
    </row>
    <row r="11528" spans="1:14">
      <c r="A11528">
        <v>70378340</v>
      </c>
      <c r="B11528">
        <v>4029718</v>
      </c>
      <c r="C11528" t="s">
        <v>15539</v>
      </c>
      <c r="D11528" t="s">
        <v>442</v>
      </c>
      <c r="E11528" t="s">
        <v>441</v>
      </c>
      <c r="F11528">
        <v>30.78</v>
      </c>
      <c r="G11528">
        <v>1098.1099999999999</v>
      </c>
      <c r="H11528" t="s">
        <v>8587</v>
      </c>
      <c r="I11528">
        <v>60</v>
      </c>
      <c r="J11528" t="s">
        <v>462</v>
      </c>
      <c r="L11528" t="s">
        <v>15540</v>
      </c>
      <c r="M11528">
        <v>7329</v>
      </c>
      <c r="N11528" t="s">
        <v>17068</v>
      </c>
    </row>
    <row r="11529" spans="1:14">
      <c r="A11529">
        <v>70378350</v>
      </c>
      <c r="B11529">
        <v>4030057</v>
      </c>
      <c r="C11529" t="s">
        <v>15680</v>
      </c>
      <c r="D11529" t="s">
        <v>442</v>
      </c>
      <c r="E11529" t="s">
        <v>441</v>
      </c>
      <c r="F11529">
        <v>32.5</v>
      </c>
      <c r="G11529">
        <v>1168.04</v>
      </c>
      <c r="H11529" t="s">
        <v>8587</v>
      </c>
      <c r="I11529">
        <v>100</v>
      </c>
      <c r="J11529" t="s">
        <v>462</v>
      </c>
      <c r="L11529" t="s">
        <v>15681</v>
      </c>
      <c r="M11529">
        <v>7329</v>
      </c>
      <c r="N11529" t="s">
        <v>17068</v>
      </c>
    </row>
    <row r="11530" spans="1:14">
      <c r="A11530">
        <v>70378360</v>
      </c>
      <c r="B11530">
        <v>4030088</v>
      </c>
      <c r="C11530" t="s">
        <v>17658</v>
      </c>
      <c r="D11530" t="s">
        <v>442</v>
      </c>
      <c r="E11530" t="s">
        <v>441</v>
      </c>
      <c r="F11530">
        <v>21.38</v>
      </c>
      <c r="G11530">
        <v>872.45</v>
      </c>
      <c r="H11530" t="s">
        <v>8587</v>
      </c>
      <c r="I11530">
        <v>70</v>
      </c>
      <c r="J11530" t="s">
        <v>462</v>
      </c>
      <c r="L11530" t="s">
        <v>15954</v>
      </c>
      <c r="M11530">
        <v>7329</v>
      </c>
      <c r="N11530" t="s">
        <v>17068</v>
      </c>
    </row>
    <row r="11531" spans="1:14">
      <c r="A11531">
        <v>70378370</v>
      </c>
      <c r="B11531">
        <v>4030087</v>
      </c>
      <c r="C11531" t="s">
        <v>15955</v>
      </c>
      <c r="D11531" t="s">
        <v>442</v>
      </c>
      <c r="E11531" t="s">
        <v>441</v>
      </c>
      <c r="F11531">
        <v>27.79</v>
      </c>
      <c r="G11531">
        <v>1022.58</v>
      </c>
      <c r="H11531" t="s">
        <v>8587</v>
      </c>
      <c r="I11531">
        <v>70</v>
      </c>
      <c r="J11531" t="s">
        <v>462</v>
      </c>
      <c r="L11531" t="s">
        <v>15956</v>
      </c>
      <c r="M11531">
        <v>7329</v>
      </c>
      <c r="N11531" t="s">
        <v>17068</v>
      </c>
    </row>
    <row r="11532" spans="1:14">
      <c r="A11532">
        <v>70378380</v>
      </c>
      <c r="B11532">
        <v>4030190</v>
      </c>
      <c r="C11532" t="s">
        <v>17069</v>
      </c>
      <c r="D11532" t="s">
        <v>442</v>
      </c>
      <c r="E11532" t="s">
        <v>441</v>
      </c>
      <c r="F11532">
        <v>22.48</v>
      </c>
      <c r="G11532">
        <v>826.69</v>
      </c>
      <c r="H11532" t="s">
        <v>8587</v>
      </c>
      <c r="I11532">
        <v>70</v>
      </c>
      <c r="J11532" t="s">
        <v>462</v>
      </c>
      <c r="L11532" t="s">
        <v>17070</v>
      </c>
      <c r="M11532">
        <v>7329</v>
      </c>
      <c r="N11532" t="s">
        <v>17068</v>
      </c>
    </row>
    <row r="11533" spans="1:14">
      <c r="A11533">
        <v>70378390</v>
      </c>
      <c r="B11533">
        <v>4030375</v>
      </c>
      <c r="C11533" t="s">
        <v>17659</v>
      </c>
      <c r="D11533" t="s">
        <v>442</v>
      </c>
      <c r="E11533" t="s">
        <v>441</v>
      </c>
      <c r="F11533">
        <v>34.5</v>
      </c>
      <c r="G11533">
        <v>1227.45</v>
      </c>
      <c r="H11533" t="s">
        <v>8587</v>
      </c>
      <c r="I11533">
        <v>70</v>
      </c>
      <c r="J11533" t="s">
        <v>462</v>
      </c>
      <c r="L11533" t="s">
        <v>17660</v>
      </c>
      <c r="M11533">
        <v>7329</v>
      </c>
      <c r="N11533" t="s">
        <v>17068</v>
      </c>
    </row>
    <row r="11534" spans="1:14">
      <c r="A11534">
        <v>70378410</v>
      </c>
      <c r="B11534">
        <v>4030376</v>
      </c>
      <c r="C11534" t="s">
        <v>17661</v>
      </c>
      <c r="D11534" t="s">
        <v>442</v>
      </c>
      <c r="E11534" t="s">
        <v>441</v>
      </c>
      <c r="F11534">
        <v>20.170000000000002</v>
      </c>
      <c r="G11534">
        <v>781.24</v>
      </c>
      <c r="H11534" t="s">
        <v>8587</v>
      </c>
      <c r="I11534">
        <v>70</v>
      </c>
      <c r="J11534" t="s">
        <v>462</v>
      </c>
      <c r="L11534" t="s">
        <v>17662</v>
      </c>
      <c r="M11534">
        <v>7329</v>
      </c>
      <c r="N11534" t="s">
        <v>17068</v>
      </c>
    </row>
    <row r="11535" spans="1:14">
      <c r="A11535">
        <v>70378420</v>
      </c>
      <c r="B11535">
        <v>4030426</v>
      </c>
      <c r="C11535" t="s">
        <v>17663</v>
      </c>
      <c r="D11535" t="s">
        <v>442</v>
      </c>
      <c r="E11535" t="s">
        <v>441</v>
      </c>
      <c r="F11535">
        <v>24.49</v>
      </c>
      <c r="G11535">
        <v>869.82</v>
      </c>
      <c r="H11535" t="s">
        <v>8587</v>
      </c>
      <c r="I11535">
        <v>70</v>
      </c>
      <c r="J11535" t="s">
        <v>462</v>
      </c>
      <c r="L11535" t="s">
        <v>17664</v>
      </c>
      <c r="M11535">
        <v>7329</v>
      </c>
      <c r="N11535" t="s">
        <v>17068</v>
      </c>
    </row>
    <row r="11536" spans="1:14">
      <c r="A11536">
        <v>70378430</v>
      </c>
      <c r="B11536">
        <v>4030507</v>
      </c>
      <c r="C11536" t="s">
        <v>17665</v>
      </c>
      <c r="D11536" t="s">
        <v>442</v>
      </c>
      <c r="E11536" t="s">
        <v>441</v>
      </c>
      <c r="F11536">
        <v>19.399999999999999</v>
      </c>
      <c r="G11536">
        <v>677.85</v>
      </c>
      <c r="H11536" t="s">
        <v>8587</v>
      </c>
      <c r="I11536">
        <v>70</v>
      </c>
      <c r="J11536" t="s">
        <v>462</v>
      </c>
      <c r="L11536" t="s">
        <v>17666</v>
      </c>
      <c r="M11536">
        <v>7329</v>
      </c>
      <c r="N11536" t="s">
        <v>17068</v>
      </c>
    </row>
    <row r="11537" spans="1:14">
      <c r="A11537">
        <v>70378440</v>
      </c>
      <c r="B11537">
        <v>4030532</v>
      </c>
      <c r="C11537" t="s">
        <v>17667</v>
      </c>
      <c r="D11537" t="s">
        <v>442</v>
      </c>
      <c r="E11537" t="s">
        <v>441</v>
      </c>
      <c r="F11537">
        <v>14.8</v>
      </c>
      <c r="G11537">
        <v>588.16</v>
      </c>
      <c r="H11537" t="s">
        <v>8587</v>
      </c>
      <c r="I11537">
        <v>70</v>
      </c>
      <c r="J11537" t="s">
        <v>462</v>
      </c>
      <c r="L11537" t="s">
        <v>17668</v>
      </c>
      <c r="M11537">
        <v>7329</v>
      </c>
      <c r="N11537" t="s">
        <v>17068</v>
      </c>
    </row>
    <row r="11538" spans="1:14">
      <c r="A11538">
        <v>70378450</v>
      </c>
      <c r="B11538">
        <v>4030627</v>
      </c>
      <c r="C11538" t="s">
        <v>17669</v>
      </c>
      <c r="D11538" t="s">
        <v>442</v>
      </c>
      <c r="E11538" t="s">
        <v>441</v>
      </c>
      <c r="F11538">
        <v>17.100000000000001</v>
      </c>
      <c r="G11538">
        <v>633.23</v>
      </c>
      <c r="H11538" t="s">
        <v>8587</v>
      </c>
      <c r="I11538">
        <v>110</v>
      </c>
      <c r="J11538" t="s">
        <v>462</v>
      </c>
      <c r="L11538" t="s">
        <v>17670</v>
      </c>
      <c r="M11538">
        <v>7329</v>
      </c>
      <c r="N11538" t="s">
        <v>17068</v>
      </c>
    </row>
    <row r="11539" spans="1:14">
      <c r="A11539">
        <v>70378460</v>
      </c>
      <c r="B11539">
        <v>4030717</v>
      </c>
      <c r="C11539" t="s">
        <v>17671</v>
      </c>
      <c r="D11539" t="s">
        <v>442</v>
      </c>
      <c r="E11539" t="s">
        <v>441</v>
      </c>
      <c r="F11539">
        <v>33.33</v>
      </c>
      <c r="G11539">
        <v>1030.1300000000001</v>
      </c>
      <c r="H11539" t="s">
        <v>8587</v>
      </c>
      <c r="I11539">
        <v>70</v>
      </c>
      <c r="J11539" t="s">
        <v>462</v>
      </c>
      <c r="L11539" t="s">
        <v>17672</v>
      </c>
      <c r="M11539">
        <v>7329</v>
      </c>
      <c r="N11539" t="s">
        <v>17068</v>
      </c>
    </row>
    <row r="11540" spans="1:14">
      <c r="A11540">
        <v>70380000</v>
      </c>
      <c r="B11540">
        <v>3033383</v>
      </c>
      <c r="C11540" t="s">
        <v>5339</v>
      </c>
      <c r="D11540" t="s">
        <v>441</v>
      </c>
      <c r="F11540">
        <v>0</v>
      </c>
      <c r="G11540">
        <v>13.38</v>
      </c>
      <c r="H11540" t="s">
        <v>12573</v>
      </c>
      <c r="I11540">
        <v>4</v>
      </c>
      <c r="J11540" t="s">
        <v>445</v>
      </c>
      <c r="M11540">
        <v>3349</v>
      </c>
      <c r="N11540" t="s">
        <v>17071</v>
      </c>
    </row>
    <row r="11541" spans="1:14">
      <c r="A11541">
        <v>70380008</v>
      </c>
      <c r="B11541">
        <v>3033357</v>
      </c>
      <c r="C11541" t="s">
        <v>5340</v>
      </c>
      <c r="D11541" t="s">
        <v>441</v>
      </c>
      <c r="F11541">
        <v>0</v>
      </c>
      <c r="G11541">
        <v>11.39</v>
      </c>
      <c r="H11541" t="s">
        <v>12664</v>
      </c>
      <c r="I11541">
        <v>2</v>
      </c>
      <c r="J11541" t="s">
        <v>445</v>
      </c>
      <c r="M11541">
        <v>6666</v>
      </c>
      <c r="N11541" t="s">
        <v>17072</v>
      </c>
    </row>
    <row r="11542" spans="1:14">
      <c r="A11542">
        <v>70384210</v>
      </c>
      <c r="B11542">
        <v>4022902</v>
      </c>
      <c r="C11542" t="s">
        <v>13595</v>
      </c>
      <c r="D11542" t="s">
        <v>442</v>
      </c>
      <c r="E11542" t="s">
        <v>441</v>
      </c>
      <c r="F11542">
        <v>0.3</v>
      </c>
      <c r="G11542">
        <v>5.43</v>
      </c>
      <c r="H11542" t="s">
        <v>8587</v>
      </c>
      <c r="I11542">
        <v>22</v>
      </c>
      <c r="J11542" t="s">
        <v>462</v>
      </c>
      <c r="K11542" t="s">
        <v>446</v>
      </c>
      <c r="L11542" t="s">
        <v>13596</v>
      </c>
      <c r="M11542">
        <v>7108</v>
      </c>
      <c r="N11542" t="s">
        <v>17073</v>
      </c>
    </row>
    <row r="11543" spans="1:14">
      <c r="A11543">
        <v>70384211</v>
      </c>
      <c r="B11543">
        <v>3033384</v>
      </c>
      <c r="C11543" t="s">
        <v>5341</v>
      </c>
      <c r="D11543" t="s">
        <v>442</v>
      </c>
      <c r="E11543" t="s">
        <v>441</v>
      </c>
      <c r="F11543">
        <v>0.3</v>
      </c>
      <c r="G11543">
        <v>3.36</v>
      </c>
      <c r="H11543" t="s">
        <v>8587</v>
      </c>
      <c r="I11543">
        <v>22</v>
      </c>
      <c r="J11543" t="s">
        <v>445</v>
      </c>
      <c r="M11543">
        <v>3741</v>
      </c>
      <c r="N11543" t="s">
        <v>17073</v>
      </c>
    </row>
    <row r="11544" spans="1:14">
      <c r="A11544">
        <v>70384220</v>
      </c>
      <c r="B11544">
        <v>4023362</v>
      </c>
      <c r="C11544" t="s">
        <v>14603</v>
      </c>
      <c r="D11544" t="s">
        <v>441</v>
      </c>
      <c r="F11544">
        <v>0</v>
      </c>
      <c r="G11544">
        <v>15.07</v>
      </c>
      <c r="H11544" t="s">
        <v>8587</v>
      </c>
      <c r="I11544">
        <v>22</v>
      </c>
      <c r="J11544" t="s">
        <v>462</v>
      </c>
      <c r="M11544">
        <v>7108</v>
      </c>
      <c r="N11544" t="s">
        <v>17073</v>
      </c>
    </row>
    <row r="11545" spans="1:14">
      <c r="A11545">
        <v>70384230</v>
      </c>
      <c r="B11545">
        <v>4026415</v>
      </c>
      <c r="C11545" t="s">
        <v>14604</v>
      </c>
      <c r="D11545" t="s">
        <v>442</v>
      </c>
      <c r="E11545" t="s">
        <v>441</v>
      </c>
      <c r="F11545">
        <v>0.3</v>
      </c>
      <c r="G11545">
        <v>5.49</v>
      </c>
      <c r="H11545" t="s">
        <v>8587</v>
      </c>
      <c r="I11545">
        <v>22</v>
      </c>
      <c r="J11545" t="s">
        <v>462</v>
      </c>
      <c r="K11545" t="s">
        <v>446</v>
      </c>
      <c r="L11545" t="s">
        <v>13597</v>
      </c>
      <c r="M11545">
        <v>7108</v>
      </c>
      <c r="N11545" t="s">
        <v>17073</v>
      </c>
    </row>
    <row r="11546" spans="1:14">
      <c r="A11546">
        <v>70384241</v>
      </c>
      <c r="B11546">
        <v>3040481</v>
      </c>
      <c r="C11546" t="s">
        <v>5342</v>
      </c>
      <c r="D11546" t="s">
        <v>442</v>
      </c>
      <c r="E11546" t="s">
        <v>441</v>
      </c>
      <c r="F11546">
        <v>0.25</v>
      </c>
      <c r="G11546">
        <v>2.84</v>
      </c>
      <c r="H11546" t="s">
        <v>8587</v>
      </c>
      <c r="I11546">
        <v>22</v>
      </c>
      <c r="J11546" t="s">
        <v>445</v>
      </c>
      <c r="M11546">
        <v>3741</v>
      </c>
      <c r="N11546" t="s">
        <v>17073</v>
      </c>
    </row>
    <row r="11547" spans="1:14">
      <c r="A11547">
        <v>70389000</v>
      </c>
      <c r="B11547">
        <v>3039148</v>
      </c>
      <c r="C11547" t="s">
        <v>17074</v>
      </c>
      <c r="D11547" t="s">
        <v>441</v>
      </c>
      <c r="F11547">
        <v>0</v>
      </c>
      <c r="G11547">
        <v>11.8</v>
      </c>
      <c r="H11547" t="s">
        <v>12573</v>
      </c>
      <c r="I11547">
        <v>4</v>
      </c>
      <c r="J11547" t="s">
        <v>445</v>
      </c>
      <c r="K11547" t="s">
        <v>446</v>
      </c>
      <c r="M11547">
        <v>3350</v>
      </c>
      <c r="N11547" t="s">
        <v>16583</v>
      </c>
    </row>
    <row r="11548" spans="1:14">
      <c r="A11548">
        <v>70394210</v>
      </c>
      <c r="B11548">
        <v>4022266</v>
      </c>
      <c r="C11548" t="s">
        <v>5343</v>
      </c>
      <c r="D11548" t="s">
        <v>442</v>
      </c>
      <c r="E11548" t="s">
        <v>441</v>
      </c>
      <c r="F11548">
        <v>0.3</v>
      </c>
      <c r="G11548">
        <v>4.2</v>
      </c>
      <c r="H11548" t="s">
        <v>8587</v>
      </c>
      <c r="I11548">
        <v>22</v>
      </c>
      <c r="J11548" t="s">
        <v>462</v>
      </c>
      <c r="K11548" t="s">
        <v>446</v>
      </c>
      <c r="L11548" t="s">
        <v>13598</v>
      </c>
      <c r="M11548">
        <v>7108</v>
      </c>
      <c r="N11548" t="s">
        <v>16850</v>
      </c>
    </row>
    <row r="11549" spans="1:14">
      <c r="A11549">
        <v>70394220</v>
      </c>
      <c r="B11549">
        <v>4026284</v>
      </c>
      <c r="C11549" t="s">
        <v>5344</v>
      </c>
      <c r="D11549" t="s">
        <v>442</v>
      </c>
      <c r="E11549" t="s">
        <v>441</v>
      </c>
      <c r="F11549">
        <v>0.3</v>
      </c>
      <c r="G11549">
        <v>4.25</v>
      </c>
      <c r="H11549" t="s">
        <v>8587</v>
      </c>
      <c r="I11549">
        <v>22</v>
      </c>
      <c r="J11549" t="s">
        <v>462</v>
      </c>
      <c r="K11549" t="s">
        <v>446</v>
      </c>
      <c r="L11549" t="s">
        <v>13599</v>
      </c>
      <c r="M11549">
        <v>7108</v>
      </c>
      <c r="N11549" t="s">
        <v>16850</v>
      </c>
    </row>
    <row r="11550" spans="1:14">
      <c r="A11550">
        <v>70394230</v>
      </c>
      <c r="B11550">
        <v>4026911</v>
      </c>
      <c r="C11550" t="s">
        <v>5345</v>
      </c>
      <c r="D11550" t="s">
        <v>442</v>
      </c>
      <c r="E11550" t="s">
        <v>441</v>
      </c>
      <c r="F11550">
        <v>0.25</v>
      </c>
      <c r="G11550">
        <v>5.09</v>
      </c>
      <c r="H11550" t="s">
        <v>8587</v>
      </c>
      <c r="I11550">
        <v>22</v>
      </c>
      <c r="J11550" t="s">
        <v>462</v>
      </c>
      <c r="K11550" t="s">
        <v>446</v>
      </c>
      <c r="L11550" t="s">
        <v>13600</v>
      </c>
      <c r="M11550">
        <v>7108</v>
      </c>
      <c r="N11550" t="s">
        <v>16850</v>
      </c>
    </row>
    <row r="11551" spans="1:14">
      <c r="A11551">
        <v>70400000</v>
      </c>
      <c r="B11551">
        <v>3037365</v>
      </c>
      <c r="C11551" t="s">
        <v>59</v>
      </c>
      <c r="D11551" t="s">
        <v>441</v>
      </c>
      <c r="F11551">
        <v>0</v>
      </c>
      <c r="G11551">
        <v>16.55</v>
      </c>
      <c r="H11551" t="s">
        <v>12573</v>
      </c>
      <c r="I11551">
        <v>3</v>
      </c>
      <c r="J11551" t="s">
        <v>445</v>
      </c>
      <c r="M11551">
        <v>3349</v>
      </c>
      <c r="N11551" t="s">
        <v>17053</v>
      </c>
    </row>
    <row r="11552" spans="1:14">
      <c r="A11552">
        <v>70400008</v>
      </c>
      <c r="B11552">
        <v>3037364</v>
      </c>
      <c r="C11552" t="s">
        <v>5346</v>
      </c>
      <c r="D11552" t="s">
        <v>441</v>
      </c>
      <c r="F11552">
        <v>0</v>
      </c>
      <c r="G11552">
        <v>12.29</v>
      </c>
      <c r="H11552" t="s">
        <v>12664</v>
      </c>
      <c r="I11552">
        <v>5</v>
      </c>
      <c r="J11552" t="s">
        <v>445</v>
      </c>
      <c r="M11552">
        <v>6666</v>
      </c>
      <c r="N11552" t="s">
        <v>17054</v>
      </c>
    </row>
    <row r="11553" spans="1:14">
      <c r="A11553">
        <v>70400009</v>
      </c>
      <c r="B11553">
        <v>3037326</v>
      </c>
      <c r="C11553" t="s">
        <v>5347</v>
      </c>
      <c r="D11553" t="s">
        <v>441</v>
      </c>
      <c r="F11553">
        <v>0</v>
      </c>
      <c r="G11553">
        <v>17.97</v>
      </c>
      <c r="H11553" t="s">
        <v>12573</v>
      </c>
      <c r="I11553">
        <v>6</v>
      </c>
      <c r="J11553" t="s">
        <v>445</v>
      </c>
      <c r="M11553">
        <v>3349</v>
      </c>
      <c r="N11553" t="s">
        <v>17055</v>
      </c>
    </row>
    <row r="11554" spans="1:14">
      <c r="A11554">
        <v>70404211</v>
      </c>
      <c r="B11554">
        <v>3037366</v>
      </c>
      <c r="C11554" t="s">
        <v>5348</v>
      </c>
      <c r="D11554" t="s">
        <v>442</v>
      </c>
      <c r="E11554" t="s">
        <v>441</v>
      </c>
      <c r="F11554">
        <v>0.16</v>
      </c>
      <c r="G11554">
        <v>4.3600000000000003</v>
      </c>
      <c r="H11554" t="s">
        <v>8587</v>
      </c>
      <c r="I11554">
        <v>110</v>
      </c>
      <c r="J11554" t="s">
        <v>445</v>
      </c>
      <c r="M11554">
        <v>3741</v>
      </c>
      <c r="N11554" t="s">
        <v>17053</v>
      </c>
    </row>
    <row r="11555" spans="1:14">
      <c r="A11555">
        <v>70404240</v>
      </c>
      <c r="B11555">
        <v>4026617</v>
      </c>
      <c r="C11555" t="s">
        <v>17673</v>
      </c>
      <c r="D11555" t="s">
        <v>442</v>
      </c>
      <c r="E11555" t="s">
        <v>441</v>
      </c>
      <c r="F11555">
        <v>0.16</v>
      </c>
      <c r="G11555">
        <v>5.64</v>
      </c>
      <c r="H11555" t="s">
        <v>8587</v>
      </c>
      <c r="I11555">
        <v>110</v>
      </c>
      <c r="J11555" t="s">
        <v>462</v>
      </c>
      <c r="K11555" t="s">
        <v>446</v>
      </c>
      <c r="M11555">
        <v>7108</v>
      </c>
      <c r="N11555" t="s">
        <v>17053</v>
      </c>
    </row>
    <row r="11556" spans="1:14">
      <c r="A11556">
        <v>70430000</v>
      </c>
      <c r="B11556">
        <v>3035741</v>
      </c>
      <c r="C11556" t="s">
        <v>5349</v>
      </c>
      <c r="D11556" t="s">
        <v>441</v>
      </c>
      <c r="F11556">
        <v>0</v>
      </c>
      <c r="G11556">
        <v>21.6</v>
      </c>
      <c r="H11556" t="s">
        <v>12573</v>
      </c>
      <c r="I11556">
        <v>3</v>
      </c>
      <c r="J11556" t="s">
        <v>445</v>
      </c>
      <c r="M11556">
        <v>3349</v>
      </c>
      <c r="N11556" t="s">
        <v>17075</v>
      </c>
    </row>
    <row r="11557" spans="1:14">
      <c r="A11557">
        <v>70430008</v>
      </c>
      <c r="B11557">
        <v>3035711</v>
      </c>
      <c r="C11557" t="s">
        <v>5350</v>
      </c>
      <c r="D11557" t="s">
        <v>441</v>
      </c>
      <c r="F11557">
        <v>0</v>
      </c>
      <c r="G11557">
        <v>11.2</v>
      </c>
      <c r="H11557" t="s">
        <v>12664</v>
      </c>
      <c r="I11557">
        <v>5</v>
      </c>
      <c r="J11557" t="s">
        <v>445</v>
      </c>
      <c r="M11557">
        <v>6666</v>
      </c>
      <c r="N11557" t="s">
        <v>17076</v>
      </c>
    </row>
    <row r="11558" spans="1:14">
      <c r="A11558">
        <v>70430009</v>
      </c>
      <c r="B11558">
        <v>3035740</v>
      </c>
      <c r="C11558" t="s">
        <v>5351</v>
      </c>
      <c r="D11558" t="s">
        <v>441</v>
      </c>
      <c r="F11558">
        <v>0</v>
      </c>
      <c r="G11558">
        <v>16.399999999999999</v>
      </c>
      <c r="H11558" t="s">
        <v>12573</v>
      </c>
      <c r="I11558">
        <v>6</v>
      </c>
      <c r="J11558" t="s">
        <v>445</v>
      </c>
      <c r="M11558">
        <v>3349</v>
      </c>
      <c r="N11558" t="s">
        <v>17077</v>
      </c>
    </row>
    <row r="11559" spans="1:14">
      <c r="A11559">
        <v>70434210</v>
      </c>
      <c r="B11559">
        <v>4024117</v>
      </c>
      <c r="C11559" t="s">
        <v>60</v>
      </c>
      <c r="D11559" t="s">
        <v>442</v>
      </c>
      <c r="E11559" t="s">
        <v>441</v>
      </c>
      <c r="F11559">
        <v>9.5000000000000001E-2</v>
      </c>
      <c r="G11559">
        <v>2.74</v>
      </c>
      <c r="H11559" t="s">
        <v>8587</v>
      </c>
      <c r="I11559">
        <v>110</v>
      </c>
      <c r="J11559" t="s">
        <v>462</v>
      </c>
      <c r="L11559" t="s">
        <v>13601</v>
      </c>
      <c r="M11559">
        <v>7108</v>
      </c>
      <c r="N11559" t="s">
        <v>17075</v>
      </c>
    </row>
    <row r="11560" spans="1:14">
      <c r="A11560">
        <v>70434211</v>
      </c>
      <c r="B11560">
        <v>3036433</v>
      </c>
      <c r="C11560" t="s">
        <v>5352</v>
      </c>
      <c r="D11560" t="s">
        <v>442</v>
      </c>
      <c r="E11560" t="s">
        <v>441</v>
      </c>
      <c r="F11560">
        <v>9.5000000000000001E-2</v>
      </c>
      <c r="G11560">
        <v>2.62</v>
      </c>
      <c r="H11560" t="s">
        <v>8587</v>
      </c>
      <c r="I11560">
        <v>110</v>
      </c>
      <c r="J11560" t="s">
        <v>445</v>
      </c>
      <c r="M11560">
        <v>3741</v>
      </c>
      <c r="N11560" t="s">
        <v>17075</v>
      </c>
    </row>
    <row r="11561" spans="1:14">
      <c r="A11561">
        <v>70434220</v>
      </c>
      <c r="B11561">
        <v>4024325</v>
      </c>
      <c r="C11561" t="s">
        <v>17674</v>
      </c>
      <c r="D11561" t="s">
        <v>442</v>
      </c>
      <c r="E11561" t="s">
        <v>441</v>
      </c>
      <c r="F11561">
        <v>9.5000000000000001E-2</v>
      </c>
      <c r="G11561">
        <v>3.3</v>
      </c>
      <c r="H11561" t="s">
        <v>8587</v>
      </c>
      <c r="I11561">
        <v>110</v>
      </c>
      <c r="J11561" t="s">
        <v>462</v>
      </c>
      <c r="K11561" t="s">
        <v>446</v>
      </c>
      <c r="L11561" t="s">
        <v>13602</v>
      </c>
      <c r="M11561">
        <v>7108</v>
      </c>
      <c r="N11561" t="s">
        <v>17075</v>
      </c>
    </row>
    <row r="11562" spans="1:14">
      <c r="A11562">
        <v>70434230</v>
      </c>
      <c r="B11562">
        <v>4026074</v>
      </c>
      <c r="C11562" t="s">
        <v>5353</v>
      </c>
      <c r="D11562" t="s">
        <v>442</v>
      </c>
      <c r="E11562" t="s">
        <v>441</v>
      </c>
      <c r="F11562">
        <v>9.5000000000000001E-2</v>
      </c>
      <c r="G11562">
        <v>2.62</v>
      </c>
      <c r="H11562" t="s">
        <v>8587</v>
      </c>
      <c r="I11562">
        <v>110</v>
      </c>
      <c r="J11562" t="s">
        <v>462</v>
      </c>
      <c r="M11562">
        <v>7108</v>
      </c>
      <c r="N11562" t="s">
        <v>17075</v>
      </c>
    </row>
    <row r="11563" spans="1:14">
      <c r="A11563">
        <v>70434240</v>
      </c>
      <c r="B11563">
        <v>4026615</v>
      </c>
      <c r="C11563" t="s">
        <v>17675</v>
      </c>
      <c r="D11563" t="s">
        <v>442</v>
      </c>
      <c r="E11563" t="s">
        <v>441</v>
      </c>
      <c r="F11563">
        <v>9.5000000000000001E-2</v>
      </c>
      <c r="G11563">
        <v>3.23</v>
      </c>
      <c r="H11563" t="s">
        <v>8587</v>
      </c>
      <c r="I11563">
        <v>110</v>
      </c>
      <c r="J11563" t="s">
        <v>462</v>
      </c>
      <c r="K11563" t="s">
        <v>446</v>
      </c>
      <c r="M11563">
        <v>7108</v>
      </c>
      <c r="N11563" t="s">
        <v>17075</v>
      </c>
    </row>
    <row r="11564" spans="1:14">
      <c r="A11564">
        <v>70434250</v>
      </c>
      <c r="B11564">
        <v>4026915</v>
      </c>
      <c r="C11564" t="s">
        <v>17676</v>
      </c>
      <c r="D11564" t="s">
        <v>442</v>
      </c>
      <c r="E11564" t="s">
        <v>441</v>
      </c>
      <c r="F11564">
        <v>9.5000000000000001E-2</v>
      </c>
      <c r="G11564">
        <v>3.23</v>
      </c>
      <c r="H11564" t="s">
        <v>8587</v>
      </c>
      <c r="I11564">
        <v>110</v>
      </c>
      <c r="J11564" t="s">
        <v>462</v>
      </c>
      <c r="K11564" t="s">
        <v>446</v>
      </c>
      <c r="M11564">
        <v>7108</v>
      </c>
      <c r="N11564" t="s">
        <v>17075</v>
      </c>
    </row>
    <row r="11565" spans="1:14">
      <c r="A11565">
        <v>70434260</v>
      </c>
      <c r="B11565">
        <v>4030578</v>
      </c>
      <c r="C11565" t="s">
        <v>17677</v>
      </c>
      <c r="D11565" t="s">
        <v>442</v>
      </c>
      <c r="E11565" t="s">
        <v>441</v>
      </c>
      <c r="F11565">
        <v>9.5000000000000001E-2</v>
      </c>
      <c r="G11565">
        <v>3.68</v>
      </c>
      <c r="H11565" t="s">
        <v>8587</v>
      </c>
      <c r="I11565">
        <v>110</v>
      </c>
      <c r="J11565" t="s">
        <v>462</v>
      </c>
      <c r="M11565">
        <v>7108</v>
      </c>
      <c r="N11565" t="s">
        <v>17075</v>
      </c>
    </row>
    <row r="11566" spans="1:14">
      <c r="A11566">
        <v>70434290</v>
      </c>
      <c r="B11566">
        <v>4030644</v>
      </c>
      <c r="C11566" t="s">
        <v>17678</v>
      </c>
      <c r="D11566" t="s">
        <v>442</v>
      </c>
      <c r="E11566" t="s">
        <v>441</v>
      </c>
      <c r="F11566">
        <v>9.5000000000000001E-2</v>
      </c>
      <c r="G11566">
        <v>3.27</v>
      </c>
      <c r="H11566" t="s">
        <v>8587</v>
      </c>
      <c r="I11566">
        <v>110</v>
      </c>
      <c r="J11566" t="s">
        <v>462</v>
      </c>
      <c r="M11566">
        <v>7108</v>
      </c>
      <c r="N11566" t="s">
        <v>17075</v>
      </c>
    </row>
    <row r="11567" spans="1:14">
      <c r="A11567">
        <v>70440000</v>
      </c>
      <c r="B11567">
        <v>3008486</v>
      </c>
      <c r="C11567" t="s">
        <v>5354</v>
      </c>
      <c r="D11567" t="s">
        <v>441</v>
      </c>
      <c r="F11567">
        <v>0</v>
      </c>
      <c r="G11567">
        <v>17.79</v>
      </c>
      <c r="I11567">
        <v>30</v>
      </c>
      <c r="J11567" t="s">
        <v>445</v>
      </c>
      <c r="K11567" t="s">
        <v>446</v>
      </c>
      <c r="M11567">
        <v>3312</v>
      </c>
    </row>
    <row r="11568" spans="1:14">
      <c r="A11568">
        <v>70440008</v>
      </c>
      <c r="B11568">
        <v>3008487</v>
      </c>
      <c r="C11568" t="s">
        <v>13603</v>
      </c>
      <c r="D11568" t="s">
        <v>441</v>
      </c>
      <c r="F11568">
        <v>0</v>
      </c>
      <c r="G11568">
        <v>11.43</v>
      </c>
      <c r="I11568">
        <v>9</v>
      </c>
      <c r="J11568" t="s">
        <v>445</v>
      </c>
      <c r="K11568" t="s">
        <v>446</v>
      </c>
      <c r="M11568">
        <v>3211</v>
      </c>
    </row>
    <row r="11569" spans="1:14">
      <c r="A11569">
        <v>70440009</v>
      </c>
      <c r="B11569">
        <v>3008488</v>
      </c>
      <c r="C11569" t="s">
        <v>13604</v>
      </c>
      <c r="D11569" t="s">
        <v>441</v>
      </c>
      <c r="F11569">
        <v>0</v>
      </c>
      <c r="G11569">
        <v>12.55</v>
      </c>
      <c r="I11569">
        <v>36</v>
      </c>
      <c r="J11569" t="s">
        <v>445</v>
      </c>
      <c r="K11569" t="s">
        <v>446</v>
      </c>
      <c r="M11569">
        <v>3311</v>
      </c>
    </row>
    <row r="11570" spans="1:14">
      <c r="A11570">
        <v>70445110</v>
      </c>
      <c r="B11570">
        <v>4004424</v>
      </c>
      <c r="C11570" t="s">
        <v>5355</v>
      </c>
      <c r="D11570" t="s">
        <v>442</v>
      </c>
      <c r="E11570" t="s">
        <v>441</v>
      </c>
      <c r="F11570">
        <v>0.57199999999999995</v>
      </c>
      <c r="G11570">
        <v>11.2</v>
      </c>
      <c r="H11570" t="s">
        <v>8587</v>
      </c>
      <c r="I11570">
        <v>111</v>
      </c>
      <c r="J11570" t="s">
        <v>462</v>
      </c>
      <c r="K11570" t="s">
        <v>446</v>
      </c>
      <c r="M11570">
        <v>3711</v>
      </c>
    </row>
    <row r="11571" spans="1:14">
      <c r="A11571">
        <v>70445120</v>
      </c>
      <c r="B11571">
        <v>4005427</v>
      </c>
      <c r="C11571" t="s">
        <v>5356</v>
      </c>
      <c r="D11571" t="s">
        <v>441</v>
      </c>
      <c r="F11571">
        <v>0</v>
      </c>
      <c r="G11571">
        <v>19.579999999999998</v>
      </c>
      <c r="H11571" t="s">
        <v>8587</v>
      </c>
      <c r="I11571">
        <v>111</v>
      </c>
      <c r="J11571" t="s">
        <v>462</v>
      </c>
      <c r="K11571" t="s">
        <v>446</v>
      </c>
      <c r="M11571">
        <v>3711</v>
      </c>
    </row>
    <row r="11572" spans="1:14">
      <c r="A11572">
        <v>70450000</v>
      </c>
      <c r="B11572">
        <v>3016694</v>
      </c>
      <c r="C11572" t="s">
        <v>5357</v>
      </c>
      <c r="D11572" t="s">
        <v>441</v>
      </c>
      <c r="F11572">
        <v>0</v>
      </c>
      <c r="G11572">
        <v>20.74</v>
      </c>
      <c r="H11572" t="s">
        <v>8580</v>
      </c>
      <c r="I11572">
        <v>6</v>
      </c>
      <c r="J11572" t="s">
        <v>445</v>
      </c>
      <c r="M11572">
        <v>3349</v>
      </c>
      <c r="N11572" t="s">
        <v>17078</v>
      </c>
    </row>
    <row r="11573" spans="1:14">
      <c r="A11573">
        <v>70450008</v>
      </c>
      <c r="B11573">
        <v>3016695</v>
      </c>
      <c r="C11573" t="s">
        <v>5358</v>
      </c>
      <c r="D11573" t="s">
        <v>441</v>
      </c>
      <c r="F11573">
        <v>0</v>
      </c>
      <c r="G11573">
        <v>15.06</v>
      </c>
      <c r="H11573" t="s">
        <v>8580</v>
      </c>
      <c r="I11573">
        <v>9</v>
      </c>
      <c r="J11573" t="s">
        <v>445</v>
      </c>
      <c r="M11573">
        <v>6666</v>
      </c>
      <c r="N11573" t="s">
        <v>17079</v>
      </c>
    </row>
    <row r="11574" spans="1:14">
      <c r="A11574">
        <v>70455110</v>
      </c>
      <c r="B11574">
        <v>4007877</v>
      </c>
      <c r="C11574" t="s">
        <v>5359</v>
      </c>
      <c r="D11574" t="s">
        <v>441</v>
      </c>
      <c r="F11574">
        <v>0</v>
      </c>
      <c r="G11574">
        <v>13.94</v>
      </c>
      <c r="H11574" t="s">
        <v>8922</v>
      </c>
      <c r="I11574">
        <v>35</v>
      </c>
      <c r="J11574" t="s">
        <v>462</v>
      </c>
      <c r="K11574" t="s">
        <v>446</v>
      </c>
      <c r="M11574">
        <v>7108</v>
      </c>
      <c r="N11574" t="s">
        <v>17080</v>
      </c>
    </row>
    <row r="11575" spans="1:14">
      <c r="A11575">
        <v>70455120</v>
      </c>
      <c r="B11575">
        <v>4007878</v>
      </c>
      <c r="C11575" t="s">
        <v>15352</v>
      </c>
      <c r="D11575" t="s">
        <v>441</v>
      </c>
      <c r="F11575">
        <v>0</v>
      </c>
      <c r="G11575">
        <v>22.52</v>
      </c>
      <c r="H11575" t="s">
        <v>8922</v>
      </c>
      <c r="I11575">
        <v>40</v>
      </c>
      <c r="J11575" t="s">
        <v>462</v>
      </c>
      <c r="M11575">
        <v>7108</v>
      </c>
      <c r="N11575" t="s">
        <v>17080</v>
      </c>
    </row>
    <row r="11576" spans="1:14">
      <c r="A11576">
        <v>70455130</v>
      </c>
      <c r="B11576">
        <v>4008173</v>
      </c>
      <c r="C11576" t="s">
        <v>5360</v>
      </c>
      <c r="D11576" t="s">
        <v>441</v>
      </c>
      <c r="F11576">
        <v>0</v>
      </c>
      <c r="G11576">
        <v>18.309999999999999</v>
      </c>
      <c r="H11576" t="s">
        <v>8922</v>
      </c>
      <c r="I11576">
        <v>35</v>
      </c>
      <c r="J11576" t="s">
        <v>462</v>
      </c>
      <c r="K11576" t="s">
        <v>446</v>
      </c>
      <c r="M11576">
        <v>3711</v>
      </c>
      <c r="N11576" t="s">
        <v>17081</v>
      </c>
    </row>
    <row r="11577" spans="1:14">
      <c r="A11577">
        <v>70455140</v>
      </c>
      <c r="B11577">
        <v>4008174</v>
      </c>
      <c r="C11577" t="s">
        <v>5361</v>
      </c>
      <c r="D11577" t="s">
        <v>441</v>
      </c>
      <c r="F11577">
        <v>0</v>
      </c>
      <c r="G11577">
        <v>16.07</v>
      </c>
      <c r="H11577" t="s">
        <v>8922</v>
      </c>
      <c r="I11577">
        <v>35</v>
      </c>
      <c r="J11577" t="s">
        <v>462</v>
      </c>
      <c r="K11577" t="s">
        <v>446</v>
      </c>
      <c r="M11577">
        <v>3711</v>
      </c>
    </row>
    <row r="11578" spans="1:14">
      <c r="A11578">
        <v>70455150</v>
      </c>
      <c r="B11578">
        <v>4007916</v>
      </c>
      <c r="C11578" t="s">
        <v>15353</v>
      </c>
      <c r="D11578" t="s">
        <v>441</v>
      </c>
      <c r="F11578">
        <v>0</v>
      </c>
      <c r="G11578">
        <v>22.71</v>
      </c>
      <c r="H11578" t="s">
        <v>8922</v>
      </c>
      <c r="I11578">
        <v>40</v>
      </c>
      <c r="J11578" t="s">
        <v>462</v>
      </c>
      <c r="M11578">
        <v>7108</v>
      </c>
      <c r="N11578" t="s">
        <v>17080</v>
      </c>
    </row>
    <row r="11579" spans="1:14">
      <c r="A11579">
        <v>70455160</v>
      </c>
      <c r="B11579">
        <v>4007917</v>
      </c>
      <c r="C11579" t="s">
        <v>5362</v>
      </c>
      <c r="D11579" t="s">
        <v>441</v>
      </c>
      <c r="F11579">
        <v>0</v>
      </c>
      <c r="G11579">
        <v>13.89</v>
      </c>
      <c r="H11579" t="s">
        <v>8922</v>
      </c>
      <c r="I11579">
        <v>35</v>
      </c>
      <c r="J11579" t="s">
        <v>462</v>
      </c>
      <c r="K11579" t="s">
        <v>446</v>
      </c>
      <c r="M11579">
        <v>3711</v>
      </c>
      <c r="N11579" t="s">
        <v>17080</v>
      </c>
    </row>
    <row r="11580" spans="1:14">
      <c r="A11580">
        <v>70455170</v>
      </c>
      <c r="B11580">
        <v>4008190</v>
      </c>
      <c r="C11580" t="s">
        <v>5363</v>
      </c>
      <c r="D11580" t="s">
        <v>441</v>
      </c>
      <c r="F11580">
        <v>0</v>
      </c>
      <c r="G11580">
        <v>15.34</v>
      </c>
      <c r="H11580" t="s">
        <v>8922</v>
      </c>
      <c r="I11580">
        <v>35</v>
      </c>
      <c r="J11580" t="s">
        <v>462</v>
      </c>
      <c r="K11580" t="s">
        <v>446</v>
      </c>
      <c r="M11580">
        <v>3711</v>
      </c>
    </row>
    <row r="11581" spans="1:14">
      <c r="A11581">
        <v>70455180</v>
      </c>
      <c r="B11581">
        <v>4008222</v>
      </c>
      <c r="C11581" t="s">
        <v>5364</v>
      </c>
      <c r="D11581" t="s">
        <v>441</v>
      </c>
      <c r="F11581">
        <v>0</v>
      </c>
      <c r="G11581">
        <v>17.66</v>
      </c>
      <c r="H11581" t="s">
        <v>8587</v>
      </c>
      <c r="I11581">
        <v>35</v>
      </c>
      <c r="J11581" t="s">
        <v>462</v>
      </c>
      <c r="K11581" t="s">
        <v>446</v>
      </c>
      <c r="M11581">
        <v>3711</v>
      </c>
    </row>
    <row r="11582" spans="1:14">
      <c r="A11582">
        <v>70455190</v>
      </c>
      <c r="B11582">
        <v>4008221</v>
      </c>
      <c r="C11582" t="s">
        <v>5365</v>
      </c>
      <c r="D11582" t="s">
        <v>441</v>
      </c>
      <c r="F11582">
        <v>0</v>
      </c>
      <c r="G11582">
        <v>20.350000000000001</v>
      </c>
      <c r="H11582" t="s">
        <v>8922</v>
      </c>
      <c r="I11582">
        <v>35</v>
      </c>
      <c r="J11582" t="s">
        <v>462</v>
      </c>
      <c r="K11582" t="s">
        <v>446</v>
      </c>
      <c r="L11582">
        <v>2960260</v>
      </c>
      <c r="M11582">
        <v>3711</v>
      </c>
      <c r="N11582" t="s">
        <v>17082</v>
      </c>
    </row>
    <row r="11583" spans="1:14">
      <c r="A11583">
        <v>70455510</v>
      </c>
      <c r="B11583">
        <v>4021192</v>
      </c>
      <c r="C11583" t="s">
        <v>15354</v>
      </c>
      <c r="D11583" t="s">
        <v>441</v>
      </c>
      <c r="F11583">
        <v>0</v>
      </c>
      <c r="G11583">
        <v>23.97</v>
      </c>
      <c r="H11583" t="s">
        <v>8922</v>
      </c>
      <c r="I11583">
        <v>40</v>
      </c>
      <c r="J11583" t="s">
        <v>462</v>
      </c>
      <c r="M11583">
        <v>7108</v>
      </c>
      <c r="N11583" t="s">
        <v>17080</v>
      </c>
    </row>
    <row r="11584" spans="1:14">
      <c r="A11584">
        <v>70456110</v>
      </c>
      <c r="B11584">
        <v>4021860</v>
      </c>
      <c r="C11584" t="s">
        <v>5366</v>
      </c>
      <c r="D11584" t="s">
        <v>441</v>
      </c>
      <c r="F11584">
        <v>0</v>
      </c>
      <c r="G11584">
        <v>18.329999999999998</v>
      </c>
      <c r="H11584" t="s">
        <v>8587</v>
      </c>
      <c r="I11584">
        <v>35</v>
      </c>
      <c r="J11584" t="s">
        <v>462</v>
      </c>
      <c r="K11584" t="s">
        <v>446</v>
      </c>
      <c r="M11584">
        <v>3711</v>
      </c>
      <c r="N11584" t="s">
        <v>17080</v>
      </c>
    </row>
    <row r="11585" spans="1:14">
      <c r="A11585">
        <v>70457110</v>
      </c>
      <c r="B11585">
        <v>4008374</v>
      </c>
      <c r="C11585" t="s">
        <v>5367</v>
      </c>
      <c r="D11585" t="s">
        <v>441</v>
      </c>
      <c r="F11585">
        <v>0</v>
      </c>
      <c r="G11585">
        <v>16.84</v>
      </c>
      <c r="H11585" t="s">
        <v>8587</v>
      </c>
      <c r="I11585">
        <v>35</v>
      </c>
      <c r="J11585" t="s">
        <v>462</v>
      </c>
      <c r="K11585" t="s">
        <v>446</v>
      </c>
      <c r="M11585">
        <v>3711</v>
      </c>
    </row>
    <row r="11586" spans="1:14">
      <c r="A11586">
        <v>70457120</v>
      </c>
      <c r="B11586">
        <v>4008568</v>
      </c>
      <c r="C11586" t="s">
        <v>5368</v>
      </c>
      <c r="D11586" t="s">
        <v>441</v>
      </c>
      <c r="F11586">
        <v>0</v>
      </c>
      <c r="G11586">
        <v>15.9</v>
      </c>
      <c r="H11586" t="s">
        <v>8922</v>
      </c>
      <c r="I11586">
        <v>35</v>
      </c>
      <c r="J11586" t="s">
        <v>462</v>
      </c>
      <c r="K11586" t="s">
        <v>446</v>
      </c>
      <c r="M11586">
        <v>3711</v>
      </c>
    </row>
    <row r="11587" spans="1:14">
      <c r="A11587">
        <v>70457130</v>
      </c>
      <c r="B11587">
        <v>4009200</v>
      </c>
      <c r="C11587" t="s">
        <v>5369</v>
      </c>
      <c r="D11587" t="s">
        <v>441</v>
      </c>
      <c r="F11587">
        <v>0</v>
      </c>
      <c r="G11587">
        <v>17.82</v>
      </c>
      <c r="H11587" t="s">
        <v>8922</v>
      </c>
      <c r="I11587">
        <v>35</v>
      </c>
      <c r="J11587" t="s">
        <v>462</v>
      </c>
      <c r="K11587" t="s">
        <v>446</v>
      </c>
      <c r="M11587">
        <v>3711</v>
      </c>
      <c r="N11587" t="s">
        <v>17081</v>
      </c>
    </row>
    <row r="11588" spans="1:14">
      <c r="A11588">
        <v>70457140</v>
      </c>
      <c r="B11588">
        <v>4009641</v>
      </c>
      <c r="C11588" t="s">
        <v>5370</v>
      </c>
      <c r="D11588" t="s">
        <v>441</v>
      </c>
      <c r="F11588">
        <v>0</v>
      </c>
      <c r="G11588">
        <v>13.07</v>
      </c>
      <c r="H11588" t="s">
        <v>8587</v>
      </c>
      <c r="I11588">
        <v>35</v>
      </c>
      <c r="J11588" t="s">
        <v>462</v>
      </c>
      <c r="K11588" t="s">
        <v>446</v>
      </c>
      <c r="M11588">
        <v>3711</v>
      </c>
    </row>
    <row r="11589" spans="1:14">
      <c r="A11589">
        <v>70457150</v>
      </c>
      <c r="B11589">
        <v>4009679</v>
      </c>
      <c r="C11589" t="s">
        <v>5371</v>
      </c>
      <c r="D11589" t="s">
        <v>441</v>
      </c>
      <c r="F11589">
        <v>0</v>
      </c>
      <c r="G11589">
        <v>13.41</v>
      </c>
      <c r="H11589" t="s">
        <v>8922</v>
      </c>
      <c r="I11589">
        <v>35</v>
      </c>
      <c r="J11589" t="s">
        <v>462</v>
      </c>
      <c r="K11589" t="s">
        <v>446</v>
      </c>
      <c r="M11589">
        <v>3711</v>
      </c>
    </row>
    <row r="11590" spans="1:14">
      <c r="A11590">
        <v>70457160</v>
      </c>
      <c r="B11590">
        <v>4014968</v>
      </c>
      <c r="C11590" t="s">
        <v>5372</v>
      </c>
      <c r="D11590" t="s">
        <v>441</v>
      </c>
      <c r="F11590">
        <v>0</v>
      </c>
      <c r="G11590">
        <v>15.32</v>
      </c>
      <c r="H11590" t="s">
        <v>8922</v>
      </c>
      <c r="I11590">
        <v>35</v>
      </c>
      <c r="J11590" t="s">
        <v>462</v>
      </c>
      <c r="K11590" t="s">
        <v>446</v>
      </c>
      <c r="M11590">
        <v>3711</v>
      </c>
    </row>
    <row r="11591" spans="1:14">
      <c r="A11591">
        <v>70457170</v>
      </c>
      <c r="B11591">
        <v>4015491</v>
      </c>
      <c r="C11591" t="s">
        <v>5373</v>
      </c>
      <c r="D11591" t="s">
        <v>441</v>
      </c>
      <c r="F11591">
        <v>0</v>
      </c>
      <c r="G11591">
        <v>17.940000000000001</v>
      </c>
      <c r="H11591" t="s">
        <v>8922</v>
      </c>
      <c r="I11591">
        <v>35</v>
      </c>
      <c r="J11591" t="s">
        <v>462</v>
      </c>
      <c r="K11591" t="s">
        <v>446</v>
      </c>
      <c r="M11591">
        <v>3711</v>
      </c>
      <c r="N11591" t="s">
        <v>17081</v>
      </c>
    </row>
    <row r="11592" spans="1:14">
      <c r="A11592">
        <v>70457180</v>
      </c>
      <c r="B11592">
        <v>4019739</v>
      </c>
      <c r="C11592" t="s">
        <v>5374</v>
      </c>
      <c r="D11592" t="s">
        <v>441</v>
      </c>
      <c r="F11592">
        <v>0</v>
      </c>
      <c r="G11592">
        <v>15.83</v>
      </c>
      <c r="H11592" t="s">
        <v>8922</v>
      </c>
      <c r="I11592">
        <v>35</v>
      </c>
      <c r="J11592" t="s">
        <v>462</v>
      </c>
      <c r="K11592" t="s">
        <v>446</v>
      </c>
      <c r="M11592">
        <v>3711</v>
      </c>
      <c r="N11592" t="s">
        <v>17080</v>
      </c>
    </row>
    <row r="11593" spans="1:14">
      <c r="A11593">
        <v>70457190</v>
      </c>
      <c r="B11593">
        <v>4020573</v>
      </c>
      <c r="C11593" t="s">
        <v>14605</v>
      </c>
      <c r="D11593" t="s">
        <v>441</v>
      </c>
      <c r="F11593">
        <v>0</v>
      </c>
      <c r="G11593">
        <v>24.16</v>
      </c>
      <c r="H11593" t="s">
        <v>8587</v>
      </c>
      <c r="I11593">
        <v>40</v>
      </c>
      <c r="J11593" t="s">
        <v>462</v>
      </c>
      <c r="L11593" t="s">
        <v>13605</v>
      </c>
      <c r="M11593">
        <v>7108</v>
      </c>
      <c r="N11593" t="s">
        <v>17080</v>
      </c>
    </row>
    <row r="11594" spans="1:14">
      <c r="A11594">
        <v>70460000</v>
      </c>
      <c r="B11594">
        <v>3017938</v>
      </c>
      <c r="C11594" t="s">
        <v>5375</v>
      </c>
      <c r="D11594" t="s">
        <v>441</v>
      </c>
      <c r="F11594">
        <v>0</v>
      </c>
      <c r="G11594">
        <v>19.7</v>
      </c>
      <c r="H11594" t="s">
        <v>8624</v>
      </c>
      <c r="I11594">
        <v>6</v>
      </c>
      <c r="J11594" t="s">
        <v>445</v>
      </c>
      <c r="M11594">
        <v>3349</v>
      </c>
      <c r="N11594" t="s">
        <v>17083</v>
      </c>
    </row>
    <row r="11595" spans="1:14">
      <c r="A11595">
        <v>70460008</v>
      </c>
      <c r="B11595">
        <v>3017930</v>
      </c>
      <c r="C11595" t="s">
        <v>5376</v>
      </c>
      <c r="D11595" t="s">
        <v>441</v>
      </c>
      <c r="F11595">
        <v>0</v>
      </c>
      <c r="G11595">
        <v>14.43</v>
      </c>
      <c r="H11595" t="s">
        <v>8580</v>
      </c>
      <c r="I11595">
        <v>5</v>
      </c>
      <c r="J11595" t="s">
        <v>445</v>
      </c>
      <c r="M11595">
        <v>6666</v>
      </c>
      <c r="N11595" t="s">
        <v>17084</v>
      </c>
    </row>
    <row r="11596" spans="1:14">
      <c r="A11596">
        <v>70465110</v>
      </c>
      <c r="B11596">
        <v>4012277</v>
      </c>
      <c r="C11596" t="s">
        <v>14606</v>
      </c>
      <c r="D11596" t="s">
        <v>441</v>
      </c>
      <c r="F11596">
        <v>0</v>
      </c>
      <c r="G11596">
        <v>22.13</v>
      </c>
      <c r="H11596" t="s">
        <v>8922</v>
      </c>
      <c r="I11596">
        <v>40</v>
      </c>
      <c r="J11596" t="s">
        <v>462</v>
      </c>
      <c r="L11596">
        <v>2072728</v>
      </c>
      <c r="M11596">
        <v>7108</v>
      </c>
      <c r="N11596" t="s">
        <v>17085</v>
      </c>
    </row>
    <row r="11597" spans="1:14">
      <c r="A11597">
        <v>70465120</v>
      </c>
      <c r="B11597">
        <v>4012880</v>
      </c>
      <c r="C11597" t="s">
        <v>13606</v>
      </c>
      <c r="D11597" t="s">
        <v>441</v>
      </c>
      <c r="F11597">
        <v>0</v>
      </c>
      <c r="G11597">
        <v>22.4</v>
      </c>
      <c r="H11597" t="s">
        <v>8922</v>
      </c>
      <c r="I11597">
        <v>40</v>
      </c>
      <c r="J11597" t="s">
        <v>462</v>
      </c>
      <c r="M11597">
        <v>7108</v>
      </c>
      <c r="N11597" t="s">
        <v>17085</v>
      </c>
    </row>
    <row r="11598" spans="1:14">
      <c r="A11598">
        <v>70470000</v>
      </c>
      <c r="B11598">
        <v>3018382</v>
      </c>
      <c r="C11598" t="s">
        <v>14607</v>
      </c>
      <c r="D11598" t="s">
        <v>441</v>
      </c>
      <c r="F11598">
        <v>0</v>
      </c>
      <c r="G11598">
        <v>19.739999999999998</v>
      </c>
      <c r="H11598" t="s">
        <v>8580</v>
      </c>
      <c r="I11598">
        <v>6</v>
      </c>
      <c r="J11598" t="s">
        <v>445</v>
      </c>
      <c r="K11598" t="s">
        <v>446</v>
      </c>
      <c r="M11598">
        <v>3349</v>
      </c>
      <c r="N11598" t="s">
        <v>17086</v>
      </c>
    </row>
    <row r="11599" spans="1:14">
      <c r="A11599">
        <v>70470008</v>
      </c>
      <c r="B11599">
        <v>3018381</v>
      </c>
      <c r="C11599" t="s">
        <v>14608</v>
      </c>
      <c r="D11599" t="s">
        <v>441</v>
      </c>
      <c r="F11599">
        <v>0</v>
      </c>
      <c r="G11599">
        <v>14.43</v>
      </c>
      <c r="H11599" t="s">
        <v>8580</v>
      </c>
      <c r="I11599">
        <v>5</v>
      </c>
      <c r="J11599" t="s">
        <v>445</v>
      </c>
      <c r="K11599" t="s">
        <v>446</v>
      </c>
      <c r="M11599">
        <v>3111</v>
      </c>
      <c r="N11599" t="s">
        <v>17087</v>
      </c>
    </row>
    <row r="11600" spans="1:14">
      <c r="A11600">
        <v>70474110</v>
      </c>
      <c r="B11600">
        <v>4013483</v>
      </c>
      <c r="C11600" t="s">
        <v>5377</v>
      </c>
      <c r="D11600" t="s">
        <v>441</v>
      </c>
      <c r="F11600">
        <v>0</v>
      </c>
      <c r="G11600">
        <v>15.5</v>
      </c>
      <c r="H11600" t="s">
        <v>8922</v>
      </c>
      <c r="I11600">
        <v>38</v>
      </c>
      <c r="J11600" t="s">
        <v>462</v>
      </c>
      <c r="K11600" t="s">
        <v>446</v>
      </c>
      <c r="M11600">
        <v>3711</v>
      </c>
    </row>
    <row r="11601" spans="1:14">
      <c r="A11601">
        <v>70474140</v>
      </c>
      <c r="B11601">
        <v>4014337</v>
      </c>
      <c r="C11601" t="s">
        <v>5378</v>
      </c>
      <c r="D11601" t="s">
        <v>441</v>
      </c>
      <c r="F11601">
        <v>0</v>
      </c>
      <c r="G11601">
        <v>19.23</v>
      </c>
      <c r="H11601" t="s">
        <v>8922</v>
      </c>
      <c r="I11601">
        <v>38</v>
      </c>
      <c r="J11601" t="s">
        <v>462</v>
      </c>
      <c r="K11601" t="s">
        <v>446</v>
      </c>
      <c r="L11601">
        <v>45065</v>
      </c>
      <c r="M11601">
        <v>3711</v>
      </c>
      <c r="N11601" t="s">
        <v>17088</v>
      </c>
    </row>
    <row r="11602" spans="1:14">
      <c r="A11602">
        <v>70475110</v>
      </c>
      <c r="B11602">
        <v>4012614</v>
      </c>
      <c r="C11602" t="s">
        <v>5379</v>
      </c>
      <c r="D11602" t="s">
        <v>441</v>
      </c>
      <c r="F11602">
        <v>0</v>
      </c>
      <c r="G11602">
        <v>20.05</v>
      </c>
      <c r="H11602" t="s">
        <v>8922</v>
      </c>
      <c r="I11602">
        <v>38</v>
      </c>
      <c r="J11602" t="s">
        <v>462</v>
      </c>
      <c r="K11602" t="s">
        <v>446</v>
      </c>
      <c r="M11602">
        <v>3711</v>
      </c>
      <c r="N11602" t="s">
        <v>17087</v>
      </c>
    </row>
    <row r="11603" spans="1:14">
      <c r="A11603">
        <v>70475120</v>
      </c>
      <c r="B11603">
        <v>4013337</v>
      </c>
      <c r="C11603" t="s">
        <v>5380</v>
      </c>
      <c r="D11603" t="s">
        <v>441</v>
      </c>
      <c r="F11603">
        <v>0</v>
      </c>
      <c r="G11603">
        <v>16.64</v>
      </c>
      <c r="H11603" t="s">
        <v>8922</v>
      </c>
      <c r="I11603">
        <v>35</v>
      </c>
      <c r="J11603" t="s">
        <v>462</v>
      </c>
      <c r="K11603" t="s">
        <v>446</v>
      </c>
      <c r="M11603">
        <v>3711</v>
      </c>
    </row>
    <row r="11604" spans="1:14">
      <c r="A11604">
        <v>70475130</v>
      </c>
      <c r="B11604">
        <v>4013614</v>
      </c>
      <c r="C11604" t="s">
        <v>5381</v>
      </c>
      <c r="D11604" t="s">
        <v>441</v>
      </c>
      <c r="F11604">
        <v>0</v>
      </c>
      <c r="G11604">
        <v>19.12</v>
      </c>
      <c r="H11604" t="s">
        <v>8922</v>
      </c>
      <c r="I11604">
        <v>35</v>
      </c>
      <c r="J11604" t="s">
        <v>462</v>
      </c>
      <c r="K11604" t="s">
        <v>446</v>
      </c>
      <c r="M11604">
        <v>3711</v>
      </c>
    </row>
    <row r="11605" spans="1:14">
      <c r="A11605">
        <v>70475140</v>
      </c>
      <c r="B11605">
        <v>4021070</v>
      </c>
      <c r="C11605" t="s">
        <v>5382</v>
      </c>
      <c r="D11605" t="s">
        <v>441</v>
      </c>
      <c r="F11605">
        <v>0</v>
      </c>
      <c r="G11605">
        <v>17.52</v>
      </c>
      <c r="H11605" t="s">
        <v>8587</v>
      </c>
      <c r="I11605">
        <v>38</v>
      </c>
      <c r="J11605" t="s">
        <v>462</v>
      </c>
      <c r="K11605" t="s">
        <v>446</v>
      </c>
      <c r="M11605">
        <v>3711</v>
      </c>
      <c r="N11605" t="s">
        <v>17086</v>
      </c>
    </row>
    <row r="11606" spans="1:14">
      <c r="A11606">
        <v>70475150</v>
      </c>
      <c r="B11606">
        <v>4021310</v>
      </c>
      <c r="C11606" t="s">
        <v>5383</v>
      </c>
      <c r="D11606" t="s">
        <v>441</v>
      </c>
      <c r="F11606">
        <v>0</v>
      </c>
      <c r="G11606">
        <v>14.45</v>
      </c>
      <c r="H11606" t="s">
        <v>8587</v>
      </c>
      <c r="I11606">
        <v>38</v>
      </c>
      <c r="J11606" t="s">
        <v>462</v>
      </c>
      <c r="K11606" t="s">
        <v>446</v>
      </c>
      <c r="M11606">
        <v>3711</v>
      </c>
      <c r="N11606" t="s">
        <v>17086</v>
      </c>
    </row>
    <row r="11607" spans="1:14">
      <c r="A11607">
        <v>70480000</v>
      </c>
      <c r="B11607">
        <v>3026993</v>
      </c>
      <c r="C11607" t="s">
        <v>5384</v>
      </c>
      <c r="D11607" t="s">
        <v>441</v>
      </c>
      <c r="F11607">
        <v>0</v>
      </c>
      <c r="G11607">
        <v>9.3800000000000008</v>
      </c>
      <c r="H11607" t="s">
        <v>12573</v>
      </c>
      <c r="I11607">
        <v>6</v>
      </c>
      <c r="J11607" t="s">
        <v>445</v>
      </c>
      <c r="K11607" t="s">
        <v>446</v>
      </c>
      <c r="M11607">
        <v>3311</v>
      </c>
    </row>
    <row r="11608" spans="1:14">
      <c r="A11608">
        <v>70480008</v>
      </c>
      <c r="B11608">
        <v>3026992</v>
      </c>
      <c r="C11608" t="s">
        <v>5385</v>
      </c>
      <c r="D11608" t="s">
        <v>441</v>
      </c>
      <c r="F11608">
        <v>0</v>
      </c>
      <c r="G11608">
        <v>6.42</v>
      </c>
      <c r="H11608" t="s">
        <v>8584</v>
      </c>
      <c r="I11608">
        <v>5</v>
      </c>
      <c r="J11608" t="s">
        <v>445</v>
      </c>
      <c r="K11608" t="s">
        <v>446</v>
      </c>
      <c r="M11608">
        <v>3211</v>
      </c>
    </row>
    <row r="11609" spans="1:14">
      <c r="A11609">
        <v>70484110</v>
      </c>
      <c r="B11609">
        <v>4017885</v>
      </c>
      <c r="C11609" t="s">
        <v>5386</v>
      </c>
      <c r="D11609" t="s">
        <v>441</v>
      </c>
      <c r="F11609">
        <v>0</v>
      </c>
      <c r="G11609">
        <v>11.62</v>
      </c>
      <c r="H11609" t="s">
        <v>8587</v>
      </c>
      <c r="I11609">
        <v>42</v>
      </c>
      <c r="J11609" t="s">
        <v>462</v>
      </c>
      <c r="K11609" t="s">
        <v>446</v>
      </c>
      <c r="M11609">
        <v>3711</v>
      </c>
    </row>
    <row r="11610" spans="1:14">
      <c r="A11610">
        <v>70494210</v>
      </c>
      <c r="B11610">
        <v>4022270</v>
      </c>
      <c r="C11610" t="s">
        <v>5387</v>
      </c>
      <c r="D11610" t="s">
        <v>442</v>
      </c>
      <c r="E11610" t="s">
        <v>441</v>
      </c>
      <c r="F11610">
        <v>19.5</v>
      </c>
      <c r="G11610">
        <v>429.45</v>
      </c>
      <c r="H11610" t="s">
        <v>8587</v>
      </c>
      <c r="I11610">
        <v>100</v>
      </c>
      <c r="J11610" t="s">
        <v>462</v>
      </c>
      <c r="K11610" t="s">
        <v>446</v>
      </c>
      <c r="L11610" t="s">
        <v>13607</v>
      </c>
      <c r="M11610">
        <v>3711</v>
      </c>
      <c r="N11610" t="s">
        <v>17068</v>
      </c>
    </row>
    <row r="11611" spans="1:14">
      <c r="A11611">
        <v>70494220</v>
      </c>
      <c r="B11611">
        <v>4022255</v>
      </c>
      <c r="C11611" t="s">
        <v>5388</v>
      </c>
      <c r="D11611" t="s">
        <v>442</v>
      </c>
      <c r="E11611" t="s">
        <v>441</v>
      </c>
      <c r="F11611">
        <v>13.8</v>
      </c>
      <c r="G11611">
        <v>305.32</v>
      </c>
      <c r="H11611" t="s">
        <v>8587</v>
      </c>
      <c r="I11611">
        <v>100</v>
      </c>
      <c r="J11611" t="s">
        <v>462</v>
      </c>
      <c r="K11611" t="s">
        <v>446</v>
      </c>
      <c r="L11611" t="s">
        <v>13607</v>
      </c>
      <c r="M11611">
        <v>3711</v>
      </c>
      <c r="N11611" t="s">
        <v>17068</v>
      </c>
    </row>
    <row r="11612" spans="1:14">
      <c r="A11612">
        <v>70500000</v>
      </c>
      <c r="B11612">
        <v>3029680</v>
      </c>
      <c r="C11612" t="s">
        <v>5389</v>
      </c>
      <c r="D11612" t="s">
        <v>441</v>
      </c>
      <c r="F11612">
        <v>0</v>
      </c>
      <c r="G11612">
        <v>13.08</v>
      </c>
      <c r="H11612" t="s">
        <v>12573</v>
      </c>
      <c r="I11612">
        <v>4</v>
      </c>
      <c r="J11612" t="s">
        <v>445</v>
      </c>
      <c r="M11612">
        <v>3349</v>
      </c>
      <c r="N11612" t="s">
        <v>17089</v>
      </c>
    </row>
    <row r="11613" spans="1:14">
      <c r="A11613">
        <v>70500008</v>
      </c>
      <c r="B11613">
        <v>3029673</v>
      </c>
      <c r="C11613" t="s">
        <v>5390</v>
      </c>
      <c r="D11613" t="s">
        <v>441</v>
      </c>
      <c r="F11613">
        <v>0</v>
      </c>
      <c r="G11613">
        <v>13.18</v>
      </c>
      <c r="H11613" t="s">
        <v>12664</v>
      </c>
      <c r="I11613">
        <v>2</v>
      </c>
      <c r="J11613" t="s">
        <v>445</v>
      </c>
      <c r="M11613">
        <v>6666</v>
      </c>
      <c r="N11613" t="s">
        <v>17090</v>
      </c>
    </row>
    <row r="11614" spans="1:14">
      <c r="A11614">
        <v>70500009</v>
      </c>
      <c r="B11614">
        <v>3029589</v>
      </c>
      <c r="C11614" t="s">
        <v>5391</v>
      </c>
      <c r="D11614" t="s">
        <v>441</v>
      </c>
      <c r="F11614">
        <v>0</v>
      </c>
      <c r="G11614">
        <v>17.84</v>
      </c>
      <c r="H11614" t="s">
        <v>12573</v>
      </c>
      <c r="I11614">
        <v>6</v>
      </c>
      <c r="J11614" t="s">
        <v>445</v>
      </c>
      <c r="M11614">
        <v>3349</v>
      </c>
      <c r="N11614" t="s">
        <v>17091</v>
      </c>
    </row>
    <row r="11615" spans="1:14">
      <c r="A11615">
        <v>70504050</v>
      </c>
      <c r="B11615">
        <v>4019763</v>
      </c>
      <c r="C11615" t="s">
        <v>5392</v>
      </c>
      <c r="D11615" t="s">
        <v>442</v>
      </c>
      <c r="E11615" t="s">
        <v>441</v>
      </c>
      <c r="F11615">
        <v>0.26</v>
      </c>
      <c r="G11615">
        <v>4.28</v>
      </c>
      <c r="H11615" t="s">
        <v>8587</v>
      </c>
      <c r="I11615">
        <v>42</v>
      </c>
      <c r="J11615" t="s">
        <v>462</v>
      </c>
      <c r="K11615" t="s">
        <v>446</v>
      </c>
      <c r="L11615" t="s">
        <v>13608</v>
      </c>
      <c r="M11615">
        <v>3711</v>
      </c>
      <c r="N11615" t="s">
        <v>17089</v>
      </c>
    </row>
    <row r="11616" spans="1:14">
      <c r="A11616">
        <v>70504060</v>
      </c>
      <c r="B11616">
        <v>4019858</v>
      </c>
      <c r="C11616" t="s">
        <v>5393</v>
      </c>
      <c r="D11616" t="s">
        <v>441</v>
      </c>
      <c r="F11616">
        <v>0</v>
      </c>
      <c r="G11616">
        <v>15.28</v>
      </c>
      <c r="H11616" t="s">
        <v>8587</v>
      </c>
      <c r="I11616">
        <v>42</v>
      </c>
      <c r="J11616" t="s">
        <v>462</v>
      </c>
      <c r="K11616" t="s">
        <v>446</v>
      </c>
      <c r="M11616">
        <v>3711</v>
      </c>
      <c r="N11616" t="s">
        <v>17089</v>
      </c>
    </row>
    <row r="11617" spans="1:14">
      <c r="A11617">
        <v>70504070</v>
      </c>
      <c r="B11617">
        <v>4021567</v>
      </c>
      <c r="C11617" t="s">
        <v>5394</v>
      </c>
      <c r="D11617" t="s">
        <v>442</v>
      </c>
      <c r="E11617" t="s">
        <v>441</v>
      </c>
      <c r="F11617">
        <v>0.26</v>
      </c>
      <c r="G11617">
        <v>4.0999999999999996</v>
      </c>
      <c r="H11617" t="s">
        <v>8587</v>
      </c>
      <c r="I11617">
        <v>42</v>
      </c>
      <c r="J11617" t="s">
        <v>462</v>
      </c>
      <c r="K11617" t="s">
        <v>446</v>
      </c>
      <c r="M11617">
        <v>3711</v>
      </c>
      <c r="N11617" t="s">
        <v>17089</v>
      </c>
    </row>
    <row r="11618" spans="1:14">
      <c r="A11618">
        <v>70504080</v>
      </c>
      <c r="B11618">
        <v>4023673</v>
      </c>
      <c r="C11618" t="s">
        <v>17679</v>
      </c>
      <c r="D11618" t="s">
        <v>442</v>
      </c>
      <c r="E11618" t="s">
        <v>441</v>
      </c>
      <c r="F11618">
        <v>0.26</v>
      </c>
      <c r="G11618">
        <v>7.77</v>
      </c>
      <c r="H11618" t="s">
        <v>8587</v>
      </c>
      <c r="I11618">
        <v>42</v>
      </c>
      <c r="J11618" t="s">
        <v>462</v>
      </c>
      <c r="L11618" t="s">
        <v>13608</v>
      </c>
      <c r="M11618">
        <v>7108</v>
      </c>
      <c r="N11618" t="s">
        <v>17089</v>
      </c>
    </row>
    <row r="11619" spans="1:14">
      <c r="A11619">
        <v>70504090</v>
      </c>
      <c r="B11619">
        <v>4024581</v>
      </c>
      <c r="C11619" t="s">
        <v>15446</v>
      </c>
      <c r="D11619" t="s">
        <v>442</v>
      </c>
      <c r="E11619" t="s">
        <v>441</v>
      </c>
      <c r="F11619">
        <v>0.26</v>
      </c>
      <c r="G11619">
        <v>6.49</v>
      </c>
      <c r="H11619" t="s">
        <v>8587</v>
      </c>
      <c r="I11619">
        <v>42</v>
      </c>
      <c r="J11619" t="s">
        <v>462</v>
      </c>
      <c r="K11619" t="s">
        <v>446</v>
      </c>
      <c r="L11619" t="s">
        <v>13609</v>
      </c>
      <c r="M11619">
        <v>7108</v>
      </c>
      <c r="N11619" t="s">
        <v>17089</v>
      </c>
    </row>
    <row r="11620" spans="1:14">
      <c r="A11620">
        <v>70504210</v>
      </c>
      <c r="B11620">
        <v>4025521</v>
      </c>
      <c r="C11620" t="s">
        <v>15935</v>
      </c>
      <c r="D11620" t="s">
        <v>442</v>
      </c>
      <c r="E11620" t="s">
        <v>441</v>
      </c>
      <c r="F11620">
        <v>0.26</v>
      </c>
      <c r="G11620">
        <v>7.82</v>
      </c>
      <c r="H11620" t="s">
        <v>8587</v>
      </c>
      <c r="I11620">
        <v>42</v>
      </c>
      <c r="J11620" t="s">
        <v>462</v>
      </c>
      <c r="L11620" t="s">
        <v>13610</v>
      </c>
      <c r="M11620">
        <v>7108</v>
      </c>
      <c r="N11620" t="s">
        <v>17089</v>
      </c>
    </row>
    <row r="11621" spans="1:14">
      <c r="A11621">
        <v>70504220</v>
      </c>
      <c r="B11621">
        <v>4027720</v>
      </c>
      <c r="C11621" t="s">
        <v>17680</v>
      </c>
      <c r="D11621" t="s">
        <v>442</v>
      </c>
      <c r="E11621" t="s">
        <v>441</v>
      </c>
      <c r="F11621">
        <v>0.26</v>
      </c>
      <c r="G11621">
        <v>7.68</v>
      </c>
      <c r="H11621" t="s">
        <v>8587</v>
      </c>
      <c r="I11621">
        <v>42</v>
      </c>
      <c r="J11621" t="s">
        <v>462</v>
      </c>
      <c r="K11621" t="s">
        <v>446</v>
      </c>
      <c r="L11621">
        <v>23246</v>
      </c>
      <c r="M11621">
        <v>7108</v>
      </c>
      <c r="N11621" t="s">
        <v>17089</v>
      </c>
    </row>
    <row r="11622" spans="1:14">
      <c r="A11622">
        <v>70510000</v>
      </c>
      <c r="B11622">
        <v>3034649</v>
      </c>
      <c r="C11622" t="s">
        <v>5395</v>
      </c>
      <c r="D11622" t="s">
        <v>441</v>
      </c>
      <c r="F11622">
        <v>0</v>
      </c>
      <c r="G11622">
        <v>11.59</v>
      </c>
      <c r="H11622" t="s">
        <v>12573</v>
      </c>
      <c r="I11622">
        <v>7</v>
      </c>
      <c r="J11622" t="s">
        <v>445</v>
      </c>
      <c r="M11622">
        <v>3349</v>
      </c>
      <c r="N11622" t="s">
        <v>16412</v>
      </c>
    </row>
    <row r="11623" spans="1:14">
      <c r="A11623">
        <v>70510008</v>
      </c>
      <c r="B11623">
        <v>3034648</v>
      </c>
      <c r="C11623" t="s">
        <v>5396</v>
      </c>
      <c r="D11623" t="s">
        <v>441</v>
      </c>
      <c r="F11623">
        <v>0</v>
      </c>
      <c r="G11623">
        <v>13.03</v>
      </c>
      <c r="H11623" t="s">
        <v>12664</v>
      </c>
      <c r="I11623">
        <v>3</v>
      </c>
      <c r="J11623" t="s">
        <v>445</v>
      </c>
      <c r="M11623">
        <v>6666</v>
      </c>
      <c r="N11623" t="s">
        <v>17092</v>
      </c>
    </row>
    <row r="11624" spans="1:14">
      <c r="A11624">
        <v>70510009</v>
      </c>
      <c r="B11624">
        <v>3034650</v>
      </c>
      <c r="C11624" t="s">
        <v>5397</v>
      </c>
      <c r="D11624" t="s">
        <v>441</v>
      </c>
      <c r="F11624">
        <v>0</v>
      </c>
      <c r="G11624">
        <v>14.29</v>
      </c>
      <c r="H11624" t="s">
        <v>12573</v>
      </c>
      <c r="I11624">
        <v>6</v>
      </c>
      <c r="J11624" t="s">
        <v>445</v>
      </c>
      <c r="M11624">
        <v>3349</v>
      </c>
      <c r="N11624" t="s">
        <v>17093</v>
      </c>
    </row>
    <row r="11625" spans="1:14">
      <c r="A11625">
        <v>70514110</v>
      </c>
      <c r="B11625">
        <v>4023282</v>
      </c>
      <c r="C11625" t="s">
        <v>14609</v>
      </c>
      <c r="D11625" t="s">
        <v>442</v>
      </c>
      <c r="E11625" t="s">
        <v>441</v>
      </c>
      <c r="F11625">
        <v>0.46</v>
      </c>
      <c r="G11625">
        <v>9.6199999999999992</v>
      </c>
      <c r="H11625" t="s">
        <v>8587</v>
      </c>
      <c r="I11625">
        <v>81</v>
      </c>
      <c r="J11625" t="s">
        <v>462</v>
      </c>
      <c r="K11625" t="s">
        <v>446</v>
      </c>
      <c r="L11625" t="s">
        <v>13611</v>
      </c>
      <c r="M11625">
        <v>7108</v>
      </c>
      <c r="N11625" t="s">
        <v>16412</v>
      </c>
    </row>
    <row r="11626" spans="1:14">
      <c r="A11626">
        <v>70514111</v>
      </c>
      <c r="B11626">
        <v>3039157</v>
      </c>
      <c r="C11626" t="s">
        <v>5398</v>
      </c>
      <c r="D11626" t="s">
        <v>442</v>
      </c>
      <c r="E11626" t="s">
        <v>441</v>
      </c>
      <c r="F11626">
        <v>0.46</v>
      </c>
      <c r="G11626">
        <v>6.14</v>
      </c>
      <c r="H11626" t="s">
        <v>8587</v>
      </c>
      <c r="I11626">
        <v>81</v>
      </c>
      <c r="J11626" t="s">
        <v>445</v>
      </c>
      <c r="M11626">
        <v>3741</v>
      </c>
      <c r="N11626" t="s">
        <v>16412</v>
      </c>
    </row>
    <row r="11627" spans="1:14">
      <c r="A11627">
        <v>70514120</v>
      </c>
      <c r="B11627">
        <v>4023283</v>
      </c>
      <c r="C11627" t="s">
        <v>5399</v>
      </c>
      <c r="D11627" t="s">
        <v>442</v>
      </c>
      <c r="E11627" t="s">
        <v>441</v>
      </c>
      <c r="F11627">
        <v>0.23</v>
      </c>
      <c r="G11627">
        <v>6.09</v>
      </c>
      <c r="H11627" t="s">
        <v>8587</v>
      </c>
      <c r="I11627">
        <v>81</v>
      </c>
      <c r="J11627" t="s">
        <v>462</v>
      </c>
      <c r="L11627" t="s">
        <v>13612</v>
      </c>
      <c r="M11627">
        <v>7108</v>
      </c>
      <c r="N11627" t="s">
        <v>16412</v>
      </c>
    </row>
    <row r="11628" spans="1:14">
      <c r="A11628">
        <v>70514121</v>
      </c>
      <c r="B11628">
        <v>3035611</v>
      </c>
      <c r="C11628" t="s">
        <v>5400</v>
      </c>
      <c r="D11628" t="s">
        <v>442</v>
      </c>
      <c r="E11628" t="s">
        <v>441</v>
      </c>
      <c r="F11628">
        <v>0.23</v>
      </c>
      <c r="G11628">
        <v>6</v>
      </c>
      <c r="H11628" t="s">
        <v>8587</v>
      </c>
      <c r="I11628">
        <v>81</v>
      </c>
      <c r="J11628" t="s">
        <v>445</v>
      </c>
      <c r="M11628">
        <v>3741</v>
      </c>
      <c r="N11628" t="s">
        <v>16412</v>
      </c>
    </row>
    <row r="11629" spans="1:14">
      <c r="A11629">
        <v>70514130</v>
      </c>
      <c r="B11629">
        <v>4023746</v>
      </c>
      <c r="C11629" t="s">
        <v>14610</v>
      </c>
      <c r="D11629" t="s">
        <v>442</v>
      </c>
      <c r="E11629" t="s">
        <v>441</v>
      </c>
      <c r="F11629">
        <v>0.46</v>
      </c>
      <c r="G11629">
        <v>9.68</v>
      </c>
      <c r="H11629" t="s">
        <v>8587</v>
      </c>
      <c r="I11629">
        <v>81</v>
      </c>
      <c r="J11629" t="s">
        <v>462</v>
      </c>
      <c r="K11629" t="s">
        <v>446</v>
      </c>
      <c r="L11629" t="s">
        <v>13611</v>
      </c>
      <c r="M11629">
        <v>7108</v>
      </c>
      <c r="N11629" t="s">
        <v>16412</v>
      </c>
    </row>
    <row r="11630" spans="1:14">
      <c r="A11630">
        <v>70514140</v>
      </c>
      <c r="B11630">
        <v>4024136</v>
      </c>
      <c r="C11630" t="s">
        <v>5401</v>
      </c>
      <c r="D11630" t="s">
        <v>442</v>
      </c>
      <c r="E11630" t="s">
        <v>441</v>
      </c>
      <c r="F11630">
        <v>0.46</v>
      </c>
      <c r="G11630">
        <v>9.6300000000000008</v>
      </c>
      <c r="H11630" t="s">
        <v>8587</v>
      </c>
      <c r="I11630">
        <v>81</v>
      </c>
      <c r="J11630" t="s">
        <v>462</v>
      </c>
      <c r="K11630" t="s">
        <v>446</v>
      </c>
      <c r="M11630">
        <v>7108</v>
      </c>
      <c r="N11630" t="s">
        <v>16412</v>
      </c>
    </row>
    <row r="11631" spans="1:14">
      <c r="A11631">
        <v>70514150</v>
      </c>
      <c r="B11631">
        <v>4024481</v>
      </c>
      <c r="C11631" t="s">
        <v>5402</v>
      </c>
      <c r="D11631" t="s">
        <v>442</v>
      </c>
      <c r="E11631" t="s">
        <v>441</v>
      </c>
      <c r="F11631">
        <v>0.23</v>
      </c>
      <c r="G11631">
        <v>6.16</v>
      </c>
      <c r="H11631" t="s">
        <v>8587</v>
      </c>
      <c r="I11631">
        <v>81</v>
      </c>
      <c r="J11631" t="s">
        <v>462</v>
      </c>
      <c r="L11631" t="s">
        <v>13613</v>
      </c>
      <c r="M11631">
        <v>7108</v>
      </c>
      <c r="N11631" t="s">
        <v>16412</v>
      </c>
    </row>
    <row r="11632" spans="1:14">
      <c r="A11632">
        <v>70514151</v>
      </c>
      <c r="B11632">
        <v>3046164</v>
      </c>
      <c r="C11632" t="s">
        <v>17681</v>
      </c>
      <c r="D11632" t="s">
        <v>442</v>
      </c>
      <c r="E11632" t="s">
        <v>441</v>
      </c>
      <c r="F11632">
        <v>0.23</v>
      </c>
      <c r="G11632">
        <v>6.04</v>
      </c>
      <c r="H11632" t="s">
        <v>8587</v>
      </c>
      <c r="I11632">
        <v>81</v>
      </c>
      <c r="J11632" t="s">
        <v>445</v>
      </c>
      <c r="M11632">
        <v>3741</v>
      </c>
      <c r="N11632" t="s">
        <v>16412</v>
      </c>
    </row>
    <row r="11633" spans="1:14">
      <c r="A11633">
        <v>70514160</v>
      </c>
      <c r="B11633">
        <v>4026281</v>
      </c>
      <c r="C11633" t="s">
        <v>5403</v>
      </c>
      <c r="D11633" t="s">
        <v>442</v>
      </c>
      <c r="E11633" t="s">
        <v>441</v>
      </c>
      <c r="F11633">
        <v>0.23</v>
      </c>
      <c r="G11633">
        <v>6.53</v>
      </c>
      <c r="H11633" t="s">
        <v>8587</v>
      </c>
      <c r="I11633">
        <v>81</v>
      </c>
      <c r="J11633" t="s">
        <v>462</v>
      </c>
      <c r="M11633">
        <v>7108</v>
      </c>
      <c r="N11633" t="s">
        <v>16412</v>
      </c>
    </row>
    <row r="11634" spans="1:14">
      <c r="A11634">
        <v>70514170</v>
      </c>
      <c r="B11634">
        <v>4026282</v>
      </c>
      <c r="C11634" t="s">
        <v>14611</v>
      </c>
      <c r="D11634" t="s">
        <v>442</v>
      </c>
      <c r="E11634" t="s">
        <v>441</v>
      </c>
      <c r="F11634">
        <v>0.46</v>
      </c>
      <c r="G11634">
        <v>9.48</v>
      </c>
      <c r="H11634" t="s">
        <v>8587</v>
      </c>
      <c r="I11634">
        <v>81</v>
      </c>
      <c r="J11634" t="s">
        <v>462</v>
      </c>
      <c r="K11634" t="s">
        <v>446</v>
      </c>
      <c r="M11634">
        <v>7108</v>
      </c>
      <c r="N11634" t="s">
        <v>17029</v>
      </c>
    </row>
    <row r="11635" spans="1:14">
      <c r="A11635">
        <v>70514180</v>
      </c>
      <c r="B11635">
        <v>4030246</v>
      </c>
      <c r="C11635" t="s">
        <v>17094</v>
      </c>
      <c r="D11635" t="s">
        <v>442</v>
      </c>
      <c r="E11635" t="s">
        <v>441</v>
      </c>
      <c r="F11635">
        <v>0.23</v>
      </c>
      <c r="G11635">
        <v>6.06</v>
      </c>
      <c r="H11635" t="s">
        <v>8587</v>
      </c>
      <c r="I11635">
        <v>81</v>
      </c>
      <c r="J11635" t="s">
        <v>462</v>
      </c>
      <c r="L11635" t="s">
        <v>13612</v>
      </c>
      <c r="M11635">
        <v>7108</v>
      </c>
      <c r="N11635" t="s">
        <v>16412</v>
      </c>
    </row>
    <row r="11636" spans="1:14">
      <c r="A11636">
        <v>70514210</v>
      </c>
      <c r="B11636">
        <v>4023321</v>
      </c>
      <c r="C11636" t="s">
        <v>5404</v>
      </c>
      <c r="D11636" t="s">
        <v>441</v>
      </c>
      <c r="F11636">
        <v>0</v>
      </c>
      <c r="G11636">
        <v>19.96</v>
      </c>
      <c r="H11636" t="s">
        <v>8587</v>
      </c>
      <c r="I11636">
        <v>42</v>
      </c>
      <c r="J11636" t="s">
        <v>462</v>
      </c>
      <c r="M11636">
        <v>7108</v>
      </c>
      <c r="N11636" t="s">
        <v>16412</v>
      </c>
    </row>
    <row r="11637" spans="1:14">
      <c r="A11637">
        <v>70520000</v>
      </c>
      <c r="B11637">
        <v>3036452</v>
      </c>
      <c r="C11637" t="s">
        <v>14612</v>
      </c>
      <c r="D11637" t="s">
        <v>441</v>
      </c>
      <c r="F11637">
        <v>0</v>
      </c>
      <c r="G11637">
        <v>21.57</v>
      </c>
      <c r="H11637" t="s">
        <v>12573</v>
      </c>
      <c r="I11637">
        <v>3</v>
      </c>
      <c r="J11637" t="s">
        <v>445</v>
      </c>
      <c r="L11637" t="s">
        <v>13614</v>
      </c>
      <c r="M11637">
        <v>3349</v>
      </c>
      <c r="N11637" t="s">
        <v>17057</v>
      </c>
    </row>
    <row r="11638" spans="1:14">
      <c r="A11638">
        <v>70520008</v>
      </c>
      <c r="B11638">
        <v>3036450</v>
      </c>
      <c r="C11638" t="s">
        <v>5405</v>
      </c>
      <c r="D11638" t="s">
        <v>441</v>
      </c>
      <c r="F11638">
        <v>0</v>
      </c>
      <c r="G11638">
        <v>10.039999999999999</v>
      </c>
      <c r="H11638" t="s">
        <v>12664</v>
      </c>
      <c r="I11638">
        <v>5</v>
      </c>
      <c r="J11638" t="s">
        <v>445</v>
      </c>
      <c r="M11638">
        <v>6666</v>
      </c>
      <c r="N11638" t="s">
        <v>17058</v>
      </c>
    </row>
    <row r="11639" spans="1:14">
      <c r="A11639">
        <v>70520009</v>
      </c>
      <c r="B11639">
        <v>3036451</v>
      </c>
      <c r="C11639" t="s">
        <v>14613</v>
      </c>
      <c r="D11639" t="s">
        <v>441</v>
      </c>
      <c r="F11639">
        <v>0</v>
      </c>
      <c r="G11639">
        <v>14.8</v>
      </c>
      <c r="H11639" t="s">
        <v>12573</v>
      </c>
      <c r="I11639">
        <v>6</v>
      </c>
      <c r="J11639" t="s">
        <v>445</v>
      </c>
      <c r="M11639">
        <v>3349</v>
      </c>
      <c r="N11639" t="s">
        <v>17059</v>
      </c>
    </row>
    <row r="11640" spans="1:14">
      <c r="A11640">
        <v>70524210</v>
      </c>
      <c r="B11640">
        <v>4024477</v>
      </c>
      <c r="C11640" t="s">
        <v>15682</v>
      </c>
      <c r="D11640" t="s">
        <v>442</v>
      </c>
      <c r="E11640" t="s">
        <v>441</v>
      </c>
      <c r="F11640">
        <v>0.25</v>
      </c>
      <c r="G11640">
        <v>7.64</v>
      </c>
      <c r="H11640" t="s">
        <v>8587</v>
      </c>
      <c r="I11640">
        <v>110</v>
      </c>
      <c r="J11640" t="s">
        <v>462</v>
      </c>
      <c r="L11640" t="s">
        <v>13615</v>
      </c>
      <c r="M11640">
        <v>7108</v>
      </c>
      <c r="N11640" t="s">
        <v>17057</v>
      </c>
    </row>
    <row r="11641" spans="1:14">
      <c r="A11641">
        <v>70524211</v>
      </c>
      <c r="B11641">
        <v>3036453</v>
      </c>
      <c r="C11641" t="s">
        <v>5406</v>
      </c>
      <c r="D11641" t="s">
        <v>442</v>
      </c>
      <c r="E11641" t="s">
        <v>441</v>
      </c>
      <c r="F11641">
        <v>0.25</v>
      </c>
      <c r="G11641">
        <v>6.11</v>
      </c>
      <c r="H11641" t="s">
        <v>8587</v>
      </c>
      <c r="I11641">
        <v>110</v>
      </c>
      <c r="J11641" t="s">
        <v>445</v>
      </c>
      <c r="M11641">
        <v>3741</v>
      </c>
      <c r="N11641" t="s">
        <v>17057</v>
      </c>
    </row>
    <row r="11642" spans="1:14">
      <c r="A11642">
        <v>70524220</v>
      </c>
      <c r="B11642">
        <v>4025221</v>
      </c>
      <c r="C11642" t="s">
        <v>15212</v>
      </c>
      <c r="D11642" t="s">
        <v>442</v>
      </c>
      <c r="E11642" t="s">
        <v>441</v>
      </c>
      <c r="F11642">
        <v>0.25</v>
      </c>
      <c r="G11642">
        <v>6.8</v>
      </c>
      <c r="H11642" t="s">
        <v>8587</v>
      </c>
      <c r="I11642">
        <v>110</v>
      </c>
      <c r="J11642" t="s">
        <v>462</v>
      </c>
      <c r="L11642" t="s">
        <v>13616</v>
      </c>
      <c r="M11642">
        <v>7108</v>
      </c>
      <c r="N11642" t="s">
        <v>17057</v>
      </c>
    </row>
    <row r="11643" spans="1:14">
      <c r="A11643">
        <v>70524230</v>
      </c>
      <c r="B11643">
        <v>4025339</v>
      </c>
      <c r="C11643" t="s">
        <v>14614</v>
      </c>
      <c r="D11643" t="s">
        <v>442</v>
      </c>
      <c r="E11643" t="s">
        <v>441</v>
      </c>
      <c r="F11643">
        <v>0.25</v>
      </c>
      <c r="G11643">
        <v>6.81</v>
      </c>
      <c r="H11643" t="s">
        <v>8587</v>
      </c>
      <c r="I11643">
        <v>110</v>
      </c>
      <c r="J11643" t="s">
        <v>462</v>
      </c>
      <c r="K11643" t="s">
        <v>446</v>
      </c>
      <c r="L11643" t="s">
        <v>13616</v>
      </c>
      <c r="M11643">
        <v>7108</v>
      </c>
      <c r="N11643" t="s">
        <v>17057</v>
      </c>
    </row>
    <row r="11644" spans="1:14">
      <c r="A11644">
        <v>70524240</v>
      </c>
      <c r="B11644">
        <v>4026244</v>
      </c>
      <c r="C11644" t="s">
        <v>5407</v>
      </c>
      <c r="D11644" t="s">
        <v>442</v>
      </c>
      <c r="E11644" t="s">
        <v>441</v>
      </c>
      <c r="F11644">
        <v>0.25</v>
      </c>
      <c r="G11644">
        <v>6.11</v>
      </c>
      <c r="H11644" t="s">
        <v>8587</v>
      </c>
      <c r="I11644">
        <v>110</v>
      </c>
      <c r="J11644" t="s">
        <v>462</v>
      </c>
      <c r="M11644">
        <v>7108</v>
      </c>
      <c r="N11644" t="s">
        <v>17057</v>
      </c>
    </row>
    <row r="11645" spans="1:14">
      <c r="A11645">
        <v>70524250</v>
      </c>
      <c r="B11645">
        <v>4026618</v>
      </c>
      <c r="C11645" t="s">
        <v>17682</v>
      </c>
      <c r="D11645" t="s">
        <v>442</v>
      </c>
      <c r="E11645" t="s">
        <v>441</v>
      </c>
      <c r="F11645">
        <v>0.25</v>
      </c>
      <c r="G11645">
        <v>7.52</v>
      </c>
      <c r="H11645" t="s">
        <v>8587</v>
      </c>
      <c r="I11645">
        <v>110</v>
      </c>
      <c r="J11645" t="s">
        <v>462</v>
      </c>
      <c r="K11645" t="s">
        <v>446</v>
      </c>
      <c r="M11645">
        <v>7108</v>
      </c>
      <c r="N11645" t="s">
        <v>17057</v>
      </c>
    </row>
    <row r="11646" spans="1:14">
      <c r="A11646">
        <v>70524260</v>
      </c>
      <c r="B11646">
        <v>4028250</v>
      </c>
      <c r="C11646" t="s">
        <v>5408</v>
      </c>
      <c r="D11646" t="s">
        <v>442</v>
      </c>
      <c r="E11646" t="s">
        <v>441</v>
      </c>
      <c r="F11646">
        <v>0.25</v>
      </c>
      <c r="G11646">
        <v>6.14</v>
      </c>
      <c r="H11646" t="s">
        <v>8587</v>
      </c>
      <c r="I11646">
        <v>110</v>
      </c>
      <c r="J11646" t="s">
        <v>462</v>
      </c>
      <c r="M11646">
        <v>7108</v>
      </c>
      <c r="N11646" t="s">
        <v>17057</v>
      </c>
    </row>
    <row r="11647" spans="1:14">
      <c r="A11647">
        <v>70524270</v>
      </c>
      <c r="B11647">
        <v>4028977</v>
      </c>
      <c r="C11647" t="s">
        <v>14615</v>
      </c>
      <c r="D11647" t="s">
        <v>442</v>
      </c>
      <c r="E11647" t="s">
        <v>441</v>
      </c>
      <c r="F11647">
        <v>0.25</v>
      </c>
      <c r="G11647">
        <v>7.14</v>
      </c>
      <c r="H11647" t="s">
        <v>8587</v>
      </c>
      <c r="I11647">
        <v>110</v>
      </c>
      <c r="J11647" t="s">
        <v>462</v>
      </c>
      <c r="M11647">
        <v>7329</v>
      </c>
      <c r="N11647" t="s">
        <v>17057</v>
      </c>
    </row>
    <row r="11648" spans="1:14">
      <c r="A11648">
        <v>70524280</v>
      </c>
      <c r="B11648">
        <v>4029293</v>
      </c>
      <c r="C11648" t="s">
        <v>14616</v>
      </c>
      <c r="D11648" t="s">
        <v>442</v>
      </c>
      <c r="E11648" t="s">
        <v>441</v>
      </c>
      <c r="F11648">
        <v>0.25</v>
      </c>
      <c r="G11648">
        <v>6.89</v>
      </c>
      <c r="H11648" t="s">
        <v>8587</v>
      </c>
      <c r="I11648">
        <v>110</v>
      </c>
      <c r="J11648" t="s">
        <v>462</v>
      </c>
      <c r="M11648">
        <v>7329</v>
      </c>
      <c r="N11648" t="s">
        <v>17057</v>
      </c>
    </row>
    <row r="11649" spans="1:14">
      <c r="A11649">
        <v>70524290</v>
      </c>
      <c r="B11649">
        <v>4030204</v>
      </c>
      <c r="C11649" t="s">
        <v>17095</v>
      </c>
      <c r="D11649" t="s">
        <v>442</v>
      </c>
      <c r="E11649" t="s">
        <v>441</v>
      </c>
      <c r="F11649">
        <v>0.25</v>
      </c>
      <c r="G11649">
        <v>7.72</v>
      </c>
      <c r="H11649" t="s">
        <v>8587</v>
      </c>
      <c r="I11649">
        <v>110</v>
      </c>
      <c r="J11649" t="s">
        <v>462</v>
      </c>
      <c r="M11649">
        <v>7329</v>
      </c>
      <c r="N11649" t="s">
        <v>17057</v>
      </c>
    </row>
    <row r="11650" spans="1:14">
      <c r="A11650">
        <v>70530000</v>
      </c>
      <c r="B11650">
        <v>3036607</v>
      </c>
      <c r="C11650" t="s">
        <v>5409</v>
      </c>
      <c r="D11650" t="s">
        <v>441</v>
      </c>
      <c r="F11650">
        <v>0</v>
      </c>
      <c r="G11650">
        <v>18.23</v>
      </c>
      <c r="H11650" t="s">
        <v>12573</v>
      </c>
      <c r="I11650">
        <v>3</v>
      </c>
      <c r="J11650" t="s">
        <v>445</v>
      </c>
      <c r="M11650">
        <v>3349</v>
      </c>
      <c r="N11650" t="s">
        <v>17096</v>
      </c>
    </row>
    <row r="11651" spans="1:14">
      <c r="A11651">
        <v>70530008</v>
      </c>
      <c r="B11651">
        <v>3036611</v>
      </c>
      <c r="C11651" t="s">
        <v>5410</v>
      </c>
      <c r="D11651" t="s">
        <v>441</v>
      </c>
      <c r="F11651">
        <v>0</v>
      </c>
      <c r="G11651">
        <v>10.96</v>
      </c>
      <c r="H11651" t="s">
        <v>12664</v>
      </c>
      <c r="I11651">
        <v>5</v>
      </c>
      <c r="J11651" t="s">
        <v>445</v>
      </c>
      <c r="M11651">
        <v>6666</v>
      </c>
      <c r="N11651" t="s">
        <v>17097</v>
      </c>
    </row>
    <row r="11652" spans="1:14">
      <c r="A11652">
        <v>70530009</v>
      </c>
      <c r="B11652">
        <v>3036612</v>
      </c>
      <c r="C11652" t="s">
        <v>5411</v>
      </c>
      <c r="D11652" t="s">
        <v>441</v>
      </c>
      <c r="F11652">
        <v>0</v>
      </c>
      <c r="G11652">
        <v>16.079999999999998</v>
      </c>
      <c r="H11652" t="s">
        <v>12573</v>
      </c>
      <c r="I11652">
        <v>6</v>
      </c>
      <c r="J11652" t="s">
        <v>445</v>
      </c>
      <c r="M11652">
        <v>3349</v>
      </c>
      <c r="N11652" t="s">
        <v>17098</v>
      </c>
    </row>
    <row r="11653" spans="1:14">
      <c r="A11653">
        <v>70534210</v>
      </c>
      <c r="B11653">
        <v>4025562</v>
      </c>
      <c r="C11653" t="s">
        <v>5412</v>
      </c>
      <c r="D11653" t="s">
        <v>442</v>
      </c>
      <c r="E11653" t="s">
        <v>441</v>
      </c>
      <c r="F11653">
        <v>9.5000000000000001E-2</v>
      </c>
      <c r="G11653">
        <v>2.7</v>
      </c>
      <c r="H11653" t="s">
        <v>8587</v>
      </c>
      <c r="I11653">
        <v>110</v>
      </c>
      <c r="J11653" t="s">
        <v>462</v>
      </c>
      <c r="L11653" t="s">
        <v>13617</v>
      </c>
      <c r="M11653">
        <v>7108</v>
      </c>
      <c r="N11653" t="s">
        <v>17096</v>
      </c>
    </row>
    <row r="11654" spans="1:14">
      <c r="A11654">
        <v>70534211</v>
      </c>
      <c r="B11654">
        <v>3036627</v>
      </c>
      <c r="C11654" t="s">
        <v>5413</v>
      </c>
      <c r="D11654" t="s">
        <v>442</v>
      </c>
      <c r="E11654" t="s">
        <v>441</v>
      </c>
      <c r="F11654">
        <v>9.5000000000000001E-2</v>
      </c>
      <c r="G11654">
        <v>2.58</v>
      </c>
      <c r="H11654" t="s">
        <v>8587</v>
      </c>
      <c r="I11654">
        <v>110</v>
      </c>
      <c r="J11654" t="s">
        <v>445</v>
      </c>
      <c r="M11654">
        <v>3741</v>
      </c>
      <c r="N11654" t="s">
        <v>17096</v>
      </c>
    </row>
    <row r="11655" spans="1:14">
      <c r="A11655">
        <v>70534220</v>
      </c>
      <c r="B11655">
        <v>4026613</v>
      </c>
      <c r="C11655" t="s">
        <v>17683</v>
      </c>
      <c r="D11655" t="s">
        <v>442</v>
      </c>
      <c r="E11655" t="s">
        <v>441</v>
      </c>
      <c r="F11655">
        <v>9.5000000000000001E-2</v>
      </c>
      <c r="G11655">
        <v>3.2</v>
      </c>
      <c r="H11655" t="s">
        <v>8587</v>
      </c>
      <c r="I11655">
        <v>110</v>
      </c>
      <c r="J11655" t="s">
        <v>462</v>
      </c>
      <c r="K11655" t="s">
        <v>446</v>
      </c>
      <c r="M11655">
        <v>7108</v>
      </c>
      <c r="N11655" t="s">
        <v>17096</v>
      </c>
    </row>
    <row r="11656" spans="1:14">
      <c r="A11656">
        <v>70534230</v>
      </c>
      <c r="B11656">
        <v>3040214</v>
      </c>
      <c r="C11656" t="s">
        <v>5414</v>
      </c>
      <c r="D11656" t="s">
        <v>442</v>
      </c>
      <c r="E11656" t="s">
        <v>441</v>
      </c>
      <c r="F11656">
        <v>9.5000000000000001E-2</v>
      </c>
      <c r="G11656">
        <v>2.7</v>
      </c>
      <c r="H11656" t="s">
        <v>8587</v>
      </c>
      <c r="I11656">
        <v>110</v>
      </c>
      <c r="J11656" t="s">
        <v>445</v>
      </c>
      <c r="L11656" t="s">
        <v>13617</v>
      </c>
      <c r="M11656">
        <v>7108</v>
      </c>
      <c r="N11656" t="s">
        <v>17096</v>
      </c>
    </row>
    <row r="11657" spans="1:14">
      <c r="A11657">
        <v>70534240</v>
      </c>
      <c r="B11657">
        <v>4026735</v>
      </c>
      <c r="C11657" t="s">
        <v>5415</v>
      </c>
      <c r="D11657" t="s">
        <v>442</v>
      </c>
      <c r="E11657" t="s">
        <v>441</v>
      </c>
      <c r="F11657">
        <v>9.5000000000000001E-2</v>
      </c>
      <c r="G11657">
        <v>2.58</v>
      </c>
      <c r="H11657" t="s">
        <v>8587</v>
      </c>
      <c r="I11657">
        <v>110</v>
      </c>
      <c r="J11657" t="s">
        <v>462</v>
      </c>
      <c r="M11657">
        <v>7108</v>
      </c>
      <c r="N11657" t="s">
        <v>17096</v>
      </c>
    </row>
    <row r="11658" spans="1:14">
      <c r="A11658">
        <v>70534250</v>
      </c>
      <c r="B11658">
        <v>4026817</v>
      </c>
      <c r="C11658" t="s">
        <v>17684</v>
      </c>
      <c r="D11658" t="s">
        <v>442</v>
      </c>
      <c r="E11658" t="s">
        <v>441</v>
      </c>
      <c r="F11658">
        <v>9.5000000000000001E-2</v>
      </c>
      <c r="G11658">
        <v>3.27</v>
      </c>
      <c r="H11658" t="s">
        <v>8587</v>
      </c>
      <c r="I11658">
        <v>110</v>
      </c>
      <c r="J11658" t="s">
        <v>462</v>
      </c>
      <c r="K11658" t="s">
        <v>446</v>
      </c>
      <c r="L11658" t="s">
        <v>13618</v>
      </c>
      <c r="M11658">
        <v>7108</v>
      </c>
      <c r="N11658" t="s">
        <v>17096</v>
      </c>
    </row>
    <row r="11659" spans="1:14">
      <c r="A11659">
        <v>70534260</v>
      </c>
      <c r="B11659">
        <v>4026914</v>
      </c>
      <c r="C11659" t="s">
        <v>17685</v>
      </c>
      <c r="D11659" t="s">
        <v>442</v>
      </c>
      <c r="E11659" t="s">
        <v>441</v>
      </c>
      <c r="F11659">
        <v>9.5000000000000001E-2</v>
      </c>
      <c r="G11659">
        <v>3.2</v>
      </c>
      <c r="H11659" t="s">
        <v>8587</v>
      </c>
      <c r="I11659">
        <v>110</v>
      </c>
      <c r="J11659" t="s">
        <v>462</v>
      </c>
      <c r="K11659" t="s">
        <v>446</v>
      </c>
      <c r="M11659">
        <v>7108</v>
      </c>
      <c r="N11659" t="s">
        <v>17096</v>
      </c>
    </row>
    <row r="11660" spans="1:14">
      <c r="A11660">
        <v>70534270</v>
      </c>
      <c r="B11660">
        <v>4028772</v>
      </c>
      <c r="C11660" t="s">
        <v>13619</v>
      </c>
      <c r="D11660" t="s">
        <v>442</v>
      </c>
      <c r="E11660" t="s">
        <v>441</v>
      </c>
      <c r="F11660">
        <v>9.5000000000000001E-2</v>
      </c>
      <c r="G11660">
        <v>3.21</v>
      </c>
      <c r="H11660" t="s">
        <v>8587</v>
      </c>
      <c r="I11660">
        <v>110</v>
      </c>
      <c r="J11660" t="s">
        <v>462</v>
      </c>
      <c r="M11660">
        <v>7108</v>
      </c>
      <c r="N11660" t="s">
        <v>17096</v>
      </c>
    </row>
    <row r="11661" spans="1:14">
      <c r="A11661">
        <v>70534290</v>
      </c>
      <c r="B11661">
        <v>4030642</v>
      </c>
      <c r="C11661" t="s">
        <v>17686</v>
      </c>
      <c r="D11661" t="s">
        <v>442</v>
      </c>
      <c r="E11661" t="s">
        <v>441</v>
      </c>
      <c r="F11661">
        <v>9.5000000000000001E-2</v>
      </c>
      <c r="G11661">
        <v>3.24</v>
      </c>
      <c r="H11661" t="s">
        <v>8587</v>
      </c>
      <c r="I11661">
        <v>110</v>
      </c>
      <c r="J11661" t="s">
        <v>462</v>
      </c>
      <c r="M11661">
        <v>7108</v>
      </c>
      <c r="N11661" t="s">
        <v>17096</v>
      </c>
    </row>
    <row r="11662" spans="1:14">
      <c r="A11662">
        <v>70540000</v>
      </c>
      <c r="B11662">
        <v>3037277</v>
      </c>
      <c r="C11662" t="s">
        <v>64</v>
      </c>
      <c r="D11662" t="s">
        <v>441</v>
      </c>
      <c r="F11662">
        <v>0</v>
      </c>
      <c r="G11662">
        <v>14.29</v>
      </c>
      <c r="H11662" t="s">
        <v>12573</v>
      </c>
      <c r="I11662">
        <v>4</v>
      </c>
      <c r="J11662" t="s">
        <v>445</v>
      </c>
      <c r="M11662">
        <v>3349</v>
      </c>
      <c r="N11662" t="s">
        <v>17099</v>
      </c>
    </row>
    <row r="11663" spans="1:14">
      <c r="A11663">
        <v>70540008</v>
      </c>
      <c r="B11663">
        <v>3037276</v>
      </c>
      <c r="C11663" t="s">
        <v>5416</v>
      </c>
      <c r="D11663" t="s">
        <v>441</v>
      </c>
      <c r="F11663">
        <v>0</v>
      </c>
      <c r="G11663">
        <v>11.49</v>
      </c>
      <c r="H11663" t="s">
        <v>12664</v>
      </c>
      <c r="I11663">
        <v>5</v>
      </c>
      <c r="J11663" t="s">
        <v>445</v>
      </c>
      <c r="M11663">
        <v>6666</v>
      </c>
      <c r="N11663" t="s">
        <v>17100</v>
      </c>
    </row>
    <row r="11664" spans="1:14">
      <c r="A11664">
        <v>70544210</v>
      </c>
      <c r="B11664">
        <v>4025248</v>
      </c>
      <c r="C11664" t="s">
        <v>15541</v>
      </c>
      <c r="D11664" t="s">
        <v>442</v>
      </c>
      <c r="E11664" t="s">
        <v>441</v>
      </c>
      <c r="F11664">
        <v>0.4</v>
      </c>
      <c r="G11664">
        <v>7.94</v>
      </c>
      <c r="H11664" t="s">
        <v>8587</v>
      </c>
      <c r="I11664">
        <v>35</v>
      </c>
      <c r="J11664" t="s">
        <v>462</v>
      </c>
      <c r="K11664" t="s">
        <v>446</v>
      </c>
      <c r="L11664" t="s">
        <v>13620</v>
      </c>
      <c r="M11664">
        <v>7108</v>
      </c>
      <c r="N11664" t="s">
        <v>17101</v>
      </c>
    </row>
    <row r="11665" spans="1:14">
      <c r="A11665">
        <v>70544220</v>
      </c>
      <c r="B11665">
        <v>4025280</v>
      </c>
      <c r="C11665" t="s">
        <v>14617</v>
      </c>
      <c r="D11665" t="s">
        <v>441</v>
      </c>
      <c r="F11665">
        <v>0</v>
      </c>
      <c r="G11665">
        <v>15.81</v>
      </c>
      <c r="H11665" t="s">
        <v>8587</v>
      </c>
      <c r="I11665">
        <v>35</v>
      </c>
      <c r="J11665" t="s">
        <v>462</v>
      </c>
      <c r="M11665">
        <v>7108</v>
      </c>
      <c r="N11665" t="s">
        <v>17101</v>
      </c>
    </row>
    <row r="11666" spans="1:14">
      <c r="A11666">
        <v>70550000</v>
      </c>
      <c r="B11666">
        <v>3038457</v>
      </c>
      <c r="C11666" t="s">
        <v>65</v>
      </c>
      <c r="D11666" t="s">
        <v>441</v>
      </c>
      <c r="F11666">
        <v>0</v>
      </c>
      <c r="G11666">
        <v>22.78</v>
      </c>
      <c r="H11666" t="s">
        <v>12573</v>
      </c>
      <c r="I11666">
        <v>2</v>
      </c>
      <c r="J11666" t="s">
        <v>445</v>
      </c>
      <c r="M11666">
        <v>3349</v>
      </c>
      <c r="N11666" t="s">
        <v>17102</v>
      </c>
    </row>
    <row r="11667" spans="1:14">
      <c r="A11667">
        <v>70550008</v>
      </c>
      <c r="B11667">
        <v>3038456</v>
      </c>
      <c r="C11667" t="s">
        <v>5417</v>
      </c>
      <c r="D11667" t="s">
        <v>441</v>
      </c>
      <c r="F11667">
        <v>0</v>
      </c>
      <c r="G11667">
        <v>10.64</v>
      </c>
      <c r="H11667" t="s">
        <v>12664</v>
      </c>
      <c r="I11667">
        <v>3</v>
      </c>
      <c r="J11667" t="s">
        <v>445</v>
      </c>
      <c r="M11667">
        <v>6666</v>
      </c>
      <c r="N11667" t="s">
        <v>17103</v>
      </c>
    </row>
    <row r="11668" spans="1:14">
      <c r="A11668">
        <v>70550009</v>
      </c>
      <c r="B11668">
        <v>3038455</v>
      </c>
      <c r="C11668" t="s">
        <v>5418</v>
      </c>
      <c r="D11668" t="s">
        <v>441</v>
      </c>
      <c r="F11668">
        <v>0</v>
      </c>
      <c r="G11668">
        <v>15.64</v>
      </c>
      <c r="H11668" t="s">
        <v>12573</v>
      </c>
      <c r="I11668">
        <v>3</v>
      </c>
      <c r="J11668" t="s">
        <v>445</v>
      </c>
      <c r="M11668">
        <v>3349</v>
      </c>
      <c r="N11668" t="s">
        <v>17104</v>
      </c>
    </row>
    <row r="11669" spans="1:14">
      <c r="A11669">
        <v>70554210</v>
      </c>
      <c r="B11669">
        <v>4025821</v>
      </c>
      <c r="C11669" t="s">
        <v>5419</v>
      </c>
      <c r="D11669" t="s">
        <v>442</v>
      </c>
      <c r="E11669" t="s">
        <v>441</v>
      </c>
      <c r="F11669">
        <v>9.5000000000000001E-2</v>
      </c>
      <c r="G11669">
        <v>2.86</v>
      </c>
      <c r="H11669" t="s">
        <v>8587</v>
      </c>
      <c r="I11669">
        <v>110</v>
      </c>
      <c r="J11669" t="s">
        <v>462</v>
      </c>
      <c r="L11669" t="s">
        <v>13621</v>
      </c>
      <c r="M11669">
        <v>7108</v>
      </c>
      <c r="N11669" t="s">
        <v>17102</v>
      </c>
    </row>
    <row r="11670" spans="1:14">
      <c r="A11670">
        <v>70554211</v>
      </c>
      <c r="B11670">
        <v>3038759</v>
      </c>
      <c r="C11670" t="s">
        <v>5420</v>
      </c>
      <c r="D11670" t="s">
        <v>442</v>
      </c>
      <c r="E11670" t="s">
        <v>441</v>
      </c>
      <c r="F11670">
        <v>9.5000000000000001E-2</v>
      </c>
      <c r="G11670">
        <v>2.74</v>
      </c>
      <c r="H11670" t="s">
        <v>8587</v>
      </c>
      <c r="I11670">
        <v>110</v>
      </c>
      <c r="J11670" t="s">
        <v>445</v>
      </c>
      <c r="M11670">
        <v>3741</v>
      </c>
      <c r="N11670" t="s">
        <v>17102</v>
      </c>
    </row>
    <row r="11671" spans="1:14">
      <c r="A11671">
        <v>70554220</v>
      </c>
      <c r="B11671">
        <v>4026616</v>
      </c>
      <c r="C11671" t="s">
        <v>17687</v>
      </c>
      <c r="D11671" t="s">
        <v>442</v>
      </c>
      <c r="E11671" t="s">
        <v>441</v>
      </c>
      <c r="F11671">
        <v>9.5000000000000001E-2</v>
      </c>
      <c r="G11671">
        <v>3.22</v>
      </c>
      <c r="H11671" t="s">
        <v>8587</v>
      </c>
      <c r="I11671">
        <v>110</v>
      </c>
      <c r="J11671" t="s">
        <v>462</v>
      </c>
      <c r="K11671" t="s">
        <v>446</v>
      </c>
      <c r="M11671">
        <v>7108</v>
      </c>
      <c r="N11671" t="s">
        <v>17102</v>
      </c>
    </row>
    <row r="11672" spans="1:14">
      <c r="A11672">
        <v>70554230</v>
      </c>
      <c r="B11672">
        <v>3040215</v>
      </c>
      <c r="C11672" t="s">
        <v>5421</v>
      </c>
      <c r="D11672" t="s">
        <v>442</v>
      </c>
      <c r="E11672" t="s">
        <v>441</v>
      </c>
      <c r="F11672">
        <v>9.5000000000000001E-2</v>
      </c>
      <c r="G11672">
        <v>2.86</v>
      </c>
      <c r="H11672" t="s">
        <v>8587</v>
      </c>
      <c r="I11672">
        <v>110</v>
      </c>
      <c r="J11672" t="s">
        <v>445</v>
      </c>
      <c r="L11672" t="s">
        <v>13621</v>
      </c>
      <c r="M11672">
        <v>7108</v>
      </c>
      <c r="N11672" t="s">
        <v>17102</v>
      </c>
    </row>
    <row r="11673" spans="1:14">
      <c r="A11673">
        <v>70554240</v>
      </c>
      <c r="B11673">
        <v>4026736</v>
      </c>
      <c r="C11673" t="s">
        <v>5422</v>
      </c>
      <c r="D11673" t="s">
        <v>442</v>
      </c>
      <c r="E11673" t="s">
        <v>441</v>
      </c>
      <c r="F11673">
        <v>9.5000000000000001E-2</v>
      </c>
      <c r="G11673">
        <v>3.09</v>
      </c>
      <c r="H11673" t="s">
        <v>8587</v>
      </c>
      <c r="I11673">
        <v>110</v>
      </c>
      <c r="J11673" t="s">
        <v>462</v>
      </c>
      <c r="M11673">
        <v>7108</v>
      </c>
      <c r="N11673" t="s">
        <v>17102</v>
      </c>
    </row>
    <row r="11674" spans="1:14">
      <c r="A11674">
        <v>70554250</v>
      </c>
      <c r="B11674">
        <v>4028771</v>
      </c>
      <c r="C11674" t="s">
        <v>13622</v>
      </c>
      <c r="D11674" t="s">
        <v>442</v>
      </c>
      <c r="E11674" t="s">
        <v>441</v>
      </c>
      <c r="F11674">
        <v>9.5000000000000001E-2</v>
      </c>
      <c r="G11674">
        <v>3.09</v>
      </c>
      <c r="H11674" t="s">
        <v>8587</v>
      </c>
      <c r="I11674">
        <v>110</v>
      </c>
      <c r="J11674" t="s">
        <v>462</v>
      </c>
      <c r="M11674">
        <v>7108</v>
      </c>
      <c r="N11674" t="s">
        <v>17102</v>
      </c>
    </row>
    <row r="11675" spans="1:14">
      <c r="A11675">
        <v>70554260</v>
      </c>
      <c r="B11675">
        <v>4030650</v>
      </c>
      <c r="C11675" t="s">
        <v>17688</v>
      </c>
      <c r="D11675" t="s">
        <v>442</v>
      </c>
      <c r="E11675" t="s">
        <v>441</v>
      </c>
      <c r="F11675">
        <v>9.5000000000000001E-2</v>
      </c>
      <c r="G11675">
        <v>3.24</v>
      </c>
      <c r="H11675" t="s">
        <v>8587</v>
      </c>
      <c r="I11675">
        <v>110</v>
      </c>
      <c r="J11675" t="s">
        <v>462</v>
      </c>
      <c r="M11675">
        <v>7108</v>
      </c>
      <c r="N11675" t="s">
        <v>17102</v>
      </c>
    </row>
    <row r="11676" spans="1:14">
      <c r="A11676">
        <v>70560000</v>
      </c>
      <c r="B11676">
        <v>3039935</v>
      </c>
      <c r="C11676" t="s">
        <v>66</v>
      </c>
      <c r="D11676" t="s">
        <v>441</v>
      </c>
      <c r="F11676">
        <v>0</v>
      </c>
      <c r="G11676">
        <v>18.399999999999999</v>
      </c>
      <c r="H11676" t="s">
        <v>12573</v>
      </c>
      <c r="I11676">
        <v>3</v>
      </c>
      <c r="J11676" t="s">
        <v>445</v>
      </c>
      <c r="M11676">
        <v>3349</v>
      </c>
      <c r="N11676" t="s">
        <v>17105</v>
      </c>
    </row>
    <row r="11677" spans="1:14">
      <c r="A11677">
        <v>70560008</v>
      </c>
      <c r="B11677">
        <v>3039939</v>
      </c>
      <c r="C11677" t="s">
        <v>5423</v>
      </c>
      <c r="D11677" t="s">
        <v>441</v>
      </c>
      <c r="F11677">
        <v>0</v>
      </c>
      <c r="G11677">
        <v>11.27</v>
      </c>
      <c r="H11677" t="s">
        <v>12664</v>
      </c>
      <c r="I11677">
        <v>5</v>
      </c>
      <c r="J11677" t="s">
        <v>445</v>
      </c>
      <c r="M11677">
        <v>6666</v>
      </c>
      <c r="N11677" t="s">
        <v>17106</v>
      </c>
    </row>
    <row r="11678" spans="1:14">
      <c r="A11678">
        <v>70560009</v>
      </c>
      <c r="B11678">
        <v>3039936</v>
      </c>
      <c r="C11678" t="s">
        <v>5424</v>
      </c>
      <c r="D11678" t="s">
        <v>441</v>
      </c>
      <c r="F11678">
        <v>0</v>
      </c>
      <c r="G11678">
        <v>16.52</v>
      </c>
      <c r="H11678" t="s">
        <v>12573</v>
      </c>
      <c r="I11678">
        <v>6</v>
      </c>
      <c r="J11678" t="s">
        <v>445</v>
      </c>
      <c r="M11678">
        <v>3349</v>
      </c>
      <c r="N11678" t="s">
        <v>17107</v>
      </c>
    </row>
    <row r="11679" spans="1:14">
      <c r="A11679">
        <v>70564210</v>
      </c>
      <c r="B11679">
        <v>4026619</v>
      </c>
      <c r="C11679" t="s">
        <v>17689</v>
      </c>
      <c r="D11679" t="s">
        <v>442</v>
      </c>
      <c r="E11679" t="s">
        <v>441</v>
      </c>
      <c r="F11679">
        <v>9.5000000000000001E-2</v>
      </c>
      <c r="G11679">
        <v>3.35</v>
      </c>
      <c r="H11679" t="s">
        <v>8587</v>
      </c>
      <c r="I11679">
        <v>110</v>
      </c>
      <c r="J11679" t="s">
        <v>462</v>
      </c>
      <c r="K11679" t="s">
        <v>446</v>
      </c>
      <c r="M11679">
        <v>7108</v>
      </c>
      <c r="N11679" t="s">
        <v>17105</v>
      </c>
    </row>
    <row r="11680" spans="1:14">
      <c r="A11680">
        <v>70564211</v>
      </c>
      <c r="B11680">
        <v>3039937</v>
      </c>
      <c r="C11680" t="s">
        <v>5425</v>
      </c>
      <c r="D11680" t="s">
        <v>442</v>
      </c>
      <c r="E11680" t="s">
        <v>441</v>
      </c>
      <c r="F11680">
        <v>9.5000000000000001E-2</v>
      </c>
      <c r="G11680">
        <v>2.64</v>
      </c>
      <c r="H11680" t="s">
        <v>8587</v>
      </c>
      <c r="I11680">
        <v>110</v>
      </c>
      <c r="J11680" t="s">
        <v>445</v>
      </c>
      <c r="M11680">
        <v>3741</v>
      </c>
      <c r="N11680" t="s">
        <v>17105</v>
      </c>
    </row>
    <row r="11681" spans="1:14">
      <c r="A11681">
        <v>70564220</v>
      </c>
      <c r="B11681">
        <v>4026780</v>
      </c>
      <c r="C11681" t="s">
        <v>17690</v>
      </c>
      <c r="D11681" t="s">
        <v>442</v>
      </c>
      <c r="E11681" t="s">
        <v>441</v>
      </c>
      <c r="F11681">
        <v>9.5000000000000001E-2</v>
      </c>
      <c r="G11681">
        <v>3.45</v>
      </c>
      <c r="H11681" t="s">
        <v>8587</v>
      </c>
      <c r="I11681">
        <v>110</v>
      </c>
      <c r="J11681" t="s">
        <v>462</v>
      </c>
      <c r="K11681" t="s">
        <v>446</v>
      </c>
      <c r="L11681" t="s">
        <v>13623</v>
      </c>
      <c r="M11681">
        <v>7108</v>
      </c>
      <c r="N11681" t="s">
        <v>17105</v>
      </c>
    </row>
    <row r="11682" spans="1:14">
      <c r="A11682">
        <v>70564230</v>
      </c>
      <c r="B11682">
        <v>4026916</v>
      </c>
      <c r="C11682" t="s">
        <v>17691</v>
      </c>
      <c r="D11682" t="s">
        <v>442</v>
      </c>
      <c r="E11682" t="s">
        <v>441</v>
      </c>
      <c r="F11682">
        <v>9.5000000000000001E-2</v>
      </c>
      <c r="G11682">
        <v>3.35</v>
      </c>
      <c r="H11682" t="s">
        <v>8587</v>
      </c>
      <c r="I11682">
        <v>110</v>
      </c>
      <c r="J11682" t="s">
        <v>462</v>
      </c>
      <c r="K11682" t="s">
        <v>446</v>
      </c>
      <c r="M11682">
        <v>7108</v>
      </c>
      <c r="N11682" t="s">
        <v>17105</v>
      </c>
    </row>
    <row r="11683" spans="1:14">
      <c r="A11683">
        <v>70574210</v>
      </c>
      <c r="B11683">
        <v>4026642</v>
      </c>
      <c r="C11683" t="s">
        <v>17692</v>
      </c>
      <c r="D11683" t="s">
        <v>442</v>
      </c>
      <c r="E11683" t="s">
        <v>441</v>
      </c>
      <c r="F11683">
        <v>9.5000000000000001E-2</v>
      </c>
      <c r="G11683">
        <v>3.21</v>
      </c>
      <c r="H11683" t="s">
        <v>8587</v>
      </c>
      <c r="I11683">
        <v>110</v>
      </c>
      <c r="J11683" t="s">
        <v>462</v>
      </c>
      <c r="K11683" t="s">
        <v>446</v>
      </c>
      <c r="M11683">
        <v>7108</v>
      </c>
      <c r="N11683" t="s">
        <v>16921</v>
      </c>
    </row>
    <row r="11684" spans="1:14">
      <c r="A11684">
        <v>70574220</v>
      </c>
      <c r="B11684">
        <v>4026917</v>
      </c>
      <c r="C11684" t="s">
        <v>17693</v>
      </c>
      <c r="D11684" t="s">
        <v>442</v>
      </c>
      <c r="E11684" t="s">
        <v>441</v>
      </c>
      <c r="F11684">
        <v>9.5000000000000001E-2</v>
      </c>
      <c r="G11684">
        <v>3.18</v>
      </c>
      <c r="H11684" t="s">
        <v>8587</v>
      </c>
      <c r="I11684">
        <v>110</v>
      </c>
      <c r="J11684" t="s">
        <v>462</v>
      </c>
      <c r="K11684" t="s">
        <v>446</v>
      </c>
      <c r="M11684">
        <v>7108</v>
      </c>
      <c r="N11684" t="s">
        <v>16921</v>
      </c>
    </row>
    <row r="11685" spans="1:14">
      <c r="A11685">
        <v>70580000</v>
      </c>
      <c r="B11685">
        <v>3040563</v>
      </c>
      <c r="C11685" t="s">
        <v>25</v>
      </c>
      <c r="D11685" t="s">
        <v>441</v>
      </c>
      <c r="F11685">
        <v>0</v>
      </c>
      <c r="G11685">
        <v>13.37</v>
      </c>
      <c r="H11685" t="s">
        <v>12573</v>
      </c>
      <c r="I11685">
        <v>5</v>
      </c>
      <c r="J11685" t="s">
        <v>445</v>
      </c>
      <c r="M11685">
        <v>3349</v>
      </c>
      <c r="N11685" t="s">
        <v>17108</v>
      </c>
    </row>
    <row r="11686" spans="1:14">
      <c r="A11686">
        <v>70580008</v>
      </c>
      <c r="B11686">
        <v>3040562</v>
      </c>
      <c r="C11686" t="s">
        <v>5426</v>
      </c>
      <c r="D11686" t="s">
        <v>441</v>
      </c>
      <c r="F11686">
        <v>0</v>
      </c>
      <c r="G11686">
        <v>10.91</v>
      </c>
      <c r="H11686" t="s">
        <v>12664</v>
      </c>
      <c r="I11686">
        <v>5</v>
      </c>
      <c r="J11686" t="s">
        <v>445</v>
      </c>
      <c r="M11686">
        <v>6666</v>
      </c>
      <c r="N11686" t="s">
        <v>17109</v>
      </c>
    </row>
    <row r="11687" spans="1:14">
      <c r="A11687">
        <v>70584110</v>
      </c>
      <c r="B11687">
        <v>4026936</v>
      </c>
      <c r="C11687" t="s">
        <v>5427</v>
      </c>
      <c r="D11687" t="s">
        <v>442</v>
      </c>
      <c r="E11687" t="s">
        <v>441</v>
      </c>
      <c r="F11687">
        <v>0.5</v>
      </c>
      <c r="G11687">
        <v>5.35</v>
      </c>
      <c r="H11687" t="s">
        <v>8587</v>
      </c>
      <c r="I11687">
        <v>40</v>
      </c>
      <c r="J11687" t="s">
        <v>462</v>
      </c>
      <c r="L11687" t="s">
        <v>12986</v>
      </c>
      <c r="M11687">
        <v>7108</v>
      </c>
      <c r="N11687" t="s">
        <v>17110</v>
      </c>
    </row>
    <row r="11688" spans="1:14">
      <c r="A11688">
        <v>70590000</v>
      </c>
      <c r="B11688">
        <v>3042996</v>
      </c>
      <c r="C11688" t="s">
        <v>5428</v>
      </c>
      <c r="D11688" t="s">
        <v>441</v>
      </c>
      <c r="F11688">
        <v>0</v>
      </c>
      <c r="G11688">
        <v>21.96</v>
      </c>
      <c r="H11688" t="s">
        <v>12573</v>
      </c>
      <c r="I11688">
        <v>3</v>
      </c>
      <c r="J11688" t="s">
        <v>445</v>
      </c>
      <c r="M11688">
        <v>3349</v>
      </c>
      <c r="N11688" t="s">
        <v>17111</v>
      </c>
    </row>
    <row r="11689" spans="1:14">
      <c r="A11689">
        <v>70590008</v>
      </c>
      <c r="B11689">
        <v>3042990</v>
      </c>
      <c r="C11689" t="s">
        <v>5429</v>
      </c>
      <c r="D11689" t="s">
        <v>441</v>
      </c>
      <c r="F11689">
        <v>0</v>
      </c>
      <c r="G11689">
        <v>12.37</v>
      </c>
      <c r="H11689" t="s">
        <v>12664</v>
      </c>
      <c r="I11689">
        <v>5</v>
      </c>
      <c r="J11689" t="s">
        <v>445</v>
      </c>
      <c r="M11689">
        <v>6666</v>
      </c>
      <c r="N11689" t="s">
        <v>17112</v>
      </c>
    </row>
    <row r="11690" spans="1:14">
      <c r="A11690">
        <v>70590009</v>
      </c>
      <c r="B11690">
        <v>3042995</v>
      </c>
      <c r="C11690" t="s">
        <v>5430</v>
      </c>
      <c r="D11690" t="s">
        <v>441</v>
      </c>
      <c r="F11690">
        <v>0</v>
      </c>
      <c r="G11690">
        <v>18.190000000000001</v>
      </c>
      <c r="H11690" t="s">
        <v>12573</v>
      </c>
      <c r="I11690">
        <v>6</v>
      </c>
      <c r="J11690" t="s">
        <v>445</v>
      </c>
      <c r="M11690">
        <v>3349</v>
      </c>
      <c r="N11690" t="s">
        <v>17113</v>
      </c>
    </row>
    <row r="11691" spans="1:14">
      <c r="A11691">
        <v>70594210</v>
      </c>
      <c r="B11691">
        <v>4028332</v>
      </c>
      <c r="C11691" t="s">
        <v>5431</v>
      </c>
      <c r="D11691" t="s">
        <v>442</v>
      </c>
      <c r="E11691" t="s">
        <v>441</v>
      </c>
      <c r="F11691">
        <v>9.5000000000000001E-2</v>
      </c>
      <c r="G11691">
        <v>2.89</v>
      </c>
      <c r="H11691" t="s">
        <v>8587</v>
      </c>
      <c r="I11691">
        <v>110</v>
      </c>
      <c r="J11691" t="s">
        <v>462</v>
      </c>
      <c r="L11691" t="s">
        <v>13624</v>
      </c>
      <c r="M11691">
        <v>7108</v>
      </c>
      <c r="N11691" t="s">
        <v>17111</v>
      </c>
    </row>
    <row r="11692" spans="1:14">
      <c r="A11692">
        <v>70594211</v>
      </c>
      <c r="B11692">
        <v>3042997</v>
      </c>
      <c r="C11692" t="s">
        <v>5432</v>
      </c>
      <c r="D11692" t="s">
        <v>442</v>
      </c>
      <c r="E11692" t="s">
        <v>441</v>
      </c>
      <c r="F11692">
        <v>9.5000000000000001E-2</v>
      </c>
      <c r="G11692">
        <v>3.07</v>
      </c>
      <c r="H11692" t="s">
        <v>8587</v>
      </c>
      <c r="I11692">
        <v>110</v>
      </c>
      <c r="J11692" t="s">
        <v>445</v>
      </c>
      <c r="M11692">
        <v>3741</v>
      </c>
      <c r="N11692" t="s">
        <v>17111</v>
      </c>
    </row>
    <row r="11693" spans="1:14">
      <c r="A11693">
        <v>70594220</v>
      </c>
      <c r="B11693">
        <v>4028685</v>
      </c>
      <c r="C11693" t="s">
        <v>13625</v>
      </c>
      <c r="D11693" t="s">
        <v>442</v>
      </c>
      <c r="E11693" t="s">
        <v>441</v>
      </c>
      <c r="F11693">
        <v>9.5000000000000001E-2</v>
      </c>
      <c r="G11693">
        <v>3.25</v>
      </c>
      <c r="H11693" t="s">
        <v>8587</v>
      </c>
      <c r="I11693">
        <v>110</v>
      </c>
      <c r="J11693" t="s">
        <v>462</v>
      </c>
      <c r="L11693" t="s">
        <v>13626</v>
      </c>
      <c r="M11693">
        <v>7108</v>
      </c>
      <c r="N11693" t="s">
        <v>17111</v>
      </c>
    </row>
    <row r="11694" spans="1:14">
      <c r="A11694">
        <v>70594230</v>
      </c>
      <c r="B11694">
        <v>4028705</v>
      </c>
      <c r="C11694" t="s">
        <v>13627</v>
      </c>
      <c r="D11694" t="s">
        <v>442</v>
      </c>
      <c r="E11694" t="s">
        <v>441</v>
      </c>
      <c r="F11694">
        <v>9.5000000000000001E-2</v>
      </c>
      <c r="G11694">
        <v>3.07</v>
      </c>
      <c r="H11694" t="s">
        <v>8587</v>
      </c>
      <c r="I11694">
        <v>110</v>
      </c>
      <c r="J11694" t="s">
        <v>462</v>
      </c>
      <c r="M11694">
        <v>7108</v>
      </c>
      <c r="N11694" t="s">
        <v>17111</v>
      </c>
    </row>
    <row r="11695" spans="1:14">
      <c r="A11695">
        <v>70594240</v>
      </c>
      <c r="B11695">
        <v>4028770</v>
      </c>
      <c r="C11695" t="s">
        <v>13628</v>
      </c>
      <c r="D11695" t="s">
        <v>442</v>
      </c>
      <c r="E11695" t="s">
        <v>441</v>
      </c>
      <c r="F11695">
        <v>9.5000000000000001E-2</v>
      </c>
      <c r="G11695">
        <v>3.47</v>
      </c>
      <c r="H11695" t="s">
        <v>8587</v>
      </c>
      <c r="I11695">
        <v>110</v>
      </c>
      <c r="J11695" t="s">
        <v>462</v>
      </c>
      <c r="M11695">
        <v>7108</v>
      </c>
      <c r="N11695" t="s">
        <v>17111</v>
      </c>
    </row>
    <row r="11696" spans="1:14">
      <c r="A11696">
        <v>70594260</v>
      </c>
      <c r="B11696">
        <v>4030641</v>
      </c>
      <c r="C11696" t="s">
        <v>17694</v>
      </c>
      <c r="D11696" t="s">
        <v>442</v>
      </c>
      <c r="E11696" t="s">
        <v>441</v>
      </c>
      <c r="F11696">
        <v>9.5000000000000001E-2</v>
      </c>
      <c r="G11696">
        <v>3.58</v>
      </c>
      <c r="H11696" t="s">
        <v>8587</v>
      </c>
      <c r="I11696">
        <v>110</v>
      </c>
      <c r="J11696" t="s">
        <v>462</v>
      </c>
      <c r="M11696">
        <v>7108</v>
      </c>
      <c r="N11696" t="s">
        <v>17111</v>
      </c>
    </row>
    <row r="11697" spans="1:14">
      <c r="A11697">
        <v>70600000</v>
      </c>
      <c r="B11697">
        <v>3029405</v>
      </c>
      <c r="C11697" t="s">
        <v>5433</v>
      </c>
      <c r="D11697" t="s">
        <v>441</v>
      </c>
      <c r="F11697">
        <v>0</v>
      </c>
      <c r="G11697">
        <v>14.3</v>
      </c>
      <c r="H11697" t="s">
        <v>12573</v>
      </c>
      <c r="I11697">
        <v>6</v>
      </c>
      <c r="J11697" t="s">
        <v>445</v>
      </c>
      <c r="K11697" t="s">
        <v>446</v>
      </c>
      <c r="M11697">
        <v>3312</v>
      </c>
      <c r="N11697" t="s">
        <v>17114</v>
      </c>
    </row>
    <row r="11698" spans="1:14">
      <c r="A11698">
        <v>70600008</v>
      </c>
      <c r="B11698">
        <v>3029404</v>
      </c>
      <c r="C11698" t="s">
        <v>5434</v>
      </c>
      <c r="D11698" t="s">
        <v>441</v>
      </c>
      <c r="F11698">
        <v>0</v>
      </c>
      <c r="G11698">
        <v>12.1</v>
      </c>
      <c r="H11698" t="s">
        <v>12664</v>
      </c>
      <c r="I11698">
        <v>2</v>
      </c>
      <c r="J11698" t="s">
        <v>445</v>
      </c>
      <c r="K11698" t="s">
        <v>446</v>
      </c>
      <c r="M11698">
        <v>3211</v>
      </c>
      <c r="N11698" t="s">
        <v>17114</v>
      </c>
    </row>
    <row r="11699" spans="1:14">
      <c r="A11699">
        <v>70604050</v>
      </c>
      <c r="B11699">
        <v>4019595</v>
      </c>
      <c r="C11699" t="s">
        <v>5435</v>
      </c>
      <c r="D11699" t="s">
        <v>441</v>
      </c>
      <c r="F11699">
        <v>0</v>
      </c>
      <c r="G11699">
        <v>13.96</v>
      </c>
      <c r="H11699" t="s">
        <v>8587</v>
      </c>
      <c r="I11699">
        <v>35</v>
      </c>
      <c r="J11699" t="s">
        <v>462</v>
      </c>
      <c r="K11699" t="s">
        <v>446</v>
      </c>
      <c r="M11699">
        <v>3711</v>
      </c>
      <c r="N11699" t="s">
        <v>17115</v>
      </c>
    </row>
    <row r="11700" spans="1:14">
      <c r="A11700">
        <v>70610000</v>
      </c>
      <c r="B11700">
        <v>3043410</v>
      </c>
      <c r="C11700" t="s">
        <v>5436</v>
      </c>
      <c r="D11700" t="s">
        <v>441</v>
      </c>
      <c r="F11700">
        <v>0</v>
      </c>
      <c r="G11700">
        <v>21.99</v>
      </c>
      <c r="H11700" t="s">
        <v>12573</v>
      </c>
      <c r="I11700">
        <v>3</v>
      </c>
      <c r="J11700" t="s">
        <v>445</v>
      </c>
      <c r="M11700">
        <v>3349</v>
      </c>
      <c r="N11700" t="s">
        <v>17105</v>
      </c>
    </row>
    <row r="11701" spans="1:14">
      <c r="A11701">
        <v>70610008</v>
      </c>
      <c r="B11701">
        <v>3043328</v>
      </c>
      <c r="C11701" t="s">
        <v>5437</v>
      </c>
      <c r="D11701" t="s">
        <v>441</v>
      </c>
      <c r="F11701">
        <v>0</v>
      </c>
      <c r="G11701">
        <v>10.89</v>
      </c>
      <c r="H11701" t="s">
        <v>12664</v>
      </c>
      <c r="I11701">
        <v>5</v>
      </c>
      <c r="J11701" t="s">
        <v>445</v>
      </c>
      <c r="M11701">
        <v>6666</v>
      </c>
      <c r="N11701" t="s">
        <v>17106</v>
      </c>
    </row>
    <row r="11702" spans="1:14">
      <c r="A11702">
        <v>70610009</v>
      </c>
      <c r="B11702">
        <v>3043329</v>
      </c>
      <c r="C11702" t="s">
        <v>5438</v>
      </c>
      <c r="D11702" t="s">
        <v>441</v>
      </c>
      <c r="F11702">
        <v>0</v>
      </c>
      <c r="G11702">
        <v>15.98</v>
      </c>
      <c r="H11702" t="s">
        <v>12573</v>
      </c>
      <c r="I11702">
        <v>6</v>
      </c>
      <c r="J11702" t="s">
        <v>445</v>
      </c>
      <c r="M11702">
        <v>3349</v>
      </c>
      <c r="N11702" t="s">
        <v>17107</v>
      </c>
    </row>
    <row r="11703" spans="1:14">
      <c r="A11703">
        <v>70614210</v>
      </c>
      <c r="B11703">
        <v>4028695</v>
      </c>
      <c r="C11703" t="s">
        <v>13629</v>
      </c>
      <c r="D11703" t="s">
        <v>442</v>
      </c>
      <c r="E11703" t="s">
        <v>441</v>
      </c>
      <c r="F11703">
        <v>9.5000000000000001E-2</v>
      </c>
      <c r="G11703">
        <v>2.87</v>
      </c>
      <c r="H11703" t="s">
        <v>8587</v>
      </c>
      <c r="I11703">
        <v>110</v>
      </c>
      <c r="J11703" t="s">
        <v>462</v>
      </c>
      <c r="L11703" t="s">
        <v>13623</v>
      </c>
      <c r="M11703">
        <v>7108</v>
      </c>
      <c r="N11703" t="s">
        <v>17105</v>
      </c>
    </row>
    <row r="11704" spans="1:14">
      <c r="A11704">
        <v>70614211</v>
      </c>
      <c r="B11704">
        <v>3043411</v>
      </c>
      <c r="C11704" t="s">
        <v>5439</v>
      </c>
      <c r="D11704" t="s">
        <v>442</v>
      </c>
      <c r="E11704" t="s">
        <v>441</v>
      </c>
      <c r="F11704">
        <v>9.5000000000000001E-2</v>
      </c>
      <c r="G11704">
        <v>2.56</v>
      </c>
      <c r="H11704" t="s">
        <v>8587</v>
      </c>
      <c r="I11704">
        <v>110</v>
      </c>
      <c r="J11704" t="s">
        <v>445</v>
      </c>
      <c r="M11704">
        <v>3741</v>
      </c>
      <c r="N11704" t="s">
        <v>17105</v>
      </c>
    </row>
    <row r="11705" spans="1:14">
      <c r="A11705">
        <v>70614220</v>
      </c>
      <c r="B11705">
        <v>4028646</v>
      </c>
      <c r="C11705" t="s">
        <v>17695</v>
      </c>
      <c r="D11705" t="s">
        <v>442</v>
      </c>
      <c r="E11705" t="s">
        <v>441</v>
      </c>
      <c r="F11705">
        <v>9.5000000000000001E-2</v>
      </c>
      <c r="G11705">
        <v>3.3</v>
      </c>
      <c r="H11705" t="s">
        <v>8587</v>
      </c>
      <c r="I11705">
        <v>110</v>
      </c>
      <c r="J11705" t="s">
        <v>462</v>
      </c>
      <c r="K11705" t="s">
        <v>446</v>
      </c>
      <c r="L11705" t="s">
        <v>13630</v>
      </c>
      <c r="M11705">
        <v>7108</v>
      </c>
      <c r="N11705" t="s">
        <v>17105</v>
      </c>
    </row>
    <row r="11706" spans="1:14">
      <c r="A11706">
        <v>70614230</v>
      </c>
      <c r="B11706">
        <v>4028703</v>
      </c>
      <c r="C11706" t="s">
        <v>13631</v>
      </c>
      <c r="D11706" t="s">
        <v>442</v>
      </c>
      <c r="E11706" t="s">
        <v>441</v>
      </c>
      <c r="F11706">
        <v>9.5000000000000001E-2</v>
      </c>
      <c r="G11706">
        <v>2.74</v>
      </c>
      <c r="H11706" t="s">
        <v>8587</v>
      </c>
      <c r="I11706">
        <v>110</v>
      </c>
      <c r="J11706" t="s">
        <v>462</v>
      </c>
      <c r="M11706">
        <v>7108</v>
      </c>
      <c r="N11706" t="s">
        <v>17105</v>
      </c>
    </row>
    <row r="11707" spans="1:14">
      <c r="A11707">
        <v>70614240</v>
      </c>
      <c r="B11707">
        <v>4028739</v>
      </c>
      <c r="C11707" t="s">
        <v>13632</v>
      </c>
      <c r="D11707" t="s">
        <v>442</v>
      </c>
      <c r="E11707" t="s">
        <v>441</v>
      </c>
      <c r="F11707">
        <v>9.5000000000000001E-2</v>
      </c>
      <c r="G11707">
        <v>2.96</v>
      </c>
      <c r="H11707" t="s">
        <v>8587</v>
      </c>
      <c r="I11707">
        <v>110</v>
      </c>
      <c r="J11707" t="s">
        <v>462</v>
      </c>
      <c r="M11707">
        <v>7108</v>
      </c>
      <c r="N11707" t="s">
        <v>17105</v>
      </c>
    </row>
    <row r="11708" spans="1:14">
      <c r="A11708">
        <v>70614250</v>
      </c>
      <c r="B11708">
        <v>4029044</v>
      </c>
      <c r="C11708" t="s">
        <v>14618</v>
      </c>
      <c r="D11708" t="s">
        <v>442</v>
      </c>
      <c r="E11708" t="s">
        <v>441</v>
      </c>
      <c r="F11708">
        <v>9.5000000000000001E-2</v>
      </c>
      <c r="G11708">
        <v>3.24</v>
      </c>
      <c r="H11708" t="s">
        <v>8587</v>
      </c>
      <c r="I11708">
        <v>110</v>
      </c>
      <c r="J11708" t="s">
        <v>462</v>
      </c>
      <c r="M11708">
        <v>7108</v>
      </c>
      <c r="N11708" t="s">
        <v>17105</v>
      </c>
    </row>
    <row r="11709" spans="1:14">
      <c r="A11709">
        <v>70614260</v>
      </c>
      <c r="B11709">
        <v>4030651</v>
      </c>
      <c r="C11709" t="s">
        <v>17696</v>
      </c>
      <c r="D11709" t="s">
        <v>442</v>
      </c>
      <c r="E11709" t="s">
        <v>441</v>
      </c>
      <c r="F11709">
        <v>9.5000000000000001E-2</v>
      </c>
      <c r="G11709">
        <v>3.26</v>
      </c>
      <c r="H11709" t="s">
        <v>8587</v>
      </c>
      <c r="I11709">
        <v>110</v>
      </c>
      <c r="J11709" t="s">
        <v>462</v>
      </c>
      <c r="M11709">
        <v>7108</v>
      </c>
      <c r="N11709" t="s">
        <v>17105</v>
      </c>
    </row>
    <row r="11710" spans="1:14">
      <c r="A11710">
        <v>70620000</v>
      </c>
      <c r="B11710">
        <v>3016671</v>
      </c>
      <c r="C11710" t="s">
        <v>13633</v>
      </c>
      <c r="D11710" t="s">
        <v>441</v>
      </c>
      <c r="F11710">
        <v>0</v>
      </c>
      <c r="G11710">
        <v>13.56</v>
      </c>
      <c r="H11710" t="s">
        <v>8580</v>
      </c>
      <c r="I11710">
        <v>7</v>
      </c>
      <c r="J11710" t="s">
        <v>445</v>
      </c>
      <c r="K11710" t="s">
        <v>446</v>
      </c>
      <c r="M11710">
        <v>3311</v>
      </c>
    </row>
    <row r="11711" spans="1:14">
      <c r="A11711">
        <v>70620008</v>
      </c>
      <c r="B11711">
        <v>3016672</v>
      </c>
      <c r="C11711" t="s">
        <v>13634</v>
      </c>
      <c r="D11711" t="s">
        <v>441</v>
      </c>
      <c r="F11711">
        <v>0</v>
      </c>
      <c r="G11711">
        <v>7.96</v>
      </c>
      <c r="H11711" t="s">
        <v>8584</v>
      </c>
      <c r="I11711">
        <v>9</v>
      </c>
      <c r="J11711" t="s">
        <v>445</v>
      </c>
      <c r="K11711" t="s">
        <v>446</v>
      </c>
      <c r="M11711">
        <v>3211</v>
      </c>
    </row>
    <row r="11712" spans="1:14">
      <c r="A11712">
        <v>70624210</v>
      </c>
      <c r="B11712">
        <v>4001135</v>
      </c>
      <c r="C11712" t="s">
        <v>5440</v>
      </c>
      <c r="D11712" t="s">
        <v>442</v>
      </c>
      <c r="E11712" t="s">
        <v>441</v>
      </c>
      <c r="F11712">
        <v>0.18</v>
      </c>
      <c r="G11712">
        <v>3.07</v>
      </c>
      <c r="H11712" t="s">
        <v>8587</v>
      </c>
      <c r="I11712">
        <v>50</v>
      </c>
      <c r="J11712" t="s">
        <v>462</v>
      </c>
      <c r="K11712" t="s">
        <v>446</v>
      </c>
      <c r="M11712">
        <v>3711</v>
      </c>
    </row>
    <row r="11713" spans="1:14">
      <c r="A11713">
        <v>70624220</v>
      </c>
      <c r="B11713">
        <v>4001992</v>
      </c>
      <c r="C11713" t="s">
        <v>5441</v>
      </c>
      <c r="D11713" t="s">
        <v>442</v>
      </c>
      <c r="E11713" t="s">
        <v>441</v>
      </c>
      <c r="F11713">
        <v>0.18</v>
      </c>
      <c r="G11713">
        <v>3.21</v>
      </c>
      <c r="H11713" t="s">
        <v>8587</v>
      </c>
      <c r="I11713">
        <v>50</v>
      </c>
      <c r="J11713" t="s">
        <v>462</v>
      </c>
      <c r="K11713" t="s">
        <v>446</v>
      </c>
      <c r="M11713">
        <v>3711</v>
      </c>
    </row>
    <row r="11714" spans="1:14">
      <c r="A11714">
        <v>70624230</v>
      </c>
      <c r="B11714">
        <v>4004426</v>
      </c>
      <c r="C11714" t="s">
        <v>13635</v>
      </c>
      <c r="D11714" t="s">
        <v>442</v>
      </c>
      <c r="E11714" t="s">
        <v>441</v>
      </c>
      <c r="F11714">
        <v>0.18</v>
      </c>
      <c r="G11714">
        <v>3.21</v>
      </c>
      <c r="H11714" t="s">
        <v>8587</v>
      </c>
      <c r="I11714">
        <v>50</v>
      </c>
      <c r="J11714" t="s">
        <v>462</v>
      </c>
      <c r="K11714" t="s">
        <v>446</v>
      </c>
      <c r="M11714">
        <v>3711</v>
      </c>
    </row>
    <row r="11715" spans="1:14">
      <c r="A11715">
        <v>70624240</v>
      </c>
      <c r="B11715">
        <v>4005476</v>
      </c>
      <c r="C11715" t="s">
        <v>13636</v>
      </c>
      <c r="D11715" t="s">
        <v>442</v>
      </c>
      <c r="E11715" t="s">
        <v>441</v>
      </c>
      <c r="F11715">
        <v>0.18</v>
      </c>
      <c r="G11715">
        <v>3.12</v>
      </c>
      <c r="H11715" t="s">
        <v>8587</v>
      </c>
      <c r="I11715">
        <v>50</v>
      </c>
      <c r="J11715" t="s">
        <v>462</v>
      </c>
      <c r="K11715" t="s">
        <v>446</v>
      </c>
      <c r="M11715">
        <v>3711</v>
      </c>
    </row>
    <row r="11716" spans="1:14">
      <c r="A11716">
        <v>70624250</v>
      </c>
      <c r="B11716">
        <v>4005872</v>
      </c>
      <c r="C11716" t="s">
        <v>13637</v>
      </c>
      <c r="D11716" t="s">
        <v>442</v>
      </c>
      <c r="E11716" t="s">
        <v>441</v>
      </c>
      <c r="F11716">
        <v>0.18</v>
      </c>
      <c r="G11716">
        <v>3.12</v>
      </c>
      <c r="H11716" t="s">
        <v>8587</v>
      </c>
      <c r="I11716">
        <v>50</v>
      </c>
      <c r="J11716" t="s">
        <v>462</v>
      </c>
      <c r="K11716" t="s">
        <v>446</v>
      </c>
      <c r="M11716">
        <v>3711</v>
      </c>
    </row>
    <row r="11717" spans="1:14">
      <c r="A11717">
        <v>70624260</v>
      </c>
      <c r="B11717">
        <v>4007115</v>
      </c>
      <c r="C11717" t="s">
        <v>5442</v>
      </c>
      <c r="D11717" t="s">
        <v>442</v>
      </c>
      <c r="E11717" t="s">
        <v>441</v>
      </c>
      <c r="F11717">
        <v>0.18</v>
      </c>
      <c r="G11717">
        <v>3.2</v>
      </c>
      <c r="H11717" t="s">
        <v>8587</v>
      </c>
      <c r="I11717">
        <v>50</v>
      </c>
      <c r="J11717" t="s">
        <v>462</v>
      </c>
      <c r="K11717" t="s">
        <v>446</v>
      </c>
      <c r="M11717">
        <v>3711</v>
      </c>
    </row>
    <row r="11718" spans="1:14">
      <c r="A11718">
        <v>70624270</v>
      </c>
      <c r="B11718">
        <v>4008293</v>
      </c>
      <c r="C11718" t="s">
        <v>5443</v>
      </c>
      <c r="D11718" t="s">
        <v>441</v>
      </c>
      <c r="F11718">
        <v>0</v>
      </c>
      <c r="G11718">
        <v>16.350000000000001</v>
      </c>
      <c r="H11718" t="s">
        <v>8587</v>
      </c>
      <c r="I11718">
        <v>50</v>
      </c>
      <c r="J11718" t="s">
        <v>462</v>
      </c>
      <c r="K11718" t="s">
        <v>446</v>
      </c>
      <c r="M11718">
        <v>3711</v>
      </c>
    </row>
    <row r="11719" spans="1:14">
      <c r="A11719">
        <v>70624280</v>
      </c>
      <c r="B11719">
        <v>4009578</v>
      </c>
      <c r="C11719" t="s">
        <v>13638</v>
      </c>
      <c r="D11719" t="s">
        <v>442</v>
      </c>
      <c r="E11719" t="s">
        <v>441</v>
      </c>
      <c r="F11719">
        <v>0.18</v>
      </c>
      <c r="G11719">
        <v>3.2</v>
      </c>
      <c r="H11719" t="s">
        <v>8587</v>
      </c>
      <c r="I11719">
        <v>50</v>
      </c>
      <c r="J11719" t="s">
        <v>462</v>
      </c>
      <c r="K11719" t="s">
        <v>446</v>
      </c>
      <c r="M11719">
        <v>3711</v>
      </c>
    </row>
    <row r="11720" spans="1:14">
      <c r="A11720">
        <v>70630000</v>
      </c>
      <c r="B11720">
        <v>3012545</v>
      </c>
      <c r="C11720" t="s">
        <v>13639</v>
      </c>
      <c r="D11720" t="s">
        <v>441</v>
      </c>
      <c r="F11720">
        <v>0</v>
      </c>
      <c r="G11720">
        <v>17.309999999999999</v>
      </c>
      <c r="H11720" t="s">
        <v>8580</v>
      </c>
      <c r="I11720">
        <v>3</v>
      </c>
      <c r="J11720" t="s">
        <v>445</v>
      </c>
      <c r="M11720">
        <v>3349</v>
      </c>
      <c r="N11720" t="s">
        <v>17116</v>
      </c>
    </row>
    <row r="11721" spans="1:14">
      <c r="A11721">
        <v>70630008</v>
      </c>
      <c r="B11721">
        <v>3012546</v>
      </c>
      <c r="C11721" t="s">
        <v>13640</v>
      </c>
      <c r="D11721" t="s">
        <v>441</v>
      </c>
      <c r="F11721">
        <v>0</v>
      </c>
      <c r="G11721">
        <v>12.47</v>
      </c>
      <c r="H11721" t="s">
        <v>8580</v>
      </c>
      <c r="I11721">
        <v>5</v>
      </c>
      <c r="J11721" t="s">
        <v>445</v>
      </c>
      <c r="M11721">
        <v>6666</v>
      </c>
      <c r="N11721" t="s">
        <v>17117</v>
      </c>
    </row>
    <row r="11722" spans="1:14">
      <c r="A11722">
        <v>70630009</v>
      </c>
      <c r="B11722">
        <v>3012547</v>
      </c>
      <c r="C11722" t="s">
        <v>13641</v>
      </c>
      <c r="D11722" t="s">
        <v>441</v>
      </c>
      <c r="F11722">
        <v>0</v>
      </c>
      <c r="G11722">
        <v>18.55</v>
      </c>
      <c r="H11722" t="s">
        <v>8580</v>
      </c>
      <c r="I11722">
        <v>6</v>
      </c>
      <c r="J11722" t="s">
        <v>445</v>
      </c>
      <c r="M11722">
        <v>3349</v>
      </c>
      <c r="N11722" t="s">
        <v>17118</v>
      </c>
    </row>
    <row r="11723" spans="1:14">
      <c r="A11723">
        <v>70634210</v>
      </c>
      <c r="B11723">
        <v>4010066</v>
      </c>
      <c r="C11723" t="s">
        <v>5444</v>
      </c>
      <c r="D11723" t="s">
        <v>442</v>
      </c>
      <c r="E11723" t="s">
        <v>441</v>
      </c>
      <c r="F11723">
        <v>0.18</v>
      </c>
      <c r="G11723">
        <v>4.32</v>
      </c>
      <c r="H11723" t="s">
        <v>8587</v>
      </c>
      <c r="I11723">
        <v>100</v>
      </c>
      <c r="J11723" t="s">
        <v>462</v>
      </c>
      <c r="K11723" t="s">
        <v>446</v>
      </c>
      <c r="L11723" t="s">
        <v>13642</v>
      </c>
      <c r="M11723">
        <v>3711</v>
      </c>
      <c r="N11723" t="s">
        <v>17119</v>
      </c>
    </row>
    <row r="11724" spans="1:14">
      <c r="A11724">
        <v>70634220</v>
      </c>
      <c r="B11724">
        <v>4010067</v>
      </c>
      <c r="C11724" t="s">
        <v>5445</v>
      </c>
      <c r="D11724" t="s">
        <v>442</v>
      </c>
      <c r="E11724" t="s">
        <v>441</v>
      </c>
      <c r="F11724">
        <v>0.18</v>
      </c>
      <c r="G11724">
        <v>5.15</v>
      </c>
      <c r="H11724" t="s">
        <v>8587</v>
      </c>
      <c r="I11724">
        <v>100</v>
      </c>
      <c r="J11724" t="s">
        <v>462</v>
      </c>
      <c r="M11724">
        <v>7108</v>
      </c>
      <c r="N11724" t="s">
        <v>17116</v>
      </c>
    </row>
    <row r="11725" spans="1:14">
      <c r="A11725">
        <v>70634230</v>
      </c>
      <c r="B11725">
        <v>4010068</v>
      </c>
      <c r="C11725" t="s">
        <v>5446</v>
      </c>
      <c r="D11725" t="s">
        <v>442</v>
      </c>
      <c r="E11725" t="s">
        <v>441</v>
      </c>
      <c r="F11725">
        <v>0.2</v>
      </c>
      <c r="G11725">
        <v>3.81</v>
      </c>
      <c r="H11725" t="s">
        <v>8587</v>
      </c>
      <c r="I11725">
        <v>81</v>
      </c>
      <c r="J11725" t="s">
        <v>462</v>
      </c>
      <c r="K11725" t="s">
        <v>446</v>
      </c>
      <c r="M11725">
        <v>3711</v>
      </c>
    </row>
    <row r="11726" spans="1:14">
      <c r="A11726">
        <v>70634240</v>
      </c>
      <c r="B11726">
        <v>4011404</v>
      </c>
      <c r="C11726" t="s">
        <v>5447</v>
      </c>
      <c r="D11726" t="s">
        <v>442</v>
      </c>
      <c r="E11726" t="s">
        <v>441</v>
      </c>
      <c r="F11726">
        <v>0.18</v>
      </c>
      <c r="G11726">
        <v>3.92</v>
      </c>
      <c r="H11726" t="s">
        <v>8587</v>
      </c>
      <c r="I11726">
        <v>81</v>
      </c>
      <c r="J11726" t="s">
        <v>462</v>
      </c>
      <c r="K11726" t="s">
        <v>446</v>
      </c>
      <c r="M11726">
        <v>3711</v>
      </c>
    </row>
    <row r="11727" spans="1:14">
      <c r="A11727">
        <v>70634250</v>
      </c>
      <c r="B11727">
        <v>4012791</v>
      </c>
      <c r="C11727" t="s">
        <v>5448</v>
      </c>
      <c r="D11727" t="s">
        <v>442</v>
      </c>
      <c r="E11727" t="s">
        <v>441</v>
      </c>
      <c r="F11727">
        <v>0.18</v>
      </c>
      <c r="G11727">
        <v>3.52</v>
      </c>
      <c r="H11727" t="s">
        <v>8587</v>
      </c>
      <c r="I11727">
        <v>81</v>
      </c>
      <c r="J11727" t="s">
        <v>462</v>
      </c>
      <c r="K11727" t="s">
        <v>446</v>
      </c>
      <c r="M11727">
        <v>3711</v>
      </c>
    </row>
    <row r="11728" spans="1:14">
      <c r="A11728">
        <v>70634260</v>
      </c>
      <c r="B11728">
        <v>4014063</v>
      </c>
      <c r="C11728" t="s">
        <v>5449</v>
      </c>
      <c r="D11728" t="s">
        <v>442</v>
      </c>
      <c r="E11728" t="s">
        <v>441</v>
      </c>
      <c r="F11728">
        <v>0.2</v>
      </c>
      <c r="G11728">
        <v>3.85</v>
      </c>
      <c r="H11728" t="s">
        <v>8587</v>
      </c>
      <c r="I11728">
        <v>81</v>
      </c>
      <c r="J11728" t="s">
        <v>462</v>
      </c>
      <c r="K11728" t="s">
        <v>446</v>
      </c>
      <c r="M11728">
        <v>3711</v>
      </c>
    </row>
    <row r="11729" spans="1:14">
      <c r="A11729">
        <v>70634270</v>
      </c>
      <c r="B11729">
        <v>4014951</v>
      </c>
      <c r="C11729" t="s">
        <v>5450</v>
      </c>
      <c r="D11729" t="s">
        <v>442</v>
      </c>
      <c r="E11729" t="s">
        <v>441</v>
      </c>
      <c r="F11729">
        <v>0.18</v>
      </c>
      <c r="G11729">
        <v>4.3099999999999996</v>
      </c>
      <c r="H11729" t="s">
        <v>8587</v>
      </c>
      <c r="I11729">
        <v>100</v>
      </c>
      <c r="J11729" t="s">
        <v>462</v>
      </c>
      <c r="K11729" t="s">
        <v>446</v>
      </c>
      <c r="L11729" t="s">
        <v>13643</v>
      </c>
      <c r="M11729">
        <v>3711</v>
      </c>
      <c r="N11729" t="s">
        <v>17119</v>
      </c>
    </row>
    <row r="11730" spans="1:14">
      <c r="A11730">
        <v>70640000</v>
      </c>
      <c r="B11730">
        <v>3043622</v>
      </c>
      <c r="C11730" t="s">
        <v>8519</v>
      </c>
      <c r="D11730" t="s">
        <v>441</v>
      </c>
      <c r="F11730">
        <v>0</v>
      </c>
      <c r="G11730">
        <v>23.48</v>
      </c>
      <c r="H11730" t="s">
        <v>12573</v>
      </c>
      <c r="I11730">
        <v>3</v>
      </c>
      <c r="J11730" t="s">
        <v>445</v>
      </c>
      <c r="M11730">
        <v>3349</v>
      </c>
      <c r="N11730" t="s">
        <v>17120</v>
      </c>
    </row>
    <row r="11731" spans="1:14">
      <c r="A11731">
        <v>70640008</v>
      </c>
      <c r="B11731">
        <v>3043624</v>
      </c>
      <c r="C11731" t="s">
        <v>13644</v>
      </c>
      <c r="D11731" t="s">
        <v>441</v>
      </c>
      <c r="F11731">
        <v>0</v>
      </c>
      <c r="G11731">
        <v>11.04</v>
      </c>
      <c r="H11731" t="s">
        <v>12664</v>
      </c>
      <c r="I11731">
        <v>5</v>
      </c>
      <c r="J11731" t="s">
        <v>445</v>
      </c>
      <c r="M11731">
        <v>6666</v>
      </c>
      <c r="N11731" t="s">
        <v>17121</v>
      </c>
    </row>
    <row r="11732" spans="1:14">
      <c r="A11732">
        <v>70640009</v>
      </c>
      <c r="B11732">
        <v>3043623</v>
      </c>
      <c r="C11732" t="s">
        <v>13645</v>
      </c>
      <c r="D11732" t="s">
        <v>441</v>
      </c>
      <c r="F11732">
        <v>0</v>
      </c>
      <c r="G11732">
        <v>16.18</v>
      </c>
      <c r="H11732" t="s">
        <v>12573</v>
      </c>
      <c r="I11732">
        <v>6</v>
      </c>
      <c r="J11732" t="s">
        <v>445</v>
      </c>
      <c r="M11732">
        <v>3349</v>
      </c>
      <c r="N11732" t="s">
        <v>17122</v>
      </c>
    </row>
    <row r="11733" spans="1:14">
      <c r="A11733">
        <v>70644210</v>
      </c>
      <c r="B11733">
        <v>4028728</v>
      </c>
      <c r="C11733" t="s">
        <v>13646</v>
      </c>
      <c r="D11733" t="s">
        <v>442</v>
      </c>
      <c r="E11733" t="s">
        <v>441</v>
      </c>
      <c r="F11733">
        <v>9.5000000000000001E-2</v>
      </c>
      <c r="G11733">
        <v>2.92</v>
      </c>
      <c r="H11733" t="s">
        <v>8587</v>
      </c>
      <c r="I11733">
        <v>110</v>
      </c>
      <c r="J11733" t="s">
        <v>462</v>
      </c>
      <c r="L11733" t="s">
        <v>13647</v>
      </c>
      <c r="M11733">
        <v>7108</v>
      </c>
      <c r="N11733" t="s">
        <v>17120</v>
      </c>
    </row>
    <row r="11734" spans="1:14">
      <c r="A11734">
        <v>70644211</v>
      </c>
      <c r="B11734">
        <v>3043637</v>
      </c>
      <c r="C11734" t="s">
        <v>13648</v>
      </c>
      <c r="D11734" t="s">
        <v>442</v>
      </c>
      <c r="E11734" t="s">
        <v>441</v>
      </c>
      <c r="F11734">
        <v>9.5000000000000001E-2</v>
      </c>
      <c r="G11734">
        <v>2.62</v>
      </c>
      <c r="H11734" t="s">
        <v>8587</v>
      </c>
      <c r="I11734">
        <v>110</v>
      </c>
      <c r="J11734" t="s">
        <v>445</v>
      </c>
      <c r="M11734">
        <v>3741</v>
      </c>
      <c r="N11734" t="s">
        <v>17120</v>
      </c>
    </row>
    <row r="11735" spans="1:14">
      <c r="A11735">
        <v>70644260</v>
      </c>
      <c r="B11735">
        <v>4030643</v>
      </c>
      <c r="C11735" t="s">
        <v>17697</v>
      </c>
      <c r="D11735" t="s">
        <v>442</v>
      </c>
      <c r="E11735" t="s">
        <v>441</v>
      </c>
      <c r="F11735">
        <v>9.5000000000000001E-2</v>
      </c>
      <c r="G11735">
        <v>3.24</v>
      </c>
      <c r="H11735" t="s">
        <v>8587</v>
      </c>
      <c r="I11735">
        <v>110</v>
      </c>
      <c r="J11735" t="s">
        <v>462</v>
      </c>
      <c r="M11735">
        <v>7108</v>
      </c>
      <c r="N11735" t="s">
        <v>17120</v>
      </c>
    </row>
    <row r="11736" spans="1:14">
      <c r="A11736">
        <v>70650000</v>
      </c>
      <c r="B11736">
        <v>3043599</v>
      </c>
      <c r="C11736" t="s">
        <v>8520</v>
      </c>
      <c r="D11736" t="s">
        <v>441</v>
      </c>
      <c r="F11736">
        <v>0</v>
      </c>
      <c r="G11736">
        <v>25.5</v>
      </c>
      <c r="H11736" t="s">
        <v>12573</v>
      </c>
      <c r="I11736">
        <v>3</v>
      </c>
      <c r="J11736" t="s">
        <v>445</v>
      </c>
      <c r="M11736">
        <v>3349</v>
      </c>
      <c r="N11736" t="s">
        <v>17111</v>
      </c>
    </row>
    <row r="11737" spans="1:14">
      <c r="A11737">
        <v>70650008</v>
      </c>
      <c r="B11737">
        <v>3043597</v>
      </c>
      <c r="C11737" t="s">
        <v>13649</v>
      </c>
      <c r="D11737" t="s">
        <v>441</v>
      </c>
      <c r="F11737">
        <v>0</v>
      </c>
      <c r="G11737">
        <v>12.37</v>
      </c>
      <c r="H11737" t="s">
        <v>12664</v>
      </c>
      <c r="I11737">
        <v>5</v>
      </c>
      <c r="J11737" t="s">
        <v>445</v>
      </c>
      <c r="M11737">
        <v>6666</v>
      </c>
      <c r="N11737" t="s">
        <v>17112</v>
      </c>
    </row>
    <row r="11738" spans="1:14">
      <c r="A11738">
        <v>70650009</v>
      </c>
      <c r="B11738">
        <v>3043598</v>
      </c>
      <c r="C11738" t="s">
        <v>13650</v>
      </c>
      <c r="D11738" t="s">
        <v>441</v>
      </c>
      <c r="F11738">
        <v>0</v>
      </c>
      <c r="G11738">
        <v>18.190000000000001</v>
      </c>
      <c r="H11738" t="s">
        <v>12573</v>
      </c>
      <c r="I11738">
        <v>6</v>
      </c>
      <c r="J11738" t="s">
        <v>445</v>
      </c>
      <c r="M11738">
        <v>3349</v>
      </c>
      <c r="N11738" t="s">
        <v>17113</v>
      </c>
    </row>
    <row r="11739" spans="1:14">
      <c r="A11739">
        <v>70654211</v>
      </c>
      <c r="B11739">
        <v>3043535</v>
      </c>
      <c r="C11739" t="s">
        <v>13651</v>
      </c>
      <c r="D11739" t="s">
        <v>442</v>
      </c>
      <c r="E11739" t="s">
        <v>441</v>
      </c>
      <c r="F11739">
        <v>0.22</v>
      </c>
      <c r="G11739">
        <v>6.64</v>
      </c>
      <c r="H11739" t="s">
        <v>8587</v>
      </c>
      <c r="I11739">
        <v>110</v>
      </c>
      <c r="J11739" t="s">
        <v>445</v>
      </c>
      <c r="M11739">
        <v>3741</v>
      </c>
      <c r="N11739" t="s">
        <v>17111</v>
      </c>
    </row>
    <row r="11740" spans="1:14">
      <c r="A11740">
        <v>70662000</v>
      </c>
      <c r="B11740">
        <v>4006278</v>
      </c>
      <c r="C11740" t="s">
        <v>13652</v>
      </c>
      <c r="D11740" t="s">
        <v>442</v>
      </c>
      <c r="E11740" t="s">
        <v>441</v>
      </c>
      <c r="F11740">
        <v>1.07</v>
      </c>
      <c r="G11740">
        <v>18.260000000000002</v>
      </c>
      <c r="H11740" t="s">
        <v>8587</v>
      </c>
      <c r="I11740">
        <v>90</v>
      </c>
      <c r="J11740" t="s">
        <v>462</v>
      </c>
      <c r="K11740" t="s">
        <v>446</v>
      </c>
      <c r="M11740">
        <v>3711</v>
      </c>
    </row>
    <row r="11741" spans="1:14">
      <c r="A11741">
        <v>70662010</v>
      </c>
      <c r="B11741">
        <v>4009663</v>
      </c>
      <c r="C11741" t="s">
        <v>13653</v>
      </c>
      <c r="D11741" t="s">
        <v>442</v>
      </c>
      <c r="E11741" t="s">
        <v>441</v>
      </c>
      <c r="F11741">
        <v>1.07</v>
      </c>
      <c r="G11741">
        <v>18.260000000000002</v>
      </c>
      <c r="H11741" t="s">
        <v>8587</v>
      </c>
      <c r="I11741">
        <v>90</v>
      </c>
      <c r="J11741" t="s">
        <v>462</v>
      </c>
      <c r="K11741" t="s">
        <v>446</v>
      </c>
      <c r="M11741">
        <v>3711</v>
      </c>
    </row>
    <row r="11742" spans="1:14">
      <c r="A11742">
        <v>70670000</v>
      </c>
      <c r="B11742">
        <v>3012499</v>
      </c>
      <c r="C11742" t="s">
        <v>13654</v>
      </c>
      <c r="D11742" t="s">
        <v>441</v>
      </c>
      <c r="F11742">
        <v>0</v>
      </c>
      <c r="G11742">
        <v>7.41</v>
      </c>
      <c r="I11742">
        <v>6</v>
      </c>
      <c r="J11742" t="s">
        <v>445</v>
      </c>
      <c r="K11742" t="s">
        <v>446</v>
      </c>
      <c r="M11742">
        <v>3311</v>
      </c>
    </row>
    <row r="11743" spans="1:14">
      <c r="A11743">
        <v>70670008</v>
      </c>
      <c r="B11743">
        <v>3012496</v>
      </c>
      <c r="C11743" t="s">
        <v>13655</v>
      </c>
      <c r="D11743" t="s">
        <v>441</v>
      </c>
      <c r="F11743">
        <v>0</v>
      </c>
      <c r="G11743">
        <v>5.99</v>
      </c>
      <c r="I11743">
        <v>6</v>
      </c>
      <c r="J11743" t="s">
        <v>445</v>
      </c>
      <c r="K11743" t="s">
        <v>446</v>
      </c>
      <c r="M11743">
        <v>3211</v>
      </c>
    </row>
    <row r="11744" spans="1:14">
      <c r="A11744">
        <v>70674210</v>
      </c>
      <c r="B11744">
        <v>4009975</v>
      </c>
      <c r="C11744" t="s">
        <v>5451</v>
      </c>
      <c r="D11744" t="s">
        <v>441</v>
      </c>
      <c r="F11744">
        <v>0</v>
      </c>
      <c r="G11744">
        <v>8.3699999999999992</v>
      </c>
      <c r="H11744" t="s">
        <v>8588</v>
      </c>
      <c r="I11744">
        <v>27</v>
      </c>
      <c r="J11744" t="s">
        <v>462</v>
      </c>
      <c r="K11744" t="s">
        <v>446</v>
      </c>
      <c r="M11744">
        <v>3711</v>
      </c>
    </row>
    <row r="11745" spans="1:14">
      <c r="A11745">
        <v>70674220</v>
      </c>
      <c r="B11745">
        <v>4010137</v>
      </c>
      <c r="C11745" t="s">
        <v>5452</v>
      </c>
      <c r="D11745" t="s">
        <v>442</v>
      </c>
      <c r="E11745" t="s">
        <v>441</v>
      </c>
      <c r="F11745">
        <v>0.7</v>
      </c>
      <c r="G11745">
        <v>6.15</v>
      </c>
      <c r="H11745" t="s">
        <v>8587</v>
      </c>
      <c r="I11745">
        <v>27</v>
      </c>
      <c r="J11745" t="s">
        <v>462</v>
      </c>
      <c r="K11745" t="s">
        <v>446</v>
      </c>
      <c r="M11745">
        <v>3711</v>
      </c>
    </row>
    <row r="11746" spans="1:14">
      <c r="A11746">
        <v>70674230</v>
      </c>
      <c r="B11746">
        <v>4012533</v>
      </c>
      <c r="C11746" t="s">
        <v>5453</v>
      </c>
      <c r="D11746" t="s">
        <v>442</v>
      </c>
      <c r="E11746" t="s">
        <v>441</v>
      </c>
      <c r="F11746">
        <v>0.46</v>
      </c>
      <c r="G11746">
        <v>4.2</v>
      </c>
      <c r="H11746" t="s">
        <v>8587</v>
      </c>
      <c r="I11746">
        <v>27</v>
      </c>
      <c r="J11746" t="s">
        <v>462</v>
      </c>
      <c r="K11746" t="s">
        <v>446</v>
      </c>
      <c r="M11746">
        <v>3711</v>
      </c>
    </row>
    <row r="11747" spans="1:14">
      <c r="A11747">
        <v>70680000</v>
      </c>
      <c r="B11747">
        <v>3021529</v>
      </c>
      <c r="C11747" t="s">
        <v>5454</v>
      </c>
      <c r="D11747" t="s">
        <v>441</v>
      </c>
      <c r="F11747">
        <v>0</v>
      </c>
      <c r="G11747">
        <v>11.37</v>
      </c>
      <c r="H11747" t="s">
        <v>12573</v>
      </c>
      <c r="I11747">
        <v>6</v>
      </c>
      <c r="J11747" t="s">
        <v>445</v>
      </c>
      <c r="M11747">
        <v>3311</v>
      </c>
    </row>
    <row r="11748" spans="1:14">
      <c r="A11748">
        <v>70680008</v>
      </c>
      <c r="B11748">
        <v>3021528</v>
      </c>
      <c r="C11748" t="s">
        <v>5455</v>
      </c>
      <c r="D11748" t="s">
        <v>441</v>
      </c>
      <c r="F11748">
        <v>0</v>
      </c>
      <c r="G11748">
        <v>9.49</v>
      </c>
      <c r="H11748" t="s">
        <v>12664</v>
      </c>
      <c r="I11748">
        <v>5</v>
      </c>
      <c r="J11748" t="s">
        <v>445</v>
      </c>
      <c r="M11748">
        <v>3211</v>
      </c>
    </row>
    <row r="11749" spans="1:14">
      <c r="A11749">
        <v>70684210</v>
      </c>
      <c r="B11749">
        <v>4014214</v>
      </c>
      <c r="C11749" t="s">
        <v>5456</v>
      </c>
      <c r="D11749" t="s">
        <v>442</v>
      </c>
      <c r="E11749" t="s">
        <v>441</v>
      </c>
      <c r="F11749">
        <v>0.55000000000000004</v>
      </c>
      <c r="G11749">
        <v>7.25</v>
      </c>
      <c r="H11749" t="s">
        <v>8587</v>
      </c>
      <c r="I11749">
        <v>28</v>
      </c>
      <c r="J11749" t="s">
        <v>462</v>
      </c>
      <c r="K11749" t="s">
        <v>446</v>
      </c>
      <c r="L11749" t="s">
        <v>13016</v>
      </c>
      <c r="M11749">
        <v>3711</v>
      </c>
    </row>
    <row r="11750" spans="1:14">
      <c r="A11750">
        <v>70684220</v>
      </c>
      <c r="B11750">
        <v>4014198</v>
      </c>
      <c r="C11750" t="s">
        <v>5457</v>
      </c>
      <c r="D11750" t="s">
        <v>441</v>
      </c>
      <c r="F11750">
        <v>0</v>
      </c>
      <c r="G11750">
        <v>12.48</v>
      </c>
      <c r="H11750" t="s">
        <v>8587</v>
      </c>
      <c r="I11750">
        <v>28</v>
      </c>
      <c r="J11750" t="s">
        <v>462</v>
      </c>
      <c r="M11750">
        <v>3711</v>
      </c>
    </row>
    <row r="11751" spans="1:14">
      <c r="A11751">
        <v>70690000</v>
      </c>
      <c r="B11751">
        <v>3027383</v>
      </c>
      <c r="C11751" t="s">
        <v>5458</v>
      </c>
      <c r="D11751" t="s">
        <v>441</v>
      </c>
      <c r="F11751">
        <v>0</v>
      </c>
      <c r="G11751">
        <v>15.84</v>
      </c>
      <c r="H11751" t="s">
        <v>12573</v>
      </c>
      <c r="I11751">
        <v>4</v>
      </c>
      <c r="J11751" t="s">
        <v>445</v>
      </c>
      <c r="M11751">
        <v>3349</v>
      </c>
      <c r="N11751" t="s">
        <v>17123</v>
      </c>
    </row>
    <row r="11752" spans="1:14">
      <c r="A11752">
        <v>70690008</v>
      </c>
      <c r="B11752">
        <v>3027382</v>
      </c>
      <c r="C11752" t="s">
        <v>5459</v>
      </c>
      <c r="D11752" t="s">
        <v>441</v>
      </c>
      <c r="F11752">
        <v>0</v>
      </c>
      <c r="G11752">
        <v>11.68</v>
      </c>
      <c r="H11752" t="s">
        <v>12664</v>
      </c>
      <c r="I11752">
        <v>2</v>
      </c>
      <c r="J11752" t="s">
        <v>445</v>
      </c>
      <c r="M11752">
        <v>6666</v>
      </c>
      <c r="N11752" t="s">
        <v>17124</v>
      </c>
    </row>
    <row r="11753" spans="1:14">
      <c r="A11753">
        <v>70694210</v>
      </c>
      <c r="B11753">
        <v>4018180</v>
      </c>
      <c r="C11753" t="s">
        <v>5460</v>
      </c>
      <c r="D11753" t="s">
        <v>442</v>
      </c>
      <c r="E11753" t="s">
        <v>441</v>
      </c>
      <c r="F11753">
        <v>0.4</v>
      </c>
      <c r="G11753">
        <v>5.29</v>
      </c>
      <c r="H11753" t="s">
        <v>8587</v>
      </c>
      <c r="I11753">
        <v>35</v>
      </c>
      <c r="J11753" t="s">
        <v>462</v>
      </c>
      <c r="K11753" t="s">
        <v>446</v>
      </c>
      <c r="L11753" t="s">
        <v>13656</v>
      </c>
      <c r="M11753">
        <v>3711</v>
      </c>
    </row>
    <row r="11754" spans="1:14">
      <c r="A11754">
        <v>70694220</v>
      </c>
      <c r="B11754">
        <v>4018179</v>
      </c>
      <c r="C11754" t="s">
        <v>5461</v>
      </c>
      <c r="D11754" t="s">
        <v>441</v>
      </c>
      <c r="F11754">
        <v>0</v>
      </c>
      <c r="G11754">
        <v>12.13</v>
      </c>
      <c r="H11754" t="s">
        <v>8587</v>
      </c>
      <c r="I11754">
        <v>35</v>
      </c>
      <c r="J11754" t="s">
        <v>462</v>
      </c>
      <c r="K11754" t="s">
        <v>446</v>
      </c>
      <c r="M11754">
        <v>0</v>
      </c>
    </row>
    <row r="11755" spans="1:14">
      <c r="A11755">
        <v>70694230</v>
      </c>
      <c r="B11755">
        <v>4019656</v>
      </c>
      <c r="C11755" t="s">
        <v>5462</v>
      </c>
      <c r="D11755" t="s">
        <v>441</v>
      </c>
      <c r="F11755">
        <v>0</v>
      </c>
      <c r="G11755">
        <v>11.67</v>
      </c>
      <c r="H11755" t="s">
        <v>8587</v>
      </c>
      <c r="I11755">
        <v>35</v>
      </c>
      <c r="J11755" t="s">
        <v>462</v>
      </c>
      <c r="K11755" t="s">
        <v>446</v>
      </c>
      <c r="M11755">
        <v>3711</v>
      </c>
      <c r="N11755" t="s">
        <v>17125</v>
      </c>
    </row>
    <row r="11756" spans="1:14">
      <c r="A11756">
        <v>70694240</v>
      </c>
      <c r="B11756">
        <v>4019686</v>
      </c>
      <c r="C11756" t="s">
        <v>5463</v>
      </c>
      <c r="D11756" t="s">
        <v>442</v>
      </c>
      <c r="E11756" t="s">
        <v>441</v>
      </c>
      <c r="F11756">
        <v>0.4</v>
      </c>
      <c r="G11756">
        <v>7.05</v>
      </c>
      <c r="H11756" t="s">
        <v>8587</v>
      </c>
      <c r="I11756">
        <v>35</v>
      </c>
      <c r="J11756" t="s">
        <v>462</v>
      </c>
      <c r="K11756" t="s">
        <v>446</v>
      </c>
      <c r="L11756" t="s">
        <v>13657</v>
      </c>
      <c r="M11756">
        <v>7108</v>
      </c>
      <c r="N11756" t="s">
        <v>17125</v>
      </c>
    </row>
    <row r="11757" spans="1:14">
      <c r="A11757">
        <v>70694250</v>
      </c>
      <c r="B11757">
        <v>4019908</v>
      </c>
      <c r="C11757" t="s">
        <v>5464</v>
      </c>
      <c r="D11757" t="s">
        <v>442</v>
      </c>
      <c r="E11757" t="s">
        <v>441</v>
      </c>
      <c r="F11757">
        <v>0.4</v>
      </c>
      <c r="G11757">
        <v>5.51</v>
      </c>
      <c r="H11757" t="s">
        <v>8587</v>
      </c>
      <c r="I11757">
        <v>35</v>
      </c>
      <c r="J11757" t="s">
        <v>462</v>
      </c>
      <c r="K11757" t="s">
        <v>446</v>
      </c>
      <c r="M11757">
        <v>3711</v>
      </c>
    </row>
    <row r="11758" spans="1:14">
      <c r="A11758">
        <v>70700000</v>
      </c>
      <c r="B11758">
        <v>3027022</v>
      </c>
      <c r="C11758" t="s">
        <v>198</v>
      </c>
      <c r="D11758" t="s">
        <v>441</v>
      </c>
      <c r="F11758">
        <v>0</v>
      </c>
      <c r="G11758">
        <v>11.7</v>
      </c>
      <c r="H11758" t="s">
        <v>8587</v>
      </c>
      <c r="I11758">
        <v>90</v>
      </c>
      <c r="J11758" t="s">
        <v>445</v>
      </c>
      <c r="K11758" t="s">
        <v>446</v>
      </c>
      <c r="M11758">
        <v>3311</v>
      </c>
    </row>
    <row r="11759" spans="1:14">
      <c r="A11759">
        <v>70700008</v>
      </c>
      <c r="B11759">
        <v>3027021</v>
      </c>
      <c r="C11759" t="s">
        <v>5465</v>
      </c>
      <c r="D11759" t="s">
        <v>441</v>
      </c>
      <c r="F11759">
        <v>0</v>
      </c>
      <c r="G11759">
        <v>10.94</v>
      </c>
      <c r="H11759" t="s">
        <v>12664</v>
      </c>
      <c r="I11759">
        <v>5</v>
      </c>
      <c r="J11759" t="s">
        <v>445</v>
      </c>
      <c r="K11759" t="s">
        <v>446</v>
      </c>
      <c r="M11759">
        <v>3211</v>
      </c>
    </row>
    <row r="11760" spans="1:14">
      <c r="A11760">
        <v>70704210</v>
      </c>
      <c r="B11760">
        <v>4017894</v>
      </c>
      <c r="C11760" t="s">
        <v>5466</v>
      </c>
      <c r="D11760" t="s">
        <v>441</v>
      </c>
      <c r="F11760">
        <v>0</v>
      </c>
      <c r="G11760">
        <v>13.73</v>
      </c>
      <c r="H11760" t="s">
        <v>8587</v>
      </c>
      <c r="I11760">
        <v>90</v>
      </c>
      <c r="J11760" t="s">
        <v>462</v>
      </c>
      <c r="K11760" t="s">
        <v>446</v>
      </c>
      <c r="M11760">
        <v>3711</v>
      </c>
    </row>
    <row r="11761" spans="1:14">
      <c r="A11761">
        <v>70704220</v>
      </c>
      <c r="B11761">
        <v>4017970</v>
      </c>
      <c r="C11761" t="s">
        <v>5467</v>
      </c>
      <c r="D11761" t="s">
        <v>441</v>
      </c>
      <c r="F11761">
        <v>0</v>
      </c>
      <c r="G11761">
        <v>16.41</v>
      </c>
      <c r="H11761" t="s">
        <v>8587</v>
      </c>
      <c r="I11761">
        <v>90</v>
      </c>
      <c r="J11761" t="s">
        <v>462</v>
      </c>
      <c r="K11761" t="s">
        <v>446</v>
      </c>
      <c r="M11761">
        <v>3711</v>
      </c>
    </row>
    <row r="11762" spans="1:14">
      <c r="A11762">
        <v>70710000</v>
      </c>
      <c r="B11762">
        <v>3027017</v>
      </c>
      <c r="C11762" t="s">
        <v>5468</v>
      </c>
      <c r="D11762" t="s">
        <v>441</v>
      </c>
      <c r="F11762">
        <v>0</v>
      </c>
      <c r="G11762">
        <v>12.03</v>
      </c>
      <c r="H11762" t="s">
        <v>12573</v>
      </c>
      <c r="I11762">
        <v>90</v>
      </c>
      <c r="J11762" t="s">
        <v>445</v>
      </c>
      <c r="K11762" t="s">
        <v>446</v>
      </c>
      <c r="M11762">
        <v>3311</v>
      </c>
    </row>
    <row r="11763" spans="1:14">
      <c r="A11763">
        <v>70710008</v>
      </c>
      <c r="B11763">
        <v>3027016</v>
      </c>
      <c r="C11763" t="s">
        <v>5469</v>
      </c>
      <c r="D11763" t="s">
        <v>441</v>
      </c>
      <c r="F11763">
        <v>0</v>
      </c>
      <c r="G11763">
        <v>11.27</v>
      </c>
      <c r="H11763" t="s">
        <v>12664</v>
      </c>
      <c r="I11763">
        <v>5</v>
      </c>
      <c r="J11763" t="s">
        <v>445</v>
      </c>
      <c r="K11763" t="s">
        <v>446</v>
      </c>
      <c r="M11763">
        <v>3211</v>
      </c>
    </row>
    <row r="11764" spans="1:14">
      <c r="A11764">
        <v>70714210</v>
      </c>
      <c r="B11764">
        <v>4017895</v>
      </c>
      <c r="C11764" t="s">
        <v>5470</v>
      </c>
      <c r="D11764" t="s">
        <v>441</v>
      </c>
      <c r="F11764">
        <v>0</v>
      </c>
      <c r="G11764">
        <v>14.07</v>
      </c>
      <c r="H11764" t="s">
        <v>8587</v>
      </c>
      <c r="I11764">
        <v>90</v>
      </c>
      <c r="J11764" t="s">
        <v>462</v>
      </c>
      <c r="K11764" t="s">
        <v>446</v>
      </c>
      <c r="M11764">
        <v>3711</v>
      </c>
    </row>
    <row r="11765" spans="1:14">
      <c r="A11765">
        <v>70714220</v>
      </c>
      <c r="B11765">
        <v>4017919</v>
      </c>
      <c r="C11765" t="s">
        <v>5471</v>
      </c>
      <c r="D11765" t="s">
        <v>441</v>
      </c>
      <c r="F11765">
        <v>0</v>
      </c>
      <c r="G11765">
        <v>16.829999999999998</v>
      </c>
      <c r="H11765" t="s">
        <v>8587</v>
      </c>
      <c r="I11765">
        <v>90</v>
      </c>
      <c r="J11765" t="s">
        <v>462</v>
      </c>
      <c r="K11765" t="s">
        <v>446</v>
      </c>
      <c r="M11765">
        <v>3711</v>
      </c>
    </row>
    <row r="11766" spans="1:14">
      <c r="A11766">
        <v>70720000</v>
      </c>
      <c r="B11766">
        <v>3035497</v>
      </c>
      <c r="C11766" t="s">
        <v>5472</v>
      </c>
      <c r="D11766" t="s">
        <v>441</v>
      </c>
      <c r="F11766">
        <v>0</v>
      </c>
      <c r="G11766">
        <v>13.97</v>
      </c>
      <c r="H11766" t="s">
        <v>12573</v>
      </c>
      <c r="I11766">
        <v>6</v>
      </c>
      <c r="J11766" t="s">
        <v>445</v>
      </c>
      <c r="M11766">
        <v>3349</v>
      </c>
      <c r="N11766" t="s">
        <v>17126</v>
      </c>
    </row>
    <row r="11767" spans="1:14">
      <c r="A11767">
        <v>70720008</v>
      </c>
      <c r="B11767">
        <v>3035509</v>
      </c>
      <c r="C11767" t="s">
        <v>5473</v>
      </c>
      <c r="D11767" t="s">
        <v>441</v>
      </c>
      <c r="F11767">
        <v>0</v>
      </c>
      <c r="G11767">
        <v>15.55</v>
      </c>
      <c r="H11767" t="s">
        <v>12664</v>
      </c>
      <c r="I11767">
        <v>5</v>
      </c>
      <c r="J11767" t="s">
        <v>445</v>
      </c>
      <c r="M11767">
        <v>6666</v>
      </c>
      <c r="N11767" t="s">
        <v>17127</v>
      </c>
    </row>
    <row r="11768" spans="1:14">
      <c r="A11768">
        <v>70724110</v>
      </c>
      <c r="B11768">
        <v>4024174</v>
      </c>
      <c r="C11768" t="s">
        <v>17698</v>
      </c>
      <c r="D11768" t="s">
        <v>441</v>
      </c>
      <c r="F11768">
        <v>0</v>
      </c>
      <c r="G11768">
        <v>28.65</v>
      </c>
      <c r="H11768" t="s">
        <v>8587</v>
      </c>
      <c r="I11768">
        <v>45</v>
      </c>
      <c r="J11768" t="s">
        <v>462</v>
      </c>
      <c r="K11768" t="s">
        <v>446</v>
      </c>
      <c r="M11768">
        <v>7108</v>
      </c>
      <c r="N11768" t="s">
        <v>17126</v>
      </c>
    </row>
    <row r="11769" spans="1:14">
      <c r="A11769">
        <v>70724120</v>
      </c>
      <c r="B11769">
        <v>4024639</v>
      </c>
      <c r="C11769" t="s">
        <v>17699</v>
      </c>
      <c r="D11769" t="s">
        <v>441</v>
      </c>
      <c r="F11769">
        <v>0</v>
      </c>
      <c r="G11769">
        <v>32.18</v>
      </c>
      <c r="H11769" t="s">
        <v>8587</v>
      </c>
      <c r="I11769">
        <v>45</v>
      </c>
      <c r="J11769" t="s">
        <v>462</v>
      </c>
      <c r="K11769" t="s">
        <v>446</v>
      </c>
      <c r="M11769">
        <v>7108</v>
      </c>
      <c r="N11769" t="s">
        <v>17126</v>
      </c>
    </row>
    <row r="11770" spans="1:14">
      <c r="A11770">
        <v>70724130</v>
      </c>
      <c r="B11770">
        <v>4027708</v>
      </c>
      <c r="C11770" t="s">
        <v>15355</v>
      </c>
      <c r="D11770" t="s">
        <v>441</v>
      </c>
      <c r="F11770">
        <v>0</v>
      </c>
      <c r="G11770">
        <v>25.7</v>
      </c>
      <c r="H11770" t="s">
        <v>8587</v>
      </c>
      <c r="I11770">
        <v>45</v>
      </c>
      <c r="J11770" t="s">
        <v>462</v>
      </c>
      <c r="M11770">
        <v>7108</v>
      </c>
      <c r="N11770" t="s">
        <v>17126</v>
      </c>
    </row>
    <row r="11771" spans="1:14">
      <c r="A11771">
        <v>70725110</v>
      </c>
      <c r="B11771">
        <v>4024167</v>
      </c>
      <c r="C11771" t="s">
        <v>14619</v>
      </c>
      <c r="D11771" t="s">
        <v>441</v>
      </c>
      <c r="F11771">
        <v>0</v>
      </c>
      <c r="G11771">
        <v>24.98</v>
      </c>
      <c r="H11771" t="s">
        <v>8587</v>
      </c>
      <c r="I11771">
        <v>45</v>
      </c>
      <c r="J11771" t="s">
        <v>462</v>
      </c>
      <c r="M11771">
        <v>7108</v>
      </c>
      <c r="N11771" t="s">
        <v>17126</v>
      </c>
    </row>
    <row r="11772" spans="1:14">
      <c r="A11772">
        <v>70725120</v>
      </c>
      <c r="B11772">
        <v>4024205</v>
      </c>
      <c r="C11772" t="s">
        <v>5474</v>
      </c>
      <c r="D11772" t="s">
        <v>441</v>
      </c>
      <c r="F11772">
        <v>0</v>
      </c>
      <c r="G11772">
        <v>16.579999999999998</v>
      </c>
      <c r="H11772" t="s">
        <v>8587</v>
      </c>
      <c r="I11772">
        <v>45</v>
      </c>
      <c r="J11772" t="s">
        <v>462</v>
      </c>
      <c r="M11772">
        <v>3711</v>
      </c>
      <c r="N11772" t="s">
        <v>17126</v>
      </c>
    </row>
    <row r="11773" spans="1:14">
      <c r="A11773">
        <v>70730000</v>
      </c>
      <c r="B11773">
        <v>3035499</v>
      </c>
      <c r="C11773" t="s">
        <v>5475</v>
      </c>
      <c r="D11773" t="s">
        <v>441</v>
      </c>
      <c r="F11773">
        <v>0</v>
      </c>
      <c r="G11773">
        <v>24</v>
      </c>
      <c r="H11773" t="s">
        <v>12573</v>
      </c>
      <c r="I11773">
        <v>6</v>
      </c>
      <c r="J11773" t="s">
        <v>445</v>
      </c>
      <c r="M11773">
        <v>3349</v>
      </c>
      <c r="N11773" t="s">
        <v>17128</v>
      </c>
    </row>
    <row r="11774" spans="1:14">
      <c r="A11774">
        <v>70730008</v>
      </c>
      <c r="B11774">
        <v>3035515</v>
      </c>
      <c r="C11774" t="s">
        <v>5476</v>
      </c>
      <c r="D11774" t="s">
        <v>441</v>
      </c>
      <c r="F11774">
        <v>0</v>
      </c>
      <c r="G11774">
        <v>16.260000000000002</v>
      </c>
      <c r="H11774" t="s">
        <v>12664</v>
      </c>
      <c r="I11774">
        <v>5</v>
      </c>
      <c r="J11774" t="s">
        <v>445</v>
      </c>
      <c r="M11774">
        <v>6666</v>
      </c>
      <c r="N11774" t="s">
        <v>17129</v>
      </c>
    </row>
    <row r="11775" spans="1:14">
      <c r="A11775">
        <v>70734110</v>
      </c>
      <c r="B11775">
        <v>4024173</v>
      </c>
      <c r="C11775" t="s">
        <v>17700</v>
      </c>
      <c r="D11775" t="s">
        <v>441</v>
      </c>
      <c r="F11775">
        <v>0</v>
      </c>
      <c r="G11775">
        <v>28.95</v>
      </c>
      <c r="H11775" t="s">
        <v>8587</v>
      </c>
      <c r="I11775">
        <v>45</v>
      </c>
      <c r="J11775" t="s">
        <v>462</v>
      </c>
      <c r="M11775">
        <v>7108</v>
      </c>
      <c r="N11775" t="s">
        <v>17128</v>
      </c>
    </row>
    <row r="11776" spans="1:14">
      <c r="A11776">
        <v>70734120</v>
      </c>
      <c r="B11776">
        <v>4024637</v>
      </c>
      <c r="C11776" t="s">
        <v>17701</v>
      </c>
      <c r="D11776" t="s">
        <v>441</v>
      </c>
      <c r="F11776">
        <v>0</v>
      </c>
      <c r="G11776">
        <v>30.7</v>
      </c>
      <c r="H11776" t="s">
        <v>8587</v>
      </c>
      <c r="I11776">
        <v>45</v>
      </c>
      <c r="J11776" t="s">
        <v>462</v>
      </c>
      <c r="K11776" t="s">
        <v>446</v>
      </c>
      <c r="M11776">
        <v>7108</v>
      </c>
      <c r="N11776" t="s">
        <v>17128</v>
      </c>
    </row>
    <row r="11777" spans="1:14">
      <c r="A11777">
        <v>70734130</v>
      </c>
      <c r="B11777">
        <v>4024659</v>
      </c>
      <c r="C11777" t="s">
        <v>17702</v>
      </c>
      <c r="D11777" t="s">
        <v>441</v>
      </c>
      <c r="F11777">
        <v>0</v>
      </c>
      <c r="G11777">
        <v>28.42</v>
      </c>
      <c r="H11777" t="s">
        <v>8587</v>
      </c>
      <c r="I11777">
        <v>45</v>
      </c>
      <c r="J11777" t="s">
        <v>462</v>
      </c>
      <c r="K11777" t="s">
        <v>446</v>
      </c>
      <c r="M11777">
        <v>7108</v>
      </c>
      <c r="N11777" t="s">
        <v>17128</v>
      </c>
    </row>
    <row r="11778" spans="1:14">
      <c r="A11778">
        <v>70734140</v>
      </c>
      <c r="B11778">
        <v>4027713</v>
      </c>
      <c r="C11778" t="s">
        <v>15542</v>
      </c>
      <c r="D11778" t="s">
        <v>441</v>
      </c>
      <c r="F11778">
        <v>0</v>
      </c>
      <c r="G11778">
        <v>28.45</v>
      </c>
      <c r="H11778" t="s">
        <v>8587</v>
      </c>
      <c r="I11778">
        <v>45</v>
      </c>
      <c r="J11778" t="s">
        <v>462</v>
      </c>
      <c r="M11778">
        <v>7108</v>
      </c>
      <c r="N11778" t="s">
        <v>17128</v>
      </c>
    </row>
    <row r="11779" spans="1:14">
      <c r="A11779">
        <v>70735110</v>
      </c>
      <c r="B11779">
        <v>4024200</v>
      </c>
      <c r="C11779" t="s">
        <v>14620</v>
      </c>
      <c r="D11779" t="s">
        <v>441</v>
      </c>
      <c r="F11779">
        <v>0</v>
      </c>
      <c r="G11779">
        <v>25.89</v>
      </c>
      <c r="H11779" t="s">
        <v>8587</v>
      </c>
      <c r="I11779">
        <v>45</v>
      </c>
      <c r="J11779" t="s">
        <v>462</v>
      </c>
      <c r="M11779">
        <v>7108</v>
      </c>
      <c r="N11779" t="s">
        <v>17128</v>
      </c>
    </row>
    <row r="11780" spans="1:14">
      <c r="A11780">
        <v>70735120</v>
      </c>
      <c r="B11780">
        <v>4024207</v>
      </c>
      <c r="C11780" t="s">
        <v>5477</v>
      </c>
      <c r="D11780" t="s">
        <v>441</v>
      </c>
      <c r="F11780">
        <v>0</v>
      </c>
      <c r="G11780">
        <v>23.68</v>
      </c>
      <c r="H11780" t="s">
        <v>8587</v>
      </c>
      <c r="I11780">
        <v>45</v>
      </c>
      <c r="J11780" t="s">
        <v>462</v>
      </c>
      <c r="M11780">
        <v>7108</v>
      </c>
      <c r="N11780" t="s">
        <v>17130</v>
      </c>
    </row>
    <row r="11781" spans="1:14">
      <c r="A11781">
        <v>70740000</v>
      </c>
      <c r="B11781">
        <v>3035498</v>
      </c>
      <c r="C11781" t="s">
        <v>201</v>
      </c>
      <c r="D11781" t="s">
        <v>441</v>
      </c>
      <c r="F11781">
        <v>0</v>
      </c>
      <c r="G11781">
        <v>16.86</v>
      </c>
      <c r="H11781" t="s">
        <v>12573</v>
      </c>
      <c r="I11781">
        <v>6</v>
      </c>
      <c r="J11781" t="s">
        <v>445</v>
      </c>
      <c r="M11781">
        <v>3349</v>
      </c>
      <c r="N11781" t="s">
        <v>17131</v>
      </c>
    </row>
    <row r="11782" spans="1:14">
      <c r="A11782">
        <v>70740008</v>
      </c>
      <c r="B11782">
        <v>3035488</v>
      </c>
      <c r="C11782" t="s">
        <v>5478</v>
      </c>
      <c r="D11782" t="s">
        <v>441</v>
      </c>
      <c r="F11782">
        <v>0</v>
      </c>
      <c r="G11782">
        <v>15.81</v>
      </c>
      <c r="H11782" t="s">
        <v>12664</v>
      </c>
      <c r="I11782">
        <v>5</v>
      </c>
      <c r="J11782" t="s">
        <v>445</v>
      </c>
      <c r="M11782">
        <v>6666</v>
      </c>
      <c r="N11782" t="s">
        <v>17132</v>
      </c>
    </row>
    <row r="11783" spans="1:14">
      <c r="A11783">
        <v>70744110</v>
      </c>
      <c r="B11783">
        <v>4024175</v>
      </c>
      <c r="C11783" t="s">
        <v>17703</v>
      </c>
      <c r="D11783" t="s">
        <v>441</v>
      </c>
      <c r="F11783">
        <v>0</v>
      </c>
      <c r="G11783">
        <v>29.84</v>
      </c>
      <c r="H11783" t="s">
        <v>8587</v>
      </c>
      <c r="I11783">
        <v>45</v>
      </c>
      <c r="J11783" t="s">
        <v>462</v>
      </c>
      <c r="M11783">
        <v>7108</v>
      </c>
      <c r="N11783" t="s">
        <v>17131</v>
      </c>
    </row>
    <row r="11784" spans="1:14">
      <c r="A11784">
        <v>70744120</v>
      </c>
      <c r="B11784">
        <v>4024638</v>
      </c>
      <c r="C11784" t="s">
        <v>17704</v>
      </c>
      <c r="D11784" t="s">
        <v>441</v>
      </c>
      <c r="F11784">
        <v>0</v>
      </c>
      <c r="G11784">
        <v>31.68</v>
      </c>
      <c r="H11784" t="s">
        <v>8587</v>
      </c>
      <c r="I11784">
        <v>45</v>
      </c>
      <c r="J11784" t="s">
        <v>462</v>
      </c>
      <c r="K11784" t="s">
        <v>446</v>
      </c>
      <c r="M11784">
        <v>7108</v>
      </c>
      <c r="N11784" t="s">
        <v>17131</v>
      </c>
    </row>
    <row r="11785" spans="1:14">
      <c r="A11785">
        <v>70744130</v>
      </c>
      <c r="B11785">
        <v>4027709</v>
      </c>
      <c r="C11785" t="s">
        <v>15543</v>
      </c>
      <c r="D11785" t="s">
        <v>441</v>
      </c>
      <c r="F11785">
        <v>0</v>
      </c>
      <c r="G11785">
        <v>29.94</v>
      </c>
      <c r="H11785" t="s">
        <v>8587</v>
      </c>
      <c r="I11785">
        <v>45</v>
      </c>
      <c r="J11785" t="s">
        <v>462</v>
      </c>
      <c r="M11785">
        <v>7108</v>
      </c>
      <c r="N11785" t="s">
        <v>17131</v>
      </c>
    </row>
    <row r="11786" spans="1:14">
      <c r="A11786">
        <v>70745110</v>
      </c>
      <c r="B11786">
        <v>4024168</v>
      </c>
      <c r="C11786" t="s">
        <v>14621</v>
      </c>
      <c r="D11786" t="s">
        <v>441</v>
      </c>
      <c r="F11786">
        <v>0</v>
      </c>
      <c r="G11786">
        <v>25.36</v>
      </c>
      <c r="H11786" t="s">
        <v>8587</v>
      </c>
      <c r="I11786">
        <v>45</v>
      </c>
      <c r="J11786" t="s">
        <v>462</v>
      </c>
      <c r="M11786">
        <v>7108</v>
      </c>
      <c r="N11786" t="s">
        <v>17131</v>
      </c>
    </row>
    <row r="11787" spans="1:14">
      <c r="A11787">
        <v>70745120</v>
      </c>
      <c r="B11787">
        <v>4024206</v>
      </c>
      <c r="C11787" t="s">
        <v>5479</v>
      </c>
      <c r="D11787" t="s">
        <v>441</v>
      </c>
      <c r="F11787">
        <v>0</v>
      </c>
      <c r="G11787">
        <v>26.62</v>
      </c>
      <c r="H11787" t="s">
        <v>8587</v>
      </c>
      <c r="I11787">
        <v>45</v>
      </c>
      <c r="J11787" t="s">
        <v>462</v>
      </c>
      <c r="M11787">
        <v>7108</v>
      </c>
      <c r="N11787" t="s">
        <v>17131</v>
      </c>
    </row>
    <row r="11788" spans="1:14">
      <c r="A11788">
        <v>70750000</v>
      </c>
      <c r="B11788">
        <v>3040111</v>
      </c>
      <c r="C11788" t="s">
        <v>5480</v>
      </c>
      <c r="D11788" t="s">
        <v>441</v>
      </c>
      <c r="F11788">
        <v>0</v>
      </c>
      <c r="G11788">
        <v>20.399999999999999</v>
      </c>
      <c r="H11788" t="s">
        <v>12573</v>
      </c>
      <c r="I11788">
        <v>6</v>
      </c>
      <c r="J11788" t="s">
        <v>445</v>
      </c>
      <c r="M11788">
        <v>3349</v>
      </c>
      <c r="N11788" t="s">
        <v>17133</v>
      </c>
    </row>
    <row r="11789" spans="1:14">
      <c r="A11789">
        <v>70750008</v>
      </c>
      <c r="B11789">
        <v>3040121</v>
      </c>
      <c r="C11789" t="s">
        <v>5481</v>
      </c>
      <c r="D11789" t="s">
        <v>441</v>
      </c>
      <c r="F11789">
        <v>0</v>
      </c>
      <c r="G11789">
        <v>15.15</v>
      </c>
      <c r="H11789" t="s">
        <v>12664</v>
      </c>
      <c r="I11789">
        <v>5</v>
      </c>
      <c r="J11789" t="s">
        <v>445</v>
      </c>
      <c r="M11789">
        <v>6666</v>
      </c>
      <c r="N11789" t="s">
        <v>17134</v>
      </c>
    </row>
    <row r="11790" spans="1:14">
      <c r="A11790">
        <v>70754110</v>
      </c>
      <c r="B11790">
        <v>4026571</v>
      </c>
      <c r="C11790" t="s">
        <v>15356</v>
      </c>
      <c r="D11790" t="s">
        <v>441</v>
      </c>
      <c r="F11790">
        <v>0</v>
      </c>
      <c r="G11790">
        <v>23.55</v>
      </c>
      <c r="H11790" t="s">
        <v>8587</v>
      </c>
      <c r="I11790">
        <v>40</v>
      </c>
      <c r="J11790" t="s">
        <v>462</v>
      </c>
      <c r="M11790">
        <v>7108</v>
      </c>
      <c r="N11790" t="s">
        <v>17135</v>
      </c>
    </row>
    <row r="11791" spans="1:14">
      <c r="A11791">
        <v>70760000</v>
      </c>
      <c r="B11791">
        <v>3040130</v>
      </c>
      <c r="C11791" t="s">
        <v>5482</v>
      </c>
      <c r="D11791" t="s">
        <v>441</v>
      </c>
      <c r="F11791">
        <v>0</v>
      </c>
      <c r="G11791">
        <v>22.41</v>
      </c>
      <c r="H11791" t="s">
        <v>12573</v>
      </c>
      <c r="I11791">
        <v>6</v>
      </c>
      <c r="J11791" t="s">
        <v>445</v>
      </c>
      <c r="M11791">
        <v>3349</v>
      </c>
      <c r="N11791" t="s">
        <v>17136</v>
      </c>
    </row>
    <row r="11792" spans="1:14">
      <c r="A11792">
        <v>70760008</v>
      </c>
      <c r="B11792">
        <v>3040089</v>
      </c>
      <c r="C11792" t="s">
        <v>5483</v>
      </c>
      <c r="D11792" t="s">
        <v>441</v>
      </c>
      <c r="F11792">
        <v>0</v>
      </c>
      <c r="G11792">
        <v>16.72</v>
      </c>
      <c r="H11792" t="s">
        <v>12664</v>
      </c>
      <c r="I11792">
        <v>5</v>
      </c>
      <c r="J11792" t="s">
        <v>445</v>
      </c>
      <c r="M11792">
        <v>6666</v>
      </c>
      <c r="N11792" t="s">
        <v>17137</v>
      </c>
    </row>
    <row r="11793" spans="1:14">
      <c r="A11793">
        <v>70764110</v>
      </c>
      <c r="B11793">
        <v>4026602</v>
      </c>
      <c r="C11793" t="s">
        <v>14622</v>
      </c>
      <c r="D11793" t="s">
        <v>441</v>
      </c>
      <c r="F11793">
        <v>0</v>
      </c>
      <c r="G11793">
        <v>25.42</v>
      </c>
      <c r="H11793" t="s">
        <v>8587</v>
      </c>
      <c r="I11793">
        <v>40</v>
      </c>
      <c r="J11793" t="s">
        <v>462</v>
      </c>
      <c r="M11793">
        <v>7108</v>
      </c>
      <c r="N11793" t="s">
        <v>17138</v>
      </c>
    </row>
    <row r="11794" spans="1:14">
      <c r="A11794">
        <v>70770000</v>
      </c>
      <c r="B11794">
        <v>3044428</v>
      </c>
      <c r="C11794" t="s">
        <v>15213</v>
      </c>
      <c r="D11794" t="s">
        <v>441</v>
      </c>
      <c r="F11794">
        <v>0</v>
      </c>
      <c r="G11794">
        <v>22.59</v>
      </c>
      <c r="H11794" t="s">
        <v>12573</v>
      </c>
      <c r="I11794">
        <v>3</v>
      </c>
      <c r="J11794" t="s">
        <v>445</v>
      </c>
      <c r="M11794">
        <v>3349</v>
      </c>
      <c r="N11794" t="s">
        <v>17139</v>
      </c>
    </row>
    <row r="11795" spans="1:14">
      <c r="A11795">
        <v>70770008</v>
      </c>
      <c r="B11795">
        <v>3044418</v>
      </c>
      <c r="C11795" t="s">
        <v>15214</v>
      </c>
      <c r="D11795" t="s">
        <v>441</v>
      </c>
      <c r="F11795">
        <v>0</v>
      </c>
      <c r="G11795">
        <v>14.03</v>
      </c>
      <c r="H11795" t="s">
        <v>12664</v>
      </c>
      <c r="I11795">
        <v>5</v>
      </c>
      <c r="J11795" t="s">
        <v>445</v>
      </c>
      <c r="M11795">
        <v>6666</v>
      </c>
    </row>
    <row r="11796" spans="1:14">
      <c r="A11796">
        <v>70770009</v>
      </c>
      <c r="B11796">
        <v>3044427</v>
      </c>
      <c r="C11796" t="s">
        <v>15215</v>
      </c>
      <c r="D11796" t="s">
        <v>441</v>
      </c>
      <c r="F11796">
        <v>0</v>
      </c>
      <c r="G11796">
        <v>16.649999999999999</v>
      </c>
      <c r="H11796" t="s">
        <v>12573</v>
      </c>
      <c r="I11796">
        <v>6</v>
      </c>
      <c r="J11796" t="s">
        <v>445</v>
      </c>
      <c r="M11796">
        <v>3349</v>
      </c>
      <c r="N11796" t="s">
        <v>17139</v>
      </c>
    </row>
    <row r="11797" spans="1:14">
      <c r="A11797">
        <v>70774210</v>
      </c>
      <c r="B11797">
        <v>4029354</v>
      </c>
      <c r="C11797" t="s">
        <v>15216</v>
      </c>
      <c r="D11797" t="s">
        <v>442</v>
      </c>
      <c r="E11797" t="s">
        <v>441</v>
      </c>
      <c r="F11797">
        <v>8.5000000000000006E-2</v>
      </c>
      <c r="G11797">
        <v>2.4</v>
      </c>
      <c r="H11797" t="s">
        <v>8587</v>
      </c>
      <c r="I11797">
        <v>70</v>
      </c>
      <c r="J11797" t="s">
        <v>462</v>
      </c>
      <c r="L11797" t="s">
        <v>15217</v>
      </c>
      <c r="M11797">
        <v>7108</v>
      </c>
      <c r="N11797" t="s">
        <v>17139</v>
      </c>
    </row>
    <row r="11798" spans="1:14">
      <c r="A11798">
        <v>70774211</v>
      </c>
      <c r="B11798">
        <v>3044621</v>
      </c>
      <c r="C11798" t="s">
        <v>15293</v>
      </c>
      <c r="D11798" t="s">
        <v>442</v>
      </c>
      <c r="E11798" t="s">
        <v>441</v>
      </c>
      <c r="F11798">
        <v>8.5000000000000006E-2</v>
      </c>
      <c r="G11798">
        <v>2.2799999999999998</v>
      </c>
      <c r="H11798" t="s">
        <v>8587</v>
      </c>
      <c r="I11798">
        <v>70</v>
      </c>
      <c r="J11798" t="s">
        <v>445</v>
      </c>
      <c r="M11798">
        <v>3741</v>
      </c>
      <c r="N11798" t="s">
        <v>17139</v>
      </c>
    </row>
    <row r="11799" spans="1:14">
      <c r="A11799">
        <v>70774220</v>
      </c>
      <c r="B11799">
        <v>4030003</v>
      </c>
      <c r="C11799" t="s">
        <v>15683</v>
      </c>
      <c r="D11799" t="s">
        <v>442</v>
      </c>
      <c r="E11799" t="s">
        <v>441</v>
      </c>
      <c r="F11799">
        <v>8.5000000000000006E-2</v>
      </c>
      <c r="G11799">
        <v>2.75</v>
      </c>
      <c r="H11799" t="s">
        <v>8587</v>
      </c>
      <c r="I11799">
        <v>70</v>
      </c>
      <c r="J11799" t="s">
        <v>462</v>
      </c>
      <c r="L11799" t="s">
        <v>15217</v>
      </c>
      <c r="M11799">
        <v>7108</v>
      </c>
      <c r="N11799" t="s">
        <v>17139</v>
      </c>
    </row>
    <row r="11800" spans="1:14">
      <c r="A11800">
        <v>70780000</v>
      </c>
      <c r="B11800">
        <v>3044442</v>
      </c>
      <c r="C11800" t="s">
        <v>15218</v>
      </c>
      <c r="D11800" t="s">
        <v>441</v>
      </c>
      <c r="F11800">
        <v>0</v>
      </c>
      <c r="G11800">
        <v>23.87</v>
      </c>
      <c r="H11800" t="s">
        <v>12573</v>
      </c>
      <c r="I11800">
        <v>3</v>
      </c>
      <c r="J11800" t="s">
        <v>445</v>
      </c>
      <c r="M11800">
        <v>3349</v>
      </c>
      <c r="N11800" t="s">
        <v>17140</v>
      </c>
    </row>
    <row r="11801" spans="1:14">
      <c r="A11801">
        <v>70780008</v>
      </c>
      <c r="B11801">
        <v>3044440</v>
      </c>
      <c r="C11801" t="s">
        <v>15219</v>
      </c>
      <c r="D11801" t="s">
        <v>441</v>
      </c>
      <c r="F11801">
        <v>0</v>
      </c>
      <c r="G11801">
        <v>14.88</v>
      </c>
      <c r="H11801" t="s">
        <v>12664</v>
      </c>
      <c r="I11801">
        <v>5</v>
      </c>
      <c r="J11801" t="s">
        <v>445</v>
      </c>
      <c r="M11801">
        <v>6666</v>
      </c>
    </row>
    <row r="11802" spans="1:14">
      <c r="A11802">
        <v>70780009</v>
      </c>
      <c r="B11802">
        <v>3044441</v>
      </c>
      <c r="C11802" t="s">
        <v>15220</v>
      </c>
      <c r="D11802" t="s">
        <v>441</v>
      </c>
      <c r="F11802">
        <v>0</v>
      </c>
      <c r="G11802">
        <v>17.62</v>
      </c>
      <c r="H11802" t="s">
        <v>12573</v>
      </c>
      <c r="I11802">
        <v>6</v>
      </c>
      <c r="J11802" t="s">
        <v>445</v>
      </c>
      <c r="M11802">
        <v>3349</v>
      </c>
      <c r="N11802" t="s">
        <v>17140</v>
      </c>
    </row>
    <row r="11803" spans="1:14">
      <c r="A11803">
        <v>70784210</v>
      </c>
      <c r="B11803">
        <v>4029353</v>
      </c>
      <c r="C11803" t="s">
        <v>15221</v>
      </c>
      <c r="D11803" t="s">
        <v>442</v>
      </c>
      <c r="E11803" t="s">
        <v>441</v>
      </c>
      <c r="F11803">
        <v>8.5000000000000006E-2</v>
      </c>
      <c r="G11803">
        <v>2.52</v>
      </c>
      <c r="H11803" t="s">
        <v>8587</v>
      </c>
      <c r="I11803">
        <v>70</v>
      </c>
      <c r="J11803" t="s">
        <v>462</v>
      </c>
      <c r="L11803" t="s">
        <v>15222</v>
      </c>
      <c r="M11803">
        <v>7108</v>
      </c>
      <c r="N11803" t="s">
        <v>17140</v>
      </c>
    </row>
    <row r="11804" spans="1:14">
      <c r="A11804">
        <v>70784211</v>
      </c>
      <c r="B11804">
        <v>3044622</v>
      </c>
      <c r="C11804" t="s">
        <v>15294</v>
      </c>
      <c r="D11804" t="s">
        <v>442</v>
      </c>
      <c r="E11804" t="s">
        <v>441</v>
      </c>
      <c r="F11804">
        <v>8.5000000000000006E-2</v>
      </c>
      <c r="G11804">
        <v>2.39</v>
      </c>
      <c r="H11804" t="s">
        <v>8587</v>
      </c>
      <c r="I11804">
        <v>70</v>
      </c>
      <c r="J11804" t="s">
        <v>445</v>
      </c>
      <c r="M11804">
        <v>3741</v>
      </c>
      <c r="N11804" t="s">
        <v>17140</v>
      </c>
    </row>
    <row r="11805" spans="1:14">
      <c r="A11805">
        <v>70784220</v>
      </c>
      <c r="B11805">
        <v>4030002</v>
      </c>
      <c r="C11805" t="s">
        <v>15684</v>
      </c>
      <c r="D11805" t="s">
        <v>442</v>
      </c>
      <c r="E11805" t="s">
        <v>441</v>
      </c>
      <c r="F11805">
        <v>8.5000000000000006E-2</v>
      </c>
      <c r="G11805">
        <v>2.82</v>
      </c>
      <c r="H11805" t="s">
        <v>8587</v>
      </c>
      <c r="I11805">
        <v>70</v>
      </c>
      <c r="J11805" t="s">
        <v>462</v>
      </c>
      <c r="L11805" t="s">
        <v>15222</v>
      </c>
      <c r="M11805">
        <v>7108</v>
      </c>
      <c r="N11805" t="s">
        <v>17140</v>
      </c>
    </row>
    <row r="11806" spans="1:14">
      <c r="A11806">
        <v>70794210</v>
      </c>
      <c r="B11806">
        <v>4029527</v>
      </c>
      <c r="C11806" t="s">
        <v>15295</v>
      </c>
      <c r="D11806" t="s">
        <v>442</v>
      </c>
      <c r="E11806" t="s">
        <v>441</v>
      </c>
      <c r="F11806">
        <v>8.5000000000000006E-2</v>
      </c>
      <c r="G11806">
        <v>2.52</v>
      </c>
      <c r="H11806" t="s">
        <v>8587</v>
      </c>
      <c r="I11806">
        <v>70</v>
      </c>
      <c r="J11806" t="s">
        <v>462</v>
      </c>
      <c r="L11806" t="s">
        <v>15685</v>
      </c>
      <c r="M11806">
        <v>7108</v>
      </c>
      <c r="N11806" t="s">
        <v>16921</v>
      </c>
    </row>
    <row r="11807" spans="1:14">
      <c r="A11807">
        <v>70794220</v>
      </c>
      <c r="B11807">
        <v>4030131</v>
      </c>
      <c r="C11807" t="s">
        <v>17141</v>
      </c>
      <c r="D11807" t="s">
        <v>442</v>
      </c>
      <c r="E11807" t="s">
        <v>441</v>
      </c>
      <c r="F11807">
        <v>8.5000000000000006E-2</v>
      </c>
      <c r="G11807">
        <v>2.86</v>
      </c>
      <c r="H11807" t="s">
        <v>8587</v>
      </c>
      <c r="I11807">
        <v>70</v>
      </c>
      <c r="J11807" t="s">
        <v>462</v>
      </c>
      <c r="L11807" t="s">
        <v>17142</v>
      </c>
      <c r="M11807">
        <v>7108</v>
      </c>
      <c r="N11807" t="s">
        <v>16921</v>
      </c>
    </row>
    <row r="11808" spans="1:14">
      <c r="A11808">
        <v>70794230</v>
      </c>
      <c r="B11808">
        <v>4030205</v>
      </c>
      <c r="C11808" t="s">
        <v>17143</v>
      </c>
      <c r="D11808" t="s">
        <v>442</v>
      </c>
      <c r="E11808" t="s">
        <v>441</v>
      </c>
      <c r="F11808">
        <v>8.5000000000000006E-2</v>
      </c>
      <c r="G11808">
        <v>2.81</v>
      </c>
      <c r="H11808" t="s">
        <v>8587</v>
      </c>
      <c r="I11808">
        <v>70</v>
      </c>
      <c r="J11808" t="s">
        <v>462</v>
      </c>
      <c r="M11808">
        <v>7329</v>
      </c>
      <c r="N11808" t="s">
        <v>16921</v>
      </c>
    </row>
    <row r="11809" spans="1:14">
      <c r="A11809">
        <v>70800000</v>
      </c>
      <c r="B11809">
        <v>3044914</v>
      </c>
      <c r="C11809" t="s">
        <v>15544</v>
      </c>
      <c r="D11809" t="s">
        <v>441</v>
      </c>
      <c r="F11809">
        <v>0</v>
      </c>
      <c r="G11809">
        <v>18.37</v>
      </c>
      <c r="H11809" t="s">
        <v>12573</v>
      </c>
      <c r="I11809">
        <v>4</v>
      </c>
      <c r="J11809" t="s">
        <v>445</v>
      </c>
      <c r="M11809">
        <v>3349</v>
      </c>
      <c r="N11809" t="s">
        <v>17144</v>
      </c>
    </row>
    <row r="11810" spans="1:14">
      <c r="A11810">
        <v>70800008</v>
      </c>
      <c r="B11810">
        <v>3044913</v>
      </c>
      <c r="C11810" t="s">
        <v>15545</v>
      </c>
      <c r="D11810" t="s">
        <v>441</v>
      </c>
      <c r="F11810">
        <v>0</v>
      </c>
      <c r="G11810">
        <v>13.38</v>
      </c>
      <c r="H11810" t="s">
        <v>12664</v>
      </c>
      <c r="I11810">
        <v>2</v>
      </c>
      <c r="J11810" t="s">
        <v>445</v>
      </c>
      <c r="M11810">
        <v>6666</v>
      </c>
    </row>
    <row r="11811" spans="1:14">
      <c r="A11811">
        <v>70804210</v>
      </c>
      <c r="B11811">
        <v>4029792</v>
      </c>
      <c r="C11811" t="s">
        <v>15546</v>
      </c>
      <c r="D11811" t="s">
        <v>441</v>
      </c>
      <c r="F11811">
        <v>0</v>
      </c>
      <c r="G11811">
        <v>20.36</v>
      </c>
      <c r="H11811" t="s">
        <v>8587</v>
      </c>
      <c r="I11811">
        <v>35</v>
      </c>
      <c r="J11811" t="s">
        <v>462</v>
      </c>
      <c r="M11811">
        <v>7108</v>
      </c>
      <c r="N11811" t="s">
        <v>17144</v>
      </c>
    </row>
    <row r="11812" spans="1:14">
      <c r="A11812">
        <v>70810000</v>
      </c>
      <c r="B11812">
        <v>3046217</v>
      </c>
      <c r="C11812" t="s">
        <v>17705</v>
      </c>
      <c r="D11812" t="s">
        <v>441</v>
      </c>
      <c r="F11812">
        <v>0</v>
      </c>
      <c r="G11812">
        <v>19.28</v>
      </c>
      <c r="H11812" t="s">
        <v>12573</v>
      </c>
      <c r="I11812">
        <v>3</v>
      </c>
      <c r="J11812" t="s">
        <v>445</v>
      </c>
      <c r="M11812">
        <v>3349</v>
      </c>
      <c r="N11812" t="s">
        <v>17706</v>
      </c>
    </row>
    <row r="11813" spans="1:14">
      <c r="A11813">
        <v>70810008</v>
      </c>
      <c r="B11813">
        <v>3046215</v>
      </c>
      <c r="C11813" t="s">
        <v>17707</v>
      </c>
      <c r="D11813" t="s">
        <v>441</v>
      </c>
      <c r="F11813">
        <v>0</v>
      </c>
      <c r="G11813">
        <v>11.61</v>
      </c>
      <c r="H11813" t="s">
        <v>12664</v>
      </c>
      <c r="I11813">
        <v>3</v>
      </c>
      <c r="J11813" t="s">
        <v>445</v>
      </c>
      <c r="M11813">
        <v>6666</v>
      </c>
    </row>
    <row r="11814" spans="1:14">
      <c r="A11814">
        <v>70810009</v>
      </c>
      <c r="B11814">
        <v>3046216</v>
      </c>
      <c r="C11814" t="s">
        <v>17708</v>
      </c>
      <c r="D11814" t="s">
        <v>441</v>
      </c>
      <c r="F11814">
        <v>0</v>
      </c>
      <c r="G11814">
        <v>14.9</v>
      </c>
      <c r="H11814" t="s">
        <v>12573</v>
      </c>
      <c r="I11814">
        <v>6</v>
      </c>
      <c r="J11814" t="s">
        <v>445</v>
      </c>
      <c r="M11814">
        <v>3349</v>
      </c>
      <c r="N11814" t="s">
        <v>17706</v>
      </c>
    </row>
    <row r="11815" spans="1:14">
      <c r="A11815">
        <v>70814210</v>
      </c>
      <c r="B11815">
        <v>4030609</v>
      </c>
      <c r="C11815" t="s">
        <v>17709</v>
      </c>
      <c r="D11815" t="s">
        <v>442</v>
      </c>
      <c r="E11815" t="s">
        <v>441</v>
      </c>
      <c r="F11815">
        <v>0.22</v>
      </c>
      <c r="G11815">
        <v>5.0199999999999996</v>
      </c>
      <c r="H11815" t="s">
        <v>8587</v>
      </c>
      <c r="I11815">
        <v>70</v>
      </c>
      <c r="J11815" t="s">
        <v>462</v>
      </c>
      <c r="M11815">
        <v>7108</v>
      </c>
      <c r="N11815" t="s">
        <v>17706</v>
      </c>
    </row>
    <row r="11816" spans="1:14">
      <c r="A11816">
        <v>70814211</v>
      </c>
      <c r="B11816">
        <v>3046218</v>
      </c>
      <c r="C11816" t="s">
        <v>17710</v>
      </c>
      <c r="D11816" t="s">
        <v>442</v>
      </c>
      <c r="E11816" t="s">
        <v>441</v>
      </c>
      <c r="F11816">
        <v>0.22</v>
      </c>
      <c r="G11816">
        <v>4.88</v>
      </c>
      <c r="H11816" t="s">
        <v>8587</v>
      </c>
      <c r="I11816">
        <v>70</v>
      </c>
      <c r="J11816" t="s">
        <v>445</v>
      </c>
      <c r="M11816">
        <v>3741</v>
      </c>
      <c r="N11816" t="s">
        <v>17706</v>
      </c>
    </row>
    <row r="11817" spans="1:14">
      <c r="A11817">
        <v>70880000</v>
      </c>
      <c r="B11817">
        <v>3045408</v>
      </c>
      <c r="C11817" t="s">
        <v>15936</v>
      </c>
      <c r="D11817" t="s">
        <v>441</v>
      </c>
      <c r="F11817">
        <v>0</v>
      </c>
      <c r="G11817">
        <v>14.9</v>
      </c>
      <c r="H11817" t="s">
        <v>12573</v>
      </c>
      <c r="I11817">
        <v>5</v>
      </c>
      <c r="J11817" t="s">
        <v>445</v>
      </c>
      <c r="M11817">
        <v>3349</v>
      </c>
      <c r="N11817" t="s">
        <v>17145</v>
      </c>
    </row>
    <row r="11818" spans="1:14">
      <c r="A11818">
        <v>70880008</v>
      </c>
      <c r="B11818">
        <v>3045407</v>
      </c>
      <c r="C11818" t="s">
        <v>15937</v>
      </c>
      <c r="D11818" t="s">
        <v>441</v>
      </c>
      <c r="F11818">
        <v>0</v>
      </c>
      <c r="G11818">
        <v>13.25</v>
      </c>
      <c r="H11818" t="s">
        <v>12664</v>
      </c>
      <c r="I11818">
        <v>5</v>
      </c>
      <c r="J11818" t="s">
        <v>445</v>
      </c>
      <c r="M11818">
        <v>6666</v>
      </c>
    </row>
    <row r="11819" spans="1:14">
      <c r="A11819">
        <v>70884110</v>
      </c>
      <c r="B11819">
        <v>4030121</v>
      </c>
      <c r="C11819" t="s">
        <v>15938</v>
      </c>
      <c r="D11819" t="s">
        <v>442</v>
      </c>
      <c r="E11819" t="s">
        <v>441</v>
      </c>
      <c r="F11819">
        <v>0.45</v>
      </c>
      <c r="G11819">
        <v>8.67</v>
      </c>
      <c r="H11819" t="s">
        <v>8587</v>
      </c>
      <c r="I11819">
        <v>40</v>
      </c>
      <c r="J11819" t="s">
        <v>462</v>
      </c>
      <c r="L11819" t="s">
        <v>15957</v>
      </c>
      <c r="M11819">
        <v>7108</v>
      </c>
      <c r="N11819" t="s">
        <v>17145</v>
      </c>
    </row>
    <row r="11820" spans="1:14">
      <c r="A11820">
        <v>70890000</v>
      </c>
      <c r="B11820">
        <v>3045464</v>
      </c>
      <c r="C11820" t="s">
        <v>17146</v>
      </c>
      <c r="D11820" t="s">
        <v>441</v>
      </c>
      <c r="F11820">
        <v>0</v>
      </c>
      <c r="G11820">
        <v>17.059999999999999</v>
      </c>
      <c r="H11820" t="s">
        <v>12573</v>
      </c>
      <c r="I11820">
        <v>5</v>
      </c>
      <c r="J11820" t="s">
        <v>445</v>
      </c>
      <c r="M11820">
        <v>3349</v>
      </c>
      <c r="N11820" t="s">
        <v>17147</v>
      </c>
    </row>
    <row r="11821" spans="1:14">
      <c r="A11821">
        <v>70890008</v>
      </c>
      <c r="B11821">
        <v>3045463</v>
      </c>
      <c r="C11821" t="s">
        <v>17148</v>
      </c>
      <c r="D11821" t="s">
        <v>441</v>
      </c>
      <c r="F11821">
        <v>0</v>
      </c>
      <c r="G11821">
        <v>12.77</v>
      </c>
      <c r="H11821" t="s">
        <v>12664</v>
      </c>
      <c r="I11821">
        <v>5</v>
      </c>
      <c r="J11821" t="s">
        <v>445</v>
      </c>
      <c r="M11821">
        <v>6666</v>
      </c>
    </row>
    <row r="11822" spans="1:14">
      <c r="A11822">
        <v>70895110</v>
      </c>
      <c r="B11822">
        <v>4030162</v>
      </c>
      <c r="C11822" t="s">
        <v>17149</v>
      </c>
      <c r="D11822" t="s">
        <v>441</v>
      </c>
      <c r="F11822">
        <v>0</v>
      </c>
      <c r="G11822">
        <v>19.34</v>
      </c>
      <c r="H11822" t="s">
        <v>8587</v>
      </c>
      <c r="I11822">
        <v>40</v>
      </c>
      <c r="J11822" t="s">
        <v>462</v>
      </c>
      <c r="M11822">
        <v>7108</v>
      </c>
      <c r="N11822" t="s">
        <v>17147</v>
      </c>
    </row>
    <row r="11823" spans="1:14">
      <c r="A11823">
        <v>70904210</v>
      </c>
      <c r="B11823">
        <v>4030127</v>
      </c>
      <c r="C11823" t="s">
        <v>17150</v>
      </c>
      <c r="D11823" t="s">
        <v>442</v>
      </c>
      <c r="E11823" t="s">
        <v>441</v>
      </c>
      <c r="F11823">
        <v>9.5000000000000001E-2</v>
      </c>
      <c r="G11823">
        <v>3.5</v>
      </c>
      <c r="H11823" t="s">
        <v>8587</v>
      </c>
      <c r="I11823">
        <v>110</v>
      </c>
      <c r="J11823" t="s">
        <v>462</v>
      </c>
      <c r="L11823" t="s">
        <v>17151</v>
      </c>
      <c r="M11823">
        <v>7108</v>
      </c>
      <c r="N11823" t="s">
        <v>16921</v>
      </c>
    </row>
    <row r="11824" spans="1:14">
      <c r="A11824">
        <v>70904220</v>
      </c>
      <c r="B11824">
        <v>4030203</v>
      </c>
      <c r="C11824" t="s">
        <v>17152</v>
      </c>
      <c r="D11824" t="s">
        <v>442</v>
      </c>
      <c r="E11824" t="s">
        <v>441</v>
      </c>
      <c r="F11824">
        <v>9.5000000000000001E-2</v>
      </c>
      <c r="G11824">
        <v>3.56</v>
      </c>
      <c r="H11824" t="s">
        <v>8587</v>
      </c>
      <c r="I11824">
        <v>110</v>
      </c>
      <c r="J11824" t="s">
        <v>462</v>
      </c>
      <c r="M11824">
        <v>7329</v>
      </c>
      <c r="N11824" t="s">
        <v>16921</v>
      </c>
    </row>
    <row r="11825" spans="1:14">
      <c r="A11825">
        <v>74360000</v>
      </c>
      <c r="B11825">
        <v>3016673</v>
      </c>
      <c r="C11825" t="s">
        <v>5484</v>
      </c>
      <c r="D11825" t="s">
        <v>441</v>
      </c>
      <c r="F11825">
        <v>0</v>
      </c>
      <c r="G11825">
        <v>9.73</v>
      </c>
      <c r="H11825" t="s">
        <v>8584</v>
      </c>
      <c r="I11825">
        <v>4</v>
      </c>
      <c r="J11825" t="s">
        <v>445</v>
      </c>
      <c r="K11825" t="s">
        <v>446</v>
      </c>
      <c r="M11825">
        <v>3311</v>
      </c>
      <c r="N11825" t="s">
        <v>16675</v>
      </c>
    </row>
    <row r="11826" spans="1:14">
      <c r="A11826">
        <v>74360008</v>
      </c>
      <c r="B11826">
        <v>3016674</v>
      </c>
      <c r="C11826" t="s">
        <v>5485</v>
      </c>
      <c r="D11826" t="s">
        <v>441</v>
      </c>
      <c r="F11826">
        <v>0</v>
      </c>
      <c r="G11826">
        <v>7.92</v>
      </c>
      <c r="H11826" t="s">
        <v>8580</v>
      </c>
      <c r="I11826">
        <v>5</v>
      </c>
      <c r="J11826" t="s">
        <v>445</v>
      </c>
      <c r="K11826" t="s">
        <v>446</v>
      </c>
      <c r="M11826">
        <v>3211</v>
      </c>
      <c r="N11826" t="s">
        <v>17153</v>
      </c>
    </row>
    <row r="11827" spans="1:14">
      <c r="A11827">
        <v>74364110</v>
      </c>
      <c r="B11827">
        <v>4004429</v>
      </c>
      <c r="C11827" t="s">
        <v>5486</v>
      </c>
      <c r="D11827" t="s">
        <v>441</v>
      </c>
      <c r="F11827">
        <v>0</v>
      </c>
      <c r="G11827">
        <v>14.47</v>
      </c>
      <c r="H11827" t="s">
        <v>8587</v>
      </c>
      <c r="I11827">
        <v>38</v>
      </c>
      <c r="J11827" t="s">
        <v>462</v>
      </c>
      <c r="K11827" t="s">
        <v>446</v>
      </c>
      <c r="M11827">
        <v>3711</v>
      </c>
      <c r="N11827" t="s">
        <v>16673</v>
      </c>
    </row>
    <row r="11828" spans="1:14">
      <c r="A11828">
        <v>74364111</v>
      </c>
      <c r="B11828">
        <v>3008493</v>
      </c>
      <c r="C11828" t="s">
        <v>5487</v>
      </c>
      <c r="D11828" t="s">
        <v>441</v>
      </c>
      <c r="F11828">
        <v>0</v>
      </c>
      <c r="G11828">
        <v>13.52</v>
      </c>
      <c r="I11828">
        <v>38</v>
      </c>
      <c r="J11828" t="s">
        <v>445</v>
      </c>
      <c r="K11828" t="s">
        <v>446</v>
      </c>
      <c r="M11828">
        <v>3711</v>
      </c>
      <c r="N11828" t="s">
        <v>16673</v>
      </c>
    </row>
    <row r="11829" spans="1:14">
      <c r="A11829">
        <v>74364120</v>
      </c>
      <c r="B11829">
        <v>4004430</v>
      </c>
      <c r="C11829" t="s">
        <v>5488</v>
      </c>
      <c r="D11829" t="s">
        <v>441</v>
      </c>
      <c r="F11829">
        <v>0</v>
      </c>
      <c r="G11829">
        <v>11.69</v>
      </c>
      <c r="H11829" t="s">
        <v>8587</v>
      </c>
      <c r="I11829">
        <v>38</v>
      </c>
      <c r="J11829" t="s">
        <v>462</v>
      </c>
      <c r="K11829" t="s">
        <v>446</v>
      </c>
      <c r="M11829">
        <v>3711</v>
      </c>
      <c r="N11829" t="s">
        <v>16675</v>
      </c>
    </row>
    <row r="11830" spans="1:14">
      <c r="A11830">
        <v>74364130</v>
      </c>
      <c r="B11830">
        <v>4004431</v>
      </c>
      <c r="C11830" t="s">
        <v>5489</v>
      </c>
      <c r="D11830" t="s">
        <v>441</v>
      </c>
      <c r="F11830">
        <v>0</v>
      </c>
      <c r="G11830">
        <v>13.73</v>
      </c>
      <c r="H11830" t="s">
        <v>8587</v>
      </c>
      <c r="I11830">
        <v>38</v>
      </c>
      <c r="J11830" t="s">
        <v>462</v>
      </c>
      <c r="K11830" t="s">
        <v>446</v>
      </c>
      <c r="M11830">
        <v>3711</v>
      </c>
      <c r="N11830" t="s">
        <v>17154</v>
      </c>
    </row>
    <row r="11831" spans="1:14">
      <c r="A11831">
        <v>74364140</v>
      </c>
      <c r="B11831">
        <v>4009622</v>
      </c>
      <c r="C11831" t="s">
        <v>5490</v>
      </c>
      <c r="D11831" t="s">
        <v>441</v>
      </c>
      <c r="F11831">
        <v>0</v>
      </c>
      <c r="G11831">
        <v>13.72</v>
      </c>
      <c r="H11831" t="s">
        <v>8587</v>
      </c>
      <c r="I11831">
        <v>38</v>
      </c>
      <c r="J11831" t="s">
        <v>462</v>
      </c>
      <c r="K11831" t="s">
        <v>446</v>
      </c>
      <c r="M11831">
        <v>3711</v>
      </c>
      <c r="N11831" t="s">
        <v>17154</v>
      </c>
    </row>
    <row r="11832" spans="1:14">
      <c r="A11832">
        <v>74364150</v>
      </c>
      <c r="B11832">
        <v>4017735</v>
      </c>
      <c r="C11832" t="s">
        <v>5491</v>
      </c>
      <c r="D11832" t="s">
        <v>441</v>
      </c>
      <c r="F11832">
        <v>0</v>
      </c>
      <c r="G11832">
        <v>16.18</v>
      </c>
      <c r="H11832" t="s">
        <v>8587</v>
      </c>
      <c r="I11832">
        <v>38</v>
      </c>
      <c r="J11832" t="s">
        <v>462</v>
      </c>
      <c r="K11832" t="s">
        <v>446</v>
      </c>
      <c r="M11832">
        <v>3711</v>
      </c>
      <c r="N11832" t="s">
        <v>17153</v>
      </c>
    </row>
    <row r="11833" spans="1:14">
      <c r="A11833">
        <v>74364160</v>
      </c>
      <c r="B11833">
        <v>4021194</v>
      </c>
      <c r="C11833" t="s">
        <v>5492</v>
      </c>
      <c r="D11833" t="s">
        <v>441</v>
      </c>
      <c r="F11833">
        <v>0</v>
      </c>
      <c r="G11833">
        <v>14.58</v>
      </c>
      <c r="H11833" t="s">
        <v>8587</v>
      </c>
      <c r="I11833">
        <v>38</v>
      </c>
      <c r="J11833" t="s">
        <v>462</v>
      </c>
      <c r="K11833" t="s">
        <v>446</v>
      </c>
      <c r="M11833">
        <v>3711</v>
      </c>
      <c r="N11833" t="s">
        <v>16673</v>
      </c>
    </row>
    <row r="11834" spans="1:14">
      <c r="A11834">
        <v>74364170</v>
      </c>
      <c r="B11834">
        <v>4021155</v>
      </c>
      <c r="C11834" t="s">
        <v>5493</v>
      </c>
      <c r="D11834" t="s">
        <v>441</v>
      </c>
      <c r="F11834">
        <v>0</v>
      </c>
      <c r="G11834">
        <v>14.53</v>
      </c>
      <c r="H11834" t="s">
        <v>8587</v>
      </c>
      <c r="I11834">
        <v>38</v>
      </c>
      <c r="J11834" t="s">
        <v>462</v>
      </c>
      <c r="K11834" t="s">
        <v>446</v>
      </c>
      <c r="M11834">
        <v>3711</v>
      </c>
      <c r="N11834" t="s">
        <v>16673</v>
      </c>
    </row>
    <row r="11835" spans="1:14">
      <c r="A11835">
        <v>74365110</v>
      </c>
      <c r="B11835">
        <v>4004432</v>
      </c>
      <c r="C11835" t="s">
        <v>5494</v>
      </c>
      <c r="D11835" t="s">
        <v>441</v>
      </c>
      <c r="F11835">
        <v>0</v>
      </c>
      <c r="G11835">
        <v>14.29</v>
      </c>
      <c r="H11835" t="s">
        <v>8587</v>
      </c>
      <c r="I11835">
        <v>38</v>
      </c>
      <c r="J11835" t="s">
        <v>462</v>
      </c>
      <c r="K11835" t="s">
        <v>446</v>
      </c>
      <c r="M11835">
        <v>3711</v>
      </c>
      <c r="N11835" t="s">
        <v>16673</v>
      </c>
    </row>
    <row r="11836" spans="1:14">
      <c r="A11836">
        <v>74365111</v>
      </c>
      <c r="B11836">
        <v>3008494</v>
      </c>
      <c r="C11836" t="s">
        <v>5495</v>
      </c>
      <c r="D11836" t="s">
        <v>441</v>
      </c>
      <c r="F11836">
        <v>0</v>
      </c>
      <c r="G11836">
        <v>13.64</v>
      </c>
      <c r="I11836">
        <v>38</v>
      </c>
      <c r="J11836" t="s">
        <v>445</v>
      </c>
      <c r="K11836" t="s">
        <v>446</v>
      </c>
      <c r="M11836">
        <v>3711</v>
      </c>
      <c r="N11836" t="s">
        <v>16673</v>
      </c>
    </row>
    <row r="11837" spans="1:14">
      <c r="A11837">
        <v>74365120</v>
      </c>
      <c r="B11837">
        <v>4013537</v>
      </c>
      <c r="C11837" t="s">
        <v>5496</v>
      </c>
      <c r="D11837" t="s">
        <v>441</v>
      </c>
      <c r="F11837">
        <v>0</v>
      </c>
      <c r="G11837">
        <v>13.49</v>
      </c>
      <c r="H11837" t="s">
        <v>8587</v>
      </c>
      <c r="I11837">
        <v>38</v>
      </c>
      <c r="J11837" t="s">
        <v>462</v>
      </c>
      <c r="K11837" t="s">
        <v>446</v>
      </c>
      <c r="M11837">
        <v>3711</v>
      </c>
      <c r="N11837" t="s">
        <v>16673</v>
      </c>
    </row>
    <row r="11838" spans="1:14">
      <c r="A11838">
        <v>74460000</v>
      </c>
      <c r="B11838">
        <v>3016675</v>
      </c>
      <c r="C11838" t="s">
        <v>5497</v>
      </c>
      <c r="D11838" t="s">
        <v>441</v>
      </c>
      <c r="F11838">
        <v>0</v>
      </c>
      <c r="G11838">
        <v>11.18</v>
      </c>
      <c r="H11838" t="s">
        <v>8580</v>
      </c>
      <c r="I11838">
        <v>28</v>
      </c>
      <c r="J11838" t="s">
        <v>445</v>
      </c>
      <c r="K11838" t="s">
        <v>446</v>
      </c>
      <c r="M11838">
        <v>3311</v>
      </c>
      <c r="N11838" t="s">
        <v>17155</v>
      </c>
    </row>
    <row r="11839" spans="1:14">
      <c r="A11839">
        <v>74460008</v>
      </c>
      <c r="B11839">
        <v>3016676</v>
      </c>
      <c r="C11839" t="s">
        <v>5498</v>
      </c>
      <c r="D11839" t="s">
        <v>441</v>
      </c>
      <c r="F11839">
        <v>0</v>
      </c>
      <c r="G11839">
        <v>8.2200000000000006</v>
      </c>
      <c r="H11839" t="s">
        <v>8580</v>
      </c>
      <c r="I11839">
        <v>9</v>
      </c>
      <c r="J11839" t="s">
        <v>445</v>
      </c>
      <c r="K11839" t="s">
        <v>446</v>
      </c>
      <c r="M11839">
        <v>3211</v>
      </c>
      <c r="N11839" t="s">
        <v>17155</v>
      </c>
    </row>
    <row r="11840" spans="1:14">
      <c r="A11840">
        <v>74464210</v>
      </c>
      <c r="B11840">
        <v>4001995</v>
      </c>
      <c r="C11840" t="s">
        <v>13658</v>
      </c>
      <c r="D11840" t="s">
        <v>441</v>
      </c>
      <c r="F11840">
        <v>0</v>
      </c>
      <c r="G11840">
        <v>12.11</v>
      </c>
      <c r="H11840" t="s">
        <v>8587</v>
      </c>
      <c r="I11840">
        <v>23</v>
      </c>
      <c r="J11840" t="s">
        <v>462</v>
      </c>
      <c r="K11840" t="s">
        <v>446</v>
      </c>
      <c r="M11840">
        <v>3711</v>
      </c>
    </row>
    <row r="11841" spans="1:14">
      <c r="A11841">
        <v>74464250</v>
      </c>
      <c r="B11841">
        <v>4004435</v>
      </c>
      <c r="C11841" t="s">
        <v>13659</v>
      </c>
      <c r="D11841" t="s">
        <v>441</v>
      </c>
      <c r="F11841">
        <v>0</v>
      </c>
      <c r="G11841">
        <v>12.21</v>
      </c>
      <c r="H11841" t="s">
        <v>8587</v>
      </c>
      <c r="I11841">
        <v>23</v>
      </c>
      <c r="J11841" t="s">
        <v>462</v>
      </c>
      <c r="K11841" t="s">
        <v>446</v>
      </c>
      <c r="M11841">
        <v>3711</v>
      </c>
    </row>
    <row r="11842" spans="1:14">
      <c r="A11842">
        <v>74464280</v>
      </c>
      <c r="B11842">
        <v>4017811</v>
      </c>
      <c r="C11842" t="s">
        <v>5499</v>
      </c>
      <c r="D11842" t="s">
        <v>441</v>
      </c>
      <c r="F11842">
        <v>0</v>
      </c>
      <c r="G11842">
        <v>12.21</v>
      </c>
      <c r="H11842" t="s">
        <v>8587</v>
      </c>
      <c r="I11842">
        <v>35</v>
      </c>
      <c r="J11842" t="s">
        <v>462</v>
      </c>
      <c r="K11842" t="s">
        <v>446</v>
      </c>
      <c r="M11842">
        <v>3711</v>
      </c>
      <c r="N11842" t="s">
        <v>17155</v>
      </c>
    </row>
    <row r="11843" spans="1:14">
      <c r="A11843">
        <v>74470000</v>
      </c>
      <c r="B11843">
        <v>3016677</v>
      </c>
      <c r="C11843" t="s">
        <v>5500</v>
      </c>
      <c r="D11843" t="s">
        <v>441</v>
      </c>
      <c r="F11843">
        <v>0</v>
      </c>
      <c r="G11843">
        <v>13.32</v>
      </c>
      <c r="H11843" t="s">
        <v>8580</v>
      </c>
      <c r="I11843">
        <v>6</v>
      </c>
      <c r="J11843" t="s">
        <v>445</v>
      </c>
      <c r="K11843" t="s">
        <v>446</v>
      </c>
      <c r="M11843">
        <v>3311</v>
      </c>
    </row>
    <row r="11844" spans="1:14">
      <c r="A11844">
        <v>74470008</v>
      </c>
      <c r="B11844">
        <v>3016678</v>
      </c>
      <c r="C11844" t="s">
        <v>13660</v>
      </c>
      <c r="D11844" t="s">
        <v>441</v>
      </c>
      <c r="F11844">
        <v>0</v>
      </c>
      <c r="G11844">
        <v>10.76</v>
      </c>
      <c r="H11844" t="s">
        <v>8580</v>
      </c>
      <c r="I11844">
        <v>9</v>
      </c>
      <c r="J11844" t="s">
        <v>445</v>
      </c>
      <c r="K11844" t="s">
        <v>446</v>
      </c>
      <c r="M11844">
        <v>3211</v>
      </c>
    </row>
    <row r="11845" spans="1:14">
      <c r="A11845">
        <v>74474220</v>
      </c>
      <c r="B11845">
        <v>4004436</v>
      </c>
      <c r="C11845" t="s">
        <v>13661</v>
      </c>
      <c r="D11845" t="s">
        <v>441</v>
      </c>
      <c r="F11845">
        <v>0</v>
      </c>
      <c r="G11845">
        <v>12.59</v>
      </c>
      <c r="H11845" t="s">
        <v>8587</v>
      </c>
      <c r="I11845">
        <v>23</v>
      </c>
      <c r="J11845" t="s">
        <v>462</v>
      </c>
      <c r="K11845" t="s">
        <v>446</v>
      </c>
      <c r="M11845">
        <v>3711</v>
      </c>
    </row>
    <row r="11846" spans="1:14">
      <c r="A11846">
        <v>75120000</v>
      </c>
      <c r="B11846">
        <v>3016679</v>
      </c>
      <c r="C11846" t="s">
        <v>5501</v>
      </c>
      <c r="D11846" t="s">
        <v>441</v>
      </c>
      <c r="F11846">
        <v>0</v>
      </c>
      <c r="G11846">
        <v>12.2</v>
      </c>
      <c r="H11846" t="s">
        <v>8580</v>
      </c>
      <c r="I11846">
        <v>365</v>
      </c>
      <c r="J11846" t="s">
        <v>445</v>
      </c>
      <c r="K11846" t="s">
        <v>446</v>
      </c>
      <c r="M11846">
        <v>3311</v>
      </c>
    </row>
    <row r="11847" spans="1:14">
      <c r="A11847">
        <v>75120008</v>
      </c>
      <c r="B11847">
        <v>3016680</v>
      </c>
      <c r="C11847" t="s">
        <v>13662</v>
      </c>
      <c r="D11847" t="s">
        <v>441</v>
      </c>
      <c r="F11847">
        <v>0</v>
      </c>
      <c r="G11847">
        <v>11.68</v>
      </c>
      <c r="H11847" t="s">
        <v>8580</v>
      </c>
      <c r="I11847">
        <v>9</v>
      </c>
      <c r="J11847" t="s">
        <v>445</v>
      </c>
      <c r="K11847" t="s">
        <v>446</v>
      </c>
      <c r="M11847">
        <v>3211</v>
      </c>
    </row>
    <row r="11848" spans="1:14">
      <c r="A11848">
        <v>75122010</v>
      </c>
      <c r="B11848">
        <v>4001996</v>
      </c>
      <c r="C11848" t="s">
        <v>5502</v>
      </c>
      <c r="D11848" t="s">
        <v>442</v>
      </c>
      <c r="E11848" t="s">
        <v>441</v>
      </c>
      <c r="F11848">
        <v>3.1749999999999998</v>
      </c>
      <c r="G11848">
        <v>40.619999999999997</v>
      </c>
      <c r="H11848" t="s">
        <v>8922</v>
      </c>
      <c r="I11848">
        <v>365</v>
      </c>
      <c r="J11848" t="s">
        <v>462</v>
      </c>
      <c r="K11848" t="s">
        <v>446</v>
      </c>
      <c r="M11848">
        <v>3711</v>
      </c>
    </row>
    <row r="11849" spans="1:14">
      <c r="A11849">
        <v>75122030</v>
      </c>
      <c r="B11849">
        <v>4006049</v>
      </c>
      <c r="C11849" t="s">
        <v>13663</v>
      </c>
      <c r="D11849" t="s">
        <v>441</v>
      </c>
      <c r="F11849">
        <v>0</v>
      </c>
      <c r="G11849">
        <v>11.4</v>
      </c>
      <c r="H11849" t="s">
        <v>8922</v>
      </c>
      <c r="I11849">
        <v>150</v>
      </c>
      <c r="J11849" t="s">
        <v>462</v>
      </c>
      <c r="M11849">
        <v>3711</v>
      </c>
    </row>
    <row r="11850" spans="1:14">
      <c r="A11850">
        <v>75122040</v>
      </c>
      <c r="B11850">
        <v>4013129</v>
      </c>
      <c r="C11850" t="s">
        <v>5503</v>
      </c>
      <c r="D11850" t="s">
        <v>441</v>
      </c>
      <c r="F11850">
        <v>0</v>
      </c>
      <c r="G11850">
        <v>11.43</v>
      </c>
      <c r="H11850" t="s">
        <v>8922</v>
      </c>
      <c r="I11850">
        <v>365</v>
      </c>
      <c r="J11850" t="s">
        <v>462</v>
      </c>
      <c r="M11850">
        <v>3731</v>
      </c>
    </row>
    <row r="11851" spans="1:14">
      <c r="A11851">
        <v>75122050</v>
      </c>
      <c r="B11851">
        <v>4013148</v>
      </c>
      <c r="C11851" t="s">
        <v>5504</v>
      </c>
      <c r="D11851" t="s">
        <v>442</v>
      </c>
      <c r="E11851" t="s">
        <v>441</v>
      </c>
      <c r="F11851">
        <v>3.1749999999999998</v>
      </c>
      <c r="G11851">
        <v>40.22</v>
      </c>
      <c r="H11851" t="s">
        <v>8922</v>
      </c>
      <c r="I11851">
        <v>365</v>
      </c>
      <c r="J11851" t="s">
        <v>462</v>
      </c>
      <c r="K11851" t="s">
        <v>446</v>
      </c>
      <c r="M11851">
        <v>3731</v>
      </c>
    </row>
    <row r="11852" spans="1:14">
      <c r="A11852">
        <v>75122060</v>
      </c>
      <c r="B11852">
        <v>4013252</v>
      </c>
      <c r="C11852" t="s">
        <v>5505</v>
      </c>
      <c r="D11852" t="s">
        <v>441</v>
      </c>
      <c r="F11852">
        <v>0</v>
      </c>
      <c r="G11852">
        <v>12.74</v>
      </c>
      <c r="H11852" t="s">
        <v>8922</v>
      </c>
      <c r="I11852">
        <v>365</v>
      </c>
      <c r="J11852" t="s">
        <v>462</v>
      </c>
      <c r="K11852" t="s">
        <v>446</v>
      </c>
      <c r="M11852">
        <v>3731</v>
      </c>
    </row>
    <row r="11853" spans="1:14">
      <c r="A11853">
        <v>75490000</v>
      </c>
      <c r="B11853">
        <v>3008501</v>
      </c>
      <c r="C11853" t="s">
        <v>13664</v>
      </c>
      <c r="D11853" t="s">
        <v>441</v>
      </c>
      <c r="F11853">
        <v>0</v>
      </c>
      <c r="G11853">
        <v>9.56</v>
      </c>
      <c r="H11853" t="s">
        <v>8580</v>
      </c>
      <c r="I11853">
        <v>90</v>
      </c>
      <c r="J11853" t="s">
        <v>445</v>
      </c>
      <c r="K11853" t="s">
        <v>446</v>
      </c>
      <c r="M11853">
        <v>0</v>
      </c>
    </row>
    <row r="11854" spans="1:14">
      <c r="A11854">
        <v>78344270</v>
      </c>
      <c r="B11854">
        <v>4030292</v>
      </c>
      <c r="C11854" t="s">
        <v>17643</v>
      </c>
      <c r="D11854" t="s">
        <v>441</v>
      </c>
      <c r="F11854">
        <v>0</v>
      </c>
      <c r="G11854">
        <v>18.95</v>
      </c>
      <c r="H11854" t="s">
        <v>8587</v>
      </c>
      <c r="I11854">
        <v>30</v>
      </c>
      <c r="J11854" t="s">
        <v>462</v>
      </c>
      <c r="M11854">
        <v>7108</v>
      </c>
      <c r="N11854" t="s">
        <v>16996</v>
      </c>
    </row>
    <row r="11855" spans="1:14">
      <c r="A11855">
        <v>78510000</v>
      </c>
      <c r="B11855">
        <v>3016681</v>
      </c>
      <c r="C11855" t="s">
        <v>13665</v>
      </c>
      <c r="D11855" t="s">
        <v>441</v>
      </c>
      <c r="F11855">
        <v>0</v>
      </c>
      <c r="G11855">
        <v>6.66</v>
      </c>
      <c r="H11855" t="s">
        <v>8580</v>
      </c>
      <c r="I11855">
        <v>74</v>
      </c>
      <c r="J11855" t="s">
        <v>445</v>
      </c>
      <c r="K11855" t="s">
        <v>446</v>
      </c>
      <c r="M11855">
        <v>3311</v>
      </c>
    </row>
    <row r="11856" spans="1:14">
      <c r="A11856">
        <v>78510008</v>
      </c>
      <c r="B11856">
        <v>3016682</v>
      </c>
      <c r="C11856" t="s">
        <v>13666</v>
      </c>
      <c r="D11856" t="s">
        <v>441</v>
      </c>
      <c r="F11856">
        <v>0</v>
      </c>
      <c r="G11856">
        <v>5.63</v>
      </c>
      <c r="H11856" t="s">
        <v>8580</v>
      </c>
      <c r="I11856">
        <v>9</v>
      </c>
      <c r="J11856" t="s">
        <v>445</v>
      </c>
      <c r="K11856" t="s">
        <v>446</v>
      </c>
      <c r="M11856">
        <v>3211</v>
      </c>
    </row>
    <row r="11857" spans="1:14">
      <c r="A11857">
        <v>78512010</v>
      </c>
      <c r="B11857">
        <v>4004449</v>
      </c>
      <c r="C11857" t="s">
        <v>13665</v>
      </c>
      <c r="D11857" t="s">
        <v>442</v>
      </c>
      <c r="E11857" t="s">
        <v>441</v>
      </c>
      <c r="F11857">
        <v>0.7</v>
      </c>
      <c r="G11857">
        <v>4.1100000000000003</v>
      </c>
      <c r="H11857" t="s">
        <v>8587</v>
      </c>
      <c r="I11857">
        <v>74</v>
      </c>
      <c r="J11857" t="s">
        <v>462</v>
      </c>
      <c r="K11857" t="s">
        <v>446</v>
      </c>
      <c r="M11857">
        <v>3711</v>
      </c>
    </row>
    <row r="11858" spans="1:14">
      <c r="A11858">
        <v>78512013</v>
      </c>
      <c r="B11858">
        <v>4004450</v>
      </c>
      <c r="C11858" t="s">
        <v>13667</v>
      </c>
      <c r="D11858" t="s">
        <v>442</v>
      </c>
      <c r="E11858" t="s">
        <v>441</v>
      </c>
      <c r="F11858">
        <v>0.7</v>
      </c>
      <c r="G11858">
        <v>4.4400000000000004</v>
      </c>
      <c r="H11858" t="s">
        <v>8587</v>
      </c>
      <c r="I11858">
        <v>74</v>
      </c>
      <c r="J11858" t="s">
        <v>462</v>
      </c>
      <c r="K11858" t="s">
        <v>446</v>
      </c>
      <c r="M11858">
        <v>3711</v>
      </c>
    </row>
    <row r="11859" spans="1:14">
      <c r="A11859">
        <v>78512043</v>
      </c>
      <c r="B11859">
        <v>4007820</v>
      </c>
      <c r="C11859" t="s">
        <v>13668</v>
      </c>
      <c r="D11859" t="s">
        <v>442</v>
      </c>
      <c r="E11859" t="s">
        <v>441</v>
      </c>
      <c r="F11859">
        <v>0.7</v>
      </c>
      <c r="G11859">
        <v>4.08</v>
      </c>
      <c r="H11859" t="s">
        <v>8587</v>
      </c>
      <c r="I11859">
        <v>74</v>
      </c>
      <c r="J11859" t="s">
        <v>462</v>
      </c>
      <c r="K11859" t="s">
        <v>446</v>
      </c>
      <c r="M11859">
        <v>3711</v>
      </c>
    </row>
    <row r="11860" spans="1:14">
      <c r="A11860">
        <v>78512050</v>
      </c>
      <c r="B11860">
        <v>4002003</v>
      </c>
      <c r="C11860" t="s">
        <v>13669</v>
      </c>
      <c r="D11860" t="s">
        <v>442</v>
      </c>
      <c r="E11860" t="s">
        <v>441</v>
      </c>
      <c r="F11860">
        <v>0.7</v>
      </c>
      <c r="G11860">
        <v>4.34</v>
      </c>
      <c r="H11860" t="s">
        <v>8587</v>
      </c>
      <c r="I11860">
        <v>74</v>
      </c>
      <c r="J11860" t="s">
        <v>462</v>
      </c>
      <c r="K11860" t="s">
        <v>446</v>
      </c>
      <c r="M11860">
        <v>3711</v>
      </c>
    </row>
    <row r="11861" spans="1:14">
      <c r="A11861">
        <v>78512060</v>
      </c>
      <c r="B11861">
        <v>4002004</v>
      </c>
      <c r="C11861" t="s">
        <v>13670</v>
      </c>
      <c r="D11861" t="s">
        <v>442</v>
      </c>
      <c r="E11861" t="s">
        <v>441</v>
      </c>
      <c r="F11861">
        <v>0.7</v>
      </c>
      <c r="G11861">
        <v>4.28</v>
      </c>
      <c r="H11861" t="s">
        <v>8587</v>
      </c>
      <c r="I11861">
        <v>74</v>
      </c>
      <c r="J11861" t="s">
        <v>462</v>
      </c>
      <c r="K11861" t="s">
        <v>446</v>
      </c>
      <c r="M11861">
        <v>3711</v>
      </c>
    </row>
    <row r="11862" spans="1:14">
      <c r="A11862">
        <v>78512080</v>
      </c>
      <c r="B11862">
        <v>4002005</v>
      </c>
      <c r="C11862" t="s">
        <v>13671</v>
      </c>
      <c r="D11862" t="s">
        <v>442</v>
      </c>
      <c r="E11862" t="s">
        <v>441</v>
      </c>
      <c r="F11862">
        <v>0.7</v>
      </c>
      <c r="G11862">
        <v>4.47</v>
      </c>
      <c r="H11862" t="s">
        <v>8587</v>
      </c>
      <c r="I11862">
        <v>74</v>
      </c>
      <c r="J11862" t="s">
        <v>462</v>
      </c>
      <c r="K11862" t="s">
        <v>446</v>
      </c>
      <c r="M11862">
        <v>3711</v>
      </c>
    </row>
    <row r="11863" spans="1:14">
      <c r="A11863">
        <v>78512090</v>
      </c>
      <c r="B11863">
        <v>4002006</v>
      </c>
      <c r="C11863" t="s">
        <v>13672</v>
      </c>
      <c r="D11863" t="s">
        <v>442</v>
      </c>
      <c r="E11863" t="s">
        <v>441</v>
      </c>
      <c r="F11863">
        <v>0.7</v>
      </c>
      <c r="G11863">
        <v>4.24</v>
      </c>
      <c r="H11863" t="s">
        <v>8587</v>
      </c>
      <c r="I11863">
        <v>74</v>
      </c>
      <c r="J11863" t="s">
        <v>462</v>
      </c>
      <c r="K11863" t="s">
        <v>446</v>
      </c>
      <c r="M11863">
        <v>3711</v>
      </c>
    </row>
    <row r="11864" spans="1:14">
      <c r="A11864">
        <v>78512420</v>
      </c>
      <c r="B11864">
        <v>4006380</v>
      </c>
      <c r="C11864" t="s">
        <v>13673</v>
      </c>
      <c r="D11864" t="s">
        <v>442</v>
      </c>
      <c r="E11864" t="s">
        <v>441</v>
      </c>
      <c r="F11864">
        <v>0.7</v>
      </c>
      <c r="G11864">
        <v>4.05</v>
      </c>
      <c r="H11864" t="s">
        <v>8587</v>
      </c>
      <c r="I11864">
        <v>74</v>
      </c>
      <c r="J11864" t="s">
        <v>462</v>
      </c>
      <c r="K11864" t="s">
        <v>446</v>
      </c>
      <c r="M11864">
        <v>3711</v>
      </c>
    </row>
    <row r="11865" spans="1:14">
      <c r="A11865">
        <v>78512430</v>
      </c>
      <c r="B11865">
        <v>4006664</v>
      </c>
      <c r="C11865" t="s">
        <v>13674</v>
      </c>
      <c r="D11865" t="s">
        <v>442</v>
      </c>
      <c r="E11865" t="s">
        <v>441</v>
      </c>
      <c r="F11865">
        <v>0.7</v>
      </c>
      <c r="G11865">
        <v>4.46</v>
      </c>
      <c r="H11865" t="s">
        <v>8587</v>
      </c>
      <c r="I11865">
        <v>74</v>
      </c>
      <c r="J11865" t="s">
        <v>462</v>
      </c>
      <c r="K11865" t="s">
        <v>446</v>
      </c>
      <c r="M11865">
        <v>3711</v>
      </c>
    </row>
    <row r="11866" spans="1:14">
      <c r="A11866">
        <v>78512440</v>
      </c>
      <c r="B11866">
        <v>4007360</v>
      </c>
      <c r="C11866" t="s">
        <v>13675</v>
      </c>
      <c r="D11866" t="s">
        <v>442</v>
      </c>
      <c r="E11866" t="s">
        <v>441</v>
      </c>
      <c r="F11866">
        <v>0.7</v>
      </c>
      <c r="G11866">
        <v>4.1100000000000003</v>
      </c>
      <c r="H11866" t="s">
        <v>8587</v>
      </c>
      <c r="I11866">
        <v>74</v>
      </c>
      <c r="J11866" t="s">
        <v>462</v>
      </c>
      <c r="K11866" t="s">
        <v>446</v>
      </c>
      <c r="M11866">
        <v>3711</v>
      </c>
    </row>
    <row r="11867" spans="1:14">
      <c r="A11867">
        <v>78512450</v>
      </c>
      <c r="B11867">
        <v>4007572</v>
      </c>
      <c r="C11867" t="s">
        <v>13676</v>
      </c>
      <c r="D11867" t="s">
        <v>442</v>
      </c>
      <c r="E11867" t="s">
        <v>441</v>
      </c>
      <c r="F11867">
        <v>0.7</v>
      </c>
      <c r="G11867">
        <v>4.21</v>
      </c>
      <c r="H11867" t="s">
        <v>8587</v>
      </c>
      <c r="I11867">
        <v>74</v>
      </c>
      <c r="J11867" t="s">
        <v>462</v>
      </c>
      <c r="K11867" t="s">
        <v>446</v>
      </c>
      <c r="M11867">
        <v>3711</v>
      </c>
    </row>
    <row r="11868" spans="1:14">
      <c r="A11868">
        <v>78512460</v>
      </c>
      <c r="B11868">
        <v>4008087</v>
      </c>
      <c r="C11868" t="s">
        <v>13677</v>
      </c>
      <c r="D11868" t="s">
        <v>442</v>
      </c>
      <c r="E11868" t="s">
        <v>441</v>
      </c>
      <c r="F11868">
        <v>0.7</v>
      </c>
      <c r="G11868">
        <v>4.1100000000000003</v>
      </c>
      <c r="H11868" t="s">
        <v>8587</v>
      </c>
      <c r="I11868">
        <v>74</v>
      </c>
      <c r="J11868" t="s">
        <v>462</v>
      </c>
      <c r="K11868" t="s">
        <v>446</v>
      </c>
      <c r="M11868">
        <v>3711</v>
      </c>
    </row>
    <row r="11869" spans="1:14">
      <c r="A11869">
        <v>78512470</v>
      </c>
      <c r="B11869">
        <v>4008840</v>
      </c>
      <c r="C11869" t="s">
        <v>13678</v>
      </c>
      <c r="D11869" t="s">
        <v>442</v>
      </c>
      <c r="E11869" t="s">
        <v>441</v>
      </c>
      <c r="F11869">
        <v>0.7</v>
      </c>
      <c r="G11869">
        <v>4.22</v>
      </c>
      <c r="H11869" t="s">
        <v>8587</v>
      </c>
      <c r="I11869">
        <v>74</v>
      </c>
      <c r="J11869" t="s">
        <v>462</v>
      </c>
      <c r="K11869" t="s">
        <v>446</v>
      </c>
      <c r="M11869">
        <v>3711</v>
      </c>
    </row>
    <row r="11870" spans="1:14">
      <c r="A11870">
        <v>78512480</v>
      </c>
      <c r="B11870">
        <v>4013130</v>
      </c>
      <c r="C11870" t="s">
        <v>13679</v>
      </c>
      <c r="D11870" t="s">
        <v>442</v>
      </c>
      <c r="E11870" t="s">
        <v>441</v>
      </c>
      <c r="F11870">
        <v>0.7</v>
      </c>
      <c r="G11870">
        <v>5.15</v>
      </c>
      <c r="H11870" t="s">
        <v>8587</v>
      </c>
      <c r="I11870">
        <v>74</v>
      </c>
      <c r="J11870" t="s">
        <v>462</v>
      </c>
      <c r="K11870" t="s">
        <v>446</v>
      </c>
      <c r="M11870">
        <v>3731</v>
      </c>
    </row>
    <row r="11871" spans="1:14">
      <c r="A11871">
        <v>79100000</v>
      </c>
      <c r="B11871">
        <v>3046246</v>
      </c>
      <c r="C11871" t="s">
        <v>17711</v>
      </c>
      <c r="D11871" t="s">
        <v>441</v>
      </c>
      <c r="F11871">
        <v>0</v>
      </c>
      <c r="G11871">
        <v>19.37</v>
      </c>
      <c r="H11871" t="s">
        <v>12573</v>
      </c>
      <c r="I11871">
        <v>3</v>
      </c>
      <c r="J11871" t="s">
        <v>445</v>
      </c>
      <c r="M11871">
        <v>3349</v>
      </c>
      <c r="N11871" t="s">
        <v>17712</v>
      </c>
    </row>
    <row r="11872" spans="1:14">
      <c r="A11872">
        <v>79100008</v>
      </c>
      <c r="B11872">
        <v>3046242</v>
      </c>
      <c r="C11872" t="s">
        <v>17713</v>
      </c>
      <c r="D11872" t="s">
        <v>441</v>
      </c>
      <c r="F11872">
        <v>0</v>
      </c>
      <c r="G11872">
        <v>11.06</v>
      </c>
      <c r="H11872" t="s">
        <v>12664</v>
      </c>
      <c r="I11872">
        <v>3</v>
      </c>
      <c r="J11872" t="s">
        <v>445</v>
      </c>
      <c r="M11872">
        <v>6666</v>
      </c>
    </row>
    <row r="11873" spans="1:14">
      <c r="A11873">
        <v>79100009</v>
      </c>
      <c r="B11873">
        <v>3046243</v>
      </c>
      <c r="C11873" t="s">
        <v>17714</v>
      </c>
      <c r="D11873" t="s">
        <v>441</v>
      </c>
      <c r="F11873">
        <v>0</v>
      </c>
      <c r="G11873">
        <v>14.05</v>
      </c>
      <c r="H11873" t="s">
        <v>12573</v>
      </c>
      <c r="I11873">
        <v>6</v>
      </c>
      <c r="J11873" t="s">
        <v>445</v>
      </c>
      <c r="M11873">
        <v>3349</v>
      </c>
      <c r="N11873" t="s">
        <v>17712</v>
      </c>
    </row>
    <row r="11874" spans="1:14">
      <c r="A11874">
        <v>79104211</v>
      </c>
      <c r="B11874">
        <v>3046244</v>
      </c>
      <c r="C11874" t="s">
        <v>17715</v>
      </c>
      <c r="D11874" t="s">
        <v>442</v>
      </c>
      <c r="E11874" t="s">
        <v>441</v>
      </c>
      <c r="F11874">
        <v>8.5000000000000006E-2</v>
      </c>
      <c r="G11874">
        <v>2.23</v>
      </c>
      <c r="H11874" t="s">
        <v>8587</v>
      </c>
      <c r="I11874">
        <v>70</v>
      </c>
      <c r="J11874" t="s">
        <v>445</v>
      </c>
      <c r="M11874">
        <v>3741</v>
      </c>
      <c r="N11874" t="s">
        <v>17712</v>
      </c>
    </row>
    <row r="11875" spans="1:14">
      <c r="A11875">
        <v>79200000</v>
      </c>
      <c r="B11875">
        <v>3046234</v>
      </c>
      <c r="C11875" t="s">
        <v>17716</v>
      </c>
      <c r="D11875" t="s">
        <v>441</v>
      </c>
      <c r="F11875">
        <v>0</v>
      </c>
      <c r="G11875">
        <v>19.829999999999998</v>
      </c>
      <c r="H11875" t="s">
        <v>12573</v>
      </c>
      <c r="I11875">
        <v>3</v>
      </c>
      <c r="J11875" t="s">
        <v>445</v>
      </c>
      <c r="M11875">
        <v>3349</v>
      </c>
      <c r="N11875" t="s">
        <v>17717</v>
      </c>
    </row>
    <row r="11876" spans="1:14">
      <c r="A11876">
        <v>79200008</v>
      </c>
      <c r="B11876">
        <v>3046232</v>
      </c>
      <c r="C11876" t="s">
        <v>17718</v>
      </c>
      <c r="D11876" t="s">
        <v>441</v>
      </c>
      <c r="F11876">
        <v>0</v>
      </c>
      <c r="G11876">
        <v>11.36</v>
      </c>
      <c r="H11876" t="s">
        <v>12664</v>
      </c>
      <c r="I11876">
        <v>3</v>
      </c>
      <c r="J11876" t="s">
        <v>445</v>
      </c>
      <c r="M11876">
        <v>6666</v>
      </c>
    </row>
    <row r="11877" spans="1:14">
      <c r="A11877">
        <v>79200009</v>
      </c>
      <c r="B11877">
        <v>3046233</v>
      </c>
      <c r="C11877" t="s">
        <v>17719</v>
      </c>
      <c r="D11877" t="s">
        <v>441</v>
      </c>
      <c r="F11877">
        <v>0</v>
      </c>
      <c r="G11877">
        <v>14.41</v>
      </c>
      <c r="H11877" t="s">
        <v>12573</v>
      </c>
      <c r="I11877">
        <v>6</v>
      </c>
      <c r="J11877" t="s">
        <v>445</v>
      </c>
      <c r="M11877">
        <v>3349</v>
      </c>
      <c r="N11877" t="s">
        <v>17717</v>
      </c>
    </row>
    <row r="11878" spans="1:14">
      <c r="A11878">
        <v>79204211</v>
      </c>
      <c r="B11878">
        <v>3046235</v>
      </c>
      <c r="C11878" t="s">
        <v>17720</v>
      </c>
      <c r="D11878" t="s">
        <v>442</v>
      </c>
      <c r="E11878" t="s">
        <v>441</v>
      </c>
      <c r="F11878">
        <v>8.5000000000000006E-2</v>
      </c>
      <c r="G11878">
        <v>2.27</v>
      </c>
      <c r="H11878" t="s">
        <v>8587</v>
      </c>
      <c r="I11878">
        <v>70</v>
      </c>
      <c r="J11878" t="s">
        <v>445</v>
      </c>
      <c r="M11878">
        <v>3741</v>
      </c>
      <c r="N11878" t="s">
        <v>17717</v>
      </c>
    </row>
    <row r="11879" spans="1:14">
      <c r="A11879">
        <v>79300000</v>
      </c>
      <c r="B11879">
        <v>3046239</v>
      </c>
      <c r="C11879" t="s">
        <v>17721</v>
      </c>
      <c r="D11879" t="s">
        <v>441</v>
      </c>
      <c r="F11879">
        <v>0</v>
      </c>
      <c r="G11879">
        <v>18.96</v>
      </c>
      <c r="H11879" t="s">
        <v>12573</v>
      </c>
      <c r="I11879">
        <v>3</v>
      </c>
      <c r="J11879" t="s">
        <v>445</v>
      </c>
      <c r="M11879">
        <v>3349</v>
      </c>
      <c r="N11879" t="s">
        <v>17722</v>
      </c>
    </row>
    <row r="11880" spans="1:14">
      <c r="A11880">
        <v>79300008</v>
      </c>
      <c r="B11880">
        <v>3046237</v>
      </c>
      <c r="C11880" t="s">
        <v>17723</v>
      </c>
      <c r="D11880" t="s">
        <v>441</v>
      </c>
      <c r="F11880">
        <v>0</v>
      </c>
      <c r="G11880">
        <v>10.81</v>
      </c>
      <c r="H11880" t="s">
        <v>12664</v>
      </c>
      <c r="I11880">
        <v>3</v>
      </c>
      <c r="J11880" t="s">
        <v>445</v>
      </c>
      <c r="M11880">
        <v>6666</v>
      </c>
    </row>
    <row r="11881" spans="1:14">
      <c r="A11881">
        <v>79300009</v>
      </c>
      <c r="B11881">
        <v>3046238</v>
      </c>
      <c r="C11881" t="s">
        <v>17724</v>
      </c>
      <c r="D11881" t="s">
        <v>441</v>
      </c>
      <c r="F11881">
        <v>0</v>
      </c>
      <c r="G11881">
        <v>13.74</v>
      </c>
      <c r="H11881" t="s">
        <v>12573</v>
      </c>
      <c r="I11881">
        <v>6</v>
      </c>
      <c r="J11881" t="s">
        <v>445</v>
      </c>
      <c r="M11881">
        <v>3349</v>
      </c>
      <c r="N11881" t="s">
        <v>17722</v>
      </c>
    </row>
    <row r="11882" spans="1:14">
      <c r="A11882">
        <v>79304211</v>
      </c>
      <c r="B11882">
        <v>3046240</v>
      </c>
      <c r="C11882" t="s">
        <v>17725</v>
      </c>
      <c r="D11882" t="s">
        <v>442</v>
      </c>
      <c r="E11882" t="s">
        <v>441</v>
      </c>
      <c r="F11882">
        <v>8.5000000000000006E-2</v>
      </c>
      <c r="G11882">
        <v>2.19</v>
      </c>
      <c r="H11882" t="s">
        <v>8587</v>
      </c>
      <c r="I11882">
        <v>70</v>
      </c>
      <c r="J11882" t="s">
        <v>445</v>
      </c>
      <c r="M11882">
        <v>3741</v>
      </c>
      <c r="N11882" t="s">
        <v>17722</v>
      </c>
    </row>
    <row r="11883" spans="1:14">
      <c r="A11883">
        <v>79310001</v>
      </c>
      <c r="B11883">
        <v>4008119</v>
      </c>
      <c r="C11883" t="s">
        <v>13680</v>
      </c>
      <c r="D11883" t="s">
        <v>442</v>
      </c>
      <c r="E11883" t="s">
        <v>441</v>
      </c>
      <c r="F11883">
        <v>0.2</v>
      </c>
      <c r="G11883">
        <v>2.36</v>
      </c>
      <c r="H11883" t="s">
        <v>8587</v>
      </c>
      <c r="I11883">
        <v>33</v>
      </c>
      <c r="J11883" t="s">
        <v>462</v>
      </c>
      <c r="K11883" t="s">
        <v>446</v>
      </c>
      <c r="M11883">
        <v>0</v>
      </c>
    </row>
    <row r="11884" spans="1:14">
      <c r="A11884">
        <v>79314210</v>
      </c>
      <c r="B11884">
        <v>4030632</v>
      </c>
      <c r="C11884" t="s">
        <v>17726</v>
      </c>
      <c r="D11884" t="s">
        <v>442</v>
      </c>
      <c r="E11884" t="s">
        <v>441</v>
      </c>
      <c r="F11884">
        <v>8.5000000000000006E-2</v>
      </c>
      <c r="G11884">
        <v>2.38</v>
      </c>
      <c r="H11884" t="s">
        <v>8587</v>
      </c>
      <c r="I11884">
        <v>70</v>
      </c>
      <c r="J11884" t="s">
        <v>462</v>
      </c>
      <c r="L11884" t="s">
        <v>17727</v>
      </c>
      <c r="M11884">
        <v>7108</v>
      </c>
      <c r="N11884" t="s">
        <v>16921</v>
      </c>
    </row>
    <row r="11885" spans="1:14">
      <c r="A11885">
        <v>79320001</v>
      </c>
      <c r="B11885">
        <v>4008825</v>
      </c>
      <c r="C11885" t="s">
        <v>13681</v>
      </c>
      <c r="D11885" t="s">
        <v>442</v>
      </c>
      <c r="E11885" t="s">
        <v>441</v>
      </c>
      <c r="F11885">
        <v>0.4</v>
      </c>
      <c r="G11885">
        <v>5.0599999999999996</v>
      </c>
      <c r="H11885" t="s">
        <v>8587</v>
      </c>
      <c r="I11885">
        <v>33</v>
      </c>
      <c r="J11885" t="s">
        <v>462</v>
      </c>
      <c r="K11885" t="s">
        <v>446</v>
      </c>
      <c r="M11885">
        <v>0</v>
      </c>
    </row>
    <row r="11886" spans="1:14">
      <c r="A11886">
        <v>79330001</v>
      </c>
      <c r="B11886">
        <v>4008471</v>
      </c>
      <c r="C11886" t="s">
        <v>15547</v>
      </c>
      <c r="D11886" t="s">
        <v>441</v>
      </c>
      <c r="F11886">
        <v>0</v>
      </c>
      <c r="H11886" t="s">
        <v>8587</v>
      </c>
      <c r="I11886">
        <v>40</v>
      </c>
      <c r="J11886" t="s">
        <v>462</v>
      </c>
      <c r="M11886">
        <v>0</v>
      </c>
      <c r="N11886" t="s">
        <v>17156</v>
      </c>
    </row>
    <row r="11887" spans="1:14">
      <c r="A11887">
        <v>79340001</v>
      </c>
      <c r="B11887">
        <v>4006778</v>
      </c>
      <c r="C11887" t="s">
        <v>5506</v>
      </c>
      <c r="D11887" t="s">
        <v>441</v>
      </c>
      <c r="F11887">
        <v>0</v>
      </c>
      <c r="H11887" t="s">
        <v>8587</v>
      </c>
      <c r="I11887">
        <v>40</v>
      </c>
      <c r="J11887" t="s">
        <v>462</v>
      </c>
      <c r="K11887" t="s">
        <v>446</v>
      </c>
      <c r="M11887">
        <v>0</v>
      </c>
    </row>
    <row r="11888" spans="1:14">
      <c r="A11888">
        <v>79350001</v>
      </c>
      <c r="B11888">
        <v>4008488</v>
      </c>
      <c r="C11888" t="s">
        <v>13682</v>
      </c>
      <c r="D11888" t="s">
        <v>442</v>
      </c>
      <c r="E11888" t="s">
        <v>441</v>
      </c>
      <c r="F11888">
        <v>0.2</v>
      </c>
      <c r="G11888">
        <v>2.5</v>
      </c>
      <c r="H11888" t="s">
        <v>8587</v>
      </c>
      <c r="I11888">
        <v>33</v>
      </c>
      <c r="J11888" t="s">
        <v>462</v>
      </c>
      <c r="K11888" t="s">
        <v>446</v>
      </c>
      <c r="M11888">
        <v>0</v>
      </c>
    </row>
    <row r="11889" spans="1:14">
      <c r="A11889">
        <v>79390001</v>
      </c>
      <c r="B11889">
        <v>4008080</v>
      </c>
      <c r="C11889" t="s">
        <v>5507</v>
      </c>
      <c r="D11889" t="s">
        <v>442</v>
      </c>
      <c r="E11889" t="s">
        <v>441</v>
      </c>
      <c r="F11889">
        <v>0.32</v>
      </c>
      <c r="H11889" t="s">
        <v>8587</v>
      </c>
      <c r="I11889">
        <v>111</v>
      </c>
      <c r="J11889" t="s">
        <v>462</v>
      </c>
      <c r="K11889" t="s">
        <v>446</v>
      </c>
      <c r="M11889">
        <v>0</v>
      </c>
    </row>
    <row r="11890" spans="1:14">
      <c r="A11890">
        <v>79390002</v>
      </c>
      <c r="B11890">
        <v>4008038</v>
      </c>
      <c r="C11890" t="s">
        <v>5508</v>
      </c>
      <c r="D11890" t="s">
        <v>442</v>
      </c>
      <c r="E11890" t="s">
        <v>441</v>
      </c>
      <c r="F11890">
        <v>0.32</v>
      </c>
      <c r="H11890" t="s">
        <v>8587</v>
      </c>
      <c r="I11890">
        <v>111</v>
      </c>
      <c r="J11890" t="s">
        <v>462</v>
      </c>
      <c r="K11890" t="s">
        <v>446</v>
      </c>
      <c r="M11890">
        <v>0</v>
      </c>
    </row>
    <row r="11891" spans="1:14">
      <c r="A11891">
        <v>79400001</v>
      </c>
      <c r="B11891">
        <v>4000942</v>
      </c>
      <c r="C11891" t="s">
        <v>13683</v>
      </c>
      <c r="D11891" t="s">
        <v>441</v>
      </c>
      <c r="F11891">
        <v>0</v>
      </c>
      <c r="H11891" t="s">
        <v>8587</v>
      </c>
      <c r="I11891">
        <v>50</v>
      </c>
      <c r="J11891" t="s">
        <v>462</v>
      </c>
      <c r="K11891" t="s">
        <v>446</v>
      </c>
      <c r="M11891">
        <v>0</v>
      </c>
    </row>
    <row r="11892" spans="1:14">
      <c r="A11892">
        <v>79410001</v>
      </c>
      <c r="B11892">
        <v>4008021</v>
      </c>
      <c r="C11892" t="s">
        <v>5509</v>
      </c>
      <c r="D11892" t="s">
        <v>442</v>
      </c>
      <c r="E11892" t="s">
        <v>441</v>
      </c>
      <c r="F11892">
        <v>0.32</v>
      </c>
      <c r="H11892" t="s">
        <v>8587</v>
      </c>
      <c r="I11892">
        <v>111</v>
      </c>
      <c r="J11892" t="s">
        <v>462</v>
      </c>
      <c r="K11892" t="s">
        <v>446</v>
      </c>
      <c r="M11892">
        <v>0</v>
      </c>
    </row>
    <row r="11893" spans="1:14">
      <c r="A11893">
        <v>79420001</v>
      </c>
      <c r="B11893">
        <v>4007030</v>
      </c>
      <c r="C11893" t="s">
        <v>5510</v>
      </c>
      <c r="D11893" t="s">
        <v>441</v>
      </c>
      <c r="F11893">
        <v>0</v>
      </c>
      <c r="H11893" t="s">
        <v>8587</v>
      </c>
      <c r="I11893">
        <v>32</v>
      </c>
      <c r="J11893" t="s">
        <v>462</v>
      </c>
      <c r="K11893" t="s">
        <v>446</v>
      </c>
      <c r="M11893">
        <v>0</v>
      </c>
    </row>
    <row r="11894" spans="1:14">
      <c r="A11894">
        <v>79430001</v>
      </c>
      <c r="B11894">
        <v>4005642</v>
      </c>
      <c r="C11894" t="s">
        <v>5511</v>
      </c>
      <c r="D11894" t="s">
        <v>441</v>
      </c>
      <c r="F11894">
        <v>0</v>
      </c>
      <c r="H11894" t="s">
        <v>8587</v>
      </c>
      <c r="I11894">
        <v>25</v>
      </c>
      <c r="J11894" t="s">
        <v>462</v>
      </c>
      <c r="K11894" t="s">
        <v>446</v>
      </c>
      <c r="M11894">
        <v>0</v>
      </c>
    </row>
    <row r="11895" spans="1:14">
      <c r="A11895">
        <v>79450001</v>
      </c>
      <c r="B11895">
        <v>4007010</v>
      </c>
      <c r="C11895" t="s">
        <v>15548</v>
      </c>
      <c r="D11895" t="s">
        <v>441</v>
      </c>
      <c r="F11895">
        <v>0</v>
      </c>
      <c r="H11895" t="s">
        <v>8588</v>
      </c>
      <c r="I11895">
        <v>60</v>
      </c>
      <c r="J11895" t="s">
        <v>462</v>
      </c>
      <c r="M11895">
        <v>0</v>
      </c>
      <c r="N11895" t="s">
        <v>17157</v>
      </c>
    </row>
    <row r="11896" spans="1:14">
      <c r="A11896">
        <v>79460003</v>
      </c>
      <c r="B11896">
        <v>4006757</v>
      </c>
      <c r="C11896" t="s">
        <v>13684</v>
      </c>
      <c r="D11896" t="s">
        <v>441</v>
      </c>
      <c r="F11896">
        <v>0</v>
      </c>
      <c r="H11896" t="s">
        <v>8587</v>
      </c>
      <c r="I11896">
        <v>21</v>
      </c>
      <c r="J11896" t="s">
        <v>462</v>
      </c>
      <c r="K11896" t="s">
        <v>446</v>
      </c>
      <c r="M11896">
        <v>0</v>
      </c>
    </row>
    <row r="11897" spans="1:14">
      <c r="A11897">
        <v>79460004</v>
      </c>
      <c r="B11897">
        <v>4006989</v>
      </c>
      <c r="C11897" t="s">
        <v>13685</v>
      </c>
      <c r="D11897" t="s">
        <v>441</v>
      </c>
      <c r="F11897">
        <v>0</v>
      </c>
      <c r="H11897" t="s">
        <v>8587</v>
      </c>
      <c r="I11897">
        <v>18</v>
      </c>
      <c r="J11897" t="s">
        <v>462</v>
      </c>
      <c r="K11897" t="s">
        <v>446</v>
      </c>
      <c r="M11897">
        <v>0</v>
      </c>
    </row>
    <row r="11898" spans="1:14">
      <c r="A11898">
        <v>79470001</v>
      </c>
      <c r="B11898">
        <v>4000540</v>
      </c>
      <c r="C11898" t="s">
        <v>13686</v>
      </c>
      <c r="D11898" t="s">
        <v>441</v>
      </c>
      <c r="F11898">
        <v>0</v>
      </c>
      <c r="H11898" t="s">
        <v>8587</v>
      </c>
      <c r="I11898">
        <v>47</v>
      </c>
      <c r="J11898" t="s">
        <v>462</v>
      </c>
      <c r="M11898">
        <v>0</v>
      </c>
    </row>
    <row r="11899" spans="1:14">
      <c r="A11899">
        <v>79480001</v>
      </c>
      <c r="B11899">
        <v>4003649</v>
      </c>
      <c r="C11899" t="s">
        <v>5512</v>
      </c>
      <c r="D11899" t="s">
        <v>442</v>
      </c>
      <c r="E11899" t="s">
        <v>441</v>
      </c>
      <c r="F11899">
        <v>4.99</v>
      </c>
      <c r="H11899" t="s">
        <v>8922</v>
      </c>
      <c r="I11899">
        <v>365</v>
      </c>
      <c r="J11899" t="s">
        <v>462</v>
      </c>
      <c r="K11899" t="s">
        <v>446</v>
      </c>
      <c r="M11899">
        <v>0</v>
      </c>
    </row>
    <row r="11900" spans="1:14">
      <c r="A11900">
        <v>79480004</v>
      </c>
      <c r="B11900">
        <v>4006908</v>
      </c>
      <c r="C11900" t="s">
        <v>5513</v>
      </c>
      <c r="D11900" t="s">
        <v>441</v>
      </c>
      <c r="F11900">
        <v>0</v>
      </c>
      <c r="H11900" t="s">
        <v>8922</v>
      </c>
      <c r="I11900">
        <v>365</v>
      </c>
      <c r="J11900" t="s">
        <v>462</v>
      </c>
      <c r="K11900" t="s">
        <v>446</v>
      </c>
      <c r="M11900">
        <v>0</v>
      </c>
    </row>
    <row r="11901" spans="1:14">
      <c r="A11901">
        <v>79490001</v>
      </c>
      <c r="B11901">
        <v>4006202</v>
      </c>
      <c r="C11901" t="s">
        <v>5514</v>
      </c>
      <c r="D11901" t="s">
        <v>442</v>
      </c>
      <c r="E11901" t="s">
        <v>441</v>
      </c>
      <c r="F11901">
        <v>2.5</v>
      </c>
      <c r="H11901" t="s">
        <v>8922</v>
      </c>
      <c r="I11901">
        <v>365</v>
      </c>
      <c r="J11901" t="s">
        <v>462</v>
      </c>
      <c r="K11901" t="s">
        <v>446</v>
      </c>
      <c r="M11901">
        <v>0</v>
      </c>
    </row>
    <row r="11902" spans="1:14">
      <c r="A11902">
        <v>79500001</v>
      </c>
      <c r="B11902">
        <v>4006146</v>
      </c>
      <c r="C11902" t="s">
        <v>5515</v>
      </c>
      <c r="D11902" t="s">
        <v>441</v>
      </c>
      <c r="F11902">
        <v>0</v>
      </c>
      <c r="H11902" t="s">
        <v>8587</v>
      </c>
      <c r="I11902">
        <v>21</v>
      </c>
      <c r="J11902" t="s">
        <v>462</v>
      </c>
      <c r="K11902" t="s">
        <v>446</v>
      </c>
      <c r="M11902">
        <v>0</v>
      </c>
    </row>
    <row r="11903" spans="1:14">
      <c r="A11903">
        <v>79539999</v>
      </c>
      <c r="B11903">
        <v>4002213</v>
      </c>
      <c r="C11903" t="s">
        <v>5516</v>
      </c>
      <c r="D11903" t="s">
        <v>441</v>
      </c>
      <c r="F11903">
        <v>0</v>
      </c>
      <c r="H11903" t="s">
        <v>8587</v>
      </c>
      <c r="I11903">
        <v>130</v>
      </c>
      <c r="J11903" t="s">
        <v>462</v>
      </c>
      <c r="K11903" t="s">
        <v>446</v>
      </c>
      <c r="M11903">
        <v>0</v>
      </c>
    </row>
    <row r="11904" spans="1:14">
      <c r="A11904">
        <v>79549999</v>
      </c>
      <c r="B11904">
        <v>4005312</v>
      </c>
      <c r="C11904" t="s">
        <v>13687</v>
      </c>
      <c r="D11904" t="s">
        <v>442</v>
      </c>
      <c r="E11904" t="s">
        <v>441</v>
      </c>
      <c r="F11904">
        <v>0.5</v>
      </c>
      <c r="H11904" t="s">
        <v>8587</v>
      </c>
      <c r="I11904">
        <v>35</v>
      </c>
      <c r="J11904" t="s">
        <v>462</v>
      </c>
      <c r="K11904" t="s">
        <v>446</v>
      </c>
      <c r="M11904">
        <v>0</v>
      </c>
    </row>
    <row r="11905" spans="1:13">
      <c r="A11905">
        <v>79559999</v>
      </c>
      <c r="B11905">
        <v>4007493</v>
      </c>
      <c r="C11905" t="s">
        <v>5517</v>
      </c>
      <c r="D11905" t="s">
        <v>441</v>
      </c>
      <c r="F11905">
        <v>0</v>
      </c>
      <c r="H11905" t="s">
        <v>8587</v>
      </c>
      <c r="I11905">
        <v>28</v>
      </c>
      <c r="J11905" t="s">
        <v>462</v>
      </c>
      <c r="K11905" t="s">
        <v>446</v>
      </c>
      <c r="M11905">
        <v>0</v>
      </c>
    </row>
    <row r="11906" spans="1:13">
      <c r="A11906">
        <v>79569999</v>
      </c>
      <c r="B11906">
        <v>4004451</v>
      </c>
      <c r="C11906" t="s">
        <v>13688</v>
      </c>
      <c r="D11906" t="s">
        <v>441</v>
      </c>
      <c r="F11906">
        <v>0</v>
      </c>
      <c r="G11906">
        <v>1</v>
      </c>
      <c r="H11906" t="s">
        <v>8588</v>
      </c>
      <c r="I11906">
        <v>0</v>
      </c>
      <c r="J11906" t="s">
        <v>462</v>
      </c>
      <c r="K11906" t="s">
        <v>446</v>
      </c>
      <c r="M11906">
        <v>0</v>
      </c>
    </row>
    <row r="11907" spans="1:13">
      <c r="A11907">
        <v>79579999</v>
      </c>
      <c r="B11907">
        <v>4002257</v>
      </c>
      <c r="C11907" t="s">
        <v>5518</v>
      </c>
      <c r="D11907" t="s">
        <v>441</v>
      </c>
      <c r="F11907">
        <v>0</v>
      </c>
      <c r="H11907" t="s">
        <v>8587</v>
      </c>
      <c r="I11907">
        <v>40</v>
      </c>
      <c r="J11907" t="s">
        <v>462</v>
      </c>
      <c r="K11907" t="s">
        <v>446</v>
      </c>
      <c r="M11907">
        <v>0</v>
      </c>
    </row>
    <row r="11908" spans="1:13">
      <c r="A11908">
        <v>79589999</v>
      </c>
      <c r="B11908">
        <v>4004731</v>
      </c>
      <c r="C11908" t="s">
        <v>13689</v>
      </c>
      <c r="D11908" t="s">
        <v>441</v>
      </c>
      <c r="F11908">
        <v>0</v>
      </c>
      <c r="G11908">
        <v>0</v>
      </c>
      <c r="H11908" t="s">
        <v>8587</v>
      </c>
      <c r="I11908">
        <v>45</v>
      </c>
      <c r="J11908" t="s">
        <v>462</v>
      </c>
      <c r="K11908" t="s">
        <v>446</v>
      </c>
      <c r="M11908">
        <v>0</v>
      </c>
    </row>
    <row r="11909" spans="1:13">
      <c r="A11909">
        <v>79599999</v>
      </c>
      <c r="B11909">
        <v>4004453</v>
      </c>
      <c r="C11909" t="s">
        <v>13690</v>
      </c>
      <c r="D11909" t="s">
        <v>441</v>
      </c>
      <c r="F11909">
        <v>0</v>
      </c>
      <c r="G11909">
        <v>0</v>
      </c>
      <c r="H11909" t="s">
        <v>8587</v>
      </c>
      <c r="I11909">
        <v>40</v>
      </c>
      <c r="J11909" t="s">
        <v>462</v>
      </c>
      <c r="K11909" t="s">
        <v>446</v>
      </c>
      <c r="M11909">
        <v>0</v>
      </c>
    </row>
    <row r="11910" spans="1:13">
      <c r="A11910">
        <v>79609999</v>
      </c>
      <c r="B11910">
        <v>4002210</v>
      </c>
      <c r="C11910" t="s">
        <v>13691</v>
      </c>
      <c r="D11910" t="s">
        <v>441</v>
      </c>
      <c r="F11910">
        <v>0</v>
      </c>
      <c r="H11910" t="s">
        <v>8587</v>
      </c>
      <c r="I11910">
        <v>48</v>
      </c>
      <c r="J11910" t="s">
        <v>462</v>
      </c>
      <c r="K11910" t="s">
        <v>446</v>
      </c>
      <c r="M11910">
        <v>0</v>
      </c>
    </row>
    <row r="11911" spans="1:13">
      <c r="A11911">
        <v>79629999</v>
      </c>
      <c r="B11911">
        <v>4002207</v>
      </c>
      <c r="C11911" t="s">
        <v>5519</v>
      </c>
      <c r="D11911" t="s">
        <v>442</v>
      </c>
      <c r="E11911" t="s">
        <v>441</v>
      </c>
      <c r="F11911">
        <v>1</v>
      </c>
      <c r="H11911" t="s">
        <v>9888</v>
      </c>
      <c r="I11911">
        <v>34</v>
      </c>
      <c r="J11911" t="s">
        <v>462</v>
      </c>
      <c r="M11911">
        <v>0</v>
      </c>
    </row>
    <row r="11912" spans="1:13">
      <c r="A11912">
        <v>79639999</v>
      </c>
      <c r="B11912">
        <v>4002684</v>
      </c>
      <c r="C11912" t="s">
        <v>13692</v>
      </c>
      <c r="D11912" t="s">
        <v>441</v>
      </c>
      <c r="F11912">
        <v>0</v>
      </c>
      <c r="H11912" t="s">
        <v>8587</v>
      </c>
      <c r="I11912">
        <v>60</v>
      </c>
      <c r="J11912" t="s">
        <v>462</v>
      </c>
      <c r="M11912">
        <v>0</v>
      </c>
    </row>
    <row r="11913" spans="1:13">
      <c r="A11913">
        <v>79649999</v>
      </c>
      <c r="B11913">
        <v>4005361</v>
      </c>
      <c r="C11913" t="s">
        <v>13693</v>
      </c>
      <c r="D11913" t="s">
        <v>442</v>
      </c>
      <c r="E11913" t="s">
        <v>441</v>
      </c>
      <c r="F11913">
        <v>0.8</v>
      </c>
      <c r="G11913">
        <v>0</v>
      </c>
      <c r="H11913" t="s">
        <v>9888</v>
      </c>
      <c r="I11913">
        <v>21</v>
      </c>
      <c r="J11913" t="s">
        <v>462</v>
      </c>
      <c r="K11913" t="s">
        <v>446</v>
      </c>
      <c r="M11913">
        <v>0</v>
      </c>
    </row>
    <row r="11914" spans="1:13">
      <c r="A11914">
        <v>79659999</v>
      </c>
      <c r="B11914">
        <v>4004459</v>
      </c>
      <c r="C11914" t="s">
        <v>5520</v>
      </c>
      <c r="D11914" t="s">
        <v>442</v>
      </c>
      <c r="E11914" t="s">
        <v>441</v>
      </c>
      <c r="F11914">
        <v>1</v>
      </c>
      <c r="H11914" t="s">
        <v>9888</v>
      </c>
      <c r="I11914">
        <v>36</v>
      </c>
      <c r="J11914" t="s">
        <v>462</v>
      </c>
      <c r="M11914">
        <v>0</v>
      </c>
    </row>
    <row r="11915" spans="1:13">
      <c r="A11915">
        <v>79669999</v>
      </c>
      <c r="B11915">
        <v>4002697</v>
      </c>
      <c r="C11915" t="s">
        <v>13694</v>
      </c>
      <c r="D11915" t="s">
        <v>441</v>
      </c>
      <c r="F11915">
        <v>0</v>
      </c>
      <c r="G11915">
        <v>0</v>
      </c>
      <c r="H11915" t="s">
        <v>8587</v>
      </c>
      <c r="I11915">
        <v>23</v>
      </c>
      <c r="J11915" t="s">
        <v>462</v>
      </c>
      <c r="K11915" t="s">
        <v>446</v>
      </c>
      <c r="M11915">
        <v>0</v>
      </c>
    </row>
    <row r="11916" spans="1:13">
      <c r="A11916">
        <v>79679999</v>
      </c>
      <c r="B11916">
        <v>4005354</v>
      </c>
      <c r="C11916" t="s">
        <v>13695</v>
      </c>
      <c r="D11916" t="s">
        <v>442</v>
      </c>
      <c r="E11916" t="s">
        <v>441</v>
      </c>
      <c r="F11916">
        <v>0.84</v>
      </c>
      <c r="G11916">
        <v>0</v>
      </c>
      <c r="H11916" t="s">
        <v>9888</v>
      </c>
      <c r="I11916">
        <v>0</v>
      </c>
      <c r="J11916" t="s">
        <v>462</v>
      </c>
      <c r="K11916" t="s">
        <v>446</v>
      </c>
      <c r="M11916">
        <v>0</v>
      </c>
    </row>
    <row r="11917" spans="1:13">
      <c r="A11917">
        <v>79699999</v>
      </c>
      <c r="B11917">
        <v>4004463</v>
      </c>
      <c r="C11917" t="s">
        <v>13696</v>
      </c>
      <c r="D11917" t="s">
        <v>441</v>
      </c>
      <c r="F11917">
        <v>0</v>
      </c>
      <c r="H11917" t="s">
        <v>8587</v>
      </c>
      <c r="I11917">
        <v>37</v>
      </c>
      <c r="J11917" t="s">
        <v>462</v>
      </c>
      <c r="K11917" t="s">
        <v>446</v>
      </c>
      <c r="M11917">
        <v>0</v>
      </c>
    </row>
    <row r="11918" spans="1:13">
      <c r="A11918">
        <v>79709999</v>
      </c>
      <c r="B11918">
        <v>4002693</v>
      </c>
      <c r="C11918" t="s">
        <v>5521</v>
      </c>
      <c r="D11918" t="s">
        <v>441</v>
      </c>
      <c r="F11918">
        <v>0</v>
      </c>
      <c r="H11918" t="s">
        <v>8587</v>
      </c>
      <c r="I11918">
        <v>60</v>
      </c>
      <c r="J11918" t="s">
        <v>462</v>
      </c>
      <c r="K11918" t="s">
        <v>446</v>
      </c>
      <c r="M11918">
        <v>0</v>
      </c>
    </row>
    <row r="11919" spans="1:13">
      <c r="A11919">
        <v>79729999</v>
      </c>
      <c r="B11919">
        <v>4001228</v>
      </c>
      <c r="C11919" t="s">
        <v>13697</v>
      </c>
      <c r="D11919" t="s">
        <v>442</v>
      </c>
      <c r="E11919" t="s">
        <v>441</v>
      </c>
      <c r="F11919">
        <v>0.25</v>
      </c>
      <c r="H11919" t="s">
        <v>8587</v>
      </c>
      <c r="I11919">
        <v>30</v>
      </c>
      <c r="J11919" t="s">
        <v>462</v>
      </c>
      <c r="K11919" t="s">
        <v>446</v>
      </c>
      <c r="M11919">
        <v>0</v>
      </c>
    </row>
    <row r="11920" spans="1:13">
      <c r="A11920">
        <v>79739999</v>
      </c>
      <c r="B11920">
        <v>4000778</v>
      </c>
      <c r="C11920" t="s">
        <v>13698</v>
      </c>
      <c r="D11920" t="s">
        <v>442</v>
      </c>
      <c r="E11920" t="s">
        <v>441</v>
      </c>
      <c r="F11920">
        <v>1</v>
      </c>
      <c r="H11920" t="s">
        <v>8587</v>
      </c>
      <c r="I11920">
        <v>33</v>
      </c>
      <c r="J11920" t="s">
        <v>462</v>
      </c>
      <c r="K11920" t="s">
        <v>446</v>
      </c>
      <c r="M11920">
        <v>0</v>
      </c>
    </row>
    <row r="11921" spans="1:14">
      <c r="A11921">
        <v>79749999</v>
      </c>
      <c r="B11921">
        <v>4004717</v>
      </c>
      <c r="C11921" t="s">
        <v>13699</v>
      </c>
      <c r="D11921" t="s">
        <v>441</v>
      </c>
      <c r="F11921">
        <v>0</v>
      </c>
      <c r="H11921" t="s">
        <v>8587</v>
      </c>
      <c r="I11921">
        <v>21</v>
      </c>
      <c r="J11921" t="s">
        <v>462</v>
      </c>
      <c r="K11921" t="s">
        <v>446</v>
      </c>
      <c r="M11921">
        <v>0</v>
      </c>
    </row>
    <row r="11922" spans="1:14">
      <c r="A11922">
        <v>79759999</v>
      </c>
      <c r="B11922">
        <v>4005899</v>
      </c>
      <c r="C11922" t="s">
        <v>13700</v>
      </c>
      <c r="D11922" t="s">
        <v>442</v>
      </c>
      <c r="E11922" t="s">
        <v>441</v>
      </c>
      <c r="F11922">
        <v>1</v>
      </c>
      <c r="H11922" t="s">
        <v>8587</v>
      </c>
      <c r="I11922">
        <v>35</v>
      </c>
      <c r="J11922" t="s">
        <v>462</v>
      </c>
      <c r="K11922" t="s">
        <v>446</v>
      </c>
      <c r="M11922">
        <v>0</v>
      </c>
    </row>
    <row r="11923" spans="1:14">
      <c r="A11923">
        <v>79769999</v>
      </c>
      <c r="B11923">
        <v>4005819</v>
      </c>
      <c r="C11923" t="s">
        <v>13701</v>
      </c>
      <c r="D11923" t="s">
        <v>441</v>
      </c>
      <c r="F11923">
        <v>0</v>
      </c>
      <c r="H11923" t="s">
        <v>8587</v>
      </c>
      <c r="I11923">
        <v>37</v>
      </c>
      <c r="J11923" t="s">
        <v>462</v>
      </c>
      <c r="K11923" t="s">
        <v>446</v>
      </c>
      <c r="M11923">
        <v>0</v>
      </c>
    </row>
    <row r="11924" spans="1:14">
      <c r="A11924">
        <v>79789999</v>
      </c>
      <c r="B11924">
        <v>4000982</v>
      </c>
      <c r="C11924" t="s">
        <v>5522</v>
      </c>
      <c r="D11924" t="s">
        <v>441</v>
      </c>
      <c r="F11924">
        <v>0</v>
      </c>
      <c r="H11924" t="s">
        <v>8587</v>
      </c>
      <c r="I11924">
        <v>35</v>
      </c>
      <c r="J11924" t="s">
        <v>462</v>
      </c>
      <c r="K11924" t="s">
        <v>446</v>
      </c>
      <c r="M11924">
        <v>0</v>
      </c>
    </row>
    <row r="11925" spans="1:14">
      <c r="A11925">
        <v>79800000</v>
      </c>
      <c r="B11925">
        <v>3032971</v>
      </c>
      <c r="C11925" t="s">
        <v>5523</v>
      </c>
      <c r="D11925" t="s">
        <v>441</v>
      </c>
      <c r="F11925">
        <v>0</v>
      </c>
      <c r="G11925">
        <v>9.51</v>
      </c>
      <c r="H11925" t="s">
        <v>12573</v>
      </c>
      <c r="I11925">
        <v>4</v>
      </c>
      <c r="J11925" t="s">
        <v>445</v>
      </c>
      <c r="M11925">
        <v>3350</v>
      </c>
      <c r="N11925" t="s">
        <v>16689</v>
      </c>
    </row>
    <row r="11926" spans="1:14">
      <c r="A11926">
        <v>79800002</v>
      </c>
      <c r="B11926">
        <v>4021884</v>
      </c>
      <c r="C11926" t="s">
        <v>17158</v>
      </c>
      <c r="D11926" t="s">
        <v>441</v>
      </c>
      <c r="F11926">
        <v>0</v>
      </c>
      <c r="G11926">
        <v>10.66</v>
      </c>
      <c r="H11926" t="s">
        <v>8587</v>
      </c>
      <c r="I11926">
        <v>365</v>
      </c>
      <c r="J11926" t="s">
        <v>462</v>
      </c>
      <c r="K11926" t="s">
        <v>446</v>
      </c>
      <c r="M11926">
        <v>7111</v>
      </c>
      <c r="N11926" t="s">
        <v>17159</v>
      </c>
    </row>
    <row r="11927" spans="1:14">
      <c r="A11927">
        <v>79800502</v>
      </c>
      <c r="B11927">
        <v>3032869</v>
      </c>
      <c r="C11927" t="s">
        <v>17728</v>
      </c>
      <c r="D11927" t="s">
        <v>441</v>
      </c>
      <c r="F11927">
        <v>0</v>
      </c>
      <c r="G11927">
        <v>10.01</v>
      </c>
      <c r="H11927" t="s">
        <v>8587</v>
      </c>
      <c r="I11927">
        <v>365</v>
      </c>
      <c r="J11927" t="s">
        <v>445</v>
      </c>
      <c r="K11927" t="s">
        <v>446</v>
      </c>
      <c r="M11927">
        <v>2502</v>
      </c>
      <c r="N11927" t="s">
        <v>17160</v>
      </c>
    </row>
    <row r="11928" spans="1:14">
      <c r="A11928">
        <v>79810000</v>
      </c>
      <c r="B11928">
        <v>3040366</v>
      </c>
      <c r="C11928" t="s">
        <v>5524</v>
      </c>
      <c r="D11928" t="s">
        <v>441</v>
      </c>
      <c r="F11928">
        <v>0</v>
      </c>
      <c r="G11928">
        <v>0.5</v>
      </c>
      <c r="H11928" t="s">
        <v>12573</v>
      </c>
      <c r="I11928">
        <v>4</v>
      </c>
      <c r="J11928" t="s">
        <v>445</v>
      </c>
      <c r="M11928">
        <v>3350</v>
      </c>
      <c r="N11928" t="s">
        <v>16583</v>
      </c>
    </row>
    <row r="11929" spans="1:14">
      <c r="A11929">
        <v>79812000</v>
      </c>
      <c r="B11929">
        <v>4026810</v>
      </c>
      <c r="C11929" t="s">
        <v>17161</v>
      </c>
      <c r="D11929" t="s">
        <v>441</v>
      </c>
      <c r="F11929">
        <v>0</v>
      </c>
      <c r="G11929">
        <v>0.51</v>
      </c>
      <c r="H11929" t="s">
        <v>8587</v>
      </c>
      <c r="I11929">
        <v>21</v>
      </c>
      <c r="J11929" t="s">
        <v>462</v>
      </c>
      <c r="M11929">
        <v>7115</v>
      </c>
      <c r="N11929" t="s">
        <v>16735</v>
      </c>
    </row>
    <row r="11930" spans="1:14">
      <c r="A11930">
        <v>79820000</v>
      </c>
      <c r="B11930">
        <v>3008504</v>
      </c>
      <c r="C11930" t="s">
        <v>13702</v>
      </c>
      <c r="D11930" t="s">
        <v>441</v>
      </c>
      <c r="F11930">
        <v>0</v>
      </c>
      <c r="G11930">
        <v>2.2999999999999998</v>
      </c>
      <c r="H11930" t="s">
        <v>8580</v>
      </c>
      <c r="I11930">
        <v>10</v>
      </c>
      <c r="J11930" t="s">
        <v>445</v>
      </c>
      <c r="K11930" t="s">
        <v>446</v>
      </c>
      <c r="M11930">
        <v>0</v>
      </c>
      <c r="N11930" t="s">
        <v>16424</v>
      </c>
    </row>
    <row r="11931" spans="1:14">
      <c r="A11931">
        <v>79822000</v>
      </c>
      <c r="B11931">
        <v>4004466</v>
      </c>
      <c r="C11931" t="s">
        <v>13703</v>
      </c>
      <c r="D11931" t="s">
        <v>441</v>
      </c>
      <c r="F11931">
        <v>0</v>
      </c>
      <c r="G11931">
        <v>3.71</v>
      </c>
      <c r="H11931" t="s">
        <v>8587</v>
      </c>
      <c r="I11931">
        <v>10</v>
      </c>
      <c r="J11931" t="s">
        <v>462</v>
      </c>
      <c r="K11931" t="s">
        <v>446</v>
      </c>
      <c r="M11931">
        <v>3711</v>
      </c>
      <c r="N11931" t="s">
        <v>16424</v>
      </c>
    </row>
    <row r="11932" spans="1:14">
      <c r="A11932">
        <v>79860002</v>
      </c>
      <c r="B11932">
        <v>4019142</v>
      </c>
      <c r="C11932" t="s">
        <v>13704</v>
      </c>
      <c r="D11932" t="s">
        <v>441</v>
      </c>
      <c r="F11932">
        <v>0</v>
      </c>
      <c r="G11932">
        <v>1</v>
      </c>
      <c r="H11932" t="s">
        <v>8588</v>
      </c>
      <c r="I11932">
        <v>365</v>
      </c>
      <c r="J11932" t="s">
        <v>462</v>
      </c>
      <c r="K11932" t="s">
        <v>446</v>
      </c>
      <c r="M11932">
        <v>2501</v>
      </c>
    </row>
    <row r="11933" spans="1:14">
      <c r="A11933">
        <v>79860502</v>
      </c>
      <c r="B11933">
        <v>3028933</v>
      </c>
      <c r="C11933" t="s">
        <v>13705</v>
      </c>
      <c r="D11933" t="s">
        <v>441</v>
      </c>
      <c r="F11933">
        <v>0</v>
      </c>
      <c r="G11933">
        <v>1</v>
      </c>
      <c r="H11933" t="s">
        <v>8588</v>
      </c>
      <c r="I11933">
        <v>365</v>
      </c>
      <c r="J11933" t="s">
        <v>445</v>
      </c>
      <c r="K11933" t="s">
        <v>446</v>
      </c>
      <c r="M11933">
        <v>2641</v>
      </c>
    </row>
    <row r="11934" spans="1:14">
      <c r="A11934">
        <v>79870000</v>
      </c>
      <c r="B11934">
        <v>3008505</v>
      </c>
      <c r="C11934" t="s">
        <v>17162</v>
      </c>
      <c r="D11934" t="s">
        <v>441</v>
      </c>
      <c r="F11934">
        <v>0</v>
      </c>
      <c r="G11934">
        <v>14</v>
      </c>
      <c r="H11934" t="s">
        <v>8580</v>
      </c>
      <c r="I11934">
        <v>4</v>
      </c>
      <c r="J11934" t="s">
        <v>445</v>
      </c>
      <c r="M11934">
        <v>3350</v>
      </c>
      <c r="N11934" t="s">
        <v>16689</v>
      </c>
    </row>
    <row r="11935" spans="1:14">
      <c r="A11935">
        <v>79871000</v>
      </c>
      <c r="B11935">
        <v>3017247</v>
      </c>
      <c r="C11935" t="s">
        <v>17163</v>
      </c>
      <c r="D11935" t="s">
        <v>441</v>
      </c>
      <c r="F11935">
        <v>0</v>
      </c>
      <c r="G11935">
        <v>15.5</v>
      </c>
      <c r="H11935" t="s">
        <v>8584</v>
      </c>
      <c r="I11935">
        <v>4</v>
      </c>
      <c r="J11935" t="s">
        <v>445</v>
      </c>
      <c r="M11935">
        <v>3350</v>
      </c>
      <c r="N11935" t="s">
        <v>16712</v>
      </c>
    </row>
    <row r="11936" spans="1:14">
      <c r="A11936">
        <v>79872000</v>
      </c>
      <c r="B11936">
        <v>4004467</v>
      </c>
      <c r="C11936" t="s">
        <v>17164</v>
      </c>
      <c r="D11936" t="s">
        <v>441</v>
      </c>
      <c r="F11936">
        <v>0</v>
      </c>
      <c r="G11936">
        <v>15.27</v>
      </c>
      <c r="H11936" t="s">
        <v>8587</v>
      </c>
      <c r="I11936">
        <v>21</v>
      </c>
      <c r="J11936" t="s">
        <v>462</v>
      </c>
      <c r="M11936">
        <v>7115</v>
      </c>
      <c r="N11936" t="s">
        <v>17175</v>
      </c>
    </row>
    <row r="11937" spans="1:14">
      <c r="A11937">
        <v>79874110</v>
      </c>
      <c r="B11937">
        <v>4009537</v>
      </c>
      <c r="C11937" t="s">
        <v>17165</v>
      </c>
      <c r="D11937" t="s">
        <v>441</v>
      </c>
      <c r="F11937">
        <v>0</v>
      </c>
      <c r="G11937">
        <v>16.73</v>
      </c>
      <c r="H11937" t="s">
        <v>8587</v>
      </c>
      <c r="I11937">
        <v>74</v>
      </c>
      <c r="J11937" t="s">
        <v>462</v>
      </c>
      <c r="M11937">
        <v>7115</v>
      </c>
      <c r="N11937" t="s">
        <v>17166</v>
      </c>
    </row>
    <row r="11938" spans="1:14">
      <c r="A11938">
        <v>79874120</v>
      </c>
      <c r="B11938">
        <v>4018450</v>
      </c>
      <c r="C11938" t="s">
        <v>13706</v>
      </c>
      <c r="D11938" t="s">
        <v>441</v>
      </c>
      <c r="F11938">
        <v>0</v>
      </c>
      <c r="G11938">
        <v>6.4</v>
      </c>
      <c r="H11938" t="s">
        <v>8587</v>
      </c>
      <c r="I11938">
        <v>30</v>
      </c>
      <c r="J11938" t="s">
        <v>462</v>
      </c>
      <c r="K11938" t="s">
        <v>446</v>
      </c>
      <c r="M11938">
        <v>3711</v>
      </c>
      <c r="N11938" t="s">
        <v>16424</v>
      </c>
    </row>
    <row r="11939" spans="1:14">
      <c r="A11939">
        <v>79874210</v>
      </c>
      <c r="B11939">
        <v>4009536</v>
      </c>
      <c r="C11939" t="s">
        <v>13707</v>
      </c>
      <c r="D11939" t="s">
        <v>441</v>
      </c>
      <c r="F11939">
        <v>0</v>
      </c>
      <c r="G11939">
        <v>10.51</v>
      </c>
      <c r="H11939" t="s">
        <v>8587</v>
      </c>
      <c r="I11939">
        <v>81</v>
      </c>
      <c r="J11939" t="s">
        <v>462</v>
      </c>
      <c r="K11939" t="s">
        <v>446</v>
      </c>
      <c r="M11939">
        <v>3711</v>
      </c>
    </row>
    <row r="11940" spans="1:14">
      <c r="A11940">
        <v>79880000</v>
      </c>
      <c r="B11940">
        <v>3008506</v>
      </c>
      <c r="C11940" t="s">
        <v>17167</v>
      </c>
      <c r="D11940" t="s">
        <v>441</v>
      </c>
      <c r="F11940">
        <v>0</v>
      </c>
      <c r="G11940">
        <v>4.66</v>
      </c>
      <c r="H11940" t="s">
        <v>12573</v>
      </c>
      <c r="I11940">
        <v>4</v>
      </c>
      <c r="J11940" t="s">
        <v>445</v>
      </c>
      <c r="M11940">
        <v>3350</v>
      </c>
      <c r="N11940" t="s">
        <v>16583</v>
      </c>
    </row>
    <row r="11941" spans="1:14">
      <c r="A11941">
        <v>79880002</v>
      </c>
      <c r="B11941">
        <v>4020403</v>
      </c>
      <c r="C11941" t="s">
        <v>17168</v>
      </c>
      <c r="D11941" t="s">
        <v>441</v>
      </c>
      <c r="F11941">
        <v>0</v>
      </c>
      <c r="G11941">
        <v>5.63</v>
      </c>
      <c r="H11941" t="s">
        <v>8587</v>
      </c>
      <c r="I11941">
        <v>365</v>
      </c>
      <c r="J11941" t="s">
        <v>462</v>
      </c>
      <c r="M11941">
        <v>7111</v>
      </c>
      <c r="N11941" t="s">
        <v>16585</v>
      </c>
    </row>
    <row r="11942" spans="1:14">
      <c r="A11942">
        <v>79880502</v>
      </c>
      <c r="B11942">
        <v>3030526</v>
      </c>
      <c r="C11942" t="s">
        <v>17169</v>
      </c>
      <c r="D11942" t="s">
        <v>441</v>
      </c>
      <c r="F11942">
        <v>0</v>
      </c>
      <c r="G11942">
        <v>5.05</v>
      </c>
      <c r="H11942" t="s">
        <v>8587</v>
      </c>
      <c r="I11942">
        <v>365</v>
      </c>
      <c r="J11942" t="s">
        <v>445</v>
      </c>
      <c r="M11942">
        <v>2502</v>
      </c>
      <c r="N11942" t="s">
        <v>16587</v>
      </c>
    </row>
    <row r="11943" spans="1:14">
      <c r="A11943">
        <v>79882000</v>
      </c>
      <c r="B11943">
        <v>4004468</v>
      </c>
      <c r="C11943" t="s">
        <v>17170</v>
      </c>
      <c r="D11943" t="s">
        <v>441</v>
      </c>
      <c r="F11943">
        <v>0</v>
      </c>
      <c r="G11943">
        <v>5.89</v>
      </c>
      <c r="H11943" t="s">
        <v>8587</v>
      </c>
      <c r="I11943">
        <v>21</v>
      </c>
      <c r="J11943" t="s">
        <v>462</v>
      </c>
      <c r="M11943">
        <v>7115</v>
      </c>
      <c r="N11943" t="s">
        <v>16735</v>
      </c>
    </row>
    <row r="11944" spans="1:14">
      <c r="A11944">
        <v>79884110</v>
      </c>
      <c r="B11944">
        <v>4009535</v>
      </c>
      <c r="C11944" t="s">
        <v>13708</v>
      </c>
      <c r="D11944" t="s">
        <v>441</v>
      </c>
      <c r="F11944">
        <v>0</v>
      </c>
      <c r="G11944">
        <v>3.81</v>
      </c>
      <c r="H11944" t="s">
        <v>8587</v>
      </c>
      <c r="I11944">
        <v>81</v>
      </c>
      <c r="J11944" t="s">
        <v>462</v>
      </c>
      <c r="K11944" t="s">
        <v>446</v>
      </c>
      <c r="M11944">
        <v>3711</v>
      </c>
    </row>
    <row r="11945" spans="1:14">
      <c r="A11945">
        <v>79884120</v>
      </c>
      <c r="B11945">
        <v>4024482</v>
      </c>
      <c r="C11945" t="s">
        <v>13709</v>
      </c>
      <c r="D11945" t="s">
        <v>441</v>
      </c>
      <c r="F11945">
        <v>0</v>
      </c>
      <c r="G11945">
        <v>3.39</v>
      </c>
      <c r="H11945" t="s">
        <v>8587</v>
      </c>
      <c r="I11945">
        <v>35</v>
      </c>
      <c r="J11945" t="s">
        <v>462</v>
      </c>
      <c r="K11945" t="s">
        <v>446</v>
      </c>
      <c r="M11945">
        <v>3711</v>
      </c>
      <c r="N11945" t="s">
        <v>16424</v>
      </c>
    </row>
    <row r="11946" spans="1:14">
      <c r="A11946">
        <v>79890000</v>
      </c>
      <c r="B11946">
        <v>3008507</v>
      </c>
      <c r="C11946" t="s">
        <v>17171</v>
      </c>
      <c r="D11946" t="s">
        <v>441</v>
      </c>
      <c r="F11946">
        <v>0</v>
      </c>
      <c r="G11946">
        <v>5.7</v>
      </c>
      <c r="H11946" t="s">
        <v>8580</v>
      </c>
      <c r="I11946">
        <v>4</v>
      </c>
      <c r="J11946" t="s">
        <v>445</v>
      </c>
      <c r="M11946">
        <v>3350</v>
      </c>
      <c r="N11946" t="s">
        <v>16583</v>
      </c>
    </row>
    <row r="11947" spans="1:14">
      <c r="A11947">
        <v>79892000</v>
      </c>
      <c r="B11947">
        <v>4004469</v>
      </c>
      <c r="C11947" t="s">
        <v>17172</v>
      </c>
      <c r="D11947" t="s">
        <v>441</v>
      </c>
      <c r="F11947">
        <v>0</v>
      </c>
      <c r="G11947">
        <v>6.93</v>
      </c>
      <c r="H11947" t="s">
        <v>8587</v>
      </c>
      <c r="I11947">
        <v>21</v>
      </c>
      <c r="J11947" t="s">
        <v>462</v>
      </c>
      <c r="M11947">
        <v>7115</v>
      </c>
      <c r="N11947" t="s">
        <v>16735</v>
      </c>
    </row>
    <row r="11948" spans="1:14">
      <c r="A11948">
        <v>79900000</v>
      </c>
      <c r="B11948">
        <v>3030106</v>
      </c>
      <c r="C11948" t="s">
        <v>17173</v>
      </c>
      <c r="D11948" t="s">
        <v>441</v>
      </c>
      <c r="F11948">
        <v>0</v>
      </c>
      <c r="G11948">
        <v>4.42</v>
      </c>
      <c r="H11948" t="s">
        <v>12573</v>
      </c>
      <c r="I11948">
        <v>4</v>
      </c>
      <c r="J11948" t="s">
        <v>445</v>
      </c>
      <c r="M11948">
        <v>3350</v>
      </c>
      <c r="N11948" t="s">
        <v>16689</v>
      </c>
    </row>
    <row r="11949" spans="1:14">
      <c r="A11949">
        <v>79904110</v>
      </c>
      <c r="B11949">
        <v>4020068</v>
      </c>
      <c r="C11949" t="s">
        <v>17174</v>
      </c>
      <c r="D11949" t="s">
        <v>441</v>
      </c>
      <c r="F11949">
        <v>0</v>
      </c>
      <c r="G11949">
        <v>5.84</v>
      </c>
      <c r="H11949" t="s">
        <v>8587</v>
      </c>
      <c r="I11949">
        <v>42</v>
      </c>
      <c r="J11949" t="s">
        <v>462</v>
      </c>
      <c r="M11949">
        <v>7115</v>
      </c>
      <c r="N11949" t="s">
        <v>17175</v>
      </c>
    </row>
    <row r="11950" spans="1:14">
      <c r="A11950">
        <v>79904120</v>
      </c>
      <c r="B11950">
        <v>4020197</v>
      </c>
      <c r="C11950" t="s">
        <v>5525</v>
      </c>
      <c r="D11950" t="s">
        <v>441</v>
      </c>
      <c r="F11950">
        <v>0</v>
      </c>
      <c r="G11950">
        <v>5.32</v>
      </c>
      <c r="H11950" t="s">
        <v>8587</v>
      </c>
      <c r="I11950">
        <v>42</v>
      </c>
      <c r="J11950" t="s">
        <v>462</v>
      </c>
      <c r="M11950">
        <v>7115</v>
      </c>
      <c r="N11950" t="s">
        <v>17175</v>
      </c>
    </row>
    <row r="11951" spans="1:14">
      <c r="A11951">
        <v>79910000</v>
      </c>
      <c r="B11951">
        <v>3009308</v>
      </c>
      <c r="C11951" t="s">
        <v>13710</v>
      </c>
      <c r="D11951" t="s">
        <v>441</v>
      </c>
      <c r="F11951">
        <v>0</v>
      </c>
      <c r="G11951">
        <v>7.8</v>
      </c>
      <c r="H11951" t="s">
        <v>8580</v>
      </c>
      <c r="I11951">
        <v>10</v>
      </c>
      <c r="J11951" t="s">
        <v>445</v>
      </c>
      <c r="K11951" t="s">
        <v>446</v>
      </c>
      <c r="M11951">
        <v>0</v>
      </c>
      <c r="N11951" t="s">
        <v>16424</v>
      </c>
    </row>
    <row r="11952" spans="1:14">
      <c r="A11952">
        <v>79914110</v>
      </c>
      <c r="B11952">
        <v>4008557</v>
      </c>
      <c r="C11952" t="s">
        <v>13711</v>
      </c>
      <c r="D11952" t="s">
        <v>441</v>
      </c>
      <c r="F11952">
        <v>0</v>
      </c>
      <c r="G11952">
        <v>12.54</v>
      </c>
      <c r="H11952" t="s">
        <v>8587</v>
      </c>
      <c r="I11952">
        <v>20</v>
      </c>
      <c r="J11952" t="s">
        <v>462</v>
      </c>
      <c r="K11952" t="s">
        <v>446</v>
      </c>
      <c r="M11952">
        <v>3711</v>
      </c>
      <c r="N11952" t="s">
        <v>16424</v>
      </c>
    </row>
    <row r="11953" spans="1:14">
      <c r="A11953">
        <v>79920000</v>
      </c>
      <c r="B11953">
        <v>3009274</v>
      </c>
      <c r="C11953" t="s">
        <v>5526</v>
      </c>
      <c r="D11953" t="s">
        <v>441</v>
      </c>
      <c r="F11953">
        <v>0</v>
      </c>
      <c r="G11953">
        <v>15.5</v>
      </c>
      <c r="H11953" t="s">
        <v>8580</v>
      </c>
      <c r="I11953">
        <v>4</v>
      </c>
      <c r="J11953" t="s">
        <v>445</v>
      </c>
      <c r="M11953">
        <v>3350</v>
      </c>
      <c r="N11953" t="s">
        <v>17176</v>
      </c>
    </row>
    <row r="11954" spans="1:14">
      <c r="A11954">
        <v>79921000</v>
      </c>
      <c r="B11954">
        <v>3033323</v>
      </c>
      <c r="C11954" t="s">
        <v>5527</v>
      </c>
      <c r="D11954" t="s">
        <v>441</v>
      </c>
      <c r="F11954">
        <v>0</v>
      </c>
      <c r="G11954">
        <v>15.5</v>
      </c>
      <c r="H11954" t="s">
        <v>8580</v>
      </c>
      <c r="I11954">
        <v>4</v>
      </c>
      <c r="J11954" t="s">
        <v>445</v>
      </c>
      <c r="M11954">
        <v>3350</v>
      </c>
      <c r="N11954" t="s">
        <v>17176</v>
      </c>
    </row>
    <row r="11955" spans="1:14">
      <c r="A11955">
        <v>79921002</v>
      </c>
      <c r="B11955">
        <v>3043148</v>
      </c>
      <c r="C11955" t="s">
        <v>17177</v>
      </c>
      <c r="D11955" t="s">
        <v>441</v>
      </c>
      <c r="F11955">
        <v>0</v>
      </c>
      <c r="G11955">
        <v>16.53</v>
      </c>
      <c r="H11955" t="s">
        <v>8587</v>
      </c>
      <c r="I11955">
        <v>180</v>
      </c>
      <c r="J11955" t="s">
        <v>445</v>
      </c>
      <c r="M11955">
        <v>7111</v>
      </c>
      <c r="N11955" t="s">
        <v>17178</v>
      </c>
    </row>
    <row r="11956" spans="1:14">
      <c r="A11956">
        <v>79921018</v>
      </c>
      <c r="B11956">
        <v>3043151</v>
      </c>
      <c r="C11956" t="s">
        <v>17179</v>
      </c>
      <c r="D11956" t="s">
        <v>441</v>
      </c>
      <c r="F11956">
        <v>0</v>
      </c>
      <c r="G11956">
        <v>16.53</v>
      </c>
      <c r="H11956" t="s">
        <v>8587</v>
      </c>
      <c r="I11956">
        <v>180</v>
      </c>
      <c r="J11956" t="s">
        <v>445</v>
      </c>
      <c r="M11956">
        <v>7111</v>
      </c>
      <c r="N11956" t="s">
        <v>17178</v>
      </c>
    </row>
    <row r="11957" spans="1:14">
      <c r="A11957">
        <v>79921502</v>
      </c>
      <c r="B11957">
        <v>3043149</v>
      </c>
      <c r="C11957" t="s">
        <v>17180</v>
      </c>
      <c r="D11957" t="s">
        <v>441</v>
      </c>
      <c r="F11957">
        <v>0</v>
      </c>
      <c r="G11957">
        <v>15.94</v>
      </c>
      <c r="H11957" t="s">
        <v>8587</v>
      </c>
      <c r="I11957">
        <v>3</v>
      </c>
      <c r="J11957" t="s">
        <v>445</v>
      </c>
      <c r="M11957">
        <v>2502</v>
      </c>
      <c r="N11957" t="s">
        <v>17181</v>
      </c>
    </row>
    <row r="11958" spans="1:14">
      <c r="A11958">
        <v>79921518</v>
      </c>
      <c r="B11958">
        <v>3043150</v>
      </c>
      <c r="C11958" t="s">
        <v>17182</v>
      </c>
      <c r="D11958" t="s">
        <v>441</v>
      </c>
      <c r="F11958">
        <v>0</v>
      </c>
      <c r="G11958">
        <v>15.94</v>
      </c>
      <c r="H11958" t="s">
        <v>8587</v>
      </c>
      <c r="I11958">
        <v>3</v>
      </c>
      <c r="J11958" t="s">
        <v>445</v>
      </c>
      <c r="M11958">
        <v>2502</v>
      </c>
      <c r="N11958" t="s">
        <v>17181</v>
      </c>
    </row>
    <row r="11959" spans="1:14">
      <c r="A11959">
        <v>79921602</v>
      </c>
      <c r="B11959">
        <v>3043164</v>
      </c>
      <c r="C11959" t="s">
        <v>5528</v>
      </c>
      <c r="D11959" t="s">
        <v>441</v>
      </c>
      <c r="F11959">
        <v>0</v>
      </c>
      <c r="G11959">
        <v>16.82</v>
      </c>
      <c r="H11959" t="s">
        <v>12573</v>
      </c>
      <c r="I11959">
        <v>2</v>
      </c>
      <c r="J11959" t="s">
        <v>445</v>
      </c>
      <c r="M11959">
        <v>2510</v>
      </c>
      <c r="N11959" t="s">
        <v>17183</v>
      </c>
    </row>
    <row r="11960" spans="1:14">
      <c r="A11960">
        <v>79921618</v>
      </c>
      <c r="B11960">
        <v>3043163</v>
      </c>
      <c r="C11960" t="s">
        <v>5529</v>
      </c>
      <c r="D11960" t="s">
        <v>441</v>
      </c>
      <c r="F11960">
        <v>0</v>
      </c>
      <c r="G11960">
        <v>16.82</v>
      </c>
      <c r="H11960" t="s">
        <v>12573</v>
      </c>
      <c r="I11960">
        <v>2</v>
      </c>
      <c r="J11960" t="s">
        <v>445</v>
      </c>
      <c r="M11960">
        <v>2510</v>
      </c>
      <c r="N11960" t="s">
        <v>17183</v>
      </c>
    </row>
    <row r="11961" spans="1:14">
      <c r="A11961">
        <v>79922000</v>
      </c>
      <c r="B11961">
        <v>4007650</v>
      </c>
      <c r="C11961" t="s">
        <v>5530</v>
      </c>
      <c r="D11961" t="s">
        <v>441</v>
      </c>
      <c r="F11961">
        <v>0</v>
      </c>
      <c r="G11961">
        <v>16.739999999999998</v>
      </c>
      <c r="H11961" t="s">
        <v>8587</v>
      </c>
      <c r="I11961">
        <v>40</v>
      </c>
      <c r="J11961" t="s">
        <v>462</v>
      </c>
      <c r="M11961">
        <v>7115</v>
      </c>
      <c r="N11961" t="s">
        <v>17184</v>
      </c>
    </row>
    <row r="11962" spans="1:14">
      <c r="A11962">
        <v>79924110</v>
      </c>
      <c r="B11962">
        <v>4022162</v>
      </c>
      <c r="C11962" t="s">
        <v>5531</v>
      </c>
      <c r="D11962" t="s">
        <v>441</v>
      </c>
      <c r="F11962">
        <v>0</v>
      </c>
      <c r="G11962">
        <v>16.72</v>
      </c>
      <c r="H11962" t="s">
        <v>8587</v>
      </c>
      <c r="I11962">
        <v>40</v>
      </c>
      <c r="J11962" t="s">
        <v>462</v>
      </c>
      <c r="M11962">
        <v>7115</v>
      </c>
      <c r="N11962" t="s">
        <v>17184</v>
      </c>
    </row>
    <row r="11963" spans="1:14">
      <c r="A11963">
        <v>79930000</v>
      </c>
      <c r="B11963">
        <v>3030107</v>
      </c>
      <c r="C11963" t="s">
        <v>17185</v>
      </c>
      <c r="D11963" t="s">
        <v>441</v>
      </c>
      <c r="F11963">
        <v>0</v>
      </c>
      <c r="G11963">
        <v>1.83</v>
      </c>
      <c r="H11963" t="s">
        <v>12573</v>
      </c>
      <c r="I11963">
        <v>4</v>
      </c>
      <c r="J11963" t="s">
        <v>445</v>
      </c>
      <c r="M11963">
        <v>3350</v>
      </c>
      <c r="N11963" t="s">
        <v>16689</v>
      </c>
    </row>
    <row r="11964" spans="1:14">
      <c r="A11964">
        <v>79930002</v>
      </c>
      <c r="B11964">
        <v>3030604</v>
      </c>
      <c r="C11964" t="s">
        <v>5532</v>
      </c>
      <c r="D11964" t="s">
        <v>441</v>
      </c>
      <c r="F11964">
        <v>0</v>
      </c>
      <c r="G11964">
        <v>2.76</v>
      </c>
      <c r="H11964" t="s">
        <v>8587</v>
      </c>
      <c r="I11964">
        <v>180</v>
      </c>
      <c r="J11964" t="s">
        <v>445</v>
      </c>
      <c r="M11964">
        <v>7111</v>
      </c>
      <c r="N11964" t="s">
        <v>17159</v>
      </c>
    </row>
    <row r="11965" spans="1:14">
      <c r="A11965">
        <v>79930502</v>
      </c>
      <c r="B11965">
        <v>3030603</v>
      </c>
      <c r="C11965" t="s">
        <v>5533</v>
      </c>
      <c r="D11965" t="s">
        <v>441</v>
      </c>
      <c r="F11965">
        <v>0</v>
      </c>
      <c r="G11965">
        <v>2.1800000000000002</v>
      </c>
      <c r="H11965" t="s">
        <v>8587</v>
      </c>
      <c r="I11965">
        <v>180</v>
      </c>
      <c r="J11965" t="s">
        <v>445</v>
      </c>
      <c r="M11965">
        <v>2502</v>
      </c>
      <c r="N11965" t="s">
        <v>17160</v>
      </c>
    </row>
    <row r="11966" spans="1:14">
      <c r="A11966">
        <v>79930602</v>
      </c>
      <c r="B11966">
        <v>3030605</v>
      </c>
      <c r="C11966" t="s">
        <v>5534</v>
      </c>
      <c r="D11966" t="s">
        <v>441</v>
      </c>
      <c r="F11966">
        <v>0</v>
      </c>
      <c r="G11966">
        <v>2.99</v>
      </c>
      <c r="H11966" t="s">
        <v>8588</v>
      </c>
      <c r="I11966">
        <v>4</v>
      </c>
      <c r="J11966" t="s">
        <v>445</v>
      </c>
      <c r="M11966">
        <v>2510</v>
      </c>
      <c r="N11966" t="s">
        <v>17186</v>
      </c>
    </row>
    <row r="11967" spans="1:14">
      <c r="A11967">
        <v>79934000</v>
      </c>
      <c r="B11967">
        <v>3042181</v>
      </c>
      <c r="C11967" t="s">
        <v>17187</v>
      </c>
      <c r="D11967" t="s">
        <v>441</v>
      </c>
      <c r="F11967">
        <v>0</v>
      </c>
      <c r="G11967">
        <v>1.83</v>
      </c>
      <c r="H11967" t="s">
        <v>12573</v>
      </c>
      <c r="I11967">
        <v>5</v>
      </c>
      <c r="J11967" t="s">
        <v>445</v>
      </c>
      <c r="M11967">
        <v>3350</v>
      </c>
      <c r="N11967" t="s">
        <v>16689</v>
      </c>
    </row>
    <row r="11968" spans="1:14">
      <c r="A11968">
        <v>79934002</v>
      </c>
      <c r="B11968">
        <v>3042432</v>
      </c>
      <c r="C11968" t="s">
        <v>17188</v>
      </c>
      <c r="D11968" t="s">
        <v>441</v>
      </c>
      <c r="F11968">
        <v>0</v>
      </c>
      <c r="G11968">
        <v>2.79</v>
      </c>
      <c r="H11968" t="s">
        <v>8587</v>
      </c>
      <c r="I11968">
        <v>180</v>
      </c>
      <c r="J11968" t="s">
        <v>445</v>
      </c>
      <c r="M11968">
        <v>7111</v>
      </c>
      <c r="N11968" t="s">
        <v>17159</v>
      </c>
    </row>
    <row r="11969" spans="1:14">
      <c r="A11969">
        <v>79934110</v>
      </c>
      <c r="B11969">
        <v>4020069</v>
      </c>
      <c r="C11969" t="s">
        <v>17189</v>
      </c>
      <c r="D11969" t="s">
        <v>441</v>
      </c>
      <c r="F11969">
        <v>0</v>
      </c>
      <c r="G11969">
        <v>3.25</v>
      </c>
      <c r="H11969" t="s">
        <v>8587</v>
      </c>
      <c r="I11969">
        <v>42</v>
      </c>
      <c r="J11969" t="s">
        <v>462</v>
      </c>
      <c r="K11969" t="s">
        <v>446</v>
      </c>
      <c r="M11969">
        <v>7115</v>
      </c>
      <c r="N11969" t="s">
        <v>17175</v>
      </c>
    </row>
    <row r="11970" spans="1:14">
      <c r="A11970">
        <v>79934502</v>
      </c>
      <c r="B11970">
        <v>3042431</v>
      </c>
      <c r="C11970" t="s">
        <v>17190</v>
      </c>
      <c r="D11970" t="s">
        <v>441</v>
      </c>
      <c r="F11970">
        <v>0</v>
      </c>
      <c r="G11970">
        <v>2.21</v>
      </c>
      <c r="H11970" t="s">
        <v>8587</v>
      </c>
      <c r="I11970">
        <v>180</v>
      </c>
      <c r="J11970" t="s">
        <v>445</v>
      </c>
      <c r="M11970">
        <v>2502</v>
      </c>
      <c r="N11970" t="s">
        <v>17160</v>
      </c>
    </row>
    <row r="11971" spans="1:14">
      <c r="A11971">
        <v>79934602</v>
      </c>
      <c r="B11971">
        <v>3042433</v>
      </c>
      <c r="C11971" t="s">
        <v>17191</v>
      </c>
      <c r="D11971" t="s">
        <v>441</v>
      </c>
      <c r="F11971">
        <v>0</v>
      </c>
      <c r="G11971">
        <v>3.02</v>
      </c>
      <c r="H11971" t="s">
        <v>8587</v>
      </c>
      <c r="I11971">
        <v>4</v>
      </c>
      <c r="J11971" t="s">
        <v>445</v>
      </c>
      <c r="M11971">
        <v>2510</v>
      </c>
      <c r="N11971" t="s">
        <v>17186</v>
      </c>
    </row>
    <row r="11972" spans="1:14">
      <c r="A11972">
        <v>79950000</v>
      </c>
      <c r="B11972">
        <v>3008508</v>
      </c>
      <c r="C11972" t="s">
        <v>17192</v>
      </c>
      <c r="D11972" t="s">
        <v>441</v>
      </c>
      <c r="F11972">
        <v>0</v>
      </c>
      <c r="G11972">
        <v>5.7</v>
      </c>
      <c r="H11972" t="s">
        <v>12573</v>
      </c>
      <c r="I11972">
        <v>4</v>
      </c>
      <c r="J11972" t="s">
        <v>445</v>
      </c>
      <c r="M11972">
        <v>3350</v>
      </c>
      <c r="N11972" t="s">
        <v>16689</v>
      </c>
    </row>
    <row r="11973" spans="1:14">
      <c r="A11973">
        <v>79950002</v>
      </c>
      <c r="B11973">
        <v>3045247</v>
      </c>
      <c r="C11973" t="s">
        <v>15686</v>
      </c>
      <c r="D11973" t="s">
        <v>441</v>
      </c>
      <c r="F11973">
        <v>0</v>
      </c>
      <c r="G11973">
        <v>6.39</v>
      </c>
      <c r="H11973" t="s">
        <v>12573</v>
      </c>
      <c r="I11973">
        <v>365</v>
      </c>
      <c r="J11973" t="s">
        <v>445</v>
      </c>
      <c r="M11973">
        <v>7111</v>
      </c>
      <c r="N11973" t="s">
        <v>16585</v>
      </c>
    </row>
    <row r="11974" spans="1:14">
      <c r="A11974">
        <v>79950019</v>
      </c>
      <c r="B11974">
        <v>4009139</v>
      </c>
      <c r="C11974" t="s">
        <v>13712</v>
      </c>
      <c r="D11974" t="s">
        <v>441</v>
      </c>
      <c r="F11974">
        <v>0</v>
      </c>
      <c r="G11974">
        <v>1.59</v>
      </c>
      <c r="H11974" t="s">
        <v>8588</v>
      </c>
      <c r="I11974">
        <v>365</v>
      </c>
      <c r="J11974" t="s">
        <v>462</v>
      </c>
      <c r="K11974" t="s">
        <v>446</v>
      </c>
      <c r="M11974">
        <v>2641</v>
      </c>
    </row>
    <row r="11975" spans="1:14">
      <c r="A11975">
        <v>79950502</v>
      </c>
      <c r="B11975">
        <v>3045242</v>
      </c>
      <c r="C11975" t="s">
        <v>15687</v>
      </c>
      <c r="D11975" t="s">
        <v>441</v>
      </c>
      <c r="F11975">
        <v>0</v>
      </c>
      <c r="G11975">
        <v>5.92</v>
      </c>
      <c r="H11975" t="s">
        <v>12573</v>
      </c>
      <c r="I11975">
        <v>6</v>
      </c>
      <c r="J11975" t="s">
        <v>445</v>
      </c>
      <c r="M11975">
        <v>2502</v>
      </c>
      <c r="N11975" t="s">
        <v>16587</v>
      </c>
    </row>
    <row r="11976" spans="1:14">
      <c r="A11976">
        <v>79952000</v>
      </c>
      <c r="B11976">
        <v>4004470</v>
      </c>
      <c r="C11976" t="s">
        <v>17193</v>
      </c>
      <c r="D11976" t="s">
        <v>441</v>
      </c>
      <c r="F11976">
        <v>0</v>
      </c>
      <c r="G11976">
        <v>6.95</v>
      </c>
      <c r="H11976" t="s">
        <v>8587</v>
      </c>
      <c r="I11976">
        <v>21</v>
      </c>
      <c r="J11976" t="s">
        <v>462</v>
      </c>
      <c r="M11976">
        <v>7115</v>
      </c>
      <c r="N11976" t="s">
        <v>17175</v>
      </c>
    </row>
    <row r="11977" spans="1:14">
      <c r="A11977">
        <v>79960000</v>
      </c>
      <c r="B11977">
        <v>3037195</v>
      </c>
      <c r="C11977" t="s">
        <v>5535</v>
      </c>
      <c r="D11977" t="s">
        <v>441</v>
      </c>
      <c r="F11977">
        <v>0</v>
      </c>
      <c r="G11977">
        <v>28.41</v>
      </c>
      <c r="H11977" t="s">
        <v>12573</v>
      </c>
      <c r="I11977">
        <v>10</v>
      </c>
      <c r="J11977" t="s">
        <v>445</v>
      </c>
      <c r="M11977">
        <v>6666</v>
      </c>
      <c r="N11977" t="s">
        <v>17729</v>
      </c>
    </row>
    <row r="11978" spans="1:14">
      <c r="A11978">
        <v>79960002</v>
      </c>
      <c r="B11978">
        <v>4027085</v>
      </c>
      <c r="C11978" t="s">
        <v>15688</v>
      </c>
      <c r="D11978" t="s">
        <v>441</v>
      </c>
      <c r="F11978">
        <v>0</v>
      </c>
      <c r="G11978">
        <v>29.55</v>
      </c>
      <c r="H11978" t="s">
        <v>8587</v>
      </c>
      <c r="I11978">
        <v>270</v>
      </c>
      <c r="J11978" t="s">
        <v>462</v>
      </c>
      <c r="M11978">
        <v>7111</v>
      </c>
      <c r="N11978" t="s">
        <v>17730</v>
      </c>
    </row>
    <row r="11979" spans="1:14">
      <c r="A11979">
        <v>79960008</v>
      </c>
      <c r="B11979">
        <v>3016262</v>
      </c>
      <c r="C11979" t="s">
        <v>17194</v>
      </c>
      <c r="D11979" t="s">
        <v>441</v>
      </c>
      <c r="F11979">
        <v>0</v>
      </c>
      <c r="G11979">
        <v>15.35</v>
      </c>
      <c r="H11979" t="s">
        <v>8580</v>
      </c>
      <c r="I11979">
        <v>4</v>
      </c>
      <c r="J11979" t="s">
        <v>445</v>
      </c>
      <c r="M11979">
        <v>6666</v>
      </c>
      <c r="N11979" t="s">
        <v>17731</v>
      </c>
    </row>
    <row r="11980" spans="1:14">
      <c r="A11980">
        <v>79960010</v>
      </c>
      <c r="B11980">
        <v>3016261</v>
      </c>
      <c r="C11980" t="s">
        <v>5536</v>
      </c>
      <c r="D11980" t="s">
        <v>441</v>
      </c>
      <c r="F11980">
        <v>0</v>
      </c>
      <c r="G11980">
        <v>11.22</v>
      </c>
      <c r="H11980" t="s">
        <v>8580</v>
      </c>
      <c r="I11980">
        <v>6</v>
      </c>
      <c r="J11980" t="s">
        <v>445</v>
      </c>
      <c r="K11980" t="s">
        <v>446</v>
      </c>
      <c r="M11980">
        <v>2621</v>
      </c>
      <c r="N11980" t="s">
        <v>17195</v>
      </c>
    </row>
    <row r="11981" spans="1:14">
      <c r="A11981">
        <v>79960020</v>
      </c>
      <c r="B11981">
        <v>4009692</v>
      </c>
      <c r="C11981" t="s">
        <v>13713</v>
      </c>
      <c r="D11981" t="s">
        <v>441</v>
      </c>
      <c r="F11981">
        <v>0</v>
      </c>
      <c r="G11981">
        <v>15.96</v>
      </c>
      <c r="H11981" t="s">
        <v>8588</v>
      </c>
      <c r="I11981">
        <v>365</v>
      </c>
      <c r="J11981" t="s">
        <v>462</v>
      </c>
      <c r="M11981">
        <v>7111</v>
      </c>
      <c r="N11981" t="s">
        <v>17732</v>
      </c>
    </row>
    <row r="11982" spans="1:14">
      <c r="A11982">
        <v>79960028</v>
      </c>
      <c r="B11982">
        <v>3016862</v>
      </c>
      <c r="C11982" t="s">
        <v>13714</v>
      </c>
      <c r="D11982" t="s">
        <v>441</v>
      </c>
      <c r="F11982">
        <v>0</v>
      </c>
      <c r="G11982">
        <v>12.38</v>
      </c>
      <c r="H11982" t="s">
        <v>8588</v>
      </c>
      <c r="I11982">
        <v>365</v>
      </c>
      <c r="J11982" t="s">
        <v>445</v>
      </c>
      <c r="K11982" t="s">
        <v>446</v>
      </c>
      <c r="M11982">
        <v>2501</v>
      </c>
      <c r="N11982" t="s">
        <v>16424</v>
      </c>
    </row>
    <row r="11983" spans="1:14">
      <c r="A11983">
        <v>79960030</v>
      </c>
      <c r="B11983">
        <v>4008369</v>
      </c>
      <c r="C11983" t="s">
        <v>13715</v>
      </c>
      <c r="D11983" t="s">
        <v>441</v>
      </c>
      <c r="F11983">
        <v>0</v>
      </c>
      <c r="G11983">
        <v>9.91</v>
      </c>
      <c r="H11983" t="s">
        <v>8588</v>
      </c>
      <c r="I11983">
        <v>16</v>
      </c>
      <c r="J11983" t="s">
        <v>462</v>
      </c>
      <c r="K11983" t="s">
        <v>446</v>
      </c>
      <c r="M11983">
        <v>2611</v>
      </c>
    </row>
    <row r="11984" spans="1:14">
      <c r="A11984">
        <v>79960031</v>
      </c>
      <c r="B11984">
        <v>4011066</v>
      </c>
      <c r="C11984" t="s">
        <v>13716</v>
      </c>
      <c r="D11984" t="s">
        <v>442</v>
      </c>
      <c r="E11984" t="s">
        <v>441</v>
      </c>
      <c r="F11984">
        <v>0.5</v>
      </c>
      <c r="G11984">
        <v>5.01</v>
      </c>
      <c r="H11984" t="s">
        <v>8588</v>
      </c>
      <c r="I11984">
        <v>10</v>
      </c>
      <c r="J11984" t="s">
        <v>462</v>
      </c>
      <c r="K11984" t="s">
        <v>446</v>
      </c>
      <c r="M11984">
        <v>2622</v>
      </c>
    </row>
    <row r="11985" spans="1:14">
      <c r="A11985">
        <v>79960040</v>
      </c>
      <c r="B11985">
        <v>4011067</v>
      </c>
      <c r="C11985" t="s">
        <v>13717</v>
      </c>
      <c r="D11985" t="s">
        <v>441</v>
      </c>
      <c r="F11985">
        <v>0</v>
      </c>
      <c r="G11985">
        <v>19.23</v>
      </c>
      <c r="H11985" t="s">
        <v>8588</v>
      </c>
      <c r="I11985">
        <v>16</v>
      </c>
      <c r="J11985" t="s">
        <v>462</v>
      </c>
      <c r="M11985">
        <v>7112</v>
      </c>
      <c r="N11985" t="s">
        <v>17733</v>
      </c>
    </row>
    <row r="11986" spans="1:14">
      <c r="A11986">
        <v>79960075</v>
      </c>
      <c r="B11986">
        <v>3012355</v>
      </c>
      <c r="C11986" t="s">
        <v>13718</v>
      </c>
      <c r="D11986" t="s">
        <v>441</v>
      </c>
      <c r="F11986">
        <v>0</v>
      </c>
      <c r="G11986">
        <v>20.62</v>
      </c>
      <c r="H11986" t="s">
        <v>8588</v>
      </c>
      <c r="I11986">
        <v>6</v>
      </c>
      <c r="J11986" t="s">
        <v>445</v>
      </c>
      <c r="M11986">
        <v>7112</v>
      </c>
      <c r="N11986" t="s">
        <v>17733</v>
      </c>
    </row>
    <row r="11987" spans="1:14">
      <c r="A11987">
        <v>79960100</v>
      </c>
      <c r="B11987">
        <v>3012471</v>
      </c>
      <c r="C11987" t="s">
        <v>13719</v>
      </c>
      <c r="D11987" t="s">
        <v>441</v>
      </c>
      <c r="F11987">
        <v>0</v>
      </c>
      <c r="H11987" t="s">
        <v>8549</v>
      </c>
      <c r="I11987">
        <v>365</v>
      </c>
      <c r="J11987" t="s">
        <v>445</v>
      </c>
      <c r="M11987">
        <v>7113</v>
      </c>
      <c r="N11987" t="s">
        <v>17732</v>
      </c>
    </row>
    <row r="11988" spans="1:14">
      <c r="A11988">
        <v>79960102</v>
      </c>
      <c r="B11988">
        <v>3033814</v>
      </c>
      <c r="C11988" t="s">
        <v>13720</v>
      </c>
      <c r="D11988" t="s">
        <v>441</v>
      </c>
      <c r="F11988">
        <v>0</v>
      </c>
      <c r="H11988" t="s">
        <v>9295</v>
      </c>
      <c r="I11988">
        <v>365</v>
      </c>
      <c r="J11988" t="s">
        <v>445</v>
      </c>
      <c r="M11988">
        <v>7113</v>
      </c>
      <c r="N11988" t="s">
        <v>17732</v>
      </c>
    </row>
    <row r="11989" spans="1:14">
      <c r="A11989">
        <v>79960110</v>
      </c>
      <c r="B11989">
        <v>3008647</v>
      </c>
      <c r="C11989" t="s">
        <v>13721</v>
      </c>
      <c r="D11989" t="s">
        <v>441</v>
      </c>
      <c r="F11989">
        <v>0</v>
      </c>
      <c r="H11989" t="s">
        <v>8588</v>
      </c>
      <c r="I11989">
        <v>19</v>
      </c>
      <c r="J11989" t="s">
        <v>445</v>
      </c>
      <c r="M11989">
        <v>7113</v>
      </c>
      <c r="N11989" t="s">
        <v>17733</v>
      </c>
    </row>
    <row r="11990" spans="1:14">
      <c r="A11990">
        <v>79960120</v>
      </c>
      <c r="B11990">
        <v>3015430</v>
      </c>
      <c r="C11990" t="s">
        <v>5537</v>
      </c>
      <c r="D11990" t="s">
        <v>441</v>
      </c>
      <c r="F11990">
        <v>0</v>
      </c>
      <c r="H11990" t="s">
        <v>8588</v>
      </c>
      <c r="I11990">
        <v>6</v>
      </c>
      <c r="J11990" t="s">
        <v>445</v>
      </c>
      <c r="M11990">
        <v>7161</v>
      </c>
      <c r="N11990" t="s">
        <v>17733</v>
      </c>
    </row>
    <row r="11991" spans="1:14">
      <c r="A11991">
        <v>79960130</v>
      </c>
      <c r="B11991">
        <v>3010198</v>
      </c>
      <c r="C11991" t="s">
        <v>13722</v>
      </c>
      <c r="D11991" t="s">
        <v>441</v>
      </c>
      <c r="F11991">
        <v>0</v>
      </c>
      <c r="H11991" t="s">
        <v>9295</v>
      </c>
      <c r="I11991">
        <v>7</v>
      </c>
      <c r="J11991" t="s">
        <v>445</v>
      </c>
      <c r="M11991">
        <v>7161</v>
      </c>
      <c r="N11991" t="s">
        <v>17733</v>
      </c>
    </row>
    <row r="11992" spans="1:14">
      <c r="A11992">
        <v>79960140</v>
      </c>
      <c r="B11992">
        <v>3013578</v>
      </c>
      <c r="C11992" t="s">
        <v>13723</v>
      </c>
      <c r="D11992" t="s">
        <v>441</v>
      </c>
      <c r="F11992">
        <v>0</v>
      </c>
      <c r="H11992" t="s">
        <v>9295</v>
      </c>
      <c r="I11992">
        <v>10</v>
      </c>
      <c r="J11992" t="s">
        <v>445</v>
      </c>
      <c r="M11992">
        <v>7161</v>
      </c>
      <c r="N11992" t="s">
        <v>17733</v>
      </c>
    </row>
    <row r="11993" spans="1:14">
      <c r="A11993">
        <v>79960150</v>
      </c>
      <c r="B11993">
        <v>3034377</v>
      </c>
      <c r="C11993" t="s">
        <v>13724</v>
      </c>
      <c r="D11993" t="s">
        <v>441</v>
      </c>
      <c r="F11993">
        <v>0</v>
      </c>
      <c r="H11993" t="s">
        <v>8588</v>
      </c>
      <c r="I11993">
        <v>729</v>
      </c>
      <c r="J11993" t="s">
        <v>445</v>
      </c>
      <c r="M11993">
        <v>7161</v>
      </c>
      <c r="N11993" t="s">
        <v>17732</v>
      </c>
    </row>
    <row r="11994" spans="1:14">
      <c r="A11994">
        <v>79960160</v>
      </c>
      <c r="B11994">
        <v>3034376</v>
      </c>
      <c r="C11994" t="s">
        <v>13725</v>
      </c>
      <c r="D11994" t="s">
        <v>441</v>
      </c>
      <c r="F11994">
        <v>0</v>
      </c>
      <c r="H11994" t="s">
        <v>8588</v>
      </c>
      <c r="I11994">
        <v>6</v>
      </c>
      <c r="J11994" t="s">
        <v>445</v>
      </c>
      <c r="M11994">
        <v>7161</v>
      </c>
      <c r="N11994" t="s">
        <v>17733</v>
      </c>
    </row>
    <row r="11995" spans="1:14">
      <c r="A11995">
        <v>79960170</v>
      </c>
      <c r="B11995">
        <v>3032165</v>
      </c>
      <c r="C11995" t="s">
        <v>13726</v>
      </c>
      <c r="D11995" t="s">
        <v>441</v>
      </c>
      <c r="F11995">
        <v>0</v>
      </c>
      <c r="G11995">
        <v>6.25</v>
      </c>
      <c r="H11995" t="s">
        <v>9295</v>
      </c>
      <c r="I11995">
        <v>6</v>
      </c>
      <c r="J11995" t="s">
        <v>445</v>
      </c>
      <c r="M11995">
        <v>0</v>
      </c>
      <c r="N11995" t="s">
        <v>17733</v>
      </c>
    </row>
    <row r="11996" spans="1:14">
      <c r="A11996">
        <v>79960502</v>
      </c>
      <c r="B11996">
        <v>3040911</v>
      </c>
      <c r="C11996" t="s">
        <v>15689</v>
      </c>
      <c r="D11996" t="s">
        <v>441</v>
      </c>
      <c r="F11996">
        <v>0</v>
      </c>
      <c r="G11996">
        <v>29.08</v>
      </c>
      <c r="H11996" t="s">
        <v>12573</v>
      </c>
      <c r="I11996">
        <v>6</v>
      </c>
      <c r="J11996" t="s">
        <v>445</v>
      </c>
      <c r="M11996">
        <v>2502</v>
      </c>
      <c r="N11996" t="s">
        <v>17734</v>
      </c>
    </row>
    <row r="11997" spans="1:14">
      <c r="A11997">
        <v>79960520</v>
      </c>
      <c r="B11997">
        <v>3012005</v>
      </c>
      <c r="C11997" t="s">
        <v>13727</v>
      </c>
      <c r="D11997" t="s">
        <v>441</v>
      </c>
      <c r="F11997">
        <v>0</v>
      </c>
      <c r="G11997">
        <v>15.49</v>
      </c>
      <c r="I11997">
        <v>356</v>
      </c>
      <c r="J11997" t="s">
        <v>445</v>
      </c>
      <c r="M11997">
        <v>2502</v>
      </c>
      <c r="N11997" t="s">
        <v>17735</v>
      </c>
    </row>
    <row r="11998" spans="1:14">
      <c r="A11998">
        <v>79960620</v>
      </c>
      <c r="B11998">
        <v>3012131</v>
      </c>
      <c r="C11998" t="s">
        <v>13728</v>
      </c>
      <c r="D11998" t="s">
        <v>441</v>
      </c>
      <c r="F11998">
        <v>0</v>
      </c>
      <c r="G11998">
        <v>13.18</v>
      </c>
      <c r="I11998">
        <v>4</v>
      </c>
      <c r="J11998" t="s">
        <v>445</v>
      </c>
      <c r="K11998" t="s">
        <v>446</v>
      </c>
      <c r="M11998">
        <v>2511</v>
      </c>
      <c r="N11998" t="s">
        <v>16424</v>
      </c>
    </row>
    <row r="11999" spans="1:14">
      <c r="A11999">
        <v>79961010</v>
      </c>
      <c r="B11999">
        <v>3016914</v>
      </c>
      <c r="C11999" t="s">
        <v>13729</v>
      </c>
      <c r="D11999" t="s">
        <v>441</v>
      </c>
      <c r="F11999">
        <v>0</v>
      </c>
      <c r="G11999">
        <v>18.25</v>
      </c>
      <c r="H11999" t="s">
        <v>12573</v>
      </c>
      <c r="I11999">
        <v>210</v>
      </c>
      <c r="J11999" t="s">
        <v>445</v>
      </c>
      <c r="M11999">
        <v>6666</v>
      </c>
      <c r="N11999" t="s">
        <v>17729</v>
      </c>
    </row>
    <row r="12000" spans="1:14">
      <c r="A12000">
        <v>79961020</v>
      </c>
      <c r="B12000">
        <v>3016912</v>
      </c>
      <c r="C12000" t="s">
        <v>17196</v>
      </c>
      <c r="D12000" t="s">
        <v>441</v>
      </c>
      <c r="F12000">
        <v>0</v>
      </c>
      <c r="G12000">
        <v>20.440000000000001</v>
      </c>
      <c r="H12000" t="s">
        <v>8935</v>
      </c>
      <c r="I12000">
        <v>6</v>
      </c>
      <c r="J12000" t="s">
        <v>445</v>
      </c>
      <c r="M12000">
        <v>6666</v>
      </c>
      <c r="N12000" t="s">
        <v>17731</v>
      </c>
    </row>
    <row r="12001" spans="1:14">
      <c r="A12001">
        <v>79961030</v>
      </c>
      <c r="B12001">
        <v>3016910</v>
      </c>
      <c r="C12001" t="s">
        <v>17197</v>
      </c>
      <c r="D12001" t="s">
        <v>441</v>
      </c>
      <c r="F12001">
        <v>0</v>
      </c>
      <c r="G12001">
        <v>13.35</v>
      </c>
      <c r="H12001" t="s">
        <v>8935</v>
      </c>
      <c r="I12001">
        <v>2</v>
      </c>
      <c r="J12001" t="s">
        <v>445</v>
      </c>
      <c r="M12001">
        <v>3112</v>
      </c>
      <c r="N12001" t="s">
        <v>17736</v>
      </c>
    </row>
    <row r="12002" spans="1:14">
      <c r="A12002">
        <v>79961040</v>
      </c>
      <c r="B12002">
        <v>3016913</v>
      </c>
      <c r="C12002" t="s">
        <v>17198</v>
      </c>
      <c r="D12002" t="s">
        <v>441</v>
      </c>
      <c r="F12002">
        <v>0</v>
      </c>
      <c r="G12002">
        <v>18.97</v>
      </c>
      <c r="H12002" t="s">
        <v>8935</v>
      </c>
      <c r="I12002">
        <v>6</v>
      </c>
      <c r="J12002" t="s">
        <v>445</v>
      </c>
      <c r="M12002">
        <v>3111</v>
      </c>
      <c r="N12002" t="s">
        <v>17737</v>
      </c>
    </row>
    <row r="12003" spans="1:14">
      <c r="A12003">
        <v>79961050</v>
      </c>
      <c r="B12003">
        <v>3016915</v>
      </c>
      <c r="C12003" t="s">
        <v>17199</v>
      </c>
      <c r="D12003" t="s">
        <v>441</v>
      </c>
      <c r="F12003">
        <v>0</v>
      </c>
      <c r="G12003">
        <v>13.17</v>
      </c>
      <c r="H12003" t="s">
        <v>8935</v>
      </c>
      <c r="I12003">
        <v>5</v>
      </c>
      <c r="J12003" t="s">
        <v>445</v>
      </c>
      <c r="M12003">
        <v>6666</v>
      </c>
      <c r="N12003" t="s">
        <v>17738</v>
      </c>
    </row>
    <row r="12004" spans="1:14">
      <c r="A12004">
        <v>79961060</v>
      </c>
      <c r="B12004">
        <v>3009224</v>
      </c>
      <c r="C12004" t="s">
        <v>13730</v>
      </c>
      <c r="D12004" t="s">
        <v>441</v>
      </c>
      <c r="F12004">
        <v>0</v>
      </c>
      <c r="G12004">
        <v>6.35</v>
      </c>
      <c r="H12004" t="s">
        <v>8580</v>
      </c>
      <c r="I12004">
        <v>10</v>
      </c>
      <c r="J12004" t="s">
        <v>445</v>
      </c>
      <c r="K12004" t="s">
        <v>446</v>
      </c>
      <c r="M12004">
        <v>2621</v>
      </c>
      <c r="N12004" t="s">
        <v>16424</v>
      </c>
    </row>
    <row r="12005" spans="1:14">
      <c r="A12005">
        <v>79961070</v>
      </c>
      <c r="B12005">
        <v>3016911</v>
      </c>
      <c r="C12005" t="s">
        <v>13731</v>
      </c>
      <c r="D12005" t="s">
        <v>441</v>
      </c>
      <c r="F12005">
        <v>0</v>
      </c>
      <c r="G12005">
        <v>22.85</v>
      </c>
      <c r="H12005" t="s">
        <v>12573</v>
      </c>
      <c r="I12005">
        <v>36</v>
      </c>
      <c r="J12005" t="s">
        <v>445</v>
      </c>
      <c r="M12005">
        <v>6666</v>
      </c>
      <c r="N12005" t="s">
        <v>17739</v>
      </c>
    </row>
    <row r="12006" spans="1:14">
      <c r="A12006">
        <v>79962000</v>
      </c>
      <c r="B12006">
        <v>4011068</v>
      </c>
      <c r="C12006" t="s">
        <v>13732</v>
      </c>
      <c r="D12006" t="s">
        <v>441</v>
      </c>
      <c r="F12006">
        <v>0</v>
      </c>
      <c r="G12006">
        <v>10.96</v>
      </c>
      <c r="H12006" t="s">
        <v>8587</v>
      </c>
      <c r="I12006">
        <v>180</v>
      </c>
      <c r="J12006" t="s">
        <v>462</v>
      </c>
      <c r="K12006" t="s">
        <v>446</v>
      </c>
      <c r="M12006">
        <v>3711</v>
      </c>
      <c r="N12006" t="s">
        <v>16424</v>
      </c>
    </row>
    <row r="12007" spans="1:14">
      <c r="A12007">
        <v>79964210</v>
      </c>
      <c r="B12007">
        <v>8500010</v>
      </c>
      <c r="C12007" t="s">
        <v>13733</v>
      </c>
      <c r="D12007" t="s">
        <v>441</v>
      </c>
      <c r="F12007">
        <v>0</v>
      </c>
      <c r="G12007">
        <v>17.29</v>
      </c>
      <c r="H12007" t="s">
        <v>8587</v>
      </c>
      <c r="I12007">
        <v>0</v>
      </c>
      <c r="J12007" t="s">
        <v>470</v>
      </c>
      <c r="K12007" t="s">
        <v>446</v>
      </c>
      <c r="M12007">
        <v>0</v>
      </c>
    </row>
    <row r="12008" spans="1:14">
      <c r="A12008">
        <v>79965110</v>
      </c>
      <c r="B12008">
        <v>4008411</v>
      </c>
      <c r="C12008" t="s">
        <v>13734</v>
      </c>
      <c r="D12008" t="s">
        <v>441</v>
      </c>
      <c r="F12008">
        <v>0</v>
      </c>
      <c r="G12008">
        <v>13.57</v>
      </c>
      <c r="H12008" t="s">
        <v>8587</v>
      </c>
      <c r="I12008">
        <v>28</v>
      </c>
      <c r="J12008" t="s">
        <v>462</v>
      </c>
      <c r="K12008" t="s">
        <v>446</v>
      </c>
      <c r="M12008">
        <v>3711</v>
      </c>
      <c r="N12008" t="s">
        <v>16424</v>
      </c>
    </row>
    <row r="12009" spans="1:14">
      <c r="A12009">
        <v>79965120</v>
      </c>
      <c r="B12009">
        <v>4008404</v>
      </c>
      <c r="C12009" t="s">
        <v>13735</v>
      </c>
      <c r="D12009" t="s">
        <v>441</v>
      </c>
      <c r="F12009">
        <v>0</v>
      </c>
      <c r="G12009">
        <v>20.149999999999999</v>
      </c>
      <c r="H12009" t="s">
        <v>8587</v>
      </c>
      <c r="I12009">
        <v>35</v>
      </c>
      <c r="J12009" t="s">
        <v>462</v>
      </c>
      <c r="M12009">
        <v>7108</v>
      </c>
      <c r="N12009" t="s">
        <v>17740</v>
      </c>
    </row>
    <row r="12010" spans="1:14">
      <c r="A12010">
        <v>79968010</v>
      </c>
      <c r="B12010">
        <v>8500014</v>
      </c>
      <c r="C12010" t="s">
        <v>13736</v>
      </c>
      <c r="D12010" t="s">
        <v>442</v>
      </c>
      <c r="E12010" t="s">
        <v>441</v>
      </c>
      <c r="F12010">
        <v>0.16</v>
      </c>
      <c r="G12010">
        <v>0</v>
      </c>
      <c r="H12010" t="s">
        <v>8922</v>
      </c>
      <c r="I12010">
        <v>540</v>
      </c>
      <c r="J12010" t="s">
        <v>470</v>
      </c>
      <c r="K12010" t="s">
        <v>446</v>
      </c>
      <c r="M12010">
        <v>0</v>
      </c>
    </row>
    <row r="12011" spans="1:14">
      <c r="A12011">
        <v>79980000</v>
      </c>
      <c r="B12011">
        <v>3044254</v>
      </c>
      <c r="C12011" t="s">
        <v>17200</v>
      </c>
      <c r="D12011" t="s">
        <v>441</v>
      </c>
      <c r="F12011">
        <v>0</v>
      </c>
      <c r="G12011">
        <v>5.7</v>
      </c>
      <c r="H12011" t="s">
        <v>12573</v>
      </c>
      <c r="I12011">
        <v>4</v>
      </c>
      <c r="J12011" t="s">
        <v>445</v>
      </c>
      <c r="M12011">
        <v>3350</v>
      </c>
      <c r="N12011" t="s">
        <v>16583</v>
      </c>
    </row>
    <row r="12012" spans="1:14">
      <c r="A12012">
        <v>79982000</v>
      </c>
      <c r="B12012">
        <v>4029207</v>
      </c>
      <c r="C12012" t="s">
        <v>17201</v>
      </c>
      <c r="D12012" t="s">
        <v>441</v>
      </c>
      <c r="F12012">
        <v>0</v>
      </c>
      <c r="G12012">
        <v>6.93</v>
      </c>
      <c r="H12012" t="s">
        <v>8587</v>
      </c>
      <c r="I12012">
        <v>21</v>
      </c>
      <c r="J12012" t="s">
        <v>462</v>
      </c>
      <c r="M12012">
        <v>7115</v>
      </c>
      <c r="N12012" t="s">
        <v>16735</v>
      </c>
    </row>
    <row r="12013" spans="1:14">
      <c r="A12013">
        <v>81000300</v>
      </c>
      <c r="B12013">
        <v>2100084</v>
      </c>
      <c r="C12013" t="s">
        <v>13737</v>
      </c>
      <c r="D12013" t="s">
        <v>441</v>
      </c>
      <c r="F12013">
        <v>0</v>
      </c>
      <c r="H12013" t="s">
        <v>13738</v>
      </c>
      <c r="I12013">
        <v>545</v>
      </c>
      <c r="J12013" t="s">
        <v>458</v>
      </c>
      <c r="K12013" t="s">
        <v>446</v>
      </c>
      <c r="M12013">
        <v>0</v>
      </c>
    </row>
    <row r="12014" spans="1:14">
      <c r="A12014">
        <v>81000400</v>
      </c>
      <c r="B12014">
        <v>2100081</v>
      </c>
      <c r="C12014" t="s">
        <v>13739</v>
      </c>
      <c r="D12014" t="s">
        <v>441</v>
      </c>
      <c r="F12014">
        <v>0</v>
      </c>
      <c r="H12014" t="s">
        <v>13738</v>
      </c>
      <c r="I12014">
        <v>545</v>
      </c>
      <c r="J12014" t="s">
        <v>458</v>
      </c>
      <c r="M12014">
        <v>0</v>
      </c>
    </row>
    <row r="12015" spans="1:14">
      <c r="A12015">
        <v>81000500</v>
      </c>
      <c r="B12015">
        <v>2100130</v>
      </c>
      <c r="C12015" t="s">
        <v>13740</v>
      </c>
      <c r="D12015" t="s">
        <v>441</v>
      </c>
      <c r="F12015">
        <v>0</v>
      </c>
      <c r="H12015" t="s">
        <v>13738</v>
      </c>
      <c r="I12015">
        <v>547</v>
      </c>
      <c r="J12015" t="s">
        <v>458</v>
      </c>
      <c r="K12015" t="s">
        <v>446</v>
      </c>
      <c r="M12015">
        <v>0</v>
      </c>
    </row>
    <row r="12016" spans="1:14">
      <c r="A12016">
        <v>81001200</v>
      </c>
      <c r="B12016">
        <v>2100083</v>
      </c>
      <c r="C12016" t="s">
        <v>13741</v>
      </c>
      <c r="D12016" t="s">
        <v>441</v>
      </c>
      <c r="F12016">
        <v>0</v>
      </c>
      <c r="H12016" t="s">
        <v>13738</v>
      </c>
      <c r="I12016">
        <v>545</v>
      </c>
      <c r="J12016" t="s">
        <v>458</v>
      </c>
      <c r="M12016">
        <v>0</v>
      </c>
    </row>
    <row r="12017" spans="1:13">
      <c r="A12017">
        <v>81002800</v>
      </c>
      <c r="B12017">
        <v>2100704</v>
      </c>
      <c r="C12017" t="s">
        <v>13742</v>
      </c>
      <c r="D12017" t="s">
        <v>441</v>
      </c>
      <c r="F12017">
        <v>0</v>
      </c>
      <c r="H12017" t="s">
        <v>13738</v>
      </c>
      <c r="I12017">
        <v>730</v>
      </c>
      <c r="J12017" t="s">
        <v>458</v>
      </c>
      <c r="M12017">
        <v>0</v>
      </c>
    </row>
    <row r="12018" spans="1:13">
      <c r="A12018">
        <v>81002900</v>
      </c>
      <c r="B12018">
        <v>2100596</v>
      </c>
      <c r="C12018" t="s">
        <v>13743</v>
      </c>
      <c r="D12018" t="s">
        <v>441</v>
      </c>
      <c r="F12018">
        <v>0</v>
      </c>
      <c r="I12018">
        <v>720</v>
      </c>
      <c r="J12018" t="s">
        <v>458</v>
      </c>
      <c r="K12018" t="s">
        <v>446</v>
      </c>
      <c r="M12018">
        <v>0</v>
      </c>
    </row>
    <row r="12019" spans="1:13">
      <c r="A12019">
        <v>81003400</v>
      </c>
      <c r="B12019">
        <v>2100088</v>
      </c>
      <c r="C12019" t="s">
        <v>13744</v>
      </c>
      <c r="D12019" t="s">
        <v>441</v>
      </c>
      <c r="F12019">
        <v>0</v>
      </c>
      <c r="H12019" t="s">
        <v>13738</v>
      </c>
      <c r="I12019">
        <v>540</v>
      </c>
      <c r="J12019" t="s">
        <v>458</v>
      </c>
      <c r="K12019" t="s">
        <v>446</v>
      </c>
      <c r="M12019">
        <v>0</v>
      </c>
    </row>
    <row r="12020" spans="1:13">
      <c r="A12020">
        <v>81003500</v>
      </c>
      <c r="B12020">
        <v>2100087</v>
      </c>
      <c r="C12020" t="s">
        <v>13745</v>
      </c>
      <c r="D12020" t="s">
        <v>441</v>
      </c>
      <c r="F12020">
        <v>0</v>
      </c>
      <c r="H12020" t="s">
        <v>13738</v>
      </c>
      <c r="I12020">
        <v>360</v>
      </c>
      <c r="J12020" t="s">
        <v>458</v>
      </c>
      <c r="K12020" t="s">
        <v>446</v>
      </c>
      <c r="M12020">
        <v>0</v>
      </c>
    </row>
    <row r="12021" spans="1:13">
      <c r="A12021">
        <v>81003600</v>
      </c>
      <c r="B12021">
        <v>2100693</v>
      </c>
      <c r="C12021" t="s">
        <v>13746</v>
      </c>
      <c r="D12021" t="s">
        <v>441</v>
      </c>
      <c r="F12021">
        <v>0</v>
      </c>
      <c r="I12021">
        <v>540</v>
      </c>
      <c r="J12021" t="s">
        <v>458</v>
      </c>
      <c r="K12021" t="s">
        <v>446</v>
      </c>
      <c r="M12021">
        <v>0</v>
      </c>
    </row>
    <row r="12022" spans="1:13">
      <c r="A12022">
        <v>81003700</v>
      </c>
      <c r="B12022">
        <v>2100089</v>
      </c>
      <c r="C12022" t="s">
        <v>13747</v>
      </c>
      <c r="D12022" t="s">
        <v>441</v>
      </c>
      <c r="F12022">
        <v>0</v>
      </c>
      <c r="H12022" t="s">
        <v>13738</v>
      </c>
      <c r="I12022">
        <v>750</v>
      </c>
      <c r="J12022" t="s">
        <v>458</v>
      </c>
      <c r="M12022">
        <v>0</v>
      </c>
    </row>
    <row r="12023" spans="1:13">
      <c r="A12023">
        <v>81003800</v>
      </c>
      <c r="B12023">
        <v>2100561</v>
      </c>
      <c r="C12023" t="s">
        <v>13748</v>
      </c>
      <c r="D12023" t="s">
        <v>441</v>
      </c>
      <c r="F12023">
        <v>0</v>
      </c>
      <c r="H12023" t="s">
        <v>8584</v>
      </c>
      <c r="I12023">
        <v>360</v>
      </c>
      <c r="J12023" t="s">
        <v>458</v>
      </c>
      <c r="K12023" t="s">
        <v>446</v>
      </c>
      <c r="M12023">
        <v>0</v>
      </c>
    </row>
    <row r="12024" spans="1:13">
      <c r="A12024">
        <v>81003900</v>
      </c>
      <c r="B12024">
        <v>2100760</v>
      </c>
      <c r="C12024" t="s">
        <v>13749</v>
      </c>
      <c r="D12024" t="s">
        <v>441</v>
      </c>
      <c r="F12024">
        <v>0</v>
      </c>
      <c r="H12024" t="s">
        <v>8580</v>
      </c>
      <c r="I12024">
        <v>550</v>
      </c>
      <c r="J12024" t="s">
        <v>458</v>
      </c>
      <c r="K12024" t="s">
        <v>446</v>
      </c>
      <c r="M12024">
        <v>0</v>
      </c>
    </row>
    <row r="12025" spans="1:13">
      <c r="A12025">
        <v>81004000</v>
      </c>
      <c r="B12025">
        <v>2100115</v>
      </c>
      <c r="C12025" t="s">
        <v>13750</v>
      </c>
      <c r="D12025" t="s">
        <v>441</v>
      </c>
      <c r="F12025">
        <v>0</v>
      </c>
      <c r="H12025" t="s">
        <v>8583</v>
      </c>
      <c r="I12025">
        <v>990</v>
      </c>
      <c r="J12025" t="s">
        <v>458</v>
      </c>
      <c r="M12025">
        <v>0</v>
      </c>
    </row>
    <row r="12026" spans="1:13">
      <c r="A12026">
        <v>81004100</v>
      </c>
      <c r="B12026">
        <v>2100710</v>
      </c>
      <c r="C12026" t="s">
        <v>13751</v>
      </c>
      <c r="D12026" t="s">
        <v>441</v>
      </c>
      <c r="F12026">
        <v>0</v>
      </c>
      <c r="H12026" t="s">
        <v>8580</v>
      </c>
      <c r="I12026">
        <v>1095</v>
      </c>
      <c r="J12026" t="s">
        <v>458</v>
      </c>
      <c r="K12026" t="s">
        <v>446</v>
      </c>
      <c r="M12026">
        <v>0</v>
      </c>
    </row>
    <row r="12027" spans="1:13">
      <c r="A12027">
        <v>81004200</v>
      </c>
      <c r="B12027">
        <v>2100811</v>
      </c>
      <c r="C12027" t="s">
        <v>17202</v>
      </c>
      <c r="D12027" t="s">
        <v>441</v>
      </c>
      <c r="F12027">
        <v>0</v>
      </c>
      <c r="H12027" t="s">
        <v>8580</v>
      </c>
      <c r="I12027">
        <v>1095</v>
      </c>
      <c r="J12027" t="s">
        <v>458</v>
      </c>
      <c r="M12027">
        <v>0</v>
      </c>
    </row>
    <row r="12028" spans="1:13">
      <c r="A12028">
        <v>81004300</v>
      </c>
      <c r="B12028">
        <v>2100292</v>
      </c>
      <c r="C12028" t="s">
        <v>5538</v>
      </c>
      <c r="D12028" t="s">
        <v>441</v>
      </c>
      <c r="F12028">
        <v>0</v>
      </c>
      <c r="H12028" t="s">
        <v>8580</v>
      </c>
      <c r="I12028">
        <v>360</v>
      </c>
      <c r="J12028" t="s">
        <v>458</v>
      </c>
      <c r="K12028" t="s">
        <v>446</v>
      </c>
      <c r="M12028">
        <v>0</v>
      </c>
    </row>
    <row r="12029" spans="1:13">
      <c r="A12029">
        <v>81004400</v>
      </c>
      <c r="B12029">
        <v>2100290</v>
      </c>
      <c r="C12029" t="s">
        <v>5539</v>
      </c>
      <c r="D12029" t="s">
        <v>441</v>
      </c>
      <c r="F12029">
        <v>0</v>
      </c>
      <c r="H12029" t="s">
        <v>8584</v>
      </c>
      <c r="I12029">
        <v>360</v>
      </c>
      <c r="J12029" t="s">
        <v>458</v>
      </c>
      <c r="K12029" t="s">
        <v>446</v>
      </c>
      <c r="M12029">
        <v>0</v>
      </c>
    </row>
    <row r="12030" spans="1:13">
      <c r="A12030">
        <v>81004500</v>
      </c>
      <c r="B12030">
        <v>2100837</v>
      </c>
      <c r="C12030" t="s">
        <v>13752</v>
      </c>
      <c r="D12030" t="s">
        <v>441</v>
      </c>
      <c r="F12030">
        <v>0</v>
      </c>
      <c r="I12030">
        <v>720</v>
      </c>
      <c r="J12030" t="s">
        <v>458</v>
      </c>
      <c r="K12030" t="s">
        <v>446</v>
      </c>
      <c r="M12030">
        <v>0</v>
      </c>
    </row>
    <row r="12031" spans="1:13">
      <c r="A12031">
        <v>81004600</v>
      </c>
      <c r="B12031">
        <v>2100932</v>
      </c>
      <c r="C12031" t="s">
        <v>13753</v>
      </c>
      <c r="D12031" t="s">
        <v>441</v>
      </c>
      <c r="F12031">
        <v>0</v>
      </c>
      <c r="H12031" t="s">
        <v>8624</v>
      </c>
      <c r="I12031">
        <v>365</v>
      </c>
      <c r="J12031" t="s">
        <v>458</v>
      </c>
      <c r="K12031" t="s">
        <v>446</v>
      </c>
      <c r="M12031">
        <v>0</v>
      </c>
    </row>
    <row r="12032" spans="1:13">
      <c r="A12032">
        <v>81004700</v>
      </c>
      <c r="B12032">
        <v>2100689</v>
      </c>
      <c r="C12032" t="s">
        <v>5540</v>
      </c>
      <c r="D12032" t="s">
        <v>441</v>
      </c>
      <c r="F12032">
        <v>0</v>
      </c>
      <c r="H12032" t="s">
        <v>8624</v>
      </c>
      <c r="I12032">
        <v>730</v>
      </c>
      <c r="J12032" t="s">
        <v>458</v>
      </c>
      <c r="M12032">
        <v>0</v>
      </c>
    </row>
    <row r="12033" spans="1:13">
      <c r="A12033">
        <v>81004800</v>
      </c>
      <c r="B12033">
        <v>2100963</v>
      </c>
      <c r="C12033" t="s">
        <v>5541</v>
      </c>
      <c r="D12033" t="s">
        <v>441</v>
      </c>
      <c r="F12033">
        <v>0</v>
      </c>
      <c r="I12033">
        <v>360</v>
      </c>
      <c r="J12033" t="s">
        <v>458</v>
      </c>
      <c r="K12033" t="s">
        <v>446</v>
      </c>
      <c r="M12033">
        <v>0</v>
      </c>
    </row>
    <row r="12034" spans="1:13">
      <c r="A12034">
        <v>81004900</v>
      </c>
      <c r="B12034">
        <v>2100962</v>
      </c>
      <c r="C12034" t="s">
        <v>13754</v>
      </c>
      <c r="D12034" t="s">
        <v>441</v>
      </c>
      <c r="F12034">
        <v>0</v>
      </c>
      <c r="I12034">
        <v>1095</v>
      </c>
      <c r="J12034" t="s">
        <v>458</v>
      </c>
      <c r="M12034">
        <v>0</v>
      </c>
    </row>
    <row r="12035" spans="1:13">
      <c r="A12035">
        <v>81005000</v>
      </c>
      <c r="B12035">
        <v>2101034</v>
      </c>
      <c r="C12035" t="s">
        <v>13755</v>
      </c>
      <c r="D12035" t="s">
        <v>441</v>
      </c>
      <c r="F12035">
        <v>0</v>
      </c>
      <c r="H12035" t="s">
        <v>8580</v>
      </c>
      <c r="I12035">
        <v>360</v>
      </c>
      <c r="J12035" t="s">
        <v>458</v>
      </c>
      <c r="K12035" t="s">
        <v>446</v>
      </c>
      <c r="M12035">
        <v>0</v>
      </c>
    </row>
    <row r="12036" spans="1:13">
      <c r="A12036">
        <v>81005100</v>
      </c>
      <c r="B12036">
        <v>2101051</v>
      </c>
      <c r="C12036" t="s">
        <v>5542</v>
      </c>
      <c r="D12036" t="s">
        <v>441</v>
      </c>
      <c r="F12036">
        <v>0</v>
      </c>
      <c r="H12036" t="s">
        <v>8624</v>
      </c>
      <c r="I12036">
        <v>360</v>
      </c>
      <c r="J12036" t="s">
        <v>458</v>
      </c>
      <c r="M12036">
        <v>0</v>
      </c>
    </row>
    <row r="12037" spans="1:13">
      <c r="A12037">
        <v>81005200</v>
      </c>
      <c r="B12037">
        <v>2101052</v>
      </c>
      <c r="C12037" t="s">
        <v>13756</v>
      </c>
      <c r="D12037" t="s">
        <v>441</v>
      </c>
      <c r="F12037">
        <v>0</v>
      </c>
      <c r="H12037" t="s">
        <v>8624</v>
      </c>
      <c r="I12037">
        <v>365</v>
      </c>
      <c r="J12037" t="s">
        <v>458</v>
      </c>
      <c r="K12037" t="s">
        <v>446</v>
      </c>
      <c r="M12037">
        <v>0</v>
      </c>
    </row>
    <row r="12038" spans="1:13">
      <c r="A12038">
        <v>81005300</v>
      </c>
      <c r="B12038">
        <v>2100523</v>
      </c>
      <c r="C12038" t="s">
        <v>5543</v>
      </c>
      <c r="D12038" t="s">
        <v>441</v>
      </c>
      <c r="F12038">
        <v>0</v>
      </c>
      <c r="I12038">
        <v>544</v>
      </c>
      <c r="J12038" t="s">
        <v>458</v>
      </c>
      <c r="K12038" t="s">
        <v>446</v>
      </c>
      <c r="M12038">
        <v>0</v>
      </c>
    </row>
    <row r="12039" spans="1:13">
      <c r="A12039">
        <v>81005400</v>
      </c>
      <c r="B12039">
        <v>2100538</v>
      </c>
      <c r="C12039" t="s">
        <v>13757</v>
      </c>
      <c r="D12039" t="s">
        <v>441</v>
      </c>
      <c r="F12039">
        <v>0</v>
      </c>
      <c r="H12039" t="s">
        <v>8580</v>
      </c>
      <c r="I12039">
        <v>730</v>
      </c>
      <c r="J12039" t="s">
        <v>458</v>
      </c>
      <c r="K12039" t="s">
        <v>446</v>
      </c>
      <c r="M12039">
        <v>0</v>
      </c>
    </row>
    <row r="12040" spans="1:13">
      <c r="A12040">
        <v>81005500</v>
      </c>
      <c r="B12040">
        <v>2100805</v>
      </c>
      <c r="C12040" t="s">
        <v>5544</v>
      </c>
      <c r="D12040" t="s">
        <v>441</v>
      </c>
      <c r="F12040">
        <v>0</v>
      </c>
      <c r="H12040" t="s">
        <v>8584</v>
      </c>
      <c r="I12040">
        <v>360</v>
      </c>
      <c r="J12040" t="s">
        <v>458</v>
      </c>
      <c r="M12040">
        <v>0</v>
      </c>
    </row>
    <row r="12041" spans="1:13">
      <c r="A12041">
        <v>81006000</v>
      </c>
      <c r="B12041">
        <v>2100990</v>
      </c>
      <c r="C12041" t="s">
        <v>13758</v>
      </c>
      <c r="D12041" t="s">
        <v>441</v>
      </c>
      <c r="F12041">
        <v>0</v>
      </c>
      <c r="I12041">
        <v>730</v>
      </c>
      <c r="J12041" t="s">
        <v>458</v>
      </c>
      <c r="K12041" t="s">
        <v>446</v>
      </c>
      <c r="M12041">
        <v>0</v>
      </c>
    </row>
    <row r="12042" spans="1:13">
      <c r="A12042">
        <v>81006100</v>
      </c>
      <c r="B12042">
        <v>2100103</v>
      </c>
      <c r="C12042" t="s">
        <v>5545</v>
      </c>
      <c r="D12042" t="s">
        <v>441</v>
      </c>
      <c r="F12042">
        <v>0</v>
      </c>
      <c r="H12042" t="s">
        <v>8935</v>
      </c>
      <c r="I12042">
        <v>730</v>
      </c>
      <c r="J12042" t="s">
        <v>458</v>
      </c>
      <c r="K12042" t="s">
        <v>446</v>
      </c>
      <c r="M12042">
        <v>0</v>
      </c>
    </row>
    <row r="12043" spans="1:13">
      <c r="A12043">
        <v>81006200</v>
      </c>
      <c r="B12043">
        <v>2100118</v>
      </c>
      <c r="C12043" t="s">
        <v>5546</v>
      </c>
      <c r="D12043" t="s">
        <v>441</v>
      </c>
      <c r="F12043">
        <v>0</v>
      </c>
      <c r="H12043" t="s">
        <v>8624</v>
      </c>
      <c r="I12043">
        <v>547</v>
      </c>
      <c r="J12043" t="s">
        <v>458</v>
      </c>
      <c r="M12043">
        <v>0</v>
      </c>
    </row>
    <row r="12044" spans="1:13">
      <c r="A12044">
        <v>81006300</v>
      </c>
      <c r="B12044">
        <v>2101186</v>
      </c>
      <c r="C12044" t="s">
        <v>13759</v>
      </c>
      <c r="D12044" t="s">
        <v>441</v>
      </c>
      <c r="F12044">
        <v>0</v>
      </c>
      <c r="H12044" t="s">
        <v>8584</v>
      </c>
      <c r="I12044">
        <v>540</v>
      </c>
      <c r="J12044" t="s">
        <v>458</v>
      </c>
      <c r="K12044" t="s">
        <v>446</v>
      </c>
      <c r="M12044">
        <v>0</v>
      </c>
    </row>
    <row r="12045" spans="1:13">
      <c r="A12045">
        <v>81006400</v>
      </c>
      <c r="B12045">
        <v>2101176</v>
      </c>
      <c r="C12045" t="s">
        <v>13760</v>
      </c>
      <c r="D12045" t="s">
        <v>441</v>
      </c>
      <c r="F12045">
        <v>0</v>
      </c>
      <c r="H12045" t="s">
        <v>8580</v>
      </c>
      <c r="I12045">
        <v>360</v>
      </c>
      <c r="J12045" t="s">
        <v>458</v>
      </c>
      <c r="K12045" t="s">
        <v>446</v>
      </c>
      <c r="M12045">
        <v>0</v>
      </c>
    </row>
    <row r="12046" spans="1:13">
      <c r="A12046">
        <v>81006500</v>
      </c>
      <c r="B12046">
        <v>2101190</v>
      </c>
      <c r="C12046" t="s">
        <v>13761</v>
      </c>
      <c r="D12046" t="s">
        <v>441</v>
      </c>
      <c r="F12046">
        <v>0</v>
      </c>
      <c r="H12046" t="s">
        <v>8584</v>
      </c>
      <c r="I12046">
        <v>540</v>
      </c>
      <c r="J12046" t="s">
        <v>458</v>
      </c>
      <c r="K12046" t="s">
        <v>446</v>
      </c>
      <c r="M12046">
        <v>0</v>
      </c>
    </row>
    <row r="12047" spans="1:13">
      <c r="A12047">
        <v>81006600</v>
      </c>
      <c r="B12047">
        <v>2100401</v>
      </c>
      <c r="C12047" t="s">
        <v>13762</v>
      </c>
      <c r="D12047" t="s">
        <v>441</v>
      </c>
      <c r="F12047">
        <v>0</v>
      </c>
      <c r="H12047" t="s">
        <v>8580</v>
      </c>
      <c r="I12047">
        <v>730</v>
      </c>
      <c r="J12047" t="s">
        <v>458</v>
      </c>
      <c r="M12047">
        <v>0</v>
      </c>
    </row>
    <row r="12048" spans="1:13">
      <c r="A12048">
        <v>81006700</v>
      </c>
      <c r="B12048">
        <v>2101322</v>
      </c>
      <c r="C12048" t="s">
        <v>13763</v>
      </c>
      <c r="D12048" t="s">
        <v>441</v>
      </c>
      <c r="F12048">
        <v>0</v>
      </c>
      <c r="H12048" t="s">
        <v>8584</v>
      </c>
      <c r="I12048">
        <v>365</v>
      </c>
      <c r="J12048" t="s">
        <v>458</v>
      </c>
      <c r="M12048">
        <v>0</v>
      </c>
    </row>
    <row r="12049" spans="1:13">
      <c r="A12049">
        <v>81006800</v>
      </c>
      <c r="B12049">
        <v>2101352</v>
      </c>
      <c r="C12049" t="s">
        <v>5547</v>
      </c>
      <c r="D12049" t="s">
        <v>441</v>
      </c>
      <c r="F12049">
        <v>0</v>
      </c>
      <c r="H12049" t="s">
        <v>8584</v>
      </c>
      <c r="I12049">
        <v>540</v>
      </c>
      <c r="J12049" t="s">
        <v>458</v>
      </c>
      <c r="K12049" t="s">
        <v>446</v>
      </c>
      <c r="M12049">
        <v>0</v>
      </c>
    </row>
    <row r="12050" spans="1:13">
      <c r="A12050">
        <v>81006900</v>
      </c>
      <c r="B12050">
        <v>2101412</v>
      </c>
      <c r="C12050" t="s">
        <v>5548</v>
      </c>
      <c r="D12050" t="s">
        <v>441</v>
      </c>
      <c r="F12050">
        <v>0</v>
      </c>
      <c r="H12050" t="s">
        <v>8584</v>
      </c>
      <c r="I12050">
        <v>540</v>
      </c>
      <c r="J12050" t="s">
        <v>458</v>
      </c>
      <c r="K12050" t="s">
        <v>446</v>
      </c>
      <c r="M12050">
        <v>0</v>
      </c>
    </row>
    <row r="12051" spans="1:13">
      <c r="A12051">
        <v>81007000</v>
      </c>
      <c r="B12051">
        <v>2100086</v>
      </c>
      <c r="C12051" t="s">
        <v>13764</v>
      </c>
      <c r="D12051" t="s">
        <v>441</v>
      </c>
      <c r="F12051">
        <v>0</v>
      </c>
      <c r="H12051" t="s">
        <v>13738</v>
      </c>
      <c r="I12051">
        <v>547</v>
      </c>
      <c r="J12051" t="s">
        <v>458</v>
      </c>
      <c r="K12051" t="s">
        <v>446</v>
      </c>
      <c r="M12051">
        <v>0</v>
      </c>
    </row>
    <row r="12052" spans="1:13">
      <c r="A12052">
        <v>81007100</v>
      </c>
      <c r="B12052">
        <v>2101462</v>
      </c>
      <c r="C12052" t="s">
        <v>13765</v>
      </c>
      <c r="D12052" t="s">
        <v>441</v>
      </c>
      <c r="F12052">
        <v>0</v>
      </c>
      <c r="H12052" t="s">
        <v>8584</v>
      </c>
      <c r="I12052">
        <v>360</v>
      </c>
      <c r="J12052" t="s">
        <v>458</v>
      </c>
      <c r="K12052" t="s">
        <v>446</v>
      </c>
      <c r="M12052">
        <v>0</v>
      </c>
    </row>
    <row r="12053" spans="1:13">
      <c r="A12053">
        <v>81007200</v>
      </c>
      <c r="B12053">
        <v>2100150</v>
      </c>
      <c r="C12053" t="s">
        <v>13766</v>
      </c>
      <c r="D12053" t="s">
        <v>441</v>
      </c>
      <c r="F12053">
        <v>0</v>
      </c>
      <c r="H12053" t="s">
        <v>8580</v>
      </c>
      <c r="I12053">
        <v>720</v>
      </c>
      <c r="J12053" t="s">
        <v>458</v>
      </c>
      <c r="M12053">
        <v>0</v>
      </c>
    </row>
    <row r="12054" spans="1:13">
      <c r="A12054">
        <v>81007300</v>
      </c>
      <c r="B12054">
        <v>2101482</v>
      </c>
      <c r="C12054" t="s">
        <v>5549</v>
      </c>
      <c r="D12054" t="s">
        <v>441</v>
      </c>
      <c r="F12054">
        <v>0</v>
      </c>
      <c r="H12054" t="s">
        <v>8584</v>
      </c>
      <c r="I12054">
        <v>540</v>
      </c>
      <c r="J12054" t="s">
        <v>458</v>
      </c>
      <c r="K12054" t="s">
        <v>446</v>
      </c>
      <c r="M12054">
        <v>0</v>
      </c>
    </row>
    <row r="12055" spans="1:13">
      <c r="A12055">
        <v>81007400</v>
      </c>
      <c r="B12055">
        <v>2101481</v>
      </c>
      <c r="C12055" t="s">
        <v>13767</v>
      </c>
      <c r="D12055" t="s">
        <v>441</v>
      </c>
      <c r="F12055">
        <v>0</v>
      </c>
      <c r="H12055" t="s">
        <v>8584</v>
      </c>
      <c r="I12055">
        <v>360</v>
      </c>
      <c r="J12055" t="s">
        <v>458</v>
      </c>
      <c r="K12055" t="s">
        <v>446</v>
      </c>
      <c r="M12055">
        <v>0</v>
      </c>
    </row>
    <row r="12056" spans="1:13">
      <c r="A12056">
        <v>81007500</v>
      </c>
      <c r="B12056">
        <v>2101474</v>
      </c>
      <c r="C12056" t="s">
        <v>5550</v>
      </c>
      <c r="D12056" t="s">
        <v>441</v>
      </c>
      <c r="F12056">
        <v>0</v>
      </c>
      <c r="H12056" t="s">
        <v>8580</v>
      </c>
      <c r="I12056">
        <v>240</v>
      </c>
      <c r="J12056" t="s">
        <v>458</v>
      </c>
      <c r="M12056">
        <v>0</v>
      </c>
    </row>
    <row r="12057" spans="1:13">
      <c r="A12057">
        <v>81007600</v>
      </c>
      <c r="B12057">
        <v>2101496</v>
      </c>
      <c r="C12057" t="s">
        <v>5551</v>
      </c>
      <c r="D12057" t="s">
        <v>441</v>
      </c>
      <c r="F12057">
        <v>0</v>
      </c>
      <c r="H12057" t="s">
        <v>8584</v>
      </c>
      <c r="I12057">
        <v>180</v>
      </c>
      <c r="J12057" t="s">
        <v>458</v>
      </c>
      <c r="K12057" t="s">
        <v>446</v>
      </c>
      <c r="M12057">
        <v>0</v>
      </c>
    </row>
    <row r="12058" spans="1:13">
      <c r="A12058">
        <v>81007700</v>
      </c>
      <c r="B12058">
        <v>2101495</v>
      </c>
      <c r="C12058" t="s">
        <v>5552</v>
      </c>
      <c r="D12058" t="s">
        <v>441</v>
      </c>
      <c r="F12058">
        <v>0</v>
      </c>
      <c r="H12058" t="s">
        <v>8584</v>
      </c>
      <c r="I12058">
        <v>180</v>
      </c>
      <c r="J12058" t="s">
        <v>458</v>
      </c>
      <c r="K12058" t="s">
        <v>446</v>
      </c>
      <c r="M12058">
        <v>0</v>
      </c>
    </row>
    <row r="12059" spans="1:13">
      <c r="A12059">
        <v>81007800</v>
      </c>
      <c r="B12059">
        <v>2101494</v>
      </c>
      <c r="C12059" t="s">
        <v>5553</v>
      </c>
      <c r="D12059" t="s">
        <v>441</v>
      </c>
      <c r="F12059">
        <v>0</v>
      </c>
      <c r="H12059" t="s">
        <v>8584</v>
      </c>
      <c r="I12059">
        <v>180</v>
      </c>
      <c r="J12059" t="s">
        <v>458</v>
      </c>
      <c r="K12059" t="s">
        <v>446</v>
      </c>
      <c r="M12059">
        <v>0</v>
      </c>
    </row>
    <row r="12060" spans="1:13">
      <c r="A12060">
        <v>81007900</v>
      </c>
      <c r="B12060">
        <v>2101493</v>
      </c>
      <c r="C12060" t="s">
        <v>5554</v>
      </c>
      <c r="D12060" t="s">
        <v>441</v>
      </c>
      <c r="F12060">
        <v>0</v>
      </c>
      <c r="H12060" t="s">
        <v>8584</v>
      </c>
      <c r="I12060">
        <v>360</v>
      </c>
      <c r="J12060" t="s">
        <v>458</v>
      </c>
      <c r="K12060" t="s">
        <v>446</v>
      </c>
      <c r="M12060">
        <v>0</v>
      </c>
    </row>
    <row r="12061" spans="1:13">
      <c r="A12061">
        <v>81008000</v>
      </c>
      <c r="B12061">
        <v>2101498</v>
      </c>
      <c r="C12061" t="s">
        <v>5555</v>
      </c>
      <c r="D12061" t="s">
        <v>441</v>
      </c>
      <c r="F12061">
        <v>0</v>
      </c>
      <c r="H12061" t="s">
        <v>8584</v>
      </c>
      <c r="I12061">
        <v>180</v>
      </c>
      <c r="J12061" t="s">
        <v>458</v>
      </c>
      <c r="K12061" t="s">
        <v>446</v>
      </c>
      <c r="M12061">
        <v>0</v>
      </c>
    </row>
    <row r="12062" spans="1:13">
      <c r="A12062">
        <v>81008100</v>
      </c>
      <c r="B12062">
        <v>2101497</v>
      </c>
      <c r="C12062" t="s">
        <v>5556</v>
      </c>
      <c r="D12062" t="s">
        <v>441</v>
      </c>
      <c r="F12062">
        <v>0</v>
      </c>
      <c r="H12062" t="s">
        <v>8584</v>
      </c>
      <c r="I12062">
        <v>180</v>
      </c>
      <c r="J12062" t="s">
        <v>458</v>
      </c>
      <c r="K12062" t="s">
        <v>446</v>
      </c>
      <c r="M12062">
        <v>0</v>
      </c>
    </row>
    <row r="12063" spans="1:13">
      <c r="A12063">
        <v>81008200</v>
      </c>
      <c r="B12063">
        <v>2101479</v>
      </c>
      <c r="C12063" t="s">
        <v>5557</v>
      </c>
      <c r="D12063" t="s">
        <v>441</v>
      </c>
      <c r="F12063">
        <v>0</v>
      </c>
      <c r="H12063" t="s">
        <v>8580</v>
      </c>
      <c r="I12063">
        <v>180</v>
      </c>
      <c r="J12063" t="s">
        <v>458</v>
      </c>
      <c r="K12063" t="s">
        <v>446</v>
      </c>
      <c r="M12063">
        <v>0</v>
      </c>
    </row>
    <row r="12064" spans="1:13">
      <c r="A12064">
        <v>81008300</v>
      </c>
      <c r="B12064">
        <v>2101501</v>
      </c>
      <c r="C12064" t="s">
        <v>13768</v>
      </c>
      <c r="D12064" t="s">
        <v>441</v>
      </c>
      <c r="F12064">
        <v>0</v>
      </c>
      <c r="H12064" t="s">
        <v>8584</v>
      </c>
      <c r="I12064">
        <v>180</v>
      </c>
      <c r="J12064" t="s">
        <v>458</v>
      </c>
      <c r="K12064" t="s">
        <v>446</v>
      </c>
      <c r="M12064">
        <v>0</v>
      </c>
    </row>
    <row r="12065" spans="1:13">
      <c r="A12065">
        <v>81008400</v>
      </c>
      <c r="B12065">
        <v>2101526</v>
      </c>
      <c r="C12065" t="s">
        <v>5558</v>
      </c>
      <c r="D12065" t="s">
        <v>441</v>
      </c>
      <c r="F12065">
        <v>0</v>
      </c>
      <c r="H12065" t="s">
        <v>8584</v>
      </c>
      <c r="I12065">
        <v>730</v>
      </c>
      <c r="J12065" t="s">
        <v>458</v>
      </c>
      <c r="K12065" t="s">
        <v>446</v>
      </c>
      <c r="M12065">
        <v>0</v>
      </c>
    </row>
    <row r="12066" spans="1:13">
      <c r="A12066">
        <v>81008500</v>
      </c>
      <c r="B12066">
        <v>2101525</v>
      </c>
      <c r="C12066" t="s">
        <v>5559</v>
      </c>
      <c r="D12066" t="s">
        <v>441</v>
      </c>
      <c r="F12066">
        <v>0</v>
      </c>
      <c r="H12066" t="s">
        <v>8584</v>
      </c>
      <c r="I12066">
        <v>360</v>
      </c>
      <c r="J12066" t="s">
        <v>458</v>
      </c>
      <c r="K12066" t="s">
        <v>446</v>
      </c>
      <c r="M12066">
        <v>0</v>
      </c>
    </row>
    <row r="12067" spans="1:13">
      <c r="A12067">
        <v>81008600</v>
      </c>
      <c r="B12067">
        <v>2101524</v>
      </c>
      <c r="C12067" t="s">
        <v>5560</v>
      </c>
      <c r="D12067" t="s">
        <v>441</v>
      </c>
      <c r="F12067">
        <v>0</v>
      </c>
      <c r="H12067" t="s">
        <v>8584</v>
      </c>
      <c r="I12067">
        <v>730</v>
      </c>
      <c r="J12067" t="s">
        <v>458</v>
      </c>
      <c r="K12067" t="s">
        <v>446</v>
      </c>
      <c r="M12067">
        <v>0</v>
      </c>
    </row>
    <row r="12068" spans="1:13">
      <c r="A12068">
        <v>81008700</v>
      </c>
      <c r="B12068">
        <v>2101530</v>
      </c>
      <c r="C12068" t="s">
        <v>5561</v>
      </c>
      <c r="D12068" t="s">
        <v>441</v>
      </c>
      <c r="F12068">
        <v>0</v>
      </c>
      <c r="H12068" t="s">
        <v>8586</v>
      </c>
      <c r="I12068">
        <v>540</v>
      </c>
      <c r="J12068" t="s">
        <v>458</v>
      </c>
      <c r="K12068" t="s">
        <v>446</v>
      </c>
      <c r="M12068">
        <v>0</v>
      </c>
    </row>
    <row r="12069" spans="1:13">
      <c r="A12069">
        <v>81008800</v>
      </c>
      <c r="B12069">
        <v>2101540</v>
      </c>
      <c r="C12069" t="s">
        <v>13769</v>
      </c>
      <c r="D12069" t="s">
        <v>441</v>
      </c>
      <c r="F12069">
        <v>0</v>
      </c>
      <c r="H12069" t="s">
        <v>8586</v>
      </c>
      <c r="I12069">
        <v>365</v>
      </c>
      <c r="J12069" t="s">
        <v>458</v>
      </c>
      <c r="K12069" t="s">
        <v>446</v>
      </c>
      <c r="M12069">
        <v>0</v>
      </c>
    </row>
    <row r="12070" spans="1:13">
      <c r="A12070">
        <v>81008900</v>
      </c>
      <c r="B12070">
        <v>2100015</v>
      </c>
      <c r="C12070" t="s">
        <v>5562</v>
      </c>
      <c r="D12070" t="s">
        <v>441</v>
      </c>
      <c r="F12070">
        <v>0</v>
      </c>
      <c r="H12070" t="s">
        <v>8935</v>
      </c>
      <c r="I12070">
        <v>720</v>
      </c>
      <c r="J12070" t="s">
        <v>458</v>
      </c>
      <c r="K12070" t="s">
        <v>446</v>
      </c>
      <c r="M12070">
        <v>0</v>
      </c>
    </row>
    <row r="12071" spans="1:13">
      <c r="A12071">
        <v>81009000</v>
      </c>
      <c r="B12071">
        <v>2101470</v>
      </c>
      <c r="C12071" t="s">
        <v>5563</v>
      </c>
      <c r="D12071" t="s">
        <v>441</v>
      </c>
      <c r="F12071">
        <v>0</v>
      </c>
      <c r="H12071" t="s">
        <v>8584</v>
      </c>
      <c r="I12071">
        <v>180</v>
      </c>
      <c r="J12071" t="s">
        <v>458</v>
      </c>
      <c r="K12071" t="s">
        <v>446</v>
      </c>
      <c r="M12071">
        <v>0</v>
      </c>
    </row>
    <row r="12072" spans="1:13">
      <c r="A12072">
        <v>81009100</v>
      </c>
      <c r="B12072">
        <v>2100162</v>
      </c>
      <c r="C12072" t="s">
        <v>5564</v>
      </c>
      <c r="D12072" t="s">
        <v>441</v>
      </c>
      <c r="F12072">
        <v>0</v>
      </c>
      <c r="H12072" t="s">
        <v>8619</v>
      </c>
      <c r="I12072">
        <v>360</v>
      </c>
      <c r="J12072" t="s">
        <v>458</v>
      </c>
      <c r="K12072" t="s">
        <v>446</v>
      </c>
      <c r="M12072">
        <v>0</v>
      </c>
    </row>
    <row r="12073" spans="1:13">
      <c r="A12073">
        <v>81009200</v>
      </c>
      <c r="B12073">
        <v>2100713</v>
      </c>
      <c r="C12073" t="s">
        <v>13770</v>
      </c>
      <c r="D12073" t="s">
        <v>441</v>
      </c>
      <c r="F12073">
        <v>0</v>
      </c>
      <c r="H12073" t="s">
        <v>8580</v>
      </c>
      <c r="I12073">
        <v>1095</v>
      </c>
      <c r="J12073" t="s">
        <v>458</v>
      </c>
      <c r="K12073" t="s">
        <v>446</v>
      </c>
      <c r="M12073">
        <v>0</v>
      </c>
    </row>
    <row r="12074" spans="1:13">
      <c r="A12074">
        <v>81009300</v>
      </c>
      <c r="B12074">
        <v>2100570</v>
      </c>
      <c r="C12074" t="s">
        <v>13771</v>
      </c>
      <c r="D12074" t="s">
        <v>441</v>
      </c>
      <c r="F12074">
        <v>0</v>
      </c>
      <c r="H12074" t="s">
        <v>8584</v>
      </c>
      <c r="I12074">
        <v>547</v>
      </c>
      <c r="J12074" t="s">
        <v>458</v>
      </c>
      <c r="K12074" t="s">
        <v>446</v>
      </c>
      <c r="M12074">
        <v>0</v>
      </c>
    </row>
    <row r="12075" spans="1:13">
      <c r="A12075">
        <v>81009400</v>
      </c>
      <c r="B12075">
        <v>2100577</v>
      </c>
      <c r="C12075" t="s">
        <v>13772</v>
      </c>
      <c r="D12075" t="s">
        <v>441</v>
      </c>
      <c r="F12075">
        <v>0</v>
      </c>
      <c r="H12075" t="s">
        <v>8584</v>
      </c>
      <c r="I12075">
        <v>540</v>
      </c>
      <c r="J12075" t="s">
        <v>458</v>
      </c>
      <c r="M12075">
        <v>0</v>
      </c>
    </row>
    <row r="12076" spans="1:13">
      <c r="A12076">
        <v>81009500</v>
      </c>
      <c r="B12076">
        <v>2100119</v>
      </c>
      <c r="C12076" t="s">
        <v>13773</v>
      </c>
      <c r="D12076" t="s">
        <v>441</v>
      </c>
      <c r="F12076">
        <v>0</v>
      </c>
      <c r="H12076" t="s">
        <v>8624</v>
      </c>
      <c r="I12076">
        <v>912</v>
      </c>
      <c r="J12076" t="s">
        <v>458</v>
      </c>
      <c r="K12076" t="s">
        <v>446</v>
      </c>
      <c r="M12076">
        <v>0</v>
      </c>
    </row>
    <row r="12077" spans="1:13">
      <c r="A12077">
        <v>81009600</v>
      </c>
      <c r="B12077">
        <v>2100070</v>
      </c>
      <c r="C12077" t="s">
        <v>5565</v>
      </c>
      <c r="D12077" t="s">
        <v>441</v>
      </c>
      <c r="F12077">
        <v>0</v>
      </c>
      <c r="H12077" t="s">
        <v>10826</v>
      </c>
      <c r="I12077">
        <v>547</v>
      </c>
      <c r="J12077" t="s">
        <v>458</v>
      </c>
      <c r="K12077" t="s">
        <v>446</v>
      </c>
      <c r="M12077">
        <v>0</v>
      </c>
    </row>
    <row r="12078" spans="1:13">
      <c r="A12078">
        <v>81009700</v>
      </c>
      <c r="B12078">
        <v>2100077</v>
      </c>
      <c r="C12078" t="s">
        <v>13774</v>
      </c>
      <c r="D12078" t="s">
        <v>441</v>
      </c>
      <c r="F12078">
        <v>0</v>
      </c>
      <c r="H12078" t="s">
        <v>8935</v>
      </c>
      <c r="I12078">
        <v>360</v>
      </c>
      <c r="J12078" t="s">
        <v>458</v>
      </c>
      <c r="M12078">
        <v>0</v>
      </c>
    </row>
    <row r="12079" spans="1:13">
      <c r="A12079">
        <v>81009800</v>
      </c>
      <c r="B12079">
        <v>2100040</v>
      </c>
      <c r="C12079" t="s">
        <v>5566</v>
      </c>
      <c r="D12079" t="s">
        <v>441</v>
      </c>
      <c r="F12079">
        <v>0</v>
      </c>
      <c r="H12079" t="s">
        <v>8935</v>
      </c>
      <c r="I12079">
        <v>365</v>
      </c>
      <c r="J12079" t="s">
        <v>458</v>
      </c>
      <c r="K12079" t="s">
        <v>446</v>
      </c>
      <c r="M12079">
        <v>0</v>
      </c>
    </row>
    <row r="12080" spans="1:13">
      <c r="A12080">
        <v>81009900</v>
      </c>
      <c r="B12080">
        <v>2101541</v>
      </c>
      <c r="C12080" t="s">
        <v>13775</v>
      </c>
      <c r="D12080" t="s">
        <v>441</v>
      </c>
      <c r="F12080">
        <v>0</v>
      </c>
      <c r="H12080" t="s">
        <v>8586</v>
      </c>
      <c r="I12080">
        <v>365</v>
      </c>
      <c r="J12080" t="s">
        <v>458</v>
      </c>
      <c r="M12080">
        <v>0</v>
      </c>
    </row>
    <row r="12081" spans="1:13">
      <c r="A12081">
        <v>81010000</v>
      </c>
      <c r="B12081">
        <v>2101544</v>
      </c>
      <c r="C12081" t="s">
        <v>13776</v>
      </c>
      <c r="D12081" t="s">
        <v>441</v>
      </c>
      <c r="F12081">
        <v>0</v>
      </c>
      <c r="H12081" t="s">
        <v>8586</v>
      </c>
      <c r="I12081">
        <v>730</v>
      </c>
      <c r="J12081" t="s">
        <v>458</v>
      </c>
      <c r="M12081">
        <v>0</v>
      </c>
    </row>
    <row r="12082" spans="1:13">
      <c r="A12082">
        <v>81010100</v>
      </c>
      <c r="B12082">
        <v>2101548</v>
      </c>
      <c r="C12082" t="s">
        <v>13777</v>
      </c>
      <c r="D12082" t="s">
        <v>441</v>
      </c>
      <c r="F12082">
        <v>0</v>
      </c>
      <c r="H12082" t="s">
        <v>8586</v>
      </c>
      <c r="I12082">
        <v>360</v>
      </c>
      <c r="J12082" t="s">
        <v>458</v>
      </c>
      <c r="M12082">
        <v>0</v>
      </c>
    </row>
    <row r="12083" spans="1:13">
      <c r="A12083">
        <v>81010200</v>
      </c>
      <c r="B12083">
        <v>2101547</v>
      </c>
      <c r="C12083" t="s">
        <v>13778</v>
      </c>
      <c r="D12083" t="s">
        <v>441</v>
      </c>
      <c r="F12083">
        <v>0</v>
      </c>
      <c r="H12083" t="s">
        <v>8586</v>
      </c>
      <c r="I12083">
        <v>360</v>
      </c>
      <c r="J12083" t="s">
        <v>458</v>
      </c>
      <c r="M12083">
        <v>0</v>
      </c>
    </row>
    <row r="12084" spans="1:13">
      <c r="A12084">
        <v>81010300</v>
      </c>
      <c r="B12084">
        <v>2101546</v>
      </c>
      <c r="C12084" t="s">
        <v>13779</v>
      </c>
      <c r="D12084" t="s">
        <v>441</v>
      </c>
      <c r="F12084">
        <v>0</v>
      </c>
      <c r="H12084" t="s">
        <v>8586</v>
      </c>
      <c r="I12084">
        <v>1080</v>
      </c>
      <c r="J12084" t="s">
        <v>458</v>
      </c>
      <c r="M12084">
        <v>0</v>
      </c>
    </row>
    <row r="12085" spans="1:13">
      <c r="A12085">
        <v>81010400</v>
      </c>
      <c r="B12085">
        <v>2101549</v>
      </c>
      <c r="C12085" t="s">
        <v>8585</v>
      </c>
      <c r="D12085" t="s">
        <v>5567</v>
      </c>
      <c r="E12085" t="s">
        <v>441</v>
      </c>
      <c r="F12085">
        <v>1.43</v>
      </c>
      <c r="H12085" t="s">
        <v>8586</v>
      </c>
      <c r="I12085">
        <v>1825</v>
      </c>
      <c r="J12085" t="s">
        <v>458</v>
      </c>
      <c r="M12085">
        <v>0</v>
      </c>
    </row>
    <row r="12086" spans="1:13">
      <c r="A12086">
        <v>81011000</v>
      </c>
      <c r="B12086">
        <v>2101570</v>
      </c>
      <c r="C12086" t="s">
        <v>5568</v>
      </c>
      <c r="D12086" t="s">
        <v>441</v>
      </c>
      <c r="F12086">
        <v>0</v>
      </c>
      <c r="H12086" t="s">
        <v>8584</v>
      </c>
      <c r="I12086">
        <v>540</v>
      </c>
      <c r="J12086" t="s">
        <v>458</v>
      </c>
      <c r="K12086" t="s">
        <v>446</v>
      </c>
      <c r="M12086">
        <v>0</v>
      </c>
    </row>
    <row r="12087" spans="1:13">
      <c r="A12087">
        <v>81011100</v>
      </c>
      <c r="B12087">
        <v>2101593</v>
      </c>
      <c r="C12087" t="s">
        <v>5569</v>
      </c>
      <c r="D12087" t="s">
        <v>441</v>
      </c>
      <c r="F12087">
        <v>0</v>
      </c>
      <c r="H12087" t="s">
        <v>8584</v>
      </c>
      <c r="I12087">
        <v>540</v>
      </c>
      <c r="J12087" t="s">
        <v>458</v>
      </c>
      <c r="M12087">
        <v>0</v>
      </c>
    </row>
    <row r="12088" spans="1:13">
      <c r="A12088">
        <v>81011200</v>
      </c>
      <c r="B12088">
        <v>2101611</v>
      </c>
      <c r="C12088" t="s">
        <v>13780</v>
      </c>
      <c r="D12088" t="s">
        <v>441</v>
      </c>
      <c r="F12088">
        <v>0</v>
      </c>
      <c r="H12088" t="s">
        <v>8584</v>
      </c>
      <c r="I12088">
        <v>540</v>
      </c>
      <c r="J12088" t="s">
        <v>458</v>
      </c>
      <c r="K12088" t="s">
        <v>446</v>
      </c>
      <c r="M12088">
        <v>0</v>
      </c>
    </row>
    <row r="12089" spans="1:13">
      <c r="A12089">
        <v>81011300</v>
      </c>
      <c r="B12089">
        <v>2101631</v>
      </c>
      <c r="C12089" t="s">
        <v>5570</v>
      </c>
      <c r="D12089" t="s">
        <v>441</v>
      </c>
      <c r="F12089">
        <v>0</v>
      </c>
      <c r="H12089" t="s">
        <v>8584</v>
      </c>
      <c r="I12089">
        <v>540</v>
      </c>
      <c r="J12089" t="s">
        <v>458</v>
      </c>
      <c r="K12089" t="s">
        <v>446</v>
      </c>
      <c r="M12089">
        <v>0</v>
      </c>
    </row>
    <row r="12090" spans="1:13">
      <c r="A12090">
        <v>81011500</v>
      </c>
      <c r="B12090">
        <v>2101597</v>
      </c>
      <c r="C12090" t="s">
        <v>5571</v>
      </c>
      <c r="D12090" t="s">
        <v>441</v>
      </c>
      <c r="F12090">
        <v>0</v>
      </c>
      <c r="H12090" t="s">
        <v>8580</v>
      </c>
      <c r="I12090">
        <v>540</v>
      </c>
      <c r="J12090" t="s">
        <v>458</v>
      </c>
      <c r="M12090">
        <v>0</v>
      </c>
    </row>
    <row r="12091" spans="1:13">
      <c r="A12091">
        <v>81011600</v>
      </c>
      <c r="B12091">
        <v>2101681</v>
      </c>
      <c r="C12091" t="s">
        <v>5572</v>
      </c>
      <c r="D12091" t="s">
        <v>441</v>
      </c>
      <c r="F12091">
        <v>0</v>
      </c>
      <c r="H12091" t="s">
        <v>8634</v>
      </c>
      <c r="I12091">
        <v>365</v>
      </c>
      <c r="J12091" t="s">
        <v>458</v>
      </c>
      <c r="K12091" t="s">
        <v>446</v>
      </c>
      <c r="M12091">
        <v>0</v>
      </c>
    </row>
    <row r="12092" spans="1:13">
      <c r="A12092">
        <v>81011700</v>
      </c>
      <c r="B12092">
        <v>2101680</v>
      </c>
      <c r="C12092" t="s">
        <v>5573</v>
      </c>
      <c r="D12092" t="s">
        <v>441</v>
      </c>
      <c r="F12092">
        <v>0</v>
      </c>
      <c r="H12092" t="s">
        <v>8634</v>
      </c>
      <c r="I12092">
        <v>365</v>
      </c>
      <c r="J12092" t="s">
        <v>458</v>
      </c>
      <c r="K12092" t="s">
        <v>446</v>
      </c>
      <c r="M12092">
        <v>0</v>
      </c>
    </row>
    <row r="12093" spans="1:13">
      <c r="A12093">
        <v>81011800</v>
      </c>
      <c r="B12093">
        <v>2101669</v>
      </c>
      <c r="C12093" t="s">
        <v>5574</v>
      </c>
      <c r="D12093" t="s">
        <v>441</v>
      </c>
      <c r="F12093">
        <v>0</v>
      </c>
      <c r="H12093" t="s">
        <v>8634</v>
      </c>
      <c r="I12093">
        <v>365</v>
      </c>
      <c r="J12093" t="s">
        <v>458</v>
      </c>
      <c r="K12093" t="s">
        <v>446</v>
      </c>
      <c r="M12093">
        <v>0</v>
      </c>
    </row>
    <row r="12094" spans="1:13">
      <c r="A12094">
        <v>81011900</v>
      </c>
      <c r="B12094">
        <v>2101668</v>
      </c>
      <c r="C12094" t="s">
        <v>5575</v>
      </c>
      <c r="D12094" t="s">
        <v>441</v>
      </c>
      <c r="F12094">
        <v>0</v>
      </c>
      <c r="H12094" t="s">
        <v>8634</v>
      </c>
      <c r="I12094">
        <v>365</v>
      </c>
      <c r="J12094" t="s">
        <v>458</v>
      </c>
      <c r="K12094" t="s">
        <v>446</v>
      </c>
      <c r="M12094">
        <v>0</v>
      </c>
    </row>
    <row r="12095" spans="1:13">
      <c r="A12095">
        <v>81012000</v>
      </c>
      <c r="B12095">
        <v>2101595</v>
      </c>
      <c r="C12095" t="s">
        <v>13781</v>
      </c>
      <c r="D12095" t="s">
        <v>441</v>
      </c>
      <c r="F12095">
        <v>0</v>
      </c>
      <c r="H12095" t="s">
        <v>8584</v>
      </c>
      <c r="I12095">
        <v>540</v>
      </c>
      <c r="J12095" t="s">
        <v>458</v>
      </c>
      <c r="M12095">
        <v>0</v>
      </c>
    </row>
    <row r="12096" spans="1:13">
      <c r="A12096">
        <v>81012100</v>
      </c>
      <c r="B12096">
        <v>2101690</v>
      </c>
      <c r="C12096" t="s">
        <v>5576</v>
      </c>
      <c r="D12096" t="s">
        <v>441</v>
      </c>
      <c r="F12096">
        <v>0</v>
      </c>
      <c r="H12096" t="s">
        <v>8580</v>
      </c>
      <c r="I12096">
        <v>550</v>
      </c>
      <c r="J12096" t="s">
        <v>458</v>
      </c>
      <c r="M12096">
        <v>0</v>
      </c>
    </row>
    <row r="12097" spans="1:13">
      <c r="A12097">
        <v>81012200</v>
      </c>
      <c r="B12097">
        <v>2101533</v>
      </c>
      <c r="C12097" t="s">
        <v>5577</v>
      </c>
      <c r="D12097" t="s">
        <v>441</v>
      </c>
      <c r="F12097">
        <v>0</v>
      </c>
      <c r="H12097" t="s">
        <v>8586</v>
      </c>
      <c r="I12097">
        <v>90</v>
      </c>
      <c r="J12097" t="s">
        <v>458</v>
      </c>
      <c r="K12097" t="s">
        <v>446</v>
      </c>
      <c r="M12097">
        <v>0</v>
      </c>
    </row>
    <row r="12098" spans="1:13">
      <c r="A12098">
        <v>81012300</v>
      </c>
      <c r="B12098">
        <v>2101532</v>
      </c>
      <c r="C12098" t="s">
        <v>5578</v>
      </c>
      <c r="D12098" t="s">
        <v>441</v>
      </c>
      <c r="F12098">
        <v>0</v>
      </c>
      <c r="H12098" t="s">
        <v>13782</v>
      </c>
      <c r="I12098">
        <v>730</v>
      </c>
      <c r="J12098" t="s">
        <v>458</v>
      </c>
      <c r="K12098" t="s">
        <v>446</v>
      </c>
      <c r="M12098">
        <v>0</v>
      </c>
    </row>
    <row r="12099" spans="1:13">
      <c r="A12099">
        <v>81012400</v>
      </c>
      <c r="B12099">
        <v>2101693</v>
      </c>
      <c r="C12099" t="s">
        <v>5579</v>
      </c>
      <c r="D12099" t="s">
        <v>441</v>
      </c>
      <c r="F12099">
        <v>0</v>
      </c>
      <c r="H12099" t="s">
        <v>8584</v>
      </c>
      <c r="I12099">
        <v>365</v>
      </c>
      <c r="J12099" t="s">
        <v>458</v>
      </c>
      <c r="K12099" t="s">
        <v>446</v>
      </c>
      <c r="M12099">
        <v>0</v>
      </c>
    </row>
    <row r="12100" spans="1:13">
      <c r="A12100">
        <v>81012500</v>
      </c>
      <c r="B12100">
        <v>2101529</v>
      </c>
      <c r="C12100" t="s">
        <v>5580</v>
      </c>
      <c r="D12100" t="s">
        <v>442</v>
      </c>
      <c r="E12100" t="s">
        <v>441</v>
      </c>
      <c r="F12100">
        <v>0.05</v>
      </c>
      <c r="H12100" t="s">
        <v>8586</v>
      </c>
      <c r="I12100">
        <v>180</v>
      </c>
      <c r="J12100" t="s">
        <v>458</v>
      </c>
      <c r="K12100" t="s">
        <v>446</v>
      </c>
      <c r="M12100">
        <v>0</v>
      </c>
    </row>
    <row r="12101" spans="1:13">
      <c r="A12101">
        <v>81012600</v>
      </c>
      <c r="B12101">
        <v>2101170</v>
      </c>
      <c r="C12101" t="s">
        <v>13783</v>
      </c>
      <c r="D12101" t="s">
        <v>441</v>
      </c>
      <c r="F12101">
        <v>0</v>
      </c>
      <c r="H12101" t="s">
        <v>8584</v>
      </c>
      <c r="I12101">
        <v>730</v>
      </c>
      <c r="J12101" t="s">
        <v>458</v>
      </c>
      <c r="K12101" t="s">
        <v>446</v>
      </c>
      <c r="M12101">
        <v>0</v>
      </c>
    </row>
    <row r="12102" spans="1:13">
      <c r="A12102">
        <v>81012700</v>
      </c>
      <c r="B12102">
        <v>2101078</v>
      </c>
      <c r="C12102" t="s">
        <v>13784</v>
      </c>
      <c r="D12102" t="s">
        <v>441</v>
      </c>
      <c r="F12102">
        <v>0</v>
      </c>
      <c r="H12102" t="s">
        <v>8584</v>
      </c>
      <c r="I12102">
        <v>730</v>
      </c>
      <c r="J12102" t="s">
        <v>458</v>
      </c>
      <c r="K12102" t="s">
        <v>446</v>
      </c>
      <c r="M12102">
        <v>0</v>
      </c>
    </row>
    <row r="12103" spans="1:13">
      <c r="A12103">
        <v>81012800</v>
      </c>
      <c r="B12103">
        <v>2100503</v>
      </c>
      <c r="C12103" t="s">
        <v>13785</v>
      </c>
      <c r="D12103" t="s">
        <v>441</v>
      </c>
      <c r="F12103">
        <v>0</v>
      </c>
      <c r="H12103" t="s">
        <v>8584</v>
      </c>
      <c r="I12103">
        <v>365</v>
      </c>
      <c r="J12103" t="s">
        <v>458</v>
      </c>
      <c r="K12103" t="s">
        <v>446</v>
      </c>
      <c r="M12103">
        <v>0</v>
      </c>
    </row>
    <row r="12104" spans="1:13">
      <c r="A12104">
        <v>81012900</v>
      </c>
      <c r="B12104">
        <v>2101742</v>
      </c>
      <c r="C12104" t="s">
        <v>5581</v>
      </c>
      <c r="D12104" t="s">
        <v>441</v>
      </c>
      <c r="F12104">
        <v>0</v>
      </c>
      <c r="H12104" t="s">
        <v>8580</v>
      </c>
      <c r="I12104">
        <v>365</v>
      </c>
      <c r="J12104" t="s">
        <v>458</v>
      </c>
      <c r="K12104" t="s">
        <v>446</v>
      </c>
      <c r="M12104">
        <v>0</v>
      </c>
    </row>
    <row r="12105" spans="1:13">
      <c r="A12105">
        <v>81013000</v>
      </c>
      <c r="B12105">
        <v>2101741</v>
      </c>
      <c r="C12105" t="s">
        <v>13786</v>
      </c>
      <c r="D12105" t="s">
        <v>441</v>
      </c>
      <c r="F12105">
        <v>0</v>
      </c>
      <c r="H12105" t="s">
        <v>8584</v>
      </c>
      <c r="I12105">
        <v>124</v>
      </c>
      <c r="J12105" t="s">
        <v>458</v>
      </c>
      <c r="K12105" t="s">
        <v>446</v>
      </c>
      <c r="M12105">
        <v>0</v>
      </c>
    </row>
    <row r="12106" spans="1:13">
      <c r="A12106">
        <v>81013100</v>
      </c>
      <c r="B12106">
        <v>2101740</v>
      </c>
      <c r="C12106" t="s">
        <v>13787</v>
      </c>
      <c r="D12106" t="s">
        <v>441</v>
      </c>
      <c r="F12106">
        <v>0</v>
      </c>
      <c r="H12106" t="s">
        <v>8580</v>
      </c>
      <c r="I12106">
        <v>124</v>
      </c>
      <c r="J12106" t="s">
        <v>458</v>
      </c>
      <c r="K12106" t="s">
        <v>446</v>
      </c>
      <c r="M12106">
        <v>0</v>
      </c>
    </row>
    <row r="12107" spans="1:13">
      <c r="A12107">
        <v>81013200</v>
      </c>
      <c r="B12107">
        <v>2101756</v>
      </c>
      <c r="C12107" t="s">
        <v>13788</v>
      </c>
      <c r="D12107" t="s">
        <v>441</v>
      </c>
      <c r="F12107">
        <v>0</v>
      </c>
      <c r="H12107" t="s">
        <v>8580</v>
      </c>
      <c r="I12107">
        <v>540</v>
      </c>
      <c r="J12107" t="s">
        <v>458</v>
      </c>
      <c r="K12107" t="s">
        <v>446</v>
      </c>
      <c r="M12107">
        <v>0</v>
      </c>
    </row>
    <row r="12108" spans="1:13">
      <c r="A12108">
        <v>81013300</v>
      </c>
      <c r="B12108">
        <v>2101810</v>
      </c>
      <c r="C12108" t="s">
        <v>5582</v>
      </c>
      <c r="D12108" t="s">
        <v>441</v>
      </c>
      <c r="F12108">
        <v>0</v>
      </c>
      <c r="H12108" t="s">
        <v>8584</v>
      </c>
      <c r="I12108">
        <v>720</v>
      </c>
      <c r="J12108" t="s">
        <v>458</v>
      </c>
      <c r="M12108">
        <v>0</v>
      </c>
    </row>
    <row r="12109" spans="1:13">
      <c r="A12109">
        <v>81013400</v>
      </c>
      <c r="B12109">
        <v>2101820</v>
      </c>
      <c r="C12109" t="s">
        <v>5583</v>
      </c>
      <c r="D12109" t="s">
        <v>441</v>
      </c>
      <c r="F12109">
        <v>0</v>
      </c>
      <c r="H12109" t="s">
        <v>8584</v>
      </c>
      <c r="I12109">
        <v>540</v>
      </c>
      <c r="J12109" t="s">
        <v>458</v>
      </c>
      <c r="K12109" t="s">
        <v>446</v>
      </c>
      <c r="M12109">
        <v>0</v>
      </c>
    </row>
    <row r="12110" spans="1:13">
      <c r="A12110">
        <v>81013500</v>
      </c>
      <c r="B12110">
        <v>2101830</v>
      </c>
      <c r="C12110" t="s">
        <v>5584</v>
      </c>
      <c r="D12110" t="s">
        <v>441</v>
      </c>
      <c r="F12110">
        <v>0</v>
      </c>
      <c r="H12110" t="s">
        <v>8584</v>
      </c>
      <c r="I12110">
        <v>720</v>
      </c>
      <c r="J12110" t="s">
        <v>458</v>
      </c>
      <c r="K12110" t="s">
        <v>446</v>
      </c>
      <c r="M12110">
        <v>0</v>
      </c>
    </row>
    <row r="12111" spans="1:13">
      <c r="A12111">
        <v>81013600</v>
      </c>
      <c r="B12111">
        <v>2101831</v>
      </c>
      <c r="C12111" t="s">
        <v>5585</v>
      </c>
      <c r="D12111" t="s">
        <v>441</v>
      </c>
      <c r="F12111">
        <v>0</v>
      </c>
      <c r="H12111" t="s">
        <v>8584</v>
      </c>
      <c r="I12111">
        <v>720</v>
      </c>
      <c r="J12111" t="s">
        <v>458</v>
      </c>
      <c r="K12111" t="s">
        <v>446</v>
      </c>
      <c r="M12111">
        <v>0</v>
      </c>
    </row>
    <row r="12112" spans="1:13">
      <c r="A12112">
        <v>81013700</v>
      </c>
      <c r="B12112">
        <v>2101824</v>
      </c>
      <c r="C12112" t="s">
        <v>13789</v>
      </c>
      <c r="D12112" t="s">
        <v>441</v>
      </c>
      <c r="F12112">
        <v>0</v>
      </c>
      <c r="H12112" t="s">
        <v>8584</v>
      </c>
      <c r="I12112">
        <v>365</v>
      </c>
      <c r="J12112" t="s">
        <v>458</v>
      </c>
      <c r="K12112" t="s">
        <v>446</v>
      </c>
      <c r="M12112">
        <v>0</v>
      </c>
    </row>
    <row r="12113" spans="1:13">
      <c r="A12113">
        <v>81013800</v>
      </c>
      <c r="B12113">
        <v>2101829</v>
      </c>
      <c r="C12113" t="s">
        <v>5586</v>
      </c>
      <c r="D12113" t="s">
        <v>441</v>
      </c>
      <c r="F12113">
        <v>0</v>
      </c>
      <c r="H12113" t="s">
        <v>8584</v>
      </c>
      <c r="I12113">
        <v>540</v>
      </c>
      <c r="J12113" t="s">
        <v>458</v>
      </c>
      <c r="K12113" t="s">
        <v>446</v>
      </c>
      <c r="M12113">
        <v>0</v>
      </c>
    </row>
    <row r="12114" spans="1:13">
      <c r="A12114">
        <v>81013900</v>
      </c>
      <c r="B12114">
        <v>2101862</v>
      </c>
      <c r="C12114" t="s">
        <v>5587</v>
      </c>
      <c r="D12114" t="s">
        <v>441</v>
      </c>
      <c r="F12114">
        <v>0</v>
      </c>
      <c r="H12114" t="s">
        <v>8637</v>
      </c>
      <c r="I12114">
        <v>365</v>
      </c>
      <c r="J12114" t="s">
        <v>458</v>
      </c>
      <c r="K12114" t="s">
        <v>446</v>
      </c>
      <c r="M12114">
        <v>0</v>
      </c>
    </row>
    <row r="12115" spans="1:13">
      <c r="A12115">
        <v>81034000</v>
      </c>
      <c r="B12115">
        <v>2101861</v>
      </c>
      <c r="C12115" t="s">
        <v>5588</v>
      </c>
      <c r="D12115" t="s">
        <v>441</v>
      </c>
      <c r="F12115">
        <v>0</v>
      </c>
      <c r="H12115" t="s">
        <v>8637</v>
      </c>
      <c r="I12115">
        <v>540</v>
      </c>
      <c r="J12115" t="s">
        <v>458</v>
      </c>
      <c r="K12115" t="s">
        <v>446</v>
      </c>
      <c r="M12115">
        <v>0</v>
      </c>
    </row>
    <row r="12116" spans="1:13">
      <c r="A12116">
        <v>81034100</v>
      </c>
      <c r="B12116">
        <v>2101860</v>
      </c>
      <c r="C12116" t="s">
        <v>13790</v>
      </c>
      <c r="D12116" t="s">
        <v>441</v>
      </c>
      <c r="F12116">
        <v>0</v>
      </c>
      <c r="H12116" t="s">
        <v>8584</v>
      </c>
      <c r="I12116">
        <v>365</v>
      </c>
      <c r="J12116" t="s">
        <v>458</v>
      </c>
      <c r="K12116" t="s">
        <v>446</v>
      </c>
      <c r="M12116">
        <v>0</v>
      </c>
    </row>
    <row r="12117" spans="1:13">
      <c r="A12117">
        <v>81034200</v>
      </c>
      <c r="B12117">
        <v>2101866</v>
      </c>
      <c r="C12117" t="s">
        <v>5589</v>
      </c>
      <c r="D12117" t="s">
        <v>441</v>
      </c>
      <c r="F12117">
        <v>0</v>
      </c>
      <c r="H12117" t="s">
        <v>8637</v>
      </c>
      <c r="I12117">
        <v>360</v>
      </c>
      <c r="J12117" t="s">
        <v>458</v>
      </c>
      <c r="K12117" t="s">
        <v>446</v>
      </c>
      <c r="M12117">
        <v>0</v>
      </c>
    </row>
    <row r="12118" spans="1:13">
      <c r="A12118">
        <v>81034300</v>
      </c>
      <c r="B12118">
        <v>2101750</v>
      </c>
      <c r="C12118" t="s">
        <v>13791</v>
      </c>
      <c r="D12118" t="s">
        <v>441</v>
      </c>
      <c r="F12118">
        <v>0</v>
      </c>
      <c r="H12118" t="s">
        <v>8584</v>
      </c>
      <c r="I12118">
        <v>365</v>
      </c>
      <c r="J12118" t="s">
        <v>458</v>
      </c>
      <c r="M12118">
        <v>0</v>
      </c>
    </row>
    <row r="12119" spans="1:13">
      <c r="A12119">
        <v>81034400</v>
      </c>
      <c r="B12119">
        <v>2100421</v>
      </c>
      <c r="C12119" t="s">
        <v>13792</v>
      </c>
      <c r="D12119" t="s">
        <v>441</v>
      </c>
      <c r="F12119">
        <v>0</v>
      </c>
      <c r="I12119">
        <v>730</v>
      </c>
      <c r="J12119" t="s">
        <v>458</v>
      </c>
      <c r="K12119" t="s">
        <v>446</v>
      </c>
      <c r="M12119">
        <v>0</v>
      </c>
    </row>
    <row r="12120" spans="1:13">
      <c r="A12120">
        <v>81034500</v>
      </c>
      <c r="B12120">
        <v>2101878</v>
      </c>
      <c r="C12120" t="s">
        <v>13793</v>
      </c>
      <c r="D12120" t="s">
        <v>441</v>
      </c>
      <c r="F12120">
        <v>0</v>
      </c>
      <c r="H12120" t="s">
        <v>8637</v>
      </c>
      <c r="I12120">
        <v>365</v>
      </c>
      <c r="J12120" t="s">
        <v>458</v>
      </c>
      <c r="K12120" t="s">
        <v>446</v>
      </c>
      <c r="M12120">
        <v>0</v>
      </c>
    </row>
    <row r="12121" spans="1:13">
      <c r="A12121">
        <v>81034600</v>
      </c>
      <c r="B12121">
        <v>2101901</v>
      </c>
      <c r="C12121" t="s">
        <v>13794</v>
      </c>
      <c r="D12121" t="s">
        <v>441</v>
      </c>
      <c r="F12121">
        <v>0</v>
      </c>
      <c r="H12121" t="s">
        <v>8584</v>
      </c>
      <c r="I12121">
        <v>730</v>
      </c>
      <c r="J12121" t="s">
        <v>458</v>
      </c>
      <c r="K12121" t="s">
        <v>446</v>
      </c>
      <c r="M12121">
        <v>0</v>
      </c>
    </row>
    <row r="12122" spans="1:13">
      <c r="A12122">
        <v>81034700</v>
      </c>
      <c r="B12122">
        <v>2101555</v>
      </c>
      <c r="C12122" t="s">
        <v>5590</v>
      </c>
      <c r="D12122" t="s">
        <v>441</v>
      </c>
      <c r="F12122">
        <v>0</v>
      </c>
      <c r="H12122" t="s">
        <v>8584</v>
      </c>
      <c r="I12122">
        <v>547</v>
      </c>
      <c r="J12122" t="s">
        <v>458</v>
      </c>
      <c r="M12122">
        <v>0</v>
      </c>
    </row>
    <row r="12123" spans="1:13">
      <c r="A12123">
        <v>81034800</v>
      </c>
      <c r="B12123">
        <v>2101891</v>
      </c>
      <c r="C12123" t="s">
        <v>13795</v>
      </c>
      <c r="D12123" t="s">
        <v>441</v>
      </c>
      <c r="F12123">
        <v>0</v>
      </c>
      <c r="H12123" t="s">
        <v>8637</v>
      </c>
      <c r="I12123">
        <v>360</v>
      </c>
      <c r="J12123" t="s">
        <v>458</v>
      </c>
      <c r="K12123" t="s">
        <v>446</v>
      </c>
      <c r="M12123">
        <v>0</v>
      </c>
    </row>
    <row r="12124" spans="1:13">
      <c r="A12124">
        <v>81034900</v>
      </c>
      <c r="B12124">
        <v>2100489</v>
      </c>
      <c r="C12124" t="s">
        <v>13796</v>
      </c>
      <c r="D12124" t="s">
        <v>441</v>
      </c>
      <c r="F12124">
        <v>0</v>
      </c>
      <c r="I12124">
        <v>730</v>
      </c>
      <c r="J12124" t="s">
        <v>458</v>
      </c>
      <c r="M12124">
        <v>0</v>
      </c>
    </row>
    <row r="12125" spans="1:13">
      <c r="A12125">
        <v>81035000</v>
      </c>
      <c r="B12125">
        <v>2100225</v>
      </c>
      <c r="C12125" t="s">
        <v>13797</v>
      </c>
      <c r="D12125" t="s">
        <v>441</v>
      </c>
      <c r="F12125">
        <v>0</v>
      </c>
      <c r="H12125" t="s">
        <v>8580</v>
      </c>
      <c r="I12125">
        <v>540</v>
      </c>
      <c r="J12125" t="s">
        <v>458</v>
      </c>
      <c r="K12125" t="s">
        <v>446</v>
      </c>
      <c r="M12125">
        <v>0</v>
      </c>
    </row>
    <row r="12126" spans="1:13">
      <c r="A12126">
        <v>81035100</v>
      </c>
      <c r="B12126">
        <v>2101351</v>
      </c>
      <c r="C12126" t="s">
        <v>5591</v>
      </c>
      <c r="D12126" t="s">
        <v>441</v>
      </c>
      <c r="F12126">
        <v>0</v>
      </c>
      <c r="H12126" t="s">
        <v>8584</v>
      </c>
      <c r="I12126">
        <v>730</v>
      </c>
      <c r="J12126" t="s">
        <v>458</v>
      </c>
      <c r="K12126" t="s">
        <v>446</v>
      </c>
      <c r="M12126">
        <v>0</v>
      </c>
    </row>
    <row r="12127" spans="1:13">
      <c r="A12127">
        <v>81035200</v>
      </c>
      <c r="B12127">
        <v>2100297</v>
      </c>
      <c r="C12127" t="s">
        <v>5592</v>
      </c>
      <c r="D12127" t="s">
        <v>441</v>
      </c>
      <c r="F12127">
        <v>0</v>
      </c>
      <c r="H12127" t="s">
        <v>8584</v>
      </c>
      <c r="I12127">
        <v>540</v>
      </c>
      <c r="J12127" t="s">
        <v>458</v>
      </c>
      <c r="M12127">
        <v>0</v>
      </c>
    </row>
    <row r="12128" spans="1:13">
      <c r="A12128">
        <v>81035300</v>
      </c>
      <c r="B12128">
        <v>2100366</v>
      </c>
      <c r="C12128" t="s">
        <v>5593</v>
      </c>
      <c r="D12128" t="s">
        <v>441</v>
      </c>
      <c r="F12128">
        <v>0</v>
      </c>
      <c r="I12128">
        <v>540</v>
      </c>
      <c r="J12128" t="s">
        <v>458</v>
      </c>
      <c r="M12128">
        <v>0</v>
      </c>
    </row>
    <row r="12129" spans="1:13">
      <c r="A12129">
        <v>81035400</v>
      </c>
      <c r="B12129">
        <v>2100391</v>
      </c>
      <c r="C12129" t="s">
        <v>5594</v>
      </c>
      <c r="D12129" t="s">
        <v>441</v>
      </c>
      <c r="F12129">
        <v>0</v>
      </c>
      <c r="H12129" t="s">
        <v>8580</v>
      </c>
      <c r="I12129">
        <v>540</v>
      </c>
      <c r="J12129" t="s">
        <v>458</v>
      </c>
      <c r="K12129" t="s">
        <v>446</v>
      </c>
      <c r="M12129">
        <v>0</v>
      </c>
    </row>
    <row r="12130" spans="1:13">
      <c r="A12130">
        <v>81035500</v>
      </c>
      <c r="B12130">
        <v>2100333</v>
      </c>
      <c r="C12130" t="s">
        <v>5595</v>
      </c>
      <c r="D12130" t="s">
        <v>441</v>
      </c>
      <c r="F12130">
        <v>0</v>
      </c>
      <c r="H12130" t="s">
        <v>8637</v>
      </c>
      <c r="I12130">
        <v>730</v>
      </c>
      <c r="J12130" t="s">
        <v>458</v>
      </c>
      <c r="K12130" t="s">
        <v>446</v>
      </c>
      <c r="M12130">
        <v>0</v>
      </c>
    </row>
    <row r="12131" spans="1:13">
      <c r="A12131">
        <v>81035600</v>
      </c>
      <c r="B12131">
        <v>2100800</v>
      </c>
      <c r="C12131" t="s">
        <v>13798</v>
      </c>
      <c r="D12131" t="s">
        <v>441</v>
      </c>
      <c r="F12131">
        <v>0</v>
      </c>
      <c r="H12131" t="s">
        <v>8580</v>
      </c>
      <c r="I12131">
        <v>1020</v>
      </c>
      <c r="J12131" t="s">
        <v>458</v>
      </c>
      <c r="K12131" t="s">
        <v>446</v>
      </c>
      <c r="M12131">
        <v>0</v>
      </c>
    </row>
    <row r="12132" spans="1:13">
      <c r="A12132">
        <v>81035700</v>
      </c>
      <c r="B12132">
        <v>2101913</v>
      </c>
      <c r="C12132" t="s">
        <v>5596</v>
      </c>
      <c r="D12132" t="s">
        <v>441</v>
      </c>
      <c r="F12132">
        <v>0</v>
      </c>
      <c r="H12132" t="s">
        <v>8583</v>
      </c>
      <c r="I12132">
        <v>365</v>
      </c>
      <c r="J12132" t="s">
        <v>458</v>
      </c>
      <c r="K12132" t="s">
        <v>446</v>
      </c>
      <c r="M12132">
        <v>0</v>
      </c>
    </row>
    <row r="12133" spans="1:13">
      <c r="A12133">
        <v>81035800</v>
      </c>
      <c r="B12133">
        <v>2101141</v>
      </c>
      <c r="C12133" t="s">
        <v>5597</v>
      </c>
      <c r="D12133" t="s">
        <v>441</v>
      </c>
      <c r="F12133">
        <v>0</v>
      </c>
      <c r="H12133" t="s">
        <v>8634</v>
      </c>
      <c r="I12133">
        <v>360</v>
      </c>
      <c r="J12133" t="s">
        <v>458</v>
      </c>
      <c r="K12133" t="s">
        <v>446</v>
      </c>
      <c r="M12133">
        <v>0</v>
      </c>
    </row>
    <row r="12134" spans="1:13">
      <c r="A12134">
        <v>81035900</v>
      </c>
      <c r="B12134">
        <v>2101556</v>
      </c>
      <c r="C12134" t="s">
        <v>5598</v>
      </c>
      <c r="D12134" t="s">
        <v>441</v>
      </c>
      <c r="F12134">
        <v>0</v>
      </c>
      <c r="H12134" t="s">
        <v>8622</v>
      </c>
      <c r="I12134">
        <v>360</v>
      </c>
      <c r="J12134" t="s">
        <v>458</v>
      </c>
      <c r="K12134" t="s">
        <v>446</v>
      </c>
      <c r="M12134">
        <v>0</v>
      </c>
    </row>
    <row r="12135" spans="1:13">
      <c r="A12135">
        <v>81036100</v>
      </c>
      <c r="B12135">
        <v>2101952</v>
      </c>
      <c r="C12135" t="s">
        <v>13799</v>
      </c>
      <c r="D12135" t="s">
        <v>441</v>
      </c>
      <c r="F12135">
        <v>0</v>
      </c>
      <c r="H12135" t="s">
        <v>8580</v>
      </c>
      <c r="I12135">
        <v>360</v>
      </c>
      <c r="J12135" t="s">
        <v>458</v>
      </c>
      <c r="K12135" t="s">
        <v>446</v>
      </c>
      <c r="M12135">
        <v>0</v>
      </c>
    </row>
    <row r="12136" spans="1:13">
      <c r="A12136">
        <v>81036200</v>
      </c>
      <c r="B12136">
        <v>2101965</v>
      </c>
      <c r="C12136" t="s">
        <v>13800</v>
      </c>
      <c r="D12136" t="s">
        <v>441</v>
      </c>
      <c r="F12136">
        <v>0</v>
      </c>
      <c r="H12136" t="s">
        <v>8580</v>
      </c>
      <c r="I12136">
        <v>545</v>
      </c>
      <c r="J12136" t="s">
        <v>458</v>
      </c>
      <c r="K12136" t="s">
        <v>446</v>
      </c>
      <c r="M12136">
        <v>0</v>
      </c>
    </row>
    <row r="12137" spans="1:13">
      <c r="A12137">
        <v>81036300</v>
      </c>
      <c r="B12137">
        <v>2101969</v>
      </c>
      <c r="C12137" t="s">
        <v>5599</v>
      </c>
      <c r="D12137" t="s">
        <v>441</v>
      </c>
      <c r="F12137">
        <v>0</v>
      </c>
      <c r="H12137" t="s">
        <v>8584</v>
      </c>
      <c r="I12137">
        <v>730</v>
      </c>
      <c r="J12137" t="s">
        <v>458</v>
      </c>
      <c r="K12137" t="s">
        <v>446</v>
      </c>
      <c r="M12137">
        <v>0</v>
      </c>
    </row>
    <row r="12138" spans="1:13">
      <c r="A12138">
        <v>81036400</v>
      </c>
      <c r="B12138">
        <v>2101980</v>
      </c>
      <c r="C12138" t="s">
        <v>5600</v>
      </c>
      <c r="D12138" t="s">
        <v>441</v>
      </c>
      <c r="F12138">
        <v>0</v>
      </c>
      <c r="H12138" t="s">
        <v>8580</v>
      </c>
      <c r="I12138">
        <v>547</v>
      </c>
      <c r="J12138" t="s">
        <v>458</v>
      </c>
      <c r="K12138" t="s">
        <v>446</v>
      </c>
      <c r="M12138">
        <v>0</v>
      </c>
    </row>
    <row r="12139" spans="1:13">
      <c r="A12139">
        <v>81036500</v>
      </c>
      <c r="B12139">
        <v>2101981</v>
      </c>
      <c r="C12139" t="s">
        <v>5601</v>
      </c>
      <c r="D12139" t="s">
        <v>441</v>
      </c>
      <c r="F12139">
        <v>0</v>
      </c>
      <c r="H12139" t="s">
        <v>8580</v>
      </c>
      <c r="I12139">
        <v>730</v>
      </c>
      <c r="J12139" t="s">
        <v>458</v>
      </c>
      <c r="K12139" t="s">
        <v>446</v>
      </c>
      <c r="M12139">
        <v>0</v>
      </c>
    </row>
    <row r="12140" spans="1:13">
      <c r="A12140">
        <v>81036600</v>
      </c>
      <c r="B12140">
        <v>2101972</v>
      </c>
      <c r="C12140" t="s">
        <v>13801</v>
      </c>
      <c r="D12140" t="s">
        <v>441</v>
      </c>
      <c r="F12140">
        <v>0</v>
      </c>
      <c r="H12140" t="s">
        <v>8580</v>
      </c>
      <c r="I12140">
        <v>730</v>
      </c>
      <c r="J12140" t="s">
        <v>458</v>
      </c>
      <c r="K12140" t="s">
        <v>446</v>
      </c>
      <c r="M12140">
        <v>0</v>
      </c>
    </row>
    <row r="12141" spans="1:13">
      <c r="A12141">
        <v>81036700</v>
      </c>
      <c r="B12141">
        <v>2101973</v>
      </c>
      <c r="C12141" t="s">
        <v>5602</v>
      </c>
      <c r="D12141" t="s">
        <v>441</v>
      </c>
      <c r="F12141">
        <v>0</v>
      </c>
      <c r="H12141" t="s">
        <v>8584</v>
      </c>
      <c r="I12141">
        <v>730</v>
      </c>
      <c r="J12141" t="s">
        <v>458</v>
      </c>
      <c r="K12141" t="s">
        <v>446</v>
      </c>
      <c r="M12141">
        <v>0</v>
      </c>
    </row>
    <row r="12142" spans="1:13">
      <c r="A12142">
        <v>81036800</v>
      </c>
      <c r="B12142">
        <v>2101974</v>
      </c>
      <c r="C12142" t="s">
        <v>5603</v>
      </c>
      <c r="D12142" t="s">
        <v>441</v>
      </c>
      <c r="F12142">
        <v>0</v>
      </c>
      <c r="H12142" t="s">
        <v>8637</v>
      </c>
      <c r="I12142">
        <v>730</v>
      </c>
      <c r="J12142" t="s">
        <v>458</v>
      </c>
      <c r="K12142" t="s">
        <v>446</v>
      </c>
      <c r="M12142">
        <v>0</v>
      </c>
    </row>
    <row r="12143" spans="1:13">
      <c r="A12143">
        <v>81036900</v>
      </c>
      <c r="B12143">
        <v>2101975</v>
      </c>
      <c r="C12143" t="s">
        <v>5604</v>
      </c>
      <c r="D12143" t="s">
        <v>441</v>
      </c>
      <c r="F12143">
        <v>0</v>
      </c>
      <c r="H12143" t="s">
        <v>8637</v>
      </c>
      <c r="I12143">
        <v>547</v>
      </c>
      <c r="J12143" t="s">
        <v>458</v>
      </c>
      <c r="K12143" t="s">
        <v>446</v>
      </c>
      <c r="M12143">
        <v>0</v>
      </c>
    </row>
    <row r="12144" spans="1:13">
      <c r="A12144">
        <v>81037000</v>
      </c>
      <c r="B12144">
        <v>2101956</v>
      </c>
      <c r="C12144" t="s">
        <v>5605</v>
      </c>
      <c r="D12144" t="s">
        <v>441</v>
      </c>
      <c r="F12144">
        <v>0</v>
      </c>
      <c r="H12144" t="s">
        <v>8580</v>
      </c>
      <c r="I12144">
        <v>730</v>
      </c>
      <c r="J12144" t="s">
        <v>458</v>
      </c>
      <c r="K12144" t="s">
        <v>446</v>
      </c>
      <c r="M12144">
        <v>0</v>
      </c>
    </row>
    <row r="12145" spans="1:13">
      <c r="A12145">
        <v>81037100</v>
      </c>
      <c r="B12145">
        <v>2100473</v>
      </c>
      <c r="C12145" t="s">
        <v>13802</v>
      </c>
      <c r="D12145" t="s">
        <v>441</v>
      </c>
      <c r="F12145">
        <v>0</v>
      </c>
      <c r="H12145" t="s">
        <v>8584</v>
      </c>
      <c r="I12145">
        <v>730</v>
      </c>
      <c r="J12145" t="s">
        <v>458</v>
      </c>
      <c r="K12145" t="s">
        <v>446</v>
      </c>
      <c r="M12145">
        <v>0</v>
      </c>
    </row>
    <row r="12146" spans="1:13">
      <c r="A12146">
        <v>81037200</v>
      </c>
      <c r="B12146">
        <v>2100440</v>
      </c>
      <c r="C12146" t="s">
        <v>13803</v>
      </c>
      <c r="D12146" t="s">
        <v>441</v>
      </c>
      <c r="F12146">
        <v>0</v>
      </c>
      <c r="H12146" t="s">
        <v>8580</v>
      </c>
      <c r="I12146">
        <v>730</v>
      </c>
      <c r="J12146" t="s">
        <v>458</v>
      </c>
      <c r="K12146" t="s">
        <v>446</v>
      </c>
      <c r="M12146">
        <v>0</v>
      </c>
    </row>
    <row r="12147" spans="1:13">
      <c r="A12147">
        <v>81037300</v>
      </c>
      <c r="B12147">
        <v>2100208</v>
      </c>
      <c r="C12147" t="s">
        <v>13804</v>
      </c>
      <c r="D12147" t="s">
        <v>441</v>
      </c>
      <c r="F12147">
        <v>0</v>
      </c>
      <c r="H12147" t="s">
        <v>8580</v>
      </c>
      <c r="I12147">
        <v>547</v>
      </c>
      <c r="J12147" t="s">
        <v>458</v>
      </c>
      <c r="K12147" t="s">
        <v>446</v>
      </c>
      <c r="M12147">
        <v>0</v>
      </c>
    </row>
    <row r="12148" spans="1:13">
      <c r="A12148">
        <v>81037400</v>
      </c>
      <c r="B12148">
        <v>2101978</v>
      </c>
      <c r="C12148" t="s">
        <v>13805</v>
      </c>
      <c r="D12148" t="s">
        <v>441</v>
      </c>
      <c r="F12148">
        <v>0</v>
      </c>
      <c r="H12148" t="s">
        <v>8637</v>
      </c>
      <c r="I12148">
        <v>365</v>
      </c>
      <c r="J12148" t="s">
        <v>458</v>
      </c>
      <c r="K12148" t="s">
        <v>446</v>
      </c>
      <c r="M12148">
        <v>0</v>
      </c>
    </row>
    <row r="12149" spans="1:13">
      <c r="A12149">
        <v>81037500</v>
      </c>
      <c r="B12149">
        <v>2101983</v>
      </c>
      <c r="C12149" t="s">
        <v>5606</v>
      </c>
      <c r="D12149" t="s">
        <v>441</v>
      </c>
      <c r="F12149">
        <v>0</v>
      </c>
      <c r="H12149" t="s">
        <v>8637</v>
      </c>
      <c r="I12149">
        <v>365</v>
      </c>
      <c r="J12149" t="s">
        <v>458</v>
      </c>
      <c r="K12149" t="s">
        <v>446</v>
      </c>
      <c r="M12149">
        <v>0</v>
      </c>
    </row>
    <row r="12150" spans="1:13">
      <c r="A12150">
        <v>81037600</v>
      </c>
      <c r="B12150">
        <v>2102042</v>
      </c>
      <c r="C12150" t="s">
        <v>5607</v>
      </c>
      <c r="D12150" t="s">
        <v>441</v>
      </c>
      <c r="F12150">
        <v>0</v>
      </c>
      <c r="H12150" t="s">
        <v>8580</v>
      </c>
      <c r="I12150">
        <v>365</v>
      </c>
      <c r="J12150" t="s">
        <v>458</v>
      </c>
      <c r="M12150">
        <v>0</v>
      </c>
    </row>
    <row r="12151" spans="1:13">
      <c r="A12151">
        <v>81037700</v>
      </c>
      <c r="B12151">
        <v>2102039</v>
      </c>
      <c r="C12151" t="s">
        <v>5608</v>
      </c>
      <c r="D12151" t="s">
        <v>441</v>
      </c>
      <c r="F12151">
        <v>0</v>
      </c>
      <c r="H12151" t="s">
        <v>8584</v>
      </c>
      <c r="I12151">
        <v>365</v>
      </c>
      <c r="J12151" t="s">
        <v>458</v>
      </c>
      <c r="K12151" t="s">
        <v>446</v>
      </c>
      <c r="M12151">
        <v>0</v>
      </c>
    </row>
    <row r="12152" spans="1:13">
      <c r="A12152">
        <v>81037800</v>
      </c>
      <c r="B12152">
        <v>2102057</v>
      </c>
      <c r="C12152" t="s">
        <v>5609</v>
      </c>
      <c r="D12152" t="s">
        <v>441</v>
      </c>
      <c r="F12152">
        <v>0</v>
      </c>
      <c r="H12152" t="s">
        <v>8584</v>
      </c>
      <c r="I12152">
        <v>365</v>
      </c>
      <c r="J12152" t="s">
        <v>458</v>
      </c>
      <c r="K12152" t="s">
        <v>446</v>
      </c>
      <c r="M12152">
        <v>0</v>
      </c>
    </row>
    <row r="12153" spans="1:13">
      <c r="A12153">
        <v>81037900</v>
      </c>
      <c r="B12153">
        <v>2102070</v>
      </c>
      <c r="C12153" t="s">
        <v>13806</v>
      </c>
      <c r="D12153" t="s">
        <v>441</v>
      </c>
      <c r="F12153">
        <v>0</v>
      </c>
      <c r="H12153" t="s">
        <v>8634</v>
      </c>
      <c r="I12153">
        <v>365</v>
      </c>
      <c r="J12153" t="s">
        <v>458</v>
      </c>
      <c r="K12153" t="s">
        <v>446</v>
      </c>
      <c r="M12153">
        <v>0</v>
      </c>
    </row>
    <row r="12154" spans="1:13">
      <c r="A12154">
        <v>81038000</v>
      </c>
      <c r="B12154">
        <v>2101892</v>
      </c>
      <c r="C12154" t="s">
        <v>5610</v>
      </c>
      <c r="D12154" t="s">
        <v>441</v>
      </c>
      <c r="F12154">
        <v>0</v>
      </c>
      <c r="H12154" t="s">
        <v>8637</v>
      </c>
      <c r="I12154">
        <v>365</v>
      </c>
      <c r="J12154" t="s">
        <v>458</v>
      </c>
      <c r="K12154" t="s">
        <v>446</v>
      </c>
      <c r="M12154">
        <v>0</v>
      </c>
    </row>
    <row r="12155" spans="1:13">
      <c r="A12155">
        <v>81038100</v>
      </c>
      <c r="B12155">
        <v>2100496</v>
      </c>
      <c r="C12155" t="s">
        <v>13807</v>
      </c>
      <c r="D12155" t="s">
        <v>441</v>
      </c>
      <c r="F12155">
        <v>0</v>
      </c>
      <c r="I12155">
        <v>730</v>
      </c>
      <c r="J12155" t="s">
        <v>458</v>
      </c>
      <c r="K12155" t="s">
        <v>446</v>
      </c>
      <c r="M12155">
        <v>0</v>
      </c>
    </row>
    <row r="12156" spans="1:13">
      <c r="A12156">
        <v>81038200</v>
      </c>
      <c r="B12156">
        <v>2101182</v>
      </c>
      <c r="C12156" t="s">
        <v>13808</v>
      </c>
      <c r="D12156" t="s">
        <v>441</v>
      </c>
      <c r="F12156">
        <v>0</v>
      </c>
      <c r="H12156" t="s">
        <v>8580</v>
      </c>
      <c r="I12156">
        <v>365</v>
      </c>
      <c r="J12156" t="s">
        <v>458</v>
      </c>
      <c r="K12156" t="s">
        <v>446</v>
      </c>
      <c r="M12156">
        <v>0</v>
      </c>
    </row>
    <row r="12157" spans="1:13">
      <c r="A12157">
        <v>81038300</v>
      </c>
      <c r="B12157">
        <v>2102081</v>
      </c>
      <c r="C12157" t="s">
        <v>13809</v>
      </c>
      <c r="D12157" t="s">
        <v>441</v>
      </c>
      <c r="F12157">
        <v>0</v>
      </c>
      <c r="H12157" t="s">
        <v>8634</v>
      </c>
      <c r="I12157">
        <v>365</v>
      </c>
      <c r="J12157" t="s">
        <v>458</v>
      </c>
      <c r="K12157" t="s">
        <v>446</v>
      </c>
      <c r="M12157">
        <v>0</v>
      </c>
    </row>
    <row r="12158" spans="1:13">
      <c r="A12158">
        <v>81038400</v>
      </c>
      <c r="B12158">
        <v>2100429</v>
      </c>
      <c r="C12158" t="s">
        <v>5611</v>
      </c>
      <c r="D12158" t="s">
        <v>441</v>
      </c>
      <c r="F12158">
        <v>0</v>
      </c>
      <c r="H12158" t="s">
        <v>8580</v>
      </c>
      <c r="I12158">
        <v>540</v>
      </c>
      <c r="J12158" t="s">
        <v>458</v>
      </c>
      <c r="M12158">
        <v>0</v>
      </c>
    </row>
    <row r="12159" spans="1:13">
      <c r="A12159">
        <v>81038500</v>
      </c>
      <c r="B12159">
        <v>2102083</v>
      </c>
      <c r="C12159" t="s">
        <v>5612</v>
      </c>
      <c r="D12159" t="s">
        <v>441</v>
      </c>
      <c r="F12159">
        <v>0</v>
      </c>
      <c r="H12159" t="s">
        <v>8634</v>
      </c>
      <c r="I12159">
        <v>365</v>
      </c>
      <c r="J12159" t="s">
        <v>458</v>
      </c>
      <c r="K12159" t="s">
        <v>446</v>
      </c>
      <c r="M12159">
        <v>0</v>
      </c>
    </row>
    <row r="12160" spans="1:13">
      <c r="A12160">
        <v>81038600</v>
      </c>
      <c r="B12160">
        <v>2101766</v>
      </c>
      <c r="C12160" t="s">
        <v>5613</v>
      </c>
      <c r="D12160" t="s">
        <v>441</v>
      </c>
      <c r="F12160">
        <v>0</v>
      </c>
      <c r="H12160" t="s">
        <v>8637</v>
      </c>
      <c r="I12160">
        <v>360</v>
      </c>
      <c r="J12160" t="s">
        <v>458</v>
      </c>
      <c r="K12160" t="s">
        <v>446</v>
      </c>
      <c r="M12160">
        <v>0</v>
      </c>
    </row>
    <row r="12161" spans="1:13">
      <c r="A12161">
        <v>81038700</v>
      </c>
      <c r="B12161">
        <v>2102089</v>
      </c>
      <c r="C12161" t="s">
        <v>5614</v>
      </c>
      <c r="D12161" t="s">
        <v>441</v>
      </c>
      <c r="F12161">
        <v>0</v>
      </c>
      <c r="H12161" t="s">
        <v>8634</v>
      </c>
      <c r="I12161">
        <v>365</v>
      </c>
      <c r="J12161" t="s">
        <v>458</v>
      </c>
      <c r="K12161" t="s">
        <v>446</v>
      </c>
      <c r="M12161">
        <v>0</v>
      </c>
    </row>
    <row r="12162" spans="1:13">
      <c r="A12162">
        <v>81038800</v>
      </c>
      <c r="B12162">
        <v>2102088</v>
      </c>
      <c r="C12162" t="s">
        <v>5615</v>
      </c>
      <c r="D12162" t="s">
        <v>441</v>
      </c>
      <c r="F12162">
        <v>0</v>
      </c>
      <c r="H12162" t="s">
        <v>8634</v>
      </c>
      <c r="I12162">
        <v>365</v>
      </c>
      <c r="J12162" t="s">
        <v>458</v>
      </c>
      <c r="K12162" t="s">
        <v>446</v>
      </c>
      <c r="M12162">
        <v>0</v>
      </c>
    </row>
    <row r="12163" spans="1:13">
      <c r="A12163">
        <v>81038900</v>
      </c>
      <c r="B12163">
        <v>2102087</v>
      </c>
      <c r="C12163" t="s">
        <v>5616</v>
      </c>
      <c r="D12163" t="s">
        <v>441</v>
      </c>
      <c r="F12163">
        <v>0</v>
      </c>
      <c r="H12163" t="s">
        <v>8634</v>
      </c>
      <c r="I12163">
        <v>365</v>
      </c>
      <c r="J12163" t="s">
        <v>458</v>
      </c>
      <c r="K12163" t="s">
        <v>446</v>
      </c>
      <c r="M12163">
        <v>0</v>
      </c>
    </row>
    <row r="12164" spans="1:13">
      <c r="A12164">
        <v>81039000</v>
      </c>
      <c r="B12164">
        <v>2102086</v>
      </c>
      <c r="C12164" t="s">
        <v>5617</v>
      </c>
      <c r="D12164" t="s">
        <v>441</v>
      </c>
      <c r="F12164">
        <v>0</v>
      </c>
      <c r="H12164" t="s">
        <v>8634</v>
      </c>
      <c r="I12164">
        <v>365</v>
      </c>
      <c r="J12164" t="s">
        <v>458</v>
      </c>
      <c r="K12164" t="s">
        <v>446</v>
      </c>
      <c r="M12164">
        <v>0</v>
      </c>
    </row>
    <row r="12165" spans="1:13">
      <c r="A12165">
        <v>81039100</v>
      </c>
      <c r="B12165">
        <v>2102084</v>
      </c>
      <c r="C12165" t="s">
        <v>5618</v>
      </c>
      <c r="D12165" t="s">
        <v>441</v>
      </c>
      <c r="F12165">
        <v>0</v>
      </c>
      <c r="H12165" t="s">
        <v>8634</v>
      </c>
      <c r="I12165">
        <v>365</v>
      </c>
      <c r="J12165" t="s">
        <v>458</v>
      </c>
      <c r="K12165" t="s">
        <v>446</v>
      </c>
      <c r="M12165">
        <v>0</v>
      </c>
    </row>
    <row r="12166" spans="1:13">
      <c r="A12166">
        <v>81039200</v>
      </c>
      <c r="B12166">
        <v>2102135</v>
      </c>
      <c r="C12166" t="s">
        <v>5619</v>
      </c>
      <c r="D12166" t="s">
        <v>441</v>
      </c>
      <c r="F12166">
        <v>0</v>
      </c>
      <c r="H12166" t="s">
        <v>8584</v>
      </c>
      <c r="I12166">
        <v>730</v>
      </c>
      <c r="J12166" t="s">
        <v>458</v>
      </c>
      <c r="M12166">
        <v>0</v>
      </c>
    </row>
    <row r="12167" spans="1:13">
      <c r="A12167">
        <v>81039300</v>
      </c>
      <c r="B12167">
        <v>2102136</v>
      </c>
      <c r="C12167" t="s">
        <v>13810</v>
      </c>
      <c r="D12167" t="s">
        <v>441</v>
      </c>
      <c r="F12167">
        <v>0</v>
      </c>
      <c r="H12167" t="s">
        <v>8584</v>
      </c>
      <c r="I12167">
        <v>730</v>
      </c>
      <c r="J12167" t="s">
        <v>458</v>
      </c>
      <c r="K12167" t="s">
        <v>446</v>
      </c>
      <c r="M12167">
        <v>0</v>
      </c>
    </row>
    <row r="12168" spans="1:13">
      <c r="A12168">
        <v>81039400</v>
      </c>
      <c r="B12168">
        <v>2102033</v>
      </c>
      <c r="C12168" t="s">
        <v>5620</v>
      </c>
      <c r="D12168" t="s">
        <v>441</v>
      </c>
      <c r="F12168">
        <v>0</v>
      </c>
      <c r="H12168" t="s">
        <v>8637</v>
      </c>
      <c r="I12168">
        <v>360</v>
      </c>
      <c r="J12168" t="s">
        <v>458</v>
      </c>
      <c r="M12168">
        <v>0</v>
      </c>
    </row>
    <row r="12169" spans="1:13">
      <c r="A12169">
        <v>81039500</v>
      </c>
      <c r="B12169">
        <v>2102032</v>
      </c>
      <c r="C12169" t="s">
        <v>5621</v>
      </c>
      <c r="D12169" t="s">
        <v>441</v>
      </c>
      <c r="F12169">
        <v>0</v>
      </c>
      <c r="H12169" t="s">
        <v>8584</v>
      </c>
      <c r="I12169">
        <v>360</v>
      </c>
      <c r="J12169" t="s">
        <v>458</v>
      </c>
      <c r="M12169">
        <v>0</v>
      </c>
    </row>
    <row r="12170" spans="1:13">
      <c r="A12170">
        <v>81039600</v>
      </c>
      <c r="B12170">
        <v>2102187</v>
      </c>
      <c r="C12170" t="s">
        <v>5622</v>
      </c>
      <c r="D12170" t="s">
        <v>441</v>
      </c>
      <c r="F12170">
        <v>0</v>
      </c>
      <c r="I12170">
        <v>360</v>
      </c>
      <c r="J12170" t="s">
        <v>458</v>
      </c>
      <c r="K12170" t="s">
        <v>446</v>
      </c>
      <c r="M12170">
        <v>0</v>
      </c>
    </row>
    <row r="12171" spans="1:13">
      <c r="A12171">
        <v>81039700</v>
      </c>
      <c r="B12171">
        <v>2102211</v>
      </c>
      <c r="C12171" t="s">
        <v>5623</v>
      </c>
      <c r="D12171" t="s">
        <v>441</v>
      </c>
      <c r="F12171">
        <v>0</v>
      </c>
      <c r="I12171">
        <v>730</v>
      </c>
      <c r="J12171" t="s">
        <v>458</v>
      </c>
      <c r="M12171">
        <v>0</v>
      </c>
    </row>
    <row r="12172" spans="1:13">
      <c r="A12172">
        <v>81039800</v>
      </c>
      <c r="B12172">
        <v>2102134</v>
      </c>
      <c r="C12172" t="s">
        <v>13811</v>
      </c>
      <c r="D12172" t="s">
        <v>441</v>
      </c>
      <c r="F12172">
        <v>0</v>
      </c>
      <c r="H12172" t="s">
        <v>8580</v>
      </c>
      <c r="I12172">
        <v>730</v>
      </c>
      <c r="J12172" t="s">
        <v>458</v>
      </c>
      <c r="M12172">
        <v>0</v>
      </c>
    </row>
    <row r="12173" spans="1:13">
      <c r="A12173">
        <v>81039900</v>
      </c>
      <c r="B12173">
        <v>2102230</v>
      </c>
      <c r="C12173" t="s">
        <v>5624</v>
      </c>
      <c r="D12173" t="s">
        <v>441</v>
      </c>
      <c r="F12173">
        <v>0</v>
      </c>
      <c r="I12173">
        <v>365</v>
      </c>
      <c r="J12173" t="s">
        <v>458</v>
      </c>
      <c r="M12173">
        <v>0</v>
      </c>
    </row>
    <row r="12174" spans="1:13">
      <c r="A12174">
        <v>81040100</v>
      </c>
      <c r="B12174">
        <v>2102216</v>
      </c>
      <c r="C12174" t="s">
        <v>5625</v>
      </c>
      <c r="D12174" t="s">
        <v>441</v>
      </c>
      <c r="F12174">
        <v>0</v>
      </c>
      <c r="H12174" t="s">
        <v>8580</v>
      </c>
      <c r="I12174">
        <v>360</v>
      </c>
      <c r="J12174" t="s">
        <v>458</v>
      </c>
      <c r="K12174" t="s">
        <v>446</v>
      </c>
      <c r="M12174">
        <v>0</v>
      </c>
    </row>
    <row r="12175" spans="1:13">
      <c r="A12175">
        <v>81040200</v>
      </c>
      <c r="B12175">
        <v>2102215</v>
      </c>
      <c r="C12175" t="s">
        <v>5626</v>
      </c>
      <c r="D12175" t="s">
        <v>441</v>
      </c>
      <c r="F12175">
        <v>0</v>
      </c>
      <c r="H12175" t="s">
        <v>8580</v>
      </c>
      <c r="I12175">
        <v>540</v>
      </c>
      <c r="J12175" t="s">
        <v>458</v>
      </c>
      <c r="K12175" t="s">
        <v>446</v>
      </c>
      <c r="M12175">
        <v>0</v>
      </c>
    </row>
    <row r="12176" spans="1:13">
      <c r="A12176">
        <v>81040300</v>
      </c>
      <c r="B12176">
        <v>2102234</v>
      </c>
      <c r="C12176" t="s">
        <v>5627</v>
      </c>
      <c r="D12176" t="s">
        <v>441</v>
      </c>
      <c r="F12176">
        <v>0</v>
      </c>
      <c r="H12176" t="s">
        <v>8580</v>
      </c>
      <c r="I12176">
        <v>720</v>
      </c>
      <c r="J12176" t="s">
        <v>458</v>
      </c>
      <c r="K12176" t="s">
        <v>446</v>
      </c>
      <c r="M12176">
        <v>0</v>
      </c>
    </row>
    <row r="12177" spans="1:13">
      <c r="A12177">
        <v>81040400</v>
      </c>
      <c r="B12177">
        <v>2101197</v>
      </c>
      <c r="C12177" t="s">
        <v>5628</v>
      </c>
      <c r="D12177" t="s">
        <v>441</v>
      </c>
      <c r="F12177">
        <v>0</v>
      </c>
      <c r="H12177" t="s">
        <v>8584</v>
      </c>
      <c r="I12177">
        <v>547</v>
      </c>
      <c r="J12177" t="s">
        <v>458</v>
      </c>
      <c r="K12177" t="s">
        <v>446</v>
      </c>
      <c r="M12177">
        <v>0</v>
      </c>
    </row>
    <row r="12178" spans="1:13">
      <c r="A12178">
        <v>81040500</v>
      </c>
      <c r="B12178">
        <v>2102235</v>
      </c>
      <c r="C12178" t="s">
        <v>13812</v>
      </c>
      <c r="D12178" t="s">
        <v>441</v>
      </c>
      <c r="F12178">
        <v>0</v>
      </c>
      <c r="H12178" t="s">
        <v>8580</v>
      </c>
      <c r="I12178">
        <v>360</v>
      </c>
      <c r="J12178" t="s">
        <v>458</v>
      </c>
      <c r="K12178" t="s">
        <v>446</v>
      </c>
      <c r="M12178">
        <v>0</v>
      </c>
    </row>
    <row r="12179" spans="1:13">
      <c r="A12179">
        <v>81040600</v>
      </c>
      <c r="B12179">
        <v>2102236</v>
      </c>
      <c r="C12179" t="s">
        <v>5629</v>
      </c>
      <c r="D12179" t="s">
        <v>441</v>
      </c>
      <c r="F12179">
        <v>0</v>
      </c>
      <c r="H12179" t="s">
        <v>8580</v>
      </c>
      <c r="I12179">
        <v>360</v>
      </c>
      <c r="J12179" t="s">
        <v>458</v>
      </c>
      <c r="K12179" t="s">
        <v>446</v>
      </c>
      <c r="M12179">
        <v>0</v>
      </c>
    </row>
    <row r="12180" spans="1:13">
      <c r="A12180">
        <v>81040700</v>
      </c>
      <c r="B12180">
        <v>2102237</v>
      </c>
      <c r="C12180" t="s">
        <v>13813</v>
      </c>
      <c r="D12180" t="s">
        <v>441</v>
      </c>
      <c r="F12180">
        <v>0</v>
      </c>
      <c r="H12180" t="s">
        <v>8580</v>
      </c>
      <c r="I12180">
        <v>360</v>
      </c>
      <c r="J12180" t="s">
        <v>458</v>
      </c>
      <c r="K12180" t="s">
        <v>446</v>
      </c>
      <c r="M12180">
        <v>0</v>
      </c>
    </row>
    <row r="12181" spans="1:13">
      <c r="A12181">
        <v>81040800</v>
      </c>
      <c r="B12181">
        <v>2102238</v>
      </c>
      <c r="C12181" t="s">
        <v>13814</v>
      </c>
      <c r="D12181" t="s">
        <v>441</v>
      </c>
      <c r="F12181">
        <v>0</v>
      </c>
      <c r="H12181" t="s">
        <v>8580</v>
      </c>
      <c r="I12181">
        <v>360</v>
      </c>
      <c r="J12181" t="s">
        <v>458</v>
      </c>
      <c r="K12181" t="s">
        <v>446</v>
      </c>
      <c r="M12181">
        <v>0</v>
      </c>
    </row>
    <row r="12182" spans="1:13">
      <c r="A12182">
        <v>81040900</v>
      </c>
      <c r="B12182">
        <v>2102239</v>
      </c>
      <c r="C12182" t="s">
        <v>13815</v>
      </c>
      <c r="D12182" t="s">
        <v>441</v>
      </c>
      <c r="F12182">
        <v>0</v>
      </c>
      <c r="I12182">
        <v>360</v>
      </c>
      <c r="J12182" t="s">
        <v>458</v>
      </c>
      <c r="K12182" t="s">
        <v>446</v>
      </c>
      <c r="M12182">
        <v>0</v>
      </c>
    </row>
    <row r="12183" spans="1:13">
      <c r="A12183">
        <v>81041500</v>
      </c>
      <c r="B12183">
        <v>2102280</v>
      </c>
      <c r="C12183" t="s">
        <v>5630</v>
      </c>
      <c r="D12183" t="s">
        <v>441</v>
      </c>
      <c r="F12183">
        <v>0</v>
      </c>
      <c r="H12183" t="s">
        <v>8580</v>
      </c>
      <c r="I12183">
        <v>365</v>
      </c>
      <c r="J12183" t="s">
        <v>458</v>
      </c>
      <c r="K12183" t="s">
        <v>446</v>
      </c>
      <c r="M12183">
        <v>0</v>
      </c>
    </row>
    <row r="12184" spans="1:13">
      <c r="A12184">
        <v>81042100</v>
      </c>
      <c r="B12184">
        <v>2102264</v>
      </c>
      <c r="C12184" t="s">
        <v>5631</v>
      </c>
      <c r="D12184" t="s">
        <v>441</v>
      </c>
      <c r="F12184">
        <v>0</v>
      </c>
      <c r="H12184" t="s">
        <v>8580</v>
      </c>
      <c r="I12184">
        <v>365</v>
      </c>
      <c r="J12184" t="s">
        <v>458</v>
      </c>
      <c r="K12184" t="s">
        <v>446</v>
      </c>
      <c r="M12184">
        <v>0</v>
      </c>
    </row>
    <row r="12185" spans="1:13">
      <c r="A12185">
        <v>81042200</v>
      </c>
      <c r="B12185">
        <v>2102263</v>
      </c>
      <c r="C12185" t="s">
        <v>5632</v>
      </c>
      <c r="D12185" t="s">
        <v>441</v>
      </c>
      <c r="F12185">
        <v>0</v>
      </c>
      <c r="I12185">
        <v>365</v>
      </c>
      <c r="J12185" t="s">
        <v>458</v>
      </c>
      <c r="K12185" t="s">
        <v>446</v>
      </c>
      <c r="M12185">
        <v>0</v>
      </c>
    </row>
    <row r="12186" spans="1:13">
      <c r="A12186">
        <v>81042300</v>
      </c>
      <c r="B12186">
        <v>2102262</v>
      </c>
      <c r="C12186" t="s">
        <v>5633</v>
      </c>
      <c r="D12186" t="s">
        <v>441</v>
      </c>
      <c r="F12186">
        <v>0</v>
      </c>
      <c r="I12186">
        <v>365</v>
      </c>
      <c r="J12186" t="s">
        <v>458</v>
      </c>
      <c r="K12186" t="s">
        <v>446</v>
      </c>
      <c r="M12186">
        <v>0</v>
      </c>
    </row>
    <row r="12187" spans="1:13">
      <c r="A12187">
        <v>81042400</v>
      </c>
      <c r="B12187">
        <v>2101622</v>
      </c>
      <c r="C12187" t="s">
        <v>5634</v>
      </c>
      <c r="D12187" t="s">
        <v>441</v>
      </c>
      <c r="F12187">
        <v>0</v>
      </c>
      <c r="H12187" t="s">
        <v>8580</v>
      </c>
      <c r="I12187">
        <v>730</v>
      </c>
      <c r="J12187" t="s">
        <v>458</v>
      </c>
      <c r="K12187" t="s">
        <v>446</v>
      </c>
      <c r="M12187">
        <v>0</v>
      </c>
    </row>
    <row r="12188" spans="1:13">
      <c r="A12188">
        <v>81043800</v>
      </c>
      <c r="B12188">
        <v>2102201</v>
      </c>
      <c r="C12188" t="s">
        <v>5635</v>
      </c>
      <c r="D12188" t="s">
        <v>441</v>
      </c>
      <c r="F12188">
        <v>0</v>
      </c>
      <c r="I12188">
        <v>365</v>
      </c>
      <c r="J12188" t="s">
        <v>458</v>
      </c>
      <c r="K12188" t="s">
        <v>446</v>
      </c>
      <c r="M12188">
        <v>0</v>
      </c>
    </row>
    <row r="12189" spans="1:13">
      <c r="A12189">
        <v>81043900</v>
      </c>
      <c r="B12189">
        <v>2100300</v>
      </c>
      <c r="C12189" t="s">
        <v>5636</v>
      </c>
      <c r="D12189" t="s">
        <v>441</v>
      </c>
      <c r="F12189">
        <v>0</v>
      </c>
      <c r="I12189">
        <v>365</v>
      </c>
      <c r="J12189" t="s">
        <v>458</v>
      </c>
      <c r="K12189" t="s">
        <v>446</v>
      </c>
      <c r="M12189">
        <v>0</v>
      </c>
    </row>
    <row r="12190" spans="1:13">
      <c r="A12190">
        <v>81044000</v>
      </c>
      <c r="B12190">
        <v>2102295</v>
      </c>
      <c r="C12190" t="s">
        <v>5637</v>
      </c>
      <c r="D12190" t="s">
        <v>441</v>
      </c>
      <c r="F12190">
        <v>0</v>
      </c>
      <c r="I12190">
        <v>360</v>
      </c>
      <c r="J12190" t="s">
        <v>458</v>
      </c>
      <c r="M12190">
        <v>0</v>
      </c>
    </row>
    <row r="12191" spans="1:13">
      <c r="A12191">
        <v>81044100</v>
      </c>
      <c r="B12191">
        <v>2102296</v>
      </c>
      <c r="C12191" t="s">
        <v>5638</v>
      </c>
      <c r="D12191" t="s">
        <v>441</v>
      </c>
      <c r="F12191">
        <v>0</v>
      </c>
      <c r="I12191">
        <v>360</v>
      </c>
      <c r="J12191" t="s">
        <v>458</v>
      </c>
      <c r="M12191">
        <v>0</v>
      </c>
    </row>
    <row r="12192" spans="1:13">
      <c r="A12192">
        <v>81044200</v>
      </c>
      <c r="B12192">
        <v>2100402</v>
      </c>
      <c r="C12192" t="s">
        <v>5639</v>
      </c>
      <c r="D12192" t="s">
        <v>441</v>
      </c>
      <c r="F12192">
        <v>0</v>
      </c>
      <c r="I12192">
        <v>730</v>
      </c>
      <c r="J12192" t="s">
        <v>458</v>
      </c>
      <c r="K12192" t="s">
        <v>446</v>
      </c>
      <c r="M12192">
        <v>0</v>
      </c>
    </row>
    <row r="12193" spans="1:13">
      <c r="A12193">
        <v>81044300</v>
      </c>
      <c r="B12193">
        <v>2102365</v>
      </c>
      <c r="C12193" t="s">
        <v>5640</v>
      </c>
      <c r="D12193" t="s">
        <v>441</v>
      </c>
      <c r="F12193">
        <v>0</v>
      </c>
      <c r="H12193" t="s">
        <v>8584</v>
      </c>
      <c r="I12193">
        <v>365</v>
      </c>
      <c r="J12193" t="s">
        <v>458</v>
      </c>
      <c r="K12193" t="s">
        <v>446</v>
      </c>
      <c r="M12193">
        <v>0</v>
      </c>
    </row>
    <row r="12194" spans="1:13">
      <c r="A12194">
        <v>81044400</v>
      </c>
      <c r="B12194">
        <v>2102379</v>
      </c>
      <c r="C12194" t="s">
        <v>5641</v>
      </c>
      <c r="D12194" t="s">
        <v>441</v>
      </c>
      <c r="F12194">
        <v>0</v>
      </c>
      <c r="H12194" t="s">
        <v>8935</v>
      </c>
      <c r="I12194">
        <v>365</v>
      </c>
      <c r="J12194" t="s">
        <v>458</v>
      </c>
      <c r="K12194" t="s">
        <v>446</v>
      </c>
      <c r="M12194">
        <v>0</v>
      </c>
    </row>
    <row r="12195" spans="1:13">
      <c r="A12195">
        <v>81044500</v>
      </c>
      <c r="B12195">
        <v>2102367</v>
      </c>
      <c r="C12195" t="s">
        <v>5642</v>
      </c>
      <c r="D12195" t="s">
        <v>441</v>
      </c>
      <c r="F12195">
        <v>0</v>
      </c>
      <c r="I12195">
        <v>365</v>
      </c>
      <c r="J12195" t="s">
        <v>458</v>
      </c>
      <c r="K12195" t="s">
        <v>446</v>
      </c>
      <c r="M12195">
        <v>0</v>
      </c>
    </row>
    <row r="12196" spans="1:13">
      <c r="A12196">
        <v>81044600</v>
      </c>
      <c r="B12196">
        <v>2102368</v>
      </c>
      <c r="C12196" t="s">
        <v>5643</v>
      </c>
      <c r="D12196" t="s">
        <v>441</v>
      </c>
      <c r="F12196">
        <v>0</v>
      </c>
      <c r="H12196" t="s">
        <v>8580</v>
      </c>
      <c r="I12196">
        <v>365</v>
      </c>
      <c r="J12196" t="s">
        <v>458</v>
      </c>
      <c r="K12196" t="s">
        <v>446</v>
      </c>
      <c r="M12196">
        <v>0</v>
      </c>
    </row>
    <row r="12197" spans="1:13">
      <c r="A12197">
        <v>81044700</v>
      </c>
      <c r="B12197">
        <v>2102369</v>
      </c>
      <c r="C12197" t="s">
        <v>5644</v>
      </c>
      <c r="D12197" t="s">
        <v>441</v>
      </c>
      <c r="F12197">
        <v>0</v>
      </c>
      <c r="H12197" t="s">
        <v>8580</v>
      </c>
      <c r="I12197">
        <v>365</v>
      </c>
      <c r="J12197" t="s">
        <v>458</v>
      </c>
      <c r="K12197" t="s">
        <v>446</v>
      </c>
      <c r="M12197">
        <v>0</v>
      </c>
    </row>
    <row r="12198" spans="1:13">
      <c r="A12198">
        <v>81044800</v>
      </c>
      <c r="B12198">
        <v>2102390</v>
      </c>
      <c r="C12198" t="s">
        <v>5645</v>
      </c>
      <c r="D12198" t="s">
        <v>441</v>
      </c>
      <c r="F12198">
        <v>0</v>
      </c>
      <c r="H12198" t="s">
        <v>8580</v>
      </c>
      <c r="I12198">
        <v>365</v>
      </c>
      <c r="J12198" t="s">
        <v>458</v>
      </c>
      <c r="K12198" t="s">
        <v>446</v>
      </c>
      <c r="M12198">
        <v>0</v>
      </c>
    </row>
    <row r="12199" spans="1:13">
      <c r="A12199">
        <v>81044900</v>
      </c>
      <c r="B12199">
        <v>2102382</v>
      </c>
      <c r="C12199" t="s">
        <v>5646</v>
      </c>
      <c r="D12199" t="s">
        <v>441</v>
      </c>
      <c r="F12199">
        <v>0</v>
      </c>
      <c r="H12199" t="s">
        <v>8935</v>
      </c>
      <c r="I12199">
        <v>540</v>
      </c>
      <c r="J12199" t="s">
        <v>458</v>
      </c>
      <c r="K12199" t="s">
        <v>446</v>
      </c>
      <c r="M12199">
        <v>0</v>
      </c>
    </row>
    <row r="12200" spans="1:13">
      <c r="A12200">
        <v>81045000</v>
      </c>
      <c r="B12200">
        <v>2102383</v>
      </c>
      <c r="C12200" t="s">
        <v>13816</v>
      </c>
      <c r="D12200" t="s">
        <v>441</v>
      </c>
      <c r="F12200">
        <v>0</v>
      </c>
      <c r="H12200" t="s">
        <v>8935</v>
      </c>
      <c r="I12200">
        <v>365</v>
      </c>
      <c r="J12200" t="s">
        <v>458</v>
      </c>
      <c r="K12200" t="s">
        <v>446</v>
      </c>
      <c r="M12200">
        <v>0</v>
      </c>
    </row>
    <row r="12201" spans="1:13">
      <c r="A12201">
        <v>81045100</v>
      </c>
      <c r="B12201">
        <v>2102385</v>
      </c>
      <c r="C12201" t="s">
        <v>13817</v>
      </c>
      <c r="D12201" t="s">
        <v>441</v>
      </c>
      <c r="F12201">
        <v>0</v>
      </c>
      <c r="H12201" t="s">
        <v>8580</v>
      </c>
      <c r="I12201">
        <v>365</v>
      </c>
      <c r="J12201" t="s">
        <v>458</v>
      </c>
      <c r="K12201" t="s">
        <v>446</v>
      </c>
      <c r="M12201">
        <v>0</v>
      </c>
    </row>
    <row r="12202" spans="1:13">
      <c r="A12202">
        <v>81045200</v>
      </c>
      <c r="B12202">
        <v>2102388</v>
      </c>
      <c r="C12202" t="s">
        <v>5647</v>
      </c>
      <c r="D12202" t="s">
        <v>441</v>
      </c>
      <c r="F12202">
        <v>0</v>
      </c>
      <c r="H12202" t="s">
        <v>8580</v>
      </c>
      <c r="I12202">
        <v>180</v>
      </c>
      <c r="J12202" t="s">
        <v>458</v>
      </c>
      <c r="M12202">
        <v>0</v>
      </c>
    </row>
    <row r="12203" spans="1:13">
      <c r="A12203">
        <v>81045300</v>
      </c>
      <c r="B12203">
        <v>2102410</v>
      </c>
      <c r="C12203" t="s">
        <v>13818</v>
      </c>
      <c r="D12203" t="s">
        <v>441</v>
      </c>
      <c r="F12203">
        <v>0</v>
      </c>
      <c r="H12203" t="s">
        <v>8584</v>
      </c>
      <c r="I12203">
        <v>365</v>
      </c>
      <c r="J12203" t="s">
        <v>458</v>
      </c>
      <c r="K12203" t="s">
        <v>446</v>
      </c>
      <c r="M12203">
        <v>0</v>
      </c>
    </row>
    <row r="12204" spans="1:13">
      <c r="A12204">
        <v>81045400</v>
      </c>
      <c r="B12204">
        <v>2102420</v>
      </c>
      <c r="C12204" t="s">
        <v>5648</v>
      </c>
      <c r="D12204" t="s">
        <v>441</v>
      </c>
      <c r="F12204">
        <v>0</v>
      </c>
      <c r="I12204">
        <v>365</v>
      </c>
      <c r="J12204" t="s">
        <v>458</v>
      </c>
      <c r="K12204" t="s">
        <v>446</v>
      </c>
      <c r="M12204">
        <v>0</v>
      </c>
    </row>
    <row r="12205" spans="1:13">
      <c r="A12205">
        <v>81045500</v>
      </c>
      <c r="B12205">
        <v>2102421</v>
      </c>
      <c r="C12205" t="s">
        <v>5649</v>
      </c>
      <c r="D12205" t="s">
        <v>441</v>
      </c>
      <c r="F12205">
        <v>0</v>
      </c>
      <c r="I12205">
        <v>365</v>
      </c>
      <c r="J12205" t="s">
        <v>458</v>
      </c>
      <c r="K12205" t="s">
        <v>446</v>
      </c>
      <c r="M12205">
        <v>0</v>
      </c>
    </row>
    <row r="12206" spans="1:13">
      <c r="A12206">
        <v>81045600</v>
      </c>
      <c r="B12206">
        <v>2102460</v>
      </c>
      <c r="C12206" t="s">
        <v>5650</v>
      </c>
      <c r="D12206" t="s">
        <v>441</v>
      </c>
      <c r="F12206">
        <v>0</v>
      </c>
      <c r="H12206" t="s">
        <v>8584</v>
      </c>
      <c r="I12206">
        <v>730</v>
      </c>
      <c r="J12206" t="s">
        <v>458</v>
      </c>
      <c r="M12206">
        <v>0</v>
      </c>
    </row>
    <row r="12207" spans="1:13">
      <c r="A12207">
        <v>81045700</v>
      </c>
      <c r="B12207">
        <v>2102461</v>
      </c>
      <c r="C12207" t="s">
        <v>5651</v>
      </c>
      <c r="D12207" t="s">
        <v>441</v>
      </c>
      <c r="F12207">
        <v>0</v>
      </c>
      <c r="H12207" t="s">
        <v>8580</v>
      </c>
      <c r="I12207">
        <v>365</v>
      </c>
      <c r="J12207" t="s">
        <v>458</v>
      </c>
      <c r="M12207">
        <v>0</v>
      </c>
    </row>
    <row r="12208" spans="1:13">
      <c r="A12208">
        <v>81045800</v>
      </c>
      <c r="B12208">
        <v>2102462</v>
      </c>
      <c r="C12208" t="s">
        <v>5652</v>
      </c>
      <c r="D12208" t="s">
        <v>441</v>
      </c>
      <c r="F12208">
        <v>0</v>
      </c>
      <c r="H12208" t="s">
        <v>8637</v>
      </c>
      <c r="I12208">
        <v>560</v>
      </c>
      <c r="J12208" t="s">
        <v>458</v>
      </c>
      <c r="M12208">
        <v>0</v>
      </c>
    </row>
    <row r="12209" spans="1:13">
      <c r="A12209">
        <v>81045900</v>
      </c>
      <c r="B12209">
        <v>2102463</v>
      </c>
      <c r="C12209" t="s">
        <v>5653</v>
      </c>
      <c r="D12209" t="s">
        <v>441</v>
      </c>
      <c r="F12209">
        <v>0</v>
      </c>
      <c r="H12209" t="s">
        <v>8627</v>
      </c>
      <c r="I12209">
        <v>560</v>
      </c>
      <c r="J12209" t="s">
        <v>458</v>
      </c>
      <c r="M12209">
        <v>0</v>
      </c>
    </row>
    <row r="12210" spans="1:13">
      <c r="A12210">
        <v>81046000</v>
      </c>
      <c r="B12210">
        <v>2102311</v>
      </c>
      <c r="C12210" t="s">
        <v>5654</v>
      </c>
      <c r="D12210" t="s">
        <v>441</v>
      </c>
      <c r="F12210">
        <v>0</v>
      </c>
      <c r="I12210">
        <v>765</v>
      </c>
      <c r="J12210" t="s">
        <v>458</v>
      </c>
      <c r="M12210">
        <v>0</v>
      </c>
    </row>
    <row r="12211" spans="1:13">
      <c r="A12211">
        <v>81046100</v>
      </c>
      <c r="B12211">
        <v>2102312</v>
      </c>
      <c r="C12211" t="s">
        <v>13819</v>
      </c>
      <c r="D12211" t="s">
        <v>441</v>
      </c>
      <c r="E12211" t="s">
        <v>5567</v>
      </c>
      <c r="F12211">
        <v>1</v>
      </c>
      <c r="G12211">
        <v>0</v>
      </c>
      <c r="I12211">
        <v>765</v>
      </c>
      <c r="J12211" t="s">
        <v>458</v>
      </c>
      <c r="M12211">
        <v>0</v>
      </c>
    </row>
    <row r="12212" spans="1:13">
      <c r="A12212">
        <v>81046200</v>
      </c>
      <c r="B12212">
        <v>2102310</v>
      </c>
      <c r="C12212" t="s">
        <v>13820</v>
      </c>
      <c r="D12212" t="s">
        <v>441</v>
      </c>
      <c r="F12212">
        <v>0</v>
      </c>
      <c r="I12212">
        <v>765</v>
      </c>
      <c r="J12212" t="s">
        <v>458</v>
      </c>
      <c r="M12212">
        <v>0</v>
      </c>
    </row>
    <row r="12213" spans="1:13">
      <c r="A12213">
        <v>81046300</v>
      </c>
      <c r="B12213">
        <v>2100022</v>
      </c>
      <c r="C12213" t="s">
        <v>13821</v>
      </c>
      <c r="D12213" t="s">
        <v>441</v>
      </c>
      <c r="F12213">
        <v>0</v>
      </c>
      <c r="H12213" t="s">
        <v>8935</v>
      </c>
      <c r="I12213">
        <v>1080</v>
      </c>
      <c r="J12213" t="s">
        <v>458</v>
      </c>
      <c r="M12213">
        <v>0</v>
      </c>
    </row>
    <row r="12214" spans="1:13">
      <c r="A12214">
        <v>81046400</v>
      </c>
      <c r="B12214">
        <v>2100831</v>
      </c>
      <c r="C12214" t="s">
        <v>13822</v>
      </c>
      <c r="D12214" t="s">
        <v>441</v>
      </c>
      <c r="F12214">
        <v>0</v>
      </c>
      <c r="I12214">
        <v>547</v>
      </c>
      <c r="J12214" t="s">
        <v>458</v>
      </c>
      <c r="K12214" t="s">
        <v>446</v>
      </c>
      <c r="M12214">
        <v>0</v>
      </c>
    </row>
    <row r="12215" spans="1:13">
      <c r="A12215">
        <v>81046500</v>
      </c>
      <c r="B12215">
        <v>2102472</v>
      </c>
      <c r="C12215" t="s">
        <v>5655</v>
      </c>
      <c r="D12215" t="s">
        <v>441</v>
      </c>
      <c r="F12215">
        <v>0</v>
      </c>
      <c r="I12215">
        <v>365</v>
      </c>
      <c r="J12215" t="s">
        <v>458</v>
      </c>
      <c r="M12215">
        <v>0</v>
      </c>
    </row>
    <row r="12216" spans="1:13">
      <c r="A12216">
        <v>81046600</v>
      </c>
      <c r="B12216">
        <v>2102481</v>
      </c>
      <c r="C12216" t="s">
        <v>5656</v>
      </c>
      <c r="D12216" t="s">
        <v>441</v>
      </c>
      <c r="F12216">
        <v>0</v>
      </c>
      <c r="H12216" t="s">
        <v>8622</v>
      </c>
      <c r="I12216">
        <v>365</v>
      </c>
      <c r="J12216" t="s">
        <v>458</v>
      </c>
      <c r="M12216">
        <v>0</v>
      </c>
    </row>
    <row r="12217" spans="1:13">
      <c r="A12217">
        <v>81046700</v>
      </c>
      <c r="B12217">
        <v>2102482</v>
      </c>
      <c r="C12217" t="s">
        <v>5657</v>
      </c>
      <c r="D12217" t="s">
        <v>441</v>
      </c>
      <c r="F12217">
        <v>0</v>
      </c>
      <c r="H12217" t="s">
        <v>8584</v>
      </c>
      <c r="I12217">
        <v>560</v>
      </c>
      <c r="J12217" t="s">
        <v>458</v>
      </c>
      <c r="M12217">
        <v>0</v>
      </c>
    </row>
    <row r="12218" spans="1:13">
      <c r="A12218">
        <v>81046800</v>
      </c>
      <c r="B12218">
        <v>2102480</v>
      </c>
      <c r="C12218" t="s">
        <v>5658</v>
      </c>
      <c r="D12218" t="s">
        <v>441</v>
      </c>
      <c r="F12218">
        <v>0</v>
      </c>
      <c r="H12218" t="s">
        <v>8584</v>
      </c>
      <c r="I12218">
        <v>560</v>
      </c>
      <c r="J12218" t="s">
        <v>458</v>
      </c>
      <c r="K12218" t="s">
        <v>446</v>
      </c>
      <c r="M12218">
        <v>0</v>
      </c>
    </row>
    <row r="12219" spans="1:13">
      <c r="A12219">
        <v>81046900</v>
      </c>
      <c r="B12219">
        <v>2100902</v>
      </c>
      <c r="C12219" t="s">
        <v>13823</v>
      </c>
      <c r="D12219" t="s">
        <v>441</v>
      </c>
      <c r="F12219">
        <v>0</v>
      </c>
      <c r="H12219" t="s">
        <v>8580</v>
      </c>
      <c r="I12219">
        <v>365</v>
      </c>
      <c r="J12219" t="s">
        <v>458</v>
      </c>
      <c r="M12219">
        <v>0</v>
      </c>
    </row>
    <row r="12220" spans="1:13">
      <c r="A12220">
        <v>81047000</v>
      </c>
      <c r="B12220">
        <v>2101076</v>
      </c>
      <c r="C12220" t="s">
        <v>5659</v>
      </c>
      <c r="D12220" t="s">
        <v>441</v>
      </c>
      <c r="F12220">
        <v>0</v>
      </c>
      <c r="H12220" t="s">
        <v>8580</v>
      </c>
      <c r="I12220">
        <v>365</v>
      </c>
      <c r="J12220" t="s">
        <v>458</v>
      </c>
      <c r="M12220">
        <v>0</v>
      </c>
    </row>
    <row r="12221" spans="1:13">
      <c r="A12221">
        <v>81047100</v>
      </c>
      <c r="B12221">
        <v>2101100</v>
      </c>
      <c r="C12221" t="s">
        <v>5660</v>
      </c>
      <c r="D12221" t="s">
        <v>441</v>
      </c>
      <c r="F12221">
        <v>0</v>
      </c>
      <c r="H12221" t="s">
        <v>8584</v>
      </c>
      <c r="I12221">
        <v>365</v>
      </c>
      <c r="J12221" t="s">
        <v>458</v>
      </c>
      <c r="M12221">
        <v>0</v>
      </c>
    </row>
    <row r="12222" spans="1:13">
      <c r="A12222">
        <v>81047200</v>
      </c>
      <c r="B12222">
        <v>2100846</v>
      </c>
      <c r="C12222" t="s">
        <v>13824</v>
      </c>
      <c r="D12222" t="s">
        <v>441</v>
      </c>
      <c r="F12222">
        <v>0</v>
      </c>
      <c r="I12222">
        <v>1095</v>
      </c>
      <c r="J12222" t="s">
        <v>458</v>
      </c>
      <c r="K12222" t="s">
        <v>446</v>
      </c>
      <c r="M12222">
        <v>0</v>
      </c>
    </row>
    <row r="12223" spans="1:13">
      <c r="A12223">
        <v>81047300</v>
      </c>
      <c r="B12223">
        <v>2100970</v>
      </c>
      <c r="C12223" t="s">
        <v>13825</v>
      </c>
      <c r="D12223" t="s">
        <v>441</v>
      </c>
      <c r="F12223">
        <v>0</v>
      </c>
      <c r="H12223" t="s">
        <v>8580</v>
      </c>
      <c r="I12223">
        <v>1140</v>
      </c>
      <c r="J12223" t="s">
        <v>458</v>
      </c>
      <c r="M12223">
        <v>0</v>
      </c>
    </row>
    <row r="12224" spans="1:13">
      <c r="A12224">
        <v>81047400</v>
      </c>
      <c r="B12224">
        <v>2101046</v>
      </c>
      <c r="C12224" t="s">
        <v>5661</v>
      </c>
      <c r="D12224" t="s">
        <v>441</v>
      </c>
      <c r="F12224">
        <v>0</v>
      </c>
      <c r="H12224" t="s">
        <v>8624</v>
      </c>
      <c r="I12224">
        <v>547</v>
      </c>
      <c r="J12224" t="s">
        <v>458</v>
      </c>
      <c r="M12224">
        <v>0</v>
      </c>
    </row>
    <row r="12225" spans="1:13">
      <c r="A12225">
        <v>81047500</v>
      </c>
      <c r="B12225">
        <v>2102520</v>
      </c>
      <c r="C12225" t="s">
        <v>5662</v>
      </c>
      <c r="D12225" t="s">
        <v>441</v>
      </c>
      <c r="F12225">
        <v>0</v>
      </c>
      <c r="H12225" t="s">
        <v>8580</v>
      </c>
      <c r="I12225">
        <v>560</v>
      </c>
      <c r="J12225" t="s">
        <v>458</v>
      </c>
      <c r="K12225" t="s">
        <v>446</v>
      </c>
      <c r="M12225">
        <v>0</v>
      </c>
    </row>
    <row r="12226" spans="1:13">
      <c r="A12226">
        <v>81047600</v>
      </c>
      <c r="B12226">
        <v>2102479</v>
      </c>
      <c r="C12226" t="s">
        <v>5663</v>
      </c>
      <c r="D12226" t="s">
        <v>441</v>
      </c>
      <c r="F12226">
        <v>0</v>
      </c>
      <c r="H12226" t="s">
        <v>8580</v>
      </c>
      <c r="I12226">
        <v>560</v>
      </c>
      <c r="J12226" t="s">
        <v>458</v>
      </c>
      <c r="K12226" t="s">
        <v>446</v>
      </c>
      <c r="M12226">
        <v>0</v>
      </c>
    </row>
    <row r="12227" spans="1:13">
      <c r="A12227">
        <v>81047700</v>
      </c>
      <c r="B12227">
        <v>2102505</v>
      </c>
      <c r="C12227" t="s">
        <v>13826</v>
      </c>
      <c r="D12227" t="s">
        <v>441</v>
      </c>
      <c r="F12227">
        <v>0</v>
      </c>
      <c r="H12227" t="s">
        <v>8634</v>
      </c>
      <c r="I12227">
        <v>560</v>
      </c>
      <c r="J12227" t="s">
        <v>458</v>
      </c>
      <c r="M12227">
        <v>0</v>
      </c>
    </row>
    <row r="12228" spans="1:13">
      <c r="A12228">
        <v>81047800</v>
      </c>
      <c r="B12228">
        <v>2102523</v>
      </c>
      <c r="C12228" t="s">
        <v>5664</v>
      </c>
      <c r="D12228" t="s">
        <v>441</v>
      </c>
      <c r="F12228">
        <v>0</v>
      </c>
      <c r="H12228" t="s">
        <v>8584</v>
      </c>
      <c r="I12228">
        <v>365</v>
      </c>
      <c r="J12228" t="s">
        <v>458</v>
      </c>
      <c r="K12228" t="s">
        <v>446</v>
      </c>
      <c r="M12228">
        <v>0</v>
      </c>
    </row>
    <row r="12229" spans="1:13">
      <c r="A12229">
        <v>81047900</v>
      </c>
      <c r="B12229">
        <v>2102530</v>
      </c>
      <c r="C12229" t="s">
        <v>13827</v>
      </c>
      <c r="D12229" t="s">
        <v>441</v>
      </c>
      <c r="F12229">
        <v>0</v>
      </c>
      <c r="I12229">
        <v>365</v>
      </c>
      <c r="J12229" t="s">
        <v>458</v>
      </c>
      <c r="M12229">
        <v>0</v>
      </c>
    </row>
    <row r="12230" spans="1:13">
      <c r="A12230">
        <v>81048100</v>
      </c>
      <c r="B12230">
        <v>2102593</v>
      </c>
      <c r="C12230" t="s">
        <v>5665</v>
      </c>
      <c r="D12230" t="s">
        <v>441</v>
      </c>
      <c r="F12230">
        <v>0</v>
      </c>
      <c r="H12230" t="s">
        <v>8935</v>
      </c>
      <c r="I12230">
        <v>365</v>
      </c>
      <c r="J12230" t="s">
        <v>458</v>
      </c>
      <c r="M12230">
        <v>0</v>
      </c>
    </row>
    <row r="12231" spans="1:13">
      <c r="A12231">
        <v>81048200</v>
      </c>
      <c r="B12231">
        <v>2102600</v>
      </c>
      <c r="C12231" t="s">
        <v>5666</v>
      </c>
      <c r="D12231" t="s">
        <v>441</v>
      </c>
      <c r="F12231">
        <v>0</v>
      </c>
      <c r="H12231" t="s">
        <v>8935</v>
      </c>
      <c r="I12231">
        <v>365</v>
      </c>
      <c r="J12231" t="s">
        <v>458</v>
      </c>
      <c r="K12231" t="s">
        <v>446</v>
      </c>
      <c r="M12231">
        <v>0</v>
      </c>
    </row>
    <row r="12232" spans="1:13">
      <c r="A12232">
        <v>81048300</v>
      </c>
      <c r="B12232">
        <v>2102597</v>
      </c>
      <c r="C12232" t="s">
        <v>5667</v>
      </c>
      <c r="D12232" t="s">
        <v>441</v>
      </c>
      <c r="F12232">
        <v>0</v>
      </c>
      <c r="H12232" t="s">
        <v>8935</v>
      </c>
      <c r="I12232">
        <v>365</v>
      </c>
      <c r="J12232" t="s">
        <v>458</v>
      </c>
      <c r="M12232">
        <v>0</v>
      </c>
    </row>
    <row r="12233" spans="1:13">
      <c r="A12233">
        <v>81048400</v>
      </c>
      <c r="B12233">
        <v>2100381</v>
      </c>
      <c r="C12233" t="s">
        <v>5668</v>
      </c>
      <c r="D12233" t="s">
        <v>441</v>
      </c>
      <c r="F12233">
        <v>0</v>
      </c>
      <c r="H12233" t="s">
        <v>8584</v>
      </c>
      <c r="I12233">
        <v>730</v>
      </c>
      <c r="J12233" t="s">
        <v>458</v>
      </c>
      <c r="M12233">
        <v>0</v>
      </c>
    </row>
    <row r="12234" spans="1:13">
      <c r="A12234">
        <v>81048600</v>
      </c>
      <c r="B12234">
        <v>2101088</v>
      </c>
      <c r="C12234" t="s">
        <v>5669</v>
      </c>
      <c r="D12234" t="s">
        <v>441</v>
      </c>
      <c r="F12234">
        <v>0</v>
      </c>
      <c r="H12234" t="s">
        <v>8584</v>
      </c>
      <c r="I12234">
        <v>365</v>
      </c>
      <c r="J12234" t="s">
        <v>458</v>
      </c>
      <c r="M12234">
        <v>0</v>
      </c>
    </row>
    <row r="12235" spans="1:13">
      <c r="A12235">
        <v>81048700</v>
      </c>
      <c r="B12235">
        <v>2102682</v>
      </c>
      <c r="C12235" t="s">
        <v>13828</v>
      </c>
      <c r="D12235" t="s">
        <v>441</v>
      </c>
      <c r="F12235">
        <v>0</v>
      </c>
      <c r="H12235" t="s">
        <v>8634</v>
      </c>
      <c r="I12235">
        <v>1820</v>
      </c>
      <c r="J12235" t="s">
        <v>458</v>
      </c>
      <c r="M12235">
        <v>0</v>
      </c>
    </row>
    <row r="12236" spans="1:13">
      <c r="A12236">
        <v>81048800</v>
      </c>
      <c r="B12236">
        <v>2102363</v>
      </c>
      <c r="C12236" t="s">
        <v>13829</v>
      </c>
      <c r="D12236" t="s">
        <v>441</v>
      </c>
      <c r="F12236">
        <v>0</v>
      </c>
      <c r="H12236" t="s">
        <v>8580</v>
      </c>
      <c r="I12236">
        <v>547</v>
      </c>
      <c r="J12236" t="s">
        <v>458</v>
      </c>
      <c r="K12236" t="s">
        <v>446</v>
      </c>
      <c r="M12236">
        <v>0</v>
      </c>
    </row>
    <row r="12237" spans="1:13">
      <c r="A12237">
        <v>81049100</v>
      </c>
      <c r="B12237">
        <v>2102676</v>
      </c>
      <c r="C12237" t="s">
        <v>5670</v>
      </c>
      <c r="D12237" t="s">
        <v>441</v>
      </c>
      <c r="F12237">
        <v>0</v>
      </c>
      <c r="H12237" t="s">
        <v>8634</v>
      </c>
      <c r="I12237">
        <v>360</v>
      </c>
      <c r="J12237" t="s">
        <v>458</v>
      </c>
      <c r="M12237">
        <v>0</v>
      </c>
    </row>
    <row r="12238" spans="1:13">
      <c r="A12238">
        <v>81049400</v>
      </c>
      <c r="B12238">
        <v>2102730</v>
      </c>
      <c r="C12238" t="s">
        <v>13830</v>
      </c>
      <c r="D12238" t="s">
        <v>441</v>
      </c>
      <c r="F12238">
        <v>0</v>
      </c>
      <c r="H12238" t="s">
        <v>8580</v>
      </c>
      <c r="I12238">
        <v>360</v>
      </c>
      <c r="J12238" t="s">
        <v>458</v>
      </c>
      <c r="M12238">
        <v>0</v>
      </c>
    </row>
    <row r="12239" spans="1:13">
      <c r="A12239">
        <v>81049500</v>
      </c>
      <c r="B12239">
        <v>2102720</v>
      </c>
      <c r="C12239" t="s">
        <v>5671</v>
      </c>
      <c r="D12239" t="s">
        <v>441</v>
      </c>
      <c r="F12239">
        <v>0</v>
      </c>
      <c r="H12239" t="s">
        <v>8580</v>
      </c>
      <c r="I12239">
        <v>365</v>
      </c>
      <c r="J12239" t="s">
        <v>458</v>
      </c>
      <c r="M12239">
        <v>0</v>
      </c>
    </row>
    <row r="12240" spans="1:13">
      <c r="A12240">
        <v>81049600</v>
      </c>
      <c r="B12240">
        <v>2102740</v>
      </c>
      <c r="C12240" t="s">
        <v>5672</v>
      </c>
      <c r="D12240" t="s">
        <v>441</v>
      </c>
      <c r="F12240">
        <v>0</v>
      </c>
      <c r="H12240" t="s">
        <v>8580</v>
      </c>
      <c r="I12240">
        <v>540</v>
      </c>
      <c r="J12240" t="s">
        <v>458</v>
      </c>
      <c r="K12240" t="s">
        <v>446</v>
      </c>
      <c r="M12240">
        <v>0</v>
      </c>
    </row>
    <row r="12241" spans="1:13">
      <c r="A12241">
        <v>81049700</v>
      </c>
      <c r="B12241">
        <v>2102830</v>
      </c>
      <c r="C12241" t="s">
        <v>5673</v>
      </c>
      <c r="D12241" t="s">
        <v>441</v>
      </c>
      <c r="F12241">
        <v>0</v>
      </c>
      <c r="H12241" t="s">
        <v>8580</v>
      </c>
      <c r="I12241">
        <v>365</v>
      </c>
      <c r="J12241" t="s">
        <v>458</v>
      </c>
      <c r="K12241" t="s">
        <v>446</v>
      </c>
      <c r="M12241">
        <v>0</v>
      </c>
    </row>
    <row r="12242" spans="1:13">
      <c r="A12242">
        <v>81049800</v>
      </c>
      <c r="B12242">
        <v>2102812</v>
      </c>
      <c r="C12242" t="s">
        <v>5674</v>
      </c>
      <c r="D12242" t="s">
        <v>441</v>
      </c>
      <c r="F12242">
        <v>0</v>
      </c>
      <c r="H12242" t="s">
        <v>8584</v>
      </c>
      <c r="I12242">
        <v>30</v>
      </c>
      <c r="J12242" t="s">
        <v>458</v>
      </c>
      <c r="K12242" t="s">
        <v>446</v>
      </c>
      <c r="M12242">
        <v>0</v>
      </c>
    </row>
    <row r="12243" spans="1:13">
      <c r="A12243">
        <v>81049900</v>
      </c>
      <c r="B12243">
        <v>2102859</v>
      </c>
      <c r="C12243" t="s">
        <v>5675</v>
      </c>
      <c r="D12243" t="s">
        <v>441</v>
      </c>
      <c r="F12243">
        <v>0</v>
      </c>
      <c r="H12243" t="s">
        <v>8580</v>
      </c>
      <c r="I12243">
        <v>365</v>
      </c>
      <c r="J12243" t="s">
        <v>458</v>
      </c>
      <c r="M12243">
        <v>0</v>
      </c>
    </row>
    <row r="12244" spans="1:13">
      <c r="A12244">
        <v>81050000</v>
      </c>
      <c r="B12244">
        <v>2102910</v>
      </c>
      <c r="C12244" t="s">
        <v>5676</v>
      </c>
      <c r="D12244" t="s">
        <v>441</v>
      </c>
      <c r="F12244">
        <v>0</v>
      </c>
      <c r="H12244" t="s">
        <v>8580</v>
      </c>
      <c r="I12244">
        <v>540</v>
      </c>
      <c r="J12244" t="s">
        <v>458</v>
      </c>
      <c r="M12244">
        <v>0</v>
      </c>
    </row>
    <row r="12245" spans="1:13">
      <c r="A12245">
        <v>81050100</v>
      </c>
      <c r="B12245">
        <v>2102240</v>
      </c>
      <c r="C12245" t="s">
        <v>13831</v>
      </c>
      <c r="D12245" t="s">
        <v>441</v>
      </c>
      <c r="F12245">
        <v>0</v>
      </c>
      <c r="I12245">
        <v>360</v>
      </c>
      <c r="J12245" t="s">
        <v>458</v>
      </c>
      <c r="K12245" t="s">
        <v>446</v>
      </c>
      <c r="M12245">
        <v>0</v>
      </c>
    </row>
    <row r="12246" spans="1:13">
      <c r="A12246">
        <v>81050200</v>
      </c>
      <c r="B12246">
        <v>2102241</v>
      </c>
      <c r="C12246" t="s">
        <v>5677</v>
      </c>
      <c r="D12246" t="s">
        <v>441</v>
      </c>
      <c r="F12246">
        <v>0</v>
      </c>
      <c r="I12246">
        <v>360</v>
      </c>
      <c r="J12246" t="s">
        <v>458</v>
      </c>
      <c r="K12246" t="s">
        <v>446</v>
      </c>
      <c r="M12246">
        <v>0</v>
      </c>
    </row>
    <row r="12247" spans="1:13">
      <c r="A12247">
        <v>81050300</v>
      </c>
      <c r="B12247">
        <v>2102818</v>
      </c>
      <c r="C12247" t="s">
        <v>13832</v>
      </c>
      <c r="D12247" t="s">
        <v>441</v>
      </c>
      <c r="F12247">
        <v>0</v>
      </c>
      <c r="H12247" t="s">
        <v>8584</v>
      </c>
      <c r="I12247">
        <v>540</v>
      </c>
      <c r="J12247" t="s">
        <v>458</v>
      </c>
      <c r="M12247">
        <v>0</v>
      </c>
    </row>
    <row r="12248" spans="1:13">
      <c r="A12248">
        <v>81050400</v>
      </c>
      <c r="B12248">
        <v>2102819</v>
      </c>
      <c r="C12248" t="s">
        <v>5678</v>
      </c>
      <c r="D12248" t="s">
        <v>441</v>
      </c>
      <c r="F12248">
        <v>0</v>
      </c>
      <c r="H12248" t="s">
        <v>8584</v>
      </c>
      <c r="I12248">
        <v>365</v>
      </c>
      <c r="J12248" t="s">
        <v>458</v>
      </c>
      <c r="M12248">
        <v>0</v>
      </c>
    </row>
    <row r="12249" spans="1:13">
      <c r="A12249">
        <v>81050500</v>
      </c>
      <c r="B12249">
        <v>2102817</v>
      </c>
      <c r="C12249" t="s">
        <v>5679</v>
      </c>
      <c r="D12249" t="s">
        <v>441</v>
      </c>
      <c r="F12249">
        <v>0</v>
      </c>
      <c r="H12249" t="s">
        <v>8584</v>
      </c>
      <c r="I12249">
        <v>365</v>
      </c>
      <c r="J12249" t="s">
        <v>458</v>
      </c>
      <c r="M12249">
        <v>0</v>
      </c>
    </row>
    <row r="12250" spans="1:13">
      <c r="A12250">
        <v>81050600</v>
      </c>
      <c r="B12250">
        <v>2102882</v>
      </c>
      <c r="C12250" t="s">
        <v>5680</v>
      </c>
      <c r="D12250" t="s">
        <v>441</v>
      </c>
      <c r="F12250">
        <v>0</v>
      </c>
      <c r="H12250" t="s">
        <v>8580</v>
      </c>
      <c r="I12250">
        <v>540</v>
      </c>
      <c r="J12250" t="s">
        <v>458</v>
      </c>
      <c r="M12250">
        <v>0</v>
      </c>
    </row>
    <row r="12251" spans="1:13">
      <c r="A12251">
        <v>81050700</v>
      </c>
      <c r="B12251">
        <v>2102911</v>
      </c>
      <c r="C12251" t="s">
        <v>5681</v>
      </c>
      <c r="D12251" t="s">
        <v>441</v>
      </c>
      <c r="F12251">
        <v>0</v>
      </c>
      <c r="H12251" t="s">
        <v>8580</v>
      </c>
      <c r="I12251">
        <v>540</v>
      </c>
      <c r="J12251" t="s">
        <v>458</v>
      </c>
      <c r="M12251">
        <v>0</v>
      </c>
    </row>
    <row r="12252" spans="1:13">
      <c r="A12252">
        <v>81050800</v>
      </c>
      <c r="B12252">
        <v>2102885</v>
      </c>
      <c r="C12252" t="s">
        <v>5682</v>
      </c>
      <c r="D12252" t="s">
        <v>441</v>
      </c>
      <c r="F12252">
        <v>0</v>
      </c>
      <c r="H12252" t="s">
        <v>8580</v>
      </c>
      <c r="I12252">
        <v>365</v>
      </c>
      <c r="J12252" t="s">
        <v>458</v>
      </c>
      <c r="K12252" t="s">
        <v>446</v>
      </c>
      <c r="M12252">
        <v>0</v>
      </c>
    </row>
    <row r="12253" spans="1:13">
      <c r="A12253">
        <v>81050900</v>
      </c>
      <c r="B12253">
        <v>2102941</v>
      </c>
      <c r="C12253" t="s">
        <v>5683</v>
      </c>
      <c r="D12253" t="s">
        <v>441</v>
      </c>
      <c r="F12253">
        <v>0</v>
      </c>
      <c r="H12253" t="s">
        <v>8580</v>
      </c>
      <c r="I12253">
        <v>365</v>
      </c>
      <c r="J12253" t="s">
        <v>458</v>
      </c>
      <c r="M12253">
        <v>0</v>
      </c>
    </row>
    <row r="12254" spans="1:13">
      <c r="A12254">
        <v>81051000</v>
      </c>
      <c r="B12254">
        <v>2102790</v>
      </c>
      <c r="C12254" t="s">
        <v>5684</v>
      </c>
      <c r="D12254" t="s">
        <v>441</v>
      </c>
      <c r="F12254">
        <v>0</v>
      </c>
      <c r="H12254" t="s">
        <v>8580</v>
      </c>
      <c r="I12254">
        <v>365</v>
      </c>
      <c r="J12254" t="s">
        <v>458</v>
      </c>
      <c r="M12254">
        <v>0</v>
      </c>
    </row>
    <row r="12255" spans="1:13">
      <c r="A12255">
        <v>81051100</v>
      </c>
      <c r="B12255">
        <v>2102888</v>
      </c>
      <c r="C12255" t="s">
        <v>5685</v>
      </c>
      <c r="D12255" t="s">
        <v>441</v>
      </c>
      <c r="F12255">
        <v>0</v>
      </c>
      <c r="H12255" t="s">
        <v>8584</v>
      </c>
      <c r="I12255">
        <v>365</v>
      </c>
      <c r="J12255" t="s">
        <v>458</v>
      </c>
      <c r="K12255" t="s">
        <v>446</v>
      </c>
      <c r="M12255">
        <v>0</v>
      </c>
    </row>
    <row r="12256" spans="1:13">
      <c r="A12256">
        <v>81051200</v>
      </c>
      <c r="B12256">
        <v>2101212</v>
      </c>
      <c r="C12256" t="s">
        <v>5686</v>
      </c>
      <c r="D12256" t="s">
        <v>441</v>
      </c>
      <c r="F12256">
        <v>0</v>
      </c>
      <c r="H12256" t="s">
        <v>8584</v>
      </c>
      <c r="I12256">
        <v>730</v>
      </c>
      <c r="J12256" t="s">
        <v>458</v>
      </c>
      <c r="K12256" t="s">
        <v>446</v>
      </c>
      <c r="M12256">
        <v>0</v>
      </c>
    </row>
    <row r="12257" spans="1:13">
      <c r="A12257">
        <v>81051300</v>
      </c>
      <c r="B12257">
        <v>2102983</v>
      </c>
      <c r="C12257" t="s">
        <v>5687</v>
      </c>
      <c r="D12257" t="s">
        <v>441</v>
      </c>
      <c r="F12257">
        <v>0</v>
      </c>
      <c r="H12257" t="s">
        <v>8580</v>
      </c>
      <c r="I12257">
        <v>365</v>
      </c>
      <c r="J12257" t="s">
        <v>458</v>
      </c>
      <c r="K12257" t="s">
        <v>446</v>
      </c>
      <c r="M12257">
        <v>0</v>
      </c>
    </row>
    <row r="12258" spans="1:13">
      <c r="A12258">
        <v>81051500</v>
      </c>
      <c r="B12258">
        <v>2103008</v>
      </c>
      <c r="C12258" t="s">
        <v>5688</v>
      </c>
      <c r="D12258" t="s">
        <v>441</v>
      </c>
      <c r="F12258">
        <v>0</v>
      </c>
      <c r="I12258">
        <v>365</v>
      </c>
      <c r="J12258" t="s">
        <v>458</v>
      </c>
      <c r="M12258">
        <v>0</v>
      </c>
    </row>
    <row r="12259" spans="1:13">
      <c r="A12259">
        <v>81051600</v>
      </c>
      <c r="B12259">
        <v>2103024</v>
      </c>
      <c r="C12259" t="s">
        <v>5689</v>
      </c>
      <c r="D12259" t="s">
        <v>441</v>
      </c>
      <c r="F12259">
        <v>0</v>
      </c>
      <c r="H12259" t="s">
        <v>8580</v>
      </c>
      <c r="I12259">
        <v>545</v>
      </c>
      <c r="J12259" t="s">
        <v>458</v>
      </c>
      <c r="M12259">
        <v>0</v>
      </c>
    </row>
    <row r="12260" spans="1:13">
      <c r="A12260">
        <v>81051700</v>
      </c>
      <c r="B12260">
        <v>2102987</v>
      </c>
      <c r="C12260" t="s">
        <v>5690</v>
      </c>
      <c r="D12260" t="s">
        <v>441</v>
      </c>
      <c r="F12260">
        <v>0</v>
      </c>
      <c r="H12260" t="s">
        <v>8580</v>
      </c>
      <c r="I12260">
        <v>365</v>
      </c>
      <c r="J12260" t="s">
        <v>458</v>
      </c>
      <c r="M12260">
        <v>0</v>
      </c>
    </row>
    <row r="12261" spans="1:13">
      <c r="A12261">
        <v>81051900</v>
      </c>
      <c r="B12261">
        <v>2103091</v>
      </c>
      <c r="C12261" t="s">
        <v>5691</v>
      </c>
      <c r="D12261" t="s">
        <v>441</v>
      </c>
      <c r="F12261">
        <v>0</v>
      </c>
      <c r="H12261" t="s">
        <v>8580</v>
      </c>
      <c r="I12261">
        <v>360</v>
      </c>
      <c r="J12261" t="s">
        <v>458</v>
      </c>
      <c r="K12261" t="s">
        <v>446</v>
      </c>
      <c r="M12261">
        <v>0</v>
      </c>
    </row>
    <row r="12262" spans="1:13">
      <c r="A12262">
        <v>81052100</v>
      </c>
      <c r="B12262">
        <v>2103094</v>
      </c>
      <c r="C12262" t="s">
        <v>5692</v>
      </c>
      <c r="D12262" t="s">
        <v>441</v>
      </c>
      <c r="F12262">
        <v>0</v>
      </c>
      <c r="H12262" t="s">
        <v>8580</v>
      </c>
      <c r="I12262">
        <v>365</v>
      </c>
      <c r="J12262" t="s">
        <v>458</v>
      </c>
      <c r="M12262">
        <v>0</v>
      </c>
    </row>
    <row r="12263" spans="1:13">
      <c r="A12263">
        <v>81052200</v>
      </c>
      <c r="B12263">
        <v>2103092</v>
      </c>
      <c r="C12263" t="s">
        <v>13833</v>
      </c>
      <c r="D12263" t="s">
        <v>441</v>
      </c>
      <c r="F12263">
        <v>0</v>
      </c>
      <c r="H12263" t="s">
        <v>8580</v>
      </c>
      <c r="I12263">
        <v>730</v>
      </c>
      <c r="J12263" t="s">
        <v>458</v>
      </c>
      <c r="M12263">
        <v>0</v>
      </c>
    </row>
    <row r="12264" spans="1:13">
      <c r="A12264">
        <v>81052300</v>
      </c>
      <c r="B12264">
        <v>2103116</v>
      </c>
      <c r="C12264" t="s">
        <v>5693</v>
      </c>
      <c r="D12264" t="s">
        <v>441</v>
      </c>
      <c r="F12264">
        <v>0</v>
      </c>
      <c r="H12264" t="s">
        <v>8580</v>
      </c>
      <c r="I12264">
        <v>365</v>
      </c>
      <c r="J12264" t="s">
        <v>458</v>
      </c>
      <c r="M12264">
        <v>0</v>
      </c>
    </row>
    <row r="12265" spans="1:13">
      <c r="A12265">
        <v>81052400</v>
      </c>
      <c r="B12265">
        <v>2103117</v>
      </c>
      <c r="C12265" t="s">
        <v>5694</v>
      </c>
      <c r="D12265" t="s">
        <v>441</v>
      </c>
      <c r="F12265">
        <v>0</v>
      </c>
      <c r="H12265" t="s">
        <v>8580</v>
      </c>
      <c r="I12265">
        <v>365</v>
      </c>
      <c r="J12265" t="s">
        <v>458</v>
      </c>
      <c r="M12265">
        <v>0</v>
      </c>
    </row>
    <row r="12266" spans="1:13">
      <c r="A12266">
        <v>81052500</v>
      </c>
      <c r="B12266">
        <v>2103144</v>
      </c>
      <c r="C12266" t="s">
        <v>5695</v>
      </c>
      <c r="D12266" t="s">
        <v>441</v>
      </c>
      <c r="F12266">
        <v>0</v>
      </c>
      <c r="H12266" t="s">
        <v>8580</v>
      </c>
      <c r="I12266">
        <v>547</v>
      </c>
      <c r="J12266" t="s">
        <v>458</v>
      </c>
      <c r="M12266">
        <v>0</v>
      </c>
    </row>
    <row r="12267" spans="1:13">
      <c r="A12267">
        <v>81052700</v>
      </c>
      <c r="B12267">
        <v>2103170</v>
      </c>
      <c r="C12267" t="s">
        <v>5696</v>
      </c>
      <c r="D12267" t="s">
        <v>441</v>
      </c>
      <c r="F12267">
        <v>0</v>
      </c>
      <c r="I12267">
        <v>365</v>
      </c>
      <c r="J12267" t="s">
        <v>458</v>
      </c>
      <c r="M12267">
        <v>0</v>
      </c>
    </row>
    <row r="12268" spans="1:13">
      <c r="A12268">
        <v>81052800</v>
      </c>
      <c r="B12268">
        <v>2103200</v>
      </c>
      <c r="C12268" t="s">
        <v>5697</v>
      </c>
      <c r="D12268" t="s">
        <v>441</v>
      </c>
      <c r="F12268">
        <v>0</v>
      </c>
      <c r="H12268" t="s">
        <v>8580</v>
      </c>
      <c r="I12268">
        <v>365</v>
      </c>
      <c r="J12268" t="s">
        <v>458</v>
      </c>
      <c r="M12268">
        <v>0</v>
      </c>
    </row>
    <row r="12269" spans="1:13">
      <c r="A12269">
        <v>81052900</v>
      </c>
      <c r="B12269">
        <v>2103211</v>
      </c>
      <c r="C12269" t="s">
        <v>5698</v>
      </c>
      <c r="D12269" t="s">
        <v>441</v>
      </c>
      <c r="F12269">
        <v>0</v>
      </c>
      <c r="H12269" t="s">
        <v>8580</v>
      </c>
      <c r="I12269">
        <v>365</v>
      </c>
      <c r="J12269" t="s">
        <v>458</v>
      </c>
      <c r="M12269">
        <v>0</v>
      </c>
    </row>
    <row r="12270" spans="1:13">
      <c r="A12270">
        <v>81053000</v>
      </c>
      <c r="B12270">
        <v>2103210</v>
      </c>
      <c r="C12270" t="s">
        <v>5699</v>
      </c>
      <c r="D12270" t="s">
        <v>441</v>
      </c>
      <c r="F12270">
        <v>0</v>
      </c>
      <c r="H12270" t="s">
        <v>8580</v>
      </c>
      <c r="I12270">
        <v>730</v>
      </c>
      <c r="J12270" t="s">
        <v>458</v>
      </c>
      <c r="M12270">
        <v>0</v>
      </c>
    </row>
    <row r="12271" spans="1:13">
      <c r="A12271">
        <v>81053100</v>
      </c>
      <c r="B12271">
        <v>2103190</v>
      </c>
      <c r="C12271" t="s">
        <v>5700</v>
      </c>
      <c r="D12271" t="s">
        <v>441</v>
      </c>
      <c r="F12271">
        <v>0</v>
      </c>
      <c r="H12271" t="s">
        <v>8580</v>
      </c>
      <c r="I12271">
        <v>186</v>
      </c>
      <c r="J12271" t="s">
        <v>458</v>
      </c>
      <c r="M12271">
        <v>0</v>
      </c>
    </row>
    <row r="12272" spans="1:13">
      <c r="A12272">
        <v>81053200</v>
      </c>
      <c r="B12272">
        <v>2103191</v>
      </c>
      <c r="C12272" t="s">
        <v>5701</v>
      </c>
      <c r="D12272" t="s">
        <v>441</v>
      </c>
      <c r="F12272">
        <v>0</v>
      </c>
      <c r="H12272" t="s">
        <v>8580</v>
      </c>
      <c r="I12272">
        <v>186</v>
      </c>
      <c r="J12272" t="s">
        <v>458</v>
      </c>
      <c r="M12272">
        <v>0</v>
      </c>
    </row>
    <row r="12273" spans="1:13">
      <c r="A12273">
        <v>81053300</v>
      </c>
      <c r="B12273">
        <v>2102971</v>
      </c>
      <c r="C12273" t="s">
        <v>13834</v>
      </c>
      <c r="D12273" t="s">
        <v>441</v>
      </c>
      <c r="F12273">
        <v>0</v>
      </c>
      <c r="H12273" t="s">
        <v>8580</v>
      </c>
      <c r="I12273">
        <v>540</v>
      </c>
      <c r="J12273" t="s">
        <v>458</v>
      </c>
      <c r="M12273">
        <v>0</v>
      </c>
    </row>
    <row r="12274" spans="1:13">
      <c r="A12274">
        <v>81053400</v>
      </c>
      <c r="B12274">
        <v>2103050</v>
      </c>
      <c r="C12274" t="s">
        <v>13835</v>
      </c>
      <c r="D12274" t="s">
        <v>441</v>
      </c>
      <c r="F12274">
        <v>0</v>
      </c>
      <c r="I12274">
        <v>365</v>
      </c>
      <c r="J12274" t="s">
        <v>458</v>
      </c>
      <c r="M12274">
        <v>0</v>
      </c>
    </row>
    <row r="12275" spans="1:13">
      <c r="A12275">
        <v>81053500</v>
      </c>
      <c r="B12275">
        <v>2102503</v>
      </c>
      <c r="C12275" t="s">
        <v>13836</v>
      </c>
      <c r="D12275" t="s">
        <v>441</v>
      </c>
      <c r="F12275">
        <v>0</v>
      </c>
      <c r="H12275" t="s">
        <v>8634</v>
      </c>
      <c r="I12275">
        <v>990</v>
      </c>
      <c r="J12275" t="s">
        <v>458</v>
      </c>
      <c r="M12275">
        <v>0</v>
      </c>
    </row>
    <row r="12276" spans="1:13">
      <c r="A12276">
        <v>81053600</v>
      </c>
      <c r="B12276">
        <v>2103212</v>
      </c>
      <c r="C12276" t="s">
        <v>13837</v>
      </c>
      <c r="D12276" t="s">
        <v>441</v>
      </c>
      <c r="F12276">
        <v>0</v>
      </c>
      <c r="H12276" t="s">
        <v>8580</v>
      </c>
      <c r="I12276">
        <v>730</v>
      </c>
      <c r="J12276" t="s">
        <v>458</v>
      </c>
      <c r="M12276">
        <v>0</v>
      </c>
    </row>
    <row r="12277" spans="1:13">
      <c r="A12277">
        <v>81053700</v>
      </c>
      <c r="B12277">
        <v>2103054</v>
      </c>
      <c r="C12277" t="s">
        <v>5702</v>
      </c>
      <c r="D12277" t="s">
        <v>441</v>
      </c>
      <c r="F12277">
        <v>0</v>
      </c>
      <c r="I12277">
        <v>720</v>
      </c>
      <c r="J12277" t="s">
        <v>458</v>
      </c>
      <c r="M12277">
        <v>0</v>
      </c>
    </row>
    <row r="12278" spans="1:13">
      <c r="A12278">
        <v>81053800</v>
      </c>
      <c r="B12278">
        <v>2103250</v>
      </c>
      <c r="C12278" t="s">
        <v>5703</v>
      </c>
      <c r="D12278" t="s">
        <v>441</v>
      </c>
      <c r="F12278">
        <v>0</v>
      </c>
      <c r="H12278" t="s">
        <v>8627</v>
      </c>
      <c r="I12278">
        <v>365</v>
      </c>
      <c r="J12278" t="s">
        <v>458</v>
      </c>
      <c r="M12278">
        <v>0</v>
      </c>
    </row>
    <row r="12279" spans="1:13">
      <c r="A12279">
        <v>81053900</v>
      </c>
      <c r="B12279">
        <v>2103348</v>
      </c>
      <c r="C12279" t="s">
        <v>5704</v>
      </c>
      <c r="D12279" t="s">
        <v>441</v>
      </c>
      <c r="F12279">
        <v>0</v>
      </c>
      <c r="H12279" t="s">
        <v>8580</v>
      </c>
      <c r="I12279">
        <v>730</v>
      </c>
      <c r="J12279" t="s">
        <v>458</v>
      </c>
      <c r="M12279">
        <v>0</v>
      </c>
    </row>
    <row r="12280" spans="1:13">
      <c r="A12280">
        <v>81054000</v>
      </c>
      <c r="B12280">
        <v>2103316</v>
      </c>
      <c r="C12280" t="s">
        <v>5705</v>
      </c>
      <c r="D12280" t="s">
        <v>441</v>
      </c>
      <c r="F12280">
        <v>0</v>
      </c>
      <c r="H12280" t="s">
        <v>8580</v>
      </c>
      <c r="I12280">
        <v>360</v>
      </c>
      <c r="J12280" t="s">
        <v>458</v>
      </c>
      <c r="M12280">
        <v>0</v>
      </c>
    </row>
    <row r="12281" spans="1:13">
      <c r="A12281">
        <v>81054100</v>
      </c>
      <c r="B12281">
        <v>2103380</v>
      </c>
      <c r="C12281" t="s">
        <v>5706</v>
      </c>
      <c r="D12281" t="s">
        <v>441</v>
      </c>
      <c r="F12281">
        <v>0</v>
      </c>
      <c r="H12281" t="s">
        <v>8580</v>
      </c>
      <c r="I12281">
        <v>356</v>
      </c>
      <c r="J12281" t="s">
        <v>458</v>
      </c>
      <c r="M12281">
        <v>0</v>
      </c>
    </row>
    <row r="12282" spans="1:13">
      <c r="A12282">
        <v>81054200</v>
      </c>
      <c r="B12282">
        <v>2103383</v>
      </c>
      <c r="C12282" t="s">
        <v>5707</v>
      </c>
      <c r="D12282" t="s">
        <v>441</v>
      </c>
      <c r="F12282">
        <v>0</v>
      </c>
      <c r="H12282" t="s">
        <v>8580</v>
      </c>
      <c r="I12282">
        <v>365</v>
      </c>
      <c r="J12282" t="s">
        <v>458</v>
      </c>
      <c r="M12282">
        <v>0</v>
      </c>
    </row>
    <row r="12283" spans="1:13">
      <c r="A12283">
        <v>81054300</v>
      </c>
      <c r="B12283">
        <v>2103381</v>
      </c>
      <c r="C12283" t="s">
        <v>5708</v>
      </c>
      <c r="D12283" t="s">
        <v>441</v>
      </c>
      <c r="F12283">
        <v>0</v>
      </c>
      <c r="H12283" t="s">
        <v>8580</v>
      </c>
      <c r="I12283">
        <v>365</v>
      </c>
      <c r="J12283" t="s">
        <v>458</v>
      </c>
      <c r="M12283">
        <v>0</v>
      </c>
    </row>
    <row r="12284" spans="1:13">
      <c r="A12284">
        <v>81054400</v>
      </c>
      <c r="B12284">
        <v>2103370</v>
      </c>
      <c r="C12284" t="s">
        <v>13838</v>
      </c>
      <c r="D12284" t="s">
        <v>441</v>
      </c>
      <c r="F12284">
        <v>0</v>
      </c>
      <c r="I12284">
        <v>730</v>
      </c>
      <c r="J12284" t="s">
        <v>458</v>
      </c>
      <c r="M12284">
        <v>0</v>
      </c>
    </row>
    <row r="12285" spans="1:13">
      <c r="A12285">
        <v>81054500</v>
      </c>
      <c r="B12285">
        <v>2103374</v>
      </c>
      <c r="C12285" t="s">
        <v>5709</v>
      </c>
      <c r="D12285" t="s">
        <v>441</v>
      </c>
      <c r="F12285">
        <v>0</v>
      </c>
      <c r="H12285" t="s">
        <v>8580</v>
      </c>
      <c r="I12285">
        <v>730</v>
      </c>
      <c r="J12285" t="s">
        <v>458</v>
      </c>
      <c r="M12285">
        <v>0</v>
      </c>
    </row>
    <row r="12286" spans="1:13">
      <c r="A12286">
        <v>81054600</v>
      </c>
      <c r="B12286">
        <v>2103371</v>
      </c>
      <c r="C12286" t="s">
        <v>5710</v>
      </c>
      <c r="D12286" t="s">
        <v>441</v>
      </c>
      <c r="F12286">
        <v>0</v>
      </c>
      <c r="I12286">
        <v>545</v>
      </c>
      <c r="J12286" t="s">
        <v>458</v>
      </c>
      <c r="M12286">
        <v>0</v>
      </c>
    </row>
    <row r="12287" spans="1:13">
      <c r="A12287">
        <v>81054700</v>
      </c>
      <c r="B12287">
        <v>2103373</v>
      </c>
      <c r="C12287" t="s">
        <v>5711</v>
      </c>
      <c r="D12287" t="s">
        <v>441</v>
      </c>
      <c r="F12287">
        <v>0</v>
      </c>
      <c r="H12287" t="s">
        <v>8580</v>
      </c>
      <c r="I12287">
        <v>730</v>
      </c>
      <c r="J12287" t="s">
        <v>458</v>
      </c>
      <c r="M12287">
        <v>0</v>
      </c>
    </row>
    <row r="12288" spans="1:13">
      <c r="A12288">
        <v>81054800</v>
      </c>
      <c r="B12288">
        <v>2103372</v>
      </c>
      <c r="C12288" t="s">
        <v>5712</v>
      </c>
      <c r="D12288" t="s">
        <v>441</v>
      </c>
      <c r="F12288">
        <v>0</v>
      </c>
      <c r="H12288" t="s">
        <v>8580</v>
      </c>
      <c r="I12288">
        <v>730</v>
      </c>
      <c r="J12288" t="s">
        <v>458</v>
      </c>
      <c r="M12288">
        <v>0</v>
      </c>
    </row>
    <row r="12289" spans="1:13">
      <c r="A12289">
        <v>81054900</v>
      </c>
      <c r="B12289">
        <v>2102958</v>
      </c>
      <c r="C12289" t="s">
        <v>5713</v>
      </c>
      <c r="D12289" t="s">
        <v>441</v>
      </c>
      <c r="F12289">
        <v>0</v>
      </c>
      <c r="H12289" t="s">
        <v>8580</v>
      </c>
      <c r="I12289">
        <v>365</v>
      </c>
      <c r="J12289" t="s">
        <v>458</v>
      </c>
      <c r="M12289">
        <v>0</v>
      </c>
    </row>
    <row r="12290" spans="1:13">
      <c r="A12290">
        <v>81055000</v>
      </c>
      <c r="B12290">
        <v>2103431</v>
      </c>
      <c r="C12290" t="s">
        <v>13839</v>
      </c>
      <c r="D12290" t="s">
        <v>441</v>
      </c>
      <c r="F12290">
        <v>0</v>
      </c>
      <c r="H12290" t="s">
        <v>8580</v>
      </c>
      <c r="I12290">
        <v>560</v>
      </c>
      <c r="J12290" t="s">
        <v>458</v>
      </c>
      <c r="M12290">
        <v>0</v>
      </c>
    </row>
    <row r="12291" spans="1:13">
      <c r="A12291">
        <v>81055100</v>
      </c>
      <c r="B12291">
        <v>2103440</v>
      </c>
      <c r="C12291" t="s">
        <v>5714</v>
      </c>
      <c r="D12291" t="s">
        <v>441</v>
      </c>
      <c r="F12291">
        <v>0</v>
      </c>
      <c r="I12291">
        <v>365</v>
      </c>
      <c r="J12291" t="s">
        <v>458</v>
      </c>
      <c r="M12291">
        <v>0</v>
      </c>
    </row>
    <row r="12292" spans="1:13">
      <c r="A12292">
        <v>81055200</v>
      </c>
      <c r="B12292">
        <v>2103432</v>
      </c>
      <c r="C12292" t="s">
        <v>5715</v>
      </c>
      <c r="D12292" t="s">
        <v>441</v>
      </c>
      <c r="F12292">
        <v>0</v>
      </c>
      <c r="H12292" t="s">
        <v>8580</v>
      </c>
      <c r="I12292">
        <v>365</v>
      </c>
      <c r="J12292" t="s">
        <v>458</v>
      </c>
      <c r="M12292">
        <v>0</v>
      </c>
    </row>
    <row r="12293" spans="1:13">
      <c r="A12293">
        <v>81055300</v>
      </c>
      <c r="B12293">
        <v>2103485</v>
      </c>
      <c r="C12293" t="s">
        <v>13840</v>
      </c>
      <c r="D12293" t="s">
        <v>441</v>
      </c>
      <c r="F12293">
        <v>0</v>
      </c>
      <c r="H12293" t="s">
        <v>8580</v>
      </c>
      <c r="I12293">
        <v>730</v>
      </c>
      <c r="J12293" t="s">
        <v>458</v>
      </c>
      <c r="M12293">
        <v>0</v>
      </c>
    </row>
    <row r="12294" spans="1:13">
      <c r="A12294">
        <v>81055400</v>
      </c>
      <c r="B12294">
        <v>2103473</v>
      </c>
      <c r="C12294" t="s">
        <v>5716</v>
      </c>
      <c r="D12294" t="s">
        <v>441</v>
      </c>
      <c r="F12294">
        <v>0</v>
      </c>
      <c r="I12294">
        <v>540</v>
      </c>
      <c r="J12294" t="s">
        <v>458</v>
      </c>
      <c r="M12294">
        <v>0</v>
      </c>
    </row>
    <row r="12295" spans="1:13">
      <c r="A12295">
        <v>81055500</v>
      </c>
      <c r="B12295">
        <v>2102476</v>
      </c>
      <c r="C12295" t="s">
        <v>13841</v>
      </c>
      <c r="D12295" t="s">
        <v>441</v>
      </c>
      <c r="F12295">
        <v>0</v>
      </c>
      <c r="H12295" t="s">
        <v>8580</v>
      </c>
      <c r="I12295">
        <v>540</v>
      </c>
      <c r="J12295" t="s">
        <v>458</v>
      </c>
      <c r="M12295">
        <v>0</v>
      </c>
    </row>
    <row r="12296" spans="1:13">
      <c r="A12296">
        <v>81055600</v>
      </c>
      <c r="B12296">
        <v>2103462</v>
      </c>
      <c r="C12296" t="s">
        <v>5717</v>
      </c>
      <c r="D12296" t="s">
        <v>441</v>
      </c>
      <c r="F12296">
        <v>0</v>
      </c>
      <c r="I12296">
        <v>720</v>
      </c>
      <c r="J12296" t="s">
        <v>458</v>
      </c>
      <c r="M12296">
        <v>0</v>
      </c>
    </row>
    <row r="12297" spans="1:13">
      <c r="A12297">
        <v>81055700</v>
      </c>
      <c r="B12297">
        <v>2103505</v>
      </c>
      <c r="C12297" t="s">
        <v>5718</v>
      </c>
      <c r="D12297" t="s">
        <v>441</v>
      </c>
      <c r="F12297">
        <v>0</v>
      </c>
      <c r="H12297" t="s">
        <v>8580</v>
      </c>
      <c r="I12297">
        <v>540</v>
      </c>
      <c r="J12297" t="s">
        <v>458</v>
      </c>
      <c r="M12297">
        <v>0</v>
      </c>
    </row>
    <row r="12298" spans="1:13">
      <c r="A12298">
        <v>81055800</v>
      </c>
      <c r="B12298">
        <v>2103530</v>
      </c>
      <c r="C12298" t="s">
        <v>13842</v>
      </c>
      <c r="D12298" t="s">
        <v>441</v>
      </c>
      <c r="F12298">
        <v>0</v>
      </c>
      <c r="H12298" t="s">
        <v>8580</v>
      </c>
      <c r="I12298">
        <v>300</v>
      </c>
      <c r="J12298" t="s">
        <v>458</v>
      </c>
      <c r="M12298">
        <v>0</v>
      </c>
    </row>
    <row r="12299" spans="1:13">
      <c r="A12299">
        <v>81056100</v>
      </c>
      <c r="B12299">
        <v>2102731</v>
      </c>
      <c r="C12299" t="s">
        <v>5719</v>
      </c>
      <c r="D12299" t="s">
        <v>441</v>
      </c>
      <c r="F12299">
        <v>0</v>
      </c>
      <c r="I12299">
        <v>365</v>
      </c>
      <c r="J12299" t="s">
        <v>458</v>
      </c>
      <c r="M12299">
        <v>0</v>
      </c>
    </row>
    <row r="12300" spans="1:13">
      <c r="A12300">
        <v>81056200</v>
      </c>
      <c r="B12300">
        <v>2103551</v>
      </c>
      <c r="C12300" t="s">
        <v>13843</v>
      </c>
      <c r="D12300" t="s">
        <v>441</v>
      </c>
      <c r="F12300">
        <v>0</v>
      </c>
      <c r="I12300">
        <v>365</v>
      </c>
      <c r="J12300" t="s">
        <v>458</v>
      </c>
      <c r="M12300">
        <v>0</v>
      </c>
    </row>
    <row r="12301" spans="1:13">
      <c r="A12301">
        <v>81056300</v>
      </c>
      <c r="B12301">
        <v>2103557</v>
      </c>
      <c r="C12301" t="s">
        <v>5720</v>
      </c>
      <c r="D12301" t="s">
        <v>441</v>
      </c>
      <c r="F12301">
        <v>0</v>
      </c>
      <c r="I12301">
        <v>547</v>
      </c>
      <c r="J12301" t="s">
        <v>458</v>
      </c>
      <c r="M12301">
        <v>0</v>
      </c>
    </row>
    <row r="12302" spans="1:13">
      <c r="A12302">
        <v>81056400</v>
      </c>
      <c r="B12302">
        <v>2103613</v>
      </c>
      <c r="C12302" t="s">
        <v>5721</v>
      </c>
      <c r="D12302" t="s">
        <v>441</v>
      </c>
      <c r="F12302">
        <v>0</v>
      </c>
      <c r="H12302" t="s">
        <v>8580</v>
      </c>
      <c r="I12302">
        <v>365</v>
      </c>
      <c r="J12302" t="s">
        <v>458</v>
      </c>
      <c r="M12302">
        <v>0</v>
      </c>
    </row>
    <row r="12303" spans="1:13">
      <c r="A12303">
        <v>81056500</v>
      </c>
      <c r="B12303">
        <v>2101166</v>
      </c>
      <c r="C12303" t="s">
        <v>13844</v>
      </c>
      <c r="D12303" t="s">
        <v>441</v>
      </c>
      <c r="F12303">
        <v>0</v>
      </c>
      <c r="H12303" t="s">
        <v>13738</v>
      </c>
      <c r="I12303">
        <v>720</v>
      </c>
      <c r="J12303" t="s">
        <v>458</v>
      </c>
      <c r="M12303">
        <v>0</v>
      </c>
    </row>
    <row r="12304" spans="1:13">
      <c r="A12304">
        <v>81056600</v>
      </c>
      <c r="B12304">
        <v>2103634</v>
      </c>
      <c r="C12304" t="s">
        <v>13845</v>
      </c>
      <c r="D12304" t="s">
        <v>5567</v>
      </c>
      <c r="E12304" t="s">
        <v>441</v>
      </c>
      <c r="F12304">
        <v>0.91743119266055095</v>
      </c>
      <c r="I12304">
        <v>365</v>
      </c>
      <c r="J12304" t="s">
        <v>458</v>
      </c>
      <c r="M12304">
        <v>0</v>
      </c>
    </row>
    <row r="12305" spans="1:13">
      <c r="A12305">
        <v>81056700</v>
      </c>
      <c r="B12305">
        <v>2103650</v>
      </c>
      <c r="C12305" t="s">
        <v>5722</v>
      </c>
      <c r="D12305" t="s">
        <v>441</v>
      </c>
      <c r="F12305">
        <v>0</v>
      </c>
      <c r="I12305">
        <v>540</v>
      </c>
      <c r="J12305" t="s">
        <v>458</v>
      </c>
      <c r="M12305">
        <v>0</v>
      </c>
    </row>
    <row r="12306" spans="1:13">
      <c r="A12306">
        <v>81056800</v>
      </c>
      <c r="B12306">
        <v>2103619</v>
      </c>
      <c r="C12306" t="s">
        <v>13846</v>
      </c>
      <c r="D12306" t="s">
        <v>441</v>
      </c>
      <c r="F12306">
        <v>0</v>
      </c>
      <c r="I12306">
        <v>180</v>
      </c>
      <c r="J12306" t="s">
        <v>458</v>
      </c>
      <c r="M12306">
        <v>0</v>
      </c>
    </row>
    <row r="12307" spans="1:13">
      <c r="A12307">
        <v>81056900</v>
      </c>
      <c r="B12307">
        <v>2103642</v>
      </c>
      <c r="C12307" t="s">
        <v>13847</v>
      </c>
      <c r="D12307" t="s">
        <v>441</v>
      </c>
      <c r="F12307">
        <v>0</v>
      </c>
      <c r="I12307">
        <v>365</v>
      </c>
      <c r="J12307" t="s">
        <v>458</v>
      </c>
      <c r="M12307">
        <v>0</v>
      </c>
    </row>
    <row r="12308" spans="1:13">
      <c r="A12308">
        <v>81057000</v>
      </c>
      <c r="B12308">
        <v>2103638</v>
      </c>
      <c r="C12308" t="s">
        <v>5723</v>
      </c>
      <c r="D12308" t="s">
        <v>441</v>
      </c>
      <c r="F12308">
        <v>0</v>
      </c>
      <c r="I12308">
        <v>185</v>
      </c>
      <c r="J12308" t="s">
        <v>458</v>
      </c>
      <c r="M12308">
        <v>0</v>
      </c>
    </row>
    <row r="12309" spans="1:13">
      <c r="A12309">
        <v>81057100</v>
      </c>
      <c r="B12309">
        <v>2103663</v>
      </c>
      <c r="C12309" t="s">
        <v>5724</v>
      </c>
      <c r="D12309" t="s">
        <v>441</v>
      </c>
      <c r="F12309">
        <v>0</v>
      </c>
      <c r="H12309" t="s">
        <v>8580</v>
      </c>
      <c r="I12309">
        <v>365</v>
      </c>
      <c r="J12309" t="s">
        <v>458</v>
      </c>
      <c r="M12309">
        <v>0</v>
      </c>
    </row>
    <row r="12310" spans="1:13">
      <c r="A12310">
        <v>81057200</v>
      </c>
      <c r="B12310">
        <v>2103662</v>
      </c>
      <c r="C12310" t="s">
        <v>5725</v>
      </c>
      <c r="D12310" t="s">
        <v>441</v>
      </c>
      <c r="F12310">
        <v>0</v>
      </c>
      <c r="H12310" t="s">
        <v>8580</v>
      </c>
      <c r="I12310">
        <v>365</v>
      </c>
      <c r="J12310" t="s">
        <v>458</v>
      </c>
      <c r="M12310">
        <v>0</v>
      </c>
    </row>
    <row r="12311" spans="1:13">
      <c r="A12311">
        <v>81057300</v>
      </c>
      <c r="B12311">
        <v>2102901</v>
      </c>
      <c r="C12311" t="s">
        <v>13848</v>
      </c>
      <c r="D12311" t="s">
        <v>441</v>
      </c>
      <c r="F12311">
        <v>0</v>
      </c>
      <c r="H12311" t="s">
        <v>8580</v>
      </c>
      <c r="I12311">
        <v>365</v>
      </c>
      <c r="J12311" t="s">
        <v>458</v>
      </c>
      <c r="M12311">
        <v>0</v>
      </c>
    </row>
    <row r="12312" spans="1:13">
      <c r="A12312">
        <v>81057400</v>
      </c>
      <c r="B12312">
        <v>2103647</v>
      </c>
      <c r="C12312" t="s">
        <v>5726</v>
      </c>
      <c r="D12312" t="s">
        <v>441</v>
      </c>
      <c r="F12312">
        <v>0</v>
      </c>
      <c r="I12312">
        <v>185</v>
      </c>
      <c r="J12312" t="s">
        <v>458</v>
      </c>
      <c r="M12312">
        <v>0</v>
      </c>
    </row>
    <row r="12313" spans="1:13">
      <c r="A12313">
        <v>81057500</v>
      </c>
      <c r="B12313">
        <v>2103722</v>
      </c>
      <c r="C12313" t="s">
        <v>5727</v>
      </c>
      <c r="D12313" t="s">
        <v>441</v>
      </c>
      <c r="F12313">
        <v>0</v>
      </c>
      <c r="I12313">
        <v>365</v>
      </c>
      <c r="J12313" t="s">
        <v>458</v>
      </c>
      <c r="M12313">
        <v>0</v>
      </c>
    </row>
    <row r="12314" spans="1:13">
      <c r="A12314">
        <v>81057600</v>
      </c>
      <c r="B12314">
        <v>2103741</v>
      </c>
      <c r="C12314" t="s">
        <v>5728</v>
      </c>
      <c r="D12314" t="s">
        <v>441</v>
      </c>
      <c r="F12314">
        <v>0</v>
      </c>
      <c r="H12314" t="s">
        <v>8637</v>
      </c>
      <c r="I12314">
        <v>547</v>
      </c>
      <c r="J12314" t="s">
        <v>458</v>
      </c>
      <c r="M12314">
        <v>0</v>
      </c>
    </row>
    <row r="12315" spans="1:13">
      <c r="A12315">
        <v>81057700</v>
      </c>
      <c r="B12315">
        <v>2103734</v>
      </c>
      <c r="C12315" t="s">
        <v>13849</v>
      </c>
      <c r="D12315" t="s">
        <v>441</v>
      </c>
      <c r="F12315">
        <v>0</v>
      </c>
      <c r="H12315" t="s">
        <v>8580</v>
      </c>
      <c r="I12315">
        <v>365</v>
      </c>
      <c r="J12315" t="s">
        <v>458</v>
      </c>
      <c r="M12315">
        <v>0</v>
      </c>
    </row>
    <row r="12316" spans="1:13">
      <c r="A12316">
        <v>81057800</v>
      </c>
      <c r="B12316">
        <v>2103735</v>
      </c>
      <c r="C12316" t="s">
        <v>5729</v>
      </c>
      <c r="D12316" t="s">
        <v>441</v>
      </c>
      <c r="F12316">
        <v>0</v>
      </c>
      <c r="H12316" t="s">
        <v>8580</v>
      </c>
      <c r="I12316">
        <v>547</v>
      </c>
      <c r="J12316" t="s">
        <v>458</v>
      </c>
      <c r="M12316">
        <v>0</v>
      </c>
    </row>
    <row r="12317" spans="1:13">
      <c r="A12317">
        <v>81057900</v>
      </c>
      <c r="B12317">
        <v>2103736</v>
      </c>
      <c r="C12317" t="s">
        <v>13850</v>
      </c>
      <c r="D12317" t="s">
        <v>441</v>
      </c>
      <c r="F12317">
        <v>0</v>
      </c>
      <c r="H12317" t="s">
        <v>8580</v>
      </c>
      <c r="I12317">
        <v>183</v>
      </c>
      <c r="J12317" t="s">
        <v>458</v>
      </c>
      <c r="M12317">
        <v>0</v>
      </c>
    </row>
    <row r="12318" spans="1:13">
      <c r="A12318">
        <v>81058000</v>
      </c>
      <c r="B12318">
        <v>2103738</v>
      </c>
      <c r="C12318" t="s">
        <v>13851</v>
      </c>
      <c r="D12318" t="s">
        <v>441</v>
      </c>
      <c r="F12318">
        <v>0</v>
      </c>
      <c r="H12318" t="s">
        <v>8580</v>
      </c>
      <c r="I12318">
        <v>1100</v>
      </c>
      <c r="J12318" t="s">
        <v>458</v>
      </c>
      <c r="M12318">
        <v>0</v>
      </c>
    </row>
    <row r="12319" spans="1:13">
      <c r="A12319">
        <v>81058100</v>
      </c>
      <c r="B12319">
        <v>2103785</v>
      </c>
      <c r="C12319" t="s">
        <v>5730</v>
      </c>
      <c r="D12319" t="s">
        <v>441</v>
      </c>
      <c r="F12319">
        <v>0</v>
      </c>
      <c r="H12319" t="s">
        <v>8634</v>
      </c>
      <c r="I12319">
        <v>365</v>
      </c>
      <c r="J12319" t="s">
        <v>458</v>
      </c>
      <c r="M12319">
        <v>0</v>
      </c>
    </row>
    <row r="12320" spans="1:13">
      <c r="A12320">
        <v>81058200</v>
      </c>
      <c r="B12320">
        <v>2103775</v>
      </c>
      <c r="C12320" t="s">
        <v>5731</v>
      </c>
      <c r="D12320" t="s">
        <v>441</v>
      </c>
      <c r="F12320">
        <v>0</v>
      </c>
      <c r="H12320" t="s">
        <v>8580</v>
      </c>
      <c r="I12320">
        <v>365</v>
      </c>
      <c r="J12320" t="s">
        <v>458</v>
      </c>
      <c r="M12320">
        <v>0</v>
      </c>
    </row>
    <row r="12321" spans="1:13">
      <c r="A12321">
        <v>81058300</v>
      </c>
      <c r="B12321">
        <v>2103786</v>
      </c>
      <c r="C12321" t="s">
        <v>13852</v>
      </c>
      <c r="D12321" t="s">
        <v>441</v>
      </c>
      <c r="F12321">
        <v>0</v>
      </c>
      <c r="H12321" t="s">
        <v>8634</v>
      </c>
      <c r="I12321">
        <v>730</v>
      </c>
      <c r="J12321" t="s">
        <v>458</v>
      </c>
      <c r="M12321">
        <v>0</v>
      </c>
    </row>
    <row r="12322" spans="1:13">
      <c r="A12322">
        <v>81058400</v>
      </c>
      <c r="B12322">
        <v>2103861</v>
      </c>
      <c r="C12322" t="s">
        <v>5732</v>
      </c>
      <c r="D12322" t="s">
        <v>441</v>
      </c>
      <c r="F12322">
        <v>0</v>
      </c>
      <c r="H12322" t="s">
        <v>8580</v>
      </c>
      <c r="I12322">
        <v>365</v>
      </c>
      <c r="J12322" t="s">
        <v>458</v>
      </c>
      <c r="M12322">
        <v>0</v>
      </c>
    </row>
    <row r="12323" spans="1:13">
      <c r="A12323">
        <v>81058500</v>
      </c>
      <c r="B12323">
        <v>2103860</v>
      </c>
      <c r="C12323" t="s">
        <v>13853</v>
      </c>
      <c r="D12323" t="s">
        <v>441</v>
      </c>
      <c r="F12323">
        <v>0</v>
      </c>
      <c r="H12323" t="s">
        <v>8580</v>
      </c>
      <c r="I12323">
        <v>365</v>
      </c>
      <c r="J12323" t="s">
        <v>458</v>
      </c>
      <c r="M12323">
        <v>0</v>
      </c>
    </row>
    <row r="12324" spans="1:13">
      <c r="A12324">
        <v>81058600</v>
      </c>
      <c r="B12324">
        <v>2103851</v>
      </c>
      <c r="C12324" t="s">
        <v>5733</v>
      </c>
      <c r="D12324" t="s">
        <v>441</v>
      </c>
      <c r="F12324">
        <v>0</v>
      </c>
      <c r="H12324" t="s">
        <v>8580</v>
      </c>
      <c r="I12324">
        <v>365</v>
      </c>
      <c r="J12324" t="s">
        <v>458</v>
      </c>
      <c r="M12324">
        <v>0</v>
      </c>
    </row>
    <row r="12325" spans="1:13">
      <c r="A12325">
        <v>81058700</v>
      </c>
      <c r="B12325">
        <v>2103878</v>
      </c>
      <c r="C12325" t="s">
        <v>5734</v>
      </c>
      <c r="D12325" t="s">
        <v>441</v>
      </c>
      <c r="F12325">
        <v>0</v>
      </c>
      <c r="H12325" t="s">
        <v>8584</v>
      </c>
      <c r="I12325">
        <v>365</v>
      </c>
      <c r="J12325" t="s">
        <v>458</v>
      </c>
      <c r="M12325">
        <v>0</v>
      </c>
    </row>
    <row r="12326" spans="1:13">
      <c r="A12326">
        <v>81058800</v>
      </c>
      <c r="B12326">
        <v>2103907</v>
      </c>
      <c r="C12326" t="s">
        <v>5735</v>
      </c>
      <c r="D12326" t="s">
        <v>441</v>
      </c>
      <c r="F12326">
        <v>0</v>
      </c>
      <c r="I12326">
        <v>365</v>
      </c>
      <c r="J12326" t="s">
        <v>458</v>
      </c>
      <c r="M12326">
        <v>0</v>
      </c>
    </row>
    <row r="12327" spans="1:13">
      <c r="A12327">
        <v>81058900</v>
      </c>
      <c r="B12327">
        <v>2103920</v>
      </c>
      <c r="C12327" t="s">
        <v>5736</v>
      </c>
      <c r="D12327" t="s">
        <v>441</v>
      </c>
      <c r="F12327">
        <v>0</v>
      </c>
      <c r="H12327" t="s">
        <v>8935</v>
      </c>
      <c r="I12327">
        <v>365</v>
      </c>
      <c r="J12327" t="s">
        <v>458</v>
      </c>
      <c r="M12327">
        <v>0</v>
      </c>
    </row>
    <row r="12328" spans="1:13">
      <c r="A12328">
        <v>81059000</v>
      </c>
      <c r="B12328">
        <v>2103923</v>
      </c>
      <c r="C12328" t="s">
        <v>5737</v>
      </c>
      <c r="D12328" t="s">
        <v>441</v>
      </c>
      <c r="F12328">
        <v>0</v>
      </c>
      <c r="I12328">
        <v>730</v>
      </c>
      <c r="J12328" t="s">
        <v>458</v>
      </c>
      <c r="M12328">
        <v>0</v>
      </c>
    </row>
    <row r="12329" spans="1:13">
      <c r="A12329">
        <v>81059100</v>
      </c>
      <c r="B12329">
        <v>2103922</v>
      </c>
      <c r="C12329" t="s">
        <v>13854</v>
      </c>
      <c r="D12329" t="s">
        <v>441</v>
      </c>
      <c r="F12329">
        <v>0</v>
      </c>
      <c r="H12329" t="s">
        <v>8584</v>
      </c>
      <c r="I12329">
        <v>730</v>
      </c>
      <c r="J12329" t="s">
        <v>458</v>
      </c>
      <c r="M12329">
        <v>0</v>
      </c>
    </row>
    <row r="12330" spans="1:13">
      <c r="A12330">
        <v>81059200</v>
      </c>
      <c r="B12330">
        <v>2103921</v>
      </c>
      <c r="C12330" t="s">
        <v>13855</v>
      </c>
      <c r="D12330" t="s">
        <v>441</v>
      </c>
      <c r="F12330">
        <v>0</v>
      </c>
      <c r="H12330" t="s">
        <v>8580</v>
      </c>
      <c r="I12330">
        <v>183</v>
      </c>
      <c r="J12330" t="s">
        <v>458</v>
      </c>
      <c r="M12330">
        <v>0</v>
      </c>
    </row>
    <row r="12331" spans="1:13">
      <c r="A12331">
        <v>81059300</v>
      </c>
      <c r="B12331">
        <v>2103924</v>
      </c>
      <c r="C12331" t="s">
        <v>5738</v>
      </c>
      <c r="D12331" t="s">
        <v>441</v>
      </c>
      <c r="F12331">
        <v>0</v>
      </c>
      <c r="H12331" t="s">
        <v>8580</v>
      </c>
      <c r="I12331">
        <v>183</v>
      </c>
      <c r="J12331" t="s">
        <v>458</v>
      </c>
      <c r="M12331">
        <v>0</v>
      </c>
    </row>
    <row r="12332" spans="1:13">
      <c r="A12332">
        <v>81059400</v>
      </c>
      <c r="B12332">
        <v>2103982</v>
      </c>
      <c r="C12332" t="s">
        <v>5739</v>
      </c>
      <c r="D12332" t="s">
        <v>441</v>
      </c>
      <c r="F12332">
        <v>0</v>
      </c>
      <c r="H12332" t="s">
        <v>8580</v>
      </c>
      <c r="I12332">
        <v>365</v>
      </c>
      <c r="J12332" t="s">
        <v>458</v>
      </c>
      <c r="M12332">
        <v>0</v>
      </c>
    </row>
    <row r="12333" spans="1:13">
      <c r="A12333">
        <v>81059500</v>
      </c>
      <c r="B12333">
        <v>2103996</v>
      </c>
      <c r="C12333" t="s">
        <v>13856</v>
      </c>
      <c r="D12333" t="s">
        <v>441</v>
      </c>
      <c r="F12333">
        <v>0</v>
      </c>
      <c r="H12333" t="s">
        <v>8580</v>
      </c>
      <c r="I12333">
        <v>730</v>
      </c>
      <c r="J12333" t="s">
        <v>458</v>
      </c>
      <c r="M12333">
        <v>0</v>
      </c>
    </row>
    <row r="12334" spans="1:13">
      <c r="A12334">
        <v>81059600</v>
      </c>
      <c r="B12334">
        <v>2103986</v>
      </c>
      <c r="C12334" t="s">
        <v>5740</v>
      </c>
      <c r="D12334" t="s">
        <v>441</v>
      </c>
      <c r="F12334">
        <v>0</v>
      </c>
      <c r="I12334">
        <v>360</v>
      </c>
      <c r="J12334" t="s">
        <v>458</v>
      </c>
      <c r="M12334">
        <v>0</v>
      </c>
    </row>
    <row r="12335" spans="1:13">
      <c r="A12335">
        <v>81059700</v>
      </c>
      <c r="B12335">
        <v>2103998</v>
      </c>
      <c r="C12335" t="s">
        <v>5741</v>
      </c>
      <c r="D12335" t="s">
        <v>441</v>
      </c>
      <c r="F12335">
        <v>0</v>
      </c>
      <c r="I12335">
        <v>365</v>
      </c>
      <c r="J12335" t="s">
        <v>458</v>
      </c>
      <c r="M12335">
        <v>0</v>
      </c>
    </row>
    <row r="12336" spans="1:13">
      <c r="A12336">
        <v>81059800</v>
      </c>
      <c r="B12336">
        <v>2103252</v>
      </c>
      <c r="C12336" t="s">
        <v>13857</v>
      </c>
      <c r="D12336" t="s">
        <v>441</v>
      </c>
      <c r="F12336">
        <v>0</v>
      </c>
      <c r="H12336" t="s">
        <v>8584</v>
      </c>
      <c r="I12336">
        <v>365</v>
      </c>
      <c r="J12336" t="s">
        <v>458</v>
      </c>
      <c r="M12336">
        <v>0</v>
      </c>
    </row>
    <row r="12337" spans="1:14">
      <c r="A12337">
        <v>81059900</v>
      </c>
      <c r="B12337">
        <v>2104055</v>
      </c>
      <c r="C12337" t="s">
        <v>5742</v>
      </c>
      <c r="D12337" t="s">
        <v>441</v>
      </c>
      <c r="F12337">
        <v>0</v>
      </c>
      <c r="H12337" t="s">
        <v>8935</v>
      </c>
      <c r="I12337">
        <v>186</v>
      </c>
      <c r="J12337" t="s">
        <v>458</v>
      </c>
      <c r="M12337">
        <v>0</v>
      </c>
    </row>
    <row r="12338" spans="1:14">
      <c r="A12338">
        <v>81060000</v>
      </c>
      <c r="B12338">
        <v>2104090</v>
      </c>
      <c r="C12338" t="s">
        <v>5743</v>
      </c>
      <c r="D12338" t="s">
        <v>441</v>
      </c>
      <c r="F12338">
        <v>0</v>
      </c>
      <c r="H12338" t="s">
        <v>8935</v>
      </c>
      <c r="I12338">
        <v>365</v>
      </c>
      <c r="J12338" t="s">
        <v>458</v>
      </c>
      <c r="M12338">
        <v>0</v>
      </c>
    </row>
    <row r="12339" spans="1:14">
      <c r="A12339">
        <v>81060100</v>
      </c>
      <c r="B12339">
        <v>2104091</v>
      </c>
      <c r="C12339" t="s">
        <v>5744</v>
      </c>
      <c r="D12339" t="s">
        <v>441</v>
      </c>
      <c r="F12339">
        <v>0</v>
      </c>
      <c r="H12339" t="s">
        <v>8935</v>
      </c>
      <c r="I12339">
        <v>365</v>
      </c>
      <c r="J12339" t="s">
        <v>458</v>
      </c>
      <c r="M12339">
        <v>0</v>
      </c>
    </row>
    <row r="12340" spans="1:14">
      <c r="A12340">
        <v>81060200</v>
      </c>
      <c r="B12340">
        <v>2104069</v>
      </c>
      <c r="C12340" t="s">
        <v>13858</v>
      </c>
      <c r="D12340" t="s">
        <v>441</v>
      </c>
      <c r="F12340">
        <v>0</v>
      </c>
      <c r="H12340" t="s">
        <v>8935</v>
      </c>
      <c r="I12340">
        <v>365</v>
      </c>
      <c r="J12340" t="s">
        <v>458</v>
      </c>
      <c r="M12340">
        <v>0</v>
      </c>
    </row>
    <row r="12341" spans="1:14">
      <c r="A12341">
        <v>81060300</v>
      </c>
      <c r="B12341">
        <v>2104133</v>
      </c>
      <c r="C12341" t="s">
        <v>13859</v>
      </c>
      <c r="D12341" t="s">
        <v>441</v>
      </c>
      <c r="F12341">
        <v>0</v>
      </c>
      <c r="H12341" t="s">
        <v>8627</v>
      </c>
      <c r="I12341">
        <v>1095</v>
      </c>
      <c r="J12341" t="s">
        <v>458</v>
      </c>
      <c r="M12341">
        <v>0</v>
      </c>
    </row>
    <row r="12342" spans="1:14">
      <c r="A12342">
        <v>81060400</v>
      </c>
      <c r="B12342">
        <v>2104103</v>
      </c>
      <c r="C12342" t="s">
        <v>13860</v>
      </c>
      <c r="D12342" t="s">
        <v>441</v>
      </c>
      <c r="F12342">
        <v>0</v>
      </c>
      <c r="H12342" t="s">
        <v>8935</v>
      </c>
      <c r="I12342">
        <v>183</v>
      </c>
      <c r="J12342" t="s">
        <v>458</v>
      </c>
      <c r="M12342">
        <v>0</v>
      </c>
    </row>
    <row r="12343" spans="1:14">
      <c r="A12343">
        <v>81060500</v>
      </c>
      <c r="B12343">
        <v>2104125</v>
      </c>
      <c r="C12343" t="s">
        <v>5745</v>
      </c>
      <c r="D12343" t="s">
        <v>441</v>
      </c>
      <c r="F12343">
        <v>0</v>
      </c>
      <c r="I12343">
        <v>365</v>
      </c>
      <c r="J12343" t="s">
        <v>458</v>
      </c>
      <c r="M12343">
        <v>0</v>
      </c>
    </row>
    <row r="12344" spans="1:14">
      <c r="A12344">
        <v>81060600</v>
      </c>
      <c r="B12344">
        <v>2104105</v>
      </c>
      <c r="C12344" t="s">
        <v>5746</v>
      </c>
      <c r="D12344" t="s">
        <v>441</v>
      </c>
      <c r="F12344">
        <v>0</v>
      </c>
      <c r="H12344" t="s">
        <v>8935</v>
      </c>
      <c r="I12344">
        <v>360</v>
      </c>
      <c r="J12344" t="s">
        <v>458</v>
      </c>
      <c r="M12344">
        <v>0</v>
      </c>
    </row>
    <row r="12345" spans="1:14">
      <c r="A12345">
        <v>81060700</v>
      </c>
      <c r="B12345">
        <v>2103714</v>
      </c>
      <c r="C12345" t="s">
        <v>5747</v>
      </c>
      <c r="D12345" t="s">
        <v>441</v>
      </c>
      <c r="F12345">
        <v>0</v>
      </c>
      <c r="H12345" t="s">
        <v>8580</v>
      </c>
      <c r="I12345">
        <v>720</v>
      </c>
      <c r="J12345" t="s">
        <v>458</v>
      </c>
      <c r="M12345">
        <v>0</v>
      </c>
    </row>
    <row r="12346" spans="1:14">
      <c r="A12346">
        <v>81060800</v>
      </c>
      <c r="B12346">
        <v>2104106</v>
      </c>
      <c r="C12346" t="s">
        <v>13861</v>
      </c>
      <c r="D12346" t="s">
        <v>441</v>
      </c>
      <c r="F12346">
        <v>0</v>
      </c>
      <c r="H12346" t="s">
        <v>8935</v>
      </c>
      <c r="I12346">
        <v>360</v>
      </c>
      <c r="J12346" t="s">
        <v>458</v>
      </c>
      <c r="M12346">
        <v>0</v>
      </c>
    </row>
    <row r="12347" spans="1:14">
      <c r="A12347">
        <v>81060900</v>
      </c>
      <c r="B12347">
        <v>2104108</v>
      </c>
      <c r="C12347" t="s">
        <v>5748</v>
      </c>
      <c r="D12347" t="s">
        <v>441</v>
      </c>
      <c r="F12347">
        <v>0</v>
      </c>
      <c r="H12347" t="s">
        <v>8935</v>
      </c>
      <c r="I12347">
        <v>360</v>
      </c>
      <c r="J12347" t="s">
        <v>458</v>
      </c>
      <c r="M12347">
        <v>0</v>
      </c>
    </row>
    <row r="12348" spans="1:14">
      <c r="A12348">
        <v>81061000</v>
      </c>
      <c r="B12348">
        <v>1200260</v>
      </c>
      <c r="C12348" t="s">
        <v>5749</v>
      </c>
      <c r="D12348" t="s">
        <v>441</v>
      </c>
      <c r="F12348">
        <v>0</v>
      </c>
      <c r="G12348">
        <v>0.01</v>
      </c>
      <c r="H12348" t="s">
        <v>8549</v>
      </c>
      <c r="I12348">
        <v>120</v>
      </c>
      <c r="J12348" t="s">
        <v>510</v>
      </c>
      <c r="M12348">
        <v>0</v>
      </c>
      <c r="N12348" t="s">
        <v>17203</v>
      </c>
    </row>
    <row r="12349" spans="1:14">
      <c r="A12349">
        <v>81061100</v>
      </c>
      <c r="B12349">
        <v>2104107</v>
      </c>
      <c r="C12349" t="s">
        <v>5750</v>
      </c>
      <c r="D12349" t="s">
        <v>441</v>
      </c>
      <c r="F12349">
        <v>0</v>
      </c>
      <c r="H12349" t="s">
        <v>8935</v>
      </c>
      <c r="I12349">
        <v>360</v>
      </c>
      <c r="J12349" t="s">
        <v>458</v>
      </c>
      <c r="M12349">
        <v>0</v>
      </c>
    </row>
    <row r="12350" spans="1:14">
      <c r="A12350">
        <v>81061200</v>
      </c>
      <c r="B12350">
        <v>2104243</v>
      </c>
      <c r="C12350" t="s">
        <v>13862</v>
      </c>
      <c r="D12350" t="s">
        <v>441</v>
      </c>
      <c r="F12350">
        <v>0</v>
      </c>
      <c r="H12350" t="s">
        <v>8580</v>
      </c>
      <c r="I12350">
        <v>540</v>
      </c>
      <c r="J12350" t="s">
        <v>458</v>
      </c>
      <c r="M12350">
        <v>0</v>
      </c>
    </row>
    <row r="12351" spans="1:14">
      <c r="A12351">
        <v>81061300</v>
      </c>
      <c r="B12351">
        <v>2104244</v>
      </c>
      <c r="C12351" t="s">
        <v>13863</v>
      </c>
      <c r="D12351" t="s">
        <v>441</v>
      </c>
      <c r="F12351">
        <v>0</v>
      </c>
      <c r="H12351" t="s">
        <v>8580</v>
      </c>
      <c r="I12351">
        <v>540</v>
      </c>
      <c r="J12351" t="s">
        <v>458</v>
      </c>
      <c r="M12351">
        <v>0</v>
      </c>
    </row>
    <row r="12352" spans="1:14">
      <c r="A12352">
        <v>81061400</v>
      </c>
      <c r="B12352">
        <v>2104255</v>
      </c>
      <c r="C12352" t="s">
        <v>13864</v>
      </c>
      <c r="D12352" t="s">
        <v>441</v>
      </c>
      <c r="F12352">
        <v>0</v>
      </c>
      <c r="I12352">
        <v>500</v>
      </c>
      <c r="J12352" t="s">
        <v>458</v>
      </c>
      <c r="M12352">
        <v>0</v>
      </c>
    </row>
    <row r="12353" spans="1:13">
      <c r="A12353">
        <v>81061500</v>
      </c>
      <c r="B12353">
        <v>2104275</v>
      </c>
      <c r="C12353" t="s">
        <v>13865</v>
      </c>
      <c r="D12353" t="s">
        <v>441</v>
      </c>
      <c r="F12353">
        <v>0</v>
      </c>
      <c r="H12353" t="s">
        <v>8580</v>
      </c>
      <c r="I12353">
        <v>360</v>
      </c>
      <c r="J12353" t="s">
        <v>458</v>
      </c>
      <c r="M12353">
        <v>0</v>
      </c>
    </row>
    <row r="12354" spans="1:13">
      <c r="A12354">
        <v>81062000</v>
      </c>
      <c r="B12354">
        <v>2104288</v>
      </c>
      <c r="C12354" t="s">
        <v>13866</v>
      </c>
      <c r="D12354" t="s">
        <v>441</v>
      </c>
      <c r="F12354">
        <v>0</v>
      </c>
      <c r="H12354" t="s">
        <v>8584</v>
      </c>
      <c r="I12354">
        <v>547</v>
      </c>
      <c r="J12354" t="s">
        <v>458</v>
      </c>
      <c r="M12354">
        <v>0</v>
      </c>
    </row>
    <row r="12355" spans="1:13">
      <c r="A12355">
        <v>81062100</v>
      </c>
      <c r="B12355">
        <v>2104112</v>
      </c>
      <c r="C12355" t="s">
        <v>14623</v>
      </c>
      <c r="D12355" t="s">
        <v>441</v>
      </c>
      <c r="F12355">
        <v>0</v>
      </c>
      <c r="H12355" t="s">
        <v>8935</v>
      </c>
      <c r="I12355">
        <v>265</v>
      </c>
      <c r="J12355" t="s">
        <v>458</v>
      </c>
      <c r="M12355">
        <v>0</v>
      </c>
    </row>
    <row r="12356" spans="1:13">
      <c r="A12356">
        <v>81062200</v>
      </c>
      <c r="B12356">
        <v>2103118</v>
      </c>
      <c r="C12356" t="s">
        <v>14624</v>
      </c>
      <c r="D12356" t="s">
        <v>441</v>
      </c>
      <c r="F12356">
        <v>0</v>
      </c>
      <c r="H12356" t="s">
        <v>8580</v>
      </c>
      <c r="I12356">
        <v>545</v>
      </c>
      <c r="J12356" t="s">
        <v>458</v>
      </c>
      <c r="M12356">
        <v>0</v>
      </c>
    </row>
    <row r="12357" spans="1:13">
      <c r="A12357">
        <v>81062300</v>
      </c>
      <c r="B12357">
        <v>2104430</v>
      </c>
      <c r="C12357" t="s">
        <v>14625</v>
      </c>
      <c r="D12357" t="s">
        <v>441</v>
      </c>
      <c r="F12357">
        <v>0</v>
      </c>
      <c r="I12357">
        <v>540</v>
      </c>
      <c r="J12357" t="s">
        <v>458</v>
      </c>
      <c r="M12357">
        <v>0</v>
      </c>
    </row>
    <row r="12358" spans="1:13">
      <c r="A12358">
        <v>81062400</v>
      </c>
      <c r="B12358">
        <v>2104480</v>
      </c>
      <c r="C12358" t="s">
        <v>15296</v>
      </c>
      <c r="D12358" t="s">
        <v>441</v>
      </c>
      <c r="F12358">
        <v>0</v>
      </c>
      <c r="H12358" t="s">
        <v>8580</v>
      </c>
      <c r="I12358">
        <v>540</v>
      </c>
      <c r="J12358" t="s">
        <v>458</v>
      </c>
      <c r="M12358">
        <v>0</v>
      </c>
    </row>
    <row r="12359" spans="1:13">
      <c r="A12359">
        <v>81062500</v>
      </c>
      <c r="B12359">
        <v>2104481</v>
      </c>
      <c r="C12359" t="s">
        <v>15297</v>
      </c>
      <c r="D12359" t="s">
        <v>441</v>
      </c>
      <c r="F12359">
        <v>0</v>
      </c>
      <c r="H12359" t="s">
        <v>8580</v>
      </c>
      <c r="I12359">
        <v>540</v>
      </c>
      <c r="J12359" t="s">
        <v>458</v>
      </c>
      <c r="M12359">
        <v>0</v>
      </c>
    </row>
    <row r="12360" spans="1:13">
      <c r="A12360">
        <v>81062600</v>
      </c>
      <c r="B12360">
        <v>2104482</v>
      </c>
      <c r="C12360" t="s">
        <v>15298</v>
      </c>
      <c r="D12360" t="s">
        <v>441</v>
      </c>
      <c r="F12360">
        <v>0</v>
      </c>
      <c r="H12360" t="s">
        <v>8580</v>
      </c>
      <c r="I12360">
        <v>540</v>
      </c>
      <c r="J12360" t="s">
        <v>458</v>
      </c>
      <c r="M12360">
        <v>0</v>
      </c>
    </row>
    <row r="12361" spans="1:13">
      <c r="A12361">
        <v>81062700</v>
      </c>
      <c r="B12361">
        <v>2104157</v>
      </c>
      <c r="C12361" t="s">
        <v>15357</v>
      </c>
      <c r="D12361" t="s">
        <v>441</v>
      </c>
      <c r="F12361">
        <v>0</v>
      </c>
      <c r="I12361">
        <v>548</v>
      </c>
      <c r="J12361" t="s">
        <v>458</v>
      </c>
      <c r="M12361">
        <v>0</v>
      </c>
    </row>
    <row r="12362" spans="1:13">
      <c r="A12362">
        <v>81062800</v>
      </c>
      <c r="B12362">
        <v>2104520</v>
      </c>
      <c r="C12362" t="s">
        <v>15549</v>
      </c>
      <c r="D12362" t="s">
        <v>441</v>
      </c>
      <c r="F12362">
        <v>0</v>
      </c>
      <c r="H12362" t="s">
        <v>8580</v>
      </c>
      <c r="I12362">
        <v>365</v>
      </c>
      <c r="J12362" t="s">
        <v>458</v>
      </c>
      <c r="M12362">
        <v>0</v>
      </c>
    </row>
    <row r="12363" spans="1:13">
      <c r="A12363">
        <v>81062900</v>
      </c>
      <c r="B12363">
        <v>2103962</v>
      </c>
      <c r="C12363" t="s">
        <v>15550</v>
      </c>
      <c r="D12363" t="s">
        <v>441</v>
      </c>
      <c r="F12363">
        <v>0</v>
      </c>
      <c r="H12363" t="s">
        <v>8580</v>
      </c>
      <c r="I12363">
        <v>265</v>
      </c>
      <c r="J12363" t="s">
        <v>458</v>
      </c>
      <c r="M12363">
        <v>0</v>
      </c>
    </row>
    <row r="12364" spans="1:13">
      <c r="A12364">
        <v>81063000</v>
      </c>
      <c r="B12364">
        <v>2104492</v>
      </c>
      <c r="C12364" t="s">
        <v>15607</v>
      </c>
      <c r="D12364" t="s">
        <v>441</v>
      </c>
      <c r="F12364">
        <v>0</v>
      </c>
      <c r="H12364" t="s">
        <v>8580</v>
      </c>
      <c r="I12364">
        <v>540</v>
      </c>
      <c r="J12364" t="s">
        <v>458</v>
      </c>
      <c r="M12364">
        <v>0</v>
      </c>
    </row>
    <row r="12365" spans="1:13">
      <c r="A12365">
        <v>81063100</v>
      </c>
      <c r="B12365">
        <v>2104493</v>
      </c>
      <c r="C12365" t="s">
        <v>15608</v>
      </c>
      <c r="D12365" t="s">
        <v>441</v>
      </c>
      <c r="F12365">
        <v>0</v>
      </c>
      <c r="H12365" t="s">
        <v>8580</v>
      </c>
      <c r="I12365">
        <v>365</v>
      </c>
      <c r="J12365" t="s">
        <v>458</v>
      </c>
      <c r="M12365">
        <v>0</v>
      </c>
    </row>
    <row r="12366" spans="1:13">
      <c r="A12366">
        <v>81063200</v>
      </c>
      <c r="B12366">
        <v>2104505</v>
      </c>
      <c r="C12366" t="s">
        <v>15609</v>
      </c>
      <c r="D12366" t="s">
        <v>441</v>
      </c>
      <c r="F12366">
        <v>0</v>
      </c>
      <c r="H12366" t="s">
        <v>8580</v>
      </c>
      <c r="I12366">
        <v>365</v>
      </c>
      <c r="J12366" t="s">
        <v>458</v>
      </c>
      <c r="M12366">
        <v>0</v>
      </c>
    </row>
    <row r="12367" spans="1:13">
      <c r="A12367">
        <v>81063300</v>
      </c>
      <c r="B12367">
        <v>2104506</v>
      </c>
      <c r="C12367" t="s">
        <v>15551</v>
      </c>
      <c r="D12367" t="s">
        <v>441</v>
      </c>
      <c r="F12367">
        <v>0</v>
      </c>
      <c r="H12367" t="s">
        <v>8580</v>
      </c>
      <c r="I12367">
        <v>365</v>
      </c>
      <c r="J12367" t="s">
        <v>458</v>
      </c>
      <c r="M12367">
        <v>0</v>
      </c>
    </row>
    <row r="12368" spans="1:13">
      <c r="A12368">
        <v>81063400</v>
      </c>
      <c r="B12368">
        <v>2104498</v>
      </c>
      <c r="C12368" t="s">
        <v>15610</v>
      </c>
      <c r="D12368" t="s">
        <v>441</v>
      </c>
      <c r="F12368">
        <v>0</v>
      </c>
      <c r="H12368" t="s">
        <v>8580</v>
      </c>
      <c r="I12368">
        <v>540</v>
      </c>
      <c r="J12368" t="s">
        <v>458</v>
      </c>
      <c r="M12368">
        <v>0</v>
      </c>
    </row>
    <row r="12369" spans="1:13">
      <c r="A12369">
        <v>81063500</v>
      </c>
      <c r="B12369">
        <v>2104499</v>
      </c>
      <c r="C12369" t="s">
        <v>15611</v>
      </c>
      <c r="D12369" t="s">
        <v>441</v>
      </c>
      <c r="F12369">
        <v>0</v>
      </c>
      <c r="H12369" t="s">
        <v>8580</v>
      </c>
      <c r="I12369">
        <v>540</v>
      </c>
      <c r="J12369" t="s">
        <v>458</v>
      </c>
      <c r="M12369">
        <v>0</v>
      </c>
    </row>
    <row r="12370" spans="1:13">
      <c r="A12370">
        <v>81063600</v>
      </c>
      <c r="B12370">
        <v>2104583</v>
      </c>
      <c r="C12370" t="s">
        <v>17204</v>
      </c>
      <c r="D12370" t="s">
        <v>441</v>
      </c>
      <c r="F12370">
        <v>0</v>
      </c>
      <c r="I12370">
        <v>540</v>
      </c>
      <c r="J12370" t="s">
        <v>458</v>
      </c>
      <c r="M12370">
        <v>0</v>
      </c>
    </row>
    <row r="12371" spans="1:13">
      <c r="A12371">
        <v>81063700</v>
      </c>
      <c r="B12371">
        <v>2104590</v>
      </c>
      <c r="C12371" t="s">
        <v>17205</v>
      </c>
      <c r="D12371" t="s">
        <v>441</v>
      </c>
      <c r="F12371">
        <v>0</v>
      </c>
      <c r="H12371" t="s">
        <v>8580</v>
      </c>
      <c r="I12371">
        <v>540</v>
      </c>
      <c r="J12371" t="s">
        <v>458</v>
      </c>
      <c r="M12371">
        <v>0</v>
      </c>
    </row>
    <row r="12372" spans="1:13">
      <c r="A12372">
        <v>81063800</v>
      </c>
      <c r="B12372">
        <v>2104600</v>
      </c>
      <c r="C12372" t="s">
        <v>17206</v>
      </c>
      <c r="D12372" t="s">
        <v>441</v>
      </c>
      <c r="F12372">
        <v>0</v>
      </c>
      <c r="I12372">
        <v>360</v>
      </c>
      <c r="J12372" t="s">
        <v>458</v>
      </c>
      <c r="M12372">
        <v>0</v>
      </c>
    </row>
    <row r="12373" spans="1:13">
      <c r="A12373">
        <v>81063900</v>
      </c>
      <c r="B12373">
        <v>2104602</v>
      </c>
      <c r="C12373" t="s">
        <v>17207</v>
      </c>
      <c r="D12373" t="s">
        <v>441</v>
      </c>
      <c r="F12373">
        <v>0</v>
      </c>
      <c r="I12373">
        <v>720</v>
      </c>
      <c r="J12373" t="s">
        <v>458</v>
      </c>
      <c r="M12373">
        <v>0</v>
      </c>
    </row>
    <row r="12374" spans="1:13">
      <c r="A12374">
        <v>81064000</v>
      </c>
      <c r="B12374">
        <v>2104603</v>
      </c>
      <c r="C12374" t="s">
        <v>17741</v>
      </c>
      <c r="D12374" t="s">
        <v>441</v>
      </c>
      <c r="F12374">
        <v>0</v>
      </c>
      <c r="I12374">
        <v>720</v>
      </c>
      <c r="J12374" t="s">
        <v>458</v>
      </c>
      <c r="M12374">
        <v>0</v>
      </c>
    </row>
    <row r="12375" spans="1:13">
      <c r="A12375">
        <v>81065000</v>
      </c>
      <c r="B12375">
        <v>2104660</v>
      </c>
      <c r="C12375" t="s">
        <v>17742</v>
      </c>
      <c r="D12375" t="s">
        <v>441</v>
      </c>
      <c r="F12375">
        <v>0</v>
      </c>
      <c r="H12375" t="s">
        <v>8580</v>
      </c>
      <c r="I12375">
        <v>360</v>
      </c>
      <c r="J12375" t="s">
        <v>458</v>
      </c>
      <c r="M12375">
        <v>0</v>
      </c>
    </row>
    <row r="12376" spans="1:13">
      <c r="A12376">
        <v>81066000</v>
      </c>
      <c r="B12376">
        <v>2104658</v>
      </c>
      <c r="C12376" t="s">
        <v>17743</v>
      </c>
      <c r="D12376" t="s">
        <v>441</v>
      </c>
      <c r="F12376">
        <v>0</v>
      </c>
      <c r="I12376">
        <v>360</v>
      </c>
      <c r="J12376" t="s">
        <v>458</v>
      </c>
      <c r="M12376">
        <v>0</v>
      </c>
    </row>
    <row r="12377" spans="1:13">
      <c r="A12377">
        <v>81067000</v>
      </c>
      <c r="B12377">
        <v>2104001</v>
      </c>
      <c r="C12377" t="s">
        <v>17744</v>
      </c>
      <c r="D12377" t="s">
        <v>441</v>
      </c>
      <c r="F12377">
        <v>0</v>
      </c>
      <c r="H12377" t="s">
        <v>8935</v>
      </c>
      <c r="I12377">
        <v>360</v>
      </c>
      <c r="J12377" t="s">
        <v>458</v>
      </c>
      <c r="M12377">
        <v>0</v>
      </c>
    </row>
    <row r="12378" spans="1:13">
      <c r="A12378">
        <v>81068000</v>
      </c>
      <c r="B12378">
        <v>2100030</v>
      </c>
      <c r="C12378" t="s">
        <v>17745</v>
      </c>
      <c r="D12378" t="s">
        <v>441</v>
      </c>
      <c r="F12378">
        <v>0</v>
      </c>
      <c r="H12378" t="s">
        <v>8935</v>
      </c>
      <c r="I12378">
        <v>547</v>
      </c>
      <c r="J12378" t="s">
        <v>458</v>
      </c>
      <c r="M12378">
        <v>0</v>
      </c>
    </row>
    <row r="12379" spans="1:13">
      <c r="A12379">
        <v>81069000</v>
      </c>
      <c r="B12379">
        <v>2104531</v>
      </c>
      <c r="C12379" t="s">
        <v>17746</v>
      </c>
      <c r="D12379" t="s">
        <v>441</v>
      </c>
      <c r="F12379">
        <v>0</v>
      </c>
      <c r="H12379" t="s">
        <v>8580</v>
      </c>
      <c r="I12379">
        <v>548</v>
      </c>
      <c r="J12379" t="s">
        <v>458</v>
      </c>
      <c r="M12379">
        <v>0</v>
      </c>
    </row>
    <row r="12380" spans="1:13">
      <c r="A12380">
        <v>81070000</v>
      </c>
      <c r="B12380">
        <v>2103969</v>
      </c>
      <c r="C12380" t="s">
        <v>17747</v>
      </c>
      <c r="D12380" t="s">
        <v>441</v>
      </c>
      <c r="F12380">
        <v>0</v>
      </c>
      <c r="H12380" t="s">
        <v>8935</v>
      </c>
      <c r="I12380">
        <v>365</v>
      </c>
      <c r="J12380" t="s">
        <v>458</v>
      </c>
      <c r="M12380">
        <v>0</v>
      </c>
    </row>
    <row r="12381" spans="1:13">
      <c r="A12381">
        <v>81071000</v>
      </c>
      <c r="B12381">
        <v>2104683</v>
      </c>
      <c r="C12381" t="s">
        <v>17748</v>
      </c>
      <c r="D12381" t="s">
        <v>441</v>
      </c>
      <c r="F12381">
        <v>0</v>
      </c>
      <c r="I12381">
        <v>365</v>
      </c>
      <c r="J12381" t="s">
        <v>458</v>
      </c>
      <c r="M12381">
        <v>0</v>
      </c>
    </row>
    <row r="12382" spans="1:13">
      <c r="A12382">
        <v>81072000</v>
      </c>
      <c r="B12382">
        <v>2103001</v>
      </c>
      <c r="C12382" t="s">
        <v>17749</v>
      </c>
      <c r="D12382" t="s">
        <v>441</v>
      </c>
      <c r="F12382">
        <v>0</v>
      </c>
      <c r="H12382" t="s">
        <v>8580</v>
      </c>
      <c r="I12382">
        <v>365</v>
      </c>
      <c r="J12382" t="s">
        <v>458</v>
      </c>
      <c r="M12382">
        <v>0</v>
      </c>
    </row>
    <row r="12383" spans="1:13">
      <c r="A12383">
        <v>81073000</v>
      </c>
      <c r="B12383">
        <v>2104682</v>
      </c>
      <c r="C12383" t="s">
        <v>17750</v>
      </c>
      <c r="D12383" t="s">
        <v>441</v>
      </c>
      <c r="F12383">
        <v>0</v>
      </c>
      <c r="I12383">
        <v>720</v>
      </c>
      <c r="J12383" t="s">
        <v>458</v>
      </c>
      <c r="M12383">
        <v>0</v>
      </c>
    </row>
    <row r="12384" spans="1:13">
      <c r="A12384">
        <v>81074000</v>
      </c>
      <c r="B12384">
        <v>2104710</v>
      </c>
      <c r="C12384" t="s">
        <v>17751</v>
      </c>
      <c r="D12384" t="s">
        <v>441</v>
      </c>
      <c r="F12384">
        <v>0</v>
      </c>
      <c r="H12384" t="s">
        <v>8580</v>
      </c>
      <c r="I12384">
        <v>365</v>
      </c>
      <c r="J12384" t="s">
        <v>458</v>
      </c>
      <c r="M12384">
        <v>0</v>
      </c>
    </row>
    <row r="12385" spans="1:13">
      <c r="A12385">
        <v>81200900</v>
      </c>
      <c r="B12385">
        <v>2100597</v>
      </c>
      <c r="C12385" t="s">
        <v>13867</v>
      </c>
      <c r="D12385" t="s">
        <v>441</v>
      </c>
      <c r="F12385">
        <v>0</v>
      </c>
      <c r="H12385" t="s">
        <v>8580</v>
      </c>
      <c r="I12385">
        <v>720</v>
      </c>
      <c r="J12385" t="s">
        <v>458</v>
      </c>
      <c r="M12385">
        <v>0</v>
      </c>
    </row>
    <row r="12386" spans="1:13">
      <c r="A12386">
        <v>81202000</v>
      </c>
      <c r="B12386">
        <v>2100598</v>
      </c>
      <c r="C12386" t="s">
        <v>13868</v>
      </c>
      <c r="D12386" t="s">
        <v>441</v>
      </c>
      <c r="F12386">
        <v>0</v>
      </c>
      <c r="H12386" t="s">
        <v>8584</v>
      </c>
      <c r="I12386">
        <v>360</v>
      </c>
      <c r="J12386" t="s">
        <v>458</v>
      </c>
      <c r="M12386">
        <v>0</v>
      </c>
    </row>
    <row r="12387" spans="1:13">
      <c r="A12387">
        <v>81202100</v>
      </c>
      <c r="B12387">
        <v>2100599</v>
      </c>
      <c r="C12387" t="s">
        <v>13869</v>
      </c>
      <c r="D12387" t="s">
        <v>441</v>
      </c>
      <c r="F12387">
        <v>0</v>
      </c>
      <c r="H12387" t="s">
        <v>8584</v>
      </c>
      <c r="I12387">
        <v>360</v>
      </c>
      <c r="J12387" t="s">
        <v>458</v>
      </c>
      <c r="K12387" t="s">
        <v>446</v>
      </c>
      <c r="M12387">
        <v>0</v>
      </c>
    </row>
    <row r="12388" spans="1:13">
      <c r="A12388">
        <v>81300700</v>
      </c>
      <c r="B12388">
        <v>2100351</v>
      </c>
      <c r="C12388" t="s">
        <v>13870</v>
      </c>
      <c r="D12388" t="s">
        <v>441</v>
      </c>
      <c r="F12388">
        <v>0</v>
      </c>
      <c r="I12388">
        <v>730</v>
      </c>
      <c r="J12388" t="s">
        <v>458</v>
      </c>
      <c r="K12388" t="s">
        <v>446</v>
      </c>
      <c r="M12388">
        <v>0</v>
      </c>
    </row>
    <row r="12389" spans="1:13">
      <c r="A12389">
        <v>81300800</v>
      </c>
      <c r="B12389">
        <v>2100012</v>
      </c>
      <c r="C12389" t="s">
        <v>13871</v>
      </c>
      <c r="D12389" t="s">
        <v>441</v>
      </c>
      <c r="F12389">
        <v>0</v>
      </c>
      <c r="H12389" t="s">
        <v>8935</v>
      </c>
      <c r="I12389">
        <v>1080</v>
      </c>
      <c r="J12389" t="s">
        <v>458</v>
      </c>
      <c r="M12389">
        <v>0</v>
      </c>
    </row>
    <row r="12390" spans="1:13">
      <c r="A12390">
        <v>81300900</v>
      </c>
      <c r="B12390">
        <v>2100095</v>
      </c>
      <c r="C12390" t="s">
        <v>13872</v>
      </c>
      <c r="D12390" t="s">
        <v>441</v>
      </c>
      <c r="F12390">
        <v>0</v>
      </c>
      <c r="H12390" t="s">
        <v>8935</v>
      </c>
      <c r="I12390">
        <v>1095</v>
      </c>
      <c r="J12390" t="s">
        <v>458</v>
      </c>
      <c r="M12390">
        <v>0</v>
      </c>
    </row>
    <row r="12391" spans="1:13">
      <c r="A12391">
        <v>81301100</v>
      </c>
      <c r="B12391">
        <v>2100094</v>
      </c>
      <c r="C12391" t="s">
        <v>13873</v>
      </c>
      <c r="D12391" t="s">
        <v>441</v>
      </c>
      <c r="F12391">
        <v>0</v>
      </c>
      <c r="H12391" t="s">
        <v>8580</v>
      </c>
      <c r="I12391">
        <v>1825</v>
      </c>
      <c r="J12391" t="s">
        <v>458</v>
      </c>
      <c r="M12391">
        <v>0</v>
      </c>
    </row>
    <row r="12392" spans="1:13">
      <c r="A12392">
        <v>81302300</v>
      </c>
      <c r="B12392">
        <v>2100477</v>
      </c>
      <c r="C12392" t="s">
        <v>13874</v>
      </c>
      <c r="D12392" t="s">
        <v>441</v>
      </c>
      <c r="F12392">
        <v>0</v>
      </c>
      <c r="I12392">
        <v>365</v>
      </c>
      <c r="J12392" t="s">
        <v>458</v>
      </c>
      <c r="K12392" t="s">
        <v>446</v>
      </c>
      <c r="M12392">
        <v>0</v>
      </c>
    </row>
    <row r="12393" spans="1:13">
      <c r="A12393">
        <v>81302400</v>
      </c>
      <c r="B12393">
        <v>2100600</v>
      </c>
      <c r="C12393" t="s">
        <v>13875</v>
      </c>
      <c r="D12393" t="s">
        <v>441</v>
      </c>
      <c r="F12393">
        <v>0</v>
      </c>
      <c r="H12393" t="s">
        <v>8580</v>
      </c>
      <c r="I12393">
        <v>720</v>
      </c>
      <c r="J12393" t="s">
        <v>458</v>
      </c>
      <c r="K12393" t="s">
        <v>446</v>
      </c>
      <c r="M12393">
        <v>0</v>
      </c>
    </row>
    <row r="12394" spans="1:13">
      <c r="A12394">
        <v>81302500</v>
      </c>
      <c r="B12394">
        <v>2100430</v>
      </c>
      <c r="C12394" t="s">
        <v>13876</v>
      </c>
      <c r="D12394" t="s">
        <v>441</v>
      </c>
      <c r="F12394">
        <v>0</v>
      </c>
      <c r="H12394" t="s">
        <v>8580</v>
      </c>
      <c r="I12394">
        <v>365</v>
      </c>
      <c r="J12394" t="s">
        <v>458</v>
      </c>
      <c r="K12394" t="s">
        <v>446</v>
      </c>
      <c r="M12394">
        <v>0</v>
      </c>
    </row>
    <row r="12395" spans="1:13">
      <c r="A12395">
        <v>81302700</v>
      </c>
      <c r="B12395">
        <v>2100694</v>
      </c>
      <c r="C12395" t="s">
        <v>5751</v>
      </c>
      <c r="D12395" t="s">
        <v>441</v>
      </c>
      <c r="F12395">
        <v>0</v>
      </c>
      <c r="H12395" t="s">
        <v>8580</v>
      </c>
      <c r="I12395">
        <v>720</v>
      </c>
      <c r="J12395" t="s">
        <v>458</v>
      </c>
      <c r="K12395" t="s">
        <v>446</v>
      </c>
      <c r="M12395">
        <v>0</v>
      </c>
    </row>
    <row r="12396" spans="1:13">
      <c r="A12396">
        <v>81302800</v>
      </c>
      <c r="B12396">
        <v>2100601</v>
      </c>
      <c r="C12396" t="s">
        <v>17752</v>
      </c>
      <c r="D12396" t="s">
        <v>441</v>
      </c>
      <c r="F12396">
        <v>0</v>
      </c>
      <c r="I12396">
        <v>540</v>
      </c>
      <c r="J12396" t="s">
        <v>458</v>
      </c>
      <c r="M12396">
        <v>0</v>
      </c>
    </row>
    <row r="12397" spans="1:13">
      <c r="A12397">
        <v>81400100</v>
      </c>
      <c r="B12397">
        <v>2100505</v>
      </c>
      <c r="C12397" t="s">
        <v>13877</v>
      </c>
      <c r="D12397" t="s">
        <v>441</v>
      </c>
      <c r="F12397">
        <v>0</v>
      </c>
      <c r="H12397" t="s">
        <v>8584</v>
      </c>
      <c r="I12397">
        <v>365</v>
      </c>
      <c r="J12397" t="s">
        <v>458</v>
      </c>
      <c r="M12397">
        <v>0</v>
      </c>
    </row>
    <row r="12398" spans="1:13">
      <c r="A12398">
        <v>81400900</v>
      </c>
      <c r="B12398">
        <v>2100602</v>
      </c>
      <c r="C12398" t="s">
        <v>5752</v>
      </c>
      <c r="D12398" t="s">
        <v>441</v>
      </c>
      <c r="F12398">
        <v>0</v>
      </c>
      <c r="H12398" t="s">
        <v>8580</v>
      </c>
      <c r="I12398">
        <v>360</v>
      </c>
      <c r="J12398" t="s">
        <v>458</v>
      </c>
      <c r="K12398" t="s">
        <v>446</v>
      </c>
      <c r="M12398">
        <v>0</v>
      </c>
    </row>
    <row r="12399" spans="1:13">
      <c r="A12399">
        <v>81401100</v>
      </c>
      <c r="B12399">
        <v>2100513</v>
      </c>
      <c r="C12399" t="s">
        <v>5753</v>
      </c>
      <c r="D12399" t="s">
        <v>441</v>
      </c>
      <c r="F12399">
        <v>0</v>
      </c>
      <c r="I12399">
        <v>365</v>
      </c>
      <c r="J12399" t="s">
        <v>458</v>
      </c>
      <c r="K12399" t="s">
        <v>446</v>
      </c>
      <c r="M12399">
        <v>0</v>
      </c>
    </row>
    <row r="12400" spans="1:13">
      <c r="A12400">
        <v>81401200</v>
      </c>
      <c r="B12400">
        <v>2100603</v>
      </c>
      <c r="C12400" t="s">
        <v>13878</v>
      </c>
      <c r="D12400" t="s">
        <v>441</v>
      </c>
      <c r="F12400">
        <v>0</v>
      </c>
      <c r="H12400" t="s">
        <v>8584</v>
      </c>
      <c r="I12400">
        <v>360</v>
      </c>
      <c r="J12400" t="s">
        <v>458</v>
      </c>
      <c r="K12400" t="s">
        <v>446</v>
      </c>
      <c r="M12400">
        <v>0</v>
      </c>
    </row>
    <row r="12401" spans="1:13">
      <c r="A12401">
        <v>81407100</v>
      </c>
      <c r="B12401">
        <v>2100336</v>
      </c>
      <c r="C12401" t="s">
        <v>5754</v>
      </c>
      <c r="D12401" t="s">
        <v>441</v>
      </c>
      <c r="F12401">
        <v>0</v>
      </c>
      <c r="H12401" t="s">
        <v>8584</v>
      </c>
      <c r="I12401">
        <v>365</v>
      </c>
      <c r="J12401" t="s">
        <v>458</v>
      </c>
      <c r="K12401" t="s">
        <v>446</v>
      </c>
      <c r="M12401">
        <v>0</v>
      </c>
    </row>
    <row r="12402" spans="1:13">
      <c r="A12402">
        <v>81410900</v>
      </c>
      <c r="B12402">
        <v>2100046</v>
      </c>
      <c r="C12402" t="s">
        <v>324</v>
      </c>
      <c r="D12402" t="s">
        <v>441</v>
      </c>
      <c r="F12402">
        <v>0</v>
      </c>
      <c r="H12402" t="s">
        <v>8935</v>
      </c>
      <c r="I12402">
        <v>360</v>
      </c>
      <c r="J12402" t="s">
        <v>458</v>
      </c>
      <c r="M12402">
        <v>0</v>
      </c>
    </row>
    <row r="12403" spans="1:13">
      <c r="A12403">
        <v>81411400</v>
      </c>
      <c r="B12403">
        <v>2100695</v>
      </c>
      <c r="C12403" t="s">
        <v>13879</v>
      </c>
      <c r="D12403" t="s">
        <v>441</v>
      </c>
      <c r="F12403">
        <v>0</v>
      </c>
      <c r="I12403">
        <v>360</v>
      </c>
      <c r="J12403" t="s">
        <v>458</v>
      </c>
      <c r="K12403" t="s">
        <v>446</v>
      </c>
      <c r="M12403">
        <v>0</v>
      </c>
    </row>
    <row r="12404" spans="1:13">
      <c r="A12404">
        <v>81412200</v>
      </c>
      <c r="B12404">
        <v>2100302</v>
      </c>
      <c r="C12404" t="s">
        <v>5755</v>
      </c>
      <c r="D12404" t="s">
        <v>441</v>
      </c>
      <c r="F12404">
        <v>0</v>
      </c>
      <c r="I12404">
        <v>365</v>
      </c>
      <c r="J12404" t="s">
        <v>458</v>
      </c>
      <c r="K12404" t="s">
        <v>446</v>
      </c>
      <c r="M12404">
        <v>0</v>
      </c>
    </row>
    <row r="12405" spans="1:13">
      <c r="A12405">
        <v>81412300</v>
      </c>
      <c r="B12405">
        <v>2100604</v>
      </c>
      <c r="C12405" t="s">
        <v>13880</v>
      </c>
      <c r="D12405" t="s">
        <v>441</v>
      </c>
      <c r="F12405">
        <v>0</v>
      </c>
      <c r="H12405" t="s">
        <v>8584</v>
      </c>
      <c r="I12405">
        <v>720</v>
      </c>
      <c r="J12405" t="s">
        <v>458</v>
      </c>
      <c r="K12405" t="s">
        <v>446</v>
      </c>
      <c r="M12405">
        <v>0</v>
      </c>
    </row>
    <row r="12406" spans="1:13">
      <c r="A12406">
        <v>81412500</v>
      </c>
      <c r="B12406">
        <v>2100605</v>
      </c>
      <c r="C12406" t="s">
        <v>13881</v>
      </c>
      <c r="D12406" t="s">
        <v>441</v>
      </c>
      <c r="F12406">
        <v>0</v>
      </c>
      <c r="H12406" t="s">
        <v>8580</v>
      </c>
      <c r="I12406">
        <v>540</v>
      </c>
      <c r="J12406" t="s">
        <v>458</v>
      </c>
      <c r="M12406">
        <v>0</v>
      </c>
    </row>
    <row r="12407" spans="1:13">
      <c r="A12407">
        <v>81412700</v>
      </c>
      <c r="B12407">
        <v>2100666</v>
      </c>
      <c r="C12407" t="s">
        <v>13882</v>
      </c>
      <c r="D12407" t="s">
        <v>441</v>
      </c>
      <c r="F12407">
        <v>0</v>
      </c>
      <c r="H12407" t="s">
        <v>8580</v>
      </c>
      <c r="I12407">
        <v>360</v>
      </c>
      <c r="J12407" t="s">
        <v>458</v>
      </c>
      <c r="M12407">
        <v>0</v>
      </c>
    </row>
    <row r="12408" spans="1:13">
      <c r="A12408">
        <v>81600600</v>
      </c>
      <c r="B12408">
        <v>2100606</v>
      </c>
      <c r="C12408" t="s">
        <v>13883</v>
      </c>
      <c r="D12408" t="s">
        <v>441</v>
      </c>
      <c r="F12408">
        <v>0</v>
      </c>
      <c r="H12408" t="s">
        <v>8584</v>
      </c>
      <c r="I12408">
        <v>360</v>
      </c>
      <c r="J12408" t="s">
        <v>458</v>
      </c>
      <c r="K12408" t="s">
        <v>446</v>
      </c>
      <c r="M12408">
        <v>0</v>
      </c>
    </row>
    <row r="12409" spans="1:13">
      <c r="A12409">
        <v>81600700</v>
      </c>
      <c r="B12409">
        <v>2100258</v>
      </c>
      <c r="C12409" t="s">
        <v>13884</v>
      </c>
      <c r="D12409" t="s">
        <v>441</v>
      </c>
      <c r="F12409">
        <v>0</v>
      </c>
      <c r="H12409" t="s">
        <v>8580</v>
      </c>
      <c r="I12409">
        <v>182</v>
      </c>
      <c r="J12409" t="s">
        <v>458</v>
      </c>
      <c r="M12409">
        <v>0</v>
      </c>
    </row>
    <row r="12410" spans="1:13">
      <c r="A12410">
        <v>81700100</v>
      </c>
      <c r="B12410">
        <v>2100607</v>
      </c>
      <c r="C12410" t="s">
        <v>13885</v>
      </c>
      <c r="D12410" t="s">
        <v>441</v>
      </c>
      <c r="F12410">
        <v>0</v>
      </c>
      <c r="H12410" t="s">
        <v>8580</v>
      </c>
      <c r="I12410">
        <v>1800</v>
      </c>
      <c r="J12410" t="s">
        <v>458</v>
      </c>
      <c r="M12410">
        <v>0</v>
      </c>
    </row>
    <row r="12411" spans="1:13">
      <c r="A12411">
        <v>81700300</v>
      </c>
      <c r="B12411">
        <v>2100110</v>
      </c>
      <c r="C12411" t="s">
        <v>13886</v>
      </c>
      <c r="D12411" t="s">
        <v>441</v>
      </c>
      <c r="F12411">
        <v>0</v>
      </c>
      <c r="H12411" t="s">
        <v>8935</v>
      </c>
      <c r="I12411">
        <v>730</v>
      </c>
      <c r="J12411" t="s">
        <v>458</v>
      </c>
      <c r="M12411">
        <v>0</v>
      </c>
    </row>
    <row r="12412" spans="1:13">
      <c r="A12412">
        <v>81700400</v>
      </c>
      <c r="B12412">
        <v>2100109</v>
      </c>
      <c r="C12412" t="s">
        <v>13887</v>
      </c>
      <c r="D12412" t="s">
        <v>441</v>
      </c>
      <c r="F12412">
        <v>0</v>
      </c>
      <c r="H12412" t="s">
        <v>8935</v>
      </c>
      <c r="I12412">
        <v>730</v>
      </c>
      <c r="J12412" t="s">
        <v>458</v>
      </c>
      <c r="M12412">
        <v>0</v>
      </c>
    </row>
    <row r="12413" spans="1:13">
      <c r="A12413">
        <v>81700800</v>
      </c>
      <c r="B12413">
        <v>2100504</v>
      </c>
      <c r="C12413" t="s">
        <v>13888</v>
      </c>
      <c r="D12413" t="s">
        <v>441</v>
      </c>
      <c r="F12413">
        <v>0</v>
      </c>
      <c r="H12413" t="s">
        <v>8580</v>
      </c>
      <c r="I12413">
        <v>730</v>
      </c>
      <c r="J12413" t="s">
        <v>458</v>
      </c>
      <c r="K12413" t="s">
        <v>446</v>
      </c>
      <c r="M12413">
        <v>0</v>
      </c>
    </row>
    <row r="12414" spans="1:13">
      <c r="A12414">
        <v>81701000</v>
      </c>
      <c r="B12414">
        <v>2100112</v>
      </c>
      <c r="C12414" t="s">
        <v>13889</v>
      </c>
      <c r="D12414" t="s">
        <v>441</v>
      </c>
      <c r="F12414">
        <v>0</v>
      </c>
      <c r="H12414" t="s">
        <v>8935</v>
      </c>
      <c r="I12414">
        <v>730</v>
      </c>
      <c r="J12414" t="s">
        <v>458</v>
      </c>
      <c r="M12414">
        <v>0</v>
      </c>
    </row>
    <row r="12415" spans="1:13">
      <c r="A12415">
        <v>81701100</v>
      </c>
      <c r="B12415">
        <v>2100090</v>
      </c>
      <c r="C12415" t="s">
        <v>13890</v>
      </c>
      <c r="D12415" t="s">
        <v>441</v>
      </c>
      <c r="F12415">
        <v>0</v>
      </c>
      <c r="H12415" t="s">
        <v>8935</v>
      </c>
      <c r="I12415">
        <v>730</v>
      </c>
      <c r="J12415" t="s">
        <v>458</v>
      </c>
      <c r="M12415">
        <v>0</v>
      </c>
    </row>
    <row r="12416" spans="1:13">
      <c r="A12416">
        <v>81702000</v>
      </c>
      <c r="B12416">
        <v>2100590</v>
      </c>
      <c r="C12416" t="s">
        <v>13891</v>
      </c>
      <c r="D12416" t="s">
        <v>441</v>
      </c>
      <c r="F12416">
        <v>0</v>
      </c>
      <c r="H12416" t="s">
        <v>10089</v>
      </c>
      <c r="I12416">
        <v>730</v>
      </c>
      <c r="J12416" t="s">
        <v>458</v>
      </c>
      <c r="K12416" t="s">
        <v>446</v>
      </c>
      <c r="M12416">
        <v>0</v>
      </c>
    </row>
    <row r="12417" spans="1:13">
      <c r="A12417">
        <v>81702300</v>
      </c>
      <c r="B12417">
        <v>2100608</v>
      </c>
      <c r="C12417" t="s">
        <v>5756</v>
      </c>
      <c r="D12417" t="s">
        <v>441</v>
      </c>
      <c r="F12417">
        <v>0</v>
      </c>
      <c r="H12417" t="s">
        <v>8583</v>
      </c>
      <c r="I12417">
        <v>360</v>
      </c>
      <c r="J12417" t="s">
        <v>458</v>
      </c>
      <c r="M12417">
        <v>0</v>
      </c>
    </row>
    <row r="12418" spans="1:13">
      <c r="A12418">
        <v>81702400</v>
      </c>
      <c r="B12418">
        <v>2100093</v>
      </c>
      <c r="C12418" t="s">
        <v>13892</v>
      </c>
      <c r="D12418" t="s">
        <v>441</v>
      </c>
      <c r="F12418">
        <v>0</v>
      </c>
      <c r="H12418" t="s">
        <v>8935</v>
      </c>
      <c r="I12418">
        <v>365</v>
      </c>
      <c r="J12418" t="s">
        <v>458</v>
      </c>
      <c r="M12418">
        <v>0</v>
      </c>
    </row>
    <row r="12419" spans="1:13">
      <c r="A12419">
        <v>81702600</v>
      </c>
      <c r="B12419">
        <v>2100609</v>
      </c>
      <c r="C12419" t="s">
        <v>13893</v>
      </c>
      <c r="D12419" t="s">
        <v>441</v>
      </c>
      <c r="F12419">
        <v>0</v>
      </c>
      <c r="H12419" t="s">
        <v>8584</v>
      </c>
      <c r="I12419">
        <v>180</v>
      </c>
      <c r="J12419" t="s">
        <v>458</v>
      </c>
      <c r="K12419" t="s">
        <v>446</v>
      </c>
      <c r="M12419">
        <v>0</v>
      </c>
    </row>
    <row r="12420" spans="1:13">
      <c r="A12420">
        <v>81703000</v>
      </c>
      <c r="B12420">
        <v>2100610</v>
      </c>
      <c r="C12420" t="s">
        <v>13894</v>
      </c>
      <c r="D12420" t="s">
        <v>441</v>
      </c>
      <c r="F12420">
        <v>0</v>
      </c>
      <c r="H12420" t="s">
        <v>8637</v>
      </c>
      <c r="I12420">
        <v>120</v>
      </c>
      <c r="J12420" t="s">
        <v>458</v>
      </c>
      <c r="K12420" t="s">
        <v>446</v>
      </c>
      <c r="M12420">
        <v>0</v>
      </c>
    </row>
    <row r="12421" spans="1:13">
      <c r="A12421">
        <v>81703100</v>
      </c>
      <c r="B12421">
        <v>2101664</v>
      </c>
      <c r="C12421" t="s">
        <v>13895</v>
      </c>
      <c r="D12421" t="s">
        <v>441</v>
      </c>
      <c r="F12421">
        <v>0</v>
      </c>
      <c r="H12421" t="s">
        <v>8634</v>
      </c>
      <c r="I12421">
        <v>540</v>
      </c>
      <c r="J12421" t="s">
        <v>458</v>
      </c>
      <c r="K12421" t="s">
        <v>446</v>
      </c>
      <c r="M12421">
        <v>0</v>
      </c>
    </row>
    <row r="12422" spans="1:13">
      <c r="A12422">
        <v>81703300</v>
      </c>
      <c r="B12422">
        <v>2100096</v>
      </c>
      <c r="C12422" t="s">
        <v>13896</v>
      </c>
      <c r="D12422" t="s">
        <v>441</v>
      </c>
      <c r="F12422">
        <v>0</v>
      </c>
      <c r="H12422" t="s">
        <v>8935</v>
      </c>
      <c r="I12422">
        <v>540</v>
      </c>
      <c r="J12422" t="s">
        <v>458</v>
      </c>
      <c r="M12422">
        <v>0</v>
      </c>
    </row>
    <row r="12423" spans="1:13">
      <c r="A12423">
        <v>81704000</v>
      </c>
      <c r="B12423">
        <v>2100374</v>
      </c>
      <c r="C12423" t="s">
        <v>13897</v>
      </c>
      <c r="D12423" t="s">
        <v>441</v>
      </c>
      <c r="F12423">
        <v>0</v>
      </c>
      <c r="I12423">
        <v>130</v>
      </c>
      <c r="J12423" t="s">
        <v>458</v>
      </c>
      <c r="M12423">
        <v>0</v>
      </c>
    </row>
    <row r="12424" spans="1:13">
      <c r="A12424">
        <v>81705300</v>
      </c>
      <c r="B12424">
        <v>2100111</v>
      </c>
      <c r="C12424" t="s">
        <v>13898</v>
      </c>
      <c r="D12424" t="s">
        <v>441</v>
      </c>
      <c r="F12424">
        <v>0</v>
      </c>
      <c r="H12424" t="s">
        <v>8935</v>
      </c>
      <c r="I12424">
        <v>912</v>
      </c>
      <c r="J12424" t="s">
        <v>458</v>
      </c>
      <c r="M12424">
        <v>0</v>
      </c>
    </row>
    <row r="12425" spans="1:13">
      <c r="A12425">
        <v>81707300</v>
      </c>
      <c r="B12425">
        <v>2100707</v>
      </c>
      <c r="C12425" t="s">
        <v>13899</v>
      </c>
      <c r="D12425" t="s">
        <v>441</v>
      </c>
      <c r="F12425">
        <v>0</v>
      </c>
      <c r="H12425" t="s">
        <v>8619</v>
      </c>
      <c r="I12425">
        <v>720</v>
      </c>
      <c r="J12425" t="s">
        <v>458</v>
      </c>
      <c r="K12425" t="s">
        <v>446</v>
      </c>
      <c r="M12425">
        <v>0</v>
      </c>
    </row>
    <row r="12426" spans="1:13">
      <c r="A12426">
        <v>81708200</v>
      </c>
      <c r="B12426">
        <v>2100113</v>
      </c>
      <c r="C12426" t="s">
        <v>13900</v>
      </c>
      <c r="D12426" t="s">
        <v>441</v>
      </c>
      <c r="F12426">
        <v>0</v>
      </c>
      <c r="H12426" t="s">
        <v>8935</v>
      </c>
      <c r="I12426">
        <v>1825</v>
      </c>
      <c r="J12426" t="s">
        <v>458</v>
      </c>
      <c r="K12426" t="s">
        <v>446</v>
      </c>
      <c r="M12426">
        <v>0</v>
      </c>
    </row>
    <row r="12427" spans="1:13">
      <c r="A12427">
        <v>81708800</v>
      </c>
      <c r="B12427">
        <v>2100123</v>
      </c>
      <c r="C12427" t="s">
        <v>13901</v>
      </c>
      <c r="D12427" t="s">
        <v>441</v>
      </c>
      <c r="F12427">
        <v>0</v>
      </c>
      <c r="H12427" t="s">
        <v>8935</v>
      </c>
      <c r="I12427">
        <v>1800</v>
      </c>
      <c r="J12427" t="s">
        <v>458</v>
      </c>
      <c r="M12427">
        <v>0</v>
      </c>
    </row>
    <row r="12428" spans="1:13">
      <c r="A12428">
        <v>81709400</v>
      </c>
      <c r="B12428">
        <v>2100423</v>
      </c>
      <c r="C12428" t="s">
        <v>13902</v>
      </c>
      <c r="D12428" t="s">
        <v>441</v>
      </c>
      <c r="F12428">
        <v>0</v>
      </c>
      <c r="H12428" t="s">
        <v>8580</v>
      </c>
      <c r="I12428">
        <v>365</v>
      </c>
      <c r="J12428" t="s">
        <v>458</v>
      </c>
      <c r="M12428">
        <v>0</v>
      </c>
    </row>
    <row r="12429" spans="1:13">
      <c r="A12429">
        <v>81709800</v>
      </c>
      <c r="B12429">
        <v>2100291</v>
      </c>
      <c r="C12429" t="s">
        <v>5757</v>
      </c>
      <c r="D12429" t="s">
        <v>441</v>
      </c>
      <c r="F12429">
        <v>0</v>
      </c>
      <c r="I12429">
        <v>720</v>
      </c>
      <c r="J12429" t="s">
        <v>458</v>
      </c>
      <c r="M12429">
        <v>0</v>
      </c>
    </row>
    <row r="12430" spans="1:13">
      <c r="A12430">
        <v>81710200</v>
      </c>
      <c r="B12430">
        <v>2100611</v>
      </c>
      <c r="C12430" t="s">
        <v>13903</v>
      </c>
      <c r="D12430" t="s">
        <v>441</v>
      </c>
      <c r="F12430">
        <v>0</v>
      </c>
      <c r="H12430" t="s">
        <v>8584</v>
      </c>
      <c r="I12430">
        <v>360</v>
      </c>
      <c r="J12430" t="s">
        <v>458</v>
      </c>
      <c r="K12430" t="s">
        <v>446</v>
      </c>
      <c r="M12430">
        <v>0</v>
      </c>
    </row>
    <row r="12431" spans="1:13">
      <c r="A12431">
        <v>81710300</v>
      </c>
      <c r="B12431">
        <v>2100612</v>
      </c>
      <c r="C12431" t="s">
        <v>13904</v>
      </c>
      <c r="D12431" t="s">
        <v>441</v>
      </c>
      <c r="F12431">
        <v>0</v>
      </c>
      <c r="H12431" t="s">
        <v>8584</v>
      </c>
      <c r="I12431">
        <v>730</v>
      </c>
      <c r="J12431" t="s">
        <v>458</v>
      </c>
      <c r="M12431">
        <v>0</v>
      </c>
    </row>
    <row r="12432" spans="1:13">
      <c r="A12432">
        <v>81710600</v>
      </c>
      <c r="B12432">
        <v>2100613</v>
      </c>
      <c r="C12432" t="s">
        <v>13905</v>
      </c>
      <c r="D12432" t="s">
        <v>441</v>
      </c>
      <c r="F12432">
        <v>0</v>
      </c>
      <c r="H12432" t="s">
        <v>8584</v>
      </c>
      <c r="I12432">
        <v>1800</v>
      </c>
      <c r="J12432" t="s">
        <v>458</v>
      </c>
      <c r="M12432">
        <v>0</v>
      </c>
    </row>
    <row r="12433" spans="1:13">
      <c r="A12433">
        <v>81710700</v>
      </c>
      <c r="B12433">
        <v>2100116</v>
      </c>
      <c r="C12433" t="s">
        <v>15690</v>
      </c>
      <c r="D12433" t="s">
        <v>441</v>
      </c>
      <c r="F12433">
        <v>0</v>
      </c>
      <c r="H12433" t="s">
        <v>8580</v>
      </c>
      <c r="I12433">
        <v>730</v>
      </c>
      <c r="J12433" t="s">
        <v>458</v>
      </c>
      <c r="M12433">
        <v>0</v>
      </c>
    </row>
    <row r="12434" spans="1:13">
      <c r="A12434">
        <v>81710800</v>
      </c>
      <c r="B12434">
        <v>2100696</v>
      </c>
      <c r="C12434" t="s">
        <v>13906</v>
      </c>
      <c r="D12434" t="s">
        <v>441</v>
      </c>
      <c r="F12434">
        <v>0</v>
      </c>
      <c r="H12434" t="s">
        <v>8624</v>
      </c>
      <c r="I12434">
        <v>360</v>
      </c>
      <c r="J12434" t="s">
        <v>458</v>
      </c>
      <c r="M12434">
        <v>0</v>
      </c>
    </row>
    <row r="12435" spans="1:13">
      <c r="A12435">
        <v>81711000</v>
      </c>
      <c r="B12435">
        <v>2100509</v>
      </c>
      <c r="C12435" t="s">
        <v>13907</v>
      </c>
      <c r="D12435" t="s">
        <v>441</v>
      </c>
      <c r="F12435">
        <v>0</v>
      </c>
      <c r="H12435" t="s">
        <v>8580</v>
      </c>
      <c r="I12435">
        <v>540</v>
      </c>
      <c r="J12435" t="s">
        <v>458</v>
      </c>
      <c r="K12435" t="s">
        <v>446</v>
      </c>
      <c r="M12435">
        <v>0</v>
      </c>
    </row>
    <row r="12436" spans="1:13">
      <c r="A12436">
        <v>81711200</v>
      </c>
      <c r="B12436">
        <v>2100697</v>
      </c>
      <c r="C12436" t="s">
        <v>13908</v>
      </c>
      <c r="D12436" t="s">
        <v>441</v>
      </c>
      <c r="F12436">
        <v>0</v>
      </c>
      <c r="H12436" t="s">
        <v>8624</v>
      </c>
      <c r="I12436">
        <v>720</v>
      </c>
      <c r="J12436" t="s">
        <v>458</v>
      </c>
      <c r="M12436">
        <v>0</v>
      </c>
    </row>
    <row r="12437" spans="1:13">
      <c r="A12437">
        <v>81711500</v>
      </c>
      <c r="B12437">
        <v>2100614</v>
      </c>
      <c r="C12437" t="s">
        <v>13909</v>
      </c>
      <c r="D12437" t="s">
        <v>441</v>
      </c>
      <c r="F12437">
        <v>0</v>
      </c>
      <c r="H12437" t="s">
        <v>8584</v>
      </c>
      <c r="I12437">
        <v>1080</v>
      </c>
      <c r="J12437" t="s">
        <v>458</v>
      </c>
      <c r="K12437" t="s">
        <v>446</v>
      </c>
      <c r="M12437">
        <v>0</v>
      </c>
    </row>
    <row r="12438" spans="1:13">
      <c r="A12438">
        <v>81711600</v>
      </c>
      <c r="B12438">
        <v>2100615</v>
      </c>
      <c r="C12438" t="s">
        <v>13910</v>
      </c>
      <c r="D12438" t="s">
        <v>441</v>
      </c>
      <c r="F12438">
        <v>0</v>
      </c>
      <c r="H12438" t="s">
        <v>8584</v>
      </c>
      <c r="I12438">
        <v>730</v>
      </c>
      <c r="J12438" t="s">
        <v>458</v>
      </c>
      <c r="K12438" t="s">
        <v>446</v>
      </c>
      <c r="M12438">
        <v>0</v>
      </c>
    </row>
    <row r="12439" spans="1:13">
      <c r="A12439">
        <v>81711700</v>
      </c>
      <c r="B12439">
        <v>2100616</v>
      </c>
      <c r="C12439" t="s">
        <v>5758</v>
      </c>
      <c r="D12439" t="s">
        <v>441</v>
      </c>
      <c r="F12439">
        <v>0</v>
      </c>
      <c r="H12439" t="s">
        <v>8584</v>
      </c>
      <c r="I12439">
        <v>360</v>
      </c>
      <c r="J12439" t="s">
        <v>458</v>
      </c>
      <c r="K12439" t="s">
        <v>446</v>
      </c>
      <c r="M12439">
        <v>0</v>
      </c>
    </row>
    <row r="12440" spans="1:13">
      <c r="A12440">
        <v>81711800</v>
      </c>
      <c r="B12440">
        <v>2100102</v>
      </c>
      <c r="C12440" t="s">
        <v>5759</v>
      </c>
      <c r="D12440" t="s">
        <v>441</v>
      </c>
      <c r="F12440">
        <v>0</v>
      </c>
      <c r="H12440" t="s">
        <v>8935</v>
      </c>
      <c r="I12440">
        <v>547</v>
      </c>
      <c r="J12440" t="s">
        <v>458</v>
      </c>
      <c r="K12440" t="s">
        <v>446</v>
      </c>
      <c r="M12440">
        <v>0</v>
      </c>
    </row>
    <row r="12441" spans="1:13">
      <c r="A12441">
        <v>81711900</v>
      </c>
      <c r="B12441">
        <v>2100667</v>
      </c>
      <c r="C12441" t="s">
        <v>5760</v>
      </c>
      <c r="D12441" t="s">
        <v>441</v>
      </c>
      <c r="F12441">
        <v>0</v>
      </c>
      <c r="H12441" t="s">
        <v>8580</v>
      </c>
      <c r="I12441">
        <v>360</v>
      </c>
      <c r="J12441" t="s">
        <v>458</v>
      </c>
      <c r="K12441" t="s">
        <v>446</v>
      </c>
      <c r="M12441">
        <v>0</v>
      </c>
    </row>
    <row r="12442" spans="1:13">
      <c r="A12442">
        <v>81999900</v>
      </c>
      <c r="B12442">
        <v>8200035</v>
      </c>
      <c r="C12442" t="s">
        <v>5761</v>
      </c>
      <c r="D12442" t="s">
        <v>441</v>
      </c>
      <c r="F12442">
        <v>0</v>
      </c>
      <c r="G12442">
        <v>0</v>
      </c>
      <c r="H12442" t="s">
        <v>8584</v>
      </c>
      <c r="I12442">
        <v>0</v>
      </c>
      <c r="J12442" t="s">
        <v>469</v>
      </c>
      <c r="M12442">
        <v>0</v>
      </c>
    </row>
    <row r="12443" spans="1:13">
      <c r="A12443">
        <v>82001400</v>
      </c>
      <c r="B12443">
        <v>8200140</v>
      </c>
      <c r="C12443" t="s">
        <v>13911</v>
      </c>
      <c r="D12443" t="s">
        <v>442</v>
      </c>
      <c r="F12443">
        <v>1E-3</v>
      </c>
      <c r="H12443" t="s">
        <v>8627</v>
      </c>
      <c r="I12443">
        <v>0</v>
      </c>
      <c r="J12443" t="s">
        <v>469</v>
      </c>
      <c r="M12443">
        <v>0</v>
      </c>
    </row>
    <row r="12444" spans="1:13">
      <c r="A12444">
        <v>82001600</v>
      </c>
      <c r="B12444">
        <v>2100617</v>
      </c>
      <c r="C12444" t="s">
        <v>13912</v>
      </c>
      <c r="D12444" t="s">
        <v>441</v>
      </c>
      <c r="F12444">
        <v>0</v>
      </c>
      <c r="H12444" t="s">
        <v>8580</v>
      </c>
      <c r="I12444">
        <v>360</v>
      </c>
      <c r="J12444" t="s">
        <v>458</v>
      </c>
      <c r="K12444" t="s">
        <v>446</v>
      </c>
      <c r="M12444">
        <v>0</v>
      </c>
    </row>
    <row r="12445" spans="1:13">
      <c r="A12445">
        <v>82003000</v>
      </c>
      <c r="B12445">
        <v>2100552</v>
      </c>
      <c r="C12445" t="s">
        <v>13913</v>
      </c>
      <c r="D12445" t="s">
        <v>441</v>
      </c>
      <c r="F12445">
        <v>0</v>
      </c>
      <c r="H12445" t="s">
        <v>8580</v>
      </c>
      <c r="I12445">
        <v>365</v>
      </c>
      <c r="J12445" t="s">
        <v>458</v>
      </c>
      <c r="M12445">
        <v>0</v>
      </c>
    </row>
    <row r="12446" spans="1:13">
      <c r="A12446">
        <v>82003100</v>
      </c>
      <c r="B12446">
        <v>2100956</v>
      </c>
      <c r="C12446" t="s">
        <v>13914</v>
      </c>
      <c r="D12446" t="s">
        <v>441</v>
      </c>
      <c r="F12446">
        <v>0</v>
      </c>
      <c r="I12446">
        <v>180</v>
      </c>
      <c r="J12446" t="s">
        <v>458</v>
      </c>
      <c r="M12446">
        <v>0</v>
      </c>
    </row>
    <row r="12447" spans="1:13">
      <c r="A12447">
        <v>82003200</v>
      </c>
      <c r="B12447">
        <v>2100955</v>
      </c>
      <c r="C12447" t="s">
        <v>13915</v>
      </c>
      <c r="D12447" t="s">
        <v>441</v>
      </c>
      <c r="F12447">
        <v>0</v>
      </c>
      <c r="I12447">
        <v>540</v>
      </c>
      <c r="J12447" t="s">
        <v>458</v>
      </c>
      <c r="M12447">
        <v>0</v>
      </c>
    </row>
    <row r="12448" spans="1:13">
      <c r="A12448">
        <v>82003300</v>
      </c>
      <c r="B12448">
        <v>2100954</v>
      </c>
      <c r="C12448" t="s">
        <v>13916</v>
      </c>
      <c r="D12448" t="s">
        <v>441</v>
      </c>
      <c r="F12448">
        <v>0</v>
      </c>
      <c r="I12448">
        <v>360</v>
      </c>
      <c r="J12448" t="s">
        <v>458</v>
      </c>
      <c r="M12448">
        <v>0</v>
      </c>
    </row>
    <row r="12449" spans="1:13">
      <c r="A12449">
        <v>82003700</v>
      </c>
      <c r="B12449">
        <v>2100211</v>
      </c>
      <c r="C12449" t="s">
        <v>13917</v>
      </c>
      <c r="D12449" t="s">
        <v>441</v>
      </c>
      <c r="F12449">
        <v>0</v>
      </c>
      <c r="H12449" t="s">
        <v>8580</v>
      </c>
      <c r="I12449">
        <v>730</v>
      </c>
      <c r="J12449" t="s">
        <v>458</v>
      </c>
      <c r="K12449" t="s">
        <v>446</v>
      </c>
      <c r="M12449">
        <v>7122</v>
      </c>
    </row>
    <row r="12450" spans="1:13">
      <c r="A12450">
        <v>82003800</v>
      </c>
      <c r="B12450">
        <v>2100553</v>
      </c>
      <c r="C12450" t="s">
        <v>13918</v>
      </c>
      <c r="D12450" t="s">
        <v>441</v>
      </c>
      <c r="F12450">
        <v>0</v>
      </c>
      <c r="H12450" t="s">
        <v>8580</v>
      </c>
      <c r="I12450">
        <v>720</v>
      </c>
      <c r="J12450" t="s">
        <v>458</v>
      </c>
      <c r="M12450">
        <v>0</v>
      </c>
    </row>
    <row r="12451" spans="1:13">
      <c r="A12451">
        <v>82004100</v>
      </c>
      <c r="B12451">
        <v>2100027</v>
      </c>
      <c r="C12451" t="s">
        <v>13919</v>
      </c>
      <c r="D12451" t="s">
        <v>441</v>
      </c>
      <c r="F12451">
        <v>0</v>
      </c>
      <c r="H12451" t="s">
        <v>8935</v>
      </c>
      <c r="I12451">
        <v>1085</v>
      </c>
      <c r="J12451" t="s">
        <v>458</v>
      </c>
      <c r="M12451">
        <v>0</v>
      </c>
    </row>
    <row r="12452" spans="1:13">
      <c r="A12452">
        <v>82004200</v>
      </c>
      <c r="B12452">
        <v>2100206</v>
      </c>
      <c r="C12452" t="s">
        <v>13920</v>
      </c>
      <c r="D12452" t="s">
        <v>441</v>
      </c>
      <c r="F12452">
        <v>0</v>
      </c>
      <c r="I12452">
        <v>1140</v>
      </c>
      <c r="J12452" t="s">
        <v>458</v>
      </c>
      <c r="K12452" t="s">
        <v>446</v>
      </c>
      <c r="M12452">
        <v>0</v>
      </c>
    </row>
    <row r="12453" spans="1:13">
      <c r="A12453">
        <v>82004300</v>
      </c>
      <c r="B12453">
        <v>2100337</v>
      </c>
      <c r="C12453" t="s">
        <v>13921</v>
      </c>
      <c r="D12453" t="s">
        <v>441</v>
      </c>
      <c r="F12453">
        <v>0</v>
      </c>
      <c r="H12453" t="s">
        <v>8627</v>
      </c>
      <c r="I12453">
        <v>730</v>
      </c>
      <c r="J12453" t="s">
        <v>458</v>
      </c>
      <c r="M12453">
        <v>0</v>
      </c>
    </row>
    <row r="12454" spans="1:13">
      <c r="A12454">
        <v>82004600</v>
      </c>
      <c r="B12454">
        <v>2100024</v>
      </c>
      <c r="C12454" t="s">
        <v>13922</v>
      </c>
      <c r="D12454" t="s">
        <v>441</v>
      </c>
      <c r="F12454">
        <v>0</v>
      </c>
      <c r="H12454" t="s">
        <v>8935</v>
      </c>
      <c r="I12454">
        <v>360</v>
      </c>
      <c r="J12454" t="s">
        <v>458</v>
      </c>
      <c r="M12454">
        <v>0</v>
      </c>
    </row>
    <row r="12455" spans="1:13">
      <c r="A12455">
        <v>82004800</v>
      </c>
      <c r="B12455">
        <v>2100554</v>
      </c>
      <c r="C12455" t="s">
        <v>13923</v>
      </c>
      <c r="D12455" t="s">
        <v>441</v>
      </c>
      <c r="F12455">
        <v>0</v>
      </c>
      <c r="H12455" t="s">
        <v>8580</v>
      </c>
      <c r="I12455">
        <v>540</v>
      </c>
      <c r="J12455" t="s">
        <v>458</v>
      </c>
      <c r="M12455">
        <v>0</v>
      </c>
    </row>
    <row r="12456" spans="1:13">
      <c r="A12456">
        <v>82006610</v>
      </c>
      <c r="B12456">
        <v>2013131</v>
      </c>
      <c r="C12456" t="s">
        <v>13924</v>
      </c>
      <c r="D12456" t="s">
        <v>442</v>
      </c>
      <c r="F12456">
        <v>5</v>
      </c>
      <c r="H12456" t="s">
        <v>8580</v>
      </c>
      <c r="I12456">
        <v>365</v>
      </c>
      <c r="J12456" t="s">
        <v>450</v>
      </c>
      <c r="M12456">
        <v>0</v>
      </c>
    </row>
    <row r="12457" spans="1:13">
      <c r="A12457">
        <v>82006620</v>
      </c>
      <c r="B12457">
        <v>2014097</v>
      </c>
      <c r="C12457" t="s">
        <v>13925</v>
      </c>
      <c r="D12457" t="s">
        <v>442</v>
      </c>
      <c r="F12457">
        <v>5</v>
      </c>
      <c r="H12457" t="s">
        <v>8580</v>
      </c>
      <c r="I12457">
        <v>365</v>
      </c>
      <c r="J12457" t="s">
        <v>450</v>
      </c>
      <c r="M12457">
        <v>0</v>
      </c>
    </row>
    <row r="12458" spans="1:13">
      <c r="A12458">
        <v>82007900</v>
      </c>
      <c r="B12458">
        <v>2016712</v>
      </c>
      <c r="C12458" t="s">
        <v>5762</v>
      </c>
      <c r="D12458" t="s">
        <v>442</v>
      </c>
      <c r="F12458">
        <v>0.3</v>
      </c>
      <c r="H12458" t="s">
        <v>8935</v>
      </c>
      <c r="I12458">
        <v>360</v>
      </c>
      <c r="J12458" t="s">
        <v>450</v>
      </c>
      <c r="M12458">
        <v>0</v>
      </c>
    </row>
    <row r="12459" spans="1:13">
      <c r="A12459">
        <v>82009200</v>
      </c>
      <c r="B12459">
        <v>2016713</v>
      </c>
      <c r="C12459" t="s">
        <v>5763</v>
      </c>
      <c r="D12459" t="s">
        <v>442</v>
      </c>
      <c r="F12459">
        <v>0.3</v>
      </c>
      <c r="H12459" t="s">
        <v>8935</v>
      </c>
      <c r="I12459">
        <v>360</v>
      </c>
      <c r="J12459" t="s">
        <v>450</v>
      </c>
      <c r="M12459">
        <v>0</v>
      </c>
    </row>
    <row r="12460" spans="1:13">
      <c r="A12460">
        <v>82009400</v>
      </c>
      <c r="B12460">
        <v>2100021</v>
      </c>
      <c r="C12460" t="s">
        <v>13926</v>
      </c>
      <c r="D12460" t="s">
        <v>441</v>
      </c>
      <c r="F12460">
        <v>0</v>
      </c>
      <c r="H12460" t="s">
        <v>8935</v>
      </c>
      <c r="I12460">
        <v>360</v>
      </c>
      <c r="J12460" t="s">
        <v>458</v>
      </c>
      <c r="K12460" t="s">
        <v>446</v>
      </c>
      <c r="M12460">
        <v>0</v>
      </c>
    </row>
    <row r="12461" spans="1:13">
      <c r="A12461">
        <v>82010500</v>
      </c>
      <c r="B12461">
        <v>2100025</v>
      </c>
      <c r="C12461" t="s">
        <v>13927</v>
      </c>
      <c r="D12461" t="s">
        <v>441</v>
      </c>
      <c r="F12461">
        <v>0</v>
      </c>
      <c r="H12461" t="s">
        <v>8935</v>
      </c>
      <c r="I12461">
        <v>1260</v>
      </c>
      <c r="J12461" t="s">
        <v>458</v>
      </c>
      <c r="K12461" t="s">
        <v>446</v>
      </c>
      <c r="M12461">
        <v>0</v>
      </c>
    </row>
    <row r="12462" spans="1:13">
      <c r="A12462">
        <v>82010700</v>
      </c>
      <c r="B12462">
        <v>2100017</v>
      </c>
      <c r="C12462" t="s">
        <v>13928</v>
      </c>
      <c r="D12462" t="s">
        <v>441</v>
      </c>
      <c r="F12462">
        <v>0</v>
      </c>
      <c r="H12462" t="s">
        <v>8935</v>
      </c>
      <c r="I12462">
        <v>720</v>
      </c>
      <c r="J12462" t="s">
        <v>458</v>
      </c>
      <c r="M12462">
        <v>0</v>
      </c>
    </row>
    <row r="12463" spans="1:13">
      <c r="A12463">
        <v>82011400</v>
      </c>
      <c r="B12463">
        <v>2100618</v>
      </c>
      <c r="C12463" t="s">
        <v>13929</v>
      </c>
      <c r="D12463" t="s">
        <v>441</v>
      </c>
      <c r="F12463">
        <v>0</v>
      </c>
      <c r="H12463" t="s">
        <v>8584</v>
      </c>
      <c r="I12463">
        <v>720</v>
      </c>
      <c r="J12463" t="s">
        <v>458</v>
      </c>
      <c r="M12463">
        <v>0</v>
      </c>
    </row>
    <row r="12464" spans="1:13">
      <c r="A12464">
        <v>82011500</v>
      </c>
      <c r="B12464">
        <v>2100698</v>
      </c>
      <c r="C12464" t="s">
        <v>5764</v>
      </c>
      <c r="D12464" t="s">
        <v>441</v>
      </c>
      <c r="F12464">
        <v>0</v>
      </c>
      <c r="H12464" t="s">
        <v>9302</v>
      </c>
      <c r="I12464">
        <v>540</v>
      </c>
      <c r="J12464" t="s">
        <v>458</v>
      </c>
      <c r="K12464" t="s">
        <v>446</v>
      </c>
      <c r="M12464">
        <v>0</v>
      </c>
    </row>
    <row r="12465" spans="1:13">
      <c r="A12465">
        <v>82011800</v>
      </c>
      <c r="B12465">
        <v>2100619</v>
      </c>
      <c r="C12465" t="s">
        <v>5765</v>
      </c>
      <c r="D12465" t="s">
        <v>441</v>
      </c>
      <c r="F12465">
        <v>0</v>
      </c>
      <c r="H12465" t="s">
        <v>8584</v>
      </c>
      <c r="I12465">
        <v>720</v>
      </c>
      <c r="J12465" t="s">
        <v>458</v>
      </c>
      <c r="M12465">
        <v>0</v>
      </c>
    </row>
    <row r="12466" spans="1:13">
      <c r="A12466">
        <v>82073100</v>
      </c>
      <c r="B12466">
        <v>2012356</v>
      </c>
      <c r="C12466" t="s">
        <v>5766</v>
      </c>
      <c r="D12466" t="s">
        <v>442</v>
      </c>
      <c r="F12466">
        <v>0.3</v>
      </c>
      <c r="H12466" t="s">
        <v>8584</v>
      </c>
      <c r="I12466">
        <v>360</v>
      </c>
      <c r="J12466" t="s">
        <v>450</v>
      </c>
      <c r="M12466">
        <v>0</v>
      </c>
    </row>
    <row r="12467" spans="1:13">
      <c r="A12467">
        <v>82073200</v>
      </c>
      <c r="B12467">
        <v>2012393</v>
      </c>
      <c r="C12467" t="s">
        <v>5767</v>
      </c>
      <c r="D12467" t="s">
        <v>442</v>
      </c>
      <c r="F12467">
        <v>0.3</v>
      </c>
      <c r="H12467" t="s">
        <v>8580</v>
      </c>
      <c r="I12467">
        <v>360</v>
      </c>
      <c r="J12467" t="s">
        <v>450</v>
      </c>
      <c r="M12467">
        <v>0</v>
      </c>
    </row>
    <row r="12468" spans="1:13">
      <c r="A12468">
        <v>82073300</v>
      </c>
      <c r="B12468">
        <v>2012620</v>
      </c>
      <c r="C12468" t="s">
        <v>5768</v>
      </c>
      <c r="D12468" t="s">
        <v>442</v>
      </c>
      <c r="F12468">
        <v>0.2</v>
      </c>
      <c r="H12468" t="s">
        <v>8634</v>
      </c>
      <c r="I12468">
        <v>360</v>
      </c>
      <c r="J12468" t="s">
        <v>450</v>
      </c>
      <c r="M12468">
        <v>0</v>
      </c>
    </row>
    <row r="12469" spans="1:13">
      <c r="A12469">
        <v>82073400</v>
      </c>
      <c r="B12469">
        <v>2012621</v>
      </c>
      <c r="C12469" t="s">
        <v>5769</v>
      </c>
      <c r="D12469" t="s">
        <v>442</v>
      </c>
      <c r="F12469">
        <v>0.2</v>
      </c>
      <c r="H12469" t="s">
        <v>8634</v>
      </c>
      <c r="I12469">
        <v>360</v>
      </c>
      <c r="J12469" t="s">
        <v>450</v>
      </c>
      <c r="M12469">
        <v>0</v>
      </c>
    </row>
    <row r="12470" spans="1:13">
      <c r="A12470">
        <v>82073500</v>
      </c>
      <c r="B12470">
        <v>2012676</v>
      </c>
      <c r="C12470" t="s">
        <v>5770</v>
      </c>
      <c r="D12470" t="s">
        <v>442</v>
      </c>
      <c r="F12470">
        <v>0.3</v>
      </c>
      <c r="I12470">
        <v>360</v>
      </c>
      <c r="J12470" t="s">
        <v>450</v>
      </c>
      <c r="K12470" t="s">
        <v>446</v>
      </c>
      <c r="M12470">
        <v>0</v>
      </c>
    </row>
    <row r="12471" spans="1:13">
      <c r="A12471">
        <v>82073600</v>
      </c>
      <c r="B12471">
        <v>2012709</v>
      </c>
      <c r="C12471" t="s">
        <v>5771</v>
      </c>
      <c r="D12471" t="s">
        <v>442</v>
      </c>
      <c r="F12471">
        <v>0.1</v>
      </c>
      <c r="I12471">
        <v>360</v>
      </c>
      <c r="J12471" t="s">
        <v>450</v>
      </c>
      <c r="K12471" t="s">
        <v>446</v>
      </c>
      <c r="M12471">
        <v>0</v>
      </c>
    </row>
    <row r="12472" spans="1:13">
      <c r="A12472">
        <v>82073700</v>
      </c>
      <c r="B12472">
        <v>2012742</v>
      </c>
      <c r="C12472" t="s">
        <v>5772</v>
      </c>
      <c r="D12472" t="s">
        <v>442</v>
      </c>
      <c r="F12472">
        <v>0.3</v>
      </c>
      <c r="I12472">
        <v>360</v>
      </c>
      <c r="J12472" t="s">
        <v>450</v>
      </c>
      <c r="M12472">
        <v>0</v>
      </c>
    </row>
    <row r="12473" spans="1:13">
      <c r="A12473">
        <v>82073800</v>
      </c>
      <c r="B12473">
        <v>2012687</v>
      </c>
      <c r="C12473" t="s">
        <v>5773</v>
      </c>
      <c r="D12473" t="s">
        <v>442</v>
      </c>
      <c r="F12473">
        <v>0.3</v>
      </c>
      <c r="I12473">
        <v>360</v>
      </c>
      <c r="J12473" t="s">
        <v>450</v>
      </c>
      <c r="M12473">
        <v>0</v>
      </c>
    </row>
    <row r="12474" spans="1:13">
      <c r="A12474">
        <v>82073900</v>
      </c>
      <c r="B12474">
        <v>2012752</v>
      </c>
      <c r="C12474" t="s">
        <v>5774</v>
      </c>
      <c r="D12474" t="s">
        <v>442</v>
      </c>
      <c r="F12474">
        <v>0.3</v>
      </c>
      <c r="H12474" t="s">
        <v>8622</v>
      </c>
      <c r="I12474">
        <v>360</v>
      </c>
      <c r="J12474" t="s">
        <v>450</v>
      </c>
      <c r="M12474">
        <v>0</v>
      </c>
    </row>
    <row r="12475" spans="1:13">
      <c r="A12475">
        <v>82074100</v>
      </c>
      <c r="B12475">
        <v>2012771</v>
      </c>
      <c r="C12475" t="s">
        <v>5775</v>
      </c>
      <c r="D12475" t="s">
        <v>442</v>
      </c>
      <c r="F12475">
        <v>0.3</v>
      </c>
      <c r="H12475" t="s">
        <v>8584</v>
      </c>
      <c r="I12475">
        <v>360</v>
      </c>
      <c r="J12475" t="s">
        <v>450</v>
      </c>
      <c r="M12475">
        <v>0</v>
      </c>
    </row>
    <row r="12476" spans="1:13">
      <c r="A12476">
        <v>82074300</v>
      </c>
      <c r="B12476">
        <v>2012772</v>
      </c>
      <c r="C12476" t="s">
        <v>5776</v>
      </c>
      <c r="D12476" t="s">
        <v>442</v>
      </c>
      <c r="F12476">
        <v>0.3</v>
      </c>
      <c r="H12476" t="s">
        <v>8584</v>
      </c>
      <c r="I12476">
        <v>360</v>
      </c>
      <c r="J12476" t="s">
        <v>450</v>
      </c>
      <c r="M12476">
        <v>0</v>
      </c>
    </row>
    <row r="12477" spans="1:13">
      <c r="A12477">
        <v>82074400</v>
      </c>
      <c r="B12477">
        <v>2012780</v>
      </c>
      <c r="C12477" t="s">
        <v>5777</v>
      </c>
      <c r="D12477" t="s">
        <v>442</v>
      </c>
      <c r="F12477">
        <v>0.3</v>
      </c>
      <c r="H12477" t="s">
        <v>8584</v>
      </c>
      <c r="I12477">
        <v>360</v>
      </c>
      <c r="J12477" t="s">
        <v>450</v>
      </c>
      <c r="M12477">
        <v>0</v>
      </c>
    </row>
    <row r="12478" spans="1:13">
      <c r="A12478">
        <v>82074500</v>
      </c>
      <c r="B12478">
        <v>2012782</v>
      </c>
      <c r="C12478" t="s">
        <v>5778</v>
      </c>
      <c r="D12478" t="s">
        <v>442</v>
      </c>
      <c r="F12478">
        <v>0.14000000000000001</v>
      </c>
      <c r="H12478" t="s">
        <v>8584</v>
      </c>
      <c r="I12478">
        <v>360</v>
      </c>
      <c r="J12478" t="s">
        <v>450</v>
      </c>
      <c r="M12478">
        <v>0</v>
      </c>
    </row>
    <row r="12479" spans="1:13">
      <c r="A12479">
        <v>82074600</v>
      </c>
      <c r="B12479">
        <v>2012781</v>
      </c>
      <c r="C12479" t="s">
        <v>5779</v>
      </c>
      <c r="D12479" t="s">
        <v>442</v>
      </c>
      <c r="F12479">
        <v>0.24</v>
      </c>
      <c r="H12479" t="s">
        <v>8584</v>
      </c>
      <c r="I12479">
        <v>360</v>
      </c>
      <c r="J12479" t="s">
        <v>450</v>
      </c>
      <c r="M12479">
        <v>0</v>
      </c>
    </row>
    <row r="12480" spans="1:13">
      <c r="A12480">
        <v>82074700</v>
      </c>
      <c r="B12480">
        <v>2003333</v>
      </c>
      <c r="C12480" t="s">
        <v>5780</v>
      </c>
      <c r="D12480" t="s">
        <v>442</v>
      </c>
      <c r="F12480">
        <v>0.2</v>
      </c>
      <c r="H12480" t="s">
        <v>8584</v>
      </c>
      <c r="I12480">
        <v>730</v>
      </c>
      <c r="J12480" t="s">
        <v>450</v>
      </c>
      <c r="M12480">
        <v>0</v>
      </c>
    </row>
    <row r="12481" spans="1:13">
      <c r="A12481">
        <v>82074800</v>
      </c>
      <c r="B12481">
        <v>2003352</v>
      </c>
      <c r="C12481" t="s">
        <v>5781</v>
      </c>
      <c r="D12481" t="s">
        <v>442</v>
      </c>
      <c r="F12481">
        <v>0.05</v>
      </c>
      <c r="H12481" t="s">
        <v>8584</v>
      </c>
      <c r="I12481">
        <v>730</v>
      </c>
      <c r="J12481" t="s">
        <v>450</v>
      </c>
      <c r="M12481">
        <v>0</v>
      </c>
    </row>
    <row r="12482" spans="1:13">
      <c r="A12482">
        <v>82074900</v>
      </c>
      <c r="B12482">
        <v>2012908</v>
      </c>
      <c r="C12482" t="s">
        <v>5782</v>
      </c>
      <c r="D12482" t="s">
        <v>442</v>
      </c>
      <c r="F12482">
        <v>0.25</v>
      </c>
      <c r="H12482" t="s">
        <v>8580</v>
      </c>
      <c r="I12482">
        <v>360</v>
      </c>
      <c r="J12482" t="s">
        <v>450</v>
      </c>
      <c r="M12482">
        <v>0</v>
      </c>
    </row>
    <row r="12483" spans="1:13">
      <c r="A12483">
        <v>82075100</v>
      </c>
      <c r="B12483">
        <v>2012879</v>
      </c>
      <c r="C12483" t="s">
        <v>5783</v>
      </c>
      <c r="D12483" t="s">
        <v>442</v>
      </c>
      <c r="F12483">
        <v>0.25</v>
      </c>
      <c r="H12483" t="s">
        <v>8580</v>
      </c>
      <c r="I12483">
        <v>360</v>
      </c>
      <c r="J12483" t="s">
        <v>450</v>
      </c>
      <c r="M12483">
        <v>0</v>
      </c>
    </row>
    <row r="12484" spans="1:13">
      <c r="A12484">
        <v>82075200</v>
      </c>
      <c r="B12484">
        <v>2012985</v>
      </c>
      <c r="C12484" t="s">
        <v>5784</v>
      </c>
      <c r="D12484" t="s">
        <v>442</v>
      </c>
      <c r="F12484">
        <v>0.25</v>
      </c>
      <c r="I12484">
        <v>360</v>
      </c>
      <c r="J12484" t="s">
        <v>450</v>
      </c>
      <c r="K12484" t="s">
        <v>446</v>
      </c>
      <c r="M12484">
        <v>0</v>
      </c>
    </row>
    <row r="12485" spans="1:13">
      <c r="A12485">
        <v>82075300</v>
      </c>
      <c r="B12485">
        <v>2012987</v>
      </c>
      <c r="C12485" t="s">
        <v>5785</v>
      </c>
      <c r="D12485" t="s">
        <v>442</v>
      </c>
      <c r="F12485">
        <v>0.25</v>
      </c>
      <c r="I12485">
        <v>360</v>
      </c>
      <c r="J12485" t="s">
        <v>450</v>
      </c>
      <c r="K12485" t="s">
        <v>446</v>
      </c>
      <c r="M12485">
        <v>0</v>
      </c>
    </row>
    <row r="12486" spans="1:13">
      <c r="A12486">
        <v>82075400</v>
      </c>
      <c r="B12486">
        <v>2012986</v>
      </c>
      <c r="C12486" t="s">
        <v>5786</v>
      </c>
      <c r="D12486" t="s">
        <v>442</v>
      </c>
      <c r="F12486">
        <v>0.25</v>
      </c>
      <c r="I12486">
        <v>360</v>
      </c>
      <c r="J12486" t="s">
        <v>450</v>
      </c>
      <c r="K12486" t="s">
        <v>446</v>
      </c>
      <c r="M12486">
        <v>0</v>
      </c>
    </row>
    <row r="12487" spans="1:13">
      <c r="A12487">
        <v>82075500</v>
      </c>
      <c r="B12487">
        <v>2012223</v>
      </c>
      <c r="C12487" t="s">
        <v>5787</v>
      </c>
      <c r="D12487" t="s">
        <v>442</v>
      </c>
      <c r="F12487">
        <v>0.4</v>
      </c>
      <c r="H12487" t="s">
        <v>8584</v>
      </c>
      <c r="I12487">
        <v>360</v>
      </c>
      <c r="J12487" t="s">
        <v>450</v>
      </c>
      <c r="M12487">
        <v>0</v>
      </c>
    </row>
    <row r="12488" spans="1:13">
      <c r="A12488">
        <v>82075600</v>
      </c>
      <c r="B12488">
        <v>2012224</v>
      </c>
      <c r="C12488" t="s">
        <v>5788</v>
      </c>
      <c r="D12488" t="s">
        <v>442</v>
      </c>
      <c r="F12488">
        <v>0.55200000000000005</v>
      </c>
      <c r="H12488" t="s">
        <v>8584</v>
      </c>
      <c r="I12488">
        <v>360</v>
      </c>
      <c r="J12488" t="s">
        <v>450</v>
      </c>
      <c r="K12488" t="s">
        <v>446</v>
      </c>
      <c r="M12488">
        <v>0</v>
      </c>
    </row>
    <row r="12489" spans="1:13">
      <c r="A12489">
        <v>82075700</v>
      </c>
      <c r="B12489">
        <v>2012225</v>
      </c>
      <c r="C12489" t="s">
        <v>5789</v>
      </c>
      <c r="D12489" t="s">
        <v>442</v>
      </c>
      <c r="F12489">
        <v>0.55200000000000005</v>
      </c>
      <c r="H12489" t="s">
        <v>8584</v>
      </c>
      <c r="I12489">
        <v>360</v>
      </c>
      <c r="J12489" t="s">
        <v>450</v>
      </c>
      <c r="M12489">
        <v>0</v>
      </c>
    </row>
    <row r="12490" spans="1:13">
      <c r="A12490">
        <v>82075800</v>
      </c>
      <c r="B12490">
        <v>2012226</v>
      </c>
      <c r="C12490" t="s">
        <v>5790</v>
      </c>
      <c r="D12490" t="s">
        <v>442</v>
      </c>
      <c r="F12490">
        <v>0.55200000000000005</v>
      </c>
      <c r="H12490" t="s">
        <v>8580</v>
      </c>
      <c r="I12490">
        <v>360</v>
      </c>
      <c r="J12490" t="s">
        <v>450</v>
      </c>
      <c r="M12490">
        <v>0</v>
      </c>
    </row>
    <row r="12491" spans="1:13">
      <c r="A12491">
        <v>82076100</v>
      </c>
      <c r="B12491">
        <v>2013119</v>
      </c>
      <c r="C12491" t="s">
        <v>5791</v>
      </c>
      <c r="D12491" t="s">
        <v>442</v>
      </c>
      <c r="F12491">
        <v>0.25</v>
      </c>
      <c r="I12491">
        <v>360</v>
      </c>
      <c r="J12491" t="s">
        <v>450</v>
      </c>
      <c r="M12491">
        <v>0</v>
      </c>
    </row>
    <row r="12492" spans="1:13">
      <c r="A12492">
        <v>82076200</v>
      </c>
      <c r="B12492">
        <v>2013118</v>
      </c>
      <c r="C12492" t="s">
        <v>5792</v>
      </c>
      <c r="D12492" t="s">
        <v>442</v>
      </c>
      <c r="F12492">
        <v>0.25</v>
      </c>
      <c r="I12492">
        <v>360</v>
      </c>
      <c r="J12492" t="s">
        <v>450</v>
      </c>
      <c r="K12492" t="s">
        <v>446</v>
      </c>
      <c r="M12492">
        <v>0</v>
      </c>
    </row>
    <row r="12493" spans="1:13">
      <c r="A12493">
        <v>82076300</v>
      </c>
      <c r="B12493">
        <v>2013139</v>
      </c>
      <c r="C12493" t="s">
        <v>5793</v>
      </c>
      <c r="D12493" t="s">
        <v>442</v>
      </c>
      <c r="F12493">
        <v>0.1</v>
      </c>
      <c r="H12493" t="s">
        <v>8584</v>
      </c>
      <c r="I12493">
        <v>360</v>
      </c>
      <c r="J12493" t="s">
        <v>450</v>
      </c>
      <c r="M12493">
        <v>0</v>
      </c>
    </row>
    <row r="12494" spans="1:13">
      <c r="A12494">
        <v>82076400</v>
      </c>
      <c r="B12494">
        <v>2013515</v>
      </c>
      <c r="C12494" t="s">
        <v>5794</v>
      </c>
      <c r="D12494" t="s">
        <v>442</v>
      </c>
      <c r="F12494">
        <v>0.3</v>
      </c>
      <c r="H12494" t="s">
        <v>8580</v>
      </c>
      <c r="I12494">
        <v>360</v>
      </c>
      <c r="J12494" t="s">
        <v>450</v>
      </c>
      <c r="M12494">
        <v>0</v>
      </c>
    </row>
    <row r="12495" spans="1:13">
      <c r="A12495">
        <v>82076500</v>
      </c>
      <c r="B12495">
        <v>2013516</v>
      </c>
      <c r="C12495" t="s">
        <v>5795</v>
      </c>
      <c r="D12495" t="s">
        <v>442</v>
      </c>
      <c r="F12495">
        <v>0.3</v>
      </c>
      <c r="I12495">
        <v>360</v>
      </c>
      <c r="J12495" t="s">
        <v>450</v>
      </c>
      <c r="M12495">
        <v>0</v>
      </c>
    </row>
    <row r="12496" spans="1:13">
      <c r="A12496">
        <v>82076600</v>
      </c>
      <c r="B12496">
        <v>2013584</v>
      </c>
      <c r="C12496" t="s">
        <v>5796</v>
      </c>
      <c r="D12496" t="s">
        <v>442</v>
      </c>
      <c r="F12496">
        <v>0.25</v>
      </c>
      <c r="H12496" t="s">
        <v>8580</v>
      </c>
      <c r="I12496">
        <v>760</v>
      </c>
      <c r="J12496" t="s">
        <v>450</v>
      </c>
      <c r="M12496">
        <v>0</v>
      </c>
    </row>
    <row r="12497" spans="1:13">
      <c r="A12497">
        <v>82076700</v>
      </c>
      <c r="B12497">
        <v>2013585</v>
      </c>
      <c r="C12497" t="s">
        <v>5797</v>
      </c>
      <c r="D12497" t="s">
        <v>442</v>
      </c>
      <c r="F12497">
        <v>0.25</v>
      </c>
      <c r="H12497" t="s">
        <v>8627</v>
      </c>
      <c r="I12497">
        <v>760</v>
      </c>
      <c r="J12497" t="s">
        <v>450</v>
      </c>
      <c r="M12497">
        <v>0</v>
      </c>
    </row>
    <row r="12498" spans="1:13">
      <c r="A12498">
        <v>82076800</v>
      </c>
      <c r="B12498">
        <v>2013587</v>
      </c>
      <c r="C12498" t="s">
        <v>5798</v>
      </c>
      <c r="D12498" t="s">
        <v>442</v>
      </c>
      <c r="F12498">
        <v>0.25</v>
      </c>
      <c r="H12498" t="s">
        <v>8637</v>
      </c>
      <c r="I12498">
        <v>360</v>
      </c>
      <c r="J12498" t="s">
        <v>450</v>
      </c>
      <c r="M12498">
        <v>0</v>
      </c>
    </row>
    <row r="12499" spans="1:13">
      <c r="A12499">
        <v>82076900</v>
      </c>
      <c r="B12499">
        <v>2013586</v>
      </c>
      <c r="C12499" t="s">
        <v>5799</v>
      </c>
      <c r="D12499" t="s">
        <v>442</v>
      </c>
      <c r="F12499">
        <v>0.25</v>
      </c>
      <c r="I12499">
        <v>360</v>
      </c>
      <c r="J12499" t="s">
        <v>450</v>
      </c>
      <c r="M12499">
        <v>0</v>
      </c>
    </row>
    <row r="12500" spans="1:13">
      <c r="A12500">
        <v>82077100</v>
      </c>
      <c r="B12500">
        <v>2013597</v>
      </c>
      <c r="C12500" t="s">
        <v>5800</v>
      </c>
      <c r="D12500" t="s">
        <v>442</v>
      </c>
      <c r="F12500">
        <v>0.5</v>
      </c>
      <c r="I12500">
        <v>360</v>
      </c>
      <c r="J12500" t="s">
        <v>450</v>
      </c>
      <c r="M12500">
        <v>0</v>
      </c>
    </row>
    <row r="12501" spans="1:13">
      <c r="A12501">
        <v>82077200</v>
      </c>
      <c r="B12501">
        <v>2013598</v>
      </c>
      <c r="C12501" t="s">
        <v>5801</v>
      </c>
      <c r="D12501" t="s">
        <v>442</v>
      </c>
      <c r="F12501">
        <v>0.5</v>
      </c>
      <c r="H12501" t="s">
        <v>8580</v>
      </c>
      <c r="I12501">
        <v>360</v>
      </c>
      <c r="J12501" t="s">
        <v>450</v>
      </c>
      <c r="K12501" t="s">
        <v>446</v>
      </c>
      <c r="M12501">
        <v>0</v>
      </c>
    </row>
    <row r="12502" spans="1:13">
      <c r="A12502">
        <v>82077300</v>
      </c>
      <c r="B12502">
        <v>2013595</v>
      </c>
      <c r="C12502" t="s">
        <v>5802</v>
      </c>
      <c r="D12502" t="s">
        <v>442</v>
      </c>
      <c r="F12502">
        <v>0.5</v>
      </c>
      <c r="H12502" t="s">
        <v>8584</v>
      </c>
      <c r="I12502">
        <v>360</v>
      </c>
      <c r="J12502" t="s">
        <v>450</v>
      </c>
      <c r="K12502" t="s">
        <v>446</v>
      </c>
      <c r="M12502">
        <v>0</v>
      </c>
    </row>
    <row r="12503" spans="1:13">
      <c r="A12503">
        <v>82077400</v>
      </c>
      <c r="B12503">
        <v>2013596</v>
      </c>
      <c r="C12503" t="s">
        <v>5803</v>
      </c>
      <c r="D12503" t="s">
        <v>442</v>
      </c>
      <c r="F12503">
        <v>0.5</v>
      </c>
      <c r="I12503">
        <v>360</v>
      </c>
      <c r="J12503" t="s">
        <v>450</v>
      </c>
      <c r="M12503">
        <v>0</v>
      </c>
    </row>
    <row r="12504" spans="1:13">
      <c r="A12504">
        <v>82077500</v>
      </c>
      <c r="B12504">
        <v>2013610</v>
      </c>
      <c r="C12504" t="s">
        <v>5804</v>
      </c>
      <c r="D12504" t="s">
        <v>442</v>
      </c>
      <c r="F12504">
        <v>0.5</v>
      </c>
      <c r="H12504" t="s">
        <v>8580</v>
      </c>
      <c r="I12504">
        <v>360</v>
      </c>
      <c r="J12504" t="s">
        <v>450</v>
      </c>
      <c r="K12504" t="s">
        <v>446</v>
      </c>
      <c r="M12504">
        <v>0</v>
      </c>
    </row>
    <row r="12505" spans="1:13">
      <c r="A12505">
        <v>82077600</v>
      </c>
      <c r="B12505">
        <v>2013599</v>
      </c>
      <c r="C12505" t="s">
        <v>5805</v>
      </c>
      <c r="D12505" t="s">
        <v>442</v>
      </c>
      <c r="F12505">
        <v>0.5</v>
      </c>
      <c r="H12505" t="s">
        <v>8580</v>
      </c>
      <c r="I12505">
        <v>360</v>
      </c>
      <c r="J12505" t="s">
        <v>450</v>
      </c>
      <c r="K12505" t="s">
        <v>446</v>
      </c>
      <c r="M12505">
        <v>0</v>
      </c>
    </row>
    <row r="12506" spans="1:13">
      <c r="A12506">
        <v>82078100</v>
      </c>
      <c r="B12506">
        <v>2013740</v>
      </c>
      <c r="C12506" t="s">
        <v>5806</v>
      </c>
      <c r="D12506" t="s">
        <v>442</v>
      </c>
      <c r="F12506">
        <v>0.1</v>
      </c>
      <c r="H12506" t="s">
        <v>8580</v>
      </c>
      <c r="I12506">
        <v>360</v>
      </c>
      <c r="J12506" t="s">
        <v>450</v>
      </c>
      <c r="K12506" t="s">
        <v>446</v>
      </c>
      <c r="M12506">
        <v>0</v>
      </c>
    </row>
    <row r="12507" spans="1:13">
      <c r="A12507">
        <v>82078200</v>
      </c>
      <c r="B12507">
        <v>2017237</v>
      </c>
      <c r="C12507" t="s">
        <v>13930</v>
      </c>
      <c r="D12507" t="s">
        <v>442</v>
      </c>
      <c r="F12507">
        <v>1</v>
      </c>
      <c r="I12507">
        <v>720</v>
      </c>
      <c r="J12507" t="s">
        <v>450</v>
      </c>
      <c r="M12507">
        <v>0</v>
      </c>
    </row>
    <row r="12508" spans="1:13">
      <c r="A12508">
        <v>82078300</v>
      </c>
      <c r="B12508">
        <v>2013809</v>
      </c>
      <c r="C12508" t="s">
        <v>5807</v>
      </c>
      <c r="D12508" t="s">
        <v>442</v>
      </c>
      <c r="F12508">
        <v>0.2</v>
      </c>
      <c r="H12508" t="s">
        <v>8580</v>
      </c>
      <c r="I12508">
        <v>360</v>
      </c>
      <c r="J12508" t="s">
        <v>450</v>
      </c>
      <c r="M12508">
        <v>0</v>
      </c>
    </row>
    <row r="12509" spans="1:13">
      <c r="A12509">
        <v>82078400</v>
      </c>
      <c r="B12509">
        <v>2013808</v>
      </c>
      <c r="C12509" t="s">
        <v>5808</v>
      </c>
      <c r="D12509" t="s">
        <v>442</v>
      </c>
      <c r="F12509">
        <v>1</v>
      </c>
      <c r="H12509" t="s">
        <v>8580</v>
      </c>
      <c r="I12509">
        <v>360</v>
      </c>
      <c r="J12509" t="s">
        <v>450</v>
      </c>
      <c r="M12509">
        <v>0</v>
      </c>
    </row>
    <row r="12510" spans="1:13">
      <c r="A12510">
        <v>82078500</v>
      </c>
      <c r="B12510">
        <v>2015834</v>
      </c>
      <c r="C12510" t="s">
        <v>5809</v>
      </c>
      <c r="D12510" t="s">
        <v>442</v>
      </c>
      <c r="F12510">
        <v>0.52600000000000002</v>
      </c>
      <c r="I12510">
        <v>720</v>
      </c>
      <c r="J12510" t="s">
        <v>450</v>
      </c>
      <c r="M12510">
        <v>0</v>
      </c>
    </row>
    <row r="12511" spans="1:13">
      <c r="A12511">
        <v>82078600</v>
      </c>
      <c r="B12511">
        <v>2013807</v>
      </c>
      <c r="C12511" t="s">
        <v>5810</v>
      </c>
      <c r="D12511" t="s">
        <v>442</v>
      </c>
      <c r="F12511">
        <v>0.1</v>
      </c>
      <c r="H12511" t="s">
        <v>8580</v>
      </c>
      <c r="I12511">
        <v>360</v>
      </c>
      <c r="J12511" t="s">
        <v>450</v>
      </c>
      <c r="M12511">
        <v>0</v>
      </c>
    </row>
    <row r="12512" spans="1:13">
      <c r="A12512">
        <v>82078700</v>
      </c>
      <c r="B12512">
        <v>2013815</v>
      </c>
      <c r="C12512" t="s">
        <v>5811</v>
      </c>
      <c r="D12512" t="s">
        <v>442</v>
      </c>
      <c r="F12512">
        <v>0.4</v>
      </c>
      <c r="H12512" t="s">
        <v>8580</v>
      </c>
      <c r="I12512">
        <v>360</v>
      </c>
      <c r="J12512" t="s">
        <v>450</v>
      </c>
      <c r="M12512">
        <v>0</v>
      </c>
    </row>
    <row r="12513" spans="1:13">
      <c r="A12513">
        <v>82078800</v>
      </c>
      <c r="B12513">
        <v>2013837</v>
      </c>
      <c r="C12513" t="s">
        <v>5812</v>
      </c>
      <c r="D12513" t="s">
        <v>442</v>
      </c>
      <c r="F12513">
        <v>0.4</v>
      </c>
      <c r="H12513" t="s">
        <v>8580</v>
      </c>
      <c r="I12513">
        <v>360</v>
      </c>
      <c r="J12513" t="s">
        <v>450</v>
      </c>
      <c r="M12513">
        <v>0</v>
      </c>
    </row>
    <row r="12514" spans="1:13">
      <c r="A12514">
        <v>82078900</v>
      </c>
      <c r="B12514">
        <v>2013841</v>
      </c>
      <c r="C12514" t="s">
        <v>5813</v>
      </c>
      <c r="D12514" t="s">
        <v>442</v>
      </c>
      <c r="F12514">
        <v>0.4</v>
      </c>
      <c r="H12514" t="s">
        <v>8580</v>
      </c>
      <c r="I12514">
        <v>360</v>
      </c>
      <c r="J12514" t="s">
        <v>450</v>
      </c>
      <c r="M12514">
        <v>0</v>
      </c>
    </row>
    <row r="12515" spans="1:13">
      <c r="A12515">
        <v>82079100</v>
      </c>
      <c r="B12515">
        <v>2013836</v>
      </c>
      <c r="C12515" t="s">
        <v>5814</v>
      </c>
      <c r="D12515" t="s">
        <v>442</v>
      </c>
      <c r="F12515">
        <v>0.4</v>
      </c>
      <c r="H12515" t="s">
        <v>8580</v>
      </c>
      <c r="I12515">
        <v>360</v>
      </c>
      <c r="J12515" t="s">
        <v>450</v>
      </c>
      <c r="M12515">
        <v>0</v>
      </c>
    </row>
    <row r="12516" spans="1:13">
      <c r="A12516">
        <v>82079200</v>
      </c>
      <c r="B12516">
        <v>2013873</v>
      </c>
      <c r="C12516" t="s">
        <v>5815</v>
      </c>
      <c r="D12516" t="s">
        <v>442</v>
      </c>
      <c r="F12516">
        <v>0.4</v>
      </c>
      <c r="H12516" t="s">
        <v>8580</v>
      </c>
      <c r="I12516">
        <v>360</v>
      </c>
      <c r="J12516" t="s">
        <v>450</v>
      </c>
      <c r="M12516">
        <v>0</v>
      </c>
    </row>
    <row r="12517" spans="1:13">
      <c r="A12517">
        <v>82079300</v>
      </c>
      <c r="B12517">
        <v>2013893</v>
      </c>
      <c r="C12517" t="s">
        <v>5816</v>
      </c>
      <c r="D12517" t="s">
        <v>442</v>
      </c>
      <c r="F12517">
        <v>0.4</v>
      </c>
      <c r="H12517" t="s">
        <v>8580</v>
      </c>
      <c r="I12517">
        <v>360</v>
      </c>
      <c r="J12517" t="s">
        <v>450</v>
      </c>
      <c r="M12517">
        <v>0</v>
      </c>
    </row>
    <row r="12518" spans="1:13">
      <c r="A12518">
        <v>82079400</v>
      </c>
      <c r="B12518">
        <v>2013894</v>
      </c>
      <c r="C12518" t="s">
        <v>5817</v>
      </c>
      <c r="D12518" t="s">
        <v>442</v>
      </c>
      <c r="F12518">
        <v>0.4</v>
      </c>
      <c r="H12518" t="s">
        <v>8584</v>
      </c>
      <c r="I12518">
        <v>360</v>
      </c>
      <c r="J12518" t="s">
        <v>450</v>
      </c>
      <c r="M12518">
        <v>0</v>
      </c>
    </row>
    <row r="12519" spans="1:13">
      <c r="A12519">
        <v>82079500</v>
      </c>
      <c r="B12519">
        <v>2013892</v>
      </c>
      <c r="C12519" t="s">
        <v>5818</v>
      </c>
      <c r="D12519" t="s">
        <v>442</v>
      </c>
      <c r="F12519">
        <v>0.1</v>
      </c>
      <c r="H12519" t="s">
        <v>8580</v>
      </c>
      <c r="I12519">
        <v>360</v>
      </c>
      <c r="J12519" t="s">
        <v>450</v>
      </c>
      <c r="M12519">
        <v>0</v>
      </c>
    </row>
    <row r="12520" spans="1:13">
      <c r="A12520">
        <v>82079600</v>
      </c>
      <c r="B12520">
        <v>2013891</v>
      </c>
      <c r="C12520" t="s">
        <v>13931</v>
      </c>
      <c r="D12520" t="s">
        <v>442</v>
      </c>
      <c r="F12520">
        <v>0.1</v>
      </c>
      <c r="H12520" t="s">
        <v>8580</v>
      </c>
      <c r="I12520">
        <v>360</v>
      </c>
      <c r="J12520" t="s">
        <v>450</v>
      </c>
      <c r="M12520">
        <v>0</v>
      </c>
    </row>
    <row r="12521" spans="1:13">
      <c r="A12521">
        <v>82079700</v>
      </c>
      <c r="B12521">
        <v>2017388</v>
      </c>
      <c r="C12521" t="s">
        <v>5819</v>
      </c>
      <c r="D12521" t="s">
        <v>442</v>
      </c>
      <c r="F12521">
        <v>0.4</v>
      </c>
      <c r="H12521" t="s">
        <v>8580</v>
      </c>
      <c r="I12521">
        <v>365</v>
      </c>
      <c r="J12521" t="s">
        <v>450</v>
      </c>
      <c r="M12521">
        <v>0</v>
      </c>
    </row>
    <row r="12522" spans="1:13">
      <c r="A12522">
        <v>82079800</v>
      </c>
      <c r="B12522">
        <v>2017420</v>
      </c>
      <c r="C12522" t="s">
        <v>5820</v>
      </c>
      <c r="D12522" t="s">
        <v>442</v>
      </c>
      <c r="F12522">
        <v>0.2</v>
      </c>
      <c r="I12522">
        <v>365</v>
      </c>
      <c r="J12522" t="s">
        <v>450</v>
      </c>
      <c r="M12522">
        <v>0</v>
      </c>
    </row>
    <row r="12523" spans="1:13">
      <c r="A12523">
        <v>82079900</v>
      </c>
      <c r="B12523">
        <v>2017478</v>
      </c>
      <c r="C12523" t="s">
        <v>5821</v>
      </c>
      <c r="D12523" t="s">
        <v>442</v>
      </c>
      <c r="F12523">
        <v>0.2</v>
      </c>
      <c r="H12523" t="s">
        <v>8580</v>
      </c>
      <c r="I12523">
        <v>365</v>
      </c>
      <c r="J12523" t="s">
        <v>450</v>
      </c>
      <c r="M12523">
        <v>0</v>
      </c>
    </row>
    <row r="12524" spans="1:13">
      <c r="A12524">
        <v>82080100</v>
      </c>
      <c r="B12524">
        <v>2014069</v>
      </c>
      <c r="C12524" t="s">
        <v>5822</v>
      </c>
      <c r="D12524" t="s">
        <v>442</v>
      </c>
      <c r="F12524">
        <v>1</v>
      </c>
      <c r="H12524" t="s">
        <v>8580</v>
      </c>
      <c r="I12524">
        <v>360</v>
      </c>
      <c r="J12524" t="s">
        <v>450</v>
      </c>
      <c r="M12524">
        <v>0</v>
      </c>
    </row>
    <row r="12525" spans="1:13">
      <c r="A12525">
        <v>82080200</v>
      </c>
      <c r="B12525">
        <v>2014131</v>
      </c>
      <c r="C12525" t="s">
        <v>5823</v>
      </c>
      <c r="D12525" t="s">
        <v>442</v>
      </c>
      <c r="F12525">
        <v>0.1</v>
      </c>
      <c r="H12525" t="s">
        <v>8580</v>
      </c>
      <c r="I12525">
        <v>360</v>
      </c>
      <c r="J12525" t="s">
        <v>450</v>
      </c>
      <c r="M12525">
        <v>0</v>
      </c>
    </row>
    <row r="12526" spans="1:13">
      <c r="A12526">
        <v>82080300</v>
      </c>
      <c r="B12526">
        <v>2014102</v>
      </c>
      <c r="C12526" t="s">
        <v>5824</v>
      </c>
      <c r="D12526" t="s">
        <v>442</v>
      </c>
      <c r="F12526">
        <v>0.1</v>
      </c>
      <c r="H12526" t="s">
        <v>8580</v>
      </c>
      <c r="I12526">
        <v>360</v>
      </c>
      <c r="J12526" t="s">
        <v>450</v>
      </c>
      <c r="M12526">
        <v>0</v>
      </c>
    </row>
    <row r="12527" spans="1:13">
      <c r="A12527">
        <v>82080400</v>
      </c>
      <c r="B12527">
        <v>2014133</v>
      </c>
      <c r="C12527" t="s">
        <v>5825</v>
      </c>
      <c r="D12527" t="s">
        <v>442</v>
      </c>
      <c r="F12527">
        <v>0.1</v>
      </c>
      <c r="H12527" t="s">
        <v>8580</v>
      </c>
      <c r="I12527">
        <v>360</v>
      </c>
      <c r="J12527" t="s">
        <v>450</v>
      </c>
      <c r="M12527">
        <v>0</v>
      </c>
    </row>
    <row r="12528" spans="1:13">
      <c r="A12528">
        <v>82080500</v>
      </c>
      <c r="B12528">
        <v>2014132</v>
      </c>
      <c r="C12528" t="s">
        <v>5826</v>
      </c>
      <c r="D12528" t="s">
        <v>442</v>
      </c>
      <c r="F12528">
        <v>0.1</v>
      </c>
      <c r="H12528" t="s">
        <v>8580</v>
      </c>
      <c r="I12528">
        <v>360</v>
      </c>
      <c r="J12528" t="s">
        <v>450</v>
      </c>
      <c r="M12528">
        <v>0</v>
      </c>
    </row>
    <row r="12529" spans="1:13">
      <c r="A12529">
        <v>82080600</v>
      </c>
      <c r="B12529">
        <v>2014212</v>
      </c>
      <c r="C12529" t="s">
        <v>5827</v>
      </c>
      <c r="D12529" t="s">
        <v>442</v>
      </c>
      <c r="F12529">
        <v>0.1</v>
      </c>
      <c r="I12529">
        <v>360</v>
      </c>
      <c r="J12529" t="s">
        <v>450</v>
      </c>
      <c r="M12529">
        <v>0</v>
      </c>
    </row>
    <row r="12530" spans="1:13">
      <c r="A12530">
        <v>82080700</v>
      </c>
      <c r="B12530">
        <v>2014214</v>
      </c>
      <c r="C12530" t="s">
        <v>5828</v>
      </c>
      <c r="D12530" t="s">
        <v>442</v>
      </c>
      <c r="F12530">
        <v>0.3</v>
      </c>
      <c r="I12530">
        <v>360</v>
      </c>
      <c r="J12530" t="s">
        <v>450</v>
      </c>
      <c r="M12530">
        <v>0</v>
      </c>
    </row>
    <row r="12531" spans="1:13">
      <c r="A12531">
        <v>82080800</v>
      </c>
      <c r="B12531">
        <v>2014213</v>
      </c>
      <c r="C12531" t="s">
        <v>5829</v>
      </c>
      <c r="D12531" t="s">
        <v>442</v>
      </c>
      <c r="F12531">
        <v>0.3</v>
      </c>
      <c r="I12531">
        <v>360</v>
      </c>
      <c r="J12531" t="s">
        <v>450</v>
      </c>
      <c r="M12531">
        <v>0</v>
      </c>
    </row>
    <row r="12532" spans="1:13">
      <c r="A12532">
        <v>82080900</v>
      </c>
      <c r="B12532">
        <v>2013499</v>
      </c>
      <c r="C12532" t="s">
        <v>5830</v>
      </c>
      <c r="D12532" t="s">
        <v>442</v>
      </c>
      <c r="F12532">
        <v>0.29899999999999999</v>
      </c>
      <c r="I12532">
        <v>720</v>
      </c>
      <c r="J12532" t="s">
        <v>450</v>
      </c>
      <c r="M12532">
        <v>0</v>
      </c>
    </row>
    <row r="12533" spans="1:13">
      <c r="A12533">
        <v>82081100</v>
      </c>
      <c r="B12533">
        <v>2014253</v>
      </c>
      <c r="C12533" t="s">
        <v>5831</v>
      </c>
      <c r="D12533" t="s">
        <v>442</v>
      </c>
      <c r="F12533">
        <v>3</v>
      </c>
      <c r="I12533">
        <v>360</v>
      </c>
      <c r="J12533" t="s">
        <v>450</v>
      </c>
      <c r="K12533" t="s">
        <v>446</v>
      </c>
      <c r="M12533">
        <v>0</v>
      </c>
    </row>
    <row r="12534" spans="1:13">
      <c r="A12534">
        <v>82081200</v>
      </c>
      <c r="B12534">
        <v>2014261</v>
      </c>
      <c r="C12534" t="s">
        <v>5832</v>
      </c>
      <c r="D12534" t="s">
        <v>442</v>
      </c>
      <c r="F12534">
        <v>0.2</v>
      </c>
      <c r="I12534">
        <v>360</v>
      </c>
      <c r="J12534" t="s">
        <v>450</v>
      </c>
      <c r="M12534">
        <v>0</v>
      </c>
    </row>
    <row r="12535" spans="1:13">
      <c r="A12535">
        <v>82081300</v>
      </c>
      <c r="B12535">
        <v>2014262</v>
      </c>
      <c r="C12535" t="s">
        <v>5833</v>
      </c>
      <c r="D12535" t="s">
        <v>442</v>
      </c>
      <c r="F12535">
        <v>0.2</v>
      </c>
      <c r="I12535">
        <v>360</v>
      </c>
      <c r="J12535" t="s">
        <v>450</v>
      </c>
      <c r="M12535">
        <v>0</v>
      </c>
    </row>
    <row r="12536" spans="1:13">
      <c r="A12536">
        <v>82081400</v>
      </c>
      <c r="B12536">
        <v>2014247</v>
      </c>
      <c r="C12536" t="s">
        <v>5834</v>
      </c>
      <c r="D12536" t="s">
        <v>442</v>
      </c>
      <c r="F12536">
        <v>0.2</v>
      </c>
      <c r="I12536">
        <v>360</v>
      </c>
      <c r="J12536" t="s">
        <v>450</v>
      </c>
      <c r="M12536">
        <v>0</v>
      </c>
    </row>
    <row r="12537" spans="1:13">
      <c r="A12537">
        <v>82081500</v>
      </c>
      <c r="B12537">
        <v>2014195</v>
      </c>
      <c r="C12537" t="s">
        <v>5835</v>
      </c>
      <c r="D12537" t="s">
        <v>442</v>
      </c>
      <c r="F12537">
        <v>0.2</v>
      </c>
      <c r="H12537" t="s">
        <v>8584</v>
      </c>
      <c r="I12537">
        <v>360</v>
      </c>
      <c r="J12537" t="s">
        <v>450</v>
      </c>
      <c r="M12537">
        <v>0</v>
      </c>
    </row>
    <row r="12538" spans="1:13">
      <c r="A12538">
        <v>82081600</v>
      </c>
      <c r="B12538">
        <v>2014280</v>
      </c>
      <c r="C12538" t="s">
        <v>5836</v>
      </c>
      <c r="D12538" t="s">
        <v>442</v>
      </c>
      <c r="F12538">
        <v>0.2</v>
      </c>
      <c r="H12538" t="s">
        <v>8580</v>
      </c>
      <c r="I12538">
        <v>360</v>
      </c>
      <c r="J12538" t="s">
        <v>450</v>
      </c>
      <c r="M12538">
        <v>0</v>
      </c>
    </row>
    <row r="12539" spans="1:13">
      <c r="A12539">
        <v>82081900</v>
      </c>
      <c r="B12539">
        <v>2017477</v>
      </c>
      <c r="C12539" t="s">
        <v>5837</v>
      </c>
      <c r="D12539" t="s">
        <v>442</v>
      </c>
      <c r="F12539">
        <v>6</v>
      </c>
      <c r="H12539" t="s">
        <v>8580</v>
      </c>
      <c r="I12539">
        <v>365</v>
      </c>
      <c r="J12539" t="s">
        <v>450</v>
      </c>
      <c r="M12539">
        <v>0</v>
      </c>
    </row>
    <row r="12540" spans="1:13">
      <c r="A12540">
        <v>82082100</v>
      </c>
      <c r="B12540">
        <v>2009342</v>
      </c>
      <c r="C12540" t="s">
        <v>5838</v>
      </c>
      <c r="D12540" t="s">
        <v>442</v>
      </c>
      <c r="F12540">
        <v>1.34</v>
      </c>
      <c r="H12540" t="s">
        <v>8935</v>
      </c>
      <c r="I12540">
        <v>360</v>
      </c>
      <c r="J12540" t="s">
        <v>450</v>
      </c>
      <c r="M12540">
        <v>0</v>
      </c>
    </row>
    <row r="12541" spans="1:13">
      <c r="A12541">
        <v>82082300</v>
      </c>
      <c r="B12541">
        <v>2014313</v>
      </c>
      <c r="C12541" t="s">
        <v>5839</v>
      </c>
      <c r="D12541" t="s">
        <v>442</v>
      </c>
      <c r="F12541">
        <v>0.2</v>
      </c>
      <c r="H12541" t="s">
        <v>8580</v>
      </c>
      <c r="I12541">
        <v>360</v>
      </c>
      <c r="J12541" t="s">
        <v>450</v>
      </c>
      <c r="M12541">
        <v>0</v>
      </c>
    </row>
    <row r="12542" spans="1:13">
      <c r="A12542">
        <v>82082400</v>
      </c>
      <c r="B12542">
        <v>2014318</v>
      </c>
      <c r="C12542" t="s">
        <v>5840</v>
      </c>
      <c r="D12542" t="s">
        <v>442</v>
      </c>
      <c r="F12542">
        <v>0.2</v>
      </c>
      <c r="H12542" t="s">
        <v>8580</v>
      </c>
      <c r="I12542">
        <v>360</v>
      </c>
      <c r="J12542" t="s">
        <v>450</v>
      </c>
      <c r="M12542">
        <v>0</v>
      </c>
    </row>
    <row r="12543" spans="1:13">
      <c r="A12543">
        <v>82082500</v>
      </c>
      <c r="B12543">
        <v>2014297</v>
      </c>
      <c r="C12543" t="s">
        <v>5841</v>
      </c>
      <c r="D12543" t="s">
        <v>442</v>
      </c>
      <c r="F12543">
        <v>0.2</v>
      </c>
      <c r="I12543">
        <v>360</v>
      </c>
      <c r="J12543" t="s">
        <v>450</v>
      </c>
      <c r="M12543">
        <v>0</v>
      </c>
    </row>
    <row r="12544" spans="1:13">
      <c r="A12544">
        <v>82082600</v>
      </c>
      <c r="B12544">
        <v>2014299</v>
      </c>
      <c r="C12544" t="s">
        <v>5842</v>
      </c>
      <c r="D12544" t="s">
        <v>442</v>
      </c>
      <c r="F12544">
        <v>0.2</v>
      </c>
      <c r="I12544">
        <v>360</v>
      </c>
      <c r="J12544" t="s">
        <v>450</v>
      </c>
      <c r="M12544">
        <v>0</v>
      </c>
    </row>
    <row r="12545" spans="1:13">
      <c r="A12545">
        <v>82082800</v>
      </c>
      <c r="B12545">
        <v>2014396</v>
      </c>
      <c r="C12545" t="s">
        <v>5843</v>
      </c>
      <c r="D12545" t="s">
        <v>442</v>
      </c>
      <c r="F12545">
        <v>0.3</v>
      </c>
      <c r="I12545">
        <v>360</v>
      </c>
      <c r="J12545" t="s">
        <v>450</v>
      </c>
      <c r="M12545">
        <v>0</v>
      </c>
    </row>
    <row r="12546" spans="1:13">
      <c r="A12546">
        <v>82082900</v>
      </c>
      <c r="B12546">
        <v>2014373</v>
      </c>
      <c r="C12546" t="s">
        <v>5844</v>
      </c>
      <c r="D12546" t="s">
        <v>442</v>
      </c>
      <c r="F12546">
        <v>0.3</v>
      </c>
      <c r="I12546">
        <v>360</v>
      </c>
      <c r="J12546" t="s">
        <v>450</v>
      </c>
      <c r="M12546">
        <v>0</v>
      </c>
    </row>
    <row r="12547" spans="1:13">
      <c r="A12547">
        <v>82083100</v>
      </c>
      <c r="B12547">
        <v>2014388</v>
      </c>
      <c r="C12547" t="s">
        <v>5845</v>
      </c>
      <c r="D12547" t="s">
        <v>442</v>
      </c>
      <c r="F12547">
        <v>0.3</v>
      </c>
      <c r="H12547" t="s">
        <v>8580</v>
      </c>
      <c r="I12547">
        <v>360</v>
      </c>
      <c r="J12547" t="s">
        <v>450</v>
      </c>
      <c r="M12547">
        <v>0</v>
      </c>
    </row>
    <row r="12548" spans="1:13">
      <c r="A12548">
        <v>82083200</v>
      </c>
      <c r="B12548">
        <v>2012521</v>
      </c>
      <c r="C12548" t="s">
        <v>5846</v>
      </c>
      <c r="D12548" t="s">
        <v>442</v>
      </c>
      <c r="F12548">
        <v>1.34</v>
      </c>
      <c r="H12548" t="s">
        <v>8584</v>
      </c>
      <c r="I12548">
        <v>365</v>
      </c>
      <c r="J12548" t="s">
        <v>450</v>
      </c>
      <c r="M12548">
        <v>0</v>
      </c>
    </row>
    <row r="12549" spans="1:13">
      <c r="A12549">
        <v>82083300</v>
      </c>
      <c r="B12549">
        <v>2000365</v>
      </c>
      <c r="C12549" t="s">
        <v>5847</v>
      </c>
      <c r="D12549" t="s">
        <v>442</v>
      </c>
      <c r="F12549">
        <v>0.33</v>
      </c>
      <c r="H12549" t="s">
        <v>13782</v>
      </c>
      <c r="I12549">
        <v>365</v>
      </c>
      <c r="J12549" t="s">
        <v>450</v>
      </c>
      <c r="M12549">
        <v>0</v>
      </c>
    </row>
    <row r="12550" spans="1:13">
      <c r="A12550">
        <v>82083400</v>
      </c>
      <c r="B12550">
        <v>2010497</v>
      </c>
      <c r="C12550" t="s">
        <v>5848</v>
      </c>
      <c r="D12550" t="s">
        <v>442</v>
      </c>
      <c r="F12550">
        <v>0.34200000000000003</v>
      </c>
      <c r="H12550" t="s">
        <v>8634</v>
      </c>
      <c r="I12550">
        <v>365</v>
      </c>
      <c r="J12550" t="s">
        <v>450</v>
      </c>
      <c r="K12550" t="s">
        <v>446</v>
      </c>
      <c r="M12550">
        <v>0</v>
      </c>
    </row>
    <row r="12551" spans="1:13">
      <c r="A12551">
        <v>82083500</v>
      </c>
      <c r="B12551">
        <v>2007016</v>
      </c>
      <c r="C12551" t="s">
        <v>5849</v>
      </c>
      <c r="D12551" t="s">
        <v>442</v>
      </c>
      <c r="F12551">
        <v>3.9E-2</v>
      </c>
      <c r="H12551" t="s">
        <v>13782</v>
      </c>
      <c r="I12551">
        <v>365</v>
      </c>
      <c r="J12551" t="s">
        <v>450</v>
      </c>
      <c r="M12551">
        <v>0</v>
      </c>
    </row>
    <row r="12552" spans="1:13">
      <c r="A12552">
        <v>82083600</v>
      </c>
      <c r="B12552">
        <v>2014571</v>
      </c>
      <c r="C12552" t="s">
        <v>5850</v>
      </c>
      <c r="D12552" t="s">
        <v>442</v>
      </c>
      <c r="F12552">
        <v>0.1</v>
      </c>
      <c r="I12552">
        <v>360</v>
      </c>
      <c r="J12552" t="s">
        <v>450</v>
      </c>
      <c r="K12552" t="s">
        <v>446</v>
      </c>
      <c r="M12552">
        <v>0</v>
      </c>
    </row>
    <row r="12553" spans="1:13">
      <c r="A12553">
        <v>82083700</v>
      </c>
      <c r="B12553">
        <v>2014570</v>
      </c>
      <c r="C12553" t="s">
        <v>5851</v>
      </c>
      <c r="D12553" t="s">
        <v>442</v>
      </c>
      <c r="F12553">
        <v>0.1</v>
      </c>
      <c r="H12553" t="s">
        <v>8580</v>
      </c>
      <c r="I12553">
        <v>360</v>
      </c>
      <c r="J12553" t="s">
        <v>450</v>
      </c>
      <c r="M12553">
        <v>0</v>
      </c>
    </row>
    <row r="12554" spans="1:13">
      <c r="A12554">
        <v>82083800</v>
      </c>
      <c r="B12554">
        <v>2014572</v>
      </c>
      <c r="C12554" t="s">
        <v>5852</v>
      </c>
      <c r="D12554" t="s">
        <v>442</v>
      </c>
      <c r="F12554">
        <v>0.1</v>
      </c>
      <c r="I12554">
        <v>360</v>
      </c>
      <c r="J12554" t="s">
        <v>450</v>
      </c>
      <c r="K12554" t="s">
        <v>446</v>
      </c>
      <c r="M12554">
        <v>0</v>
      </c>
    </row>
    <row r="12555" spans="1:13">
      <c r="A12555">
        <v>82083900</v>
      </c>
      <c r="B12555">
        <v>2007017</v>
      </c>
      <c r="C12555" t="s">
        <v>5853</v>
      </c>
      <c r="D12555" t="s">
        <v>442</v>
      </c>
      <c r="F12555">
        <v>0.11700000000000001</v>
      </c>
      <c r="H12555" t="s">
        <v>13782</v>
      </c>
      <c r="I12555">
        <v>365</v>
      </c>
      <c r="J12555" t="s">
        <v>450</v>
      </c>
      <c r="M12555">
        <v>0</v>
      </c>
    </row>
    <row r="12556" spans="1:13">
      <c r="A12556">
        <v>82084100</v>
      </c>
      <c r="B12556">
        <v>2005072</v>
      </c>
      <c r="C12556" t="s">
        <v>5854</v>
      </c>
      <c r="D12556" t="s">
        <v>442</v>
      </c>
      <c r="F12556">
        <v>0</v>
      </c>
      <c r="G12556">
        <v>0.21</v>
      </c>
      <c r="H12556" t="s">
        <v>13782</v>
      </c>
      <c r="I12556">
        <v>365</v>
      </c>
      <c r="J12556" t="s">
        <v>450</v>
      </c>
      <c r="M12556">
        <v>0</v>
      </c>
    </row>
    <row r="12557" spans="1:13">
      <c r="A12557">
        <v>82084200</v>
      </c>
      <c r="B12557">
        <v>2000378</v>
      </c>
      <c r="C12557" t="s">
        <v>5855</v>
      </c>
      <c r="D12557" t="s">
        <v>442</v>
      </c>
      <c r="F12557">
        <v>0.43</v>
      </c>
      <c r="H12557" t="s">
        <v>13782</v>
      </c>
      <c r="I12557">
        <v>480</v>
      </c>
      <c r="J12557" t="s">
        <v>450</v>
      </c>
      <c r="M12557">
        <v>0</v>
      </c>
    </row>
    <row r="12558" spans="1:13">
      <c r="A12558">
        <v>82084300</v>
      </c>
      <c r="B12558">
        <v>2006859</v>
      </c>
      <c r="C12558" t="s">
        <v>5856</v>
      </c>
      <c r="D12558" t="s">
        <v>442</v>
      </c>
      <c r="F12558">
        <v>0</v>
      </c>
      <c r="H12558" t="s">
        <v>13782</v>
      </c>
      <c r="I12558">
        <v>365</v>
      </c>
      <c r="J12558" t="s">
        <v>450</v>
      </c>
      <c r="M12558">
        <v>0</v>
      </c>
    </row>
    <row r="12559" spans="1:13">
      <c r="A12559">
        <v>82084600</v>
      </c>
      <c r="B12559">
        <v>2015119</v>
      </c>
      <c r="C12559" t="s">
        <v>5857</v>
      </c>
      <c r="D12559" t="s">
        <v>442</v>
      </c>
      <c r="F12559">
        <v>0.3</v>
      </c>
      <c r="H12559" t="s">
        <v>8583</v>
      </c>
      <c r="I12559">
        <v>360</v>
      </c>
      <c r="J12559" t="s">
        <v>450</v>
      </c>
      <c r="M12559">
        <v>0</v>
      </c>
    </row>
    <row r="12560" spans="1:13">
      <c r="A12560">
        <v>82084700</v>
      </c>
      <c r="B12560">
        <v>2015130</v>
      </c>
      <c r="C12560" t="s">
        <v>5858</v>
      </c>
      <c r="D12560" t="s">
        <v>442</v>
      </c>
      <c r="F12560">
        <v>0.3</v>
      </c>
      <c r="H12560" t="s">
        <v>8580</v>
      </c>
      <c r="I12560">
        <v>360</v>
      </c>
      <c r="J12560" t="s">
        <v>450</v>
      </c>
      <c r="M12560">
        <v>0</v>
      </c>
    </row>
    <row r="12561" spans="1:13">
      <c r="A12561">
        <v>82084800</v>
      </c>
      <c r="B12561">
        <v>2015135</v>
      </c>
      <c r="C12561" t="s">
        <v>5859</v>
      </c>
      <c r="D12561" t="s">
        <v>442</v>
      </c>
      <c r="F12561">
        <v>0.3</v>
      </c>
      <c r="H12561" t="s">
        <v>8584</v>
      </c>
      <c r="I12561">
        <v>360</v>
      </c>
      <c r="J12561" t="s">
        <v>450</v>
      </c>
      <c r="M12561">
        <v>0</v>
      </c>
    </row>
    <row r="12562" spans="1:13">
      <c r="A12562">
        <v>82084900</v>
      </c>
      <c r="B12562">
        <v>2015136</v>
      </c>
      <c r="C12562" t="s">
        <v>5860</v>
      </c>
      <c r="D12562" t="s">
        <v>442</v>
      </c>
      <c r="F12562">
        <v>0.3</v>
      </c>
      <c r="H12562" t="s">
        <v>8580</v>
      </c>
      <c r="I12562">
        <v>360</v>
      </c>
      <c r="J12562" t="s">
        <v>450</v>
      </c>
      <c r="M12562">
        <v>0</v>
      </c>
    </row>
    <row r="12563" spans="1:13">
      <c r="A12563">
        <v>82085100</v>
      </c>
      <c r="B12563">
        <v>2015187</v>
      </c>
      <c r="C12563" t="s">
        <v>5861</v>
      </c>
      <c r="D12563" t="s">
        <v>442</v>
      </c>
      <c r="F12563">
        <v>0.3</v>
      </c>
      <c r="H12563" t="s">
        <v>8580</v>
      </c>
      <c r="I12563">
        <v>360</v>
      </c>
      <c r="J12563" t="s">
        <v>450</v>
      </c>
      <c r="M12563">
        <v>0</v>
      </c>
    </row>
    <row r="12564" spans="1:13">
      <c r="A12564">
        <v>82085200</v>
      </c>
      <c r="B12564">
        <v>2015273</v>
      </c>
      <c r="C12564" t="s">
        <v>5862</v>
      </c>
      <c r="D12564" t="s">
        <v>442</v>
      </c>
      <c r="F12564">
        <v>1</v>
      </c>
      <c r="H12564" t="s">
        <v>8580</v>
      </c>
      <c r="I12564">
        <v>360</v>
      </c>
      <c r="J12564" t="s">
        <v>450</v>
      </c>
      <c r="M12564">
        <v>0</v>
      </c>
    </row>
    <row r="12565" spans="1:13">
      <c r="A12565">
        <v>82085300</v>
      </c>
      <c r="B12565">
        <v>2015237</v>
      </c>
      <c r="C12565" t="s">
        <v>5863</v>
      </c>
      <c r="D12565" t="s">
        <v>442</v>
      </c>
      <c r="F12565">
        <v>0.21</v>
      </c>
      <c r="H12565" t="s">
        <v>8580</v>
      </c>
      <c r="I12565">
        <v>360</v>
      </c>
      <c r="J12565" t="s">
        <v>450</v>
      </c>
      <c r="M12565">
        <v>0</v>
      </c>
    </row>
    <row r="12566" spans="1:13">
      <c r="A12566">
        <v>82085400</v>
      </c>
      <c r="B12566">
        <v>2015271</v>
      </c>
      <c r="C12566" t="s">
        <v>5864</v>
      </c>
      <c r="D12566" t="s">
        <v>442</v>
      </c>
      <c r="F12566">
        <v>1</v>
      </c>
      <c r="H12566" t="s">
        <v>8580</v>
      </c>
      <c r="I12566">
        <v>360</v>
      </c>
      <c r="J12566" t="s">
        <v>450</v>
      </c>
      <c r="M12566">
        <v>0</v>
      </c>
    </row>
    <row r="12567" spans="1:13">
      <c r="A12567">
        <v>82085500</v>
      </c>
      <c r="B12567">
        <v>2015209</v>
      </c>
      <c r="C12567" t="s">
        <v>5865</v>
      </c>
      <c r="D12567" t="s">
        <v>442</v>
      </c>
      <c r="F12567">
        <v>1</v>
      </c>
      <c r="H12567" t="s">
        <v>8583</v>
      </c>
      <c r="I12567">
        <v>360</v>
      </c>
      <c r="J12567" t="s">
        <v>450</v>
      </c>
      <c r="M12567">
        <v>0</v>
      </c>
    </row>
    <row r="12568" spans="1:13">
      <c r="A12568">
        <v>82085600</v>
      </c>
      <c r="B12568">
        <v>2015270</v>
      </c>
      <c r="C12568" t="s">
        <v>5866</v>
      </c>
      <c r="D12568" t="s">
        <v>442</v>
      </c>
      <c r="F12568">
        <v>1</v>
      </c>
      <c r="H12568" t="s">
        <v>8580</v>
      </c>
      <c r="I12568">
        <v>360</v>
      </c>
      <c r="J12568" t="s">
        <v>450</v>
      </c>
      <c r="M12568">
        <v>0</v>
      </c>
    </row>
    <row r="12569" spans="1:13">
      <c r="A12569">
        <v>82085700</v>
      </c>
      <c r="B12569">
        <v>2015272</v>
      </c>
      <c r="C12569" t="s">
        <v>5867</v>
      </c>
      <c r="D12569" t="s">
        <v>442</v>
      </c>
      <c r="F12569">
        <v>1</v>
      </c>
      <c r="H12569" t="s">
        <v>8637</v>
      </c>
      <c r="I12569">
        <v>360</v>
      </c>
      <c r="J12569" t="s">
        <v>450</v>
      </c>
      <c r="M12569">
        <v>0</v>
      </c>
    </row>
    <row r="12570" spans="1:13">
      <c r="A12570">
        <v>82085800</v>
      </c>
      <c r="B12570">
        <v>2015238</v>
      </c>
      <c r="C12570" t="s">
        <v>5868</v>
      </c>
      <c r="D12570" t="s">
        <v>442</v>
      </c>
      <c r="F12570">
        <v>0.21</v>
      </c>
      <c r="H12570" t="s">
        <v>8580</v>
      </c>
      <c r="I12570">
        <v>360</v>
      </c>
      <c r="J12570" t="s">
        <v>450</v>
      </c>
      <c r="M12570">
        <v>0</v>
      </c>
    </row>
    <row r="12571" spans="1:13">
      <c r="A12571">
        <v>82085900</v>
      </c>
      <c r="B12571">
        <v>2015239</v>
      </c>
      <c r="C12571" t="s">
        <v>5869</v>
      </c>
      <c r="D12571" t="s">
        <v>442</v>
      </c>
      <c r="F12571">
        <v>0.21</v>
      </c>
      <c r="H12571" t="s">
        <v>8584</v>
      </c>
      <c r="I12571">
        <v>360</v>
      </c>
      <c r="J12571" t="s">
        <v>450</v>
      </c>
      <c r="M12571">
        <v>0</v>
      </c>
    </row>
    <row r="12572" spans="1:13">
      <c r="A12572">
        <v>82086100</v>
      </c>
      <c r="B12572">
        <v>2015236</v>
      </c>
      <c r="C12572" t="s">
        <v>5870</v>
      </c>
      <c r="D12572" t="s">
        <v>442</v>
      </c>
      <c r="F12572">
        <v>0.21</v>
      </c>
      <c r="H12572" t="s">
        <v>8580</v>
      </c>
      <c r="I12572">
        <v>360</v>
      </c>
      <c r="J12572" t="s">
        <v>450</v>
      </c>
      <c r="M12572">
        <v>0</v>
      </c>
    </row>
    <row r="12573" spans="1:13">
      <c r="A12573">
        <v>82086200</v>
      </c>
      <c r="B12573">
        <v>2015262</v>
      </c>
      <c r="C12573" t="s">
        <v>5871</v>
      </c>
      <c r="D12573" t="s">
        <v>442</v>
      </c>
      <c r="F12573">
        <v>1</v>
      </c>
      <c r="H12573" t="s">
        <v>8580</v>
      </c>
      <c r="I12573">
        <v>360</v>
      </c>
      <c r="J12573" t="s">
        <v>450</v>
      </c>
      <c r="M12573">
        <v>0</v>
      </c>
    </row>
    <row r="12574" spans="1:13">
      <c r="A12574">
        <v>82086300</v>
      </c>
      <c r="B12574">
        <v>2015263</v>
      </c>
      <c r="C12574" t="s">
        <v>5872</v>
      </c>
      <c r="D12574" t="s">
        <v>442</v>
      </c>
      <c r="F12574">
        <v>1</v>
      </c>
      <c r="H12574" t="s">
        <v>8580</v>
      </c>
      <c r="I12574">
        <v>360</v>
      </c>
      <c r="J12574" t="s">
        <v>450</v>
      </c>
      <c r="M12574">
        <v>0</v>
      </c>
    </row>
    <row r="12575" spans="1:13">
      <c r="A12575">
        <v>82086400</v>
      </c>
      <c r="B12575">
        <v>2015377</v>
      </c>
      <c r="C12575" t="s">
        <v>5873</v>
      </c>
      <c r="D12575" t="s">
        <v>442</v>
      </c>
      <c r="F12575">
        <v>0.15</v>
      </c>
      <c r="H12575" t="s">
        <v>8634</v>
      </c>
      <c r="I12575">
        <v>360</v>
      </c>
      <c r="J12575" t="s">
        <v>450</v>
      </c>
      <c r="M12575">
        <v>0</v>
      </c>
    </row>
    <row r="12576" spans="1:13">
      <c r="A12576">
        <v>82086500</v>
      </c>
      <c r="B12576">
        <v>2015378</v>
      </c>
      <c r="C12576" t="s">
        <v>5874</v>
      </c>
      <c r="D12576" t="s">
        <v>442</v>
      </c>
      <c r="F12576">
        <v>0.15</v>
      </c>
      <c r="H12576" t="s">
        <v>8634</v>
      </c>
      <c r="I12576">
        <v>360</v>
      </c>
      <c r="J12576" t="s">
        <v>450</v>
      </c>
      <c r="M12576">
        <v>0</v>
      </c>
    </row>
    <row r="12577" spans="1:13">
      <c r="A12577">
        <v>82086600</v>
      </c>
      <c r="B12577">
        <v>2015376</v>
      </c>
      <c r="C12577" t="s">
        <v>5875</v>
      </c>
      <c r="D12577" t="s">
        <v>442</v>
      </c>
      <c r="F12577">
        <v>0.15</v>
      </c>
      <c r="H12577" t="s">
        <v>8634</v>
      </c>
      <c r="I12577">
        <v>360</v>
      </c>
      <c r="J12577" t="s">
        <v>450</v>
      </c>
      <c r="M12577">
        <v>0</v>
      </c>
    </row>
    <row r="12578" spans="1:13">
      <c r="A12578">
        <v>82086800</v>
      </c>
      <c r="B12578">
        <v>2015379</v>
      </c>
      <c r="C12578" t="s">
        <v>5876</v>
      </c>
      <c r="D12578" t="s">
        <v>442</v>
      </c>
      <c r="F12578">
        <v>0.3</v>
      </c>
      <c r="H12578" t="s">
        <v>8634</v>
      </c>
      <c r="I12578">
        <v>360</v>
      </c>
      <c r="J12578" t="s">
        <v>450</v>
      </c>
      <c r="M12578">
        <v>0</v>
      </c>
    </row>
    <row r="12579" spans="1:13">
      <c r="A12579">
        <v>82086900</v>
      </c>
      <c r="B12579">
        <v>2015092</v>
      </c>
      <c r="C12579" t="s">
        <v>5877</v>
      </c>
      <c r="D12579" t="s">
        <v>442</v>
      </c>
      <c r="F12579">
        <v>4.9000000000000002E-2</v>
      </c>
      <c r="H12579" t="s">
        <v>8580</v>
      </c>
      <c r="I12579">
        <v>730</v>
      </c>
      <c r="J12579" t="s">
        <v>450</v>
      </c>
      <c r="M12579">
        <v>0</v>
      </c>
    </row>
    <row r="12580" spans="1:13">
      <c r="A12580">
        <v>82087100</v>
      </c>
      <c r="B12580">
        <v>2015173</v>
      </c>
      <c r="C12580" t="s">
        <v>5878</v>
      </c>
      <c r="D12580" t="s">
        <v>442</v>
      </c>
      <c r="F12580">
        <v>4.9000000000000002E-2</v>
      </c>
      <c r="H12580" t="s">
        <v>8580</v>
      </c>
      <c r="I12580">
        <v>365</v>
      </c>
      <c r="J12580" t="s">
        <v>450</v>
      </c>
      <c r="M12580">
        <v>0</v>
      </c>
    </row>
    <row r="12581" spans="1:13">
      <c r="A12581">
        <v>82087300</v>
      </c>
      <c r="B12581">
        <v>2015490</v>
      </c>
      <c r="C12581" t="s">
        <v>5879</v>
      </c>
      <c r="D12581" t="s">
        <v>442</v>
      </c>
      <c r="F12581">
        <v>0.2</v>
      </c>
      <c r="H12581" t="s">
        <v>8580</v>
      </c>
      <c r="I12581">
        <v>360</v>
      </c>
      <c r="J12581" t="s">
        <v>450</v>
      </c>
      <c r="M12581">
        <v>0</v>
      </c>
    </row>
    <row r="12582" spans="1:13">
      <c r="A12582">
        <v>82087400</v>
      </c>
      <c r="B12582">
        <v>2015489</v>
      </c>
      <c r="C12582" t="s">
        <v>5880</v>
      </c>
      <c r="D12582" t="s">
        <v>442</v>
      </c>
      <c r="F12582">
        <v>0.1</v>
      </c>
      <c r="H12582" t="s">
        <v>8580</v>
      </c>
      <c r="I12582">
        <v>360</v>
      </c>
      <c r="J12582" t="s">
        <v>450</v>
      </c>
      <c r="M12582">
        <v>0</v>
      </c>
    </row>
    <row r="12583" spans="1:13">
      <c r="A12583">
        <v>82087500</v>
      </c>
      <c r="B12583">
        <v>2015506</v>
      </c>
      <c r="C12583" t="s">
        <v>5881</v>
      </c>
      <c r="D12583" t="s">
        <v>442</v>
      </c>
      <c r="F12583">
        <v>0.2</v>
      </c>
      <c r="H12583" t="s">
        <v>8580</v>
      </c>
      <c r="I12583">
        <v>365</v>
      </c>
      <c r="J12583" t="s">
        <v>450</v>
      </c>
      <c r="M12583">
        <v>0</v>
      </c>
    </row>
    <row r="12584" spans="1:13">
      <c r="A12584">
        <v>82087600</v>
      </c>
      <c r="B12584">
        <v>2015541</v>
      </c>
      <c r="C12584" t="s">
        <v>5882</v>
      </c>
      <c r="D12584" t="s">
        <v>442</v>
      </c>
      <c r="F12584">
        <v>0.2</v>
      </c>
      <c r="H12584" t="s">
        <v>8580</v>
      </c>
      <c r="I12584">
        <v>365</v>
      </c>
      <c r="J12584" t="s">
        <v>450</v>
      </c>
      <c r="M12584">
        <v>0</v>
      </c>
    </row>
    <row r="12585" spans="1:13">
      <c r="A12585">
        <v>82087700</v>
      </c>
      <c r="B12585">
        <v>2015566</v>
      </c>
      <c r="C12585" t="s">
        <v>5883</v>
      </c>
      <c r="D12585" t="s">
        <v>442</v>
      </c>
      <c r="F12585">
        <v>0.3</v>
      </c>
      <c r="H12585" t="s">
        <v>8580</v>
      </c>
      <c r="I12585">
        <v>365</v>
      </c>
      <c r="J12585" t="s">
        <v>450</v>
      </c>
      <c r="M12585">
        <v>0</v>
      </c>
    </row>
    <row r="12586" spans="1:13">
      <c r="A12586">
        <v>82087800</v>
      </c>
      <c r="B12586">
        <v>2014257</v>
      </c>
      <c r="C12586" t="s">
        <v>5884</v>
      </c>
      <c r="D12586" t="s">
        <v>442</v>
      </c>
      <c r="F12586">
        <v>0.17199999999999999</v>
      </c>
      <c r="I12586">
        <v>730</v>
      </c>
      <c r="J12586" t="s">
        <v>450</v>
      </c>
      <c r="M12586">
        <v>0</v>
      </c>
    </row>
    <row r="12587" spans="1:13">
      <c r="A12587">
        <v>82087900</v>
      </c>
      <c r="B12587">
        <v>2014258</v>
      </c>
      <c r="C12587" t="s">
        <v>5885</v>
      </c>
      <c r="D12587" t="s">
        <v>442</v>
      </c>
      <c r="F12587">
        <v>0.192</v>
      </c>
      <c r="I12587">
        <v>730</v>
      </c>
      <c r="J12587" t="s">
        <v>450</v>
      </c>
      <c r="M12587">
        <v>0</v>
      </c>
    </row>
    <row r="12588" spans="1:13">
      <c r="A12588">
        <v>82088100</v>
      </c>
      <c r="B12588">
        <v>2014002</v>
      </c>
      <c r="C12588" t="s">
        <v>5886</v>
      </c>
      <c r="D12588" t="s">
        <v>442</v>
      </c>
      <c r="F12588">
        <v>0.29299999999999998</v>
      </c>
      <c r="H12588" t="s">
        <v>8580</v>
      </c>
      <c r="I12588">
        <v>730</v>
      </c>
      <c r="J12588" t="s">
        <v>450</v>
      </c>
      <c r="M12588">
        <v>0</v>
      </c>
    </row>
    <row r="12589" spans="1:13">
      <c r="A12589">
        <v>82088200</v>
      </c>
      <c r="B12589">
        <v>2014256</v>
      </c>
      <c r="C12589" t="s">
        <v>5887</v>
      </c>
      <c r="D12589" t="s">
        <v>442</v>
      </c>
      <c r="F12589">
        <v>0.27700000000000002</v>
      </c>
      <c r="I12589">
        <v>730</v>
      </c>
      <c r="J12589" t="s">
        <v>450</v>
      </c>
      <c r="M12589">
        <v>0</v>
      </c>
    </row>
    <row r="12590" spans="1:13">
      <c r="A12590">
        <v>82088300</v>
      </c>
      <c r="B12590">
        <v>2016854</v>
      </c>
      <c r="C12590" t="s">
        <v>5888</v>
      </c>
      <c r="D12590" t="s">
        <v>442</v>
      </c>
      <c r="F12590">
        <v>0.3</v>
      </c>
      <c r="H12590" t="s">
        <v>8580</v>
      </c>
      <c r="I12590">
        <v>360</v>
      </c>
      <c r="J12590" t="s">
        <v>450</v>
      </c>
      <c r="M12590">
        <v>0</v>
      </c>
    </row>
    <row r="12591" spans="1:13">
      <c r="A12591">
        <v>82088400</v>
      </c>
      <c r="B12591">
        <v>2016817</v>
      </c>
      <c r="C12591" t="s">
        <v>13932</v>
      </c>
      <c r="D12591" t="s">
        <v>442</v>
      </c>
      <c r="F12591">
        <v>1</v>
      </c>
      <c r="H12591" t="s">
        <v>8580</v>
      </c>
      <c r="I12591">
        <v>360</v>
      </c>
      <c r="J12591" t="s">
        <v>450</v>
      </c>
      <c r="M12591">
        <v>0</v>
      </c>
    </row>
    <row r="12592" spans="1:13">
      <c r="A12592">
        <v>82088500</v>
      </c>
      <c r="B12592">
        <v>2016716</v>
      </c>
      <c r="C12592" t="s">
        <v>5889</v>
      </c>
      <c r="D12592" t="s">
        <v>442</v>
      </c>
      <c r="F12592">
        <v>0.3</v>
      </c>
      <c r="H12592" t="s">
        <v>8935</v>
      </c>
      <c r="I12592">
        <v>360</v>
      </c>
      <c r="J12592" t="s">
        <v>450</v>
      </c>
      <c r="M12592">
        <v>0</v>
      </c>
    </row>
    <row r="12593" spans="1:13">
      <c r="A12593">
        <v>82088600</v>
      </c>
      <c r="B12593">
        <v>2016869</v>
      </c>
      <c r="C12593" t="s">
        <v>5890</v>
      </c>
      <c r="D12593" t="s">
        <v>442</v>
      </c>
      <c r="F12593">
        <v>0.3</v>
      </c>
      <c r="H12593" t="s">
        <v>8637</v>
      </c>
      <c r="I12593">
        <v>360</v>
      </c>
      <c r="J12593" t="s">
        <v>450</v>
      </c>
      <c r="M12593">
        <v>0</v>
      </c>
    </row>
    <row r="12594" spans="1:13">
      <c r="A12594">
        <v>82088700</v>
      </c>
      <c r="B12594">
        <v>2015576</v>
      </c>
      <c r="C12594" t="s">
        <v>5891</v>
      </c>
      <c r="D12594" t="s">
        <v>442</v>
      </c>
      <c r="F12594">
        <v>1</v>
      </c>
      <c r="I12594">
        <v>360</v>
      </c>
      <c r="J12594" t="s">
        <v>450</v>
      </c>
      <c r="M12594">
        <v>0</v>
      </c>
    </row>
    <row r="12595" spans="1:13">
      <c r="A12595">
        <v>82088800</v>
      </c>
      <c r="B12595">
        <v>2015575</v>
      </c>
      <c r="C12595" t="s">
        <v>5892</v>
      </c>
      <c r="D12595" t="s">
        <v>442</v>
      </c>
      <c r="F12595">
        <v>0.2</v>
      </c>
      <c r="H12595" t="s">
        <v>8580</v>
      </c>
      <c r="I12595">
        <v>360</v>
      </c>
      <c r="J12595" t="s">
        <v>450</v>
      </c>
      <c r="M12595">
        <v>0</v>
      </c>
    </row>
    <row r="12596" spans="1:13">
      <c r="A12596">
        <v>82088900</v>
      </c>
      <c r="B12596">
        <v>2015599</v>
      </c>
      <c r="C12596" t="s">
        <v>5893</v>
      </c>
      <c r="D12596" t="s">
        <v>442</v>
      </c>
      <c r="F12596">
        <v>1</v>
      </c>
      <c r="H12596" t="s">
        <v>8580</v>
      </c>
      <c r="I12596">
        <v>360</v>
      </c>
      <c r="J12596" t="s">
        <v>450</v>
      </c>
      <c r="M12596">
        <v>0</v>
      </c>
    </row>
    <row r="12597" spans="1:13">
      <c r="A12597">
        <v>82089100</v>
      </c>
      <c r="B12597">
        <v>2015627</v>
      </c>
      <c r="C12597" t="s">
        <v>5894</v>
      </c>
      <c r="D12597" t="s">
        <v>442</v>
      </c>
      <c r="F12597">
        <v>0.5</v>
      </c>
      <c r="H12597" t="s">
        <v>8580</v>
      </c>
      <c r="I12597">
        <v>360</v>
      </c>
      <c r="J12597" t="s">
        <v>450</v>
      </c>
      <c r="M12597">
        <v>0</v>
      </c>
    </row>
    <row r="12598" spans="1:13">
      <c r="A12598">
        <v>82089200</v>
      </c>
      <c r="B12598">
        <v>2015598</v>
      </c>
      <c r="C12598" t="s">
        <v>5895</v>
      </c>
      <c r="D12598" t="s">
        <v>442</v>
      </c>
      <c r="F12598">
        <v>0.5</v>
      </c>
      <c r="H12598" t="s">
        <v>8580</v>
      </c>
      <c r="I12598">
        <v>360</v>
      </c>
      <c r="J12598" t="s">
        <v>450</v>
      </c>
      <c r="M12598">
        <v>0</v>
      </c>
    </row>
    <row r="12599" spans="1:13">
      <c r="A12599">
        <v>82089300</v>
      </c>
      <c r="B12599">
        <v>2015600</v>
      </c>
      <c r="C12599" t="s">
        <v>5896</v>
      </c>
      <c r="D12599" t="s">
        <v>442</v>
      </c>
      <c r="F12599">
        <v>0.5</v>
      </c>
      <c r="H12599" t="s">
        <v>8580</v>
      </c>
      <c r="I12599">
        <v>360</v>
      </c>
      <c r="J12599" t="s">
        <v>450</v>
      </c>
      <c r="M12599">
        <v>0</v>
      </c>
    </row>
    <row r="12600" spans="1:13">
      <c r="A12600">
        <v>82089400</v>
      </c>
      <c r="B12600">
        <v>2017032</v>
      </c>
      <c r="C12600" t="s">
        <v>5897</v>
      </c>
      <c r="D12600" t="s">
        <v>442</v>
      </c>
      <c r="F12600">
        <v>0.1</v>
      </c>
      <c r="I12600">
        <v>360</v>
      </c>
      <c r="J12600" t="s">
        <v>450</v>
      </c>
      <c r="M12600">
        <v>0</v>
      </c>
    </row>
    <row r="12601" spans="1:13">
      <c r="A12601">
        <v>82089500</v>
      </c>
      <c r="B12601">
        <v>2012820</v>
      </c>
      <c r="C12601" t="s">
        <v>5898</v>
      </c>
      <c r="D12601" t="s">
        <v>442</v>
      </c>
      <c r="F12601">
        <v>0.09</v>
      </c>
      <c r="H12601" t="s">
        <v>8584</v>
      </c>
      <c r="I12601">
        <v>730</v>
      </c>
      <c r="J12601" t="s">
        <v>450</v>
      </c>
      <c r="M12601">
        <v>0</v>
      </c>
    </row>
    <row r="12602" spans="1:13">
      <c r="A12602">
        <v>82089600</v>
      </c>
      <c r="B12602">
        <v>2017025</v>
      </c>
      <c r="C12602" t="s">
        <v>5899</v>
      </c>
      <c r="D12602" t="s">
        <v>442</v>
      </c>
      <c r="F12602">
        <v>0.3</v>
      </c>
      <c r="I12602">
        <v>360</v>
      </c>
      <c r="J12602" t="s">
        <v>450</v>
      </c>
      <c r="M12602">
        <v>0</v>
      </c>
    </row>
    <row r="12603" spans="1:13">
      <c r="A12603">
        <v>82089700</v>
      </c>
      <c r="B12603">
        <v>2015878</v>
      </c>
      <c r="C12603" t="s">
        <v>5900</v>
      </c>
      <c r="D12603" t="s">
        <v>442</v>
      </c>
      <c r="F12603">
        <v>0</v>
      </c>
      <c r="H12603" t="s">
        <v>8580</v>
      </c>
      <c r="I12603">
        <v>365</v>
      </c>
      <c r="J12603" t="s">
        <v>450</v>
      </c>
      <c r="M12603">
        <v>0</v>
      </c>
    </row>
    <row r="12604" spans="1:13">
      <c r="A12604">
        <v>82089800</v>
      </c>
      <c r="B12604">
        <v>2015953</v>
      </c>
      <c r="C12604" t="s">
        <v>5901</v>
      </c>
      <c r="D12604" t="s">
        <v>442</v>
      </c>
      <c r="F12604">
        <v>0.3</v>
      </c>
      <c r="H12604" t="s">
        <v>8580</v>
      </c>
      <c r="I12604">
        <v>365</v>
      </c>
      <c r="J12604" t="s">
        <v>450</v>
      </c>
      <c r="M12604">
        <v>0</v>
      </c>
    </row>
    <row r="12605" spans="1:13">
      <c r="A12605">
        <v>82089900</v>
      </c>
      <c r="B12605">
        <v>2015959</v>
      </c>
      <c r="C12605" t="s">
        <v>5902</v>
      </c>
      <c r="D12605" t="s">
        <v>442</v>
      </c>
      <c r="F12605">
        <v>0.01</v>
      </c>
      <c r="I12605">
        <v>360</v>
      </c>
      <c r="J12605" t="s">
        <v>450</v>
      </c>
      <c r="M12605">
        <v>0</v>
      </c>
    </row>
    <row r="12606" spans="1:13">
      <c r="A12606">
        <v>82090100</v>
      </c>
      <c r="B12606">
        <v>2015357</v>
      </c>
      <c r="C12606" t="s">
        <v>5903</v>
      </c>
      <c r="D12606" t="s">
        <v>442</v>
      </c>
      <c r="F12606">
        <v>0.3</v>
      </c>
      <c r="H12606" t="s">
        <v>8584</v>
      </c>
      <c r="I12606">
        <v>720</v>
      </c>
      <c r="J12606" t="s">
        <v>450</v>
      </c>
      <c r="M12606">
        <v>0</v>
      </c>
    </row>
    <row r="12607" spans="1:13">
      <c r="A12607">
        <v>82090200</v>
      </c>
      <c r="B12607">
        <v>2015356</v>
      </c>
      <c r="C12607" t="s">
        <v>5904</v>
      </c>
      <c r="D12607" t="s">
        <v>442</v>
      </c>
      <c r="F12607">
        <v>0.315</v>
      </c>
      <c r="H12607" t="s">
        <v>8584</v>
      </c>
      <c r="I12607">
        <v>720</v>
      </c>
      <c r="J12607" t="s">
        <v>450</v>
      </c>
      <c r="M12607">
        <v>0</v>
      </c>
    </row>
    <row r="12608" spans="1:13">
      <c r="A12608">
        <v>82090300</v>
      </c>
      <c r="B12608">
        <v>2014001</v>
      </c>
      <c r="C12608" t="s">
        <v>5905</v>
      </c>
      <c r="D12608" t="s">
        <v>442</v>
      </c>
      <c r="F12608">
        <v>0.25700000000000001</v>
      </c>
      <c r="H12608" t="s">
        <v>8580</v>
      </c>
      <c r="I12608">
        <v>730</v>
      </c>
      <c r="J12608" t="s">
        <v>450</v>
      </c>
      <c r="M12608">
        <v>0</v>
      </c>
    </row>
    <row r="12609" spans="1:13">
      <c r="A12609">
        <v>82090400</v>
      </c>
      <c r="B12609">
        <v>2014004</v>
      </c>
      <c r="C12609" t="s">
        <v>5906</v>
      </c>
      <c r="D12609" t="s">
        <v>442</v>
      </c>
      <c r="F12609">
        <v>0.27700000000000002</v>
      </c>
      <c r="H12609" t="s">
        <v>8580</v>
      </c>
      <c r="I12609">
        <v>730</v>
      </c>
      <c r="J12609" t="s">
        <v>450</v>
      </c>
      <c r="M12609">
        <v>0</v>
      </c>
    </row>
    <row r="12610" spans="1:13">
      <c r="A12610">
        <v>82090500</v>
      </c>
      <c r="B12610">
        <v>2017997</v>
      </c>
      <c r="C12610" t="s">
        <v>5907</v>
      </c>
      <c r="D12610" t="s">
        <v>442</v>
      </c>
      <c r="F12610">
        <v>0.3</v>
      </c>
      <c r="H12610" t="s">
        <v>8580</v>
      </c>
      <c r="I12610">
        <v>360</v>
      </c>
      <c r="J12610" t="s">
        <v>450</v>
      </c>
      <c r="M12610">
        <v>0</v>
      </c>
    </row>
    <row r="12611" spans="1:13">
      <c r="A12611">
        <v>82090600</v>
      </c>
      <c r="B12611">
        <v>2006411</v>
      </c>
      <c r="C12611" t="s">
        <v>5908</v>
      </c>
      <c r="D12611" t="s">
        <v>442</v>
      </c>
      <c r="F12611">
        <v>0.16</v>
      </c>
      <c r="H12611" t="s">
        <v>13782</v>
      </c>
      <c r="I12611">
        <v>720</v>
      </c>
      <c r="J12611" t="s">
        <v>450</v>
      </c>
      <c r="M12611">
        <v>0</v>
      </c>
    </row>
    <row r="12612" spans="1:13">
      <c r="A12612">
        <v>82090700</v>
      </c>
      <c r="B12612">
        <v>2006412</v>
      </c>
      <c r="C12612" t="s">
        <v>5909</v>
      </c>
      <c r="D12612" t="s">
        <v>442</v>
      </c>
      <c r="F12612">
        <v>0.1</v>
      </c>
      <c r="H12612" t="s">
        <v>13782</v>
      </c>
      <c r="I12612">
        <v>380</v>
      </c>
      <c r="J12612" t="s">
        <v>450</v>
      </c>
      <c r="M12612">
        <v>0</v>
      </c>
    </row>
    <row r="12613" spans="1:13">
      <c r="A12613">
        <v>82090800</v>
      </c>
      <c r="B12613">
        <v>2018301</v>
      </c>
      <c r="C12613" t="s">
        <v>5910</v>
      </c>
      <c r="D12613" t="s">
        <v>442</v>
      </c>
      <c r="F12613">
        <v>0.186</v>
      </c>
      <c r="I12613">
        <v>360</v>
      </c>
      <c r="J12613" t="s">
        <v>450</v>
      </c>
      <c r="M12613">
        <v>0</v>
      </c>
    </row>
    <row r="12614" spans="1:13">
      <c r="A12614">
        <v>82090810</v>
      </c>
      <c r="B12614">
        <v>2018588</v>
      </c>
      <c r="C12614" t="s">
        <v>5911</v>
      </c>
      <c r="D12614" t="s">
        <v>442</v>
      </c>
      <c r="F12614">
        <v>0.29299999999999998</v>
      </c>
      <c r="H12614" t="s">
        <v>8935</v>
      </c>
      <c r="I12614">
        <v>360</v>
      </c>
      <c r="J12614" t="s">
        <v>450</v>
      </c>
      <c r="M12614">
        <v>0</v>
      </c>
    </row>
    <row r="12615" spans="1:13">
      <c r="A12615">
        <v>82090820</v>
      </c>
      <c r="B12615">
        <v>2018664</v>
      </c>
      <c r="C12615" t="s">
        <v>5912</v>
      </c>
      <c r="D12615" t="s">
        <v>442</v>
      </c>
      <c r="F12615">
        <v>0.29299999999999998</v>
      </c>
      <c r="I12615">
        <v>360</v>
      </c>
      <c r="J12615" t="s">
        <v>450</v>
      </c>
      <c r="M12615">
        <v>0</v>
      </c>
    </row>
    <row r="12616" spans="1:13">
      <c r="A12616">
        <v>82090830</v>
      </c>
      <c r="B12616">
        <v>2018801</v>
      </c>
      <c r="C12616" t="s">
        <v>5913</v>
      </c>
      <c r="D12616" t="s">
        <v>442</v>
      </c>
      <c r="F12616">
        <v>0.151</v>
      </c>
      <c r="H12616" t="s">
        <v>8935</v>
      </c>
      <c r="I12616">
        <v>360</v>
      </c>
      <c r="J12616" t="s">
        <v>450</v>
      </c>
      <c r="M12616">
        <v>0</v>
      </c>
    </row>
    <row r="12617" spans="1:13">
      <c r="A12617">
        <v>82090840</v>
      </c>
      <c r="B12617">
        <v>2005879</v>
      </c>
      <c r="C12617" t="s">
        <v>5914</v>
      </c>
      <c r="D12617" t="s">
        <v>442</v>
      </c>
      <c r="F12617">
        <v>0.625</v>
      </c>
      <c r="H12617" t="s">
        <v>8574</v>
      </c>
      <c r="I12617">
        <v>365</v>
      </c>
      <c r="J12617" t="s">
        <v>450</v>
      </c>
      <c r="M12617">
        <v>0</v>
      </c>
    </row>
    <row r="12618" spans="1:13">
      <c r="A12618">
        <v>82090850</v>
      </c>
      <c r="B12618">
        <v>2018828</v>
      </c>
      <c r="C12618" t="s">
        <v>13933</v>
      </c>
      <c r="D12618" t="s">
        <v>442</v>
      </c>
      <c r="F12618">
        <v>1</v>
      </c>
      <c r="H12618" t="s">
        <v>8935</v>
      </c>
      <c r="I12618">
        <v>720</v>
      </c>
      <c r="J12618" t="s">
        <v>450</v>
      </c>
      <c r="M12618">
        <v>0</v>
      </c>
    </row>
    <row r="12619" spans="1:13">
      <c r="A12619">
        <v>82090860</v>
      </c>
      <c r="B12619">
        <v>2013102</v>
      </c>
      <c r="C12619" t="s">
        <v>13934</v>
      </c>
      <c r="D12619" t="s">
        <v>442</v>
      </c>
      <c r="F12619">
        <v>3.1E-2</v>
      </c>
      <c r="H12619" t="s">
        <v>8580</v>
      </c>
      <c r="I12619">
        <v>365</v>
      </c>
      <c r="J12619" t="s">
        <v>450</v>
      </c>
      <c r="M12619">
        <v>0</v>
      </c>
    </row>
    <row r="12620" spans="1:13">
      <c r="A12620">
        <v>82090870</v>
      </c>
      <c r="B12620">
        <v>2019176</v>
      </c>
      <c r="C12620" t="s">
        <v>14626</v>
      </c>
      <c r="D12620" t="s">
        <v>442</v>
      </c>
      <c r="F12620">
        <v>0.39200000000000002</v>
      </c>
      <c r="H12620" t="s">
        <v>8584</v>
      </c>
      <c r="I12620">
        <v>10</v>
      </c>
      <c r="J12620" t="s">
        <v>450</v>
      </c>
      <c r="M12620">
        <v>0</v>
      </c>
    </row>
    <row r="12621" spans="1:13">
      <c r="A12621">
        <v>82090880</v>
      </c>
      <c r="B12621">
        <v>2019690</v>
      </c>
      <c r="C12621" t="s">
        <v>14627</v>
      </c>
      <c r="D12621" t="s">
        <v>442</v>
      </c>
      <c r="F12621">
        <v>0.27200000000000002</v>
      </c>
      <c r="H12621" t="s">
        <v>8634</v>
      </c>
      <c r="I12621">
        <v>365</v>
      </c>
      <c r="J12621" t="s">
        <v>450</v>
      </c>
      <c r="M12621">
        <v>0</v>
      </c>
    </row>
    <row r="12622" spans="1:13">
      <c r="A12622">
        <v>82090890</v>
      </c>
      <c r="B12622">
        <v>2019790</v>
      </c>
      <c r="C12622" t="s">
        <v>15223</v>
      </c>
      <c r="D12622" t="s">
        <v>442</v>
      </c>
      <c r="F12622">
        <v>0.56000000000000005</v>
      </c>
      <c r="H12622" t="s">
        <v>8583</v>
      </c>
      <c r="I12622">
        <v>180</v>
      </c>
      <c r="J12622" t="s">
        <v>450</v>
      </c>
      <c r="M12622">
        <v>0</v>
      </c>
    </row>
    <row r="12623" spans="1:13">
      <c r="A12623">
        <v>82090900</v>
      </c>
      <c r="B12623">
        <v>2018300</v>
      </c>
      <c r="C12623" t="s">
        <v>5915</v>
      </c>
      <c r="D12623" t="s">
        <v>442</v>
      </c>
      <c r="F12623">
        <v>0.05</v>
      </c>
      <c r="H12623" t="s">
        <v>8580</v>
      </c>
      <c r="I12623">
        <v>360</v>
      </c>
      <c r="J12623" t="s">
        <v>450</v>
      </c>
      <c r="M12623">
        <v>0</v>
      </c>
    </row>
    <row r="12624" spans="1:13">
      <c r="A12624">
        <v>82090910</v>
      </c>
      <c r="B12624">
        <v>2019861</v>
      </c>
      <c r="C12624" t="s">
        <v>15224</v>
      </c>
      <c r="D12624" t="s">
        <v>442</v>
      </c>
      <c r="F12624">
        <v>0.2</v>
      </c>
      <c r="I12624">
        <v>10</v>
      </c>
      <c r="J12624" t="s">
        <v>450</v>
      </c>
      <c r="M12624">
        <v>0</v>
      </c>
    </row>
    <row r="12625" spans="1:13">
      <c r="A12625">
        <v>82090920</v>
      </c>
      <c r="B12625">
        <v>2019851</v>
      </c>
      <c r="C12625" t="s">
        <v>15225</v>
      </c>
      <c r="D12625" t="s">
        <v>442</v>
      </c>
      <c r="F12625">
        <v>0.16600000000000001</v>
      </c>
      <c r="I12625">
        <v>360</v>
      </c>
      <c r="J12625" t="s">
        <v>450</v>
      </c>
      <c r="M12625">
        <v>0</v>
      </c>
    </row>
    <row r="12626" spans="1:13">
      <c r="A12626">
        <v>82090950</v>
      </c>
      <c r="B12626">
        <v>2020084</v>
      </c>
      <c r="C12626" t="s">
        <v>15612</v>
      </c>
      <c r="D12626" t="s">
        <v>442</v>
      </c>
      <c r="F12626">
        <v>0.245</v>
      </c>
      <c r="I12626">
        <v>365</v>
      </c>
      <c r="J12626" t="s">
        <v>450</v>
      </c>
      <c r="M12626">
        <v>0</v>
      </c>
    </row>
    <row r="12627" spans="1:13">
      <c r="A12627">
        <v>82091100</v>
      </c>
      <c r="B12627">
        <v>2005812</v>
      </c>
      <c r="C12627" t="s">
        <v>5916</v>
      </c>
      <c r="D12627" t="s">
        <v>442</v>
      </c>
      <c r="F12627">
        <v>10</v>
      </c>
      <c r="H12627" t="s">
        <v>13782</v>
      </c>
      <c r="I12627">
        <v>730</v>
      </c>
      <c r="J12627" t="s">
        <v>450</v>
      </c>
      <c r="M12627">
        <v>0</v>
      </c>
    </row>
    <row r="12628" spans="1:13">
      <c r="A12628">
        <v>82251899</v>
      </c>
      <c r="B12628">
        <v>2002212</v>
      </c>
      <c r="C12628" t="s">
        <v>5917</v>
      </c>
      <c r="D12628" t="s">
        <v>449</v>
      </c>
      <c r="F12628">
        <v>0.1</v>
      </c>
      <c r="H12628" t="s">
        <v>8574</v>
      </c>
      <c r="I12628">
        <v>120</v>
      </c>
      <c r="J12628" t="s">
        <v>450</v>
      </c>
      <c r="M12628">
        <v>0</v>
      </c>
    </row>
    <row r="12629" spans="1:13">
      <c r="A12629">
        <v>82400100</v>
      </c>
      <c r="B12629">
        <v>2100620</v>
      </c>
      <c r="C12629" t="s">
        <v>13935</v>
      </c>
      <c r="D12629" t="s">
        <v>441</v>
      </c>
      <c r="F12629">
        <v>0</v>
      </c>
      <c r="I12629">
        <v>360</v>
      </c>
      <c r="J12629" t="s">
        <v>458</v>
      </c>
      <c r="K12629" t="s">
        <v>446</v>
      </c>
      <c r="M12629">
        <v>0</v>
      </c>
    </row>
    <row r="12630" spans="1:13">
      <c r="A12630">
        <v>82400700</v>
      </c>
      <c r="B12630">
        <v>2100016</v>
      </c>
      <c r="C12630" t="s">
        <v>13936</v>
      </c>
      <c r="D12630" t="s">
        <v>441</v>
      </c>
      <c r="F12630">
        <v>0</v>
      </c>
      <c r="H12630" t="s">
        <v>8935</v>
      </c>
      <c r="I12630">
        <v>540</v>
      </c>
      <c r="J12630" t="s">
        <v>458</v>
      </c>
      <c r="K12630" t="s">
        <v>446</v>
      </c>
      <c r="M12630">
        <v>0</v>
      </c>
    </row>
    <row r="12631" spans="1:13">
      <c r="A12631">
        <v>82401500</v>
      </c>
      <c r="B12631">
        <v>2100487</v>
      </c>
      <c r="C12631" t="s">
        <v>13937</v>
      </c>
      <c r="D12631" t="s">
        <v>441</v>
      </c>
      <c r="F12631">
        <v>0</v>
      </c>
      <c r="I12631">
        <v>365</v>
      </c>
      <c r="J12631" t="s">
        <v>458</v>
      </c>
      <c r="M12631">
        <v>0</v>
      </c>
    </row>
    <row r="12632" spans="1:13">
      <c r="A12632">
        <v>82401600</v>
      </c>
      <c r="B12632">
        <v>2100732</v>
      </c>
      <c r="C12632" t="s">
        <v>13938</v>
      </c>
      <c r="D12632" t="s">
        <v>441</v>
      </c>
      <c r="F12632">
        <v>0</v>
      </c>
      <c r="H12632" t="s">
        <v>8580</v>
      </c>
      <c r="I12632">
        <v>730</v>
      </c>
      <c r="J12632" t="s">
        <v>458</v>
      </c>
      <c r="K12632" t="s">
        <v>446</v>
      </c>
      <c r="M12632">
        <v>0</v>
      </c>
    </row>
    <row r="12633" spans="1:13">
      <c r="A12633">
        <v>82401700</v>
      </c>
      <c r="B12633">
        <v>2100361</v>
      </c>
      <c r="C12633" t="s">
        <v>5918</v>
      </c>
      <c r="D12633" t="s">
        <v>441</v>
      </c>
      <c r="F12633">
        <v>0</v>
      </c>
      <c r="H12633" t="s">
        <v>8584</v>
      </c>
      <c r="I12633">
        <v>365</v>
      </c>
      <c r="J12633" t="s">
        <v>458</v>
      </c>
      <c r="K12633" t="s">
        <v>446</v>
      </c>
      <c r="M12633">
        <v>0</v>
      </c>
    </row>
    <row r="12634" spans="1:13">
      <c r="A12634">
        <v>82401800</v>
      </c>
      <c r="B12634">
        <v>2100621</v>
      </c>
      <c r="C12634" t="s">
        <v>13939</v>
      </c>
      <c r="D12634" t="s">
        <v>441</v>
      </c>
      <c r="F12634">
        <v>0</v>
      </c>
      <c r="H12634" t="s">
        <v>8580</v>
      </c>
      <c r="I12634">
        <v>730</v>
      </c>
      <c r="J12634" t="s">
        <v>458</v>
      </c>
      <c r="K12634" t="s">
        <v>446</v>
      </c>
      <c r="M12634">
        <v>0</v>
      </c>
    </row>
    <row r="12635" spans="1:13">
      <c r="A12635">
        <v>82401900</v>
      </c>
      <c r="B12635">
        <v>2100323</v>
      </c>
      <c r="C12635" t="s">
        <v>13940</v>
      </c>
      <c r="D12635" t="s">
        <v>441</v>
      </c>
      <c r="F12635">
        <v>0</v>
      </c>
      <c r="I12635">
        <v>990</v>
      </c>
      <c r="J12635" t="s">
        <v>458</v>
      </c>
      <c r="M12635">
        <v>0</v>
      </c>
    </row>
    <row r="12636" spans="1:13">
      <c r="A12636">
        <v>82402000</v>
      </c>
      <c r="B12636">
        <v>2100780</v>
      </c>
      <c r="C12636" t="s">
        <v>5919</v>
      </c>
      <c r="D12636" t="s">
        <v>441</v>
      </c>
      <c r="F12636">
        <v>0</v>
      </c>
      <c r="H12636" t="s">
        <v>8580</v>
      </c>
      <c r="I12636">
        <v>1095</v>
      </c>
      <c r="J12636" t="s">
        <v>458</v>
      </c>
      <c r="K12636" t="s">
        <v>446</v>
      </c>
      <c r="M12636">
        <v>0</v>
      </c>
    </row>
    <row r="12637" spans="1:13">
      <c r="A12637">
        <v>82402100</v>
      </c>
      <c r="B12637">
        <v>2100787</v>
      </c>
      <c r="C12637" t="s">
        <v>5920</v>
      </c>
      <c r="D12637" t="s">
        <v>441</v>
      </c>
      <c r="F12637">
        <v>0</v>
      </c>
      <c r="H12637" t="s">
        <v>8583</v>
      </c>
      <c r="I12637">
        <v>365</v>
      </c>
      <c r="J12637" t="s">
        <v>458</v>
      </c>
      <c r="K12637" t="s">
        <v>446</v>
      </c>
      <c r="M12637">
        <v>0</v>
      </c>
    </row>
    <row r="12638" spans="1:13">
      <c r="A12638">
        <v>82402200</v>
      </c>
      <c r="B12638">
        <v>2100622</v>
      </c>
      <c r="C12638" t="s">
        <v>5921</v>
      </c>
      <c r="D12638" t="s">
        <v>441</v>
      </c>
      <c r="F12638">
        <v>0</v>
      </c>
      <c r="I12638">
        <v>360</v>
      </c>
      <c r="J12638" t="s">
        <v>458</v>
      </c>
      <c r="K12638" t="s">
        <v>446</v>
      </c>
      <c r="M12638">
        <v>0</v>
      </c>
    </row>
    <row r="12639" spans="1:13">
      <c r="A12639">
        <v>82403100</v>
      </c>
      <c r="B12639">
        <v>2100407</v>
      </c>
      <c r="C12639" t="s">
        <v>13941</v>
      </c>
      <c r="D12639" t="s">
        <v>441</v>
      </c>
      <c r="F12639">
        <v>0</v>
      </c>
      <c r="H12639" t="s">
        <v>8580</v>
      </c>
      <c r="I12639">
        <v>365</v>
      </c>
      <c r="J12639" t="s">
        <v>458</v>
      </c>
      <c r="K12639" t="s">
        <v>446</v>
      </c>
      <c r="M12639">
        <v>0</v>
      </c>
    </row>
    <row r="12640" spans="1:13">
      <c r="A12640">
        <v>82404200</v>
      </c>
      <c r="B12640">
        <v>2100623</v>
      </c>
      <c r="C12640" t="s">
        <v>13942</v>
      </c>
      <c r="D12640" t="s">
        <v>441</v>
      </c>
      <c r="F12640">
        <v>0</v>
      </c>
      <c r="H12640" t="s">
        <v>8580</v>
      </c>
      <c r="I12640">
        <v>540</v>
      </c>
      <c r="J12640" t="s">
        <v>458</v>
      </c>
      <c r="K12640" t="s">
        <v>446</v>
      </c>
      <c r="M12640">
        <v>0</v>
      </c>
    </row>
    <row r="12641" spans="1:13">
      <c r="A12641">
        <v>82404300</v>
      </c>
      <c r="B12641">
        <v>2100019</v>
      </c>
      <c r="C12641" t="s">
        <v>13943</v>
      </c>
      <c r="D12641" t="s">
        <v>441</v>
      </c>
      <c r="F12641">
        <v>0</v>
      </c>
      <c r="H12641" t="s">
        <v>8935</v>
      </c>
      <c r="I12641">
        <v>1080</v>
      </c>
      <c r="J12641" t="s">
        <v>458</v>
      </c>
      <c r="K12641" t="s">
        <v>446</v>
      </c>
      <c r="M12641">
        <v>0</v>
      </c>
    </row>
    <row r="12642" spans="1:13">
      <c r="A12642">
        <v>82405600</v>
      </c>
      <c r="B12642">
        <v>2100325</v>
      </c>
      <c r="C12642" t="s">
        <v>13944</v>
      </c>
      <c r="D12642" t="s">
        <v>441</v>
      </c>
      <c r="F12642">
        <v>0</v>
      </c>
      <c r="I12642">
        <v>720</v>
      </c>
      <c r="J12642" t="s">
        <v>458</v>
      </c>
      <c r="M12642">
        <v>0</v>
      </c>
    </row>
    <row r="12643" spans="1:13">
      <c r="A12643">
        <v>82405900</v>
      </c>
      <c r="B12643">
        <v>2100014</v>
      </c>
      <c r="C12643" t="s">
        <v>13945</v>
      </c>
      <c r="D12643" t="s">
        <v>441</v>
      </c>
      <c r="F12643">
        <v>0</v>
      </c>
      <c r="H12643" t="s">
        <v>8935</v>
      </c>
      <c r="I12643">
        <v>1080</v>
      </c>
      <c r="J12643" t="s">
        <v>458</v>
      </c>
      <c r="K12643" t="s">
        <v>446</v>
      </c>
      <c r="M12643">
        <v>0</v>
      </c>
    </row>
    <row r="12644" spans="1:13">
      <c r="A12644">
        <v>82406000</v>
      </c>
      <c r="B12644">
        <v>2100720</v>
      </c>
      <c r="C12644" t="s">
        <v>13946</v>
      </c>
      <c r="D12644" t="s">
        <v>441</v>
      </c>
      <c r="F12644">
        <v>0</v>
      </c>
      <c r="I12644">
        <v>730</v>
      </c>
      <c r="J12644" t="s">
        <v>458</v>
      </c>
      <c r="K12644" t="s">
        <v>446</v>
      </c>
      <c r="M12644">
        <v>0</v>
      </c>
    </row>
    <row r="12645" spans="1:13">
      <c r="A12645">
        <v>82600200</v>
      </c>
      <c r="B12645">
        <v>2100010</v>
      </c>
      <c r="C12645" t="s">
        <v>13947</v>
      </c>
      <c r="D12645" t="s">
        <v>441</v>
      </c>
      <c r="F12645">
        <v>0</v>
      </c>
      <c r="H12645" t="s">
        <v>8935</v>
      </c>
      <c r="I12645">
        <v>365</v>
      </c>
      <c r="J12645" t="s">
        <v>458</v>
      </c>
      <c r="M12645">
        <v>0</v>
      </c>
    </row>
    <row r="12646" spans="1:13">
      <c r="A12646">
        <v>82600700</v>
      </c>
      <c r="B12646">
        <v>2100721</v>
      </c>
      <c r="C12646" t="s">
        <v>5922</v>
      </c>
      <c r="D12646" t="s">
        <v>441</v>
      </c>
      <c r="F12646">
        <v>0</v>
      </c>
      <c r="H12646" t="s">
        <v>8580</v>
      </c>
      <c r="I12646">
        <v>360</v>
      </c>
      <c r="J12646" t="s">
        <v>458</v>
      </c>
      <c r="K12646" t="s">
        <v>446</v>
      </c>
      <c r="M12646">
        <v>0</v>
      </c>
    </row>
    <row r="12647" spans="1:13">
      <c r="A12647">
        <v>82600800</v>
      </c>
      <c r="B12647">
        <v>2100310</v>
      </c>
      <c r="C12647" t="s">
        <v>13948</v>
      </c>
      <c r="D12647" t="s">
        <v>441</v>
      </c>
      <c r="F12647">
        <v>0</v>
      </c>
      <c r="I12647">
        <v>540</v>
      </c>
      <c r="J12647" t="s">
        <v>458</v>
      </c>
      <c r="K12647" t="s">
        <v>446</v>
      </c>
      <c r="M12647">
        <v>0</v>
      </c>
    </row>
    <row r="12648" spans="1:13">
      <c r="A12648">
        <v>82600900</v>
      </c>
      <c r="B12648">
        <v>2100539</v>
      </c>
      <c r="C12648" t="s">
        <v>5923</v>
      </c>
      <c r="D12648" t="s">
        <v>441</v>
      </c>
      <c r="F12648">
        <v>0</v>
      </c>
      <c r="H12648" t="s">
        <v>8580</v>
      </c>
      <c r="I12648">
        <v>730</v>
      </c>
      <c r="J12648" t="s">
        <v>458</v>
      </c>
      <c r="M12648">
        <v>0</v>
      </c>
    </row>
    <row r="12649" spans="1:13">
      <c r="A12649">
        <v>82601600</v>
      </c>
      <c r="B12649">
        <v>2100378</v>
      </c>
      <c r="C12649" t="s">
        <v>5924</v>
      </c>
      <c r="D12649" t="s">
        <v>441</v>
      </c>
      <c r="F12649">
        <v>0</v>
      </c>
      <c r="I12649">
        <v>365</v>
      </c>
      <c r="J12649" t="s">
        <v>458</v>
      </c>
      <c r="M12649">
        <v>0</v>
      </c>
    </row>
    <row r="12650" spans="1:13">
      <c r="A12650">
        <v>82602700</v>
      </c>
      <c r="B12650">
        <v>2100624</v>
      </c>
      <c r="C12650" t="s">
        <v>5925</v>
      </c>
      <c r="D12650" t="s">
        <v>441</v>
      </c>
      <c r="F12650">
        <v>0</v>
      </c>
      <c r="I12650">
        <v>720</v>
      </c>
      <c r="J12650" t="s">
        <v>458</v>
      </c>
      <c r="K12650" t="s">
        <v>446</v>
      </c>
      <c r="M12650">
        <v>0</v>
      </c>
    </row>
    <row r="12651" spans="1:13">
      <c r="A12651">
        <v>82602800</v>
      </c>
      <c r="B12651">
        <v>2100625</v>
      </c>
      <c r="C12651" t="s">
        <v>5926</v>
      </c>
      <c r="D12651" t="s">
        <v>441</v>
      </c>
      <c r="F12651">
        <v>0</v>
      </c>
      <c r="H12651" t="s">
        <v>8580</v>
      </c>
      <c r="I12651">
        <v>180</v>
      </c>
      <c r="J12651" t="s">
        <v>458</v>
      </c>
      <c r="K12651" t="s">
        <v>446</v>
      </c>
      <c r="M12651">
        <v>0</v>
      </c>
    </row>
    <row r="12652" spans="1:13">
      <c r="A12652">
        <v>82603000</v>
      </c>
      <c r="B12652">
        <v>2100062</v>
      </c>
      <c r="C12652" t="s">
        <v>5927</v>
      </c>
      <c r="D12652" t="s">
        <v>441</v>
      </c>
      <c r="F12652">
        <v>0</v>
      </c>
      <c r="H12652" t="s">
        <v>8935</v>
      </c>
      <c r="I12652">
        <v>365</v>
      </c>
      <c r="J12652" t="s">
        <v>458</v>
      </c>
      <c r="M12652">
        <v>0</v>
      </c>
    </row>
    <row r="12653" spans="1:13">
      <c r="A12653">
        <v>82603300</v>
      </c>
      <c r="B12653">
        <v>2100036</v>
      </c>
      <c r="C12653" t="s">
        <v>5928</v>
      </c>
      <c r="D12653" t="s">
        <v>441</v>
      </c>
      <c r="F12653">
        <v>0</v>
      </c>
      <c r="H12653" t="s">
        <v>8935</v>
      </c>
      <c r="I12653">
        <v>547</v>
      </c>
      <c r="J12653" t="s">
        <v>458</v>
      </c>
      <c r="K12653" t="s">
        <v>446</v>
      </c>
      <c r="M12653">
        <v>0</v>
      </c>
    </row>
    <row r="12654" spans="1:13">
      <c r="A12654">
        <v>82604400</v>
      </c>
      <c r="B12654">
        <v>2100626</v>
      </c>
      <c r="C12654" t="s">
        <v>13949</v>
      </c>
      <c r="D12654" t="s">
        <v>441</v>
      </c>
      <c r="F12654">
        <v>0</v>
      </c>
      <c r="H12654" t="s">
        <v>13738</v>
      </c>
      <c r="I12654">
        <v>550</v>
      </c>
      <c r="J12654" t="s">
        <v>458</v>
      </c>
      <c r="K12654" t="s">
        <v>446</v>
      </c>
      <c r="M12654">
        <v>0</v>
      </c>
    </row>
    <row r="12655" spans="1:13">
      <c r="A12655">
        <v>82605800</v>
      </c>
      <c r="B12655">
        <v>2100324</v>
      </c>
      <c r="C12655" t="s">
        <v>13950</v>
      </c>
      <c r="D12655" t="s">
        <v>441</v>
      </c>
      <c r="F12655">
        <v>0</v>
      </c>
      <c r="I12655">
        <v>730</v>
      </c>
      <c r="J12655" t="s">
        <v>458</v>
      </c>
      <c r="K12655" t="s">
        <v>446</v>
      </c>
      <c r="M12655">
        <v>0</v>
      </c>
    </row>
    <row r="12656" spans="1:13">
      <c r="A12656">
        <v>82607200</v>
      </c>
      <c r="B12656">
        <v>2100627</v>
      </c>
      <c r="C12656" t="s">
        <v>5929</v>
      </c>
      <c r="D12656" t="s">
        <v>441</v>
      </c>
      <c r="F12656">
        <v>0</v>
      </c>
      <c r="I12656">
        <v>540</v>
      </c>
      <c r="J12656" t="s">
        <v>458</v>
      </c>
      <c r="K12656" t="s">
        <v>446</v>
      </c>
      <c r="M12656">
        <v>0</v>
      </c>
    </row>
    <row r="12657" spans="1:13">
      <c r="A12657">
        <v>82612500</v>
      </c>
      <c r="B12657">
        <v>2100628</v>
      </c>
      <c r="C12657" t="s">
        <v>13951</v>
      </c>
      <c r="D12657" t="s">
        <v>441</v>
      </c>
      <c r="F12657">
        <v>0</v>
      </c>
      <c r="H12657" t="s">
        <v>8580</v>
      </c>
      <c r="I12657">
        <v>720</v>
      </c>
      <c r="J12657" t="s">
        <v>458</v>
      </c>
      <c r="K12657" t="s">
        <v>446</v>
      </c>
      <c r="M12657">
        <v>0</v>
      </c>
    </row>
    <row r="12658" spans="1:13">
      <c r="A12658">
        <v>82613800</v>
      </c>
      <c r="B12658">
        <v>2100629</v>
      </c>
      <c r="C12658" t="s">
        <v>5930</v>
      </c>
      <c r="D12658" t="s">
        <v>441</v>
      </c>
      <c r="F12658">
        <v>0</v>
      </c>
      <c r="H12658" t="s">
        <v>8584</v>
      </c>
      <c r="I12658">
        <v>270</v>
      </c>
      <c r="J12658" t="s">
        <v>458</v>
      </c>
      <c r="K12658" t="s">
        <v>446</v>
      </c>
      <c r="M12658">
        <v>0</v>
      </c>
    </row>
    <row r="12659" spans="1:13">
      <c r="A12659">
        <v>82613900</v>
      </c>
      <c r="B12659">
        <v>2100480</v>
      </c>
      <c r="C12659" t="s">
        <v>5931</v>
      </c>
      <c r="D12659" t="s">
        <v>441</v>
      </c>
      <c r="F12659">
        <v>0</v>
      </c>
      <c r="H12659" t="s">
        <v>8580</v>
      </c>
      <c r="I12659">
        <v>365</v>
      </c>
      <c r="J12659" t="s">
        <v>458</v>
      </c>
      <c r="K12659" t="s">
        <v>446</v>
      </c>
      <c r="M12659">
        <v>0</v>
      </c>
    </row>
    <row r="12660" spans="1:13">
      <c r="A12660">
        <v>82617500</v>
      </c>
      <c r="B12660">
        <v>2100069</v>
      </c>
      <c r="C12660" t="s">
        <v>5932</v>
      </c>
      <c r="D12660" t="s">
        <v>441</v>
      </c>
      <c r="F12660">
        <v>0</v>
      </c>
      <c r="H12660" t="s">
        <v>8935</v>
      </c>
      <c r="I12660">
        <v>1095</v>
      </c>
      <c r="J12660" t="s">
        <v>458</v>
      </c>
      <c r="M12660">
        <v>0</v>
      </c>
    </row>
    <row r="12661" spans="1:13">
      <c r="A12661">
        <v>82617800</v>
      </c>
      <c r="B12661">
        <v>2100630</v>
      </c>
      <c r="C12661" t="s">
        <v>5933</v>
      </c>
      <c r="D12661" t="s">
        <v>441</v>
      </c>
      <c r="F12661">
        <v>0</v>
      </c>
      <c r="H12661" t="s">
        <v>8580</v>
      </c>
      <c r="I12661">
        <v>540</v>
      </c>
      <c r="J12661" t="s">
        <v>458</v>
      </c>
      <c r="M12661">
        <v>0</v>
      </c>
    </row>
    <row r="12662" spans="1:13">
      <c r="A12662">
        <v>82619200</v>
      </c>
      <c r="B12662">
        <v>2100311</v>
      </c>
      <c r="C12662" t="s">
        <v>13952</v>
      </c>
      <c r="D12662" t="s">
        <v>441</v>
      </c>
      <c r="F12662">
        <v>0</v>
      </c>
      <c r="H12662" t="s">
        <v>8580</v>
      </c>
      <c r="I12662">
        <v>365</v>
      </c>
      <c r="J12662" t="s">
        <v>458</v>
      </c>
      <c r="K12662" t="s">
        <v>446</v>
      </c>
      <c r="M12662">
        <v>0</v>
      </c>
    </row>
    <row r="12663" spans="1:13">
      <c r="A12663">
        <v>82619500</v>
      </c>
      <c r="B12663">
        <v>2100699</v>
      </c>
      <c r="C12663" t="s">
        <v>5934</v>
      </c>
      <c r="D12663" t="s">
        <v>441</v>
      </c>
      <c r="F12663">
        <v>0</v>
      </c>
      <c r="I12663">
        <v>360</v>
      </c>
      <c r="J12663" t="s">
        <v>458</v>
      </c>
      <c r="K12663" t="s">
        <v>446</v>
      </c>
      <c r="M12663">
        <v>0</v>
      </c>
    </row>
    <row r="12664" spans="1:13">
      <c r="A12664">
        <v>82619900</v>
      </c>
      <c r="B12664">
        <v>2100631</v>
      </c>
      <c r="C12664" t="s">
        <v>13953</v>
      </c>
      <c r="D12664" t="s">
        <v>441</v>
      </c>
      <c r="F12664">
        <v>0</v>
      </c>
      <c r="I12664">
        <v>365</v>
      </c>
      <c r="J12664" t="s">
        <v>458</v>
      </c>
      <c r="K12664" t="s">
        <v>446</v>
      </c>
      <c r="M12664">
        <v>0</v>
      </c>
    </row>
    <row r="12665" spans="1:13">
      <c r="A12665">
        <v>82620400</v>
      </c>
      <c r="B12665">
        <v>2100632</v>
      </c>
      <c r="C12665" t="s">
        <v>5935</v>
      </c>
      <c r="D12665" t="s">
        <v>441</v>
      </c>
      <c r="F12665">
        <v>0</v>
      </c>
      <c r="H12665" t="s">
        <v>8580</v>
      </c>
      <c r="I12665">
        <v>360</v>
      </c>
      <c r="J12665" t="s">
        <v>458</v>
      </c>
      <c r="M12665">
        <v>0</v>
      </c>
    </row>
    <row r="12666" spans="1:13">
      <c r="A12666">
        <v>82621000</v>
      </c>
      <c r="B12666">
        <v>2100633</v>
      </c>
      <c r="C12666" t="s">
        <v>5936</v>
      </c>
      <c r="D12666" t="s">
        <v>441</v>
      </c>
      <c r="F12666">
        <v>0</v>
      </c>
      <c r="I12666">
        <v>360</v>
      </c>
      <c r="J12666" t="s">
        <v>458</v>
      </c>
      <c r="M12666">
        <v>0</v>
      </c>
    </row>
    <row r="12667" spans="1:13">
      <c r="A12667">
        <v>82621500</v>
      </c>
      <c r="B12667">
        <v>2100092</v>
      </c>
      <c r="C12667" t="s">
        <v>13954</v>
      </c>
      <c r="D12667" t="s">
        <v>441</v>
      </c>
      <c r="F12667">
        <v>0</v>
      </c>
      <c r="H12667" t="s">
        <v>8935</v>
      </c>
      <c r="I12667">
        <v>1095</v>
      </c>
      <c r="J12667" t="s">
        <v>458</v>
      </c>
      <c r="K12667" t="s">
        <v>446</v>
      </c>
      <c r="M12667">
        <v>0</v>
      </c>
    </row>
    <row r="12668" spans="1:13">
      <c r="A12668">
        <v>82621600</v>
      </c>
      <c r="B12668">
        <v>2100299</v>
      </c>
      <c r="C12668" t="s">
        <v>5937</v>
      </c>
      <c r="D12668" t="s">
        <v>441</v>
      </c>
      <c r="F12668">
        <v>0</v>
      </c>
      <c r="H12668" t="s">
        <v>8580</v>
      </c>
      <c r="I12668">
        <v>730</v>
      </c>
      <c r="J12668" t="s">
        <v>458</v>
      </c>
      <c r="K12668" t="s">
        <v>446</v>
      </c>
      <c r="M12668">
        <v>0</v>
      </c>
    </row>
    <row r="12669" spans="1:13">
      <c r="A12669">
        <v>82621900</v>
      </c>
      <c r="B12669">
        <v>2100634</v>
      </c>
      <c r="C12669" t="s">
        <v>5938</v>
      </c>
      <c r="D12669" t="s">
        <v>441</v>
      </c>
      <c r="F12669">
        <v>0</v>
      </c>
      <c r="H12669" t="s">
        <v>8580</v>
      </c>
      <c r="I12669">
        <v>360</v>
      </c>
      <c r="J12669" t="s">
        <v>458</v>
      </c>
      <c r="M12669">
        <v>0</v>
      </c>
    </row>
    <row r="12670" spans="1:13">
      <c r="A12670">
        <v>82622100</v>
      </c>
      <c r="B12670">
        <v>2100635</v>
      </c>
      <c r="C12670" t="s">
        <v>5939</v>
      </c>
      <c r="D12670" t="s">
        <v>441</v>
      </c>
      <c r="F12670">
        <v>0</v>
      </c>
      <c r="H12670" t="s">
        <v>8580</v>
      </c>
      <c r="I12670">
        <v>720</v>
      </c>
      <c r="J12670" t="s">
        <v>458</v>
      </c>
      <c r="K12670" t="s">
        <v>446</v>
      </c>
      <c r="M12670">
        <v>0</v>
      </c>
    </row>
    <row r="12671" spans="1:13">
      <c r="A12671">
        <v>82622900</v>
      </c>
      <c r="B12671">
        <v>2100636</v>
      </c>
      <c r="C12671" t="s">
        <v>5940</v>
      </c>
      <c r="D12671" t="s">
        <v>441</v>
      </c>
      <c r="F12671">
        <v>0</v>
      </c>
      <c r="H12671" t="s">
        <v>8584</v>
      </c>
      <c r="I12671">
        <v>360</v>
      </c>
      <c r="J12671" t="s">
        <v>458</v>
      </c>
      <c r="M12671">
        <v>0</v>
      </c>
    </row>
    <row r="12672" spans="1:13">
      <c r="A12672">
        <v>82623000</v>
      </c>
      <c r="B12672">
        <v>2100637</v>
      </c>
      <c r="C12672" t="s">
        <v>5941</v>
      </c>
      <c r="D12672" t="s">
        <v>441</v>
      </c>
      <c r="F12672">
        <v>0</v>
      </c>
      <c r="H12672" t="s">
        <v>8580</v>
      </c>
      <c r="I12672">
        <v>365</v>
      </c>
      <c r="J12672" t="s">
        <v>458</v>
      </c>
      <c r="M12672">
        <v>0</v>
      </c>
    </row>
    <row r="12673" spans="1:13">
      <c r="A12673">
        <v>82623800</v>
      </c>
      <c r="B12673">
        <v>2100638</v>
      </c>
      <c r="C12673" t="s">
        <v>13955</v>
      </c>
      <c r="D12673" t="s">
        <v>441</v>
      </c>
      <c r="F12673">
        <v>0</v>
      </c>
      <c r="H12673" t="s">
        <v>8580</v>
      </c>
      <c r="I12673">
        <v>360</v>
      </c>
      <c r="J12673" t="s">
        <v>458</v>
      </c>
      <c r="K12673" t="s">
        <v>446</v>
      </c>
      <c r="M12673">
        <v>0</v>
      </c>
    </row>
    <row r="12674" spans="1:13">
      <c r="A12674">
        <v>82623900</v>
      </c>
      <c r="B12674">
        <v>2100639</v>
      </c>
      <c r="C12674" t="s">
        <v>13956</v>
      </c>
      <c r="D12674" t="s">
        <v>441</v>
      </c>
      <c r="F12674">
        <v>0</v>
      </c>
      <c r="I12674">
        <v>360</v>
      </c>
      <c r="J12674" t="s">
        <v>458</v>
      </c>
      <c r="K12674" t="s">
        <v>446</v>
      </c>
      <c r="M12674">
        <v>0</v>
      </c>
    </row>
    <row r="12675" spans="1:13">
      <c r="A12675">
        <v>82624000</v>
      </c>
      <c r="B12675">
        <v>2100706</v>
      </c>
      <c r="C12675" t="s">
        <v>5942</v>
      </c>
      <c r="D12675" t="s">
        <v>441</v>
      </c>
      <c r="F12675">
        <v>0</v>
      </c>
      <c r="H12675" t="s">
        <v>8583</v>
      </c>
      <c r="I12675">
        <v>540</v>
      </c>
      <c r="J12675" t="s">
        <v>458</v>
      </c>
      <c r="K12675" t="s">
        <v>446</v>
      </c>
      <c r="M12675">
        <v>0</v>
      </c>
    </row>
    <row r="12676" spans="1:13">
      <c r="A12676">
        <v>82624100</v>
      </c>
      <c r="B12676">
        <v>2100803</v>
      </c>
      <c r="C12676" t="s">
        <v>13957</v>
      </c>
      <c r="D12676" t="s">
        <v>441</v>
      </c>
      <c r="F12676">
        <v>0</v>
      </c>
      <c r="H12676" t="s">
        <v>13738</v>
      </c>
      <c r="I12676">
        <v>540</v>
      </c>
      <c r="J12676" t="s">
        <v>458</v>
      </c>
      <c r="M12676">
        <v>0</v>
      </c>
    </row>
    <row r="12677" spans="1:13">
      <c r="A12677">
        <v>82624300</v>
      </c>
      <c r="B12677">
        <v>2100640</v>
      </c>
      <c r="C12677" t="s">
        <v>5943</v>
      </c>
      <c r="D12677" t="s">
        <v>441</v>
      </c>
      <c r="F12677">
        <v>0</v>
      </c>
      <c r="H12677" t="s">
        <v>8580</v>
      </c>
      <c r="I12677">
        <v>180</v>
      </c>
      <c r="J12677" t="s">
        <v>458</v>
      </c>
      <c r="M12677">
        <v>0</v>
      </c>
    </row>
    <row r="12678" spans="1:13">
      <c r="A12678">
        <v>82625100</v>
      </c>
      <c r="B12678">
        <v>2100050</v>
      </c>
      <c r="C12678" t="s">
        <v>5944</v>
      </c>
      <c r="D12678" t="s">
        <v>441</v>
      </c>
      <c r="F12678">
        <v>0</v>
      </c>
      <c r="H12678" t="s">
        <v>8935</v>
      </c>
      <c r="I12678">
        <v>365</v>
      </c>
      <c r="J12678" t="s">
        <v>458</v>
      </c>
      <c r="M12678">
        <v>0</v>
      </c>
    </row>
    <row r="12679" spans="1:13">
      <c r="A12679">
        <v>82625500</v>
      </c>
      <c r="B12679">
        <v>2100397</v>
      </c>
      <c r="C12679" t="s">
        <v>5945</v>
      </c>
      <c r="D12679" t="s">
        <v>441</v>
      </c>
      <c r="F12679">
        <v>0</v>
      </c>
      <c r="I12679">
        <v>540</v>
      </c>
      <c r="J12679" t="s">
        <v>458</v>
      </c>
      <c r="K12679" t="s">
        <v>446</v>
      </c>
      <c r="M12679">
        <v>0</v>
      </c>
    </row>
    <row r="12680" spans="1:13">
      <c r="A12680">
        <v>82625900</v>
      </c>
      <c r="B12680">
        <v>2100356</v>
      </c>
      <c r="C12680" t="s">
        <v>5946</v>
      </c>
      <c r="D12680" t="s">
        <v>441</v>
      </c>
      <c r="F12680">
        <v>0</v>
      </c>
      <c r="H12680" t="s">
        <v>8580</v>
      </c>
      <c r="I12680">
        <v>365</v>
      </c>
      <c r="J12680" t="s">
        <v>458</v>
      </c>
      <c r="K12680" t="s">
        <v>446</v>
      </c>
      <c r="M12680">
        <v>0</v>
      </c>
    </row>
    <row r="12681" spans="1:13">
      <c r="A12681">
        <v>82626200</v>
      </c>
      <c r="B12681">
        <v>2100641</v>
      </c>
      <c r="C12681" t="s">
        <v>13958</v>
      </c>
      <c r="D12681" t="s">
        <v>441</v>
      </c>
      <c r="F12681">
        <v>0</v>
      </c>
      <c r="H12681" t="s">
        <v>8584</v>
      </c>
      <c r="I12681">
        <v>360</v>
      </c>
      <c r="J12681" t="s">
        <v>458</v>
      </c>
      <c r="M12681">
        <v>0</v>
      </c>
    </row>
    <row r="12682" spans="1:13">
      <c r="A12682">
        <v>82626300</v>
      </c>
      <c r="B12682">
        <v>2100794</v>
      </c>
      <c r="C12682" t="s">
        <v>13959</v>
      </c>
      <c r="D12682" t="s">
        <v>441</v>
      </c>
      <c r="F12682">
        <v>0</v>
      </c>
      <c r="I12682">
        <v>360</v>
      </c>
      <c r="J12682" t="s">
        <v>458</v>
      </c>
      <c r="K12682" t="s">
        <v>446</v>
      </c>
      <c r="M12682">
        <v>0</v>
      </c>
    </row>
    <row r="12683" spans="1:13">
      <c r="A12683">
        <v>82626400</v>
      </c>
      <c r="B12683">
        <v>2100793</v>
      </c>
      <c r="C12683" t="s">
        <v>13960</v>
      </c>
      <c r="D12683" t="s">
        <v>441</v>
      </c>
      <c r="F12683">
        <v>0</v>
      </c>
      <c r="H12683" t="s">
        <v>8580</v>
      </c>
      <c r="I12683">
        <v>360</v>
      </c>
      <c r="J12683" t="s">
        <v>458</v>
      </c>
      <c r="K12683" t="s">
        <v>446</v>
      </c>
      <c r="M12683">
        <v>0</v>
      </c>
    </row>
    <row r="12684" spans="1:13">
      <c r="A12684">
        <v>82626500</v>
      </c>
      <c r="B12684">
        <v>2100792</v>
      </c>
      <c r="C12684" t="s">
        <v>13961</v>
      </c>
      <c r="D12684" t="s">
        <v>441</v>
      </c>
      <c r="F12684">
        <v>0</v>
      </c>
      <c r="I12684">
        <v>360</v>
      </c>
      <c r="J12684" t="s">
        <v>458</v>
      </c>
      <c r="K12684" t="s">
        <v>446</v>
      </c>
      <c r="M12684">
        <v>0</v>
      </c>
    </row>
    <row r="12685" spans="1:13">
      <c r="A12685">
        <v>82626600</v>
      </c>
      <c r="B12685">
        <v>2100791</v>
      </c>
      <c r="C12685" t="s">
        <v>13962</v>
      </c>
      <c r="D12685" t="s">
        <v>441</v>
      </c>
      <c r="F12685">
        <v>0</v>
      </c>
      <c r="H12685" t="s">
        <v>8580</v>
      </c>
      <c r="I12685">
        <v>360</v>
      </c>
      <c r="J12685" t="s">
        <v>458</v>
      </c>
      <c r="K12685" t="s">
        <v>446</v>
      </c>
      <c r="M12685">
        <v>0</v>
      </c>
    </row>
    <row r="12686" spans="1:13">
      <c r="A12686">
        <v>82626700</v>
      </c>
      <c r="B12686">
        <v>2100790</v>
      </c>
      <c r="C12686" t="s">
        <v>13963</v>
      </c>
      <c r="D12686" t="s">
        <v>441</v>
      </c>
      <c r="F12686">
        <v>0</v>
      </c>
      <c r="I12686">
        <v>360</v>
      </c>
      <c r="J12686" t="s">
        <v>458</v>
      </c>
      <c r="K12686" t="s">
        <v>446</v>
      </c>
      <c r="M12686">
        <v>0</v>
      </c>
    </row>
    <row r="12687" spans="1:13">
      <c r="A12687">
        <v>82626800</v>
      </c>
      <c r="B12687">
        <v>2100245</v>
      </c>
      <c r="C12687" t="s">
        <v>5947</v>
      </c>
      <c r="D12687" t="s">
        <v>441</v>
      </c>
      <c r="F12687">
        <v>0</v>
      </c>
      <c r="H12687" t="s">
        <v>8580</v>
      </c>
      <c r="I12687">
        <v>547</v>
      </c>
      <c r="J12687" t="s">
        <v>458</v>
      </c>
      <c r="M12687">
        <v>0</v>
      </c>
    </row>
    <row r="12688" spans="1:13">
      <c r="A12688">
        <v>82626900</v>
      </c>
      <c r="B12688">
        <v>2100779</v>
      </c>
      <c r="C12688" t="s">
        <v>13964</v>
      </c>
      <c r="D12688" t="s">
        <v>441</v>
      </c>
      <c r="F12688">
        <v>0</v>
      </c>
      <c r="H12688" t="s">
        <v>8580</v>
      </c>
      <c r="I12688">
        <v>360</v>
      </c>
      <c r="J12688" t="s">
        <v>458</v>
      </c>
      <c r="K12688" t="s">
        <v>446</v>
      </c>
      <c r="M12688">
        <v>0</v>
      </c>
    </row>
    <row r="12689" spans="1:13">
      <c r="A12689">
        <v>82627000</v>
      </c>
      <c r="B12689">
        <v>2100778</v>
      </c>
      <c r="C12689" t="s">
        <v>13965</v>
      </c>
      <c r="D12689" t="s">
        <v>441</v>
      </c>
      <c r="F12689">
        <v>0</v>
      </c>
      <c r="H12689" t="s">
        <v>8580</v>
      </c>
      <c r="I12689">
        <v>365</v>
      </c>
      <c r="J12689" t="s">
        <v>458</v>
      </c>
      <c r="K12689" t="s">
        <v>446</v>
      </c>
      <c r="M12689">
        <v>0</v>
      </c>
    </row>
    <row r="12690" spans="1:13">
      <c r="A12690">
        <v>82627100</v>
      </c>
      <c r="B12690">
        <v>2100122</v>
      </c>
      <c r="C12690" t="s">
        <v>13966</v>
      </c>
      <c r="D12690" t="s">
        <v>441</v>
      </c>
      <c r="F12690">
        <v>0</v>
      </c>
      <c r="H12690" t="s">
        <v>8935</v>
      </c>
      <c r="I12690">
        <v>730</v>
      </c>
      <c r="J12690" t="s">
        <v>458</v>
      </c>
      <c r="K12690" t="s">
        <v>446</v>
      </c>
      <c r="M12690">
        <v>0</v>
      </c>
    </row>
    <row r="12691" spans="1:13">
      <c r="A12691">
        <v>82627300</v>
      </c>
      <c r="B12691">
        <v>2100642</v>
      </c>
      <c r="C12691" t="s">
        <v>5948</v>
      </c>
      <c r="D12691" t="s">
        <v>441</v>
      </c>
      <c r="F12691">
        <v>0</v>
      </c>
      <c r="I12691">
        <v>360</v>
      </c>
      <c r="J12691" t="s">
        <v>458</v>
      </c>
      <c r="M12691">
        <v>0</v>
      </c>
    </row>
    <row r="12692" spans="1:13">
      <c r="A12692">
        <v>82627800</v>
      </c>
      <c r="B12692">
        <v>2100643</v>
      </c>
      <c r="C12692" t="s">
        <v>13967</v>
      </c>
      <c r="D12692" t="s">
        <v>441</v>
      </c>
      <c r="F12692">
        <v>0</v>
      </c>
      <c r="H12692" t="s">
        <v>8580</v>
      </c>
      <c r="I12692">
        <v>360</v>
      </c>
      <c r="J12692" t="s">
        <v>458</v>
      </c>
      <c r="K12692" t="s">
        <v>446</v>
      </c>
      <c r="M12692">
        <v>0</v>
      </c>
    </row>
    <row r="12693" spans="1:13">
      <c r="A12693">
        <v>82627900</v>
      </c>
      <c r="B12693">
        <v>2100644</v>
      </c>
      <c r="C12693" t="s">
        <v>5949</v>
      </c>
      <c r="D12693" t="s">
        <v>441</v>
      </c>
      <c r="F12693">
        <v>0</v>
      </c>
      <c r="H12693" t="s">
        <v>8584</v>
      </c>
      <c r="I12693">
        <v>360</v>
      </c>
      <c r="J12693" t="s">
        <v>458</v>
      </c>
      <c r="M12693">
        <v>0</v>
      </c>
    </row>
    <row r="12694" spans="1:13">
      <c r="A12694">
        <v>82628000</v>
      </c>
      <c r="B12694">
        <v>2100476</v>
      </c>
      <c r="C12694" t="s">
        <v>13968</v>
      </c>
      <c r="D12694" t="s">
        <v>441</v>
      </c>
      <c r="F12694">
        <v>0</v>
      </c>
      <c r="H12694" t="s">
        <v>8580</v>
      </c>
      <c r="I12694">
        <v>365</v>
      </c>
      <c r="J12694" t="s">
        <v>458</v>
      </c>
      <c r="K12694" t="s">
        <v>446</v>
      </c>
      <c r="M12694">
        <v>0</v>
      </c>
    </row>
    <row r="12695" spans="1:13">
      <c r="A12695">
        <v>82628100</v>
      </c>
      <c r="B12695">
        <v>2100266</v>
      </c>
      <c r="C12695" t="s">
        <v>13969</v>
      </c>
      <c r="D12695" t="s">
        <v>441</v>
      </c>
      <c r="F12695">
        <v>0</v>
      </c>
      <c r="H12695" t="s">
        <v>8580</v>
      </c>
      <c r="I12695">
        <v>365</v>
      </c>
      <c r="J12695" t="s">
        <v>458</v>
      </c>
      <c r="K12695" t="s">
        <v>446</v>
      </c>
      <c r="M12695">
        <v>0</v>
      </c>
    </row>
    <row r="12696" spans="1:13">
      <c r="A12696">
        <v>82628200</v>
      </c>
      <c r="B12696">
        <v>2100645</v>
      </c>
      <c r="C12696" t="s">
        <v>5950</v>
      </c>
      <c r="D12696" t="s">
        <v>441</v>
      </c>
      <c r="F12696">
        <v>0</v>
      </c>
      <c r="H12696" t="s">
        <v>8580</v>
      </c>
      <c r="I12696">
        <v>360</v>
      </c>
      <c r="J12696" t="s">
        <v>458</v>
      </c>
      <c r="K12696" t="s">
        <v>446</v>
      </c>
      <c r="M12696">
        <v>0</v>
      </c>
    </row>
    <row r="12697" spans="1:13">
      <c r="A12697">
        <v>82628400</v>
      </c>
      <c r="B12697">
        <v>2100646</v>
      </c>
      <c r="C12697" t="s">
        <v>5951</v>
      </c>
      <c r="D12697" t="s">
        <v>441</v>
      </c>
      <c r="F12697">
        <v>0</v>
      </c>
      <c r="I12697">
        <v>360</v>
      </c>
      <c r="J12697" t="s">
        <v>458</v>
      </c>
      <c r="K12697" t="s">
        <v>446</v>
      </c>
      <c r="M12697">
        <v>0</v>
      </c>
    </row>
    <row r="12698" spans="1:13">
      <c r="A12698">
        <v>82628500</v>
      </c>
      <c r="B12698">
        <v>2100647</v>
      </c>
      <c r="C12698" t="s">
        <v>5952</v>
      </c>
      <c r="D12698" t="s">
        <v>441</v>
      </c>
      <c r="F12698">
        <v>0</v>
      </c>
      <c r="H12698" t="s">
        <v>8580</v>
      </c>
      <c r="I12698">
        <v>360</v>
      </c>
      <c r="J12698" t="s">
        <v>458</v>
      </c>
      <c r="K12698" t="s">
        <v>446</v>
      </c>
      <c r="M12698">
        <v>0</v>
      </c>
    </row>
    <row r="12699" spans="1:13">
      <c r="A12699">
        <v>82628800</v>
      </c>
      <c r="B12699">
        <v>2100648</v>
      </c>
      <c r="C12699" t="s">
        <v>5953</v>
      </c>
      <c r="D12699" t="s">
        <v>441</v>
      </c>
      <c r="F12699">
        <v>0</v>
      </c>
      <c r="I12699">
        <v>360</v>
      </c>
      <c r="J12699" t="s">
        <v>458</v>
      </c>
      <c r="K12699" t="s">
        <v>446</v>
      </c>
      <c r="M12699">
        <v>0</v>
      </c>
    </row>
    <row r="12700" spans="1:13">
      <c r="A12700">
        <v>82628900</v>
      </c>
      <c r="B12700">
        <v>2100649</v>
      </c>
      <c r="C12700" t="s">
        <v>5954</v>
      </c>
      <c r="D12700" t="s">
        <v>441</v>
      </c>
      <c r="F12700">
        <v>0</v>
      </c>
      <c r="H12700" t="s">
        <v>8580</v>
      </c>
      <c r="I12700">
        <v>270</v>
      </c>
      <c r="J12700" t="s">
        <v>458</v>
      </c>
      <c r="K12700" t="s">
        <v>446</v>
      </c>
      <c r="M12700">
        <v>0</v>
      </c>
    </row>
    <row r="12701" spans="1:13">
      <c r="A12701">
        <v>82629100</v>
      </c>
      <c r="B12701">
        <v>2100650</v>
      </c>
      <c r="C12701" t="s">
        <v>5955</v>
      </c>
      <c r="D12701" t="s">
        <v>441</v>
      </c>
      <c r="F12701">
        <v>0</v>
      </c>
      <c r="H12701" t="s">
        <v>8580</v>
      </c>
      <c r="I12701">
        <v>720</v>
      </c>
      <c r="J12701" t="s">
        <v>458</v>
      </c>
      <c r="K12701" t="s">
        <v>446</v>
      </c>
      <c r="M12701">
        <v>0</v>
      </c>
    </row>
    <row r="12702" spans="1:13">
      <c r="A12702">
        <v>82629200</v>
      </c>
      <c r="B12702">
        <v>2100651</v>
      </c>
      <c r="C12702" t="s">
        <v>5956</v>
      </c>
      <c r="D12702" t="s">
        <v>441</v>
      </c>
      <c r="F12702">
        <v>0</v>
      </c>
      <c r="H12702" t="s">
        <v>8580</v>
      </c>
      <c r="I12702">
        <v>360</v>
      </c>
      <c r="J12702" t="s">
        <v>458</v>
      </c>
      <c r="K12702" t="s">
        <v>446</v>
      </c>
      <c r="M12702">
        <v>0</v>
      </c>
    </row>
    <row r="12703" spans="1:13">
      <c r="A12703">
        <v>82629300</v>
      </c>
      <c r="B12703">
        <v>2100652</v>
      </c>
      <c r="C12703" t="s">
        <v>5957</v>
      </c>
      <c r="D12703" t="s">
        <v>441</v>
      </c>
      <c r="F12703">
        <v>0</v>
      </c>
      <c r="H12703" t="s">
        <v>8580</v>
      </c>
      <c r="I12703">
        <v>360</v>
      </c>
      <c r="J12703" t="s">
        <v>458</v>
      </c>
      <c r="K12703" t="s">
        <v>446</v>
      </c>
      <c r="M12703">
        <v>0</v>
      </c>
    </row>
    <row r="12704" spans="1:13">
      <c r="A12704">
        <v>82629400</v>
      </c>
      <c r="B12704">
        <v>2100653</v>
      </c>
      <c r="C12704" t="s">
        <v>5958</v>
      </c>
      <c r="D12704" t="s">
        <v>441</v>
      </c>
      <c r="F12704">
        <v>0</v>
      </c>
      <c r="H12704" t="s">
        <v>8580</v>
      </c>
      <c r="I12704">
        <v>360</v>
      </c>
      <c r="J12704" t="s">
        <v>458</v>
      </c>
      <c r="K12704" t="s">
        <v>446</v>
      </c>
      <c r="M12704">
        <v>0</v>
      </c>
    </row>
    <row r="12705" spans="1:13">
      <c r="A12705">
        <v>82629500</v>
      </c>
      <c r="B12705">
        <v>2100654</v>
      </c>
      <c r="C12705" t="s">
        <v>13970</v>
      </c>
      <c r="D12705" t="s">
        <v>441</v>
      </c>
      <c r="F12705">
        <v>0</v>
      </c>
      <c r="I12705">
        <v>360</v>
      </c>
      <c r="J12705" t="s">
        <v>458</v>
      </c>
      <c r="K12705" t="s">
        <v>446</v>
      </c>
      <c r="M12705">
        <v>0</v>
      </c>
    </row>
    <row r="12706" spans="1:13">
      <c r="A12706">
        <v>82629700</v>
      </c>
      <c r="B12706">
        <v>2100655</v>
      </c>
      <c r="C12706" t="s">
        <v>5959</v>
      </c>
      <c r="D12706" t="s">
        <v>441</v>
      </c>
      <c r="F12706">
        <v>0</v>
      </c>
      <c r="H12706" t="s">
        <v>8580</v>
      </c>
      <c r="I12706">
        <v>720</v>
      </c>
      <c r="J12706" t="s">
        <v>458</v>
      </c>
      <c r="K12706" t="s">
        <v>446</v>
      </c>
      <c r="M12706">
        <v>0</v>
      </c>
    </row>
    <row r="12707" spans="1:13">
      <c r="A12707">
        <v>82629800</v>
      </c>
      <c r="B12707">
        <v>2100656</v>
      </c>
      <c r="C12707" t="s">
        <v>5960</v>
      </c>
      <c r="D12707" t="s">
        <v>441</v>
      </c>
      <c r="F12707">
        <v>0</v>
      </c>
      <c r="I12707">
        <v>720</v>
      </c>
      <c r="J12707" t="s">
        <v>458</v>
      </c>
      <c r="K12707" t="s">
        <v>446</v>
      </c>
      <c r="M12707">
        <v>0</v>
      </c>
    </row>
    <row r="12708" spans="1:13">
      <c r="A12708">
        <v>82629900</v>
      </c>
      <c r="B12708">
        <v>2100286</v>
      </c>
      <c r="C12708" t="s">
        <v>13971</v>
      </c>
      <c r="D12708" t="s">
        <v>441</v>
      </c>
      <c r="F12708">
        <v>0</v>
      </c>
      <c r="H12708" t="s">
        <v>8580</v>
      </c>
      <c r="I12708">
        <v>360</v>
      </c>
      <c r="J12708" t="s">
        <v>458</v>
      </c>
      <c r="K12708" t="s">
        <v>446</v>
      </c>
      <c r="M12708">
        <v>0</v>
      </c>
    </row>
    <row r="12709" spans="1:13">
      <c r="A12709">
        <v>82630200</v>
      </c>
      <c r="B12709">
        <v>2100668</v>
      </c>
      <c r="C12709" t="s">
        <v>5961</v>
      </c>
      <c r="D12709" t="s">
        <v>441</v>
      </c>
      <c r="F12709">
        <v>0</v>
      </c>
      <c r="H12709" t="s">
        <v>8584</v>
      </c>
      <c r="I12709">
        <v>360</v>
      </c>
      <c r="J12709" t="s">
        <v>458</v>
      </c>
      <c r="K12709" t="s">
        <v>446</v>
      </c>
      <c r="M12709">
        <v>0</v>
      </c>
    </row>
    <row r="12710" spans="1:13">
      <c r="A12710">
        <v>82630300</v>
      </c>
      <c r="B12710">
        <v>2100669</v>
      </c>
      <c r="C12710" t="s">
        <v>13972</v>
      </c>
      <c r="D12710" t="s">
        <v>441</v>
      </c>
      <c r="F12710">
        <v>0</v>
      </c>
      <c r="H12710" t="s">
        <v>8580</v>
      </c>
      <c r="I12710">
        <v>360</v>
      </c>
      <c r="J12710" t="s">
        <v>458</v>
      </c>
      <c r="K12710" t="s">
        <v>446</v>
      </c>
      <c r="M12710">
        <v>0</v>
      </c>
    </row>
    <row r="12711" spans="1:13">
      <c r="A12711">
        <v>82691100</v>
      </c>
      <c r="B12711">
        <v>2100121</v>
      </c>
      <c r="C12711" t="s">
        <v>13973</v>
      </c>
      <c r="D12711" t="s">
        <v>5567</v>
      </c>
      <c r="F12711">
        <v>0.91743119266055095</v>
      </c>
      <c r="G12711">
        <v>0</v>
      </c>
      <c r="H12711" t="s">
        <v>8935</v>
      </c>
      <c r="I12711">
        <v>365</v>
      </c>
      <c r="J12711" t="s">
        <v>458</v>
      </c>
      <c r="M12711">
        <v>0</v>
      </c>
    </row>
    <row r="12712" spans="1:13">
      <c r="A12712">
        <v>82691200</v>
      </c>
      <c r="B12712">
        <v>2100657</v>
      </c>
      <c r="C12712" t="s">
        <v>5962</v>
      </c>
      <c r="D12712" t="s">
        <v>441</v>
      </c>
      <c r="F12712">
        <v>0</v>
      </c>
      <c r="H12712" t="s">
        <v>8580</v>
      </c>
      <c r="I12712">
        <v>540</v>
      </c>
      <c r="J12712" t="s">
        <v>458</v>
      </c>
      <c r="M12712">
        <v>0</v>
      </c>
    </row>
    <row r="12713" spans="1:13">
      <c r="A12713">
        <v>82692300</v>
      </c>
      <c r="B12713">
        <v>2100368</v>
      </c>
      <c r="C12713" t="s">
        <v>5963</v>
      </c>
      <c r="D12713" t="s">
        <v>441</v>
      </c>
      <c r="F12713">
        <v>0</v>
      </c>
      <c r="H12713" t="s">
        <v>8584</v>
      </c>
      <c r="I12713">
        <v>180</v>
      </c>
      <c r="J12713" t="s">
        <v>458</v>
      </c>
      <c r="K12713" t="s">
        <v>446</v>
      </c>
      <c r="M12713">
        <v>0</v>
      </c>
    </row>
    <row r="12714" spans="1:13">
      <c r="A12714">
        <v>82692500</v>
      </c>
      <c r="B12714">
        <v>2100658</v>
      </c>
      <c r="C12714" t="s">
        <v>5964</v>
      </c>
      <c r="D12714" t="s">
        <v>441</v>
      </c>
      <c r="F12714">
        <v>0</v>
      </c>
      <c r="H12714" t="s">
        <v>8580</v>
      </c>
      <c r="I12714">
        <v>360</v>
      </c>
      <c r="J12714" t="s">
        <v>458</v>
      </c>
      <c r="K12714" t="s">
        <v>446</v>
      </c>
      <c r="M12714">
        <v>0</v>
      </c>
    </row>
    <row r="12715" spans="1:13">
      <c r="A12715">
        <v>82692600</v>
      </c>
      <c r="B12715">
        <v>2100659</v>
      </c>
      <c r="C12715" t="s">
        <v>5965</v>
      </c>
      <c r="D12715" t="s">
        <v>441</v>
      </c>
      <c r="F12715">
        <v>0</v>
      </c>
      <c r="I12715">
        <v>360</v>
      </c>
      <c r="J12715" t="s">
        <v>458</v>
      </c>
      <c r="M12715">
        <v>0</v>
      </c>
    </row>
    <row r="12716" spans="1:13">
      <c r="A12716">
        <v>82692700</v>
      </c>
      <c r="B12716">
        <v>2100660</v>
      </c>
      <c r="C12716" t="s">
        <v>13974</v>
      </c>
      <c r="D12716" t="s">
        <v>441</v>
      </c>
      <c r="F12716">
        <v>0</v>
      </c>
      <c r="H12716" t="s">
        <v>8580</v>
      </c>
      <c r="I12716">
        <v>540</v>
      </c>
      <c r="J12716" t="s">
        <v>458</v>
      </c>
      <c r="K12716" t="s">
        <v>446</v>
      </c>
      <c r="M12716">
        <v>0</v>
      </c>
    </row>
    <row r="12717" spans="1:13">
      <c r="A12717">
        <v>82693100</v>
      </c>
      <c r="B12717">
        <v>2100035</v>
      </c>
      <c r="C12717" t="s">
        <v>5966</v>
      </c>
      <c r="D12717" t="s">
        <v>441</v>
      </c>
      <c r="F12717">
        <v>0</v>
      </c>
      <c r="H12717" t="s">
        <v>8935</v>
      </c>
      <c r="I12717">
        <v>365</v>
      </c>
      <c r="J12717" t="s">
        <v>458</v>
      </c>
      <c r="K12717" t="s">
        <v>446</v>
      </c>
      <c r="M12717">
        <v>0</v>
      </c>
    </row>
    <row r="12718" spans="1:13">
      <c r="A12718">
        <v>82693200</v>
      </c>
      <c r="B12718">
        <v>2100661</v>
      </c>
      <c r="C12718" t="s">
        <v>5967</v>
      </c>
      <c r="D12718" t="s">
        <v>441</v>
      </c>
      <c r="F12718">
        <v>0</v>
      </c>
      <c r="H12718" t="s">
        <v>8580</v>
      </c>
      <c r="I12718">
        <v>720</v>
      </c>
      <c r="J12718" t="s">
        <v>458</v>
      </c>
      <c r="M12718">
        <v>0</v>
      </c>
    </row>
    <row r="12719" spans="1:13">
      <c r="A12719">
        <v>82693300</v>
      </c>
      <c r="B12719">
        <v>2100662</v>
      </c>
      <c r="C12719" t="s">
        <v>5968</v>
      </c>
      <c r="D12719" t="s">
        <v>441</v>
      </c>
      <c r="F12719">
        <v>0</v>
      </c>
      <c r="H12719" t="s">
        <v>8584</v>
      </c>
      <c r="I12719">
        <v>360</v>
      </c>
      <c r="J12719" t="s">
        <v>458</v>
      </c>
      <c r="K12719" t="s">
        <v>446</v>
      </c>
      <c r="M12719">
        <v>0</v>
      </c>
    </row>
    <row r="12720" spans="1:13">
      <c r="A12720">
        <v>82693400</v>
      </c>
      <c r="B12720">
        <v>2100663</v>
      </c>
      <c r="C12720" t="s">
        <v>5969</v>
      </c>
      <c r="D12720" t="s">
        <v>441</v>
      </c>
      <c r="F12720">
        <v>0</v>
      </c>
      <c r="I12720">
        <v>360</v>
      </c>
      <c r="J12720" t="s">
        <v>458</v>
      </c>
      <c r="K12720" t="s">
        <v>446</v>
      </c>
      <c r="M12720">
        <v>0</v>
      </c>
    </row>
    <row r="12721" spans="1:13">
      <c r="A12721">
        <v>82693500</v>
      </c>
      <c r="B12721">
        <v>2100700</v>
      </c>
      <c r="C12721" t="s">
        <v>5970</v>
      </c>
      <c r="D12721" t="s">
        <v>441</v>
      </c>
      <c r="F12721">
        <v>0</v>
      </c>
      <c r="H12721" t="s">
        <v>8580</v>
      </c>
      <c r="I12721">
        <v>360</v>
      </c>
      <c r="J12721" t="s">
        <v>458</v>
      </c>
      <c r="K12721" t="s">
        <v>446</v>
      </c>
      <c r="M12721">
        <v>0</v>
      </c>
    </row>
    <row r="12722" spans="1:13">
      <c r="A12722">
        <v>82693600</v>
      </c>
      <c r="B12722">
        <v>2100690</v>
      </c>
      <c r="C12722" t="s">
        <v>5971</v>
      </c>
      <c r="D12722" t="s">
        <v>441</v>
      </c>
      <c r="F12722">
        <v>0</v>
      </c>
      <c r="I12722">
        <v>540</v>
      </c>
      <c r="J12722" t="s">
        <v>458</v>
      </c>
      <c r="K12722" t="s">
        <v>446</v>
      </c>
      <c r="M12722">
        <v>0</v>
      </c>
    </row>
    <row r="12723" spans="1:13">
      <c r="A12723">
        <v>82693700</v>
      </c>
      <c r="B12723">
        <v>2100701</v>
      </c>
      <c r="C12723" t="s">
        <v>5972</v>
      </c>
      <c r="D12723" t="s">
        <v>441</v>
      </c>
      <c r="F12723">
        <v>0</v>
      </c>
      <c r="I12723">
        <v>360</v>
      </c>
      <c r="J12723" t="s">
        <v>458</v>
      </c>
      <c r="K12723" t="s">
        <v>446</v>
      </c>
      <c r="M12723">
        <v>0</v>
      </c>
    </row>
    <row r="12724" spans="1:13">
      <c r="A12724">
        <v>82693800</v>
      </c>
      <c r="B12724">
        <v>2100702</v>
      </c>
      <c r="C12724" t="s">
        <v>5973</v>
      </c>
      <c r="D12724" t="s">
        <v>441</v>
      </c>
      <c r="F12724">
        <v>0</v>
      </c>
      <c r="H12724" t="s">
        <v>8580</v>
      </c>
      <c r="I12724">
        <v>720</v>
      </c>
      <c r="J12724" t="s">
        <v>458</v>
      </c>
      <c r="K12724" t="s">
        <v>446</v>
      </c>
      <c r="M12724">
        <v>0</v>
      </c>
    </row>
    <row r="12725" spans="1:13">
      <c r="A12725">
        <v>82700000</v>
      </c>
      <c r="B12725">
        <v>2100664</v>
      </c>
      <c r="C12725" t="s">
        <v>5974</v>
      </c>
      <c r="D12725" t="s">
        <v>441</v>
      </c>
      <c r="F12725">
        <v>0</v>
      </c>
      <c r="H12725" t="s">
        <v>8584</v>
      </c>
      <c r="I12725">
        <v>720</v>
      </c>
      <c r="J12725" t="s">
        <v>458</v>
      </c>
      <c r="M12725">
        <v>0</v>
      </c>
    </row>
    <row r="12726" spans="1:13">
      <c r="A12726">
        <v>82768899</v>
      </c>
      <c r="B12726">
        <v>2015257</v>
      </c>
      <c r="C12726" t="s">
        <v>13975</v>
      </c>
      <c r="D12726" t="s">
        <v>442</v>
      </c>
      <c r="F12726">
        <v>0.125</v>
      </c>
      <c r="H12726" t="s">
        <v>8580</v>
      </c>
      <c r="I12726">
        <v>720</v>
      </c>
      <c r="J12726" t="s">
        <v>450</v>
      </c>
      <c r="M12726">
        <v>0</v>
      </c>
    </row>
    <row r="12727" spans="1:13">
      <c r="A12727">
        <v>82776399</v>
      </c>
      <c r="B12727">
        <v>2015265</v>
      </c>
      <c r="C12727" t="s">
        <v>15691</v>
      </c>
      <c r="D12727" t="s">
        <v>442</v>
      </c>
      <c r="F12727">
        <v>1E-3</v>
      </c>
      <c r="H12727" t="s">
        <v>8580</v>
      </c>
      <c r="I12727">
        <v>765</v>
      </c>
      <c r="J12727" t="s">
        <v>450</v>
      </c>
      <c r="M12727">
        <v>0</v>
      </c>
    </row>
    <row r="12728" spans="1:13">
      <c r="A12728">
        <v>82908950</v>
      </c>
      <c r="B12728">
        <v>2020142</v>
      </c>
      <c r="C12728" t="s">
        <v>15613</v>
      </c>
      <c r="D12728" t="s">
        <v>442</v>
      </c>
      <c r="F12728">
        <v>0.11</v>
      </c>
      <c r="H12728" t="s">
        <v>8580</v>
      </c>
      <c r="I12728">
        <v>365</v>
      </c>
      <c r="J12728" t="s">
        <v>450</v>
      </c>
      <c r="M12728">
        <v>0</v>
      </c>
    </row>
    <row r="12729" spans="1:13">
      <c r="A12729">
        <v>82908960</v>
      </c>
      <c r="B12729">
        <v>2020141</v>
      </c>
      <c r="C12729" t="s">
        <v>15614</v>
      </c>
      <c r="D12729" t="s">
        <v>442</v>
      </c>
      <c r="F12729">
        <v>0.11</v>
      </c>
      <c r="I12729">
        <v>365</v>
      </c>
      <c r="J12729" t="s">
        <v>450</v>
      </c>
      <c r="M12729">
        <v>0</v>
      </c>
    </row>
    <row r="12730" spans="1:13">
      <c r="A12730">
        <v>82908990</v>
      </c>
      <c r="B12730">
        <v>2020176</v>
      </c>
      <c r="C12730" t="s">
        <v>17753</v>
      </c>
      <c r="D12730" t="s">
        <v>442</v>
      </c>
      <c r="F12730">
        <v>0.30399999999999999</v>
      </c>
      <c r="H12730" t="s">
        <v>8580</v>
      </c>
      <c r="I12730">
        <v>365</v>
      </c>
      <c r="J12730" t="s">
        <v>450</v>
      </c>
      <c r="M12730">
        <v>0</v>
      </c>
    </row>
    <row r="12731" spans="1:13">
      <c r="A12731">
        <v>82909100</v>
      </c>
      <c r="B12731">
        <v>2020173</v>
      </c>
      <c r="C12731" t="s">
        <v>15692</v>
      </c>
      <c r="D12731" t="s">
        <v>442</v>
      </c>
      <c r="F12731">
        <v>0.51</v>
      </c>
      <c r="I12731">
        <v>365</v>
      </c>
      <c r="J12731" t="s">
        <v>450</v>
      </c>
      <c r="M12731">
        <v>0</v>
      </c>
    </row>
    <row r="12732" spans="1:13">
      <c r="A12732">
        <v>82909110</v>
      </c>
      <c r="B12732">
        <v>2020172</v>
      </c>
      <c r="C12732" t="s">
        <v>15693</v>
      </c>
      <c r="D12732" t="s">
        <v>442</v>
      </c>
      <c r="F12732">
        <v>0.82</v>
      </c>
      <c r="H12732" t="s">
        <v>8580</v>
      </c>
      <c r="I12732">
        <v>365</v>
      </c>
      <c r="J12732" t="s">
        <v>450</v>
      </c>
      <c r="M12732">
        <v>0</v>
      </c>
    </row>
    <row r="12733" spans="1:13">
      <c r="A12733">
        <v>82909120</v>
      </c>
      <c r="B12733">
        <v>2020171</v>
      </c>
      <c r="C12733" t="s">
        <v>15694</v>
      </c>
      <c r="D12733" t="s">
        <v>442</v>
      </c>
      <c r="F12733">
        <v>0.51800000000000002</v>
      </c>
      <c r="I12733">
        <v>364</v>
      </c>
      <c r="J12733" t="s">
        <v>450</v>
      </c>
      <c r="M12733">
        <v>0</v>
      </c>
    </row>
    <row r="12734" spans="1:13">
      <c r="A12734">
        <v>82909200</v>
      </c>
      <c r="B12734">
        <v>2020255</v>
      </c>
      <c r="C12734" t="s">
        <v>15695</v>
      </c>
      <c r="D12734" t="s">
        <v>442</v>
      </c>
      <c r="F12734">
        <v>0.23200000000000001</v>
      </c>
      <c r="H12734" t="s">
        <v>8580</v>
      </c>
      <c r="I12734">
        <v>365</v>
      </c>
      <c r="J12734" t="s">
        <v>450</v>
      </c>
      <c r="M12734">
        <v>0</v>
      </c>
    </row>
    <row r="12735" spans="1:13">
      <c r="A12735">
        <v>82909300</v>
      </c>
      <c r="B12735">
        <v>2020254</v>
      </c>
      <c r="C12735" t="s">
        <v>15696</v>
      </c>
      <c r="D12735" t="s">
        <v>442</v>
      </c>
      <c r="F12735">
        <v>0.124</v>
      </c>
      <c r="I12735">
        <v>365</v>
      </c>
      <c r="J12735" t="s">
        <v>450</v>
      </c>
      <c r="M12735">
        <v>0</v>
      </c>
    </row>
    <row r="12736" spans="1:13">
      <c r="A12736">
        <v>82909500</v>
      </c>
      <c r="B12736">
        <v>2020314</v>
      </c>
      <c r="C12736" t="s">
        <v>15939</v>
      </c>
      <c r="D12736" t="s">
        <v>442</v>
      </c>
      <c r="F12736">
        <v>0.124</v>
      </c>
      <c r="H12736" t="s">
        <v>8580</v>
      </c>
      <c r="I12736">
        <v>365</v>
      </c>
      <c r="J12736" t="s">
        <v>450</v>
      </c>
      <c r="M12736">
        <v>0</v>
      </c>
    </row>
    <row r="12737" spans="1:13">
      <c r="A12737">
        <v>82909510</v>
      </c>
      <c r="B12737">
        <v>2020469</v>
      </c>
      <c r="C12737" t="s">
        <v>17208</v>
      </c>
      <c r="D12737" t="s">
        <v>442</v>
      </c>
      <c r="F12737">
        <v>1</v>
      </c>
      <c r="I12737">
        <v>360</v>
      </c>
      <c r="J12737" t="s">
        <v>450</v>
      </c>
      <c r="M12737">
        <v>0</v>
      </c>
    </row>
    <row r="12738" spans="1:13">
      <c r="A12738">
        <v>82909520</v>
      </c>
      <c r="B12738">
        <v>2020466</v>
      </c>
      <c r="C12738" t="s">
        <v>17209</v>
      </c>
      <c r="D12738" t="s">
        <v>442</v>
      </c>
      <c r="F12738">
        <v>0.21</v>
      </c>
      <c r="H12738" t="s">
        <v>8637</v>
      </c>
      <c r="I12738">
        <v>360</v>
      </c>
      <c r="J12738" t="s">
        <v>450</v>
      </c>
      <c r="M12738">
        <v>0</v>
      </c>
    </row>
    <row r="12739" spans="1:13">
      <c r="A12739">
        <v>82909530</v>
      </c>
      <c r="B12739">
        <v>2020431</v>
      </c>
      <c r="C12739" t="s">
        <v>17210</v>
      </c>
      <c r="D12739" t="s">
        <v>442</v>
      </c>
      <c r="F12739">
        <v>0.11799999999999999</v>
      </c>
      <c r="I12739">
        <v>360</v>
      </c>
      <c r="J12739" t="s">
        <v>450</v>
      </c>
      <c r="M12739">
        <v>0</v>
      </c>
    </row>
    <row r="12740" spans="1:13">
      <c r="A12740">
        <v>82909540</v>
      </c>
      <c r="B12740">
        <v>2020474</v>
      </c>
      <c r="C12740" t="s">
        <v>17211</v>
      </c>
      <c r="D12740" t="s">
        <v>442</v>
      </c>
      <c r="F12740">
        <v>5.3999999999999999E-2</v>
      </c>
      <c r="H12740" t="s">
        <v>8580</v>
      </c>
      <c r="I12740">
        <v>360</v>
      </c>
      <c r="J12740" t="s">
        <v>450</v>
      </c>
      <c r="M12740">
        <v>0</v>
      </c>
    </row>
    <row r="12741" spans="1:13">
      <c r="A12741">
        <v>82909541</v>
      </c>
      <c r="B12741">
        <v>2020558</v>
      </c>
      <c r="C12741" t="s">
        <v>17754</v>
      </c>
      <c r="D12741" t="s">
        <v>442</v>
      </c>
      <c r="F12741">
        <v>0.67</v>
      </c>
      <c r="I12741">
        <v>360</v>
      </c>
      <c r="J12741" t="s">
        <v>450</v>
      </c>
      <c r="M12741">
        <v>0</v>
      </c>
    </row>
    <row r="12742" spans="1:13">
      <c r="A12742">
        <v>82909542</v>
      </c>
      <c r="B12742">
        <v>2020318</v>
      </c>
      <c r="C12742" t="s">
        <v>17755</v>
      </c>
      <c r="D12742" t="s">
        <v>442</v>
      </c>
      <c r="F12742">
        <v>0.27</v>
      </c>
      <c r="I12742">
        <v>360</v>
      </c>
      <c r="J12742" t="s">
        <v>450</v>
      </c>
      <c r="M12742">
        <v>0</v>
      </c>
    </row>
    <row r="12743" spans="1:13">
      <c r="A12743">
        <v>82909544</v>
      </c>
      <c r="B12743">
        <v>2020658</v>
      </c>
      <c r="C12743" t="s">
        <v>17756</v>
      </c>
      <c r="D12743" t="s">
        <v>442</v>
      </c>
      <c r="F12743">
        <v>0.124</v>
      </c>
      <c r="H12743" t="s">
        <v>8950</v>
      </c>
      <c r="I12743">
        <v>360</v>
      </c>
      <c r="J12743" t="s">
        <v>450</v>
      </c>
      <c r="M12743">
        <v>0</v>
      </c>
    </row>
    <row r="12744" spans="1:13">
      <c r="A12744">
        <v>82909545</v>
      </c>
      <c r="B12744">
        <v>2013085</v>
      </c>
      <c r="C12744" t="s">
        <v>17757</v>
      </c>
      <c r="D12744" t="s">
        <v>442</v>
      </c>
      <c r="F12744">
        <v>0.5</v>
      </c>
      <c r="H12744" t="s">
        <v>8584</v>
      </c>
      <c r="I12744">
        <v>720</v>
      </c>
      <c r="J12744" t="s">
        <v>450</v>
      </c>
      <c r="M12744">
        <v>0</v>
      </c>
    </row>
    <row r="12745" spans="1:13">
      <c r="A12745">
        <v>82909546</v>
      </c>
      <c r="B12745">
        <v>2020722</v>
      </c>
      <c r="C12745" t="s">
        <v>17758</v>
      </c>
      <c r="D12745" t="s">
        <v>442</v>
      </c>
      <c r="F12745">
        <v>0.19</v>
      </c>
      <c r="H12745" t="s">
        <v>8634</v>
      </c>
      <c r="I12745">
        <v>360</v>
      </c>
      <c r="J12745" t="s">
        <v>450</v>
      </c>
      <c r="M12745">
        <v>0</v>
      </c>
    </row>
    <row r="12746" spans="1:13">
      <c r="A12746">
        <v>82909547</v>
      </c>
      <c r="B12746">
        <v>2020723</v>
      </c>
      <c r="C12746" t="s">
        <v>17759</v>
      </c>
      <c r="D12746" t="s">
        <v>442</v>
      </c>
      <c r="F12746">
        <v>0</v>
      </c>
      <c r="H12746" t="s">
        <v>8634</v>
      </c>
      <c r="I12746">
        <v>360</v>
      </c>
      <c r="J12746" t="s">
        <v>450</v>
      </c>
      <c r="M12746">
        <v>0</v>
      </c>
    </row>
    <row r="12747" spans="1:13">
      <c r="A12747">
        <v>82909548</v>
      </c>
      <c r="B12747">
        <v>2020739</v>
      </c>
      <c r="C12747" t="s">
        <v>17760</v>
      </c>
      <c r="D12747" t="s">
        <v>442</v>
      </c>
      <c r="F12747">
        <v>1</v>
      </c>
      <c r="H12747" t="s">
        <v>8584</v>
      </c>
      <c r="I12747">
        <v>360</v>
      </c>
      <c r="J12747" t="s">
        <v>450</v>
      </c>
      <c r="M12747">
        <v>0</v>
      </c>
    </row>
    <row r="12748" spans="1:13">
      <c r="A12748">
        <v>82909549</v>
      </c>
      <c r="B12748">
        <v>2020740</v>
      </c>
      <c r="C12748" t="s">
        <v>17761</v>
      </c>
      <c r="D12748" t="s">
        <v>442</v>
      </c>
      <c r="F12748">
        <v>0.98</v>
      </c>
      <c r="H12748" t="s">
        <v>8584</v>
      </c>
      <c r="I12748">
        <v>360</v>
      </c>
      <c r="J12748" t="s">
        <v>450</v>
      </c>
      <c r="M12748">
        <v>0</v>
      </c>
    </row>
    <row r="12749" spans="1:13">
      <c r="A12749">
        <v>82909551</v>
      </c>
      <c r="B12749">
        <v>2020774</v>
      </c>
      <c r="C12749" t="s">
        <v>17762</v>
      </c>
      <c r="D12749" t="s">
        <v>442</v>
      </c>
      <c r="F12749">
        <v>7.0000000000000007E-2</v>
      </c>
      <c r="H12749" t="s">
        <v>8580</v>
      </c>
      <c r="I12749">
        <v>360</v>
      </c>
      <c r="J12749" t="s">
        <v>450</v>
      </c>
      <c r="M12749">
        <v>0</v>
      </c>
    </row>
    <row r="12750" spans="1:13">
      <c r="A12750">
        <v>82909552</v>
      </c>
      <c r="B12750">
        <v>2020775</v>
      </c>
      <c r="C12750" t="s">
        <v>17763</v>
      </c>
      <c r="D12750" t="s">
        <v>442</v>
      </c>
      <c r="F12750">
        <v>0.17100000000000001</v>
      </c>
      <c r="H12750" t="s">
        <v>8584</v>
      </c>
      <c r="I12750">
        <v>360</v>
      </c>
      <c r="J12750" t="s">
        <v>450</v>
      </c>
      <c r="M12750">
        <v>0</v>
      </c>
    </row>
    <row r="12751" spans="1:13">
      <c r="A12751">
        <v>82909600</v>
      </c>
      <c r="B12751">
        <v>2007925</v>
      </c>
      <c r="C12751" t="s">
        <v>17212</v>
      </c>
      <c r="D12751" t="s">
        <v>442</v>
      </c>
      <c r="F12751">
        <v>0.1</v>
      </c>
      <c r="H12751" t="s">
        <v>13782</v>
      </c>
      <c r="I12751">
        <v>360</v>
      </c>
      <c r="J12751" t="s">
        <v>450</v>
      </c>
      <c r="M12751">
        <v>0</v>
      </c>
    </row>
    <row r="12752" spans="1:13">
      <c r="A12752">
        <v>82909601</v>
      </c>
      <c r="B12752">
        <v>2020773</v>
      </c>
      <c r="C12752" t="s">
        <v>17764</v>
      </c>
      <c r="D12752" t="s">
        <v>442</v>
      </c>
      <c r="F12752">
        <v>3.1E-2</v>
      </c>
      <c r="H12752" t="s">
        <v>8584</v>
      </c>
      <c r="I12752">
        <v>360</v>
      </c>
      <c r="J12752" t="s">
        <v>450</v>
      </c>
      <c r="M12752">
        <v>0</v>
      </c>
    </row>
    <row r="12753" spans="1:14">
      <c r="A12753">
        <v>82909602</v>
      </c>
      <c r="B12753">
        <v>2020823</v>
      </c>
      <c r="C12753" t="s">
        <v>17765</v>
      </c>
      <c r="D12753" t="s">
        <v>442</v>
      </c>
      <c r="F12753">
        <v>7.8E-2</v>
      </c>
      <c r="H12753" t="s">
        <v>8584</v>
      </c>
      <c r="I12753">
        <v>360</v>
      </c>
      <c r="J12753" t="s">
        <v>450</v>
      </c>
      <c r="M12753">
        <v>0</v>
      </c>
    </row>
    <row r="12754" spans="1:14">
      <c r="A12754">
        <v>82909604</v>
      </c>
      <c r="B12754">
        <v>2020821</v>
      </c>
      <c r="C12754" t="s">
        <v>17766</v>
      </c>
      <c r="D12754" t="s">
        <v>442</v>
      </c>
      <c r="F12754">
        <v>2.62</v>
      </c>
      <c r="H12754" t="s">
        <v>8584</v>
      </c>
      <c r="I12754">
        <v>360</v>
      </c>
      <c r="J12754" t="s">
        <v>450</v>
      </c>
      <c r="M12754">
        <v>0</v>
      </c>
    </row>
    <row r="12755" spans="1:14">
      <c r="A12755">
        <v>82909605</v>
      </c>
      <c r="B12755">
        <v>2020822</v>
      </c>
      <c r="C12755" t="s">
        <v>17767</v>
      </c>
      <c r="D12755" t="s">
        <v>442</v>
      </c>
      <c r="F12755">
        <v>0.93</v>
      </c>
      <c r="H12755" t="s">
        <v>8584</v>
      </c>
      <c r="I12755">
        <v>360</v>
      </c>
      <c r="J12755" t="s">
        <v>450</v>
      </c>
      <c r="M12755">
        <v>0</v>
      </c>
    </row>
    <row r="12756" spans="1:14">
      <c r="A12756">
        <v>82909606</v>
      </c>
      <c r="B12756">
        <v>2020830</v>
      </c>
      <c r="C12756" t="s">
        <v>17768</v>
      </c>
      <c r="D12756" t="s">
        <v>442</v>
      </c>
      <c r="F12756">
        <v>0.19600000000000001</v>
      </c>
      <c r="H12756" t="s">
        <v>8584</v>
      </c>
      <c r="I12756">
        <v>360</v>
      </c>
      <c r="J12756" t="s">
        <v>450</v>
      </c>
      <c r="M12756">
        <v>0</v>
      </c>
    </row>
    <row r="12757" spans="1:14">
      <c r="A12757">
        <v>82909607</v>
      </c>
      <c r="B12757">
        <v>2020836</v>
      </c>
      <c r="C12757" t="s">
        <v>17769</v>
      </c>
      <c r="D12757" t="s">
        <v>442</v>
      </c>
      <c r="F12757">
        <v>8.5999999999999993E-2</v>
      </c>
      <c r="H12757" t="s">
        <v>8584</v>
      </c>
      <c r="I12757">
        <v>360</v>
      </c>
      <c r="J12757" t="s">
        <v>450</v>
      </c>
      <c r="M12757">
        <v>0</v>
      </c>
    </row>
    <row r="12758" spans="1:14">
      <c r="A12758">
        <v>82909608</v>
      </c>
      <c r="B12758">
        <v>2020861</v>
      </c>
      <c r="C12758" t="s">
        <v>17770</v>
      </c>
      <c r="D12758" t="s">
        <v>442</v>
      </c>
      <c r="F12758">
        <v>0.10100000000000001</v>
      </c>
      <c r="H12758" t="s">
        <v>8580</v>
      </c>
      <c r="I12758">
        <v>360</v>
      </c>
      <c r="J12758" t="s">
        <v>450</v>
      </c>
      <c r="M12758">
        <v>0</v>
      </c>
    </row>
    <row r="12759" spans="1:14">
      <c r="A12759">
        <v>82980075</v>
      </c>
      <c r="B12759">
        <v>3018365</v>
      </c>
      <c r="C12759" t="s">
        <v>13976</v>
      </c>
      <c r="D12759" t="s">
        <v>441</v>
      </c>
      <c r="F12759">
        <v>0</v>
      </c>
      <c r="G12759">
        <v>1.39</v>
      </c>
      <c r="H12759" t="s">
        <v>8549</v>
      </c>
      <c r="I12759">
        <v>365</v>
      </c>
      <c r="J12759" t="s">
        <v>445</v>
      </c>
      <c r="K12759" t="s">
        <v>446</v>
      </c>
      <c r="M12759">
        <v>3122</v>
      </c>
    </row>
    <row r="12760" spans="1:14">
      <c r="A12760">
        <v>82999000</v>
      </c>
      <c r="B12760">
        <v>8200236</v>
      </c>
      <c r="C12760" t="s">
        <v>13977</v>
      </c>
      <c r="D12760" t="s">
        <v>441</v>
      </c>
      <c r="F12760">
        <v>0</v>
      </c>
      <c r="G12760">
        <v>0</v>
      </c>
      <c r="H12760" t="s">
        <v>8580</v>
      </c>
      <c r="I12760">
        <v>0</v>
      </c>
      <c r="J12760" t="s">
        <v>469</v>
      </c>
      <c r="M12760">
        <v>0</v>
      </c>
    </row>
    <row r="12761" spans="1:14">
      <c r="A12761">
        <v>83000100</v>
      </c>
      <c r="B12761">
        <v>2102825</v>
      </c>
      <c r="C12761" t="s">
        <v>8577</v>
      </c>
      <c r="D12761" t="s">
        <v>441</v>
      </c>
      <c r="F12761">
        <v>0</v>
      </c>
      <c r="H12761" t="s">
        <v>8584</v>
      </c>
      <c r="I12761">
        <v>365</v>
      </c>
      <c r="J12761" t="s">
        <v>458</v>
      </c>
      <c r="M12761">
        <v>0</v>
      </c>
    </row>
    <row r="12762" spans="1:14">
      <c r="A12762">
        <v>83000200</v>
      </c>
      <c r="B12762">
        <v>2102829</v>
      </c>
      <c r="C12762" t="s">
        <v>13978</v>
      </c>
      <c r="D12762" t="s">
        <v>441</v>
      </c>
      <c r="F12762">
        <v>0</v>
      </c>
      <c r="H12762" t="s">
        <v>8584</v>
      </c>
      <c r="I12762">
        <v>365</v>
      </c>
      <c r="J12762" t="s">
        <v>458</v>
      </c>
      <c r="K12762" t="s">
        <v>446</v>
      </c>
      <c r="M12762">
        <v>0</v>
      </c>
    </row>
    <row r="12763" spans="1:14">
      <c r="A12763">
        <v>83000500</v>
      </c>
      <c r="B12763">
        <v>2102826</v>
      </c>
      <c r="C12763" t="s">
        <v>452</v>
      </c>
      <c r="D12763" t="s">
        <v>441</v>
      </c>
      <c r="F12763">
        <v>0</v>
      </c>
      <c r="H12763" t="s">
        <v>8580</v>
      </c>
      <c r="I12763">
        <v>720</v>
      </c>
      <c r="J12763" t="s">
        <v>458</v>
      </c>
      <c r="M12763">
        <v>0</v>
      </c>
    </row>
    <row r="12764" spans="1:14">
      <c r="A12764">
        <v>83000900</v>
      </c>
      <c r="B12764">
        <v>2102823</v>
      </c>
      <c r="C12764" t="s">
        <v>13979</v>
      </c>
      <c r="D12764" t="s">
        <v>442</v>
      </c>
      <c r="E12764" t="s">
        <v>441</v>
      </c>
      <c r="F12764">
        <v>6</v>
      </c>
      <c r="H12764" t="s">
        <v>8624</v>
      </c>
      <c r="I12764">
        <v>730</v>
      </c>
      <c r="J12764" t="s">
        <v>458</v>
      </c>
      <c r="M12764">
        <v>0</v>
      </c>
    </row>
    <row r="12765" spans="1:14">
      <c r="A12765">
        <v>83001000</v>
      </c>
      <c r="B12765">
        <v>2102844</v>
      </c>
      <c r="C12765" t="s">
        <v>8582</v>
      </c>
      <c r="D12765" t="s">
        <v>442</v>
      </c>
      <c r="E12765" t="s">
        <v>441</v>
      </c>
      <c r="F12765">
        <v>7</v>
      </c>
      <c r="H12765" t="s">
        <v>8580</v>
      </c>
      <c r="I12765">
        <v>730</v>
      </c>
      <c r="J12765" t="s">
        <v>458</v>
      </c>
      <c r="M12765">
        <v>0</v>
      </c>
    </row>
    <row r="12766" spans="1:14">
      <c r="A12766">
        <v>83200300</v>
      </c>
      <c r="B12766">
        <v>2100389</v>
      </c>
      <c r="C12766" t="s">
        <v>5975</v>
      </c>
      <c r="D12766" t="s">
        <v>441</v>
      </c>
      <c r="F12766">
        <v>0</v>
      </c>
      <c r="H12766" t="s">
        <v>8580</v>
      </c>
      <c r="I12766">
        <v>365</v>
      </c>
      <c r="J12766" t="s">
        <v>458</v>
      </c>
      <c r="M12766">
        <v>0</v>
      </c>
    </row>
    <row r="12767" spans="1:14">
      <c r="A12767">
        <v>84000100</v>
      </c>
      <c r="B12767">
        <v>3041976</v>
      </c>
      <c r="C12767" t="s">
        <v>15624</v>
      </c>
      <c r="D12767" t="s">
        <v>449</v>
      </c>
      <c r="E12767" t="s">
        <v>441</v>
      </c>
      <c r="F12767">
        <v>1.0999999999999999E-2</v>
      </c>
      <c r="G12767">
        <v>0.52</v>
      </c>
      <c r="H12767" t="s">
        <v>8549</v>
      </c>
      <c r="I12767">
        <v>540</v>
      </c>
      <c r="J12767" t="s">
        <v>445</v>
      </c>
      <c r="L12767" t="s">
        <v>15697</v>
      </c>
      <c r="M12767">
        <v>2123</v>
      </c>
      <c r="N12767" t="s">
        <v>16270</v>
      </c>
    </row>
    <row r="12768" spans="1:14">
      <c r="A12768">
        <v>84000110</v>
      </c>
      <c r="B12768">
        <v>3044760</v>
      </c>
      <c r="C12768" t="s">
        <v>15447</v>
      </c>
      <c r="D12768" t="s">
        <v>449</v>
      </c>
      <c r="E12768" t="s">
        <v>441</v>
      </c>
      <c r="F12768">
        <v>1.0999999999999999E-2</v>
      </c>
      <c r="G12768">
        <v>0.43</v>
      </c>
      <c r="H12768" t="s">
        <v>8549</v>
      </c>
      <c r="I12768">
        <v>540</v>
      </c>
      <c r="J12768" t="s">
        <v>445</v>
      </c>
      <c r="L12768" t="s">
        <v>15698</v>
      </c>
      <c r="M12768">
        <v>2123</v>
      </c>
      <c r="N12768" t="s">
        <v>16270</v>
      </c>
    </row>
    <row r="12769" spans="1:14">
      <c r="A12769">
        <v>84000200</v>
      </c>
      <c r="B12769">
        <v>3042057</v>
      </c>
      <c r="C12769" t="s">
        <v>15393</v>
      </c>
      <c r="D12769" t="s">
        <v>449</v>
      </c>
      <c r="E12769" t="s">
        <v>441</v>
      </c>
      <c r="F12769">
        <v>1.0999999999999999E-2</v>
      </c>
      <c r="G12769">
        <v>0.47</v>
      </c>
      <c r="H12769" t="s">
        <v>8549</v>
      </c>
      <c r="I12769">
        <v>540</v>
      </c>
      <c r="J12769" t="s">
        <v>445</v>
      </c>
      <c r="L12769" t="s">
        <v>15699</v>
      </c>
      <c r="M12769">
        <v>2123</v>
      </c>
      <c r="N12769" t="s">
        <v>16270</v>
      </c>
    </row>
    <row r="12770" spans="1:14">
      <c r="A12770">
        <v>84000300</v>
      </c>
      <c r="B12770">
        <v>3042331</v>
      </c>
      <c r="C12770" t="s">
        <v>15625</v>
      </c>
      <c r="D12770" t="s">
        <v>449</v>
      </c>
      <c r="E12770" t="s">
        <v>441</v>
      </c>
      <c r="F12770">
        <v>1.0999999999999999E-2</v>
      </c>
      <c r="G12770">
        <v>0.38</v>
      </c>
      <c r="H12770" t="s">
        <v>8549</v>
      </c>
      <c r="I12770">
        <v>540</v>
      </c>
      <c r="J12770" t="s">
        <v>445</v>
      </c>
      <c r="L12770" t="s">
        <v>15700</v>
      </c>
      <c r="M12770">
        <v>2123</v>
      </c>
      <c r="N12770" t="s">
        <v>16270</v>
      </c>
    </row>
    <row r="12771" spans="1:14">
      <c r="A12771">
        <v>84000400</v>
      </c>
      <c r="B12771">
        <v>2000795</v>
      </c>
      <c r="C12771" t="s">
        <v>5976</v>
      </c>
      <c r="D12771" t="s">
        <v>449</v>
      </c>
      <c r="E12771" t="s">
        <v>441</v>
      </c>
      <c r="F12771">
        <v>0.01</v>
      </c>
      <c r="H12771" t="s">
        <v>8574</v>
      </c>
      <c r="I12771">
        <v>90</v>
      </c>
      <c r="J12771" t="s">
        <v>450</v>
      </c>
      <c r="K12771" t="s">
        <v>446</v>
      </c>
      <c r="M12771">
        <v>7123</v>
      </c>
    </row>
    <row r="12772" spans="1:14">
      <c r="A12772">
        <v>84000500</v>
      </c>
      <c r="B12772">
        <v>3043744</v>
      </c>
      <c r="C12772" t="s">
        <v>15626</v>
      </c>
      <c r="D12772" t="s">
        <v>449</v>
      </c>
      <c r="E12772" t="s">
        <v>441</v>
      </c>
      <c r="F12772">
        <v>1.0999999999999999E-2</v>
      </c>
      <c r="G12772">
        <v>0.47</v>
      </c>
      <c r="H12772" t="s">
        <v>8549</v>
      </c>
      <c r="I12772">
        <v>540</v>
      </c>
      <c r="J12772" t="s">
        <v>445</v>
      </c>
      <c r="L12772" t="s">
        <v>15701</v>
      </c>
      <c r="M12772">
        <v>2123</v>
      </c>
      <c r="N12772" t="s">
        <v>16270</v>
      </c>
    </row>
    <row r="12773" spans="1:14">
      <c r="A12773">
        <v>84000600</v>
      </c>
      <c r="B12773">
        <v>3043745</v>
      </c>
      <c r="C12773" t="s">
        <v>15627</v>
      </c>
      <c r="D12773" t="s">
        <v>449</v>
      </c>
      <c r="E12773" t="s">
        <v>441</v>
      </c>
      <c r="F12773">
        <v>1.0999999999999999E-2</v>
      </c>
      <c r="G12773">
        <v>0.38</v>
      </c>
      <c r="H12773" t="s">
        <v>8549</v>
      </c>
      <c r="I12773">
        <v>540</v>
      </c>
      <c r="J12773" t="s">
        <v>445</v>
      </c>
      <c r="L12773" t="s">
        <v>15702</v>
      </c>
      <c r="M12773">
        <v>2123</v>
      </c>
      <c r="N12773" t="s">
        <v>16270</v>
      </c>
    </row>
    <row r="12774" spans="1:14">
      <c r="A12774">
        <v>84000700</v>
      </c>
      <c r="B12774">
        <v>3043748</v>
      </c>
      <c r="C12774" t="s">
        <v>15628</v>
      </c>
      <c r="D12774" t="s">
        <v>449</v>
      </c>
      <c r="E12774" t="s">
        <v>441</v>
      </c>
      <c r="F12774">
        <v>1.0999999999999999E-2</v>
      </c>
      <c r="G12774">
        <v>0.38</v>
      </c>
      <c r="H12774" t="s">
        <v>8549</v>
      </c>
      <c r="I12774">
        <v>540</v>
      </c>
      <c r="J12774" t="s">
        <v>445</v>
      </c>
      <c r="L12774" t="s">
        <v>15703</v>
      </c>
      <c r="M12774">
        <v>2123</v>
      </c>
      <c r="N12774" t="s">
        <v>16270</v>
      </c>
    </row>
    <row r="12775" spans="1:14">
      <c r="A12775">
        <v>84000710</v>
      </c>
      <c r="B12775">
        <v>3044761</v>
      </c>
      <c r="C12775" t="s">
        <v>15704</v>
      </c>
      <c r="D12775" t="s">
        <v>449</v>
      </c>
      <c r="E12775" t="s">
        <v>441</v>
      </c>
      <c r="F12775">
        <v>1.0999999999999999E-2</v>
      </c>
      <c r="G12775">
        <v>0.47</v>
      </c>
      <c r="H12775" t="s">
        <v>8549</v>
      </c>
      <c r="I12775">
        <v>540</v>
      </c>
      <c r="J12775" t="s">
        <v>445</v>
      </c>
      <c r="L12775" t="s">
        <v>15705</v>
      </c>
      <c r="M12775">
        <v>2123</v>
      </c>
      <c r="N12775" t="s">
        <v>16270</v>
      </c>
    </row>
    <row r="12776" spans="1:14">
      <c r="A12776">
        <v>84000720</v>
      </c>
      <c r="B12776">
        <v>3045273</v>
      </c>
      <c r="C12776" t="s">
        <v>15706</v>
      </c>
      <c r="D12776" t="s">
        <v>449</v>
      </c>
      <c r="E12776" t="s">
        <v>441</v>
      </c>
      <c r="F12776">
        <v>1.0999999999999999E-2</v>
      </c>
      <c r="G12776">
        <v>0.43</v>
      </c>
      <c r="H12776" t="s">
        <v>8549</v>
      </c>
      <c r="I12776">
        <v>540</v>
      </c>
      <c r="J12776" t="s">
        <v>445</v>
      </c>
      <c r="L12776" t="s">
        <v>15707</v>
      </c>
      <c r="M12776">
        <v>2123</v>
      </c>
      <c r="N12776" t="s">
        <v>16270</v>
      </c>
    </row>
    <row r="12777" spans="1:14">
      <c r="A12777">
        <v>84000800</v>
      </c>
      <c r="B12777">
        <v>3043747</v>
      </c>
      <c r="C12777" t="s">
        <v>15708</v>
      </c>
      <c r="D12777" t="s">
        <v>449</v>
      </c>
      <c r="E12777" t="s">
        <v>441</v>
      </c>
      <c r="F12777">
        <v>1.0999999999999999E-2</v>
      </c>
      <c r="G12777">
        <v>1.25</v>
      </c>
      <c r="H12777" t="s">
        <v>8549</v>
      </c>
      <c r="I12777">
        <v>540</v>
      </c>
      <c r="J12777" t="s">
        <v>445</v>
      </c>
      <c r="L12777" t="s">
        <v>15709</v>
      </c>
      <c r="M12777">
        <v>2123</v>
      </c>
      <c r="N12777" t="s">
        <v>16270</v>
      </c>
    </row>
    <row r="12778" spans="1:14">
      <c r="A12778">
        <v>84000810</v>
      </c>
      <c r="B12778">
        <v>3044758</v>
      </c>
      <c r="C12778" t="s">
        <v>15710</v>
      </c>
      <c r="D12778" t="s">
        <v>449</v>
      </c>
      <c r="E12778" t="s">
        <v>441</v>
      </c>
      <c r="F12778">
        <v>1.0999999999999999E-2</v>
      </c>
      <c r="G12778">
        <v>0.47</v>
      </c>
      <c r="H12778" t="s">
        <v>8549</v>
      </c>
      <c r="I12778">
        <v>540</v>
      </c>
      <c r="J12778" t="s">
        <v>445</v>
      </c>
      <c r="L12778" t="s">
        <v>15711</v>
      </c>
      <c r="M12778">
        <v>2123</v>
      </c>
      <c r="N12778" t="s">
        <v>16270</v>
      </c>
    </row>
    <row r="12779" spans="1:14">
      <c r="A12779">
        <v>84000820</v>
      </c>
      <c r="B12779">
        <v>3045279</v>
      </c>
      <c r="C12779" t="s">
        <v>15940</v>
      </c>
      <c r="D12779" t="s">
        <v>449</v>
      </c>
      <c r="E12779" t="s">
        <v>441</v>
      </c>
      <c r="F12779">
        <v>1.0999999999999999E-2</v>
      </c>
      <c r="G12779">
        <v>0.45</v>
      </c>
      <c r="H12779" t="s">
        <v>8549</v>
      </c>
      <c r="I12779">
        <v>540</v>
      </c>
      <c r="J12779" t="s">
        <v>445</v>
      </c>
      <c r="L12779" t="s">
        <v>15712</v>
      </c>
      <c r="M12779">
        <v>2123</v>
      </c>
      <c r="N12779" t="s">
        <v>16270</v>
      </c>
    </row>
    <row r="12780" spans="1:14">
      <c r="A12780">
        <v>84000900</v>
      </c>
      <c r="B12780">
        <v>3043750</v>
      </c>
      <c r="C12780" t="s">
        <v>17213</v>
      </c>
      <c r="D12780" t="s">
        <v>449</v>
      </c>
      <c r="E12780" t="s">
        <v>441</v>
      </c>
      <c r="F12780">
        <v>1.0999999999999999E-2</v>
      </c>
      <c r="G12780">
        <v>0.38</v>
      </c>
      <c r="H12780" t="s">
        <v>8549</v>
      </c>
      <c r="I12780">
        <v>540</v>
      </c>
      <c r="J12780" t="s">
        <v>445</v>
      </c>
      <c r="L12780" t="s">
        <v>15713</v>
      </c>
      <c r="M12780">
        <v>2123</v>
      </c>
      <c r="N12780" t="s">
        <v>16270</v>
      </c>
    </row>
    <row r="12781" spans="1:14">
      <c r="A12781">
        <v>84000910</v>
      </c>
      <c r="B12781">
        <v>3044759</v>
      </c>
      <c r="C12781" t="s">
        <v>17214</v>
      </c>
      <c r="D12781" t="s">
        <v>449</v>
      </c>
      <c r="E12781" t="s">
        <v>441</v>
      </c>
      <c r="F12781">
        <v>1.0999999999999999E-2</v>
      </c>
      <c r="G12781">
        <v>0.34</v>
      </c>
      <c r="H12781" t="s">
        <v>8549</v>
      </c>
      <c r="I12781">
        <v>540</v>
      </c>
      <c r="J12781" t="s">
        <v>445</v>
      </c>
      <c r="L12781" t="s">
        <v>15714</v>
      </c>
      <c r="M12781">
        <v>2123</v>
      </c>
      <c r="N12781" t="s">
        <v>16270</v>
      </c>
    </row>
    <row r="12782" spans="1:14">
      <c r="A12782">
        <v>84001000</v>
      </c>
      <c r="B12782">
        <v>3043749</v>
      </c>
      <c r="C12782" t="s">
        <v>15715</v>
      </c>
      <c r="D12782" t="s">
        <v>449</v>
      </c>
      <c r="E12782" t="s">
        <v>441</v>
      </c>
      <c r="F12782">
        <v>1.0999999999999999E-2</v>
      </c>
      <c r="G12782">
        <v>0.38</v>
      </c>
      <c r="H12782" t="s">
        <v>8549</v>
      </c>
      <c r="I12782">
        <v>540</v>
      </c>
      <c r="J12782" t="s">
        <v>445</v>
      </c>
      <c r="L12782" t="s">
        <v>15716</v>
      </c>
      <c r="M12782">
        <v>2123</v>
      </c>
      <c r="N12782" t="s">
        <v>16270</v>
      </c>
    </row>
    <row r="12783" spans="1:14">
      <c r="A12783">
        <v>84001010</v>
      </c>
      <c r="B12783">
        <v>3044762</v>
      </c>
      <c r="C12783" t="s">
        <v>15448</v>
      </c>
      <c r="D12783" t="s">
        <v>449</v>
      </c>
      <c r="E12783" t="s">
        <v>441</v>
      </c>
      <c r="F12783">
        <v>1.0999999999999999E-2</v>
      </c>
      <c r="G12783">
        <v>0.43</v>
      </c>
      <c r="H12783" t="s">
        <v>8549</v>
      </c>
      <c r="I12783">
        <v>540</v>
      </c>
      <c r="J12783" t="s">
        <v>445</v>
      </c>
      <c r="L12783" t="s">
        <v>15717</v>
      </c>
      <c r="M12783">
        <v>2123</v>
      </c>
      <c r="N12783" t="s">
        <v>16270</v>
      </c>
    </row>
    <row r="12784" spans="1:14">
      <c r="A12784">
        <v>84001100</v>
      </c>
      <c r="B12784">
        <v>3043746</v>
      </c>
      <c r="C12784" t="s">
        <v>15629</v>
      </c>
      <c r="D12784" t="s">
        <v>449</v>
      </c>
      <c r="E12784" t="s">
        <v>441</v>
      </c>
      <c r="F12784">
        <v>1.0999999999999999E-2</v>
      </c>
      <c r="G12784">
        <v>0.47</v>
      </c>
      <c r="H12784" t="s">
        <v>8549</v>
      </c>
      <c r="I12784">
        <v>540</v>
      </c>
      <c r="J12784" t="s">
        <v>445</v>
      </c>
      <c r="L12784" t="s">
        <v>15699</v>
      </c>
      <c r="M12784">
        <v>2123</v>
      </c>
      <c r="N12784" t="s">
        <v>16270</v>
      </c>
    </row>
    <row r="12785" spans="1:13">
      <c r="A12785">
        <v>84001600</v>
      </c>
      <c r="B12785">
        <v>2000797</v>
      </c>
      <c r="C12785" t="s">
        <v>5977</v>
      </c>
      <c r="D12785" t="s">
        <v>449</v>
      </c>
      <c r="E12785" t="s">
        <v>441</v>
      </c>
      <c r="F12785">
        <v>0.01</v>
      </c>
      <c r="H12785" t="s">
        <v>8574</v>
      </c>
      <c r="I12785">
        <v>45</v>
      </c>
      <c r="J12785" t="s">
        <v>450</v>
      </c>
      <c r="K12785" t="s">
        <v>446</v>
      </c>
      <c r="M12785">
        <v>7123</v>
      </c>
    </row>
    <row r="12786" spans="1:13">
      <c r="A12786">
        <v>84002600</v>
      </c>
      <c r="B12786">
        <v>2002809</v>
      </c>
      <c r="C12786" t="s">
        <v>342</v>
      </c>
      <c r="D12786" t="s">
        <v>449</v>
      </c>
      <c r="E12786" t="s">
        <v>441</v>
      </c>
      <c r="F12786">
        <v>0.01</v>
      </c>
      <c r="G12786">
        <v>0</v>
      </c>
      <c r="H12786" t="s">
        <v>8574</v>
      </c>
      <c r="I12786">
        <v>360</v>
      </c>
      <c r="J12786" t="s">
        <v>450</v>
      </c>
      <c r="M12786">
        <v>7123</v>
      </c>
    </row>
    <row r="12787" spans="1:13">
      <c r="A12787">
        <v>84002699</v>
      </c>
      <c r="B12787">
        <v>2003336</v>
      </c>
      <c r="C12787" t="s">
        <v>5978</v>
      </c>
      <c r="D12787" t="s">
        <v>442</v>
      </c>
      <c r="E12787" t="s">
        <v>441</v>
      </c>
      <c r="F12787">
        <v>0.08</v>
      </c>
      <c r="H12787" t="s">
        <v>13782</v>
      </c>
      <c r="I12787">
        <v>730</v>
      </c>
      <c r="J12787" t="s">
        <v>450</v>
      </c>
      <c r="K12787" t="s">
        <v>446</v>
      </c>
      <c r="M12787">
        <v>0</v>
      </c>
    </row>
    <row r="12788" spans="1:13">
      <c r="A12788">
        <v>84005000</v>
      </c>
      <c r="B12788">
        <v>2101034</v>
      </c>
      <c r="C12788" t="s">
        <v>13755</v>
      </c>
      <c r="D12788" t="s">
        <v>441</v>
      </c>
      <c r="F12788">
        <v>0</v>
      </c>
      <c r="I12788">
        <v>360</v>
      </c>
      <c r="J12788" t="s">
        <v>458</v>
      </c>
      <c r="M12788">
        <v>0</v>
      </c>
    </row>
    <row r="12789" spans="1:13">
      <c r="A12789">
        <v>84006600</v>
      </c>
      <c r="B12789">
        <v>2001803</v>
      </c>
      <c r="C12789" t="s">
        <v>5979</v>
      </c>
      <c r="D12789" t="s">
        <v>449</v>
      </c>
      <c r="E12789" t="s">
        <v>441</v>
      </c>
      <c r="F12789">
        <v>0.01</v>
      </c>
      <c r="H12789" t="s">
        <v>8574</v>
      </c>
      <c r="I12789">
        <v>200</v>
      </c>
      <c r="J12789" t="s">
        <v>450</v>
      </c>
      <c r="K12789" t="s">
        <v>446</v>
      </c>
      <c r="M12789">
        <v>0</v>
      </c>
    </row>
    <row r="12790" spans="1:13">
      <c r="A12790">
        <v>84006700</v>
      </c>
      <c r="B12790">
        <v>2002208</v>
      </c>
      <c r="C12790" t="s">
        <v>15449</v>
      </c>
      <c r="D12790" t="s">
        <v>449</v>
      </c>
      <c r="E12790" t="s">
        <v>441</v>
      </c>
      <c r="F12790">
        <v>0.01</v>
      </c>
      <c r="H12790" t="s">
        <v>8574</v>
      </c>
      <c r="I12790">
        <v>180</v>
      </c>
      <c r="J12790" t="s">
        <v>450</v>
      </c>
      <c r="M12790">
        <v>0</v>
      </c>
    </row>
    <row r="12791" spans="1:13">
      <c r="A12791">
        <v>84006800</v>
      </c>
      <c r="B12791">
        <v>2003678</v>
      </c>
      <c r="C12791" t="s">
        <v>5980</v>
      </c>
      <c r="D12791" t="s">
        <v>449</v>
      </c>
      <c r="F12791">
        <v>0</v>
      </c>
      <c r="G12791">
        <v>0</v>
      </c>
      <c r="H12791" t="s">
        <v>8574</v>
      </c>
      <c r="I12791">
        <v>360</v>
      </c>
      <c r="J12791" t="s">
        <v>450</v>
      </c>
      <c r="K12791" t="s">
        <v>446</v>
      </c>
      <c r="M12791">
        <v>7123</v>
      </c>
    </row>
    <row r="12792" spans="1:13">
      <c r="A12792">
        <v>84006900</v>
      </c>
      <c r="B12792">
        <v>2005547</v>
      </c>
      <c r="C12792" t="s">
        <v>343</v>
      </c>
      <c r="D12792" t="s">
        <v>449</v>
      </c>
      <c r="E12792" t="s">
        <v>441</v>
      </c>
      <c r="F12792">
        <v>1E-3</v>
      </c>
      <c r="G12792">
        <v>0</v>
      </c>
      <c r="H12792" t="s">
        <v>8574</v>
      </c>
      <c r="I12792">
        <v>365</v>
      </c>
      <c r="J12792" t="s">
        <v>450</v>
      </c>
      <c r="M12792">
        <v>7123</v>
      </c>
    </row>
    <row r="12793" spans="1:13">
      <c r="A12793">
        <v>84007000</v>
      </c>
      <c r="B12793">
        <v>2006274</v>
      </c>
      <c r="C12793" t="s">
        <v>5981</v>
      </c>
      <c r="D12793" t="s">
        <v>449</v>
      </c>
      <c r="F12793">
        <v>0</v>
      </c>
      <c r="H12793" t="s">
        <v>8574</v>
      </c>
      <c r="I12793">
        <v>45</v>
      </c>
      <c r="J12793" t="s">
        <v>450</v>
      </c>
      <c r="K12793" t="s">
        <v>446</v>
      </c>
      <c r="M12793">
        <v>7123</v>
      </c>
    </row>
    <row r="12794" spans="1:13">
      <c r="A12794">
        <v>84007100</v>
      </c>
      <c r="B12794">
        <v>2002054</v>
      </c>
      <c r="C12794" t="s">
        <v>5982</v>
      </c>
      <c r="D12794" t="s">
        <v>449</v>
      </c>
      <c r="E12794" t="s">
        <v>441</v>
      </c>
      <c r="F12794">
        <v>0.01</v>
      </c>
      <c r="H12794" t="s">
        <v>8574</v>
      </c>
      <c r="I12794">
        <v>540</v>
      </c>
      <c r="J12794" t="s">
        <v>450</v>
      </c>
      <c r="M12794">
        <v>0</v>
      </c>
    </row>
    <row r="12795" spans="1:13">
      <c r="A12795">
        <v>84007200</v>
      </c>
      <c r="B12795">
        <v>2009163</v>
      </c>
      <c r="C12795" t="s">
        <v>415</v>
      </c>
      <c r="D12795" t="s">
        <v>449</v>
      </c>
      <c r="E12795" t="s">
        <v>441</v>
      </c>
      <c r="F12795">
        <v>0.01</v>
      </c>
      <c r="G12795">
        <v>0</v>
      </c>
      <c r="H12795" t="s">
        <v>8580</v>
      </c>
      <c r="I12795">
        <v>360</v>
      </c>
      <c r="J12795" t="s">
        <v>450</v>
      </c>
      <c r="M12795">
        <v>0</v>
      </c>
    </row>
    <row r="12796" spans="1:13">
      <c r="A12796">
        <v>84007300</v>
      </c>
      <c r="B12796">
        <v>2003391</v>
      </c>
      <c r="C12796" t="s">
        <v>5983</v>
      </c>
      <c r="D12796" t="s">
        <v>449</v>
      </c>
      <c r="E12796" t="s">
        <v>441</v>
      </c>
      <c r="F12796">
        <v>0.1</v>
      </c>
      <c r="H12796" t="s">
        <v>8574</v>
      </c>
      <c r="I12796">
        <v>120</v>
      </c>
      <c r="J12796" t="s">
        <v>450</v>
      </c>
      <c r="M12796">
        <v>0</v>
      </c>
    </row>
    <row r="12797" spans="1:13">
      <c r="A12797">
        <v>84007400</v>
      </c>
      <c r="B12797">
        <v>2011842</v>
      </c>
      <c r="C12797" t="s">
        <v>5984</v>
      </c>
      <c r="D12797" t="s">
        <v>449</v>
      </c>
      <c r="E12797" t="s">
        <v>441</v>
      </c>
      <c r="F12797">
        <v>1E-3</v>
      </c>
      <c r="H12797" t="s">
        <v>8580</v>
      </c>
      <c r="I12797">
        <v>90</v>
      </c>
      <c r="J12797" t="s">
        <v>450</v>
      </c>
      <c r="K12797" t="s">
        <v>446</v>
      </c>
      <c r="M12797">
        <v>0</v>
      </c>
    </row>
    <row r="12798" spans="1:13">
      <c r="A12798">
        <v>84007500</v>
      </c>
      <c r="B12798">
        <v>2011904</v>
      </c>
      <c r="C12798" t="s">
        <v>5985</v>
      </c>
      <c r="D12798" t="s">
        <v>449</v>
      </c>
      <c r="E12798" t="s">
        <v>441</v>
      </c>
      <c r="F12798">
        <v>0.01</v>
      </c>
      <c r="H12798" t="s">
        <v>8584</v>
      </c>
      <c r="I12798">
        <v>180</v>
      </c>
      <c r="J12798" t="s">
        <v>450</v>
      </c>
      <c r="K12798" t="s">
        <v>446</v>
      </c>
      <c r="M12798">
        <v>0</v>
      </c>
    </row>
    <row r="12799" spans="1:13">
      <c r="A12799">
        <v>84007600</v>
      </c>
      <c r="B12799">
        <v>2011319</v>
      </c>
      <c r="C12799" t="s">
        <v>14690</v>
      </c>
      <c r="D12799" t="s">
        <v>449</v>
      </c>
      <c r="E12799" t="s">
        <v>441</v>
      </c>
      <c r="F12799">
        <v>0.01</v>
      </c>
      <c r="H12799" t="s">
        <v>8583</v>
      </c>
      <c r="I12799">
        <v>180</v>
      </c>
      <c r="J12799" t="s">
        <v>450</v>
      </c>
      <c r="M12799">
        <v>0</v>
      </c>
    </row>
    <row r="12800" spans="1:13">
      <c r="A12800">
        <v>84007700</v>
      </c>
      <c r="B12800">
        <v>2002212</v>
      </c>
      <c r="C12800" t="s">
        <v>5986</v>
      </c>
      <c r="D12800" t="s">
        <v>449</v>
      </c>
      <c r="E12800" t="s">
        <v>441</v>
      </c>
      <c r="F12800">
        <v>0.1</v>
      </c>
      <c r="H12800" t="s">
        <v>8574</v>
      </c>
      <c r="I12800">
        <v>120</v>
      </c>
      <c r="J12800" t="s">
        <v>450</v>
      </c>
      <c r="M12800">
        <v>0</v>
      </c>
    </row>
    <row r="12801" spans="1:13">
      <c r="A12801">
        <v>84007800</v>
      </c>
      <c r="B12801">
        <v>2014595</v>
      </c>
      <c r="C12801" t="s">
        <v>5987</v>
      </c>
      <c r="D12801" t="s">
        <v>449</v>
      </c>
      <c r="E12801" t="s">
        <v>441</v>
      </c>
      <c r="F12801">
        <v>0.02</v>
      </c>
      <c r="G12801">
        <v>0</v>
      </c>
      <c r="H12801" t="s">
        <v>8580</v>
      </c>
      <c r="I12801">
        <v>730</v>
      </c>
      <c r="J12801" t="s">
        <v>450</v>
      </c>
      <c r="M12801">
        <v>0</v>
      </c>
    </row>
    <row r="12802" spans="1:13">
      <c r="A12802">
        <v>84007900</v>
      </c>
      <c r="B12802">
        <v>2014612</v>
      </c>
      <c r="C12802" t="s">
        <v>5988</v>
      </c>
      <c r="D12802" t="s">
        <v>449</v>
      </c>
      <c r="E12802" t="s">
        <v>441</v>
      </c>
      <c r="F12802">
        <v>0.1</v>
      </c>
      <c r="H12802" t="s">
        <v>8580</v>
      </c>
      <c r="I12802">
        <v>1095</v>
      </c>
      <c r="J12802" t="s">
        <v>450</v>
      </c>
      <c r="M12802">
        <v>0</v>
      </c>
    </row>
    <row r="12803" spans="1:13">
      <c r="A12803">
        <v>84008000</v>
      </c>
      <c r="B12803">
        <v>2015367</v>
      </c>
      <c r="C12803" t="s">
        <v>392</v>
      </c>
      <c r="D12803" t="s">
        <v>441</v>
      </c>
      <c r="F12803">
        <v>0</v>
      </c>
      <c r="H12803" t="s">
        <v>8584</v>
      </c>
      <c r="I12803">
        <v>356</v>
      </c>
      <c r="J12803" t="s">
        <v>450</v>
      </c>
      <c r="M12803">
        <v>0</v>
      </c>
    </row>
    <row r="12804" spans="1:13">
      <c r="A12804">
        <v>84008100</v>
      </c>
      <c r="B12804">
        <v>2015602</v>
      </c>
      <c r="C12804" t="s">
        <v>5989</v>
      </c>
      <c r="D12804" t="s">
        <v>449</v>
      </c>
      <c r="E12804" t="s">
        <v>441</v>
      </c>
      <c r="F12804">
        <v>1E-3</v>
      </c>
      <c r="I12804">
        <v>720</v>
      </c>
      <c r="J12804" t="s">
        <v>450</v>
      </c>
      <c r="M12804">
        <v>0</v>
      </c>
    </row>
    <row r="12805" spans="1:13">
      <c r="A12805">
        <v>84008200</v>
      </c>
      <c r="B12805">
        <v>2015586</v>
      </c>
      <c r="C12805" t="s">
        <v>5990</v>
      </c>
      <c r="D12805" t="s">
        <v>449</v>
      </c>
      <c r="E12805" t="s">
        <v>441</v>
      </c>
      <c r="F12805">
        <v>1E-3</v>
      </c>
      <c r="H12805" t="s">
        <v>8584</v>
      </c>
      <c r="I12805">
        <v>365</v>
      </c>
      <c r="J12805" t="s">
        <v>450</v>
      </c>
      <c r="M12805">
        <v>0</v>
      </c>
    </row>
    <row r="12806" spans="1:13">
      <c r="A12806">
        <v>84008300</v>
      </c>
      <c r="B12806">
        <v>2011144</v>
      </c>
      <c r="C12806" t="s">
        <v>5991</v>
      </c>
      <c r="D12806" t="s">
        <v>449</v>
      </c>
      <c r="E12806" t="s">
        <v>441</v>
      </c>
      <c r="F12806">
        <v>0.01</v>
      </c>
      <c r="H12806" t="s">
        <v>8584</v>
      </c>
      <c r="I12806">
        <v>730</v>
      </c>
      <c r="J12806" t="s">
        <v>450</v>
      </c>
      <c r="M12806">
        <v>0</v>
      </c>
    </row>
    <row r="12807" spans="1:13">
      <c r="A12807">
        <v>84008400</v>
      </c>
      <c r="B12807">
        <v>2016099</v>
      </c>
      <c r="C12807" t="s">
        <v>5992</v>
      </c>
      <c r="D12807" t="s">
        <v>449</v>
      </c>
      <c r="E12807" t="s">
        <v>441</v>
      </c>
      <c r="F12807">
        <v>0.01</v>
      </c>
      <c r="H12807" t="s">
        <v>8580</v>
      </c>
      <c r="I12807">
        <v>180</v>
      </c>
      <c r="J12807" t="s">
        <v>450</v>
      </c>
      <c r="M12807">
        <v>0</v>
      </c>
    </row>
    <row r="12808" spans="1:13">
      <c r="A12808">
        <v>84008410</v>
      </c>
      <c r="B12808">
        <v>2018817</v>
      </c>
      <c r="C12808" t="s">
        <v>402</v>
      </c>
      <c r="D12808" t="s">
        <v>449</v>
      </c>
      <c r="E12808" t="s">
        <v>441</v>
      </c>
      <c r="F12808">
        <v>6.5000000000000002E-2</v>
      </c>
      <c r="H12808" t="s">
        <v>8935</v>
      </c>
      <c r="I12808">
        <v>90</v>
      </c>
      <c r="J12808" t="s">
        <v>450</v>
      </c>
      <c r="M12808">
        <v>0</v>
      </c>
    </row>
    <row r="12809" spans="1:13">
      <c r="A12809">
        <v>84008500</v>
      </c>
      <c r="B12809">
        <v>2018152</v>
      </c>
      <c r="C12809" t="s">
        <v>14686</v>
      </c>
      <c r="D12809" t="s">
        <v>449</v>
      </c>
      <c r="E12809" t="s">
        <v>441</v>
      </c>
      <c r="F12809">
        <v>1.2E-2</v>
      </c>
      <c r="I12809">
        <v>720</v>
      </c>
      <c r="J12809" t="s">
        <v>450</v>
      </c>
      <c r="M12809">
        <v>0</v>
      </c>
    </row>
    <row r="12810" spans="1:13">
      <c r="A12810">
        <v>84008600</v>
      </c>
      <c r="B12810">
        <v>2018154</v>
      </c>
      <c r="C12810" t="s">
        <v>344</v>
      </c>
      <c r="D12810" t="s">
        <v>449</v>
      </c>
      <c r="E12810" t="s">
        <v>441</v>
      </c>
      <c r="F12810">
        <v>1.2E-2</v>
      </c>
      <c r="H12810" t="s">
        <v>8584</v>
      </c>
      <c r="I12810">
        <v>720</v>
      </c>
      <c r="J12810" t="s">
        <v>450</v>
      </c>
      <c r="M12810">
        <v>0</v>
      </c>
    </row>
    <row r="12811" spans="1:13">
      <c r="A12811">
        <v>84008700</v>
      </c>
      <c r="B12811">
        <v>2018153</v>
      </c>
      <c r="C12811" t="s">
        <v>15226</v>
      </c>
      <c r="D12811" t="s">
        <v>449</v>
      </c>
      <c r="E12811" t="s">
        <v>441</v>
      </c>
      <c r="F12811">
        <v>1.2E-2</v>
      </c>
      <c r="H12811" t="s">
        <v>8584</v>
      </c>
      <c r="I12811">
        <v>720</v>
      </c>
      <c r="J12811" t="s">
        <v>450</v>
      </c>
      <c r="M12811">
        <v>0</v>
      </c>
    </row>
    <row r="12812" spans="1:13">
      <c r="A12812">
        <v>84008800</v>
      </c>
      <c r="B12812">
        <v>2018230</v>
      </c>
      <c r="C12812" t="s">
        <v>345</v>
      </c>
      <c r="D12812" t="s">
        <v>449</v>
      </c>
      <c r="E12812" t="s">
        <v>441</v>
      </c>
      <c r="F12812">
        <v>0.02</v>
      </c>
      <c r="H12812" t="s">
        <v>8637</v>
      </c>
      <c r="I12812">
        <v>720</v>
      </c>
      <c r="J12812" t="s">
        <v>450</v>
      </c>
      <c r="M12812">
        <v>0</v>
      </c>
    </row>
    <row r="12813" spans="1:13">
      <c r="A12813">
        <v>84008900</v>
      </c>
      <c r="B12813">
        <v>2018465</v>
      </c>
      <c r="C12813" t="s">
        <v>395</v>
      </c>
      <c r="D12813" t="s">
        <v>449</v>
      </c>
      <c r="E12813" t="s">
        <v>441</v>
      </c>
      <c r="F12813">
        <v>1.2E-2</v>
      </c>
      <c r="H12813" t="s">
        <v>8935</v>
      </c>
      <c r="I12813">
        <v>545</v>
      </c>
      <c r="J12813" t="s">
        <v>450</v>
      </c>
      <c r="M12813">
        <v>0</v>
      </c>
    </row>
    <row r="12814" spans="1:13">
      <c r="A12814">
        <v>84008910</v>
      </c>
      <c r="B12814">
        <v>2018586</v>
      </c>
      <c r="C12814" t="s">
        <v>5993</v>
      </c>
      <c r="D12814" t="s">
        <v>449</v>
      </c>
      <c r="E12814" t="s">
        <v>441</v>
      </c>
      <c r="F12814">
        <v>1.2E-2</v>
      </c>
      <c r="H12814" t="s">
        <v>8935</v>
      </c>
      <c r="I12814">
        <v>720</v>
      </c>
      <c r="J12814" t="s">
        <v>450</v>
      </c>
      <c r="M12814">
        <v>0</v>
      </c>
    </row>
    <row r="12815" spans="1:13">
      <c r="A12815">
        <v>84008920</v>
      </c>
      <c r="B12815">
        <v>2018593</v>
      </c>
      <c r="C12815" t="s">
        <v>5994</v>
      </c>
      <c r="D12815" t="s">
        <v>449</v>
      </c>
      <c r="E12815" t="s">
        <v>441</v>
      </c>
      <c r="F12815">
        <v>1.2E-2</v>
      </c>
      <c r="H12815" t="s">
        <v>8935</v>
      </c>
      <c r="I12815">
        <v>720</v>
      </c>
      <c r="J12815" t="s">
        <v>450</v>
      </c>
      <c r="M12815">
        <v>0</v>
      </c>
    </row>
    <row r="12816" spans="1:13">
      <c r="A12816">
        <v>84008930</v>
      </c>
      <c r="B12816">
        <v>2018594</v>
      </c>
      <c r="C12816" t="s">
        <v>5995</v>
      </c>
      <c r="D12816" t="s">
        <v>449</v>
      </c>
      <c r="E12816" t="s">
        <v>441</v>
      </c>
      <c r="F12816">
        <v>1.2E-2</v>
      </c>
      <c r="H12816" t="s">
        <v>8935</v>
      </c>
      <c r="I12816">
        <v>720</v>
      </c>
      <c r="J12816" t="s">
        <v>450</v>
      </c>
      <c r="M12816">
        <v>0</v>
      </c>
    </row>
    <row r="12817" spans="1:13">
      <c r="A12817">
        <v>84008940</v>
      </c>
      <c r="B12817">
        <v>2018595</v>
      </c>
      <c r="C12817" t="s">
        <v>5996</v>
      </c>
      <c r="D12817" t="s">
        <v>449</v>
      </c>
      <c r="E12817" t="s">
        <v>441</v>
      </c>
      <c r="F12817">
        <v>1.2E-2</v>
      </c>
      <c r="I12817">
        <v>720</v>
      </c>
      <c r="J12817" t="s">
        <v>450</v>
      </c>
      <c r="M12817">
        <v>0</v>
      </c>
    </row>
    <row r="12818" spans="1:13">
      <c r="A12818">
        <v>84008950</v>
      </c>
      <c r="B12818">
        <v>2018596</v>
      </c>
      <c r="C12818" t="s">
        <v>5997</v>
      </c>
      <c r="D12818" t="s">
        <v>449</v>
      </c>
      <c r="E12818" t="s">
        <v>441</v>
      </c>
      <c r="F12818">
        <v>1.2E-2</v>
      </c>
      <c r="H12818" t="s">
        <v>8580</v>
      </c>
      <c r="I12818">
        <v>720</v>
      </c>
      <c r="J12818" t="s">
        <v>450</v>
      </c>
      <c r="M12818">
        <v>0</v>
      </c>
    </row>
    <row r="12819" spans="1:13">
      <c r="A12819">
        <v>84008960</v>
      </c>
      <c r="B12819">
        <v>2018602</v>
      </c>
      <c r="C12819" t="s">
        <v>5998</v>
      </c>
      <c r="D12819" t="s">
        <v>449</v>
      </c>
      <c r="E12819" t="s">
        <v>441</v>
      </c>
      <c r="F12819">
        <v>1.2E-2</v>
      </c>
      <c r="H12819" t="s">
        <v>8935</v>
      </c>
      <c r="I12819">
        <v>720</v>
      </c>
      <c r="J12819" t="s">
        <v>450</v>
      </c>
      <c r="M12819">
        <v>0</v>
      </c>
    </row>
    <row r="12820" spans="1:13">
      <c r="A12820">
        <v>84008970</v>
      </c>
      <c r="B12820">
        <v>2018597</v>
      </c>
      <c r="C12820" t="s">
        <v>14628</v>
      </c>
      <c r="D12820" t="s">
        <v>449</v>
      </c>
      <c r="E12820" t="s">
        <v>441</v>
      </c>
      <c r="F12820">
        <v>1.2E-2</v>
      </c>
      <c r="I12820">
        <v>720</v>
      </c>
      <c r="J12820" t="s">
        <v>450</v>
      </c>
      <c r="M12820">
        <v>0</v>
      </c>
    </row>
    <row r="12821" spans="1:13">
      <c r="A12821">
        <v>84008980</v>
      </c>
      <c r="B12821">
        <v>2018598</v>
      </c>
      <c r="C12821" t="s">
        <v>5999</v>
      </c>
      <c r="D12821" t="s">
        <v>449</v>
      </c>
      <c r="F12821">
        <v>0</v>
      </c>
      <c r="H12821" t="s">
        <v>8580</v>
      </c>
      <c r="I12821">
        <v>720</v>
      </c>
      <c r="J12821" t="s">
        <v>450</v>
      </c>
      <c r="M12821">
        <v>0</v>
      </c>
    </row>
    <row r="12822" spans="1:13">
      <c r="A12822">
        <v>84008990</v>
      </c>
      <c r="B12822">
        <v>2018599</v>
      </c>
      <c r="C12822" t="s">
        <v>6000</v>
      </c>
      <c r="D12822" t="s">
        <v>449</v>
      </c>
      <c r="E12822" t="s">
        <v>441</v>
      </c>
      <c r="F12822">
        <v>1.2E-2</v>
      </c>
      <c r="H12822" t="s">
        <v>8584</v>
      </c>
      <c r="I12822">
        <v>720</v>
      </c>
      <c r="J12822" t="s">
        <v>450</v>
      </c>
      <c r="M12822">
        <v>0</v>
      </c>
    </row>
    <row r="12823" spans="1:13">
      <c r="A12823">
        <v>84009000</v>
      </c>
      <c r="B12823">
        <v>2019465</v>
      </c>
      <c r="C12823" t="s">
        <v>15227</v>
      </c>
      <c r="D12823" t="s">
        <v>449</v>
      </c>
      <c r="E12823" t="s">
        <v>441</v>
      </c>
      <c r="F12823">
        <v>1.0999999999999999E-2</v>
      </c>
      <c r="H12823" t="s">
        <v>8580</v>
      </c>
      <c r="I12823">
        <v>540</v>
      </c>
      <c r="J12823" t="s">
        <v>450</v>
      </c>
      <c r="M12823">
        <v>0</v>
      </c>
    </row>
    <row r="12824" spans="1:13">
      <c r="A12824">
        <v>84009010</v>
      </c>
      <c r="B12824">
        <v>2018600</v>
      </c>
      <c r="C12824" t="s">
        <v>6001</v>
      </c>
      <c r="D12824" t="s">
        <v>449</v>
      </c>
      <c r="E12824" t="s">
        <v>441</v>
      </c>
      <c r="F12824">
        <v>1.2E-2</v>
      </c>
      <c r="H12824" t="s">
        <v>8580</v>
      </c>
      <c r="I12824">
        <v>720</v>
      </c>
      <c r="J12824" t="s">
        <v>450</v>
      </c>
      <c r="M12824">
        <v>0</v>
      </c>
    </row>
    <row r="12825" spans="1:13">
      <c r="A12825">
        <v>84009020</v>
      </c>
      <c r="B12825">
        <v>2018601</v>
      </c>
      <c r="C12825" t="s">
        <v>6002</v>
      </c>
      <c r="D12825" t="s">
        <v>449</v>
      </c>
      <c r="E12825" t="s">
        <v>441</v>
      </c>
      <c r="F12825">
        <v>1.2E-2</v>
      </c>
      <c r="H12825" t="s">
        <v>8935</v>
      </c>
      <c r="I12825">
        <v>720</v>
      </c>
      <c r="J12825" t="s">
        <v>450</v>
      </c>
      <c r="M12825">
        <v>0</v>
      </c>
    </row>
    <row r="12826" spans="1:13">
      <c r="A12826">
        <v>84009100</v>
      </c>
      <c r="B12826">
        <v>2018313</v>
      </c>
      <c r="C12826" t="s">
        <v>14685</v>
      </c>
      <c r="D12826" t="s">
        <v>449</v>
      </c>
      <c r="E12826" t="s">
        <v>441</v>
      </c>
      <c r="F12826">
        <v>0.01</v>
      </c>
      <c r="H12826" t="s">
        <v>8580</v>
      </c>
      <c r="I12826">
        <v>720</v>
      </c>
      <c r="J12826" t="s">
        <v>450</v>
      </c>
      <c r="M12826">
        <v>0</v>
      </c>
    </row>
    <row r="12827" spans="1:13">
      <c r="A12827">
        <v>84009110</v>
      </c>
      <c r="B12827">
        <v>2104223</v>
      </c>
      <c r="C12827" t="s">
        <v>13980</v>
      </c>
      <c r="D12827" t="s">
        <v>441</v>
      </c>
      <c r="F12827">
        <v>0</v>
      </c>
      <c r="H12827" t="s">
        <v>8624</v>
      </c>
      <c r="I12827">
        <v>360</v>
      </c>
      <c r="J12827" t="s">
        <v>458</v>
      </c>
      <c r="M12827">
        <v>0</v>
      </c>
    </row>
    <row r="12828" spans="1:13">
      <c r="A12828">
        <v>84009200</v>
      </c>
      <c r="B12828">
        <v>2018432</v>
      </c>
      <c r="C12828" t="s">
        <v>6003</v>
      </c>
      <c r="D12828" t="s">
        <v>449</v>
      </c>
      <c r="E12828" t="s">
        <v>441</v>
      </c>
      <c r="F12828">
        <v>2E-3</v>
      </c>
      <c r="H12828" t="s">
        <v>8935</v>
      </c>
      <c r="I12828">
        <v>360</v>
      </c>
      <c r="J12828" t="s">
        <v>450</v>
      </c>
      <c r="M12828">
        <v>0</v>
      </c>
    </row>
    <row r="12829" spans="1:13">
      <c r="A12829">
        <v>84009300</v>
      </c>
      <c r="B12829">
        <v>2019502</v>
      </c>
      <c r="C12829" t="s">
        <v>15228</v>
      </c>
      <c r="D12829" t="s">
        <v>449</v>
      </c>
      <c r="E12829" t="s">
        <v>441</v>
      </c>
      <c r="F12829">
        <v>1.0999999999999999E-2</v>
      </c>
      <c r="I12829">
        <v>540</v>
      </c>
      <c r="J12829" t="s">
        <v>450</v>
      </c>
      <c r="M12829">
        <v>0</v>
      </c>
    </row>
    <row r="12830" spans="1:13">
      <c r="A12830">
        <v>84009400</v>
      </c>
      <c r="B12830">
        <v>2019504</v>
      </c>
      <c r="C12830" t="s">
        <v>15229</v>
      </c>
      <c r="D12830" t="s">
        <v>449</v>
      </c>
      <c r="E12830" t="s">
        <v>441</v>
      </c>
      <c r="F12830">
        <v>1.0999999999999999E-2</v>
      </c>
      <c r="H12830" t="s">
        <v>8584</v>
      </c>
      <c r="I12830">
        <v>540</v>
      </c>
      <c r="J12830" t="s">
        <v>450</v>
      </c>
      <c r="M12830">
        <v>0</v>
      </c>
    </row>
    <row r="12831" spans="1:13">
      <c r="A12831">
        <v>84009500</v>
      </c>
      <c r="B12831">
        <v>2019496</v>
      </c>
      <c r="C12831" t="s">
        <v>15230</v>
      </c>
      <c r="D12831" t="s">
        <v>449</v>
      </c>
      <c r="E12831" t="s">
        <v>441</v>
      </c>
      <c r="F12831">
        <v>1.0999999999999999E-2</v>
      </c>
      <c r="H12831" t="s">
        <v>8580</v>
      </c>
      <c r="I12831">
        <v>540</v>
      </c>
      <c r="J12831" t="s">
        <v>450</v>
      </c>
      <c r="M12831">
        <v>0</v>
      </c>
    </row>
    <row r="12832" spans="1:13">
      <c r="A12832">
        <v>84009600</v>
      </c>
      <c r="B12832">
        <v>2019503</v>
      </c>
      <c r="C12832" t="s">
        <v>15231</v>
      </c>
      <c r="D12832" t="s">
        <v>449</v>
      </c>
      <c r="E12832" t="s">
        <v>441</v>
      </c>
      <c r="F12832">
        <v>1.0999999999999999E-2</v>
      </c>
      <c r="H12832" t="s">
        <v>8580</v>
      </c>
      <c r="I12832">
        <v>540</v>
      </c>
      <c r="J12832" t="s">
        <v>450</v>
      </c>
      <c r="M12832">
        <v>0</v>
      </c>
    </row>
    <row r="12833" spans="1:13">
      <c r="A12833">
        <v>84009700</v>
      </c>
      <c r="B12833">
        <v>2019497</v>
      </c>
      <c r="C12833" t="s">
        <v>15232</v>
      </c>
      <c r="D12833" t="s">
        <v>449</v>
      </c>
      <c r="E12833" t="s">
        <v>441</v>
      </c>
      <c r="F12833">
        <v>1.0999999999999999E-2</v>
      </c>
      <c r="I12833">
        <v>540</v>
      </c>
      <c r="J12833" t="s">
        <v>450</v>
      </c>
      <c r="M12833">
        <v>0</v>
      </c>
    </row>
    <row r="12834" spans="1:13">
      <c r="A12834">
        <v>84009800</v>
      </c>
      <c r="B12834">
        <v>2019498</v>
      </c>
      <c r="C12834" t="s">
        <v>15233</v>
      </c>
      <c r="D12834" t="s">
        <v>449</v>
      </c>
      <c r="E12834" t="s">
        <v>441</v>
      </c>
      <c r="F12834">
        <v>1.0999999999999999E-2</v>
      </c>
      <c r="H12834" t="s">
        <v>8580</v>
      </c>
      <c r="I12834">
        <v>540</v>
      </c>
      <c r="J12834" t="s">
        <v>450</v>
      </c>
      <c r="M12834">
        <v>0</v>
      </c>
    </row>
    <row r="12835" spans="1:13">
      <c r="A12835">
        <v>84009900</v>
      </c>
      <c r="B12835">
        <v>2019499</v>
      </c>
      <c r="C12835" t="s">
        <v>15234</v>
      </c>
      <c r="D12835" t="s">
        <v>449</v>
      </c>
      <c r="E12835" t="s">
        <v>441</v>
      </c>
      <c r="F12835">
        <v>1.0999999999999999E-2</v>
      </c>
      <c r="I12835">
        <v>540</v>
      </c>
      <c r="J12835" t="s">
        <v>450</v>
      </c>
      <c r="M12835">
        <v>0</v>
      </c>
    </row>
    <row r="12836" spans="1:13">
      <c r="A12836">
        <v>84010000</v>
      </c>
      <c r="B12836">
        <v>2019500</v>
      </c>
      <c r="C12836" t="s">
        <v>15235</v>
      </c>
      <c r="D12836" t="s">
        <v>449</v>
      </c>
      <c r="E12836" t="s">
        <v>441</v>
      </c>
      <c r="F12836">
        <v>1.0999999999999999E-2</v>
      </c>
      <c r="H12836" t="s">
        <v>8580</v>
      </c>
      <c r="I12836">
        <v>540</v>
      </c>
      <c r="J12836" t="s">
        <v>450</v>
      </c>
      <c r="M12836">
        <v>0</v>
      </c>
    </row>
    <row r="12837" spans="1:13">
      <c r="A12837">
        <v>84010100</v>
      </c>
      <c r="B12837">
        <v>2019501</v>
      </c>
      <c r="C12837" t="s">
        <v>15236</v>
      </c>
      <c r="D12837" t="s">
        <v>449</v>
      </c>
      <c r="E12837" t="s">
        <v>441</v>
      </c>
      <c r="F12837">
        <v>1.0999999999999999E-2</v>
      </c>
      <c r="H12837" t="s">
        <v>8584</v>
      </c>
      <c r="I12837">
        <v>540</v>
      </c>
      <c r="J12837" t="s">
        <v>450</v>
      </c>
      <c r="M12837">
        <v>0</v>
      </c>
    </row>
    <row r="12838" spans="1:13">
      <c r="A12838">
        <v>84010200</v>
      </c>
      <c r="B12838">
        <v>2019866</v>
      </c>
      <c r="C12838" t="s">
        <v>15237</v>
      </c>
      <c r="D12838" t="s">
        <v>449</v>
      </c>
      <c r="E12838" t="s">
        <v>441</v>
      </c>
      <c r="F12838">
        <v>0.01</v>
      </c>
      <c r="H12838" t="s">
        <v>8580</v>
      </c>
      <c r="I12838">
        <v>540</v>
      </c>
      <c r="J12838" t="s">
        <v>450</v>
      </c>
      <c r="M12838">
        <v>0</v>
      </c>
    </row>
    <row r="12839" spans="1:13">
      <c r="A12839">
        <v>84010300</v>
      </c>
      <c r="B12839">
        <v>2019867</v>
      </c>
      <c r="C12839" t="s">
        <v>15238</v>
      </c>
      <c r="D12839" t="s">
        <v>449</v>
      </c>
      <c r="E12839" t="s">
        <v>441</v>
      </c>
      <c r="F12839">
        <v>0.01</v>
      </c>
      <c r="H12839" t="s">
        <v>8580</v>
      </c>
      <c r="I12839">
        <v>540</v>
      </c>
      <c r="J12839" t="s">
        <v>450</v>
      </c>
      <c r="M12839">
        <v>0</v>
      </c>
    </row>
    <row r="12840" spans="1:13">
      <c r="A12840">
        <v>84010400</v>
      </c>
      <c r="B12840">
        <v>2019673</v>
      </c>
      <c r="C12840" t="s">
        <v>14629</v>
      </c>
      <c r="D12840" t="s">
        <v>441</v>
      </c>
      <c r="F12840">
        <v>0</v>
      </c>
      <c r="H12840" t="s">
        <v>8580</v>
      </c>
      <c r="I12840">
        <v>155</v>
      </c>
      <c r="J12840" t="s">
        <v>450</v>
      </c>
      <c r="M12840">
        <v>0</v>
      </c>
    </row>
    <row r="12841" spans="1:13">
      <c r="A12841">
        <v>84010500</v>
      </c>
      <c r="B12841">
        <v>2020132</v>
      </c>
      <c r="C12841" t="s">
        <v>15615</v>
      </c>
      <c r="D12841" t="s">
        <v>449</v>
      </c>
      <c r="E12841" t="s">
        <v>441</v>
      </c>
      <c r="F12841">
        <v>0.01</v>
      </c>
      <c r="H12841" t="s">
        <v>8580</v>
      </c>
      <c r="I12841">
        <v>180</v>
      </c>
      <c r="J12841" t="s">
        <v>450</v>
      </c>
      <c r="M12841">
        <v>0</v>
      </c>
    </row>
    <row r="12842" spans="1:13">
      <c r="A12842">
        <v>84010600</v>
      </c>
      <c r="B12842">
        <v>2005123</v>
      </c>
      <c r="C12842" t="s">
        <v>17771</v>
      </c>
      <c r="D12842" t="s">
        <v>449</v>
      </c>
      <c r="E12842" t="s">
        <v>441</v>
      </c>
      <c r="F12842">
        <v>1E-3</v>
      </c>
      <c r="H12842" t="s">
        <v>8580</v>
      </c>
      <c r="I12842">
        <v>730</v>
      </c>
      <c r="J12842" t="s">
        <v>450</v>
      </c>
      <c r="M12842">
        <v>0</v>
      </c>
    </row>
    <row r="12843" spans="1:13">
      <c r="A12843">
        <v>84010700</v>
      </c>
      <c r="B12843">
        <v>2020618</v>
      </c>
      <c r="C12843" t="s">
        <v>17772</v>
      </c>
      <c r="D12843" t="s">
        <v>449</v>
      </c>
      <c r="E12843" t="s">
        <v>441</v>
      </c>
      <c r="F12843">
        <v>2E-3</v>
      </c>
      <c r="H12843" t="s">
        <v>8950</v>
      </c>
      <c r="I12843">
        <v>730</v>
      </c>
      <c r="J12843" t="s">
        <v>450</v>
      </c>
      <c r="M12843">
        <v>0</v>
      </c>
    </row>
    <row r="12844" spans="1:13">
      <c r="A12844">
        <v>84010800</v>
      </c>
      <c r="B12844">
        <v>2020701</v>
      </c>
      <c r="C12844" t="s">
        <v>17773</v>
      </c>
      <c r="D12844" t="s">
        <v>449</v>
      </c>
      <c r="E12844" t="s">
        <v>441</v>
      </c>
      <c r="F12844">
        <v>0.01</v>
      </c>
      <c r="H12844" t="s">
        <v>8584</v>
      </c>
      <c r="I12844">
        <v>720</v>
      </c>
      <c r="J12844" t="s">
        <v>450</v>
      </c>
      <c r="M12844">
        <v>0</v>
      </c>
    </row>
    <row r="12845" spans="1:13">
      <c r="A12845">
        <v>84010900</v>
      </c>
      <c r="B12845">
        <v>2020702</v>
      </c>
      <c r="C12845" t="s">
        <v>17774</v>
      </c>
      <c r="D12845" t="s">
        <v>449</v>
      </c>
      <c r="E12845" t="s">
        <v>441</v>
      </c>
      <c r="F12845">
        <v>0.01</v>
      </c>
      <c r="H12845" t="s">
        <v>8584</v>
      </c>
      <c r="I12845">
        <v>720</v>
      </c>
      <c r="J12845" t="s">
        <v>450</v>
      </c>
      <c r="M12845">
        <v>0</v>
      </c>
    </row>
    <row r="12846" spans="1:13">
      <c r="A12846">
        <v>84090100</v>
      </c>
      <c r="B12846">
        <v>2020366</v>
      </c>
      <c r="C12846" t="s">
        <v>15624</v>
      </c>
      <c r="D12846" t="s">
        <v>449</v>
      </c>
      <c r="E12846" t="s">
        <v>441</v>
      </c>
      <c r="F12846">
        <v>1.0999999999999999E-2</v>
      </c>
      <c r="H12846" t="s">
        <v>8637</v>
      </c>
      <c r="I12846">
        <v>540</v>
      </c>
      <c r="J12846" t="s">
        <v>450</v>
      </c>
      <c r="M12846">
        <v>0</v>
      </c>
    </row>
    <row r="12847" spans="1:13">
      <c r="A12847">
        <v>84090300</v>
      </c>
      <c r="B12847">
        <v>2020367</v>
      </c>
      <c r="C12847" t="s">
        <v>15625</v>
      </c>
      <c r="D12847" t="s">
        <v>449</v>
      </c>
      <c r="E12847" t="s">
        <v>441</v>
      </c>
      <c r="F12847">
        <v>1.0999999999999999E-2</v>
      </c>
      <c r="I12847">
        <v>540</v>
      </c>
      <c r="J12847" t="s">
        <v>450</v>
      </c>
      <c r="M12847">
        <v>0</v>
      </c>
    </row>
    <row r="12848" spans="1:13">
      <c r="A12848">
        <v>84090600</v>
      </c>
      <c r="B12848">
        <v>2020368</v>
      </c>
      <c r="C12848" t="s">
        <v>15627</v>
      </c>
      <c r="D12848" t="s">
        <v>449</v>
      </c>
      <c r="E12848" t="s">
        <v>441</v>
      </c>
      <c r="F12848">
        <v>1.0999999999999999E-2</v>
      </c>
      <c r="H12848" t="s">
        <v>8580</v>
      </c>
      <c r="I12848">
        <v>540</v>
      </c>
      <c r="J12848" t="s">
        <v>450</v>
      </c>
      <c r="M12848">
        <v>0</v>
      </c>
    </row>
    <row r="12849" spans="1:13">
      <c r="A12849">
        <v>84090700</v>
      </c>
      <c r="B12849">
        <v>2020369</v>
      </c>
      <c r="C12849" t="s">
        <v>15628</v>
      </c>
      <c r="D12849" t="s">
        <v>449</v>
      </c>
      <c r="E12849" t="s">
        <v>441</v>
      </c>
      <c r="F12849">
        <v>1.0999999999999999E-2</v>
      </c>
      <c r="I12849">
        <v>540</v>
      </c>
      <c r="J12849" t="s">
        <v>450</v>
      </c>
      <c r="M12849">
        <v>0</v>
      </c>
    </row>
    <row r="12850" spans="1:13">
      <c r="A12850">
        <v>84090800</v>
      </c>
      <c r="B12850">
        <v>2020380</v>
      </c>
      <c r="C12850" t="s">
        <v>15708</v>
      </c>
      <c r="D12850" t="s">
        <v>449</v>
      </c>
      <c r="E12850" t="s">
        <v>441</v>
      </c>
      <c r="F12850">
        <v>1.0999999999999999E-2</v>
      </c>
      <c r="H12850" t="s">
        <v>8580</v>
      </c>
      <c r="I12850">
        <v>540</v>
      </c>
      <c r="J12850" t="s">
        <v>450</v>
      </c>
      <c r="M12850">
        <v>0</v>
      </c>
    </row>
    <row r="12851" spans="1:13">
      <c r="A12851">
        <v>84090810</v>
      </c>
      <c r="B12851">
        <v>2020339</v>
      </c>
      <c r="C12851" t="s">
        <v>15710</v>
      </c>
      <c r="D12851" t="s">
        <v>449</v>
      </c>
      <c r="E12851" t="s">
        <v>441</v>
      </c>
      <c r="F12851">
        <v>1.0999999999999999E-2</v>
      </c>
      <c r="H12851" t="s">
        <v>8580</v>
      </c>
      <c r="I12851">
        <v>540</v>
      </c>
      <c r="J12851" t="s">
        <v>450</v>
      </c>
      <c r="M12851">
        <v>0</v>
      </c>
    </row>
    <row r="12852" spans="1:13">
      <c r="A12852">
        <v>84090820</v>
      </c>
      <c r="B12852">
        <v>2020338</v>
      </c>
      <c r="C12852" t="s">
        <v>15940</v>
      </c>
      <c r="D12852" t="s">
        <v>449</v>
      </c>
      <c r="E12852" t="s">
        <v>441</v>
      </c>
      <c r="F12852">
        <v>1.0999999999999999E-2</v>
      </c>
      <c r="I12852">
        <v>540</v>
      </c>
      <c r="J12852" t="s">
        <v>450</v>
      </c>
      <c r="M12852">
        <v>0</v>
      </c>
    </row>
    <row r="12853" spans="1:13">
      <c r="A12853">
        <v>84090900</v>
      </c>
      <c r="B12853">
        <v>2020382</v>
      </c>
      <c r="C12853" t="s">
        <v>17213</v>
      </c>
      <c r="D12853" t="s">
        <v>449</v>
      </c>
      <c r="E12853" t="s">
        <v>441</v>
      </c>
      <c r="F12853">
        <v>1.0999999999999999E-2</v>
      </c>
      <c r="H12853" t="s">
        <v>8580</v>
      </c>
      <c r="I12853">
        <v>540</v>
      </c>
      <c r="J12853" t="s">
        <v>450</v>
      </c>
      <c r="M12853">
        <v>0</v>
      </c>
    </row>
    <row r="12854" spans="1:13">
      <c r="A12854">
        <v>84090910</v>
      </c>
      <c r="B12854">
        <v>2020381</v>
      </c>
      <c r="C12854" t="s">
        <v>17214</v>
      </c>
      <c r="D12854" t="s">
        <v>449</v>
      </c>
      <c r="E12854" t="s">
        <v>441</v>
      </c>
      <c r="F12854">
        <v>1.0999999999999999E-2</v>
      </c>
      <c r="I12854">
        <v>540</v>
      </c>
      <c r="J12854" t="s">
        <v>450</v>
      </c>
      <c r="M12854">
        <v>0</v>
      </c>
    </row>
    <row r="12855" spans="1:13">
      <c r="A12855">
        <v>84091000</v>
      </c>
      <c r="B12855">
        <v>2020337</v>
      </c>
      <c r="C12855" t="s">
        <v>15715</v>
      </c>
      <c r="D12855" t="s">
        <v>449</v>
      </c>
      <c r="E12855" t="s">
        <v>441</v>
      </c>
      <c r="F12855">
        <v>1.0999999999999999E-2</v>
      </c>
      <c r="I12855">
        <v>540</v>
      </c>
      <c r="J12855" t="s">
        <v>450</v>
      </c>
      <c r="M12855">
        <v>0</v>
      </c>
    </row>
    <row r="12856" spans="1:13">
      <c r="A12856">
        <v>84102400</v>
      </c>
      <c r="B12856">
        <v>2002810</v>
      </c>
      <c r="C12856" t="s">
        <v>6004</v>
      </c>
      <c r="D12856" t="s">
        <v>449</v>
      </c>
      <c r="E12856" t="s">
        <v>441</v>
      </c>
      <c r="F12856">
        <v>0.02</v>
      </c>
      <c r="H12856" t="s">
        <v>8574</v>
      </c>
      <c r="I12856">
        <v>720</v>
      </c>
      <c r="J12856" t="s">
        <v>450</v>
      </c>
      <c r="M12856">
        <v>0</v>
      </c>
    </row>
    <row r="12857" spans="1:13">
      <c r="A12857">
        <v>84102600</v>
      </c>
      <c r="B12857">
        <v>2003544</v>
      </c>
      <c r="C12857" t="s">
        <v>6005</v>
      </c>
      <c r="D12857" t="s">
        <v>449</v>
      </c>
      <c r="E12857" t="s">
        <v>441</v>
      </c>
      <c r="F12857">
        <v>1</v>
      </c>
      <c r="H12857" t="s">
        <v>8584</v>
      </c>
      <c r="I12857">
        <v>720</v>
      </c>
      <c r="J12857" t="s">
        <v>450</v>
      </c>
      <c r="K12857" t="s">
        <v>446</v>
      </c>
      <c r="M12857">
        <v>0</v>
      </c>
    </row>
    <row r="12858" spans="1:13">
      <c r="A12858">
        <v>84102800</v>
      </c>
      <c r="B12858">
        <v>2003545</v>
      </c>
      <c r="C12858" t="s">
        <v>6006</v>
      </c>
      <c r="D12858" t="s">
        <v>449</v>
      </c>
      <c r="E12858" t="s">
        <v>441</v>
      </c>
      <c r="F12858">
        <v>1</v>
      </c>
      <c r="H12858" t="s">
        <v>8584</v>
      </c>
      <c r="I12858">
        <v>720</v>
      </c>
      <c r="J12858" t="s">
        <v>450</v>
      </c>
      <c r="K12858" t="s">
        <v>446</v>
      </c>
      <c r="M12858">
        <v>0</v>
      </c>
    </row>
    <row r="12859" spans="1:13">
      <c r="A12859">
        <v>84102900</v>
      </c>
      <c r="B12859">
        <v>2003410</v>
      </c>
      <c r="C12859" t="s">
        <v>6007</v>
      </c>
      <c r="D12859" t="s">
        <v>449</v>
      </c>
      <c r="E12859" t="s">
        <v>441</v>
      </c>
      <c r="F12859">
        <v>3.6999999999999998E-2</v>
      </c>
      <c r="H12859" t="s">
        <v>8580</v>
      </c>
      <c r="I12859">
        <v>720</v>
      </c>
      <c r="J12859" t="s">
        <v>450</v>
      </c>
      <c r="K12859" t="s">
        <v>446</v>
      </c>
      <c r="M12859">
        <v>0</v>
      </c>
    </row>
    <row r="12860" spans="1:13">
      <c r="A12860">
        <v>84202600</v>
      </c>
      <c r="B12860">
        <v>2002811</v>
      </c>
      <c r="C12860" t="s">
        <v>6008</v>
      </c>
      <c r="D12860" t="s">
        <v>449</v>
      </c>
      <c r="E12860" t="s">
        <v>441</v>
      </c>
      <c r="F12860">
        <v>1E-3</v>
      </c>
      <c r="G12860">
        <v>0</v>
      </c>
      <c r="H12860" t="s">
        <v>8574</v>
      </c>
      <c r="I12860">
        <v>720</v>
      </c>
      <c r="J12860" t="s">
        <v>450</v>
      </c>
      <c r="K12860" t="s">
        <v>446</v>
      </c>
      <c r="M12860">
        <v>0</v>
      </c>
    </row>
    <row r="12861" spans="1:13">
      <c r="A12861">
        <v>84202700</v>
      </c>
      <c r="B12861">
        <v>2002812</v>
      </c>
      <c r="C12861" t="s">
        <v>6009</v>
      </c>
      <c r="D12861" t="s">
        <v>449</v>
      </c>
      <c r="E12861" t="s">
        <v>441</v>
      </c>
      <c r="F12861">
        <v>2E-3</v>
      </c>
      <c r="H12861" t="s">
        <v>8574</v>
      </c>
      <c r="I12861">
        <v>720</v>
      </c>
      <c r="J12861" t="s">
        <v>450</v>
      </c>
      <c r="K12861" t="s">
        <v>446</v>
      </c>
      <c r="M12861">
        <v>0</v>
      </c>
    </row>
    <row r="12862" spans="1:13">
      <c r="A12862">
        <v>84202800</v>
      </c>
      <c r="B12862">
        <v>2002813</v>
      </c>
      <c r="C12862" t="s">
        <v>6010</v>
      </c>
      <c r="D12862" t="s">
        <v>449</v>
      </c>
      <c r="E12862" t="s">
        <v>441</v>
      </c>
      <c r="F12862">
        <v>2E-3</v>
      </c>
      <c r="H12862" t="s">
        <v>8574</v>
      </c>
      <c r="I12862">
        <v>720</v>
      </c>
      <c r="J12862" t="s">
        <v>450</v>
      </c>
      <c r="K12862" t="s">
        <v>446</v>
      </c>
      <c r="M12862">
        <v>0</v>
      </c>
    </row>
    <row r="12863" spans="1:13">
      <c r="A12863">
        <v>84301100</v>
      </c>
      <c r="B12863">
        <v>2001078</v>
      </c>
      <c r="C12863" t="s">
        <v>6011</v>
      </c>
      <c r="D12863" t="s">
        <v>449</v>
      </c>
      <c r="E12863" t="s">
        <v>441</v>
      </c>
      <c r="F12863">
        <v>1.4999999999999999E-2</v>
      </c>
      <c r="G12863">
        <v>0</v>
      </c>
      <c r="H12863" t="s">
        <v>8574</v>
      </c>
      <c r="I12863">
        <v>730</v>
      </c>
      <c r="J12863" t="s">
        <v>450</v>
      </c>
      <c r="K12863" t="s">
        <v>446</v>
      </c>
      <c r="M12863">
        <v>0</v>
      </c>
    </row>
    <row r="12864" spans="1:13">
      <c r="A12864">
        <v>84304600</v>
      </c>
      <c r="B12864">
        <v>2000593</v>
      </c>
      <c r="C12864" t="s">
        <v>6012</v>
      </c>
      <c r="D12864" t="s">
        <v>449</v>
      </c>
      <c r="E12864" t="s">
        <v>441</v>
      </c>
      <c r="F12864">
        <v>0.04</v>
      </c>
      <c r="H12864" t="s">
        <v>8576</v>
      </c>
      <c r="I12864">
        <v>360</v>
      </c>
      <c r="J12864" t="s">
        <v>450</v>
      </c>
      <c r="K12864" t="s">
        <v>446</v>
      </c>
      <c r="M12864">
        <v>0</v>
      </c>
    </row>
    <row r="12865" spans="1:13">
      <c r="A12865">
        <v>84304700</v>
      </c>
      <c r="B12865">
        <v>2003546</v>
      </c>
      <c r="C12865" t="s">
        <v>6013</v>
      </c>
      <c r="D12865" t="s">
        <v>449</v>
      </c>
      <c r="E12865" t="s">
        <v>441</v>
      </c>
      <c r="F12865">
        <v>1</v>
      </c>
      <c r="H12865" t="s">
        <v>8584</v>
      </c>
      <c r="I12865">
        <v>360</v>
      </c>
      <c r="J12865" t="s">
        <v>450</v>
      </c>
      <c r="K12865" t="s">
        <v>446</v>
      </c>
      <c r="M12865">
        <v>0</v>
      </c>
    </row>
    <row r="12866" spans="1:13">
      <c r="A12866">
        <v>84419200</v>
      </c>
      <c r="B12866">
        <v>2002814</v>
      </c>
      <c r="C12866" t="s">
        <v>6014</v>
      </c>
      <c r="D12866" t="s">
        <v>449</v>
      </c>
      <c r="E12866" t="s">
        <v>441</v>
      </c>
      <c r="F12866">
        <v>0.01</v>
      </c>
      <c r="H12866" t="s">
        <v>8574</v>
      </c>
      <c r="I12866">
        <v>720</v>
      </c>
      <c r="J12866" t="s">
        <v>450</v>
      </c>
      <c r="K12866" t="s">
        <v>446</v>
      </c>
      <c r="M12866">
        <v>0</v>
      </c>
    </row>
    <row r="12867" spans="1:13">
      <c r="A12867">
        <v>84419800</v>
      </c>
      <c r="B12867">
        <v>2002815</v>
      </c>
      <c r="C12867" t="s">
        <v>6015</v>
      </c>
      <c r="D12867" t="s">
        <v>449</v>
      </c>
      <c r="E12867" t="s">
        <v>441</v>
      </c>
      <c r="F12867">
        <v>0.02</v>
      </c>
      <c r="H12867" t="s">
        <v>8574</v>
      </c>
      <c r="I12867">
        <v>720</v>
      </c>
      <c r="J12867" t="s">
        <v>450</v>
      </c>
      <c r="K12867" t="s">
        <v>446</v>
      </c>
      <c r="M12867">
        <v>0</v>
      </c>
    </row>
    <row r="12868" spans="1:13">
      <c r="A12868">
        <v>84420100</v>
      </c>
      <c r="B12868">
        <v>2002816</v>
      </c>
      <c r="C12868" t="s">
        <v>6016</v>
      </c>
      <c r="D12868" t="s">
        <v>449</v>
      </c>
      <c r="E12868" t="s">
        <v>441</v>
      </c>
      <c r="F12868">
        <v>7.0000000000000001E-3</v>
      </c>
      <c r="G12868">
        <v>0</v>
      </c>
      <c r="H12868" t="s">
        <v>8574</v>
      </c>
      <c r="I12868">
        <v>360</v>
      </c>
      <c r="J12868" t="s">
        <v>450</v>
      </c>
      <c r="K12868" t="s">
        <v>446</v>
      </c>
      <c r="M12868">
        <v>0</v>
      </c>
    </row>
    <row r="12869" spans="1:13">
      <c r="A12869">
        <v>84420400</v>
      </c>
      <c r="B12869">
        <v>2002817</v>
      </c>
      <c r="C12869" t="s">
        <v>6017</v>
      </c>
      <c r="D12869" t="s">
        <v>449</v>
      </c>
      <c r="E12869" t="s">
        <v>441</v>
      </c>
      <c r="F12869">
        <v>0.02</v>
      </c>
      <c r="H12869" t="s">
        <v>8574</v>
      </c>
      <c r="I12869">
        <v>720</v>
      </c>
      <c r="J12869" t="s">
        <v>450</v>
      </c>
      <c r="M12869">
        <v>0</v>
      </c>
    </row>
    <row r="12870" spans="1:13">
      <c r="A12870">
        <v>84420700</v>
      </c>
      <c r="B12870">
        <v>2002818</v>
      </c>
      <c r="C12870" t="s">
        <v>6018</v>
      </c>
      <c r="D12870" t="s">
        <v>449</v>
      </c>
      <c r="E12870" t="s">
        <v>441</v>
      </c>
      <c r="F12870">
        <v>0.02</v>
      </c>
      <c r="H12870" t="s">
        <v>8574</v>
      </c>
      <c r="I12870">
        <v>720</v>
      </c>
      <c r="J12870" t="s">
        <v>450</v>
      </c>
      <c r="K12870" t="s">
        <v>446</v>
      </c>
      <c r="M12870">
        <v>0</v>
      </c>
    </row>
    <row r="12871" spans="1:13">
      <c r="A12871">
        <v>84420800</v>
      </c>
      <c r="B12871">
        <v>2002819</v>
      </c>
      <c r="C12871" t="s">
        <v>6019</v>
      </c>
      <c r="D12871" t="s">
        <v>449</v>
      </c>
      <c r="E12871" t="s">
        <v>441</v>
      </c>
      <c r="F12871">
        <v>5.0000000000000001E-3</v>
      </c>
      <c r="G12871">
        <v>0</v>
      </c>
      <c r="H12871" t="s">
        <v>8574</v>
      </c>
      <c r="I12871">
        <v>360</v>
      </c>
      <c r="J12871" t="s">
        <v>450</v>
      </c>
      <c r="K12871" t="s">
        <v>446</v>
      </c>
      <c r="M12871">
        <v>0</v>
      </c>
    </row>
    <row r="12872" spans="1:13">
      <c r="A12872">
        <v>84420900</v>
      </c>
      <c r="B12872">
        <v>2002820</v>
      </c>
      <c r="C12872" t="s">
        <v>6020</v>
      </c>
      <c r="D12872" t="s">
        <v>449</v>
      </c>
      <c r="E12872" t="s">
        <v>441</v>
      </c>
      <c r="F12872">
        <v>0.02</v>
      </c>
      <c r="H12872" t="s">
        <v>8574</v>
      </c>
      <c r="I12872">
        <v>720</v>
      </c>
      <c r="J12872" t="s">
        <v>450</v>
      </c>
      <c r="M12872">
        <v>0</v>
      </c>
    </row>
    <row r="12873" spans="1:13">
      <c r="A12873">
        <v>84421000</v>
      </c>
      <c r="B12873">
        <v>2002821</v>
      </c>
      <c r="C12873" t="s">
        <v>6021</v>
      </c>
      <c r="D12873" t="s">
        <v>449</v>
      </c>
      <c r="E12873" t="s">
        <v>441</v>
      </c>
      <c r="F12873">
        <v>0.02</v>
      </c>
      <c r="H12873" t="s">
        <v>8574</v>
      </c>
      <c r="I12873">
        <v>1090</v>
      </c>
      <c r="J12873" t="s">
        <v>450</v>
      </c>
      <c r="M12873">
        <v>0</v>
      </c>
    </row>
    <row r="12874" spans="1:13">
      <c r="A12874">
        <v>84421200</v>
      </c>
      <c r="B12874">
        <v>2002822</v>
      </c>
      <c r="C12874" t="s">
        <v>6022</v>
      </c>
      <c r="D12874" t="s">
        <v>449</v>
      </c>
      <c r="E12874" t="s">
        <v>441</v>
      </c>
      <c r="F12874">
        <v>0.02</v>
      </c>
      <c r="H12874" t="s">
        <v>8574</v>
      </c>
      <c r="I12874">
        <v>1090</v>
      </c>
      <c r="J12874" t="s">
        <v>450</v>
      </c>
      <c r="M12874">
        <v>0</v>
      </c>
    </row>
    <row r="12875" spans="1:13">
      <c r="A12875">
        <v>84421300</v>
      </c>
      <c r="B12875">
        <v>2002823</v>
      </c>
      <c r="C12875" t="s">
        <v>6023</v>
      </c>
      <c r="D12875" t="s">
        <v>449</v>
      </c>
      <c r="E12875" t="s">
        <v>441</v>
      </c>
      <c r="F12875">
        <v>0.01</v>
      </c>
      <c r="H12875" t="s">
        <v>8574</v>
      </c>
      <c r="I12875">
        <v>1090</v>
      </c>
      <c r="J12875" t="s">
        <v>450</v>
      </c>
      <c r="K12875" t="s">
        <v>446</v>
      </c>
      <c r="M12875">
        <v>0</v>
      </c>
    </row>
    <row r="12876" spans="1:13">
      <c r="A12876">
        <v>84421400</v>
      </c>
      <c r="B12876">
        <v>2002824</v>
      </c>
      <c r="C12876" t="s">
        <v>6024</v>
      </c>
      <c r="D12876" t="s">
        <v>449</v>
      </c>
      <c r="E12876" t="s">
        <v>441</v>
      </c>
      <c r="F12876">
        <v>0.01</v>
      </c>
      <c r="H12876" t="s">
        <v>8574</v>
      </c>
      <c r="I12876">
        <v>720</v>
      </c>
      <c r="J12876" t="s">
        <v>450</v>
      </c>
      <c r="K12876" t="s">
        <v>446</v>
      </c>
      <c r="M12876">
        <v>0</v>
      </c>
    </row>
    <row r="12877" spans="1:13">
      <c r="A12877">
        <v>84421500</v>
      </c>
      <c r="B12877">
        <v>2002825</v>
      </c>
      <c r="C12877" t="s">
        <v>6025</v>
      </c>
      <c r="D12877" t="s">
        <v>449</v>
      </c>
      <c r="E12877" t="s">
        <v>441</v>
      </c>
      <c r="F12877">
        <v>0.02</v>
      </c>
      <c r="H12877" t="s">
        <v>8574</v>
      </c>
      <c r="I12877">
        <v>720</v>
      </c>
      <c r="J12877" t="s">
        <v>450</v>
      </c>
      <c r="K12877" t="s">
        <v>446</v>
      </c>
      <c r="M12877">
        <v>0</v>
      </c>
    </row>
    <row r="12878" spans="1:13">
      <c r="A12878">
        <v>84421600</v>
      </c>
      <c r="B12878">
        <v>2002826</v>
      </c>
      <c r="C12878" t="s">
        <v>6026</v>
      </c>
      <c r="D12878" t="s">
        <v>449</v>
      </c>
      <c r="E12878" t="s">
        <v>441</v>
      </c>
      <c r="F12878">
        <v>0.02</v>
      </c>
      <c r="H12878" t="s">
        <v>8574</v>
      </c>
      <c r="I12878">
        <v>360</v>
      </c>
      <c r="J12878" t="s">
        <v>450</v>
      </c>
      <c r="K12878" t="s">
        <v>446</v>
      </c>
      <c r="M12878">
        <v>0</v>
      </c>
    </row>
    <row r="12879" spans="1:13">
      <c r="A12879">
        <v>84421700</v>
      </c>
      <c r="B12879">
        <v>2002827</v>
      </c>
      <c r="C12879" t="s">
        <v>6027</v>
      </c>
      <c r="D12879" t="s">
        <v>449</v>
      </c>
      <c r="E12879" t="s">
        <v>441</v>
      </c>
      <c r="F12879">
        <v>1E-3</v>
      </c>
      <c r="G12879">
        <v>0</v>
      </c>
      <c r="H12879" t="s">
        <v>8574</v>
      </c>
      <c r="I12879">
        <v>720</v>
      </c>
      <c r="J12879" t="s">
        <v>450</v>
      </c>
      <c r="K12879" t="s">
        <v>446</v>
      </c>
      <c r="M12879">
        <v>0</v>
      </c>
    </row>
    <row r="12880" spans="1:13">
      <c r="A12880">
        <v>84421800</v>
      </c>
      <c r="B12880">
        <v>2002828</v>
      </c>
      <c r="C12880" t="s">
        <v>6028</v>
      </c>
      <c r="D12880" t="s">
        <v>449</v>
      </c>
      <c r="E12880" t="s">
        <v>441</v>
      </c>
      <c r="F12880">
        <v>0.02</v>
      </c>
      <c r="H12880" t="s">
        <v>8574</v>
      </c>
      <c r="I12880">
        <v>720</v>
      </c>
      <c r="J12880" t="s">
        <v>450</v>
      </c>
      <c r="K12880" t="s">
        <v>446</v>
      </c>
      <c r="M12880">
        <v>0</v>
      </c>
    </row>
    <row r="12881" spans="1:13">
      <c r="A12881">
        <v>84421900</v>
      </c>
      <c r="B12881">
        <v>2003547</v>
      </c>
      <c r="C12881" t="s">
        <v>6029</v>
      </c>
      <c r="D12881" t="s">
        <v>449</v>
      </c>
      <c r="E12881" t="s">
        <v>441</v>
      </c>
      <c r="F12881">
        <v>1.2E-2</v>
      </c>
      <c r="H12881" t="s">
        <v>8584</v>
      </c>
      <c r="I12881">
        <v>720</v>
      </c>
      <c r="J12881" t="s">
        <v>450</v>
      </c>
      <c r="K12881" t="s">
        <v>446</v>
      </c>
      <c r="M12881">
        <v>0</v>
      </c>
    </row>
    <row r="12882" spans="1:13">
      <c r="A12882">
        <v>84422000</v>
      </c>
      <c r="B12882">
        <v>2002829</v>
      </c>
      <c r="C12882" t="s">
        <v>6030</v>
      </c>
      <c r="D12882" t="s">
        <v>449</v>
      </c>
      <c r="E12882" t="s">
        <v>441</v>
      </c>
      <c r="F12882">
        <v>0.02</v>
      </c>
      <c r="H12882" t="s">
        <v>8574</v>
      </c>
      <c r="I12882">
        <v>1090</v>
      </c>
      <c r="J12882" t="s">
        <v>450</v>
      </c>
      <c r="M12882">
        <v>0</v>
      </c>
    </row>
    <row r="12883" spans="1:13">
      <c r="A12883">
        <v>84422100</v>
      </c>
      <c r="B12883">
        <v>2003548</v>
      </c>
      <c r="C12883" t="s">
        <v>6031</v>
      </c>
      <c r="D12883" t="s">
        <v>449</v>
      </c>
      <c r="E12883" t="s">
        <v>441</v>
      </c>
      <c r="F12883">
        <v>1.4999999999999999E-2</v>
      </c>
      <c r="H12883" t="s">
        <v>8584</v>
      </c>
      <c r="I12883">
        <v>720</v>
      </c>
      <c r="J12883" t="s">
        <v>450</v>
      </c>
      <c r="K12883" t="s">
        <v>446</v>
      </c>
      <c r="M12883">
        <v>0</v>
      </c>
    </row>
    <row r="12884" spans="1:13">
      <c r="A12884">
        <v>84422300</v>
      </c>
      <c r="B12884">
        <v>2003549</v>
      </c>
      <c r="C12884" t="s">
        <v>6032</v>
      </c>
      <c r="D12884" t="s">
        <v>442</v>
      </c>
      <c r="E12884" t="s">
        <v>441</v>
      </c>
      <c r="F12884">
        <v>1.4999999999999999E-2</v>
      </c>
      <c r="H12884" t="s">
        <v>8580</v>
      </c>
      <c r="I12884">
        <v>720</v>
      </c>
      <c r="J12884" t="s">
        <v>450</v>
      </c>
      <c r="K12884" t="s">
        <v>446</v>
      </c>
      <c r="M12884">
        <v>0</v>
      </c>
    </row>
    <row r="12885" spans="1:13">
      <c r="A12885">
        <v>84422400</v>
      </c>
      <c r="B12885">
        <v>2002830</v>
      </c>
      <c r="C12885" t="s">
        <v>6033</v>
      </c>
      <c r="D12885" t="s">
        <v>449</v>
      </c>
      <c r="E12885" t="s">
        <v>441</v>
      </c>
      <c r="F12885">
        <v>0.02</v>
      </c>
      <c r="H12885" t="s">
        <v>8574</v>
      </c>
      <c r="I12885">
        <v>720</v>
      </c>
      <c r="J12885" t="s">
        <v>450</v>
      </c>
      <c r="K12885" t="s">
        <v>446</v>
      </c>
      <c r="M12885">
        <v>0</v>
      </c>
    </row>
    <row r="12886" spans="1:13">
      <c r="A12886">
        <v>84422500</v>
      </c>
      <c r="B12886">
        <v>2002831</v>
      </c>
      <c r="C12886" t="s">
        <v>6034</v>
      </c>
      <c r="D12886" t="s">
        <v>449</v>
      </c>
      <c r="E12886" t="s">
        <v>441</v>
      </c>
      <c r="F12886">
        <v>0.02</v>
      </c>
      <c r="H12886" t="s">
        <v>8574</v>
      </c>
      <c r="I12886">
        <v>720</v>
      </c>
      <c r="J12886" t="s">
        <v>450</v>
      </c>
      <c r="K12886" t="s">
        <v>446</v>
      </c>
      <c r="M12886">
        <v>0</v>
      </c>
    </row>
    <row r="12887" spans="1:13">
      <c r="A12887">
        <v>84422600</v>
      </c>
      <c r="B12887">
        <v>2002832</v>
      </c>
      <c r="C12887" t="s">
        <v>6035</v>
      </c>
      <c r="D12887" t="s">
        <v>449</v>
      </c>
      <c r="E12887" t="s">
        <v>441</v>
      </c>
      <c r="F12887">
        <v>0.02</v>
      </c>
      <c r="H12887" t="s">
        <v>8574</v>
      </c>
      <c r="I12887">
        <v>720</v>
      </c>
      <c r="J12887" t="s">
        <v>450</v>
      </c>
      <c r="K12887" t="s">
        <v>446</v>
      </c>
      <c r="M12887">
        <v>0</v>
      </c>
    </row>
    <row r="12888" spans="1:13">
      <c r="A12888">
        <v>84422700</v>
      </c>
      <c r="B12888">
        <v>2002833</v>
      </c>
      <c r="C12888" t="s">
        <v>6036</v>
      </c>
      <c r="D12888" t="s">
        <v>449</v>
      </c>
      <c r="E12888" t="s">
        <v>441</v>
      </c>
      <c r="F12888">
        <v>0.02</v>
      </c>
      <c r="H12888" t="s">
        <v>8574</v>
      </c>
      <c r="I12888">
        <v>720</v>
      </c>
      <c r="J12888" t="s">
        <v>450</v>
      </c>
      <c r="K12888" t="s">
        <v>446</v>
      </c>
      <c r="M12888">
        <v>0</v>
      </c>
    </row>
    <row r="12889" spans="1:13">
      <c r="A12889">
        <v>84422800</v>
      </c>
      <c r="B12889">
        <v>2002834</v>
      </c>
      <c r="C12889" t="s">
        <v>6037</v>
      </c>
      <c r="D12889" t="s">
        <v>441</v>
      </c>
      <c r="F12889">
        <v>0</v>
      </c>
      <c r="H12889" t="s">
        <v>8574</v>
      </c>
      <c r="I12889">
        <v>270</v>
      </c>
      <c r="J12889" t="s">
        <v>450</v>
      </c>
      <c r="K12889" t="s">
        <v>446</v>
      </c>
      <c r="M12889">
        <v>0</v>
      </c>
    </row>
    <row r="12890" spans="1:13">
      <c r="A12890">
        <v>84423000</v>
      </c>
      <c r="B12890">
        <v>2002835</v>
      </c>
      <c r="C12890" t="s">
        <v>6038</v>
      </c>
      <c r="D12890" t="s">
        <v>449</v>
      </c>
      <c r="E12890" t="s">
        <v>441</v>
      </c>
      <c r="F12890">
        <v>0.02</v>
      </c>
      <c r="H12890" t="s">
        <v>8574</v>
      </c>
      <c r="I12890">
        <v>360</v>
      </c>
      <c r="J12890" t="s">
        <v>450</v>
      </c>
      <c r="K12890" t="s">
        <v>446</v>
      </c>
      <c r="M12890">
        <v>0</v>
      </c>
    </row>
    <row r="12891" spans="1:13">
      <c r="A12891">
        <v>84423100</v>
      </c>
      <c r="B12891">
        <v>2003574</v>
      </c>
      <c r="C12891" t="s">
        <v>6039</v>
      </c>
      <c r="D12891" t="s">
        <v>449</v>
      </c>
      <c r="F12891">
        <v>0</v>
      </c>
      <c r="H12891" t="s">
        <v>8574</v>
      </c>
      <c r="I12891">
        <v>720</v>
      </c>
      <c r="J12891" t="s">
        <v>450</v>
      </c>
      <c r="K12891" t="s">
        <v>446</v>
      </c>
      <c r="M12891">
        <v>0</v>
      </c>
    </row>
    <row r="12892" spans="1:13">
      <c r="A12892">
        <v>84423400</v>
      </c>
      <c r="B12892">
        <v>2002836</v>
      </c>
      <c r="C12892" t="s">
        <v>6040</v>
      </c>
      <c r="D12892" t="s">
        <v>449</v>
      </c>
      <c r="E12892" t="s">
        <v>441</v>
      </c>
      <c r="F12892">
        <v>0.02</v>
      </c>
      <c r="H12892" t="s">
        <v>8574</v>
      </c>
      <c r="I12892">
        <v>360</v>
      </c>
      <c r="J12892" t="s">
        <v>450</v>
      </c>
      <c r="K12892" t="s">
        <v>446</v>
      </c>
      <c r="M12892">
        <v>0</v>
      </c>
    </row>
    <row r="12893" spans="1:13">
      <c r="A12893">
        <v>84423500</v>
      </c>
      <c r="B12893">
        <v>2002837</v>
      </c>
      <c r="C12893" t="s">
        <v>6041</v>
      </c>
      <c r="D12893" t="s">
        <v>449</v>
      </c>
      <c r="E12893" t="s">
        <v>441</v>
      </c>
      <c r="F12893">
        <v>0.04</v>
      </c>
      <c r="H12893" t="s">
        <v>8574</v>
      </c>
      <c r="I12893">
        <v>720</v>
      </c>
      <c r="J12893" t="s">
        <v>450</v>
      </c>
      <c r="M12893">
        <v>0</v>
      </c>
    </row>
    <row r="12894" spans="1:13">
      <c r="A12894">
        <v>84423700</v>
      </c>
      <c r="B12894">
        <v>2002838</v>
      </c>
      <c r="C12894" t="s">
        <v>6042</v>
      </c>
      <c r="D12894" t="s">
        <v>449</v>
      </c>
      <c r="E12894" t="s">
        <v>441</v>
      </c>
      <c r="F12894">
        <v>0.02</v>
      </c>
      <c r="H12894" t="s">
        <v>8574</v>
      </c>
      <c r="I12894">
        <v>720</v>
      </c>
      <c r="J12894" t="s">
        <v>450</v>
      </c>
      <c r="K12894" t="s">
        <v>446</v>
      </c>
      <c r="M12894">
        <v>0</v>
      </c>
    </row>
    <row r="12895" spans="1:13">
      <c r="A12895">
        <v>84423900</v>
      </c>
      <c r="B12895">
        <v>2002839</v>
      </c>
      <c r="C12895" t="s">
        <v>6043</v>
      </c>
      <c r="D12895" t="s">
        <v>449</v>
      </c>
      <c r="E12895" t="s">
        <v>441</v>
      </c>
      <c r="F12895">
        <v>0.02</v>
      </c>
      <c r="H12895" t="s">
        <v>8574</v>
      </c>
      <c r="I12895">
        <v>1090</v>
      </c>
      <c r="J12895" t="s">
        <v>450</v>
      </c>
      <c r="K12895" t="s">
        <v>446</v>
      </c>
      <c r="M12895">
        <v>0</v>
      </c>
    </row>
    <row r="12896" spans="1:13">
      <c r="A12896">
        <v>84424000</v>
      </c>
      <c r="B12896">
        <v>2003550</v>
      </c>
      <c r="C12896" t="s">
        <v>6044</v>
      </c>
      <c r="D12896" t="s">
        <v>449</v>
      </c>
      <c r="E12896" t="s">
        <v>441</v>
      </c>
      <c r="F12896">
        <v>2.5000000000000001E-2</v>
      </c>
      <c r="H12896" t="s">
        <v>8584</v>
      </c>
      <c r="I12896">
        <v>720</v>
      </c>
      <c r="J12896" t="s">
        <v>450</v>
      </c>
      <c r="K12896" t="s">
        <v>446</v>
      </c>
      <c r="M12896">
        <v>0</v>
      </c>
    </row>
    <row r="12897" spans="1:13">
      <c r="A12897">
        <v>84424100</v>
      </c>
      <c r="B12897">
        <v>2003411</v>
      </c>
      <c r="C12897" t="s">
        <v>6045</v>
      </c>
      <c r="D12897" t="s">
        <v>449</v>
      </c>
      <c r="E12897" t="s">
        <v>441</v>
      </c>
      <c r="F12897">
        <v>0.02</v>
      </c>
      <c r="H12897" t="s">
        <v>8584</v>
      </c>
      <c r="I12897">
        <v>1090</v>
      </c>
      <c r="J12897" t="s">
        <v>450</v>
      </c>
      <c r="K12897" t="s">
        <v>446</v>
      </c>
      <c r="M12897">
        <v>0</v>
      </c>
    </row>
    <row r="12898" spans="1:13">
      <c r="A12898">
        <v>84424200</v>
      </c>
      <c r="B12898">
        <v>2003412</v>
      </c>
      <c r="C12898" t="s">
        <v>6046</v>
      </c>
      <c r="D12898" t="s">
        <v>449</v>
      </c>
      <c r="E12898" t="s">
        <v>441</v>
      </c>
      <c r="F12898">
        <v>1.4999999999999999E-2</v>
      </c>
      <c r="H12898" t="s">
        <v>8584</v>
      </c>
      <c r="I12898">
        <v>720</v>
      </c>
      <c r="J12898" t="s">
        <v>450</v>
      </c>
      <c r="K12898" t="s">
        <v>446</v>
      </c>
      <c r="M12898">
        <v>0</v>
      </c>
    </row>
    <row r="12899" spans="1:13">
      <c r="A12899">
        <v>84424300</v>
      </c>
      <c r="B12899">
        <v>2003413</v>
      </c>
      <c r="C12899" t="s">
        <v>6047</v>
      </c>
      <c r="D12899" t="s">
        <v>449</v>
      </c>
      <c r="E12899" t="s">
        <v>441</v>
      </c>
      <c r="F12899">
        <v>1.4999999999999999E-2</v>
      </c>
      <c r="H12899" t="s">
        <v>8584</v>
      </c>
      <c r="I12899">
        <v>1090</v>
      </c>
      <c r="J12899" t="s">
        <v>450</v>
      </c>
      <c r="K12899" t="s">
        <v>446</v>
      </c>
      <c r="M12899">
        <v>0</v>
      </c>
    </row>
    <row r="12900" spans="1:13">
      <c r="A12900">
        <v>84424400</v>
      </c>
      <c r="B12900">
        <v>2003414</v>
      </c>
      <c r="C12900" t="s">
        <v>6048</v>
      </c>
      <c r="D12900" t="s">
        <v>449</v>
      </c>
      <c r="E12900" t="s">
        <v>441</v>
      </c>
      <c r="F12900">
        <v>1.6E-2</v>
      </c>
      <c r="H12900" t="s">
        <v>8584</v>
      </c>
      <c r="I12900">
        <v>720</v>
      </c>
      <c r="J12900" t="s">
        <v>450</v>
      </c>
      <c r="K12900" t="s">
        <v>446</v>
      </c>
      <c r="M12900">
        <v>0</v>
      </c>
    </row>
    <row r="12901" spans="1:13">
      <c r="A12901">
        <v>84424500</v>
      </c>
      <c r="B12901">
        <v>2003415</v>
      </c>
      <c r="C12901" t="s">
        <v>6049</v>
      </c>
      <c r="D12901" t="s">
        <v>449</v>
      </c>
      <c r="E12901" t="s">
        <v>441</v>
      </c>
      <c r="F12901">
        <v>1.4E-2</v>
      </c>
      <c r="G12901">
        <v>0</v>
      </c>
      <c r="H12901" t="s">
        <v>8584</v>
      </c>
      <c r="I12901">
        <v>720</v>
      </c>
      <c r="J12901" t="s">
        <v>450</v>
      </c>
      <c r="K12901" t="s">
        <v>446</v>
      </c>
      <c r="M12901">
        <v>0</v>
      </c>
    </row>
    <row r="12902" spans="1:13">
      <c r="A12902">
        <v>84424600</v>
      </c>
      <c r="B12902">
        <v>2003416</v>
      </c>
      <c r="C12902" t="s">
        <v>6050</v>
      </c>
      <c r="D12902" t="s">
        <v>449</v>
      </c>
      <c r="E12902" t="s">
        <v>441</v>
      </c>
      <c r="F12902">
        <v>0.03</v>
      </c>
      <c r="H12902" t="s">
        <v>8584</v>
      </c>
      <c r="I12902">
        <v>720</v>
      </c>
      <c r="J12902" t="s">
        <v>450</v>
      </c>
      <c r="K12902" t="s">
        <v>446</v>
      </c>
      <c r="M12902">
        <v>0</v>
      </c>
    </row>
    <row r="12903" spans="1:13">
      <c r="A12903">
        <v>84424700</v>
      </c>
      <c r="B12903">
        <v>2003668</v>
      </c>
      <c r="C12903" t="s">
        <v>6051</v>
      </c>
      <c r="D12903" t="s">
        <v>449</v>
      </c>
      <c r="E12903" t="s">
        <v>441</v>
      </c>
      <c r="F12903">
        <v>0.02</v>
      </c>
      <c r="H12903" t="s">
        <v>8574</v>
      </c>
      <c r="I12903">
        <v>720</v>
      </c>
      <c r="J12903" t="s">
        <v>450</v>
      </c>
      <c r="K12903" t="s">
        <v>446</v>
      </c>
      <c r="M12903">
        <v>0</v>
      </c>
    </row>
    <row r="12904" spans="1:13">
      <c r="A12904">
        <v>84424800</v>
      </c>
      <c r="B12904">
        <v>2003764</v>
      </c>
      <c r="C12904" t="s">
        <v>6052</v>
      </c>
      <c r="D12904" t="s">
        <v>449</v>
      </c>
      <c r="E12904" t="s">
        <v>441</v>
      </c>
      <c r="F12904">
        <v>2E-3</v>
      </c>
      <c r="G12904">
        <v>0</v>
      </c>
      <c r="H12904" t="s">
        <v>8574</v>
      </c>
      <c r="I12904">
        <v>725</v>
      </c>
      <c r="J12904" t="s">
        <v>450</v>
      </c>
      <c r="K12904" t="s">
        <v>446</v>
      </c>
      <c r="M12904">
        <v>3143</v>
      </c>
    </row>
    <row r="12905" spans="1:13">
      <c r="A12905">
        <v>84424900</v>
      </c>
      <c r="B12905">
        <v>2003778</v>
      </c>
      <c r="C12905" t="s">
        <v>13981</v>
      </c>
      <c r="D12905" t="s">
        <v>449</v>
      </c>
      <c r="F12905">
        <v>0</v>
      </c>
      <c r="H12905" t="s">
        <v>8574</v>
      </c>
      <c r="I12905">
        <v>720</v>
      </c>
      <c r="J12905" t="s">
        <v>450</v>
      </c>
      <c r="K12905" t="s">
        <v>446</v>
      </c>
      <c r="M12905">
        <v>0</v>
      </c>
    </row>
    <row r="12906" spans="1:13">
      <c r="A12906">
        <v>84425000</v>
      </c>
      <c r="B12906">
        <v>2004163</v>
      </c>
      <c r="C12906" t="s">
        <v>6053</v>
      </c>
      <c r="D12906" t="s">
        <v>449</v>
      </c>
      <c r="F12906">
        <v>0</v>
      </c>
      <c r="H12906" t="s">
        <v>8574</v>
      </c>
      <c r="I12906">
        <v>720</v>
      </c>
      <c r="J12906" t="s">
        <v>450</v>
      </c>
      <c r="K12906" t="s">
        <v>446</v>
      </c>
      <c r="M12906">
        <v>3143</v>
      </c>
    </row>
    <row r="12907" spans="1:13">
      <c r="A12907">
        <v>84425100</v>
      </c>
      <c r="B12907">
        <v>2000962</v>
      </c>
      <c r="C12907" t="s">
        <v>6054</v>
      </c>
      <c r="D12907" t="s">
        <v>449</v>
      </c>
      <c r="E12907" t="s">
        <v>441</v>
      </c>
      <c r="F12907">
        <v>3.0000000000000001E-3</v>
      </c>
      <c r="H12907" t="s">
        <v>8574</v>
      </c>
      <c r="I12907">
        <v>720</v>
      </c>
      <c r="J12907" t="s">
        <v>450</v>
      </c>
      <c r="K12907" t="s">
        <v>446</v>
      </c>
      <c r="M12907">
        <v>0</v>
      </c>
    </row>
    <row r="12908" spans="1:13">
      <c r="A12908">
        <v>84425200</v>
      </c>
      <c r="B12908">
        <v>2004411</v>
      </c>
      <c r="C12908" t="s">
        <v>6055</v>
      </c>
      <c r="D12908" t="s">
        <v>449</v>
      </c>
      <c r="F12908">
        <v>0</v>
      </c>
      <c r="H12908" t="s">
        <v>8574</v>
      </c>
      <c r="I12908">
        <v>720</v>
      </c>
      <c r="J12908" t="s">
        <v>450</v>
      </c>
      <c r="K12908" t="s">
        <v>446</v>
      </c>
      <c r="M12908">
        <v>0</v>
      </c>
    </row>
    <row r="12909" spans="1:13">
      <c r="A12909">
        <v>84425300</v>
      </c>
      <c r="B12909">
        <v>2000626</v>
      </c>
      <c r="C12909" t="s">
        <v>6056</v>
      </c>
      <c r="D12909" t="s">
        <v>449</v>
      </c>
      <c r="E12909" t="s">
        <v>441</v>
      </c>
      <c r="F12909">
        <v>0.1</v>
      </c>
      <c r="H12909" t="s">
        <v>8574</v>
      </c>
      <c r="I12909">
        <v>720</v>
      </c>
      <c r="J12909" t="s">
        <v>450</v>
      </c>
      <c r="K12909" t="s">
        <v>446</v>
      </c>
      <c r="M12909">
        <v>7121</v>
      </c>
    </row>
    <row r="12910" spans="1:13">
      <c r="A12910">
        <v>84425400</v>
      </c>
      <c r="B12910">
        <v>2004509</v>
      </c>
      <c r="C12910" t="s">
        <v>6057</v>
      </c>
      <c r="D12910" t="s">
        <v>449</v>
      </c>
      <c r="F12910">
        <v>0</v>
      </c>
      <c r="H12910" t="s">
        <v>8574</v>
      </c>
      <c r="I12910">
        <v>720</v>
      </c>
      <c r="J12910" t="s">
        <v>450</v>
      </c>
      <c r="K12910" t="s">
        <v>446</v>
      </c>
      <c r="M12910">
        <v>0</v>
      </c>
    </row>
    <row r="12911" spans="1:13">
      <c r="A12911">
        <v>84425500</v>
      </c>
      <c r="B12911">
        <v>2005011</v>
      </c>
      <c r="C12911" t="s">
        <v>6058</v>
      </c>
      <c r="D12911" t="s">
        <v>449</v>
      </c>
      <c r="E12911" t="s">
        <v>441</v>
      </c>
      <c r="F12911">
        <v>1E-3</v>
      </c>
      <c r="H12911" t="s">
        <v>8574</v>
      </c>
      <c r="I12911">
        <v>360</v>
      </c>
      <c r="J12911" t="s">
        <v>450</v>
      </c>
      <c r="K12911" t="s">
        <v>446</v>
      </c>
      <c r="M12911">
        <v>0</v>
      </c>
    </row>
    <row r="12912" spans="1:13">
      <c r="A12912">
        <v>84425600</v>
      </c>
      <c r="B12912">
        <v>2005084</v>
      </c>
      <c r="C12912" t="s">
        <v>6059</v>
      </c>
      <c r="D12912" t="s">
        <v>449</v>
      </c>
      <c r="F12912">
        <v>0</v>
      </c>
      <c r="H12912" t="s">
        <v>8574</v>
      </c>
      <c r="I12912">
        <v>720</v>
      </c>
      <c r="J12912" t="s">
        <v>450</v>
      </c>
      <c r="K12912" t="s">
        <v>446</v>
      </c>
      <c r="M12912">
        <v>0</v>
      </c>
    </row>
    <row r="12913" spans="1:13">
      <c r="A12913">
        <v>84425700</v>
      </c>
      <c r="B12913">
        <v>2005503</v>
      </c>
      <c r="C12913" t="s">
        <v>6060</v>
      </c>
      <c r="D12913" t="s">
        <v>449</v>
      </c>
      <c r="E12913" t="s">
        <v>441</v>
      </c>
      <c r="F12913">
        <v>1E-3</v>
      </c>
      <c r="H12913" t="s">
        <v>8574</v>
      </c>
      <c r="I12913">
        <v>725</v>
      </c>
      <c r="J12913" t="s">
        <v>450</v>
      </c>
      <c r="K12913" t="s">
        <v>446</v>
      </c>
      <c r="M12913">
        <v>3143</v>
      </c>
    </row>
    <row r="12914" spans="1:13">
      <c r="A12914">
        <v>84425800</v>
      </c>
      <c r="B12914">
        <v>2006012</v>
      </c>
      <c r="C12914" t="s">
        <v>13982</v>
      </c>
      <c r="D12914" t="s">
        <v>449</v>
      </c>
      <c r="F12914">
        <v>0</v>
      </c>
      <c r="H12914" t="s">
        <v>8637</v>
      </c>
      <c r="I12914">
        <v>360</v>
      </c>
      <c r="J12914" t="s">
        <v>450</v>
      </c>
      <c r="K12914" t="s">
        <v>446</v>
      </c>
      <c r="M12914">
        <v>0</v>
      </c>
    </row>
    <row r="12915" spans="1:13">
      <c r="A12915">
        <v>84425900</v>
      </c>
      <c r="B12915">
        <v>2004130</v>
      </c>
      <c r="C12915" t="s">
        <v>6061</v>
      </c>
      <c r="D12915" t="s">
        <v>449</v>
      </c>
      <c r="E12915" t="s">
        <v>441</v>
      </c>
      <c r="F12915">
        <v>3.0000000000000001E-3</v>
      </c>
      <c r="H12915" t="s">
        <v>8574</v>
      </c>
      <c r="I12915">
        <v>720</v>
      </c>
      <c r="J12915" t="s">
        <v>450</v>
      </c>
      <c r="K12915" t="s">
        <v>446</v>
      </c>
      <c r="M12915">
        <v>0</v>
      </c>
    </row>
    <row r="12916" spans="1:13">
      <c r="A12916">
        <v>84426000</v>
      </c>
      <c r="B12916">
        <v>2006069</v>
      </c>
      <c r="C12916" t="s">
        <v>13983</v>
      </c>
      <c r="D12916" t="s">
        <v>449</v>
      </c>
      <c r="F12916">
        <v>0</v>
      </c>
      <c r="I12916">
        <v>360</v>
      </c>
      <c r="J12916" t="s">
        <v>450</v>
      </c>
      <c r="K12916" t="s">
        <v>446</v>
      </c>
      <c r="M12916">
        <v>0</v>
      </c>
    </row>
    <row r="12917" spans="1:13">
      <c r="A12917">
        <v>84426100</v>
      </c>
      <c r="B12917">
        <v>2001690</v>
      </c>
      <c r="C12917" t="s">
        <v>13984</v>
      </c>
      <c r="D12917" t="s">
        <v>441</v>
      </c>
      <c r="F12917">
        <v>0</v>
      </c>
      <c r="H12917" t="s">
        <v>13985</v>
      </c>
      <c r="I12917">
        <v>1095</v>
      </c>
      <c r="J12917" t="s">
        <v>450</v>
      </c>
      <c r="K12917" t="s">
        <v>446</v>
      </c>
      <c r="M12917">
        <v>0</v>
      </c>
    </row>
    <row r="12918" spans="1:13">
      <c r="A12918">
        <v>84426200</v>
      </c>
      <c r="B12918">
        <v>2006435</v>
      </c>
      <c r="C12918" t="s">
        <v>13986</v>
      </c>
      <c r="D12918" t="s">
        <v>449</v>
      </c>
      <c r="F12918">
        <v>0</v>
      </c>
      <c r="G12918">
        <v>0</v>
      </c>
      <c r="H12918" t="s">
        <v>8580</v>
      </c>
      <c r="I12918">
        <v>725</v>
      </c>
      <c r="J12918" t="s">
        <v>450</v>
      </c>
      <c r="M12918">
        <v>0</v>
      </c>
    </row>
    <row r="12919" spans="1:13">
      <c r="A12919">
        <v>84426300</v>
      </c>
      <c r="B12919">
        <v>2006433</v>
      </c>
      <c r="C12919" t="s">
        <v>13987</v>
      </c>
      <c r="D12919" t="s">
        <v>441</v>
      </c>
      <c r="F12919">
        <v>0</v>
      </c>
      <c r="H12919" t="s">
        <v>13985</v>
      </c>
      <c r="I12919">
        <v>720</v>
      </c>
      <c r="J12919" t="s">
        <v>450</v>
      </c>
      <c r="M12919">
        <v>3895</v>
      </c>
    </row>
    <row r="12920" spans="1:13">
      <c r="A12920">
        <v>84426400</v>
      </c>
      <c r="B12920">
        <v>2004110</v>
      </c>
      <c r="C12920" t="s">
        <v>6062</v>
      </c>
      <c r="D12920" t="s">
        <v>449</v>
      </c>
      <c r="E12920" t="s">
        <v>441</v>
      </c>
      <c r="F12920">
        <v>3.0000000000000001E-3</v>
      </c>
      <c r="H12920" t="s">
        <v>8574</v>
      </c>
      <c r="I12920">
        <v>720</v>
      </c>
      <c r="J12920" t="s">
        <v>450</v>
      </c>
      <c r="K12920" t="s">
        <v>446</v>
      </c>
      <c r="M12920">
        <v>0</v>
      </c>
    </row>
    <row r="12921" spans="1:13">
      <c r="A12921">
        <v>84426500</v>
      </c>
      <c r="B12921">
        <v>2006550</v>
      </c>
      <c r="C12921" t="s">
        <v>6063</v>
      </c>
      <c r="D12921" t="s">
        <v>449</v>
      </c>
      <c r="F12921">
        <v>0</v>
      </c>
      <c r="I12921">
        <v>725</v>
      </c>
      <c r="J12921" t="s">
        <v>450</v>
      </c>
      <c r="K12921" t="s">
        <v>446</v>
      </c>
      <c r="M12921">
        <v>0</v>
      </c>
    </row>
    <row r="12922" spans="1:13">
      <c r="A12922">
        <v>84426600</v>
      </c>
      <c r="B12922">
        <v>2006936</v>
      </c>
      <c r="C12922" t="s">
        <v>6064</v>
      </c>
      <c r="D12922" t="s">
        <v>449</v>
      </c>
      <c r="E12922" t="s">
        <v>441</v>
      </c>
      <c r="F12922">
        <v>0.01</v>
      </c>
      <c r="H12922" t="s">
        <v>8574</v>
      </c>
      <c r="I12922">
        <v>1090</v>
      </c>
      <c r="J12922" t="s">
        <v>450</v>
      </c>
      <c r="K12922" t="s">
        <v>446</v>
      </c>
      <c r="M12922">
        <v>0</v>
      </c>
    </row>
    <row r="12923" spans="1:13">
      <c r="A12923">
        <v>84426700</v>
      </c>
      <c r="B12923">
        <v>2007315</v>
      </c>
      <c r="C12923" t="s">
        <v>6065</v>
      </c>
      <c r="D12923" t="s">
        <v>449</v>
      </c>
      <c r="F12923">
        <v>0</v>
      </c>
      <c r="H12923" t="s">
        <v>8574</v>
      </c>
      <c r="I12923">
        <v>720</v>
      </c>
      <c r="J12923" t="s">
        <v>450</v>
      </c>
      <c r="K12923" t="s">
        <v>446</v>
      </c>
      <c r="M12923">
        <v>0</v>
      </c>
    </row>
    <row r="12924" spans="1:13">
      <c r="A12924">
        <v>84426800</v>
      </c>
      <c r="B12924">
        <v>2007467</v>
      </c>
      <c r="C12924" t="s">
        <v>13988</v>
      </c>
      <c r="D12924" t="s">
        <v>441</v>
      </c>
      <c r="F12924">
        <v>0</v>
      </c>
      <c r="H12924" t="s">
        <v>8574</v>
      </c>
      <c r="I12924">
        <v>240</v>
      </c>
      <c r="J12924" t="s">
        <v>450</v>
      </c>
      <c r="K12924" t="s">
        <v>446</v>
      </c>
      <c r="M12924">
        <v>0</v>
      </c>
    </row>
    <row r="12925" spans="1:13">
      <c r="A12925">
        <v>84426900</v>
      </c>
      <c r="B12925">
        <v>2007870</v>
      </c>
      <c r="C12925" t="s">
        <v>322</v>
      </c>
      <c r="D12925" t="s">
        <v>449</v>
      </c>
      <c r="E12925" t="s">
        <v>441</v>
      </c>
      <c r="F12925">
        <v>0.01</v>
      </c>
      <c r="G12925">
        <v>0</v>
      </c>
      <c r="H12925" t="s">
        <v>8574</v>
      </c>
      <c r="I12925">
        <v>420</v>
      </c>
      <c r="J12925" t="s">
        <v>450</v>
      </c>
      <c r="M12925">
        <v>0</v>
      </c>
    </row>
    <row r="12926" spans="1:13">
      <c r="A12926">
        <v>84427000</v>
      </c>
      <c r="B12926">
        <v>2005045</v>
      </c>
      <c r="C12926" t="s">
        <v>6066</v>
      </c>
      <c r="D12926" t="s">
        <v>449</v>
      </c>
      <c r="E12926" t="s">
        <v>441</v>
      </c>
      <c r="F12926">
        <v>1E-3</v>
      </c>
      <c r="H12926" t="s">
        <v>8574</v>
      </c>
      <c r="I12926">
        <v>547</v>
      </c>
      <c r="J12926" t="s">
        <v>450</v>
      </c>
      <c r="K12926" t="s">
        <v>446</v>
      </c>
      <c r="M12926">
        <v>0</v>
      </c>
    </row>
    <row r="12927" spans="1:13">
      <c r="A12927">
        <v>84427100</v>
      </c>
      <c r="B12927">
        <v>2008028</v>
      </c>
      <c r="C12927" t="s">
        <v>13989</v>
      </c>
      <c r="D12927" t="s">
        <v>449</v>
      </c>
      <c r="E12927" t="s">
        <v>441</v>
      </c>
      <c r="F12927">
        <v>1E-3</v>
      </c>
      <c r="H12927" t="s">
        <v>8580</v>
      </c>
      <c r="I12927">
        <v>1080</v>
      </c>
      <c r="J12927" t="s">
        <v>450</v>
      </c>
      <c r="M12927">
        <v>0</v>
      </c>
    </row>
    <row r="12928" spans="1:13">
      <c r="A12928">
        <v>84427200</v>
      </c>
      <c r="B12928">
        <v>2008384</v>
      </c>
      <c r="C12928" t="s">
        <v>6067</v>
      </c>
      <c r="D12928" t="s">
        <v>449</v>
      </c>
      <c r="F12928">
        <v>0</v>
      </c>
      <c r="H12928" t="s">
        <v>8574</v>
      </c>
      <c r="I12928">
        <v>1090</v>
      </c>
      <c r="J12928" t="s">
        <v>450</v>
      </c>
      <c r="M12928">
        <v>0</v>
      </c>
    </row>
    <row r="12929" spans="1:13">
      <c r="A12929">
        <v>84427300</v>
      </c>
      <c r="B12929">
        <v>2008606</v>
      </c>
      <c r="C12929" t="s">
        <v>13990</v>
      </c>
      <c r="D12929" t="s">
        <v>449</v>
      </c>
      <c r="F12929">
        <v>0</v>
      </c>
      <c r="I12929">
        <v>720</v>
      </c>
      <c r="J12929" t="s">
        <v>450</v>
      </c>
      <c r="K12929" t="s">
        <v>446</v>
      </c>
      <c r="M12929">
        <v>0</v>
      </c>
    </row>
    <row r="12930" spans="1:13">
      <c r="A12930">
        <v>84427400</v>
      </c>
      <c r="B12930">
        <v>2008604</v>
      </c>
      <c r="C12930" t="s">
        <v>13991</v>
      </c>
      <c r="D12930" t="s">
        <v>449</v>
      </c>
      <c r="F12930">
        <v>0</v>
      </c>
      <c r="H12930" t="s">
        <v>8580</v>
      </c>
      <c r="I12930">
        <v>720</v>
      </c>
      <c r="J12930" t="s">
        <v>450</v>
      </c>
      <c r="K12930" t="s">
        <v>446</v>
      </c>
      <c r="M12930">
        <v>0</v>
      </c>
    </row>
    <row r="12931" spans="1:13">
      <c r="A12931">
        <v>84427500</v>
      </c>
      <c r="B12931">
        <v>2008997</v>
      </c>
      <c r="C12931" t="s">
        <v>6068</v>
      </c>
      <c r="D12931" t="s">
        <v>442</v>
      </c>
      <c r="E12931" t="s">
        <v>441</v>
      </c>
      <c r="F12931">
        <v>2.4E-2</v>
      </c>
      <c r="H12931" t="s">
        <v>8583</v>
      </c>
      <c r="I12931">
        <v>730</v>
      </c>
      <c r="J12931" t="s">
        <v>450</v>
      </c>
      <c r="K12931" t="s">
        <v>446</v>
      </c>
      <c r="M12931">
        <v>7121</v>
      </c>
    </row>
    <row r="12932" spans="1:13">
      <c r="A12932">
        <v>84427600</v>
      </c>
      <c r="B12932">
        <v>2009044</v>
      </c>
      <c r="C12932" t="s">
        <v>6069</v>
      </c>
      <c r="D12932" t="s">
        <v>449</v>
      </c>
      <c r="F12932">
        <v>0</v>
      </c>
      <c r="G12932">
        <v>0</v>
      </c>
      <c r="H12932" t="s">
        <v>8580</v>
      </c>
      <c r="I12932">
        <v>360</v>
      </c>
      <c r="J12932" t="s">
        <v>450</v>
      </c>
      <c r="K12932" t="s">
        <v>446</v>
      </c>
      <c r="M12932">
        <v>0</v>
      </c>
    </row>
    <row r="12933" spans="1:13">
      <c r="A12933">
        <v>84427700</v>
      </c>
      <c r="B12933">
        <v>2009294</v>
      </c>
      <c r="C12933" t="s">
        <v>6070</v>
      </c>
      <c r="D12933" t="s">
        <v>449</v>
      </c>
      <c r="E12933" t="s">
        <v>441</v>
      </c>
      <c r="F12933">
        <v>0.01</v>
      </c>
      <c r="H12933" t="s">
        <v>8580</v>
      </c>
      <c r="I12933">
        <v>720</v>
      </c>
      <c r="J12933" t="s">
        <v>450</v>
      </c>
      <c r="K12933" t="s">
        <v>446</v>
      </c>
      <c r="M12933">
        <v>0</v>
      </c>
    </row>
    <row r="12934" spans="1:13">
      <c r="A12934">
        <v>84427800</v>
      </c>
      <c r="B12934">
        <v>2009333</v>
      </c>
      <c r="C12934" t="s">
        <v>6071</v>
      </c>
      <c r="D12934" t="s">
        <v>441</v>
      </c>
      <c r="F12934">
        <v>0</v>
      </c>
      <c r="H12934" t="s">
        <v>8580</v>
      </c>
      <c r="I12934">
        <v>360</v>
      </c>
      <c r="J12934" t="s">
        <v>450</v>
      </c>
      <c r="K12934" t="s">
        <v>446</v>
      </c>
      <c r="M12934">
        <v>0</v>
      </c>
    </row>
    <row r="12935" spans="1:13">
      <c r="A12935">
        <v>84427900</v>
      </c>
      <c r="B12935">
        <v>2002735</v>
      </c>
      <c r="C12935" t="s">
        <v>13992</v>
      </c>
      <c r="D12935" t="s">
        <v>449</v>
      </c>
      <c r="E12935" t="s">
        <v>441</v>
      </c>
      <c r="F12935">
        <v>0.02</v>
      </c>
      <c r="H12935" t="s">
        <v>13985</v>
      </c>
      <c r="I12935">
        <v>1095</v>
      </c>
      <c r="J12935" t="s">
        <v>450</v>
      </c>
      <c r="K12935" t="s">
        <v>446</v>
      </c>
      <c r="M12935">
        <v>0</v>
      </c>
    </row>
    <row r="12936" spans="1:13">
      <c r="A12936">
        <v>84428000</v>
      </c>
      <c r="B12936">
        <v>2010410</v>
      </c>
      <c r="C12936" t="s">
        <v>14630</v>
      </c>
      <c r="D12936" t="s">
        <v>441</v>
      </c>
      <c r="F12936">
        <v>0</v>
      </c>
      <c r="I12936">
        <v>183</v>
      </c>
      <c r="J12936" t="s">
        <v>450</v>
      </c>
      <c r="M12936">
        <v>0</v>
      </c>
    </row>
    <row r="12937" spans="1:13">
      <c r="A12937">
        <v>84428100</v>
      </c>
      <c r="B12937">
        <v>2010236</v>
      </c>
      <c r="C12937" t="s">
        <v>13993</v>
      </c>
      <c r="D12937" t="s">
        <v>449</v>
      </c>
      <c r="E12937" t="s">
        <v>441</v>
      </c>
      <c r="F12937">
        <v>0.01</v>
      </c>
      <c r="H12937" t="s">
        <v>8580</v>
      </c>
      <c r="I12937">
        <v>360</v>
      </c>
      <c r="J12937" t="s">
        <v>450</v>
      </c>
      <c r="M12937">
        <v>0</v>
      </c>
    </row>
    <row r="12938" spans="1:13">
      <c r="A12938">
        <v>84428200</v>
      </c>
      <c r="B12938">
        <v>2010593</v>
      </c>
      <c r="C12938" t="s">
        <v>6072</v>
      </c>
      <c r="D12938" t="s">
        <v>449</v>
      </c>
      <c r="E12938" t="s">
        <v>441</v>
      </c>
      <c r="F12938">
        <v>3.0000000000000001E-3</v>
      </c>
      <c r="H12938" t="s">
        <v>8580</v>
      </c>
      <c r="I12938">
        <v>1095</v>
      </c>
      <c r="J12938" t="s">
        <v>450</v>
      </c>
      <c r="M12938">
        <v>0</v>
      </c>
    </row>
    <row r="12939" spans="1:13">
      <c r="A12939">
        <v>84428300</v>
      </c>
      <c r="B12939">
        <v>2009359</v>
      </c>
      <c r="C12939" t="s">
        <v>6073</v>
      </c>
      <c r="D12939" t="s">
        <v>449</v>
      </c>
      <c r="E12939" t="s">
        <v>441</v>
      </c>
      <c r="F12939">
        <v>1E-3</v>
      </c>
      <c r="I12939">
        <v>730</v>
      </c>
      <c r="J12939" t="s">
        <v>450</v>
      </c>
      <c r="M12939">
        <v>0</v>
      </c>
    </row>
    <row r="12940" spans="1:13">
      <c r="A12940">
        <v>84428400</v>
      </c>
      <c r="B12940">
        <v>2010956</v>
      </c>
      <c r="C12940" t="s">
        <v>6074</v>
      </c>
      <c r="D12940" t="s">
        <v>449</v>
      </c>
      <c r="E12940" t="s">
        <v>441</v>
      </c>
      <c r="F12940">
        <v>1E-3</v>
      </c>
      <c r="H12940" t="s">
        <v>8580</v>
      </c>
      <c r="I12940">
        <v>360</v>
      </c>
      <c r="J12940" t="s">
        <v>450</v>
      </c>
      <c r="K12940" t="s">
        <v>446</v>
      </c>
      <c r="M12940">
        <v>0</v>
      </c>
    </row>
    <row r="12941" spans="1:13">
      <c r="A12941">
        <v>84428500</v>
      </c>
      <c r="B12941">
        <v>2005448</v>
      </c>
      <c r="C12941" t="s">
        <v>6075</v>
      </c>
      <c r="D12941" t="s">
        <v>449</v>
      </c>
      <c r="F12941">
        <v>0</v>
      </c>
      <c r="H12941" t="s">
        <v>8574</v>
      </c>
      <c r="I12941">
        <v>730</v>
      </c>
      <c r="J12941" t="s">
        <v>450</v>
      </c>
      <c r="K12941" t="s">
        <v>446</v>
      </c>
      <c r="M12941">
        <v>0</v>
      </c>
    </row>
    <row r="12942" spans="1:13">
      <c r="A12942">
        <v>84428600</v>
      </c>
      <c r="B12942">
        <v>2011894</v>
      </c>
      <c r="C12942" t="s">
        <v>6076</v>
      </c>
      <c r="D12942" t="s">
        <v>441</v>
      </c>
      <c r="F12942">
        <v>0</v>
      </c>
      <c r="H12942" t="s">
        <v>8584</v>
      </c>
      <c r="I12942">
        <v>365</v>
      </c>
      <c r="J12942" t="s">
        <v>450</v>
      </c>
      <c r="M12942">
        <v>0</v>
      </c>
    </row>
    <row r="12943" spans="1:13">
      <c r="A12943">
        <v>84428700</v>
      </c>
      <c r="B12943">
        <v>2012033</v>
      </c>
      <c r="C12943" t="s">
        <v>6077</v>
      </c>
      <c r="D12943" t="s">
        <v>449</v>
      </c>
      <c r="E12943" t="s">
        <v>441</v>
      </c>
      <c r="F12943">
        <v>0.01</v>
      </c>
      <c r="H12943" t="s">
        <v>8580</v>
      </c>
      <c r="I12943">
        <v>720</v>
      </c>
      <c r="J12943" t="s">
        <v>450</v>
      </c>
      <c r="K12943" t="s">
        <v>446</v>
      </c>
      <c r="M12943">
        <v>0</v>
      </c>
    </row>
    <row r="12944" spans="1:13">
      <c r="A12944">
        <v>84428800</v>
      </c>
      <c r="B12944">
        <v>2000638</v>
      </c>
      <c r="C12944" t="s">
        <v>6078</v>
      </c>
      <c r="D12944" t="s">
        <v>449</v>
      </c>
      <c r="E12944" t="s">
        <v>441</v>
      </c>
      <c r="F12944">
        <v>0.01</v>
      </c>
      <c r="H12944" t="s">
        <v>8574</v>
      </c>
      <c r="I12944">
        <v>360</v>
      </c>
      <c r="J12944" t="s">
        <v>450</v>
      </c>
      <c r="K12944" t="s">
        <v>446</v>
      </c>
      <c r="M12944">
        <v>0</v>
      </c>
    </row>
    <row r="12945" spans="1:13">
      <c r="A12945">
        <v>84428900</v>
      </c>
      <c r="B12945">
        <v>2012753</v>
      </c>
      <c r="C12945" t="s">
        <v>6079</v>
      </c>
      <c r="D12945" t="s">
        <v>449</v>
      </c>
      <c r="E12945" t="s">
        <v>441</v>
      </c>
      <c r="F12945">
        <v>0.01</v>
      </c>
      <c r="H12945" t="s">
        <v>8622</v>
      </c>
      <c r="I12945">
        <v>720</v>
      </c>
      <c r="J12945" t="s">
        <v>450</v>
      </c>
      <c r="M12945">
        <v>0</v>
      </c>
    </row>
    <row r="12946" spans="1:13">
      <c r="A12946">
        <v>84429000</v>
      </c>
      <c r="B12946">
        <v>2013860</v>
      </c>
      <c r="C12946" t="s">
        <v>6080</v>
      </c>
      <c r="D12946" t="s">
        <v>441</v>
      </c>
      <c r="F12946">
        <v>0</v>
      </c>
      <c r="H12946" t="s">
        <v>8580</v>
      </c>
      <c r="I12946">
        <v>183</v>
      </c>
      <c r="J12946" t="s">
        <v>450</v>
      </c>
      <c r="M12946">
        <v>0</v>
      </c>
    </row>
    <row r="12947" spans="1:13">
      <c r="A12947">
        <v>85011600</v>
      </c>
      <c r="B12947">
        <v>2002840</v>
      </c>
      <c r="C12947" t="s">
        <v>6081</v>
      </c>
      <c r="D12947" t="s">
        <v>449</v>
      </c>
      <c r="E12947" t="s">
        <v>441</v>
      </c>
      <c r="F12947">
        <v>0.04</v>
      </c>
      <c r="H12947" t="s">
        <v>8576</v>
      </c>
      <c r="I12947">
        <v>360</v>
      </c>
      <c r="J12947" t="s">
        <v>450</v>
      </c>
      <c r="K12947" t="s">
        <v>446</v>
      </c>
      <c r="M12947">
        <v>0</v>
      </c>
    </row>
    <row r="12948" spans="1:13">
      <c r="A12948">
        <v>85012300</v>
      </c>
      <c r="B12948">
        <v>2002841</v>
      </c>
      <c r="C12948" t="s">
        <v>6082</v>
      </c>
      <c r="D12948" t="s">
        <v>449</v>
      </c>
      <c r="E12948" t="s">
        <v>441</v>
      </c>
      <c r="F12948">
        <v>7.0000000000000007E-2</v>
      </c>
      <c r="H12948" t="s">
        <v>8576</v>
      </c>
      <c r="I12948">
        <v>360</v>
      </c>
      <c r="J12948" t="s">
        <v>450</v>
      </c>
      <c r="K12948" t="s">
        <v>446</v>
      </c>
      <c r="M12948">
        <v>0</v>
      </c>
    </row>
    <row r="12949" spans="1:13">
      <c r="A12949">
        <v>85012400</v>
      </c>
      <c r="B12949">
        <v>2002842</v>
      </c>
      <c r="C12949" t="s">
        <v>14631</v>
      </c>
      <c r="D12949" t="s">
        <v>449</v>
      </c>
      <c r="E12949" t="s">
        <v>441</v>
      </c>
      <c r="F12949">
        <v>0.108</v>
      </c>
      <c r="H12949" t="s">
        <v>8576</v>
      </c>
      <c r="I12949">
        <v>360</v>
      </c>
      <c r="J12949" t="s">
        <v>450</v>
      </c>
      <c r="M12949">
        <v>0</v>
      </c>
    </row>
    <row r="12950" spans="1:13">
      <c r="A12950">
        <v>85013000</v>
      </c>
      <c r="B12950">
        <v>2002843</v>
      </c>
      <c r="C12950" t="s">
        <v>6084</v>
      </c>
      <c r="D12950" t="s">
        <v>449</v>
      </c>
      <c r="E12950" t="s">
        <v>441</v>
      </c>
      <c r="F12950">
        <v>2.8000000000000001E-2</v>
      </c>
      <c r="H12950" t="s">
        <v>8576</v>
      </c>
      <c r="I12950">
        <v>360</v>
      </c>
      <c r="J12950" t="s">
        <v>450</v>
      </c>
      <c r="K12950" t="s">
        <v>446</v>
      </c>
      <c r="M12950">
        <v>0</v>
      </c>
    </row>
    <row r="12951" spans="1:13">
      <c r="A12951">
        <v>85013300</v>
      </c>
      <c r="B12951">
        <v>2002844</v>
      </c>
      <c r="C12951" t="s">
        <v>6085</v>
      </c>
      <c r="D12951" t="s">
        <v>449</v>
      </c>
      <c r="E12951" t="s">
        <v>441</v>
      </c>
      <c r="F12951">
        <v>9.1999999999999998E-2</v>
      </c>
      <c r="H12951" t="s">
        <v>8576</v>
      </c>
      <c r="I12951">
        <v>360</v>
      </c>
      <c r="J12951" t="s">
        <v>450</v>
      </c>
      <c r="K12951" t="s">
        <v>446</v>
      </c>
      <c r="M12951">
        <v>0</v>
      </c>
    </row>
    <row r="12952" spans="1:13">
      <c r="A12952">
        <v>85014000</v>
      </c>
      <c r="B12952">
        <v>2001075</v>
      </c>
      <c r="C12952" t="s">
        <v>6086</v>
      </c>
      <c r="D12952" t="s">
        <v>449</v>
      </c>
      <c r="E12952" t="s">
        <v>441</v>
      </c>
      <c r="F12952">
        <v>8.0000000000000002E-3</v>
      </c>
      <c r="G12952">
        <v>0</v>
      </c>
      <c r="H12952" t="s">
        <v>8574</v>
      </c>
      <c r="I12952">
        <v>360</v>
      </c>
      <c r="J12952" t="s">
        <v>450</v>
      </c>
      <c r="K12952" t="s">
        <v>446</v>
      </c>
      <c r="M12952">
        <v>0</v>
      </c>
    </row>
    <row r="12953" spans="1:13">
      <c r="A12953">
        <v>85014200</v>
      </c>
      <c r="B12953">
        <v>2001076</v>
      </c>
      <c r="C12953" t="s">
        <v>6087</v>
      </c>
      <c r="D12953" t="s">
        <v>449</v>
      </c>
      <c r="E12953" t="s">
        <v>441</v>
      </c>
      <c r="F12953">
        <v>2.8000000000000001E-2</v>
      </c>
      <c r="H12953" t="s">
        <v>8574</v>
      </c>
      <c r="I12953">
        <v>365</v>
      </c>
      <c r="J12953" t="s">
        <v>450</v>
      </c>
      <c r="M12953">
        <v>0</v>
      </c>
    </row>
    <row r="12954" spans="1:13">
      <c r="A12954">
        <v>85015900</v>
      </c>
      <c r="B12954">
        <v>2002845</v>
      </c>
      <c r="C12954" t="s">
        <v>13994</v>
      </c>
      <c r="D12954" t="s">
        <v>441</v>
      </c>
      <c r="F12954">
        <v>0</v>
      </c>
      <c r="H12954" t="s">
        <v>8576</v>
      </c>
      <c r="I12954">
        <v>360</v>
      </c>
      <c r="J12954" t="s">
        <v>450</v>
      </c>
      <c r="K12954" t="s">
        <v>446</v>
      </c>
      <c r="M12954">
        <v>2611</v>
      </c>
    </row>
    <row r="12955" spans="1:13">
      <c r="A12955">
        <v>85017100</v>
      </c>
      <c r="B12955">
        <v>2002846</v>
      </c>
      <c r="C12955" t="s">
        <v>6088</v>
      </c>
      <c r="D12955" t="s">
        <v>449</v>
      </c>
      <c r="E12955" t="s">
        <v>441</v>
      </c>
      <c r="F12955">
        <v>3.4000000000000002E-2</v>
      </c>
      <c r="G12955">
        <v>0</v>
      </c>
      <c r="H12955" t="s">
        <v>8576</v>
      </c>
      <c r="I12955">
        <v>540</v>
      </c>
      <c r="J12955" t="s">
        <v>450</v>
      </c>
      <c r="K12955" t="s">
        <v>446</v>
      </c>
      <c r="M12955">
        <v>0</v>
      </c>
    </row>
    <row r="12956" spans="1:13">
      <c r="A12956">
        <v>85019400</v>
      </c>
      <c r="B12956">
        <v>2002783</v>
      </c>
      <c r="C12956" t="s">
        <v>6089</v>
      </c>
      <c r="D12956" t="s">
        <v>449</v>
      </c>
      <c r="E12956" t="s">
        <v>441</v>
      </c>
      <c r="F12956">
        <v>7.0000000000000007E-2</v>
      </c>
      <c r="H12956" t="s">
        <v>8580</v>
      </c>
      <c r="I12956">
        <v>360</v>
      </c>
      <c r="J12956" t="s">
        <v>450</v>
      </c>
      <c r="K12956" t="s">
        <v>446</v>
      </c>
      <c r="M12956">
        <v>0</v>
      </c>
    </row>
    <row r="12957" spans="1:13">
      <c r="A12957">
        <v>85021400</v>
      </c>
      <c r="B12957">
        <v>2002847</v>
      </c>
      <c r="C12957" t="s">
        <v>6090</v>
      </c>
      <c r="D12957" t="s">
        <v>449</v>
      </c>
      <c r="E12957" t="s">
        <v>441</v>
      </c>
      <c r="F12957">
        <v>6.8000000000000005E-2</v>
      </c>
      <c r="H12957" t="s">
        <v>8576</v>
      </c>
      <c r="I12957">
        <v>360</v>
      </c>
      <c r="J12957" t="s">
        <v>450</v>
      </c>
      <c r="K12957" t="s">
        <v>446</v>
      </c>
      <c r="M12957">
        <v>0</v>
      </c>
    </row>
    <row r="12958" spans="1:13">
      <c r="A12958">
        <v>85021800</v>
      </c>
      <c r="B12958">
        <v>2002848</v>
      </c>
      <c r="C12958" t="s">
        <v>6091</v>
      </c>
      <c r="D12958" t="s">
        <v>449</v>
      </c>
      <c r="E12958" t="s">
        <v>441</v>
      </c>
      <c r="F12958">
        <v>6.2E-2</v>
      </c>
      <c r="H12958" t="s">
        <v>8576</v>
      </c>
      <c r="I12958">
        <v>360</v>
      </c>
      <c r="J12958" t="s">
        <v>450</v>
      </c>
      <c r="K12958" t="s">
        <v>446</v>
      </c>
      <c r="M12958">
        <v>0</v>
      </c>
    </row>
    <row r="12959" spans="1:13">
      <c r="A12959">
        <v>85024400</v>
      </c>
      <c r="B12959">
        <v>2001092</v>
      </c>
      <c r="C12959" t="s">
        <v>6092</v>
      </c>
      <c r="D12959" t="s">
        <v>449</v>
      </c>
      <c r="E12959" t="s">
        <v>441</v>
      </c>
      <c r="F12959">
        <v>0.01</v>
      </c>
      <c r="H12959" t="s">
        <v>8574</v>
      </c>
      <c r="I12959">
        <v>360</v>
      </c>
      <c r="J12959" t="s">
        <v>450</v>
      </c>
      <c r="K12959" t="s">
        <v>446</v>
      </c>
      <c r="M12959">
        <v>0</v>
      </c>
    </row>
    <row r="12960" spans="1:13">
      <c r="A12960">
        <v>85025300</v>
      </c>
      <c r="B12960">
        <v>2003660</v>
      </c>
      <c r="C12960" t="s">
        <v>6093</v>
      </c>
      <c r="D12960" t="s">
        <v>449</v>
      </c>
      <c r="F12960">
        <v>0</v>
      </c>
      <c r="H12960" t="s">
        <v>8576</v>
      </c>
      <c r="I12960">
        <v>360</v>
      </c>
      <c r="J12960" t="s">
        <v>450</v>
      </c>
      <c r="K12960" t="s">
        <v>446</v>
      </c>
      <c r="M12960">
        <v>0</v>
      </c>
    </row>
    <row r="12961" spans="1:13">
      <c r="A12961">
        <v>85025400</v>
      </c>
      <c r="B12961">
        <v>2002849</v>
      </c>
      <c r="C12961" t="s">
        <v>6094</v>
      </c>
      <c r="D12961" t="s">
        <v>449</v>
      </c>
      <c r="E12961" t="s">
        <v>441</v>
      </c>
      <c r="F12961">
        <v>1.0999999999999999E-2</v>
      </c>
      <c r="H12961" t="s">
        <v>8576</v>
      </c>
      <c r="I12961">
        <v>360</v>
      </c>
      <c r="J12961" t="s">
        <v>450</v>
      </c>
      <c r="K12961" t="s">
        <v>446</v>
      </c>
      <c r="M12961">
        <v>0</v>
      </c>
    </row>
    <row r="12962" spans="1:13">
      <c r="A12962">
        <v>85025800</v>
      </c>
      <c r="B12962">
        <v>2002850</v>
      </c>
      <c r="C12962" t="s">
        <v>6095</v>
      </c>
      <c r="D12962" t="s">
        <v>449</v>
      </c>
      <c r="E12962" t="s">
        <v>441</v>
      </c>
      <c r="F12962">
        <v>1.9E-2</v>
      </c>
      <c r="H12962" t="s">
        <v>8576</v>
      </c>
      <c r="I12962">
        <v>360</v>
      </c>
      <c r="J12962" t="s">
        <v>450</v>
      </c>
      <c r="K12962" t="s">
        <v>446</v>
      </c>
      <c r="M12962">
        <v>0</v>
      </c>
    </row>
    <row r="12963" spans="1:13">
      <c r="A12963">
        <v>85025900</v>
      </c>
      <c r="B12963">
        <v>2002851</v>
      </c>
      <c r="C12963" t="s">
        <v>6096</v>
      </c>
      <c r="D12963" t="s">
        <v>449</v>
      </c>
      <c r="E12963" t="s">
        <v>441</v>
      </c>
      <c r="F12963">
        <v>3.3000000000000002E-2</v>
      </c>
      <c r="H12963" t="s">
        <v>8576</v>
      </c>
      <c r="I12963">
        <v>730</v>
      </c>
      <c r="J12963" t="s">
        <v>450</v>
      </c>
      <c r="M12963">
        <v>0</v>
      </c>
    </row>
    <row r="12964" spans="1:13">
      <c r="A12964">
        <v>85026000</v>
      </c>
      <c r="B12964">
        <v>2002852</v>
      </c>
      <c r="C12964" t="s">
        <v>17775</v>
      </c>
      <c r="D12964" t="s">
        <v>449</v>
      </c>
      <c r="E12964" t="s">
        <v>441</v>
      </c>
      <c r="F12964">
        <v>7.6999999999999999E-2</v>
      </c>
      <c r="H12964" t="s">
        <v>8576</v>
      </c>
      <c r="I12964">
        <v>720</v>
      </c>
      <c r="J12964" t="s">
        <v>450</v>
      </c>
      <c r="K12964" t="s">
        <v>446</v>
      </c>
      <c r="M12964">
        <v>0</v>
      </c>
    </row>
    <row r="12965" spans="1:13">
      <c r="A12965">
        <v>85026600</v>
      </c>
      <c r="B12965">
        <v>2002853</v>
      </c>
      <c r="C12965" t="s">
        <v>6097</v>
      </c>
      <c r="D12965" t="s">
        <v>449</v>
      </c>
      <c r="E12965" t="s">
        <v>441</v>
      </c>
      <c r="F12965">
        <v>1.2999999999999999E-2</v>
      </c>
      <c r="H12965" t="s">
        <v>8576</v>
      </c>
      <c r="I12965">
        <v>360</v>
      </c>
      <c r="J12965" t="s">
        <v>450</v>
      </c>
      <c r="K12965" t="s">
        <v>446</v>
      </c>
      <c r="M12965">
        <v>0</v>
      </c>
    </row>
    <row r="12966" spans="1:13">
      <c r="A12966">
        <v>85027000</v>
      </c>
      <c r="B12966">
        <v>2001433</v>
      </c>
      <c r="C12966" t="s">
        <v>6098</v>
      </c>
      <c r="D12966" t="s">
        <v>449</v>
      </c>
      <c r="E12966" t="s">
        <v>441</v>
      </c>
      <c r="F12966">
        <v>3.5999999999999997E-2</v>
      </c>
      <c r="H12966" t="s">
        <v>8576</v>
      </c>
      <c r="I12966">
        <v>365</v>
      </c>
      <c r="J12966" t="s">
        <v>450</v>
      </c>
      <c r="K12966" t="s">
        <v>446</v>
      </c>
      <c r="M12966">
        <v>0</v>
      </c>
    </row>
    <row r="12967" spans="1:13">
      <c r="A12967">
        <v>85027100</v>
      </c>
      <c r="B12967">
        <v>2001524</v>
      </c>
      <c r="C12967" t="s">
        <v>6099</v>
      </c>
      <c r="D12967" t="s">
        <v>449</v>
      </c>
      <c r="E12967" t="s">
        <v>441</v>
      </c>
      <c r="F12967">
        <v>2.3E-2</v>
      </c>
      <c r="H12967" t="s">
        <v>8576</v>
      </c>
      <c r="I12967">
        <v>365</v>
      </c>
      <c r="J12967" t="s">
        <v>450</v>
      </c>
      <c r="K12967" t="s">
        <v>446</v>
      </c>
      <c r="M12967">
        <v>0</v>
      </c>
    </row>
    <row r="12968" spans="1:13">
      <c r="A12968">
        <v>85027200</v>
      </c>
      <c r="B12968">
        <v>2003551</v>
      </c>
      <c r="C12968" t="s">
        <v>6100</v>
      </c>
      <c r="D12968" t="s">
        <v>449</v>
      </c>
      <c r="E12968" t="s">
        <v>441</v>
      </c>
      <c r="F12968">
        <v>0.108</v>
      </c>
      <c r="H12968" t="s">
        <v>8584</v>
      </c>
      <c r="I12968">
        <v>360</v>
      </c>
      <c r="J12968" t="s">
        <v>450</v>
      </c>
      <c r="K12968" t="s">
        <v>446</v>
      </c>
      <c r="M12968">
        <v>0</v>
      </c>
    </row>
    <row r="12969" spans="1:13">
      <c r="A12969">
        <v>85027300</v>
      </c>
      <c r="B12969">
        <v>2002854</v>
      </c>
      <c r="C12969" t="s">
        <v>6101</v>
      </c>
      <c r="D12969" t="s">
        <v>442</v>
      </c>
      <c r="E12969" t="s">
        <v>441</v>
      </c>
      <c r="F12969">
        <v>6.0000000000000001E-3</v>
      </c>
      <c r="H12969" t="s">
        <v>8576</v>
      </c>
      <c r="I12969">
        <v>360</v>
      </c>
      <c r="J12969" t="s">
        <v>450</v>
      </c>
      <c r="M12969">
        <v>0</v>
      </c>
    </row>
    <row r="12970" spans="1:13">
      <c r="A12970">
        <v>85027500</v>
      </c>
      <c r="B12970">
        <v>2002855</v>
      </c>
      <c r="C12970" t="s">
        <v>6102</v>
      </c>
      <c r="D12970" t="s">
        <v>449</v>
      </c>
      <c r="E12970" t="s">
        <v>441</v>
      </c>
      <c r="F12970">
        <v>2.8000000000000001E-2</v>
      </c>
      <c r="H12970" t="s">
        <v>8576</v>
      </c>
      <c r="I12970">
        <v>360</v>
      </c>
      <c r="J12970" t="s">
        <v>450</v>
      </c>
      <c r="K12970" t="s">
        <v>446</v>
      </c>
      <c r="M12970">
        <v>0</v>
      </c>
    </row>
    <row r="12971" spans="1:13">
      <c r="A12971">
        <v>85027600</v>
      </c>
      <c r="B12971">
        <v>2002856</v>
      </c>
      <c r="C12971" t="s">
        <v>6103</v>
      </c>
      <c r="D12971" t="s">
        <v>442</v>
      </c>
      <c r="E12971" t="s">
        <v>441</v>
      </c>
      <c r="F12971">
        <v>8.9999999999999993E-3</v>
      </c>
      <c r="H12971" t="s">
        <v>8576</v>
      </c>
      <c r="I12971">
        <v>360</v>
      </c>
      <c r="J12971" t="s">
        <v>450</v>
      </c>
      <c r="M12971">
        <v>0</v>
      </c>
    </row>
    <row r="12972" spans="1:13">
      <c r="A12972">
        <v>85028000</v>
      </c>
      <c r="B12972">
        <v>2002857</v>
      </c>
      <c r="C12972" t="s">
        <v>6104</v>
      </c>
      <c r="D12972" t="s">
        <v>449</v>
      </c>
      <c r="E12972" t="s">
        <v>441</v>
      </c>
      <c r="F12972">
        <v>0.106</v>
      </c>
      <c r="G12972">
        <v>0</v>
      </c>
      <c r="H12972" t="s">
        <v>8576</v>
      </c>
      <c r="I12972">
        <v>360</v>
      </c>
      <c r="J12972" t="s">
        <v>450</v>
      </c>
      <c r="K12972" t="s">
        <v>446</v>
      </c>
      <c r="M12972">
        <v>0</v>
      </c>
    </row>
    <row r="12973" spans="1:13">
      <c r="A12973">
        <v>85028100</v>
      </c>
      <c r="B12973">
        <v>2002858</v>
      </c>
      <c r="C12973" t="s">
        <v>6105</v>
      </c>
      <c r="D12973" t="s">
        <v>449</v>
      </c>
      <c r="E12973" t="s">
        <v>441</v>
      </c>
      <c r="F12973">
        <v>5.1999999999999998E-2</v>
      </c>
      <c r="G12973">
        <v>0</v>
      </c>
      <c r="H12973" t="s">
        <v>8576</v>
      </c>
      <c r="I12973">
        <v>360</v>
      </c>
      <c r="J12973" t="s">
        <v>450</v>
      </c>
      <c r="K12973" t="s">
        <v>446</v>
      </c>
      <c r="M12973">
        <v>0</v>
      </c>
    </row>
    <row r="12974" spans="1:13">
      <c r="A12974">
        <v>85028500</v>
      </c>
      <c r="B12974">
        <v>2002859</v>
      </c>
      <c r="C12974" t="s">
        <v>6106</v>
      </c>
      <c r="D12974" t="s">
        <v>449</v>
      </c>
      <c r="E12974" t="s">
        <v>441</v>
      </c>
      <c r="F12974">
        <v>2.1000000000000001E-2</v>
      </c>
      <c r="H12974" t="s">
        <v>8576</v>
      </c>
      <c r="I12974">
        <v>360</v>
      </c>
      <c r="J12974" t="s">
        <v>450</v>
      </c>
      <c r="K12974" t="s">
        <v>446</v>
      </c>
      <c r="M12974">
        <v>0</v>
      </c>
    </row>
    <row r="12975" spans="1:13">
      <c r="A12975">
        <v>85028800</v>
      </c>
      <c r="B12975">
        <v>2002860</v>
      </c>
      <c r="C12975" t="s">
        <v>6107</v>
      </c>
      <c r="D12975" t="s">
        <v>449</v>
      </c>
      <c r="E12975" t="s">
        <v>441</v>
      </c>
      <c r="F12975">
        <v>0.08</v>
      </c>
      <c r="H12975" t="s">
        <v>8576</v>
      </c>
      <c r="I12975">
        <v>360</v>
      </c>
      <c r="J12975" t="s">
        <v>450</v>
      </c>
      <c r="M12975">
        <v>0</v>
      </c>
    </row>
    <row r="12976" spans="1:13">
      <c r="A12976">
        <v>85029200</v>
      </c>
      <c r="B12976">
        <v>2002861</v>
      </c>
      <c r="C12976" t="s">
        <v>6108</v>
      </c>
      <c r="D12976" t="s">
        <v>449</v>
      </c>
      <c r="E12976" t="s">
        <v>441</v>
      </c>
      <c r="F12976">
        <v>0.01</v>
      </c>
      <c r="H12976" t="s">
        <v>8576</v>
      </c>
      <c r="I12976">
        <v>360</v>
      </c>
      <c r="J12976" t="s">
        <v>450</v>
      </c>
      <c r="K12976" t="s">
        <v>446</v>
      </c>
      <c r="M12976">
        <v>0</v>
      </c>
    </row>
    <row r="12977" spans="1:13">
      <c r="A12977">
        <v>85029700</v>
      </c>
      <c r="B12977">
        <v>2000535</v>
      </c>
      <c r="C12977" t="s">
        <v>6109</v>
      </c>
      <c r="D12977" t="s">
        <v>449</v>
      </c>
      <c r="E12977" t="s">
        <v>441</v>
      </c>
      <c r="F12977">
        <v>0.05</v>
      </c>
      <c r="H12977" t="s">
        <v>8576</v>
      </c>
      <c r="I12977">
        <v>800</v>
      </c>
      <c r="J12977" t="s">
        <v>450</v>
      </c>
      <c r="K12977" t="s">
        <v>446</v>
      </c>
      <c r="M12977">
        <v>0</v>
      </c>
    </row>
    <row r="12978" spans="1:13">
      <c r="A12978">
        <v>85029900</v>
      </c>
      <c r="B12978">
        <v>2002862</v>
      </c>
      <c r="C12978" t="s">
        <v>6110</v>
      </c>
      <c r="D12978" t="s">
        <v>449</v>
      </c>
      <c r="E12978" t="s">
        <v>441</v>
      </c>
      <c r="F12978">
        <v>2.5999999999999999E-2</v>
      </c>
      <c r="H12978" t="s">
        <v>8576</v>
      </c>
      <c r="I12978">
        <v>360</v>
      </c>
      <c r="J12978" t="s">
        <v>450</v>
      </c>
      <c r="K12978" t="s">
        <v>446</v>
      </c>
      <c r="M12978">
        <v>0</v>
      </c>
    </row>
    <row r="12979" spans="1:13">
      <c r="A12979">
        <v>85030000</v>
      </c>
      <c r="B12979">
        <v>2001510</v>
      </c>
      <c r="C12979" t="s">
        <v>6111</v>
      </c>
      <c r="D12979" t="s">
        <v>449</v>
      </c>
      <c r="E12979" t="s">
        <v>441</v>
      </c>
      <c r="F12979">
        <v>0.05</v>
      </c>
      <c r="H12979" t="s">
        <v>8576</v>
      </c>
      <c r="I12979">
        <v>360</v>
      </c>
      <c r="J12979" t="s">
        <v>450</v>
      </c>
      <c r="K12979" t="s">
        <v>446</v>
      </c>
      <c r="M12979">
        <v>0</v>
      </c>
    </row>
    <row r="12980" spans="1:13">
      <c r="A12980">
        <v>85030200</v>
      </c>
      <c r="B12980">
        <v>2002863</v>
      </c>
      <c r="C12980" t="s">
        <v>6112</v>
      </c>
      <c r="D12980" t="s">
        <v>449</v>
      </c>
      <c r="E12980" t="s">
        <v>441</v>
      </c>
      <c r="F12980">
        <v>1.9E-2</v>
      </c>
      <c r="H12980" t="s">
        <v>8576</v>
      </c>
      <c r="I12980">
        <v>360</v>
      </c>
      <c r="J12980" t="s">
        <v>450</v>
      </c>
      <c r="K12980" t="s">
        <v>446</v>
      </c>
      <c r="M12980">
        <v>0</v>
      </c>
    </row>
    <row r="12981" spans="1:13">
      <c r="A12981">
        <v>85030500</v>
      </c>
      <c r="B12981">
        <v>2002864</v>
      </c>
      <c r="C12981" t="s">
        <v>6113</v>
      </c>
      <c r="D12981" t="s">
        <v>449</v>
      </c>
      <c r="E12981" t="s">
        <v>441</v>
      </c>
      <c r="F12981">
        <v>3.5999999999999997E-2</v>
      </c>
      <c r="H12981" t="s">
        <v>8576</v>
      </c>
      <c r="I12981">
        <v>360</v>
      </c>
      <c r="J12981" t="s">
        <v>450</v>
      </c>
      <c r="K12981" t="s">
        <v>446</v>
      </c>
      <c r="M12981">
        <v>0</v>
      </c>
    </row>
    <row r="12982" spans="1:13">
      <c r="A12982">
        <v>85030600</v>
      </c>
      <c r="B12982">
        <v>2002865</v>
      </c>
      <c r="C12982" t="s">
        <v>6114</v>
      </c>
      <c r="D12982" t="s">
        <v>449</v>
      </c>
      <c r="E12982" t="s">
        <v>441</v>
      </c>
      <c r="F12982">
        <v>0.01</v>
      </c>
      <c r="H12982" t="s">
        <v>8576</v>
      </c>
      <c r="I12982">
        <v>360</v>
      </c>
      <c r="J12982" t="s">
        <v>450</v>
      </c>
      <c r="K12982" t="s">
        <v>446</v>
      </c>
      <c r="M12982">
        <v>0</v>
      </c>
    </row>
    <row r="12983" spans="1:13">
      <c r="A12983">
        <v>85031100</v>
      </c>
      <c r="B12983">
        <v>2002866</v>
      </c>
      <c r="C12983" t="s">
        <v>6115</v>
      </c>
      <c r="D12983" t="s">
        <v>449</v>
      </c>
      <c r="E12983" t="s">
        <v>441</v>
      </c>
      <c r="F12983">
        <v>1.2999999999999999E-2</v>
      </c>
      <c r="H12983" t="s">
        <v>8576</v>
      </c>
      <c r="I12983">
        <v>360</v>
      </c>
      <c r="J12983" t="s">
        <v>450</v>
      </c>
      <c r="K12983" t="s">
        <v>446</v>
      </c>
      <c r="M12983">
        <v>0</v>
      </c>
    </row>
    <row r="12984" spans="1:13">
      <c r="A12984">
        <v>85031500</v>
      </c>
      <c r="B12984">
        <v>2002867</v>
      </c>
      <c r="C12984" t="s">
        <v>6116</v>
      </c>
      <c r="D12984" t="s">
        <v>449</v>
      </c>
      <c r="E12984" t="s">
        <v>441</v>
      </c>
      <c r="F12984">
        <v>1.4999999999999999E-2</v>
      </c>
      <c r="H12984" t="s">
        <v>8576</v>
      </c>
      <c r="I12984">
        <v>360</v>
      </c>
      <c r="J12984" t="s">
        <v>450</v>
      </c>
      <c r="K12984" t="s">
        <v>446</v>
      </c>
      <c r="M12984">
        <v>0</v>
      </c>
    </row>
    <row r="12985" spans="1:13">
      <c r="A12985">
        <v>85031700</v>
      </c>
      <c r="B12985">
        <v>2002868</v>
      </c>
      <c r="C12985" t="s">
        <v>6117</v>
      </c>
      <c r="D12985" t="s">
        <v>449</v>
      </c>
      <c r="E12985" t="s">
        <v>441</v>
      </c>
      <c r="F12985">
        <v>8.6999999999999994E-2</v>
      </c>
      <c r="H12985" t="s">
        <v>8576</v>
      </c>
      <c r="I12985">
        <v>360</v>
      </c>
      <c r="J12985" t="s">
        <v>450</v>
      </c>
      <c r="K12985" t="s">
        <v>446</v>
      </c>
      <c r="M12985">
        <v>0</v>
      </c>
    </row>
    <row r="12986" spans="1:13">
      <c r="A12986">
        <v>85031800</v>
      </c>
      <c r="B12986">
        <v>2002869</v>
      </c>
      <c r="C12986" t="s">
        <v>6118</v>
      </c>
      <c r="D12986" t="s">
        <v>449</v>
      </c>
      <c r="E12986" t="s">
        <v>441</v>
      </c>
      <c r="F12986">
        <v>5.7000000000000002E-2</v>
      </c>
      <c r="H12986" t="s">
        <v>8576</v>
      </c>
      <c r="I12986">
        <v>360</v>
      </c>
      <c r="J12986" t="s">
        <v>450</v>
      </c>
      <c r="K12986" t="s">
        <v>446</v>
      </c>
      <c r="M12986">
        <v>0</v>
      </c>
    </row>
    <row r="12987" spans="1:13">
      <c r="A12987">
        <v>85032000</v>
      </c>
      <c r="B12987">
        <v>2002870</v>
      </c>
      <c r="C12987" t="s">
        <v>6119</v>
      </c>
      <c r="D12987" t="s">
        <v>449</v>
      </c>
      <c r="E12987" t="s">
        <v>441</v>
      </c>
      <c r="F12987">
        <v>1.2E-2</v>
      </c>
      <c r="H12987" t="s">
        <v>8576</v>
      </c>
      <c r="I12987">
        <v>360</v>
      </c>
      <c r="J12987" t="s">
        <v>450</v>
      </c>
      <c r="K12987" t="s">
        <v>446</v>
      </c>
      <c r="M12987">
        <v>0</v>
      </c>
    </row>
    <row r="12988" spans="1:13">
      <c r="A12988">
        <v>85032200</v>
      </c>
      <c r="B12988">
        <v>2002168</v>
      </c>
      <c r="C12988" t="s">
        <v>6120</v>
      </c>
      <c r="D12988" t="s">
        <v>449</v>
      </c>
      <c r="E12988" t="s">
        <v>441</v>
      </c>
      <c r="F12988">
        <v>7.1999999999999995E-2</v>
      </c>
      <c r="H12988" t="s">
        <v>8576</v>
      </c>
      <c r="I12988">
        <v>365</v>
      </c>
      <c r="J12988" t="s">
        <v>450</v>
      </c>
      <c r="K12988" t="s">
        <v>446</v>
      </c>
      <c r="M12988">
        <v>0</v>
      </c>
    </row>
    <row r="12989" spans="1:13">
      <c r="A12989">
        <v>85032700</v>
      </c>
      <c r="B12989">
        <v>2002871</v>
      </c>
      <c r="C12989" t="s">
        <v>6121</v>
      </c>
      <c r="D12989" t="s">
        <v>449</v>
      </c>
      <c r="E12989" t="s">
        <v>441</v>
      </c>
      <c r="F12989">
        <v>2.3E-2</v>
      </c>
      <c r="H12989" t="s">
        <v>8576</v>
      </c>
      <c r="I12989">
        <v>360</v>
      </c>
      <c r="J12989" t="s">
        <v>450</v>
      </c>
      <c r="K12989" t="s">
        <v>446</v>
      </c>
      <c r="M12989">
        <v>0</v>
      </c>
    </row>
    <row r="12990" spans="1:13">
      <c r="A12990">
        <v>85032800</v>
      </c>
      <c r="B12990">
        <v>2002872</v>
      </c>
      <c r="C12990" t="s">
        <v>6122</v>
      </c>
      <c r="D12990" t="s">
        <v>449</v>
      </c>
      <c r="E12990" t="s">
        <v>441</v>
      </c>
      <c r="F12990">
        <v>2.4E-2</v>
      </c>
      <c r="H12990" t="s">
        <v>8576</v>
      </c>
      <c r="I12990">
        <v>360</v>
      </c>
      <c r="J12990" t="s">
        <v>450</v>
      </c>
      <c r="K12990" t="s">
        <v>446</v>
      </c>
      <c r="M12990">
        <v>3711</v>
      </c>
    </row>
    <row r="12991" spans="1:13">
      <c r="A12991">
        <v>85033100</v>
      </c>
      <c r="B12991">
        <v>2002873</v>
      </c>
      <c r="C12991" t="s">
        <v>6123</v>
      </c>
      <c r="D12991" t="s">
        <v>449</v>
      </c>
      <c r="E12991" t="s">
        <v>441</v>
      </c>
      <c r="F12991">
        <v>3.4000000000000002E-2</v>
      </c>
      <c r="H12991" t="s">
        <v>8576</v>
      </c>
      <c r="I12991">
        <v>730</v>
      </c>
      <c r="J12991" t="s">
        <v>450</v>
      </c>
      <c r="K12991" t="s">
        <v>446</v>
      </c>
      <c r="M12991">
        <v>0</v>
      </c>
    </row>
    <row r="12992" spans="1:13">
      <c r="A12992">
        <v>85033700</v>
      </c>
      <c r="B12992">
        <v>2002874</v>
      </c>
      <c r="C12992" t="s">
        <v>6124</v>
      </c>
      <c r="D12992" t="s">
        <v>449</v>
      </c>
      <c r="E12992" t="s">
        <v>441</v>
      </c>
      <c r="F12992">
        <v>1.2999999999999999E-2</v>
      </c>
      <c r="H12992" t="s">
        <v>8576</v>
      </c>
      <c r="I12992">
        <v>360</v>
      </c>
      <c r="J12992" t="s">
        <v>450</v>
      </c>
      <c r="K12992" t="s">
        <v>446</v>
      </c>
      <c r="M12992">
        <v>0</v>
      </c>
    </row>
    <row r="12993" spans="1:13">
      <c r="A12993">
        <v>85033800</v>
      </c>
      <c r="B12993">
        <v>2002875</v>
      </c>
      <c r="C12993" t="s">
        <v>6125</v>
      </c>
      <c r="D12993" t="s">
        <v>449</v>
      </c>
      <c r="E12993" t="s">
        <v>441</v>
      </c>
      <c r="F12993">
        <v>1.4999999999999999E-2</v>
      </c>
      <c r="H12993" t="s">
        <v>8576</v>
      </c>
      <c r="I12993">
        <v>360</v>
      </c>
      <c r="J12993" t="s">
        <v>450</v>
      </c>
      <c r="K12993" t="s">
        <v>446</v>
      </c>
      <c r="M12993">
        <v>0</v>
      </c>
    </row>
    <row r="12994" spans="1:13">
      <c r="A12994">
        <v>85033900</v>
      </c>
      <c r="B12994">
        <v>2002876</v>
      </c>
      <c r="C12994" t="s">
        <v>6126</v>
      </c>
      <c r="D12994" t="s">
        <v>449</v>
      </c>
      <c r="E12994" t="s">
        <v>441</v>
      </c>
      <c r="F12994">
        <v>1.2999999999999999E-2</v>
      </c>
      <c r="H12994" t="s">
        <v>8576</v>
      </c>
      <c r="I12994">
        <v>360</v>
      </c>
      <c r="J12994" t="s">
        <v>450</v>
      </c>
      <c r="K12994" t="s">
        <v>446</v>
      </c>
      <c r="M12994">
        <v>0</v>
      </c>
    </row>
    <row r="12995" spans="1:13">
      <c r="A12995">
        <v>85034000</v>
      </c>
      <c r="B12995">
        <v>2002877</v>
      </c>
      <c r="C12995" t="s">
        <v>6127</v>
      </c>
      <c r="D12995" t="s">
        <v>449</v>
      </c>
      <c r="E12995" t="s">
        <v>441</v>
      </c>
      <c r="F12995">
        <v>1.2999999999999999E-2</v>
      </c>
      <c r="H12995" t="s">
        <v>8576</v>
      </c>
      <c r="I12995">
        <v>360</v>
      </c>
      <c r="J12995" t="s">
        <v>450</v>
      </c>
      <c r="K12995" t="s">
        <v>446</v>
      </c>
      <c r="M12995">
        <v>0</v>
      </c>
    </row>
    <row r="12996" spans="1:13">
      <c r="A12996">
        <v>85034300</v>
      </c>
      <c r="B12996">
        <v>2002878</v>
      </c>
      <c r="C12996" t="s">
        <v>6128</v>
      </c>
      <c r="D12996" t="s">
        <v>449</v>
      </c>
      <c r="E12996" t="s">
        <v>441</v>
      </c>
      <c r="F12996">
        <v>2.7E-2</v>
      </c>
      <c r="H12996" t="s">
        <v>8576</v>
      </c>
      <c r="I12996">
        <v>360</v>
      </c>
      <c r="J12996" t="s">
        <v>450</v>
      </c>
      <c r="K12996" t="s">
        <v>446</v>
      </c>
      <c r="M12996">
        <v>0</v>
      </c>
    </row>
    <row r="12997" spans="1:13">
      <c r="A12997">
        <v>85034400</v>
      </c>
      <c r="B12997">
        <v>2002879</v>
      </c>
      <c r="C12997" t="s">
        <v>6129</v>
      </c>
      <c r="D12997" t="s">
        <v>449</v>
      </c>
      <c r="E12997" t="s">
        <v>441</v>
      </c>
      <c r="F12997">
        <v>2.8000000000000001E-2</v>
      </c>
      <c r="H12997" t="s">
        <v>8576</v>
      </c>
      <c r="I12997">
        <v>360</v>
      </c>
      <c r="J12997" t="s">
        <v>450</v>
      </c>
      <c r="K12997" t="s">
        <v>446</v>
      </c>
      <c r="M12997">
        <v>0</v>
      </c>
    </row>
    <row r="12998" spans="1:13">
      <c r="A12998">
        <v>85034500</v>
      </c>
      <c r="B12998">
        <v>2002880</v>
      </c>
      <c r="C12998" t="s">
        <v>6130</v>
      </c>
      <c r="D12998" t="s">
        <v>449</v>
      </c>
      <c r="E12998" t="s">
        <v>441</v>
      </c>
      <c r="F12998">
        <v>1.4E-2</v>
      </c>
      <c r="H12998" t="s">
        <v>8576</v>
      </c>
      <c r="I12998">
        <v>360</v>
      </c>
      <c r="J12998" t="s">
        <v>450</v>
      </c>
      <c r="K12998" t="s">
        <v>446</v>
      </c>
      <c r="M12998">
        <v>0</v>
      </c>
    </row>
    <row r="12999" spans="1:13">
      <c r="A12999">
        <v>85034600</v>
      </c>
      <c r="B12999">
        <v>2002881</v>
      </c>
      <c r="C12999" t="s">
        <v>6131</v>
      </c>
      <c r="D12999" t="s">
        <v>449</v>
      </c>
      <c r="E12999" t="s">
        <v>441</v>
      </c>
      <c r="F12999">
        <v>2.7E-2</v>
      </c>
      <c r="H12999" t="s">
        <v>8576</v>
      </c>
      <c r="I12999">
        <v>360</v>
      </c>
      <c r="J12999" t="s">
        <v>450</v>
      </c>
      <c r="K12999" t="s">
        <v>446</v>
      </c>
      <c r="M12999">
        <v>0</v>
      </c>
    </row>
    <row r="13000" spans="1:13">
      <c r="A13000">
        <v>85034800</v>
      </c>
      <c r="B13000">
        <v>2001514</v>
      </c>
      <c r="C13000" t="s">
        <v>6132</v>
      </c>
      <c r="D13000" t="s">
        <v>449</v>
      </c>
      <c r="E13000" t="s">
        <v>441</v>
      </c>
      <c r="F13000">
        <v>0.06</v>
      </c>
      <c r="H13000" t="s">
        <v>8576</v>
      </c>
      <c r="I13000">
        <v>360</v>
      </c>
      <c r="J13000" t="s">
        <v>450</v>
      </c>
      <c r="K13000" t="s">
        <v>446</v>
      </c>
      <c r="M13000">
        <v>0</v>
      </c>
    </row>
    <row r="13001" spans="1:13">
      <c r="A13001">
        <v>85034900</v>
      </c>
      <c r="B13001">
        <v>2002882</v>
      </c>
      <c r="C13001" t="s">
        <v>6133</v>
      </c>
      <c r="D13001" t="s">
        <v>449</v>
      </c>
      <c r="E13001" t="s">
        <v>441</v>
      </c>
      <c r="F13001">
        <v>3.3000000000000002E-2</v>
      </c>
      <c r="H13001" t="s">
        <v>8576</v>
      </c>
      <c r="I13001">
        <v>360</v>
      </c>
      <c r="J13001" t="s">
        <v>450</v>
      </c>
      <c r="K13001" t="s">
        <v>446</v>
      </c>
      <c r="M13001">
        <v>0</v>
      </c>
    </row>
    <row r="13002" spans="1:13">
      <c r="A13002">
        <v>85035100</v>
      </c>
      <c r="B13002">
        <v>2002883</v>
      </c>
      <c r="C13002" t="s">
        <v>6134</v>
      </c>
      <c r="D13002" t="s">
        <v>449</v>
      </c>
      <c r="E13002" t="s">
        <v>441</v>
      </c>
      <c r="F13002">
        <v>1.2E-2</v>
      </c>
      <c r="H13002" t="s">
        <v>8576</v>
      </c>
      <c r="I13002">
        <v>360</v>
      </c>
      <c r="J13002" t="s">
        <v>450</v>
      </c>
      <c r="K13002" t="s">
        <v>446</v>
      </c>
      <c r="M13002">
        <v>0</v>
      </c>
    </row>
    <row r="13003" spans="1:13">
      <c r="A13003">
        <v>85035500</v>
      </c>
      <c r="B13003">
        <v>2002884</v>
      </c>
      <c r="C13003" t="s">
        <v>6135</v>
      </c>
      <c r="D13003" t="s">
        <v>449</v>
      </c>
      <c r="E13003" t="s">
        <v>441</v>
      </c>
      <c r="F13003">
        <v>2.7E-2</v>
      </c>
      <c r="H13003" t="s">
        <v>8576</v>
      </c>
      <c r="I13003">
        <v>360</v>
      </c>
      <c r="J13003" t="s">
        <v>450</v>
      </c>
      <c r="K13003" t="s">
        <v>446</v>
      </c>
      <c r="M13003">
        <v>0</v>
      </c>
    </row>
    <row r="13004" spans="1:13">
      <c r="A13004">
        <v>85035600</v>
      </c>
      <c r="B13004">
        <v>2002885</v>
      </c>
      <c r="C13004" t="s">
        <v>13995</v>
      </c>
      <c r="D13004" t="s">
        <v>442</v>
      </c>
      <c r="E13004" t="s">
        <v>441</v>
      </c>
      <c r="F13004">
        <v>5.5E-2</v>
      </c>
      <c r="H13004" t="s">
        <v>8576</v>
      </c>
      <c r="I13004">
        <v>360</v>
      </c>
      <c r="J13004" t="s">
        <v>450</v>
      </c>
      <c r="K13004" t="s">
        <v>446</v>
      </c>
      <c r="M13004">
        <v>0</v>
      </c>
    </row>
    <row r="13005" spans="1:13">
      <c r="A13005">
        <v>85035700</v>
      </c>
      <c r="B13005">
        <v>2003763</v>
      </c>
      <c r="C13005" t="s">
        <v>13996</v>
      </c>
      <c r="D13005" t="s">
        <v>442</v>
      </c>
      <c r="F13005">
        <v>0</v>
      </c>
      <c r="H13005" t="s">
        <v>8576</v>
      </c>
      <c r="I13005">
        <v>360</v>
      </c>
      <c r="J13005" t="s">
        <v>450</v>
      </c>
      <c r="K13005" t="s">
        <v>446</v>
      </c>
      <c r="M13005">
        <v>0</v>
      </c>
    </row>
    <row r="13006" spans="1:13">
      <c r="A13006">
        <v>85036000</v>
      </c>
      <c r="B13006">
        <v>2002886</v>
      </c>
      <c r="C13006" t="s">
        <v>6136</v>
      </c>
      <c r="D13006" t="s">
        <v>449</v>
      </c>
      <c r="E13006" t="s">
        <v>441</v>
      </c>
      <c r="F13006">
        <v>1.2E-2</v>
      </c>
      <c r="H13006" t="s">
        <v>8576</v>
      </c>
      <c r="I13006">
        <v>360</v>
      </c>
      <c r="J13006" t="s">
        <v>450</v>
      </c>
      <c r="K13006" t="s">
        <v>446</v>
      </c>
      <c r="M13006">
        <v>0</v>
      </c>
    </row>
    <row r="13007" spans="1:13">
      <c r="A13007">
        <v>85036100</v>
      </c>
      <c r="B13007">
        <v>2003606</v>
      </c>
      <c r="C13007" t="s">
        <v>6137</v>
      </c>
      <c r="D13007" t="s">
        <v>449</v>
      </c>
      <c r="F13007">
        <v>0</v>
      </c>
      <c r="H13007" t="s">
        <v>8576</v>
      </c>
      <c r="I13007">
        <v>360</v>
      </c>
      <c r="J13007" t="s">
        <v>450</v>
      </c>
      <c r="K13007" t="s">
        <v>446</v>
      </c>
      <c r="M13007">
        <v>0</v>
      </c>
    </row>
    <row r="13008" spans="1:13">
      <c r="A13008">
        <v>85036400</v>
      </c>
      <c r="B13008">
        <v>2001915</v>
      </c>
      <c r="C13008" t="s">
        <v>6138</v>
      </c>
      <c r="D13008" t="s">
        <v>449</v>
      </c>
      <c r="E13008" t="s">
        <v>441</v>
      </c>
      <c r="F13008">
        <v>0.02</v>
      </c>
      <c r="H13008" t="s">
        <v>8576</v>
      </c>
      <c r="I13008">
        <v>360</v>
      </c>
      <c r="J13008" t="s">
        <v>450</v>
      </c>
      <c r="K13008" t="s">
        <v>446</v>
      </c>
      <c r="M13008">
        <v>0</v>
      </c>
    </row>
    <row r="13009" spans="1:13">
      <c r="A13009">
        <v>85036500</v>
      </c>
      <c r="B13009">
        <v>2003607</v>
      </c>
      <c r="C13009" t="s">
        <v>6139</v>
      </c>
      <c r="D13009" t="s">
        <v>449</v>
      </c>
      <c r="F13009">
        <v>0</v>
      </c>
      <c r="H13009" t="s">
        <v>8576</v>
      </c>
      <c r="I13009">
        <v>360</v>
      </c>
      <c r="J13009" t="s">
        <v>450</v>
      </c>
      <c r="K13009" t="s">
        <v>446</v>
      </c>
      <c r="M13009">
        <v>0</v>
      </c>
    </row>
    <row r="13010" spans="1:13">
      <c r="A13010">
        <v>85036600</v>
      </c>
      <c r="B13010">
        <v>2002887</v>
      </c>
      <c r="C13010" t="s">
        <v>6140</v>
      </c>
      <c r="D13010" t="s">
        <v>449</v>
      </c>
      <c r="E13010" t="s">
        <v>441</v>
      </c>
      <c r="F13010">
        <v>1E-3</v>
      </c>
      <c r="H13010" t="s">
        <v>8576</v>
      </c>
      <c r="I13010">
        <v>360</v>
      </c>
      <c r="J13010" t="s">
        <v>450</v>
      </c>
      <c r="K13010" t="s">
        <v>446</v>
      </c>
      <c r="M13010">
        <v>0</v>
      </c>
    </row>
    <row r="13011" spans="1:13">
      <c r="A13011">
        <v>85036700</v>
      </c>
      <c r="B13011">
        <v>2000588</v>
      </c>
      <c r="C13011" t="s">
        <v>6141</v>
      </c>
      <c r="D13011" t="s">
        <v>449</v>
      </c>
      <c r="E13011" t="s">
        <v>441</v>
      </c>
      <c r="F13011">
        <v>1E-3</v>
      </c>
      <c r="H13011" t="s">
        <v>8935</v>
      </c>
      <c r="I13011">
        <v>360</v>
      </c>
      <c r="J13011" t="s">
        <v>450</v>
      </c>
      <c r="K13011" t="s">
        <v>446</v>
      </c>
      <c r="M13011">
        <v>0</v>
      </c>
    </row>
    <row r="13012" spans="1:13">
      <c r="A13012">
        <v>85036800</v>
      </c>
      <c r="B13012">
        <v>2002888</v>
      </c>
      <c r="C13012" t="s">
        <v>6142</v>
      </c>
      <c r="D13012" t="s">
        <v>449</v>
      </c>
      <c r="E13012" t="s">
        <v>441</v>
      </c>
      <c r="F13012">
        <v>1.4999999999999999E-2</v>
      </c>
      <c r="H13012" t="s">
        <v>8576</v>
      </c>
      <c r="I13012">
        <v>360</v>
      </c>
      <c r="J13012" t="s">
        <v>450</v>
      </c>
      <c r="K13012" t="s">
        <v>446</v>
      </c>
      <c r="M13012">
        <v>0</v>
      </c>
    </row>
    <row r="13013" spans="1:13">
      <c r="A13013">
        <v>85036900</v>
      </c>
      <c r="B13013">
        <v>2002889</v>
      </c>
      <c r="C13013" t="s">
        <v>6143</v>
      </c>
      <c r="D13013" t="s">
        <v>449</v>
      </c>
      <c r="E13013" t="s">
        <v>441</v>
      </c>
      <c r="F13013">
        <v>1.4999999999999999E-2</v>
      </c>
      <c r="H13013" t="s">
        <v>8576</v>
      </c>
      <c r="I13013">
        <v>360</v>
      </c>
      <c r="J13013" t="s">
        <v>450</v>
      </c>
      <c r="K13013" t="s">
        <v>446</v>
      </c>
      <c r="M13013">
        <v>0</v>
      </c>
    </row>
    <row r="13014" spans="1:13">
      <c r="A13014">
        <v>85037100</v>
      </c>
      <c r="B13014">
        <v>2002890</v>
      </c>
      <c r="C13014" t="s">
        <v>6144</v>
      </c>
      <c r="D13014" t="s">
        <v>449</v>
      </c>
      <c r="E13014" t="s">
        <v>441</v>
      </c>
      <c r="F13014">
        <v>1.4999999999999999E-2</v>
      </c>
      <c r="H13014" t="s">
        <v>8576</v>
      </c>
      <c r="I13014">
        <v>360</v>
      </c>
      <c r="J13014" t="s">
        <v>450</v>
      </c>
      <c r="K13014" t="s">
        <v>446</v>
      </c>
      <c r="M13014">
        <v>0</v>
      </c>
    </row>
    <row r="13015" spans="1:13">
      <c r="A13015">
        <v>85037200</v>
      </c>
      <c r="B13015">
        <v>2002891</v>
      </c>
      <c r="C13015" t="s">
        <v>6145</v>
      </c>
      <c r="D13015" t="s">
        <v>449</v>
      </c>
      <c r="E13015" t="s">
        <v>441</v>
      </c>
      <c r="F13015">
        <v>1.2999999999999999E-2</v>
      </c>
      <c r="H13015" t="s">
        <v>8576</v>
      </c>
      <c r="I13015">
        <v>360</v>
      </c>
      <c r="J13015" t="s">
        <v>450</v>
      </c>
      <c r="K13015" t="s">
        <v>446</v>
      </c>
      <c r="M13015">
        <v>0</v>
      </c>
    </row>
    <row r="13016" spans="1:13">
      <c r="A13016">
        <v>85037300</v>
      </c>
      <c r="B13016">
        <v>2002892</v>
      </c>
      <c r="C13016" t="s">
        <v>6146</v>
      </c>
      <c r="D13016" t="s">
        <v>449</v>
      </c>
      <c r="E13016" t="s">
        <v>441</v>
      </c>
      <c r="F13016">
        <v>1.4999999999999999E-2</v>
      </c>
      <c r="H13016" t="s">
        <v>8576</v>
      </c>
      <c r="I13016">
        <v>360</v>
      </c>
      <c r="J13016" t="s">
        <v>450</v>
      </c>
      <c r="K13016" t="s">
        <v>446</v>
      </c>
      <c r="M13016">
        <v>0</v>
      </c>
    </row>
    <row r="13017" spans="1:13">
      <c r="A13017">
        <v>85037600</v>
      </c>
      <c r="B13017">
        <v>2002893</v>
      </c>
      <c r="C13017" t="s">
        <v>6147</v>
      </c>
      <c r="D13017" t="s">
        <v>449</v>
      </c>
      <c r="E13017" t="s">
        <v>441</v>
      </c>
      <c r="F13017">
        <v>2.8000000000000001E-2</v>
      </c>
      <c r="H13017" t="s">
        <v>8576</v>
      </c>
      <c r="I13017">
        <v>360</v>
      </c>
      <c r="J13017" t="s">
        <v>450</v>
      </c>
      <c r="K13017" t="s">
        <v>446</v>
      </c>
      <c r="M13017">
        <v>0</v>
      </c>
    </row>
    <row r="13018" spans="1:13">
      <c r="A13018">
        <v>85037700</v>
      </c>
      <c r="B13018">
        <v>2002894</v>
      </c>
      <c r="C13018" t="s">
        <v>6148</v>
      </c>
      <c r="D13018" t="s">
        <v>449</v>
      </c>
      <c r="E13018" t="s">
        <v>441</v>
      </c>
      <c r="F13018">
        <v>1.2999999999999999E-2</v>
      </c>
      <c r="H13018" t="s">
        <v>8576</v>
      </c>
      <c r="I13018">
        <v>360</v>
      </c>
      <c r="J13018" t="s">
        <v>450</v>
      </c>
      <c r="K13018" t="s">
        <v>446</v>
      </c>
      <c r="M13018">
        <v>0</v>
      </c>
    </row>
    <row r="13019" spans="1:13">
      <c r="A13019">
        <v>85037800</v>
      </c>
      <c r="B13019">
        <v>2002895</v>
      </c>
      <c r="C13019" t="s">
        <v>6149</v>
      </c>
      <c r="D13019" t="s">
        <v>449</v>
      </c>
      <c r="E13019" t="s">
        <v>441</v>
      </c>
      <c r="F13019">
        <v>1.4999999999999999E-2</v>
      </c>
      <c r="H13019" t="s">
        <v>8576</v>
      </c>
      <c r="I13019">
        <v>360</v>
      </c>
      <c r="J13019" t="s">
        <v>450</v>
      </c>
      <c r="K13019" t="s">
        <v>446</v>
      </c>
      <c r="M13019">
        <v>0</v>
      </c>
    </row>
    <row r="13020" spans="1:13">
      <c r="A13020">
        <v>85037900</v>
      </c>
      <c r="B13020">
        <v>2002896</v>
      </c>
      <c r="C13020" t="s">
        <v>6150</v>
      </c>
      <c r="D13020" t="s">
        <v>449</v>
      </c>
      <c r="E13020" t="s">
        <v>441</v>
      </c>
      <c r="F13020">
        <v>1.4999999999999999E-2</v>
      </c>
      <c r="H13020" t="s">
        <v>8576</v>
      </c>
      <c r="I13020">
        <v>360</v>
      </c>
      <c r="J13020" t="s">
        <v>450</v>
      </c>
      <c r="K13020" t="s">
        <v>446</v>
      </c>
      <c r="M13020">
        <v>0</v>
      </c>
    </row>
    <row r="13021" spans="1:13">
      <c r="A13021">
        <v>85038000</v>
      </c>
      <c r="B13021">
        <v>2002897</v>
      </c>
      <c r="C13021" t="s">
        <v>6151</v>
      </c>
      <c r="D13021" t="s">
        <v>449</v>
      </c>
      <c r="E13021" t="s">
        <v>441</v>
      </c>
      <c r="F13021">
        <v>1.9E-2</v>
      </c>
      <c r="G13021">
        <v>0</v>
      </c>
      <c r="H13021" t="s">
        <v>8576</v>
      </c>
      <c r="I13021">
        <v>360</v>
      </c>
      <c r="J13021" t="s">
        <v>450</v>
      </c>
      <c r="K13021" t="s">
        <v>446</v>
      </c>
      <c r="M13021">
        <v>0</v>
      </c>
    </row>
    <row r="13022" spans="1:13">
      <c r="A13022">
        <v>85038100</v>
      </c>
      <c r="B13022">
        <v>2002898</v>
      </c>
      <c r="C13022" t="s">
        <v>6152</v>
      </c>
      <c r="D13022" t="s">
        <v>449</v>
      </c>
      <c r="E13022" t="s">
        <v>441</v>
      </c>
      <c r="F13022">
        <v>2.7E-2</v>
      </c>
      <c r="H13022" t="s">
        <v>8576</v>
      </c>
      <c r="I13022">
        <v>360</v>
      </c>
      <c r="J13022" t="s">
        <v>450</v>
      </c>
      <c r="K13022" t="s">
        <v>446</v>
      </c>
      <c r="M13022">
        <v>0</v>
      </c>
    </row>
    <row r="13023" spans="1:13">
      <c r="A13023">
        <v>85038200</v>
      </c>
      <c r="B13023">
        <v>2002899</v>
      </c>
      <c r="C13023" t="s">
        <v>6153</v>
      </c>
      <c r="D13023" t="s">
        <v>449</v>
      </c>
      <c r="E13023" t="s">
        <v>441</v>
      </c>
      <c r="F13023">
        <v>1.6E-2</v>
      </c>
      <c r="H13023" t="s">
        <v>8576</v>
      </c>
      <c r="I13023">
        <v>360</v>
      </c>
      <c r="J13023" t="s">
        <v>450</v>
      </c>
      <c r="K13023" t="s">
        <v>446</v>
      </c>
      <c r="M13023">
        <v>0</v>
      </c>
    </row>
    <row r="13024" spans="1:13">
      <c r="A13024">
        <v>85038300</v>
      </c>
      <c r="B13024">
        <v>2003552</v>
      </c>
      <c r="C13024" t="s">
        <v>6154</v>
      </c>
      <c r="D13024" t="s">
        <v>449</v>
      </c>
      <c r="E13024" t="s">
        <v>441</v>
      </c>
      <c r="F13024">
        <v>0.111</v>
      </c>
      <c r="H13024" t="s">
        <v>8584</v>
      </c>
      <c r="I13024">
        <v>360</v>
      </c>
      <c r="J13024" t="s">
        <v>450</v>
      </c>
      <c r="K13024" t="s">
        <v>446</v>
      </c>
      <c r="M13024">
        <v>0</v>
      </c>
    </row>
    <row r="13025" spans="1:13">
      <c r="A13025">
        <v>85038400</v>
      </c>
      <c r="B13025">
        <v>2002900</v>
      </c>
      <c r="C13025" t="s">
        <v>6155</v>
      </c>
      <c r="D13025" t="s">
        <v>449</v>
      </c>
      <c r="E13025" t="s">
        <v>441</v>
      </c>
      <c r="F13025">
        <v>2.9000000000000001E-2</v>
      </c>
      <c r="H13025" t="s">
        <v>8576</v>
      </c>
      <c r="I13025">
        <v>360</v>
      </c>
      <c r="J13025" t="s">
        <v>450</v>
      </c>
      <c r="K13025" t="s">
        <v>446</v>
      </c>
      <c r="M13025">
        <v>0</v>
      </c>
    </row>
    <row r="13026" spans="1:13">
      <c r="A13026">
        <v>85038500</v>
      </c>
      <c r="B13026">
        <v>2002901</v>
      </c>
      <c r="C13026" t="s">
        <v>6156</v>
      </c>
      <c r="D13026" t="s">
        <v>449</v>
      </c>
      <c r="E13026" t="s">
        <v>441</v>
      </c>
      <c r="F13026">
        <v>2.9000000000000001E-2</v>
      </c>
      <c r="H13026" t="s">
        <v>8576</v>
      </c>
      <c r="I13026">
        <v>360</v>
      </c>
      <c r="J13026" t="s">
        <v>450</v>
      </c>
      <c r="K13026" t="s">
        <v>446</v>
      </c>
      <c r="M13026">
        <v>0</v>
      </c>
    </row>
    <row r="13027" spans="1:13">
      <c r="A13027">
        <v>85038600</v>
      </c>
      <c r="B13027">
        <v>2002902</v>
      </c>
      <c r="C13027" t="s">
        <v>6157</v>
      </c>
      <c r="D13027" t="s">
        <v>449</v>
      </c>
      <c r="E13027" t="s">
        <v>441</v>
      </c>
      <c r="F13027">
        <v>0.03</v>
      </c>
      <c r="H13027" t="s">
        <v>8576</v>
      </c>
      <c r="I13027">
        <v>360</v>
      </c>
      <c r="J13027" t="s">
        <v>450</v>
      </c>
      <c r="K13027" t="s">
        <v>446</v>
      </c>
      <c r="M13027">
        <v>0</v>
      </c>
    </row>
    <row r="13028" spans="1:13">
      <c r="A13028">
        <v>85038700</v>
      </c>
      <c r="B13028">
        <v>2003417</v>
      </c>
      <c r="C13028" t="s">
        <v>6158</v>
      </c>
      <c r="D13028" t="s">
        <v>449</v>
      </c>
      <c r="E13028" t="s">
        <v>441</v>
      </c>
      <c r="F13028">
        <v>0.02</v>
      </c>
      <c r="I13028">
        <v>360</v>
      </c>
      <c r="J13028" t="s">
        <v>450</v>
      </c>
      <c r="K13028" t="s">
        <v>446</v>
      </c>
      <c r="M13028">
        <v>0</v>
      </c>
    </row>
    <row r="13029" spans="1:13">
      <c r="A13029">
        <v>85038800</v>
      </c>
      <c r="B13029">
        <v>2003418</v>
      </c>
      <c r="C13029" t="s">
        <v>6159</v>
      </c>
      <c r="D13029" t="s">
        <v>449</v>
      </c>
      <c r="E13029" t="s">
        <v>441</v>
      </c>
      <c r="F13029">
        <v>0.03</v>
      </c>
      <c r="H13029" t="s">
        <v>8584</v>
      </c>
      <c r="I13029">
        <v>360</v>
      </c>
      <c r="J13029" t="s">
        <v>450</v>
      </c>
      <c r="K13029" t="s">
        <v>446</v>
      </c>
      <c r="M13029">
        <v>0</v>
      </c>
    </row>
    <row r="13030" spans="1:13">
      <c r="A13030">
        <v>85038900</v>
      </c>
      <c r="B13030">
        <v>2003419</v>
      </c>
      <c r="C13030" t="s">
        <v>6160</v>
      </c>
      <c r="D13030" t="s">
        <v>449</v>
      </c>
      <c r="E13030" t="s">
        <v>441</v>
      </c>
      <c r="F13030">
        <v>1.2E-2</v>
      </c>
      <c r="H13030" t="s">
        <v>8584</v>
      </c>
      <c r="I13030">
        <v>360</v>
      </c>
      <c r="J13030" t="s">
        <v>450</v>
      </c>
      <c r="K13030" t="s">
        <v>446</v>
      </c>
      <c r="M13030">
        <v>0</v>
      </c>
    </row>
    <row r="13031" spans="1:13">
      <c r="A13031">
        <v>85039000</v>
      </c>
      <c r="B13031">
        <v>2003420</v>
      </c>
      <c r="C13031" t="s">
        <v>6161</v>
      </c>
      <c r="D13031" t="s">
        <v>449</v>
      </c>
      <c r="E13031" t="s">
        <v>441</v>
      </c>
      <c r="F13031">
        <v>1.2E-2</v>
      </c>
      <c r="H13031" t="s">
        <v>8584</v>
      </c>
      <c r="I13031">
        <v>360</v>
      </c>
      <c r="J13031" t="s">
        <v>450</v>
      </c>
      <c r="K13031" t="s">
        <v>446</v>
      </c>
      <c r="M13031">
        <v>0</v>
      </c>
    </row>
    <row r="13032" spans="1:13">
      <c r="A13032">
        <v>85039100</v>
      </c>
      <c r="B13032">
        <v>2003421</v>
      </c>
      <c r="C13032" t="s">
        <v>6162</v>
      </c>
      <c r="D13032" t="s">
        <v>449</v>
      </c>
      <c r="E13032" t="s">
        <v>441</v>
      </c>
      <c r="F13032">
        <v>1.2E-2</v>
      </c>
      <c r="H13032" t="s">
        <v>8584</v>
      </c>
      <c r="I13032">
        <v>360</v>
      </c>
      <c r="J13032" t="s">
        <v>450</v>
      </c>
      <c r="K13032" t="s">
        <v>446</v>
      </c>
      <c r="M13032">
        <v>0</v>
      </c>
    </row>
    <row r="13033" spans="1:13">
      <c r="A13033">
        <v>85039200</v>
      </c>
      <c r="B13033">
        <v>2003422</v>
      </c>
      <c r="C13033" t="s">
        <v>6163</v>
      </c>
      <c r="D13033" t="s">
        <v>449</v>
      </c>
      <c r="E13033" t="s">
        <v>441</v>
      </c>
      <c r="F13033">
        <v>1.2E-2</v>
      </c>
      <c r="H13033" t="s">
        <v>8580</v>
      </c>
      <c r="I13033">
        <v>360</v>
      </c>
      <c r="J13033" t="s">
        <v>450</v>
      </c>
      <c r="K13033" t="s">
        <v>446</v>
      </c>
      <c r="M13033">
        <v>0</v>
      </c>
    </row>
    <row r="13034" spans="1:13">
      <c r="A13034">
        <v>85039300</v>
      </c>
      <c r="B13034">
        <v>2003423</v>
      </c>
      <c r="C13034" t="s">
        <v>6164</v>
      </c>
      <c r="D13034" t="s">
        <v>449</v>
      </c>
      <c r="E13034" t="s">
        <v>441</v>
      </c>
      <c r="F13034">
        <v>1.4999999999999999E-2</v>
      </c>
      <c r="H13034" t="s">
        <v>8580</v>
      </c>
      <c r="I13034">
        <v>360</v>
      </c>
      <c r="J13034" t="s">
        <v>450</v>
      </c>
      <c r="K13034" t="s">
        <v>446</v>
      </c>
      <c r="M13034">
        <v>0</v>
      </c>
    </row>
    <row r="13035" spans="1:13">
      <c r="A13035">
        <v>85039400</v>
      </c>
      <c r="B13035">
        <v>2003424</v>
      </c>
      <c r="C13035" t="s">
        <v>6165</v>
      </c>
      <c r="D13035" t="s">
        <v>449</v>
      </c>
      <c r="E13035" t="s">
        <v>441</v>
      </c>
      <c r="F13035">
        <v>0.01</v>
      </c>
      <c r="H13035" t="s">
        <v>8584</v>
      </c>
      <c r="I13035">
        <v>360</v>
      </c>
      <c r="J13035" t="s">
        <v>450</v>
      </c>
      <c r="K13035" t="s">
        <v>446</v>
      </c>
      <c r="M13035">
        <v>0</v>
      </c>
    </row>
    <row r="13036" spans="1:13">
      <c r="A13036">
        <v>85039500</v>
      </c>
      <c r="B13036">
        <v>2003510</v>
      </c>
      <c r="C13036" t="s">
        <v>6166</v>
      </c>
      <c r="D13036" t="s">
        <v>449</v>
      </c>
      <c r="F13036">
        <v>0</v>
      </c>
      <c r="H13036" t="s">
        <v>8576</v>
      </c>
      <c r="I13036">
        <v>360</v>
      </c>
      <c r="J13036" t="s">
        <v>450</v>
      </c>
      <c r="K13036" t="s">
        <v>446</v>
      </c>
      <c r="M13036">
        <v>0</v>
      </c>
    </row>
    <row r="13037" spans="1:13">
      <c r="A13037">
        <v>85039600</v>
      </c>
      <c r="B13037">
        <v>2003558</v>
      </c>
      <c r="C13037" t="s">
        <v>6167</v>
      </c>
      <c r="D13037" t="s">
        <v>449</v>
      </c>
      <c r="F13037">
        <v>0</v>
      </c>
      <c r="H13037" t="s">
        <v>8576</v>
      </c>
      <c r="I13037">
        <v>360</v>
      </c>
      <c r="J13037" t="s">
        <v>450</v>
      </c>
      <c r="K13037" t="s">
        <v>446</v>
      </c>
      <c r="M13037">
        <v>0</v>
      </c>
    </row>
    <row r="13038" spans="1:13">
      <c r="A13038">
        <v>85039700</v>
      </c>
      <c r="B13038">
        <v>2003731</v>
      </c>
      <c r="C13038" t="s">
        <v>6168</v>
      </c>
      <c r="D13038" t="s">
        <v>449</v>
      </c>
      <c r="F13038">
        <v>0</v>
      </c>
      <c r="H13038" t="s">
        <v>8576</v>
      </c>
      <c r="I13038">
        <v>360</v>
      </c>
      <c r="J13038" t="s">
        <v>450</v>
      </c>
      <c r="K13038" t="s">
        <v>446</v>
      </c>
      <c r="M13038">
        <v>0</v>
      </c>
    </row>
    <row r="13039" spans="1:13">
      <c r="A13039">
        <v>85039800</v>
      </c>
      <c r="B13039">
        <v>2003752</v>
      </c>
      <c r="C13039" t="s">
        <v>6169</v>
      </c>
      <c r="D13039" t="s">
        <v>449</v>
      </c>
      <c r="F13039">
        <v>0</v>
      </c>
      <c r="H13039" t="s">
        <v>8576</v>
      </c>
      <c r="I13039">
        <v>360</v>
      </c>
      <c r="J13039" t="s">
        <v>450</v>
      </c>
      <c r="K13039" t="s">
        <v>446</v>
      </c>
      <c r="M13039">
        <v>0</v>
      </c>
    </row>
    <row r="13040" spans="1:13">
      <c r="A13040">
        <v>85039900</v>
      </c>
      <c r="B13040">
        <v>2003766</v>
      </c>
      <c r="C13040" t="s">
        <v>6170</v>
      </c>
      <c r="D13040" t="s">
        <v>449</v>
      </c>
      <c r="F13040">
        <v>0</v>
      </c>
      <c r="H13040" t="s">
        <v>8576</v>
      </c>
      <c r="I13040">
        <v>410</v>
      </c>
      <c r="J13040" t="s">
        <v>450</v>
      </c>
      <c r="K13040" t="s">
        <v>446</v>
      </c>
      <c r="M13040">
        <v>0</v>
      </c>
    </row>
    <row r="13041" spans="1:13">
      <c r="A13041">
        <v>85040000</v>
      </c>
      <c r="B13041">
        <v>2002683</v>
      </c>
      <c r="C13041" t="s">
        <v>6171</v>
      </c>
      <c r="D13041" t="s">
        <v>441</v>
      </c>
      <c r="F13041">
        <v>0</v>
      </c>
      <c r="H13041" t="s">
        <v>8576</v>
      </c>
      <c r="I13041">
        <v>730</v>
      </c>
      <c r="J13041" t="s">
        <v>450</v>
      </c>
      <c r="K13041" t="s">
        <v>446</v>
      </c>
      <c r="M13041">
        <v>0</v>
      </c>
    </row>
    <row r="13042" spans="1:13">
      <c r="A13042">
        <v>85040100</v>
      </c>
      <c r="B13042">
        <v>2002682</v>
      </c>
      <c r="C13042" t="s">
        <v>6172</v>
      </c>
      <c r="D13042" t="s">
        <v>441</v>
      </c>
      <c r="F13042">
        <v>0</v>
      </c>
      <c r="H13042" t="s">
        <v>8576</v>
      </c>
      <c r="I13042">
        <v>730</v>
      </c>
      <c r="J13042" t="s">
        <v>450</v>
      </c>
      <c r="K13042" t="s">
        <v>446</v>
      </c>
      <c r="M13042">
        <v>0</v>
      </c>
    </row>
    <row r="13043" spans="1:13">
      <c r="A13043">
        <v>85040110</v>
      </c>
      <c r="B13043">
        <v>2003852</v>
      </c>
      <c r="C13043" t="s">
        <v>6173</v>
      </c>
      <c r="D13043" t="s">
        <v>449</v>
      </c>
      <c r="F13043">
        <v>0</v>
      </c>
      <c r="H13043" t="s">
        <v>8576</v>
      </c>
      <c r="I13043">
        <v>365</v>
      </c>
      <c r="J13043" t="s">
        <v>450</v>
      </c>
      <c r="K13043" t="s">
        <v>446</v>
      </c>
      <c r="M13043">
        <v>0</v>
      </c>
    </row>
    <row r="13044" spans="1:13">
      <c r="A13044">
        <v>85040120</v>
      </c>
      <c r="B13044">
        <v>2003871</v>
      </c>
      <c r="C13044" t="s">
        <v>6174</v>
      </c>
      <c r="D13044" t="s">
        <v>449</v>
      </c>
      <c r="F13044">
        <v>0</v>
      </c>
      <c r="H13044" t="s">
        <v>8576</v>
      </c>
      <c r="I13044">
        <v>360</v>
      </c>
      <c r="J13044" t="s">
        <v>450</v>
      </c>
      <c r="K13044" t="s">
        <v>446</v>
      </c>
      <c r="M13044">
        <v>0</v>
      </c>
    </row>
    <row r="13045" spans="1:13">
      <c r="A13045">
        <v>85040130</v>
      </c>
      <c r="B13045">
        <v>2003882</v>
      </c>
      <c r="C13045" t="s">
        <v>6175</v>
      </c>
      <c r="D13045" t="s">
        <v>449</v>
      </c>
      <c r="F13045">
        <v>0</v>
      </c>
      <c r="H13045" t="s">
        <v>8576</v>
      </c>
      <c r="I13045">
        <v>360</v>
      </c>
      <c r="J13045" t="s">
        <v>450</v>
      </c>
      <c r="K13045" t="s">
        <v>446</v>
      </c>
      <c r="M13045">
        <v>0</v>
      </c>
    </row>
    <row r="13046" spans="1:13">
      <c r="A13046">
        <v>85040140</v>
      </c>
      <c r="B13046">
        <v>2003880</v>
      </c>
      <c r="C13046" t="s">
        <v>6176</v>
      </c>
      <c r="D13046" t="s">
        <v>441</v>
      </c>
      <c r="F13046">
        <v>0</v>
      </c>
      <c r="H13046" t="s">
        <v>8576</v>
      </c>
      <c r="I13046">
        <v>365</v>
      </c>
      <c r="J13046" t="s">
        <v>450</v>
      </c>
      <c r="K13046" t="s">
        <v>446</v>
      </c>
      <c r="M13046">
        <v>0</v>
      </c>
    </row>
    <row r="13047" spans="1:13">
      <c r="A13047">
        <v>85040160</v>
      </c>
      <c r="B13047">
        <v>2003912</v>
      </c>
      <c r="C13047" t="s">
        <v>6177</v>
      </c>
      <c r="D13047" t="s">
        <v>442</v>
      </c>
      <c r="F13047">
        <v>0</v>
      </c>
      <c r="H13047" t="s">
        <v>13997</v>
      </c>
      <c r="I13047">
        <v>547</v>
      </c>
      <c r="J13047" t="s">
        <v>450</v>
      </c>
      <c r="K13047" t="s">
        <v>446</v>
      </c>
      <c r="M13047">
        <v>2611</v>
      </c>
    </row>
    <row r="13048" spans="1:13">
      <c r="A13048">
        <v>85040170</v>
      </c>
      <c r="B13048">
        <v>2003953</v>
      </c>
      <c r="C13048" t="s">
        <v>6178</v>
      </c>
      <c r="D13048" t="s">
        <v>441</v>
      </c>
      <c r="F13048">
        <v>0</v>
      </c>
      <c r="H13048" t="s">
        <v>8576</v>
      </c>
      <c r="I13048">
        <v>365</v>
      </c>
      <c r="J13048" t="s">
        <v>450</v>
      </c>
      <c r="K13048" t="s">
        <v>446</v>
      </c>
      <c r="M13048">
        <v>0</v>
      </c>
    </row>
    <row r="13049" spans="1:13">
      <c r="A13049">
        <v>85040180</v>
      </c>
      <c r="B13049">
        <v>2003947</v>
      </c>
      <c r="C13049" t="s">
        <v>6179</v>
      </c>
      <c r="D13049" t="s">
        <v>449</v>
      </c>
      <c r="F13049">
        <v>0</v>
      </c>
      <c r="H13049" t="s">
        <v>8576</v>
      </c>
      <c r="I13049">
        <v>360</v>
      </c>
      <c r="J13049" t="s">
        <v>450</v>
      </c>
      <c r="K13049" t="s">
        <v>446</v>
      </c>
      <c r="M13049">
        <v>0</v>
      </c>
    </row>
    <row r="13050" spans="1:13">
      <c r="A13050">
        <v>85040190</v>
      </c>
      <c r="B13050">
        <v>2003946</v>
      </c>
      <c r="C13050" t="s">
        <v>6180</v>
      </c>
      <c r="D13050" t="s">
        <v>449</v>
      </c>
      <c r="F13050">
        <v>0</v>
      </c>
      <c r="H13050" t="s">
        <v>8576</v>
      </c>
      <c r="I13050">
        <v>360</v>
      </c>
      <c r="J13050" t="s">
        <v>450</v>
      </c>
      <c r="K13050" t="s">
        <v>446</v>
      </c>
      <c r="M13050">
        <v>0</v>
      </c>
    </row>
    <row r="13051" spans="1:13">
      <c r="A13051">
        <v>85040200</v>
      </c>
      <c r="B13051">
        <v>2001499</v>
      </c>
      <c r="C13051" t="s">
        <v>6181</v>
      </c>
      <c r="D13051" t="s">
        <v>441</v>
      </c>
      <c r="F13051">
        <v>0</v>
      </c>
      <c r="H13051" t="s">
        <v>8576</v>
      </c>
      <c r="I13051">
        <v>365</v>
      </c>
      <c r="J13051" t="s">
        <v>450</v>
      </c>
      <c r="K13051" t="s">
        <v>446</v>
      </c>
      <c r="M13051">
        <v>0</v>
      </c>
    </row>
    <row r="13052" spans="1:13">
      <c r="A13052">
        <v>85040210</v>
      </c>
      <c r="B13052">
        <v>2003945</v>
      </c>
      <c r="C13052" t="s">
        <v>6182</v>
      </c>
      <c r="D13052" t="s">
        <v>449</v>
      </c>
      <c r="F13052">
        <v>0</v>
      </c>
      <c r="H13052" t="s">
        <v>8576</v>
      </c>
      <c r="I13052">
        <v>360</v>
      </c>
      <c r="J13052" t="s">
        <v>450</v>
      </c>
      <c r="K13052" t="s">
        <v>446</v>
      </c>
      <c r="M13052">
        <v>0</v>
      </c>
    </row>
    <row r="13053" spans="1:13">
      <c r="A13053">
        <v>85040220</v>
      </c>
      <c r="B13053">
        <v>2003944</v>
      </c>
      <c r="C13053" t="s">
        <v>6183</v>
      </c>
      <c r="D13053" t="s">
        <v>449</v>
      </c>
      <c r="F13053">
        <v>0</v>
      </c>
      <c r="H13053" t="s">
        <v>8576</v>
      </c>
      <c r="I13053">
        <v>360</v>
      </c>
      <c r="J13053" t="s">
        <v>450</v>
      </c>
      <c r="K13053" t="s">
        <v>446</v>
      </c>
      <c r="M13053">
        <v>0</v>
      </c>
    </row>
    <row r="13054" spans="1:13">
      <c r="A13054">
        <v>85040230</v>
      </c>
      <c r="B13054">
        <v>2001458</v>
      </c>
      <c r="C13054" t="s">
        <v>6184</v>
      </c>
      <c r="D13054" t="s">
        <v>449</v>
      </c>
      <c r="E13054" t="s">
        <v>441</v>
      </c>
      <c r="F13054">
        <v>2.8000000000000001E-2</v>
      </c>
      <c r="H13054" t="s">
        <v>8576</v>
      </c>
      <c r="I13054">
        <v>360</v>
      </c>
      <c r="J13054" t="s">
        <v>450</v>
      </c>
      <c r="K13054" t="s">
        <v>446</v>
      </c>
      <c r="M13054">
        <v>0</v>
      </c>
    </row>
    <row r="13055" spans="1:13">
      <c r="A13055">
        <v>85040240</v>
      </c>
      <c r="B13055">
        <v>2001460</v>
      </c>
      <c r="C13055" t="s">
        <v>6185</v>
      </c>
      <c r="D13055" t="s">
        <v>449</v>
      </c>
      <c r="E13055" t="s">
        <v>441</v>
      </c>
      <c r="F13055">
        <v>2.9000000000000001E-2</v>
      </c>
      <c r="H13055" t="s">
        <v>8576</v>
      </c>
      <c r="I13055">
        <v>365</v>
      </c>
      <c r="J13055" t="s">
        <v>450</v>
      </c>
      <c r="K13055" t="s">
        <v>446</v>
      </c>
      <c r="M13055">
        <v>0</v>
      </c>
    </row>
    <row r="13056" spans="1:13">
      <c r="A13056">
        <v>85040250</v>
      </c>
      <c r="B13056">
        <v>2003987</v>
      </c>
      <c r="C13056" t="s">
        <v>6186</v>
      </c>
      <c r="D13056" t="s">
        <v>449</v>
      </c>
      <c r="F13056">
        <v>0</v>
      </c>
      <c r="H13056" t="s">
        <v>8574</v>
      </c>
      <c r="I13056">
        <v>711</v>
      </c>
      <c r="J13056" t="s">
        <v>450</v>
      </c>
      <c r="K13056" t="s">
        <v>446</v>
      </c>
      <c r="M13056">
        <v>0</v>
      </c>
    </row>
    <row r="13057" spans="1:13">
      <c r="A13057">
        <v>85040260</v>
      </c>
      <c r="B13057">
        <v>2003988</v>
      </c>
      <c r="C13057" t="s">
        <v>6187</v>
      </c>
      <c r="D13057" t="s">
        <v>442</v>
      </c>
      <c r="F13057">
        <v>0</v>
      </c>
      <c r="H13057" t="s">
        <v>13997</v>
      </c>
      <c r="I13057">
        <v>547</v>
      </c>
      <c r="J13057" t="s">
        <v>450</v>
      </c>
      <c r="K13057" t="s">
        <v>446</v>
      </c>
      <c r="M13057">
        <v>0</v>
      </c>
    </row>
    <row r="13058" spans="1:13">
      <c r="A13058">
        <v>85040270</v>
      </c>
      <c r="B13058">
        <v>2004003</v>
      </c>
      <c r="C13058" t="s">
        <v>6188</v>
      </c>
      <c r="D13058" t="s">
        <v>442</v>
      </c>
      <c r="F13058">
        <v>0</v>
      </c>
      <c r="H13058" t="s">
        <v>13997</v>
      </c>
      <c r="I13058">
        <v>547</v>
      </c>
      <c r="J13058" t="s">
        <v>450</v>
      </c>
      <c r="K13058" t="s">
        <v>446</v>
      </c>
      <c r="M13058">
        <v>0</v>
      </c>
    </row>
    <row r="13059" spans="1:13">
      <c r="A13059">
        <v>85040280</v>
      </c>
      <c r="B13059">
        <v>2004002</v>
      </c>
      <c r="C13059" t="s">
        <v>6189</v>
      </c>
      <c r="D13059" t="s">
        <v>442</v>
      </c>
      <c r="F13059">
        <v>0</v>
      </c>
      <c r="H13059" t="s">
        <v>13997</v>
      </c>
      <c r="I13059">
        <v>547</v>
      </c>
      <c r="J13059" t="s">
        <v>450</v>
      </c>
      <c r="K13059" t="s">
        <v>446</v>
      </c>
      <c r="M13059">
        <v>0</v>
      </c>
    </row>
    <row r="13060" spans="1:13">
      <c r="A13060">
        <v>85040290</v>
      </c>
      <c r="B13060">
        <v>2004010</v>
      </c>
      <c r="C13060" t="s">
        <v>6190</v>
      </c>
      <c r="D13060" t="s">
        <v>449</v>
      </c>
      <c r="F13060">
        <v>0</v>
      </c>
      <c r="H13060" t="s">
        <v>8576</v>
      </c>
      <c r="I13060">
        <v>360</v>
      </c>
      <c r="J13060" t="s">
        <v>450</v>
      </c>
      <c r="K13060" t="s">
        <v>446</v>
      </c>
      <c r="M13060">
        <v>0</v>
      </c>
    </row>
    <row r="13061" spans="1:13">
      <c r="A13061">
        <v>85040300</v>
      </c>
      <c r="B13061">
        <v>2004024</v>
      </c>
      <c r="C13061" t="s">
        <v>6191</v>
      </c>
      <c r="D13061" t="s">
        <v>449</v>
      </c>
      <c r="F13061">
        <v>0</v>
      </c>
      <c r="H13061" t="s">
        <v>8576</v>
      </c>
      <c r="I13061">
        <v>360</v>
      </c>
      <c r="J13061" t="s">
        <v>450</v>
      </c>
      <c r="K13061" t="s">
        <v>446</v>
      </c>
      <c r="M13061">
        <v>0</v>
      </c>
    </row>
    <row r="13062" spans="1:13">
      <c r="A13062">
        <v>85040310</v>
      </c>
      <c r="B13062">
        <v>2004039</v>
      </c>
      <c r="C13062" t="s">
        <v>6192</v>
      </c>
      <c r="D13062" t="s">
        <v>449</v>
      </c>
      <c r="F13062">
        <v>0</v>
      </c>
      <c r="H13062" t="s">
        <v>8576</v>
      </c>
      <c r="I13062">
        <v>360</v>
      </c>
      <c r="J13062" t="s">
        <v>450</v>
      </c>
      <c r="K13062" t="s">
        <v>446</v>
      </c>
      <c r="M13062">
        <v>0</v>
      </c>
    </row>
    <row r="13063" spans="1:13">
      <c r="A13063">
        <v>85040400</v>
      </c>
      <c r="B13063">
        <v>2004103</v>
      </c>
      <c r="C13063" t="s">
        <v>6193</v>
      </c>
      <c r="D13063" t="s">
        <v>449</v>
      </c>
      <c r="F13063">
        <v>0</v>
      </c>
      <c r="H13063" t="s">
        <v>8576</v>
      </c>
      <c r="I13063">
        <v>730</v>
      </c>
      <c r="J13063" t="s">
        <v>450</v>
      </c>
      <c r="K13063" t="s">
        <v>446</v>
      </c>
      <c r="M13063">
        <v>0</v>
      </c>
    </row>
    <row r="13064" spans="1:13">
      <c r="A13064">
        <v>85040500</v>
      </c>
      <c r="B13064">
        <v>2004104</v>
      </c>
      <c r="C13064" t="s">
        <v>6194</v>
      </c>
      <c r="D13064" t="s">
        <v>449</v>
      </c>
      <c r="F13064">
        <v>0</v>
      </c>
      <c r="H13064" t="s">
        <v>8576</v>
      </c>
      <c r="I13064">
        <v>360</v>
      </c>
      <c r="J13064" t="s">
        <v>450</v>
      </c>
      <c r="K13064" t="s">
        <v>446</v>
      </c>
      <c r="M13064">
        <v>0</v>
      </c>
    </row>
    <row r="13065" spans="1:13">
      <c r="A13065">
        <v>85040600</v>
      </c>
      <c r="B13065">
        <v>2004105</v>
      </c>
      <c r="C13065" t="s">
        <v>6195</v>
      </c>
      <c r="D13065" t="s">
        <v>449</v>
      </c>
      <c r="F13065">
        <v>0</v>
      </c>
      <c r="H13065" t="s">
        <v>8576</v>
      </c>
      <c r="I13065">
        <v>730</v>
      </c>
      <c r="J13065" t="s">
        <v>450</v>
      </c>
      <c r="K13065" t="s">
        <v>446</v>
      </c>
      <c r="M13065">
        <v>0</v>
      </c>
    </row>
    <row r="13066" spans="1:13">
      <c r="A13066">
        <v>85040700</v>
      </c>
      <c r="B13066">
        <v>2004106</v>
      </c>
      <c r="C13066" t="s">
        <v>6196</v>
      </c>
      <c r="D13066" t="s">
        <v>449</v>
      </c>
      <c r="F13066">
        <v>0</v>
      </c>
      <c r="H13066" t="s">
        <v>8576</v>
      </c>
      <c r="I13066">
        <v>360</v>
      </c>
      <c r="J13066" t="s">
        <v>450</v>
      </c>
      <c r="K13066" t="s">
        <v>446</v>
      </c>
      <c r="M13066">
        <v>0</v>
      </c>
    </row>
    <row r="13067" spans="1:13">
      <c r="A13067">
        <v>85040800</v>
      </c>
      <c r="B13067">
        <v>2004162</v>
      </c>
      <c r="C13067" t="s">
        <v>6197</v>
      </c>
      <c r="D13067" t="s">
        <v>442</v>
      </c>
      <c r="F13067">
        <v>0</v>
      </c>
      <c r="H13067" t="s">
        <v>8580</v>
      </c>
      <c r="I13067">
        <v>1440</v>
      </c>
      <c r="J13067" t="s">
        <v>450</v>
      </c>
      <c r="K13067" t="s">
        <v>446</v>
      </c>
      <c r="M13067">
        <v>0</v>
      </c>
    </row>
    <row r="13068" spans="1:13">
      <c r="A13068">
        <v>85040900</v>
      </c>
      <c r="B13068">
        <v>2004166</v>
      </c>
      <c r="C13068" t="s">
        <v>6198</v>
      </c>
      <c r="D13068" t="s">
        <v>442</v>
      </c>
      <c r="F13068">
        <v>0</v>
      </c>
      <c r="H13068" t="s">
        <v>13997</v>
      </c>
      <c r="I13068">
        <v>547</v>
      </c>
      <c r="J13068" t="s">
        <v>450</v>
      </c>
      <c r="K13068" t="s">
        <v>446</v>
      </c>
      <c r="M13068">
        <v>2611</v>
      </c>
    </row>
    <row r="13069" spans="1:13">
      <c r="A13069">
        <v>85041100</v>
      </c>
      <c r="B13069">
        <v>2004324</v>
      </c>
      <c r="C13069" t="s">
        <v>6199</v>
      </c>
      <c r="D13069" t="s">
        <v>442</v>
      </c>
      <c r="F13069">
        <v>0</v>
      </c>
      <c r="H13069" t="s">
        <v>13997</v>
      </c>
      <c r="I13069">
        <v>547</v>
      </c>
      <c r="J13069" t="s">
        <v>450</v>
      </c>
      <c r="K13069" t="s">
        <v>446</v>
      </c>
      <c r="M13069">
        <v>2611</v>
      </c>
    </row>
    <row r="13070" spans="1:13">
      <c r="A13070">
        <v>85041200</v>
      </c>
      <c r="B13070">
        <v>2004338</v>
      </c>
      <c r="C13070" t="s">
        <v>6200</v>
      </c>
      <c r="D13070" t="s">
        <v>442</v>
      </c>
      <c r="F13070">
        <v>0</v>
      </c>
      <c r="H13070" t="s">
        <v>13997</v>
      </c>
      <c r="I13070">
        <v>547</v>
      </c>
      <c r="J13070" t="s">
        <v>450</v>
      </c>
      <c r="K13070" t="s">
        <v>446</v>
      </c>
      <c r="M13070">
        <v>2611</v>
      </c>
    </row>
    <row r="13071" spans="1:13">
      <c r="A13071">
        <v>85041300</v>
      </c>
      <c r="B13071">
        <v>2004337</v>
      </c>
      <c r="C13071" t="s">
        <v>6201</v>
      </c>
      <c r="D13071" t="s">
        <v>442</v>
      </c>
      <c r="F13071">
        <v>0</v>
      </c>
      <c r="H13071" t="s">
        <v>13997</v>
      </c>
      <c r="I13071">
        <v>547</v>
      </c>
      <c r="J13071" t="s">
        <v>450</v>
      </c>
      <c r="K13071" t="s">
        <v>446</v>
      </c>
      <c r="M13071">
        <v>2611</v>
      </c>
    </row>
    <row r="13072" spans="1:13">
      <c r="A13072">
        <v>85041400</v>
      </c>
      <c r="B13072">
        <v>2004336</v>
      </c>
      <c r="C13072" t="s">
        <v>6202</v>
      </c>
      <c r="D13072" t="s">
        <v>442</v>
      </c>
      <c r="F13072">
        <v>0</v>
      </c>
      <c r="H13072" t="s">
        <v>13997</v>
      </c>
      <c r="I13072">
        <v>547</v>
      </c>
      <c r="J13072" t="s">
        <v>450</v>
      </c>
      <c r="K13072" t="s">
        <v>446</v>
      </c>
      <c r="M13072">
        <v>2611</v>
      </c>
    </row>
    <row r="13073" spans="1:13">
      <c r="A13073">
        <v>85041500</v>
      </c>
      <c r="B13073">
        <v>2004335</v>
      </c>
      <c r="C13073" t="s">
        <v>6203</v>
      </c>
      <c r="D13073" t="s">
        <v>442</v>
      </c>
      <c r="F13073">
        <v>0</v>
      </c>
      <c r="H13073" t="s">
        <v>13997</v>
      </c>
      <c r="I13073">
        <v>547</v>
      </c>
      <c r="J13073" t="s">
        <v>450</v>
      </c>
      <c r="K13073" t="s">
        <v>446</v>
      </c>
      <c r="M13073">
        <v>2611</v>
      </c>
    </row>
    <row r="13074" spans="1:13">
      <c r="A13074">
        <v>85041600</v>
      </c>
      <c r="B13074">
        <v>2004334</v>
      </c>
      <c r="C13074" t="s">
        <v>6204</v>
      </c>
      <c r="D13074" t="s">
        <v>442</v>
      </c>
      <c r="F13074">
        <v>0</v>
      </c>
      <c r="H13074" t="s">
        <v>13997</v>
      </c>
      <c r="I13074">
        <v>547</v>
      </c>
      <c r="J13074" t="s">
        <v>450</v>
      </c>
      <c r="K13074" t="s">
        <v>446</v>
      </c>
      <c r="M13074">
        <v>2611</v>
      </c>
    </row>
    <row r="13075" spans="1:13">
      <c r="A13075">
        <v>85041700</v>
      </c>
      <c r="B13075">
        <v>2004333</v>
      </c>
      <c r="C13075" t="s">
        <v>6205</v>
      </c>
      <c r="D13075" t="s">
        <v>442</v>
      </c>
      <c r="F13075">
        <v>0</v>
      </c>
      <c r="H13075" t="s">
        <v>13997</v>
      </c>
      <c r="I13075">
        <v>547</v>
      </c>
      <c r="J13075" t="s">
        <v>450</v>
      </c>
      <c r="K13075" t="s">
        <v>446</v>
      </c>
      <c r="M13075">
        <v>2611</v>
      </c>
    </row>
    <row r="13076" spans="1:13">
      <c r="A13076">
        <v>85041800</v>
      </c>
      <c r="B13076">
        <v>2004342</v>
      </c>
      <c r="C13076" t="s">
        <v>6206</v>
      </c>
      <c r="D13076" t="s">
        <v>442</v>
      </c>
      <c r="F13076">
        <v>0</v>
      </c>
      <c r="H13076" t="s">
        <v>13997</v>
      </c>
      <c r="I13076">
        <v>547</v>
      </c>
      <c r="J13076" t="s">
        <v>450</v>
      </c>
      <c r="K13076" t="s">
        <v>446</v>
      </c>
      <c r="M13076">
        <v>2611</v>
      </c>
    </row>
    <row r="13077" spans="1:13">
      <c r="A13077">
        <v>85041900</v>
      </c>
      <c r="B13077">
        <v>2004350</v>
      </c>
      <c r="C13077" t="s">
        <v>6207</v>
      </c>
      <c r="D13077" t="s">
        <v>449</v>
      </c>
      <c r="F13077">
        <v>0</v>
      </c>
      <c r="H13077" t="s">
        <v>8574</v>
      </c>
      <c r="I13077">
        <v>711</v>
      </c>
      <c r="J13077" t="s">
        <v>450</v>
      </c>
      <c r="K13077" t="s">
        <v>446</v>
      </c>
      <c r="M13077">
        <v>0</v>
      </c>
    </row>
    <row r="13078" spans="1:13">
      <c r="A13078">
        <v>85042000</v>
      </c>
      <c r="B13078">
        <v>2004353</v>
      </c>
      <c r="C13078" t="s">
        <v>6208</v>
      </c>
      <c r="D13078" t="s">
        <v>449</v>
      </c>
      <c r="F13078">
        <v>0</v>
      </c>
      <c r="H13078" t="s">
        <v>8576</v>
      </c>
      <c r="I13078">
        <v>360</v>
      </c>
      <c r="J13078" t="s">
        <v>450</v>
      </c>
      <c r="K13078" t="s">
        <v>446</v>
      </c>
      <c r="M13078">
        <v>0</v>
      </c>
    </row>
    <row r="13079" spans="1:13">
      <c r="A13079">
        <v>85042100</v>
      </c>
      <c r="B13079">
        <v>2004430</v>
      </c>
      <c r="C13079" t="s">
        <v>6209</v>
      </c>
      <c r="D13079" t="s">
        <v>442</v>
      </c>
      <c r="F13079">
        <v>0</v>
      </c>
      <c r="H13079" t="s">
        <v>13997</v>
      </c>
      <c r="I13079">
        <v>547</v>
      </c>
      <c r="J13079" t="s">
        <v>450</v>
      </c>
      <c r="K13079" t="s">
        <v>446</v>
      </c>
      <c r="M13079">
        <v>0</v>
      </c>
    </row>
    <row r="13080" spans="1:13">
      <c r="A13080">
        <v>85042200</v>
      </c>
      <c r="B13080">
        <v>2004417</v>
      </c>
      <c r="C13080" t="s">
        <v>6210</v>
      </c>
      <c r="D13080" t="s">
        <v>449</v>
      </c>
      <c r="F13080">
        <v>0</v>
      </c>
      <c r="H13080" t="s">
        <v>8576</v>
      </c>
      <c r="I13080">
        <v>360</v>
      </c>
      <c r="J13080" t="s">
        <v>450</v>
      </c>
      <c r="K13080" t="s">
        <v>446</v>
      </c>
      <c r="M13080">
        <v>0</v>
      </c>
    </row>
    <row r="13081" spans="1:13">
      <c r="A13081">
        <v>85042300</v>
      </c>
      <c r="B13081">
        <v>2004416</v>
      </c>
      <c r="C13081" t="s">
        <v>6211</v>
      </c>
      <c r="D13081" t="s">
        <v>449</v>
      </c>
      <c r="F13081">
        <v>0</v>
      </c>
      <c r="H13081" t="s">
        <v>8576</v>
      </c>
      <c r="I13081">
        <v>360</v>
      </c>
      <c r="J13081" t="s">
        <v>450</v>
      </c>
      <c r="K13081" t="s">
        <v>446</v>
      </c>
      <c r="M13081">
        <v>0</v>
      </c>
    </row>
    <row r="13082" spans="1:13">
      <c r="A13082">
        <v>85042400</v>
      </c>
      <c r="B13082">
        <v>2004497</v>
      </c>
      <c r="C13082" t="s">
        <v>6212</v>
      </c>
      <c r="D13082" t="s">
        <v>442</v>
      </c>
      <c r="F13082">
        <v>0</v>
      </c>
      <c r="H13082" t="s">
        <v>13997</v>
      </c>
      <c r="I13082">
        <v>547</v>
      </c>
      <c r="J13082" t="s">
        <v>450</v>
      </c>
      <c r="K13082" t="s">
        <v>446</v>
      </c>
      <c r="M13082">
        <v>2611</v>
      </c>
    </row>
    <row r="13083" spans="1:13">
      <c r="A13083">
        <v>85042500</v>
      </c>
      <c r="B13083">
        <v>2004496</v>
      </c>
      <c r="C13083" t="s">
        <v>6213</v>
      </c>
      <c r="D13083" t="s">
        <v>449</v>
      </c>
      <c r="F13083">
        <v>0</v>
      </c>
      <c r="H13083" t="s">
        <v>8576</v>
      </c>
      <c r="I13083">
        <v>360</v>
      </c>
      <c r="J13083" t="s">
        <v>450</v>
      </c>
      <c r="K13083" t="s">
        <v>446</v>
      </c>
      <c r="M13083">
        <v>0</v>
      </c>
    </row>
    <row r="13084" spans="1:13">
      <c r="A13084">
        <v>85042600</v>
      </c>
      <c r="B13084">
        <v>2004499</v>
      </c>
      <c r="C13084" t="s">
        <v>6214</v>
      </c>
      <c r="D13084" t="s">
        <v>449</v>
      </c>
      <c r="F13084">
        <v>0</v>
      </c>
      <c r="H13084" t="s">
        <v>8576</v>
      </c>
      <c r="I13084">
        <v>730</v>
      </c>
      <c r="J13084" t="s">
        <v>450</v>
      </c>
      <c r="K13084" t="s">
        <v>446</v>
      </c>
      <c r="M13084">
        <v>0</v>
      </c>
    </row>
    <row r="13085" spans="1:13">
      <c r="A13085">
        <v>85042700</v>
      </c>
      <c r="B13085">
        <v>2004498</v>
      </c>
      <c r="C13085" t="s">
        <v>6215</v>
      </c>
      <c r="D13085" t="s">
        <v>449</v>
      </c>
      <c r="F13085">
        <v>0</v>
      </c>
      <c r="H13085" t="s">
        <v>8576</v>
      </c>
      <c r="I13085">
        <v>730</v>
      </c>
      <c r="J13085" t="s">
        <v>450</v>
      </c>
      <c r="K13085" t="s">
        <v>446</v>
      </c>
      <c r="M13085">
        <v>0</v>
      </c>
    </row>
    <row r="13086" spans="1:13">
      <c r="A13086">
        <v>85042800</v>
      </c>
      <c r="B13086">
        <v>2004501</v>
      </c>
      <c r="C13086" t="s">
        <v>6216</v>
      </c>
      <c r="D13086" t="s">
        <v>449</v>
      </c>
      <c r="F13086">
        <v>0</v>
      </c>
      <c r="H13086" t="s">
        <v>8576</v>
      </c>
      <c r="I13086">
        <v>720</v>
      </c>
      <c r="J13086" t="s">
        <v>450</v>
      </c>
      <c r="K13086" t="s">
        <v>446</v>
      </c>
      <c r="M13086">
        <v>0</v>
      </c>
    </row>
    <row r="13087" spans="1:13">
      <c r="A13087">
        <v>85042900</v>
      </c>
      <c r="B13087">
        <v>2004489</v>
      </c>
      <c r="C13087" t="s">
        <v>6217</v>
      </c>
      <c r="D13087" t="s">
        <v>442</v>
      </c>
      <c r="F13087">
        <v>0</v>
      </c>
      <c r="H13087" t="s">
        <v>13997</v>
      </c>
      <c r="I13087">
        <v>547</v>
      </c>
      <c r="J13087" t="s">
        <v>450</v>
      </c>
      <c r="K13087" t="s">
        <v>446</v>
      </c>
      <c r="M13087">
        <v>2611</v>
      </c>
    </row>
    <row r="13088" spans="1:13">
      <c r="A13088">
        <v>85043000</v>
      </c>
      <c r="B13088">
        <v>2004487</v>
      </c>
      <c r="C13088" t="s">
        <v>6218</v>
      </c>
      <c r="D13088" t="s">
        <v>449</v>
      </c>
      <c r="F13088">
        <v>0</v>
      </c>
      <c r="H13088" t="s">
        <v>8576</v>
      </c>
      <c r="I13088">
        <v>720</v>
      </c>
      <c r="J13088" t="s">
        <v>450</v>
      </c>
      <c r="K13088" t="s">
        <v>446</v>
      </c>
      <c r="M13088">
        <v>0</v>
      </c>
    </row>
    <row r="13089" spans="1:13">
      <c r="A13089">
        <v>85043100</v>
      </c>
      <c r="B13089">
        <v>2004486</v>
      </c>
      <c r="C13089" t="s">
        <v>6219</v>
      </c>
      <c r="D13089" t="s">
        <v>449</v>
      </c>
      <c r="F13089">
        <v>0</v>
      </c>
      <c r="H13089" t="s">
        <v>8576</v>
      </c>
      <c r="I13089">
        <v>720</v>
      </c>
      <c r="J13089" t="s">
        <v>450</v>
      </c>
      <c r="K13089" t="s">
        <v>446</v>
      </c>
      <c r="M13089">
        <v>0</v>
      </c>
    </row>
    <row r="13090" spans="1:13">
      <c r="A13090">
        <v>85043200</v>
      </c>
      <c r="B13090">
        <v>2004485</v>
      </c>
      <c r="C13090" t="s">
        <v>6220</v>
      </c>
      <c r="D13090" t="s">
        <v>449</v>
      </c>
      <c r="F13090">
        <v>0</v>
      </c>
      <c r="H13090" t="s">
        <v>8576</v>
      </c>
      <c r="I13090">
        <v>720</v>
      </c>
      <c r="J13090" t="s">
        <v>450</v>
      </c>
      <c r="K13090" t="s">
        <v>446</v>
      </c>
      <c r="M13090">
        <v>0</v>
      </c>
    </row>
    <row r="13091" spans="1:13">
      <c r="A13091">
        <v>85043300</v>
      </c>
      <c r="B13091">
        <v>2004525</v>
      </c>
      <c r="C13091" t="s">
        <v>6221</v>
      </c>
      <c r="D13091" t="s">
        <v>442</v>
      </c>
      <c r="F13091">
        <v>0</v>
      </c>
      <c r="H13091" t="s">
        <v>13997</v>
      </c>
      <c r="I13091">
        <v>547</v>
      </c>
      <c r="J13091" t="s">
        <v>450</v>
      </c>
      <c r="K13091" t="s">
        <v>446</v>
      </c>
      <c r="M13091">
        <v>2611</v>
      </c>
    </row>
    <row r="13092" spans="1:13">
      <c r="A13092">
        <v>85043400</v>
      </c>
      <c r="B13092">
        <v>2004774</v>
      </c>
      <c r="C13092" t="s">
        <v>6222</v>
      </c>
      <c r="D13092" t="s">
        <v>449</v>
      </c>
      <c r="E13092" t="s">
        <v>441</v>
      </c>
      <c r="F13092">
        <v>1.6E-2</v>
      </c>
      <c r="H13092" t="s">
        <v>8576</v>
      </c>
      <c r="I13092">
        <v>365</v>
      </c>
      <c r="J13092" t="s">
        <v>450</v>
      </c>
      <c r="K13092" t="s">
        <v>446</v>
      </c>
      <c r="M13092">
        <v>0</v>
      </c>
    </row>
    <row r="13093" spans="1:13">
      <c r="A13093">
        <v>85043500</v>
      </c>
      <c r="B13093">
        <v>2004773</v>
      </c>
      <c r="C13093" t="s">
        <v>6223</v>
      </c>
      <c r="D13093" t="s">
        <v>449</v>
      </c>
      <c r="E13093" t="s">
        <v>441</v>
      </c>
      <c r="F13093">
        <v>5.1999999999999998E-2</v>
      </c>
      <c r="H13093" t="s">
        <v>8576</v>
      </c>
      <c r="I13093">
        <v>365</v>
      </c>
      <c r="J13093" t="s">
        <v>450</v>
      </c>
      <c r="K13093" t="s">
        <v>446</v>
      </c>
      <c r="M13093">
        <v>0</v>
      </c>
    </row>
    <row r="13094" spans="1:13">
      <c r="A13094">
        <v>85043600</v>
      </c>
      <c r="B13094">
        <v>2005006</v>
      </c>
      <c r="C13094" t="s">
        <v>6224</v>
      </c>
      <c r="D13094" t="s">
        <v>449</v>
      </c>
      <c r="E13094" t="s">
        <v>441</v>
      </c>
      <c r="F13094">
        <v>7.6999999999999999E-2</v>
      </c>
      <c r="H13094" t="s">
        <v>8576</v>
      </c>
      <c r="I13094">
        <v>360</v>
      </c>
      <c r="J13094" t="s">
        <v>450</v>
      </c>
      <c r="K13094" t="s">
        <v>446</v>
      </c>
      <c r="M13094">
        <v>0</v>
      </c>
    </row>
    <row r="13095" spans="1:13">
      <c r="A13095">
        <v>85043700</v>
      </c>
      <c r="B13095">
        <v>2005031</v>
      </c>
      <c r="C13095" t="s">
        <v>6225</v>
      </c>
      <c r="D13095" t="s">
        <v>449</v>
      </c>
      <c r="F13095">
        <v>0</v>
      </c>
      <c r="H13095" t="s">
        <v>8584</v>
      </c>
      <c r="I13095">
        <v>360</v>
      </c>
      <c r="J13095" t="s">
        <v>450</v>
      </c>
      <c r="K13095" t="s">
        <v>446</v>
      </c>
      <c r="M13095">
        <v>0</v>
      </c>
    </row>
    <row r="13096" spans="1:13">
      <c r="A13096">
        <v>85043800</v>
      </c>
      <c r="B13096">
        <v>2005033</v>
      </c>
      <c r="C13096" t="s">
        <v>6226</v>
      </c>
      <c r="D13096" t="s">
        <v>449</v>
      </c>
      <c r="F13096">
        <v>0</v>
      </c>
      <c r="H13096" t="s">
        <v>8576</v>
      </c>
      <c r="I13096">
        <v>360</v>
      </c>
      <c r="J13096" t="s">
        <v>450</v>
      </c>
      <c r="K13096" t="s">
        <v>446</v>
      </c>
      <c r="M13096">
        <v>0</v>
      </c>
    </row>
    <row r="13097" spans="1:13">
      <c r="A13097">
        <v>85043900</v>
      </c>
      <c r="B13097">
        <v>2005034</v>
      </c>
      <c r="C13097" t="s">
        <v>6227</v>
      </c>
      <c r="D13097" t="s">
        <v>449</v>
      </c>
      <c r="F13097">
        <v>0</v>
      </c>
      <c r="H13097" t="s">
        <v>8576</v>
      </c>
      <c r="I13097">
        <v>360</v>
      </c>
      <c r="J13097" t="s">
        <v>450</v>
      </c>
      <c r="K13097" t="s">
        <v>446</v>
      </c>
      <c r="M13097">
        <v>0</v>
      </c>
    </row>
    <row r="13098" spans="1:13">
      <c r="A13098">
        <v>85044000</v>
      </c>
      <c r="B13098">
        <v>2005060</v>
      </c>
      <c r="C13098" t="s">
        <v>6228</v>
      </c>
      <c r="D13098" t="s">
        <v>449</v>
      </c>
      <c r="F13098">
        <v>0</v>
      </c>
      <c r="H13098" t="s">
        <v>8576</v>
      </c>
      <c r="I13098">
        <v>360</v>
      </c>
      <c r="J13098" t="s">
        <v>450</v>
      </c>
      <c r="K13098" t="s">
        <v>446</v>
      </c>
      <c r="M13098">
        <v>0</v>
      </c>
    </row>
    <row r="13099" spans="1:13">
      <c r="A13099">
        <v>85044100</v>
      </c>
      <c r="B13099">
        <v>2005092</v>
      </c>
      <c r="C13099" t="s">
        <v>6229</v>
      </c>
      <c r="D13099" t="s">
        <v>449</v>
      </c>
      <c r="F13099">
        <v>0</v>
      </c>
      <c r="H13099" t="s">
        <v>8576</v>
      </c>
      <c r="I13099">
        <v>365</v>
      </c>
      <c r="J13099" t="s">
        <v>450</v>
      </c>
      <c r="K13099" t="s">
        <v>446</v>
      </c>
      <c r="M13099">
        <v>0</v>
      </c>
    </row>
    <row r="13100" spans="1:13">
      <c r="A13100">
        <v>85044200</v>
      </c>
      <c r="B13100">
        <v>2005132</v>
      </c>
      <c r="C13100" t="s">
        <v>6230</v>
      </c>
      <c r="D13100" t="s">
        <v>449</v>
      </c>
      <c r="F13100">
        <v>0</v>
      </c>
      <c r="H13100" t="s">
        <v>8576</v>
      </c>
      <c r="I13100">
        <v>365</v>
      </c>
      <c r="J13100" t="s">
        <v>450</v>
      </c>
      <c r="K13100" t="s">
        <v>446</v>
      </c>
      <c r="M13100">
        <v>0</v>
      </c>
    </row>
    <row r="13101" spans="1:13">
      <c r="A13101">
        <v>85044300</v>
      </c>
      <c r="B13101">
        <v>2005131</v>
      </c>
      <c r="C13101" t="s">
        <v>6231</v>
      </c>
      <c r="D13101" t="s">
        <v>449</v>
      </c>
      <c r="F13101">
        <v>0</v>
      </c>
      <c r="H13101" t="s">
        <v>8576</v>
      </c>
      <c r="I13101">
        <v>360</v>
      </c>
      <c r="J13101" t="s">
        <v>450</v>
      </c>
      <c r="K13101" t="s">
        <v>446</v>
      </c>
      <c r="M13101">
        <v>0</v>
      </c>
    </row>
    <row r="13102" spans="1:13">
      <c r="A13102">
        <v>85044400</v>
      </c>
      <c r="B13102">
        <v>2005150</v>
      </c>
      <c r="C13102" t="s">
        <v>6232</v>
      </c>
      <c r="D13102" t="s">
        <v>449</v>
      </c>
      <c r="F13102">
        <v>0</v>
      </c>
      <c r="H13102" t="s">
        <v>8576</v>
      </c>
      <c r="I13102">
        <v>365</v>
      </c>
      <c r="J13102" t="s">
        <v>450</v>
      </c>
      <c r="K13102" t="s">
        <v>446</v>
      </c>
      <c r="M13102">
        <v>0</v>
      </c>
    </row>
    <row r="13103" spans="1:13">
      <c r="A13103">
        <v>85044500</v>
      </c>
      <c r="B13103">
        <v>2003519</v>
      </c>
      <c r="C13103" t="s">
        <v>6233</v>
      </c>
      <c r="D13103" t="s">
        <v>442</v>
      </c>
      <c r="E13103" t="s">
        <v>441</v>
      </c>
      <c r="F13103">
        <v>8.5999999999999993E-2</v>
      </c>
      <c r="H13103" t="s">
        <v>13997</v>
      </c>
      <c r="I13103">
        <v>730</v>
      </c>
      <c r="J13103" t="s">
        <v>450</v>
      </c>
      <c r="K13103" t="s">
        <v>446</v>
      </c>
      <c r="M13103">
        <v>0</v>
      </c>
    </row>
    <row r="13104" spans="1:13">
      <c r="A13104">
        <v>85044600</v>
      </c>
      <c r="B13104">
        <v>2003518</v>
      </c>
      <c r="C13104" t="s">
        <v>6234</v>
      </c>
      <c r="D13104" t="s">
        <v>442</v>
      </c>
      <c r="E13104" t="s">
        <v>441</v>
      </c>
      <c r="F13104">
        <v>6.5000000000000002E-2</v>
      </c>
      <c r="H13104" t="s">
        <v>13997</v>
      </c>
      <c r="I13104">
        <v>730</v>
      </c>
      <c r="J13104" t="s">
        <v>450</v>
      </c>
      <c r="K13104" t="s">
        <v>446</v>
      </c>
      <c r="M13104">
        <v>0</v>
      </c>
    </row>
    <row r="13105" spans="1:13">
      <c r="A13105">
        <v>85044700</v>
      </c>
      <c r="B13105">
        <v>2005156</v>
      </c>
      <c r="C13105" t="s">
        <v>6235</v>
      </c>
      <c r="D13105" t="s">
        <v>442</v>
      </c>
      <c r="F13105">
        <v>0</v>
      </c>
      <c r="H13105" t="s">
        <v>13997</v>
      </c>
      <c r="I13105">
        <v>520</v>
      </c>
      <c r="J13105" t="s">
        <v>450</v>
      </c>
      <c r="K13105" t="s">
        <v>446</v>
      </c>
      <c r="M13105">
        <v>2611</v>
      </c>
    </row>
    <row r="13106" spans="1:13">
      <c r="A13106">
        <v>85044800</v>
      </c>
      <c r="B13106">
        <v>2005158</v>
      </c>
      <c r="C13106" t="s">
        <v>6236</v>
      </c>
      <c r="D13106" t="s">
        <v>442</v>
      </c>
      <c r="F13106">
        <v>0</v>
      </c>
      <c r="H13106" t="s">
        <v>13997</v>
      </c>
      <c r="I13106">
        <v>547</v>
      </c>
      <c r="J13106" t="s">
        <v>450</v>
      </c>
      <c r="K13106" t="s">
        <v>446</v>
      </c>
      <c r="M13106">
        <v>2611</v>
      </c>
    </row>
    <row r="13107" spans="1:13">
      <c r="A13107">
        <v>85044900</v>
      </c>
      <c r="B13107">
        <v>2005272</v>
      </c>
      <c r="C13107" t="s">
        <v>6237</v>
      </c>
      <c r="D13107" t="s">
        <v>442</v>
      </c>
      <c r="F13107">
        <v>0</v>
      </c>
      <c r="H13107" t="s">
        <v>13997</v>
      </c>
      <c r="I13107">
        <v>730</v>
      </c>
      <c r="J13107" t="s">
        <v>450</v>
      </c>
      <c r="M13107">
        <v>0</v>
      </c>
    </row>
    <row r="13108" spans="1:13">
      <c r="A13108">
        <v>85045000</v>
      </c>
      <c r="B13108">
        <v>2005257</v>
      </c>
      <c r="C13108" t="s">
        <v>6238</v>
      </c>
      <c r="D13108" t="s">
        <v>442</v>
      </c>
      <c r="F13108">
        <v>0</v>
      </c>
      <c r="H13108" t="s">
        <v>13997</v>
      </c>
      <c r="I13108">
        <v>360</v>
      </c>
      <c r="J13108" t="s">
        <v>450</v>
      </c>
      <c r="K13108" t="s">
        <v>446</v>
      </c>
      <c r="M13108">
        <v>2611</v>
      </c>
    </row>
    <row r="13109" spans="1:13">
      <c r="A13109">
        <v>85045100</v>
      </c>
      <c r="B13109">
        <v>2005283</v>
      </c>
      <c r="C13109" t="s">
        <v>6239</v>
      </c>
      <c r="D13109" t="s">
        <v>442</v>
      </c>
      <c r="F13109">
        <v>0</v>
      </c>
      <c r="H13109" t="s">
        <v>13997</v>
      </c>
      <c r="I13109">
        <v>360</v>
      </c>
      <c r="J13109" t="s">
        <v>450</v>
      </c>
      <c r="K13109" t="s">
        <v>446</v>
      </c>
      <c r="M13109">
        <v>2611</v>
      </c>
    </row>
    <row r="13110" spans="1:13">
      <c r="A13110">
        <v>85045200</v>
      </c>
      <c r="B13110">
        <v>2005282</v>
      </c>
      <c r="C13110" t="s">
        <v>6240</v>
      </c>
      <c r="D13110" t="s">
        <v>442</v>
      </c>
      <c r="F13110">
        <v>0</v>
      </c>
      <c r="H13110" t="s">
        <v>13997</v>
      </c>
      <c r="I13110">
        <v>360</v>
      </c>
      <c r="J13110" t="s">
        <v>450</v>
      </c>
      <c r="K13110" t="s">
        <v>446</v>
      </c>
      <c r="M13110">
        <v>2611</v>
      </c>
    </row>
    <row r="13111" spans="1:13">
      <c r="A13111">
        <v>85045300</v>
      </c>
      <c r="B13111">
        <v>2005281</v>
      </c>
      <c r="C13111" t="s">
        <v>6241</v>
      </c>
      <c r="D13111" t="s">
        <v>442</v>
      </c>
      <c r="F13111">
        <v>0</v>
      </c>
      <c r="H13111" t="s">
        <v>13997</v>
      </c>
      <c r="I13111">
        <v>360</v>
      </c>
      <c r="J13111" t="s">
        <v>450</v>
      </c>
      <c r="K13111" t="s">
        <v>446</v>
      </c>
      <c r="M13111">
        <v>2611</v>
      </c>
    </row>
    <row r="13112" spans="1:13">
      <c r="A13112">
        <v>85045400</v>
      </c>
      <c r="B13112">
        <v>2005280</v>
      </c>
      <c r="C13112" t="s">
        <v>6242</v>
      </c>
      <c r="D13112" t="s">
        <v>442</v>
      </c>
      <c r="F13112">
        <v>0</v>
      </c>
      <c r="H13112" t="s">
        <v>13997</v>
      </c>
      <c r="I13112">
        <v>360</v>
      </c>
      <c r="J13112" t="s">
        <v>450</v>
      </c>
      <c r="K13112" t="s">
        <v>446</v>
      </c>
      <c r="M13112">
        <v>2611</v>
      </c>
    </row>
    <row r="13113" spans="1:13">
      <c r="A13113">
        <v>85045500</v>
      </c>
      <c r="B13113">
        <v>2005279</v>
      </c>
      <c r="C13113" t="s">
        <v>6243</v>
      </c>
      <c r="D13113" t="s">
        <v>442</v>
      </c>
      <c r="F13113">
        <v>0</v>
      </c>
      <c r="H13113" t="s">
        <v>13997</v>
      </c>
      <c r="I13113">
        <v>360</v>
      </c>
      <c r="J13113" t="s">
        <v>450</v>
      </c>
      <c r="K13113" t="s">
        <v>446</v>
      </c>
      <c r="M13113">
        <v>2611</v>
      </c>
    </row>
    <row r="13114" spans="1:13">
      <c r="A13114">
        <v>85045600</v>
      </c>
      <c r="B13114">
        <v>2002202</v>
      </c>
      <c r="C13114" t="s">
        <v>6244</v>
      </c>
      <c r="D13114" t="s">
        <v>442</v>
      </c>
      <c r="E13114" t="s">
        <v>441</v>
      </c>
      <c r="F13114">
        <v>4.0000000000000001E-3</v>
      </c>
      <c r="H13114" t="s">
        <v>13997</v>
      </c>
      <c r="I13114">
        <v>730</v>
      </c>
      <c r="J13114" t="s">
        <v>450</v>
      </c>
      <c r="K13114" t="s">
        <v>446</v>
      </c>
      <c r="M13114">
        <v>0</v>
      </c>
    </row>
    <row r="13115" spans="1:13">
      <c r="A13115">
        <v>85045700</v>
      </c>
      <c r="B13115">
        <v>2005291</v>
      </c>
      <c r="C13115" t="s">
        <v>6245</v>
      </c>
      <c r="D13115" t="s">
        <v>449</v>
      </c>
      <c r="F13115">
        <v>0</v>
      </c>
      <c r="H13115" t="s">
        <v>8576</v>
      </c>
      <c r="I13115">
        <v>360</v>
      </c>
      <c r="J13115" t="s">
        <v>450</v>
      </c>
      <c r="K13115" t="s">
        <v>446</v>
      </c>
      <c r="M13115">
        <v>0</v>
      </c>
    </row>
    <row r="13116" spans="1:13">
      <c r="A13116">
        <v>85045800</v>
      </c>
      <c r="B13116">
        <v>2005286</v>
      </c>
      <c r="C13116" t="s">
        <v>6246</v>
      </c>
      <c r="D13116" t="s">
        <v>449</v>
      </c>
      <c r="F13116">
        <v>0</v>
      </c>
      <c r="H13116" t="s">
        <v>8576</v>
      </c>
      <c r="I13116">
        <v>360</v>
      </c>
      <c r="J13116" t="s">
        <v>450</v>
      </c>
      <c r="K13116" t="s">
        <v>446</v>
      </c>
      <c r="M13116">
        <v>0</v>
      </c>
    </row>
    <row r="13117" spans="1:13">
      <c r="A13117">
        <v>85045900</v>
      </c>
      <c r="B13117">
        <v>2005324</v>
      </c>
      <c r="C13117" t="s">
        <v>6247</v>
      </c>
      <c r="D13117" t="s">
        <v>449</v>
      </c>
      <c r="F13117">
        <v>0</v>
      </c>
      <c r="H13117" t="s">
        <v>8576</v>
      </c>
      <c r="I13117">
        <v>360</v>
      </c>
      <c r="J13117" t="s">
        <v>450</v>
      </c>
      <c r="K13117" t="s">
        <v>446</v>
      </c>
      <c r="M13117">
        <v>0</v>
      </c>
    </row>
    <row r="13118" spans="1:13">
      <c r="A13118">
        <v>85046000</v>
      </c>
      <c r="B13118">
        <v>2005342</v>
      </c>
      <c r="C13118" t="s">
        <v>6248</v>
      </c>
      <c r="D13118" t="s">
        <v>442</v>
      </c>
      <c r="F13118">
        <v>0</v>
      </c>
      <c r="H13118" t="s">
        <v>13997</v>
      </c>
      <c r="I13118">
        <v>547</v>
      </c>
      <c r="J13118" t="s">
        <v>450</v>
      </c>
      <c r="K13118" t="s">
        <v>446</v>
      </c>
      <c r="M13118">
        <v>0</v>
      </c>
    </row>
    <row r="13119" spans="1:13">
      <c r="A13119">
        <v>85046100</v>
      </c>
      <c r="B13119">
        <v>2005355</v>
      </c>
      <c r="C13119" t="s">
        <v>6249</v>
      </c>
      <c r="D13119" t="s">
        <v>442</v>
      </c>
      <c r="F13119">
        <v>0</v>
      </c>
      <c r="H13119" t="s">
        <v>13997</v>
      </c>
      <c r="I13119">
        <v>360</v>
      </c>
      <c r="J13119" t="s">
        <v>450</v>
      </c>
      <c r="K13119" t="s">
        <v>446</v>
      </c>
      <c r="M13119">
        <v>2611</v>
      </c>
    </row>
    <row r="13120" spans="1:13">
      <c r="A13120">
        <v>85046200</v>
      </c>
      <c r="B13120">
        <v>2005441</v>
      </c>
      <c r="C13120" t="s">
        <v>6250</v>
      </c>
      <c r="D13120" t="s">
        <v>449</v>
      </c>
      <c r="F13120">
        <v>0</v>
      </c>
      <c r="H13120" t="s">
        <v>8574</v>
      </c>
      <c r="I13120">
        <v>360</v>
      </c>
      <c r="J13120" t="s">
        <v>450</v>
      </c>
      <c r="K13120" t="s">
        <v>446</v>
      </c>
      <c r="M13120">
        <v>0</v>
      </c>
    </row>
    <row r="13121" spans="1:13">
      <c r="A13121">
        <v>85046300</v>
      </c>
      <c r="B13121">
        <v>2005455</v>
      </c>
      <c r="C13121" t="s">
        <v>6251</v>
      </c>
      <c r="D13121" t="s">
        <v>449</v>
      </c>
      <c r="F13121">
        <v>0</v>
      </c>
      <c r="H13121" t="s">
        <v>8580</v>
      </c>
      <c r="I13121">
        <v>360</v>
      </c>
      <c r="J13121" t="s">
        <v>450</v>
      </c>
      <c r="K13121" t="s">
        <v>446</v>
      </c>
      <c r="M13121">
        <v>0</v>
      </c>
    </row>
    <row r="13122" spans="1:13">
      <c r="A13122">
        <v>85046400</v>
      </c>
      <c r="B13122">
        <v>2005456</v>
      </c>
      <c r="C13122" t="s">
        <v>6252</v>
      </c>
      <c r="D13122" t="s">
        <v>449</v>
      </c>
      <c r="F13122">
        <v>0</v>
      </c>
      <c r="H13122" t="s">
        <v>8576</v>
      </c>
      <c r="I13122">
        <v>360</v>
      </c>
      <c r="J13122" t="s">
        <v>450</v>
      </c>
      <c r="K13122" t="s">
        <v>446</v>
      </c>
      <c r="M13122">
        <v>0</v>
      </c>
    </row>
    <row r="13123" spans="1:13">
      <c r="A13123">
        <v>85046500</v>
      </c>
      <c r="B13123">
        <v>2005501</v>
      </c>
      <c r="C13123" t="s">
        <v>6253</v>
      </c>
      <c r="D13123" t="s">
        <v>449</v>
      </c>
      <c r="F13123">
        <v>0</v>
      </c>
      <c r="H13123" t="s">
        <v>8576</v>
      </c>
      <c r="I13123">
        <v>360</v>
      </c>
      <c r="J13123" t="s">
        <v>450</v>
      </c>
      <c r="K13123" t="s">
        <v>446</v>
      </c>
      <c r="M13123">
        <v>0</v>
      </c>
    </row>
    <row r="13124" spans="1:13">
      <c r="A13124">
        <v>85046600</v>
      </c>
      <c r="B13124">
        <v>2005513</v>
      </c>
      <c r="C13124" t="s">
        <v>6254</v>
      </c>
      <c r="D13124" t="s">
        <v>442</v>
      </c>
      <c r="F13124">
        <v>0</v>
      </c>
      <c r="H13124" t="s">
        <v>13997</v>
      </c>
      <c r="I13124">
        <v>360</v>
      </c>
      <c r="J13124" t="s">
        <v>450</v>
      </c>
      <c r="K13124" t="s">
        <v>446</v>
      </c>
      <c r="M13124">
        <v>2611</v>
      </c>
    </row>
    <row r="13125" spans="1:13">
      <c r="A13125">
        <v>85046700</v>
      </c>
      <c r="B13125">
        <v>2005269</v>
      </c>
      <c r="C13125" t="s">
        <v>6255</v>
      </c>
      <c r="D13125" t="s">
        <v>442</v>
      </c>
      <c r="E13125" t="s">
        <v>441</v>
      </c>
      <c r="F13125">
        <v>0.01</v>
      </c>
      <c r="H13125" t="s">
        <v>8576</v>
      </c>
      <c r="I13125">
        <v>725</v>
      </c>
      <c r="J13125" t="s">
        <v>450</v>
      </c>
      <c r="M13125">
        <v>0</v>
      </c>
    </row>
    <row r="13126" spans="1:13">
      <c r="A13126">
        <v>85046800</v>
      </c>
      <c r="B13126">
        <v>2005595</v>
      </c>
      <c r="C13126" t="s">
        <v>6256</v>
      </c>
      <c r="D13126" t="s">
        <v>449</v>
      </c>
      <c r="F13126">
        <v>0</v>
      </c>
      <c r="H13126" t="s">
        <v>8576</v>
      </c>
      <c r="I13126">
        <v>360</v>
      </c>
      <c r="J13126" t="s">
        <v>450</v>
      </c>
      <c r="K13126" t="s">
        <v>446</v>
      </c>
      <c r="M13126">
        <v>0</v>
      </c>
    </row>
    <row r="13127" spans="1:13">
      <c r="A13127">
        <v>85046900</v>
      </c>
      <c r="B13127">
        <v>2005592</v>
      </c>
      <c r="C13127" t="s">
        <v>6257</v>
      </c>
      <c r="D13127" t="s">
        <v>441</v>
      </c>
      <c r="F13127">
        <v>0</v>
      </c>
      <c r="H13127" t="s">
        <v>8576</v>
      </c>
      <c r="I13127">
        <v>365</v>
      </c>
      <c r="J13127" t="s">
        <v>450</v>
      </c>
      <c r="K13127" t="s">
        <v>446</v>
      </c>
      <c r="M13127">
        <v>0</v>
      </c>
    </row>
    <row r="13128" spans="1:13">
      <c r="A13128">
        <v>85047000</v>
      </c>
      <c r="B13128">
        <v>2005699</v>
      </c>
      <c r="C13128" t="s">
        <v>6258</v>
      </c>
      <c r="D13128" t="s">
        <v>449</v>
      </c>
      <c r="F13128">
        <v>0</v>
      </c>
      <c r="H13128" t="s">
        <v>8576</v>
      </c>
      <c r="I13128">
        <v>725</v>
      </c>
      <c r="J13128" t="s">
        <v>450</v>
      </c>
      <c r="K13128" t="s">
        <v>446</v>
      </c>
      <c r="M13128">
        <v>0</v>
      </c>
    </row>
    <row r="13129" spans="1:13">
      <c r="A13129">
        <v>85047100</v>
      </c>
      <c r="B13129">
        <v>2005720</v>
      </c>
      <c r="C13129" t="s">
        <v>6259</v>
      </c>
      <c r="D13129" t="s">
        <v>449</v>
      </c>
      <c r="E13129" t="s">
        <v>441</v>
      </c>
      <c r="F13129">
        <v>1.6E-2</v>
      </c>
      <c r="H13129" t="s">
        <v>8576</v>
      </c>
      <c r="I13129">
        <v>725</v>
      </c>
      <c r="J13129" t="s">
        <v>450</v>
      </c>
      <c r="K13129" t="s">
        <v>446</v>
      </c>
      <c r="M13129">
        <v>0</v>
      </c>
    </row>
    <row r="13130" spans="1:13">
      <c r="A13130">
        <v>85047200</v>
      </c>
      <c r="B13130">
        <v>2005725</v>
      </c>
      <c r="C13130" t="s">
        <v>6260</v>
      </c>
      <c r="D13130" t="s">
        <v>449</v>
      </c>
      <c r="F13130">
        <v>0</v>
      </c>
      <c r="H13130" t="s">
        <v>8576</v>
      </c>
      <c r="I13130">
        <v>725</v>
      </c>
      <c r="J13130" t="s">
        <v>450</v>
      </c>
      <c r="K13130" t="s">
        <v>446</v>
      </c>
      <c r="M13130">
        <v>0</v>
      </c>
    </row>
    <row r="13131" spans="1:13">
      <c r="A13131">
        <v>85047300</v>
      </c>
      <c r="B13131">
        <v>2005770</v>
      </c>
      <c r="C13131" t="s">
        <v>6261</v>
      </c>
      <c r="D13131" t="s">
        <v>449</v>
      </c>
      <c r="F13131">
        <v>0</v>
      </c>
      <c r="H13131" t="s">
        <v>8580</v>
      </c>
      <c r="I13131">
        <v>725</v>
      </c>
      <c r="J13131" t="s">
        <v>450</v>
      </c>
      <c r="K13131" t="s">
        <v>446</v>
      </c>
      <c r="M13131">
        <v>0</v>
      </c>
    </row>
    <row r="13132" spans="1:13">
      <c r="A13132">
        <v>85047400</v>
      </c>
      <c r="B13132">
        <v>2005876</v>
      </c>
      <c r="C13132" t="s">
        <v>6262</v>
      </c>
      <c r="D13132" t="s">
        <v>442</v>
      </c>
      <c r="F13132">
        <v>0</v>
      </c>
      <c r="H13132" t="s">
        <v>13997</v>
      </c>
      <c r="I13132">
        <v>547</v>
      </c>
      <c r="J13132" t="s">
        <v>450</v>
      </c>
      <c r="K13132" t="s">
        <v>446</v>
      </c>
      <c r="M13132">
        <v>2611</v>
      </c>
    </row>
    <row r="13133" spans="1:13">
      <c r="A13133">
        <v>85047500</v>
      </c>
      <c r="B13133">
        <v>2005875</v>
      </c>
      <c r="C13133" t="s">
        <v>6263</v>
      </c>
      <c r="D13133" t="s">
        <v>442</v>
      </c>
      <c r="F13133">
        <v>0</v>
      </c>
      <c r="H13133" t="s">
        <v>13997</v>
      </c>
      <c r="I13133">
        <v>547</v>
      </c>
      <c r="J13133" t="s">
        <v>450</v>
      </c>
      <c r="K13133" t="s">
        <v>446</v>
      </c>
      <c r="M13133">
        <v>2611</v>
      </c>
    </row>
    <row r="13134" spans="1:13">
      <c r="A13134">
        <v>85047600</v>
      </c>
      <c r="B13134">
        <v>2005874</v>
      </c>
      <c r="C13134" t="s">
        <v>6264</v>
      </c>
      <c r="D13134" t="s">
        <v>449</v>
      </c>
      <c r="F13134">
        <v>0</v>
      </c>
      <c r="H13134" t="s">
        <v>8576</v>
      </c>
      <c r="I13134">
        <v>725</v>
      </c>
      <c r="J13134" t="s">
        <v>450</v>
      </c>
      <c r="K13134" t="s">
        <v>446</v>
      </c>
      <c r="M13134">
        <v>0</v>
      </c>
    </row>
    <row r="13135" spans="1:13">
      <c r="A13135">
        <v>85047700</v>
      </c>
      <c r="B13135">
        <v>2005873</v>
      </c>
      <c r="C13135" t="s">
        <v>6265</v>
      </c>
      <c r="D13135" t="s">
        <v>449</v>
      </c>
      <c r="F13135">
        <v>0</v>
      </c>
      <c r="H13135" t="s">
        <v>8576</v>
      </c>
      <c r="I13135">
        <v>725</v>
      </c>
      <c r="J13135" t="s">
        <v>450</v>
      </c>
      <c r="K13135" t="s">
        <v>446</v>
      </c>
      <c r="M13135">
        <v>0</v>
      </c>
    </row>
    <row r="13136" spans="1:13">
      <c r="A13136">
        <v>85047800</v>
      </c>
      <c r="B13136">
        <v>2005872</v>
      </c>
      <c r="C13136" t="s">
        <v>6266</v>
      </c>
      <c r="D13136" t="s">
        <v>449</v>
      </c>
      <c r="F13136">
        <v>0</v>
      </c>
      <c r="H13136" t="s">
        <v>8576</v>
      </c>
      <c r="I13136">
        <v>725</v>
      </c>
      <c r="J13136" t="s">
        <v>450</v>
      </c>
      <c r="K13136" t="s">
        <v>446</v>
      </c>
      <c r="M13136">
        <v>0</v>
      </c>
    </row>
    <row r="13137" spans="1:13">
      <c r="A13137">
        <v>85047900</v>
      </c>
      <c r="B13137">
        <v>2005871</v>
      </c>
      <c r="C13137" t="s">
        <v>6267</v>
      </c>
      <c r="D13137" t="s">
        <v>449</v>
      </c>
      <c r="F13137">
        <v>0</v>
      </c>
      <c r="H13137" t="s">
        <v>8576</v>
      </c>
      <c r="I13137">
        <v>725</v>
      </c>
      <c r="J13137" t="s">
        <v>450</v>
      </c>
      <c r="K13137" t="s">
        <v>446</v>
      </c>
      <c r="M13137">
        <v>0</v>
      </c>
    </row>
    <row r="13138" spans="1:13">
      <c r="A13138">
        <v>85048000</v>
      </c>
      <c r="B13138">
        <v>2005870</v>
      </c>
      <c r="C13138" t="s">
        <v>6268</v>
      </c>
      <c r="D13138" t="s">
        <v>449</v>
      </c>
      <c r="F13138">
        <v>0</v>
      </c>
      <c r="H13138" t="s">
        <v>8576</v>
      </c>
      <c r="I13138">
        <v>725</v>
      </c>
      <c r="J13138" t="s">
        <v>450</v>
      </c>
      <c r="K13138" t="s">
        <v>446</v>
      </c>
      <c r="M13138">
        <v>0</v>
      </c>
    </row>
    <row r="13139" spans="1:13">
      <c r="A13139">
        <v>85048100</v>
      </c>
      <c r="B13139">
        <v>2005839</v>
      </c>
      <c r="C13139" t="s">
        <v>6269</v>
      </c>
      <c r="D13139" t="s">
        <v>449</v>
      </c>
      <c r="F13139">
        <v>0</v>
      </c>
      <c r="H13139" t="s">
        <v>8576</v>
      </c>
      <c r="I13139">
        <v>725</v>
      </c>
      <c r="J13139" t="s">
        <v>450</v>
      </c>
      <c r="K13139" t="s">
        <v>446</v>
      </c>
      <c r="M13139">
        <v>0</v>
      </c>
    </row>
    <row r="13140" spans="1:13">
      <c r="A13140">
        <v>85048200</v>
      </c>
      <c r="B13140">
        <v>2005881</v>
      </c>
      <c r="C13140" t="s">
        <v>6270</v>
      </c>
      <c r="D13140" t="s">
        <v>449</v>
      </c>
      <c r="F13140">
        <v>0</v>
      </c>
      <c r="H13140" t="s">
        <v>8576</v>
      </c>
      <c r="I13140">
        <v>725</v>
      </c>
      <c r="J13140" t="s">
        <v>450</v>
      </c>
      <c r="K13140" t="s">
        <v>446</v>
      </c>
      <c r="M13140">
        <v>0</v>
      </c>
    </row>
    <row r="13141" spans="1:13">
      <c r="A13141">
        <v>85048300</v>
      </c>
      <c r="B13141">
        <v>2005911</v>
      </c>
      <c r="C13141" t="s">
        <v>6271</v>
      </c>
      <c r="D13141" t="s">
        <v>449</v>
      </c>
      <c r="F13141">
        <v>0</v>
      </c>
      <c r="H13141" t="s">
        <v>8576</v>
      </c>
      <c r="I13141">
        <v>360</v>
      </c>
      <c r="J13141" t="s">
        <v>450</v>
      </c>
      <c r="K13141" t="s">
        <v>446</v>
      </c>
      <c r="M13141">
        <v>0</v>
      </c>
    </row>
    <row r="13142" spans="1:13">
      <c r="A13142">
        <v>85048400</v>
      </c>
      <c r="B13142">
        <v>2005910</v>
      </c>
      <c r="C13142" t="s">
        <v>6272</v>
      </c>
      <c r="D13142" t="s">
        <v>449</v>
      </c>
      <c r="F13142">
        <v>0</v>
      </c>
      <c r="H13142" t="s">
        <v>8576</v>
      </c>
      <c r="I13142">
        <v>360</v>
      </c>
      <c r="J13142" t="s">
        <v>450</v>
      </c>
      <c r="K13142" t="s">
        <v>446</v>
      </c>
      <c r="M13142">
        <v>0</v>
      </c>
    </row>
    <row r="13143" spans="1:13">
      <c r="A13143">
        <v>85048500</v>
      </c>
      <c r="B13143">
        <v>2005909</v>
      </c>
      <c r="C13143" t="s">
        <v>6273</v>
      </c>
      <c r="D13143" t="s">
        <v>449</v>
      </c>
      <c r="F13143">
        <v>0</v>
      </c>
      <c r="H13143" t="s">
        <v>8576</v>
      </c>
      <c r="I13143">
        <v>360</v>
      </c>
      <c r="J13143" t="s">
        <v>450</v>
      </c>
      <c r="K13143" t="s">
        <v>446</v>
      </c>
      <c r="M13143">
        <v>0</v>
      </c>
    </row>
    <row r="13144" spans="1:13">
      <c r="A13144">
        <v>85048600</v>
      </c>
      <c r="B13144">
        <v>2005908</v>
      </c>
      <c r="C13144" t="s">
        <v>6274</v>
      </c>
      <c r="D13144" t="s">
        <v>449</v>
      </c>
      <c r="F13144">
        <v>0</v>
      </c>
      <c r="H13144" t="s">
        <v>8576</v>
      </c>
      <c r="I13144">
        <v>360</v>
      </c>
      <c r="J13144" t="s">
        <v>450</v>
      </c>
      <c r="K13144" t="s">
        <v>446</v>
      </c>
      <c r="M13144">
        <v>0</v>
      </c>
    </row>
    <row r="13145" spans="1:13">
      <c r="A13145">
        <v>85048700</v>
      </c>
      <c r="B13145">
        <v>2005907</v>
      </c>
      <c r="C13145" t="s">
        <v>6275</v>
      </c>
      <c r="D13145" t="s">
        <v>449</v>
      </c>
      <c r="F13145">
        <v>0</v>
      </c>
      <c r="H13145" t="s">
        <v>8576</v>
      </c>
      <c r="I13145">
        <v>360</v>
      </c>
      <c r="J13145" t="s">
        <v>450</v>
      </c>
      <c r="K13145" t="s">
        <v>446</v>
      </c>
      <c r="M13145">
        <v>0</v>
      </c>
    </row>
    <row r="13146" spans="1:13">
      <c r="A13146">
        <v>85048800</v>
      </c>
      <c r="B13146">
        <v>2005948</v>
      </c>
      <c r="C13146" t="s">
        <v>6276</v>
      </c>
      <c r="D13146" t="s">
        <v>449</v>
      </c>
      <c r="F13146">
        <v>0</v>
      </c>
      <c r="H13146" t="s">
        <v>8576</v>
      </c>
      <c r="I13146">
        <v>725</v>
      </c>
      <c r="J13146" t="s">
        <v>450</v>
      </c>
      <c r="K13146" t="s">
        <v>446</v>
      </c>
      <c r="M13146">
        <v>0</v>
      </c>
    </row>
    <row r="13147" spans="1:13">
      <c r="A13147">
        <v>85048900</v>
      </c>
      <c r="B13147">
        <v>2006001</v>
      </c>
      <c r="C13147" t="s">
        <v>6277</v>
      </c>
      <c r="D13147" t="s">
        <v>442</v>
      </c>
      <c r="F13147">
        <v>0</v>
      </c>
      <c r="H13147" t="s">
        <v>13997</v>
      </c>
      <c r="I13147">
        <v>547</v>
      </c>
      <c r="J13147" t="s">
        <v>450</v>
      </c>
      <c r="K13147" t="s">
        <v>446</v>
      </c>
      <c r="M13147">
        <v>0</v>
      </c>
    </row>
    <row r="13148" spans="1:13">
      <c r="A13148">
        <v>85049000</v>
      </c>
      <c r="B13148">
        <v>2006014</v>
      </c>
      <c r="C13148" t="s">
        <v>6278</v>
      </c>
      <c r="D13148" t="s">
        <v>442</v>
      </c>
      <c r="F13148">
        <v>0</v>
      </c>
      <c r="H13148" t="s">
        <v>13997</v>
      </c>
      <c r="I13148">
        <v>547</v>
      </c>
      <c r="J13148" t="s">
        <v>450</v>
      </c>
      <c r="K13148" t="s">
        <v>446</v>
      </c>
      <c r="M13148">
        <v>2611</v>
      </c>
    </row>
    <row r="13149" spans="1:13">
      <c r="A13149">
        <v>85049100</v>
      </c>
      <c r="B13149">
        <v>2006020</v>
      </c>
      <c r="C13149" t="s">
        <v>6279</v>
      </c>
      <c r="D13149" t="s">
        <v>449</v>
      </c>
      <c r="F13149">
        <v>0</v>
      </c>
      <c r="H13149" t="s">
        <v>8576</v>
      </c>
      <c r="I13149">
        <v>720</v>
      </c>
      <c r="J13149" t="s">
        <v>450</v>
      </c>
      <c r="K13149" t="s">
        <v>446</v>
      </c>
      <c r="M13149">
        <v>0</v>
      </c>
    </row>
    <row r="13150" spans="1:13">
      <c r="A13150">
        <v>85049200</v>
      </c>
      <c r="B13150">
        <v>2006028</v>
      </c>
      <c r="C13150" t="s">
        <v>6280</v>
      </c>
      <c r="D13150" t="s">
        <v>441</v>
      </c>
      <c r="F13150">
        <v>0</v>
      </c>
      <c r="H13150" t="s">
        <v>8576</v>
      </c>
      <c r="I13150">
        <v>365</v>
      </c>
      <c r="J13150" t="s">
        <v>450</v>
      </c>
      <c r="K13150" t="s">
        <v>446</v>
      </c>
      <c r="M13150">
        <v>0</v>
      </c>
    </row>
    <row r="13151" spans="1:13">
      <c r="A13151">
        <v>85049300</v>
      </c>
      <c r="B13151">
        <v>2006067</v>
      </c>
      <c r="C13151" t="s">
        <v>6281</v>
      </c>
      <c r="D13151" t="s">
        <v>449</v>
      </c>
      <c r="F13151">
        <v>0</v>
      </c>
      <c r="H13151" t="s">
        <v>8576</v>
      </c>
      <c r="I13151">
        <v>360</v>
      </c>
      <c r="J13151" t="s">
        <v>450</v>
      </c>
      <c r="K13151" t="s">
        <v>446</v>
      </c>
      <c r="M13151">
        <v>0</v>
      </c>
    </row>
    <row r="13152" spans="1:13">
      <c r="A13152">
        <v>85049400</v>
      </c>
      <c r="B13152">
        <v>2006098</v>
      </c>
      <c r="C13152" t="s">
        <v>6282</v>
      </c>
      <c r="D13152" t="s">
        <v>449</v>
      </c>
      <c r="E13152" t="s">
        <v>441</v>
      </c>
      <c r="F13152">
        <v>7.0000000000000007E-2</v>
      </c>
      <c r="H13152" t="s">
        <v>8576</v>
      </c>
      <c r="I13152">
        <v>725</v>
      </c>
      <c r="J13152" t="s">
        <v>450</v>
      </c>
      <c r="K13152" t="s">
        <v>446</v>
      </c>
      <c r="M13152">
        <v>0</v>
      </c>
    </row>
    <row r="13153" spans="1:13">
      <c r="A13153">
        <v>85049500</v>
      </c>
      <c r="B13153">
        <v>2006097</v>
      </c>
      <c r="C13153" t="s">
        <v>6283</v>
      </c>
      <c r="D13153" t="s">
        <v>449</v>
      </c>
      <c r="E13153" t="s">
        <v>441</v>
      </c>
      <c r="F13153">
        <v>5.1999999999999998E-2</v>
      </c>
      <c r="H13153" t="s">
        <v>8576</v>
      </c>
      <c r="I13153">
        <v>725</v>
      </c>
      <c r="J13153" t="s">
        <v>450</v>
      </c>
      <c r="K13153" t="s">
        <v>446</v>
      </c>
      <c r="M13153">
        <v>0</v>
      </c>
    </row>
    <row r="13154" spans="1:13">
      <c r="A13154">
        <v>85049600</v>
      </c>
      <c r="B13154">
        <v>2006156</v>
      </c>
      <c r="C13154" t="s">
        <v>6284</v>
      </c>
      <c r="D13154" t="s">
        <v>449</v>
      </c>
      <c r="F13154">
        <v>0</v>
      </c>
      <c r="H13154" t="s">
        <v>8576</v>
      </c>
      <c r="I13154">
        <v>725</v>
      </c>
      <c r="J13154" t="s">
        <v>450</v>
      </c>
      <c r="K13154" t="s">
        <v>446</v>
      </c>
      <c r="M13154">
        <v>0</v>
      </c>
    </row>
    <row r="13155" spans="1:13">
      <c r="A13155">
        <v>85049700</v>
      </c>
      <c r="B13155">
        <v>2006235</v>
      </c>
      <c r="C13155" t="s">
        <v>6285</v>
      </c>
      <c r="D13155" t="s">
        <v>442</v>
      </c>
      <c r="F13155">
        <v>0</v>
      </c>
      <c r="H13155" t="s">
        <v>13997</v>
      </c>
      <c r="I13155">
        <v>547</v>
      </c>
      <c r="J13155" t="s">
        <v>450</v>
      </c>
      <c r="K13155" t="s">
        <v>446</v>
      </c>
      <c r="M13155">
        <v>0</v>
      </c>
    </row>
    <row r="13156" spans="1:13">
      <c r="A13156">
        <v>85049800</v>
      </c>
      <c r="B13156">
        <v>2006255</v>
      </c>
      <c r="C13156" t="s">
        <v>6286</v>
      </c>
      <c r="D13156" t="s">
        <v>442</v>
      </c>
      <c r="F13156">
        <v>0</v>
      </c>
      <c r="H13156" t="s">
        <v>8950</v>
      </c>
      <c r="I13156">
        <v>547</v>
      </c>
      <c r="J13156" t="s">
        <v>450</v>
      </c>
      <c r="K13156" t="s">
        <v>446</v>
      </c>
      <c r="M13156">
        <v>0</v>
      </c>
    </row>
    <row r="13157" spans="1:13">
      <c r="A13157">
        <v>85049900</v>
      </c>
      <c r="B13157">
        <v>2006301</v>
      </c>
      <c r="C13157" t="s">
        <v>6287</v>
      </c>
      <c r="D13157" t="s">
        <v>449</v>
      </c>
      <c r="E13157" t="s">
        <v>441</v>
      </c>
      <c r="F13157">
        <v>3.5999999999999997E-2</v>
      </c>
      <c r="H13157" t="s">
        <v>8576</v>
      </c>
      <c r="I13157">
        <v>725</v>
      </c>
      <c r="J13157" t="s">
        <v>450</v>
      </c>
      <c r="K13157" t="s">
        <v>446</v>
      </c>
      <c r="M13157">
        <v>0</v>
      </c>
    </row>
    <row r="13158" spans="1:13">
      <c r="A13158">
        <v>85050000</v>
      </c>
      <c r="B13158">
        <v>2006300</v>
      </c>
      <c r="C13158" t="s">
        <v>6288</v>
      </c>
      <c r="D13158" t="s">
        <v>449</v>
      </c>
      <c r="F13158">
        <v>0</v>
      </c>
      <c r="H13158" t="s">
        <v>8576</v>
      </c>
      <c r="I13158">
        <v>725</v>
      </c>
      <c r="J13158" t="s">
        <v>450</v>
      </c>
      <c r="K13158" t="s">
        <v>446</v>
      </c>
      <c r="M13158">
        <v>0</v>
      </c>
    </row>
    <row r="13159" spans="1:13">
      <c r="A13159">
        <v>85050100</v>
      </c>
      <c r="B13159">
        <v>2006289</v>
      </c>
      <c r="C13159" t="s">
        <v>6289</v>
      </c>
      <c r="D13159" t="s">
        <v>449</v>
      </c>
      <c r="F13159">
        <v>0</v>
      </c>
      <c r="H13159" t="s">
        <v>8576</v>
      </c>
      <c r="I13159">
        <v>725</v>
      </c>
      <c r="J13159" t="s">
        <v>450</v>
      </c>
      <c r="K13159" t="s">
        <v>446</v>
      </c>
      <c r="M13159">
        <v>0</v>
      </c>
    </row>
    <row r="13160" spans="1:13">
      <c r="A13160">
        <v>85050200</v>
      </c>
      <c r="B13160">
        <v>2006288</v>
      </c>
      <c r="C13160" t="s">
        <v>6290</v>
      </c>
      <c r="D13160" t="s">
        <v>449</v>
      </c>
      <c r="F13160">
        <v>0</v>
      </c>
      <c r="H13160" t="s">
        <v>8576</v>
      </c>
      <c r="I13160">
        <v>725</v>
      </c>
      <c r="J13160" t="s">
        <v>450</v>
      </c>
      <c r="K13160" t="s">
        <v>446</v>
      </c>
      <c r="M13160">
        <v>0</v>
      </c>
    </row>
    <row r="13161" spans="1:13">
      <c r="A13161">
        <v>85050300</v>
      </c>
      <c r="B13161">
        <v>2006394</v>
      </c>
      <c r="C13161" t="s">
        <v>6291</v>
      </c>
      <c r="D13161" t="s">
        <v>449</v>
      </c>
      <c r="F13161">
        <v>0</v>
      </c>
      <c r="H13161" t="s">
        <v>8576</v>
      </c>
      <c r="I13161">
        <v>725</v>
      </c>
      <c r="J13161" t="s">
        <v>450</v>
      </c>
      <c r="K13161" t="s">
        <v>446</v>
      </c>
      <c r="M13161">
        <v>0</v>
      </c>
    </row>
    <row r="13162" spans="1:13">
      <c r="A13162">
        <v>85050400</v>
      </c>
      <c r="B13162">
        <v>2006393</v>
      </c>
      <c r="C13162" t="s">
        <v>6292</v>
      </c>
      <c r="D13162" t="s">
        <v>449</v>
      </c>
      <c r="F13162">
        <v>0</v>
      </c>
      <c r="H13162" t="s">
        <v>8576</v>
      </c>
      <c r="I13162">
        <v>725</v>
      </c>
      <c r="J13162" t="s">
        <v>450</v>
      </c>
      <c r="K13162" t="s">
        <v>446</v>
      </c>
      <c r="M13162">
        <v>0</v>
      </c>
    </row>
    <row r="13163" spans="1:13">
      <c r="A13163">
        <v>85050500</v>
      </c>
      <c r="B13163">
        <v>2006426</v>
      </c>
      <c r="C13163" t="s">
        <v>6293</v>
      </c>
      <c r="D13163" t="s">
        <v>442</v>
      </c>
      <c r="F13163">
        <v>0</v>
      </c>
      <c r="H13163" t="s">
        <v>13997</v>
      </c>
      <c r="I13163">
        <v>725</v>
      </c>
      <c r="J13163" t="s">
        <v>450</v>
      </c>
      <c r="K13163" t="s">
        <v>446</v>
      </c>
      <c r="M13163">
        <v>2611</v>
      </c>
    </row>
    <row r="13164" spans="1:13">
      <c r="A13164">
        <v>85050600</v>
      </c>
      <c r="B13164">
        <v>2006425</v>
      </c>
      <c r="C13164" t="s">
        <v>6294</v>
      </c>
      <c r="D13164" t="s">
        <v>442</v>
      </c>
      <c r="F13164">
        <v>0</v>
      </c>
      <c r="H13164" t="s">
        <v>13997</v>
      </c>
      <c r="I13164">
        <v>725</v>
      </c>
      <c r="J13164" t="s">
        <v>450</v>
      </c>
      <c r="K13164" t="s">
        <v>446</v>
      </c>
      <c r="M13164">
        <v>0</v>
      </c>
    </row>
    <row r="13165" spans="1:13">
      <c r="A13165">
        <v>85050700</v>
      </c>
      <c r="B13165">
        <v>2006424</v>
      </c>
      <c r="C13165" t="s">
        <v>6295</v>
      </c>
      <c r="D13165" t="s">
        <v>442</v>
      </c>
      <c r="F13165">
        <v>0</v>
      </c>
      <c r="H13165" t="s">
        <v>13997</v>
      </c>
      <c r="I13165">
        <v>725</v>
      </c>
      <c r="J13165" t="s">
        <v>450</v>
      </c>
      <c r="K13165" t="s">
        <v>446</v>
      </c>
      <c r="M13165">
        <v>0</v>
      </c>
    </row>
    <row r="13166" spans="1:13">
      <c r="A13166">
        <v>85050800</v>
      </c>
      <c r="B13166">
        <v>2005394</v>
      </c>
      <c r="C13166" t="s">
        <v>6296</v>
      </c>
      <c r="D13166" t="s">
        <v>449</v>
      </c>
      <c r="E13166" t="s">
        <v>441</v>
      </c>
      <c r="F13166">
        <v>0.01</v>
      </c>
      <c r="H13166" t="s">
        <v>8576</v>
      </c>
      <c r="I13166">
        <v>365</v>
      </c>
      <c r="J13166" t="s">
        <v>450</v>
      </c>
      <c r="K13166" t="s">
        <v>446</v>
      </c>
      <c r="M13166">
        <v>0</v>
      </c>
    </row>
    <row r="13167" spans="1:13">
      <c r="A13167">
        <v>85050900</v>
      </c>
      <c r="B13167">
        <v>2006451</v>
      </c>
      <c r="C13167" t="s">
        <v>6297</v>
      </c>
      <c r="D13167" t="s">
        <v>449</v>
      </c>
      <c r="F13167">
        <v>0</v>
      </c>
      <c r="H13167" t="s">
        <v>8576</v>
      </c>
      <c r="I13167">
        <v>725</v>
      </c>
      <c r="J13167" t="s">
        <v>450</v>
      </c>
      <c r="K13167" t="s">
        <v>446</v>
      </c>
      <c r="M13167">
        <v>0</v>
      </c>
    </row>
    <row r="13168" spans="1:13">
      <c r="A13168">
        <v>85051000</v>
      </c>
      <c r="B13168">
        <v>2006517</v>
      </c>
      <c r="C13168" t="s">
        <v>6298</v>
      </c>
      <c r="D13168" t="s">
        <v>449</v>
      </c>
      <c r="F13168">
        <v>0</v>
      </c>
      <c r="H13168" t="s">
        <v>8580</v>
      </c>
      <c r="I13168">
        <v>360</v>
      </c>
      <c r="J13168" t="s">
        <v>450</v>
      </c>
      <c r="K13168" t="s">
        <v>446</v>
      </c>
      <c r="M13168">
        <v>0</v>
      </c>
    </row>
    <row r="13169" spans="1:13">
      <c r="A13169">
        <v>85051100</v>
      </c>
      <c r="B13169">
        <v>2006531</v>
      </c>
      <c r="C13169" t="s">
        <v>6299</v>
      </c>
      <c r="D13169" t="s">
        <v>449</v>
      </c>
      <c r="F13169">
        <v>0</v>
      </c>
      <c r="H13169" t="s">
        <v>8576</v>
      </c>
      <c r="I13169">
        <v>360</v>
      </c>
      <c r="J13169" t="s">
        <v>450</v>
      </c>
      <c r="K13169" t="s">
        <v>446</v>
      </c>
      <c r="M13169">
        <v>0</v>
      </c>
    </row>
    <row r="13170" spans="1:13">
      <c r="A13170">
        <v>85051200</v>
      </c>
      <c r="B13170">
        <v>2006530</v>
      </c>
      <c r="C13170" t="s">
        <v>6300</v>
      </c>
      <c r="D13170" t="s">
        <v>449</v>
      </c>
      <c r="F13170">
        <v>0</v>
      </c>
      <c r="H13170" t="s">
        <v>8576</v>
      </c>
      <c r="I13170">
        <v>360</v>
      </c>
      <c r="J13170" t="s">
        <v>450</v>
      </c>
      <c r="K13170" t="s">
        <v>446</v>
      </c>
      <c r="M13170">
        <v>0</v>
      </c>
    </row>
    <row r="13171" spans="1:13">
      <c r="A13171">
        <v>85051300</v>
      </c>
      <c r="B13171">
        <v>2004221</v>
      </c>
      <c r="C13171" t="s">
        <v>6301</v>
      </c>
      <c r="D13171" t="s">
        <v>449</v>
      </c>
      <c r="E13171" t="s">
        <v>441</v>
      </c>
      <c r="F13171">
        <v>2.5999999999999999E-2</v>
      </c>
      <c r="H13171" t="s">
        <v>8580</v>
      </c>
      <c r="I13171">
        <v>365</v>
      </c>
      <c r="J13171" t="s">
        <v>450</v>
      </c>
      <c r="K13171" t="s">
        <v>446</v>
      </c>
      <c r="M13171">
        <v>0</v>
      </c>
    </row>
    <row r="13172" spans="1:13">
      <c r="A13172">
        <v>85051400</v>
      </c>
      <c r="B13172">
        <v>2006567</v>
      </c>
      <c r="C13172" t="s">
        <v>6302</v>
      </c>
      <c r="D13172" t="s">
        <v>449</v>
      </c>
      <c r="E13172" t="s">
        <v>441</v>
      </c>
      <c r="F13172">
        <v>1.6E-2</v>
      </c>
      <c r="H13172" t="s">
        <v>8574</v>
      </c>
      <c r="I13172">
        <v>360</v>
      </c>
      <c r="J13172" t="s">
        <v>450</v>
      </c>
      <c r="K13172" t="s">
        <v>446</v>
      </c>
      <c r="M13172">
        <v>0</v>
      </c>
    </row>
    <row r="13173" spans="1:13">
      <c r="A13173">
        <v>85051500</v>
      </c>
      <c r="B13173">
        <v>2006568</v>
      </c>
      <c r="C13173" t="s">
        <v>6303</v>
      </c>
      <c r="D13173" t="s">
        <v>449</v>
      </c>
      <c r="F13173">
        <v>0</v>
      </c>
      <c r="H13173" t="s">
        <v>8576</v>
      </c>
      <c r="I13173">
        <v>360</v>
      </c>
      <c r="J13173" t="s">
        <v>450</v>
      </c>
      <c r="K13173" t="s">
        <v>446</v>
      </c>
      <c r="M13173">
        <v>0</v>
      </c>
    </row>
    <row r="13174" spans="1:13">
      <c r="A13174">
        <v>85051600</v>
      </c>
      <c r="B13174">
        <v>2006554</v>
      </c>
      <c r="C13174" t="s">
        <v>6304</v>
      </c>
      <c r="D13174" t="s">
        <v>449</v>
      </c>
      <c r="F13174">
        <v>0</v>
      </c>
      <c r="H13174" t="s">
        <v>8576</v>
      </c>
      <c r="I13174">
        <v>360</v>
      </c>
      <c r="J13174" t="s">
        <v>450</v>
      </c>
      <c r="K13174" t="s">
        <v>446</v>
      </c>
      <c r="M13174">
        <v>0</v>
      </c>
    </row>
    <row r="13175" spans="1:13">
      <c r="A13175">
        <v>85051700</v>
      </c>
      <c r="B13175">
        <v>2006557</v>
      </c>
      <c r="C13175" t="s">
        <v>6305</v>
      </c>
      <c r="D13175" t="s">
        <v>442</v>
      </c>
      <c r="F13175">
        <v>0</v>
      </c>
      <c r="H13175" t="s">
        <v>13997</v>
      </c>
      <c r="I13175">
        <v>547</v>
      </c>
      <c r="J13175" t="s">
        <v>450</v>
      </c>
      <c r="K13175" t="s">
        <v>446</v>
      </c>
      <c r="M13175">
        <v>0</v>
      </c>
    </row>
    <row r="13176" spans="1:13">
      <c r="A13176">
        <v>85051800</v>
      </c>
      <c r="B13176">
        <v>2006558</v>
      </c>
      <c r="C13176" t="s">
        <v>6306</v>
      </c>
      <c r="D13176" t="s">
        <v>442</v>
      </c>
      <c r="F13176">
        <v>0</v>
      </c>
      <c r="H13176" t="s">
        <v>13997</v>
      </c>
      <c r="I13176">
        <v>540</v>
      </c>
      <c r="J13176" t="s">
        <v>450</v>
      </c>
      <c r="K13176" t="s">
        <v>446</v>
      </c>
      <c r="M13176">
        <v>0</v>
      </c>
    </row>
    <row r="13177" spans="1:13">
      <c r="A13177">
        <v>85051900</v>
      </c>
      <c r="B13177">
        <v>2006574</v>
      </c>
      <c r="C13177" t="s">
        <v>6307</v>
      </c>
      <c r="D13177" t="s">
        <v>449</v>
      </c>
      <c r="F13177">
        <v>0</v>
      </c>
      <c r="H13177" t="s">
        <v>8576</v>
      </c>
      <c r="I13177">
        <v>360</v>
      </c>
      <c r="J13177" t="s">
        <v>450</v>
      </c>
      <c r="K13177" t="s">
        <v>446</v>
      </c>
      <c r="M13177">
        <v>0</v>
      </c>
    </row>
    <row r="13178" spans="1:13">
      <c r="A13178">
        <v>85052000</v>
      </c>
      <c r="B13178">
        <v>2006596</v>
      </c>
      <c r="C13178" t="s">
        <v>6308</v>
      </c>
      <c r="D13178" t="s">
        <v>449</v>
      </c>
      <c r="F13178">
        <v>0</v>
      </c>
      <c r="H13178" t="s">
        <v>8576</v>
      </c>
      <c r="I13178">
        <v>360</v>
      </c>
      <c r="J13178" t="s">
        <v>450</v>
      </c>
      <c r="K13178" t="s">
        <v>446</v>
      </c>
      <c r="M13178">
        <v>0</v>
      </c>
    </row>
    <row r="13179" spans="1:13">
      <c r="A13179">
        <v>85052100</v>
      </c>
      <c r="B13179">
        <v>2006690</v>
      </c>
      <c r="C13179" t="s">
        <v>6309</v>
      </c>
      <c r="D13179" t="s">
        <v>449</v>
      </c>
      <c r="F13179">
        <v>0</v>
      </c>
      <c r="H13179" t="s">
        <v>8576</v>
      </c>
      <c r="I13179">
        <v>365</v>
      </c>
      <c r="J13179" t="s">
        <v>450</v>
      </c>
      <c r="K13179" t="s">
        <v>446</v>
      </c>
      <c r="M13179">
        <v>0</v>
      </c>
    </row>
    <row r="13180" spans="1:13">
      <c r="A13180">
        <v>85052200</v>
      </c>
      <c r="B13180">
        <v>2006679</v>
      </c>
      <c r="C13180" t="s">
        <v>6310</v>
      </c>
      <c r="D13180" t="s">
        <v>449</v>
      </c>
      <c r="F13180">
        <v>0</v>
      </c>
      <c r="H13180" t="s">
        <v>8576</v>
      </c>
      <c r="I13180">
        <v>365</v>
      </c>
      <c r="J13180" t="s">
        <v>450</v>
      </c>
      <c r="K13180" t="s">
        <v>446</v>
      </c>
      <c r="M13180">
        <v>0</v>
      </c>
    </row>
    <row r="13181" spans="1:13">
      <c r="A13181">
        <v>85052300</v>
      </c>
      <c r="B13181">
        <v>2006678</v>
      </c>
      <c r="C13181" t="s">
        <v>6311</v>
      </c>
      <c r="D13181" t="s">
        <v>449</v>
      </c>
      <c r="F13181">
        <v>0</v>
      </c>
      <c r="H13181" t="s">
        <v>8576</v>
      </c>
      <c r="I13181">
        <v>365</v>
      </c>
      <c r="J13181" t="s">
        <v>450</v>
      </c>
      <c r="K13181" t="s">
        <v>446</v>
      </c>
      <c r="M13181">
        <v>0</v>
      </c>
    </row>
    <row r="13182" spans="1:13">
      <c r="A13182">
        <v>85052400</v>
      </c>
      <c r="B13182">
        <v>2006707</v>
      </c>
      <c r="C13182" t="s">
        <v>6312</v>
      </c>
      <c r="D13182" t="s">
        <v>442</v>
      </c>
      <c r="F13182">
        <v>0</v>
      </c>
      <c r="H13182" t="s">
        <v>13997</v>
      </c>
      <c r="I13182">
        <v>360</v>
      </c>
      <c r="J13182" t="s">
        <v>450</v>
      </c>
      <c r="K13182" t="s">
        <v>446</v>
      </c>
      <c r="M13182">
        <v>2611</v>
      </c>
    </row>
    <row r="13183" spans="1:13">
      <c r="A13183">
        <v>85052500</v>
      </c>
      <c r="B13183">
        <v>2006716</v>
      </c>
      <c r="C13183" t="s">
        <v>6313</v>
      </c>
      <c r="D13183" t="s">
        <v>449</v>
      </c>
      <c r="F13183">
        <v>0</v>
      </c>
      <c r="H13183" t="s">
        <v>8576</v>
      </c>
      <c r="I13183">
        <v>365</v>
      </c>
      <c r="J13183" t="s">
        <v>450</v>
      </c>
      <c r="K13183" t="s">
        <v>446</v>
      </c>
      <c r="M13183">
        <v>0</v>
      </c>
    </row>
    <row r="13184" spans="1:13">
      <c r="A13184">
        <v>85052600</v>
      </c>
      <c r="B13184">
        <v>2006715</v>
      </c>
      <c r="C13184" t="s">
        <v>6314</v>
      </c>
      <c r="D13184" t="s">
        <v>449</v>
      </c>
      <c r="F13184">
        <v>0</v>
      </c>
      <c r="H13184" t="s">
        <v>8576</v>
      </c>
      <c r="I13184">
        <v>365</v>
      </c>
      <c r="J13184" t="s">
        <v>450</v>
      </c>
      <c r="K13184" t="s">
        <v>446</v>
      </c>
      <c r="M13184">
        <v>0</v>
      </c>
    </row>
    <row r="13185" spans="1:13">
      <c r="A13185">
        <v>85052700</v>
      </c>
      <c r="B13185">
        <v>2006732</v>
      </c>
      <c r="C13185" t="s">
        <v>6315</v>
      </c>
      <c r="D13185" t="s">
        <v>449</v>
      </c>
      <c r="F13185">
        <v>0</v>
      </c>
      <c r="H13185" t="s">
        <v>8576</v>
      </c>
      <c r="I13185">
        <v>90</v>
      </c>
      <c r="J13185" t="s">
        <v>450</v>
      </c>
      <c r="K13185" t="s">
        <v>446</v>
      </c>
      <c r="M13185">
        <v>0</v>
      </c>
    </row>
    <row r="13186" spans="1:13">
      <c r="A13186">
        <v>85052800</v>
      </c>
      <c r="B13186">
        <v>2006731</v>
      </c>
      <c r="C13186" t="s">
        <v>6315</v>
      </c>
      <c r="D13186" t="s">
        <v>449</v>
      </c>
      <c r="F13186">
        <v>0</v>
      </c>
      <c r="H13186" t="s">
        <v>8576</v>
      </c>
      <c r="I13186">
        <v>365</v>
      </c>
      <c r="J13186" t="s">
        <v>450</v>
      </c>
      <c r="K13186" t="s">
        <v>446</v>
      </c>
      <c r="M13186">
        <v>0</v>
      </c>
    </row>
    <row r="13187" spans="1:13">
      <c r="A13187">
        <v>85052900</v>
      </c>
      <c r="B13187">
        <v>2006735</v>
      </c>
      <c r="C13187" t="s">
        <v>6316</v>
      </c>
      <c r="D13187" t="s">
        <v>449</v>
      </c>
      <c r="E13187" t="s">
        <v>441</v>
      </c>
      <c r="F13187">
        <v>2.8000000000000001E-2</v>
      </c>
      <c r="H13187" t="s">
        <v>8576</v>
      </c>
      <c r="I13187">
        <v>365</v>
      </c>
      <c r="J13187" t="s">
        <v>450</v>
      </c>
      <c r="M13187">
        <v>0</v>
      </c>
    </row>
    <row r="13188" spans="1:13">
      <c r="A13188">
        <v>85053000</v>
      </c>
      <c r="B13188">
        <v>2006767</v>
      </c>
      <c r="C13188" t="s">
        <v>6317</v>
      </c>
      <c r="D13188" t="s">
        <v>442</v>
      </c>
      <c r="F13188">
        <v>0</v>
      </c>
      <c r="H13188" t="s">
        <v>13997</v>
      </c>
      <c r="I13188">
        <v>360</v>
      </c>
      <c r="J13188" t="s">
        <v>450</v>
      </c>
      <c r="K13188" t="s">
        <v>446</v>
      </c>
      <c r="M13188">
        <v>0</v>
      </c>
    </row>
    <row r="13189" spans="1:13">
      <c r="A13189">
        <v>85053100</v>
      </c>
      <c r="B13189">
        <v>2006766</v>
      </c>
      <c r="C13189" t="s">
        <v>6318</v>
      </c>
      <c r="D13189" t="s">
        <v>442</v>
      </c>
      <c r="F13189">
        <v>0</v>
      </c>
      <c r="H13189" t="s">
        <v>13997</v>
      </c>
      <c r="I13189">
        <v>360</v>
      </c>
      <c r="J13189" t="s">
        <v>450</v>
      </c>
      <c r="K13189" t="s">
        <v>446</v>
      </c>
      <c r="M13189">
        <v>0</v>
      </c>
    </row>
    <row r="13190" spans="1:13">
      <c r="A13190">
        <v>85053200</v>
      </c>
      <c r="B13190">
        <v>2006765</v>
      </c>
      <c r="C13190" t="s">
        <v>6319</v>
      </c>
      <c r="D13190" t="s">
        <v>442</v>
      </c>
      <c r="F13190">
        <v>0</v>
      </c>
      <c r="H13190" t="s">
        <v>13997</v>
      </c>
      <c r="I13190">
        <v>360</v>
      </c>
      <c r="J13190" t="s">
        <v>450</v>
      </c>
      <c r="K13190" t="s">
        <v>446</v>
      </c>
      <c r="M13190">
        <v>0</v>
      </c>
    </row>
    <row r="13191" spans="1:13">
      <c r="A13191">
        <v>85053300</v>
      </c>
      <c r="B13191">
        <v>2006764</v>
      </c>
      <c r="C13191" t="s">
        <v>6320</v>
      </c>
      <c r="D13191" t="s">
        <v>442</v>
      </c>
      <c r="F13191">
        <v>0</v>
      </c>
      <c r="H13191" t="s">
        <v>13997</v>
      </c>
      <c r="I13191">
        <v>360</v>
      </c>
      <c r="J13191" t="s">
        <v>450</v>
      </c>
      <c r="K13191" t="s">
        <v>446</v>
      </c>
      <c r="M13191">
        <v>0</v>
      </c>
    </row>
    <row r="13192" spans="1:13">
      <c r="A13192">
        <v>85053400</v>
      </c>
      <c r="B13192">
        <v>2006763</v>
      </c>
      <c r="C13192" t="s">
        <v>6321</v>
      </c>
      <c r="D13192" t="s">
        <v>442</v>
      </c>
      <c r="F13192">
        <v>0</v>
      </c>
      <c r="H13192" t="s">
        <v>13997</v>
      </c>
      <c r="I13192">
        <v>360</v>
      </c>
      <c r="J13192" t="s">
        <v>450</v>
      </c>
      <c r="K13192" t="s">
        <v>446</v>
      </c>
      <c r="M13192">
        <v>0</v>
      </c>
    </row>
    <row r="13193" spans="1:13">
      <c r="A13193">
        <v>85053500</v>
      </c>
      <c r="B13193">
        <v>2006762</v>
      </c>
      <c r="C13193" t="s">
        <v>6322</v>
      </c>
      <c r="D13193" t="s">
        <v>442</v>
      </c>
      <c r="F13193">
        <v>0</v>
      </c>
      <c r="H13193" t="s">
        <v>13997</v>
      </c>
      <c r="I13193">
        <v>360</v>
      </c>
      <c r="J13193" t="s">
        <v>450</v>
      </c>
      <c r="K13193" t="s">
        <v>446</v>
      </c>
      <c r="M13193">
        <v>0</v>
      </c>
    </row>
    <row r="13194" spans="1:13">
      <c r="A13194">
        <v>85053600</v>
      </c>
      <c r="B13194">
        <v>2006807</v>
      </c>
      <c r="C13194" t="s">
        <v>6323</v>
      </c>
      <c r="D13194" t="s">
        <v>449</v>
      </c>
      <c r="F13194">
        <v>0</v>
      </c>
      <c r="H13194" t="s">
        <v>8576</v>
      </c>
      <c r="I13194">
        <v>360</v>
      </c>
      <c r="J13194" t="s">
        <v>450</v>
      </c>
      <c r="K13194" t="s">
        <v>446</v>
      </c>
      <c r="M13194">
        <v>0</v>
      </c>
    </row>
    <row r="13195" spans="1:13">
      <c r="A13195">
        <v>85053700</v>
      </c>
      <c r="B13195">
        <v>2006812</v>
      </c>
      <c r="C13195" t="s">
        <v>6324</v>
      </c>
      <c r="D13195" t="s">
        <v>449</v>
      </c>
      <c r="F13195">
        <v>0</v>
      </c>
      <c r="H13195" t="s">
        <v>8576</v>
      </c>
      <c r="I13195">
        <v>360</v>
      </c>
      <c r="J13195" t="s">
        <v>450</v>
      </c>
      <c r="K13195" t="s">
        <v>446</v>
      </c>
      <c r="M13195">
        <v>0</v>
      </c>
    </row>
    <row r="13196" spans="1:13">
      <c r="A13196">
        <v>85053800</v>
      </c>
      <c r="B13196">
        <v>2006876</v>
      </c>
      <c r="C13196" t="s">
        <v>6325</v>
      </c>
      <c r="D13196" t="s">
        <v>449</v>
      </c>
      <c r="F13196">
        <v>0</v>
      </c>
      <c r="H13196" t="s">
        <v>8576</v>
      </c>
      <c r="I13196">
        <v>360</v>
      </c>
      <c r="J13196" t="s">
        <v>450</v>
      </c>
      <c r="K13196" t="s">
        <v>446</v>
      </c>
      <c r="M13196">
        <v>0</v>
      </c>
    </row>
    <row r="13197" spans="1:13">
      <c r="A13197">
        <v>85053900</v>
      </c>
      <c r="B13197">
        <v>2006874</v>
      </c>
      <c r="C13197" t="s">
        <v>6326</v>
      </c>
      <c r="D13197" t="s">
        <v>449</v>
      </c>
      <c r="F13197">
        <v>0</v>
      </c>
      <c r="H13197" t="s">
        <v>8576</v>
      </c>
      <c r="I13197">
        <v>360</v>
      </c>
      <c r="J13197" t="s">
        <v>450</v>
      </c>
      <c r="K13197" t="s">
        <v>446</v>
      </c>
      <c r="M13197">
        <v>0</v>
      </c>
    </row>
    <row r="13198" spans="1:13">
      <c r="A13198">
        <v>85054000</v>
      </c>
      <c r="B13198">
        <v>2006890</v>
      </c>
      <c r="C13198" t="s">
        <v>6327</v>
      </c>
      <c r="D13198" t="s">
        <v>449</v>
      </c>
      <c r="F13198">
        <v>0</v>
      </c>
      <c r="H13198" t="s">
        <v>8574</v>
      </c>
      <c r="I13198">
        <v>365</v>
      </c>
      <c r="J13198" t="s">
        <v>450</v>
      </c>
      <c r="K13198" t="s">
        <v>446</v>
      </c>
      <c r="M13198">
        <v>0</v>
      </c>
    </row>
    <row r="13199" spans="1:13">
      <c r="A13199">
        <v>85054100</v>
      </c>
      <c r="B13199">
        <v>2006889</v>
      </c>
      <c r="C13199" t="s">
        <v>6328</v>
      </c>
      <c r="D13199" t="s">
        <v>449</v>
      </c>
      <c r="F13199">
        <v>0</v>
      </c>
      <c r="H13199" t="s">
        <v>8574</v>
      </c>
      <c r="I13199">
        <v>365</v>
      </c>
      <c r="J13199" t="s">
        <v>450</v>
      </c>
      <c r="K13199" t="s">
        <v>446</v>
      </c>
      <c r="M13199">
        <v>0</v>
      </c>
    </row>
    <row r="13200" spans="1:13">
      <c r="A13200">
        <v>85054200</v>
      </c>
      <c r="B13200">
        <v>2006894</v>
      </c>
      <c r="C13200" t="s">
        <v>6329</v>
      </c>
      <c r="D13200" t="s">
        <v>442</v>
      </c>
      <c r="F13200">
        <v>0</v>
      </c>
      <c r="H13200" t="s">
        <v>13997</v>
      </c>
      <c r="I13200">
        <v>360</v>
      </c>
      <c r="J13200" t="s">
        <v>450</v>
      </c>
      <c r="K13200" t="s">
        <v>446</v>
      </c>
      <c r="M13200">
        <v>0</v>
      </c>
    </row>
    <row r="13201" spans="1:13">
      <c r="A13201">
        <v>85054300</v>
      </c>
      <c r="B13201">
        <v>2006953</v>
      </c>
      <c r="C13201" t="s">
        <v>6330</v>
      </c>
      <c r="D13201" t="s">
        <v>442</v>
      </c>
      <c r="F13201">
        <v>0</v>
      </c>
      <c r="H13201" t="s">
        <v>13997</v>
      </c>
      <c r="I13201">
        <v>549</v>
      </c>
      <c r="J13201" t="s">
        <v>450</v>
      </c>
      <c r="K13201" t="s">
        <v>446</v>
      </c>
      <c r="M13201">
        <v>0</v>
      </c>
    </row>
    <row r="13202" spans="1:13">
      <c r="A13202">
        <v>85054400</v>
      </c>
      <c r="B13202">
        <v>2006952</v>
      </c>
      <c r="C13202" t="s">
        <v>6331</v>
      </c>
      <c r="D13202" t="s">
        <v>442</v>
      </c>
      <c r="E13202" t="s">
        <v>441</v>
      </c>
      <c r="F13202">
        <v>0.02</v>
      </c>
      <c r="H13202" t="s">
        <v>13997</v>
      </c>
      <c r="I13202">
        <v>540</v>
      </c>
      <c r="J13202" t="s">
        <v>450</v>
      </c>
      <c r="K13202" t="s">
        <v>446</v>
      </c>
      <c r="M13202">
        <v>0</v>
      </c>
    </row>
    <row r="13203" spans="1:13">
      <c r="A13203">
        <v>85054500</v>
      </c>
      <c r="B13203">
        <v>2006951</v>
      </c>
      <c r="C13203" t="s">
        <v>6332</v>
      </c>
      <c r="D13203" t="s">
        <v>442</v>
      </c>
      <c r="F13203">
        <v>0</v>
      </c>
      <c r="H13203" t="s">
        <v>13997</v>
      </c>
      <c r="I13203">
        <v>540</v>
      </c>
      <c r="J13203" t="s">
        <v>450</v>
      </c>
      <c r="K13203" t="s">
        <v>446</v>
      </c>
      <c r="M13203">
        <v>0</v>
      </c>
    </row>
    <row r="13204" spans="1:13">
      <c r="A13204">
        <v>85054600</v>
      </c>
      <c r="B13204">
        <v>2006950</v>
      </c>
      <c r="C13204" t="s">
        <v>6333</v>
      </c>
      <c r="D13204" t="s">
        <v>442</v>
      </c>
      <c r="F13204">
        <v>0</v>
      </c>
      <c r="H13204" t="s">
        <v>13997</v>
      </c>
      <c r="I13204">
        <v>540</v>
      </c>
      <c r="J13204" t="s">
        <v>450</v>
      </c>
      <c r="K13204" t="s">
        <v>446</v>
      </c>
      <c r="M13204">
        <v>0</v>
      </c>
    </row>
    <row r="13205" spans="1:13">
      <c r="A13205">
        <v>85054700</v>
      </c>
      <c r="B13205">
        <v>2006971</v>
      </c>
      <c r="C13205" t="s">
        <v>6334</v>
      </c>
      <c r="D13205" t="s">
        <v>449</v>
      </c>
      <c r="E13205" t="s">
        <v>441</v>
      </c>
      <c r="F13205">
        <v>2.1000000000000001E-2</v>
      </c>
      <c r="H13205" t="s">
        <v>8576</v>
      </c>
      <c r="I13205">
        <v>365</v>
      </c>
      <c r="J13205" t="s">
        <v>450</v>
      </c>
      <c r="M13205">
        <v>0</v>
      </c>
    </row>
    <row r="13206" spans="1:13">
      <c r="A13206">
        <v>85054800</v>
      </c>
      <c r="B13206">
        <v>2006974</v>
      </c>
      <c r="C13206" t="s">
        <v>6335</v>
      </c>
      <c r="D13206" t="s">
        <v>449</v>
      </c>
      <c r="F13206">
        <v>0</v>
      </c>
      <c r="H13206" t="s">
        <v>8576</v>
      </c>
      <c r="I13206">
        <v>365</v>
      </c>
      <c r="J13206" t="s">
        <v>450</v>
      </c>
      <c r="K13206" t="s">
        <v>446</v>
      </c>
      <c r="M13206">
        <v>0</v>
      </c>
    </row>
    <row r="13207" spans="1:13">
      <c r="A13207">
        <v>85054900</v>
      </c>
      <c r="B13207">
        <v>2006996</v>
      </c>
      <c r="C13207" t="s">
        <v>6336</v>
      </c>
      <c r="D13207" t="s">
        <v>449</v>
      </c>
      <c r="F13207">
        <v>0</v>
      </c>
      <c r="H13207" t="s">
        <v>8576</v>
      </c>
      <c r="I13207">
        <v>365</v>
      </c>
      <c r="J13207" t="s">
        <v>450</v>
      </c>
      <c r="K13207" t="s">
        <v>446</v>
      </c>
      <c r="M13207">
        <v>0</v>
      </c>
    </row>
    <row r="13208" spans="1:13">
      <c r="A13208">
        <v>85055000</v>
      </c>
      <c r="B13208">
        <v>2006995</v>
      </c>
      <c r="C13208" t="s">
        <v>6337</v>
      </c>
      <c r="D13208" t="s">
        <v>449</v>
      </c>
      <c r="F13208">
        <v>0</v>
      </c>
      <c r="H13208" t="s">
        <v>8576</v>
      </c>
      <c r="I13208">
        <v>365</v>
      </c>
      <c r="J13208" t="s">
        <v>450</v>
      </c>
      <c r="K13208" t="s">
        <v>446</v>
      </c>
      <c r="M13208">
        <v>0</v>
      </c>
    </row>
    <row r="13209" spans="1:13">
      <c r="A13209">
        <v>85055100</v>
      </c>
      <c r="B13209">
        <v>2006994</v>
      </c>
      <c r="C13209" t="s">
        <v>6338</v>
      </c>
      <c r="D13209" t="s">
        <v>449</v>
      </c>
      <c r="F13209">
        <v>0</v>
      </c>
      <c r="H13209" t="s">
        <v>8576</v>
      </c>
      <c r="I13209">
        <v>365</v>
      </c>
      <c r="J13209" t="s">
        <v>450</v>
      </c>
      <c r="M13209">
        <v>0</v>
      </c>
    </row>
    <row r="13210" spans="1:13">
      <c r="A13210">
        <v>85055200</v>
      </c>
      <c r="B13210">
        <v>2007036</v>
      </c>
      <c r="C13210" t="s">
        <v>6339</v>
      </c>
      <c r="D13210" t="s">
        <v>449</v>
      </c>
      <c r="F13210">
        <v>0</v>
      </c>
      <c r="H13210" t="s">
        <v>8576</v>
      </c>
      <c r="I13210">
        <v>180</v>
      </c>
      <c r="J13210" t="s">
        <v>450</v>
      </c>
      <c r="K13210" t="s">
        <v>446</v>
      </c>
      <c r="M13210">
        <v>0</v>
      </c>
    </row>
    <row r="13211" spans="1:13">
      <c r="A13211">
        <v>85055300</v>
      </c>
      <c r="B13211">
        <v>2007060</v>
      </c>
      <c r="C13211" t="s">
        <v>6340</v>
      </c>
      <c r="D13211" t="s">
        <v>449</v>
      </c>
      <c r="F13211">
        <v>0</v>
      </c>
      <c r="H13211" t="s">
        <v>8576</v>
      </c>
      <c r="I13211">
        <v>365</v>
      </c>
      <c r="J13211" t="s">
        <v>450</v>
      </c>
      <c r="K13211" t="s">
        <v>446</v>
      </c>
      <c r="M13211">
        <v>0</v>
      </c>
    </row>
    <row r="13212" spans="1:13">
      <c r="A13212">
        <v>85055400</v>
      </c>
      <c r="B13212">
        <v>2007049</v>
      </c>
      <c r="C13212" t="s">
        <v>6341</v>
      </c>
      <c r="D13212" t="s">
        <v>449</v>
      </c>
      <c r="F13212">
        <v>0</v>
      </c>
      <c r="H13212" t="s">
        <v>8576</v>
      </c>
      <c r="I13212">
        <v>365</v>
      </c>
      <c r="J13212" t="s">
        <v>450</v>
      </c>
      <c r="K13212" t="s">
        <v>446</v>
      </c>
      <c r="M13212">
        <v>0</v>
      </c>
    </row>
    <row r="13213" spans="1:13">
      <c r="A13213">
        <v>85055500</v>
      </c>
      <c r="B13213">
        <v>2007099</v>
      </c>
      <c r="C13213" t="s">
        <v>6342</v>
      </c>
      <c r="D13213" t="s">
        <v>449</v>
      </c>
      <c r="F13213">
        <v>0</v>
      </c>
      <c r="H13213" t="s">
        <v>8576</v>
      </c>
      <c r="I13213">
        <v>720</v>
      </c>
      <c r="J13213" t="s">
        <v>450</v>
      </c>
      <c r="K13213" t="s">
        <v>446</v>
      </c>
      <c r="M13213">
        <v>0</v>
      </c>
    </row>
    <row r="13214" spans="1:13">
      <c r="A13214">
        <v>85055600</v>
      </c>
      <c r="B13214">
        <v>2007114</v>
      </c>
      <c r="C13214" t="s">
        <v>6343</v>
      </c>
      <c r="D13214" t="s">
        <v>449</v>
      </c>
      <c r="F13214">
        <v>0</v>
      </c>
      <c r="H13214" t="s">
        <v>8576</v>
      </c>
      <c r="I13214">
        <v>720</v>
      </c>
      <c r="J13214" t="s">
        <v>450</v>
      </c>
      <c r="K13214" t="s">
        <v>446</v>
      </c>
      <c r="M13214">
        <v>0</v>
      </c>
    </row>
    <row r="13215" spans="1:13">
      <c r="A13215">
        <v>85055700</v>
      </c>
      <c r="B13215">
        <v>2007159</v>
      </c>
      <c r="C13215" t="s">
        <v>6344</v>
      </c>
      <c r="D13215" t="s">
        <v>449</v>
      </c>
      <c r="F13215">
        <v>0</v>
      </c>
      <c r="H13215" t="s">
        <v>8576</v>
      </c>
      <c r="I13215">
        <v>365</v>
      </c>
      <c r="J13215" t="s">
        <v>450</v>
      </c>
      <c r="K13215" t="s">
        <v>446</v>
      </c>
      <c r="M13215">
        <v>0</v>
      </c>
    </row>
    <row r="13216" spans="1:13">
      <c r="A13216">
        <v>85055800</v>
      </c>
      <c r="B13216">
        <v>2007290</v>
      </c>
      <c r="C13216" t="s">
        <v>6345</v>
      </c>
      <c r="D13216" t="s">
        <v>449</v>
      </c>
      <c r="F13216">
        <v>0</v>
      </c>
      <c r="H13216" t="s">
        <v>8576</v>
      </c>
      <c r="I13216">
        <v>360</v>
      </c>
      <c r="J13216" t="s">
        <v>450</v>
      </c>
      <c r="K13216" t="s">
        <v>446</v>
      </c>
      <c r="M13216">
        <v>0</v>
      </c>
    </row>
    <row r="13217" spans="1:13">
      <c r="A13217">
        <v>85055900</v>
      </c>
      <c r="B13217">
        <v>2007279</v>
      </c>
      <c r="C13217" t="s">
        <v>6346</v>
      </c>
      <c r="D13217" t="s">
        <v>449</v>
      </c>
      <c r="F13217">
        <v>0</v>
      </c>
      <c r="H13217" t="s">
        <v>8576</v>
      </c>
      <c r="I13217">
        <v>360</v>
      </c>
      <c r="J13217" t="s">
        <v>450</v>
      </c>
      <c r="K13217" t="s">
        <v>446</v>
      </c>
      <c r="M13217">
        <v>0</v>
      </c>
    </row>
    <row r="13218" spans="1:13">
      <c r="A13218">
        <v>85056000</v>
      </c>
      <c r="B13218">
        <v>2001745</v>
      </c>
      <c r="C13218" t="s">
        <v>6347</v>
      </c>
      <c r="D13218" t="s">
        <v>442</v>
      </c>
      <c r="E13218" t="s">
        <v>441</v>
      </c>
      <c r="F13218">
        <v>1.3</v>
      </c>
      <c r="H13218" t="s">
        <v>13997</v>
      </c>
      <c r="I13218">
        <v>547</v>
      </c>
      <c r="J13218" t="s">
        <v>450</v>
      </c>
      <c r="K13218" t="s">
        <v>446</v>
      </c>
      <c r="M13218">
        <v>0</v>
      </c>
    </row>
    <row r="13219" spans="1:13">
      <c r="A13219">
        <v>85056100</v>
      </c>
      <c r="B13219">
        <v>2007303</v>
      </c>
      <c r="C13219" t="s">
        <v>6348</v>
      </c>
      <c r="D13219" t="s">
        <v>449</v>
      </c>
      <c r="F13219">
        <v>0</v>
      </c>
      <c r="H13219" t="s">
        <v>8576</v>
      </c>
      <c r="I13219">
        <v>360</v>
      </c>
      <c r="J13219" t="s">
        <v>450</v>
      </c>
      <c r="K13219" t="s">
        <v>446</v>
      </c>
      <c r="M13219">
        <v>0</v>
      </c>
    </row>
    <row r="13220" spans="1:13">
      <c r="A13220">
        <v>85056200</v>
      </c>
      <c r="B13220">
        <v>2007351</v>
      </c>
      <c r="C13220" t="s">
        <v>6349</v>
      </c>
      <c r="D13220" t="s">
        <v>449</v>
      </c>
      <c r="F13220">
        <v>0</v>
      </c>
      <c r="H13220" t="s">
        <v>8576</v>
      </c>
      <c r="I13220">
        <v>360</v>
      </c>
      <c r="J13220" t="s">
        <v>450</v>
      </c>
      <c r="K13220" t="s">
        <v>446</v>
      </c>
      <c r="M13220">
        <v>0</v>
      </c>
    </row>
    <row r="13221" spans="1:13">
      <c r="A13221">
        <v>85056300</v>
      </c>
      <c r="B13221">
        <v>2007337</v>
      </c>
      <c r="C13221" t="s">
        <v>6350</v>
      </c>
      <c r="D13221" t="s">
        <v>449</v>
      </c>
      <c r="F13221">
        <v>0</v>
      </c>
      <c r="H13221" t="s">
        <v>8576</v>
      </c>
      <c r="I13221">
        <v>360</v>
      </c>
      <c r="J13221" t="s">
        <v>450</v>
      </c>
      <c r="K13221" t="s">
        <v>446</v>
      </c>
      <c r="M13221">
        <v>0</v>
      </c>
    </row>
    <row r="13222" spans="1:13">
      <c r="A13222">
        <v>85056400</v>
      </c>
      <c r="B13222">
        <v>2007384</v>
      </c>
      <c r="C13222" t="s">
        <v>6351</v>
      </c>
      <c r="D13222" t="s">
        <v>449</v>
      </c>
      <c r="F13222">
        <v>0</v>
      </c>
      <c r="H13222" t="s">
        <v>8574</v>
      </c>
      <c r="I13222">
        <v>365</v>
      </c>
      <c r="J13222" t="s">
        <v>450</v>
      </c>
      <c r="K13222" t="s">
        <v>446</v>
      </c>
      <c r="M13222">
        <v>0</v>
      </c>
    </row>
    <row r="13223" spans="1:13">
      <c r="A13223">
        <v>85056500</v>
      </c>
      <c r="B13223">
        <v>2001428</v>
      </c>
      <c r="C13223" t="s">
        <v>6352</v>
      </c>
      <c r="D13223" t="s">
        <v>449</v>
      </c>
      <c r="E13223" t="s">
        <v>441</v>
      </c>
      <c r="F13223">
        <v>0.17</v>
      </c>
      <c r="H13223" t="s">
        <v>8576</v>
      </c>
      <c r="I13223">
        <v>730</v>
      </c>
      <c r="J13223" t="s">
        <v>450</v>
      </c>
      <c r="M13223">
        <v>0</v>
      </c>
    </row>
    <row r="13224" spans="1:13">
      <c r="A13224">
        <v>85056600</v>
      </c>
      <c r="B13224">
        <v>2007443</v>
      </c>
      <c r="C13224" t="s">
        <v>6353</v>
      </c>
      <c r="D13224" t="s">
        <v>442</v>
      </c>
      <c r="F13224">
        <v>0</v>
      </c>
      <c r="H13224" t="s">
        <v>8576</v>
      </c>
      <c r="I13224">
        <v>360</v>
      </c>
      <c r="J13224" t="s">
        <v>450</v>
      </c>
      <c r="K13224" t="s">
        <v>446</v>
      </c>
      <c r="M13224">
        <v>0</v>
      </c>
    </row>
    <row r="13225" spans="1:13">
      <c r="A13225">
        <v>85056700</v>
      </c>
      <c r="B13225">
        <v>2007451</v>
      </c>
      <c r="C13225" t="s">
        <v>6354</v>
      </c>
      <c r="D13225" t="s">
        <v>449</v>
      </c>
      <c r="F13225">
        <v>0</v>
      </c>
      <c r="H13225" t="s">
        <v>8574</v>
      </c>
      <c r="I13225">
        <v>365</v>
      </c>
      <c r="J13225" t="s">
        <v>450</v>
      </c>
      <c r="K13225" t="s">
        <v>446</v>
      </c>
      <c r="M13225">
        <v>0</v>
      </c>
    </row>
    <row r="13226" spans="1:13">
      <c r="A13226">
        <v>85056800</v>
      </c>
      <c r="B13226">
        <v>2007457</v>
      </c>
      <c r="C13226" t="s">
        <v>6355</v>
      </c>
      <c r="D13226" t="s">
        <v>449</v>
      </c>
      <c r="F13226">
        <v>0</v>
      </c>
      <c r="H13226" t="s">
        <v>8576</v>
      </c>
      <c r="I13226">
        <v>360</v>
      </c>
      <c r="J13226" t="s">
        <v>450</v>
      </c>
      <c r="K13226" t="s">
        <v>446</v>
      </c>
      <c r="M13226">
        <v>0</v>
      </c>
    </row>
    <row r="13227" spans="1:13">
      <c r="A13227">
        <v>85056900</v>
      </c>
      <c r="B13227">
        <v>2007456</v>
      </c>
      <c r="C13227" t="s">
        <v>6356</v>
      </c>
      <c r="D13227" t="s">
        <v>449</v>
      </c>
      <c r="E13227" t="s">
        <v>441</v>
      </c>
      <c r="F13227">
        <v>1.6E-2</v>
      </c>
      <c r="H13227" t="s">
        <v>8576</v>
      </c>
      <c r="I13227">
        <v>360</v>
      </c>
      <c r="J13227" t="s">
        <v>450</v>
      </c>
      <c r="K13227" t="s">
        <v>446</v>
      </c>
      <c r="M13227">
        <v>0</v>
      </c>
    </row>
    <row r="13228" spans="1:13">
      <c r="A13228">
        <v>85057000</v>
      </c>
      <c r="B13228">
        <v>2007465</v>
      </c>
      <c r="C13228" t="s">
        <v>6357</v>
      </c>
      <c r="D13228" t="s">
        <v>449</v>
      </c>
      <c r="E13228" t="s">
        <v>441</v>
      </c>
      <c r="F13228">
        <v>1.6E-2</v>
      </c>
      <c r="H13228" t="s">
        <v>8576</v>
      </c>
      <c r="I13228">
        <v>720</v>
      </c>
      <c r="J13228" t="s">
        <v>450</v>
      </c>
      <c r="K13228" t="s">
        <v>446</v>
      </c>
      <c r="M13228">
        <v>0</v>
      </c>
    </row>
    <row r="13229" spans="1:13">
      <c r="A13229">
        <v>85057100</v>
      </c>
      <c r="B13229">
        <v>2007489</v>
      </c>
      <c r="C13229" t="s">
        <v>6358</v>
      </c>
      <c r="D13229" t="s">
        <v>449</v>
      </c>
      <c r="F13229">
        <v>0</v>
      </c>
      <c r="H13229" t="s">
        <v>8576</v>
      </c>
      <c r="I13229">
        <v>720</v>
      </c>
      <c r="J13229" t="s">
        <v>450</v>
      </c>
      <c r="K13229" t="s">
        <v>446</v>
      </c>
      <c r="M13229">
        <v>0</v>
      </c>
    </row>
    <row r="13230" spans="1:13">
      <c r="A13230">
        <v>85057200</v>
      </c>
      <c r="B13230">
        <v>2007500</v>
      </c>
      <c r="C13230" t="s">
        <v>6359</v>
      </c>
      <c r="D13230" t="s">
        <v>442</v>
      </c>
      <c r="E13230" t="s">
        <v>441</v>
      </c>
      <c r="F13230">
        <v>0.02</v>
      </c>
      <c r="H13230" t="s">
        <v>8576</v>
      </c>
      <c r="I13230">
        <v>360</v>
      </c>
      <c r="J13230" t="s">
        <v>450</v>
      </c>
      <c r="K13230" t="s">
        <v>446</v>
      </c>
      <c r="M13230">
        <v>0</v>
      </c>
    </row>
    <row r="13231" spans="1:13">
      <c r="A13231">
        <v>85057300</v>
      </c>
      <c r="B13231">
        <v>2007533</v>
      </c>
      <c r="C13231" t="s">
        <v>6360</v>
      </c>
      <c r="D13231" t="s">
        <v>449</v>
      </c>
      <c r="F13231">
        <v>0</v>
      </c>
      <c r="H13231" t="s">
        <v>8576</v>
      </c>
      <c r="I13231">
        <v>365</v>
      </c>
      <c r="J13231" t="s">
        <v>450</v>
      </c>
      <c r="K13231" t="s">
        <v>446</v>
      </c>
      <c r="M13231">
        <v>0</v>
      </c>
    </row>
    <row r="13232" spans="1:13">
      <c r="A13232">
        <v>85057400</v>
      </c>
      <c r="B13232">
        <v>2007532</v>
      </c>
      <c r="C13232" t="s">
        <v>6361</v>
      </c>
      <c r="D13232" t="s">
        <v>449</v>
      </c>
      <c r="F13232">
        <v>0</v>
      </c>
      <c r="H13232" t="s">
        <v>8576</v>
      </c>
      <c r="I13232">
        <v>365</v>
      </c>
      <c r="J13232" t="s">
        <v>450</v>
      </c>
      <c r="K13232" t="s">
        <v>446</v>
      </c>
      <c r="M13232">
        <v>0</v>
      </c>
    </row>
    <row r="13233" spans="1:13">
      <c r="A13233">
        <v>85057500</v>
      </c>
      <c r="B13233">
        <v>2007524</v>
      </c>
      <c r="C13233" t="s">
        <v>6362</v>
      </c>
      <c r="D13233" t="s">
        <v>449</v>
      </c>
      <c r="F13233">
        <v>0</v>
      </c>
      <c r="H13233" t="s">
        <v>8576</v>
      </c>
      <c r="I13233">
        <v>720</v>
      </c>
      <c r="J13233" t="s">
        <v>450</v>
      </c>
      <c r="K13233" t="s">
        <v>446</v>
      </c>
      <c r="M13233">
        <v>0</v>
      </c>
    </row>
    <row r="13234" spans="1:13">
      <c r="A13234">
        <v>85057600</v>
      </c>
      <c r="B13234">
        <v>2007526</v>
      </c>
      <c r="C13234" t="s">
        <v>6363</v>
      </c>
      <c r="D13234" t="s">
        <v>449</v>
      </c>
      <c r="F13234">
        <v>0</v>
      </c>
      <c r="H13234" t="s">
        <v>8576</v>
      </c>
      <c r="I13234">
        <v>720</v>
      </c>
      <c r="J13234" t="s">
        <v>450</v>
      </c>
      <c r="K13234" t="s">
        <v>446</v>
      </c>
      <c r="M13234">
        <v>0</v>
      </c>
    </row>
    <row r="13235" spans="1:13">
      <c r="A13235">
        <v>85057700</v>
      </c>
      <c r="B13235">
        <v>2007561</v>
      </c>
      <c r="C13235" t="s">
        <v>6364</v>
      </c>
      <c r="D13235" t="s">
        <v>449</v>
      </c>
      <c r="F13235">
        <v>0</v>
      </c>
      <c r="H13235" t="s">
        <v>8576</v>
      </c>
      <c r="I13235">
        <v>720</v>
      </c>
      <c r="J13235" t="s">
        <v>450</v>
      </c>
      <c r="K13235" t="s">
        <v>446</v>
      </c>
      <c r="M13235">
        <v>0</v>
      </c>
    </row>
    <row r="13236" spans="1:13">
      <c r="A13236">
        <v>85057800</v>
      </c>
      <c r="B13236">
        <v>2007560</v>
      </c>
      <c r="C13236" t="s">
        <v>6365</v>
      </c>
      <c r="D13236" t="s">
        <v>449</v>
      </c>
      <c r="F13236">
        <v>0</v>
      </c>
      <c r="H13236" t="s">
        <v>8576</v>
      </c>
      <c r="I13236">
        <v>360</v>
      </c>
      <c r="J13236" t="s">
        <v>450</v>
      </c>
      <c r="K13236" t="s">
        <v>446</v>
      </c>
      <c r="M13236">
        <v>0</v>
      </c>
    </row>
    <row r="13237" spans="1:13">
      <c r="A13237">
        <v>85057900</v>
      </c>
      <c r="B13237">
        <v>2007559</v>
      </c>
      <c r="C13237" t="s">
        <v>6366</v>
      </c>
      <c r="D13237" t="s">
        <v>449</v>
      </c>
      <c r="F13237">
        <v>0</v>
      </c>
      <c r="H13237" t="s">
        <v>8576</v>
      </c>
      <c r="I13237">
        <v>360</v>
      </c>
      <c r="J13237" t="s">
        <v>450</v>
      </c>
      <c r="K13237" t="s">
        <v>446</v>
      </c>
      <c r="M13237">
        <v>0</v>
      </c>
    </row>
    <row r="13238" spans="1:13">
      <c r="A13238">
        <v>85058000</v>
      </c>
      <c r="B13238">
        <v>2007558</v>
      </c>
      <c r="C13238" t="s">
        <v>6367</v>
      </c>
      <c r="D13238" t="s">
        <v>449</v>
      </c>
      <c r="F13238">
        <v>0</v>
      </c>
      <c r="H13238" t="s">
        <v>8576</v>
      </c>
      <c r="I13238">
        <v>360</v>
      </c>
      <c r="J13238" t="s">
        <v>450</v>
      </c>
      <c r="K13238" t="s">
        <v>446</v>
      </c>
      <c r="M13238">
        <v>0</v>
      </c>
    </row>
    <row r="13239" spans="1:13">
      <c r="A13239">
        <v>85058100</v>
      </c>
      <c r="B13239">
        <v>2007557</v>
      </c>
      <c r="C13239" t="s">
        <v>6368</v>
      </c>
      <c r="D13239" t="s">
        <v>449</v>
      </c>
      <c r="F13239">
        <v>0</v>
      </c>
      <c r="H13239" t="s">
        <v>8576</v>
      </c>
      <c r="I13239">
        <v>720</v>
      </c>
      <c r="J13239" t="s">
        <v>450</v>
      </c>
      <c r="K13239" t="s">
        <v>446</v>
      </c>
      <c r="M13239">
        <v>0</v>
      </c>
    </row>
    <row r="13240" spans="1:13">
      <c r="A13240">
        <v>85058200</v>
      </c>
      <c r="B13240">
        <v>2007666</v>
      </c>
      <c r="C13240" t="s">
        <v>6369</v>
      </c>
      <c r="D13240" t="s">
        <v>449</v>
      </c>
      <c r="F13240">
        <v>0</v>
      </c>
      <c r="H13240" t="s">
        <v>8576</v>
      </c>
      <c r="I13240">
        <v>720</v>
      </c>
      <c r="J13240" t="s">
        <v>450</v>
      </c>
      <c r="K13240" t="s">
        <v>446</v>
      </c>
      <c r="M13240">
        <v>0</v>
      </c>
    </row>
    <row r="13241" spans="1:13">
      <c r="A13241">
        <v>85058300</v>
      </c>
      <c r="B13241">
        <v>2007680</v>
      </c>
      <c r="C13241" t="s">
        <v>6370</v>
      </c>
      <c r="D13241" t="s">
        <v>442</v>
      </c>
      <c r="F13241">
        <v>0</v>
      </c>
      <c r="H13241" t="s">
        <v>8576</v>
      </c>
      <c r="I13241">
        <v>360</v>
      </c>
      <c r="J13241" t="s">
        <v>450</v>
      </c>
      <c r="K13241" t="s">
        <v>446</v>
      </c>
      <c r="M13241">
        <v>0</v>
      </c>
    </row>
    <row r="13242" spans="1:13">
      <c r="A13242">
        <v>85058400</v>
      </c>
      <c r="B13242">
        <v>2007681</v>
      </c>
      <c r="C13242" t="s">
        <v>6371</v>
      </c>
      <c r="D13242" t="s">
        <v>449</v>
      </c>
      <c r="F13242">
        <v>0</v>
      </c>
      <c r="H13242" t="s">
        <v>8576</v>
      </c>
      <c r="I13242">
        <v>360</v>
      </c>
      <c r="J13242" t="s">
        <v>450</v>
      </c>
      <c r="K13242" t="s">
        <v>446</v>
      </c>
      <c r="M13242">
        <v>0</v>
      </c>
    </row>
    <row r="13243" spans="1:13">
      <c r="A13243">
        <v>85058500</v>
      </c>
      <c r="B13243">
        <v>2007682</v>
      </c>
      <c r="C13243" t="s">
        <v>6372</v>
      </c>
      <c r="D13243" t="s">
        <v>449</v>
      </c>
      <c r="F13243">
        <v>0</v>
      </c>
      <c r="H13243" t="s">
        <v>8576</v>
      </c>
      <c r="I13243">
        <v>360</v>
      </c>
      <c r="J13243" t="s">
        <v>450</v>
      </c>
      <c r="K13243" t="s">
        <v>446</v>
      </c>
      <c r="M13243">
        <v>0</v>
      </c>
    </row>
    <row r="13244" spans="1:13">
      <c r="A13244">
        <v>85058600</v>
      </c>
      <c r="B13244">
        <v>2007683</v>
      </c>
      <c r="C13244" t="s">
        <v>6373</v>
      </c>
      <c r="D13244" t="s">
        <v>449</v>
      </c>
      <c r="F13244">
        <v>0</v>
      </c>
      <c r="H13244" t="s">
        <v>8576</v>
      </c>
      <c r="I13244">
        <v>360</v>
      </c>
      <c r="J13244" t="s">
        <v>450</v>
      </c>
      <c r="K13244" t="s">
        <v>446</v>
      </c>
      <c r="M13244">
        <v>0</v>
      </c>
    </row>
    <row r="13245" spans="1:13">
      <c r="A13245">
        <v>85058700</v>
      </c>
      <c r="B13245">
        <v>2007701</v>
      </c>
      <c r="C13245" t="s">
        <v>6374</v>
      </c>
      <c r="D13245" t="s">
        <v>449</v>
      </c>
      <c r="F13245">
        <v>0</v>
      </c>
      <c r="H13245" t="s">
        <v>8580</v>
      </c>
      <c r="I13245">
        <v>365</v>
      </c>
      <c r="J13245" t="s">
        <v>450</v>
      </c>
      <c r="K13245" t="s">
        <v>446</v>
      </c>
      <c r="M13245">
        <v>0</v>
      </c>
    </row>
    <row r="13246" spans="1:13">
      <c r="A13246">
        <v>85058800</v>
      </c>
      <c r="B13246">
        <v>2007711</v>
      </c>
      <c r="C13246" t="s">
        <v>6375</v>
      </c>
      <c r="D13246" t="s">
        <v>449</v>
      </c>
      <c r="F13246">
        <v>0</v>
      </c>
      <c r="H13246" t="s">
        <v>8576</v>
      </c>
      <c r="I13246">
        <v>365</v>
      </c>
      <c r="J13246" t="s">
        <v>450</v>
      </c>
      <c r="K13246" t="s">
        <v>446</v>
      </c>
      <c r="M13246">
        <v>0</v>
      </c>
    </row>
    <row r="13247" spans="1:13">
      <c r="A13247">
        <v>85058900</v>
      </c>
      <c r="B13247">
        <v>2002186</v>
      </c>
      <c r="C13247" t="s">
        <v>6376</v>
      </c>
      <c r="D13247" t="s">
        <v>442</v>
      </c>
      <c r="E13247" t="s">
        <v>441</v>
      </c>
      <c r="F13247">
        <v>7.8E-2</v>
      </c>
      <c r="H13247" t="s">
        <v>13997</v>
      </c>
      <c r="I13247">
        <v>547</v>
      </c>
      <c r="J13247" t="s">
        <v>450</v>
      </c>
      <c r="K13247" t="s">
        <v>446</v>
      </c>
      <c r="M13247">
        <v>0</v>
      </c>
    </row>
    <row r="13248" spans="1:13">
      <c r="A13248">
        <v>85059000</v>
      </c>
      <c r="B13248">
        <v>2007708</v>
      </c>
      <c r="C13248" t="s">
        <v>6377</v>
      </c>
      <c r="D13248" t="s">
        <v>449</v>
      </c>
      <c r="F13248">
        <v>0</v>
      </c>
      <c r="H13248" t="s">
        <v>8576</v>
      </c>
      <c r="I13248">
        <v>720</v>
      </c>
      <c r="J13248" t="s">
        <v>450</v>
      </c>
      <c r="K13248" t="s">
        <v>446</v>
      </c>
      <c r="M13248">
        <v>0</v>
      </c>
    </row>
    <row r="13249" spans="1:13">
      <c r="A13249">
        <v>85059100</v>
      </c>
      <c r="B13249">
        <v>2003732</v>
      </c>
      <c r="C13249" t="s">
        <v>6378</v>
      </c>
      <c r="D13249" t="s">
        <v>449</v>
      </c>
      <c r="E13249" t="s">
        <v>441</v>
      </c>
      <c r="F13249">
        <v>3.5999999999999997E-2</v>
      </c>
      <c r="H13249" t="s">
        <v>8576</v>
      </c>
      <c r="I13249">
        <v>490</v>
      </c>
      <c r="J13249" t="s">
        <v>450</v>
      </c>
      <c r="M13249">
        <v>0</v>
      </c>
    </row>
    <row r="13250" spans="1:13">
      <c r="A13250">
        <v>85059200</v>
      </c>
      <c r="B13250">
        <v>2006303</v>
      </c>
      <c r="C13250" t="s">
        <v>6379</v>
      </c>
      <c r="D13250" t="s">
        <v>449</v>
      </c>
      <c r="E13250" t="s">
        <v>441</v>
      </c>
      <c r="F13250">
        <v>4.4999999999999998E-2</v>
      </c>
      <c r="H13250" t="s">
        <v>8576</v>
      </c>
      <c r="I13250">
        <v>365</v>
      </c>
      <c r="J13250" t="s">
        <v>450</v>
      </c>
      <c r="K13250" t="s">
        <v>446</v>
      </c>
      <c r="M13250">
        <v>0</v>
      </c>
    </row>
    <row r="13251" spans="1:13">
      <c r="A13251">
        <v>85059300</v>
      </c>
      <c r="B13251">
        <v>2007980</v>
      </c>
      <c r="C13251" t="s">
        <v>6380</v>
      </c>
      <c r="D13251" t="s">
        <v>449</v>
      </c>
      <c r="F13251">
        <v>0</v>
      </c>
      <c r="H13251" t="s">
        <v>8580</v>
      </c>
      <c r="I13251">
        <v>365</v>
      </c>
      <c r="J13251" t="s">
        <v>450</v>
      </c>
      <c r="K13251" t="s">
        <v>446</v>
      </c>
      <c r="M13251">
        <v>0</v>
      </c>
    </row>
    <row r="13252" spans="1:13">
      <c r="A13252">
        <v>85059400</v>
      </c>
      <c r="B13252">
        <v>2001740</v>
      </c>
      <c r="C13252" t="s">
        <v>6381</v>
      </c>
      <c r="D13252" t="s">
        <v>442</v>
      </c>
      <c r="E13252" t="s">
        <v>441</v>
      </c>
      <c r="F13252">
        <v>0.05</v>
      </c>
      <c r="H13252" t="s">
        <v>13997</v>
      </c>
      <c r="I13252">
        <v>547</v>
      </c>
      <c r="J13252" t="s">
        <v>450</v>
      </c>
      <c r="K13252" t="s">
        <v>446</v>
      </c>
      <c r="M13252">
        <v>0</v>
      </c>
    </row>
    <row r="13253" spans="1:13">
      <c r="A13253">
        <v>85059500</v>
      </c>
      <c r="B13253">
        <v>2008021</v>
      </c>
      <c r="C13253" t="s">
        <v>6382</v>
      </c>
      <c r="D13253" t="s">
        <v>449</v>
      </c>
      <c r="E13253" t="s">
        <v>441</v>
      </c>
      <c r="F13253">
        <v>3.5999999999999997E-2</v>
      </c>
      <c r="H13253" t="s">
        <v>8576</v>
      </c>
      <c r="I13253">
        <v>365</v>
      </c>
      <c r="J13253" t="s">
        <v>450</v>
      </c>
      <c r="K13253" t="s">
        <v>446</v>
      </c>
      <c r="M13253">
        <v>0</v>
      </c>
    </row>
    <row r="13254" spans="1:13">
      <c r="A13254">
        <v>85059600</v>
      </c>
      <c r="B13254">
        <v>2008024</v>
      </c>
      <c r="C13254" t="s">
        <v>6383</v>
      </c>
      <c r="D13254" t="s">
        <v>449</v>
      </c>
      <c r="E13254" t="s">
        <v>441</v>
      </c>
      <c r="F13254">
        <v>3.5999999999999997E-2</v>
      </c>
      <c r="H13254" t="s">
        <v>8576</v>
      </c>
      <c r="I13254">
        <v>365</v>
      </c>
      <c r="J13254" t="s">
        <v>450</v>
      </c>
      <c r="K13254" t="s">
        <v>446</v>
      </c>
      <c r="M13254">
        <v>0</v>
      </c>
    </row>
    <row r="13255" spans="1:13">
      <c r="A13255">
        <v>85059700</v>
      </c>
      <c r="B13255">
        <v>2008025</v>
      </c>
      <c r="C13255" t="s">
        <v>6384</v>
      </c>
      <c r="D13255" t="s">
        <v>449</v>
      </c>
      <c r="E13255" t="s">
        <v>441</v>
      </c>
      <c r="F13255">
        <v>3.5999999999999997E-2</v>
      </c>
      <c r="H13255" t="s">
        <v>8576</v>
      </c>
      <c r="I13255">
        <v>365</v>
      </c>
      <c r="J13255" t="s">
        <v>450</v>
      </c>
      <c r="K13255" t="s">
        <v>446</v>
      </c>
      <c r="M13255">
        <v>0</v>
      </c>
    </row>
    <row r="13256" spans="1:13">
      <c r="A13256">
        <v>85059800</v>
      </c>
      <c r="B13256">
        <v>2007496</v>
      </c>
      <c r="C13256" t="s">
        <v>6385</v>
      </c>
      <c r="D13256" t="s">
        <v>449</v>
      </c>
      <c r="E13256" t="s">
        <v>441</v>
      </c>
      <c r="F13256">
        <v>1.7000000000000001E-2</v>
      </c>
      <c r="H13256" t="s">
        <v>8576</v>
      </c>
      <c r="I13256">
        <v>365</v>
      </c>
      <c r="J13256" t="s">
        <v>450</v>
      </c>
      <c r="K13256" t="s">
        <v>446</v>
      </c>
      <c r="M13256">
        <v>0</v>
      </c>
    </row>
    <row r="13257" spans="1:13">
      <c r="A13257">
        <v>85059900</v>
      </c>
      <c r="B13257">
        <v>2001523</v>
      </c>
      <c r="C13257" t="s">
        <v>6386</v>
      </c>
      <c r="D13257" t="s">
        <v>449</v>
      </c>
      <c r="E13257" t="s">
        <v>441</v>
      </c>
      <c r="F13257">
        <v>0.1</v>
      </c>
      <c r="H13257" t="s">
        <v>8576</v>
      </c>
      <c r="I13257">
        <v>720</v>
      </c>
      <c r="J13257" t="s">
        <v>450</v>
      </c>
      <c r="K13257" t="s">
        <v>446</v>
      </c>
      <c r="M13257">
        <v>0</v>
      </c>
    </row>
    <row r="13258" spans="1:13">
      <c r="A13258">
        <v>85060000</v>
      </c>
      <c r="B13258">
        <v>2008036</v>
      </c>
      <c r="C13258" t="s">
        <v>6387</v>
      </c>
      <c r="D13258" t="s">
        <v>449</v>
      </c>
      <c r="E13258" t="s">
        <v>441</v>
      </c>
      <c r="F13258">
        <v>0.17</v>
      </c>
      <c r="H13258" t="s">
        <v>8576</v>
      </c>
      <c r="I13258">
        <v>365</v>
      </c>
      <c r="J13258" t="s">
        <v>450</v>
      </c>
      <c r="K13258" t="s">
        <v>446</v>
      </c>
      <c r="M13258">
        <v>0</v>
      </c>
    </row>
    <row r="13259" spans="1:13">
      <c r="A13259">
        <v>85061000</v>
      </c>
      <c r="B13259">
        <v>2001476</v>
      </c>
      <c r="C13259" t="s">
        <v>6388</v>
      </c>
      <c r="D13259" t="s">
        <v>449</v>
      </c>
      <c r="E13259" t="s">
        <v>441</v>
      </c>
      <c r="F13259">
        <v>6.4000000000000001E-2</v>
      </c>
      <c r="H13259" t="s">
        <v>8576</v>
      </c>
      <c r="I13259">
        <v>730</v>
      </c>
      <c r="J13259" t="s">
        <v>450</v>
      </c>
      <c r="M13259">
        <v>0</v>
      </c>
    </row>
    <row r="13260" spans="1:13">
      <c r="A13260">
        <v>85061100</v>
      </c>
      <c r="B13260">
        <v>2008113</v>
      </c>
      <c r="C13260" t="s">
        <v>6389</v>
      </c>
      <c r="D13260" t="s">
        <v>449</v>
      </c>
      <c r="F13260">
        <v>0</v>
      </c>
      <c r="H13260" t="s">
        <v>8576</v>
      </c>
      <c r="I13260">
        <v>365</v>
      </c>
      <c r="J13260" t="s">
        <v>450</v>
      </c>
      <c r="K13260" t="s">
        <v>446</v>
      </c>
      <c r="M13260">
        <v>0</v>
      </c>
    </row>
    <row r="13261" spans="1:13">
      <c r="A13261">
        <v>85061200</v>
      </c>
      <c r="B13261">
        <v>2008116</v>
      </c>
      <c r="C13261" t="s">
        <v>6390</v>
      </c>
      <c r="D13261" t="s">
        <v>449</v>
      </c>
      <c r="F13261">
        <v>0</v>
      </c>
      <c r="H13261" t="s">
        <v>8576</v>
      </c>
      <c r="I13261">
        <v>365</v>
      </c>
      <c r="J13261" t="s">
        <v>450</v>
      </c>
      <c r="K13261" t="s">
        <v>446</v>
      </c>
      <c r="M13261">
        <v>0</v>
      </c>
    </row>
    <row r="13262" spans="1:13">
      <c r="A13262">
        <v>85061300</v>
      </c>
      <c r="B13262">
        <v>2008134</v>
      </c>
      <c r="C13262" t="s">
        <v>6391</v>
      </c>
      <c r="D13262" t="s">
        <v>449</v>
      </c>
      <c r="F13262">
        <v>0</v>
      </c>
      <c r="H13262" t="s">
        <v>8580</v>
      </c>
      <c r="I13262">
        <v>365</v>
      </c>
      <c r="J13262" t="s">
        <v>450</v>
      </c>
      <c r="K13262" t="s">
        <v>446</v>
      </c>
      <c r="M13262">
        <v>0</v>
      </c>
    </row>
    <row r="13263" spans="1:13">
      <c r="A13263">
        <v>85061400</v>
      </c>
      <c r="B13263">
        <v>2008144</v>
      </c>
      <c r="C13263" t="s">
        <v>6392</v>
      </c>
      <c r="D13263" t="s">
        <v>449</v>
      </c>
      <c r="F13263">
        <v>0</v>
      </c>
      <c r="H13263" t="s">
        <v>8576</v>
      </c>
      <c r="I13263">
        <v>730</v>
      </c>
      <c r="J13263" t="s">
        <v>450</v>
      </c>
      <c r="K13263" t="s">
        <v>446</v>
      </c>
      <c r="M13263">
        <v>0</v>
      </c>
    </row>
    <row r="13264" spans="1:13">
      <c r="A13264">
        <v>85061500</v>
      </c>
      <c r="B13264">
        <v>2008160</v>
      </c>
      <c r="C13264" t="s">
        <v>6393</v>
      </c>
      <c r="D13264" t="s">
        <v>449</v>
      </c>
      <c r="F13264">
        <v>0</v>
      </c>
      <c r="H13264" t="s">
        <v>8576</v>
      </c>
      <c r="I13264">
        <v>720</v>
      </c>
      <c r="J13264" t="s">
        <v>450</v>
      </c>
      <c r="K13264" t="s">
        <v>446</v>
      </c>
      <c r="M13264">
        <v>0</v>
      </c>
    </row>
    <row r="13265" spans="1:13">
      <c r="A13265">
        <v>85061600</v>
      </c>
      <c r="B13265">
        <v>2008273</v>
      </c>
      <c r="C13265" t="s">
        <v>6394</v>
      </c>
      <c r="D13265" t="s">
        <v>449</v>
      </c>
      <c r="F13265">
        <v>0</v>
      </c>
      <c r="H13265" t="s">
        <v>8580</v>
      </c>
      <c r="I13265">
        <v>365</v>
      </c>
      <c r="J13265" t="s">
        <v>450</v>
      </c>
      <c r="K13265" t="s">
        <v>446</v>
      </c>
      <c r="M13265">
        <v>0</v>
      </c>
    </row>
    <row r="13266" spans="1:13">
      <c r="A13266">
        <v>85061700</v>
      </c>
      <c r="B13266">
        <v>2008272</v>
      </c>
      <c r="C13266" t="s">
        <v>6395</v>
      </c>
      <c r="D13266" t="s">
        <v>449</v>
      </c>
      <c r="E13266" t="s">
        <v>441</v>
      </c>
      <c r="F13266">
        <v>0.2</v>
      </c>
      <c r="I13266">
        <v>365</v>
      </c>
      <c r="J13266" t="s">
        <v>450</v>
      </c>
      <c r="M13266">
        <v>0</v>
      </c>
    </row>
    <row r="13267" spans="1:13">
      <c r="A13267">
        <v>85061800</v>
      </c>
      <c r="B13267">
        <v>2008280</v>
      </c>
      <c r="C13267" t="s">
        <v>6396</v>
      </c>
      <c r="D13267" t="s">
        <v>449</v>
      </c>
      <c r="F13267">
        <v>0</v>
      </c>
      <c r="I13267">
        <v>365</v>
      </c>
      <c r="J13267" t="s">
        <v>450</v>
      </c>
      <c r="K13267" t="s">
        <v>446</v>
      </c>
      <c r="M13267">
        <v>0</v>
      </c>
    </row>
    <row r="13268" spans="1:13">
      <c r="A13268">
        <v>85061900</v>
      </c>
      <c r="B13268">
        <v>2008259</v>
      </c>
      <c r="C13268" t="s">
        <v>6397</v>
      </c>
      <c r="D13268" t="s">
        <v>449</v>
      </c>
      <c r="F13268">
        <v>0</v>
      </c>
      <c r="I13268">
        <v>365</v>
      </c>
      <c r="J13268" t="s">
        <v>450</v>
      </c>
      <c r="K13268" t="s">
        <v>446</v>
      </c>
      <c r="M13268">
        <v>0</v>
      </c>
    </row>
    <row r="13269" spans="1:13">
      <c r="A13269">
        <v>85062000</v>
      </c>
      <c r="B13269">
        <v>2007093</v>
      </c>
      <c r="C13269" t="s">
        <v>6398</v>
      </c>
      <c r="D13269" t="s">
        <v>449</v>
      </c>
      <c r="F13269">
        <v>0</v>
      </c>
      <c r="H13269" t="s">
        <v>8576</v>
      </c>
      <c r="I13269">
        <v>725</v>
      </c>
      <c r="J13269" t="s">
        <v>450</v>
      </c>
      <c r="K13269" t="s">
        <v>446</v>
      </c>
      <c r="M13269">
        <v>0</v>
      </c>
    </row>
    <row r="13270" spans="1:13">
      <c r="A13270">
        <v>85062100</v>
      </c>
      <c r="B13270">
        <v>2008328</v>
      </c>
      <c r="C13270" t="s">
        <v>6399</v>
      </c>
      <c r="D13270" t="s">
        <v>449</v>
      </c>
      <c r="E13270" t="s">
        <v>441</v>
      </c>
      <c r="F13270">
        <v>3.2000000000000001E-2</v>
      </c>
      <c r="H13270" t="s">
        <v>8580</v>
      </c>
      <c r="I13270">
        <v>765</v>
      </c>
      <c r="J13270" t="s">
        <v>450</v>
      </c>
      <c r="K13270" t="s">
        <v>446</v>
      </c>
      <c r="M13270">
        <v>0</v>
      </c>
    </row>
    <row r="13271" spans="1:13">
      <c r="A13271">
        <v>85062200</v>
      </c>
      <c r="B13271">
        <v>2008363</v>
      </c>
      <c r="C13271" t="s">
        <v>6400</v>
      </c>
      <c r="D13271" t="s">
        <v>449</v>
      </c>
      <c r="F13271">
        <v>0</v>
      </c>
      <c r="H13271" t="s">
        <v>8580</v>
      </c>
      <c r="I13271">
        <v>365</v>
      </c>
      <c r="J13271" t="s">
        <v>450</v>
      </c>
      <c r="K13271" t="s">
        <v>446</v>
      </c>
      <c r="M13271">
        <v>0</v>
      </c>
    </row>
    <row r="13272" spans="1:13">
      <c r="A13272">
        <v>85062300</v>
      </c>
      <c r="B13272">
        <v>2008362</v>
      </c>
      <c r="C13272" t="s">
        <v>6401</v>
      </c>
      <c r="D13272" t="s">
        <v>449</v>
      </c>
      <c r="E13272" t="s">
        <v>441</v>
      </c>
      <c r="F13272">
        <v>1.6E-2</v>
      </c>
      <c r="I13272">
        <v>365</v>
      </c>
      <c r="J13272" t="s">
        <v>450</v>
      </c>
      <c r="K13272" t="s">
        <v>446</v>
      </c>
      <c r="M13272">
        <v>0</v>
      </c>
    </row>
    <row r="13273" spans="1:13">
      <c r="A13273">
        <v>85062400</v>
      </c>
      <c r="B13273">
        <v>2008361</v>
      </c>
      <c r="C13273" t="s">
        <v>6402</v>
      </c>
      <c r="D13273" t="s">
        <v>449</v>
      </c>
      <c r="F13273">
        <v>0</v>
      </c>
      <c r="H13273" t="s">
        <v>8935</v>
      </c>
      <c r="I13273">
        <v>365</v>
      </c>
      <c r="J13273" t="s">
        <v>450</v>
      </c>
      <c r="K13273" t="s">
        <v>446</v>
      </c>
      <c r="M13273">
        <v>0</v>
      </c>
    </row>
    <row r="13274" spans="1:13">
      <c r="A13274">
        <v>85062500</v>
      </c>
      <c r="B13274">
        <v>2008381</v>
      </c>
      <c r="C13274" t="s">
        <v>6403</v>
      </c>
      <c r="D13274" t="s">
        <v>449</v>
      </c>
      <c r="F13274">
        <v>0</v>
      </c>
      <c r="H13274" t="s">
        <v>8935</v>
      </c>
      <c r="I13274">
        <v>365</v>
      </c>
      <c r="J13274" t="s">
        <v>450</v>
      </c>
      <c r="M13274">
        <v>0</v>
      </c>
    </row>
    <row r="13275" spans="1:13">
      <c r="A13275">
        <v>85062600</v>
      </c>
      <c r="B13275">
        <v>2008387</v>
      </c>
      <c r="C13275" t="s">
        <v>6404</v>
      </c>
      <c r="D13275" t="s">
        <v>449</v>
      </c>
      <c r="F13275">
        <v>0</v>
      </c>
      <c r="H13275" t="s">
        <v>8584</v>
      </c>
      <c r="I13275">
        <v>365</v>
      </c>
      <c r="J13275" t="s">
        <v>450</v>
      </c>
      <c r="M13275">
        <v>0</v>
      </c>
    </row>
    <row r="13276" spans="1:13">
      <c r="A13276">
        <v>85062700</v>
      </c>
      <c r="B13276">
        <v>2008398</v>
      </c>
      <c r="C13276" t="s">
        <v>6405</v>
      </c>
      <c r="D13276" t="s">
        <v>449</v>
      </c>
      <c r="F13276">
        <v>0</v>
      </c>
      <c r="H13276" t="s">
        <v>8580</v>
      </c>
      <c r="I13276">
        <v>365</v>
      </c>
      <c r="J13276" t="s">
        <v>450</v>
      </c>
      <c r="K13276" t="s">
        <v>446</v>
      </c>
      <c r="M13276">
        <v>0</v>
      </c>
    </row>
    <row r="13277" spans="1:13">
      <c r="A13277">
        <v>85062800</v>
      </c>
      <c r="B13277">
        <v>2008380</v>
      </c>
      <c r="C13277" t="s">
        <v>6406</v>
      </c>
      <c r="D13277" t="s">
        <v>449</v>
      </c>
      <c r="F13277">
        <v>0</v>
      </c>
      <c r="H13277" t="s">
        <v>8935</v>
      </c>
      <c r="I13277">
        <v>720</v>
      </c>
      <c r="J13277" t="s">
        <v>450</v>
      </c>
      <c r="K13277" t="s">
        <v>446</v>
      </c>
      <c r="M13277">
        <v>0</v>
      </c>
    </row>
    <row r="13278" spans="1:13">
      <c r="A13278">
        <v>85062900</v>
      </c>
      <c r="B13278">
        <v>2008450</v>
      </c>
      <c r="C13278" t="s">
        <v>6407</v>
      </c>
      <c r="D13278" t="s">
        <v>449</v>
      </c>
      <c r="E13278" t="s">
        <v>441</v>
      </c>
      <c r="F13278">
        <v>4.0000000000000001E-3</v>
      </c>
      <c r="H13278" t="s">
        <v>8584</v>
      </c>
      <c r="I13278">
        <v>365</v>
      </c>
      <c r="J13278" t="s">
        <v>450</v>
      </c>
      <c r="K13278" t="s">
        <v>446</v>
      </c>
      <c r="M13278">
        <v>0</v>
      </c>
    </row>
    <row r="13279" spans="1:13">
      <c r="A13279">
        <v>85063000</v>
      </c>
      <c r="B13279">
        <v>2008524</v>
      </c>
      <c r="C13279" t="s">
        <v>6408</v>
      </c>
      <c r="D13279" t="s">
        <v>449</v>
      </c>
      <c r="F13279">
        <v>0</v>
      </c>
      <c r="H13279" t="s">
        <v>8580</v>
      </c>
      <c r="I13279">
        <v>365</v>
      </c>
      <c r="J13279" t="s">
        <v>450</v>
      </c>
      <c r="M13279">
        <v>0</v>
      </c>
    </row>
    <row r="13280" spans="1:13">
      <c r="A13280">
        <v>85078500</v>
      </c>
      <c r="B13280">
        <v>2011699</v>
      </c>
      <c r="C13280" t="s">
        <v>6409</v>
      </c>
      <c r="D13280" t="s">
        <v>442</v>
      </c>
      <c r="E13280" t="s">
        <v>441</v>
      </c>
      <c r="F13280">
        <v>0.05</v>
      </c>
      <c r="H13280" t="s">
        <v>8580</v>
      </c>
      <c r="I13280">
        <v>360</v>
      </c>
      <c r="J13280" t="s">
        <v>450</v>
      </c>
      <c r="M13280">
        <v>0</v>
      </c>
    </row>
    <row r="13281" spans="1:13">
      <c r="A13281">
        <v>85202100</v>
      </c>
      <c r="B13281">
        <v>2002903</v>
      </c>
      <c r="C13281" t="s">
        <v>391</v>
      </c>
      <c r="D13281" t="s">
        <v>442</v>
      </c>
      <c r="E13281" t="s">
        <v>441</v>
      </c>
      <c r="F13281">
        <v>4.1000000000000002E-2</v>
      </c>
      <c r="H13281" t="s">
        <v>13997</v>
      </c>
      <c r="I13281">
        <v>730</v>
      </c>
      <c r="J13281" t="s">
        <v>450</v>
      </c>
      <c r="M13281">
        <v>0</v>
      </c>
    </row>
    <row r="13282" spans="1:13">
      <c r="A13282">
        <v>85207500</v>
      </c>
      <c r="B13282">
        <v>2001031</v>
      </c>
      <c r="C13282" t="s">
        <v>6410</v>
      </c>
      <c r="D13282" t="s">
        <v>442</v>
      </c>
      <c r="E13282" t="s">
        <v>441</v>
      </c>
      <c r="F13282">
        <v>1E-3</v>
      </c>
      <c r="H13282" t="s">
        <v>8574</v>
      </c>
      <c r="I13282">
        <v>730</v>
      </c>
      <c r="J13282" t="s">
        <v>450</v>
      </c>
      <c r="K13282" t="s">
        <v>446</v>
      </c>
      <c r="M13282">
        <v>0</v>
      </c>
    </row>
    <row r="13283" spans="1:13">
      <c r="A13283">
        <v>85213500</v>
      </c>
      <c r="B13283">
        <v>2002904</v>
      </c>
      <c r="C13283" t="s">
        <v>6411</v>
      </c>
      <c r="D13283" t="s">
        <v>442</v>
      </c>
      <c r="E13283" t="s">
        <v>441</v>
      </c>
      <c r="F13283">
        <v>1.2999999999999999E-2</v>
      </c>
      <c r="H13283" t="s">
        <v>13997</v>
      </c>
      <c r="I13283">
        <v>547</v>
      </c>
      <c r="J13283" t="s">
        <v>450</v>
      </c>
      <c r="K13283" t="s">
        <v>446</v>
      </c>
      <c r="M13283">
        <v>0</v>
      </c>
    </row>
    <row r="13284" spans="1:13">
      <c r="A13284">
        <v>85220600</v>
      </c>
      <c r="B13284">
        <v>2003629</v>
      </c>
      <c r="C13284" t="s">
        <v>6412</v>
      </c>
      <c r="D13284" t="s">
        <v>442</v>
      </c>
      <c r="F13284">
        <v>0</v>
      </c>
      <c r="H13284" t="s">
        <v>13997</v>
      </c>
      <c r="I13284">
        <v>547</v>
      </c>
      <c r="J13284" t="s">
        <v>450</v>
      </c>
      <c r="K13284" t="s">
        <v>446</v>
      </c>
      <c r="M13284">
        <v>0</v>
      </c>
    </row>
    <row r="13285" spans="1:13">
      <c r="A13285">
        <v>85221300</v>
      </c>
      <c r="B13285">
        <v>2002905</v>
      </c>
      <c r="C13285" t="s">
        <v>6413</v>
      </c>
      <c r="D13285" t="s">
        <v>442</v>
      </c>
      <c r="E13285" t="s">
        <v>441</v>
      </c>
      <c r="F13285">
        <v>5.0000000000000001E-3</v>
      </c>
      <c r="H13285" t="s">
        <v>13997</v>
      </c>
      <c r="I13285">
        <v>547</v>
      </c>
      <c r="J13285" t="s">
        <v>450</v>
      </c>
      <c r="K13285" t="s">
        <v>446</v>
      </c>
      <c r="M13285">
        <v>0</v>
      </c>
    </row>
    <row r="13286" spans="1:13">
      <c r="A13286">
        <v>85222300</v>
      </c>
      <c r="B13286">
        <v>2002906</v>
      </c>
      <c r="C13286" t="s">
        <v>6414</v>
      </c>
      <c r="D13286" t="s">
        <v>442</v>
      </c>
      <c r="E13286" t="s">
        <v>441</v>
      </c>
      <c r="F13286">
        <v>2.4E-2</v>
      </c>
      <c r="H13286" t="s">
        <v>13997</v>
      </c>
      <c r="I13286">
        <v>547</v>
      </c>
      <c r="J13286" t="s">
        <v>450</v>
      </c>
      <c r="K13286" t="s">
        <v>446</v>
      </c>
      <c r="M13286">
        <v>0</v>
      </c>
    </row>
    <row r="13287" spans="1:13">
      <c r="A13287">
        <v>85223000</v>
      </c>
      <c r="B13287">
        <v>2001765</v>
      </c>
      <c r="C13287" t="s">
        <v>6415</v>
      </c>
      <c r="D13287" t="s">
        <v>442</v>
      </c>
      <c r="E13287" t="s">
        <v>441</v>
      </c>
      <c r="F13287">
        <v>0.13500000000000001</v>
      </c>
      <c r="H13287" t="s">
        <v>13997</v>
      </c>
      <c r="I13287">
        <v>547</v>
      </c>
      <c r="J13287" t="s">
        <v>450</v>
      </c>
      <c r="K13287" t="s">
        <v>446</v>
      </c>
      <c r="M13287">
        <v>0</v>
      </c>
    </row>
    <row r="13288" spans="1:13">
      <c r="A13288">
        <v>85223300</v>
      </c>
      <c r="B13288">
        <v>2002907</v>
      </c>
      <c r="C13288" t="s">
        <v>6416</v>
      </c>
      <c r="D13288" t="s">
        <v>442</v>
      </c>
      <c r="E13288" t="s">
        <v>441</v>
      </c>
      <c r="F13288">
        <v>4.2999999999999997E-2</v>
      </c>
      <c r="H13288" t="s">
        <v>13997</v>
      </c>
      <c r="I13288">
        <v>547</v>
      </c>
      <c r="J13288" t="s">
        <v>450</v>
      </c>
      <c r="M13288">
        <v>2611</v>
      </c>
    </row>
    <row r="13289" spans="1:13">
      <c r="A13289">
        <v>85227200</v>
      </c>
      <c r="B13289">
        <v>2001718</v>
      </c>
      <c r="C13289" t="s">
        <v>6417</v>
      </c>
      <c r="D13289" t="s">
        <v>442</v>
      </c>
      <c r="E13289" t="s">
        <v>441</v>
      </c>
      <c r="F13289">
        <v>3.01</v>
      </c>
      <c r="H13289" t="s">
        <v>13997</v>
      </c>
      <c r="I13289">
        <v>547</v>
      </c>
      <c r="J13289" t="s">
        <v>450</v>
      </c>
      <c r="K13289" t="s">
        <v>446</v>
      </c>
      <c r="M13289">
        <v>0</v>
      </c>
    </row>
    <row r="13290" spans="1:13">
      <c r="A13290">
        <v>85227600</v>
      </c>
      <c r="B13290">
        <v>2002908</v>
      </c>
      <c r="C13290" t="s">
        <v>6418</v>
      </c>
      <c r="D13290" t="s">
        <v>442</v>
      </c>
      <c r="E13290" t="s">
        <v>441</v>
      </c>
      <c r="F13290">
        <v>8.9999999999999993E-3</v>
      </c>
      <c r="H13290" t="s">
        <v>13997</v>
      </c>
      <c r="I13290">
        <v>547</v>
      </c>
      <c r="J13290" t="s">
        <v>450</v>
      </c>
      <c r="K13290" t="s">
        <v>446</v>
      </c>
      <c r="M13290">
        <v>0</v>
      </c>
    </row>
    <row r="13291" spans="1:13">
      <c r="A13291">
        <v>85227700</v>
      </c>
      <c r="B13291">
        <v>2002909</v>
      </c>
      <c r="C13291" t="s">
        <v>6419</v>
      </c>
      <c r="D13291" t="s">
        <v>442</v>
      </c>
      <c r="E13291" t="s">
        <v>441</v>
      </c>
      <c r="F13291">
        <v>1.9E-2</v>
      </c>
      <c r="H13291" t="s">
        <v>13997</v>
      </c>
      <c r="I13291">
        <v>547</v>
      </c>
      <c r="J13291" t="s">
        <v>450</v>
      </c>
      <c r="K13291" t="s">
        <v>446</v>
      </c>
      <c r="M13291">
        <v>0</v>
      </c>
    </row>
    <row r="13292" spans="1:13">
      <c r="A13292">
        <v>85227800</v>
      </c>
      <c r="B13292">
        <v>2001731</v>
      </c>
      <c r="C13292" t="s">
        <v>6420</v>
      </c>
      <c r="D13292" t="s">
        <v>442</v>
      </c>
      <c r="E13292" t="s">
        <v>441</v>
      </c>
      <c r="F13292">
        <v>1.008</v>
      </c>
      <c r="H13292" t="s">
        <v>13997</v>
      </c>
      <c r="I13292">
        <v>547</v>
      </c>
      <c r="J13292" t="s">
        <v>450</v>
      </c>
      <c r="K13292" t="s">
        <v>446</v>
      </c>
      <c r="M13292">
        <v>0</v>
      </c>
    </row>
    <row r="13293" spans="1:13">
      <c r="A13293">
        <v>85228200</v>
      </c>
      <c r="B13293">
        <v>2002910</v>
      </c>
      <c r="C13293" t="s">
        <v>6421</v>
      </c>
      <c r="D13293" t="s">
        <v>442</v>
      </c>
      <c r="E13293" t="s">
        <v>441</v>
      </c>
      <c r="F13293">
        <v>1.7999999999999999E-2</v>
      </c>
      <c r="H13293" t="s">
        <v>13997</v>
      </c>
      <c r="I13293">
        <v>547</v>
      </c>
      <c r="J13293" t="s">
        <v>450</v>
      </c>
      <c r="K13293" t="s">
        <v>446</v>
      </c>
      <c r="M13293">
        <v>0</v>
      </c>
    </row>
    <row r="13294" spans="1:13">
      <c r="A13294">
        <v>85228500</v>
      </c>
      <c r="B13294">
        <v>2002911</v>
      </c>
      <c r="C13294" t="s">
        <v>6422</v>
      </c>
      <c r="D13294" t="s">
        <v>442</v>
      </c>
      <c r="E13294" t="s">
        <v>441</v>
      </c>
      <c r="F13294">
        <v>1.9E-2</v>
      </c>
      <c r="H13294" t="s">
        <v>13997</v>
      </c>
      <c r="I13294">
        <v>547</v>
      </c>
      <c r="J13294" t="s">
        <v>450</v>
      </c>
      <c r="K13294" t="s">
        <v>446</v>
      </c>
      <c r="M13294">
        <v>2611</v>
      </c>
    </row>
    <row r="13295" spans="1:13">
      <c r="A13295">
        <v>85228600</v>
      </c>
      <c r="B13295">
        <v>2002912</v>
      </c>
      <c r="C13295" t="s">
        <v>6423</v>
      </c>
      <c r="D13295" t="s">
        <v>442</v>
      </c>
      <c r="E13295" t="s">
        <v>441</v>
      </c>
      <c r="F13295">
        <v>1.4E-2</v>
      </c>
      <c r="H13295" t="s">
        <v>13997</v>
      </c>
      <c r="I13295">
        <v>547</v>
      </c>
      <c r="J13295" t="s">
        <v>450</v>
      </c>
      <c r="K13295" t="s">
        <v>446</v>
      </c>
      <c r="M13295">
        <v>0</v>
      </c>
    </row>
    <row r="13296" spans="1:13">
      <c r="A13296">
        <v>85228800</v>
      </c>
      <c r="B13296">
        <v>2002192</v>
      </c>
      <c r="C13296" t="s">
        <v>6424</v>
      </c>
      <c r="D13296" t="s">
        <v>442</v>
      </c>
      <c r="E13296" t="s">
        <v>441</v>
      </c>
      <c r="F13296">
        <v>6.8000000000000005E-2</v>
      </c>
      <c r="H13296" t="s">
        <v>13997</v>
      </c>
      <c r="I13296">
        <v>547</v>
      </c>
      <c r="J13296" t="s">
        <v>450</v>
      </c>
      <c r="K13296" t="s">
        <v>446</v>
      </c>
      <c r="M13296">
        <v>0</v>
      </c>
    </row>
    <row r="13297" spans="1:13">
      <c r="A13297">
        <v>85228900</v>
      </c>
      <c r="B13297">
        <v>2001723</v>
      </c>
      <c r="C13297" t="s">
        <v>6425</v>
      </c>
      <c r="D13297" t="s">
        <v>442</v>
      </c>
      <c r="E13297" t="s">
        <v>441</v>
      </c>
      <c r="F13297">
        <v>0.44500000000000001</v>
      </c>
      <c r="H13297" t="s">
        <v>13997</v>
      </c>
      <c r="I13297">
        <v>547</v>
      </c>
      <c r="J13297" t="s">
        <v>450</v>
      </c>
      <c r="K13297" t="s">
        <v>446</v>
      </c>
      <c r="M13297">
        <v>0</v>
      </c>
    </row>
    <row r="13298" spans="1:13">
      <c r="A13298">
        <v>85229000</v>
      </c>
      <c r="B13298">
        <v>2002913</v>
      </c>
      <c r="C13298" t="s">
        <v>6426</v>
      </c>
      <c r="D13298" t="s">
        <v>442</v>
      </c>
      <c r="E13298" t="s">
        <v>441</v>
      </c>
      <c r="F13298">
        <v>7.0000000000000001E-3</v>
      </c>
      <c r="H13298" t="s">
        <v>13997</v>
      </c>
      <c r="I13298">
        <v>547</v>
      </c>
      <c r="J13298" t="s">
        <v>450</v>
      </c>
      <c r="K13298" t="s">
        <v>446</v>
      </c>
      <c r="M13298">
        <v>0</v>
      </c>
    </row>
    <row r="13299" spans="1:13">
      <c r="A13299">
        <v>85229100</v>
      </c>
      <c r="B13299">
        <v>2002914</v>
      </c>
      <c r="C13299" t="s">
        <v>6427</v>
      </c>
      <c r="D13299" t="s">
        <v>442</v>
      </c>
      <c r="E13299" t="s">
        <v>441</v>
      </c>
      <c r="F13299">
        <v>1.7000000000000001E-2</v>
      </c>
      <c r="H13299" t="s">
        <v>13997</v>
      </c>
      <c r="I13299">
        <v>547</v>
      </c>
      <c r="J13299" t="s">
        <v>450</v>
      </c>
      <c r="K13299" t="s">
        <v>446</v>
      </c>
      <c r="M13299">
        <v>0</v>
      </c>
    </row>
    <row r="13300" spans="1:13">
      <c r="A13300">
        <v>85229200</v>
      </c>
      <c r="B13300">
        <v>2002915</v>
      </c>
      <c r="C13300" t="s">
        <v>6428</v>
      </c>
      <c r="D13300" t="s">
        <v>442</v>
      </c>
      <c r="E13300" t="s">
        <v>441</v>
      </c>
      <c r="F13300">
        <v>0.06</v>
      </c>
      <c r="H13300" t="s">
        <v>13997</v>
      </c>
      <c r="I13300">
        <v>547</v>
      </c>
      <c r="J13300" t="s">
        <v>450</v>
      </c>
      <c r="K13300" t="s">
        <v>446</v>
      </c>
      <c r="M13300">
        <v>0</v>
      </c>
    </row>
    <row r="13301" spans="1:13">
      <c r="A13301">
        <v>85229300</v>
      </c>
      <c r="B13301">
        <v>2002916</v>
      </c>
      <c r="C13301" t="s">
        <v>6429</v>
      </c>
      <c r="D13301" t="s">
        <v>442</v>
      </c>
      <c r="E13301" t="s">
        <v>441</v>
      </c>
      <c r="F13301">
        <v>1.2E-2</v>
      </c>
      <c r="H13301" t="s">
        <v>13997</v>
      </c>
      <c r="I13301">
        <v>547</v>
      </c>
      <c r="J13301" t="s">
        <v>450</v>
      </c>
      <c r="M13301">
        <v>0</v>
      </c>
    </row>
    <row r="13302" spans="1:13">
      <c r="A13302">
        <v>85229500</v>
      </c>
      <c r="B13302">
        <v>2002917</v>
      </c>
      <c r="C13302" t="s">
        <v>6430</v>
      </c>
      <c r="D13302" t="s">
        <v>442</v>
      </c>
      <c r="E13302" t="s">
        <v>441</v>
      </c>
      <c r="F13302">
        <v>7.0000000000000001E-3</v>
      </c>
      <c r="I13302">
        <v>547</v>
      </c>
      <c r="J13302" t="s">
        <v>450</v>
      </c>
      <c r="K13302" t="s">
        <v>446</v>
      </c>
      <c r="M13302">
        <v>0</v>
      </c>
    </row>
    <row r="13303" spans="1:13">
      <c r="A13303">
        <v>85229600</v>
      </c>
      <c r="B13303">
        <v>2003591</v>
      </c>
      <c r="C13303" t="s">
        <v>6431</v>
      </c>
      <c r="D13303" t="s">
        <v>442</v>
      </c>
      <c r="F13303">
        <v>0</v>
      </c>
      <c r="H13303" t="s">
        <v>13997</v>
      </c>
      <c r="I13303">
        <v>547</v>
      </c>
      <c r="J13303" t="s">
        <v>450</v>
      </c>
      <c r="K13303" t="s">
        <v>446</v>
      </c>
      <c r="M13303">
        <v>0</v>
      </c>
    </row>
    <row r="13304" spans="1:13">
      <c r="A13304">
        <v>85229700</v>
      </c>
      <c r="B13304">
        <v>2002918</v>
      </c>
      <c r="C13304" t="s">
        <v>6432</v>
      </c>
      <c r="D13304" t="s">
        <v>442</v>
      </c>
      <c r="E13304" t="s">
        <v>441</v>
      </c>
      <c r="F13304">
        <v>1.2999999999999999E-2</v>
      </c>
      <c r="H13304" t="s">
        <v>13997</v>
      </c>
      <c r="I13304">
        <v>547</v>
      </c>
      <c r="J13304" t="s">
        <v>450</v>
      </c>
      <c r="K13304" t="s">
        <v>446</v>
      </c>
      <c r="M13304">
        <v>0</v>
      </c>
    </row>
    <row r="13305" spans="1:13">
      <c r="A13305">
        <v>85229800</v>
      </c>
      <c r="B13305">
        <v>2002919</v>
      </c>
      <c r="C13305" t="s">
        <v>6433</v>
      </c>
      <c r="D13305" t="s">
        <v>442</v>
      </c>
      <c r="E13305" t="s">
        <v>441</v>
      </c>
      <c r="F13305">
        <v>1.4E-2</v>
      </c>
      <c r="H13305" t="s">
        <v>13997</v>
      </c>
      <c r="I13305">
        <v>547</v>
      </c>
      <c r="J13305" t="s">
        <v>450</v>
      </c>
      <c r="K13305" t="s">
        <v>446</v>
      </c>
      <c r="M13305">
        <v>0</v>
      </c>
    </row>
    <row r="13306" spans="1:13">
      <c r="A13306">
        <v>85230100</v>
      </c>
      <c r="B13306">
        <v>2002920</v>
      </c>
      <c r="C13306" t="s">
        <v>6434</v>
      </c>
      <c r="D13306" t="s">
        <v>442</v>
      </c>
      <c r="E13306" t="s">
        <v>441</v>
      </c>
      <c r="F13306">
        <v>2.3E-2</v>
      </c>
      <c r="H13306" t="s">
        <v>13997</v>
      </c>
      <c r="I13306">
        <v>547</v>
      </c>
      <c r="J13306" t="s">
        <v>450</v>
      </c>
      <c r="K13306" t="s">
        <v>446</v>
      </c>
      <c r="M13306">
        <v>0</v>
      </c>
    </row>
    <row r="13307" spans="1:13">
      <c r="A13307">
        <v>85230200</v>
      </c>
      <c r="B13307">
        <v>2002921</v>
      </c>
      <c r="C13307" t="s">
        <v>6435</v>
      </c>
      <c r="D13307" t="s">
        <v>442</v>
      </c>
      <c r="E13307" t="s">
        <v>441</v>
      </c>
      <c r="F13307">
        <v>4.0000000000000001E-3</v>
      </c>
      <c r="H13307" t="s">
        <v>13997</v>
      </c>
      <c r="I13307">
        <v>520</v>
      </c>
      <c r="J13307" t="s">
        <v>450</v>
      </c>
      <c r="K13307" t="s">
        <v>446</v>
      </c>
      <c r="M13307">
        <v>0</v>
      </c>
    </row>
    <row r="13308" spans="1:13">
      <c r="A13308">
        <v>85230300</v>
      </c>
      <c r="B13308">
        <v>2002922</v>
      </c>
      <c r="C13308" t="s">
        <v>6436</v>
      </c>
      <c r="D13308" t="s">
        <v>442</v>
      </c>
      <c r="E13308" t="s">
        <v>441</v>
      </c>
      <c r="F13308">
        <v>0.1</v>
      </c>
      <c r="H13308" t="s">
        <v>13997</v>
      </c>
      <c r="I13308">
        <v>520</v>
      </c>
      <c r="J13308" t="s">
        <v>450</v>
      </c>
      <c r="K13308" t="s">
        <v>446</v>
      </c>
      <c r="M13308">
        <v>0</v>
      </c>
    </row>
    <row r="13309" spans="1:13">
      <c r="A13309">
        <v>85230400</v>
      </c>
      <c r="B13309">
        <v>2003531</v>
      </c>
      <c r="C13309" t="s">
        <v>6437</v>
      </c>
      <c r="D13309" t="s">
        <v>442</v>
      </c>
      <c r="F13309">
        <v>0</v>
      </c>
      <c r="H13309" t="s">
        <v>13997</v>
      </c>
      <c r="I13309">
        <v>547</v>
      </c>
      <c r="J13309" t="s">
        <v>450</v>
      </c>
      <c r="K13309" t="s">
        <v>446</v>
      </c>
      <c r="M13309">
        <v>0</v>
      </c>
    </row>
    <row r="13310" spans="1:13">
      <c r="A13310">
        <v>85230500</v>
      </c>
      <c r="B13310">
        <v>2010624</v>
      </c>
      <c r="C13310" t="s">
        <v>6438</v>
      </c>
      <c r="D13310" t="s">
        <v>442</v>
      </c>
      <c r="E13310" t="s">
        <v>441</v>
      </c>
      <c r="F13310">
        <v>4.0000000000000001E-3</v>
      </c>
      <c r="I13310">
        <v>365</v>
      </c>
      <c r="J13310" t="s">
        <v>450</v>
      </c>
      <c r="K13310" t="s">
        <v>446</v>
      </c>
      <c r="M13310">
        <v>0</v>
      </c>
    </row>
    <row r="13311" spans="1:13">
      <c r="A13311">
        <v>85230600</v>
      </c>
      <c r="B13311">
        <v>2010741</v>
      </c>
      <c r="C13311" t="s">
        <v>6439</v>
      </c>
      <c r="D13311" t="s">
        <v>442</v>
      </c>
      <c r="E13311" t="s">
        <v>441</v>
      </c>
      <c r="F13311">
        <v>0.05</v>
      </c>
      <c r="H13311" t="s">
        <v>8584</v>
      </c>
      <c r="I13311">
        <v>547</v>
      </c>
      <c r="J13311" t="s">
        <v>450</v>
      </c>
      <c r="K13311" t="s">
        <v>446</v>
      </c>
      <c r="M13311">
        <v>0</v>
      </c>
    </row>
    <row r="13312" spans="1:13">
      <c r="A13312">
        <v>85230700</v>
      </c>
      <c r="B13312">
        <v>2010841</v>
      </c>
      <c r="C13312" t="s">
        <v>6440</v>
      </c>
      <c r="D13312" t="s">
        <v>442</v>
      </c>
      <c r="E13312" t="s">
        <v>441</v>
      </c>
      <c r="F13312">
        <v>0.05</v>
      </c>
      <c r="H13312" t="s">
        <v>8935</v>
      </c>
      <c r="I13312">
        <v>547</v>
      </c>
      <c r="J13312" t="s">
        <v>450</v>
      </c>
      <c r="M13312">
        <v>0</v>
      </c>
    </row>
    <row r="13313" spans="1:13">
      <c r="A13313">
        <v>85230800</v>
      </c>
      <c r="B13313">
        <v>2010903</v>
      </c>
      <c r="C13313" t="s">
        <v>6441</v>
      </c>
      <c r="D13313" t="s">
        <v>442</v>
      </c>
      <c r="E13313" t="s">
        <v>441</v>
      </c>
      <c r="F13313">
        <v>0.05</v>
      </c>
      <c r="H13313" t="s">
        <v>8935</v>
      </c>
      <c r="I13313">
        <v>547</v>
      </c>
      <c r="J13313" t="s">
        <v>450</v>
      </c>
      <c r="K13313" t="s">
        <v>446</v>
      </c>
      <c r="M13313">
        <v>0</v>
      </c>
    </row>
    <row r="13314" spans="1:13">
      <c r="A13314">
        <v>85328600</v>
      </c>
      <c r="B13314">
        <v>2005998</v>
      </c>
      <c r="C13314" t="s">
        <v>6442</v>
      </c>
      <c r="D13314" t="s">
        <v>442</v>
      </c>
      <c r="F13314">
        <v>0</v>
      </c>
      <c r="H13314" t="s">
        <v>8581</v>
      </c>
      <c r="I13314">
        <v>730</v>
      </c>
      <c r="J13314" t="s">
        <v>450</v>
      </c>
      <c r="K13314" t="s">
        <v>446</v>
      </c>
      <c r="M13314">
        <v>0</v>
      </c>
    </row>
    <row r="13315" spans="1:13">
      <c r="A13315">
        <v>85651100</v>
      </c>
      <c r="B13315">
        <v>2001939</v>
      </c>
      <c r="C13315" t="s">
        <v>13998</v>
      </c>
      <c r="D13315" t="s">
        <v>442</v>
      </c>
      <c r="E13315" t="s">
        <v>441</v>
      </c>
      <c r="F13315">
        <v>1E-3</v>
      </c>
      <c r="H13315" t="s">
        <v>8580</v>
      </c>
      <c r="I13315">
        <v>730</v>
      </c>
      <c r="J13315" t="s">
        <v>450</v>
      </c>
      <c r="K13315" t="s">
        <v>446</v>
      </c>
      <c r="M13315">
        <v>0</v>
      </c>
    </row>
    <row r="13316" spans="1:13">
      <c r="A13316">
        <v>85651500</v>
      </c>
      <c r="B13316">
        <v>2002923</v>
      </c>
      <c r="C13316" t="s">
        <v>6443</v>
      </c>
      <c r="D13316" t="s">
        <v>442</v>
      </c>
      <c r="E13316" t="s">
        <v>441</v>
      </c>
      <c r="F13316">
        <v>0.54</v>
      </c>
      <c r="H13316" t="s">
        <v>13997</v>
      </c>
      <c r="I13316">
        <v>547</v>
      </c>
      <c r="J13316" t="s">
        <v>450</v>
      </c>
      <c r="M13316">
        <v>0</v>
      </c>
    </row>
    <row r="13317" spans="1:13">
      <c r="A13317">
        <v>85652000</v>
      </c>
      <c r="B13317">
        <v>2002924</v>
      </c>
      <c r="C13317" t="s">
        <v>6444</v>
      </c>
      <c r="D13317" t="s">
        <v>442</v>
      </c>
      <c r="E13317" t="s">
        <v>441</v>
      </c>
      <c r="F13317">
        <v>6.0000000000000001E-3</v>
      </c>
      <c r="H13317" t="s">
        <v>13997</v>
      </c>
      <c r="I13317">
        <v>520</v>
      </c>
      <c r="J13317" t="s">
        <v>450</v>
      </c>
      <c r="K13317" t="s">
        <v>446</v>
      </c>
      <c r="M13317">
        <v>0</v>
      </c>
    </row>
    <row r="13318" spans="1:13">
      <c r="A13318">
        <v>85702100</v>
      </c>
      <c r="B13318">
        <v>2001056</v>
      </c>
      <c r="C13318" t="s">
        <v>6445</v>
      </c>
      <c r="D13318" t="s">
        <v>442</v>
      </c>
      <c r="E13318" t="s">
        <v>441</v>
      </c>
      <c r="F13318">
        <v>1.2E-2</v>
      </c>
      <c r="H13318" t="s">
        <v>13999</v>
      </c>
      <c r="I13318">
        <v>730</v>
      </c>
      <c r="J13318" t="s">
        <v>450</v>
      </c>
      <c r="K13318" t="s">
        <v>446</v>
      </c>
      <c r="M13318">
        <v>0</v>
      </c>
    </row>
    <row r="13319" spans="1:13">
      <c r="A13319">
        <v>85703700</v>
      </c>
      <c r="B13319">
        <v>2003609</v>
      </c>
      <c r="C13319" t="s">
        <v>6446</v>
      </c>
      <c r="D13319" t="s">
        <v>442</v>
      </c>
      <c r="F13319">
        <v>0</v>
      </c>
      <c r="H13319" t="s">
        <v>13999</v>
      </c>
      <c r="I13319">
        <v>730</v>
      </c>
      <c r="J13319" t="s">
        <v>450</v>
      </c>
      <c r="K13319" t="s">
        <v>446</v>
      </c>
      <c r="M13319">
        <v>0</v>
      </c>
    </row>
    <row r="13320" spans="1:13">
      <c r="A13320">
        <v>85704800</v>
      </c>
      <c r="B13320">
        <v>2002925</v>
      </c>
      <c r="C13320" t="s">
        <v>6447</v>
      </c>
      <c r="D13320" t="s">
        <v>442</v>
      </c>
      <c r="E13320" t="s">
        <v>441</v>
      </c>
      <c r="F13320">
        <v>1.4999999999999999E-2</v>
      </c>
      <c r="H13320" t="s">
        <v>13999</v>
      </c>
      <c r="I13320">
        <v>730</v>
      </c>
      <c r="J13320" t="s">
        <v>450</v>
      </c>
      <c r="K13320" t="s">
        <v>446</v>
      </c>
      <c r="M13320">
        <v>0</v>
      </c>
    </row>
    <row r="13321" spans="1:13">
      <c r="A13321">
        <v>85705400</v>
      </c>
      <c r="B13321">
        <v>2002926</v>
      </c>
      <c r="C13321" t="s">
        <v>6448</v>
      </c>
      <c r="D13321" t="s">
        <v>442</v>
      </c>
      <c r="E13321" t="s">
        <v>441</v>
      </c>
      <c r="F13321">
        <v>0.02</v>
      </c>
      <c r="H13321" t="s">
        <v>13999</v>
      </c>
      <c r="I13321">
        <v>730</v>
      </c>
      <c r="J13321" t="s">
        <v>450</v>
      </c>
      <c r="K13321" t="s">
        <v>446</v>
      </c>
      <c r="M13321">
        <v>0</v>
      </c>
    </row>
    <row r="13322" spans="1:13">
      <c r="A13322">
        <v>85705500</v>
      </c>
      <c r="B13322">
        <v>2000762</v>
      </c>
      <c r="C13322" t="s">
        <v>6449</v>
      </c>
      <c r="D13322" t="s">
        <v>442</v>
      </c>
      <c r="E13322" t="s">
        <v>441</v>
      </c>
      <c r="F13322">
        <v>0.2</v>
      </c>
      <c r="H13322" t="s">
        <v>8580</v>
      </c>
      <c r="I13322">
        <v>730</v>
      </c>
      <c r="J13322" t="s">
        <v>450</v>
      </c>
      <c r="K13322" t="s">
        <v>446</v>
      </c>
      <c r="M13322">
        <v>0</v>
      </c>
    </row>
    <row r="13323" spans="1:13">
      <c r="A13323">
        <v>85705700</v>
      </c>
      <c r="B13323">
        <v>2000763</v>
      </c>
      <c r="C13323" t="s">
        <v>6450</v>
      </c>
      <c r="D13323" t="s">
        <v>442</v>
      </c>
      <c r="E13323" t="s">
        <v>441</v>
      </c>
      <c r="F13323">
        <v>0.2</v>
      </c>
      <c r="H13323" t="s">
        <v>8580</v>
      </c>
      <c r="I13323">
        <v>730</v>
      </c>
      <c r="J13323" t="s">
        <v>450</v>
      </c>
      <c r="K13323" t="s">
        <v>446</v>
      </c>
      <c r="M13323">
        <v>0</v>
      </c>
    </row>
    <row r="13324" spans="1:13">
      <c r="A13324">
        <v>85706100</v>
      </c>
      <c r="B13324">
        <v>2002927</v>
      </c>
      <c r="C13324" t="s">
        <v>6451</v>
      </c>
      <c r="D13324" t="s">
        <v>442</v>
      </c>
      <c r="E13324" t="s">
        <v>441</v>
      </c>
      <c r="F13324">
        <v>0.02</v>
      </c>
      <c r="H13324" t="s">
        <v>13999</v>
      </c>
      <c r="I13324">
        <v>730</v>
      </c>
      <c r="J13324" t="s">
        <v>450</v>
      </c>
      <c r="K13324" t="s">
        <v>446</v>
      </c>
      <c r="M13324">
        <v>0</v>
      </c>
    </row>
    <row r="13325" spans="1:13">
      <c r="A13325">
        <v>85706200</v>
      </c>
      <c r="B13325">
        <v>2002928</v>
      </c>
      <c r="C13325" t="s">
        <v>6452</v>
      </c>
      <c r="D13325" t="s">
        <v>442</v>
      </c>
      <c r="E13325" t="s">
        <v>441</v>
      </c>
      <c r="F13325">
        <v>1.4999999999999999E-2</v>
      </c>
      <c r="H13325" t="s">
        <v>13999</v>
      </c>
      <c r="I13325">
        <v>730</v>
      </c>
      <c r="J13325" t="s">
        <v>450</v>
      </c>
      <c r="K13325" t="s">
        <v>446</v>
      </c>
      <c r="M13325">
        <v>0</v>
      </c>
    </row>
    <row r="13326" spans="1:13">
      <c r="A13326">
        <v>85706400</v>
      </c>
      <c r="B13326">
        <v>2001857</v>
      </c>
      <c r="C13326" t="s">
        <v>6453</v>
      </c>
      <c r="D13326" t="s">
        <v>442</v>
      </c>
      <c r="E13326" t="s">
        <v>441</v>
      </c>
      <c r="F13326">
        <v>1.4E-2</v>
      </c>
      <c r="H13326" t="s">
        <v>13999</v>
      </c>
      <c r="I13326">
        <v>730</v>
      </c>
      <c r="J13326" t="s">
        <v>450</v>
      </c>
      <c r="K13326" t="s">
        <v>446</v>
      </c>
      <c r="M13326">
        <v>0</v>
      </c>
    </row>
    <row r="13327" spans="1:13">
      <c r="A13327">
        <v>85706500</v>
      </c>
      <c r="B13327">
        <v>2002929</v>
      </c>
      <c r="C13327" t="s">
        <v>6454</v>
      </c>
      <c r="D13327" t="s">
        <v>442</v>
      </c>
      <c r="E13327" t="s">
        <v>441</v>
      </c>
      <c r="F13327">
        <v>3.5999999999999997E-2</v>
      </c>
      <c r="H13327" t="s">
        <v>13999</v>
      </c>
      <c r="I13327">
        <v>730</v>
      </c>
      <c r="J13327" t="s">
        <v>450</v>
      </c>
      <c r="K13327" t="s">
        <v>446</v>
      </c>
      <c r="M13327">
        <v>0</v>
      </c>
    </row>
    <row r="13328" spans="1:13">
      <c r="A13328">
        <v>85706600</v>
      </c>
      <c r="B13328">
        <v>2002930</v>
      </c>
      <c r="C13328" t="s">
        <v>6455</v>
      </c>
      <c r="D13328" t="s">
        <v>442</v>
      </c>
      <c r="E13328" t="s">
        <v>441</v>
      </c>
      <c r="F13328">
        <v>2.7E-2</v>
      </c>
      <c r="H13328" t="s">
        <v>13999</v>
      </c>
      <c r="I13328">
        <v>730</v>
      </c>
      <c r="J13328" t="s">
        <v>450</v>
      </c>
      <c r="K13328" t="s">
        <v>446</v>
      </c>
      <c r="M13328">
        <v>0</v>
      </c>
    </row>
    <row r="13329" spans="1:13">
      <c r="A13329">
        <v>85706700</v>
      </c>
      <c r="B13329">
        <v>2002931</v>
      </c>
      <c r="C13329" t="s">
        <v>6456</v>
      </c>
      <c r="D13329" t="s">
        <v>442</v>
      </c>
      <c r="E13329" t="s">
        <v>441</v>
      </c>
      <c r="F13329">
        <v>1.9E-2</v>
      </c>
      <c r="H13329" t="s">
        <v>13999</v>
      </c>
      <c r="I13329">
        <v>730</v>
      </c>
      <c r="J13329" t="s">
        <v>450</v>
      </c>
      <c r="M13329">
        <v>0</v>
      </c>
    </row>
    <row r="13330" spans="1:13">
      <c r="A13330">
        <v>85706900</v>
      </c>
      <c r="B13330">
        <v>2002932</v>
      </c>
      <c r="C13330" t="s">
        <v>6457</v>
      </c>
      <c r="D13330" t="s">
        <v>442</v>
      </c>
      <c r="E13330" t="s">
        <v>441</v>
      </c>
      <c r="F13330">
        <v>3.5999999999999997E-2</v>
      </c>
      <c r="H13330" t="s">
        <v>13999</v>
      </c>
      <c r="I13330">
        <v>730</v>
      </c>
      <c r="J13330" t="s">
        <v>450</v>
      </c>
      <c r="K13330" t="s">
        <v>446</v>
      </c>
      <c r="M13330">
        <v>0</v>
      </c>
    </row>
    <row r="13331" spans="1:13">
      <c r="A13331">
        <v>85707000</v>
      </c>
      <c r="B13331">
        <v>2002933</v>
      </c>
      <c r="C13331" t="s">
        <v>6458</v>
      </c>
      <c r="D13331" t="s">
        <v>442</v>
      </c>
      <c r="E13331" t="s">
        <v>441</v>
      </c>
      <c r="F13331">
        <v>3.3000000000000002E-2</v>
      </c>
      <c r="H13331" t="s">
        <v>13999</v>
      </c>
      <c r="I13331">
        <v>730</v>
      </c>
      <c r="J13331" t="s">
        <v>450</v>
      </c>
      <c r="K13331" t="s">
        <v>446</v>
      </c>
      <c r="M13331">
        <v>0</v>
      </c>
    </row>
    <row r="13332" spans="1:13">
      <c r="A13332">
        <v>85707100</v>
      </c>
      <c r="B13332">
        <v>2003608</v>
      </c>
      <c r="C13332" t="s">
        <v>6459</v>
      </c>
      <c r="D13332" t="s">
        <v>442</v>
      </c>
      <c r="F13332">
        <v>0</v>
      </c>
      <c r="H13332" t="s">
        <v>13999</v>
      </c>
      <c r="I13332">
        <v>730</v>
      </c>
      <c r="J13332" t="s">
        <v>450</v>
      </c>
      <c r="K13332" t="s">
        <v>446</v>
      </c>
      <c r="M13332">
        <v>0</v>
      </c>
    </row>
    <row r="13333" spans="1:13">
      <c r="A13333">
        <v>85707200</v>
      </c>
      <c r="B13333">
        <v>2002934</v>
      </c>
      <c r="C13333" t="s">
        <v>6460</v>
      </c>
      <c r="D13333" t="s">
        <v>442</v>
      </c>
      <c r="E13333" t="s">
        <v>441</v>
      </c>
      <c r="F13333">
        <v>3.1E-2</v>
      </c>
      <c r="H13333" t="s">
        <v>13999</v>
      </c>
      <c r="I13333">
        <v>730</v>
      </c>
      <c r="J13333" t="s">
        <v>450</v>
      </c>
      <c r="K13333" t="s">
        <v>446</v>
      </c>
      <c r="M13333">
        <v>0</v>
      </c>
    </row>
    <row r="13334" spans="1:13">
      <c r="A13334">
        <v>85707300</v>
      </c>
      <c r="B13334">
        <v>2002935</v>
      </c>
      <c r="C13334" t="s">
        <v>6461</v>
      </c>
      <c r="D13334" t="s">
        <v>442</v>
      </c>
      <c r="E13334" t="s">
        <v>441</v>
      </c>
      <c r="F13334">
        <v>3.2000000000000001E-2</v>
      </c>
      <c r="H13334" t="s">
        <v>13999</v>
      </c>
      <c r="I13334">
        <v>730</v>
      </c>
      <c r="J13334" t="s">
        <v>450</v>
      </c>
      <c r="K13334" t="s">
        <v>446</v>
      </c>
      <c r="M13334">
        <v>0</v>
      </c>
    </row>
    <row r="13335" spans="1:13">
      <c r="A13335">
        <v>85707400</v>
      </c>
      <c r="B13335">
        <v>2003898</v>
      </c>
      <c r="C13335" t="s">
        <v>6462</v>
      </c>
      <c r="D13335" t="s">
        <v>442</v>
      </c>
      <c r="E13335" t="s">
        <v>441</v>
      </c>
      <c r="F13335">
        <v>0.02</v>
      </c>
      <c r="H13335" t="s">
        <v>13999</v>
      </c>
      <c r="I13335">
        <v>730</v>
      </c>
      <c r="J13335" t="s">
        <v>450</v>
      </c>
      <c r="K13335" t="s">
        <v>446</v>
      </c>
      <c r="M13335">
        <v>0</v>
      </c>
    </row>
    <row r="13336" spans="1:13">
      <c r="A13336">
        <v>85707500</v>
      </c>
      <c r="B13336">
        <v>2003897</v>
      </c>
      <c r="C13336" t="s">
        <v>6463</v>
      </c>
      <c r="D13336" t="s">
        <v>442</v>
      </c>
      <c r="E13336" t="s">
        <v>441</v>
      </c>
      <c r="F13336">
        <v>0.02</v>
      </c>
      <c r="H13336" t="s">
        <v>13999</v>
      </c>
      <c r="I13336">
        <v>730</v>
      </c>
      <c r="J13336" t="s">
        <v>450</v>
      </c>
      <c r="K13336" t="s">
        <v>446</v>
      </c>
      <c r="M13336">
        <v>0</v>
      </c>
    </row>
    <row r="13337" spans="1:13">
      <c r="A13337">
        <v>85707600</v>
      </c>
      <c r="B13337">
        <v>2003902</v>
      </c>
      <c r="C13337" t="s">
        <v>6464</v>
      </c>
      <c r="D13337" t="s">
        <v>442</v>
      </c>
      <c r="E13337" t="s">
        <v>441</v>
      </c>
      <c r="F13337">
        <v>0.02</v>
      </c>
      <c r="H13337" t="s">
        <v>13999</v>
      </c>
      <c r="I13337">
        <v>730</v>
      </c>
      <c r="J13337" t="s">
        <v>450</v>
      </c>
      <c r="K13337" t="s">
        <v>446</v>
      </c>
      <c r="M13337">
        <v>0</v>
      </c>
    </row>
    <row r="13338" spans="1:13">
      <c r="A13338">
        <v>85707700</v>
      </c>
      <c r="B13338">
        <v>2003901</v>
      </c>
      <c r="C13338" t="s">
        <v>6465</v>
      </c>
      <c r="D13338" t="s">
        <v>442</v>
      </c>
      <c r="E13338" t="s">
        <v>441</v>
      </c>
      <c r="F13338">
        <v>0.02</v>
      </c>
      <c r="H13338" t="s">
        <v>13999</v>
      </c>
      <c r="I13338">
        <v>730</v>
      </c>
      <c r="J13338" t="s">
        <v>450</v>
      </c>
      <c r="K13338" t="s">
        <v>446</v>
      </c>
      <c r="M13338">
        <v>0</v>
      </c>
    </row>
    <row r="13339" spans="1:13">
      <c r="A13339">
        <v>85707800</v>
      </c>
      <c r="B13339">
        <v>2002936</v>
      </c>
      <c r="C13339" t="s">
        <v>6466</v>
      </c>
      <c r="D13339" t="s">
        <v>442</v>
      </c>
      <c r="E13339" t="s">
        <v>441</v>
      </c>
      <c r="F13339">
        <v>3.3000000000000002E-2</v>
      </c>
      <c r="H13339" t="s">
        <v>13999</v>
      </c>
      <c r="I13339">
        <v>730</v>
      </c>
      <c r="J13339" t="s">
        <v>450</v>
      </c>
      <c r="M13339">
        <v>0</v>
      </c>
    </row>
    <row r="13340" spans="1:13">
      <c r="A13340">
        <v>85707900</v>
      </c>
      <c r="B13340">
        <v>2002937</v>
      </c>
      <c r="C13340" t="s">
        <v>6467</v>
      </c>
      <c r="D13340" t="s">
        <v>442</v>
      </c>
      <c r="E13340" t="s">
        <v>441</v>
      </c>
      <c r="F13340">
        <v>2.4E-2</v>
      </c>
      <c r="H13340" t="s">
        <v>13999</v>
      </c>
      <c r="I13340">
        <v>730</v>
      </c>
      <c r="J13340" t="s">
        <v>450</v>
      </c>
      <c r="K13340" t="s">
        <v>446</v>
      </c>
      <c r="M13340">
        <v>0</v>
      </c>
    </row>
    <row r="13341" spans="1:13">
      <c r="A13341">
        <v>85708100</v>
      </c>
      <c r="B13341">
        <v>2002938</v>
      </c>
      <c r="C13341" t="s">
        <v>6468</v>
      </c>
      <c r="D13341" t="s">
        <v>442</v>
      </c>
      <c r="E13341" t="s">
        <v>441</v>
      </c>
      <c r="F13341">
        <v>3.2000000000000001E-2</v>
      </c>
      <c r="H13341" t="s">
        <v>13999</v>
      </c>
      <c r="I13341">
        <v>730</v>
      </c>
      <c r="J13341" t="s">
        <v>450</v>
      </c>
      <c r="K13341" t="s">
        <v>446</v>
      </c>
      <c r="M13341">
        <v>0</v>
      </c>
    </row>
    <row r="13342" spans="1:13">
      <c r="A13342">
        <v>85708200</v>
      </c>
      <c r="B13342">
        <v>2002939</v>
      </c>
      <c r="C13342" t="s">
        <v>6469</v>
      </c>
      <c r="D13342" t="s">
        <v>442</v>
      </c>
      <c r="E13342" t="s">
        <v>441</v>
      </c>
      <c r="F13342">
        <v>3.2000000000000001E-2</v>
      </c>
      <c r="H13342" t="s">
        <v>13999</v>
      </c>
      <c r="I13342">
        <v>730</v>
      </c>
      <c r="J13342" t="s">
        <v>450</v>
      </c>
      <c r="K13342" t="s">
        <v>446</v>
      </c>
      <c r="M13342">
        <v>0</v>
      </c>
    </row>
    <row r="13343" spans="1:13">
      <c r="A13343">
        <v>85708300</v>
      </c>
      <c r="B13343">
        <v>2002940</v>
      </c>
      <c r="C13343" t="s">
        <v>6470</v>
      </c>
      <c r="D13343" t="s">
        <v>442</v>
      </c>
      <c r="E13343" t="s">
        <v>441</v>
      </c>
      <c r="F13343">
        <v>3.4000000000000002E-2</v>
      </c>
      <c r="H13343" t="s">
        <v>13999</v>
      </c>
      <c r="I13343">
        <v>730</v>
      </c>
      <c r="J13343" t="s">
        <v>450</v>
      </c>
      <c r="K13343" t="s">
        <v>446</v>
      </c>
      <c r="M13343">
        <v>0</v>
      </c>
    </row>
    <row r="13344" spans="1:13">
      <c r="A13344">
        <v>85708400</v>
      </c>
      <c r="B13344">
        <v>2003425</v>
      </c>
      <c r="C13344" t="s">
        <v>6471</v>
      </c>
      <c r="D13344" t="s">
        <v>442</v>
      </c>
      <c r="E13344" t="s">
        <v>441</v>
      </c>
      <c r="F13344">
        <v>0.05</v>
      </c>
      <c r="H13344" t="s">
        <v>8584</v>
      </c>
      <c r="I13344">
        <v>360</v>
      </c>
      <c r="J13344" t="s">
        <v>450</v>
      </c>
      <c r="K13344" t="s">
        <v>446</v>
      </c>
      <c r="M13344">
        <v>0</v>
      </c>
    </row>
    <row r="13345" spans="1:13">
      <c r="A13345">
        <v>85708500</v>
      </c>
      <c r="B13345">
        <v>2003900</v>
      </c>
      <c r="C13345" t="s">
        <v>6472</v>
      </c>
      <c r="D13345" t="s">
        <v>442</v>
      </c>
      <c r="F13345">
        <v>0</v>
      </c>
      <c r="H13345" t="s">
        <v>13999</v>
      </c>
      <c r="I13345">
        <v>730</v>
      </c>
      <c r="J13345" t="s">
        <v>450</v>
      </c>
      <c r="K13345" t="s">
        <v>446</v>
      </c>
      <c r="M13345">
        <v>0</v>
      </c>
    </row>
    <row r="13346" spans="1:13">
      <c r="A13346">
        <v>85708600</v>
      </c>
      <c r="B13346">
        <v>2003532</v>
      </c>
      <c r="C13346" t="s">
        <v>6473</v>
      </c>
      <c r="D13346" t="s">
        <v>442</v>
      </c>
      <c r="E13346" t="s">
        <v>441</v>
      </c>
      <c r="F13346">
        <v>0.2</v>
      </c>
      <c r="H13346" t="s">
        <v>13999</v>
      </c>
      <c r="I13346">
        <v>730</v>
      </c>
      <c r="J13346" t="s">
        <v>450</v>
      </c>
      <c r="K13346" t="s">
        <v>446</v>
      </c>
      <c r="M13346">
        <v>0</v>
      </c>
    </row>
    <row r="13347" spans="1:13">
      <c r="A13347">
        <v>85708700</v>
      </c>
      <c r="B13347">
        <v>2003899</v>
      </c>
      <c r="C13347" t="s">
        <v>6474</v>
      </c>
      <c r="D13347" t="s">
        <v>442</v>
      </c>
      <c r="F13347">
        <v>0</v>
      </c>
      <c r="H13347" t="s">
        <v>13999</v>
      </c>
      <c r="I13347">
        <v>730</v>
      </c>
      <c r="J13347" t="s">
        <v>450</v>
      </c>
      <c r="K13347" t="s">
        <v>446</v>
      </c>
      <c r="M13347">
        <v>0</v>
      </c>
    </row>
    <row r="13348" spans="1:13">
      <c r="A13348">
        <v>85708800</v>
      </c>
      <c r="B13348">
        <v>2003994</v>
      </c>
      <c r="C13348" t="s">
        <v>6475</v>
      </c>
      <c r="D13348" t="s">
        <v>442</v>
      </c>
      <c r="F13348">
        <v>0</v>
      </c>
      <c r="H13348" t="s">
        <v>13999</v>
      </c>
      <c r="I13348">
        <v>730</v>
      </c>
      <c r="J13348" t="s">
        <v>450</v>
      </c>
      <c r="K13348" t="s">
        <v>446</v>
      </c>
      <c r="M13348">
        <v>0</v>
      </c>
    </row>
    <row r="13349" spans="1:13">
      <c r="A13349">
        <v>85708900</v>
      </c>
      <c r="B13349">
        <v>2005032</v>
      </c>
      <c r="C13349" t="s">
        <v>6476</v>
      </c>
      <c r="D13349" t="s">
        <v>442</v>
      </c>
      <c r="E13349" t="s">
        <v>441</v>
      </c>
      <c r="F13349">
        <v>0.02</v>
      </c>
      <c r="H13349" t="s">
        <v>13999</v>
      </c>
      <c r="I13349">
        <v>730</v>
      </c>
      <c r="J13349" t="s">
        <v>450</v>
      </c>
      <c r="K13349" t="s">
        <v>446</v>
      </c>
      <c r="M13349">
        <v>0</v>
      </c>
    </row>
    <row r="13350" spans="1:13">
      <c r="A13350">
        <v>85709000</v>
      </c>
      <c r="B13350">
        <v>2005285</v>
      </c>
      <c r="C13350" t="s">
        <v>6477</v>
      </c>
      <c r="D13350" t="s">
        <v>442</v>
      </c>
      <c r="F13350">
        <v>0</v>
      </c>
      <c r="H13350" t="s">
        <v>13999</v>
      </c>
      <c r="I13350">
        <v>730</v>
      </c>
      <c r="J13350" t="s">
        <v>450</v>
      </c>
      <c r="K13350" t="s">
        <v>446</v>
      </c>
      <c r="M13350">
        <v>0</v>
      </c>
    </row>
    <row r="13351" spans="1:13">
      <c r="A13351">
        <v>85709100</v>
      </c>
      <c r="B13351">
        <v>2005415</v>
      </c>
      <c r="C13351" t="s">
        <v>6478</v>
      </c>
      <c r="D13351" t="s">
        <v>442</v>
      </c>
      <c r="E13351" t="s">
        <v>441</v>
      </c>
      <c r="F13351">
        <v>0.02</v>
      </c>
      <c r="H13351" t="s">
        <v>13999</v>
      </c>
      <c r="I13351">
        <v>730</v>
      </c>
      <c r="J13351" t="s">
        <v>450</v>
      </c>
      <c r="K13351" t="s">
        <v>446</v>
      </c>
      <c r="M13351">
        <v>0</v>
      </c>
    </row>
    <row r="13352" spans="1:13">
      <c r="A13352">
        <v>85709200</v>
      </c>
      <c r="B13352">
        <v>2005500</v>
      </c>
      <c r="C13352" t="s">
        <v>6479</v>
      </c>
      <c r="D13352" t="s">
        <v>442</v>
      </c>
      <c r="F13352">
        <v>0</v>
      </c>
      <c r="H13352" t="s">
        <v>13999</v>
      </c>
      <c r="I13352">
        <v>730</v>
      </c>
      <c r="J13352" t="s">
        <v>450</v>
      </c>
      <c r="K13352" t="s">
        <v>446</v>
      </c>
      <c r="M13352">
        <v>0</v>
      </c>
    </row>
    <row r="13353" spans="1:13">
      <c r="A13353">
        <v>85709300</v>
      </c>
      <c r="B13353">
        <v>2005516</v>
      </c>
      <c r="C13353" t="s">
        <v>6480</v>
      </c>
      <c r="D13353" t="s">
        <v>442</v>
      </c>
      <c r="F13353">
        <v>0</v>
      </c>
      <c r="H13353" t="s">
        <v>13999</v>
      </c>
      <c r="I13353">
        <v>730</v>
      </c>
      <c r="J13353" t="s">
        <v>450</v>
      </c>
      <c r="K13353" t="s">
        <v>446</v>
      </c>
      <c r="M13353">
        <v>0</v>
      </c>
    </row>
    <row r="13354" spans="1:13">
      <c r="A13354">
        <v>85709400</v>
      </c>
      <c r="B13354">
        <v>2005693</v>
      </c>
      <c r="C13354" t="s">
        <v>6481</v>
      </c>
      <c r="D13354" t="s">
        <v>442</v>
      </c>
      <c r="E13354" t="s">
        <v>441</v>
      </c>
      <c r="F13354">
        <v>0.02</v>
      </c>
      <c r="H13354" t="s">
        <v>13999</v>
      </c>
      <c r="I13354">
        <v>730</v>
      </c>
      <c r="J13354" t="s">
        <v>450</v>
      </c>
      <c r="K13354" t="s">
        <v>446</v>
      </c>
      <c r="M13354">
        <v>0</v>
      </c>
    </row>
    <row r="13355" spans="1:13">
      <c r="A13355">
        <v>85709500</v>
      </c>
      <c r="B13355">
        <v>2005711</v>
      </c>
      <c r="C13355" t="s">
        <v>6482</v>
      </c>
      <c r="D13355" t="s">
        <v>442</v>
      </c>
      <c r="E13355" t="s">
        <v>441</v>
      </c>
      <c r="F13355">
        <v>0.02</v>
      </c>
      <c r="H13355" t="s">
        <v>13999</v>
      </c>
      <c r="I13355">
        <v>730</v>
      </c>
      <c r="J13355" t="s">
        <v>450</v>
      </c>
      <c r="K13355" t="s">
        <v>446</v>
      </c>
      <c r="M13355">
        <v>0</v>
      </c>
    </row>
    <row r="13356" spans="1:13">
      <c r="A13356">
        <v>85709600</v>
      </c>
      <c r="B13356">
        <v>2005756</v>
      </c>
      <c r="C13356" t="s">
        <v>6483</v>
      </c>
      <c r="D13356" t="s">
        <v>442</v>
      </c>
      <c r="E13356" t="s">
        <v>441</v>
      </c>
      <c r="F13356">
        <v>2.7E-2</v>
      </c>
      <c r="H13356" t="s">
        <v>13999</v>
      </c>
      <c r="I13356">
        <v>725</v>
      </c>
      <c r="J13356" t="s">
        <v>450</v>
      </c>
      <c r="K13356" t="s">
        <v>446</v>
      </c>
      <c r="M13356">
        <v>0</v>
      </c>
    </row>
    <row r="13357" spans="1:13">
      <c r="A13357">
        <v>85709700</v>
      </c>
      <c r="B13357">
        <v>2005783</v>
      </c>
      <c r="C13357" t="s">
        <v>6484</v>
      </c>
      <c r="D13357" t="s">
        <v>442</v>
      </c>
      <c r="E13357" t="s">
        <v>441</v>
      </c>
      <c r="F13357">
        <v>2.7E-2</v>
      </c>
      <c r="H13357" t="s">
        <v>13999</v>
      </c>
      <c r="I13357">
        <v>725</v>
      </c>
      <c r="J13357" t="s">
        <v>450</v>
      </c>
      <c r="K13357" t="s">
        <v>446</v>
      </c>
      <c r="M13357">
        <v>0</v>
      </c>
    </row>
    <row r="13358" spans="1:13">
      <c r="A13358">
        <v>85709800</v>
      </c>
      <c r="B13358">
        <v>2005862</v>
      </c>
      <c r="C13358" t="s">
        <v>6485</v>
      </c>
      <c r="D13358" t="s">
        <v>442</v>
      </c>
      <c r="F13358">
        <v>0</v>
      </c>
      <c r="H13358" t="s">
        <v>13999</v>
      </c>
      <c r="I13358">
        <v>725</v>
      </c>
      <c r="J13358" t="s">
        <v>450</v>
      </c>
      <c r="K13358" t="s">
        <v>446</v>
      </c>
      <c r="M13358">
        <v>0</v>
      </c>
    </row>
    <row r="13359" spans="1:13">
      <c r="A13359">
        <v>85709900</v>
      </c>
      <c r="B13359">
        <v>2005861</v>
      </c>
      <c r="C13359" t="s">
        <v>6486</v>
      </c>
      <c r="D13359" t="s">
        <v>442</v>
      </c>
      <c r="F13359">
        <v>0</v>
      </c>
      <c r="H13359" t="s">
        <v>13999</v>
      </c>
      <c r="I13359">
        <v>725</v>
      </c>
      <c r="J13359" t="s">
        <v>450</v>
      </c>
      <c r="K13359" t="s">
        <v>446</v>
      </c>
      <c r="M13359">
        <v>0</v>
      </c>
    </row>
    <row r="13360" spans="1:13">
      <c r="A13360">
        <v>85710000</v>
      </c>
      <c r="B13360">
        <v>2005880</v>
      </c>
      <c r="C13360" t="s">
        <v>6487</v>
      </c>
      <c r="D13360" t="s">
        <v>442</v>
      </c>
      <c r="F13360">
        <v>0</v>
      </c>
      <c r="H13360" t="s">
        <v>13999</v>
      </c>
      <c r="I13360">
        <v>725</v>
      </c>
      <c r="J13360" t="s">
        <v>450</v>
      </c>
      <c r="K13360" t="s">
        <v>446</v>
      </c>
      <c r="M13360">
        <v>0</v>
      </c>
    </row>
    <row r="13361" spans="1:13">
      <c r="A13361">
        <v>85710100</v>
      </c>
      <c r="B13361">
        <v>2005913</v>
      </c>
      <c r="C13361" t="s">
        <v>6488</v>
      </c>
      <c r="D13361" t="s">
        <v>442</v>
      </c>
      <c r="E13361" t="s">
        <v>441</v>
      </c>
      <c r="F13361">
        <v>0.02</v>
      </c>
      <c r="H13361" t="s">
        <v>13999</v>
      </c>
      <c r="I13361">
        <v>730</v>
      </c>
      <c r="J13361" t="s">
        <v>450</v>
      </c>
      <c r="K13361" t="s">
        <v>446</v>
      </c>
      <c r="M13361">
        <v>0</v>
      </c>
    </row>
    <row r="13362" spans="1:13">
      <c r="A13362">
        <v>85710200</v>
      </c>
      <c r="B13362">
        <v>2006180</v>
      </c>
      <c r="C13362" t="s">
        <v>6489</v>
      </c>
      <c r="D13362" t="s">
        <v>442</v>
      </c>
      <c r="F13362">
        <v>0</v>
      </c>
      <c r="H13362" t="s">
        <v>13999</v>
      </c>
      <c r="I13362">
        <v>725</v>
      </c>
      <c r="J13362" t="s">
        <v>450</v>
      </c>
      <c r="K13362" t="s">
        <v>446</v>
      </c>
      <c r="M13362">
        <v>0</v>
      </c>
    </row>
    <row r="13363" spans="1:13">
      <c r="A13363">
        <v>85710300</v>
      </c>
      <c r="B13363">
        <v>2006432</v>
      </c>
      <c r="C13363" t="s">
        <v>6490</v>
      </c>
      <c r="D13363" t="s">
        <v>442</v>
      </c>
      <c r="E13363" t="s">
        <v>441</v>
      </c>
      <c r="F13363">
        <v>0.02</v>
      </c>
      <c r="H13363" t="s">
        <v>13999</v>
      </c>
      <c r="I13363">
        <v>725</v>
      </c>
      <c r="J13363" t="s">
        <v>450</v>
      </c>
      <c r="K13363" t="s">
        <v>446</v>
      </c>
      <c r="M13363">
        <v>0</v>
      </c>
    </row>
    <row r="13364" spans="1:13">
      <c r="A13364">
        <v>85710400</v>
      </c>
      <c r="B13364">
        <v>2006928</v>
      </c>
      <c r="C13364" t="s">
        <v>6491</v>
      </c>
      <c r="D13364" t="s">
        <v>442</v>
      </c>
      <c r="F13364">
        <v>0</v>
      </c>
      <c r="H13364" t="s">
        <v>13999</v>
      </c>
      <c r="I13364">
        <v>365</v>
      </c>
      <c r="J13364" t="s">
        <v>450</v>
      </c>
      <c r="K13364" t="s">
        <v>446</v>
      </c>
      <c r="M13364">
        <v>0</v>
      </c>
    </row>
    <row r="13365" spans="1:13">
      <c r="A13365">
        <v>85710500</v>
      </c>
      <c r="B13365">
        <v>2007440</v>
      </c>
      <c r="C13365" t="s">
        <v>6492</v>
      </c>
      <c r="D13365" t="s">
        <v>442</v>
      </c>
      <c r="E13365" t="s">
        <v>441</v>
      </c>
      <c r="F13365">
        <v>0.02</v>
      </c>
      <c r="H13365" t="s">
        <v>13999</v>
      </c>
      <c r="I13365">
        <v>365</v>
      </c>
      <c r="J13365" t="s">
        <v>450</v>
      </c>
      <c r="K13365" t="s">
        <v>446</v>
      </c>
      <c r="M13365">
        <v>0</v>
      </c>
    </row>
    <row r="13366" spans="1:13">
      <c r="A13366">
        <v>85710600</v>
      </c>
      <c r="B13366">
        <v>2007452</v>
      </c>
      <c r="C13366" t="s">
        <v>6493</v>
      </c>
      <c r="D13366" t="s">
        <v>442</v>
      </c>
      <c r="E13366" t="s">
        <v>441</v>
      </c>
      <c r="F13366">
        <v>0.02</v>
      </c>
      <c r="H13366" t="s">
        <v>13999</v>
      </c>
      <c r="I13366">
        <v>365</v>
      </c>
      <c r="J13366" t="s">
        <v>450</v>
      </c>
      <c r="K13366" t="s">
        <v>446</v>
      </c>
      <c r="M13366">
        <v>0</v>
      </c>
    </row>
    <row r="13367" spans="1:13">
      <c r="A13367">
        <v>85710700</v>
      </c>
      <c r="B13367">
        <v>2007733</v>
      </c>
      <c r="C13367" t="s">
        <v>6494</v>
      </c>
      <c r="D13367" t="s">
        <v>442</v>
      </c>
      <c r="F13367">
        <v>0</v>
      </c>
      <c r="H13367" t="s">
        <v>13999</v>
      </c>
      <c r="I13367">
        <v>720</v>
      </c>
      <c r="J13367" t="s">
        <v>450</v>
      </c>
      <c r="K13367" t="s">
        <v>446</v>
      </c>
      <c r="M13367">
        <v>0</v>
      </c>
    </row>
    <row r="13368" spans="1:13">
      <c r="A13368">
        <v>85710800</v>
      </c>
      <c r="B13368">
        <v>2008137</v>
      </c>
      <c r="C13368" t="s">
        <v>6495</v>
      </c>
      <c r="D13368" t="s">
        <v>442</v>
      </c>
      <c r="E13368" t="s">
        <v>441</v>
      </c>
      <c r="F13368">
        <v>0.02</v>
      </c>
      <c r="H13368" t="s">
        <v>13999</v>
      </c>
      <c r="I13368">
        <v>720</v>
      </c>
      <c r="J13368" t="s">
        <v>450</v>
      </c>
      <c r="K13368" t="s">
        <v>446</v>
      </c>
      <c r="M13368">
        <v>0</v>
      </c>
    </row>
    <row r="13369" spans="1:13">
      <c r="A13369">
        <v>85710900</v>
      </c>
      <c r="B13369">
        <v>2008688</v>
      </c>
      <c r="C13369" t="s">
        <v>6496</v>
      </c>
      <c r="D13369" t="s">
        <v>442</v>
      </c>
      <c r="F13369">
        <v>0</v>
      </c>
      <c r="H13369" t="s">
        <v>13999</v>
      </c>
      <c r="I13369">
        <v>720</v>
      </c>
      <c r="J13369" t="s">
        <v>450</v>
      </c>
      <c r="K13369" t="s">
        <v>446</v>
      </c>
      <c r="M13369">
        <v>0</v>
      </c>
    </row>
    <row r="13370" spans="1:13">
      <c r="A13370">
        <v>85711000</v>
      </c>
      <c r="B13370">
        <v>2008687</v>
      </c>
      <c r="C13370" t="s">
        <v>6497</v>
      </c>
      <c r="D13370" t="s">
        <v>442</v>
      </c>
      <c r="E13370" t="s">
        <v>441</v>
      </c>
      <c r="F13370">
        <v>0.02</v>
      </c>
      <c r="H13370" t="s">
        <v>13999</v>
      </c>
      <c r="I13370">
        <v>720</v>
      </c>
      <c r="J13370" t="s">
        <v>450</v>
      </c>
      <c r="K13370" t="s">
        <v>446</v>
      </c>
      <c r="M13370">
        <v>0</v>
      </c>
    </row>
    <row r="13371" spans="1:13">
      <c r="A13371">
        <v>85711100</v>
      </c>
      <c r="B13371">
        <v>2008743</v>
      </c>
      <c r="C13371" t="s">
        <v>6498</v>
      </c>
      <c r="D13371" t="s">
        <v>442</v>
      </c>
      <c r="E13371" t="s">
        <v>441</v>
      </c>
      <c r="F13371">
        <v>0.02</v>
      </c>
      <c r="H13371" t="s">
        <v>13999</v>
      </c>
      <c r="I13371">
        <v>720</v>
      </c>
      <c r="J13371" t="s">
        <v>450</v>
      </c>
      <c r="K13371" t="s">
        <v>446</v>
      </c>
      <c r="M13371">
        <v>0</v>
      </c>
    </row>
    <row r="13372" spans="1:13">
      <c r="A13372">
        <v>85711200</v>
      </c>
      <c r="B13372">
        <v>2008918</v>
      </c>
      <c r="C13372" t="s">
        <v>6499</v>
      </c>
      <c r="D13372" t="s">
        <v>442</v>
      </c>
      <c r="E13372" t="s">
        <v>441</v>
      </c>
      <c r="F13372">
        <v>0.02</v>
      </c>
      <c r="H13372" t="s">
        <v>8580</v>
      </c>
      <c r="I13372">
        <v>730</v>
      </c>
      <c r="J13372" t="s">
        <v>450</v>
      </c>
      <c r="K13372" t="s">
        <v>446</v>
      </c>
      <c r="M13372">
        <v>0</v>
      </c>
    </row>
    <row r="13373" spans="1:13">
      <c r="A13373">
        <v>85711300</v>
      </c>
      <c r="B13373">
        <v>2002744</v>
      </c>
      <c r="C13373" t="s">
        <v>6500</v>
      </c>
      <c r="D13373" t="s">
        <v>442</v>
      </c>
      <c r="E13373" t="s">
        <v>441</v>
      </c>
      <c r="F13373">
        <v>0.03</v>
      </c>
      <c r="H13373" t="s">
        <v>14000</v>
      </c>
      <c r="I13373">
        <v>912</v>
      </c>
      <c r="J13373" t="s">
        <v>450</v>
      </c>
      <c r="K13373" t="s">
        <v>446</v>
      </c>
      <c r="M13373">
        <v>0</v>
      </c>
    </row>
    <row r="13374" spans="1:13">
      <c r="A13374">
        <v>86000300</v>
      </c>
      <c r="B13374">
        <v>2002941</v>
      </c>
      <c r="C13374" t="s">
        <v>14001</v>
      </c>
      <c r="D13374" t="s">
        <v>442</v>
      </c>
      <c r="E13374" t="s">
        <v>441</v>
      </c>
      <c r="F13374">
        <v>1E-3</v>
      </c>
      <c r="G13374">
        <v>0</v>
      </c>
      <c r="H13374" t="s">
        <v>14002</v>
      </c>
      <c r="I13374">
        <v>730</v>
      </c>
      <c r="J13374" t="s">
        <v>450</v>
      </c>
      <c r="K13374" t="s">
        <v>446</v>
      </c>
      <c r="M13374">
        <v>0</v>
      </c>
    </row>
    <row r="13375" spans="1:13">
      <c r="A13375">
        <v>86000400</v>
      </c>
      <c r="B13375">
        <v>2000987</v>
      </c>
      <c r="C13375" t="s">
        <v>14003</v>
      </c>
      <c r="D13375" t="s">
        <v>442</v>
      </c>
      <c r="E13375" t="s">
        <v>441</v>
      </c>
      <c r="F13375">
        <v>1E-3</v>
      </c>
      <c r="G13375">
        <v>0</v>
      </c>
      <c r="H13375" t="s">
        <v>14002</v>
      </c>
      <c r="I13375">
        <v>730</v>
      </c>
      <c r="J13375" t="s">
        <v>450</v>
      </c>
      <c r="M13375">
        <v>0</v>
      </c>
    </row>
    <row r="13376" spans="1:13">
      <c r="A13376">
        <v>86000500</v>
      </c>
      <c r="B13376">
        <v>2002942</v>
      </c>
      <c r="C13376" t="s">
        <v>14004</v>
      </c>
      <c r="D13376" t="s">
        <v>442</v>
      </c>
      <c r="E13376" t="s">
        <v>441</v>
      </c>
      <c r="F13376">
        <v>1E-3</v>
      </c>
      <c r="H13376" t="s">
        <v>14002</v>
      </c>
      <c r="I13376">
        <v>1440</v>
      </c>
      <c r="J13376" t="s">
        <v>450</v>
      </c>
      <c r="M13376">
        <v>0</v>
      </c>
    </row>
    <row r="13377" spans="1:13">
      <c r="A13377">
        <v>86001000</v>
      </c>
      <c r="B13377">
        <v>2002943</v>
      </c>
      <c r="C13377" t="s">
        <v>14005</v>
      </c>
      <c r="D13377" t="s">
        <v>442</v>
      </c>
      <c r="E13377" t="s">
        <v>441</v>
      </c>
      <c r="F13377">
        <v>1E-3</v>
      </c>
      <c r="G13377">
        <v>0</v>
      </c>
      <c r="H13377" t="s">
        <v>14002</v>
      </c>
      <c r="I13377">
        <v>730</v>
      </c>
      <c r="J13377" t="s">
        <v>450</v>
      </c>
      <c r="K13377" t="s">
        <v>446</v>
      </c>
      <c r="M13377">
        <v>0</v>
      </c>
    </row>
    <row r="13378" spans="1:13">
      <c r="A13378">
        <v>86001100</v>
      </c>
      <c r="B13378">
        <v>2002944</v>
      </c>
      <c r="C13378" t="s">
        <v>14006</v>
      </c>
      <c r="D13378" t="s">
        <v>442</v>
      </c>
      <c r="E13378" t="s">
        <v>441</v>
      </c>
      <c r="F13378">
        <v>1E-3</v>
      </c>
      <c r="G13378">
        <v>0</v>
      </c>
      <c r="H13378" t="s">
        <v>14002</v>
      </c>
      <c r="I13378">
        <v>1460</v>
      </c>
      <c r="J13378" t="s">
        <v>450</v>
      </c>
      <c r="M13378">
        <v>0</v>
      </c>
    </row>
    <row r="13379" spans="1:13">
      <c r="A13379">
        <v>86001300</v>
      </c>
      <c r="B13379">
        <v>2003611</v>
      </c>
      <c r="C13379" t="s">
        <v>14007</v>
      </c>
      <c r="D13379" t="s">
        <v>442</v>
      </c>
      <c r="F13379">
        <v>0</v>
      </c>
      <c r="G13379">
        <v>0</v>
      </c>
      <c r="H13379" t="s">
        <v>14002</v>
      </c>
      <c r="I13379">
        <v>730</v>
      </c>
      <c r="J13379" t="s">
        <v>450</v>
      </c>
      <c r="K13379" t="s">
        <v>446</v>
      </c>
      <c r="M13379">
        <v>0</v>
      </c>
    </row>
    <row r="13380" spans="1:13">
      <c r="A13380">
        <v>86001500</v>
      </c>
      <c r="B13380">
        <v>2000935</v>
      </c>
      <c r="C13380" t="s">
        <v>14008</v>
      </c>
      <c r="D13380" t="s">
        <v>442</v>
      </c>
      <c r="E13380" t="s">
        <v>441</v>
      </c>
      <c r="F13380">
        <v>7.3333333333333302E-4</v>
      </c>
      <c r="H13380" t="s">
        <v>8637</v>
      </c>
      <c r="I13380">
        <v>730</v>
      </c>
      <c r="J13380" t="s">
        <v>450</v>
      </c>
      <c r="K13380" t="s">
        <v>446</v>
      </c>
      <c r="M13380">
        <v>0</v>
      </c>
    </row>
    <row r="13381" spans="1:13">
      <c r="A13381">
        <v>86001800</v>
      </c>
      <c r="B13381">
        <v>2000769</v>
      </c>
      <c r="C13381" t="s">
        <v>14009</v>
      </c>
      <c r="D13381" t="s">
        <v>442</v>
      </c>
      <c r="E13381" t="s">
        <v>441</v>
      </c>
      <c r="F13381">
        <v>3.0000000000000001E-3</v>
      </c>
      <c r="I13381">
        <v>730</v>
      </c>
      <c r="J13381" t="s">
        <v>450</v>
      </c>
      <c r="K13381" t="s">
        <v>446</v>
      </c>
      <c r="M13381">
        <v>0</v>
      </c>
    </row>
    <row r="13382" spans="1:13">
      <c r="A13382">
        <v>86002000</v>
      </c>
      <c r="B13382">
        <v>2000771</v>
      </c>
      <c r="C13382" t="s">
        <v>14010</v>
      </c>
      <c r="D13382" t="s">
        <v>442</v>
      </c>
      <c r="E13382" t="s">
        <v>441</v>
      </c>
      <c r="F13382">
        <v>0.03</v>
      </c>
      <c r="I13382">
        <v>730</v>
      </c>
      <c r="J13382" t="s">
        <v>450</v>
      </c>
      <c r="K13382" t="s">
        <v>446</v>
      </c>
      <c r="M13382">
        <v>0</v>
      </c>
    </row>
    <row r="13383" spans="1:13">
      <c r="A13383">
        <v>86003000</v>
      </c>
      <c r="B13383">
        <v>2004145</v>
      </c>
      <c r="C13383" t="s">
        <v>14011</v>
      </c>
      <c r="D13383" t="s">
        <v>442</v>
      </c>
      <c r="E13383" t="s">
        <v>441</v>
      </c>
      <c r="F13383">
        <v>1E-3</v>
      </c>
      <c r="G13383">
        <v>0</v>
      </c>
      <c r="H13383" t="s">
        <v>14002</v>
      </c>
      <c r="I13383">
        <v>730</v>
      </c>
      <c r="J13383" t="s">
        <v>450</v>
      </c>
      <c r="M13383">
        <v>0</v>
      </c>
    </row>
    <row r="13384" spans="1:13">
      <c r="A13384">
        <v>86004000</v>
      </c>
      <c r="B13384">
        <v>2004143</v>
      </c>
      <c r="C13384" t="s">
        <v>14012</v>
      </c>
      <c r="D13384" t="s">
        <v>442</v>
      </c>
      <c r="E13384" t="s">
        <v>441</v>
      </c>
      <c r="F13384">
        <v>1E-3</v>
      </c>
      <c r="G13384">
        <v>0</v>
      </c>
      <c r="H13384" t="s">
        <v>14002</v>
      </c>
      <c r="I13384">
        <v>730</v>
      </c>
      <c r="J13384" t="s">
        <v>450</v>
      </c>
      <c r="M13384">
        <v>0</v>
      </c>
    </row>
    <row r="13385" spans="1:13">
      <c r="A13385">
        <v>86005000</v>
      </c>
      <c r="B13385">
        <v>2004142</v>
      </c>
      <c r="C13385" t="s">
        <v>14013</v>
      </c>
      <c r="D13385" t="s">
        <v>442</v>
      </c>
      <c r="E13385" t="s">
        <v>441</v>
      </c>
      <c r="F13385">
        <v>1E-3</v>
      </c>
      <c r="G13385">
        <v>0</v>
      </c>
      <c r="H13385" t="s">
        <v>14002</v>
      </c>
      <c r="I13385">
        <v>730</v>
      </c>
      <c r="J13385" t="s">
        <v>450</v>
      </c>
      <c r="M13385">
        <v>0</v>
      </c>
    </row>
    <row r="13386" spans="1:13">
      <c r="A13386">
        <v>86006000</v>
      </c>
      <c r="B13386">
        <v>2005274</v>
      </c>
      <c r="C13386" t="s">
        <v>14014</v>
      </c>
      <c r="D13386" t="s">
        <v>442</v>
      </c>
      <c r="F13386">
        <v>0</v>
      </c>
      <c r="I13386">
        <v>730</v>
      </c>
      <c r="J13386" t="s">
        <v>450</v>
      </c>
      <c r="K13386" t="s">
        <v>446</v>
      </c>
      <c r="M13386">
        <v>0</v>
      </c>
    </row>
    <row r="13387" spans="1:13">
      <c r="A13387">
        <v>86007000</v>
      </c>
      <c r="B13387">
        <v>2001606</v>
      </c>
      <c r="C13387" t="s">
        <v>14015</v>
      </c>
      <c r="D13387" t="s">
        <v>442</v>
      </c>
      <c r="E13387" t="s">
        <v>441</v>
      </c>
      <c r="F13387">
        <v>1E-3</v>
      </c>
      <c r="H13387" t="s">
        <v>14002</v>
      </c>
      <c r="I13387">
        <v>1095</v>
      </c>
      <c r="J13387" t="s">
        <v>450</v>
      </c>
      <c r="M13387">
        <v>0</v>
      </c>
    </row>
    <row r="13388" spans="1:13">
      <c r="A13388">
        <v>86010100</v>
      </c>
      <c r="B13388">
        <v>2009424</v>
      </c>
      <c r="C13388" t="s">
        <v>6501</v>
      </c>
      <c r="D13388" t="s">
        <v>442</v>
      </c>
      <c r="F13388">
        <v>0</v>
      </c>
      <c r="H13388" t="s">
        <v>8580</v>
      </c>
      <c r="I13388">
        <v>360</v>
      </c>
      <c r="J13388" t="s">
        <v>450</v>
      </c>
      <c r="K13388" t="s">
        <v>446</v>
      </c>
      <c r="M13388">
        <v>0</v>
      </c>
    </row>
    <row r="13389" spans="1:13">
      <c r="A13389">
        <v>86051200</v>
      </c>
      <c r="B13389">
        <v>2002945</v>
      </c>
      <c r="C13389" t="s">
        <v>14016</v>
      </c>
      <c r="D13389" t="s">
        <v>442</v>
      </c>
      <c r="E13389" t="s">
        <v>441</v>
      </c>
      <c r="F13389">
        <v>1E-3</v>
      </c>
      <c r="H13389" t="s">
        <v>14002</v>
      </c>
      <c r="I13389">
        <v>730</v>
      </c>
      <c r="J13389" t="s">
        <v>450</v>
      </c>
      <c r="K13389" t="s">
        <v>446</v>
      </c>
      <c r="M13389">
        <v>0</v>
      </c>
    </row>
    <row r="13390" spans="1:13">
      <c r="A13390">
        <v>86051300</v>
      </c>
      <c r="B13390">
        <v>2002946</v>
      </c>
      <c r="C13390" t="s">
        <v>14017</v>
      </c>
      <c r="D13390" t="s">
        <v>442</v>
      </c>
      <c r="E13390" t="s">
        <v>441</v>
      </c>
      <c r="F13390">
        <v>1E-3</v>
      </c>
      <c r="G13390">
        <v>0</v>
      </c>
      <c r="H13390" t="s">
        <v>14002</v>
      </c>
      <c r="I13390">
        <v>730</v>
      </c>
      <c r="J13390" t="s">
        <v>450</v>
      </c>
      <c r="M13390">
        <v>0</v>
      </c>
    </row>
    <row r="13391" spans="1:13">
      <c r="A13391">
        <v>86051500</v>
      </c>
      <c r="B13391">
        <v>2002947</v>
      </c>
      <c r="C13391" t="s">
        <v>14018</v>
      </c>
      <c r="D13391" t="s">
        <v>442</v>
      </c>
      <c r="E13391" t="s">
        <v>441</v>
      </c>
      <c r="F13391">
        <v>1E-3</v>
      </c>
      <c r="G13391">
        <v>0</v>
      </c>
      <c r="H13391" t="s">
        <v>14002</v>
      </c>
      <c r="I13391">
        <v>730</v>
      </c>
      <c r="J13391" t="s">
        <v>450</v>
      </c>
      <c r="M13391">
        <v>0</v>
      </c>
    </row>
    <row r="13392" spans="1:13">
      <c r="A13392">
        <v>86051700</v>
      </c>
      <c r="B13392">
        <v>2002948</v>
      </c>
      <c r="C13392" t="s">
        <v>15958</v>
      </c>
      <c r="D13392" t="s">
        <v>442</v>
      </c>
      <c r="E13392" t="s">
        <v>441</v>
      </c>
      <c r="F13392">
        <v>1E-3</v>
      </c>
      <c r="H13392" t="s">
        <v>14002</v>
      </c>
      <c r="I13392">
        <v>730</v>
      </c>
      <c r="J13392" t="s">
        <v>450</v>
      </c>
      <c r="M13392">
        <v>0</v>
      </c>
    </row>
    <row r="13393" spans="1:13">
      <c r="A13393">
        <v>86063100</v>
      </c>
      <c r="B13393">
        <v>2008502</v>
      </c>
      <c r="C13393" t="s">
        <v>6502</v>
      </c>
      <c r="D13393" t="s">
        <v>449</v>
      </c>
      <c r="F13393">
        <v>0</v>
      </c>
      <c r="H13393" t="s">
        <v>8584</v>
      </c>
      <c r="I13393">
        <v>365</v>
      </c>
      <c r="J13393" t="s">
        <v>450</v>
      </c>
      <c r="K13393" t="s">
        <v>446</v>
      </c>
      <c r="M13393">
        <v>0</v>
      </c>
    </row>
    <row r="13394" spans="1:13">
      <c r="A13394">
        <v>86063200</v>
      </c>
      <c r="B13394">
        <v>2008505</v>
      </c>
      <c r="C13394" t="s">
        <v>6503</v>
      </c>
      <c r="D13394" t="s">
        <v>442</v>
      </c>
      <c r="F13394">
        <v>0</v>
      </c>
      <c r="I13394">
        <v>360</v>
      </c>
      <c r="J13394" t="s">
        <v>450</v>
      </c>
      <c r="K13394" t="s">
        <v>446</v>
      </c>
      <c r="M13394">
        <v>0</v>
      </c>
    </row>
    <row r="13395" spans="1:13">
      <c r="A13395">
        <v>86063300</v>
      </c>
      <c r="B13395">
        <v>2008514</v>
      </c>
      <c r="C13395" t="s">
        <v>6504</v>
      </c>
      <c r="D13395" t="s">
        <v>442</v>
      </c>
      <c r="F13395">
        <v>0</v>
      </c>
      <c r="I13395">
        <v>360</v>
      </c>
      <c r="J13395" t="s">
        <v>450</v>
      </c>
      <c r="K13395" t="s">
        <v>446</v>
      </c>
      <c r="M13395">
        <v>0</v>
      </c>
    </row>
    <row r="13396" spans="1:13">
      <c r="A13396">
        <v>86063400</v>
      </c>
      <c r="B13396">
        <v>2008506</v>
      </c>
      <c r="C13396" t="s">
        <v>6505</v>
      </c>
      <c r="D13396" t="s">
        <v>442</v>
      </c>
      <c r="F13396">
        <v>0</v>
      </c>
      <c r="H13396" t="s">
        <v>8580</v>
      </c>
      <c r="I13396">
        <v>360</v>
      </c>
      <c r="J13396" t="s">
        <v>450</v>
      </c>
      <c r="K13396" t="s">
        <v>446</v>
      </c>
      <c r="M13396">
        <v>0</v>
      </c>
    </row>
    <row r="13397" spans="1:13">
      <c r="A13397">
        <v>86063500</v>
      </c>
      <c r="B13397">
        <v>2008515</v>
      </c>
      <c r="C13397" t="s">
        <v>6506</v>
      </c>
      <c r="D13397" t="s">
        <v>442</v>
      </c>
      <c r="F13397">
        <v>0</v>
      </c>
      <c r="H13397" t="s">
        <v>8584</v>
      </c>
      <c r="I13397">
        <v>360</v>
      </c>
      <c r="J13397" t="s">
        <v>450</v>
      </c>
      <c r="K13397" t="s">
        <v>446</v>
      </c>
      <c r="M13397">
        <v>0</v>
      </c>
    </row>
    <row r="13398" spans="1:13">
      <c r="A13398">
        <v>86063600</v>
      </c>
      <c r="B13398">
        <v>2008516</v>
      </c>
      <c r="C13398" t="s">
        <v>6507</v>
      </c>
      <c r="D13398" t="s">
        <v>442</v>
      </c>
      <c r="F13398">
        <v>0</v>
      </c>
      <c r="I13398">
        <v>360</v>
      </c>
      <c r="J13398" t="s">
        <v>450</v>
      </c>
      <c r="K13398" t="s">
        <v>446</v>
      </c>
      <c r="M13398">
        <v>0</v>
      </c>
    </row>
    <row r="13399" spans="1:13">
      <c r="A13399">
        <v>86063800</v>
      </c>
      <c r="B13399">
        <v>2008518</v>
      </c>
      <c r="C13399" t="s">
        <v>6508</v>
      </c>
      <c r="D13399" t="s">
        <v>442</v>
      </c>
      <c r="F13399">
        <v>0</v>
      </c>
      <c r="I13399">
        <v>360</v>
      </c>
      <c r="J13399" t="s">
        <v>450</v>
      </c>
      <c r="K13399" t="s">
        <v>446</v>
      </c>
      <c r="M13399">
        <v>0</v>
      </c>
    </row>
    <row r="13400" spans="1:13">
      <c r="A13400">
        <v>86063900</v>
      </c>
      <c r="B13400">
        <v>2008570</v>
      </c>
      <c r="C13400" t="s">
        <v>6509</v>
      </c>
      <c r="D13400" t="s">
        <v>449</v>
      </c>
      <c r="F13400">
        <v>0</v>
      </c>
      <c r="I13400">
        <v>365</v>
      </c>
      <c r="J13400" t="s">
        <v>450</v>
      </c>
      <c r="K13400" t="s">
        <v>446</v>
      </c>
      <c r="M13400">
        <v>0</v>
      </c>
    </row>
    <row r="13401" spans="1:13">
      <c r="A13401">
        <v>86064000</v>
      </c>
      <c r="B13401">
        <v>2008539</v>
      </c>
      <c r="C13401" t="s">
        <v>6510</v>
      </c>
      <c r="D13401" t="s">
        <v>449</v>
      </c>
      <c r="F13401">
        <v>0</v>
      </c>
      <c r="I13401">
        <v>360</v>
      </c>
      <c r="J13401" t="s">
        <v>450</v>
      </c>
      <c r="K13401" t="s">
        <v>446</v>
      </c>
      <c r="M13401">
        <v>0</v>
      </c>
    </row>
    <row r="13402" spans="1:13">
      <c r="A13402">
        <v>86064100</v>
      </c>
      <c r="B13402">
        <v>2008602</v>
      </c>
      <c r="C13402" t="s">
        <v>6511</v>
      </c>
      <c r="D13402" t="s">
        <v>449</v>
      </c>
      <c r="E13402" t="s">
        <v>441</v>
      </c>
      <c r="F13402">
        <v>1.9047619047619001E-2</v>
      </c>
      <c r="H13402" t="s">
        <v>8580</v>
      </c>
      <c r="I13402">
        <v>365</v>
      </c>
      <c r="J13402" t="s">
        <v>450</v>
      </c>
      <c r="M13402">
        <v>0</v>
      </c>
    </row>
    <row r="13403" spans="1:13">
      <c r="A13403">
        <v>86064200</v>
      </c>
      <c r="B13403">
        <v>2008603</v>
      </c>
      <c r="C13403" t="s">
        <v>6512</v>
      </c>
      <c r="D13403" t="s">
        <v>449</v>
      </c>
      <c r="F13403">
        <v>0</v>
      </c>
      <c r="I13403">
        <v>365</v>
      </c>
      <c r="J13403" t="s">
        <v>450</v>
      </c>
      <c r="K13403" t="s">
        <v>446</v>
      </c>
      <c r="M13403">
        <v>0</v>
      </c>
    </row>
    <row r="13404" spans="1:13">
      <c r="A13404">
        <v>86064300</v>
      </c>
      <c r="B13404">
        <v>2008662</v>
      </c>
      <c r="C13404" t="s">
        <v>6513</v>
      </c>
      <c r="D13404" t="s">
        <v>449</v>
      </c>
      <c r="F13404">
        <v>0</v>
      </c>
      <c r="I13404">
        <v>365</v>
      </c>
      <c r="J13404" t="s">
        <v>450</v>
      </c>
      <c r="K13404" t="s">
        <v>446</v>
      </c>
      <c r="M13404">
        <v>0</v>
      </c>
    </row>
    <row r="13405" spans="1:13">
      <c r="A13405">
        <v>86064400</v>
      </c>
      <c r="B13405">
        <v>2008696</v>
      </c>
      <c r="C13405" t="s">
        <v>6514</v>
      </c>
      <c r="D13405" t="s">
        <v>449</v>
      </c>
      <c r="E13405" t="s">
        <v>441</v>
      </c>
      <c r="F13405">
        <v>0.02</v>
      </c>
      <c r="H13405" t="s">
        <v>8935</v>
      </c>
      <c r="I13405">
        <v>730</v>
      </c>
      <c r="J13405" t="s">
        <v>450</v>
      </c>
      <c r="M13405">
        <v>0</v>
      </c>
    </row>
    <row r="13406" spans="1:13">
      <c r="A13406">
        <v>86064500</v>
      </c>
      <c r="B13406">
        <v>2008702</v>
      </c>
      <c r="C13406" t="s">
        <v>6515</v>
      </c>
      <c r="D13406" t="s">
        <v>449</v>
      </c>
      <c r="E13406" t="s">
        <v>441</v>
      </c>
      <c r="F13406">
        <v>0.02</v>
      </c>
      <c r="H13406" t="s">
        <v>8935</v>
      </c>
      <c r="I13406">
        <v>365</v>
      </c>
      <c r="J13406" t="s">
        <v>450</v>
      </c>
      <c r="K13406" t="s">
        <v>446</v>
      </c>
      <c r="M13406">
        <v>0</v>
      </c>
    </row>
    <row r="13407" spans="1:13">
      <c r="A13407">
        <v>86064600</v>
      </c>
      <c r="B13407">
        <v>2008703</v>
      </c>
      <c r="C13407" t="s">
        <v>6516</v>
      </c>
      <c r="D13407" t="s">
        <v>449</v>
      </c>
      <c r="E13407" t="s">
        <v>441</v>
      </c>
      <c r="F13407">
        <v>0.02</v>
      </c>
      <c r="H13407" t="s">
        <v>8580</v>
      </c>
      <c r="I13407">
        <v>365</v>
      </c>
      <c r="J13407" t="s">
        <v>450</v>
      </c>
      <c r="K13407" t="s">
        <v>446</v>
      </c>
      <c r="M13407">
        <v>0</v>
      </c>
    </row>
    <row r="13408" spans="1:13">
      <c r="A13408">
        <v>86064700</v>
      </c>
      <c r="B13408">
        <v>2001474</v>
      </c>
      <c r="C13408" t="s">
        <v>6517</v>
      </c>
      <c r="D13408" t="s">
        <v>449</v>
      </c>
      <c r="E13408" t="s">
        <v>441</v>
      </c>
      <c r="F13408">
        <v>0.1</v>
      </c>
      <c r="H13408" t="s">
        <v>8576</v>
      </c>
      <c r="I13408">
        <v>720</v>
      </c>
      <c r="J13408" t="s">
        <v>450</v>
      </c>
      <c r="M13408">
        <v>0</v>
      </c>
    </row>
    <row r="13409" spans="1:13">
      <c r="A13409">
        <v>86064800</v>
      </c>
      <c r="B13409">
        <v>2008735</v>
      </c>
      <c r="C13409" t="s">
        <v>6518</v>
      </c>
      <c r="D13409" t="s">
        <v>449</v>
      </c>
      <c r="E13409" t="s">
        <v>441</v>
      </c>
      <c r="F13409">
        <v>0.02</v>
      </c>
      <c r="I13409">
        <v>365</v>
      </c>
      <c r="J13409" t="s">
        <v>450</v>
      </c>
      <c r="K13409" t="s">
        <v>446</v>
      </c>
      <c r="M13409">
        <v>0</v>
      </c>
    </row>
    <row r="13410" spans="1:13">
      <c r="A13410">
        <v>86064900</v>
      </c>
      <c r="B13410">
        <v>2008732</v>
      </c>
      <c r="C13410" t="s">
        <v>6519</v>
      </c>
      <c r="D13410" t="s">
        <v>449</v>
      </c>
      <c r="E13410" t="s">
        <v>441</v>
      </c>
      <c r="F13410">
        <v>0.02</v>
      </c>
      <c r="I13410">
        <v>365</v>
      </c>
      <c r="J13410" t="s">
        <v>450</v>
      </c>
      <c r="K13410" t="s">
        <v>446</v>
      </c>
      <c r="M13410">
        <v>0</v>
      </c>
    </row>
    <row r="13411" spans="1:13">
      <c r="A13411">
        <v>86065000</v>
      </c>
      <c r="B13411">
        <v>2008731</v>
      </c>
      <c r="C13411" t="s">
        <v>6520</v>
      </c>
      <c r="D13411" t="s">
        <v>449</v>
      </c>
      <c r="E13411" t="s">
        <v>441</v>
      </c>
      <c r="F13411">
        <v>0.02</v>
      </c>
      <c r="H13411" t="s">
        <v>8584</v>
      </c>
      <c r="I13411">
        <v>365</v>
      </c>
      <c r="J13411" t="s">
        <v>450</v>
      </c>
      <c r="K13411" t="s">
        <v>446</v>
      </c>
      <c r="M13411">
        <v>0</v>
      </c>
    </row>
    <row r="13412" spans="1:13">
      <c r="A13412">
        <v>86065100</v>
      </c>
      <c r="B13412">
        <v>2008712</v>
      </c>
      <c r="C13412" t="s">
        <v>6521</v>
      </c>
      <c r="D13412" t="s">
        <v>449</v>
      </c>
      <c r="E13412" t="s">
        <v>441</v>
      </c>
      <c r="F13412">
        <v>5.1999999999999998E-2</v>
      </c>
      <c r="H13412" t="s">
        <v>9302</v>
      </c>
      <c r="I13412">
        <v>365</v>
      </c>
      <c r="J13412" t="s">
        <v>450</v>
      </c>
      <c r="K13412" t="s">
        <v>446</v>
      </c>
      <c r="M13412">
        <v>0</v>
      </c>
    </row>
    <row r="13413" spans="1:13">
      <c r="A13413">
        <v>86065200</v>
      </c>
      <c r="B13413">
        <v>2008711</v>
      </c>
      <c r="C13413" t="s">
        <v>6522</v>
      </c>
      <c r="D13413" t="s">
        <v>449</v>
      </c>
      <c r="E13413" t="s">
        <v>441</v>
      </c>
      <c r="F13413">
        <v>0.106</v>
      </c>
      <c r="H13413" t="s">
        <v>9302</v>
      </c>
      <c r="I13413">
        <v>365</v>
      </c>
      <c r="J13413" t="s">
        <v>450</v>
      </c>
      <c r="K13413" t="s">
        <v>446</v>
      </c>
      <c r="M13413">
        <v>0</v>
      </c>
    </row>
    <row r="13414" spans="1:13">
      <c r="A13414">
        <v>86065300</v>
      </c>
      <c r="B13414">
        <v>2008710</v>
      </c>
      <c r="C13414" t="s">
        <v>6523</v>
      </c>
      <c r="D13414" t="s">
        <v>449</v>
      </c>
      <c r="F13414">
        <v>0</v>
      </c>
      <c r="H13414" t="s">
        <v>8584</v>
      </c>
      <c r="I13414">
        <v>730</v>
      </c>
      <c r="J13414" t="s">
        <v>450</v>
      </c>
      <c r="K13414" t="s">
        <v>446</v>
      </c>
      <c r="M13414">
        <v>0</v>
      </c>
    </row>
    <row r="13415" spans="1:13">
      <c r="A13415">
        <v>86065400</v>
      </c>
      <c r="B13415">
        <v>2008779</v>
      </c>
      <c r="C13415" t="s">
        <v>6524</v>
      </c>
      <c r="D13415" t="s">
        <v>449</v>
      </c>
      <c r="F13415">
        <v>0</v>
      </c>
      <c r="H13415" t="s">
        <v>8580</v>
      </c>
      <c r="I13415">
        <v>730</v>
      </c>
      <c r="J13415" t="s">
        <v>450</v>
      </c>
      <c r="K13415" t="s">
        <v>446</v>
      </c>
      <c r="M13415">
        <v>0</v>
      </c>
    </row>
    <row r="13416" spans="1:13">
      <c r="A13416">
        <v>86065500</v>
      </c>
      <c r="B13416">
        <v>2008778</v>
      </c>
      <c r="C13416" t="s">
        <v>6525</v>
      </c>
      <c r="D13416" t="s">
        <v>449</v>
      </c>
      <c r="F13416">
        <v>0</v>
      </c>
      <c r="H13416" t="s">
        <v>8580</v>
      </c>
      <c r="I13416">
        <v>730</v>
      </c>
      <c r="J13416" t="s">
        <v>450</v>
      </c>
      <c r="K13416" t="s">
        <v>446</v>
      </c>
      <c r="M13416">
        <v>0</v>
      </c>
    </row>
    <row r="13417" spans="1:13">
      <c r="A13417">
        <v>86065600</v>
      </c>
      <c r="B13417">
        <v>2008758</v>
      </c>
      <c r="C13417" t="s">
        <v>6526</v>
      </c>
      <c r="D13417" t="s">
        <v>449</v>
      </c>
      <c r="F13417">
        <v>0</v>
      </c>
      <c r="H13417" t="s">
        <v>8580</v>
      </c>
      <c r="I13417">
        <v>365</v>
      </c>
      <c r="J13417" t="s">
        <v>450</v>
      </c>
      <c r="K13417" t="s">
        <v>446</v>
      </c>
      <c r="M13417">
        <v>0</v>
      </c>
    </row>
    <row r="13418" spans="1:13">
      <c r="A13418">
        <v>86065700</v>
      </c>
      <c r="B13418">
        <v>2008759</v>
      </c>
      <c r="C13418" t="s">
        <v>6527</v>
      </c>
      <c r="D13418" t="s">
        <v>449</v>
      </c>
      <c r="F13418">
        <v>0</v>
      </c>
      <c r="H13418" t="s">
        <v>8580</v>
      </c>
      <c r="I13418">
        <v>365</v>
      </c>
      <c r="J13418" t="s">
        <v>450</v>
      </c>
      <c r="K13418" t="s">
        <v>446</v>
      </c>
      <c r="M13418">
        <v>0</v>
      </c>
    </row>
    <row r="13419" spans="1:13">
      <c r="A13419">
        <v>86065800</v>
      </c>
      <c r="B13419">
        <v>2008860</v>
      </c>
      <c r="C13419" t="s">
        <v>6528</v>
      </c>
      <c r="D13419" t="s">
        <v>449</v>
      </c>
      <c r="F13419">
        <v>0</v>
      </c>
      <c r="H13419" t="s">
        <v>8576</v>
      </c>
      <c r="I13419">
        <v>360</v>
      </c>
      <c r="J13419" t="s">
        <v>450</v>
      </c>
      <c r="K13419" t="s">
        <v>446</v>
      </c>
      <c r="M13419">
        <v>0</v>
      </c>
    </row>
    <row r="13420" spans="1:13">
      <c r="A13420">
        <v>86065900</v>
      </c>
      <c r="B13420">
        <v>2008819</v>
      </c>
      <c r="C13420" t="s">
        <v>6529</v>
      </c>
      <c r="D13420" t="s">
        <v>449</v>
      </c>
      <c r="F13420">
        <v>0</v>
      </c>
      <c r="H13420" t="s">
        <v>8576</v>
      </c>
      <c r="I13420">
        <v>360</v>
      </c>
      <c r="J13420" t="s">
        <v>450</v>
      </c>
      <c r="K13420" t="s">
        <v>446</v>
      </c>
      <c r="M13420">
        <v>0</v>
      </c>
    </row>
    <row r="13421" spans="1:13">
      <c r="A13421">
        <v>86066000</v>
      </c>
      <c r="B13421">
        <v>2008864</v>
      </c>
      <c r="C13421" t="s">
        <v>6530</v>
      </c>
      <c r="D13421" t="s">
        <v>449</v>
      </c>
      <c r="F13421">
        <v>0</v>
      </c>
      <c r="H13421" t="s">
        <v>8576</v>
      </c>
      <c r="I13421">
        <v>365</v>
      </c>
      <c r="J13421" t="s">
        <v>450</v>
      </c>
      <c r="K13421" t="s">
        <v>446</v>
      </c>
      <c r="M13421">
        <v>0</v>
      </c>
    </row>
    <row r="13422" spans="1:13">
      <c r="A13422">
        <v>86066100</v>
      </c>
      <c r="B13422">
        <v>2008855</v>
      </c>
      <c r="C13422" t="s">
        <v>6531</v>
      </c>
      <c r="D13422" t="s">
        <v>449</v>
      </c>
      <c r="E13422" t="s">
        <v>441</v>
      </c>
      <c r="F13422">
        <v>0.05</v>
      </c>
      <c r="H13422" t="s">
        <v>8576</v>
      </c>
      <c r="I13422">
        <v>730</v>
      </c>
      <c r="J13422" t="s">
        <v>450</v>
      </c>
      <c r="K13422" t="s">
        <v>446</v>
      </c>
      <c r="M13422">
        <v>0</v>
      </c>
    </row>
    <row r="13423" spans="1:13">
      <c r="A13423">
        <v>86066200</v>
      </c>
      <c r="B13423">
        <v>2008879</v>
      </c>
      <c r="C13423" t="s">
        <v>6532</v>
      </c>
      <c r="D13423" t="s">
        <v>449</v>
      </c>
      <c r="F13423">
        <v>0</v>
      </c>
      <c r="H13423" t="s">
        <v>8935</v>
      </c>
      <c r="I13423">
        <v>365</v>
      </c>
      <c r="J13423" t="s">
        <v>450</v>
      </c>
      <c r="K13423" t="s">
        <v>446</v>
      </c>
      <c r="M13423">
        <v>0</v>
      </c>
    </row>
    <row r="13424" spans="1:13">
      <c r="A13424">
        <v>86066300</v>
      </c>
      <c r="B13424">
        <v>2008890</v>
      </c>
      <c r="C13424" t="s">
        <v>6533</v>
      </c>
      <c r="D13424" t="s">
        <v>449</v>
      </c>
      <c r="E13424" t="s">
        <v>441</v>
      </c>
      <c r="F13424">
        <v>0.02</v>
      </c>
      <c r="H13424" t="s">
        <v>8935</v>
      </c>
      <c r="I13424">
        <v>365</v>
      </c>
      <c r="J13424" t="s">
        <v>450</v>
      </c>
      <c r="K13424" t="s">
        <v>446</v>
      </c>
      <c r="M13424">
        <v>0</v>
      </c>
    </row>
    <row r="13425" spans="1:13">
      <c r="A13425">
        <v>86066400</v>
      </c>
      <c r="B13425">
        <v>2008920</v>
      </c>
      <c r="C13425" t="s">
        <v>6534</v>
      </c>
      <c r="D13425" t="s">
        <v>449</v>
      </c>
      <c r="E13425" t="s">
        <v>441</v>
      </c>
      <c r="F13425">
        <v>0.02</v>
      </c>
      <c r="I13425">
        <v>365</v>
      </c>
      <c r="J13425" t="s">
        <v>450</v>
      </c>
      <c r="K13425" t="s">
        <v>446</v>
      </c>
      <c r="M13425">
        <v>0</v>
      </c>
    </row>
    <row r="13426" spans="1:13">
      <c r="A13426">
        <v>86066500</v>
      </c>
      <c r="B13426">
        <v>2008908</v>
      </c>
      <c r="C13426" t="s">
        <v>6535</v>
      </c>
      <c r="D13426" t="s">
        <v>449</v>
      </c>
      <c r="E13426" t="s">
        <v>441</v>
      </c>
      <c r="F13426">
        <v>0.02</v>
      </c>
      <c r="H13426" t="s">
        <v>8580</v>
      </c>
      <c r="I13426">
        <v>365</v>
      </c>
      <c r="J13426" t="s">
        <v>450</v>
      </c>
      <c r="K13426" t="s">
        <v>446</v>
      </c>
      <c r="M13426">
        <v>0</v>
      </c>
    </row>
    <row r="13427" spans="1:13">
      <c r="A13427">
        <v>86066600</v>
      </c>
      <c r="B13427">
        <v>2008924</v>
      </c>
      <c r="C13427" t="s">
        <v>6536</v>
      </c>
      <c r="D13427" t="s">
        <v>449</v>
      </c>
      <c r="F13427">
        <v>0</v>
      </c>
      <c r="I13427">
        <v>365</v>
      </c>
      <c r="J13427" t="s">
        <v>450</v>
      </c>
      <c r="M13427">
        <v>0</v>
      </c>
    </row>
    <row r="13428" spans="1:13">
      <c r="A13428">
        <v>86066700</v>
      </c>
      <c r="B13428">
        <v>2008952</v>
      </c>
      <c r="C13428" t="s">
        <v>6537</v>
      </c>
      <c r="D13428" t="s">
        <v>449</v>
      </c>
      <c r="E13428" t="s">
        <v>441</v>
      </c>
      <c r="F13428">
        <v>5.0000000000000001E-3</v>
      </c>
      <c r="H13428" t="s">
        <v>8580</v>
      </c>
      <c r="I13428">
        <v>365</v>
      </c>
      <c r="J13428" t="s">
        <v>450</v>
      </c>
      <c r="K13428" t="s">
        <v>446</v>
      </c>
      <c r="M13428">
        <v>0</v>
      </c>
    </row>
    <row r="13429" spans="1:13">
      <c r="A13429">
        <v>86066800</v>
      </c>
      <c r="B13429">
        <v>2008951</v>
      </c>
      <c r="C13429" t="s">
        <v>6538</v>
      </c>
      <c r="D13429" t="s">
        <v>449</v>
      </c>
      <c r="E13429" t="s">
        <v>441</v>
      </c>
      <c r="F13429">
        <v>5.0000000000000001E-3</v>
      </c>
      <c r="H13429" t="s">
        <v>8580</v>
      </c>
      <c r="I13429">
        <v>365</v>
      </c>
      <c r="J13429" t="s">
        <v>450</v>
      </c>
      <c r="K13429" t="s">
        <v>446</v>
      </c>
      <c r="M13429">
        <v>0</v>
      </c>
    </row>
    <row r="13430" spans="1:13">
      <c r="A13430">
        <v>86066900</v>
      </c>
      <c r="B13430">
        <v>2008950</v>
      </c>
      <c r="C13430" t="s">
        <v>6539</v>
      </c>
      <c r="D13430" t="s">
        <v>449</v>
      </c>
      <c r="E13430" t="s">
        <v>441</v>
      </c>
      <c r="F13430">
        <v>5.0000000000000001E-3</v>
      </c>
      <c r="H13430" t="s">
        <v>8580</v>
      </c>
      <c r="I13430">
        <v>365</v>
      </c>
      <c r="J13430" t="s">
        <v>450</v>
      </c>
      <c r="K13430" t="s">
        <v>446</v>
      </c>
      <c r="M13430">
        <v>0</v>
      </c>
    </row>
    <row r="13431" spans="1:13">
      <c r="A13431">
        <v>86067000</v>
      </c>
      <c r="B13431">
        <v>2008929</v>
      </c>
      <c r="C13431" t="s">
        <v>6540</v>
      </c>
      <c r="D13431" t="s">
        <v>449</v>
      </c>
      <c r="E13431" t="s">
        <v>441</v>
      </c>
      <c r="F13431">
        <v>5.0000000000000001E-3</v>
      </c>
      <c r="H13431" t="s">
        <v>8580</v>
      </c>
      <c r="I13431">
        <v>365</v>
      </c>
      <c r="J13431" t="s">
        <v>450</v>
      </c>
      <c r="K13431" t="s">
        <v>446</v>
      </c>
      <c r="M13431">
        <v>0</v>
      </c>
    </row>
    <row r="13432" spans="1:13">
      <c r="A13432">
        <v>86067100</v>
      </c>
      <c r="B13432">
        <v>2008928</v>
      </c>
      <c r="C13432" t="s">
        <v>6541</v>
      </c>
      <c r="D13432" t="s">
        <v>449</v>
      </c>
      <c r="F13432">
        <v>0</v>
      </c>
      <c r="H13432" t="s">
        <v>8580</v>
      </c>
      <c r="I13432">
        <v>365</v>
      </c>
      <c r="J13432" t="s">
        <v>450</v>
      </c>
      <c r="K13432" t="s">
        <v>446</v>
      </c>
      <c r="M13432">
        <v>0</v>
      </c>
    </row>
    <row r="13433" spans="1:13">
      <c r="A13433">
        <v>86067200</v>
      </c>
      <c r="B13433">
        <v>2008927</v>
      </c>
      <c r="C13433" t="s">
        <v>6542</v>
      </c>
      <c r="D13433" t="s">
        <v>449</v>
      </c>
      <c r="F13433">
        <v>0</v>
      </c>
      <c r="H13433" t="s">
        <v>8580</v>
      </c>
      <c r="I13433">
        <v>365</v>
      </c>
      <c r="J13433" t="s">
        <v>450</v>
      </c>
      <c r="K13433" t="s">
        <v>446</v>
      </c>
      <c r="M13433">
        <v>0</v>
      </c>
    </row>
    <row r="13434" spans="1:13">
      <c r="A13434">
        <v>86067300</v>
      </c>
      <c r="B13434">
        <v>2008917</v>
      </c>
      <c r="C13434" t="s">
        <v>6543</v>
      </c>
      <c r="D13434" t="s">
        <v>449</v>
      </c>
      <c r="F13434">
        <v>0</v>
      </c>
      <c r="H13434" t="s">
        <v>8580</v>
      </c>
      <c r="I13434">
        <v>365</v>
      </c>
      <c r="J13434" t="s">
        <v>450</v>
      </c>
      <c r="K13434" t="s">
        <v>446</v>
      </c>
      <c r="M13434">
        <v>0</v>
      </c>
    </row>
    <row r="13435" spans="1:13">
      <c r="A13435">
        <v>86067400</v>
      </c>
      <c r="B13435">
        <v>2008945</v>
      </c>
      <c r="C13435" t="s">
        <v>6544</v>
      </c>
      <c r="D13435" t="s">
        <v>449</v>
      </c>
      <c r="F13435">
        <v>0</v>
      </c>
      <c r="I13435">
        <v>730</v>
      </c>
      <c r="J13435" t="s">
        <v>450</v>
      </c>
      <c r="K13435" t="s">
        <v>446</v>
      </c>
      <c r="M13435">
        <v>0</v>
      </c>
    </row>
    <row r="13436" spans="1:13">
      <c r="A13436">
        <v>86067500</v>
      </c>
      <c r="B13436">
        <v>2008237</v>
      </c>
      <c r="C13436" t="s">
        <v>6545</v>
      </c>
      <c r="D13436" t="s">
        <v>449</v>
      </c>
      <c r="E13436" t="s">
        <v>441</v>
      </c>
      <c r="F13436">
        <v>8.6999999999999994E-2</v>
      </c>
      <c r="H13436" t="s">
        <v>8576</v>
      </c>
      <c r="I13436">
        <v>365</v>
      </c>
      <c r="J13436" t="s">
        <v>450</v>
      </c>
      <c r="K13436" t="s">
        <v>446</v>
      </c>
      <c r="M13436">
        <v>0</v>
      </c>
    </row>
    <row r="13437" spans="1:13">
      <c r="A13437">
        <v>86067600</v>
      </c>
      <c r="B13437">
        <v>2008242</v>
      </c>
      <c r="C13437" t="s">
        <v>6546</v>
      </c>
      <c r="D13437" t="s">
        <v>449</v>
      </c>
      <c r="E13437" t="s">
        <v>441</v>
      </c>
      <c r="F13437">
        <v>8.6999999999999994E-2</v>
      </c>
      <c r="H13437" t="s">
        <v>8580</v>
      </c>
      <c r="I13437">
        <v>365</v>
      </c>
      <c r="J13437" t="s">
        <v>450</v>
      </c>
      <c r="K13437" t="s">
        <v>446</v>
      </c>
      <c r="M13437">
        <v>0</v>
      </c>
    </row>
    <row r="13438" spans="1:13">
      <c r="A13438">
        <v>86067700</v>
      </c>
      <c r="B13438">
        <v>2009011</v>
      </c>
      <c r="C13438" t="s">
        <v>6547</v>
      </c>
      <c r="D13438" t="s">
        <v>449</v>
      </c>
      <c r="E13438" t="s">
        <v>441</v>
      </c>
      <c r="F13438">
        <v>1.6E-2</v>
      </c>
      <c r="H13438" t="s">
        <v>8580</v>
      </c>
      <c r="I13438">
        <v>365</v>
      </c>
      <c r="J13438" t="s">
        <v>450</v>
      </c>
      <c r="K13438" t="s">
        <v>446</v>
      </c>
      <c r="M13438">
        <v>0</v>
      </c>
    </row>
    <row r="13439" spans="1:13">
      <c r="A13439">
        <v>86067800</v>
      </c>
      <c r="B13439">
        <v>2009004</v>
      </c>
      <c r="C13439" t="s">
        <v>6548</v>
      </c>
      <c r="D13439" t="s">
        <v>449</v>
      </c>
      <c r="F13439">
        <v>0</v>
      </c>
      <c r="I13439">
        <v>365</v>
      </c>
      <c r="J13439" t="s">
        <v>450</v>
      </c>
      <c r="K13439" t="s">
        <v>446</v>
      </c>
      <c r="M13439">
        <v>0</v>
      </c>
    </row>
    <row r="13440" spans="1:13">
      <c r="A13440">
        <v>86067900</v>
      </c>
      <c r="B13440">
        <v>2009003</v>
      </c>
      <c r="C13440" t="s">
        <v>6549</v>
      </c>
      <c r="D13440" t="s">
        <v>449</v>
      </c>
      <c r="F13440">
        <v>0</v>
      </c>
      <c r="I13440">
        <v>365</v>
      </c>
      <c r="J13440" t="s">
        <v>450</v>
      </c>
      <c r="K13440" t="s">
        <v>446</v>
      </c>
      <c r="M13440">
        <v>0</v>
      </c>
    </row>
    <row r="13441" spans="1:13">
      <c r="A13441">
        <v>86068000</v>
      </c>
      <c r="B13441">
        <v>2009000</v>
      </c>
      <c r="C13441" t="s">
        <v>6550</v>
      </c>
      <c r="D13441" t="s">
        <v>449</v>
      </c>
      <c r="E13441" t="s">
        <v>441</v>
      </c>
      <c r="F13441">
        <v>5.0000000000000001E-3</v>
      </c>
      <c r="I13441">
        <v>365</v>
      </c>
      <c r="J13441" t="s">
        <v>450</v>
      </c>
      <c r="K13441" t="s">
        <v>446</v>
      </c>
      <c r="M13441">
        <v>0</v>
      </c>
    </row>
    <row r="13442" spans="1:13">
      <c r="A13442">
        <v>86068100</v>
      </c>
      <c r="B13442">
        <v>2009037</v>
      </c>
      <c r="C13442" t="s">
        <v>6551</v>
      </c>
      <c r="D13442" t="s">
        <v>449</v>
      </c>
      <c r="F13442">
        <v>0</v>
      </c>
      <c r="I13442">
        <v>365</v>
      </c>
      <c r="J13442" t="s">
        <v>450</v>
      </c>
      <c r="K13442" t="s">
        <v>446</v>
      </c>
      <c r="M13442">
        <v>0</v>
      </c>
    </row>
    <row r="13443" spans="1:13">
      <c r="A13443">
        <v>86068200</v>
      </c>
      <c r="B13443">
        <v>2009036</v>
      </c>
      <c r="C13443" t="s">
        <v>6552</v>
      </c>
      <c r="D13443" t="s">
        <v>449</v>
      </c>
      <c r="E13443" t="s">
        <v>441</v>
      </c>
      <c r="F13443">
        <v>0.02</v>
      </c>
      <c r="I13443">
        <v>365</v>
      </c>
      <c r="J13443" t="s">
        <v>450</v>
      </c>
      <c r="K13443" t="s">
        <v>446</v>
      </c>
      <c r="M13443">
        <v>0</v>
      </c>
    </row>
    <row r="13444" spans="1:13">
      <c r="A13444">
        <v>86068300</v>
      </c>
      <c r="B13444">
        <v>2009035</v>
      </c>
      <c r="C13444" t="s">
        <v>6553</v>
      </c>
      <c r="D13444" t="s">
        <v>449</v>
      </c>
      <c r="E13444" t="s">
        <v>441</v>
      </c>
      <c r="F13444">
        <v>0.02</v>
      </c>
      <c r="I13444">
        <v>365</v>
      </c>
      <c r="J13444" t="s">
        <v>450</v>
      </c>
      <c r="K13444" t="s">
        <v>446</v>
      </c>
      <c r="M13444">
        <v>0</v>
      </c>
    </row>
    <row r="13445" spans="1:13">
      <c r="A13445">
        <v>86068400</v>
      </c>
      <c r="B13445">
        <v>2009034</v>
      </c>
      <c r="C13445" t="s">
        <v>6554</v>
      </c>
      <c r="D13445" t="s">
        <v>449</v>
      </c>
      <c r="E13445" t="s">
        <v>441</v>
      </c>
      <c r="F13445">
        <v>0.02</v>
      </c>
      <c r="I13445">
        <v>365</v>
      </c>
      <c r="J13445" t="s">
        <v>450</v>
      </c>
      <c r="K13445" t="s">
        <v>446</v>
      </c>
      <c r="M13445">
        <v>0</v>
      </c>
    </row>
    <row r="13446" spans="1:13">
      <c r="A13446">
        <v>86068500</v>
      </c>
      <c r="B13446">
        <v>2009033</v>
      </c>
      <c r="C13446" t="s">
        <v>6555</v>
      </c>
      <c r="D13446" t="s">
        <v>449</v>
      </c>
      <c r="E13446" t="s">
        <v>441</v>
      </c>
      <c r="F13446">
        <v>0.02</v>
      </c>
      <c r="I13446">
        <v>365</v>
      </c>
      <c r="J13446" t="s">
        <v>450</v>
      </c>
      <c r="K13446" t="s">
        <v>446</v>
      </c>
      <c r="M13446">
        <v>0</v>
      </c>
    </row>
    <row r="13447" spans="1:13">
      <c r="A13447">
        <v>86068600</v>
      </c>
      <c r="B13447">
        <v>2009059</v>
      </c>
      <c r="C13447" t="s">
        <v>6556</v>
      </c>
      <c r="D13447" t="s">
        <v>449</v>
      </c>
      <c r="E13447" t="s">
        <v>441</v>
      </c>
      <c r="F13447">
        <v>0.03</v>
      </c>
      <c r="H13447" t="s">
        <v>8580</v>
      </c>
      <c r="I13447">
        <v>365</v>
      </c>
      <c r="J13447" t="s">
        <v>450</v>
      </c>
      <c r="K13447" t="s">
        <v>446</v>
      </c>
      <c r="M13447">
        <v>0</v>
      </c>
    </row>
    <row r="13448" spans="1:13">
      <c r="A13448">
        <v>86068700</v>
      </c>
      <c r="B13448">
        <v>2009081</v>
      </c>
      <c r="C13448" t="s">
        <v>6557</v>
      </c>
      <c r="D13448" t="s">
        <v>449</v>
      </c>
      <c r="F13448">
        <v>0</v>
      </c>
      <c r="I13448">
        <v>365</v>
      </c>
      <c r="J13448" t="s">
        <v>450</v>
      </c>
      <c r="K13448" t="s">
        <v>446</v>
      </c>
      <c r="M13448">
        <v>0</v>
      </c>
    </row>
    <row r="13449" spans="1:13">
      <c r="A13449">
        <v>86068800</v>
      </c>
      <c r="B13449">
        <v>2009062</v>
      </c>
      <c r="C13449" t="s">
        <v>6558</v>
      </c>
      <c r="D13449" t="s">
        <v>449</v>
      </c>
      <c r="F13449">
        <v>0</v>
      </c>
      <c r="I13449">
        <v>365</v>
      </c>
      <c r="J13449" t="s">
        <v>450</v>
      </c>
      <c r="K13449" t="s">
        <v>446</v>
      </c>
      <c r="M13449">
        <v>0</v>
      </c>
    </row>
    <row r="13450" spans="1:13">
      <c r="A13450">
        <v>86068900</v>
      </c>
      <c r="B13450">
        <v>2009067</v>
      </c>
      <c r="C13450" t="s">
        <v>6559</v>
      </c>
      <c r="D13450" t="s">
        <v>449</v>
      </c>
      <c r="E13450" t="s">
        <v>441</v>
      </c>
      <c r="F13450">
        <v>0.02</v>
      </c>
      <c r="H13450" t="s">
        <v>8580</v>
      </c>
      <c r="I13450">
        <v>365</v>
      </c>
      <c r="J13450" t="s">
        <v>450</v>
      </c>
      <c r="K13450" t="s">
        <v>446</v>
      </c>
      <c r="M13450">
        <v>0</v>
      </c>
    </row>
    <row r="13451" spans="1:13">
      <c r="A13451">
        <v>86069000</v>
      </c>
      <c r="B13451">
        <v>2009068</v>
      </c>
      <c r="C13451" t="s">
        <v>6560</v>
      </c>
      <c r="D13451" t="s">
        <v>449</v>
      </c>
      <c r="E13451" t="s">
        <v>441</v>
      </c>
      <c r="F13451">
        <v>0.02</v>
      </c>
      <c r="H13451" t="s">
        <v>8580</v>
      </c>
      <c r="I13451">
        <v>365</v>
      </c>
      <c r="J13451" t="s">
        <v>450</v>
      </c>
      <c r="K13451" t="s">
        <v>446</v>
      </c>
      <c r="M13451">
        <v>0</v>
      </c>
    </row>
    <row r="13452" spans="1:13">
      <c r="A13452">
        <v>86069100</v>
      </c>
      <c r="B13452">
        <v>2009101</v>
      </c>
      <c r="C13452" t="s">
        <v>6561</v>
      </c>
      <c r="D13452" t="s">
        <v>449</v>
      </c>
      <c r="E13452" t="s">
        <v>441</v>
      </c>
      <c r="F13452">
        <v>1.6E-2</v>
      </c>
      <c r="H13452" t="s">
        <v>8935</v>
      </c>
      <c r="I13452">
        <v>365</v>
      </c>
      <c r="J13452" t="s">
        <v>450</v>
      </c>
      <c r="K13452" t="s">
        <v>446</v>
      </c>
      <c r="M13452">
        <v>0</v>
      </c>
    </row>
    <row r="13453" spans="1:13">
      <c r="A13453">
        <v>86069200</v>
      </c>
      <c r="B13453">
        <v>2008065</v>
      </c>
      <c r="C13453" t="s">
        <v>6562</v>
      </c>
      <c r="D13453" t="s">
        <v>449</v>
      </c>
      <c r="E13453" t="s">
        <v>441</v>
      </c>
      <c r="F13453">
        <v>3.4000000000000002E-2</v>
      </c>
      <c r="H13453" t="s">
        <v>8576</v>
      </c>
      <c r="I13453">
        <v>1095</v>
      </c>
      <c r="J13453" t="s">
        <v>450</v>
      </c>
      <c r="K13453" t="s">
        <v>446</v>
      </c>
      <c r="M13453">
        <v>0</v>
      </c>
    </row>
    <row r="13454" spans="1:13">
      <c r="A13454">
        <v>86069300</v>
      </c>
      <c r="B13454">
        <v>2009160</v>
      </c>
      <c r="C13454" t="s">
        <v>6563</v>
      </c>
      <c r="D13454" t="s">
        <v>449</v>
      </c>
      <c r="F13454">
        <v>0</v>
      </c>
      <c r="H13454" t="s">
        <v>8580</v>
      </c>
      <c r="I13454">
        <v>365</v>
      </c>
      <c r="J13454" t="s">
        <v>450</v>
      </c>
      <c r="K13454" t="s">
        <v>446</v>
      </c>
      <c r="M13454">
        <v>0</v>
      </c>
    </row>
    <row r="13455" spans="1:13">
      <c r="A13455">
        <v>86069400</v>
      </c>
      <c r="B13455">
        <v>2009299</v>
      </c>
      <c r="C13455" t="s">
        <v>6564</v>
      </c>
      <c r="D13455" t="s">
        <v>449</v>
      </c>
      <c r="F13455">
        <v>0</v>
      </c>
      <c r="H13455" t="s">
        <v>8580</v>
      </c>
      <c r="I13455">
        <v>365</v>
      </c>
      <c r="J13455" t="s">
        <v>450</v>
      </c>
      <c r="K13455" t="s">
        <v>446</v>
      </c>
      <c r="M13455">
        <v>0</v>
      </c>
    </row>
    <row r="13456" spans="1:13">
      <c r="A13456">
        <v>86069500</v>
      </c>
      <c r="B13456">
        <v>2009300</v>
      </c>
      <c r="C13456" t="s">
        <v>6565</v>
      </c>
      <c r="D13456" t="s">
        <v>449</v>
      </c>
      <c r="F13456">
        <v>0</v>
      </c>
      <c r="H13456" t="s">
        <v>8580</v>
      </c>
      <c r="I13456">
        <v>730</v>
      </c>
      <c r="J13456" t="s">
        <v>450</v>
      </c>
      <c r="K13456" t="s">
        <v>446</v>
      </c>
      <c r="M13456">
        <v>0</v>
      </c>
    </row>
    <row r="13457" spans="1:13">
      <c r="A13457">
        <v>86069600</v>
      </c>
      <c r="B13457">
        <v>2009373</v>
      </c>
      <c r="C13457" t="s">
        <v>6566</v>
      </c>
      <c r="D13457" t="s">
        <v>449</v>
      </c>
      <c r="F13457">
        <v>0</v>
      </c>
      <c r="I13457">
        <v>365</v>
      </c>
      <c r="J13457" t="s">
        <v>450</v>
      </c>
      <c r="M13457">
        <v>0</v>
      </c>
    </row>
    <row r="13458" spans="1:13">
      <c r="A13458">
        <v>86069700</v>
      </c>
      <c r="B13458">
        <v>2009410</v>
      </c>
      <c r="C13458" t="s">
        <v>6567</v>
      </c>
      <c r="D13458" t="s">
        <v>449</v>
      </c>
      <c r="F13458">
        <v>0</v>
      </c>
      <c r="I13458">
        <v>730</v>
      </c>
      <c r="J13458" t="s">
        <v>450</v>
      </c>
      <c r="M13458">
        <v>0</v>
      </c>
    </row>
    <row r="13459" spans="1:13">
      <c r="A13459">
        <v>86069800</v>
      </c>
      <c r="B13459">
        <v>2009346</v>
      </c>
      <c r="C13459" t="s">
        <v>6568</v>
      </c>
      <c r="D13459" t="s">
        <v>442</v>
      </c>
      <c r="F13459">
        <v>0</v>
      </c>
      <c r="I13459">
        <v>360</v>
      </c>
      <c r="J13459" t="s">
        <v>450</v>
      </c>
      <c r="K13459" t="s">
        <v>446</v>
      </c>
      <c r="M13459">
        <v>0</v>
      </c>
    </row>
    <row r="13460" spans="1:13">
      <c r="A13460">
        <v>86069900</v>
      </c>
      <c r="B13460">
        <v>2009422</v>
      </c>
      <c r="C13460" t="s">
        <v>6569</v>
      </c>
      <c r="D13460" t="s">
        <v>442</v>
      </c>
      <c r="F13460">
        <v>0</v>
      </c>
      <c r="H13460" t="s">
        <v>8580</v>
      </c>
      <c r="I13460">
        <v>360</v>
      </c>
      <c r="J13460" t="s">
        <v>450</v>
      </c>
      <c r="K13460" t="s">
        <v>446</v>
      </c>
      <c r="M13460">
        <v>0</v>
      </c>
    </row>
    <row r="13461" spans="1:13">
      <c r="A13461">
        <v>86070100</v>
      </c>
      <c r="B13461">
        <v>2011832</v>
      </c>
      <c r="C13461" t="s">
        <v>6570</v>
      </c>
      <c r="D13461" t="s">
        <v>442</v>
      </c>
      <c r="E13461" t="s">
        <v>441</v>
      </c>
      <c r="F13461">
        <v>0.01</v>
      </c>
      <c r="H13461" t="s">
        <v>8580</v>
      </c>
      <c r="I13461">
        <v>360</v>
      </c>
      <c r="J13461" t="s">
        <v>450</v>
      </c>
      <c r="K13461" t="s">
        <v>446</v>
      </c>
      <c r="M13461">
        <v>0</v>
      </c>
    </row>
    <row r="13462" spans="1:13">
      <c r="A13462">
        <v>86070200</v>
      </c>
      <c r="B13462">
        <v>2009450</v>
      </c>
      <c r="C13462" t="s">
        <v>6571</v>
      </c>
      <c r="D13462" t="s">
        <v>449</v>
      </c>
      <c r="F13462">
        <v>0</v>
      </c>
      <c r="I13462">
        <v>730</v>
      </c>
      <c r="J13462" t="s">
        <v>450</v>
      </c>
      <c r="K13462" t="s">
        <v>446</v>
      </c>
      <c r="M13462">
        <v>0</v>
      </c>
    </row>
    <row r="13463" spans="1:13">
      <c r="A13463">
        <v>86070300</v>
      </c>
      <c r="B13463">
        <v>2009727</v>
      </c>
      <c r="C13463" t="s">
        <v>6572</v>
      </c>
      <c r="D13463" t="s">
        <v>449</v>
      </c>
      <c r="E13463" t="s">
        <v>441</v>
      </c>
      <c r="F13463">
        <v>0.05</v>
      </c>
      <c r="H13463" t="s">
        <v>8580</v>
      </c>
      <c r="I13463">
        <v>360</v>
      </c>
      <c r="J13463" t="s">
        <v>450</v>
      </c>
      <c r="K13463" t="s">
        <v>446</v>
      </c>
      <c r="M13463">
        <v>0</v>
      </c>
    </row>
    <row r="13464" spans="1:13">
      <c r="A13464">
        <v>86070400</v>
      </c>
      <c r="B13464">
        <v>2009621</v>
      </c>
      <c r="C13464" t="s">
        <v>6573</v>
      </c>
      <c r="D13464" t="s">
        <v>442</v>
      </c>
      <c r="F13464">
        <v>0</v>
      </c>
      <c r="H13464" t="s">
        <v>8580</v>
      </c>
      <c r="I13464">
        <v>360</v>
      </c>
      <c r="J13464" t="s">
        <v>450</v>
      </c>
      <c r="K13464" t="s">
        <v>446</v>
      </c>
      <c r="M13464">
        <v>0</v>
      </c>
    </row>
    <row r="13465" spans="1:13">
      <c r="A13465">
        <v>86070600</v>
      </c>
      <c r="B13465">
        <v>2007413</v>
      </c>
      <c r="C13465" t="s">
        <v>6574</v>
      </c>
      <c r="D13465" t="s">
        <v>449</v>
      </c>
      <c r="E13465" t="s">
        <v>441</v>
      </c>
      <c r="F13465">
        <v>6.2E-2</v>
      </c>
      <c r="H13465" t="s">
        <v>8576</v>
      </c>
      <c r="I13465">
        <v>730</v>
      </c>
      <c r="J13465" t="s">
        <v>450</v>
      </c>
      <c r="M13465">
        <v>0</v>
      </c>
    </row>
    <row r="13466" spans="1:13">
      <c r="A13466">
        <v>86071000</v>
      </c>
      <c r="B13466">
        <v>2009798</v>
      </c>
      <c r="C13466" t="s">
        <v>6575</v>
      </c>
      <c r="D13466" t="s">
        <v>442</v>
      </c>
      <c r="F13466">
        <v>0</v>
      </c>
      <c r="H13466" t="s">
        <v>8584</v>
      </c>
      <c r="I13466">
        <v>360</v>
      </c>
      <c r="J13466" t="s">
        <v>450</v>
      </c>
      <c r="K13466" t="s">
        <v>446</v>
      </c>
      <c r="M13466">
        <v>0</v>
      </c>
    </row>
    <row r="13467" spans="1:13">
      <c r="A13467">
        <v>86071900</v>
      </c>
      <c r="B13467">
        <v>2009876</v>
      </c>
      <c r="C13467" t="s">
        <v>6576</v>
      </c>
      <c r="D13467" t="s">
        <v>449</v>
      </c>
      <c r="E13467" t="s">
        <v>441</v>
      </c>
      <c r="F13467">
        <v>0.02</v>
      </c>
      <c r="H13467" t="s">
        <v>8584</v>
      </c>
      <c r="I13467">
        <v>365</v>
      </c>
      <c r="J13467" t="s">
        <v>450</v>
      </c>
      <c r="K13467" t="s">
        <v>446</v>
      </c>
      <c r="M13467">
        <v>0</v>
      </c>
    </row>
    <row r="13468" spans="1:13">
      <c r="A13468">
        <v>86072000</v>
      </c>
      <c r="B13468">
        <v>2009891</v>
      </c>
      <c r="C13468" t="s">
        <v>6577</v>
      </c>
      <c r="D13468" t="s">
        <v>449</v>
      </c>
      <c r="E13468" t="s">
        <v>441</v>
      </c>
      <c r="F13468">
        <v>0.01</v>
      </c>
      <c r="H13468" t="s">
        <v>8580</v>
      </c>
      <c r="I13468">
        <v>365</v>
      </c>
      <c r="J13468" t="s">
        <v>450</v>
      </c>
      <c r="K13468" t="s">
        <v>446</v>
      </c>
      <c r="M13468">
        <v>0</v>
      </c>
    </row>
    <row r="13469" spans="1:13">
      <c r="A13469">
        <v>86072200</v>
      </c>
      <c r="B13469">
        <v>2009892</v>
      </c>
      <c r="C13469" t="s">
        <v>6578</v>
      </c>
      <c r="D13469" t="s">
        <v>449</v>
      </c>
      <c r="E13469" t="s">
        <v>441</v>
      </c>
      <c r="F13469">
        <v>1.6E-2</v>
      </c>
      <c r="I13469">
        <v>365</v>
      </c>
      <c r="J13469" t="s">
        <v>450</v>
      </c>
      <c r="K13469" t="s">
        <v>446</v>
      </c>
      <c r="M13469">
        <v>0</v>
      </c>
    </row>
    <row r="13470" spans="1:13">
      <c r="A13470">
        <v>86072400</v>
      </c>
      <c r="B13470">
        <v>2009896</v>
      </c>
      <c r="C13470" t="s">
        <v>6579</v>
      </c>
      <c r="D13470" t="s">
        <v>449</v>
      </c>
      <c r="E13470" t="s">
        <v>441</v>
      </c>
      <c r="F13470">
        <v>0.03</v>
      </c>
      <c r="H13470" t="s">
        <v>8580</v>
      </c>
      <c r="I13470">
        <v>365</v>
      </c>
      <c r="J13470" t="s">
        <v>450</v>
      </c>
      <c r="K13470" t="s">
        <v>446</v>
      </c>
      <c r="M13470">
        <v>0</v>
      </c>
    </row>
    <row r="13471" spans="1:13">
      <c r="A13471">
        <v>86072500</v>
      </c>
      <c r="B13471">
        <v>2009904</v>
      </c>
      <c r="C13471" t="s">
        <v>6580</v>
      </c>
      <c r="D13471" t="s">
        <v>442</v>
      </c>
      <c r="F13471">
        <v>0</v>
      </c>
      <c r="H13471" t="s">
        <v>8580</v>
      </c>
      <c r="I13471">
        <v>360</v>
      </c>
      <c r="J13471" t="s">
        <v>450</v>
      </c>
      <c r="K13471" t="s">
        <v>446</v>
      </c>
      <c r="M13471">
        <v>0</v>
      </c>
    </row>
    <row r="13472" spans="1:13">
      <c r="A13472">
        <v>86072600</v>
      </c>
      <c r="B13472">
        <v>2010079</v>
      </c>
      <c r="C13472" t="s">
        <v>6581</v>
      </c>
      <c r="D13472" t="s">
        <v>449</v>
      </c>
      <c r="E13472" t="s">
        <v>441</v>
      </c>
      <c r="F13472">
        <v>1.6E-2</v>
      </c>
      <c r="H13472" t="s">
        <v>8580</v>
      </c>
      <c r="I13472">
        <v>365</v>
      </c>
      <c r="J13472" t="s">
        <v>450</v>
      </c>
      <c r="K13472" t="s">
        <v>446</v>
      </c>
      <c r="M13472">
        <v>0</v>
      </c>
    </row>
    <row r="13473" spans="1:13">
      <c r="A13473">
        <v>86072700</v>
      </c>
      <c r="B13473">
        <v>2004119</v>
      </c>
      <c r="C13473" t="s">
        <v>6582</v>
      </c>
      <c r="D13473" t="s">
        <v>449</v>
      </c>
      <c r="E13473" t="s">
        <v>441</v>
      </c>
      <c r="F13473">
        <v>0.03</v>
      </c>
      <c r="H13473" t="s">
        <v>8576</v>
      </c>
      <c r="I13473">
        <v>730</v>
      </c>
      <c r="J13473" t="s">
        <v>450</v>
      </c>
      <c r="M13473">
        <v>0</v>
      </c>
    </row>
    <row r="13474" spans="1:13">
      <c r="A13474">
        <v>86072800</v>
      </c>
      <c r="B13474">
        <v>2010143</v>
      </c>
      <c r="C13474" t="s">
        <v>6583</v>
      </c>
      <c r="D13474" t="s">
        <v>449</v>
      </c>
      <c r="E13474" t="s">
        <v>441</v>
      </c>
      <c r="F13474">
        <v>0.03</v>
      </c>
      <c r="H13474" t="s">
        <v>8580</v>
      </c>
      <c r="I13474">
        <v>365</v>
      </c>
      <c r="J13474" t="s">
        <v>450</v>
      </c>
      <c r="K13474" t="s">
        <v>446</v>
      </c>
      <c r="M13474">
        <v>0</v>
      </c>
    </row>
    <row r="13475" spans="1:13">
      <c r="A13475">
        <v>86072900</v>
      </c>
      <c r="B13475">
        <v>2010141</v>
      </c>
      <c r="C13475" t="s">
        <v>6584</v>
      </c>
      <c r="D13475" t="s">
        <v>449</v>
      </c>
      <c r="E13475" t="s">
        <v>441</v>
      </c>
      <c r="F13475">
        <v>0.03</v>
      </c>
      <c r="H13475" t="s">
        <v>8584</v>
      </c>
      <c r="I13475">
        <v>365</v>
      </c>
      <c r="J13475" t="s">
        <v>450</v>
      </c>
      <c r="K13475" t="s">
        <v>446</v>
      </c>
      <c r="M13475">
        <v>0</v>
      </c>
    </row>
    <row r="13476" spans="1:13">
      <c r="A13476">
        <v>86073000</v>
      </c>
      <c r="B13476">
        <v>2010142</v>
      </c>
      <c r="C13476" t="s">
        <v>6585</v>
      </c>
      <c r="D13476" t="s">
        <v>449</v>
      </c>
      <c r="E13476" t="s">
        <v>441</v>
      </c>
      <c r="F13476">
        <v>0.03</v>
      </c>
      <c r="H13476" t="s">
        <v>8583</v>
      </c>
      <c r="I13476">
        <v>365</v>
      </c>
      <c r="J13476" t="s">
        <v>450</v>
      </c>
      <c r="K13476" t="s">
        <v>446</v>
      </c>
      <c r="M13476">
        <v>0</v>
      </c>
    </row>
    <row r="13477" spans="1:13">
      <c r="A13477">
        <v>86073100</v>
      </c>
      <c r="B13477">
        <v>2010147</v>
      </c>
      <c r="C13477" t="s">
        <v>6586</v>
      </c>
      <c r="D13477" t="s">
        <v>449</v>
      </c>
      <c r="E13477" t="s">
        <v>441</v>
      </c>
      <c r="F13477">
        <v>0.03</v>
      </c>
      <c r="H13477" t="s">
        <v>8584</v>
      </c>
      <c r="I13477">
        <v>365</v>
      </c>
      <c r="J13477" t="s">
        <v>450</v>
      </c>
      <c r="K13477" t="s">
        <v>446</v>
      </c>
      <c r="M13477">
        <v>0</v>
      </c>
    </row>
    <row r="13478" spans="1:13">
      <c r="A13478">
        <v>86073200</v>
      </c>
      <c r="B13478">
        <v>2010281</v>
      </c>
      <c r="C13478" t="s">
        <v>6587</v>
      </c>
      <c r="D13478" t="s">
        <v>449</v>
      </c>
      <c r="E13478" t="s">
        <v>441</v>
      </c>
      <c r="F13478">
        <v>0.1</v>
      </c>
      <c r="H13478" t="s">
        <v>8580</v>
      </c>
      <c r="I13478">
        <v>365</v>
      </c>
      <c r="J13478" t="s">
        <v>450</v>
      </c>
      <c r="K13478" t="s">
        <v>446</v>
      </c>
      <c r="M13478">
        <v>0</v>
      </c>
    </row>
    <row r="13479" spans="1:13">
      <c r="A13479">
        <v>86073300</v>
      </c>
      <c r="B13479">
        <v>2010280</v>
      </c>
      <c r="C13479" t="s">
        <v>6588</v>
      </c>
      <c r="D13479" t="s">
        <v>449</v>
      </c>
      <c r="E13479" t="s">
        <v>441</v>
      </c>
      <c r="F13479">
        <v>0.1</v>
      </c>
      <c r="H13479" t="s">
        <v>8580</v>
      </c>
      <c r="I13479">
        <v>365</v>
      </c>
      <c r="J13479" t="s">
        <v>450</v>
      </c>
      <c r="K13479" t="s">
        <v>446</v>
      </c>
      <c r="M13479">
        <v>0</v>
      </c>
    </row>
    <row r="13480" spans="1:13">
      <c r="A13480">
        <v>86073400</v>
      </c>
      <c r="B13480">
        <v>2010249</v>
      </c>
      <c r="C13480" t="s">
        <v>6589</v>
      </c>
      <c r="D13480" t="s">
        <v>449</v>
      </c>
      <c r="E13480" t="s">
        <v>441</v>
      </c>
      <c r="F13480">
        <v>0.1</v>
      </c>
      <c r="I13480">
        <v>365</v>
      </c>
      <c r="J13480" t="s">
        <v>450</v>
      </c>
      <c r="K13480" t="s">
        <v>446</v>
      </c>
      <c r="M13480">
        <v>0</v>
      </c>
    </row>
    <row r="13481" spans="1:13">
      <c r="A13481">
        <v>86073500</v>
      </c>
      <c r="B13481">
        <v>2010290</v>
      </c>
      <c r="C13481" t="s">
        <v>6590</v>
      </c>
      <c r="D13481" t="s">
        <v>449</v>
      </c>
      <c r="E13481" t="s">
        <v>441</v>
      </c>
      <c r="F13481">
        <v>0.1</v>
      </c>
      <c r="I13481">
        <v>365</v>
      </c>
      <c r="J13481" t="s">
        <v>450</v>
      </c>
      <c r="K13481" t="s">
        <v>446</v>
      </c>
      <c r="M13481">
        <v>0</v>
      </c>
    </row>
    <row r="13482" spans="1:13">
      <c r="A13482">
        <v>86073600</v>
      </c>
      <c r="B13482">
        <v>2010267</v>
      </c>
      <c r="C13482" t="s">
        <v>6591</v>
      </c>
      <c r="D13482" t="s">
        <v>449</v>
      </c>
      <c r="E13482" t="s">
        <v>441</v>
      </c>
      <c r="F13482">
        <v>1.7999999999999999E-2</v>
      </c>
      <c r="H13482" t="s">
        <v>8580</v>
      </c>
      <c r="I13482">
        <v>365</v>
      </c>
      <c r="J13482" t="s">
        <v>450</v>
      </c>
      <c r="K13482" t="s">
        <v>446</v>
      </c>
      <c r="M13482">
        <v>0</v>
      </c>
    </row>
    <row r="13483" spans="1:13">
      <c r="A13483">
        <v>86073700</v>
      </c>
      <c r="B13483">
        <v>2010268</v>
      </c>
      <c r="C13483" t="s">
        <v>6592</v>
      </c>
      <c r="D13483" t="s">
        <v>449</v>
      </c>
      <c r="E13483" t="s">
        <v>441</v>
      </c>
      <c r="F13483">
        <v>0.02</v>
      </c>
      <c r="H13483" t="s">
        <v>8580</v>
      </c>
      <c r="I13483">
        <v>365</v>
      </c>
      <c r="J13483" t="s">
        <v>450</v>
      </c>
      <c r="K13483" t="s">
        <v>446</v>
      </c>
      <c r="M13483">
        <v>0</v>
      </c>
    </row>
    <row r="13484" spans="1:13">
      <c r="A13484">
        <v>86073800</v>
      </c>
      <c r="B13484">
        <v>2010302</v>
      </c>
      <c r="C13484" t="s">
        <v>6593</v>
      </c>
      <c r="D13484" t="s">
        <v>449</v>
      </c>
      <c r="E13484" t="s">
        <v>441</v>
      </c>
      <c r="F13484">
        <v>1.6E-2</v>
      </c>
      <c r="H13484" t="s">
        <v>8580</v>
      </c>
      <c r="I13484">
        <v>365</v>
      </c>
      <c r="J13484" t="s">
        <v>450</v>
      </c>
      <c r="K13484" t="s">
        <v>446</v>
      </c>
      <c r="M13484">
        <v>0</v>
      </c>
    </row>
    <row r="13485" spans="1:13">
      <c r="A13485">
        <v>86073900</v>
      </c>
      <c r="B13485">
        <v>2010303</v>
      </c>
      <c r="C13485" t="s">
        <v>6594</v>
      </c>
      <c r="D13485" t="s">
        <v>449</v>
      </c>
      <c r="E13485" t="s">
        <v>441</v>
      </c>
      <c r="F13485">
        <v>1.6E-2</v>
      </c>
      <c r="H13485" t="s">
        <v>8580</v>
      </c>
      <c r="I13485">
        <v>365</v>
      </c>
      <c r="J13485" t="s">
        <v>450</v>
      </c>
      <c r="M13485">
        <v>0</v>
      </c>
    </row>
    <row r="13486" spans="1:13">
      <c r="A13486">
        <v>86074000</v>
      </c>
      <c r="B13486">
        <v>2010358</v>
      </c>
      <c r="C13486" t="s">
        <v>6595</v>
      </c>
      <c r="D13486" t="s">
        <v>449</v>
      </c>
      <c r="E13486" t="s">
        <v>441</v>
      </c>
      <c r="F13486">
        <v>2.8000000000000001E-2</v>
      </c>
      <c r="H13486" t="s">
        <v>8584</v>
      </c>
      <c r="I13486">
        <v>365</v>
      </c>
      <c r="J13486" t="s">
        <v>450</v>
      </c>
      <c r="K13486" t="s">
        <v>446</v>
      </c>
      <c r="M13486">
        <v>0</v>
      </c>
    </row>
    <row r="13487" spans="1:13">
      <c r="A13487">
        <v>86074100</v>
      </c>
      <c r="B13487">
        <v>2010359</v>
      </c>
      <c r="C13487" t="s">
        <v>6596</v>
      </c>
      <c r="D13487" t="s">
        <v>449</v>
      </c>
      <c r="E13487" t="s">
        <v>441</v>
      </c>
      <c r="F13487">
        <v>0.1</v>
      </c>
      <c r="H13487" t="s">
        <v>8584</v>
      </c>
      <c r="I13487">
        <v>365</v>
      </c>
      <c r="J13487" t="s">
        <v>450</v>
      </c>
      <c r="K13487" t="s">
        <v>446</v>
      </c>
      <c r="M13487">
        <v>0</v>
      </c>
    </row>
    <row r="13488" spans="1:13">
      <c r="A13488">
        <v>86074200</v>
      </c>
      <c r="B13488">
        <v>2010333</v>
      </c>
      <c r="C13488" t="s">
        <v>6597</v>
      </c>
      <c r="D13488" t="s">
        <v>449</v>
      </c>
      <c r="E13488" t="s">
        <v>441</v>
      </c>
      <c r="F13488">
        <v>3.5999999999999997E-2</v>
      </c>
      <c r="I13488">
        <v>365</v>
      </c>
      <c r="J13488" t="s">
        <v>450</v>
      </c>
      <c r="K13488" t="s">
        <v>446</v>
      </c>
      <c r="M13488">
        <v>0</v>
      </c>
    </row>
    <row r="13489" spans="1:13">
      <c r="A13489">
        <v>86074300</v>
      </c>
      <c r="B13489">
        <v>2010334</v>
      </c>
      <c r="C13489" t="s">
        <v>6598</v>
      </c>
      <c r="D13489" t="s">
        <v>449</v>
      </c>
      <c r="E13489" t="s">
        <v>441</v>
      </c>
      <c r="F13489">
        <v>3.5999999999999997E-2</v>
      </c>
      <c r="I13489">
        <v>365</v>
      </c>
      <c r="J13489" t="s">
        <v>450</v>
      </c>
      <c r="K13489" t="s">
        <v>446</v>
      </c>
      <c r="M13489">
        <v>0</v>
      </c>
    </row>
    <row r="13490" spans="1:13">
      <c r="A13490">
        <v>86074400</v>
      </c>
      <c r="B13490">
        <v>2010335</v>
      </c>
      <c r="C13490" t="s">
        <v>6599</v>
      </c>
      <c r="D13490" t="s">
        <v>449</v>
      </c>
      <c r="E13490" t="s">
        <v>441</v>
      </c>
      <c r="F13490">
        <v>3.5999999999999997E-2</v>
      </c>
      <c r="I13490">
        <v>365</v>
      </c>
      <c r="J13490" t="s">
        <v>450</v>
      </c>
      <c r="K13490" t="s">
        <v>446</v>
      </c>
      <c r="M13490">
        <v>0</v>
      </c>
    </row>
    <row r="13491" spans="1:13">
      <c r="A13491">
        <v>86074500</v>
      </c>
      <c r="B13491">
        <v>2010434</v>
      </c>
      <c r="C13491" t="s">
        <v>6600</v>
      </c>
      <c r="D13491" t="s">
        <v>449</v>
      </c>
      <c r="E13491" t="s">
        <v>441</v>
      </c>
      <c r="F13491">
        <v>4.4999999999999998E-2</v>
      </c>
      <c r="H13491" t="s">
        <v>8580</v>
      </c>
      <c r="I13491">
        <v>365</v>
      </c>
      <c r="J13491" t="s">
        <v>450</v>
      </c>
      <c r="M13491">
        <v>0</v>
      </c>
    </row>
    <row r="13492" spans="1:13">
      <c r="A13492">
        <v>86074600</v>
      </c>
      <c r="B13492">
        <v>2010466</v>
      </c>
      <c r="C13492" t="s">
        <v>6601</v>
      </c>
      <c r="D13492" t="s">
        <v>449</v>
      </c>
      <c r="E13492" t="s">
        <v>441</v>
      </c>
      <c r="F13492">
        <v>3.5999999999999997E-2</v>
      </c>
      <c r="I13492">
        <v>365</v>
      </c>
      <c r="J13492" t="s">
        <v>450</v>
      </c>
      <c r="M13492">
        <v>0</v>
      </c>
    </row>
    <row r="13493" spans="1:13">
      <c r="A13493">
        <v>86074700</v>
      </c>
      <c r="B13493">
        <v>2008004</v>
      </c>
      <c r="C13493" t="s">
        <v>6602</v>
      </c>
      <c r="D13493" t="s">
        <v>449</v>
      </c>
      <c r="F13493">
        <v>0</v>
      </c>
      <c r="H13493" t="s">
        <v>8576</v>
      </c>
      <c r="I13493">
        <v>366</v>
      </c>
      <c r="J13493" t="s">
        <v>450</v>
      </c>
      <c r="K13493" t="s">
        <v>446</v>
      </c>
      <c r="M13493">
        <v>0</v>
      </c>
    </row>
    <row r="13494" spans="1:13">
      <c r="A13494">
        <v>86074800</v>
      </c>
      <c r="B13494">
        <v>2009370</v>
      </c>
      <c r="C13494" t="s">
        <v>6603</v>
      </c>
      <c r="D13494" t="s">
        <v>442</v>
      </c>
      <c r="F13494">
        <v>0</v>
      </c>
      <c r="I13494">
        <v>9999</v>
      </c>
      <c r="J13494" t="s">
        <v>450</v>
      </c>
      <c r="K13494" t="s">
        <v>446</v>
      </c>
      <c r="M13494">
        <v>0</v>
      </c>
    </row>
    <row r="13495" spans="1:13">
      <c r="A13495">
        <v>86074900</v>
      </c>
      <c r="B13495">
        <v>2010611</v>
      </c>
      <c r="C13495" t="s">
        <v>6604</v>
      </c>
      <c r="D13495" t="s">
        <v>449</v>
      </c>
      <c r="E13495" t="s">
        <v>441</v>
      </c>
      <c r="F13495">
        <v>0.02</v>
      </c>
      <c r="H13495" t="s">
        <v>8583</v>
      </c>
      <c r="I13495">
        <v>365</v>
      </c>
      <c r="J13495" t="s">
        <v>450</v>
      </c>
      <c r="K13495" t="s">
        <v>446</v>
      </c>
      <c r="M13495">
        <v>0</v>
      </c>
    </row>
    <row r="13496" spans="1:13">
      <c r="A13496">
        <v>86075000</v>
      </c>
      <c r="B13496">
        <v>2010632</v>
      </c>
      <c r="C13496" t="s">
        <v>6605</v>
      </c>
      <c r="D13496" t="s">
        <v>449</v>
      </c>
      <c r="E13496" t="s">
        <v>441</v>
      </c>
      <c r="F13496">
        <v>1.7999999999999999E-2</v>
      </c>
      <c r="H13496" t="s">
        <v>8580</v>
      </c>
      <c r="I13496">
        <v>365</v>
      </c>
      <c r="J13496" t="s">
        <v>450</v>
      </c>
      <c r="K13496" t="s">
        <v>446</v>
      </c>
      <c r="M13496">
        <v>0</v>
      </c>
    </row>
    <row r="13497" spans="1:13">
      <c r="A13497">
        <v>86075100</v>
      </c>
      <c r="B13497">
        <v>2010609</v>
      </c>
      <c r="C13497" t="s">
        <v>6606</v>
      </c>
      <c r="D13497" t="s">
        <v>449</v>
      </c>
      <c r="E13497" t="s">
        <v>441</v>
      </c>
      <c r="F13497">
        <v>0.03</v>
      </c>
      <c r="H13497" t="s">
        <v>8584</v>
      </c>
      <c r="I13497">
        <v>365</v>
      </c>
      <c r="J13497" t="s">
        <v>450</v>
      </c>
      <c r="K13497" t="s">
        <v>446</v>
      </c>
      <c r="M13497">
        <v>0</v>
      </c>
    </row>
    <row r="13498" spans="1:13">
      <c r="A13498">
        <v>86075200</v>
      </c>
      <c r="B13498">
        <v>2010630</v>
      </c>
      <c r="C13498" t="s">
        <v>6607</v>
      </c>
      <c r="D13498" t="s">
        <v>449</v>
      </c>
      <c r="E13498" t="s">
        <v>441</v>
      </c>
      <c r="F13498">
        <v>0.03</v>
      </c>
      <c r="H13498" t="s">
        <v>8584</v>
      </c>
      <c r="I13498">
        <v>365</v>
      </c>
      <c r="J13498" t="s">
        <v>450</v>
      </c>
      <c r="K13498" t="s">
        <v>446</v>
      </c>
      <c r="M13498">
        <v>0</v>
      </c>
    </row>
    <row r="13499" spans="1:13">
      <c r="A13499">
        <v>86075300</v>
      </c>
      <c r="B13499">
        <v>2010631</v>
      </c>
      <c r="C13499" t="s">
        <v>6608</v>
      </c>
      <c r="D13499" t="s">
        <v>449</v>
      </c>
      <c r="E13499" t="s">
        <v>441</v>
      </c>
      <c r="F13499">
        <v>0.03</v>
      </c>
      <c r="H13499" t="s">
        <v>8584</v>
      </c>
      <c r="I13499">
        <v>365</v>
      </c>
      <c r="J13499" t="s">
        <v>450</v>
      </c>
      <c r="K13499" t="s">
        <v>446</v>
      </c>
      <c r="M13499">
        <v>0</v>
      </c>
    </row>
    <row r="13500" spans="1:13">
      <c r="A13500">
        <v>86075500</v>
      </c>
      <c r="B13500">
        <v>2010633</v>
      </c>
      <c r="C13500" t="s">
        <v>6609</v>
      </c>
      <c r="D13500" t="s">
        <v>449</v>
      </c>
      <c r="E13500" t="s">
        <v>441</v>
      </c>
      <c r="F13500">
        <v>0.1</v>
      </c>
      <c r="H13500" t="s">
        <v>9302</v>
      </c>
      <c r="I13500">
        <v>365</v>
      </c>
      <c r="J13500" t="s">
        <v>450</v>
      </c>
      <c r="M13500">
        <v>0</v>
      </c>
    </row>
    <row r="13501" spans="1:13">
      <c r="A13501">
        <v>86075600</v>
      </c>
      <c r="B13501">
        <v>2010634</v>
      </c>
      <c r="C13501" t="s">
        <v>6610</v>
      </c>
      <c r="D13501" t="s">
        <v>449</v>
      </c>
      <c r="E13501" t="s">
        <v>441</v>
      </c>
      <c r="F13501">
        <v>1.6E-2</v>
      </c>
      <c r="H13501" t="s">
        <v>9302</v>
      </c>
      <c r="I13501">
        <v>365</v>
      </c>
      <c r="J13501" t="s">
        <v>450</v>
      </c>
      <c r="K13501" t="s">
        <v>446</v>
      </c>
      <c r="M13501">
        <v>0</v>
      </c>
    </row>
    <row r="13502" spans="1:13">
      <c r="A13502">
        <v>86075700</v>
      </c>
      <c r="B13502">
        <v>2010635</v>
      </c>
      <c r="C13502" t="s">
        <v>6611</v>
      </c>
      <c r="D13502" t="s">
        <v>449</v>
      </c>
      <c r="E13502" t="s">
        <v>441</v>
      </c>
      <c r="F13502">
        <v>0.02</v>
      </c>
      <c r="H13502" t="s">
        <v>8580</v>
      </c>
      <c r="I13502">
        <v>365</v>
      </c>
      <c r="J13502" t="s">
        <v>450</v>
      </c>
      <c r="K13502" t="s">
        <v>446</v>
      </c>
      <c r="M13502">
        <v>0</v>
      </c>
    </row>
    <row r="13503" spans="1:13">
      <c r="A13503">
        <v>86075800</v>
      </c>
      <c r="B13503">
        <v>2010725</v>
      </c>
      <c r="C13503" t="s">
        <v>6612</v>
      </c>
      <c r="D13503" t="s">
        <v>449</v>
      </c>
      <c r="E13503" t="s">
        <v>441</v>
      </c>
      <c r="F13503">
        <v>4.4999999999999998E-2</v>
      </c>
      <c r="H13503" t="s">
        <v>8583</v>
      </c>
      <c r="I13503">
        <v>365</v>
      </c>
      <c r="J13503" t="s">
        <v>450</v>
      </c>
      <c r="M13503">
        <v>0</v>
      </c>
    </row>
    <row r="13504" spans="1:13">
      <c r="A13504">
        <v>86075900</v>
      </c>
      <c r="B13504">
        <v>2010699</v>
      </c>
      <c r="C13504" t="s">
        <v>6613</v>
      </c>
      <c r="D13504" t="s">
        <v>449</v>
      </c>
      <c r="E13504" t="s">
        <v>441</v>
      </c>
      <c r="F13504">
        <v>4.4999999999999998E-2</v>
      </c>
      <c r="H13504" t="s">
        <v>8584</v>
      </c>
      <c r="I13504">
        <v>365</v>
      </c>
      <c r="J13504" t="s">
        <v>450</v>
      </c>
      <c r="K13504" t="s">
        <v>446</v>
      </c>
      <c r="M13504">
        <v>0</v>
      </c>
    </row>
    <row r="13505" spans="1:13">
      <c r="A13505">
        <v>86076000</v>
      </c>
      <c r="B13505">
        <v>2010810</v>
      </c>
      <c r="C13505" t="s">
        <v>6614</v>
      </c>
      <c r="D13505" t="s">
        <v>449</v>
      </c>
      <c r="E13505" t="s">
        <v>441</v>
      </c>
      <c r="F13505">
        <v>4.4999999999999998E-2</v>
      </c>
      <c r="H13505" t="s">
        <v>8935</v>
      </c>
      <c r="I13505">
        <v>365</v>
      </c>
      <c r="J13505" t="s">
        <v>450</v>
      </c>
      <c r="M13505">
        <v>0</v>
      </c>
    </row>
    <row r="13506" spans="1:13">
      <c r="A13506">
        <v>86076100</v>
      </c>
      <c r="B13506">
        <v>2004843</v>
      </c>
      <c r="C13506" t="s">
        <v>6615</v>
      </c>
      <c r="D13506" t="s">
        <v>449</v>
      </c>
      <c r="E13506" t="s">
        <v>441</v>
      </c>
      <c r="F13506">
        <v>2.8000000000000001E-2</v>
      </c>
      <c r="H13506" t="s">
        <v>8580</v>
      </c>
      <c r="I13506">
        <v>360</v>
      </c>
      <c r="J13506" t="s">
        <v>450</v>
      </c>
      <c r="K13506" t="s">
        <v>446</v>
      </c>
      <c r="M13506">
        <v>0</v>
      </c>
    </row>
    <row r="13507" spans="1:13">
      <c r="A13507">
        <v>86076200</v>
      </c>
      <c r="B13507">
        <v>2010837</v>
      </c>
      <c r="C13507" t="s">
        <v>6616</v>
      </c>
      <c r="D13507" t="s">
        <v>449</v>
      </c>
      <c r="E13507" t="s">
        <v>441</v>
      </c>
      <c r="F13507">
        <v>1.6E-2</v>
      </c>
      <c r="H13507" t="s">
        <v>8935</v>
      </c>
      <c r="I13507">
        <v>365</v>
      </c>
      <c r="J13507" t="s">
        <v>450</v>
      </c>
      <c r="M13507">
        <v>0</v>
      </c>
    </row>
    <row r="13508" spans="1:13">
      <c r="A13508">
        <v>86076300</v>
      </c>
      <c r="B13508">
        <v>2010846</v>
      </c>
      <c r="C13508" t="s">
        <v>6617</v>
      </c>
      <c r="D13508" t="s">
        <v>449</v>
      </c>
      <c r="E13508" t="s">
        <v>441</v>
      </c>
      <c r="F13508">
        <v>0.03</v>
      </c>
      <c r="H13508" t="s">
        <v>8935</v>
      </c>
      <c r="I13508">
        <v>365</v>
      </c>
      <c r="J13508" t="s">
        <v>450</v>
      </c>
      <c r="K13508" t="s">
        <v>446</v>
      </c>
      <c r="M13508">
        <v>0</v>
      </c>
    </row>
    <row r="13509" spans="1:13">
      <c r="A13509">
        <v>86076400</v>
      </c>
      <c r="B13509">
        <v>2010845</v>
      </c>
      <c r="C13509" t="s">
        <v>6618</v>
      </c>
      <c r="D13509" t="s">
        <v>449</v>
      </c>
      <c r="E13509" t="s">
        <v>441</v>
      </c>
      <c r="F13509">
        <v>0.03</v>
      </c>
      <c r="H13509" t="s">
        <v>8935</v>
      </c>
      <c r="I13509">
        <v>365</v>
      </c>
      <c r="J13509" t="s">
        <v>450</v>
      </c>
      <c r="K13509" t="s">
        <v>446</v>
      </c>
      <c r="M13509">
        <v>0</v>
      </c>
    </row>
    <row r="13510" spans="1:13">
      <c r="A13510">
        <v>86076500</v>
      </c>
      <c r="B13510">
        <v>2010851</v>
      </c>
      <c r="C13510" t="s">
        <v>6619</v>
      </c>
      <c r="D13510" t="s">
        <v>449</v>
      </c>
      <c r="E13510" t="s">
        <v>441</v>
      </c>
      <c r="F13510">
        <v>0.03</v>
      </c>
      <c r="H13510" t="s">
        <v>8935</v>
      </c>
      <c r="I13510">
        <v>365</v>
      </c>
      <c r="J13510" t="s">
        <v>450</v>
      </c>
      <c r="K13510" t="s">
        <v>446</v>
      </c>
      <c r="M13510">
        <v>0</v>
      </c>
    </row>
    <row r="13511" spans="1:13">
      <c r="A13511">
        <v>86076600</v>
      </c>
      <c r="B13511">
        <v>2010881</v>
      </c>
      <c r="C13511" t="s">
        <v>6620</v>
      </c>
      <c r="D13511" t="s">
        <v>449</v>
      </c>
      <c r="E13511" t="s">
        <v>441</v>
      </c>
      <c r="F13511">
        <v>4.4999999999999998E-2</v>
      </c>
      <c r="H13511" t="s">
        <v>8935</v>
      </c>
      <c r="I13511">
        <v>365</v>
      </c>
      <c r="J13511" t="s">
        <v>450</v>
      </c>
      <c r="K13511" t="s">
        <v>446</v>
      </c>
      <c r="M13511">
        <v>0</v>
      </c>
    </row>
    <row r="13512" spans="1:13">
      <c r="A13512">
        <v>86076700</v>
      </c>
      <c r="B13512">
        <v>2010900</v>
      </c>
      <c r="C13512" t="s">
        <v>6621</v>
      </c>
      <c r="D13512" t="s">
        <v>449</v>
      </c>
      <c r="E13512" t="s">
        <v>441</v>
      </c>
      <c r="F13512">
        <v>4.4999999999999998E-2</v>
      </c>
      <c r="H13512" t="s">
        <v>8935</v>
      </c>
      <c r="I13512">
        <v>365</v>
      </c>
      <c r="J13512" t="s">
        <v>450</v>
      </c>
      <c r="K13512" t="s">
        <v>446</v>
      </c>
      <c r="M13512">
        <v>0</v>
      </c>
    </row>
    <row r="13513" spans="1:13">
      <c r="A13513">
        <v>86076800</v>
      </c>
      <c r="B13513">
        <v>2010697</v>
      </c>
      <c r="C13513" t="s">
        <v>6622</v>
      </c>
      <c r="D13513" t="s">
        <v>449</v>
      </c>
      <c r="E13513" t="s">
        <v>441</v>
      </c>
      <c r="F13513">
        <v>1.6E-2</v>
      </c>
      <c r="H13513" t="s">
        <v>8584</v>
      </c>
      <c r="I13513">
        <v>365</v>
      </c>
      <c r="J13513" t="s">
        <v>450</v>
      </c>
      <c r="K13513" t="s">
        <v>446</v>
      </c>
      <c r="M13513">
        <v>0</v>
      </c>
    </row>
    <row r="13514" spans="1:13">
      <c r="A13514">
        <v>86077000</v>
      </c>
      <c r="B13514">
        <v>2011044</v>
      </c>
      <c r="C13514" t="s">
        <v>6623</v>
      </c>
      <c r="D13514" t="s">
        <v>449</v>
      </c>
      <c r="E13514" t="s">
        <v>441</v>
      </c>
      <c r="F13514">
        <v>0.01</v>
      </c>
      <c r="I13514">
        <v>1095</v>
      </c>
      <c r="J13514" t="s">
        <v>450</v>
      </c>
      <c r="K13514" t="s">
        <v>446</v>
      </c>
      <c r="M13514">
        <v>0</v>
      </c>
    </row>
    <row r="13515" spans="1:13">
      <c r="A13515">
        <v>86077100</v>
      </c>
      <c r="B13515">
        <v>2011043</v>
      </c>
      <c r="C13515" t="s">
        <v>6624</v>
      </c>
      <c r="D13515" t="s">
        <v>449</v>
      </c>
      <c r="E13515" t="s">
        <v>441</v>
      </c>
      <c r="F13515">
        <v>0.08</v>
      </c>
      <c r="H13515" t="s">
        <v>8584</v>
      </c>
      <c r="I13515">
        <v>1095</v>
      </c>
      <c r="J13515" t="s">
        <v>450</v>
      </c>
      <c r="K13515" t="s">
        <v>446</v>
      </c>
      <c r="M13515">
        <v>0</v>
      </c>
    </row>
    <row r="13516" spans="1:13">
      <c r="A13516">
        <v>86077200</v>
      </c>
      <c r="B13516">
        <v>2011052</v>
      </c>
      <c r="C13516" t="s">
        <v>6625</v>
      </c>
      <c r="D13516" t="s">
        <v>449</v>
      </c>
      <c r="E13516" t="s">
        <v>441</v>
      </c>
      <c r="F13516">
        <v>0.04</v>
      </c>
      <c r="H13516" t="s">
        <v>8584</v>
      </c>
      <c r="I13516">
        <v>730</v>
      </c>
      <c r="J13516" t="s">
        <v>450</v>
      </c>
      <c r="M13516">
        <v>0</v>
      </c>
    </row>
    <row r="13517" spans="1:13">
      <c r="A13517">
        <v>86077300</v>
      </c>
      <c r="B13517">
        <v>2011046</v>
      </c>
      <c r="C13517" t="s">
        <v>6626</v>
      </c>
      <c r="D13517" t="s">
        <v>449</v>
      </c>
      <c r="E13517" t="s">
        <v>441</v>
      </c>
      <c r="F13517">
        <v>0.08</v>
      </c>
      <c r="H13517" t="s">
        <v>8580</v>
      </c>
      <c r="I13517">
        <v>730</v>
      </c>
      <c r="J13517" t="s">
        <v>450</v>
      </c>
      <c r="K13517" t="s">
        <v>446</v>
      </c>
      <c r="M13517">
        <v>0</v>
      </c>
    </row>
    <row r="13518" spans="1:13">
      <c r="A13518">
        <v>86077400</v>
      </c>
      <c r="B13518">
        <v>2011139</v>
      </c>
      <c r="C13518" t="s">
        <v>6627</v>
      </c>
      <c r="D13518" t="s">
        <v>449</v>
      </c>
      <c r="E13518" t="s">
        <v>441</v>
      </c>
      <c r="F13518">
        <v>4.4999999999999998E-2</v>
      </c>
      <c r="H13518" t="s">
        <v>8580</v>
      </c>
      <c r="I13518">
        <v>730</v>
      </c>
      <c r="J13518" t="s">
        <v>450</v>
      </c>
      <c r="K13518" t="s">
        <v>446</v>
      </c>
      <c r="M13518">
        <v>0</v>
      </c>
    </row>
    <row r="13519" spans="1:13">
      <c r="A13519">
        <v>86077500</v>
      </c>
      <c r="B13519">
        <v>2011138</v>
      </c>
      <c r="C13519" t="s">
        <v>6628</v>
      </c>
      <c r="D13519" t="s">
        <v>449</v>
      </c>
      <c r="E13519" t="s">
        <v>441</v>
      </c>
      <c r="F13519">
        <v>8.5000000000000006E-2</v>
      </c>
      <c r="I13519">
        <v>730</v>
      </c>
      <c r="J13519" t="s">
        <v>450</v>
      </c>
      <c r="K13519" t="s">
        <v>446</v>
      </c>
      <c r="M13519">
        <v>0</v>
      </c>
    </row>
    <row r="13520" spans="1:13">
      <c r="A13520">
        <v>86077600</v>
      </c>
      <c r="B13520">
        <v>2011210</v>
      </c>
      <c r="C13520" t="s">
        <v>6629</v>
      </c>
      <c r="D13520" t="s">
        <v>441</v>
      </c>
      <c r="F13520">
        <v>0</v>
      </c>
      <c r="H13520" t="s">
        <v>8580</v>
      </c>
      <c r="I13520">
        <v>365</v>
      </c>
      <c r="J13520" t="s">
        <v>450</v>
      </c>
      <c r="M13520">
        <v>0</v>
      </c>
    </row>
    <row r="13521" spans="1:13">
      <c r="A13521">
        <v>86077700</v>
      </c>
      <c r="B13521">
        <v>2011213</v>
      </c>
      <c r="C13521" t="s">
        <v>6630</v>
      </c>
      <c r="D13521" t="s">
        <v>441</v>
      </c>
      <c r="F13521">
        <v>0</v>
      </c>
      <c r="H13521" t="s">
        <v>8584</v>
      </c>
      <c r="I13521">
        <v>365</v>
      </c>
      <c r="J13521" t="s">
        <v>450</v>
      </c>
      <c r="M13521">
        <v>0</v>
      </c>
    </row>
    <row r="13522" spans="1:13">
      <c r="A13522">
        <v>86077800</v>
      </c>
      <c r="B13522">
        <v>2011211</v>
      </c>
      <c r="C13522" t="s">
        <v>6631</v>
      </c>
      <c r="D13522" t="s">
        <v>449</v>
      </c>
      <c r="E13522" t="s">
        <v>441</v>
      </c>
      <c r="F13522">
        <v>4.4999999999999998E-2</v>
      </c>
      <c r="I13522">
        <v>365</v>
      </c>
      <c r="J13522" t="s">
        <v>450</v>
      </c>
      <c r="K13522" t="s">
        <v>446</v>
      </c>
      <c r="M13522">
        <v>0</v>
      </c>
    </row>
    <row r="13523" spans="1:13">
      <c r="A13523">
        <v>86077900</v>
      </c>
      <c r="B13523">
        <v>2011403</v>
      </c>
      <c r="C13523" t="s">
        <v>6632</v>
      </c>
      <c r="D13523" t="s">
        <v>441</v>
      </c>
      <c r="F13523">
        <v>0</v>
      </c>
      <c r="I13523">
        <v>365</v>
      </c>
      <c r="J13523" t="s">
        <v>450</v>
      </c>
      <c r="M13523">
        <v>0</v>
      </c>
    </row>
    <row r="13524" spans="1:13">
      <c r="A13524">
        <v>86078000</v>
      </c>
      <c r="B13524">
        <v>2011350</v>
      </c>
      <c r="C13524" t="s">
        <v>6633</v>
      </c>
      <c r="D13524" t="s">
        <v>441</v>
      </c>
      <c r="F13524">
        <v>0</v>
      </c>
      <c r="I13524">
        <v>365</v>
      </c>
      <c r="J13524" t="s">
        <v>450</v>
      </c>
      <c r="M13524">
        <v>0</v>
      </c>
    </row>
    <row r="13525" spans="1:13">
      <c r="A13525">
        <v>86078100</v>
      </c>
      <c r="B13525">
        <v>2011522</v>
      </c>
      <c r="C13525" t="s">
        <v>6634</v>
      </c>
      <c r="D13525" t="s">
        <v>449</v>
      </c>
      <c r="E13525" t="s">
        <v>441</v>
      </c>
      <c r="F13525">
        <v>3.5999999999999997E-2</v>
      </c>
      <c r="H13525" t="s">
        <v>8580</v>
      </c>
      <c r="I13525">
        <v>365</v>
      </c>
      <c r="J13525" t="s">
        <v>450</v>
      </c>
      <c r="M13525">
        <v>0</v>
      </c>
    </row>
    <row r="13526" spans="1:13">
      <c r="A13526">
        <v>86078200</v>
      </c>
      <c r="B13526">
        <v>2011635</v>
      </c>
      <c r="C13526" t="s">
        <v>6635</v>
      </c>
      <c r="D13526" t="s">
        <v>449</v>
      </c>
      <c r="E13526" t="s">
        <v>441</v>
      </c>
      <c r="F13526">
        <v>2.8000000000000001E-2</v>
      </c>
      <c r="I13526">
        <v>365</v>
      </c>
      <c r="J13526" t="s">
        <v>450</v>
      </c>
      <c r="K13526" t="s">
        <v>446</v>
      </c>
      <c r="M13526">
        <v>0</v>
      </c>
    </row>
    <row r="13527" spans="1:13">
      <c r="A13527">
        <v>86078300</v>
      </c>
      <c r="B13527">
        <v>2011636</v>
      </c>
      <c r="C13527" t="s">
        <v>6636</v>
      </c>
      <c r="D13527" t="s">
        <v>449</v>
      </c>
      <c r="E13527" t="s">
        <v>441</v>
      </c>
      <c r="F13527">
        <v>0.03</v>
      </c>
      <c r="H13527" t="s">
        <v>8580</v>
      </c>
      <c r="I13527">
        <v>365</v>
      </c>
      <c r="J13527" t="s">
        <v>450</v>
      </c>
      <c r="K13527" t="s">
        <v>446</v>
      </c>
      <c r="M13527">
        <v>0</v>
      </c>
    </row>
    <row r="13528" spans="1:13">
      <c r="A13528">
        <v>86078400</v>
      </c>
      <c r="B13528">
        <v>2011639</v>
      </c>
      <c r="C13528" t="s">
        <v>6637</v>
      </c>
      <c r="D13528" t="s">
        <v>449</v>
      </c>
      <c r="E13528" t="s">
        <v>441</v>
      </c>
      <c r="F13528">
        <v>0.08</v>
      </c>
      <c r="H13528" t="s">
        <v>8580</v>
      </c>
      <c r="I13528">
        <v>365</v>
      </c>
      <c r="J13528" t="s">
        <v>450</v>
      </c>
      <c r="K13528" t="s">
        <v>446</v>
      </c>
      <c r="M13528">
        <v>0</v>
      </c>
    </row>
    <row r="13529" spans="1:13">
      <c r="A13529">
        <v>86078600</v>
      </c>
      <c r="B13529">
        <v>2011772</v>
      </c>
      <c r="C13529" t="s">
        <v>6638</v>
      </c>
      <c r="D13529" t="s">
        <v>449</v>
      </c>
      <c r="E13529" t="s">
        <v>441</v>
      </c>
      <c r="F13529">
        <v>2.1000000000000001E-2</v>
      </c>
      <c r="H13529" t="s">
        <v>8584</v>
      </c>
      <c r="I13529">
        <v>720</v>
      </c>
      <c r="J13529" t="s">
        <v>450</v>
      </c>
      <c r="M13529">
        <v>0</v>
      </c>
    </row>
    <row r="13530" spans="1:13">
      <c r="A13530">
        <v>86078700</v>
      </c>
      <c r="B13530">
        <v>2011786</v>
      </c>
      <c r="C13530" t="s">
        <v>6639</v>
      </c>
      <c r="D13530" t="s">
        <v>449</v>
      </c>
      <c r="E13530" t="s">
        <v>441</v>
      </c>
      <c r="F13530">
        <v>0.03</v>
      </c>
      <c r="H13530" t="s">
        <v>8580</v>
      </c>
      <c r="I13530">
        <v>720</v>
      </c>
      <c r="J13530" t="s">
        <v>450</v>
      </c>
      <c r="M13530">
        <v>0</v>
      </c>
    </row>
    <row r="13531" spans="1:13">
      <c r="A13531">
        <v>86078800</v>
      </c>
      <c r="B13531">
        <v>2011805</v>
      </c>
      <c r="C13531" t="s">
        <v>6640</v>
      </c>
      <c r="D13531" t="s">
        <v>449</v>
      </c>
      <c r="E13531" t="s">
        <v>441</v>
      </c>
      <c r="F13531">
        <v>0.2</v>
      </c>
      <c r="I13531">
        <v>720</v>
      </c>
      <c r="J13531" t="s">
        <v>450</v>
      </c>
      <c r="K13531" t="s">
        <v>446</v>
      </c>
      <c r="M13531">
        <v>0</v>
      </c>
    </row>
    <row r="13532" spans="1:13">
      <c r="A13532">
        <v>86078900</v>
      </c>
      <c r="B13532">
        <v>2011858</v>
      </c>
      <c r="C13532" t="s">
        <v>6085</v>
      </c>
      <c r="D13532" t="s">
        <v>449</v>
      </c>
      <c r="E13532" t="s">
        <v>441</v>
      </c>
      <c r="F13532">
        <v>0.108</v>
      </c>
      <c r="I13532">
        <v>720</v>
      </c>
      <c r="J13532" t="s">
        <v>450</v>
      </c>
      <c r="M13532">
        <v>0</v>
      </c>
    </row>
    <row r="13533" spans="1:13">
      <c r="A13533">
        <v>86079000</v>
      </c>
      <c r="B13533">
        <v>2011863</v>
      </c>
      <c r="C13533" t="s">
        <v>6641</v>
      </c>
      <c r="D13533" t="s">
        <v>449</v>
      </c>
      <c r="E13533" t="s">
        <v>441</v>
      </c>
      <c r="F13533">
        <v>0.05</v>
      </c>
      <c r="H13533" t="s">
        <v>8580</v>
      </c>
      <c r="I13533">
        <v>720</v>
      </c>
      <c r="J13533" t="s">
        <v>450</v>
      </c>
      <c r="K13533" t="s">
        <v>446</v>
      </c>
      <c r="M13533">
        <v>0</v>
      </c>
    </row>
    <row r="13534" spans="1:13">
      <c r="A13534">
        <v>86079100</v>
      </c>
      <c r="B13534">
        <v>2011859</v>
      </c>
      <c r="C13534" t="s">
        <v>6642</v>
      </c>
      <c r="D13534" t="s">
        <v>449</v>
      </c>
      <c r="E13534" t="s">
        <v>441</v>
      </c>
      <c r="F13534">
        <v>0.1</v>
      </c>
      <c r="H13534" t="s">
        <v>8580</v>
      </c>
      <c r="I13534">
        <v>720</v>
      </c>
      <c r="J13534" t="s">
        <v>450</v>
      </c>
      <c r="K13534" t="s">
        <v>446</v>
      </c>
      <c r="M13534">
        <v>0</v>
      </c>
    </row>
    <row r="13535" spans="1:13">
      <c r="A13535">
        <v>86079200</v>
      </c>
      <c r="B13535">
        <v>2011860</v>
      </c>
      <c r="C13535" t="s">
        <v>6643</v>
      </c>
      <c r="D13535" t="s">
        <v>449</v>
      </c>
      <c r="E13535" t="s">
        <v>441</v>
      </c>
      <c r="F13535">
        <v>0.06</v>
      </c>
      <c r="I13535">
        <v>720</v>
      </c>
      <c r="J13535" t="s">
        <v>450</v>
      </c>
      <c r="M13535">
        <v>0</v>
      </c>
    </row>
    <row r="13536" spans="1:13">
      <c r="A13536">
        <v>86079400</v>
      </c>
      <c r="B13536">
        <v>2011865</v>
      </c>
      <c r="C13536" t="s">
        <v>6644</v>
      </c>
      <c r="D13536" t="s">
        <v>449</v>
      </c>
      <c r="E13536" t="s">
        <v>441</v>
      </c>
      <c r="F13536">
        <v>0.06</v>
      </c>
      <c r="H13536" t="s">
        <v>8580</v>
      </c>
      <c r="I13536">
        <v>720</v>
      </c>
      <c r="J13536" t="s">
        <v>450</v>
      </c>
      <c r="M13536">
        <v>0</v>
      </c>
    </row>
    <row r="13537" spans="1:13">
      <c r="A13537">
        <v>86079500</v>
      </c>
      <c r="B13537">
        <v>2011864</v>
      </c>
      <c r="C13537" t="s">
        <v>6645</v>
      </c>
      <c r="D13537" t="s">
        <v>449</v>
      </c>
      <c r="E13537" t="s">
        <v>441</v>
      </c>
      <c r="F13537">
        <v>0.12</v>
      </c>
      <c r="I13537">
        <v>720</v>
      </c>
      <c r="J13537" t="s">
        <v>450</v>
      </c>
      <c r="M13537">
        <v>0</v>
      </c>
    </row>
    <row r="13538" spans="1:13">
      <c r="A13538">
        <v>86079600</v>
      </c>
      <c r="B13538">
        <v>2011861</v>
      </c>
      <c r="C13538" t="s">
        <v>6646</v>
      </c>
      <c r="D13538" t="s">
        <v>449</v>
      </c>
      <c r="E13538" t="s">
        <v>441</v>
      </c>
      <c r="F13538">
        <v>0.05</v>
      </c>
      <c r="H13538" t="s">
        <v>8580</v>
      </c>
      <c r="I13538">
        <v>720</v>
      </c>
      <c r="J13538" t="s">
        <v>450</v>
      </c>
      <c r="M13538">
        <v>0</v>
      </c>
    </row>
    <row r="13539" spans="1:13">
      <c r="A13539">
        <v>86079700</v>
      </c>
      <c r="B13539">
        <v>2011866</v>
      </c>
      <c r="C13539" t="s">
        <v>6647</v>
      </c>
      <c r="D13539" t="s">
        <v>449</v>
      </c>
      <c r="E13539" t="s">
        <v>441</v>
      </c>
      <c r="F13539">
        <v>0.09</v>
      </c>
      <c r="I13539">
        <v>720</v>
      </c>
      <c r="J13539" t="s">
        <v>450</v>
      </c>
      <c r="M13539">
        <v>0</v>
      </c>
    </row>
    <row r="13540" spans="1:13">
      <c r="A13540">
        <v>86079800</v>
      </c>
      <c r="B13540">
        <v>2011862</v>
      </c>
      <c r="C13540" t="s">
        <v>6648</v>
      </c>
      <c r="D13540" t="s">
        <v>449</v>
      </c>
      <c r="E13540" t="s">
        <v>441</v>
      </c>
      <c r="F13540">
        <v>0.9</v>
      </c>
      <c r="I13540">
        <v>720</v>
      </c>
      <c r="J13540" t="s">
        <v>450</v>
      </c>
      <c r="K13540" t="s">
        <v>446</v>
      </c>
      <c r="M13540">
        <v>0</v>
      </c>
    </row>
    <row r="13541" spans="1:13">
      <c r="A13541">
        <v>86079900</v>
      </c>
      <c r="B13541">
        <v>2011911</v>
      </c>
      <c r="C13541" t="s">
        <v>6649</v>
      </c>
      <c r="D13541" t="s">
        <v>449</v>
      </c>
      <c r="E13541" t="s">
        <v>441</v>
      </c>
      <c r="F13541">
        <v>0.09</v>
      </c>
      <c r="I13541">
        <v>720</v>
      </c>
      <c r="J13541" t="s">
        <v>450</v>
      </c>
      <c r="M13541">
        <v>0</v>
      </c>
    </row>
    <row r="13542" spans="1:13">
      <c r="A13542">
        <v>86080000</v>
      </c>
      <c r="B13542">
        <v>2011947</v>
      </c>
      <c r="C13542" t="s">
        <v>6650</v>
      </c>
      <c r="D13542" t="s">
        <v>449</v>
      </c>
      <c r="E13542" t="s">
        <v>441</v>
      </c>
      <c r="F13542">
        <v>0.06</v>
      </c>
      <c r="H13542" t="s">
        <v>8584</v>
      </c>
      <c r="I13542">
        <v>720</v>
      </c>
      <c r="J13542" t="s">
        <v>450</v>
      </c>
      <c r="M13542">
        <v>0</v>
      </c>
    </row>
    <row r="13543" spans="1:13">
      <c r="A13543">
        <v>86080100</v>
      </c>
      <c r="B13543">
        <v>2011948</v>
      </c>
      <c r="C13543" t="s">
        <v>6651</v>
      </c>
      <c r="D13543" t="s">
        <v>449</v>
      </c>
      <c r="E13543" t="s">
        <v>441</v>
      </c>
      <c r="F13543">
        <v>0.06</v>
      </c>
      <c r="H13543" t="s">
        <v>8584</v>
      </c>
      <c r="I13543">
        <v>720</v>
      </c>
      <c r="J13543" t="s">
        <v>450</v>
      </c>
      <c r="M13543">
        <v>0</v>
      </c>
    </row>
    <row r="13544" spans="1:13">
      <c r="A13544">
        <v>86080200</v>
      </c>
      <c r="B13544">
        <v>2012030</v>
      </c>
      <c r="C13544" t="s">
        <v>6652</v>
      </c>
      <c r="D13544" t="s">
        <v>449</v>
      </c>
      <c r="E13544" t="s">
        <v>441</v>
      </c>
      <c r="F13544">
        <v>1.6E-2</v>
      </c>
      <c r="H13544" t="s">
        <v>8580</v>
      </c>
      <c r="I13544">
        <v>365</v>
      </c>
      <c r="J13544" t="s">
        <v>450</v>
      </c>
      <c r="M13544">
        <v>0</v>
      </c>
    </row>
    <row r="13545" spans="1:13">
      <c r="A13545">
        <v>86080300</v>
      </c>
      <c r="B13545">
        <v>2012099</v>
      </c>
      <c r="C13545" t="s">
        <v>6653</v>
      </c>
      <c r="D13545" t="s">
        <v>449</v>
      </c>
      <c r="E13545" t="s">
        <v>441</v>
      </c>
      <c r="F13545">
        <v>0.05</v>
      </c>
      <c r="H13545" t="s">
        <v>8583</v>
      </c>
      <c r="I13545">
        <v>720</v>
      </c>
      <c r="J13545" t="s">
        <v>450</v>
      </c>
      <c r="M13545">
        <v>0</v>
      </c>
    </row>
    <row r="13546" spans="1:13">
      <c r="A13546">
        <v>86080400</v>
      </c>
      <c r="B13546">
        <v>2012205</v>
      </c>
      <c r="C13546" t="s">
        <v>6654</v>
      </c>
      <c r="D13546" t="s">
        <v>449</v>
      </c>
      <c r="E13546" t="s">
        <v>441</v>
      </c>
      <c r="F13546">
        <v>0.09</v>
      </c>
      <c r="H13546" t="s">
        <v>8584</v>
      </c>
      <c r="I13546">
        <v>720</v>
      </c>
      <c r="J13546" t="s">
        <v>450</v>
      </c>
      <c r="K13546" t="s">
        <v>446</v>
      </c>
      <c r="M13546">
        <v>0</v>
      </c>
    </row>
    <row r="13547" spans="1:13">
      <c r="A13547">
        <v>86080500</v>
      </c>
      <c r="B13547">
        <v>2012264</v>
      </c>
      <c r="C13547" t="s">
        <v>6655</v>
      </c>
      <c r="D13547" t="s">
        <v>449</v>
      </c>
      <c r="E13547" t="s">
        <v>441</v>
      </c>
      <c r="F13547">
        <v>2.1000000000000001E-2</v>
      </c>
      <c r="H13547" t="s">
        <v>8584</v>
      </c>
      <c r="I13547">
        <v>365</v>
      </c>
      <c r="J13547" t="s">
        <v>450</v>
      </c>
      <c r="M13547">
        <v>0</v>
      </c>
    </row>
    <row r="13548" spans="1:13">
      <c r="A13548">
        <v>86080600</v>
      </c>
      <c r="B13548">
        <v>2012267</v>
      </c>
      <c r="C13548" t="s">
        <v>6656</v>
      </c>
      <c r="D13548" t="s">
        <v>449</v>
      </c>
      <c r="E13548" t="s">
        <v>441</v>
      </c>
      <c r="F13548">
        <v>0.05</v>
      </c>
      <c r="H13548" t="s">
        <v>8584</v>
      </c>
      <c r="I13548">
        <v>365</v>
      </c>
      <c r="J13548" t="s">
        <v>450</v>
      </c>
      <c r="M13548">
        <v>0</v>
      </c>
    </row>
    <row r="13549" spans="1:13">
      <c r="A13549">
        <v>86080700</v>
      </c>
      <c r="B13549">
        <v>2012291</v>
      </c>
      <c r="C13549" t="s">
        <v>6657</v>
      </c>
      <c r="D13549" t="s">
        <v>449</v>
      </c>
      <c r="E13549" t="s">
        <v>441</v>
      </c>
      <c r="F13549">
        <v>0.03</v>
      </c>
      <c r="H13549" t="s">
        <v>8619</v>
      </c>
      <c r="I13549">
        <v>720</v>
      </c>
      <c r="J13549" t="s">
        <v>450</v>
      </c>
      <c r="M13549">
        <v>0</v>
      </c>
    </row>
    <row r="13550" spans="1:13">
      <c r="A13550">
        <v>86080800</v>
      </c>
      <c r="B13550">
        <v>2012333</v>
      </c>
      <c r="C13550" t="s">
        <v>6658</v>
      </c>
      <c r="D13550" t="s">
        <v>449</v>
      </c>
      <c r="E13550" t="s">
        <v>441</v>
      </c>
      <c r="F13550">
        <v>0.06</v>
      </c>
      <c r="H13550" t="s">
        <v>8584</v>
      </c>
      <c r="I13550">
        <v>730</v>
      </c>
      <c r="J13550" t="s">
        <v>450</v>
      </c>
      <c r="M13550">
        <v>0</v>
      </c>
    </row>
    <row r="13551" spans="1:13">
      <c r="A13551">
        <v>86080900</v>
      </c>
      <c r="B13551">
        <v>2012334</v>
      </c>
      <c r="C13551" t="s">
        <v>6659</v>
      </c>
      <c r="D13551" t="s">
        <v>449</v>
      </c>
      <c r="E13551" t="s">
        <v>441</v>
      </c>
      <c r="F13551">
        <v>0.05</v>
      </c>
      <c r="H13551" t="s">
        <v>8584</v>
      </c>
      <c r="I13551">
        <v>365</v>
      </c>
      <c r="J13551" t="s">
        <v>450</v>
      </c>
      <c r="M13551">
        <v>0</v>
      </c>
    </row>
    <row r="13552" spans="1:13">
      <c r="A13552">
        <v>86081000</v>
      </c>
      <c r="B13552">
        <v>2012391</v>
      </c>
      <c r="C13552" t="s">
        <v>6660</v>
      </c>
      <c r="D13552" t="s">
        <v>449</v>
      </c>
      <c r="E13552" t="s">
        <v>441</v>
      </c>
      <c r="F13552">
        <v>1.4999999999999999E-2</v>
      </c>
      <c r="H13552" t="s">
        <v>8584</v>
      </c>
      <c r="I13552">
        <v>365</v>
      </c>
      <c r="J13552" t="s">
        <v>450</v>
      </c>
      <c r="K13552" t="s">
        <v>446</v>
      </c>
      <c r="M13552">
        <v>0</v>
      </c>
    </row>
    <row r="13553" spans="1:13">
      <c r="A13553">
        <v>86081100</v>
      </c>
      <c r="B13553">
        <v>2012390</v>
      </c>
      <c r="C13553" t="s">
        <v>6661</v>
      </c>
      <c r="D13553" t="s">
        <v>449</v>
      </c>
      <c r="E13553" t="s">
        <v>441</v>
      </c>
      <c r="F13553">
        <v>0.02</v>
      </c>
      <c r="H13553" t="s">
        <v>8584</v>
      </c>
      <c r="I13553">
        <v>365</v>
      </c>
      <c r="J13553" t="s">
        <v>450</v>
      </c>
      <c r="K13553" t="s">
        <v>446</v>
      </c>
      <c r="M13553">
        <v>0</v>
      </c>
    </row>
    <row r="13554" spans="1:13">
      <c r="A13554">
        <v>86081200</v>
      </c>
      <c r="B13554">
        <v>2012433</v>
      </c>
      <c r="C13554" t="s">
        <v>6662</v>
      </c>
      <c r="D13554" t="s">
        <v>449</v>
      </c>
      <c r="E13554" t="s">
        <v>441</v>
      </c>
      <c r="F13554">
        <v>0.03</v>
      </c>
      <c r="I13554">
        <v>730</v>
      </c>
      <c r="J13554" t="s">
        <v>450</v>
      </c>
      <c r="M13554">
        <v>0</v>
      </c>
    </row>
    <row r="13555" spans="1:13">
      <c r="A13555">
        <v>86081300</v>
      </c>
      <c r="B13555">
        <v>2012438</v>
      </c>
      <c r="C13555" t="s">
        <v>6663</v>
      </c>
      <c r="D13555" t="s">
        <v>449</v>
      </c>
      <c r="E13555" t="s">
        <v>441</v>
      </c>
      <c r="F13555">
        <v>2.5000000000000001E-2</v>
      </c>
      <c r="H13555" t="s">
        <v>8584</v>
      </c>
      <c r="I13555">
        <v>730</v>
      </c>
      <c r="J13555" t="s">
        <v>450</v>
      </c>
      <c r="M13555">
        <v>0</v>
      </c>
    </row>
    <row r="13556" spans="1:13">
      <c r="A13556">
        <v>86081400</v>
      </c>
      <c r="B13556">
        <v>2012496</v>
      </c>
      <c r="C13556" t="s">
        <v>6664</v>
      </c>
      <c r="D13556" t="s">
        <v>449</v>
      </c>
      <c r="E13556" t="s">
        <v>441</v>
      </c>
      <c r="F13556">
        <v>0.12</v>
      </c>
      <c r="H13556" t="s">
        <v>8584</v>
      </c>
      <c r="I13556">
        <v>730</v>
      </c>
      <c r="J13556" t="s">
        <v>450</v>
      </c>
      <c r="M13556">
        <v>0</v>
      </c>
    </row>
    <row r="13557" spans="1:13">
      <c r="A13557">
        <v>86081500</v>
      </c>
      <c r="B13557">
        <v>2012530</v>
      </c>
      <c r="C13557" t="s">
        <v>6665</v>
      </c>
      <c r="D13557" t="s">
        <v>449</v>
      </c>
      <c r="E13557" t="s">
        <v>441</v>
      </c>
      <c r="F13557">
        <v>0.05</v>
      </c>
      <c r="H13557" t="s">
        <v>8584</v>
      </c>
      <c r="I13557">
        <v>365</v>
      </c>
      <c r="J13557" t="s">
        <v>450</v>
      </c>
      <c r="K13557" t="s">
        <v>446</v>
      </c>
      <c r="M13557">
        <v>0</v>
      </c>
    </row>
    <row r="13558" spans="1:13">
      <c r="A13558">
        <v>86081600</v>
      </c>
      <c r="B13558">
        <v>2012448</v>
      </c>
      <c r="C13558" t="s">
        <v>6666</v>
      </c>
      <c r="D13558" t="s">
        <v>449</v>
      </c>
      <c r="E13558" t="s">
        <v>441</v>
      </c>
      <c r="F13558">
        <v>3.5999999999999997E-2</v>
      </c>
      <c r="H13558" t="s">
        <v>8584</v>
      </c>
      <c r="I13558">
        <v>730</v>
      </c>
      <c r="J13558" t="s">
        <v>450</v>
      </c>
      <c r="M13558">
        <v>0</v>
      </c>
    </row>
    <row r="13559" spans="1:13">
      <c r="A13559">
        <v>86081700</v>
      </c>
      <c r="B13559">
        <v>2012544</v>
      </c>
      <c r="C13559" t="s">
        <v>6667</v>
      </c>
      <c r="D13559" t="s">
        <v>449</v>
      </c>
      <c r="E13559" t="s">
        <v>441</v>
      </c>
      <c r="F13559">
        <v>1.6E-2</v>
      </c>
      <c r="H13559" t="s">
        <v>8584</v>
      </c>
      <c r="I13559">
        <v>730</v>
      </c>
      <c r="J13559" t="s">
        <v>450</v>
      </c>
      <c r="M13559">
        <v>0</v>
      </c>
    </row>
    <row r="13560" spans="1:13">
      <c r="A13560">
        <v>86081900</v>
      </c>
      <c r="B13560">
        <v>2012664</v>
      </c>
      <c r="C13560" t="s">
        <v>6668</v>
      </c>
      <c r="D13560" t="s">
        <v>449</v>
      </c>
      <c r="E13560" t="s">
        <v>441</v>
      </c>
      <c r="F13560">
        <v>2.5000000000000001E-2</v>
      </c>
      <c r="H13560" t="s">
        <v>8580</v>
      </c>
      <c r="I13560">
        <v>730</v>
      </c>
      <c r="J13560" t="s">
        <v>450</v>
      </c>
      <c r="M13560">
        <v>0</v>
      </c>
    </row>
    <row r="13561" spans="1:13">
      <c r="A13561">
        <v>86082000</v>
      </c>
      <c r="B13561">
        <v>2012670</v>
      </c>
      <c r="C13561" t="s">
        <v>6669</v>
      </c>
      <c r="D13561" t="s">
        <v>449</v>
      </c>
      <c r="E13561" t="s">
        <v>441</v>
      </c>
      <c r="F13561">
        <v>2.5000000000000001E-2</v>
      </c>
      <c r="H13561" t="s">
        <v>8580</v>
      </c>
      <c r="I13561">
        <v>730</v>
      </c>
      <c r="J13561" t="s">
        <v>450</v>
      </c>
      <c r="M13561">
        <v>0</v>
      </c>
    </row>
    <row r="13562" spans="1:13">
      <c r="A13562">
        <v>86082100</v>
      </c>
      <c r="B13562">
        <v>2012697</v>
      </c>
      <c r="C13562" t="s">
        <v>14019</v>
      </c>
      <c r="D13562" t="s">
        <v>441</v>
      </c>
      <c r="F13562">
        <v>0</v>
      </c>
      <c r="I13562">
        <v>730</v>
      </c>
      <c r="J13562" t="s">
        <v>450</v>
      </c>
      <c r="M13562">
        <v>0</v>
      </c>
    </row>
    <row r="13563" spans="1:13">
      <c r="A13563">
        <v>86082200</v>
      </c>
      <c r="B13563">
        <v>2012712</v>
      </c>
      <c r="C13563" t="s">
        <v>14020</v>
      </c>
      <c r="D13563" t="s">
        <v>449</v>
      </c>
      <c r="E13563" t="s">
        <v>441</v>
      </c>
      <c r="F13563">
        <v>1.4999999999999999E-2</v>
      </c>
      <c r="H13563" t="s">
        <v>8580</v>
      </c>
      <c r="I13563">
        <v>730</v>
      </c>
      <c r="J13563" t="s">
        <v>450</v>
      </c>
      <c r="M13563">
        <v>0</v>
      </c>
    </row>
    <row r="13564" spans="1:13">
      <c r="A13564">
        <v>86082300</v>
      </c>
      <c r="B13564">
        <v>2001977</v>
      </c>
      <c r="C13564" t="s">
        <v>6670</v>
      </c>
      <c r="D13564" t="s">
        <v>442</v>
      </c>
      <c r="E13564" t="s">
        <v>441</v>
      </c>
      <c r="F13564">
        <v>2.2000000000000002</v>
      </c>
      <c r="H13564" t="s">
        <v>8576</v>
      </c>
      <c r="I13564">
        <v>360</v>
      </c>
      <c r="J13564" t="s">
        <v>450</v>
      </c>
      <c r="K13564" t="s">
        <v>446</v>
      </c>
      <c r="M13564">
        <v>0</v>
      </c>
    </row>
    <row r="13565" spans="1:13">
      <c r="A13565">
        <v>86082400</v>
      </c>
      <c r="B13565">
        <v>2012769</v>
      </c>
      <c r="C13565" t="s">
        <v>14021</v>
      </c>
      <c r="D13565" t="s">
        <v>442</v>
      </c>
      <c r="E13565" t="s">
        <v>441</v>
      </c>
      <c r="F13565">
        <v>1E-3</v>
      </c>
      <c r="H13565" t="s">
        <v>8584</v>
      </c>
      <c r="I13565">
        <v>730</v>
      </c>
      <c r="J13565" t="s">
        <v>450</v>
      </c>
      <c r="M13565">
        <v>0</v>
      </c>
    </row>
    <row r="13566" spans="1:13">
      <c r="A13566">
        <v>86082500</v>
      </c>
      <c r="B13566">
        <v>2012818</v>
      </c>
      <c r="C13566" t="s">
        <v>6671</v>
      </c>
      <c r="D13566" t="s">
        <v>449</v>
      </c>
      <c r="E13566" t="s">
        <v>441</v>
      </c>
      <c r="F13566">
        <v>1.6E-2</v>
      </c>
      <c r="I13566">
        <v>365</v>
      </c>
      <c r="J13566" t="s">
        <v>450</v>
      </c>
      <c r="M13566">
        <v>0</v>
      </c>
    </row>
    <row r="13567" spans="1:13">
      <c r="A13567">
        <v>86082600</v>
      </c>
      <c r="B13567">
        <v>2012845</v>
      </c>
      <c r="C13567" t="s">
        <v>6672</v>
      </c>
      <c r="D13567" t="s">
        <v>449</v>
      </c>
      <c r="E13567" t="s">
        <v>441</v>
      </c>
      <c r="F13567">
        <v>1.6E-2</v>
      </c>
      <c r="H13567" t="s">
        <v>8584</v>
      </c>
      <c r="I13567">
        <v>730</v>
      </c>
      <c r="J13567" t="s">
        <v>450</v>
      </c>
      <c r="K13567" t="s">
        <v>446</v>
      </c>
      <c r="M13567">
        <v>0</v>
      </c>
    </row>
    <row r="13568" spans="1:13">
      <c r="A13568">
        <v>86082700</v>
      </c>
      <c r="B13568">
        <v>2012822</v>
      </c>
      <c r="C13568" t="s">
        <v>6673</v>
      </c>
      <c r="D13568" t="s">
        <v>449</v>
      </c>
      <c r="E13568" t="s">
        <v>441</v>
      </c>
      <c r="F13568">
        <v>3.5999999999999997E-2</v>
      </c>
      <c r="H13568" t="s">
        <v>8584</v>
      </c>
      <c r="I13568">
        <v>730</v>
      </c>
      <c r="J13568" t="s">
        <v>450</v>
      </c>
      <c r="M13568">
        <v>0</v>
      </c>
    </row>
    <row r="13569" spans="1:13">
      <c r="A13569">
        <v>86082800</v>
      </c>
      <c r="B13569">
        <v>2012855</v>
      </c>
      <c r="C13569" t="s">
        <v>15718</v>
      </c>
      <c r="D13569" t="s">
        <v>449</v>
      </c>
      <c r="E13569" t="s">
        <v>441</v>
      </c>
      <c r="F13569">
        <v>1.6E-2</v>
      </c>
      <c r="H13569" t="s">
        <v>8584</v>
      </c>
      <c r="I13569">
        <v>730</v>
      </c>
      <c r="J13569" t="s">
        <v>450</v>
      </c>
      <c r="K13569" t="s">
        <v>446</v>
      </c>
      <c r="M13569">
        <v>0</v>
      </c>
    </row>
    <row r="13570" spans="1:13">
      <c r="A13570">
        <v>86082900</v>
      </c>
      <c r="B13570">
        <v>2012807</v>
      </c>
      <c r="C13570" t="s">
        <v>6674</v>
      </c>
      <c r="D13570" t="s">
        <v>442</v>
      </c>
      <c r="E13570" t="s">
        <v>441</v>
      </c>
      <c r="F13570">
        <v>5.0000000000000001E-3</v>
      </c>
      <c r="H13570" t="s">
        <v>8580</v>
      </c>
      <c r="I13570">
        <v>730</v>
      </c>
      <c r="J13570" t="s">
        <v>450</v>
      </c>
      <c r="M13570">
        <v>0</v>
      </c>
    </row>
    <row r="13571" spans="1:13">
      <c r="A13571">
        <v>86083000</v>
      </c>
      <c r="B13571">
        <v>2012971</v>
      </c>
      <c r="C13571" t="s">
        <v>6675</v>
      </c>
      <c r="D13571" t="s">
        <v>449</v>
      </c>
      <c r="E13571" t="s">
        <v>441</v>
      </c>
      <c r="F13571">
        <v>0.05</v>
      </c>
      <c r="H13571" t="s">
        <v>8637</v>
      </c>
      <c r="I13571">
        <v>720</v>
      </c>
      <c r="J13571" t="s">
        <v>450</v>
      </c>
      <c r="M13571">
        <v>0</v>
      </c>
    </row>
    <row r="13572" spans="1:13">
      <c r="A13572">
        <v>86083100</v>
      </c>
      <c r="B13572">
        <v>2012939</v>
      </c>
      <c r="C13572" t="s">
        <v>6676</v>
      </c>
      <c r="D13572" t="s">
        <v>449</v>
      </c>
      <c r="E13572" t="s">
        <v>441</v>
      </c>
      <c r="F13572">
        <v>0.05</v>
      </c>
      <c r="H13572" t="s">
        <v>8584</v>
      </c>
      <c r="I13572">
        <v>365</v>
      </c>
      <c r="J13572" t="s">
        <v>450</v>
      </c>
      <c r="M13572">
        <v>0</v>
      </c>
    </row>
    <row r="13573" spans="1:13">
      <c r="A13573">
        <v>86083200</v>
      </c>
      <c r="B13573">
        <v>2012970</v>
      </c>
      <c r="C13573" t="s">
        <v>6677</v>
      </c>
      <c r="D13573" t="s">
        <v>449</v>
      </c>
      <c r="E13573" t="s">
        <v>441</v>
      </c>
      <c r="F13573">
        <v>0.05</v>
      </c>
      <c r="H13573" t="s">
        <v>8580</v>
      </c>
      <c r="I13573">
        <v>365</v>
      </c>
      <c r="J13573" t="s">
        <v>450</v>
      </c>
      <c r="M13573">
        <v>0</v>
      </c>
    </row>
    <row r="13574" spans="1:13">
      <c r="A13574">
        <v>86083300</v>
      </c>
      <c r="B13574">
        <v>2013128</v>
      </c>
      <c r="C13574" t="s">
        <v>14022</v>
      </c>
      <c r="D13574" t="s">
        <v>442</v>
      </c>
      <c r="E13574" t="s">
        <v>441</v>
      </c>
      <c r="F13574">
        <v>1E-3</v>
      </c>
      <c r="G13574">
        <v>0</v>
      </c>
      <c r="H13574" t="s">
        <v>8580</v>
      </c>
      <c r="I13574">
        <v>730</v>
      </c>
      <c r="J13574" t="s">
        <v>450</v>
      </c>
      <c r="M13574">
        <v>0</v>
      </c>
    </row>
    <row r="13575" spans="1:13">
      <c r="A13575">
        <v>86083400</v>
      </c>
      <c r="B13575">
        <v>2013129</v>
      </c>
      <c r="C13575" t="s">
        <v>14023</v>
      </c>
      <c r="D13575" t="s">
        <v>442</v>
      </c>
      <c r="E13575" t="s">
        <v>441</v>
      </c>
      <c r="F13575">
        <v>1E-3</v>
      </c>
      <c r="H13575" t="s">
        <v>8580</v>
      </c>
      <c r="I13575">
        <v>730</v>
      </c>
      <c r="J13575" t="s">
        <v>450</v>
      </c>
      <c r="K13575" t="s">
        <v>446</v>
      </c>
      <c r="M13575">
        <v>0</v>
      </c>
    </row>
    <row r="13576" spans="1:13">
      <c r="A13576">
        <v>86083500</v>
      </c>
      <c r="B13576">
        <v>2013154</v>
      </c>
      <c r="C13576" t="s">
        <v>14024</v>
      </c>
      <c r="D13576" t="s">
        <v>442</v>
      </c>
      <c r="E13576" t="s">
        <v>441</v>
      </c>
      <c r="F13576">
        <v>1E-3</v>
      </c>
      <c r="H13576" t="s">
        <v>8580</v>
      </c>
      <c r="I13576">
        <v>730</v>
      </c>
      <c r="J13576" t="s">
        <v>450</v>
      </c>
      <c r="M13576">
        <v>0</v>
      </c>
    </row>
    <row r="13577" spans="1:13">
      <c r="A13577">
        <v>86083600</v>
      </c>
      <c r="B13577">
        <v>2013189</v>
      </c>
      <c r="C13577" t="s">
        <v>6678</v>
      </c>
      <c r="D13577" t="s">
        <v>449</v>
      </c>
      <c r="E13577" t="s">
        <v>441</v>
      </c>
      <c r="F13577">
        <v>0.16</v>
      </c>
      <c r="H13577" t="s">
        <v>8584</v>
      </c>
      <c r="I13577">
        <v>720</v>
      </c>
      <c r="J13577" t="s">
        <v>450</v>
      </c>
      <c r="M13577">
        <v>0</v>
      </c>
    </row>
    <row r="13578" spans="1:13">
      <c r="A13578">
        <v>86083700</v>
      </c>
      <c r="B13578">
        <v>2008517</v>
      </c>
      <c r="C13578" t="s">
        <v>6679</v>
      </c>
      <c r="D13578" t="s">
        <v>442</v>
      </c>
      <c r="F13578">
        <v>0</v>
      </c>
      <c r="H13578" t="s">
        <v>8580</v>
      </c>
      <c r="I13578">
        <v>360</v>
      </c>
      <c r="J13578" t="s">
        <v>450</v>
      </c>
      <c r="K13578" t="s">
        <v>446</v>
      </c>
      <c r="M13578">
        <v>0</v>
      </c>
    </row>
    <row r="13579" spans="1:13">
      <c r="A13579">
        <v>86083800</v>
      </c>
      <c r="B13579">
        <v>2011736</v>
      </c>
      <c r="C13579" t="s">
        <v>6680</v>
      </c>
      <c r="D13579" t="s">
        <v>449</v>
      </c>
      <c r="E13579" t="s">
        <v>441</v>
      </c>
      <c r="F13579">
        <v>0.03</v>
      </c>
      <c r="H13579" t="s">
        <v>8580</v>
      </c>
      <c r="I13579">
        <v>365</v>
      </c>
      <c r="J13579" t="s">
        <v>450</v>
      </c>
      <c r="K13579" t="s">
        <v>446</v>
      </c>
      <c r="M13579">
        <v>0</v>
      </c>
    </row>
    <row r="13580" spans="1:13">
      <c r="A13580">
        <v>86083900</v>
      </c>
      <c r="B13580">
        <v>2001484</v>
      </c>
      <c r="C13580" t="s">
        <v>6681</v>
      </c>
      <c r="D13580" t="s">
        <v>449</v>
      </c>
      <c r="E13580" t="s">
        <v>441</v>
      </c>
      <c r="F13580">
        <v>3.1E-2</v>
      </c>
      <c r="H13580" t="s">
        <v>8576</v>
      </c>
      <c r="I13580">
        <v>730</v>
      </c>
      <c r="J13580" t="s">
        <v>450</v>
      </c>
      <c r="K13580" t="s">
        <v>446</v>
      </c>
      <c r="M13580">
        <v>0</v>
      </c>
    </row>
    <row r="13581" spans="1:13">
      <c r="A13581">
        <v>86084000</v>
      </c>
      <c r="B13581">
        <v>2013274</v>
      </c>
      <c r="C13581" t="s">
        <v>6682</v>
      </c>
      <c r="D13581" t="s">
        <v>449</v>
      </c>
      <c r="E13581" t="s">
        <v>441</v>
      </c>
      <c r="F13581">
        <v>0.06</v>
      </c>
      <c r="H13581" t="s">
        <v>8950</v>
      </c>
      <c r="I13581">
        <v>730</v>
      </c>
      <c r="J13581" t="s">
        <v>450</v>
      </c>
      <c r="M13581">
        <v>0</v>
      </c>
    </row>
    <row r="13582" spans="1:13">
      <c r="A13582">
        <v>86084100</v>
      </c>
      <c r="B13582">
        <v>2013299</v>
      </c>
      <c r="C13582" t="s">
        <v>6683</v>
      </c>
      <c r="D13582" t="s">
        <v>449</v>
      </c>
      <c r="E13582" t="s">
        <v>441</v>
      </c>
      <c r="F13582">
        <v>0.06</v>
      </c>
      <c r="I13582">
        <v>730</v>
      </c>
      <c r="J13582" t="s">
        <v>450</v>
      </c>
      <c r="M13582">
        <v>0</v>
      </c>
    </row>
    <row r="13583" spans="1:13">
      <c r="A13583">
        <v>86084200</v>
      </c>
      <c r="B13583">
        <v>2013479</v>
      </c>
      <c r="C13583" t="s">
        <v>6684</v>
      </c>
      <c r="D13583" t="s">
        <v>449</v>
      </c>
      <c r="E13583" t="s">
        <v>441</v>
      </c>
      <c r="F13583">
        <v>0.2</v>
      </c>
      <c r="H13583" t="s">
        <v>8637</v>
      </c>
      <c r="I13583">
        <v>720</v>
      </c>
      <c r="J13583" t="s">
        <v>450</v>
      </c>
      <c r="K13583" t="s">
        <v>446</v>
      </c>
      <c r="M13583">
        <v>0</v>
      </c>
    </row>
    <row r="13584" spans="1:13">
      <c r="A13584">
        <v>86084300</v>
      </c>
      <c r="B13584">
        <v>2013551</v>
      </c>
      <c r="C13584" t="s">
        <v>6685</v>
      </c>
      <c r="D13584" t="s">
        <v>449</v>
      </c>
      <c r="E13584" t="s">
        <v>441</v>
      </c>
      <c r="F13584">
        <v>0.03</v>
      </c>
      <c r="H13584" t="s">
        <v>8584</v>
      </c>
      <c r="I13584">
        <v>720</v>
      </c>
      <c r="J13584" t="s">
        <v>450</v>
      </c>
      <c r="M13584">
        <v>0</v>
      </c>
    </row>
    <row r="13585" spans="1:13">
      <c r="A13585">
        <v>86084400</v>
      </c>
      <c r="B13585">
        <v>2013550</v>
      </c>
      <c r="C13585" t="s">
        <v>6686</v>
      </c>
      <c r="D13585" t="s">
        <v>449</v>
      </c>
      <c r="E13585" t="s">
        <v>441</v>
      </c>
      <c r="F13585">
        <v>0.03</v>
      </c>
      <c r="H13585" t="s">
        <v>8580</v>
      </c>
      <c r="I13585">
        <v>720</v>
      </c>
      <c r="J13585" t="s">
        <v>450</v>
      </c>
      <c r="M13585">
        <v>0</v>
      </c>
    </row>
    <row r="13586" spans="1:13">
      <c r="A13586">
        <v>86084500</v>
      </c>
      <c r="B13586">
        <v>2013593</v>
      </c>
      <c r="C13586" t="s">
        <v>6687</v>
      </c>
      <c r="D13586" t="s">
        <v>449</v>
      </c>
      <c r="E13586" t="s">
        <v>441</v>
      </c>
      <c r="F13586">
        <v>0.03</v>
      </c>
      <c r="H13586" t="s">
        <v>8580</v>
      </c>
      <c r="I13586">
        <v>720</v>
      </c>
      <c r="J13586" t="s">
        <v>450</v>
      </c>
      <c r="M13586">
        <v>0</v>
      </c>
    </row>
    <row r="13587" spans="1:13">
      <c r="A13587">
        <v>86084600</v>
      </c>
      <c r="B13587">
        <v>2013642</v>
      </c>
      <c r="C13587" t="s">
        <v>6688</v>
      </c>
      <c r="D13587" t="s">
        <v>449</v>
      </c>
      <c r="E13587" t="s">
        <v>441</v>
      </c>
      <c r="F13587">
        <v>0.03</v>
      </c>
      <c r="H13587" t="s">
        <v>8584</v>
      </c>
      <c r="I13587">
        <v>720</v>
      </c>
      <c r="J13587" t="s">
        <v>450</v>
      </c>
      <c r="M13587">
        <v>0</v>
      </c>
    </row>
    <row r="13588" spans="1:13">
      <c r="A13588">
        <v>86084700</v>
      </c>
      <c r="B13588">
        <v>2013641</v>
      </c>
      <c r="C13588" t="s">
        <v>6689</v>
      </c>
      <c r="D13588" t="s">
        <v>449</v>
      </c>
      <c r="E13588" t="s">
        <v>441</v>
      </c>
      <c r="F13588">
        <v>0.03</v>
      </c>
      <c r="H13588" t="s">
        <v>8580</v>
      </c>
      <c r="I13588">
        <v>720</v>
      </c>
      <c r="J13588" t="s">
        <v>450</v>
      </c>
      <c r="M13588">
        <v>0</v>
      </c>
    </row>
    <row r="13589" spans="1:13">
      <c r="A13589">
        <v>86084800</v>
      </c>
      <c r="B13589">
        <v>2013697</v>
      </c>
      <c r="C13589" t="s">
        <v>6690</v>
      </c>
      <c r="D13589" t="s">
        <v>449</v>
      </c>
      <c r="E13589" t="s">
        <v>441</v>
      </c>
      <c r="F13589">
        <v>0.03</v>
      </c>
      <c r="H13589" t="s">
        <v>8634</v>
      </c>
      <c r="I13589">
        <v>720</v>
      </c>
      <c r="J13589" t="s">
        <v>450</v>
      </c>
      <c r="M13589">
        <v>0</v>
      </c>
    </row>
    <row r="13590" spans="1:13">
      <c r="A13590">
        <v>86084900</v>
      </c>
      <c r="B13590">
        <v>2013696</v>
      </c>
      <c r="C13590" t="s">
        <v>6691</v>
      </c>
      <c r="D13590" t="s">
        <v>449</v>
      </c>
      <c r="E13590" t="s">
        <v>441</v>
      </c>
      <c r="F13590">
        <v>0.03</v>
      </c>
      <c r="H13590" t="s">
        <v>8634</v>
      </c>
      <c r="I13590">
        <v>720</v>
      </c>
      <c r="J13590" t="s">
        <v>450</v>
      </c>
      <c r="M13590">
        <v>0</v>
      </c>
    </row>
    <row r="13591" spans="1:13">
      <c r="A13591">
        <v>86085000</v>
      </c>
      <c r="B13591">
        <v>2013695</v>
      </c>
      <c r="C13591" t="s">
        <v>6692</v>
      </c>
      <c r="D13591" t="s">
        <v>449</v>
      </c>
      <c r="E13591" t="s">
        <v>441</v>
      </c>
      <c r="F13591">
        <v>0.03</v>
      </c>
      <c r="H13591" t="s">
        <v>8580</v>
      </c>
      <c r="I13591">
        <v>720</v>
      </c>
      <c r="J13591" t="s">
        <v>450</v>
      </c>
      <c r="M13591">
        <v>0</v>
      </c>
    </row>
    <row r="13592" spans="1:13">
      <c r="A13592">
        <v>86085100</v>
      </c>
      <c r="B13592">
        <v>2013694</v>
      </c>
      <c r="C13592" t="s">
        <v>6693</v>
      </c>
      <c r="D13592" t="s">
        <v>449</v>
      </c>
      <c r="E13592" t="s">
        <v>441</v>
      </c>
      <c r="F13592">
        <v>0.03</v>
      </c>
      <c r="H13592" t="s">
        <v>8580</v>
      </c>
      <c r="I13592">
        <v>720</v>
      </c>
      <c r="J13592" t="s">
        <v>450</v>
      </c>
      <c r="M13592">
        <v>0</v>
      </c>
    </row>
    <row r="13593" spans="1:13">
      <c r="A13593">
        <v>86085200</v>
      </c>
      <c r="B13593">
        <v>2013895</v>
      </c>
      <c r="C13593" t="s">
        <v>6694</v>
      </c>
      <c r="D13593" t="s">
        <v>449</v>
      </c>
      <c r="E13593" t="s">
        <v>441</v>
      </c>
      <c r="F13593">
        <v>1.6E-2</v>
      </c>
      <c r="H13593" t="s">
        <v>8584</v>
      </c>
      <c r="I13593">
        <v>730</v>
      </c>
      <c r="J13593" t="s">
        <v>450</v>
      </c>
      <c r="M13593">
        <v>0</v>
      </c>
    </row>
    <row r="13594" spans="1:13">
      <c r="A13594">
        <v>86085400</v>
      </c>
      <c r="B13594">
        <v>2014022</v>
      </c>
      <c r="C13594" t="s">
        <v>6695</v>
      </c>
      <c r="D13594" t="s">
        <v>449</v>
      </c>
      <c r="E13594" t="s">
        <v>441</v>
      </c>
      <c r="F13594">
        <v>0.2</v>
      </c>
      <c r="H13594" t="s">
        <v>8580</v>
      </c>
      <c r="I13594">
        <v>365</v>
      </c>
      <c r="J13594" t="s">
        <v>450</v>
      </c>
      <c r="M13594">
        <v>0</v>
      </c>
    </row>
    <row r="13595" spans="1:13">
      <c r="A13595">
        <v>86085500</v>
      </c>
      <c r="B13595">
        <v>2014252</v>
      </c>
      <c r="C13595" t="s">
        <v>6696</v>
      </c>
      <c r="D13595" t="s">
        <v>449</v>
      </c>
      <c r="E13595" t="s">
        <v>441</v>
      </c>
      <c r="F13595">
        <v>3.5000000000000003E-2</v>
      </c>
      <c r="I13595">
        <v>365</v>
      </c>
      <c r="J13595" t="s">
        <v>450</v>
      </c>
      <c r="M13595">
        <v>0</v>
      </c>
    </row>
    <row r="13596" spans="1:13">
      <c r="A13596">
        <v>86085600</v>
      </c>
      <c r="B13596">
        <v>2001468</v>
      </c>
      <c r="C13596" t="s">
        <v>6697</v>
      </c>
      <c r="D13596" t="s">
        <v>449</v>
      </c>
      <c r="E13596" t="s">
        <v>441</v>
      </c>
      <c r="F13596">
        <v>3.4000000000000002E-2</v>
      </c>
      <c r="H13596" t="s">
        <v>8576</v>
      </c>
      <c r="I13596">
        <v>365</v>
      </c>
      <c r="J13596" t="s">
        <v>450</v>
      </c>
      <c r="M13596">
        <v>0</v>
      </c>
    </row>
    <row r="13597" spans="1:13">
      <c r="A13597">
        <v>86085700</v>
      </c>
      <c r="B13597">
        <v>2014341</v>
      </c>
      <c r="C13597" t="s">
        <v>6698</v>
      </c>
      <c r="D13597" t="s">
        <v>449</v>
      </c>
      <c r="E13597" t="s">
        <v>441</v>
      </c>
      <c r="F13597">
        <v>3.4000000000000002E-2</v>
      </c>
      <c r="H13597" t="s">
        <v>8580</v>
      </c>
      <c r="I13597">
        <v>365</v>
      </c>
      <c r="J13597" t="s">
        <v>450</v>
      </c>
      <c r="M13597">
        <v>0</v>
      </c>
    </row>
    <row r="13598" spans="1:13">
      <c r="A13598">
        <v>86085800</v>
      </c>
      <c r="B13598">
        <v>2014375</v>
      </c>
      <c r="C13598" t="s">
        <v>6699</v>
      </c>
      <c r="D13598" t="s">
        <v>449</v>
      </c>
      <c r="E13598" t="s">
        <v>441</v>
      </c>
      <c r="F13598">
        <v>3.4000000000000002E-2</v>
      </c>
      <c r="H13598" t="s">
        <v>8580</v>
      </c>
      <c r="I13598">
        <v>365</v>
      </c>
      <c r="J13598" t="s">
        <v>450</v>
      </c>
      <c r="K13598" t="s">
        <v>446</v>
      </c>
      <c r="M13598">
        <v>0</v>
      </c>
    </row>
    <row r="13599" spans="1:13">
      <c r="A13599">
        <v>86086000</v>
      </c>
      <c r="B13599">
        <v>2010469</v>
      </c>
      <c r="C13599" t="s">
        <v>6700</v>
      </c>
      <c r="D13599" t="s">
        <v>449</v>
      </c>
      <c r="E13599" t="s">
        <v>441</v>
      </c>
      <c r="F13599">
        <v>0.12</v>
      </c>
      <c r="H13599" t="s">
        <v>8584</v>
      </c>
      <c r="I13599">
        <v>365</v>
      </c>
      <c r="J13599" t="s">
        <v>450</v>
      </c>
      <c r="M13599">
        <v>0</v>
      </c>
    </row>
    <row r="13600" spans="1:13">
      <c r="A13600">
        <v>86086100</v>
      </c>
      <c r="B13600">
        <v>2014573</v>
      </c>
      <c r="C13600" t="s">
        <v>6701</v>
      </c>
      <c r="D13600" t="s">
        <v>449</v>
      </c>
      <c r="E13600" t="s">
        <v>441</v>
      </c>
      <c r="F13600">
        <v>3.4000000000000002E-2</v>
      </c>
      <c r="H13600" t="s">
        <v>8580</v>
      </c>
      <c r="I13600">
        <v>365</v>
      </c>
      <c r="J13600" t="s">
        <v>450</v>
      </c>
      <c r="M13600">
        <v>0</v>
      </c>
    </row>
    <row r="13601" spans="1:13">
      <c r="A13601">
        <v>86086200</v>
      </c>
      <c r="B13601">
        <v>2014569</v>
      </c>
      <c r="C13601" t="s">
        <v>14025</v>
      </c>
      <c r="D13601" t="s">
        <v>441</v>
      </c>
      <c r="F13601">
        <v>0</v>
      </c>
      <c r="I13601">
        <v>730</v>
      </c>
      <c r="J13601" t="s">
        <v>450</v>
      </c>
      <c r="M13601">
        <v>0</v>
      </c>
    </row>
    <row r="13602" spans="1:13">
      <c r="A13602">
        <v>86086300</v>
      </c>
      <c r="B13602">
        <v>2012895</v>
      </c>
      <c r="C13602" t="s">
        <v>6702</v>
      </c>
      <c r="D13602" t="s">
        <v>449</v>
      </c>
      <c r="E13602" t="s">
        <v>441</v>
      </c>
      <c r="F13602">
        <v>0.03</v>
      </c>
      <c r="H13602" t="s">
        <v>8584</v>
      </c>
      <c r="I13602">
        <v>365</v>
      </c>
      <c r="J13602" t="s">
        <v>450</v>
      </c>
      <c r="M13602">
        <v>0</v>
      </c>
    </row>
    <row r="13603" spans="1:13">
      <c r="A13603">
        <v>86086500</v>
      </c>
      <c r="B13603">
        <v>2014742</v>
      </c>
      <c r="C13603" t="s">
        <v>6703</v>
      </c>
      <c r="D13603" t="s">
        <v>449</v>
      </c>
      <c r="E13603" t="s">
        <v>441</v>
      </c>
      <c r="F13603">
        <v>0.03</v>
      </c>
      <c r="I13603">
        <v>360</v>
      </c>
      <c r="J13603" t="s">
        <v>450</v>
      </c>
      <c r="M13603">
        <v>0</v>
      </c>
    </row>
    <row r="13604" spans="1:13">
      <c r="A13604">
        <v>86086600</v>
      </c>
      <c r="B13604">
        <v>2014731</v>
      </c>
      <c r="C13604" t="s">
        <v>6704</v>
      </c>
      <c r="D13604" t="s">
        <v>449</v>
      </c>
      <c r="E13604" t="s">
        <v>441</v>
      </c>
      <c r="F13604">
        <v>0.03</v>
      </c>
      <c r="H13604" t="s">
        <v>8580</v>
      </c>
      <c r="I13604">
        <v>360</v>
      </c>
      <c r="J13604" t="s">
        <v>450</v>
      </c>
      <c r="M13604">
        <v>0</v>
      </c>
    </row>
    <row r="13605" spans="1:13">
      <c r="A13605">
        <v>86086700</v>
      </c>
      <c r="B13605">
        <v>2014741</v>
      </c>
      <c r="C13605" t="s">
        <v>6705</v>
      </c>
      <c r="D13605" t="s">
        <v>449</v>
      </c>
      <c r="E13605" t="s">
        <v>441</v>
      </c>
      <c r="F13605">
        <v>0.03</v>
      </c>
      <c r="I13605">
        <v>360</v>
      </c>
      <c r="J13605" t="s">
        <v>450</v>
      </c>
      <c r="M13605">
        <v>0</v>
      </c>
    </row>
    <row r="13606" spans="1:13">
      <c r="A13606">
        <v>86086800</v>
      </c>
      <c r="B13606">
        <v>2014733</v>
      </c>
      <c r="C13606" t="s">
        <v>6706</v>
      </c>
      <c r="D13606" t="s">
        <v>449</v>
      </c>
      <c r="E13606" t="s">
        <v>441</v>
      </c>
      <c r="F13606">
        <v>0.03</v>
      </c>
      <c r="H13606" t="s">
        <v>8580</v>
      </c>
      <c r="I13606">
        <v>360</v>
      </c>
      <c r="J13606" t="s">
        <v>450</v>
      </c>
      <c r="M13606">
        <v>0</v>
      </c>
    </row>
    <row r="13607" spans="1:13">
      <c r="A13607">
        <v>86086900</v>
      </c>
      <c r="B13607">
        <v>2014740</v>
      </c>
      <c r="C13607" t="s">
        <v>6707</v>
      </c>
      <c r="D13607" t="s">
        <v>449</v>
      </c>
      <c r="E13607" t="s">
        <v>441</v>
      </c>
      <c r="F13607">
        <v>0.03</v>
      </c>
      <c r="I13607">
        <v>360</v>
      </c>
      <c r="J13607" t="s">
        <v>450</v>
      </c>
      <c r="M13607">
        <v>0</v>
      </c>
    </row>
    <row r="13608" spans="1:13">
      <c r="A13608">
        <v>86087100</v>
      </c>
      <c r="B13608">
        <v>2014738</v>
      </c>
      <c r="C13608" t="s">
        <v>6708</v>
      </c>
      <c r="D13608" t="s">
        <v>449</v>
      </c>
      <c r="E13608" t="s">
        <v>441</v>
      </c>
      <c r="F13608">
        <v>0.03</v>
      </c>
      <c r="I13608">
        <v>360</v>
      </c>
      <c r="J13608" t="s">
        <v>450</v>
      </c>
      <c r="M13608">
        <v>0</v>
      </c>
    </row>
    <row r="13609" spans="1:13">
      <c r="A13609">
        <v>86087200</v>
      </c>
      <c r="B13609">
        <v>2014779</v>
      </c>
      <c r="C13609" t="s">
        <v>6709</v>
      </c>
      <c r="D13609" t="s">
        <v>449</v>
      </c>
      <c r="E13609" t="s">
        <v>441</v>
      </c>
      <c r="F13609">
        <v>0.03</v>
      </c>
      <c r="H13609" t="s">
        <v>8580</v>
      </c>
      <c r="I13609">
        <v>360</v>
      </c>
      <c r="J13609" t="s">
        <v>450</v>
      </c>
      <c r="M13609">
        <v>0</v>
      </c>
    </row>
    <row r="13610" spans="1:13">
      <c r="A13610">
        <v>86087300</v>
      </c>
      <c r="B13610">
        <v>2014843</v>
      </c>
      <c r="C13610" t="s">
        <v>6710</v>
      </c>
      <c r="D13610" t="s">
        <v>449</v>
      </c>
      <c r="E13610" t="s">
        <v>441</v>
      </c>
      <c r="F13610">
        <v>0.03</v>
      </c>
      <c r="H13610" t="s">
        <v>8580</v>
      </c>
      <c r="I13610">
        <v>360</v>
      </c>
      <c r="J13610" t="s">
        <v>450</v>
      </c>
      <c r="M13610">
        <v>0</v>
      </c>
    </row>
    <row r="13611" spans="1:13">
      <c r="A13611">
        <v>86087400</v>
      </c>
      <c r="B13611">
        <v>2014827</v>
      </c>
      <c r="C13611" t="s">
        <v>6711</v>
      </c>
      <c r="D13611" t="s">
        <v>449</v>
      </c>
      <c r="E13611" t="s">
        <v>441</v>
      </c>
      <c r="F13611">
        <v>0.03</v>
      </c>
      <c r="I13611">
        <v>360</v>
      </c>
      <c r="J13611" t="s">
        <v>450</v>
      </c>
      <c r="M13611">
        <v>0</v>
      </c>
    </row>
    <row r="13612" spans="1:13">
      <c r="A13612">
        <v>86087500</v>
      </c>
      <c r="B13612">
        <v>2014842</v>
      </c>
      <c r="C13612" t="s">
        <v>6712</v>
      </c>
      <c r="D13612" t="s">
        <v>449</v>
      </c>
      <c r="E13612" t="s">
        <v>441</v>
      </c>
      <c r="F13612">
        <v>0.03</v>
      </c>
      <c r="H13612" t="s">
        <v>8580</v>
      </c>
      <c r="I13612">
        <v>360</v>
      </c>
      <c r="J13612" t="s">
        <v>450</v>
      </c>
      <c r="M13612">
        <v>0</v>
      </c>
    </row>
    <row r="13613" spans="1:13">
      <c r="A13613">
        <v>86087600</v>
      </c>
      <c r="B13613">
        <v>2014869</v>
      </c>
      <c r="C13613" t="s">
        <v>14026</v>
      </c>
      <c r="D13613" t="s">
        <v>442</v>
      </c>
      <c r="E13613" t="s">
        <v>441</v>
      </c>
      <c r="F13613">
        <v>0.05</v>
      </c>
      <c r="H13613" t="s">
        <v>8580</v>
      </c>
      <c r="I13613">
        <v>360</v>
      </c>
      <c r="J13613" t="s">
        <v>450</v>
      </c>
      <c r="M13613">
        <v>0</v>
      </c>
    </row>
    <row r="13614" spans="1:13">
      <c r="A13614">
        <v>86087700</v>
      </c>
      <c r="B13614">
        <v>2014911</v>
      </c>
      <c r="C13614" t="s">
        <v>6713</v>
      </c>
      <c r="D13614" t="s">
        <v>449</v>
      </c>
      <c r="E13614" t="s">
        <v>441</v>
      </c>
      <c r="F13614">
        <v>0.03</v>
      </c>
      <c r="I13614">
        <v>360</v>
      </c>
      <c r="J13614" t="s">
        <v>450</v>
      </c>
      <c r="M13614">
        <v>0</v>
      </c>
    </row>
    <row r="13615" spans="1:13">
      <c r="A13615">
        <v>86087800</v>
      </c>
      <c r="B13615">
        <v>2014906</v>
      </c>
      <c r="C13615" t="s">
        <v>6714</v>
      </c>
      <c r="D13615" t="s">
        <v>449</v>
      </c>
      <c r="E13615" t="s">
        <v>441</v>
      </c>
      <c r="F13615">
        <v>0.03</v>
      </c>
      <c r="H13615" t="s">
        <v>8580</v>
      </c>
      <c r="I13615">
        <v>360</v>
      </c>
      <c r="J13615" t="s">
        <v>450</v>
      </c>
      <c r="M13615">
        <v>0</v>
      </c>
    </row>
    <row r="13616" spans="1:13">
      <c r="A13616">
        <v>86087900</v>
      </c>
      <c r="B13616">
        <v>2012934</v>
      </c>
      <c r="C13616" t="s">
        <v>6715</v>
      </c>
      <c r="D13616" t="s">
        <v>449</v>
      </c>
      <c r="E13616" t="s">
        <v>441</v>
      </c>
      <c r="F13616">
        <v>0.02</v>
      </c>
      <c r="I13616">
        <v>365</v>
      </c>
      <c r="J13616" t="s">
        <v>450</v>
      </c>
      <c r="M13616">
        <v>0</v>
      </c>
    </row>
    <row r="13617" spans="1:13">
      <c r="A13617">
        <v>86088100</v>
      </c>
      <c r="B13617">
        <v>2006628</v>
      </c>
      <c r="C13617" t="s">
        <v>6716</v>
      </c>
      <c r="D13617" t="s">
        <v>449</v>
      </c>
      <c r="E13617" t="s">
        <v>441</v>
      </c>
      <c r="F13617">
        <v>7.0000000000000007E-2</v>
      </c>
      <c r="H13617" t="s">
        <v>8576</v>
      </c>
      <c r="I13617">
        <v>725</v>
      </c>
      <c r="J13617" t="s">
        <v>450</v>
      </c>
      <c r="M13617">
        <v>0</v>
      </c>
    </row>
    <row r="13618" spans="1:13">
      <c r="A13618">
        <v>86088200</v>
      </c>
      <c r="B13618">
        <v>2000583</v>
      </c>
      <c r="C13618" t="s">
        <v>6717</v>
      </c>
      <c r="D13618" t="s">
        <v>449</v>
      </c>
      <c r="E13618" t="s">
        <v>441</v>
      </c>
      <c r="F13618">
        <v>0.3</v>
      </c>
      <c r="H13618" t="s">
        <v>8576</v>
      </c>
      <c r="I13618">
        <v>730</v>
      </c>
      <c r="J13618" t="s">
        <v>450</v>
      </c>
      <c r="M13618">
        <v>0</v>
      </c>
    </row>
    <row r="13619" spans="1:13">
      <c r="A13619">
        <v>86088300</v>
      </c>
      <c r="B13619">
        <v>2015040</v>
      </c>
      <c r="C13619" t="s">
        <v>6542</v>
      </c>
      <c r="D13619" t="s">
        <v>449</v>
      </c>
      <c r="E13619" t="s">
        <v>441</v>
      </c>
      <c r="F13619">
        <v>0.03</v>
      </c>
      <c r="H13619" t="s">
        <v>8580</v>
      </c>
      <c r="I13619">
        <v>360</v>
      </c>
      <c r="J13619" t="s">
        <v>450</v>
      </c>
      <c r="M13619">
        <v>0</v>
      </c>
    </row>
    <row r="13620" spans="1:13">
      <c r="A13620">
        <v>86088400</v>
      </c>
      <c r="B13620">
        <v>2001757</v>
      </c>
      <c r="C13620" t="s">
        <v>6718</v>
      </c>
      <c r="D13620" t="s">
        <v>442</v>
      </c>
      <c r="E13620" t="s">
        <v>441</v>
      </c>
      <c r="F13620">
        <v>7.5999999999999998E-2</v>
      </c>
      <c r="H13620" t="s">
        <v>13997</v>
      </c>
      <c r="I13620">
        <v>547</v>
      </c>
      <c r="J13620" t="s">
        <v>450</v>
      </c>
      <c r="M13620">
        <v>0</v>
      </c>
    </row>
    <row r="13621" spans="1:13">
      <c r="A13621">
        <v>86088500</v>
      </c>
      <c r="B13621">
        <v>2001516</v>
      </c>
      <c r="C13621" t="s">
        <v>6719</v>
      </c>
      <c r="D13621" t="s">
        <v>449</v>
      </c>
      <c r="E13621" t="s">
        <v>441</v>
      </c>
      <c r="F13621">
        <v>8.8999999999999996E-2</v>
      </c>
      <c r="H13621" t="s">
        <v>8576</v>
      </c>
      <c r="I13621">
        <v>730</v>
      </c>
      <c r="J13621" t="s">
        <v>450</v>
      </c>
      <c r="M13621">
        <v>0</v>
      </c>
    </row>
    <row r="13622" spans="1:13">
      <c r="A13622">
        <v>86088600</v>
      </c>
      <c r="B13622">
        <v>2012119</v>
      </c>
      <c r="C13622" t="s">
        <v>6720</v>
      </c>
      <c r="D13622" t="s">
        <v>442</v>
      </c>
      <c r="E13622" t="s">
        <v>441</v>
      </c>
      <c r="F13622">
        <v>0.02</v>
      </c>
      <c r="I13622">
        <v>760</v>
      </c>
      <c r="J13622" t="s">
        <v>450</v>
      </c>
      <c r="K13622" t="s">
        <v>446</v>
      </c>
      <c r="M13622">
        <v>0</v>
      </c>
    </row>
    <row r="13623" spans="1:13">
      <c r="A13623">
        <v>86088700</v>
      </c>
      <c r="B13623">
        <v>2013481</v>
      </c>
      <c r="C13623" t="s">
        <v>6721</v>
      </c>
      <c r="D13623" t="s">
        <v>449</v>
      </c>
      <c r="E13623" t="s">
        <v>441</v>
      </c>
      <c r="F13623">
        <v>2.5000000000000001E-2</v>
      </c>
      <c r="H13623" t="s">
        <v>8637</v>
      </c>
      <c r="I13623">
        <v>720</v>
      </c>
      <c r="J13623" t="s">
        <v>450</v>
      </c>
      <c r="M13623">
        <v>0</v>
      </c>
    </row>
    <row r="13624" spans="1:13">
      <c r="A13624">
        <v>86088800</v>
      </c>
      <c r="B13624">
        <v>2015256</v>
      </c>
      <c r="C13624" t="s">
        <v>6722</v>
      </c>
      <c r="D13624" t="s">
        <v>449</v>
      </c>
      <c r="E13624" t="s">
        <v>441</v>
      </c>
      <c r="F13624">
        <v>0.03</v>
      </c>
      <c r="H13624" t="s">
        <v>8580</v>
      </c>
      <c r="I13624">
        <v>365</v>
      </c>
      <c r="J13624" t="s">
        <v>450</v>
      </c>
      <c r="M13624">
        <v>0</v>
      </c>
    </row>
    <row r="13625" spans="1:13">
      <c r="A13625">
        <v>86088900</v>
      </c>
      <c r="B13625">
        <v>2015226</v>
      </c>
      <c r="C13625" t="s">
        <v>14027</v>
      </c>
      <c r="D13625" t="s">
        <v>449</v>
      </c>
      <c r="E13625" t="s">
        <v>441</v>
      </c>
      <c r="F13625">
        <v>0.01</v>
      </c>
      <c r="H13625" t="s">
        <v>8580</v>
      </c>
      <c r="I13625">
        <v>1095</v>
      </c>
      <c r="J13625" t="s">
        <v>450</v>
      </c>
      <c r="M13625">
        <v>0</v>
      </c>
    </row>
    <row r="13626" spans="1:13">
      <c r="A13626">
        <v>86089100</v>
      </c>
      <c r="B13626">
        <v>2015445</v>
      </c>
      <c r="C13626" t="s">
        <v>17776</v>
      </c>
      <c r="D13626" t="s">
        <v>449</v>
      </c>
      <c r="E13626" t="s">
        <v>441</v>
      </c>
      <c r="F13626">
        <v>0.03</v>
      </c>
      <c r="H13626" t="s">
        <v>8634</v>
      </c>
      <c r="I13626">
        <v>360</v>
      </c>
      <c r="J13626" t="s">
        <v>450</v>
      </c>
      <c r="M13626">
        <v>0</v>
      </c>
    </row>
    <row r="13627" spans="1:13">
      <c r="A13627">
        <v>86089200</v>
      </c>
      <c r="B13627">
        <v>2013482</v>
      </c>
      <c r="C13627" t="s">
        <v>6723</v>
      </c>
      <c r="D13627" t="s">
        <v>449</v>
      </c>
      <c r="E13627" t="s">
        <v>441</v>
      </c>
      <c r="F13627">
        <v>1E-3</v>
      </c>
      <c r="H13627" t="s">
        <v>8580</v>
      </c>
      <c r="I13627">
        <v>365</v>
      </c>
      <c r="J13627" t="s">
        <v>450</v>
      </c>
      <c r="M13627">
        <v>0</v>
      </c>
    </row>
    <row r="13628" spans="1:13">
      <c r="A13628">
        <v>86089300</v>
      </c>
      <c r="B13628">
        <v>2015525</v>
      </c>
      <c r="C13628" t="s">
        <v>6724</v>
      </c>
      <c r="D13628" t="s">
        <v>449</v>
      </c>
      <c r="E13628" t="s">
        <v>441</v>
      </c>
      <c r="F13628">
        <v>1E-3</v>
      </c>
      <c r="I13628">
        <v>365</v>
      </c>
      <c r="J13628" t="s">
        <v>450</v>
      </c>
      <c r="M13628">
        <v>0</v>
      </c>
    </row>
    <row r="13629" spans="1:13">
      <c r="A13629">
        <v>86089400</v>
      </c>
      <c r="B13629">
        <v>2015536</v>
      </c>
      <c r="C13629" t="s">
        <v>6725</v>
      </c>
      <c r="D13629" t="s">
        <v>449</v>
      </c>
      <c r="E13629" t="s">
        <v>441</v>
      </c>
      <c r="F13629">
        <v>1E-3</v>
      </c>
      <c r="H13629" t="s">
        <v>8580</v>
      </c>
      <c r="I13629">
        <v>360</v>
      </c>
      <c r="J13629" t="s">
        <v>450</v>
      </c>
      <c r="M13629">
        <v>0</v>
      </c>
    </row>
    <row r="13630" spans="1:13">
      <c r="A13630">
        <v>86089500</v>
      </c>
      <c r="B13630">
        <v>2014243</v>
      </c>
      <c r="C13630" t="s">
        <v>6726</v>
      </c>
      <c r="D13630" t="s">
        <v>441</v>
      </c>
      <c r="F13630">
        <v>0</v>
      </c>
      <c r="H13630" t="s">
        <v>8584</v>
      </c>
      <c r="I13630">
        <v>600</v>
      </c>
      <c r="J13630" t="s">
        <v>450</v>
      </c>
      <c r="M13630">
        <v>0</v>
      </c>
    </row>
    <row r="13631" spans="1:13">
      <c r="A13631">
        <v>86089600</v>
      </c>
      <c r="B13631">
        <v>2012003</v>
      </c>
      <c r="C13631" t="s">
        <v>6727</v>
      </c>
      <c r="D13631" t="s">
        <v>449</v>
      </c>
      <c r="E13631" t="s">
        <v>441</v>
      </c>
      <c r="F13631">
        <v>6.9000000000000006E-2</v>
      </c>
      <c r="H13631" t="s">
        <v>8584</v>
      </c>
      <c r="I13631">
        <v>730</v>
      </c>
      <c r="J13631" t="s">
        <v>450</v>
      </c>
      <c r="K13631" t="s">
        <v>446</v>
      </c>
      <c r="M13631">
        <v>0</v>
      </c>
    </row>
    <row r="13632" spans="1:13">
      <c r="A13632">
        <v>86089700</v>
      </c>
      <c r="B13632">
        <v>2015746</v>
      </c>
      <c r="C13632" t="s">
        <v>6728</v>
      </c>
      <c r="D13632" t="s">
        <v>449</v>
      </c>
      <c r="E13632" t="s">
        <v>441</v>
      </c>
      <c r="F13632">
        <v>0.05</v>
      </c>
      <c r="H13632" t="s">
        <v>8627</v>
      </c>
      <c r="I13632">
        <v>720</v>
      </c>
      <c r="J13632" t="s">
        <v>450</v>
      </c>
      <c r="M13632">
        <v>0</v>
      </c>
    </row>
    <row r="13633" spans="1:13">
      <c r="A13633">
        <v>86089800</v>
      </c>
      <c r="B13633">
        <v>2015971</v>
      </c>
      <c r="C13633" t="s">
        <v>6729</v>
      </c>
      <c r="D13633" t="s">
        <v>449</v>
      </c>
      <c r="F13633">
        <v>0</v>
      </c>
      <c r="I13633">
        <v>360</v>
      </c>
      <c r="J13633" t="s">
        <v>450</v>
      </c>
      <c r="M13633">
        <v>0</v>
      </c>
    </row>
    <row r="13634" spans="1:13">
      <c r="A13634">
        <v>86089900</v>
      </c>
      <c r="B13634">
        <v>2015991</v>
      </c>
      <c r="C13634" t="s">
        <v>6730</v>
      </c>
      <c r="D13634" t="s">
        <v>449</v>
      </c>
      <c r="E13634" t="s">
        <v>441</v>
      </c>
      <c r="F13634">
        <v>0.03</v>
      </c>
      <c r="H13634" t="s">
        <v>8580</v>
      </c>
      <c r="I13634">
        <v>360</v>
      </c>
      <c r="J13634" t="s">
        <v>450</v>
      </c>
      <c r="M13634">
        <v>0</v>
      </c>
    </row>
    <row r="13635" spans="1:13">
      <c r="A13635">
        <v>86090100</v>
      </c>
      <c r="B13635">
        <v>2000848</v>
      </c>
      <c r="C13635" t="s">
        <v>14028</v>
      </c>
      <c r="D13635" t="s">
        <v>441</v>
      </c>
      <c r="F13635">
        <v>0</v>
      </c>
      <c r="H13635" t="s">
        <v>13985</v>
      </c>
      <c r="I13635">
        <v>547</v>
      </c>
      <c r="J13635" t="s">
        <v>450</v>
      </c>
      <c r="M13635">
        <v>2211</v>
      </c>
    </row>
    <row r="13636" spans="1:13">
      <c r="A13636">
        <v>86090200</v>
      </c>
      <c r="B13636">
        <v>2013763</v>
      </c>
      <c r="C13636" t="s">
        <v>6731</v>
      </c>
      <c r="D13636" t="s">
        <v>449</v>
      </c>
      <c r="E13636" t="s">
        <v>441</v>
      </c>
      <c r="F13636">
        <v>3.5999999999999997E-2</v>
      </c>
      <c r="H13636" t="s">
        <v>8580</v>
      </c>
      <c r="I13636">
        <v>365</v>
      </c>
      <c r="J13636" t="s">
        <v>450</v>
      </c>
      <c r="M13636">
        <v>0</v>
      </c>
    </row>
    <row r="13637" spans="1:13">
      <c r="A13637">
        <v>86090300</v>
      </c>
      <c r="B13637">
        <v>2002949</v>
      </c>
      <c r="C13637" t="s">
        <v>14632</v>
      </c>
      <c r="D13637" t="s">
        <v>441</v>
      </c>
      <c r="F13637">
        <v>0</v>
      </c>
      <c r="H13637" t="s">
        <v>13985</v>
      </c>
      <c r="I13637">
        <v>365</v>
      </c>
      <c r="J13637" t="s">
        <v>450</v>
      </c>
      <c r="M13637">
        <v>0</v>
      </c>
    </row>
    <row r="13638" spans="1:13">
      <c r="A13638">
        <v>86090500</v>
      </c>
      <c r="B13638">
        <v>2002950</v>
      </c>
      <c r="C13638" t="s">
        <v>14029</v>
      </c>
      <c r="D13638" t="s">
        <v>449</v>
      </c>
      <c r="E13638" t="s">
        <v>441</v>
      </c>
      <c r="F13638">
        <v>2E-3</v>
      </c>
      <c r="H13638" t="s">
        <v>13985</v>
      </c>
      <c r="I13638">
        <v>547</v>
      </c>
      <c r="J13638" t="s">
        <v>450</v>
      </c>
      <c r="K13638" t="s">
        <v>446</v>
      </c>
      <c r="M13638">
        <v>3711</v>
      </c>
    </row>
    <row r="13639" spans="1:13">
      <c r="A13639">
        <v>86090600</v>
      </c>
      <c r="B13639">
        <v>2000745</v>
      </c>
      <c r="C13639" t="s">
        <v>14030</v>
      </c>
      <c r="D13639" t="s">
        <v>441</v>
      </c>
      <c r="F13639">
        <v>0</v>
      </c>
      <c r="H13639" t="s">
        <v>13985</v>
      </c>
      <c r="I13639">
        <v>730</v>
      </c>
      <c r="J13639" t="s">
        <v>450</v>
      </c>
      <c r="M13639">
        <v>0</v>
      </c>
    </row>
    <row r="13640" spans="1:13">
      <c r="A13640">
        <v>86091100</v>
      </c>
      <c r="B13640">
        <v>2016034</v>
      </c>
      <c r="C13640" t="s">
        <v>6732</v>
      </c>
      <c r="D13640" t="s">
        <v>449</v>
      </c>
      <c r="F13640">
        <v>0</v>
      </c>
      <c r="H13640" t="s">
        <v>8637</v>
      </c>
      <c r="I13640">
        <v>360</v>
      </c>
      <c r="J13640" t="s">
        <v>450</v>
      </c>
      <c r="M13640">
        <v>0</v>
      </c>
    </row>
    <row r="13641" spans="1:13">
      <c r="A13641">
        <v>86091200</v>
      </c>
      <c r="B13641">
        <v>2016061</v>
      </c>
      <c r="C13641" t="s">
        <v>6733</v>
      </c>
      <c r="D13641" t="s">
        <v>449</v>
      </c>
      <c r="F13641">
        <v>0</v>
      </c>
      <c r="H13641" t="s">
        <v>8580</v>
      </c>
      <c r="I13641">
        <v>360</v>
      </c>
      <c r="J13641" t="s">
        <v>450</v>
      </c>
      <c r="M13641">
        <v>0</v>
      </c>
    </row>
    <row r="13642" spans="1:13">
      <c r="A13642">
        <v>86091300</v>
      </c>
      <c r="B13642">
        <v>2016017</v>
      </c>
      <c r="C13642" t="s">
        <v>6734</v>
      </c>
      <c r="D13642" t="s">
        <v>449</v>
      </c>
      <c r="F13642">
        <v>0</v>
      </c>
      <c r="H13642" t="s">
        <v>8580</v>
      </c>
      <c r="I13642">
        <v>360</v>
      </c>
      <c r="J13642" t="s">
        <v>450</v>
      </c>
      <c r="M13642">
        <v>0</v>
      </c>
    </row>
    <row r="13643" spans="1:13">
      <c r="A13643">
        <v>86091400</v>
      </c>
      <c r="B13643">
        <v>2016068</v>
      </c>
      <c r="C13643" t="s">
        <v>6735</v>
      </c>
      <c r="D13643" t="s">
        <v>442</v>
      </c>
      <c r="E13643" t="s">
        <v>441</v>
      </c>
      <c r="F13643">
        <v>0.03</v>
      </c>
      <c r="H13643" t="s">
        <v>8580</v>
      </c>
      <c r="I13643">
        <v>360</v>
      </c>
      <c r="J13643" t="s">
        <v>450</v>
      </c>
      <c r="M13643">
        <v>0</v>
      </c>
    </row>
    <row r="13644" spans="1:13">
      <c r="A13644">
        <v>86091500</v>
      </c>
      <c r="B13644">
        <v>2016108</v>
      </c>
      <c r="C13644" t="s">
        <v>6736</v>
      </c>
      <c r="D13644" t="s">
        <v>449</v>
      </c>
      <c r="E13644" t="s">
        <v>441</v>
      </c>
      <c r="F13644">
        <v>0.03</v>
      </c>
      <c r="H13644" t="s">
        <v>8580</v>
      </c>
      <c r="I13644">
        <v>360</v>
      </c>
      <c r="J13644" t="s">
        <v>450</v>
      </c>
      <c r="M13644">
        <v>0</v>
      </c>
    </row>
    <row r="13645" spans="1:13">
      <c r="A13645">
        <v>86091600</v>
      </c>
      <c r="B13645">
        <v>2016221</v>
      </c>
      <c r="C13645" t="s">
        <v>6737</v>
      </c>
      <c r="D13645" t="s">
        <v>449</v>
      </c>
      <c r="E13645" t="s">
        <v>441</v>
      </c>
      <c r="F13645">
        <v>0.03</v>
      </c>
      <c r="H13645" t="s">
        <v>8580</v>
      </c>
      <c r="I13645">
        <v>360</v>
      </c>
      <c r="J13645" t="s">
        <v>450</v>
      </c>
      <c r="M13645">
        <v>0</v>
      </c>
    </row>
    <row r="13646" spans="1:13">
      <c r="A13646">
        <v>86091700</v>
      </c>
      <c r="B13646">
        <v>2016156</v>
      </c>
      <c r="C13646" t="s">
        <v>6738</v>
      </c>
      <c r="D13646" t="s">
        <v>449</v>
      </c>
      <c r="E13646" t="s">
        <v>441</v>
      </c>
      <c r="F13646">
        <v>0.03</v>
      </c>
      <c r="I13646">
        <v>360</v>
      </c>
      <c r="J13646" t="s">
        <v>450</v>
      </c>
      <c r="M13646">
        <v>0</v>
      </c>
    </row>
    <row r="13647" spans="1:13">
      <c r="A13647">
        <v>86091800</v>
      </c>
      <c r="B13647">
        <v>2013899</v>
      </c>
      <c r="C13647" t="s">
        <v>6739</v>
      </c>
      <c r="D13647" t="s">
        <v>441</v>
      </c>
      <c r="F13647">
        <v>0</v>
      </c>
      <c r="H13647" t="s">
        <v>8580</v>
      </c>
      <c r="I13647">
        <v>365</v>
      </c>
      <c r="J13647" t="s">
        <v>450</v>
      </c>
      <c r="M13647">
        <v>0</v>
      </c>
    </row>
    <row r="13648" spans="1:13">
      <c r="A13648">
        <v>86091900</v>
      </c>
      <c r="B13648">
        <v>2016236</v>
      </c>
      <c r="C13648" t="s">
        <v>6740</v>
      </c>
      <c r="D13648" t="s">
        <v>449</v>
      </c>
      <c r="E13648" t="s">
        <v>441</v>
      </c>
      <c r="F13648">
        <v>0.03</v>
      </c>
      <c r="H13648" t="s">
        <v>8580</v>
      </c>
      <c r="I13648">
        <v>360</v>
      </c>
      <c r="J13648" t="s">
        <v>450</v>
      </c>
      <c r="M13648">
        <v>0</v>
      </c>
    </row>
    <row r="13649" spans="1:13">
      <c r="A13649">
        <v>86092100</v>
      </c>
      <c r="B13649">
        <v>2016354</v>
      </c>
      <c r="C13649" t="s">
        <v>14031</v>
      </c>
      <c r="D13649" t="s">
        <v>449</v>
      </c>
      <c r="E13649" t="s">
        <v>441</v>
      </c>
      <c r="F13649">
        <v>1E-3</v>
      </c>
      <c r="H13649" t="s">
        <v>8580</v>
      </c>
      <c r="I13649">
        <v>360</v>
      </c>
      <c r="J13649" t="s">
        <v>450</v>
      </c>
      <c r="M13649">
        <v>0</v>
      </c>
    </row>
    <row r="13650" spans="1:13">
      <c r="A13650">
        <v>86092200</v>
      </c>
      <c r="B13650">
        <v>2016358</v>
      </c>
      <c r="C13650" t="s">
        <v>6741</v>
      </c>
      <c r="D13650" t="s">
        <v>449</v>
      </c>
      <c r="E13650" t="s">
        <v>441</v>
      </c>
      <c r="F13650">
        <v>0.03</v>
      </c>
      <c r="H13650" t="s">
        <v>8580</v>
      </c>
      <c r="I13650">
        <v>360</v>
      </c>
      <c r="J13650" t="s">
        <v>450</v>
      </c>
      <c r="K13650" t="s">
        <v>446</v>
      </c>
      <c r="M13650">
        <v>0</v>
      </c>
    </row>
    <row r="13651" spans="1:13">
      <c r="A13651">
        <v>86092300</v>
      </c>
      <c r="B13651">
        <v>2016357</v>
      </c>
      <c r="C13651" t="s">
        <v>15719</v>
      </c>
      <c r="D13651" t="s">
        <v>449</v>
      </c>
      <c r="E13651" t="s">
        <v>441</v>
      </c>
      <c r="F13651">
        <v>0.03</v>
      </c>
      <c r="I13651">
        <v>360</v>
      </c>
      <c r="J13651" t="s">
        <v>450</v>
      </c>
      <c r="K13651" t="s">
        <v>446</v>
      </c>
      <c r="M13651">
        <v>0</v>
      </c>
    </row>
    <row r="13652" spans="1:13">
      <c r="A13652">
        <v>86092310</v>
      </c>
      <c r="B13652">
        <v>2019172</v>
      </c>
      <c r="C13652" t="s">
        <v>14633</v>
      </c>
      <c r="D13652" t="s">
        <v>441</v>
      </c>
      <c r="F13652">
        <v>0</v>
      </c>
      <c r="I13652">
        <v>730</v>
      </c>
      <c r="J13652" t="s">
        <v>450</v>
      </c>
      <c r="M13652">
        <v>0</v>
      </c>
    </row>
    <row r="13653" spans="1:13">
      <c r="A13653">
        <v>86092320</v>
      </c>
      <c r="B13653">
        <v>2019171</v>
      </c>
      <c r="C13653" t="s">
        <v>14634</v>
      </c>
      <c r="D13653" t="s">
        <v>441</v>
      </c>
      <c r="F13653">
        <v>0</v>
      </c>
      <c r="H13653" t="s">
        <v>8580</v>
      </c>
      <c r="I13653">
        <v>730</v>
      </c>
      <c r="J13653" t="s">
        <v>450</v>
      </c>
      <c r="M13653">
        <v>0</v>
      </c>
    </row>
    <row r="13654" spans="1:13">
      <c r="A13654">
        <v>86092330</v>
      </c>
      <c r="B13654">
        <v>2019170</v>
      </c>
      <c r="C13654" t="s">
        <v>14635</v>
      </c>
      <c r="D13654" t="s">
        <v>441</v>
      </c>
      <c r="F13654">
        <v>0</v>
      </c>
      <c r="I13654">
        <v>730</v>
      </c>
      <c r="J13654" t="s">
        <v>450</v>
      </c>
      <c r="M13654">
        <v>0</v>
      </c>
    </row>
    <row r="13655" spans="1:13">
      <c r="A13655">
        <v>86092340</v>
      </c>
      <c r="B13655">
        <v>2019159</v>
      </c>
      <c r="C13655" t="s">
        <v>14636</v>
      </c>
      <c r="D13655" t="s">
        <v>441</v>
      </c>
      <c r="F13655">
        <v>0</v>
      </c>
      <c r="H13655" t="s">
        <v>8580</v>
      </c>
      <c r="I13655">
        <v>730</v>
      </c>
      <c r="J13655" t="s">
        <v>450</v>
      </c>
      <c r="M13655">
        <v>0</v>
      </c>
    </row>
    <row r="13656" spans="1:13">
      <c r="A13656">
        <v>86092350</v>
      </c>
      <c r="B13656">
        <v>2020323</v>
      </c>
      <c r="C13656" t="s">
        <v>17215</v>
      </c>
      <c r="D13656" t="s">
        <v>441</v>
      </c>
      <c r="F13656">
        <v>0</v>
      </c>
      <c r="I13656">
        <v>1095</v>
      </c>
      <c r="J13656" t="s">
        <v>450</v>
      </c>
      <c r="M13656">
        <v>0</v>
      </c>
    </row>
    <row r="13657" spans="1:13">
      <c r="A13657">
        <v>86092360</v>
      </c>
      <c r="B13657">
        <v>2018055</v>
      </c>
      <c r="C13657" t="s">
        <v>17777</v>
      </c>
      <c r="D13657" t="s">
        <v>442</v>
      </c>
      <c r="E13657" t="s">
        <v>441</v>
      </c>
      <c r="F13657">
        <v>0.01</v>
      </c>
      <c r="H13657" t="s">
        <v>8580</v>
      </c>
      <c r="I13657">
        <v>720</v>
      </c>
      <c r="J13657" t="s">
        <v>450</v>
      </c>
      <c r="M13657">
        <v>0</v>
      </c>
    </row>
    <row r="13658" spans="1:13">
      <c r="A13658">
        <v>86092400</v>
      </c>
      <c r="B13658">
        <v>2016359</v>
      </c>
      <c r="C13658" t="s">
        <v>6742</v>
      </c>
      <c r="D13658" t="s">
        <v>449</v>
      </c>
      <c r="E13658" t="s">
        <v>441</v>
      </c>
      <c r="F13658">
        <v>0.03</v>
      </c>
      <c r="I13658">
        <v>360</v>
      </c>
      <c r="J13658" t="s">
        <v>450</v>
      </c>
      <c r="K13658" t="s">
        <v>446</v>
      </c>
      <c r="M13658">
        <v>0</v>
      </c>
    </row>
    <row r="13659" spans="1:13">
      <c r="A13659">
        <v>86092500</v>
      </c>
      <c r="B13659">
        <v>2016647</v>
      </c>
      <c r="C13659" t="s">
        <v>6743</v>
      </c>
      <c r="D13659" t="s">
        <v>449</v>
      </c>
      <c r="E13659" t="s">
        <v>441</v>
      </c>
      <c r="F13659">
        <v>0.03</v>
      </c>
      <c r="H13659" t="s">
        <v>8935</v>
      </c>
      <c r="I13659">
        <v>360</v>
      </c>
      <c r="J13659" t="s">
        <v>450</v>
      </c>
      <c r="M13659">
        <v>0</v>
      </c>
    </row>
    <row r="13660" spans="1:13">
      <c r="A13660">
        <v>86092600</v>
      </c>
      <c r="B13660">
        <v>2016646</v>
      </c>
      <c r="C13660" t="s">
        <v>6744</v>
      </c>
      <c r="D13660" t="s">
        <v>449</v>
      </c>
      <c r="E13660" t="s">
        <v>441</v>
      </c>
      <c r="F13660">
        <v>0.03</v>
      </c>
      <c r="H13660" t="s">
        <v>8935</v>
      </c>
      <c r="I13660">
        <v>360</v>
      </c>
      <c r="J13660" t="s">
        <v>450</v>
      </c>
      <c r="M13660">
        <v>0</v>
      </c>
    </row>
    <row r="13661" spans="1:13">
      <c r="A13661">
        <v>86092700</v>
      </c>
      <c r="B13661">
        <v>2016694</v>
      </c>
      <c r="C13661" t="s">
        <v>14032</v>
      </c>
      <c r="D13661" t="s">
        <v>449</v>
      </c>
      <c r="E13661" t="s">
        <v>441</v>
      </c>
      <c r="F13661">
        <v>1.2999999999999999E-2</v>
      </c>
      <c r="H13661" t="s">
        <v>8935</v>
      </c>
      <c r="I13661">
        <v>1095</v>
      </c>
      <c r="J13661" t="s">
        <v>450</v>
      </c>
      <c r="M13661">
        <v>0</v>
      </c>
    </row>
    <row r="13662" spans="1:13">
      <c r="A13662">
        <v>86092800</v>
      </c>
      <c r="B13662">
        <v>2016693</v>
      </c>
      <c r="C13662" t="s">
        <v>14033</v>
      </c>
      <c r="D13662" t="s">
        <v>449</v>
      </c>
      <c r="E13662" t="s">
        <v>441</v>
      </c>
      <c r="F13662">
        <v>1.2999999999999999E-2</v>
      </c>
      <c r="H13662" t="s">
        <v>8935</v>
      </c>
      <c r="I13662">
        <v>1460</v>
      </c>
      <c r="J13662" t="s">
        <v>450</v>
      </c>
      <c r="M13662">
        <v>0</v>
      </c>
    </row>
    <row r="13663" spans="1:13">
      <c r="A13663">
        <v>86092900</v>
      </c>
      <c r="B13663">
        <v>2016657</v>
      </c>
      <c r="C13663" t="s">
        <v>14034</v>
      </c>
      <c r="D13663" t="s">
        <v>441</v>
      </c>
      <c r="F13663">
        <v>0</v>
      </c>
      <c r="H13663" t="s">
        <v>8935</v>
      </c>
      <c r="I13663">
        <v>720</v>
      </c>
      <c r="J13663" t="s">
        <v>450</v>
      </c>
      <c r="M13663">
        <v>0</v>
      </c>
    </row>
    <row r="13664" spans="1:13">
      <c r="A13664">
        <v>86093000</v>
      </c>
      <c r="B13664">
        <v>2016656</v>
      </c>
      <c r="C13664" t="s">
        <v>14035</v>
      </c>
      <c r="D13664" t="s">
        <v>441</v>
      </c>
      <c r="F13664">
        <v>0</v>
      </c>
      <c r="H13664" t="s">
        <v>8935</v>
      </c>
      <c r="I13664">
        <v>360</v>
      </c>
      <c r="J13664" t="s">
        <v>450</v>
      </c>
      <c r="M13664">
        <v>0</v>
      </c>
    </row>
    <row r="13665" spans="1:13">
      <c r="A13665">
        <v>86093100</v>
      </c>
      <c r="B13665">
        <v>2016658</v>
      </c>
      <c r="C13665" t="s">
        <v>14036</v>
      </c>
      <c r="D13665" t="s">
        <v>441</v>
      </c>
      <c r="F13665">
        <v>0</v>
      </c>
      <c r="H13665" t="s">
        <v>8935</v>
      </c>
      <c r="I13665">
        <v>360</v>
      </c>
      <c r="J13665" t="s">
        <v>450</v>
      </c>
      <c r="M13665">
        <v>0</v>
      </c>
    </row>
    <row r="13666" spans="1:13">
      <c r="A13666">
        <v>86093200</v>
      </c>
      <c r="B13666">
        <v>2016655</v>
      </c>
      <c r="C13666" t="s">
        <v>14037</v>
      </c>
      <c r="D13666" t="s">
        <v>441</v>
      </c>
      <c r="F13666">
        <v>0</v>
      </c>
      <c r="H13666" t="s">
        <v>8935</v>
      </c>
      <c r="I13666">
        <v>730</v>
      </c>
      <c r="J13666" t="s">
        <v>450</v>
      </c>
      <c r="M13666">
        <v>0</v>
      </c>
    </row>
    <row r="13667" spans="1:13">
      <c r="A13667">
        <v>86093300</v>
      </c>
      <c r="B13667">
        <v>2016733</v>
      </c>
      <c r="C13667" t="s">
        <v>6745</v>
      </c>
      <c r="D13667" t="s">
        <v>449</v>
      </c>
      <c r="E13667" t="s">
        <v>441</v>
      </c>
      <c r="F13667">
        <v>0.03</v>
      </c>
      <c r="H13667" t="s">
        <v>8580</v>
      </c>
      <c r="I13667">
        <v>360</v>
      </c>
      <c r="J13667" t="s">
        <v>450</v>
      </c>
      <c r="M13667">
        <v>0</v>
      </c>
    </row>
    <row r="13668" spans="1:13">
      <c r="A13668">
        <v>86093400</v>
      </c>
      <c r="B13668">
        <v>2016741</v>
      </c>
      <c r="C13668" t="s">
        <v>14038</v>
      </c>
      <c r="D13668" t="s">
        <v>441</v>
      </c>
      <c r="F13668">
        <v>0</v>
      </c>
      <c r="H13668" t="s">
        <v>8580</v>
      </c>
      <c r="I13668">
        <v>360</v>
      </c>
      <c r="J13668" t="s">
        <v>450</v>
      </c>
      <c r="M13668">
        <v>0</v>
      </c>
    </row>
    <row r="13669" spans="1:13">
      <c r="A13669">
        <v>86093500</v>
      </c>
      <c r="B13669">
        <v>2016708</v>
      </c>
      <c r="C13669" t="s">
        <v>6746</v>
      </c>
      <c r="D13669" t="s">
        <v>449</v>
      </c>
      <c r="E13669" t="s">
        <v>441</v>
      </c>
      <c r="F13669">
        <v>0.03</v>
      </c>
      <c r="H13669" t="s">
        <v>8935</v>
      </c>
      <c r="I13669">
        <v>360</v>
      </c>
      <c r="J13669" t="s">
        <v>450</v>
      </c>
      <c r="M13669">
        <v>0</v>
      </c>
    </row>
    <row r="13670" spans="1:13">
      <c r="A13670">
        <v>86093600</v>
      </c>
      <c r="B13670">
        <v>2016811</v>
      </c>
      <c r="C13670" t="s">
        <v>17778</v>
      </c>
      <c r="D13670" t="s">
        <v>449</v>
      </c>
      <c r="E13670" t="s">
        <v>441</v>
      </c>
      <c r="F13670">
        <v>0.03</v>
      </c>
      <c r="H13670" t="s">
        <v>8584</v>
      </c>
      <c r="I13670">
        <v>360</v>
      </c>
      <c r="J13670" t="s">
        <v>450</v>
      </c>
      <c r="K13670" t="s">
        <v>446</v>
      </c>
      <c r="M13670">
        <v>0</v>
      </c>
    </row>
    <row r="13671" spans="1:13">
      <c r="A13671">
        <v>86093700</v>
      </c>
      <c r="B13671">
        <v>2014323</v>
      </c>
      <c r="C13671" t="s">
        <v>6747</v>
      </c>
      <c r="D13671" t="s">
        <v>441</v>
      </c>
      <c r="F13671">
        <v>0</v>
      </c>
      <c r="I13671">
        <v>730</v>
      </c>
      <c r="J13671" t="s">
        <v>450</v>
      </c>
      <c r="M13671">
        <v>0</v>
      </c>
    </row>
    <row r="13672" spans="1:13">
      <c r="A13672">
        <v>86093800</v>
      </c>
      <c r="B13672">
        <v>2016793</v>
      </c>
      <c r="C13672" t="s">
        <v>14039</v>
      </c>
      <c r="D13672" t="s">
        <v>449</v>
      </c>
      <c r="E13672" t="s">
        <v>441</v>
      </c>
      <c r="F13672">
        <v>1.2999999999999999E-2</v>
      </c>
      <c r="H13672" t="s">
        <v>8580</v>
      </c>
      <c r="I13672">
        <v>1095</v>
      </c>
      <c r="J13672" t="s">
        <v>450</v>
      </c>
      <c r="M13672">
        <v>0</v>
      </c>
    </row>
    <row r="13673" spans="1:13">
      <c r="A13673">
        <v>86093900</v>
      </c>
      <c r="B13673">
        <v>2015683</v>
      </c>
      <c r="C13673" t="s">
        <v>6748</v>
      </c>
      <c r="D13673" t="s">
        <v>449</v>
      </c>
      <c r="E13673" t="s">
        <v>441</v>
      </c>
      <c r="F13673">
        <v>0.17</v>
      </c>
      <c r="H13673" t="s">
        <v>8637</v>
      </c>
      <c r="I13673">
        <v>720</v>
      </c>
      <c r="J13673" t="s">
        <v>450</v>
      </c>
      <c r="M13673">
        <v>0</v>
      </c>
    </row>
    <row r="13674" spans="1:13">
      <c r="A13674">
        <v>86094100</v>
      </c>
      <c r="B13674">
        <v>2016874</v>
      </c>
      <c r="C13674" t="s">
        <v>6749</v>
      </c>
      <c r="D13674" t="s">
        <v>442</v>
      </c>
      <c r="E13674" t="s">
        <v>441</v>
      </c>
      <c r="F13674">
        <v>0.03</v>
      </c>
      <c r="I13674">
        <v>720</v>
      </c>
      <c r="J13674" t="s">
        <v>450</v>
      </c>
      <c r="M13674">
        <v>0</v>
      </c>
    </row>
    <row r="13675" spans="1:13">
      <c r="A13675">
        <v>86094200</v>
      </c>
      <c r="B13675">
        <v>2016880</v>
      </c>
      <c r="C13675" t="s">
        <v>6750</v>
      </c>
      <c r="D13675" t="s">
        <v>449</v>
      </c>
      <c r="E13675" t="s">
        <v>441</v>
      </c>
      <c r="F13675">
        <v>0.03</v>
      </c>
      <c r="H13675" t="s">
        <v>8580</v>
      </c>
      <c r="I13675">
        <v>360</v>
      </c>
      <c r="J13675" t="s">
        <v>450</v>
      </c>
      <c r="M13675">
        <v>0</v>
      </c>
    </row>
    <row r="13676" spans="1:13">
      <c r="A13676">
        <v>86094300</v>
      </c>
      <c r="B13676">
        <v>2016878</v>
      </c>
      <c r="C13676" t="s">
        <v>6751</v>
      </c>
      <c r="D13676" t="s">
        <v>449</v>
      </c>
      <c r="E13676" t="s">
        <v>441</v>
      </c>
      <c r="F13676">
        <v>0.03</v>
      </c>
      <c r="H13676" t="s">
        <v>8580</v>
      </c>
      <c r="I13676">
        <v>360</v>
      </c>
      <c r="J13676" t="s">
        <v>450</v>
      </c>
      <c r="M13676">
        <v>0</v>
      </c>
    </row>
    <row r="13677" spans="1:13">
      <c r="A13677">
        <v>86094400</v>
      </c>
      <c r="B13677">
        <v>2017028</v>
      </c>
      <c r="C13677" t="s">
        <v>6752</v>
      </c>
      <c r="D13677" t="s">
        <v>449</v>
      </c>
      <c r="E13677" t="s">
        <v>441</v>
      </c>
      <c r="F13677">
        <v>5.6000000000000001E-2</v>
      </c>
      <c r="I13677">
        <v>360</v>
      </c>
      <c r="J13677" t="s">
        <v>450</v>
      </c>
      <c r="M13677">
        <v>0</v>
      </c>
    </row>
    <row r="13678" spans="1:13">
      <c r="A13678">
        <v>86094500</v>
      </c>
      <c r="B13678">
        <v>2017198</v>
      </c>
      <c r="C13678" t="s">
        <v>6753</v>
      </c>
      <c r="D13678" t="s">
        <v>449</v>
      </c>
      <c r="E13678" t="s">
        <v>441</v>
      </c>
      <c r="F13678">
        <v>2.9000000000000001E-2</v>
      </c>
      <c r="H13678" t="s">
        <v>8580</v>
      </c>
      <c r="I13678">
        <v>360</v>
      </c>
      <c r="J13678" t="s">
        <v>450</v>
      </c>
      <c r="M13678">
        <v>0</v>
      </c>
    </row>
    <row r="13679" spans="1:13">
      <c r="A13679">
        <v>86094600</v>
      </c>
      <c r="B13679">
        <v>2017197</v>
      </c>
      <c r="C13679" t="s">
        <v>6754</v>
      </c>
      <c r="D13679" t="s">
        <v>449</v>
      </c>
      <c r="E13679" t="s">
        <v>441</v>
      </c>
      <c r="F13679">
        <v>1.2E-2</v>
      </c>
      <c r="H13679" t="s">
        <v>8580</v>
      </c>
      <c r="I13679">
        <v>360</v>
      </c>
      <c r="J13679" t="s">
        <v>450</v>
      </c>
      <c r="M13679">
        <v>0</v>
      </c>
    </row>
    <row r="13680" spans="1:13">
      <c r="A13680">
        <v>86094700</v>
      </c>
      <c r="B13680">
        <v>2017195</v>
      </c>
      <c r="C13680" t="s">
        <v>6755</v>
      </c>
      <c r="D13680" t="s">
        <v>449</v>
      </c>
      <c r="E13680" t="s">
        <v>441</v>
      </c>
      <c r="F13680">
        <v>2.9000000000000001E-2</v>
      </c>
      <c r="H13680" t="s">
        <v>8580</v>
      </c>
      <c r="I13680">
        <v>360</v>
      </c>
      <c r="J13680" t="s">
        <v>450</v>
      </c>
      <c r="M13680">
        <v>0</v>
      </c>
    </row>
    <row r="13681" spans="1:13">
      <c r="A13681">
        <v>86094800</v>
      </c>
      <c r="B13681">
        <v>2017312</v>
      </c>
      <c r="C13681" t="s">
        <v>6756</v>
      </c>
      <c r="D13681" t="s">
        <v>449</v>
      </c>
      <c r="E13681" t="s">
        <v>441</v>
      </c>
      <c r="F13681">
        <v>3.7999999999999999E-2</v>
      </c>
      <c r="H13681" t="s">
        <v>8584</v>
      </c>
      <c r="I13681">
        <v>360</v>
      </c>
      <c r="J13681" t="s">
        <v>450</v>
      </c>
      <c r="M13681">
        <v>0</v>
      </c>
    </row>
    <row r="13682" spans="1:13">
      <c r="A13682">
        <v>86094900</v>
      </c>
      <c r="B13682">
        <v>2017311</v>
      </c>
      <c r="C13682" t="s">
        <v>6757</v>
      </c>
      <c r="D13682" t="s">
        <v>449</v>
      </c>
      <c r="E13682" t="s">
        <v>441</v>
      </c>
      <c r="F13682">
        <v>7.3999999999999996E-2</v>
      </c>
      <c r="H13682" t="s">
        <v>8627</v>
      </c>
      <c r="I13682">
        <v>360</v>
      </c>
      <c r="J13682" t="s">
        <v>450</v>
      </c>
      <c r="M13682">
        <v>0</v>
      </c>
    </row>
    <row r="13683" spans="1:13">
      <c r="A13683">
        <v>86095000</v>
      </c>
      <c r="B13683">
        <v>2018122</v>
      </c>
      <c r="C13683" t="s">
        <v>6758</v>
      </c>
      <c r="D13683" t="s">
        <v>442</v>
      </c>
      <c r="E13683" t="s">
        <v>441</v>
      </c>
      <c r="F13683">
        <v>5.0000000000000001E-3</v>
      </c>
      <c r="H13683" t="s">
        <v>10089</v>
      </c>
      <c r="I13683">
        <v>730</v>
      </c>
      <c r="J13683" t="s">
        <v>450</v>
      </c>
      <c r="M13683">
        <v>0</v>
      </c>
    </row>
    <row r="13684" spans="1:13">
      <c r="A13684">
        <v>86095100</v>
      </c>
      <c r="B13684">
        <v>2017844</v>
      </c>
      <c r="C13684" t="s">
        <v>14040</v>
      </c>
      <c r="D13684" t="s">
        <v>449</v>
      </c>
      <c r="E13684" t="s">
        <v>441</v>
      </c>
      <c r="F13684">
        <v>1E-3</v>
      </c>
      <c r="H13684" t="s">
        <v>8580</v>
      </c>
      <c r="I13684">
        <v>365</v>
      </c>
      <c r="J13684" t="s">
        <v>450</v>
      </c>
      <c r="M13684">
        <v>0</v>
      </c>
    </row>
    <row r="13685" spans="1:13">
      <c r="A13685">
        <v>86095200</v>
      </c>
      <c r="B13685">
        <v>2017879</v>
      </c>
      <c r="C13685" t="s">
        <v>6759</v>
      </c>
      <c r="D13685" t="s">
        <v>449</v>
      </c>
      <c r="E13685" t="s">
        <v>441</v>
      </c>
      <c r="F13685">
        <v>2.9000000000000001E-2</v>
      </c>
      <c r="H13685" t="s">
        <v>8935</v>
      </c>
      <c r="I13685">
        <v>365</v>
      </c>
      <c r="J13685" t="s">
        <v>450</v>
      </c>
      <c r="M13685">
        <v>0</v>
      </c>
    </row>
    <row r="13686" spans="1:13">
      <c r="A13686">
        <v>86095300</v>
      </c>
      <c r="B13686">
        <v>2017893</v>
      </c>
      <c r="C13686" t="s">
        <v>6760</v>
      </c>
      <c r="D13686" t="s">
        <v>449</v>
      </c>
      <c r="E13686" t="s">
        <v>441</v>
      </c>
      <c r="F13686">
        <v>3.6999999999999998E-2</v>
      </c>
      <c r="I13686">
        <v>365</v>
      </c>
      <c r="J13686" t="s">
        <v>450</v>
      </c>
      <c r="M13686">
        <v>0</v>
      </c>
    </row>
    <row r="13687" spans="1:13">
      <c r="A13687">
        <v>86095400</v>
      </c>
      <c r="B13687">
        <v>2017904</v>
      </c>
      <c r="C13687" t="s">
        <v>6761</v>
      </c>
      <c r="D13687" t="s">
        <v>449</v>
      </c>
      <c r="E13687" t="s">
        <v>441</v>
      </c>
      <c r="F13687">
        <v>0.03</v>
      </c>
      <c r="H13687" t="s">
        <v>8580</v>
      </c>
      <c r="I13687">
        <v>365</v>
      </c>
      <c r="J13687" t="s">
        <v>450</v>
      </c>
      <c r="K13687" t="s">
        <v>446</v>
      </c>
      <c r="M13687">
        <v>0</v>
      </c>
    </row>
    <row r="13688" spans="1:13">
      <c r="A13688">
        <v>86095500</v>
      </c>
      <c r="B13688">
        <v>2017923</v>
      </c>
      <c r="C13688" t="s">
        <v>6762</v>
      </c>
      <c r="D13688" t="s">
        <v>449</v>
      </c>
      <c r="E13688" t="s">
        <v>441</v>
      </c>
      <c r="F13688">
        <v>3.1E-2</v>
      </c>
      <c r="I13688">
        <v>365</v>
      </c>
      <c r="J13688" t="s">
        <v>450</v>
      </c>
      <c r="M13688">
        <v>0</v>
      </c>
    </row>
    <row r="13689" spans="1:13">
      <c r="A13689">
        <v>86095600</v>
      </c>
      <c r="B13689">
        <v>2008722</v>
      </c>
      <c r="C13689" t="s">
        <v>6670</v>
      </c>
      <c r="D13689" t="s">
        <v>441</v>
      </c>
      <c r="F13689">
        <v>0</v>
      </c>
      <c r="H13689" t="s">
        <v>8576</v>
      </c>
      <c r="I13689">
        <v>760</v>
      </c>
      <c r="J13689" t="s">
        <v>450</v>
      </c>
      <c r="M13689">
        <v>0</v>
      </c>
    </row>
    <row r="13690" spans="1:13">
      <c r="A13690">
        <v>86095700</v>
      </c>
      <c r="B13690">
        <v>2018064</v>
      </c>
      <c r="C13690" t="s">
        <v>6763</v>
      </c>
      <c r="D13690" t="s">
        <v>449</v>
      </c>
      <c r="E13690" t="s">
        <v>441</v>
      </c>
      <c r="F13690">
        <v>4.9000000000000002E-2</v>
      </c>
      <c r="I13690">
        <v>365</v>
      </c>
      <c r="J13690" t="s">
        <v>450</v>
      </c>
      <c r="M13690">
        <v>0</v>
      </c>
    </row>
    <row r="13691" spans="1:13">
      <c r="A13691">
        <v>86095800</v>
      </c>
      <c r="B13691">
        <v>2018065</v>
      </c>
      <c r="C13691" t="s">
        <v>6764</v>
      </c>
      <c r="D13691" t="s">
        <v>449</v>
      </c>
      <c r="E13691" t="s">
        <v>441</v>
      </c>
      <c r="F13691">
        <v>1.6E-2</v>
      </c>
      <c r="H13691" t="s">
        <v>8580</v>
      </c>
      <c r="I13691">
        <v>365</v>
      </c>
      <c r="J13691" t="s">
        <v>450</v>
      </c>
      <c r="M13691">
        <v>0</v>
      </c>
    </row>
    <row r="13692" spans="1:13">
      <c r="A13692">
        <v>86095900</v>
      </c>
      <c r="B13692">
        <v>2018096</v>
      </c>
      <c r="C13692" t="s">
        <v>6765</v>
      </c>
      <c r="D13692" t="s">
        <v>449</v>
      </c>
      <c r="E13692" t="s">
        <v>441</v>
      </c>
      <c r="F13692">
        <v>0.03</v>
      </c>
      <c r="I13692">
        <v>365</v>
      </c>
      <c r="J13692" t="s">
        <v>450</v>
      </c>
      <c r="M13692">
        <v>0</v>
      </c>
    </row>
    <row r="13693" spans="1:13">
      <c r="A13693">
        <v>86096000</v>
      </c>
      <c r="B13693">
        <v>2018123</v>
      </c>
      <c r="C13693" t="s">
        <v>6766</v>
      </c>
      <c r="D13693" t="s">
        <v>442</v>
      </c>
      <c r="E13693" t="s">
        <v>441</v>
      </c>
      <c r="F13693">
        <v>1E-3</v>
      </c>
      <c r="I13693">
        <v>730</v>
      </c>
      <c r="J13693" t="s">
        <v>450</v>
      </c>
      <c r="M13693">
        <v>0</v>
      </c>
    </row>
    <row r="13694" spans="1:13">
      <c r="A13694">
        <v>86096100</v>
      </c>
      <c r="B13694">
        <v>2018101</v>
      </c>
      <c r="C13694" t="s">
        <v>6767</v>
      </c>
      <c r="D13694" t="s">
        <v>449</v>
      </c>
      <c r="E13694" t="s">
        <v>441</v>
      </c>
      <c r="F13694">
        <v>3.1E-2</v>
      </c>
      <c r="H13694" t="s">
        <v>8584</v>
      </c>
      <c r="I13694">
        <v>365</v>
      </c>
      <c r="J13694" t="s">
        <v>450</v>
      </c>
      <c r="M13694">
        <v>0</v>
      </c>
    </row>
    <row r="13695" spans="1:13">
      <c r="A13695">
        <v>86096200</v>
      </c>
      <c r="B13695">
        <v>2018201</v>
      </c>
      <c r="C13695" t="s">
        <v>6768</v>
      </c>
      <c r="D13695" t="s">
        <v>449</v>
      </c>
      <c r="E13695" t="s">
        <v>441</v>
      </c>
      <c r="F13695">
        <v>3.3000000000000002E-2</v>
      </c>
      <c r="H13695" t="s">
        <v>8584</v>
      </c>
      <c r="I13695">
        <v>265</v>
      </c>
      <c r="J13695" t="s">
        <v>450</v>
      </c>
      <c r="M13695">
        <v>0</v>
      </c>
    </row>
    <row r="13696" spans="1:13">
      <c r="A13696">
        <v>86096300</v>
      </c>
      <c r="B13696">
        <v>2018184</v>
      </c>
      <c r="C13696" t="s">
        <v>15239</v>
      </c>
      <c r="D13696" t="s">
        <v>449</v>
      </c>
      <c r="E13696" t="s">
        <v>441</v>
      </c>
      <c r="F13696">
        <v>8.9999999999999993E-3</v>
      </c>
      <c r="H13696" t="s">
        <v>8627</v>
      </c>
      <c r="I13696">
        <v>265</v>
      </c>
      <c r="J13696" t="s">
        <v>450</v>
      </c>
      <c r="K13696" t="s">
        <v>446</v>
      </c>
      <c r="M13696">
        <v>0</v>
      </c>
    </row>
    <row r="13697" spans="1:13">
      <c r="A13697">
        <v>86096400</v>
      </c>
      <c r="B13697">
        <v>2018252</v>
      </c>
      <c r="C13697" t="s">
        <v>6769</v>
      </c>
      <c r="D13697" t="s">
        <v>449</v>
      </c>
      <c r="E13697" t="s">
        <v>441</v>
      </c>
      <c r="F13697">
        <v>2.4E-2</v>
      </c>
      <c r="I13697">
        <v>365</v>
      </c>
      <c r="J13697" t="s">
        <v>450</v>
      </c>
      <c r="M13697">
        <v>0</v>
      </c>
    </row>
    <row r="13698" spans="1:13">
      <c r="A13698">
        <v>86096500</v>
      </c>
      <c r="B13698">
        <v>2018253</v>
      </c>
      <c r="C13698" t="s">
        <v>6770</v>
      </c>
      <c r="D13698" t="s">
        <v>449</v>
      </c>
      <c r="E13698" t="s">
        <v>441</v>
      </c>
      <c r="F13698">
        <v>2.4E-2</v>
      </c>
      <c r="H13698" t="s">
        <v>8580</v>
      </c>
      <c r="I13698">
        <v>365</v>
      </c>
      <c r="J13698" t="s">
        <v>450</v>
      </c>
      <c r="M13698">
        <v>0</v>
      </c>
    </row>
    <row r="13699" spans="1:13">
      <c r="A13699">
        <v>86096600</v>
      </c>
      <c r="B13699">
        <v>2018274</v>
      </c>
      <c r="C13699" t="s">
        <v>17779</v>
      </c>
      <c r="D13699" t="s">
        <v>449</v>
      </c>
      <c r="E13699" t="s">
        <v>441</v>
      </c>
      <c r="F13699">
        <v>3.6999999999999998E-2</v>
      </c>
      <c r="H13699" t="s">
        <v>8580</v>
      </c>
      <c r="I13699">
        <v>365</v>
      </c>
      <c r="J13699" t="s">
        <v>450</v>
      </c>
      <c r="K13699" t="s">
        <v>446</v>
      </c>
      <c r="M13699">
        <v>0</v>
      </c>
    </row>
    <row r="13700" spans="1:13">
      <c r="A13700">
        <v>86096700</v>
      </c>
      <c r="B13700">
        <v>2016574</v>
      </c>
      <c r="C13700" t="s">
        <v>6083</v>
      </c>
      <c r="D13700" t="s">
        <v>449</v>
      </c>
      <c r="E13700" t="s">
        <v>441</v>
      </c>
      <c r="F13700">
        <v>2.5000000000000001E-2</v>
      </c>
      <c r="H13700" t="s">
        <v>8935</v>
      </c>
      <c r="I13700">
        <v>730</v>
      </c>
      <c r="J13700" t="s">
        <v>450</v>
      </c>
      <c r="M13700">
        <v>0</v>
      </c>
    </row>
    <row r="13701" spans="1:13">
      <c r="A13701">
        <v>86096800</v>
      </c>
      <c r="B13701">
        <v>2018412</v>
      </c>
      <c r="C13701" t="s">
        <v>15720</v>
      </c>
      <c r="D13701" t="s">
        <v>449</v>
      </c>
      <c r="E13701" t="s">
        <v>441</v>
      </c>
      <c r="F13701">
        <v>2.9000000000000001E-2</v>
      </c>
      <c r="H13701" t="s">
        <v>8935</v>
      </c>
      <c r="I13701">
        <v>365</v>
      </c>
      <c r="J13701" t="s">
        <v>450</v>
      </c>
      <c r="K13701" t="s">
        <v>446</v>
      </c>
      <c r="M13701">
        <v>0</v>
      </c>
    </row>
    <row r="13702" spans="1:13">
      <c r="A13702">
        <v>86096900</v>
      </c>
      <c r="B13702">
        <v>2018416</v>
      </c>
      <c r="C13702" t="s">
        <v>6771</v>
      </c>
      <c r="D13702" t="s">
        <v>442</v>
      </c>
      <c r="E13702" t="s">
        <v>441</v>
      </c>
      <c r="F13702">
        <v>7.0000000000000007E-2</v>
      </c>
      <c r="H13702" t="s">
        <v>8935</v>
      </c>
      <c r="I13702">
        <v>360</v>
      </c>
      <c r="J13702" t="s">
        <v>450</v>
      </c>
      <c r="M13702">
        <v>0</v>
      </c>
    </row>
    <row r="13703" spans="1:13">
      <c r="A13703">
        <v>86097000</v>
      </c>
      <c r="B13703">
        <v>2018673</v>
      </c>
      <c r="C13703" t="s">
        <v>6772</v>
      </c>
      <c r="D13703" t="s">
        <v>442</v>
      </c>
      <c r="E13703" t="s">
        <v>441</v>
      </c>
      <c r="F13703">
        <v>5.0000000000000001E-3</v>
      </c>
      <c r="H13703" t="s">
        <v>8584</v>
      </c>
      <c r="I13703">
        <v>1095</v>
      </c>
      <c r="J13703" t="s">
        <v>450</v>
      </c>
      <c r="M13703">
        <v>0</v>
      </c>
    </row>
    <row r="13704" spans="1:13">
      <c r="A13704">
        <v>86097100</v>
      </c>
      <c r="B13704">
        <v>2016957</v>
      </c>
      <c r="C13704" t="s">
        <v>6773</v>
      </c>
      <c r="D13704" t="s">
        <v>449</v>
      </c>
      <c r="E13704" t="s">
        <v>441</v>
      </c>
      <c r="F13704">
        <v>0.03</v>
      </c>
      <c r="H13704" t="s">
        <v>8584</v>
      </c>
      <c r="I13704">
        <v>360</v>
      </c>
      <c r="J13704" t="s">
        <v>450</v>
      </c>
      <c r="M13704">
        <v>0</v>
      </c>
    </row>
    <row r="13705" spans="1:13">
      <c r="A13705">
        <v>86097200</v>
      </c>
      <c r="B13705">
        <v>2016958</v>
      </c>
      <c r="C13705" t="s">
        <v>6774</v>
      </c>
      <c r="D13705" t="s">
        <v>449</v>
      </c>
      <c r="E13705" t="s">
        <v>441</v>
      </c>
      <c r="F13705">
        <v>0.03</v>
      </c>
      <c r="H13705" t="s">
        <v>8580</v>
      </c>
      <c r="I13705">
        <v>360</v>
      </c>
      <c r="J13705" t="s">
        <v>450</v>
      </c>
      <c r="M13705">
        <v>0</v>
      </c>
    </row>
    <row r="13706" spans="1:13">
      <c r="A13706">
        <v>86097300</v>
      </c>
      <c r="B13706">
        <v>2016966</v>
      </c>
      <c r="C13706" t="s">
        <v>14041</v>
      </c>
      <c r="D13706" t="s">
        <v>442</v>
      </c>
      <c r="E13706" t="s">
        <v>441</v>
      </c>
      <c r="F13706">
        <v>0.03</v>
      </c>
      <c r="H13706" t="s">
        <v>8580</v>
      </c>
      <c r="I13706">
        <v>360</v>
      </c>
      <c r="J13706" t="s">
        <v>450</v>
      </c>
      <c r="M13706">
        <v>0</v>
      </c>
    </row>
    <row r="13707" spans="1:13">
      <c r="A13707">
        <v>86098100</v>
      </c>
      <c r="B13707">
        <v>2018417</v>
      </c>
      <c r="C13707" t="s">
        <v>6775</v>
      </c>
      <c r="D13707" t="s">
        <v>442</v>
      </c>
      <c r="E13707" t="s">
        <v>441</v>
      </c>
      <c r="F13707">
        <v>7.0000000000000007E-2</v>
      </c>
      <c r="H13707" t="s">
        <v>8935</v>
      </c>
      <c r="I13707">
        <v>360</v>
      </c>
      <c r="J13707" t="s">
        <v>450</v>
      </c>
      <c r="M13707">
        <v>0</v>
      </c>
    </row>
    <row r="13708" spans="1:13">
      <c r="A13708">
        <v>86098200</v>
      </c>
      <c r="B13708">
        <v>2018418</v>
      </c>
      <c r="C13708" t="s">
        <v>6776</v>
      </c>
      <c r="D13708" t="s">
        <v>442</v>
      </c>
      <c r="E13708" t="s">
        <v>441</v>
      </c>
      <c r="F13708">
        <v>7.0000000000000007E-2</v>
      </c>
      <c r="H13708" t="s">
        <v>8935</v>
      </c>
      <c r="I13708">
        <v>360</v>
      </c>
      <c r="J13708" t="s">
        <v>450</v>
      </c>
      <c r="M13708">
        <v>0</v>
      </c>
    </row>
    <row r="13709" spans="1:13">
      <c r="A13709">
        <v>86098300</v>
      </c>
      <c r="B13709">
        <v>2018426</v>
      </c>
      <c r="C13709" t="s">
        <v>6777</v>
      </c>
      <c r="D13709" t="s">
        <v>449</v>
      </c>
      <c r="E13709" t="s">
        <v>441</v>
      </c>
      <c r="F13709">
        <v>3.1E-2</v>
      </c>
      <c r="H13709" t="s">
        <v>8622</v>
      </c>
      <c r="I13709">
        <v>365</v>
      </c>
      <c r="J13709" t="s">
        <v>450</v>
      </c>
      <c r="M13709">
        <v>0</v>
      </c>
    </row>
    <row r="13710" spans="1:13">
      <c r="A13710">
        <v>86098400</v>
      </c>
      <c r="B13710">
        <v>2018510</v>
      </c>
      <c r="C13710" t="s">
        <v>14637</v>
      </c>
      <c r="D13710" t="s">
        <v>449</v>
      </c>
      <c r="E13710" t="s">
        <v>441</v>
      </c>
      <c r="F13710">
        <v>0.03</v>
      </c>
      <c r="H13710" t="s">
        <v>8580</v>
      </c>
      <c r="I13710">
        <v>365</v>
      </c>
      <c r="J13710" t="s">
        <v>450</v>
      </c>
      <c r="K13710" t="s">
        <v>446</v>
      </c>
      <c r="M13710">
        <v>0</v>
      </c>
    </row>
    <row r="13711" spans="1:13">
      <c r="A13711">
        <v>86098500</v>
      </c>
      <c r="B13711">
        <v>2018515</v>
      </c>
      <c r="C13711" t="s">
        <v>6778</v>
      </c>
      <c r="D13711" t="s">
        <v>442</v>
      </c>
      <c r="E13711" t="s">
        <v>441</v>
      </c>
      <c r="F13711">
        <v>0.52300000000000002</v>
      </c>
      <c r="H13711" t="s">
        <v>8580</v>
      </c>
      <c r="I13711">
        <v>365</v>
      </c>
      <c r="J13711" t="s">
        <v>450</v>
      </c>
      <c r="K13711" t="s">
        <v>446</v>
      </c>
      <c r="M13711">
        <v>0</v>
      </c>
    </row>
    <row r="13712" spans="1:13">
      <c r="A13712">
        <v>86098600</v>
      </c>
      <c r="B13712">
        <v>2018543</v>
      </c>
      <c r="C13712" t="s">
        <v>6779</v>
      </c>
      <c r="D13712" t="s">
        <v>442</v>
      </c>
      <c r="E13712" t="s">
        <v>441</v>
      </c>
      <c r="F13712">
        <v>1.0999999999999999E-2</v>
      </c>
      <c r="I13712">
        <v>365</v>
      </c>
      <c r="J13712" t="s">
        <v>450</v>
      </c>
      <c r="M13712">
        <v>0</v>
      </c>
    </row>
    <row r="13713" spans="1:13">
      <c r="A13713">
        <v>86098700</v>
      </c>
      <c r="B13713">
        <v>2018551</v>
      </c>
      <c r="C13713" t="s">
        <v>6780</v>
      </c>
      <c r="D13713" t="s">
        <v>449</v>
      </c>
      <c r="E13713" t="s">
        <v>441</v>
      </c>
      <c r="F13713">
        <v>3.5999999999999997E-2</v>
      </c>
      <c r="I13713">
        <v>365</v>
      </c>
      <c r="J13713" t="s">
        <v>450</v>
      </c>
      <c r="M13713">
        <v>0</v>
      </c>
    </row>
    <row r="13714" spans="1:13">
      <c r="A13714">
        <v>86098800</v>
      </c>
      <c r="B13714">
        <v>2018571</v>
      </c>
      <c r="C13714" t="s">
        <v>6781</v>
      </c>
      <c r="D13714" t="s">
        <v>449</v>
      </c>
      <c r="E13714" t="s">
        <v>441</v>
      </c>
      <c r="F13714">
        <v>0.01</v>
      </c>
      <c r="H13714" t="s">
        <v>8637</v>
      </c>
      <c r="I13714">
        <v>365</v>
      </c>
      <c r="J13714" t="s">
        <v>450</v>
      </c>
      <c r="M13714">
        <v>0</v>
      </c>
    </row>
    <row r="13715" spans="1:13">
      <c r="A13715">
        <v>86098900</v>
      </c>
      <c r="B13715">
        <v>2018680</v>
      </c>
      <c r="C13715" t="s">
        <v>6782</v>
      </c>
      <c r="D13715" t="s">
        <v>442</v>
      </c>
      <c r="E13715" t="s">
        <v>441</v>
      </c>
      <c r="F13715">
        <v>0.79300000000000004</v>
      </c>
      <c r="H13715" t="s">
        <v>8935</v>
      </c>
      <c r="I13715">
        <v>365</v>
      </c>
      <c r="J13715" t="s">
        <v>450</v>
      </c>
      <c r="M13715">
        <v>0</v>
      </c>
    </row>
    <row r="13716" spans="1:13">
      <c r="A13716">
        <v>86099100</v>
      </c>
      <c r="B13716">
        <v>2018730</v>
      </c>
      <c r="C13716" t="s">
        <v>6783</v>
      </c>
      <c r="D13716" t="s">
        <v>442</v>
      </c>
      <c r="E13716" t="s">
        <v>441</v>
      </c>
      <c r="F13716">
        <v>0.246</v>
      </c>
      <c r="H13716" t="s">
        <v>8580</v>
      </c>
      <c r="I13716">
        <v>730</v>
      </c>
      <c r="J13716" t="s">
        <v>450</v>
      </c>
      <c r="M13716">
        <v>0</v>
      </c>
    </row>
    <row r="13717" spans="1:13">
      <c r="A13717">
        <v>86099200</v>
      </c>
      <c r="B13717">
        <v>2018826</v>
      </c>
      <c r="C13717" t="s">
        <v>6784</v>
      </c>
      <c r="D13717" t="s">
        <v>449</v>
      </c>
      <c r="E13717" t="s">
        <v>441</v>
      </c>
      <c r="F13717">
        <v>1.2999999999999999E-2</v>
      </c>
      <c r="H13717" t="s">
        <v>8935</v>
      </c>
      <c r="I13717">
        <v>365</v>
      </c>
      <c r="J13717" t="s">
        <v>450</v>
      </c>
      <c r="M13717">
        <v>0</v>
      </c>
    </row>
    <row r="13718" spans="1:13">
      <c r="A13718">
        <v>86099300</v>
      </c>
      <c r="B13718">
        <v>2018859</v>
      </c>
      <c r="C13718" t="s">
        <v>6785</v>
      </c>
      <c r="D13718" t="s">
        <v>449</v>
      </c>
      <c r="E13718" t="s">
        <v>441</v>
      </c>
      <c r="F13718">
        <v>1.2999999999999999E-2</v>
      </c>
      <c r="H13718" t="s">
        <v>8935</v>
      </c>
      <c r="I13718">
        <v>365</v>
      </c>
      <c r="J13718" t="s">
        <v>450</v>
      </c>
      <c r="M13718">
        <v>0</v>
      </c>
    </row>
    <row r="13719" spans="1:13">
      <c r="A13719">
        <v>86099400</v>
      </c>
      <c r="B13719">
        <v>2018889</v>
      </c>
      <c r="C13719" t="s">
        <v>6786</v>
      </c>
      <c r="D13719" t="s">
        <v>449</v>
      </c>
      <c r="E13719" t="s">
        <v>441</v>
      </c>
      <c r="F13719">
        <v>3.1E-2</v>
      </c>
      <c r="H13719" t="s">
        <v>8624</v>
      </c>
      <c r="I13719">
        <v>365</v>
      </c>
      <c r="J13719" t="s">
        <v>450</v>
      </c>
      <c r="M13719">
        <v>0</v>
      </c>
    </row>
    <row r="13720" spans="1:13">
      <c r="A13720">
        <v>86099500</v>
      </c>
      <c r="B13720">
        <v>2018890</v>
      </c>
      <c r="C13720" t="s">
        <v>6787</v>
      </c>
      <c r="D13720" t="s">
        <v>449</v>
      </c>
      <c r="E13720" t="s">
        <v>441</v>
      </c>
      <c r="F13720">
        <v>0.03</v>
      </c>
      <c r="H13720" t="s">
        <v>8624</v>
      </c>
      <c r="I13720">
        <v>365</v>
      </c>
      <c r="J13720" t="s">
        <v>450</v>
      </c>
      <c r="M13720">
        <v>0</v>
      </c>
    </row>
    <row r="13721" spans="1:13">
      <c r="A13721">
        <v>86099600</v>
      </c>
      <c r="B13721">
        <v>2018943</v>
      </c>
      <c r="C13721" t="s">
        <v>15299</v>
      </c>
      <c r="D13721" t="s">
        <v>449</v>
      </c>
      <c r="E13721" t="s">
        <v>441</v>
      </c>
      <c r="F13721">
        <v>2.7E-2</v>
      </c>
      <c r="H13721" t="s">
        <v>8584</v>
      </c>
      <c r="I13721">
        <v>1095</v>
      </c>
      <c r="J13721" t="s">
        <v>450</v>
      </c>
      <c r="K13721" t="s">
        <v>446</v>
      </c>
      <c r="M13721">
        <v>0</v>
      </c>
    </row>
    <row r="13722" spans="1:13">
      <c r="A13722">
        <v>86099700</v>
      </c>
      <c r="B13722">
        <v>2018949</v>
      </c>
      <c r="C13722" t="s">
        <v>14042</v>
      </c>
      <c r="D13722" t="s">
        <v>449</v>
      </c>
      <c r="E13722" t="s">
        <v>441</v>
      </c>
      <c r="F13722">
        <v>0.03</v>
      </c>
      <c r="H13722" t="s">
        <v>8634</v>
      </c>
      <c r="I13722">
        <v>365</v>
      </c>
      <c r="J13722" t="s">
        <v>450</v>
      </c>
      <c r="M13722">
        <v>0</v>
      </c>
    </row>
    <row r="13723" spans="1:13">
      <c r="A13723">
        <v>86099800</v>
      </c>
      <c r="B13723">
        <v>2018988</v>
      </c>
      <c r="C13723" t="s">
        <v>15240</v>
      </c>
      <c r="D13723" t="s">
        <v>449</v>
      </c>
      <c r="E13723" t="s">
        <v>441</v>
      </c>
      <c r="F13723">
        <v>3.3000000000000002E-2</v>
      </c>
      <c r="H13723" t="s">
        <v>8634</v>
      </c>
      <c r="I13723">
        <v>730</v>
      </c>
      <c r="J13723" t="s">
        <v>450</v>
      </c>
      <c r="K13723" t="s">
        <v>446</v>
      </c>
      <c r="M13723">
        <v>0</v>
      </c>
    </row>
    <row r="13724" spans="1:13">
      <c r="A13724">
        <v>86099900</v>
      </c>
      <c r="B13724">
        <v>2019125</v>
      </c>
      <c r="C13724" t="s">
        <v>14043</v>
      </c>
      <c r="D13724" t="s">
        <v>449</v>
      </c>
      <c r="E13724" t="s">
        <v>441</v>
      </c>
      <c r="F13724">
        <v>0.16500000000000001</v>
      </c>
      <c r="H13724" t="s">
        <v>8637</v>
      </c>
      <c r="I13724">
        <v>365</v>
      </c>
      <c r="J13724" t="s">
        <v>450</v>
      </c>
      <c r="M13724">
        <v>0</v>
      </c>
    </row>
    <row r="13725" spans="1:13">
      <c r="A13725">
        <v>86100100</v>
      </c>
      <c r="B13725">
        <v>2017888</v>
      </c>
      <c r="C13725" t="s">
        <v>14638</v>
      </c>
      <c r="D13725" t="s">
        <v>442</v>
      </c>
      <c r="E13725" t="s">
        <v>441</v>
      </c>
      <c r="F13725">
        <v>0.04</v>
      </c>
      <c r="H13725" t="s">
        <v>8580</v>
      </c>
      <c r="I13725">
        <v>720</v>
      </c>
      <c r="J13725" t="s">
        <v>450</v>
      </c>
      <c r="M13725">
        <v>0</v>
      </c>
    </row>
    <row r="13726" spans="1:13">
      <c r="A13726">
        <v>86100200</v>
      </c>
      <c r="B13726">
        <v>2018478</v>
      </c>
      <c r="C13726" t="s">
        <v>14639</v>
      </c>
      <c r="D13726" t="s">
        <v>449</v>
      </c>
      <c r="E13726" t="s">
        <v>441</v>
      </c>
      <c r="F13726">
        <v>3.4000000000000002E-2</v>
      </c>
      <c r="H13726" t="s">
        <v>8619</v>
      </c>
      <c r="I13726">
        <v>700</v>
      </c>
      <c r="J13726" t="s">
        <v>450</v>
      </c>
      <c r="M13726">
        <v>0</v>
      </c>
    </row>
    <row r="13727" spans="1:13">
      <c r="A13727">
        <v>86100300</v>
      </c>
      <c r="B13727">
        <v>2014892</v>
      </c>
      <c r="C13727" t="s">
        <v>14640</v>
      </c>
      <c r="D13727" t="s">
        <v>442</v>
      </c>
      <c r="E13727" t="s">
        <v>441</v>
      </c>
      <c r="F13727">
        <v>11.88</v>
      </c>
      <c r="H13727" t="s">
        <v>8580</v>
      </c>
      <c r="I13727">
        <v>375</v>
      </c>
      <c r="J13727" t="s">
        <v>450</v>
      </c>
      <c r="M13727">
        <v>0</v>
      </c>
    </row>
    <row r="13728" spans="1:13">
      <c r="A13728">
        <v>86100400</v>
      </c>
      <c r="B13728">
        <v>2019223</v>
      </c>
      <c r="C13728" t="s">
        <v>14641</v>
      </c>
      <c r="D13728" t="s">
        <v>449</v>
      </c>
      <c r="E13728" t="s">
        <v>441</v>
      </c>
      <c r="F13728">
        <v>0.03</v>
      </c>
      <c r="H13728" t="s">
        <v>8584</v>
      </c>
      <c r="I13728">
        <v>365</v>
      </c>
      <c r="J13728" t="s">
        <v>450</v>
      </c>
      <c r="M13728">
        <v>0</v>
      </c>
    </row>
    <row r="13729" spans="1:13">
      <c r="A13729">
        <v>86100500</v>
      </c>
      <c r="B13729">
        <v>2019351</v>
      </c>
      <c r="C13729" t="s">
        <v>14642</v>
      </c>
      <c r="D13729" t="s">
        <v>449</v>
      </c>
      <c r="E13729" t="s">
        <v>441</v>
      </c>
      <c r="F13729">
        <v>4.4999999999999998E-2</v>
      </c>
      <c r="H13729" t="s">
        <v>8580</v>
      </c>
      <c r="I13729">
        <v>365</v>
      </c>
      <c r="J13729" t="s">
        <v>450</v>
      </c>
      <c r="M13729">
        <v>0</v>
      </c>
    </row>
    <row r="13730" spans="1:13">
      <c r="A13730">
        <v>86100600</v>
      </c>
      <c r="B13730">
        <v>2019352</v>
      </c>
      <c r="C13730" t="s">
        <v>14643</v>
      </c>
      <c r="D13730" t="s">
        <v>449</v>
      </c>
      <c r="E13730" t="s">
        <v>441</v>
      </c>
      <c r="F13730">
        <v>8.6999999999999994E-2</v>
      </c>
      <c r="I13730">
        <v>365</v>
      </c>
      <c r="J13730" t="s">
        <v>450</v>
      </c>
      <c r="M13730">
        <v>0</v>
      </c>
    </row>
    <row r="13731" spans="1:13">
      <c r="A13731">
        <v>86100700</v>
      </c>
      <c r="B13731">
        <v>2019353</v>
      </c>
      <c r="C13731" t="s">
        <v>15241</v>
      </c>
      <c r="D13731" t="s">
        <v>449</v>
      </c>
      <c r="E13731" t="s">
        <v>441</v>
      </c>
      <c r="F13731">
        <v>0.10299999999999999</v>
      </c>
      <c r="H13731" t="s">
        <v>8580</v>
      </c>
      <c r="I13731">
        <v>365</v>
      </c>
      <c r="J13731" t="s">
        <v>450</v>
      </c>
      <c r="K13731" t="s">
        <v>446</v>
      </c>
      <c r="M13731">
        <v>0</v>
      </c>
    </row>
    <row r="13732" spans="1:13">
      <c r="A13732">
        <v>86100800</v>
      </c>
      <c r="B13732">
        <v>2019354</v>
      </c>
      <c r="C13732" t="s">
        <v>14644</v>
      </c>
      <c r="D13732" t="s">
        <v>449</v>
      </c>
      <c r="E13732" t="s">
        <v>441</v>
      </c>
      <c r="F13732">
        <v>5.0999999999999997E-2</v>
      </c>
      <c r="H13732" t="s">
        <v>8580</v>
      </c>
      <c r="I13732">
        <v>365</v>
      </c>
      <c r="J13732" t="s">
        <v>450</v>
      </c>
      <c r="M13732">
        <v>0</v>
      </c>
    </row>
    <row r="13733" spans="1:13">
      <c r="A13733">
        <v>86100900</v>
      </c>
      <c r="B13733">
        <v>2019355</v>
      </c>
      <c r="C13733" t="s">
        <v>14645</v>
      </c>
      <c r="D13733" t="s">
        <v>449</v>
      </c>
      <c r="E13733" t="s">
        <v>441</v>
      </c>
      <c r="F13733">
        <v>0.107</v>
      </c>
      <c r="H13733" t="s">
        <v>8584</v>
      </c>
      <c r="I13733">
        <v>365</v>
      </c>
      <c r="J13733" t="s">
        <v>450</v>
      </c>
      <c r="M13733">
        <v>0</v>
      </c>
    </row>
    <row r="13734" spans="1:13">
      <c r="A13734">
        <v>86101100</v>
      </c>
      <c r="B13734">
        <v>2019345</v>
      </c>
      <c r="C13734" t="s">
        <v>15616</v>
      </c>
      <c r="D13734" t="s">
        <v>449</v>
      </c>
      <c r="E13734" t="s">
        <v>441</v>
      </c>
      <c r="F13734">
        <v>0.03</v>
      </c>
      <c r="I13734">
        <v>365</v>
      </c>
      <c r="J13734" t="s">
        <v>450</v>
      </c>
      <c r="M13734">
        <v>0</v>
      </c>
    </row>
    <row r="13735" spans="1:13">
      <c r="A13735">
        <v>86101200</v>
      </c>
      <c r="B13735">
        <v>2009089</v>
      </c>
      <c r="C13735" t="s">
        <v>14646</v>
      </c>
      <c r="D13735" t="s">
        <v>449</v>
      </c>
      <c r="E13735" t="s">
        <v>441</v>
      </c>
      <c r="F13735">
        <v>0.05</v>
      </c>
      <c r="H13735" t="s">
        <v>8580</v>
      </c>
      <c r="I13735">
        <v>760</v>
      </c>
      <c r="J13735" t="s">
        <v>450</v>
      </c>
      <c r="M13735">
        <v>0</v>
      </c>
    </row>
    <row r="13736" spans="1:13">
      <c r="A13736">
        <v>86101300</v>
      </c>
      <c r="B13736">
        <v>2018471</v>
      </c>
      <c r="C13736" t="s">
        <v>14647</v>
      </c>
      <c r="D13736" t="s">
        <v>449</v>
      </c>
      <c r="E13736" t="s">
        <v>441</v>
      </c>
      <c r="F13736">
        <v>0.06</v>
      </c>
      <c r="H13736" t="s">
        <v>8580</v>
      </c>
      <c r="I13736">
        <v>700</v>
      </c>
      <c r="J13736" t="s">
        <v>450</v>
      </c>
      <c r="M13736">
        <v>0</v>
      </c>
    </row>
    <row r="13737" spans="1:13">
      <c r="A13737">
        <v>86101400</v>
      </c>
      <c r="B13737">
        <v>2019552</v>
      </c>
      <c r="C13737" t="s">
        <v>14648</v>
      </c>
      <c r="D13737" t="s">
        <v>442</v>
      </c>
      <c r="E13737" t="s">
        <v>441</v>
      </c>
      <c r="F13737">
        <v>0.79300000000000004</v>
      </c>
      <c r="H13737" t="s">
        <v>8580</v>
      </c>
      <c r="I13737">
        <v>735</v>
      </c>
      <c r="J13737" t="s">
        <v>450</v>
      </c>
      <c r="M13737">
        <v>0</v>
      </c>
    </row>
    <row r="13738" spans="1:13">
      <c r="A13738">
        <v>86101500</v>
      </c>
      <c r="B13738">
        <v>2019628</v>
      </c>
      <c r="C13738" t="s">
        <v>14649</v>
      </c>
      <c r="D13738" t="s">
        <v>449</v>
      </c>
      <c r="E13738" t="s">
        <v>441</v>
      </c>
      <c r="F13738">
        <v>1.7000000000000001E-2</v>
      </c>
      <c r="I13738">
        <v>365</v>
      </c>
      <c r="J13738" t="s">
        <v>450</v>
      </c>
      <c r="M13738">
        <v>0</v>
      </c>
    </row>
    <row r="13739" spans="1:13">
      <c r="A13739">
        <v>86101600</v>
      </c>
      <c r="B13739">
        <v>2003624</v>
      </c>
      <c r="C13739" t="s">
        <v>14044</v>
      </c>
      <c r="D13739" t="s">
        <v>449</v>
      </c>
      <c r="F13739">
        <v>0</v>
      </c>
      <c r="H13739" t="s">
        <v>13985</v>
      </c>
      <c r="I13739">
        <v>1460</v>
      </c>
      <c r="J13739" t="s">
        <v>450</v>
      </c>
      <c r="K13739" t="s">
        <v>446</v>
      </c>
      <c r="M13739">
        <v>0</v>
      </c>
    </row>
    <row r="13740" spans="1:13">
      <c r="A13740">
        <v>86101700</v>
      </c>
      <c r="B13740">
        <v>2019660</v>
      </c>
      <c r="C13740" t="s">
        <v>14650</v>
      </c>
      <c r="D13740" t="s">
        <v>449</v>
      </c>
      <c r="E13740" t="s">
        <v>441</v>
      </c>
      <c r="F13740">
        <v>1.7000000000000001E-2</v>
      </c>
      <c r="H13740" t="s">
        <v>8624</v>
      </c>
      <c r="I13740">
        <v>365</v>
      </c>
      <c r="J13740" t="s">
        <v>450</v>
      </c>
      <c r="M13740">
        <v>0</v>
      </c>
    </row>
    <row r="13741" spans="1:13">
      <c r="A13741">
        <v>86101800</v>
      </c>
      <c r="B13741">
        <v>2019753</v>
      </c>
      <c r="C13741" t="s">
        <v>15242</v>
      </c>
      <c r="D13741" t="s">
        <v>442</v>
      </c>
      <c r="E13741" t="s">
        <v>441</v>
      </c>
      <c r="F13741">
        <v>0.33</v>
      </c>
      <c r="H13741" t="s">
        <v>8580</v>
      </c>
      <c r="I13741">
        <v>730</v>
      </c>
      <c r="J13741" t="s">
        <v>450</v>
      </c>
      <c r="M13741">
        <v>0</v>
      </c>
    </row>
    <row r="13742" spans="1:13">
      <c r="A13742">
        <v>86101900</v>
      </c>
      <c r="B13742">
        <v>2017926</v>
      </c>
      <c r="C13742" t="s">
        <v>15300</v>
      </c>
      <c r="D13742" t="s">
        <v>449</v>
      </c>
      <c r="E13742" t="s">
        <v>441</v>
      </c>
      <c r="F13742">
        <v>3.3000000000000002E-2</v>
      </c>
      <c r="H13742" t="s">
        <v>8580</v>
      </c>
      <c r="I13742">
        <v>720</v>
      </c>
      <c r="J13742" t="s">
        <v>450</v>
      </c>
      <c r="M13742">
        <v>0</v>
      </c>
    </row>
    <row r="13743" spans="1:13">
      <c r="A13743">
        <v>86102100</v>
      </c>
      <c r="B13743">
        <v>2018213</v>
      </c>
      <c r="C13743" t="s">
        <v>15358</v>
      </c>
      <c r="D13743" t="s">
        <v>449</v>
      </c>
      <c r="E13743" t="s">
        <v>441</v>
      </c>
      <c r="F13743">
        <v>0.105</v>
      </c>
      <c r="I13743">
        <v>720</v>
      </c>
      <c r="J13743" t="s">
        <v>450</v>
      </c>
      <c r="M13743">
        <v>0</v>
      </c>
    </row>
    <row r="13744" spans="1:13">
      <c r="A13744">
        <v>86102200</v>
      </c>
      <c r="B13744">
        <v>2019941</v>
      </c>
      <c r="C13744" t="s">
        <v>15617</v>
      </c>
      <c r="D13744" t="s">
        <v>449</v>
      </c>
      <c r="E13744" t="s">
        <v>441</v>
      </c>
      <c r="F13744">
        <v>2.9000000000000001E-2</v>
      </c>
      <c r="H13744" t="s">
        <v>8583</v>
      </c>
      <c r="I13744">
        <v>365</v>
      </c>
      <c r="J13744" t="s">
        <v>450</v>
      </c>
      <c r="M13744">
        <v>0</v>
      </c>
    </row>
    <row r="13745" spans="1:13">
      <c r="A13745">
        <v>86102300</v>
      </c>
      <c r="B13745">
        <v>2019985</v>
      </c>
      <c r="C13745" t="s">
        <v>15618</v>
      </c>
      <c r="D13745" t="s">
        <v>449</v>
      </c>
      <c r="E13745" t="s">
        <v>441</v>
      </c>
      <c r="F13745">
        <v>2.9000000000000001E-2</v>
      </c>
      <c r="I13745">
        <v>365</v>
      </c>
      <c r="J13745" t="s">
        <v>450</v>
      </c>
      <c r="M13745">
        <v>0</v>
      </c>
    </row>
    <row r="13746" spans="1:13">
      <c r="A13746">
        <v>86102400</v>
      </c>
      <c r="B13746">
        <v>2019978</v>
      </c>
      <c r="C13746" t="s">
        <v>15721</v>
      </c>
      <c r="D13746" t="s">
        <v>449</v>
      </c>
      <c r="E13746" t="s">
        <v>441</v>
      </c>
      <c r="F13746">
        <v>2.3E-2</v>
      </c>
      <c r="I13746">
        <v>365</v>
      </c>
      <c r="J13746" t="s">
        <v>450</v>
      </c>
      <c r="M13746">
        <v>0</v>
      </c>
    </row>
    <row r="13747" spans="1:13">
      <c r="A13747">
        <v>86102500</v>
      </c>
      <c r="B13747">
        <v>2019998</v>
      </c>
      <c r="C13747" t="s">
        <v>15619</v>
      </c>
      <c r="D13747" t="s">
        <v>449</v>
      </c>
      <c r="E13747" t="s">
        <v>441</v>
      </c>
      <c r="F13747">
        <v>3.1E-2</v>
      </c>
      <c r="I13747">
        <v>365</v>
      </c>
      <c r="J13747" t="s">
        <v>450</v>
      </c>
      <c r="M13747">
        <v>0</v>
      </c>
    </row>
    <row r="13748" spans="1:13">
      <c r="A13748">
        <v>86102600</v>
      </c>
      <c r="B13748">
        <v>2001010</v>
      </c>
      <c r="C13748" t="s">
        <v>14045</v>
      </c>
      <c r="D13748" t="s">
        <v>449</v>
      </c>
      <c r="E13748" t="s">
        <v>441</v>
      </c>
      <c r="F13748">
        <v>3.3000000000000002E-2</v>
      </c>
      <c r="H13748" t="s">
        <v>13985</v>
      </c>
      <c r="I13748">
        <v>1095</v>
      </c>
      <c r="J13748" t="s">
        <v>450</v>
      </c>
      <c r="K13748" t="s">
        <v>446</v>
      </c>
      <c r="M13748">
        <v>0</v>
      </c>
    </row>
    <row r="13749" spans="1:13">
      <c r="A13749">
        <v>86102700</v>
      </c>
      <c r="B13749">
        <v>2020022</v>
      </c>
      <c r="C13749" t="s">
        <v>15622</v>
      </c>
      <c r="D13749" t="s">
        <v>449</v>
      </c>
      <c r="E13749" t="s">
        <v>441</v>
      </c>
      <c r="F13749">
        <v>3.6999999999999998E-2</v>
      </c>
      <c r="H13749" t="s">
        <v>8580</v>
      </c>
      <c r="I13749">
        <v>365</v>
      </c>
      <c r="J13749" t="s">
        <v>450</v>
      </c>
      <c r="M13749">
        <v>0</v>
      </c>
    </row>
    <row r="13750" spans="1:13">
      <c r="A13750">
        <v>86102800</v>
      </c>
      <c r="B13750">
        <v>2003623</v>
      </c>
      <c r="C13750" t="s">
        <v>14046</v>
      </c>
      <c r="D13750" t="s">
        <v>449</v>
      </c>
      <c r="F13750">
        <v>0</v>
      </c>
      <c r="H13750" t="s">
        <v>13985</v>
      </c>
      <c r="I13750">
        <v>1460</v>
      </c>
      <c r="J13750" t="s">
        <v>450</v>
      </c>
      <c r="K13750" t="s">
        <v>446</v>
      </c>
      <c r="M13750">
        <v>0</v>
      </c>
    </row>
    <row r="13751" spans="1:13">
      <c r="A13751">
        <v>86102900</v>
      </c>
      <c r="B13751">
        <v>2020037</v>
      </c>
      <c r="C13751" t="s">
        <v>15620</v>
      </c>
      <c r="D13751" t="s">
        <v>449</v>
      </c>
      <c r="E13751" t="s">
        <v>441</v>
      </c>
      <c r="F13751">
        <v>2.8000000000000001E-2</v>
      </c>
      <c r="H13751" t="s">
        <v>8580</v>
      </c>
      <c r="I13751">
        <v>365</v>
      </c>
      <c r="J13751" t="s">
        <v>450</v>
      </c>
      <c r="M13751">
        <v>0</v>
      </c>
    </row>
    <row r="13752" spans="1:13">
      <c r="A13752">
        <v>86103100</v>
      </c>
      <c r="B13752">
        <v>2020074</v>
      </c>
      <c r="C13752" t="s">
        <v>15552</v>
      </c>
      <c r="D13752" t="s">
        <v>449</v>
      </c>
      <c r="E13752" t="s">
        <v>441</v>
      </c>
      <c r="F13752">
        <v>3.1E-2</v>
      </c>
      <c r="I13752">
        <v>365</v>
      </c>
      <c r="J13752" t="s">
        <v>450</v>
      </c>
      <c r="M13752">
        <v>0</v>
      </c>
    </row>
    <row r="13753" spans="1:13">
      <c r="A13753">
        <v>86103200</v>
      </c>
      <c r="B13753">
        <v>2020095</v>
      </c>
      <c r="C13753" t="s">
        <v>15553</v>
      </c>
      <c r="D13753" t="s">
        <v>449</v>
      </c>
      <c r="E13753" t="s">
        <v>441</v>
      </c>
      <c r="F13753">
        <v>2.7E-2</v>
      </c>
      <c r="I13753">
        <v>365</v>
      </c>
      <c r="J13753" t="s">
        <v>450</v>
      </c>
      <c r="M13753">
        <v>0</v>
      </c>
    </row>
    <row r="13754" spans="1:13">
      <c r="A13754">
        <v>86103300</v>
      </c>
      <c r="B13754">
        <v>2020127</v>
      </c>
      <c r="C13754" t="s">
        <v>15621</v>
      </c>
      <c r="D13754" t="s">
        <v>449</v>
      </c>
      <c r="E13754" t="s">
        <v>441</v>
      </c>
      <c r="F13754">
        <v>3.2000000000000001E-2</v>
      </c>
      <c r="I13754">
        <v>365</v>
      </c>
      <c r="J13754" t="s">
        <v>450</v>
      </c>
      <c r="M13754">
        <v>0</v>
      </c>
    </row>
    <row r="13755" spans="1:13">
      <c r="A13755">
        <v>86103400</v>
      </c>
      <c r="B13755">
        <v>2020143</v>
      </c>
      <c r="C13755" t="s">
        <v>15722</v>
      </c>
      <c r="D13755" t="s">
        <v>449</v>
      </c>
      <c r="E13755" t="s">
        <v>441</v>
      </c>
      <c r="F13755">
        <v>3.4000000000000002E-2</v>
      </c>
      <c r="I13755">
        <v>365</v>
      </c>
      <c r="J13755" t="s">
        <v>450</v>
      </c>
      <c r="K13755" t="s">
        <v>446</v>
      </c>
      <c r="M13755">
        <v>0</v>
      </c>
    </row>
    <row r="13756" spans="1:13">
      <c r="A13756">
        <v>86103500</v>
      </c>
      <c r="B13756">
        <v>2000743</v>
      </c>
      <c r="C13756" t="s">
        <v>14047</v>
      </c>
      <c r="D13756" t="s">
        <v>449</v>
      </c>
      <c r="E13756" t="s">
        <v>441</v>
      </c>
      <c r="F13756">
        <v>0.01</v>
      </c>
      <c r="H13756" t="s">
        <v>13985</v>
      </c>
      <c r="I13756">
        <v>730</v>
      </c>
      <c r="J13756" t="s">
        <v>450</v>
      </c>
      <c r="K13756" t="s">
        <v>446</v>
      </c>
      <c r="M13756">
        <v>0</v>
      </c>
    </row>
    <row r="13757" spans="1:13">
      <c r="A13757">
        <v>86103600</v>
      </c>
      <c r="B13757">
        <v>2000742</v>
      </c>
      <c r="C13757" t="s">
        <v>14048</v>
      </c>
      <c r="D13757" t="s">
        <v>449</v>
      </c>
      <c r="E13757" t="s">
        <v>441</v>
      </c>
      <c r="F13757">
        <v>0.02</v>
      </c>
      <c r="H13757" t="s">
        <v>13985</v>
      </c>
      <c r="I13757">
        <v>730</v>
      </c>
      <c r="J13757" t="s">
        <v>450</v>
      </c>
      <c r="K13757" t="s">
        <v>446</v>
      </c>
      <c r="M13757">
        <v>0</v>
      </c>
    </row>
    <row r="13758" spans="1:13">
      <c r="A13758">
        <v>86103700</v>
      </c>
      <c r="B13758">
        <v>2003426</v>
      </c>
      <c r="C13758" t="s">
        <v>14049</v>
      </c>
      <c r="D13758" t="s">
        <v>449</v>
      </c>
      <c r="E13758" t="s">
        <v>441</v>
      </c>
      <c r="F13758">
        <v>2.1999999999999999E-2</v>
      </c>
      <c r="G13758">
        <v>0</v>
      </c>
      <c r="H13758" t="s">
        <v>8584</v>
      </c>
      <c r="I13758">
        <v>1080</v>
      </c>
      <c r="J13758" t="s">
        <v>450</v>
      </c>
      <c r="M13758">
        <v>0</v>
      </c>
    </row>
    <row r="13759" spans="1:13">
      <c r="A13759">
        <v>86103800</v>
      </c>
      <c r="B13759">
        <v>2020133</v>
      </c>
      <c r="C13759" t="s">
        <v>15623</v>
      </c>
      <c r="D13759" t="s">
        <v>449</v>
      </c>
      <c r="E13759" t="s">
        <v>441</v>
      </c>
      <c r="F13759">
        <v>7.1999999999999995E-2</v>
      </c>
      <c r="I13759">
        <v>365</v>
      </c>
      <c r="J13759" t="s">
        <v>450</v>
      </c>
      <c r="M13759">
        <v>0</v>
      </c>
    </row>
    <row r="13760" spans="1:13">
      <c r="A13760">
        <v>86103900</v>
      </c>
      <c r="B13760">
        <v>2004203</v>
      </c>
      <c r="C13760" t="s">
        <v>15723</v>
      </c>
      <c r="D13760" t="s">
        <v>442</v>
      </c>
      <c r="E13760" t="s">
        <v>441</v>
      </c>
      <c r="F13760">
        <v>2.25</v>
      </c>
      <c r="H13760" t="s">
        <v>8580</v>
      </c>
      <c r="I13760">
        <v>365</v>
      </c>
      <c r="J13760" t="s">
        <v>450</v>
      </c>
      <c r="M13760">
        <v>0</v>
      </c>
    </row>
    <row r="13761" spans="1:13">
      <c r="A13761">
        <v>86104100</v>
      </c>
      <c r="B13761">
        <v>2019461</v>
      </c>
      <c r="C13761" t="s">
        <v>15724</v>
      </c>
      <c r="D13761" t="s">
        <v>449</v>
      </c>
      <c r="E13761" t="s">
        <v>441</v>
      </c>
      <c r="F13761">
        <v>3.5999999999999997E-2</v>
      </c>
      <c r="H13761" t="s">
        <v>8580</v>
      </c>
      <c r="I13761">
        <v>720</v>
      </c>
      <c r="J13761" t="s">
        <v>450</v>
      </c>
      <c r="M13761">
        <v>0</v>
      </c>
    </row>
    <row r="13762" spans="1:13">
      <c r="A13762">
        <v>86104200</v>
      </c>
      <c r="B13762">
        <v>2020163</v>
      </c>
      <c r="C13762" t="s">
        <v>17780</v>
      </c>
      <c r="D13762" t="s">
        <v>449</v>
      </c>
      <c r="E13762" t="s">
        <v>441</v>
      </c>
      <c r="F13762">
        <v>1.7000000000000001E-2</v>
      </c>
      <c r="I13762">
        <v>365</v>
      </c>
      <c r="J13762" t="s">
        <v>450</v>
      </c>
      <c r="K13762" t="s">
        <v>446</v>
      </c>
      <c r="M13762">
        <v>0</v>
      </c>
    </row>
    <row r="13763" spans="1:13">
      <c r="A13763">
        <v>86104300</v>
      </c>
      <c r="B13763">
        <v>2019263</v>
      </c>
      <c r="C13763" t="s">
        <v>15725</v>
      </c>
      <c r="D13763" t="s">
        <v>441</v>
      </c>
      <c r="F13763">
        <v>0</v>
      </c>
      <c r="H13763" t="s">
        <v>8580</v>
      </c>
      <c r="I13763">
        <v>765</v>
      </c>
      <c r="J13763" t="s">
        <v>450</v>
      </c>
      <c r="M13763">
        <v>0</v>
      </c>
    </row>
    <row r="13764" spans="1:13">
      <c r="A13764">
        <v>86104400</v>
      </c>
      <c r="B13764">
        <v>2020128</v>
      </c>
      <c r="C13764" t="s">
        <v>15726</v>
      </c>
      <c r="D13764" t="s">
        <v>449</v>
      </c>
      <c r="E13764" t="s">
        <v>441</v>
      </c>
      <c r="F13764">
        <v>1.6E-2</v>
      </c>
      <c r="H13764" t="s">
        <v>8580</v>
      </c>
      <c r="I13764">
        <v>365</v>
      </c>
      <c r="J13764" t="s">
        <v>450</v>
      </c>
      <c r="M13764">
        <v>0</v>
      </c>
    </row>
    <row r="13765" spans="1:13">
      <c r="A13765">
        <v>86104500</v>
      </c>
      <c r="B13765">
        <v>2020194</v>
      </c>
      <c r="C13765" t="s">
        <v>15727</v>
      </c>
      <c r="D13765" t="s">
        <v>449</v>
      </c>
      <c r="E13765" t="s">
        <v>441</v>
      </c>
      <c r="F13765">
        <v>1.6E-2</v>
      </c>
      <c r="H13765" t="s">
        <v>8586</v>
      </c>
      <c r="I13765">
        <v>365</v>
      </c>
      <c r="J13765" t="s">
        <v>450</v>
      </c>
      <c r="M13765">
        <v>0</v>
      </c>
    </row>
    <row r="13766" spans="1:13">
      <c r="A13766">
        <v>86104600</v>
      </c>
      <c r="B13766">
        <v>2020188</v>
      </c>
      <c r="C13766" t="s">
        <v>15728</v>
      </c>
      <c r="D13766" t="s">
        <v>449</v>
      </c>
      <c r="E13766" t="s">
        <v>441</v>
      </c>
      <c r="F13766">
        <v>3.2000000000000001E-2</v>
      </c>
      <c r="I13766">
        <v>365</v>
      </c>
      <c r="J13766" t="s">
        <v>450</v>
      </c>
      <c r="M13766">
        <v>0</v>
      </c>
    </row>
    <row r="13767" spans="1:13">
      <c r="A13767">
        <v>86104700</v>
      </c>
      <c r="B13767">
        <v>2020224</v>
      </c>
      <c r="C13767" t="s">
        <v>15729</v>
      </c>
      <c r="D13767" t="s">
        <v>449</v>
      </c>
      <c r="E13767" t="s">
        <v>441</v>
      </c>
      <c r="F13767">
        <v>3.3000000000000002E-2</v>
      </c>
      <c r="I13767">
        <v>365</v>
      </c>
      <c r="J13767" t="s">
        <v>450</v>
      </c>
      <c r="M13767">
        <v>0</v>
      </c>
    </row>
    <row r="13768" spans="1:13">
      <c r="A13768">
        <v>86104800</v>
      </c>
      <c r="B13768">
        <v>2020226</v>
      </c>
      <c r="C13768" t="s">
        <v>15730</v>
      </c>
      <c r="D13768" t="s">
        <v>449</v>
      </c>
      <c r="E13768" t="s">
        <v>441</v>
      </c>
      <c r="F13768">
        <v>3.3000000000000002E-2</v>
      </c>
      <c r="I13768">
        <v>365</v>
      </c>
      <c r="J13768" t="s">
        <v>450</v>
      </c>
      <c r="M13768">
        <v>0</v>
      </c>
    </row>
    <row r="13769" spans="1:13">
      <c r="A13769">
        <v>86104900</v>
      </c>
      <c r="B13769">
        <v>2020281</v>
      </c>
      <c r="C13769" t="s">
        <v>15731</v>
      </c>
      <c r="D13769" t="s">
        <v>449</v>
      </c>
      <c r="E13769" t="s">
        <v>441</v>
      </c>
      <c r="F13769">
        <v>2.1000000000000001E-2</v>
      </c>
      <c r="H13769" t="s">
        <v>8580</v>
      </c>
      <c r="I13769">
        <v>365</v>
      </c>
      <c r="J13769" t="s">
        <v>450</v>
      </c>
      <c r="M13769">
        <v>0</v>
      </c>
    </row>
    <row r="13770" spans="1:13">
      <c r="A13770">
        <v>86105100</v>
      </c>
      <c r="B13770">
        <v>2020256</v>
      </c>
      <c r="C13770" t="s">
        <v>15732</v>
      </c>
      <c r="D13770" t="s">
        <v>449</v>
      </c>
      <c r="E13770" t="s">
        <v>441</v>
      </c>
      <c r="F13770">
        <v>1.6E-2</v>
      </c>
      <c r="I13770">
        <v>365</v>
      </c>
      <c r="J13770" t="s">
        <v>450</v>
      </c>
      <c r="M13770">
        <v>0</v>
      </c>
    </row>
    <row r="13771" spans="1:13">
      <c r="A13771">
        <v>86105200</v>
      </c>
      <c r="B13771">
        <v>2020273</v>
      </c>
      <c r="C13771" t="s">
        <v>15733</v>
      </c>
      <c r="D13771" t="s">
        <v>449</v>
      </c>
      <c r="E13771" t="s">
        <v>441</v>
      </c>
      <c r="F13771">
        <v>2.9000000000000001E-2</v>
      </c>
      <c r="H13771" t="s">
        <v>8580</v>
      </c>
      <c r="I13771">
        <v>1095</v>
      </c>
      <c r="J13771" t="s">
        <v>450</v>
      </c>
      <c r="M13771">
        <v>0</v>
      </c>
    </row>
    <row r="13772" spans="1:13">
      <c r="A13772">
        <v>86105300</v>
      </c>
      <c r="B13772">
        <v>2020292</v>
      </c>
      <c r="C13772" t="s">
        <v>15941</v>
      </c>
      <c r="D13772" t="s">
        <v>449</v>
      </c>
      <c r="E13772" t="s">
        <v>441</v>
      </c>
      <c r="F13772">
        <v>3.9E-2</v>
      </c>
      <c r="I13772">
        <v>365</v>
      </c>
      <c r="J13772" t="s">
        <v>450</v>
      </c>
      <c r="M13772">
        <v>0</v>
      </c>
    </row>
    <row r="13773" spans="1:13">
      <c r="A13773">
        <v>86105400</v>
      </c>
      <c r="B13773">
        <v>2020295</v>
      </c>
      <c r="C13773" t="s">
        <v>15942</v>
      </c>
      <c r="D13773" t="s">
        <v>449</v>
      </c>
      <c r="E13773" t="s">
        <v>441</v>
      </c>
      <c r="F13773">
        <v>2.7E-2</v>
      </c>
      <c r="H13773" t="s">
        <v>8580</v>
      </c>
      <c r="I13773">
        <v>365</v>
      </c>
      <c r="J13773" t="s">
        <v>450</v>
      </c>
      <c r="M13773">
        <v>0</v>
      </c>
    </row>
    <row r="13774" spans="1:13">
      <c r="A13774">
        <v>86105500</v>
      </c>
      <c r="B13774">
        <v>2020301</v>
      </c>
      <c r="C13774" t="s">
        <v>15943</v>
      </c>
      <c r="D13774" t="s">
        <v>449</v>
      </c>
      <c r="E13774" t="s">
        <v>441</v>
      </c>
      <c r="F13774">
        <v>9.6000000000000002E-2</v>
      </c>
      <c r="H13774" t="s">
        <v>8580</v>
      </c>
      <c r="I13774">
        <v>365</v>
      </c>
      <c r="J13774" t="s">
        <v>450</v>
      </c>
      <c r="M13774">
        <v>0</v>
      </c>
    </row>
    <row r="13775" spans="1:13">
      <c r="A13775">
        <v>86105600</v>
      </c>
      <c r="B13775">
        <v>2019982</v>
      </c>
      <c r="C13775" t="s">
        <v>17216</v>
      </c>
      <c r="D13775" t="s">
        <v>449</v>
      </c>
      <c r="E13775" t="s">
        <v>441</v>
      </c>
      <c r="F13775">
        <v>2.4E-2</v>
      </c>
      <c r="H13775" t="s">
        <v>8584</v>
      </c>
      <c r="I13775">
        <v>730</v>
      </c>
      <c r="J13775" t="s">
        <v>450</v>
      </c>
      <c r="M13775">
        <v>0</v>
      </c>
    </row>
    <row r="13776" spans="1:13">
      <c r="A13776">
        <v>86105700</v>
      </c>
      <c r="B13776">
        <v>2020307</v>
      </c>
      <c r="C13776" t="s">
        <v>15944</v>
      </c>
      <c r="D13776" t="s">
        <v>449</v>
      </c>
      <c r="E13776" t="s">
        <v>441</v>
      </c>
      <c r="F13776">
        <v>3.9E-2</v>
      </c>
      <c r="H13776" t="s">
        <v>8580</v>
      </c>
      <c r="I13776">
        <v>365</v>
      </c>
      <c r="J13776" t="s">
        <v>450</v>
      </c>
      <c r="M13776">
        <v>0</v>
      </c>
    </row>
    <row r="13777" spans="1:13">
      <c r="A13777">
        <v>86105800</v>
      </c>
      <c r="B13777">
        <v>2020331</v>
      </c>
      <c r="C13777" t="s">
        <v>15945</v>
      </c>
      <c r="D13777" t="s">
        <v>449</v>
      </c>
      <c r="E13777" t="s">
        <v>441</v>
      </c>
      <c r="F13777">
        <v>2.8000000000000001E-2</v>
      </c>
      <c r="I13777">
        <v>365</v>
      </c>
      <c r="J13777" t="s">
        <v>450</v>
      </c>
      <c r="M13777">
        <v>0</v>
      </c>
    </row>
    <row r="13778" spans="1:13">
      <c r="A13778">
        <v>86105900</v>
      </c>
      <c r="B13778">
        <v>2020359</v>
      </c>
      <c r="C13778" t="s">
        <v>17217</v>
      </c>
      <c r="D13778" t="s">
        <v>449</v>
      </c>
      <c r="E13778" t="s">
        <v>441</v>
      </c>
      <c r="F13778">
        <v>2.1999999999999999E-2</v>
      </c>
      <c r="I13778">
        <v>1095</v>
      </c>
      <c r="J13778" t="s">
        <v>450</v>
      </c>
      <c r="M13778">
        <v>0</v>
      </c>
    </row>
    <row r="13779" spans="1:13">
      <c r="A13779">
        <v>86106100</v>
      </c>
      <c r="B13779">
        <v>2020362</v>
      </c>
      <c r="C13779" t="s">
        <v>17218</v>
      </c>
      <c r="D13779" t="s">
        <v>449</v>
      </c>
      <c r="E13779" t="s">
        <v>441</v>
      </c>
      <c r="F13779">
        <v>2.3E-2</v>
      </c>
      <c r="H13779" t="s">
        <v>8580</v>
      </c>
      <c r="I13779">
        <v>365</v>
      </c>
      <c r="J13779" t="s">
        <v>450</v>
      </c>
      <c r="M13779">
        <v>0</v>
      </c>
    </row>
    <row r="13780" spans="1:13">
      <c r="A13780">
        <v>86106200</v>
      </c>
      <c r="B13780">
        <v>2020325</v>
      </c>
      <c r="C13780" t="s">
        <v>17781</v>
      </c>
      <c r="D13780" t="s">
        <v>449</v>
      </c>
      <c r="E13780" t="s">
        <v>441</v>
      </c>
      <c r="F13780">
        <v>2.5999999999999999E-2</v>
      </c>
      <c r="I13780">
        <v>365</v>
      </c>
      <c r="J13780" t="s">
        <v>450</v>
      </c>
      <c r="M13780">
        <v>0</v>
      </c>
    </row>
    <row r="13781" spans="1:13">
      <c r="A13781">
        <v>86106300</v>
      </c>
      <c r="B13781">
        <v>2016220</v>
      </c>
      <c r="C13781" t="s">
        <v>17219</v>
      </c>
      <c r="D13781" t="s">
        <v>449</v>
      </c>
      <c r="E13781" t="s">
        <v>441</v>
      </c>
      <c r="F13781">
        <v>2.5000000000000001E-2</v>
      </c>
      <c r="H13781" t="s">
        <v>8580</v>
      </c>
      <c r="I13781">
        <v>720</v>
      </c>
      <c r="J13781" t="s">
        <v>450</v>
      </c>
      <c r="M13781">
        <v>0</v>
      </c>
    </row>
    <row r="13782" spans="1:13">
      <c r="A13782">
        <v>86106400</v>
      </c>
      <c r="B13782">
        <v>2007299</v>
      </c>
      <c r="C13782" t="s">
        <v>17220</v>
      </c>
      <c r="D13782" t="s">
        <v>441</v>
      </c>
      <c r="F13782">
        <v>0</v>
      </c>
      <c r="H13782" t="s">
        <v>8576</v>
      </c>
      <c r="I13782">
        <v>725</v>
      </c>
      <c r="J13782" t="s">
        <v>450</v>
      </c>
      <c r="M13782">
        <v>0</v>
      </c>
    </row>
    <row r="13783" spans="1:13">
      <c r="A13783">
        <v>86106500</v>
      </c>
      <c r="B13783">
        <v>2020443</v>
      </c>
      <c r="C13783" t="s">
        <v>17221</v>
      </c>
      <c r="D13783" t="s">
        <v>449</v>
      </c>
      <c r="E13783" t="s">
        <v>441</v>
      </c>
      <c r="F13783">
        <v>2.3E-2</v>
      </c>
      <c r="I13783">
        <v>1095</v>
      </c>
      <c r="J13783" t="s">
        <v>450</v>
      </c>
      <c r="M13783">
        <v>0</v>
      </c>
    </row>
    <row r="13784" spans="1:13">
      <c r="A13784">
        <v>86106600</v>
      </c>
      <c r="B13784">
        <v>2020477</v>
      </c>
      <c r="C13784" t="s">
        <v>17222</v>
      </c>
      <c r="D13784" t="s">
        <v>449</v>
      </c>
      <c r="E13784" t="s">
        <v>441</v>
      </c>
      <c r="F13784">
        <v>0.01</v>
      </c>
      <c r="H13784" t="s">
        <v>8580</v>
      </c>
      <c r="I13784">
        <v>365</v>
      </c>
      <c r="J13784" t="s">
        <v>450</v>
      </c>
      <c r="M13784">
        <v>0</v>
      </c>
    </row>
    <row r="13785" spans="1:13">
      <c r="A13785">
        <v>86106700</v>
      </c>
      <c r="B13785">
        <v>2020476</v>
      </c>
      <c r="C13785" t="s">
        <v>17223</v>
      </c>
      <c r="D13785" t="s">
        <v>449</v>
      </c>
      <c r="E13785" t="s">
        <v>441</v>
      </c>
      <c r="F13785">
        <v>0.01</v>
      </c>
      <c r="I13785">
        <v>365</v>
      </c>
      <c r="J13785" t="s">
        <v>450</v>
      </c>
      <c r="M13785">
        <v>0</v>
      </c>
    </row>
    <row r="13786" spans="1:13">
      <c r="A13786">
        <v>86106800</v>
      </c>
      <c r="B13786">
        <v>2020230</v>
      </c>
      <c r="C13786" t="s">
        <v>17782</v>
      </c>
      <c r="D13786" t="s">
        <v>442</v>
      </c>
      <c r="E13786" t="s">
        <v>441</v>
      </c>
      <c r="F13786">
        <v>6.0000000000000001E-3</v>
      </c>
      <c r="H13786" t="s">
        <v>8637</v>
      </c>
      <c r="I13786">
        <v>720</v>
      </c>
      <c r="J13786" t="s">
        <v>450</v>
      </c>
      <c r="M13786">
        <v>0</v>
      </c>
    </row>
    <row r="13787" spans="1:13">
      <c r="A13787">
        <v>86106900</v>
      </c>
      <c r="B13787">
        <v>2020516</v>
      </c>
      <c r="C13787" t="s">
        <v>17783</v>
      </c>
      <c r="D13787" t="s">
        <v>442</v>
      </c>
      <c r="E13787" t="s">
        <v>441</v>
      </c>
      <c r="F13787">
        <v>0.155</v>
      </c>
      <c r="H13787" t="s">
        <v>8580</v>
      </c>
      <c r="I13787">
        <v>180</v>
      </c>
      <c r="J13787" t="s">
        <v>450</v>
      </c>
      <c r="M13787">
        <v>0</v>
      </c>
    </row>
    <row r="13788" spans="1:13">
      <c r="A13788">
        <v>86107100</v>
      </c>
      <c r="B13788">
        <v>2005053</v>
      </c>
      <c r="C13788" t="s">
        <v>17784</v>
      </c>
      <c r="D13788" t="s">
        <v>449</v>
      </c>
      <c r="E13788" t="s">
        <v>441</v>
      </c>
      <c r="F13788">
        <v>0.10299999999999999</v>
      </c>
      <c r="H13788" t="s">
        <v>8584</v>
      </c>
      <c r="I13788">
        <v>730</v>
      </c>
      <c r="J13788" t="s">
        <v>450</v>
      </c>
      <c r="M13788">
        <v>0</v>
      </c>
    </row>
    <row r="13789" spans="1:13">
      <c r="A13789">
        <v>86107200</v>
      </c>
      <c r="B13789">
        <v>2017930</v>
      </c>
      <c r="C13789" t="s">
        <v>17785</v>
      </c>
      <c r="D13789" t="s">
        <v>449</v>
      </c>
      <c r="E13789" t="s">
        <v>441</v>
      </c>
      <c r="F13789">
        <v>4.1000000000000002E-2</v>
      </c>
      <c r="H13789" t="s">
        <v>8580</v>
      </c>
      <c r="I13789">
        <v>720</v>
      </c>
      <c r="J13789" t="s">
        <v>450</v>
      </c>
      <c r="M13789">
        <v>0</v>
      </c>
    </row>
    <row r="13790" spans="1:13">
      <c r="A13790">
        <v>86107300</v>
      </c>
      <c r="B13790">
        <v>2017931</v>
      </c>
      <c r="C13790" t="s">
        <v>17786</v>
      </c>
      <c r="D13790" t="s">
        <v>449</v>
      </c>
      <c r="E13790" t="s">
        <v>441</v>
      </c>
      <c r="F13790">
        <v>9.6000000000000002E-2</v>
      </c>
      <c r="I13790">
        <v>720</v>
      </c>
      <c r="J13790" t="s">
        <v>450</v>
      </c>
      <c r="M13790">
        <v>0</v>
      </c>
    </row>
    <row r="13791" spans="1:13">
      <c r="A13791">
        <v>86107400</v>
      </c>
      <c r="B13791">
        <v>2020603</v>
      </c>
      <c r="C13791" t="s">
        <v>17787</v>
      </c>
      <c r="D13791" t="s">
        <v>449</v>
      </c>
      <c r="E13791" t="s">
        <v>441</v>
      </c>
      <c r="F13791">
        <v>7.2999999999999995E-2</v>
      </c>
      <c r="H13791" t="s">
        <v>8580</v>
      </c>
      <c r="I13791">
        <v>365</v>
      </c>
      <c r="J13791" t="s">
        <v>450</v>
      </c>
      <c r="M13791">
        <v>0</v>
      </c>
    </row>
    <row r="13792" spans="1:13">
      <c r="A13792">
        <v>86107500</v>
      </c>
      <c r="B13792">
        <v>2020604</v>
      </c>
      <c r="C13792" t="s">
        <v>17788</v>
      </c>
      <c r="D13792" t="s">
        <v>449</v>
      </c>
      <c r="E13792" t="s">
        <v>441</v>
      </c>
      <c r="F13792">
        <v>3.2000000000000001E-2</v>
      </c>
      <c r="H13792" t="s">
        <v>8584</v>
      </c>
      <c r="I13792">
        <v>365</v>
      </c>
      <c r="J13792" t="s">
        <v>450</v>
      </c>
      <c r="M13792">
        <v>0</v>
      </c>
    </row>
    <row r="13793" spans="1:13">
      <c r="A13793">
        <v>86107600</v>
      </c>
      <c r="B13793">
        <v>2020598</v>
      </c>
      <c r="C13793" t="s">
        <v>17789</v>
      </c>
      <c r="D13793" t="s">
        <v>449</v>
      </c>
      <c r="E13793" t="s">
        <v>441</v>
      </c>
      <c r="F13793">
        <v>2.3E-2</v>
      </c>
      <c r="H13793" t="s">
        <v>8624</v>
      </c>
      <c r="I13793">
        <v>365</v>
      </c>
      <c r="J13793" t="s">
        <v>450</v>
      </c>
      <c r="M13793">
        <v>0</v>
      </c>
    </row>
    <row r="13794" spans="1:13">
      <c r="A13794">
        <v>86107700</v>
      </c>
      <c r="B13794">
        <v>2020613</v>
      </c>
      <c r="C13794" t="s">
        <v>17790</v>
      </c>
      <c r="D13794" t="s">
        <v>449</v>
      </c>
      <c r="E13794" t="s">
        <v>441</v>
      </c>
      <c r="F13794">
        <v>3.2000000000000001E-2</v>
      </c>
      <c r="H13794" t="s">
        <v>8584</v>
      </c>
      <c r="I13794">
        <v>365</v>
      </c>
      <c r="J13794" t="s">
        <v>450</v>
      </c>
      <c r="M13794">
        <v>0</v>
      </c>
    </row>
    <row r="13795" spans="1:13">
      <c r="A13795">
        <v>86107800</v>
      </c>
      <c r="B13795">
        <v>2020614</v>
      </c>
      <c r="C13795" t="s">
        <v>17791</v>
      </c>
      <c r="D13795" t="s">
        <v>449</v>
      </c>
      <c r="E13795" t="s">
        <v>441</v>
      </c>
      <c r="F13795">
        <v>3.2000000000000001E-2</v>
      </c>
      <c r="H13795" t="s">
        <v>8580</v>
      </c>
      <c r="I13795">
        <v>365</v>
      </c>
      <c r="J13795" t="s">
        <v>450</v>
      </c>
      <c r="M13795">
        <v>0</v>
      </c>
    </row>
    <row r="13796" spans="1:13">
      <c r="A13796">
        <v>86107900</v>
      </c>
      <c r="B13796">
        <v>2020615</v>
      </c>
      <c r="C13796" t="s">
        <v>17792</v>
      </c>
      <c r="D13796" t="s">
        <v>449</v>
      </c>
      <c r="E13796" t="s">
        <v>441</v>
      </c>
      <c r="F13796">
        <v>3.7999999999999999E-2</v>
      </c>
      <c r="H13796" t="s">
        <v>8584</v>
      </c>
      <c r="I13796">
        <v>365</v>
      </c>
      <c r="J13796" t="s">
        <v>450</v>
      </c>
      <c r="M13796">
        <v>0</v>
      </c>
    </row>
    <row r="13797" spans="1:13">
      <c r="A13797">
        <v>86108100</v>
      </c>
      <c r="B13797">
        <v>2020626</v>
      </c>
      <c r="C13797" t="s">
        <v>17793</v>
      </c>
      <c r="D13797" t="s">
        <v>449</v>
      </c>
      <c r="E13797" t="s">
        <v>441</v>
      </c>
      <c r="F13797">
        <v>2.9000000000000001E-2</v>
      </c>
      <c r="H13797" t="s">
        <v>8950</v>
      </c>
      <c r="I13797">
        <v>1095</v>
      </c>
      <c r="J13797" t="s">
        <v>450</v>
      </c>
      <c r="M13797">
        <v>0</v>
      </c>
    </row>
    <row r="13798" spans="1:13">
      <c r="A13798">
        <v>86108200</v>
      </c>
      <c r="B13798">
        <v>2020675</v>
      </c>
      <c r="C13798" t="s">
        <v>17794</v>
      </c>
      <c r="D13798" t="s">
        <v>449</v>
      </c>
      <c r="E13798" t="s">
        <v>441</v>
      </c>
      <c r="F13798">
        <v>3.2000000000000001E-2</v>
      </c>
      <c r="H13798" t="s">
        <v>8580</v>
      </c>
      <c r="I13798">
        <v>365</v>
      </c>
      <c r="J13798" t="s">
        <v>450</v>
      </c>
      <c r="M13798">
        <v>0</v>
      </c>
    </row>
    <row r="13799" spans="1:13">
      <c r="A13799">
        <v>86108300</v>
      </c>
      <c r="B13799">
        <v>2020674</v>
      </c>
      <c r="C13799" t="s">
        <v>17795</v>
      </c>
      <c r="D13799" t="s">
        <v>449</v>
      </c>
      <c r="E13799" t="s">
        <v>441</v>
      </c>
      <c r="F13799">
        <v>3.1E-2</v>
      </c>
      <c r="H13799" t="s">
        <v>8584</v>
      </c>
      <c r="I13799">
        <v>365</v>
      </c>
      <c r="J13799" t="s">
        <v>450</v>
      </c>
      <c r="M13799">
        <v>0</v>
      </c>
    </row>
    <row r="13800" spans="1:13">
      <c r="A13800">
        <v>86108400</v>
      </c>
      <c r="B13800">
        <v>2020680</v>
      </c>
      <c r="C13800" t="s">
        <v>17796</v>
      </c>
      <c r="D13800" t="s">
        <v>449</v>
      </c>
      <c r="E13800" t="s">
        <v>441</v>
      </c>
      <c r="F13800">
        <v>1.4E-2</v>
      </c>
      <c r="H13800" t="s">
        <v>8584</v>
      </c>
      <c r="I13800">
        <v>365</v>
      </c>
      <c r="J13800" t="s">
        <v>450</v>
      </c>
      <c r="M13800">
        <v>0</v>
      </c>
    </row>
    <row r="13801" spans="1:13">
      <c r="A13801">
        <v>86108500</v>
      </c>
      <c r="B13801">
        <v>2020690</v>
      </c>
      <c r="C13801" t="s">
        <v>17797</v>
      </c>
      <c r="D13801" t="s">
        <v>449</v>
      </c>
      <c r="E13801" t="s">
        <v>441</v>
      </c>
      <c r="F13801">
        <v>3.2000000000000001E-2</v>
      </c>
      <c r="H13801" t="s">
        <v>8584</v>
      </c>
      <c r="I13801">
        <v>365</v>
      </c>
      <c r="J13801" t="s">
        <v>450</v>
      </c>
      <c r="M13801">
        <v>0</v>
      </c>
    </row>
    <row r="13802" spans="1:13">
      <c r="A13802">
        <v>86108600</v>
      </c>
      <c r="B13802">
        <v>2020714</v>
      </c>
      <c r="C13802" t="s">
        <v>17798</v>
      </c>
      <c r="D13802" t="s">
        <v>449</v>
      </c>
      <c r="E13802" t="s">
        <v>441</v>
      </c>
      <c r="F13802">
        <v>2.8000000000000001E-2</v>
      </c>
      <c r="H13802" t="s">
        <v>8634</v>
      </c>
      <c r="I13802">
        <v>365</v>
      </c>
      <c r="J13802" t="s">
        <v>450</v>
      </c>
      <c r="M13802">
        <v>0</v>
      </c>
    </row>
    <row r="13803" spans="1:13">
      <c r="A13803">
        <v>86108700</v>
      </c>
      <c r="B13803">
        <v>2020803</v>
      </c>
      <c r="C13803" t="s">
        <v>17799</v>
      </c>
      <c r="D13803" t="s">
        <v>449</v>
      </c>
      <c r="E13803" t="s">
        <v>441</v>
      </c>
      <c r="F13803">
        <v>0.01</v>
      </c>
      <c r="H13803" t="s">
        <v>8584</v>
      </c>
      <c r="I13803">
        <v>365</v>
      </c>
      <c r="J13803" t="s">
        <v>450</v>
      </c>
      <c r="M13803">
        <v>0</v>
      </c>
    </row>
    <row r="13804" spans="1:13">
      <c r="A13804">
        <v>86108800</v>
      </c>
      <c r="B13804">
        <v>2020804</v>
      </c>
      <c r="C13804" t="s">
        <v>17800</v>
      </c>
      <c r="D13804" t="s">
        <v>449</v>
      </c>
      <c r="E13804" t="s">
        <v>441</v>
      </c>
      <c r="F13804">
        <v>0.01</v>
      </c>
      <c r="H13804" t="s">
        <v>8584</v>
      </c>
      <c r="I13804">
        <v>365</v>
      </c>
      <c r="J13804" t="s">
        <v>450</v>
      </c>
      <c r="M13804">
        <v>0</v>
      </c>
    </row>
    <row r="13805" spans="1:13">
      <c r="A13805">
        <v>86108900</v>
      </c>
      <c r="B13805">
        <v>2020815</v>
      </c>
      <c r="C13805" t="s">
        <v>17801</v>
      </c>
      <c r="D13805" t="s">
        <v>449</v>
      </c>
      <c r="E13805" t="s">
        <v>441</v>
      </c>
      <c r="F13805">
        <v>0.01</v>
      </c>
      <c r="H13805" t="s">
        <v>8584</v>
      </c>
      <c r="I13805">
        <v>365</v>
      </c>
      <c r="J13805" t="s">
        <v>450</v>
      </c>
      <c r="M13805">
        <v>0</v>
      </c>
    </row>
    <row r="13806" spans="1:13">
      <c r="A13806">
        <v>86200700</v>
      </c>
      <c r="B13806">
        <v>2002951</v>
      </c>
      <c r="C13806" t="s">
        <v>17224</v>
      </c>
      <c r="D13806" t="s">
        <v>442</v>
      </c>
      <c r="E13806" t="s">
        <v>441</v>
      </c>
      <c r="F13806">
        <v>1E-3</v>
      </c>
      <c r="H13806" t="s">
        <v>8581</v>
      </c>
      <c r="I13806">
        <v>730</v>
      </c>
      <c r="J13806" t="s">
        <v>450</v>
      </c>
      <c r="M13806">
        <v>2611</v>
      </c>
    </row>
    <row r="13807" spans="1:13">
      <c r="A13807">
        <v>86202200</v>
      </c>
      <c r="B13807">
        <v>2002952</v>
      </c>
      <c r="C13807" t="s">
        <v>6788</v>
      </c>
      <c r="D13807" t="s">
        <v>442</v>
      </c>
      <c r="E13807" t="s">
        <v>441</v>
      </c>
      <c r="F13807">
        <v>1E-3</v>
      </c>
      <c r="H13807" t="s">
        <v>8581</v>
      </c>
      <c r="I13807">
        <v>730</v>
      </c>
      <c r="J13807" t="s">
        <v>450</v>
      </c>
      <c r="K13807" t="s">
        <v>446</v>
      </c>
      <c r="M13807">
        <v>0</v>
      </c>
    </row>
    <row r="13808" spans="1:13">
      <c r="A13808">
        <v>86202700</v>
      </c>
      <c r="B13808">
        <v>2002953</v>
      </c>
      <c r="C13808" t="s">
        <v>6789</v>
      </c>
      <c r="D13808" t="s">
        <v>442</v>
      </c>
      <c r="E13808" t="s">
        <v>441</v>
      </c>
      <c r="F13808">
        <v>1E-3</v>
      </c>
      <c r="H13808" t="s">
        <v>8580</v>
      </c>
      <c r="I13808">
        <v>730</v>
      </c>
      <c r="J13808" t="s">
        <v>450</v>
      </c>
      <c r="K13808" t="s">
        <v>446</v>
      </c>
      <c r="M13808">
        <v>0</v>
      </c>
    </row>
    <row r="13809" spans="1:13">
      <c r="A13809">
        <v>86205400</v>
      </c>
      <c r="B13809">
        <v>2002954</v>
      </c>
      <c r="C13809" t="s">
        <v>17225</v>
      </c>
      <c r="D13809" t="s">
        <v>442</v>
      </c>
      <c r="E13809" t="s">
        <v>441</v>
      </c>
      <c r="F13809">
        <v>1E-3</v>
      </c>
      <c r="H13809" t="s">
        <v>8581</v>
      </c>
      <c r="I13809">
        <v>730</v>
      </c>
      <c r="J13809" t="s">
        <v>450</v>
      </c>
      <c r="M13809">
        <v>3211</v>
      </c>
    </row>
    <row r="13810" spans="1:13">
      <c r="A13810">
        <v>86209400</v>
      </c>
      <c r="B13810">
        <v>2002955</v>
      </c>
      <c r="C13810" t="s">
        <v>6790</v>
      </c>
      <c r="D13810" t="s">
        <v>442</v>
      </c>
      <c r="E13810" t="s">
        <v>441</v>
      </c>
      <c r="F13810">
        <v>1E-3</v>
      </c>
      <c r="H13810" t="s">
        <v>8581</v>
      </c>
      <c r="I13810">
        <v>730</v>
      </c>
      <c r="J13810" t="s">
        <v>450</v>
      </c>
      <c r="K13810" t="s">
        <v>446</v>
      </c>
      <c r="M13810">
        <v>0</v>
      </c>
    </row>
    <row r="13811" spans="1:13">
      <c r="A13811">
        <v>86210800</v>
      </c>
      <c r="B13811">
        <v>2002956</v>
      </c>
      <c r="C13811" t="s">
        <v>6791</v>
      </c>
      <c r="D13811" t="s">
        <v>442</v>
      </c>
      <c r="E13811" t="s">
        <v>441</v>
      </c>
      <c r="F13811">
        <v>1E-3</v>
      </c>
      <c r="G13811">
        <v>0</v>
      </c>
      <c r="H13811" t="s">
        <v>8581</v>
      </c>
      <c r="I13811">
        <v>730</v>
      </c>
      <c r="J13811" t="s">
        <v>450</v>
      </c>
      <c r="K13811" t="s">
        <v>446</v>
      </c>
      <c r="M13811">
        <v>0</v>
      </c>
    </row>
    <row r="13812" spans="1:13">
      <c r="A13812">
        <v>86217300</v>
      </c>
      <c r="B13812">
        <v>2002957</v>
      </c>
      <c r="C13812" t="s">
        <v>6792</v>
      </c>
      <c r="D13812" t="s">
        <v>442</v>
      </c>
      <c r="E13812" t="s">
        <v>441</v>
      </c>
      <c r="F13812">
        <v>1E-3</v>
      </c>
      <c r="H13812" t="s">
        <v>8581</v>
      </c>
      <c r="I13812">
        <v>730</v>
      </c>
      <c r="J13812" t="s">
        <v>450</v>
      </c>
      <c r="K13812" t="s">
        <v>446</v>
      </c>
      <c r="M13812">
        <v>0</v>
      </c>
    </row>
    <row r="13813" spans="1:13">
      <c r="A13813">
        <v>86217400</v>
      </c>
      <c r="B13813">
        <v>2002958</v>
      </c>
      <c r="C13813" t="s">
        <v>6793</v>
      </c>
      <c r="D13813" t="s">
        <v>442</v>
      </c>
      <c r="E13813" t="s">
        <v>441</v>
      </c>
      <c r="F13813">
        <v>1E-3</v>
      </c>
      <c r="H13813" t="s">
        <v>8584</v>
      </c>
      <c r="I13813">
        <v>730</v>
      </c>
      <c r="J13813" t="s">
        <v>450</v>
      </c>
      <c r="K13813" t="s">
        <v>446</v>
      </c>
      <c r="M13813">
        <v>0</v>
      </c>
    </row>
    <row r="13814" spans="1:13">
      <c r="A13814">
        <v>86219600</v>
      </c>
      <c r="B13814">
        <v>2002959</v>
      </c>
      <c r="C13814" t="s">
        <v>6794</v>
      </c>
      <c r="D13814" t="s">
        <v>442</v>
      </c>
      <c r="E13814" t="s">
        <v>441</v>
      </c>
      <c r="F13814">
        <v>1E-3</v>
      </c>
      <c r="H13814" t="s">
        <v>8581</v>
      </c>
      <c r="I13814">
        <v>730</v>
      </c>
      <c r="J13814" t="s">
        <v>450</v>
      </c>
      <c r="K13814" t="s">
        <v>446</v>
      </c>
      <c r="M13814">
        <v>0</v>
      </c>
    </row>
    <row r="13815" spans="1:13">
      <c r="A13815">
        <v>86220200</v>
      </c>
      <c r="B13815">
        <v>2002960</v>
      </c>
      <c r="C13815" t="s">
        <v>6795</v>
      </c>
      <c r="D13815" t="s">
        <v>442</v>
      </c>
      <c r="E13815" t="s">
        <v>441</v>
      </c>
      <c r="F13815">
        <v>1E-3</v>
      </c>
      <c r="H13815" t="s">
        <v>8581</v>
      </c>
      <c r="I13815">
        <v>730</v>
      </c>
      <c r="J13815" t="s">
        <v>450</v>
      </c>
      <c r="K13815" t="s">
        <v>446</v>
      </c>
      <c r="M13815">
        <v>0</v>
      </c>
    </row>
    <row r="13816" spans="1:13">
      <c r="A13816">
        <v>86220900</v>
      </c>
      <c r="B13816">
        <v>2003647</v>
      </c>
      <c r="C13816" t="s">
        <v>6796</v>
      </c>
      <c r="D13816" t="s">
        <v>442</v>
      </c>
      <c r="F13816">
        <v>0</v>
      </c>
      <c r="H13816" t="s">
        <v>8581</v>
      </c>
      <c r="I13816">
        <v>730</v>
      </c>
      <c r="J13816" t="s">
        <v>450</v>
      </c>
      <c r="K13816" t="s">
        <v>446</v>
      </c>
      <c r="M13816">
        <v>0</v>
      </c>
    </row>
    <row r="13817" spans="1:13">
      <c r="A13817">
        <v>86221400</v>
      </c>
      <c r="B13817">
        <v>2003569</v>
      </c>
      <c r="C13817" t="s">
        <v>6797</v>
      </c>
      <c r="D13817" t="s">
        <v>442</v>
      </c>
      <c r="F13817">
        <v>0</v>
      </c>
      <c r="H13817" t="s">
        <v>8581</v>
      </c>
      <c r="I13817">
        <v>730</v>
      </c>
      <c r="J13817" t="s">
        <v>450</v>
      </c>
      <c r="K13817" t="s">
        <v>446</v>
      </c>
      <c r="M13817">
        <v>0</v>
      </c>
    </row>
    <row r="13818" spans="1:13">
      <c r="A13818">
        <v>86224100</v>
      </c>
      <c r="B13818">
        <v>2002961</v>
      </c>
      <c r="C13818" t="s">
        <v>6798</v>
      </c>
      <c r="D13818" t="s">
        <v>442</v>
      </c>
      <c r="E13818" t="s">
        <v>441</v>
      </c>
      <c r="F13818">
        <v>1E-3</v>
      </c>
      <c r="H13818" t="s">
        <v>8581</v>
      </c>
      <c r="I13818">
        <v>730</v>
      </c>
      <c r="J13818" t="s">
        <v>450</v>
      </c>
      <c r="K13818" t="s">
        <v>446</v>
      </c>
      <c r="M13818">
        <v>0</v>
      </c>
    </row>
    <row r="13819" spans="1:13">
      <c r="A13819">
        <v>86224900</v>
      </c>
      <c r="B13819">
        <v>2002962</v>
      </c>
      <c r="C13819" t="s">
        <v>6799</v>
      </c>
      <c r="D13819" t="s">
        <v>442</v>
      </c>
      <c r="E13819" t="s">
        <v>441</v>
      </c>
      <c r="F13819">
        <v>1E-3</v>
      </c>
      <c r="H13819" t="s">
        <v>8581</v>
      </c>
      <c r="I13819">
        <v>730</v>
      </c>
      <c r="J13819" t="s">
        <v>450</v>
      </c>
      <c r="K13819" t="s">
        <v>446</v>
      </c>
      <c r="M13819">
        <v>0</v>
      </c>
    </row>
    <row r="13820" spans="1:13">
      <c r="A13820">
        <v>86227000</v>
      </c>
      <c r="B13820">
        <v>2002963</v>
      </c>
      <c r="C13820" t="s">
        <v>6800</v>
      </c>
      <c r="D13820" t="s">
        <v>442</v>
      </c>
      <c r="E13820" t="s">
        <v>441</v>
      </c>
      <c r="F13820">
        <v>1E-3</v>
      </c>
      <c r="H13820" t="s">
        <v>8581</v>
      </c>
      <c r="I13820">
        <v>730</v>
      </c>
      <c r="J13820" t="s">
        <v>450</v>
      </c>
      <c r="K13820" t="s">
        <v>446</v>
      </c>
      <c r="M13820">
        <v>0</v>
      </c>
    </row>
    <row r="13821" spans="1:13">
      <c r="A13821">
        <v>86231100</v>
      </c>
      <c r="B13821">
        <v>2002964</v>
      </c>
      <c r="C13821" t="s">
        <v>6801</v>
      </c>
      <c r="D13821" t="s">
        <v>442</v>
      </c>
      <c r="E13821" t="s">
        <v>441</v>
      </c>
      <c r="F13821">
        <v>1E-3</v>
      </c>
      <c r="H13821" t="s">
        <v>8581</v>
      </c>
      <c r="I13821">
        <v>730</v>
      </c>
      <c r="J13821" t="s">
        <v>450</v>
      </c>
      <c r="K13821" t="s">
        <v>446</v>
      </c>
      <c r="M13821">
        <v>0</v>
      </c>
    </row>
    <row r="13822" spans="1:13">
      <c r="A13822">
        <v>86231600</v>
      </c>
      <c r="B13822">
        <v>2002965</v>
      </c>
      <c r="C13822" t="s">
        <v>6802</v>
      </c>
      <c r="D13822" t="s">
        <v>442</v>
      </c>
      <c r="E13822" t="s">
        <v>441</v>
      </c>
      <c r="F13822">
        <v>1E-3</v>
      </c>
      <c r="H13822" t="s">
        <v>8581</v>
      </c>
      <c r="I13822">
        <v>730</v>
      </c>
      <c r="J13822" t="s">
        <v>450</v>
      </c>
      <c r="K13822" t="s">
        <v>446</v>
      </c>
      <c r="M13822">
        <v>0</v>
      </c>
    </row>
    <row r="13823" spans="1:13">
      <c r="A13823">
        <v>86235700</v>
      </c>
      <c r="B13823">
        <v>2002966</v>
      </c>
      <c r="C13823" t="s">
        <v>6803</v>
      </c>
      <c r="D13823" t="s">
        <v>442</v>
      </c>
      <c r="E13823" t="s">
        <v>441</v>
      </c>
      <c r="F13823">
        <v>1E-3</v>
      </c>
      <c r="H13823" t="s">
        <v>8581</v>
      </c>
      <c r="I13823">
        <v>730</v>
      </c>
      <c r="J13823" t="s">
        <v>450</v>
      </c>
      <c r="K13823" t="s">
        <v>446</v>
      </c>
      <c r="M13823">
        <v>0</v>
      </c>
    </row>
    <row r="13824" spans="1:13">
      <c r="A13824">
        <v>86235800</v>
      </c>
      <c r="B13824">
        <v>2002967</v>
      </c>
      <c r="C13824" t="s">
        <v>6804</v>
      </c>
      <c r="D13824" t="s">
        <v>442</v>
      </c>
      <c r="E13824" t="s">
        <v>441</v>
      </c>
      <c r="F13824">
        <v>1E-3</v>
      </c>
      <c r="H13824" t="s">
        <v>8581</v>
      </c>
      <c r="I13824">
        <v>730</v>
      </c>
      <c r="J13824" t="s">
        <v>450</v>
      </c>
      <c r="K13824" t="s">
        <v>446</v>
      </c>
      <c r="M13824">
        <v>0</v>
      </c>
    </row>
    <row r="13825" spans="1:13">
      <c r="A13825">
        <v>86236600</v>
      </c>
      <c r="B13825">
        <v>2003568</v>
      </c>
      <c r="C13825" t="s">
        <v>6805</v>
      </c>
      <c r="D13825" t="s">
        <v>442</v>
      </c>
      <c r="F13825">
        <v>0</v>
      </c>
      <c r="H13825" t="s">
        <v>8581</v>
      </c>
      <c r="I13825">
        <v>730</v>
      </c>
      <c r="J13825" t="s">
        <v>450</v>
      </c>
      <c r="K13825" t="s">
        <v>446</v>
      </c>
      <c r="M13825">
        <v>0</v>
      </c>
    </row>
    <row r="13826" spans="1:13">
      <c r="A13826">
        <v>86237000</v>
      </c>
      <c r="B13826">
        <v>2002968</v>
      </c>
      <c r="C13826" t="s">
        <v>6806</v>
      </c>
      <c r="D13826" t="s">
        <v>442</v>
      </c>
      <c r="E13826" t="s">
        <v>441</v>
      </c>
      <c r="F13826">
        <v>1E-3</v>
      </c>
      <c r="H13826" t="s">
        <v>8581</v>
      </c>
      <c r="I13826">
        <v>730</v>
      </c>
      <c r="J13826" t="s">
        <v>450</v>
      </c>
      <c r="K13826" t="s">
        <v>446</v>
      </c>
      <c r="M13826">
        <v>0</v>
      </c>
    </row>
    <row r="13827" spans="1:13">
      <c r="A13827">
        <v>86237200</v>
      </c>
      <c r="B13827">
        <v>2002969</v>
      </c>
      <c r="C13827" t="s">
        <v>6807</v>
      </c>
      <c r="D13827" t="s">
        <v>442</v>
      </c>
      <c r="E13827" t="s">
        <v>441</v>
      </c>
      <c r="F13827">
        <v>1E-3</v>
      </c>
      <c r="H13827" t="s">
        <v>8581</v>
      </c>
      <c r="I13827">
        <v>730</v>
      </c>
      <c r="J13827" t="s">
        <v>450</v>
      </c>
      <c r="K13827" t="s">
        <v>446</v>
      </c>
      <c r="M13827">
        <v>0</v>
      </c>
    </row>
    <row r="13828" spans="1:13">
      <c r="A13828">
        <v>86237400</v>
      </c>
      <c r="B13828">
        <v>2002970</v>
      </c>
      <c r="C13828" t="s">
        <v>6808</v>
      </c>
      <c r="D13828" t="s">
        <v>442</v>
      </c>
      <c r="E13828" t="s">
        <v>441</v>
      </c>
      <c r="F13828">
        <v>1E-3</v>
      </c>
      <c r="H13828" t="s">
        <v>8581</v>
      </c>
      <c r="I13828">
        <v>730</v>
      </c>
      <c r="J13828" t="s">
        <v>450</v>
      </c>
      <c r="K13828" t="s">
        <v>446</v>
      </c>
      <c r="M13828">
        <v>0</v>
      </c>
    </row>
    <row r="13829" spans="1:13">
      <c r="A13829">
        <v>86238100</v>
      </c>
      <c r="B13829">
        <v>2002971</v>
      </c>
      <c r="C13829" t="s">
        <v>6809</v>
      </c>
      <c r="D13829" t="s">
        <v>442</v>
      </c>
      <c r="E13829" t="s">
        <v>441</v>
      </c>
      <c r="F13829">
        <v>1E-3</v>
      </c>
      <c r="H13829" t="s">
        <v>8584</v>
      </c>
      <c r="I13829">
        <v>730</v>
      </c>
      <c r="J13829" t="s">
        <v>450</v>
      </c>
      <c r="K13829" t="s">
        <v>446</v>
      </c>
      <c r="M13829">
        <v>0</v>
      </c>
    </row>
    <row r="13830" spans="1:13">
      <c r="A13830">
        <v>86238200</v>
      </c>
      <c r="B13830">
        <v>2002972</v>
      </c>
      <c r="C13830" t="s">
        <v>6810</v>
      </c>
      <c r="D13830" t="s">
        <v>442</v>
      </c>
      <c r="E13830" t="s">
        <v>441</v>
      </c>
      <c r="F13830">
        <v>1E-3</v>
      </c>
      <c r="H13830" t="s">
        <v>8581</v>
      </c>
      <c r="I13830">
        <v>730</v>
      </c>
      <c r="J13830" t="s">
        <v>450</v>
      </c>
      <c r="K13830" t="s">
        <v>446</v>
      </c>
      <c r="M13830">
        <v>0</v>
      </c>
    </row>
    <row r="13831" spans="1:13">
      <c r="A13831">
        <v>86242400</v>
      </c>
      <c r="B13831">
        <v>2002973</v>
      </c>
      <c r="C13831" t="s">
        <v>6811</v>
      </c>
      <c r="D13831" t="s">
        <v>442</v>
      </c>
      <c r="E13831" t="s">
        <v>441</v>
      </c>
      <c r="F13831">
        <v>1E-3</v>
      </c>
      <c r="H13831" t="s">
        <v>8581</v>
      </c>
      <c r="I13831">
        <v>730</v>
      </c>
      <c r="J13831" t="s">
        <v>450</v>
      </c>
      <c r="K13831" t="s">
        <v>446</v>
      </c>
      <c r="M13831">
        <v>0</v>
      </c>
    </row>
    <row r="13832" spans="1:13">
      <c r="A13832">
        <v>86242700</v>
      </c>
      <c r="B13832">
        <v>2003427</v>
      </c>
      <c r="C13832" t="s">
        <v>6812</v>
      </c>
      <c r="D13832" t="s">
        <v>442</v>
      </c>
      <c r="E13832" t="s">
        <v>441</v>
      </c>
      <c r="F13832">
        <v>1E-3</v>
      </c>
      <c r="H13832" t="s">
        <v>8584</v>
      </c>
      <c r="I13832">
        <v>720</v>
      </c>
      <c r="J13832" t="s">
        <v>450</v>
      </c>
      <c r="K13832" t="s">
        <v>446</v>
      </c>
      <c r="M13832">
        <v>0</v>
      </c>
    </row>
    <row r="13833" spans="1:13">
      <c r="A13833">
        <v>86243000</v>
      </c>
      <c r="B13833">
        <v>2002974</v>
      </c>
      <c r="C13833" t="s">
        <v>6813</v>
      </c>
      <c r="D13833" t="s">
        <v>442</v>
      </c>
      <c r="E13833" t="s">
        <v>441</v>
      </c>
      <c r="F13833">
        <v>1E-3</v>
      </c>
      <c r="H13833" t="s">
        <v>8581</v>
      </c>
      <c r="I13833">
        <v>730</v>
      </c>
      <c r="J13833" t="s">
        <v>450</v>
      </c>
      <c r="K13833" t="s">
        <v>446</v>
      </c>
      <c r="M13833">
        <v>0</v>
      </c>
    </row>
    <row r="13834" spans="1:13">
      <c r="A13834">
        <v>86245800</v>
      </c>
      <c r="B13834">
        <v>2002975</v>
      </c>
      <c r="C13834" t="s">
        <v>6814</v>
      </c>
      <c r="D13834" t="s">
        <v>442</v>
      </c>
      <c r="E13834" t="s">
        <v>441</v>
      </c>
      <c r="F13834">
        <v>1E-3</v>
      </c>
      <c r="H13834" t="s">
        <v>8581</v>
      </c>
      <c r="I13834">
        <v>730</v>
      </c>
      <c r="J13834" t="s">
        <v>450</v>
      </c>
      <c r="K13834" t="s">
        <v>446</v>
      </c>
      <c r="M13834">
        <v>0</v>
      </c>
    </row>
    <row r="13835" spans="1:13">
      <c r="A13835">
        <v>86248300</v>
      </c>
      <c r="B13835">
        <v>2002976</v>
      </c>
      <c r="C13835" t="s">
        <v>6815</v>
      </c>
      <c r="D13835" t="s">
        <v>442</v>
      </c>
      <c r="E13835" t="s">
        <v>441</v>
      </c>
      <c r="F13835">
        <v>1E-3</v>
      </c>
      <c r="H13835" t="s">
        <v>8581</v>
      </c>
      <c r="I13835">
        <v>730</v>
      </c>
      <c r="J13835" t="s">
        <v>450</v>
      </c>
      <c r="K13835" t="s">
        <v>446</v>
      </c>
      <c r="M13835">
        <v>0</v>
      </c>
    </row>
    <row r="13836" spans="1:13">
      <c r="A13836">
        <v>86249400</v>
      </c>
      <c r="B13836">
        <v>2002977</v>
      </c>
      <c r="C13836" t="s">
        <v>6816</v>
      </c>
      <c r="D13836" t="s">
        <v>442</v>
      </c>
      <c r="E13836" t="s">
        <v>441</v>
      </c>
      <c r="F13836">
        <v>1E-3</v>
      </c>
      <c r="H13836" t="s">
        <v>8581</v>
      </c>
      <c r="I13836">
        <v>730</v>
      </c>
      <c r="J13836" t="s">
        <v>450</v>
      </c>
      <c r="K13836" t="s">
        <v>446</v>
      </c>
      <c r="M13836">
        <v>0</v>
      </c>
    </row>
    <row r="13837" spans="1:13">
      <c r="A13837">
        <v>86251200</v>
      </c>
      <c r="B13837">
        <v>2002978</v>
      </c>
      <c r="C13837" t="s">
        <v>6817</v>
      </c>
      <c r="D13837" t="s">
        <v>442</v>
      </c>
      <c r="E13837" t="s">
        <v>441</v>
      </c>
      <c r="F13837">
        <v>1E-3</v>
      </c>
      <c r="H13837" t="s">
        <v>8581</v>
      </c>
      <c r="I13837">
        <v>730</v>
      </c>
      <c r="J13837" t="s">
        <v>450</v>
      </c>
      <c r="K13837" t="s">
        <v>446</v>
      </c>
      <c r="M13837">
        <v>0</v>
      </c>
    </row>
    <row r="13838" spans="1:13">
      <c r="A13838">
        <v>86252100</v>
      </c>
      <c r="B13838">
        <v>2001155</v>
      </c>
      <c r="C13838" t="s">
        <v>6818</v>
      </c>
      <c r="D13838" t="s">
        <v>442</v>
      </c>
      <c r="E13838" t="s">
        <v>441</v>
      </c>
      <c r="F13838">
        <v>1E-3</v>
      </c>
      <c r="H13838" t="s">
        <v>8574</v>
      </c>
      <c r="I13838">
        <v>730</v>
      </c>
      <c r="J13838" t="s">
        <v>450</v>
      </c>
      <c r="K13838" t="s">
        <v>446</v>
      </c>
      <c r="M13838">
        <v>0</v>
      </c>
    </row>
    <row r="13839" spans="1:13">
      <c r="A13839">
        <v>86252500</v>
      </c>
      <c r="B13839">
        <v>2002979</v>
      </c>
      <c r="C13839" t="s">
        <v>6819</v>
      </c>
      <c r="D13839" t="s">
        <v>442</v>
      </c>
      <c r="E13839" t="s">
        <v>441</v>
      </c>
      <c r="F13839">
        <v>1E-3</v>
      </c>
      <c r="H13839" t="s">
        <v>8581</v>
      </c>
      <c r="I13839">
        <v>730</v>
      </c>
      <c r="J13839" t="s">
        <v>450</v>
      </c>
      <c r="K13839" t="s">
        <v>446</v>
      </c>
      <c r="M13839">
        <v>0</v>
      </c>
    </row>
    <row r="13840" spans="1:13">
      <c r="A13840">
        <v>86255700</v>
      </c>
      <c r="B13840">
        <v>2002980</v>
      </c>
      <c r="C13840" t="s">
        <v>17226</v>
      </c>
      <c r="D13840" t="s">
        <v>442</v>
      </c>
      <c r="E13840" t="s">
        <v>441</v>
      </c>
      <c r="F13840">
        <v>1E-3</v>
      </c>
      <c r="H13840" t="s">
        <v>8581</v>
      </c>
      <c r="I13840">
        <v>730</v>
      </c>
      <c r="J13840" t="s">
        <v>450</v>
      </c>
      <c r="M13840">
        <v>0</v>
      </c>
    </row>
    <row r="13841" spans="1:13">
      <c r="A13841">
        <v>86255800</v>
      </c>
      <c r="B13841">
        <v>2002981</v>
      </c>
      <c r="C13841" t="s">
        <v>6820</v>
      </c>
      <c r="D13841" t="s">
        <v>442</v>
      </c>
      <c r="E13841" t="s">
        <v>441</v>
      </c>
      <c r="F13841">
        <v>1E-3</v>
      </c>
      <c r="H13841" t="s">
        <v>8581</v>
      </c>
      <c r="I13841">
        <v>730</v>
      </c>
      <c r="J13841" t="s">
        <v>450</v>
      </c>
      <c r="K13841" t="s">
        <v>446</v>
      </c>
      <c r="M13841">
        <v>0</v>
      </c>
    </row>
    <row r="13842" spans="1:13">
      <c r="A13842">
        <v>86256100</v>
      </c>
      <c r="B13842">
        <v>2002982</v>
      </c>
      <c r="C13842" t="s">
        <v>6821</v>
      </c>
      <c r="D13842" t="s">
        <v>442</v>
      </c>
      <c r="E13842" t="s">
        <v>441</v>
      </c>
      <c r="F13842">
        <v>1E-3</v>
      </c>
      <c r="H13842" t="s">
        <v>8581</v>
      </c>
      <c r="I13842">
        <v>730</v>
      </c>
      <c r="J13842" t="s">
        <v>450</v>
      </c>
      <c r="K13842" t="s">
        <v>446</v>
      </c>
      <c r="M13842">
        <v>0</v>
      </c>
    </row>
    <row r="13843" spans="1:13">
      <c r="A13843">
        <v>86257200</v>
      </c>
      <c r="B13843">
        <v>2003428</v>
      </c>
      <c r="C13843" t="s">
        <v>6822</v>
      </c>
      <c r="D13843" t="s">
        <v>442</v>
      </c>
      <c r="E13843" t="s">
        <v>441</v>
      </c>
      <c r="F13843">
        <v>1E-3</v>
      </c>
      <c r="H13843" t="s">
        <v>8584</v>
      </c>
      <c r="I13843">
        <v>720</v>
      </c>
      <c r="J13843" t="s">
        <v>450</v>
      </c>
      <c r="K13843" t="s">
        <v>446</v>
      </c>
      <c r="M13843">
        <v>0</v>
      </c>
    </row>
    <row r="13844" spans="1:13">
      <c r="A13844">
        <v>86257900</v>
      </c>
      <c r="B13844">
        <v>2002983</v>
      </c>
      <c r="C13844" t="s">
        <v>6823</v>
      </c>
      <c r="D13844" t="s">
        <v>442</v>
      </c>
      <c r="E13844" t="s">
        <v>441</v>
      </c>
      <c r="F13844">
        <v>1E-3</v>
      </c>
      <c r="H13844" t="s">
        <v>8581</v>
      </c>
      <c r="I13844">
        <v>730</v>
      </c>
      <c r="J13844" t="s">
        <v>450</v>
      </c>
      <c r="K13844" t="s">
        <v>446</v>
      </c>
      <c r="M13844">
        <v>0</v>
      </c>
    </row>
    <row r="13845" spans="1:13">
      <c r="A13845">
        <v>86258600</v>
      </c>
      <c r="B13845">
        <v>2002984</v>
      </c>
      <c r="C13845" t="s">
        <v>17227</v>
      </c>
      <c r="D13845" t="s">
        <v>442</v>
      </c>
      <c r="E13845" t="s">
        <v>441</v>
      </c>
      <c r="F13845">
        <v>1E-3</v>
      </c>
      <c r="H13845" t="s">
        <v>8581</v>
      </c>
      <c r="I13845">
        <v>730</v>
      </c>
      <c r="J13845" t="s">
        <v>450</v>
      </c>
      <c r="M13845">
        <v>0</v>
      </c>
    </row>
    <row r="13846" spans="1:13">
      <c r="A13846">
        <v>86261000</v>
      </c>
      <c r="B13846">
        <v>2002985</v>
      </c>
      <c r="C13846" t="s">
        <v>6824</v>
      </c>
      <c r="D13846" t="s">
        <v>442</v>
      </c>
      <c r="E13846" t="s">
        <v>441</v>
      </c>
      <c r="F13846">
        <v>1E-3</v>
      </c>
      <c r="H13846" t="s">
        <v>8581</v>
      </c>
      <c r="I13846">
        <v>730</v>
      </c>
      <c r="J13846" t="s">
        <v>450</v>
      </c>
      <c r="K13846" t="s">
        <v>446</v>
      </c>
      <c r="M13846">
        <v>0</v>
      </c>
    </row>
    <row r="13847" spans="1:13">
      <c r="A13847">
        <v>86261700</v>
      </c>
      <c r="B13847">
        <v>2002986</v>
      </c>
      <c r="C13847" t="s">
        <v>6825</v>
      </c>
      <c r="D13847" t="s">
        <v>442</v>
      </c>
      <c r="E13847" t="s">
        <v>441</v>
      </c>
      <c r="F13847">
        <v>1E-3</v>
      </c>
      <c r="H13847" t="s">
        <v>8581</v>
      </c>
      <c r="I13847">
        <v>730</v>
      </c>
      <c r="J13847" t="s">
        <v>450</v>
      </c>
      <c r="K13847" t="s">
        <v>446</v>
      </c>
      <c r="M13847">
        <v>0</v>
      </c>
    </row>
    <row r="13848" spans="1:13">
      <c r="A13848">
        <v>86261800</v>
      </c>
      <c r="B13848">
        <v>2002987</v>
      </c>
      <c r="C13848" t="s">
        <v>6826</v>
      </c>
      <c r="D13848" t="s">
        <v>442</v>
      </c>
      <c r="E13848" t="s">
        <v>441</v>
      </c>
      <c r="F13848">
        <v>1E-3</v>
      </c>
      <c r="H13848" t="s">
        <v>8581</v>
      </c>
      <c r="I13848">
        <v>730</v>
      </c>
      <c r="J13848" t="s">
        <v>450</v>
      </c>
      <c r="K13848" t="s">
        <v>446</v>
      </c>
      <c r="M13848">
        <v>0</v>
      </c>
    </row>
    <row r="13849" spans="1:13">
      <c r="A13849">
        <v>86262300</v>
      </c>
      <c r="B13849">
        <v>2002988</v>
      </c>
      <c r="C13849" t="s">
        <v>6827</v>
      </c>
      <c r="D13849" t="s">
        <v>442</v>
      </c>
      <c r="E13849" t="s">
        <v>441</v>
      </c>
      <c r="F13849">
        <v>1E-3</v>
      </c>
      <c r="H13849" t="s">
        <v>8581</v>
      </c>
      <c r="I13849">
        <v>730</v>
      </c>
      <c r="J13849" t="s">
        <v>450</v>
      </c>
      <c r="K13849" t="s">
        <v>446</v>
      </c>
      <c r="M13849">
        <v>0</v>
      </c>
    </row>
    <row r="13850" spans="1:13">
      <c r="A13850">
        <v>86262400</v>
      </c>
      <c r="B13850">
        <v>2002989</v>
      </c>
      <c r="C13850" t="s">
        <v>6828</v>
      </c>
      <c r="D13850" t="s">
        <v>442</v>
      </c>
      <c r="E13850" t="s">
        <v>441</v>
      </c>
      <c r="F13850">
        <v>1E-3</v>
      </c>
      <c r="H13850" t="s">
        <v>8581</v>
      </c>
      <c r="I13850">
        <v>730</v>
      </c>
      <c r="J13850" t="s">
        <v>450</v>
      </c>
      <c r="K13850" t="s">
        <v>446</v>
      </c>
      <c r="M13850">
        <v>0</v>
      </c>
    </row>
    <row r="13851" spans="1:13">
      <c r="A13851">
        <v>86262700</v>
      </c>
      <c r="B13851">
        <v>2002990</v>
      </c>
      <c r="C13851" t="s">
        <v>6829</v>
      </c>
      <c r="D13851" t="s">
        <v>442</v>
      </c>
      <c r="E13851" t="s">
        <v>441</v>
      </c>
      <c r="F13851">
        <v>1E-3</v>
      </c>
      <c r="H13851" t="s">
        <v>8581</v>
      </c>
      <c r="I13851">
        <v>730</v>
      </c>
      <c r="J13851" t="s">
        <v>450</v>
      </c>
      <c r="K13851" t="s">
        <v>446</v>
      </c>
      <c r="M13851">
        <v>0</v>
      </c>
    </row>
    <row r="13852" spans="1:13">
      <c r="A13852">
        <v>86262800</v>
      </c>
      <c r="B13852">
        <v>2002991</v>
      </c>
      <c r="C13852" t="s">
        <v>6830</v>
      </c>
      <c r="D13852" t="s">
        <v>442</v>
      </c>
      <c r="E13852" t="s">
        <v>441</v>
      </c>
      <c r="F13852">
        <v>1E-3</v>
      </c>
      <c r="H13852" t="s">
        <v>8627</v>
      </c>
      <c r="I13852">
        <v>730</v>
      </c>
      <c r="J13852" t="s">
        <v>450</v>
      </c>
      <c r="K13852" t="s">
        <v>446</v>
      </c>
      <c r="M13852">
        <v>0</v>
      </c>
    </row>
    <row r="13853" spans="1:13">
      <c r="A13853">
        <v>86262900</v>
      </c>
      <c r="B13853">
        <v>2002992</v>
      </c>
      <c r="C13853" t="s">
        <v>6831</v>
      </c>
      <c r="D13853" t="s">
        <v>442</v>
      </c>
      <c r="E13853" t="s">
        <v>441</v>
      </c>
      <c r="F13853">
        <v>1E-3</v>
      </c>
      <c r="H13853" t="s">
        <v>8581</v>
      </c>
      <c r="I13853">
        <v>730</v>
      </c>
      <c r="J13853" t="s">
        <v>450</v>
      </c>
      <c r="K13853" t="s">
        <v>446</v>
      </c>
      <c r="M13853">
        <v>0</v>
      </c>
    </row>
    <row r="13854" spans="1:13">
      <c r="A13854">
        <v>86263500</v>
      </c>
      <c r="B13854">
        <v>2003429</v>
      </c>
      <c r="C13854" t="s">
        <v>6832</v>
      </c>
      <c r="D13854" t="s">
        <v>442</v>
      </c>
      <c r="E13854" t="s">
        <v>441</v>
      </c>
      <c r="F13854">
        <v>1E-3</v>
      </c>
      <c r="H13854" t="s">
        <v>8584</v>
      </c>
      <c r="I13854">
        <v>720</v>
      </c>
      <c r="J13854" t="s">
        <v>450</v>
      </c>
      <c r="K13854" t="s">
        <v>446</v>
      </c>
      <c r="M13854">
        <v>0</v>
      </c>
    </row>
    <row r="13855" spans="1:13">
      <c r="A13855">
        <v>86263700</v>
      </c>
      <c r="B13855">
        <v>2003652</v>
      </c>
      <c r="C13855" t="s">
        <v>6833</v>
      </c>
      <c r="D13855" t="s">
        <v>442</v>
      </c>
      <c r="F13855">
        <v>0</v>
      </c>
      <c r="H13855" t="s">
        <v>8581</v>
      </c>
      <c r="I13855">
        <v>720</v>
      </c>
      <c r="J13855" t="s">
        <v>450</v>
      </c>
      <c r="K13855" t="s">
        <v>446</v>
      </c>
      <c r="M13855">
        <v>0</v>
      </c>
    </row>
    <row r="13856" spans="1:13">
      <c r="A13856">
        <v>86263800</v>
      </c>
      <c r="B13856">
        <v>2002993</v>
      </c>
      <c r="C13856" t="s">
        <v>6834</v>
      </c>
      <c r="D13856" t="s">
        <v>442</v>
      </c>
      <c r="E13856" t="s">
        <v>441</v>
      </c>
      <c r="F13856">
        <v>1E-3</v>
      </c>
      <c r="H13856" t="s">
        <v>8581</v>
      </c>
      <c r="I13856">
        <v>730</v>
      </c>
      <c r="J13856" t="s">
        <v>450</v>
      </c>
      <c r="K13856" t="s">
        <v>446</v>
      </c>
      <c r="M13856">
        <v>0</v>
      </c>
    </row>
    <row r="13857" spans="1:13">
      <c r="A13857">
        <v>86264600</v>
      </c>
      <c r="B13857">
        <v>2002994</v>
      </c>
      <c r="C13857" t="s">
        <v>6835</v>
      </c>
      <c r="D13857" t="s">
        <v>442</v>
      </c>
      <c r="E13857" t="s">
        <v>441</v>
      </c>
      <c r="F13857">
        <v>1E-3</v>
      </c>
      <c r="H13857" t="s">
        <v>8581</v>
      </c>
      <c r="I13857">
        <v>730</v>
      </c>
      <c r="J13857" t="s">
        <v>450</v>
      </c>
      <c r="K13857" t="s">
        <v>446</v>
      </c>
      <c r="M13857">
        <v>0</v>
      </c>
    </row>
    <row r="13858" spans="1:13">
      <c r="A13858">
        <v>86265100</v>
      </c>
      <c r="B13858">
        <v>2003573</v>
      </c>
      <c r="C13858" t="s">
        <v>6836</v>
      </c>
      <c r="D13858" t="s">
        <v>442</v>
      </c>
      <c r="F13858">
        <v>0</v>
      </c>
      <c r="H13858" t="s">
        <v>8581</v>
      </c>
      <c r="I13858">
        <v>730</v>
      </c>
      <c r="J13858" t="s">
        <v>450</v>
      </c>
      <c r="K13858" t="s">
        <v>446</v>
      </c>
      <c r="M13858">
        <v>0</v>
      </c>
    </row>
    <row r="13859" spans="1:13">
      <c r="A13859">
        <v>86265200</v>
      </c>
      <c r="B13859">
        <v>2002995</v>
      </c>
      <c r="C13859" t="s">
        <v>6837</v>
      </c>
      <c r="D13859" t="s">
        <v>442</v>
      </c>
      <c r="E13859" t="s">
        <v>441</v>
      </c>
      <c r="F13859">
        <v>1E-3</v>
      </c>
      <c r="H13859" t="s">
        <v>8581</v>
      </c>
      <c r="I13859">
        <v>730</v>
      </c>
      <c r="J13859" t="s">
        <v>450</v>
      </c>
      <c r="K13859" t="s">
        <v>446</v>
      </c>
      <c r="M13859">
        <v>0</v>
      </c>
    </row>
    <row r="13860" spans="1:13">
      <c r="A13860">
        <v>86265900</v>
      </c>
      <c r="B13860">
        <v>2002996</v>
      </c>
      <c r="C13860" t="s">
        <v>6838</v>
      </c>
      <c r="D13860" t="s">
        <v>442</v>
      </c>
      <c r="E13860" t="s">
        <v>441</v>
      </c>
      <c r="F13860">
        <v>1E-3</v>
      </c>
      <c r="H13860" t="s">
        <v>8581</v>
      </c>
      <c r="I13860">
        <v>730</v>
      </c>
      <c r="J13860" t="s">
        <v>450</v>
      </c>
      <c r="K13860" t="s">
        <v>446</v>
      </c>
      <c r="M13860">
        <v>0</v>
      </c>
    </row>
    <row r="13861" spans="1:13">
      <c r="A13861">
        <v>86266000</v>
      </c>
      <c r="B13861">
        <v>2002997</v>
      </c>
      <c r="C13861" t="s">
        <v>6839</v>
      </c>
      <c r="D13861" t="s">
        <v>442</v>
      </c>
      <c r="E13861" t="s">
        <v>441</v>
      </c>
      <c r="F13861">
        <v>1E-3</v>
      </c>
      <c r="H13861" t="s">
        <v>8581</v>
      </c>
      <c r="I13861">
        <v>730</v>
      </c>
      <c r="J13861" t="s">
        <v>450</v>
      </c>
      <c r="K13861" t="s">
        <v>446</v>
      </c>
      <c r="M13861">
        <v>0</v>
      </c>
    </row>
    <row r="13862" spans="1:13">
      <c r="A13862">
        <v>86266600</v>
      </c>
      <c r="B13862">
        <v>2002998</v>
      </c>
      <c r="C13862" t="s">
        <v>6840</v>
      </c>
      <c r="D13862" t="s">
        <v>442</v>
      </c>
      <c r="E13862" t="s">
        <v>441</v>
      </c>
      <c r="F13862">
        <v>1E-3</v>
      </c>
      <c r="H13862" t="s">
        <v>8581</v>
      </c>
      <c r="I13862">
        <v>730</v>
      </c>
      <c r="J13862" t="s">
        <v>450</v>
      </c>
      <c r="K13862" t="s">
        <v>446</v>
      </c>
      <c r="M13862">
        <v>0</v>
      </c>
    </row>
    <row r="13863" spans="1:13">
      <c r="A13863">
        <v>86266800</v>
      </c>
      <c r="B13863">
        <v>2002999</v>
      </c>
      <c r="C13863" t="s">
        <v>6841</v>
      </c>
      <c r="D13863" t="s">
        <v>442</v>
      </c>
      <c r="E13863" t="s">
        <v>441</v>
      </c>
      <c r="F13863">
        <v>1E-3</v>
      </c>
      <c r="H13863" t="s">
        <v>8581</v>
      </c>
      <c r="I13863">
        <v>730</v>
      </c>
      <c r="J13863" t="s">
        <v>450</v>
      </c>
      <c r="K13863" t="s">
        <v>446</v>
      </c>
      <c r="M13863">
        <v>0</v>
      </c>
    </row>
    <row r="13864" spans="1:13">
      <c r="A13864">
        <v>86267000</v>
      </c>
      <c r="B13864">
        <v>2007507</v>
      </c>
      <c r="C13864" t="s">
        <v>6842</v>
      </c>
      <c r="D13864" t="s">
        <v>442</v>
      </c>
      <c r="F13864">
        <v>0</v>
      </c>
      <c r="H13864" t="s">
        <v>8581</v>
      </c>
      <c r="I13864">
        <v>360</v>
      </c>
      <c r="J13864" t="s">
        <v>450</v>
      </c>
      <c r="K13864" t="s">
        <v>446</v>
      </c>
      <c r="M13864">
        <v>0</v>
      </c>
    </row>
    <row r="13865" spans="1:13">
      <c r="A13865">
        <v>86267100</v>
      </c>
      <c r="B13865">
        <v>2003000</v>
      </c>
      <c r="C13865" t="s">
        <v>6843</v>
      </c>
      <c r="D13865" t="s">
        <v>442</v>
      </c>
      <c r="E13865" t="s">
        <v>441</v>
      </c>
      <c r="F13865">
        <v>1E-3</v>
      </c>
      <c r="H13865" t="s">
        <v>8581</v>
      </c>
      <c r="I13865">
        <v>730</v>
      </c>
      <c r="J13865" t="s">
        <v>450</v>
      </c>
      <c r="K13865" t="s">
        <v>446</v>
      </c>
      <c r="M13865">
        <v>0</v>
      </c>
    </row>
    <row r="13866" spans="1:13">
      <c r="A13866">
        <v>86267200</v>
      </c>
      <c r="B13866">
        <v>2003001</v>
      </c>
      <c r="C13866" t="s">
        <v>6844</v>
      </c>
      <c r="D13866" t="s">
        <v>442</v>
      </c>
      <c r="E13866" t="s">
        <v>441</v>
      </c>
      <c r="F13866">
        <v>1E-3</v>
      </c>
      <c r="H13866" t="s">
        <v>8581</v>
      </c>
      <c r="I13866">
        <v>730</v>
      </c>
      <c r="J13866" t="s">
        <v>450</v>
      </c>
      <c r="K13866" t="s">
        <v>446</v>
      </c>
      <c r="M13866">
        <v>0</v>
      </c>
    </row>
    <row r="13867" spans="1:13">
      <c r="A13867">
        <v>86268000</v>
      </c>
      <c r="B13867">
        <v>2003430</v>
      </c>
      <c r="C13867" t="s">
        <v>6845</v>
      </c>
      <c r="D13867" t="s">
        <v>442</v>
      </c>
      <c r="E13867" t="s">
        <v>441</v>
      </c>
      <c r="F13867">
        <v>1E-3</v>
      </c>
      <c r="H13867" t="s">
        <v>8584</v>
      </c>
      <c r="I13867">
        <v>720</v>
      </c>
      <c r="J13867" t="s">
        <v>450</v>
      </c>
      <c r="K13867" t="s">
        <v>446</v>
      </c>
      <c r="M13867">
        <v>0</v>
      </c>
    </row>
    <row r="13868" spans="1:13">
      <c r="A13868">
        <v>86268100</v>
      </c>
      <c r="B13868">
        <v>2003431</v>
      </c>
      <c r="C13868" t="s">
        <v>6846</v>
      </c>
      <c r="D13868" t="s">
        <v>442</v>
      </c>
      <c r="E13868" t="s">
        <v>441</v>
      </c>
      <c r="F13868">
        <v>1E-3</v>
      </c>
      <c r="H13868" t="s">
        <v>8584</v>
      </c>
      <c r="I13868">
        <v>720</v>
      </c>
      <c r="J13868" t="s">
        <v>450</v>
      </c>
      <c r="K13868" t="s">
        <v>446</v>
      </c>
      <c r="M13868">
        <v>0</v>
      </c>
    </row>
    <row r="13869" spans="1:13">
      <c r="A13869">
        <v>86268500</v>
      </c>
      <c r="B13869">
        <v>2003002</v>
      </c>
      <c r="C13869" t="s">
        <v>6847</v>
      </c>
      <c r="D13869" t="s">
        <v>442</v>
      </c>
      <c r="E13869" t="s">
        <v>441</v>
      </c>
      <c r="F13869">
        <v>1E-3</v>
      </c>
      <c r="H13869" t="s">
        <v>8581</v>
      </c>
      <c r="I13869">
        <v>730</v>
      </c>
      <c r="J13869" t="s">
        <v>450</v>
      </c>
      <c r="K13869" t="s">
        <v>446</v>
      </c>
      <c r="M13869">
        <v>0</v>
      </c>
    </row>
    <row r="13870" spans="1:13">
      <c r="A13870">
        <v>86268700</v>
      </c>
      <c r="B13870">
        <v>2003003</v>
      </c>
      <c r="C13870" t="s">
        <v>14050</v>
      </c>
      <c r="D13870" t="s">
        <v>442</v>
      </c>
      <c r="E13870" t="s">
        <v>441</v>
      </c>
      <c r="F13870">
        <v>1E-3</v>
      </c>
      <c r="H13870" t="s">
        <v>8581</v>
      </c>
      <c r="I13870">
        <v>730</v>
      </c>
      <c r="J13870" t="s">
        <v>450</v>
      </c>
      <c r="K13870" t="s">
        <v>446</v>
      </c>
      <c r="M13870">
        <v>0</v>
      </c>
    </row>
    <row r="13871" spans="1:13">
      <c r="A13871">
        <v>86268800</v>
      </c>
      <c r="B13871">
        <v>2003004</v>
      </c>
      <c r="C13871" t="s">
        <v>14051</v>
      </c>
      <c r="D13871" t="s">
        <v>442</v>
      </c>
      <c r="E13871" t="s">
        <v>441</v>
      </c>
      <c r="F13871">
        <v>1E-3</v>
      </c>
      <c r="H13871" t="s">
        <v>8581</v>
      </c>
      <c r="I13871">
        <v>730</v>
      </c>
      <c r="J13871" t="s">
        <v>450</v>
      </c>
      <c r="K13871" t="s">
        <v>446</v>
      </c>
      <c r="M13871">
        <v>0</v>
      </c>
    </row>
    <row r="13872" spans="1:13">
      <c r="A13872">
        <v>86269200</v>
      </c>
      <c r="B13872">
        <v>2003005</v>
      </c>
      <c r="C13872" t="s">
        <v>6848</v>
      </c>
      <c r="D13872" t="s">
        <v>442</v>
      </c>
      <c r="E13872" t="s">
        <v>441</v>
      </c>
      <c r="F13872">
        <v>1E-3</v>
      </c>
      <c r="H13872" t="s">
        <v>8581</v>
      </c>
      <c r="I13872">
        <v>730</v>
      </c>
      <c r="J13872" t="s">
        <v>450</v>
      </c>
      <c r="K13872" t="s">
        <v>446</v>
      </c>
      <c r="M13872">
        <v>0</v>
      </c>
    </row>
    <row r="13873" spans="1:13">
      <c r="A13873">
        <v>86269600</v>
      </c>
      <c r="B13873">
        <v>2003006</v>
      </c>
      <c r="C13873" t="s">
        <v>6849</v>
      </c>
      <c r="D13873" t="s">
        <v>442</v>
      </c>
      <c r="E13873" t="s">
        <v>441</v>
      </c>
      <c r="F13873">
        <v>1E-3</v>
      </c>
      <c r="H13873" t="s">
        <v>8581</v>
      </c>
      <c r="I13873">
        <v>730</v>
      </c>
      <c r="J13873" t="s">
        <v>450</v>
      </c>
      <c r="K13873" t="s">
        <v>446</v>
      </c>
      <c r="M13873">
        <v>0</v>
      </c>
    </row>
    <row r="13874" spans="1:13">
      <c r="A13874">
        <v>86269800</v>
      </c>
      <c r="B13874">
        <v>2003007</v>
      </c>
      <c r="C13874" t="s">
        <v>6850</v>
      </c>
      <c r="D13874" t="s">
        <v>442</v>
      </c>
      <c r="E13874" t="s">
        <v>441</v>
      </c>
      <c r="F13874">
        <v>1E-3</v>
      </c>
      <c r="H13874" t="s">
        <v>8581</v>
      </c>
      <c r="I13874">
        <v>730</v>
      </c>
      <c r="J13874" t="s">
        <v>450</v>
      </c>
      <c r="K13874" t="s">
        <v>446</v>
      </c>
      <c r="M13874">
        <v>0</v>
      </c>
    </row>
    <row r="13875" spans="1:13">
      <c r="A13875">
        <v>86269900</v>
      </c>
      <c r="B13875">
        <v>2003008</v>
      </c>
      <c r="C13875" t="s">
        <v>14052</v>
      </c>
      <c r="D13875" t="s">
        <v>442</v>
      </c>
      <c r="E13875" t="s">
        <v>441</v>
      </c>
      <c r="F13875">
        <v>1E-3</v>
      </c>
      <c r="H13875" t="s">
        <v>8581</v>
      </c>
      <c r="I13875">
        <v>730</v>
      </c>
      <c r="J13875" t="s">
        <v>450</v>
      </c>
      <c r="K13875" t="s">
        <v>446</v>
      </c>
      <c r="M13875">
        <v>0</v>
      </c>
    </row>
    <row r="13876" spans="1:13">
      <c r="A13876">
        <v>86270600</v>
      </c>
      <c r="B13876">
        <v>2003601</v>
      </c>
      <c r="C13876" t="s">
        <v>6851</v>
      </c>
      <c r="D13876" t="s">
        <v>442</v>
      </c>
      <c r="F13876">
        <v>0</v>
      </c>
      <c r="H13876" t="s">
        <v>8581</v>
      </c>
      <c r="I13876">
        <v>730</v>
      </c>
      <c r="J13876" t="s">
        <v>450</v>
      </c>
      <c r="K13876" t="s">
        <v>446</v>
      </c>
      <c r="M13876">
        <v>0</v>
      </c>
    </row>
    <row r="13877" spans="1:13">
      <c r="A13877">
        <v>86270700</v>
      </c>
      <c r="B13877">
        <v>2003009</v>
      </c>
      <c r="C13877" t="s">
        <v>6852</v>
      </c>
      <c r="D13877" t="s">
        <v>442</v>
      </c>
      <c r="E13877" t="s">
        <v>441</v>
      </c>
      <c r="F13877">
        <v>1E-3</v>
      </c>
      <c r="H13877" t="s">
        <v>8581</v>
      </c>
      <c r="I13877">
        <v>730</v>
      </c>
      <c r="J13877" t="s">
        <v>450</v>
      </c>
      <c r="K13877" t="s">
        <v>446</v>
      </c>
      <c r="M13877">
        <v>0</v>
      </c>
    </row>
    <row r="13878" spans="1:13">
      <c r="A13878">
        <v>86272000</v>
      </c>
      <c r="B13878">
        <v>2003010</v>
      </c>
      <c r="C13878" t="s">
        <v>6853</v>
      </c>
      <c r="D13878" t="s">
        <v>442</v>
      </c>
      <c r="E13878" t="s">
        <v>441</v>
      </c>
      <c r="F13878">
        <v>1E-3</v>
      </c>
      <c r="H13878" t="s">
        <v>8581</v>
      </c>
      <c r="I13878">
        <v>730</v>
      </c>
      <c r="J13878" t="s">
        <v>450</v>
      </c>
      <c r="K13878" t="s">
        <v>446</v>
      </c>
      <c r="M13878">
        <v>0</v>
      </c>
    </row>
    <row r="13879" spans="1:13">
      <c r="A13879">
        <v>86272200</v>
      </c>
      <c r="B13879">
        <v>2003011</v>
      </c>
      <c r="C13879" t="s">
        <v>14053</v>
      </c>
      <c r="D13879" t="s">
        <v>442</v>
      </c>
      <c r="E13879" t="s">
        <v>441</v>
      </c>
      <c r="F13879">
        <v>1E-3</v>
      </c>
      <c r="H13879" t="s">
        <v>8581</v>
      </c>
      <c r="I13879">
        <v>730</v>
      </c>
      <c r="J13879" t="s">
        <v>450</v>
      </c>
      <c r="K13879" t="s">
        <v>446</v>
      </c>
      <c r="M13879">
        <v>0</v>
      </c>
    </row>
    <row r="13880" spans="1:13">
      <c r="A13880">
        <v>86273800</v>
      </c>
      <c r="B13880">
        <v>2003012</v>
      </c>
      <c r="C13880" t="s">
        <v>6854</v>
      </c>
      <c r="D13880" t="s">
        <v>442</v>
      </c>
      <c r="E13880" t="s">
        <v>441</v>
      </c>
      <c r="F13880">
        <v>1E-3</v>
      </c>
      <c r="H13880" t="s">
        <v>8581</v>
      </c>
      <c r="I13880">
        <v>730</v>
      </c>
      <c r="J13880" t="s">
        <v>450</v>
      </c>
      <c r="K13880" t="s">
        <v>446</v>
      </c>
      <c r="M13880">
        <v>0</v>
      </c>
    </row>
    <row r="13881" spans="1:13">
      <c r="A13881">
        <v>86273900</v>
      </c>
      <c r="B13881">
        <v>2003013</v>
      </c>
      <c r="C13881" t="s">
        <v>14054</v>
      </c>
      <c r="D13881" t="s">
        <v>442</v>
      </c>
      <c r="E13881" t="s">
        <v>441</v>
      </c>
      <c r="F13881">
        <v>1E-3</v>
      </c>
      <c r="H13881" t="s">
        <v>8581</v>
      </c>
      <c r="I13881">
        <v>730</v>
      </c>
      <c r="J13881" t="s">
        <v>450</v>
      </c>
      <c r="K13881" t="s">
        <v>446</v>
      </c>
      <c r="M13881">
        <v>0</v>
      </c>
    </row>
    <row r="13882" spans="1:13">
      <c r="A13882">
        <v>86274100</v>
      </c>
      <c r="B13882">
        <v>2003014</v>
      </c>
      <c r="C13882" t="s">
        <v>6855</v>
      </c>
      <c r="D13882" t="s">
        <v>442</v>
      </c>
      <c r="E13882" t="s">
        <v>441</v>
      </c>
      <c r="F13882">
        <v>1E-3</v>
      </c>
      <c r="H13882" t="s">
        <v>8581</v>
      </c>
      <c r="I13882">
        <v>730</v>
      </c>
      <c r="J13882" t="s">
        <v>450</v>
      </c>
      <c r="K13882" t="s">
        <v>446</v>
      </c>
      <c r="M13882">
        <v>0</v>
      </c>
    </row>
    <row r="13883" spans="1:13">
      <c r="A13883">
        <v>86274400</v>
      </c>
      <c r="B13883">
        <v>2003015</v>
      </c>
      <c r="C13883" t="s">
        <v>6856</v>
      </c>
      <c r="D13883" t="s">
        <v>442</v>
      </c>
      <c r="E13883" t="s">
        <v>441</v>
      </c>
      <c r="F13883">
        <v>1E-3</v>
      </c>
      <c r="H13883" t="s">
        <v>8581</v>
      </c>
      <c r="I13883">
        <v>730</v>
      </c>
      <c r="J13883" t="s">
        <v>450</v>
      </c>
      <c r="K13883" t="s">
        <v>446</v>
      </c>
      <c r="M13883">
        <v>0</v>
      </c>
    </row>
    <row r="13884" spans="1:13">
      <c r="A13884">
        <v>86274900</v>
      </c>
      <c r="B13884">
        <v>2003016</v>
      </c>
      <c r="C13884" t="s">
        <v>6857</v>
      </c>
      <c r="D13884" t="s">
        <v>442</v>
      </c>
      <c r="E13884" t="s">
        <v>441</v>
      </c>
      <c r="F13884">
        <v>1E-3</v>
      </c>
      <c r="H13884" t="s">
        <v>8581</v>
      </c>
      <c r="I13884">
        <v>730</v>
      </c>
      <c r="J13884" t="s">
        <v>450</v>
      </c>
      <c r="K13884" t="s">
        <v>446</v>
      </c>
      <c r="M13884">
        <v>0</v>
      </c>
    </row>
    <row r="13885" spans="1:13">
      <c r="A13885">
        <v>86275000</v>
      </c>
      <c r="B13885">
        <v>2003017</v>
      </c>
      <c r="C13885" t="s">
        <v>14055</v>
      </c>
      <c r="D13885" t="s">
        <v>442</v>
      </c>
      <c r="E13885" t="s">
        <v>441</v>
      </c>
      <c r="F13885">
        <v>1E-3</v>
      </c>
      <c r="H13885" t="s">
        <v>8581</v>
      </c>
      <c r="I13885">
        <v>730</v>
      </c>
      <c r="J13885" t="s">
        <v>450</v>
      </c>
      <c r="K13885" t="s">
        <v>446</v>
      </c>
      <c r="M13885">
        <v>0</v>
      </c>
    </row>
    <row r="13886" spans="1:13">
      <c r="A13886">
        <v>86275100</v>
      </c>
      <c r="B13886">
        <v>2003018</v>
      </c>
      <c r="C13886" t="s">
        <v>6858</v>
      </c>
      <c r="D13886" t="s">
        <v>442</v>
      </c>
      <c r="E13886" t="s">
        <v>441</v>
      </c>
      <c r="F13886">
        <v>1E-3</v>
      </c>
      <c r="G13886">
        <v>0</v>
      </c>
      <c r="H13886" t="s">
        <v>8581</v>
      </c>
      <c r="I13886">
        <v>730</v>
      </c>
      <c r="J13886" t="s">
        <v>450</v>
      </c>
      <c r="K13886" t="s">
        <v>446</v>
      </c>
      <c r="M13886">
        <v>0</v>
      </c>
    </row>
    <row r="13887" spans="1:13">
      <c r="A13887">
        <v>86275300</v>
      </c>
      <c r="B13887">
        <v>2003019</v>
      </c>
      <c r="C13887" t="s">
        <v>6859</v>
      </c>
      <c r="D13887" t="s">
        <v>442</v>
      </c>
      <c r="E13887" t="s">
        <v>441</v>
      </c>
      <c r="F13887">
        <v>1E-3</v>
      </c>
      <c r="H13887" t="s">
        <v>8581</v>
      </c>
      <c r="I13887">
        <v>730</v>
      </c>
      <c r="J13887" t="s">
        <v>450</v>
      </c>
      <c r="K13887" t="s">
        <v>446</v>
      </c>
      <c r="M13887">
        <v>0</v>
      </c>
    </row>
    <row r="13888" spans="1:13">
      <c r="A13888">
        <v>86275500</v>
      </c>
      <c r="B13888">
        <v>2003020</v>
      </c>
      <c r="C13888" t="s">
        <v>6860</v>
      </c>
      <c r="D13888" t="s">
        <v>442</v>
      </c>
      <c r="E13888" t="s">
        <v>441</v>
      </c>
      <c r="F13888">
        <v>1E-3</v>
      </c>
      <c r="H13888" t="s">
        <v>8581</v>
      </c>
      <c r="I13888">
        <v>730</v>
      </c>
      <c r="J13888" t="s">
        <v>450</v>
      </c>
      <c r="K13888" t="s">
        <v>446</v>
      </c>
      <c r="M13888">
        <v>0</v>
      </c>
    </row>
    <row r="13889" spans="1:13">
      <c r="A13889">
        <v>86276200</v>
      </c>
      <c r="B13889">
        <v>2003021</v>
      </c>
      <c r="C13889" t="s">
        <v>6861</v>
      </c>
      <c r="D13889" t="s">
        <v>442</v>
      </c>
      <c r="E13889" t="s">
        <v>441</v>
      </c>
      <c r="F13889">
        <v>1E-3</v>
      </c>
      <c r="H13889" t="s">
        <v>8581</v>
      </c>
      <c r="I13889">
        <v>730</v>
      </c>
      <c r="J13889" t="s">
        <v>450</v>
      </c>
      <c r="K13889" t="s">
        <v>446</v>
      </c>
      <c r="M13889">
        <v>0</v>
      </c>
    </row>
    <row r="13890" spans="1:13">
      <c r="A13890">
        <v>86276400</v>
      </c>
      <c r="B13890">
        <v>2003022</v>
      </c>
      <c r="C13890" t="s">
        <v>6862</v>
      </c>
      <c r="D13890" t="s">
        <v>442</v>
      </c>
      <c r="E13890" t="s">
        <v>441</v>
      </c>
      <c r="F13890">
        <v>1E-3</v>
      </c>
      <c r="H13890" t="s">
        <v>8581</v>
      </c>
      <c r="I13890">
        <v>730</v>
      </c>
      <c r="J13890" t="s">
        <v>450</v>
      </c>
      <c r="K13890" t="s">
        <v>446</v>
      </c>
      <c r="M13890">
        <v>0</v>
      </c>
    </row>
    <row r="13891" spans="1:13">
      <c r="A13891">
        <v>86276900</v>
      </c>
      <c r="B13891">
        <v>2003023</v>
      </c>
      <c r="C13891" t="s">
        <v>6863</v>
      </c>
      <c r="D13891" t="s">
        <v>442</v>
      </c>
      <c r="E13891" t="s">
        <v>441</v>
      </c>
      <c r="F13891">
        <v>1E-3</v>
      </c>
      <c r="H13891" t="s">
        <v>8581</v>
      </c>
      <c r="I13891">
        <v>730</v>
      </c>
      <c r="J13891" t="s">
        <v>450</v>
      </c>
      <c r="K13891" t="s">
        <v>446</v>
      </c>
      <c r="M13891">
        <v>0</v>
      </c>
    </row>
    <row r="13892" spans="1:13">
      <c r="A13892">
        <v>86277300</v>
      </c>
      <c r="B13892">
        <v>2003024</v>
      </c>
      <c r="C13892" t="s">
        <v>6864</v>
      </c>
      <c r="D13892" t="s">
        <v>442</v>
      </c>
      <c r="E13892" t="s">
        <v>441</v>
      </c>
      <c r="F13892">
        <v>1E-3</v>
      </c>
      <c r="H13892" t="s">
        <v>8581</v>
      </c>
      <c r="I13892">
        <v>730</v>
      </c>
      <c r="J13892" t="s">
        <v>450</v>
      </c>
      <c r="K13892" t="s">
        <v>446</v>
      </c>
      <c r="M13892">
        <v>0</v>
      </c>
    </row>
    <row r="13893" spans="1:13">
      <c r="A13893">
        <v>86277400</v>
      </c>
      <c r="B13893">
        <v>2003025</v>
      </c>
      <c r="C13893" t="s">
        <v>6865</v>
      </c>
      <c r="D13893" t="s">
        <v>442</v>
      </c>
      <c r="E13893" t="s">
        <v>441</v>
      </c>
      <c r="F13893">
        <v>1E-3</v>
      </c>
      <c r="G13893">
        <v>0</v>
      </c>
      <c r="H13893" t="s">
        <v>8581</v>
      </c>
      <c r="I13893">
        <v>730</v>
      </c>
      <c r="J13893" t="s">
        <v>450</v>
      </c>
      <c r="K13893" t="s">
        <v>446</v>
      </c>
      <c r="M13893">
        <v>0</v>
      </c>
    </row>
    <row r="13894" spans="1:13">
      <c r="A13894">
        <v>86277600</v>
      </c>
      <c r="B13894">
        <v>2003026</v>
      </c>
      <c r="C13894" t="s">
        <v>6866</v>
      </c>
      <c r="D13894" t="s">
        <v>442</v>
      </c>
      <c r="E13894" t="s">
        <v>441</v>
      </c>
      <c r="F13894">
        <v>1E-3</v>
      </c>
      <c r="H13894" t="s">
        <v>8581</v>
      </c>
      <c r="I13894">
        <v>730</v>
      </c>
      <c r="J13894" t="s">
        <v>450</v>
      </c>
      <c r="K13894" t="s">
        <v>446</v>
      </c>
      <c r="M13894">
        <v>0</v>
      </c>
    </row>
    <row r="13895" spans="1:13">
      <c r="A13895">
        <v>86277700</v>
      </c>
      <c r="B13895">
        <v>2003027</v>
      </c>
      <c r="C13895" t="s">
        <v>17228</v>
      </c>
      <c r="D13895" t="s">
        <v>442</v>
      </c>
      <c r="E13895" t="s">
        <v>441</v>
      </c>
      <c r="F13895">
        <v>1E-3</v>
      </c>
      <c r="H13895" t="s">
        <v>8581</v>
      </c>
      <c r="I13895">
        <v>730</v>
      </c>
      <c r="J13895" t="s">
        <v>450</v>
      </c>
      <c r="M13895">
        <v>3122</v>
      </c>
    </row>
    <row r="13896" spans="1:13">
      <c r="A13896">
        <v>86277800</v>
      </c>
      <c r="B13896">
        <v>2003432</v>
      </c>
      <c r="C13896" t="s">
        <v>6867</v>
      </c>
      <c r="D13896" t="s">
        <v>442</v>
      </c>
      <c r="E13896" t="s">
        <v>441</v>
      </c>
      <c r="F13896">
        <v>1E-3</v>
      </c>
      <c r="H13896" t="s">
        <v>8584</v>
      </c>
      <c r="I13896">
        <v>720</v>
      </c>
      <c r="J13896" t="s">
        <v>450</v>
      </c>
      <c r="K13896" t="s">
        <v>446</v>
      </c>
      <c r="M13896">
        <v>0</v>
      </c>
    </row>
    <row r="13897" spans="1:13">
      <c r="A13897">
        <v>86277900</v>
      </c>
      <c r="B13897">
        <v>2003028</v>
      </c>
      <c r="C13897" t="s">
        <v>6868</v>
      </c>
      <c r="D13897" t="s">
        <v>442</v>
      </c>
      <c r="E13897" t="s">
        <v>441</v>
      </c>
      <c r="F13897">
        <v>1E-3</v>
      </c>
      <c r="H13897" t="s">
        <v>8581</v>
      </c>
      <c r="I13897">
        <v>730</v>
      </c>
      <c r="J13897" t="s">
        <v>450</v>
      </c>
      <c r="K13897" t="s">
        <v>446</v>
      </c>
      <c r="M13897">
        <v>0</v>
      </c>
    </row>
    <row r="13898" spans="1:13">
      <c r="A13898">
        <v>86278000</v>
      </c>
      <c r="B13898">
        <v>2003029</v>
      </c>
      <c r="C13898" t="s">
        <v>6869</v>
      </c>
      <c r="D13898" t="s">
        <v>442</v>
      </c>
      <c r="E13898" t="s">
        <v>441</v>
      </c>
      <c r="F13898">
        <v>1E-3</v>
      </c>
      <c r="H13898" t="s">
        <v>8581</v>
      </c>
      <c r="I13898">
        <v>730</v>
      </c>
      <c r="J13898" t="s">
        <v>450</v>
      </c>
      <c r="K13898" t="s">
        <v>446</v>
      </c>
      <c r="M13898">
        <v>0</v>
      </c>
    </row>
    <row r="13899" spans="1:13">
      <c r="A13899">
        <v>86278200</v>
      </c>
      <c r="B13899">
        <v>2003030</v>
      </c>
      <c r="C13899" t="s">
        <v>6870</v>
      </c>
      <c r="D13899" t="s">
        <v>442</v>
      </c>
      <c r="E13899" t="s">
        <v>441</v>
      </c>
      <c r="F13899">
        <v>1E-3</v>
      </c>
      <c r="H13899" t="s">
        <v>8581</v>
      </c>
      <c r="I13899">
        <v>730</v>
      </c>
      <c r="J13899" t="s">
        <v>450</v>
      </c>
      <c r="K13899" t="s">
        <v>446</v>
      </c>
      <c r="M13899">
        <v>0</v>
      </c>
    </row>
    <row r="13900" spans="1:13">
      <c r="A13900">
        <v>86278400</v>
      </c>
      <c r="B13900">
        <v>2003031</v>
      </c>
      <c r="C13900" t="s">
        <v>6871</v>
      </c>
      <c r="D13900" t="s">
        <v>442</v>
      </c>
      <c r="E13900" t="s">
        <v>441</v>
      </c>
      <c r="F13900">
        <v>1E-3</v>
      </c>
      <c r="H13900" t="s">
        <v>8581</v>
      </c>
      <c r="I13900">
        <v>730</v>
      </c>
      <c r="J13900" t="s">
        <v>450</v>
      </c>
      <c r="K13900" t="s">
        <v>446</v>
      </c>
      <c r="M13900">
        <v>0</v>
      </c>
    </row>
    <row r="13901" spans="1:13">
      <c r="A13901">
        <v>86278700</v>
      </c>
      <c r="B13901">
        <v>2003032</v>
      </c>
      <c r="C13901" t="s">
        <v>6872</v>
      </c>
      <c r="D13901" t="s">
        <v>442</v>
      </c>
      <c r="E13901" t="s">
        <v>441</v>
      </c>
      <c r="F13901">
        <v>1E-3</v>
      </c>
      <c r="H13901" t="s">
        <v>8581</v>
      </c>
      <c r="I13901">
        <v>720</v>
      </c>
      <c r="J13901" t="s">
        <v>450</v>
      </c>
      <c r="K13901" t="s">
        <v>446</v>
      </c>
      <c r="M13901">
        <v>0</v>
      </c>
    </row>
    <row r="13902" spans="1:13">
      <c r="A13902">
        <v>86278900</v>
      </c>
      <c r="B13902">
        <v>2003033</v>
      </c>
      <c r="C13902" t="s">
        <v>6873</v>
      </c>
      <c r="D13902" t="s">
        <v>442</v>
      </c>
      <c r="E13902" t="s">
        <v>441</v>
      </c>
      <c r="F13902">
        <v>1E-3</v>
      </c>
      <c r="H13902" t="s">
        <v>8581</v>
      </c>
      <c r="I13902">
        <v>730</v>
      </c>
      <c r="J13902" t="s">
        <v>450</v>
      </c>
      <c r="K13902" t="s">
        <v>446</v>
      </c>
      <c r="M13902">
        <v>0</v>
      </c>
    </row>
    <row r="13903" spans="1:13">
      <c r="A13903">
        <v>86279000</v>
      </c>
      <c r="B13903">
        <v>2003034</v>
      </c>
      <c r="C13903" t="s">
        <v>6874</v>
      </c>
      <c r="D13903" t="s">
        <v>442</v>
      </c>
      <c r="E13903" t="s">
        <v>441</v>
      </c>
      <c r="F13903">
        <v>1E-3</v>
      </c>
      <c r="H13903" t="s">
        <v>8581</v>
      </c>
      <c r="I13903">
        <v>730</v>
      </c>
      <c r="J13903" t="s">
        <v>450</v>
      </c>
      <c r="K13903" t="s">
        <v>446</v>
      </c>
      <c r="M13903">
        <v>0</v>
      </c>
    </row>
    <row r="13904" spans="1:13">
      <c r="A13904">
        <v>86279500</v>
      </c>
      <c r="B13904">
        <v>2003554</v>
      </c>
      <c r="C13904" t="s">
        <v>6875</v>
      </c>
      <c r="D13904" t="s">
        <v>442</v>
      </c>
      <c r="E13904" t="s">
        <v>441</v>
      </c>
      <c r="F13904">
        <v>1E-3</v>
      </c>
      <c r="H13904" t="s">
        <v>8584</v>
      </c>
      <c r="I13904">
        <v>730</v>
      </c>
      <c r="J13904" t="s">
        <v>450</v>
      </c>
      <c r="K13904" t="s">
        <v>446</v>
      </c>
      <c r="M13904">
        <v>0</v>
      </c>
    </row>
    <row r="13905" spans="1:13">
      <c r="A13905">
        <v>86279700</v>
      </c>
      <c r="B13905">
        <v>2003035</v>
      </c>
      <c r="C13905" t="s">
        <v>6876</v>
      </c>
      <c r="D13905" t="s">
        <v>442</v>
      </c>
      <c r="E13905" t="s">
        <v>441</v>
      </c>
      <c r="F13905">
        <v>1E-3</v>
      </c>
      <c r="H13905" t="s">
        <v>8581</v>
      </c>
      <c r="I13905">
        <v>730</v>
      </c>
      <c r="J13905" t="s">
        <v>450</v>
      </c>
      <c r="K13905" t="s">
        <v>446</v>
      </c>
      <c r="M13905">
        <v>0</v>
      </c>
    </row>
    <row r="13906" spans="1:13">
      <c r="A13906">
        <v>86279800</v>
      </c>
      <c r="B13906">
        <v>2003555</v>
      </c>
      <c r="C13906" t="s">
        <v>6877</v>
      </c>
      <c r="D13906" t="s">
        <v>442</v>
      </c>
      <c r="E13906" t="s">
        <v>441</v>
      </c>
      <c r="F13906">
        <v>1E-3</v>
      </c>
      <c r="H13906" t="s">
        <v>8584</v>
      </c>
      <c r="I13906">
        <v>730</v>
      </c>
      <c r="J13906" t="s">
        <v>450</v>
      </c>
      <c r="K13906" t="s">
        <v>446</v>
      </c>
      <c r="M13906">
        <v>0</v>
      </c>
    </row>
    <row r="13907" spans="1:13">
      <c r="A13907">
        <v>86280000</v>
      </c>
      <c r="B13907">
        <v>2003036</v>
      </c>
      <c r="C13907" t="s">
        <v>14056</v>
      </c>
      <c r="D13907" t="s">
        <v>442</v>
      </c>
      <c r="E13907" t="s">
        <v>441</v>
      </c>
      <c r="F13907">
        <v>1E-3</v>
      </c>
      <c r="H13907" t="s">
        <v>8581</v>
      </c>
      <c r="I13907">
        <v>730</v>
      </c>
      <c r="J13907" t="s">
        <v>450</v>
      </c>
      <c r="K13907" t="s">
        <v>446</v>
      </c>
      <c r="M13907">
        <v>0</v>
      </c>
    </row>
    <row r="13908" spans="1:13">
      <c r="A13908">
        <v>86280300</v>
      </c>
      <c r="B13908">
        <v>2003037</v>
      </c>
      <c r="C13908" t="s">
        <v>6878</v>
      </c>
      <c r="D13908" t="s">
        <v>442</v>
      </c>
      <c r="E13908" t="s">
        <v>441</v>
      </c>
      <c r="F13908">
        <v>1E-3</v>
      </c>
      <c r="H13908" t="s">
        <v>8581</v>
      </c>
      <c r="I13908">
        <v>730</v>
      </c>
      <c r="J13908" t="s">
        <v>450</v>
      </c>
      <c r="K13908" t="s">
        <v>446</v>
      </c>
      <c r="M13908">
        <v>0</v>
      </c>
    </row>
    <row r="13909" spans="1:13">
      <c r="A13909">
        <v>86280400</v>
      </c>
      <c r="B13909">
        <v>2003038</v>
      </c>
      <c r="C13909" t="s">
        <v>6879</v>
      </c>
      <c r="D13909" t="s">
        <v>442</v>
      </c>
      <c r="E13909" t="s">
        <v>441</v>
      </c>
      <c r="F13909">
        <v>1E-3</v>
      </c>
      <c r="H13909" t="s">
        <v>8581</v>
      </c>
      <c r="I13909">
        <v>730</v>
      </c>
      <c r="J13909" t="s">
        <v>450</v>
      </c>
      <c r="K13909" t="s">
        <v>446</v>
      </c>
      <c r="M13909">
        <v>0</v>
      </c>
    </row>
    <row r="13910" spans="1:13">
      <c r="A13910">
        <v>86281400</v>
      </c>
      <c r="B13910">
        <v>2003039</v>
      </c>
      <c r="C13910" t="s">
        <v>6880</v>
      </c>
      <c r="D13910" t="s">
        <v>442</v>
      </c>
      <c r="E13910" t="s">
        <v>441</v>
      </c>
      <c r="F13910">
        <v>1E-3</v>
      </c>
      <c r="H13910" t="s">
        <v>8581</v>
      </c>
      <c r="I13910">
        <v>730</v>
      </c>
      <c r="J13910" t="s">
        <v>450</v>
      </c>
      <c r="K13910" t="s">
        <v>446</v>
      </c>
      <c r="M13910">
        <v>0</v>
      </c>
    </row>
    <row r="13911" spans="1:13">
      <c r="A13911">
        <v>86281500</v>
      </c>
      <c r="B13911">
        <v>2003040</v>
      </c>
      <c r="C13911" t="s">
        <v>6881</v>
      </c>
      <c r="D13911" t="s">
        <v>442</v>
      </c>
      <c r="E13911" t="s">
        <v>441</v>
      </c>
      <c r="F13911">
        <v>1E-3</v>
      </c>
      <c r="H13911" t="s">
        <v>8581</v>
      </c>
      <c r="I13911">
        <v>730</v>
      </c>
      <c r="J13911" t="s">
        <v>450</v>
      </c>
      <c r="K13911" t="s">
        <v>446</v>
      </c>
      <c r="M13911">
        <v>0</v>
      </c>
    </row>
    <row r="13912" spans="1:13">
      <c r="A13912">
        <v>86281600</v>
      </c>
      <c r="B13912">
        <v>2003041</v>
      </c>
      <c r="C13912" t="s">
        <v>6882</v>
      </c>
      <c r="D13912" t="s">
        <v>442</v>
      </c>
      <c r="E13912" t="s">
        <v>441</v>
      </c>
      <c r="F13912">
        <v>1E-3</v>
      </c>
      <c r="H13912" t="s">
        <v>8581</v>
      </c>
      <c r="I13912">
        <v>730</v>
      </c>
      <c r="J13912" t="s">
        <v>450</v>
      </c>
      <c r="K13912" t="s">
        <v>446</v>
      </c>
      <c r="M13912">
        <v>0</v>
      </c>
    </row>
    <row r="13913" spans="1:13">
      <c r="A13913">
        <v>86281700</v>
      </c>
      <c r="B13913">
        <v>2003042</v>
      </c>
      <c r="C13913" t="s">
        <v>6883</v>
      </c>
      <c r="D13913" t="s">
        <v>442</v>
      </c>
      <c r="E13913" t="s">
        <v>441</v>
      </c>
      <c r="F13913">
        <v>1E-3</v>
      </c>
      <c r="H13913" t="s">
        <v>8581</v>
      </c>
      <c r="I13913">
        <v>730</v>
      </c>
      <c r="J13913" t="s">
        <v>450</v>
      </c>
      <c r="K13913" t="s">
        <v>446</v>
      </c>
      <c r="M13913">
        <v>0</v>
      </c>
    </row>
    <row r="13914" spans="1:13">
      <c r="A13914">
        <v>86281800</v>
      </c>
      <c r="B13914">
        <v>2003043</v>
      </c>
      <c r="C13914" t="s">
        <v>14057</v>
      </c>
      <c r="D13914" t="s">
        <v>442</v>
      </c>
      <c r="E13914" t="s">
        <v>441</v>
      </c>
      <c r="F13914">
        <v>1E-3</v>
      </c>
      <c r="H13914" t="s">
        <v>8581</v>
      </c>
      <c r="I13914">
        <v>730</v>
      </c>
      <c r="J13914" t="s">
        <v>450</v>
      </c>
      <c r="K13914" t="s">
        <v>446</v>
      </c>
      <c r="M13914">
        <v>0</v>
      </c>
    </row>
    <row r="13915" spans="1:13">
      <c r="A13915">
        <v>86281900</v>
      </c>
      <c r="B13915">
        <v>2003044</v>
      </c>
      <c r="C13915" t="s">
        <v>6884</v>
      </c>
      <c r="D13915" t="s">
        <v>442</v>
      </c>
      <c r="E13915" t="s">
        <v>441</v>
      </c>
      <c r="F13915">
        <v>1E-3</v>
      </c>
      <c r="H13915" t="s">
        <v>8581</v>
      </c>
      <c r="I13915">
        <v>730</v>
      </c>
      <c r="J13915" t="s">
        <v>450</v>
      </c>
      <c r="K13915" t="s">
        <v>446</v>
      </c>
      <c r="M13915">
        <v>0</v>
      </c>
    </row>
    <row r="13916" spans="1:13">
      <c r="A13916">
        <v>86282200</v>
      </c>
      <c r="B13916">
        <v>2003045</v>
      </c>
      <c r="C13916" t="s">
        <v>6885</v>
      </c>
      <c r="D13916" t="s">
        <v>442</v>
      </c>
      <c r="E13916" t="s">
        <v>441</v>
      </c>
      <c r="F13916">
        <v>1E-3</v>
      </c>
      <c r="H13916" t="s">
        <v>8581</v>
      </c>
      <c r="I13916">
        <v>730</v>
      </c>
      <c r="J13916" t="s">
        <v>450</v>
      </c>
      <c r="K13916" t="s">
        <v>446</v>
      </c>
      <c r="M13916">
        <v>0</v>
      </c>
    </row>
    <row r="13917" spans="1:13">
      <c r="A13917">
        <v>86282400</v>
      </c>
      <c r="B13917">
        <v>2003046</v>
      </c>
      <c r="C13917" t="s">
        <v>6886</v>
      </c>
      <c r="D13917" t="s">
        <v>442</v>
      </c>
      <c r="E13917" t="s">
        <v>441</v>
      </c>
      <c r="F13917">
        <v>1E-3</v>
      </c>
      <c r="H13917" t="s">
        <v>8581</v>
      </c>
      <c r="I13917">
        <v>730</v>
      </c>
      <c r="J13917" t="s">
        <v>450</v>
      </c>
      <c r="K13917" t="s">
        <v>446</v>
      </c>
      <c r="M13917">
        <v>0</v>
      </c>
    </row>
    <row r="13918" spans="1:13">
      <c r="A13918">
        <v>86282500</v>
      </c>
      <c r="B13918">
        <v>2003047</v>
      </c>
      <c r="C13918" t="s">
        <v>6887</v>
      </c>
      <c r="D13918" t="s">
        <v>442</v>
      </c>
      <c r="E13918" t="s">
        <v>441</v>
      </c>
      <c r="F13918">
        <v>1E-3</v>
      </c>
      <c r="H13918" t="s">
        <v>8581</v>
      </c>
      <c r="I13918">
        <v>730</v>
      </c>
      <c r="J13918" t="s">
        <v>450</v>
      </c>
      <c r="K13918" t="s">
        <v>446</v>
      </c>
      <c r="M13918">
        <v>0</v>
      </c>
    </row>
    <row r="13919" spans="1:13">
      <c r="A13919">
        <v>86282800</v>
      </c>
      <c r="B13919">
        <v>2003048</v>
      </c>
      <c r="C13919" t="s">
        <v>6888</v>
      </c>
      <c r="D13919" t="s">
        <v>442</v>
      </c>
      <c r="E13919" t="s">
        <v>441</v>
      </c>
      <c r="F13919">
        <v>1E-3</v>
      </c>
      <c r="H13919" t="s">
        <v>8581</v>
      </c>
      <c r="I13919">
        <v>730</v>
      </c>
      <c r="J13919" t="s">
        <v>450</v>
      </c>
      <c r="K13919" t="s">
        <v>446</v>
      </c>
      <c r="M13919">
        <v>0</v>
      </c>
    </row>
    <row r="13920" spans="1:13">
      <c r="A13920">
        <v>86283000</v>
      </c>
      <c r="B13920">
        <v>2003049</v>
      </c>
      <c r="C13920" t="s">
        <v>6889</v>
      </c>
      <c r="D13920" t="s">
        <v>442</v>
      </c>
      <c r="E13920" t="s">
        <v>441</v>
      </c>
      <c r="F13920">
        <v>1E-3</v>
      </c>
      <c r="H13920" t="s">
        <v>8581</v>
      </c>
      <c r="I13920">
        <v>730</v>
      </c>
      <c r="J13920" t="s">
        <v>450</v>
      </c>
      <c r="K13920" t="s">
        <v>446</v>
      </c>
      <c r="M13920">
        <v>0</v>
      </c>
    </row>
    <row r="13921" spans="1:13">
      <c r="A13921">
        <v>86283100</v>
      </c>
      <c r="B13921">
        <v>2003050</v>
      </c>
      <c r="C13921" t="s">
        <v>6890</v>
      </c>
      <c r="D13921" t="s">
        <v>442</v>
      </c>
      <c r="E13921" t="s">
        <v>441</v>
      </c>
      <c r="F13921">
        <v>1E-3</v>
      </c>
      <c r="H13921" t="s">
        <v>8581</v>
      </c>
      <c r="I13921">
        <v>730</v>
      </c>
      <c r="J13921" t="s">
        <v>450</v>
      </c>
      <c r="K13921" t="s">
        <v>446</v>
      </c>
      <c r="M13921">
        <v>0</v>
      </c>
    </row>
    <row r="13922" spans="1:13">
      <c r="A13922">
        <v>86283200</v>
      </c>
      <c r="B13922">
        <v>2003051</v>
      </c>
      <c r="C13922" t="s">
        <v>6891</v>
      </c>
      <c r="D13922" t="s">
        <v>442</v>
      </c>
      <c r="E13922" t="s">
        <v>441</v>
      </c>
      <c r="F13922">
        <v>1E-3</v>
      </c>
      <c r="H13922" t="s">
        <v>8581</v>
      </c>
      <c r="I13922">
        <v>730</v>
      </c>
      <c r="J13922" t="s">
        <v>450</v>
      </c>
      <c r="K13922" t="s">
        <v>446</v>
      </c>
      <c r="M13922">
        <v>0</v>
      </c>
    </row>
    <row r="13923" spans="1:13">
      <c r="A13923">
        <v>86283400</v>
      </c>
      <c r="B13923">
        <v>2003052</v>
      </c>
      <c r="C13923" t="s">
        <v>6892</v>
      </c>
      <c r="D13923" t="s">
        <v>442</v>
      </c>
      <c r="E13923" t="s">
        <v>441</v>
      </c>
      <c r="F13923">
        <v>1E-3</v>
      </c>
      <c r="H13923" t="s">
        <v>8581</v>
      </c>
      <c r="I13923">
        <v>730</v>
      </c>
      <c r="J13923" t="s">
        <v>450</v>
      </c>
      <c r="K13923" t="s">
        <v>446</v>
      </c>
      <c r="M13923">
        <v>0</v>
      </c>
    </row>
    <row r="13924" spans="1:13">
      <c r="A13924">
        <v>86283500</v>
      </c>
      <c r="B13924">
        <v>2003053</v>
      </c>
      <c r="C13924" t="s">
        <v>6893</v>
      </c>
      <c r="D13924" t="s">
        <v>442</v>
      </c>
      <c r="E13924" t="s">
        <v>441</v>
      </c>
      <c r="F13924">
        <v>1E-3</v>
      </c>
      <c r="H13924" t="s">
        <v>8581</v>
      </c>
      <c r="I13924">
        <v>730</v>
      </c>
      <c r="J13924" t="s">
        <v>450</v>
      </c>
      <c r="K13924" t="s">
        <v>446</v>
      </c>
      <c r="M13924">
        <v>0</v>
      </c>
    </row>
    <row r="13925" spans="1:13">
      <c r="A13925">
        <v>86283700</v>
      </c>
      <c r="B13925">
        <v>2003054</v>
      </c>
      <c r="C13925" t="s">
        <v>6894</v>
      </c>
      <c r="D13925" t="s">
        <v>442</v>
      </c>
      <c r="E13925" t="s">
        <v>441</v>
      </c>
      <c r="F13925">
        <v>1E-3</v>
      </c>
      <c r="H13925" t="s">
        <v>8581</v>
      </c>
      <c r="I13925">
        <v>730</v>
      </c>
      <c r="J13925" t="s">
        <v>450</v>
      </c>
      <c r="K13925" t="s">
        <v>446</v>
      </c>
      <c r="M13925">
        <v>0</v>
      </c>
    </row>
    <row r="13926" spans="1:13">
      <c r="A13926">
        <v>86283800</v>
      </c>
      <c r="B13926">
        <v>2003055</v>
      </c>
      <c r="C13926" t="s">
        <v>6895</v>
      </c>
      <c r="D13926" t="s">
        <v>442</v>
      </c>
      <c r="E13926" t="s">
        <v>441</v>
      </c>
      <c r="F13926">
        <v>1E-3</v>
      </c>
      <c r="H13926" t="s">
        <v>8581</v>
      </c>
      <c r="I13926">
        <v>730</v>
      </c>
      <c r="J13926" t="s">
        <v>450</v>
      </c>
      <c r="K13926" t="s">
        <v>446</v>
      </c>
      <c r="M13926">
        <v>0</v>
      </c>
    </row>
    <row r="13927" spans="1:13">
      <c r="A13927">
        <v>86283900</v>
      </c>
      <c r="B13927">
        <v>2003056</v>
      </c>
      <c r="C13927" t="s">
        <v>6896</v>
      </c>
      <c r="D13927" t="s">
        <v>442</v>
      </c>
      <c r="E13927" t="s">
        <v>441</v>
      </c>
      <c r="F13927">
        <v>1E-3</v>
      </c>
      <c r="H13927" t="s">
        <v>8581</v>
      </c>
      <c r="I13927">
        <v>730</v>
      </c>
      <c r="J13927" t="s">
        <v>450</v>
      </c>
      <c r="K13927" t="s">
        <v>446</v>
      </c>
      <c r="M13927">
        <v>0</v>
      </c>
    </row>
    <row r="13928" spans="1:13">
      <c r="A13928">
        <v>86284000</v>
      </c>
      <c r="B13928">
        <v>2003057</v>
      </c>
      <c r="C13928" t="s">
        <v>6897</v>
      </c>
      <c r="D13928" t="s">
        <v>442</v>
      </c>
      <c r="E13928" t="s">
        <v>441</v>
      </c>
      <c r="F13928">
        <v>1E-3</v>
      </c>
      <c r="H13928" t="s">
        <v>8581</v>
      </c>
      <c r="I13928">
        <v>730</v>
      </c>
      <c r="J13928" t="s">
        <v>450</v>
      </c>
      <c r="K13928" t="s">
        <v>446</v>
      </c>
      <c r="M13928">
        <v>0</v>
      </c>
    </row>
    <row r="13929" spans="1:13">
      <c r="A13929">
        <v>86284500</v>
      </c>
      <c r="B13929">
        <v>2003058</v>
      </c>
      <c r="C13929" t="s">
        <v>6898</v>
      </c>
      <c r="D13929" t="s">
        <v>442</v>
      </c>
      <c r="E13929" t="s">
        <v>441</v>
      </c>
      <c r="F13929">
        <v>1E-3</v>
      </c>
      <c r="H13929" t="s">
        <v>8581</v>
      </c>
      <c r="I13929">
        <v>730</v>
      </c>
      <c r="J13929" t="s">
        <v>450</v>
      </c>
      <c r="K13929" t="s">
        <v>446</v>
      </c>
      <c r="M13929">
        <v>0</v>
      </c>
    </row>
    <row r="13930" spans="1:13">
      <c r="A13930">
        <v>86284600</v>
      </c>
      <c r="B13930">
        <v>2003059</v>
      </c>
      <c r="C13930" t="s">
        <v>6899</v>
      </c>
      <c r="D13930" t="s">
        <v>442</v>
      </c>
      <c r="E13930" t="s">
        <v>441</v>
      </c>
      <c r="F13930">
        <v>1E-3</v>
      </c>
      <c r="H13930" t="s">
        <v>8581</v>
      </c>
      <c r="I13930">
        <v>730</v>
      </c>
      <c r="J13930" t="s">
        <v>450</v>
      </c>
      <c r="K13930" t="s">
        <v>446</v>
      </c>
      <c r="M13930">
        <v>0</v>
      </c>
    </row>
    <row r="13931" spans="1:13">
      <c r="A13931">
        <v>86284700</v>
      </c>
      <c r="B13931">
        <v>2003060</v>
      </c>
      <c r="C13931" t="s">
        <v>6900</v>
      </c>
      <c r="D13931" t="s">
        <v>442</v>
      </c>
      <c r="E13931" t="s">
        <v>441</v>
      </c>
      <c r="F13931">
        <v>1E-3</v>
      </c>
      <c r="H13931" t="s">
        <v>8581</v>
      </c>
      <c r="I13931">
        <v>730</v>
      </c>
      <c r="J13931" t="s">
        <v>450</v>
      </c>
      <c r="K13931" t="s">
        <v>446</v>
      </c>
      <c r="M13931">
        <v>0</v>
      </c>
    </row>
    <row r="13932" spans="1:13">
      <c r="A13932">
        <v>86284800</v>
      </c>
      <c r="B13932">
        <v>2003061</v>
      </c>
      <c r="C13932" t="s">
        <v>6901</v>
      </c>
      <c r="D13932" t="s">
        <v>442</v>
      </c>
      <c r="E13932" t="s">
        <v>441</v>
      </c>
      <c r="F13932">
        <v>1E-3</v>
      </c>
      <c r="H13932" t="s">
        <v>8581</v>
      </c>
      <c r="I13932">
        <v>730</v>
      </c>
      <c r="J13932" t="s">
        <v>450</v>
      </c>
      <c r="K13932" t="s">
        <v>446</v>
      </c>
      <c r="M13932">
        <v>0</v>
      </c>
    </row>
    <row r="13933" spans="1:13">
      <c r="A13933">
        <v>86284900</v>
      </c>
      <c r="B13933">
        <v>2003062</v>
      </c>
      <c r="C13933" t="s">
        <v>6902</v>
      </c>
      <c r="D13933" t="s">
        <v>442</v>
      </c>
      <c r="E13933" t="s">
        <v>441</v>
      </c>
      <c r="F13933">
        <v>1E-3</v>
      </c>
      <c r="H13933" t="s">
        <v>8581</v>
      </c>
      <c r="I13933">
        <v>730</v>
      </c>
      <c r="J13933" t="s">
        <v>450</v>
      </c>
      <c r="K13933" t="s">
        <v>446</v>
      </c>
      <c r="M13933">
        <v>0</v>
      </c>
    </row>
    <row r="13934" spans="1:13">
      <c r="A13934">
        <v>86285000</v>
      </c>
      <c r="B13934">
        <v>2003063</v>
      </c>
      <c r="C13934" t="s">
        <v>6903</v>
      </c>
      <c r="D13934" t="s">
        <v>442</v>
      </c>
      <c r="E13934" t="s">
        <v>441</v>
      </c>
      <c r="F13934">
        <v>1E-3</v>
      </c>
      <c r="H13934" t="s">
        <v>8581</v>
      </c>
      <c r="I13934">
        <v>730</v>
      </c>
      <c r="J13934" t="s">
        <v>450</v>
      </c>
      <c r="K13934" t="s">
        <v>446</v>
      </c>
      <c r="M13934">
        <v>0</v>
      </c>
    </row>
    <row r="13935" spans="1:13">
      <c r="A13935">
        <v>86285300</v>
      </c>
      <c r="B13935">
        <v>2003064</v>
      </c>
      <c r="C13935" t="s">
        <v>6904</v>
      </c>
      <c r="D13935" t="s">
        <v>442</v>
      </c>
      <c r="E13935" t="s">
        <v>441</v>
      </c>
      <c r="F13935">
        <v>1E-3</v>
      </c>
      <c r="H13935" t="s">
        <v>8581</v>
      </c>
      <c r="I13935">
        <v>730</v>
      </c>
      <c r="J13935" t="s">
        <v>450</v>
      </c>
      <c r="K13935" t="s">
        <v>446</v>
      </c>
      <c r="M13935">
        <v>0</v>
      </c>
    </row>
    <row r="13936" spans="1:13">
      <c r="A13936">
        <v>86286800</v>
      </c>
      <c r="B13936">
        <v>2003065</v>
      </c>
      <c r="C13936" t="s">
        <v>6905</v>
      </c>
      <c r="D13936" t="s">
        <v>442</v>
      </c>
      <c r="E13936" t="s">
        <v>441</v>
      </c>
      <c r="F13936">
        <v>1E-3</v>
      </c>
      <c r="H13936" t="s">
        <v>8581</v>
      </c>
      <c r="I13936">
        <v>730</v>
      </c>
      <c r="J13936" t="s">
        <v>450</v>
      </c>
      <c r="K13936" t="s">
        <v>446</v>
      </c>
      <c r="M13936">
        <v>0</v>
      </c>
    </row>
    <row r="13937" spans="1:13">
      <c r="A13937">
        <v>86286900</v>
      </c>
      <c r="B13937">
        <v>2003066</v>
      </c>
      <c r="C13937" t="s">
        <v>6906</v>
      </c>
      <c r="D13937" t="s">
        <v>442</v>
      </c>
      <c r="E13937" t="s">
        <v>441</v>
      </c>
      <c r="F13937">
        <v>1E-3</v>
      </c>
      <c r="H13937" t="s">
        <v>8581</v>
      </c>
      <c r="I13937">
        <v>730</v>
      </c>
      <c r="J13937" t="s">
        <v>450</v>
      </c>
      <c r="K13937" t="s">
        <v>446</v>
      </c>
      <c r="M13937">
        <v>0</v>
      </c>
    </row>
    <row r="13938" spans="1:13">
      <c r="A13938">
        <v>86287000</v>
      </c>
      <c r="B13938">
        <v>2003067</v>
      </c>
      <c r="C13938" t="s">
        <v>6907</v>
      </c>
      <c r="D13938" t="s">
        <v>442</v>
      </c>
      <c r="E13938" t="s">
        <v>441</v>
      </c>
      <c r="F13938">
        <v>1E-3</v>
      </c>
      <c r="H13938" t="s">
        <v>8581</v>
      </c>
      <c r="I13938">
        <v>730</v>
      </c>
      <c r="J13938" t="s">
        <v>450</v>
      </c>
      <c r="K13938" t="s">
        <v>446</v>
      </c>
      <c r="M13938">
        <v>0</v>
      </c>
    </row>
    <row r="13939" spans="1:13">
      <c r="A13939">
        <v>86287200</v>
      </c>
      <c r="B13939">
        <v>2003068</v>
      </c>
      <c r="C13939" t="s">
        <v>6908</v>
      </c>
      <c r="D13939" t="s">
        <v>442</v>
      </c>
      <c r="E13939" t="s">
        <v>441</v>
      </c>
      <c r="F13939">
        <v>1E-3</v>
      </c>
      <c r="H13939" t="s">
        <v>8581</v>
      </c>
      <c r="I13939">
        <v>730</v>
      </c>
      <c r="J13939" t="s">
        <v>450</v>
      </c>
      <c r="K13939" t="s">
        <v>446</v>
      </c>
      <c r="M13939">
        <v>0</v>
      </c>
    </row>
    <row r="13940" spans="1:13">
      <c r="A13940">
        <v>86287400</v>
      </c>
      <c r="B13940">
        <v>2003069</v>
      </c>
      <c r="C13940" t="s">
        <v>6909</v>
      </c>
      <c r="D13940" t="s">
        <v>442</v>
      </c>
      <c r="E13940" t="s">
        <v>441</v>
      </c>
      <c r="F13940">
        <v>1E-3</v>
      </c>
      <c r="H13940" t="s">
        <v>8581</v>
      </c>
      <c r="I13940">
        <v>730</v>
      </c>
      <c r="J13940" t="s">
        <v>450</v>
      </c>
      <c r="K13940" t="s">
        <v>446</v>
      </c>
      <c r="M13940">
        <v>0</v>
      </c>
    </row>
    <row r="13941" spans="1:13">
      <c r="A13941">
        <v>86287600</v>
      </c>
      <c r="B13941">
        <v>2003070</v>
      </c>
      <c r="C13941" t="s">
        <v>6910</v>
      </c>
      <c r="D13941" t="s">
        <v>442</v>
      </c>
      <c r="E13941" t="s">
        <v>441</v>
      </c>
      <c r="F13941">
        <v>1E-3</v>
      </c>
      <c r="H13941" t="s">
        <v>8581</v>
      </c>
      <c r="I13941">
        <v>730</v>
      </c>
      <c r="J13941" t="s">
        <v>450</v>
      </c>
      <c r="K13941" t="s">
        <v>446</v>
      </c>
      <c r="M13941">
        <v>0</v>
      </c>
    </row>
    <row r="13942" spans="1:13">
      <c r="A13942">
        <v>86287700</v>
      </c>
      <c r="B13942">
        <v>2003071</v>
      </c>
      <c r="C13942" t="s">
        <v>6911</v>
      </c>
      <c r="D13942" t="s">
        <v>442</v>
      </c>
      <c r="E13942" t="s">
        <v>441</v>
      </c>
      <c r="F13942">
        <v>1E-3</v>
      </c>
      <c r="H13942" t="s">
        <v>8581</v>
      </c>
      <c r="I13942">
        <v>730</v>
      </c>
      <c r="J13942" t="s">
        <v>450</v>
      </c>
      <c r="K13942" t="s">
        <v>446</v>
      </c>
      <c r="M13942">
        <v>0</v>
      </c>
    </row>
    <row r="13943" spans="1:13">
      <c r="A13943">
        <v>86287800</v>
      </c>
      <c r="B13943">
        <v>2003072</v>
      </c>
      <c r="C13943" t="s">
        <v>6912</v>
      </c>
      <c r="D13943" t="s">
        <v>442</v>
      </c>
      <c r="E13943" t="s">
        <v>441</v>
      </c>
      <c r="F13943">
        <v>1E-3</v>
      </c>
      <c r="H13943" t="s">
        <v>8581</v>
      </c>
      <c r="I13943">
        <v>730</v>
      </c>
      <c r="J13943" t="s">
        <v>450</v>
      </c>
      <c r="K13943" t="s">
        <v>446</v>
      </c>
      <c r="M13943">
        <v>0</v>
      </c>
    </row>
    <row r="13944" spans="1:13">
      <c r="A13944">
        <v>86288000</v>
      </c>
      <c r="B13944">
        <v>2003073</v>
      </c>
      <c r="C13944" t="s">
        <v>6913</v>
      </c>
      <c r="D13944" t="s">
        <v>442</v>
      </c>
      <c r="E13944" t="s">
        <v>441</v>
      </c>
      <c r="F13944">
        <v>1E-3</v>
      </c>
      <c r="H13944" t="s">
        <v>8581</v>
      </c>
      <c r="I13944">
        <v>730</v>
      </c>
      <c r="J13944" t="s">
        <v>450</v>
      </c>
      <c r="K13944" t="s">
        <v>446</v>
      </c>
      <c r="M13944">
        <v>0</v>
      </c>
    </row>
    <row r="13945" spans="1:13">
      <c r="A13945">
        <v>86288100</v>
      </c>
      <c r="B13945">
        <v>2003074</v>
      </c>
      <c r="C13945" t="s">
        <v>6914</v>
      </c>
      <c r="D13945" t="s">
        <v>442</v>
      </c>
      <c r="E13945" t="s">
        <v>441</v>
      </c>
      <c r="F13945">
        <v>1E-3</v>
      </c>
      <c r="H13945" t="s">
        <v>8581</v>
      </c>
      <c r="I13945">
        <v>730</v>
      </c>
      <c r="J13945" t="s">
        <v>450</v>
      </c>
      <c r="K13945" t="s">
        <v>446</v>
      </c>
      <c r="M13945">
        <v>0</v>
      </c>
    </row>
    <row r="13946" spans="1:13">
      <c r="A13946">
        <v>86288200</v>
      </c>
      <c r="B13946">
        <v>2003075</v>
      </c>
      <c r="C13946" t="s">
        <v>6915</v>
      </c>
      <c r="D13946" t="s">
        <v>442</v>
      </c>
      <c r="E13946" t="s">
        <v>441</v>
      </c>
      <c r="F13946">
        <v>1E-3</v>
      </c>
      <c r="H13946" t="s">
        <v>8581</v>
      </c>
      <c r="I13946">
        <v>730</v>
      </c>
      <c r="J13946" t="s">
        <v>450</v>
      </c>
      <c r="K13946" t="s">
        <v>446</v>
      </c>
      <c r="M13946">
        <v>0</v>
      </c>
    </row>
    <row r="13947" spans="1:13">
      <c r="A13947">
        <v>86288300</v>
      </c>
      <c r="B13947">
        <v>2003076</v>
      </c>
      <c r="C13947" t="s">
        <v>6916</v>
      </c>
      <c r="D13947" t="s">
        <v>442</v>
      </c>
      <c r="E13947" t="s">
        <v>441</v>
      </c>
      <c r="F13947">
        <v>1E-3</v>
      </c>
      <c r="H13947" t="s">
        <v>8581</v>
      </c>
      <c r="I13947">
        <v>730</v>
      </c>
      <c r="J13947" t="s">
        <v>450</v>
      </c>
      <c r="K13947" t="s">
        <v>446</v>
      </c>
      <c r="M13947">
        <v>0</v>
      </c>
    </row>
    <row r="13948" spans="1:13">
      <c r="A13948">
        <v>86288500</v>
      </c>
      <c r="B13948">
        <v>2003077</v>
      </c>
      <c r="C13948" t="s">
        <v>6917</v>
      </c>
      <c r="D13948" t="s">
        <v>442</v>
      </c>
      <c r="E13948" t="s">
        <v>441</v>
      </c>
      <c r="F13948">
        <v>1E-3</v>
      </c>
      <c r="H13948" t="s">
        <v>8581</v>
      </c>
      <c r="I13948">
        <v>730</v>
      </c>
      <c r="J13948" t="s">
        <v>450</v>
      </c>
      <c r="K13948" t="s">
        <v>446</v>
      </c>
      <c r="M13948">
        <v>0</v>
      </c>
    </row>
    <row r="13949" spans="1:13">
      <c r="A13949">
        <v>86288700</v>
      </c>
      <c r="B13949">
        <v>2003078</v>
      </c>
      <c r="C13949" t="s">
        <v>14058</v>
      </c>
      <c r="D13949" t="s">
        <v>442</v>
      </c>
      <c r="E13949" t="s">
        <v>441</v>
      </c>
      <c r="F13949">
        <v>1E-3</v>
      </c>
      <c r="H13949" t="s">
        <v>8581</v>
      </c>
      <c r="I13949">
        <v>730</v>
      </c>
      <c r="J13949" t="s">
        <v>450</v>
      </c>
      <c r="K13949" t="s">
        <v>446</v>
      </c>
      <c r="M13949">
        <v>0</v>
      </c>
    </row>
    <row r="13950" spans="1:13">
      <c r="A13950">
        <v>86288800</v>
      </c>
      <c r="B13950">
        <v>2003079</v>
      </c>
      <c r="C13950" t="s">
        <v>6918</v>
      </c>
      <c r="D13950" t="s">
        <v>442</v>
      </c>
      <c r="E13950" t="s">
        <v>441</v>
      </c>
      <c r="F13950">
        <v>1E-3</v>
      </c>
      <c r="H13950" t="s">
        <v>8581</v>
      </c>
      <c r="I13950">
        <v>730</v>
      </c>
      <c r="J13950" t="s">
        <v>450</v>
      </c>
      <c r="K13950" t="s">
        <v>446</v>
      </c>
      <c r="M13950">
        <v>0</v>
      </c>
    </row>
    <row r="13951" spans="1:13">
      <c r="A13951">
        <v>86288900</v>
      </c>
      <c r="B13951">
        <v>2003080</v>
      </c>
      <c r="C13951" t="s">
        <v>14059</v>
      </c>
      <c r="D13951" t="s">
        <v>442</v>
      </c>
      <c r="E13951" t="s">
        <v>441</v>
      </c>
      <c r="F13951">
        <v>1E-3</v>
      </c>
      <c r="H13951" t="s">
        <v>8581</v>
      </c>
      <c r="I13951">
        <v>730</v>
      </c>
      <c r="J13951" t="s">
        <v>450</v>
      </c>
      <c r="K13951" t="s">
        <v>446</v>
      </c>
      <c r="M13951">
        <v>0</v>
      </c>
    </row>
    <row r="13952" spans="1:13">
      <c r="A13952">
        <v>86289000</v>
      </c>
      <c r="B13952">
        <v>2003081</v>
      </c>
      <c r="C13952" t="s">
        <v>6919</v>
      </c>
      <c r="D13952" t="s">
        <v>442</v>
      </c>
      <c r="E13952" t="s">
        <v>441</v>
      </c>
      <c r="F13952">
        <v>1E-3</v>
      </c>
      <c r="H13952" t="s">
        <v>8581</v>
      </c>
      <c r="I13952">
        <v>730</v>
      </c>
      <c r="J13952" t="s">
        <v>450</v>
      </c>
      <c r="K13952" t="s">
        <v>446</v>
      </c>
      <c r="M13952">
        <v>0</v>
      </c>
    </row>
    <row r="13953" spans="1:13">
      <c r="A13953">
        <v>86289100</v>
      </c>
      <c r="B13953">
        <v>2003082</v>
      </c>
      <c r="C13953" t="s">
        <v>6920</v>
      </c>
      <c r="D13953" t="s">
        <v>442</v>
      </c>
      <c r="E13953" t="s">
        <v>441</v>
      </c>
      <c r="F13953">
        <v>1E-3</v>
      </c>
      <c r="H13953" t="s">
        <v>8581</v>
      </c>
      <c r="I13953">
        <v>730</v>
      </c>
      <c r="J13953" t="s">
        <v>450</v>
      </c>
      <c r="K13953" t="s">
        <v>446</v>
      </c>
      <c r="M13953">
        <v>0</v>
      </c>
    </row>
    <row r="13954" spans="1:13">
      <c r="A13954">
        <v>86289600</v>
      </c>
      <c r="B13954">
        <v>2003083</v>
      </c>
      <c r="C13954" t="s">
        <v>6921</v>
      </c>
      <c r="D13954" t="s">
        <v>442</v>
      </c>
      <c r="E13954" t="s">
        <v>441</v>
      </c>
      <c r="F13954">
        <v>1E-3</v>
      </c>
      <c r="H13954" t="s">
        <v>8581</v>
      </c>
      <c r="I13954">
        <v>730</v>
      </c>
      <c r="J13954" t="s">
        <v>450</v>
      </c>
      <c r="K13954" t="s">
        <v>446</v>
      </c>
      <c r="M13954">
        <v>0</v>
      </c>
    </row>
    <row r="13955" spans="1:13">
      <c r="A13955">
        <v>86289700</v>
      </c>
      <c r="B13955">
        <v>2003084</v>
      </c>
      <c r="C13955" t="s">
        <v>6922</v>
      </c>
      <c r="D13955" t="s">
        <v>442</v>
      </c>
      <c r="E13955" t="s">
        <v>441</v>
      </c>
      <c r="F13955">
        <v>1E-3</v>
      </c>
      <c r="H13955" t="s">
        <v>8581</v>
      </c>
      <c r="I13955">
        <v>730</v>
      </c>
      <c r="J13955" t="s">
        <v>450</v>
      </c>
      <c r="K13955" t="s">
        <v>446</v>
      </c>
      <c r="M13955">
        <v>0</v>
      </c>
    </row>
    <row r="13956" spans="1:13">
      <c r="A13956">
        <v>86289800</v>
      </c>
      <c r="B13956">
        <v>2003085</v>
      </c>
      <c r="C13956" t="s">
        <v>6923</v>
      </c>
      <c r="D13956" t="s">
        <v>442</v>
      </c>
      <c r="E13956" t="s">
        <v>441</v>
      </c>
      <c r="F13956">
        <v>1E-3</v>
      </c>
      <c r="H13956" t="s">
        <v>8581</v>
      </c>
      <c r="I13956">
        <v>730</v>
      </c>
      <c r="J13956" t="s">
        <v>450</v>
      </c>
      <c r="K13956" t="s">
        <v>446</v>
      </c>
      <c r="M13956">
        <v>0</v>
      </c>
    </row>
    <row r="13957" spans="1:13">
      <c r="A13957">
        <v>86289900</v>
      </c>
      <c r="B13957">
        <v>2003086</v>
      </c>
      <c r="C13957" t="s">
        <v>6924</v>
      </c>
      <c r="D13957" t="s">
        <v>442</v>
      </c>
      <c r="E13957" t="s">
        <v>441</v>
      </c>
      <c r="F13957">
        <v>1E-3</v>
      </c>
      <c r="H13957" t="s">
        <v>8581</v>
      </c>
      <c r="I13957">
        <v>730</v>
      </c>
      <c r="J13957" t="s">
        <v>450</v>
      </c>
      <c r="K13957" t="s">
        <v>446</v>
      </c>
      <c r="M13957">
        <v>0</v>
      </c>
    </row>
    <row r="13958" spans="1:13">
      <c r="A13958">
        <v>86290200</v>
      </c>
      <c r="B13958">
        <v>2003087</v>
      </c>
      <c r="C13958" t="s">
        <v>6925</v>
      </c>
      <c r="D13958" t="s">
        <v>442</v>
      </c>
      <c r="E13958" t="s">
        <v>441</v>
      </c>
      <c r="F13958">
        <v>1E-3</v>
      </c>
      <c r="H13958" t="s">
        <v>8581</v>
      </c>
      <c r="I13958">
        <v>730</v>
      </c>
      <c r="J13958" t="s">
        <v>450</v>
      </c>
      <c r="K13958" t="s">
        <v>446</v>
      </c>
      <c r="M13958">
        <v>0</v>
      </c>
    </row>
    <row r="13959" spans="1:13">
      <c r="A13959">
        <v>86290300</v>
      </c>
      <c r="B13959">
        <v>2003088</v>
      </c>
      <c r="C13959" t="s">
        <v>6926</v>
      </c>
      <c r="D13959" t="s">
        <v>442</v>
      </c>
      <c r="E13959" t="s">
        <v>441</v>
      </c>
      <c r="F13959">
        <v>1E-3</v>
      </c>
      <c r="H13959" t="s">
        <v>8581</v>
      </c>
      <c r="I13959">
        <v>730</v>
      </c>
      <c r="J13959" t="s">
        <v>450</v>
      </c>
      <c r="K13959" t="s">
        <v>446</v>
      </c>
      <c r="M13959">
        <v>0</v>
      </c>
    </row>
    <row r="13960" spans="1:13">
      <c r="A13960">
        <v>86290400</v>
      </c>
      <c r="B13960">
        <v>2003435</v>
      </c>
      <c r="C13960" t="s">
        <v>6927</v>
      </c>
      <c r="D13960" t="s">
        <v>442</v>
      </c>
      <c r="E13960" t="s">
        <v>441</v>
      </c>
      <c r="F13960">
        <v>1E-3</v>
      </c>
      <c r="H13960" t="s">
        <v>8584</v>
      </c>
      <c r="I13960">
        <v>720</v>
      </c>
      <c r="J13960" t="s">
        <v>450</v>
      </c>
      <c r="K13960" t="s">
        <v>446</v>
      </c>
      <c r="M13960">
        <v>0</v>
      </c>
    </row>
    <row r="13961" spans="1:13">
      <c r="A13961">
        <v>86290800</v>
      </c>
      <c r="B13961">
        <v>2003089</v>
      </c>
      <c r="C13961" t="s">
        <v>6928</v>
      </c>
      <c r="D13961" t="s">
        <v>442</v>
      </c>
      <c r="E13961" t="s">
        <v>441</v>
      </c>
      <c r="F13961">
        <v>1E-3</v>
      </c>
      <c r="H13961" t="s">
        <v>8581</v>
      </c>
      <c r="I13961">
        <v>730</v>
      </c>
      <c r="J13961" t="s">
        <v>450</v>
      </c>
      <c r="K13961" t="s">
        <v>446</v>
      </c>
      <c r="M13961">
        <v>0</v>
      </c>
    </row>
    <row r="13962" spans="1:13">
      <c r="A13962">
        <v>86291600</v>
      </c>
      <c r="B13962">
        <v>2003090</v>
      </c>
      <c r="C13962" t="s">
        <v>6929</v>
      </c>
      <c r="D13962" t="s">
        <v>442</v>
      </c>
      <c r="E13962" t="s">
        <v>441</v>
      </c>
      <c r="F13962">
        <v>1E-3</v>
      </c>
      <c r="H13962" t="s">
        <v>8581</v>
      </c>
      <c r="I13962">
        <v>730</v>
      </c>
      <c r="J13962" t="s">
        <v>450</v>
      </c>
      <c r="K13962" t="s">
        <v>446</v>
      </c>
      <c r="M13962">
        <v>0</v>
      </c>
    </row>
    <row r="13963" spans="1:13">
      <c r="A13963">
        <v>86291700</v>
      </c>
      <c r="B13963">
        <v>2003091</v>
      </c>
      <c r="C13963" t="s">
        <v>6930</v>
      </c>
      <c r="D13963" t="s">
        <v>442</v>
      </c>
      <c r="E13963" t="s">
        <v>441</v>
      </c>
      <c r="F13963">
        <v>1E-3</v>
      </c>
      <c r="H13963" t="s">
        <v>8581</v>
      </c>
      <c r="I13963">
        <v>730</v>
      </c>
      <c r="J13963" t="s">
        <v>450</v>
      </c>
      <c r="K13963" t="s">
        <v>446</v>
      </c>
      <c r="M13963">
        <v>0</v>
      </c>
    </row>
    <row r="13964" spans="1:13">
      <c r="A13964">
        <v>86291800</v>
      </c>
      <c r="B13964">
        <v>2003646</v>
      </c>
      <c r="C13964" t="s">
        <v>6931</v>
      </c>
      <c r="D13964" t="s">
        <v>442</v>
      </c>
      <c r="F13964">
        <v>0</v>
      </c>
      <c r="H13964" t="s">
        <v>8581</v>
      </c>
      <c r="I13964">
        <v>730</v>
      </c>
      <c r="J13964" t="s">
        <v>450</v>
      </c>
      <c r="K13964" t="s">
        <v>446</v>
      </c>
      <c r="M13964">
        <v>0</v>
      </c>
    </row>
    <row r="13965" spans="1:13">
      <c r="A13965">
        <v>86291900</v>
      </c>
      <c r="B13965">
        <v>2003625</v>
      </c>
      <c r="C13965" t="s">
        <v>6932</v>
      </c>
      <c r="D13965" t="s">
        <v>442</v>
      </c>
      <c r="F13965">
        <v>0</v>
      </c>
      <c r="H13965" t="s">
        <v>8581</v>
      </c>
      <c r="I13965">
        <v>730</v>
      </c>
      <c r="J13965" t="s">
        <v>450</v>
      </c>
      <c r="K13965" t="s">
        <v>446</v>
      </c>
      <c r="M13965">
        <v>0</v>
      </c>
    </row>
    <row r="13966" spans="1:13">
      <c r="A13966">
        <v>86292000</v>
      </c>
      <c r="B13966">
        <v>2003092</v>
      </c>
      <c r="C13966" t="s">
        <v>6933</v>
      </c>
      <c r="D13966" t="s">
        <v>442</v>
      </c>
      <c r="E13966" t="s">
        <v>441</v>
      </c>
      <c r="F13966">
        <v>1E-3</v>
      </c>
      <c r="H13966" t="s">
        <v>8581</v>
      </c>
      <c r="I13966">
        <v>730</v>
      </c>
      <c r="J13966" t="s">
        <v>450</v>
      </c>
      <c r="K13966" t="s">
        <v>446</v>
      </c>
      <c r="M13966">
        <v>0</v>
      </c>
    </row>
    <row r="13967" spans="1:13">
      <c r="A13967">
        <v>86292100</v>
      </c>
      <c r="B13967">
        <v>2003093</v>
      </c>
      <c r="C13967" t="s">
        <v>6934</v>
      </c>
      <c r="D13967" t="s">
        <v>442</v>
      </c>
      <c r="E13967" t="s">
        <v>441</v>
      </c>
      <c r="F13967">
        <v>1E-3</v>
      </c>
      <c r="H13967" t="s">
        <v>8581</v>
      </c>
      <c r="I13967">
        <v>730</v>
      </c>
      <c r="J13967" t="s">
        <v>450</v>
      </c>
      <c r="K13967" t="s">
        <v>446</v>
      </c>
      <c r="M13967">
        <v>0</v>
      </c>
    </row>
    <row r="13968" spans="1:13">
      <c r="A13968">
        <v>86292200</v>
      </c>
      <c r="B13968">
        <v>2003094</v>
      </c>
      <c r="C13968" t="s">
        <v>6935</v>
      </c>
      <c r="D13968" t="s">
        <v>442</v>
      </c>
      <c r="E13968" t="s">
        <v>441</v>
      </c>
      <c r="F13968">
        <v>1E-3</v>
      </c>
      <c r="H13968" t="s">
        <v>8581</v>
      </c>
      <c r="I13968">
        <v>730</v>
      </c>
      <c r="J13968" t="s">
        <v>450</v>
      </c>
      <c r="K13968" t="s">
        <v>446</v>
      </c>
      <c r="M13968">
        <v>0</v>
      </c>
    </row>
    <row r="13969" spans="1:13">
      <c r="A13969">
        <v>86292300</v>
      </c>
      <c r="B13969">
        <v>2003095</v>
      </c>
      <c r="C13969" t="s">
        <v>6936</v>
      </c>
      <c r="D13969" t="s">
        <v>442</v>
      </c>
      <c r="E13969" t="s">
        <v>441</v>
      </c>
      <c r="F13969">
        <v>1E-3</v>
      </c>
      <c r="H13969" t="s">
        <v>8581</v>
      </c>
      <c r="I13969">
        <v>730</v>
      </c>
      <c r="J13969" t="s">
        <v>450</v>
      </c>
      <c r="K13969" t="s">
        <v>446</v>
      </c>
      <c r="M13969">
        <v>0</v>
      </c>
    </row>
    <row r="13970" spans="1:13">
      <c r="A13970">
        <v>86292400</v>
      </c>
      <c r="B13970">
        <v>2003096</v>
      </c>
      <c r="C13970" t="s">
        <v>6937</v>
      </c>
      <c r="D13970" t="s">
        <v>442</v>
      </c>
      <c r="E13970" t="s">
        <v>441</v>
      </c>
      <c r="F13970">
        <v>1E-3</v>
      </c>
      <c r="H13970" t="s">
        <v>8581</v>
      </c>
      <c r="I13970">
        <v>730</v>
      </c>
      <c r="J13970" t="s">
        <v>450</v>
      </c>
      <c r="K13970" t="s">
        <v>446</v>
      </c>
      <c r="M13970">
        <v>0</v>
      </c>
    </row>
    <row r="13971" spans="1:13">
      <c r="A13971">
        <v>86292500</v>
      </c>
      <c r="B13971">
        <v>2003097</v>
      </c>
      <c r="C13971" t="s">
        <v>6938</v>
      </c>
      <c r="D13971" t="s">
        <v>442</v>
      </c>
      <c r="E13971" t="s">
        <v>441</v>
      </c>
      <c r="F13971">
        <v>1E-3</v>
      </c>
      <c r="H13971" t="s">
        <v>8581</v>
      </c>
      <c r="I13971">
        <v>730</v>
      </c>
      <c r="J13971" t="s">
        <v>450</v>
      </c>
      <c r="K13971" t="s">
        <v>446</v>
      </c>
      <c r="M13971">
        <v>0</v>
      </c>
    </row>
    <row r="13972" spans="1:13">
      <c r="A13972">
        <v>86292600</v>
      </c>
      <c r="B13972">
        <v>2003098</v>
      </c>
      <c r="C13972" t="s">
        <v>6939</v>
      </c>
      <c r="D13972" t="s">
        <v>442</v>
      </c>
      <c r="E13972" t="s">
        <v>441</v>
      </c>
      <c r="F13972">
        <v>1E-3</v>
      </c>
      <c r="H13972" t="s">
        <v>8581</v>
      </c>
      <c r="I13972">
        <v>730</v>
      </c>
      <c r="J13972" t="s">
        <v>450</v>
      </c>
      <c r="K13972" t="s">
        <v>446</v>
      </c>
      <c r="M13972">
        <v>0</v>
      </c>
    </row>
    <row r="13973" spans="1:13">
      <c r="A13973">
        <v>86292700</v>
      </c>
      <c r="B13973">
        <v>2003099</v>
      </c>
      <c r="C13973" t="s">
        <v>6940</v>
      </c>
      <c r="D13973" t="s">
        <v>442</v>
      </c>
      <c r="E13973" t="s">
        <v>441</v>
      </c>
      <c r="F13973">
        <v>1E-3</v>
      </c>
      <c r="H13973" t="s">
        <v>8581</v>
      </c>
      <c r="I13973">
        <v>730</v>
      </c>
      <c r="J13973" t="s">
        <v>450</v>
      </c>
      <c r="K13973" t="s">
        <v>446</v>
      </c>
      <c r="M13973">
        <v>0</v>
      </c>
    </row>
    <row r="13974" spans="1:13">
      <c r="A13974">
        <v>86292800</v>
      </c>
      <c r="B13974">
        <v>2003100</v>
      </c>
      <c r="C13974" t="s">
        <v>6941</v>
      </c>
      <c r="D13974" t="s">
        <v>442</v>
      </c>
      <c r="E13974" t="s">
        <v>441</v>
      </c>
      <c r="F13974">
        <v>1E-3</v>
      </c>
      <c r="H13974" t="s">
        <v>8581</v>
      </c>
      <c r="I13974">
        <v>730</v>
      </c>
      <c r="J13974" t="s">
        <v>450</v>
      </c>
      <c r="K13974" t="s">
        <v>446</v>
      </c>
      <c r="M13974">
        <v>0</v>
      </c>
    </row>
    <row r="13975" spans="1:13">
      <c r="A13975">
        <v>86292900</v>
      </c>
      <c r="B13975">
        <v>2003101</v>
      </c>
      <c r="C13975" t="s">
        <v>6942</v>
      </c>
      <c r="D13975" t="s">
        <v>442</v>
      </c>
      <c r="E13975" t="s">
        <v>441</v>
      </c>
      <c r="F13975">
        <v>1E-3</v>
      </c>
      <c r="H13975" t="s">
        <v>8581</v>
      </c>
      <c r="I13975">
        <v>730</v>
      </c>
      <c r="J13975" t="s">
        <v>450</v>
      </c>
      <c r="K13975" t="s">
        <v>446</v>
      </c>
      <c r="M13975">
        <v>0</v>
      </c>
    </row>
    <row r="13976" spans="1:13">
      <c r="A13976">
        <v>86293000</v>
      </c>
      <c r="B13976">
        <v>2003102</v>
      </c>
      <c r="C13976" t="s">
        <v>6943</v>
      </c>
      <c r="D13976" t="s">
        <v>442</v>
      </c>
      <c r="E13976" t="s">
        <v>441</v>
      </c>
      <c r="F13976">
        <v>1E-3</v>
      </c>
      <c r="G13976">
        <v>0</v>
      </c>
      <c r="H13976" t="s">
        <v>8581</v>
      </c>
      <c r="I13976">
        <v>730</v>
      </c>
      <c r="J13976" t="s">
        <v>450</v>
      </c>
      <c r="K13976" t="s">
        <v>446</v>
      </c>
      <c r="M13976">
        <v>0</v>
      </c>
    </row>
    <row r="13977" spans="1:13">
      <c r="A13977">
        <v>86293100</v>
      </c>
      <c r="B13977">
        <v>2001409</v>
      </c>
      <c r="C13977" t="s">
        <v>6944</v>
      </c>
      <c r="D13977" t="s">
        <v>442</v>
      </c>
      <c r="E13977" t="s">
        <v>441</v>
      </c>
      <c r="F13977">
        <v>1E-3</v>
      </c>
      <c r="H13977" t="s">
        <v>8581</v>
      </c>
      <c r="I13977">
        <v>730</v>
      </c>
      <c r="J13977" t="s">
        <v>450</v>
      </c>
      <c r="K13977" t="s">
        <v>446</v>
      </c>
      <c r="M13977">
        <v>0</v>
      </c>
    </row>
    <row r="13978" spans="1:13">
      <c r="A13978">
        <v>86293700</v>
      </c>
      <c r="B13978">
        <v>2003103</v>
      </c>
      <c r="C13978" t="s">
        <v>6945</v>
      </c>
      <c r="D13978" t="s">
        <v>442</v>
      </c>
      <c r="E13978" t="s">
        <v>441</v>
      </c>
      <c r="F13978">
        <v>1E-3</v>
      </c>
      <c r="H13978" t="s">
        <v>8581</v>
      </c>
      <c r="I13978">
        <v>730</v>
      </c>
      <c r="J13978" t="s">
        <v>450</v>
      </c>
      <c r="K13978" t="s">
        <v>446</v>
      </c>
      <c r="M13978">
        <v>0</v>
      </c>
    </row>
    <row r="13979" spans="1:13">
      <c r="A13979">
        <v>86293800</v>
      </c>
      <c r="B13979">
        <v>2003104</v>
      </c>
      <c r="C13979" t="s">
        <v>6946</v>
      </c>
      <c r="D13979" t="s">
        <v>442</v>
      </c>
      <c r="E13979" t="s">
        <v>441</v>
      </c>
      <c r="F13979">
        <v>1E-3</v>
      </c>
      <c r="H13979" t="s">
        <v>8581</v>
      </c>
      <c r="I13979">
        <v>730</v>
      </c>
      <c r="J13979" t="s">
        <v>450</v>
      </c>
      <c r="K13979" t="s">
        <v>446</v>
      </c>
      <c r="M13979">
        <v>0</v>
      </c>
    </row>
    <row r="13980" spans="1:13">
      <c r="A13980">
        <v>86293900</v>
      </c>
      <c r="B13980">
        <v>2003105</v>
      </c>
      <c r="C13980" t="s">
        <v>6947</v>
      </c>
      <c r="D13980" t="s">
        <v>442</v>
      </c>
      <c r="E13980" t="s">
        <v>441</v>
      </c>
      <c r="F13980">
        <v>1E-3</v>
      </c>
      <c r="H13980" t="s">
        <v>8581</v>
      </c>
      <c r="I13980">
        <v>730</v>
      </c>
      <c r="J13980" t="s">
        <v>450</v>
      </c>
      <c r="K13980" t="s">
        <v>446</v>
      </c>
      <c r="M13980">
        <v>0</v>
      </c>
    </row>
    <row r="13981" spans="1:13">
      <c r="A13981">
        <v>86294000</v>
      </c>
      <c r="B13981">
        <v>2003106</v>
      </c>
      <c r="C13981" t="s">
        <v>17229</v>
      </c>
      <c r="D13981" t="s">
        <v>442</v>
      </c>
      <c r="E13981" t="s">
        <v>441</v>
      </c>
      <c r="F13981">
        <v>1E-3</v>
      </c>
      <c r="H13981" t="s">
        <v>8581</v>
      </c>
      <c r="I13981">
        <v>730</v>
      </c>
      <c r="J13981" t="s">
        <v>450</v>
      </c>
      <c r="M13981">
        <v>0</v>
      </c>
    </row>
    <row r="13982" spans="1:13">
      <c r="A13982">
        <v>86294200</v>
      </c>
      <c r="B13982">
        <v>2003107</v>
      </c>
      <c r="C13982" t="s">
        <v>6948</v>
      </c>
      <c r="D13982" t="s">
        <v>442</v>
      </c>
      <c r="E13982" t="s">
        <v>441</v>
      </c>
      <c r="F13982">
        <v>1E-3</v>
      </c>
      <c r="H13982" t="s">
        <v>8581</v>
      </c>
      <c r="I13982">
        <v>730</v>
      </c>
      <c r="J13982" t="s">
        <v>450</v>
      </c>
      <c r="K13982" t="s">
        <v>446</v>
      </c>
      <c r="M13982">
        <v>0</v>
      </c>
    </row>
    <row r="13983" spans="1:13">
      <c r="A13983">
        <v>86294300</v>
      </c>
      <c r="B13983">
        <v>2003108</v>
      </c>
      <c r="C13983" t="s">
        <v>6948</v>
      </c>
      <c r="D13983" t="s">
        <v>442</v>
      </c>
      <c r="E13983" t="s">
        <v>441</v>
      </c>
      <c r="F13983">
        <v>1E-3</v>
      </c>
      <c r="H13983" t="s">
        <v>8581</v>
      </c>
      <c r="I13983">
        <v>730</v>
      </c>
      <c r="J13983" t="s">
        <v>450</v>
      </c>
      <c r="K13983" t="s">
        <v>446</v>
      </c>
      <c r="M13983">
        <v>0</v>
      </c>
    </row>
    <row r="13984" spans="1:13">
      <c r="A13984">
        <v>86294400</v>
      </c>
      <c r="B13984">
        <v>2003109</v>
      </c>
      <c r="C13984" t="s">
        <v>6949</v>
      </c>
      <c r="D13984" t="s">
        <v>442</v>
      </c>
      <c r="E13984" t="s">
        <v>441</v>
      </c>
      <c r="F13984">
        <v>1E-3</v>
      </c>
      <c r="H13984" t="s">
        <v>8581</v>
      </c>
      <c r="I13984">
        <v>730</v>
      </c>
      <c r="J13984" t="s">
        <v>450</v>
      </c>
      <c r="K13984" t="s">
        <v>446</v>
      </c>
      <c r="M13984">
        <v>0</v>
      </c>
    </row>
    <row r="13985" spans="1:13">
      <c r="A13985">
        <v>86294500</v>
      </c>
      <c r="B13985">
        <v>2003110</v>
      </c>
      <c r="C13985" t="s">
        <v>6950</v>
      </c>
      <c r="D13985" t="s">
        <v>442</v>
      </c>
      <c r="E13985" t="s">
        <v>441</v>
      </c>
      <c r="F13985">
        <v>1E-3</v>
      </c>
      <c r="H13985" t="s">
        <v>8581</v>
      </c>
      <c r="I13985">
        <v>730</v>
      </c>
      <c r="J13985" t="s">
        <v>450</v>
      </c>
      <c r="K13985" t="s">
        <v>446</v>
      </c>
      <c r="M13985">
        <v>0</v>
      </c>
    </row>
    <row r="13986" spans="1:13">
      <c r="A13986">
        <v>86294600</v>
      </c>
      <c r="B13986">
        <v>2003111</v>
      </c>
      <c r="C13986" t="s">
        <v>6951</v>
      </c>
      <c r="D13986" t="s">
        <v>442</v>
      </c>
      <c r="E13986" t="s">
        <v>441</v>
      </c>
      <c r="F13986">
        <v>1E-3</v>
      </c>
      <c r="H13986" t="s">
        <v>8581</v>
      </c>
      <c r="I13986">
        <v>730</v>
      </c>
      <c r="J13986" t="s">
        <v>450</v>
      </c>
      <c r="K13986" t="s">
        <v>446</v>
      </c>
      <c r="M13986">
        <v>0</v>
      </c>
    </row>
    <row r="13987" spans="1:13">
      <c r="A13987">
        <v>86294700</v>
      </c>
      <c r="B13987">
        <v>2003112</v>
      </c>
      <c r="C13987" t="s">
        <v>6952</v>
      </c>
      <c r="D13987" t="s">
        <v>442</v>
      </c>
      <c r="E13987" t="s">
        <v>441</v>
      </c>
      <c r="F13987">
        <v>1E-3</v>
      </c>
      <c r="H13987" t="s">
        <v>8581</v>
      </c>
      <c r="I13987">
        <v>730</v>
      </c>
      <c r="J13987" t="s">
        <v>450</v>
      </c>
      <c r="K13987" t="s">
        <v>446</v>
      </c>
      <c r="M13987">
        <v>0</v>
      </c>
    </row>
    <row r="13988" spans="1:13">
      <c r="A13988">
        <v>86294800</v>
      </c>
      <c r="B13988">
        <v>2003113</v>
      </c>
      <c r="C13988" t="s">
        <v>6953</v>
      </c>
      <c r="D13988" t="s">
        <v>442</v>
      </c>
      <c r="E13988" t="s">
        <v>441</v>
      </c>
      <c r="F13988">
        <v>1E-3</v>
      </c>
      <c r="H13988" t="s">
        <v>8581</v>
      </c>
      <c r="I13988">
        <v>730</v>
      </c>
      <c r="J13988" t="s">
        <v>450</v>
      </c>
      <c r="K13988" t="s">
        <v>446</v>
      </c>
      <c r="M13988">
        <v>0</v>
      </c>
    </row>
    <row r="13989" spans="1:13">
      <c r="A13989">
        <v>86294900</v>
      </c>
      <c r="B13989">
        <v>2003114</v>
      </c>
      <c r="C13989" t="s">
        <v>14060</v>
      </c>
      <c r="D13989" t="s">
        <v>442</v>
      </c>
      <c r="E13989" t="s">
        <v>441</v>
      </c>
      <c r="F13989">
        <v>1E-3</v>
      </c>
      <c r="H13989" t="s">
        <v>8581</v>
      </c>
      <c r="I13989">
        <v>730</v>
      </c>
      <c r="J13989" t="s">
        <v>450</v>
      </c>
      <c r="K13989" t="s">
        <v>446</v>
      </c>
      <c r="M13989">
        <v>0</v>
      </c>
    </row>
    <row r="13990" spans="1:13">
      <c r="A13990">
        <v>86295000</v>
      </c>
      <c r="B13990">
        <v>2003115</v>
      </c>
      <c r="C13990" t="s">
        <v>6954</v>
      </c>
      <c r="D13990" t="s">
        <v>442</v>
      </c>
      <c r="E13990" t="s">
        <v>441</v>
      </c>
      <c r="F13990">
        <v>1E-3</v>
      </c>
      <c r="H13990" t="s">
        <v>8581</v>
      </c>
      <c r="I13990">
        <v>730</v>
      </c>
      <c r="J13990" t="s">
        <v>450</v>
      </c>
      <c r="K13990" t="s">
        <v>446</v>
      </c>
      <c r="M13990">
        <v>0</v>
      </c>
    </row>
    <row r="13991" spans="1:13">
      <c r="A13991">
        <v>86295100</v>
      </c>
      <c r="B13991">
        <v>2003116</v>
      </c>
      <c r="C13991" t="s">
        <v>14061</v>
      </c>
      <c r="D13991" t="s">
        <v>442</v>
      </c>
      <c r="E13991" t="s">
        <v>441</v>
      </c>
      <c r="F13991">
        <v>1E-3</v>
      </c>
      <c r="H13991" t="s">
        <v>8581</v>
      </c>
      <c r="I13991">
        <v>720</v>
      </c>
      <c r="J13991" t="s">
        <v>450</v>
      </c>
      <c r="K13991" t="s">
        <v>446</v>
      </c>
      <c r="M13991">
        <v>0</v>
      </c>
    </row>
    <row r="13992" spans="1:13">
      <c r="A13992">
        <v>86295200</v>
      </c>
      <c r="B13992">
        <v>2003117</v>
      </c>
      <c r="C13992" t="s">
        <v>14062</v>
      </c>
      <c r="D13992" t="s">
        <v>442</v>
      </c>
      <c r="E13992" t="s">
        <v>441</v>
      </c>
      <c r="F13992">
        <v>1E-3</v>
      </c>
      <c r="H13992" t="s">
        <v>8581</v>
      </c>
      <c r="I13992">
        <v>720</v>
      </c>
      <c r="J13992" t="s">
        <v>450</v>
      </c>
      <c r="K13992" t="s">
        <v>446</v>
      </c>
      <c r="M13992">
        <v>0</v>
      </c>
    </row>
    <row r="13993" spans="1:13">
      <c r="A13993">
        <v>86295300</v>
      </c>
      <c r="B13993">
        <v>2003118</v>
      </c>
      <c r="C13993" t="s">
        <v>14063</v>
      </c>
      <c r="D13993" t="s">
        <v>442</v>
      </c>
      <c r="E13993" t="s">
        <v>441</v>
      </c>
      <c r="F13993">
        <v>1E-3</v>
      </c>
      <c r="H13993" t="s">
        <v>8581</v>
      </c>
      <c r="I13993">
        <v>720</v>
      </c>
      <c r="J13993" t="s">
        <v>450</v>
      </c>
      <c r="K13993" t="s">
        <v>446</v>
      </c>
      <c r="M13993">
        <v>0</v>
      </c>
    </row>
    <row r="13994" spans="1:13">
      <c r="A13994">
        <v>86295400</v>
      </c>
      <c r="B13994">
        <v>2003119</v>
      </c>
      <c r="C13994" t="s">
        <v>6955</v>
      </c>
      <c r="D13994" t="s">
        <v>442</v>
      </c>
      <c r="E13994" t="s">
        <v>441</v>
      </c>
      <c r="F13994">
        <v>1E-3</v>
      </c>
      <c r="H13994" t="s">
        <v>8581</v>
      </c>
      <c r="I13994">
        <v>730</v>
      </c>
      <c r="J13994" t="s">
        <v>450</v>
      </c>
      <c r="K13994" t="s">
        <v>446</v>
      </c>
      <c r="M13994">
        <v>0</v>
      </c>
    </row>
    <row r="13995" spans="1:13">
      <c r="A13995">
        <v>86295500</v>
      </c>
      <c r="B13995">
        <v>2003120</v>
      </c>
      <c r="C13995" t="s">
        <v>6956</v>
      </c>
      <c r="D13995" t="s">
        <v>442</v>
      </c>
      <c r="E13995" t="s">
        <v>441</v>
      </c>
      <c r="F13995">
        <v>1E-3</v>
      </c>
      <c r="H13995" t="s">
        <v>8581</v>
      </c>
      <c r="I13995">
        <v>720</v>
      </c>
      <c r="J13995" t="s">
        <v>450</v>
      </c>
      <c r="K13995" t="s">
        <v>446</v>
      </c>
      <c r="M13995">
        <v>0</v>
      </c>
    </row>
    <row r="13996" spans="1:13">
      <c r="A13996">
        <v>86295600</v>
      </c>
      <c r="B13996">
        <v>2003121</v>
      </c>
      <c r="C13996" t="s">
        <v>6957</v>
      </c>
      <c r="D13996" t="s">
        <v>442</v>
      </c>
      <c r="E13996" t="s">
        <v>441</v>
      </c>
      <c r="F13996">
        <v>1E-3</v>
      </c>
      <c r="H13996" t="s">
        <v>8581</v>
      </c>
      <c r="I13996">
        <v>730</v>
      </c>
      <c r="J13996" t="s">
        <v>450</v>
      </c>
      <c r="K13996" t="s">
        <v>446</v>
      </c>
      <c r="M13996">
        <v>0</v>
      </c>
    </row>
    <row r="13997" spans="1:13">
      <c r="A13997">
        <v>86295700</v>
      </c>
      <c r="B13997">
        <v>2003122</v>
      </c>
      <c r="C13997" t="s">
        <v>6958</v>
      </c>
      <c r="D13997" t="s">
        <v>442</v>
      </c>
      <c r="E13997" t="s">
        <v>441</v>
      </c>
      <c r="F13997">
        <v>1E-3</v>
      </c>
      <c r="H13997" t="s">
        <v>8581</v>
      </c>
      <c r="I13997">
        <v>730</v>
      </c>
      <c r="J13997" t="s">
        <v>450</v>
      </c>
      <c r="K13997" t="s">
        <v>446</v>
      </c>
      <c r="M13997">
        <v>0</v>
      </c>
    </row>
    <row r="13998" spans="1:13">
      <c r="A13998">
        <v>86295900</v>
      </c>
      <c r="B13998">
        <v>2003123</v>
      </c>
      <c r="C13998" t="s">
        <v>6959</v>
      </c>
      <c r="D13998" t="s">
        <v>442</v>
      </c>
      <c r="E13998" t="s">
        <v>441</v>
      </c>
      <c r="F13998">
        <v>1E-3</v>
      </c>
      <c r="H13998" t="s">
        <v>8581</v>
      </c>
      <c r="I13998">
        <v>730</v>
      </c>
      <c r="J13998" t="s">
        <v>450</v>
      </c>
      <c r="K13998" t="s">
        <v>446</v>
      </c>
      <c r="M13998">
        <v>0</v>
      </c>
    </row>
    <row r="13999" spans="1:13">
      <c r="A13999">
        <v>86296000</v>
      </c>
      <c r="B13999">
        <v>2003124</v>
      </c>
      <c r="C13999" t="s">
        <v>14064</v>
      </c>
      <c r="D13999" t="s">
        <v>442</v>
      </c>
      <c r="E13999" t="s">
        <v>441</v>
      </c>
      <c r="F13999">
        <v>1E-3</v>
      </c>
      <c r="H13999" t="s">
        <v>8581</v>
      </c>
      <c r="I13999">
        <v>730</v>
      </c>
      <c r="J13999" t="s">
        <v>450</v>
      </c>
      <c r="K13999" t="s">
        <v>446</v>
      </c>
      <c r="M13999">
        <v>0</v>
      </c>
    </row>
    <row r="14000" spans="1:13">
      <c r="A14000">
        <v>86296100</v>
      </c>
      <c r="B14000">
        <v>2003125</v>
      </c>
      <c r="C14000" t="s">
        <v>6960</v>
      </c>
      <c r="D14000" t="s">
        <v>442</v>
      </c>
      <c r="E14000" t="s">
        <v>441</v>
      </c>
      <c r="F14000">
        <v>1E-3</v>
      </c>
      <c r="H14000" t="s">
        <v>8581</v>
      </c>
      <c r="I14000">
        <v>730</v>
      </c>
      <c r="J14000" t="s">
        <v>450</v>
      </c>
      <c r="K14000" t="s">
        <v>446</v>
      </c>
      <c r="M14000">
        <v>0</v>
      </c>
    </row>
    <row r="14001" spans="1:13">
      <c r="A14001">
        <v>86296200</v>
      </c>
      <c r="B14001">
        <v>2003126</v>
      </c>
      <c r="C14001" t="s">
        <v>6961</v>
      </c>
      <c r="D14001" t="s">
        <v>442</v>
      </c>
      <c r="E14001" t="s">
        <v>441</v>
      </c>
      <c r="F14001">
        <v>1E-3</v>
      </c>
      <c r="H14001" t="s">
        <v>8581</v>
      </c>
      <c r="I14001">
        <v>730</v>
      </c>
      <c r="J14001" t="s">
        <v>450</v>
      </c>
      <c r="K14001" t="s">
        <v>446</v>
      </c>
      <c r="M14001">
        <v>0</v>
      </c>
    </row>
    <row r="14002" spans="1:13">
      <c r="A14002">
        <v>86296300</v>
      </c>
      <c r="B14002">
        <v>2003127</v>
      </c>
      <c r="C14002" t="s">
        <v>6962</v>
      </c>
      <c r="D14002" t="s">
        <v>442</v>
      </c>
      <c r="E14002" t="s">
        <v>441</v>
      </c>
      <c r="F14002">
        <v>1E-3</v>
      </c>
      <c r="H14002" t="s">
        <v>8581</v>
      </c>
      <c r="I14002">
        <v>730</v>
      </c>
      <c r="J14002" t="s">
        <v>450</v>
      </c>
      <c r="K14002" t="s">
        <v>446</v>
      </c>
      <c r="M14002">
        <v>0</v>
      </c>
    </row>
    <row r="14003" spans="1:13">
      <c r="A14003">
        <v>86296400</v>
      </c>
      <c r="B14003">
        <v>2003128</v>
      </c>
      <c r="C14003" t="s">
        <v>17230</v>
      </c>
      <c r="D14003" t="s">
        <v>442</v>
      </c>
      <c r="E14003" t="s">
        <v>441</v>
      </c>
      <c r="F14003">
        <v>1E-3</v>
      </c>
      <c r="G14003">
        <v>0</v>
      </c>
      <c r="H14003" t="s">
        <v>8581</v>
      </c>
      <c r="I14003">
        <v>730</v>
      </c>
      <c r="J14003" t="s">
        <v>450</v>
      </c>
      <c r="M14003">
        <v>0</v>
      </c>
    </row>
    <row r="14004" spans="1:13">
      <c r="A14004">
        <v>86296500</v>
      </c>
      <c r="B14004">
        <v>2003129</v>
      </c>
      <c r="C14004" t="s">
        <v>6963</v>
      </c>
      <c r="D14004" t="s">
        <v>442</v>
      </c>
      <c r="E14004" t="s">
        <v>441</v>
      </c>
      <c r="F14004">
        <v>1E-3</v>
      </c>
      <c r="H14004" t="s">
        <v>8581</v>
      </c>
      <c r="I14004">
        <v>730</v>
      </c>
      <c r="J14004" t="s">
        <v>450</v>
      </c>
      <c r="K14004" t="s">
        <v>446</v>
      </c>
      <c r="M14004">
        <v>0</v>
      </c>
    </row>
    <row r="14005" spans="1:13">
      <c r="A14005">
        <v>86296600</v>
      </c>
      <c r="B14005">
        <v>2003130</v>
      </c>
      <c r="C14005" t="s">
        <v>14065</v>
      </c>
      <c r="D14005" t="s">
        <v>442</v>
      </c>
      <c r="E14005" t="s">
        <v>441</v>
      </c>
      <c r="F14005">
        <v>1E-3</v>
      </c>
      <c r="H14005" t="s">
        <v>8581</v>
      </c>
      <c r="I14005">
        <v>730</v>
      </c>
      <c r="J14005" t="s">
        <v>450</v>
      </c>
      <c r="K14005" t="s">
        <v>446</v>
      </c>
      <c r="M14005">
        <v>0</v>
      </c>
    </row>
    <row r="14006" spans="1:13">
      <c r="A14006">
        <v>86296700</v>
      </c>
      <c r="B14006">
        <v>2003131</v>
      </c>
      <c r="C14006" t="s">
        <v>14066</v>
      </c>
      <c r="D14006" t="s">
        <v>442</v>
      </c>
      <c r="E14006" t="s">
        <v>441</v>
      </c>
      <c r="F14006">
        <v>1E-3</v>
      </c>
      <c r="H14006" t="s">
        <v>8581</v>
      </c>
      <c r="I14006">
        <v>720</v>
      </c>
      <c r="J14006" t="s">
        <v>450</v>
      </c>
      <c r="K14006" t="s">
        <v>446</v>
      </c>
      <c r="M14006">
        <v>0</v>
      </c>
    </row>
    <row r="14007" spans="1:13">
      <c r="A14007">
        <v>86296800</v>
      </c>
      <c r="B14007">
        <v>2003132</v>
      </c>
      <c r="C14007" t="s">
        <v>6964</v>
      </c>
      <c r="D14007" t="s">
        <v>442</v>
      </c>
      <c r="E14007" t="s">
        <v>441</v>
      </c>
      <c r="F14007">
        <v>1E-3</v>
      </c>
      <c r="H14007" t="s">
        <v>8581</v>
      </c>
      <c r="I14007">
        <v>720</v>
      </c>
      <c r="J14007" t="s">
        <v>450</v>
      </c>
      <c r="K14007" t="s">
        <v>446</v>
      </c>
      <c r="M14007">
        <v>0</v>
      </c>
    </row>
    <row r="14008" spans="1:13">
      <c r="A14008">
        <v>86296900</v>
      </c>
      <c r="B14008">
        <v>2003133</v>
      </c>
      <c r="C14008" t="s">
        <v>14067</v>
      </c>
      <c r="D14008" t="s">
        <v>442</v>
      </c>
      <c r="E14008" t="s">
        <v>441</v>
      </c>
      <c r="F14008">
        <v>1E-3</v>
      </c>
      <c r="H14008" t="s">
        <v>8581</v>
      </c>
      <c r="I14008">
        <v>720</v>
      </c>
      <c r="J14008" t="s">
        <v>450</v>
      </c>
      <c r="K14008" t="s">
        <v>446</v>
      </c>
      <c r="M14008">
        <v>0</v>
      </c>
    </row>
    <row r="14009" spans="1:13">
      <c r="A14009">
        <v>86297000</v>
      </c>
      <c r="B14009">
        <v>2003134</v>
      </c>
      <c r="C14009" t="s">
        <v>14068</v>
      </c>
      <c r="D14009" t="s">
        <v>442</v>
      </c>
      <c r="E14009" t="s">
        <v>441</v>
      </c>
      <c r="F14009">
        <v>1E-3</v>
      </c>
      <c r="H14009" t="s">
        <v>8581</v>
      </c>
      <c r="I14009">
        <v>720</v>
      </c>
      <c r="J14009" t="s">
        <v>450</v>
      </c>
      <c r="K14009" t="s">
        <v>446</v>
      </c>
      <c r="M14009">
        <v>0</v>
      </c>
    </row>
    <row r="14010" spans="1:13">
      <c r="A14010">
        <v>86297100</v>
      </c>
      <c r="B14010">
        <v>2003135</v>
      </c>
      <c r="C14010" t="s">
        <v>6965</v>
      </c>
      <c r="D14010" t="s">
        <v>442</v>
      </c>
      <c r="E14010" t="s">
        <v>441</v>
      </c>
      <c r="F14010">
        <v>1E-3</v>
      </c>
      <c r="H14010" t="s">
        <v>8581</v>
      </c>
      <c r="I14010">
        <v>720</v>
      </c>
      <c r="J14010" t="s">
        <v>450</v>
      </c>
      <c r="K14010" t="s">
        <v>446</v>
      </c>
      <c r="M14010">
        <v>0</v>
      </c>
    </row>
    <row r="14011" spans="1:13">
      <c r="A14011">
        <v>86297200</v>
      </c>
      <c r="B14011">
        <v>2003136</v>
      </c>
      <c r="C14011" t="s">
        <v>6966</v>
      </c>
      <c r="D14011" t="s">
        <v>442</v>
      </c>
      <c r="E14011" t="s">
        <v>441</v>
      </c>
      <c r="F14011">
        <v>1E-3</v>
      </c>
      <c r="H14011" t="s">
        <v>8581</v>
      </c>
      <c r="I14011">
        <v>720</v>
      </c>
      <c r="J14011" t="s">
        <v>450</v>
      </c>
      <c r="K14011" t="s">
        <v>446</v>
      </c>
      <c r="M14011">
        <v>0</v>
      </c>
    </row>
    <row r="14012" spans="1:13">
      <c r="A14012">
        <v>86297300</v>
      </c>
      <c r="B14012">
        <v>2003137</v>
      </c>
      <c r="C14012" t="s">
        <v>14069</v>
      </c>
      <c r="D14012" t="s">
        <v>442</v>
      </c>
      <c r="E14012" t="s">
        <v>441</v>
      </c>
      <c r="F14012">
        <v>1E-3</v>
      </c>
      <c r="H14012" t="s">
        <v>8581</v>
      </c>
      <c r="I14012">
        <v>720</v>
      </c>
      <c r="J14012" t="s">
        <v>450</v>
      </c>
      <c r="K14012" t="s">
        <v>446</v>
      </c>
      <c r="M14012">
        <v>0</v>
      </c>
    </row>
    <row r="14013" spans="1:13">
      <c r="A14013">
        <v>86297400</v>
      </c>
      <c r="B14013">
        <v>2003138</v>
      </c>
      <c r="C14013" t="s">
        <v>6967</v>
      </c>
      <c r="D14013" t="s">
        <v>442</v>
      </c>
      <c r="E14013" t="s">
        <v>441</v>
      </c>
      <c r="F14013">
        <v>1E-3</v>
      </c>
      <c r="H14013" t="s">
        <v>8581</v>
      </c>
      <c r="I14013">
        <v>720</v>
      </c>
      <c r="J14013" t="s">
        <v>450</v>
      </c>
      <c r="K14013" t="s">
        <v>446</v>
      </c>
      <c r="M14013">
        <v>0</v>
      </c>
    </row>
    <row r="14014" spans="1:13">
      <c r="A14014">
        <v>86297500</v>
      </c>
      <c r="B14014">
        <v>2003139</v>
      </c>
      <c r="C14014" t="s">
        <v>6968</v>
      </c>
      <c r="D14014" t="s">
        <v>442</v>
      </c>
      <c r="E14014" t="s">
        <v>441</v>
      </c>
      <c r="F14014">
        <v>1E-3</v>
      </c>
      <c r="H14014" t="s">
        <v>8581</v>
      </c>
      <c r="I14014">
        <v>720</v>
      </c>
      <c r="J14014" t="s">
        <v>450</v>
      </c>
      <c r="K14014" t="s">
        <v>446</v>
      </c>
      <c r="M14014">
        <v>0</v>
      </c>
    </row>
    <row r="14015" spans="1:13">
      <c r="A14015">
        <v>86297600</v>
      </c>
      <c r="B14015">
        <v>2003140</v>
      </c>
      <c r="C14015" t="s">
        <v>6969</v>
      </c>
      <c r="D14015" t="s">
        <v>442</v>
      </c>
      <c r="E14015" t="s">
        <v>441</v>
      </c>
      <c r="F14015">
        <v>1E-3</v>
      </c>
      <c r="H14015" t="s">
        <v>8581</v>
      </c>
      <c r="I14015">
        <v>720</v>
      </c>
      <c r="J14015" t="s">
        <v>450</v>
      </c>
      <c r="K14015" t="s">
        <v>446</v>
      </c>
      <c r="M14015">
        <v>0</v>
      </c>
    </row>
    <row r="14016" spans="1:13">
      <c r="A14016">
        <v>86297700</v>
      </c>
      <c r="B14016">
        <v>2003141</v>
      </c>
      <c r="C14016" t="s">
        <v>6970</v>
      </c>
      <c r="D14016" t="s">
        <v>442</v>
      </c>
      <c r="E14016" t="s">
        <v>441</v>
      </c>
      <c r="F14016">
        <v>1E-3</v>
      </c>
      <c r="H14016" t="s">
        <v>8581</v>
      </c>
      <c r="I14016">
        <v>720</v>
      </c>
      <c r="J14016" t="s">
        <v>450</v>
      </c>
      <c r="K14016" t="s">
        <v>446</v>
      </c>
      <c r="M14016">
        <v>0</v>
      </c>
    </row>
    <row r="14017" spans="1:13">
      <c r="A14017">
        <v>86297900</v>
      </c>
      <c r="B14017">
        <v>2003142</v>
      </c>
      <c r="C14017" t="s">
        <v>6971</v>
      </c>
      <c r="D14017" t="s">
        <v>442</v>
      </c>
      <c r="E14017" t="s">
        <v>441</v>
      </c>
      <c r="F14017">
        <v>1E-3</v>
      </c>
      <c r="H14017" t="s">
        <v>8581</v>
      </c>
      <c r="I14017">
        <v>720</v>
      </c>
      <c r="J14017" t="s">
        <v>450</v>
      </c>
      <c r="K14017" t="s">
        <v>446</v>
      </c>
      <c r="M14017">
        <v>0</v>
      </c>
    </row>
    <row r="14018" spans="1:13">
      <c r="A14018">
        <v>86298000</v>
      </c>
      <c r="B14018">
        <v>2003143</v>
      </c>
      <c r="C14018" t="s">
        <v>6972</v>
      </c>
      <c r="D14018" t="s">
        <v>442</v>
      </c>
      <c r="E14018" t="s">
        <v>441</v>
      </c>
      <c r="F14018">
        <v>1E-3</v>
      </c>
      <c r="H14018" t="s">
        <v>8581</v>
      </c>
      <c r="I14018">
        <v>720</v>
      </c>
      <c r="J14018" t="s">
        <v>450</v>
      </c>
      <c r="K14018" t="s">
        <v>446</v>
      </c>
      <c r="M14018">
        <v>0</v>
      </c>
    </row>
    <row r="14019" spans="1:13">
      <c r="A14019">
        <v>86298100</v>
      </c>
      <c r="B14019">
        <v>2003144</v>
      </c>
      <c r="C14019" t="s">
        <v>6973</v>
      </c>
      <c r="D14019" t="s">
        <v>442</v>
      </c>
      <c r="E14019" t="s">
        <v>441</v>
      </c>
      <c r="F14019">
        <v>1E-3</v>
      </c>
      <c r="H14019" t="s">
        <v>8581</v>
      </c>
      <c r="I14019">
        <v>720</v>
      </c>
      <c r="J14019" t="s">
        <v>450</v>
      </c>
      <c r="K14019" t="s">
        <v>446</v>
      </c>
      <c r="M14019">
        <v>0</v>
      </c>
    </row>
    <row r="14020" spans="1:13">
      <c r="A14020">
        <v>86298200</v>
      </c>
      <c r="B14020">
        <v>2003145</v>
      </c>
      <c r="C14020" t="s">
        <v>6974</v>
      </c>
      <c r="D14020" t="s">
        <v>442</v>
      </c>
      <c r="E14020" t="s">
        <v>441</v>
      </c>
      <c r="F14020">
        <v>1E-3</v>
      </c>
      <c r="H14020" t="s">
        <v>8581</v>
      </c>
      <c r="I14020">
        <v>720</v>
      </c>
      <c r="J14020" t="s">
        <v>450</v>
      </c>
      <c r="K14020" t="s">
        <v>446</v>
      </c>
      <c r="M14020">
        <v>0</v>
      </c>
    </row>
    <row r="14021" spans="1:13">
      <c r="A14021">
        <v>86298300</v>
      </c>
      <c r="B14021">
        <v>2003146</v>
      </c>
      <c r="C14021" t="s">
        <v>6975</v>
      </c>
      <c r="D14021" t="s">
        <v>442</v>
      </c>
      <c r="E14021" t="s">
        <v>441</v>
      </c>
      <c r="F14021">
        <v>1E-3</v>
      </c>
      <c r="H14021" t="s">
        <v>8581</v>
      </c>
      <c r="I14021">
        <v>720</v>
      </c>
      <c r="J14021" t="s">
        <v>450</v>
      </c>
      <c r="K14021" t="s">
        <v>446</v>
      </c>
      <c r="M14021">
        <v>0</v>
      </c>
    </row>
    <row r="14022" spans="1:13">
      <c r="A14022">
        <v>86298400</v>
      </c>
      <c r="B14022">
        <v>2003147</v>
      </c>
      <c r="C14022" t="s">
        <v>6976</v>
      </c>
      <c r="D14022" t="s">
        <v>442</v>
      </c>
      <c r="E14022" t="s">
        <v>441</v>
      </c>
      <c r="F14022">
        <v>1E-3</v>
      </c>
      <c r="H14022" t="s">
        <v>8581</v>
      </c>
      <c r="I14022">
        <v>720</v>
      </c>
      <c r="J14022" t="s">
        <v>450</v>
      </c>
      <c r="K14022" t="s">
        <v>446</v>
      </c>
      <c r="M14022">
        <v>0</v>
      </c>
    </row>
    <row r="14023" spans="1:13">
      <c r="A14023">
        <v>86298500</v>
      </c>
      <c r="B14023">
        <v>2003148</v>
      </c>
      <c r="C14023" t="s">
        <v>6977</v>
      </c>
      <c r="D14023" t="s">
        <v>442</v>
      </c>
      <c r="E14023" t="s">
        <v>441</v>
      </c>
      <c r="F14023">
        <v>1E-3</v>
      </c>
      <c r="H14023" t="s">
        <v>8581</v>
      </c>
      <c r="I14023">
        <v>720</v>
      </c>
      <c r="J14023" t="s">
        <v>450</v>
      </c>
      <c r="K14023" t="s">
        <v>446</v>
      </c>
      <c r="M14023">
        <v>0</v>
      </c>
    </row>
    <row r="14024" spans="1:13">
      <c r="A14024">
        <v>86298600</v>
      </c>
      <c r="B14024">
        <v>2003149</v>
      </c>
      <c r="C14024" t="s">
        <v>6978</v>
      </c>
      <c r="D14024" t="s">
        <v>442</v>
      </c>
      <c r="E14024" t="s">
        <v>441</v>
      </c>
      <c r="F14024">
        <v>1E-3</v>
      </c>
      <c r="H14024" t="s">
        <v>8581</v>
      </c>
      <c r="I14024">
        <v>720</v>
      </c>
      <c r="J14024" t="s">
        <v>450</v>
      </c>
      <c r="K14024" t="s">
        <v>446</v>
      </c>
      <c r="M14024">
        <v>0</v>
      </c>
    </row>
    <row r="14025" spans="1:13">
      <c r="A14025">
        <v>86298700</v>
      </c>
      <c r="B14025">
        <v>2003150</v>
      </c>
      <c r="C14025" t="s">
        <v>6979</v>
      </c>
      <c r="D14025" t="s">
        <v>442</v>
      </c>
      <c r="E14025" t="s">
        <v>441</v>
      </c>
      <c r="F14025">
        <v>1E-3</v>
      </c>
      <c r="H14025" t="s">
        <v>8581</v>
      </c>
      <c r="I14025">
        <v>720</v>
      </c>
      <c r="J14025" t="s">
        <v>450</v>
      </c>
      <c r="K14025" t="s">
        <v>446</v>
      </c>
      <c r="M14025">
        <v>0</v>
      </c>
    </row>
    <row r="14026" spans="1:13">
      <c r="A14026">
        <v>86298800</v>
      </c>
      <c r="B14026">
        <v>2003151</v>
      </c>
      <c r="C14026" t="s">
        <v>6980</v>
      </c>
      <c r="D14026" t="s">
        <v>442</v>
      </c>
      <c r="E14026" t="s">
        <v>441</v>
      </c>
      <c r="F14026">
        <v>1E-3</v>
      </c>
      <c r="H14026" t="s">
        <v>8581</v>
      </c>
      <c r="I14026">
        <v>720</v>
      </c>
      <c r="J14026" t="s">
        <v>450</v>
      </c>
      <c r="K14026" t="s">
        <v>446</v>
      </c>
      <c r="M14026">
        <v>0</v>
      </c>
    </row>
    <row r="14027" spans="1:13">
      <c r="A14027">
        <v>86298900</v>
      </c>
      <c r="B14027">
        <v>2003152</v>
      </c>
      <c r="C14027" t="s">
        <v>6981</v>
      </c>
      <c r="D14027" t="s">
        <v>442</v>
      </c>
      <c r="E14027" t="s">
        <v>441</v>
      </c>
      <c r="F14027">
        <v>1E-3</v>
      </c>
      <c r="H14027" t="s">
        <v>8581</v>
      </c>
      <c r="I14027">
        <v>720</v>
      </c>
      <c r="J14027" t="s">
        <v>450</v>
      </c>
      <c r="K14027" t="s">
        <v>446</v>
      </c>
      <c r="M14027">
        <v>0</v>
      </c>
    </row>
    <row r="14028" spans="1:13">
      <c r="A14028">
        <v>86299000</v>
      </c>
      <c r="B14028">
        <v>2003153</v>
      </c>
      <c r="C14028" t="s">
        <v>6982</v>
      </c>
      <c r="D14028" t="s">
        <v>442</v>
      </c>
      <c r="E14028" t="s">
        <v>441</v>
      </c>
      <c r="F14028">
        <v>1E-3</v>
      </c>
      <c r="H14028" t="s">
        <v>8581</v>
      </c>
      <c r="I14028">
        <v>720</v>
      </c>
      <c r="J14028" t="s">
        <v>450</v>
      </c>
      <c r="K14028" t="s">
        <v>446</v>
      </c>
      <c r="M14028">
        <v>0</v>
      </c>
    </row>
    <row r="14029" spans="1:13">
      <c r="A14029">
        <v>86299100</v>
      </c>
      <c r="B14029">
        <v>2003154</v>
      </c>
      <c r="C14029" t="s">
        <v>6983</v>
      </c>
      <c r="D14029" t="s">
        <v>442</v>
      </c>
      <c r="E14029" t="s">
        <v>441</v>
      </c>
      <c r="F14029">
        <v>1E-3</v>
      </c>
      <c r="H14029" t="s">
        <v>8581</v>
      </c>
      <c r="I14029">
        <v>720</v>
      </c>
      <c r="J14029" t="s">
        <v>450</v>
      </c>
      <c r="K14029" t="s">
        <v>446</v>
      </c>
      <c r="M14029">
        <v>0</v>
      </c>
    </row>
    <row r="14030" spans="1:13">
      <c r="A14030">
        <v>86299200</v>
      </c>
      <c r="B14030">
        <v>2003155</v>
      </c>
      <c r="C14030" t="s">
        <v>6984</v>
      </c>
      <c r="D14030" t="s">
        <v>442</v>
      </c>
      <c r="E14030" t="s">
        <v>441</v>
      </c>
      <c r="F14030">
        <v>1E-3</v>
      </c>
      <c r="H14030" t="s">
        <v>8581</v>
      </c>
      <c r="I14030">
        <v>720</v>
      </c>
      <c r="J14030" t="s">
        <v>450</v>
      </c>
      <c r="K14030" t="s">
        <v>446</v>
      </c>
      <c r="M14030">
        <v>0</v>
      </c>
    </row>
    <row r="14031" spans="1:13">
      <c r="A14031">
        <v>86299300</v>
      </c>
      <c r="B14031">
        <v>2003156</v>
      </c>
      <c r="C14031" t="s">
        <v>6985</v>
      </c>
      <c r="D14031" t="s">
        <v>442</v>
      </c>
      <c r="E14031" t="s">
        <v>441</v>
      </c>
      <c r="F14031">
        <v>1E-3</v>
      </c>
      <c r="H14031" t="s">
        <v>8581</v>
      </c>
      <c r="I14031">
        <v>720</v>
      </c>
      <c r="J14031" t="s">
        <v>450</v>
      </c>
      <c r="K14031" t="s">
        <v>446</v>
      </c>
      <c r="M14031">
        <v>0</v>
      </c>
    </row>
    <row r="14032" spans="1:13">
      <c r="A14032">
        <v>86299400</v>
      </c>
      <c r="B14032">
        <v>2003157</v>
      </c>
      <c r="C14032" t="s">
        <v>6986</v>
      </c>
      <c r="D14032" t="s">
        <v>442</v>
      </c>
      <c r="E14032" t="s">
        <v>441</v>
      </c>
      <c r="F14032">
        <v>1E-3</v>
      </c>
      <c r="G14032">
        <v>0</v>
      </c>
      <c r="H14032" t="s">
        <v>8581</v>
      </c>
      <c r="I14032">
        <v>720</v>
      </c>
      <c r="J14032" t="s">
        <v>450</v>
      </c>
      <c r="K14032" t="s">
        <v>446</v>
      </c>
      <c r="M14032">
        <v>0</v>
      </c>
    </row>
    <row r="14033" spans="1:13">
      <c r="A14033">
        <v>86299500</v>
      </c>
      <c r="B14033">
        <v>2003158</v>
      </c>
      <c r="C14033" t="s">
        <v>6987</v>
      </c>
      <c r="D14033" t="s">
        <v>442</v>
      </c>
      <c r="E14033" t="s">
        <v>441</v>
      </c>
      <c r="F14033">
        <v>1E-3</v>
      </c>
      <c r="H14033" t="s">
        <v>8581</v>
      </c>
      <c r="I14033">
        <v>720</v>
      </c>
      <c r="J14033" t="s">
        <v>450</v>
      </c>
      <c r="K14033" t="s">
        <v>446</v>
      </c>
      <c r="M14033">
        <v>0</v>
      </c>
    </row>
    <row r="14034" spans="1:13">
      <c r="A14034">
        <v>86299600</v>
      </c>
      <c r="B14034">
        <v>2003159</v>
      </c>
      <c r="C14034" t="s">
        <v>6988</v>
      </c>
      <c r="D14034" t="s">
        <v>442</v>
      </c>
      <c r="E14034" t="s">
        <v>441</v>
      </c>
      <c r="F14034">
        <v>1E-3</v>
      </c>
      <c r="H14034" t="s">
        <v>8581</v>
      </c>
      <c r="I14034">
        <v>720</v>
      </c>
      <c r="J14034" t="s">
        <v>450</v>
      </c>
      <c r="K14034" t="s">
        <v>446</v>
      </c>
      <c r="M14034">
        <v>0</v>
      </c>
    </row>
    <row r="14035" spans="1:13">
      <c r="A14035">
        <v>86299700</v>
      </c>
      <c r="B14035">
        <v>2003160</v>
      </c>
      <c r="C14035" t="s">
        <v>6989</v>
      </c>
      <c r="D14035" t="s">
        <v>442</v>
      </c>
      <c r="E14035" t="s">
        <v>441</v>
      </c>
      <c r="F14035">
        <v>1E-3</v>
      </c>
      <c r="H14035" t="s">
        <v>8581</v>
      </c>
      <c r="I14035">
        <v>720</v>
      </c>
      <c r="J14035" t="s">
        <v>450</v>
      </c>
      <c r="K14035" t="s">
        <v>446</v>
      </c>
      <c r="M14035">
        <v>0</v>
      </c>
    </row>
    <row r="14036" spans="1:13">
      <c r="A14036">
        <v>86299800</v>
      </c>
      <c r="B14036">
        <v>2003161</v>
      </c>
      <c r="C14036" t="s">
        <v>6990</v>
      </c>
      <c r="D14036" t="s">
        <v>442</v>
      </c>
      <c r="E14036" t="s">
        <v>441</v>
      </c>
      <c r="F14036">
        <v>1E-3</v>
      </c>
      <c r="H14036" t="s">
        <v>8581</v>
      </c>
      <c r="I14036">
        <v>720</v>
      </c>
      <c r="J14036" t="s">
        <v>450</v>
      </c>
      <c r="K14036" t="s">
        <v>446</v>
      </c>
      <c r="M14036">
        <v>0</v>
      </c>
    </row>
    <row r="14037" spans="1:13">
      <c r="A14037">
        <v>86299900</v>
      </c>
      <c r="B14037">
        <v>2003162</v>
      </c>
      <c r="C14037" t="s">
        <v>6991</v>
      </c>
      <c r="D14037" t="s">
        <v>442</v>
      </c>
      <c r="E14037" t="s">
        <v>441</v>
      </c>
      <c r="F14037">
        <v>1E-3</v>
      </c>
      <c r="H14037" t="s">
        <v>8581</v>
      </c>
      <c r="I14037">
        <v>720</v>
      </c>
      <c r="J14037" t="s">
        <v>450</v>
      </c>
      <c r="K14037" t="s">
        <v>446</v>
      </c>
      <c r="M14037">
        <v>0</v>
      </c>
    </row>
    <row r="14038" spans="1:13">
      <c r="A14038">
        <v>86300000</v>
      </c>
      <c r="B14038">
        <v>2003163</v>
      </c>
      <c r="C14038" t="s">
        <v>6992</v>
      </c>
      <c r="D14038" t="s">
        <v>442</v>
      </c>
      <c r="E14038" t="s">
        <v>441</v>
      </c>
      <c r="F14038">
        <v>1E-3</v>
      </c>
      <c r="H14038" t="s">
        <v>8581</v>
      </c>
      <c r="I14038">
        <v>720</v>
      </c>
      <c r="J14038" t="s">
        <v>450</v>
      </c>
      <c r="K14038" t="s">
        <v>446</v>
      </c>
      <c r="M14038">
        <v>0</v>
      </c>
    </row>
    <row r="14039" spans="1:13">
      <c r="A14039">
        <v>86300100</v>
      </c>
      <c r="B14039">
        <v>2003164</v>
      </c>
      <c r="C14039" t="s">
        <v>6993</v>
      </c>
      <c r="D14039" t="s">
        <v>442</v>
      </c>
      <c r="E14039" t="s">
        <v>441</v>
      </c>
      <c r="F14039">
        <v>1E-3</v>
      </c>
      <c r="H14039" t="s">
        <v>8581</v>
      </c>
      <c r="I14039">
        <v>720</v>
      </c>
      <c r="J14039" t="s">
        <v>450</v>
      </c>
      <c r="K14039" t="s">
        <v>446</v>
      </c>
      <c r="M14039">
        <v>0</v>
      </c>
    </row>
    <row r="14040" spans="1:13">
      <c r="A14040">
        <v>86300200</v>
      </c>
      <c r="B14040">
        <v>2003165</v>
      </c>
      <c r="C14040" t="s">
        <v>6994</v>
      </c>
      <c r="D14040" t="s">
        <v>442</v>
      </c>
      <c r="E14040" t="s">
        <v>441</v>
      </c>
      <c r="F14040">
        <v>1E-3</v>
      </c>
      <c r="H14040" t="s">
        <v>8581</v>
      </c>
      <c r="I14040">
        <v>720</v>
      </c>
      <c r="J14040" t="s">
        <v>450</v>
      </c>
      <c r="K14040" t="s">
        <v>446</v>
      </c>
      <c r="M14040">
        <v>0</v>
      </c>
    </row>
    <row r="14041" spans="1:13">
      <c r="A14041">
        <v>86300300</v>
      </c>
      <c r="B14041">
        <v>2003166</v>
      </c>
      <c r="C14041" t="s">
        <v>6995</v>
      </c>
      <c r="D14041" t="s">
        <v>442</v>
      </c>
      <c r="E14041" t="s">
        <v>441</v>
      </c>
      <c r="F14041">
        <v>1E-3</v>
      </c>
      <c r="H14041" t="s">
        <v>8581</v>
      </c>
      <c r="I14041">
        <v>720</v>
      </c>
      <c r="J14041" t="s">
        <v>450</v>
      </c>
      <c r="K14041" t="s">
        <v>446</v>
      </c>
      <c r="M14041">
        <v>0</v>
      </c>
    </row>
    <row r="14042" spans="1:13">
      <c r="A14042">
        <v>86300400</v>
      </c>
      <c r="B14042">
        <v>2003167</v>
      </c>
      <c r="C14042" t="s">
        <v>6996</v>
      </c>
      <c r="D14042" t="s">
        <v>442</v>
      </c>
      <c r="E14042" t="s">
        <v>441</v>
      </c>
      <c r="F14042">
        <v>1E-3</v>
      </c>
      <c r="H14042" t="s">
        <v>8581</v>
      </c>
      <c r="I14042">
        <v>720</v>
      </c>
      <c r="J14042" t="s">
        <v>450</v>
      </c>
      <c r="K14042" t="s">
        <v>446</v>
      </c>
      <c r="M14042">
        <v>0</v>
      </c>
    </row>
    <row r="14043" spans="1:13">
      <c r="A14043">
        <v>86300500</v>
      </c>
      <c r="B14043">
        <v>2003168</v>
      </c>
      <c r="C14043" t="s">
        <v>6997</v>
      </c>
      <c r="D14043" t="s">
        <v>442</v>
      </c>
      <c r="E14043" t="s">
        <v>441</v>
      </c>
      <c r="F14043">
        <v>1E-3</v>
      </c>
      <c r="H14043" t="s">
        <v>8581</v>
      </c>
      <c r="I14043">
        <v>720</v>
      </c>
      <c r="J14043" t="s">
        <v>450</v>
      </c>
      <c r="K14043" t="s">
        <v>446</v>
      </c>
      <c r="M14043">
        <v>0</v>
      </c>
    </row>
    <row r="14044" spans="1:13">
      <c r="A14044">
        <v>86300600</v>
      </c>
      <c r="B14044">
        <v>2003436</v>
      </c>
      <c r="C14044" t="s">
        <v>6998</v>
      </c>
      <c r="D14044" t="s">
        <v>442</v>
      </c>
      <c r="E14044" t="s">
        <v>441</v>
      </c>
      <c r="F14044">
        <v>1E-3</v>
      </c>
      <c r="H14044" t="s">
        <v>8584</v>
      </c>
      <c r="I14044">
        <v>720</v>
      </c>
      <c r="J14044" t="s">
        <v>450</v>
      </c>
      <c r="K14044" t="s">
        <v>446</v>
      </c>
      <c r="M14044">
        <v>0</v>
      </c>
    </row>
    <row r="14045" spans="1:13">
      <c r="A14045">
        <v>86300700</v>
      </c>
      <c r="B14045">
        <v>2003437</v>
      </c>
      <c r="C14045" t="s">
        <v>6999</v>
      </c>
      <c r="D14045" t="s">
        <v>442</v>
      </c>
      <c r="E14045" t="s">
        <v>441</v>
      </c>
      <c r="F14045">
        <v>1E-3</v>
      </c>
      <c r="H14045" t="s">
        <v>8584</v>
      </c>
      <c r="I14045">
        <v>720</v>
      </c>
      <c r="J14045" t="s">
        <v>450</v>
      </c>
      <c r="K14045" t="s">
        <v>446</v>
      </c>
      <c r="M14045">
        <v>0</v>
      </c>
    </row>
    <row r="14046" spans="1:13">
      <c r="A14046">
        <v>86300800</v>
      </c>
      <c r="B14046">
        <v>2003171</v>
      </c>
      <c r="C14046" t="s">
        <v>7000</v>
      </c>
      <c r="D14046" t="s">
        <v>442</v>
      </c>
      <c r="E14046" t="s">
        <v>441</v>
      </c>
      <c r="F14046">
        <v>1E-3</v>
      </c>
      <c r="H14046" t="s">
        <v>8581</v>
      </c>
      <c r="I14046">
        <v>720</v>
      </c>
      <c r="J14046" t="s">
        <v>450</v>
      </c>
      <c r="K14046" t="s">
        <v>446</v>
      </c>
      <c r="M14046">
        <v>0</v>
      </c>
    </row>
    <row r="14047" spans="1:13">
      <c r="A14047">
        <v>86300900</v>
      </c>
      <c r="B14047">
        <v>2003439</v>
      </c>
      <c r="C14047" t="s">
        <v>7001</v>
      </c>
      <c r="D14047" t="s">
        <v>442</v>
      </c>
      <c r="E14047" t="s">
        <v>441</v>
      </c>
      <c r="F14047">
        <v>1E-3</v>
      </c>
      <c r="I14047">
        <v>720</v>
      </c>
      <c r="J14047" t="s">
        <v>450</v>
      </c>
      <c r="K14047" t="s">
        <v>446</v>
      </c>
      <c r="M14047">
        <v>0</v>
      </c>
    </row>
    <row r="14048" spans="1:13">
      <c r="A14048">
        <v>86301000</v>
      </c>
      <c r="B14048">
        <v>2003440</v>
      </c>
      <c r="C14048" t="s">
        <v>17231</v>
      </c>
      <c r="D14048" t="s">
        <v>442</v>
      </c>
      <c r="E14048" t="s">
        <v>441</v>
      </c>
      <c r="F14048">
        <v>1E-3</v>
      </c>
      <c r="G14048">
        <v>0</v>
      </c>
      <c r="I14048">
        <v>720</v>
      </c>
      <c r="J14048" t="s">
        <v>450</v>
      </c>
      <c r="M14048">
        <v>0</v>
      </c>
    </row>
    <row r="14049" spans="1:13">
      <c r="A14049">
        <v>86301100</v>
      </c>
      <c r="B14049">
        <v>2003441</v>
      </c>
      <c r="C14049" t="s">
        <v>7002</v>
      </c>
      <c r="D14049" t="s">
        <v>442</v>
      </c>
      <c r="E14049" t="s">
        <v>441</v>
      </c>
      <c r="F14049">
        <v>1E-3</v>
      </c>
      <c r="H14049" t="s">
        <v>8584</v>
      </c>
      <c r="I14049">
        <v>720</v>
      </c>
      <c r="J14049" t="s">
        <v>450</v>
      </c>
      <c r="K14049" t="s">
        <v>446</v>
      </c>
      <c r="M14049">
        <v>0</v>
      </c>
    </row>
    <row r="14050" spans="1:13">
      <c r="A14050">
        <v>86301200</v>
      </c>
      <c r="B14050">
        <v>2003442</v>
      </c>
      <c r="C14050" t="s">
        <v>7003</v>
      </c>
      <c r="D14050" t="s">
        <v>442</v>
      </c>
      <c r="E14050" t="s">
        <v>441</v>
      </c>
      <c r="F14050">
        <v>1E-3</v>
      </c>
      <c r="H14050" t="s">
        <v>8580</v>
      </c>
      <c r="I14050">
        <v>720</v>
      </c>
      <c r="J14050" t="s">
        <v>450</v>
      </c>
      <c r="K14050" t="s">
        <v>446</v>
      </c>
      <c r="M14050">
        <v>0</v>
      </c>
    </row>
    <row r="14051" spans="1:13">
      <c r="A14051">
        <v>86301300</v>
      </c>
      <c r="B14051">
        <v>2003443</v>
      </c>
      <c r="C14051" t="s">
        <v>7004</v>
      </c>
      <c r="D14051" t="s">
        <v>442</v>
      </c>
      <c r="E14051" t="s">
        <v>441</v>
      </c>
      <c r="F14051">
        <v>1E-3</v>
      </c>
      <c r="H14051" t="s">
        <v>8580</v>
      </c>
      <c r="I14051">
        <v>720</v>
      </c>
      <c r="J14051" t="s">
        <v>450</v>
      </c>
      <c r="K14051" t="s">
        <v>446</v>
      </c>
      <c r="M14051">
        <v>0</v>
      </c>
    </row>
    <row r="14052" spans="1:13">
      <c r="A14052">
        <v>86301400</v>
      </c>
      <c r="B14052">
        <v>2003444</v>
      </c>
      <c r="C14052" t="s">
        <v>7005</v>
      </c>
      <c r="D14052" t="s">
        <v>442</v>
      </c>
      <c r="E14052" t="s">
        <v>441</v>
      </c>
      <c r="F14052">
        <v>1E-3</v>
      </c>
      <c r="H14052" t="s">
        <v>8580</v>
      </c>
      <c r="I14052">
        <v>720</v>
      </c>
      <c r="J14052" t="s">
        <v>450</v>
      </c>
      <c r="K14052" t="s">
        <v>446</v>
      </c>
      <c r="M14052">
        <v>0</v>
      </c>
    </row>
    <row r="14053" spans="1:13">
      <c r="A14053">
        <v>86301500</v>
      </c>
      <c r="B14053">
        <v>2003445</v>
      </c>
      <c r="C14053" t="s">
        <v>7006</v>
      </c>
      <c r="D14053" t="s">
        <v>442</v>
      </c>
      <c r="E14053" t="s">
        <v>441</v>
      </c>
      <c r="F14053">
        <v>1E-3</v>
      </c>
      <c r="H14053" t="s">
        <v>8584</v>
      </c>
      <c r="I14053">
        <v>720</v>
      </c>
      <c r="J14053" t="s">
        <v>450</v>
      </c>
      <c r="K14053" t="s">
        <v>446</v>
      </c>
      <c r="M14053">
        <v>0</v>
      </c>
    </row>
    <row r="14054" spans="1:13">
      <c r="A14054">
        <v>86301600</v>
      </c>
      <c r="B14054">
        <v>2003446</v>
      </c>
      <c r="C14054" t="s">
        <v>7007</v>
      </c>
      <c r="D14054" t="s">
        <v>442</v>
      </c>
      <c r="E14054" t="s">
        <v>441</v>
      </c>
      <c r="F14054">
        <v>1E-3</v>
      </c>
      <c r="H14054" t="s">
        <v>8584</v>
      </c>
      <c r="I14054">
        <v>720</v>
      </c>
      <c r="J14054" t="s">
        <v>450</v>
      </c>
      <c r="K14054" t="s">
        <v>446</v>
      </c>
      <c r="M14054">
        <v>0</v>
      </c>
    </row>
    <row r="14055" spans="1:13">
      <c r="A14055">
        <v>86301700</v>
      </c>
      <c r="B14055">
        <v>2003447</v>
      </c>
      <c r="C14055" t="s">
        <v>7008</v>
      </c>
      <c r="D14055" t="s">
        <v>442</v>
      </c>
      <c r="E14055" t="s">
        <v>441</v>
      </c>
      <c r="F14055">
        <v>1E-3</v>
      </c>
      <c r="H14055" t="s">
        <v>8584</v>
      </c>
      <c r="I14055">
        <v>720</v>
      </c>
      <c r="J14055" t="s">
        <v>450</v>
      </c>
      <c r="K14055" t="s">
        <v>446</v>
      </c>
      <c r="M14055">
        <v>0</v>
      </c>
    </row>
    <row r="14056" spans="1:13">
      <c r="A14056">
        <v>86301800</v>
      </c>
      <c r="B14056">
        <v>2003448</v>
      </c>
      <c r="C14056" t="s">
        <v>7009</v>
      </c>
      <c r="D14056" t="s">
        <v>442</v>
      </c>
      <c r="E14056" t="s">
        <v>441</v>
      </c>
      <c r="F14056">
        <v>1E-3</v>
      </c>
      <c r="H14056" t="s">
        <v>8584</v>
      </c>
      <c r="I14056">
        <v>720</v>
      </c>
      <c r="J14056" t="s">
        <v>450</v>
      </c>
      <c r="K14056" t="s">
        <v>446</v>
      </c>
      <c r="M14056">
        <v>0</v>
      </c>
    </row>
    <row r="14057" spans="1:13">
      <c r="A14057">
        <v>86301900</v>
      </c>
      <c r="B14057">
        <v>2003449</v>
      </c>
      <c r="C14057" t="s">
        <v>7010</v>
      </c>
      <c r="D14057" t="s">
        <v>442</v>
      </c>
      <c r="E14057" t="s">
        <v>441</v>
      </c>
      <c r="F14057">
        <v>1E-3</v>
      </c>
      <c r="H14057" t="s">
        <v>8584</v>
      </c>
      <c r="I14057">
        <v>720</v>
      </c>
      <c r="J14057" t="s">
        <v>450</v>
      </c>
      <c r="K14057" t="s">
        <v>446</v>
      </c>
      <c r="M14057">
        <v>0</v>
      </c>
    </row>
    <row r="14058" spans="1:13">
      <c r="A14058">
        <v>86302000</v>
      </c>
      <c r="B14058">
        <v>2003450</v>
      </c>
      <c r="C14058" t="s">
        <v>7011</v>
      </c>
      <c r="D14058" t="s">
        <v>442</v>
      </c>
      <c r="E14058" t="s">
        <v>441</v>
      </c>
      <c r="F14058">
        <v>1E-3</v>
      </c>
      <c r="H14058" t="s">
        <v>8584</v>
      </c>
      <c r="I14058">
        <v>720</v>
      </c>
      <c r="J14058" t="s">
        <v>450</v>
      </c>
      <c r="K14058" t="s">
        <v>446</v>
      </c>
      <c r="M14058">
        <v>0</v>
      </c>
    </row>
    <row r="14059" spans="1:13">
      <c r="A14059">
        <v>86302100</v>
      </c>
      <c r="B14059">
        <v>2003451</v>
      </c>
      <c r="C14059" t="s">
        <v>7012</v>
      </c>
      <c r="D14059" t="s">
        <v>442</v>
      </c>
      <c r="E14059" t="s">
        <v>441</v>
      </c>
      <c r="F14059">
        <v>1E-3</v>
      </c>
      <c r="H14059" t="s">
        <v>8584</v>
      </c>
      <c r="I14059">
        <v>720</v>
      </c>
      <c r="J14059" t="s">
        <v>450</v>
      </c>
      <c r="K14059" t="s">
        <v>446</v>
      </c>
      <c r="M14059">
        <v>0</v>
      </c>
    </row>
    <row r="14060" spans="1:13">
      <c r="A14060">
        <v>86302200</v>
      </c>
      <c r="B14060">
        <v>2003452</v>
      </c>
      <c r="C14060" t="s">
        <v>7013</v>
      </c>
      <c r="D14060" t="s">
        <v>442</v>
      </c>
      <c r="E14060" t="s">
        <v>441</v>
      </c>
      <c r="F14060">
        <v>1E-3</v>
      </c>
      <c r="H14060" t="s">
        <v>8584</v>
      </c>
      <c r="I14060">
        <v>720</v>
      </c>
      <c r="J14060" t="s">
        <v>450</v>
      </c>
      <c r="K14060" t="s">
        <v>446</v>
      </c>
      <c r="M14060">
        <v>0</v>
      </c>
    </row>
    <row r="14061" spans="1:13">
      <c r="A14061">
        <v>86302300</v>
      </c>
      <c r="B14061">
        <v>2003453</v>
      </c>
      <c r="C14061" t="s">
        <v>7014</v>
      </c>
      <c r="D14061" t="s">
        <v>442</v>
      </c>
      <c r="E14061" t="s">
        <v>441</v>
      </c>
      <c r="F14061">
        <v>1E-3</v>
      </c>
      <c r="H14061" t="s">
        <v>8584</v>
      </c>
      <c r="I14061">
        <v>720</v>
      </c>
      <c r="J14061" t="s">
        <v>450</v>
      </c>
      <c r="K14061" t="s">
        <v>446</v>
      </c>
      <c r="M14061">
        <v>0</v>
      </c>
    </row>
    <row r="14062" spans="1:13">
      <c r="A14062">
        <v>86302400</v>
      </c>
      <c r="B14062">
        <v>2003454</v>
      </c>
      <c r="C14062" t="s">
        <v>7015</v>
      </c>
      <c r="D14062" t="s">
        <v>442</v>
      </c>
      <c r="E14062" t="s">
        <v>441</v>
      </c>
      <c r="F14062">
        <v>1E-3</v>
      </c>
      <c r="H14062" t="s">
        <v>8584</v>
      </c>
      <c r="I14062">
        <v>720</v>
      </c>
      <c r="J14062" t="s">
        <v>450</v>
      </c>
      <c r="K14062" t="s">
        <v>446</v>
      </c>
      <c r="M14062">
        <v>0</v>
      </c>
    </row>
    <row r="14063" spans="1:13">
      <c r="A14063">
        <v>86302500</v>
      </c>
      <c r="B14063">
        <v>2003455</v>
      </c>
      <c r="C14063" t="s">
        <v>7016</v>
      </c>
      <c r="D14063" t="s">
        <v>442</v>
      </c>
      <c r="E14063" t="s">
        <v>441</v>
      </c>
      <c r="F14063">
        <v>1E-3</v>
      </c>
      <c r="H14063" t="s">
        <v>8584</v>
      </c>
      <c r="I14063">
        <v>720</v>
      </c>
      <c r="J14063" t="s">
        <v>450</v>
      </c>
      <c r="K14063" t="s">
        <v>446</v>
      </c>
      <c r="M14063">
        <v>0</v>
      </c>
    </row>
    <row r="14064" spans="1:13">
      <c r="A14064">
        <v>86302600</v>
      </c>
      <c r="B14064">
        <v>2003456</v>
      </c>
      <c r="C14064" t="s">
        <v>7017</v>
      </c>
      <c r="D14064" t="s">
        <v>442</v>
      </c>
      <c r="E14064" t="s">
        <v>441</v>
      </c>
      <c r="F14064">
        <v>1E-3</v>
      </c>
      <c r="H14064" t="s">
        <v>8584</v>
      </c>
      <c r="I14064">
        <v>720</v>
      </c>
      <c r="J14064" t="s">
        <v>450</v>
      </c>
      <c r="K14064" t="s">
        <v>446</v>
      </c>
      <c r="M14064">
        <v>0</v>
      </c>
    </row>
    <row r="14065" spans="1:13">
      <c r="A14065">
        <v>86302700</v>
      </c>
      <c r="B14065">
        <v>2003457</v>
      </c>
      <c r="C14065" t="s">
        <v>14070</v>
      </c>
      <c r="D14065" t="s">
        <v>442</v>
      </c>
      <c r="E14065" t="s">
        <v>441</v>
      </c>
      <c r="F14065">
        <v>1E-3</v>
      </c>
      <c r="H14065" t="s">
        <v>8584</v>
      </c>
      <c r="I14065">
        <v>720</v>
      </c>
      <c r="J14065" t="s">
        <v>450</v>
      </c>
      <c r="K14065" t="s">
        <v>446</v>
      </c>
      <c r="M14065">
        <v>0</v>
      </c>
    </row>
    <row r="14066" spans="1:13">
      <c r="A14066">
        <v>86302800</v>
      </c>
      <c r="B14066">
        <v>2003458</v>
      </c>
      <c r="C14066" t="s">
        <v>7018</v>
      </c>
      <c r="D14066" t="s">
        <v>442</v>
      </c>
      <c r="E14066" t="s">
        <v>441</v>
      </c>
      <c r="F14066">
        <v>1E-3</v>
      </c>
      <c r="H14066" t="s">
        <v>8584</v>
      </c>
      <c r="I14066">
        <v>720</v>
      </c>
      <c r="J14066" t="s">
        <v>450</v>
      </c>
      <c r="K14066" t="s">
        <v>446</v>
      </c>
      <c r="M14066">
        <v>0</v>
      </c>
    </row>
    <row r="14067" spans="1:13">
      <c r="A14067">
        <v>86302900</v>
      </c>
      <c r="B14067">
        <v>2003459</v>
      </c>
      <c r="C14067" t="s">
        <v>7019</v>
      </c>
      <c r="D14067" t="s">
        <v>442</v>
      </c>
      <c r="E14067" t="s">
        <v>441</v>
      </c>
      <c r="F14067">
        <v>1E-3</v>
      </c>
      <c r="H14067" t="s">
        <v>8584</v>
      </c>
      <c r="I14067">
        <v>720</v>
      </c>
      <c r="J14067" t="s">
        <v>450</v>
      </c>
      <c r="K14067" t="s">
        <v>446</v>
      </c>
      <c r="M14067">
        <v>0</v>
      </c>
    </row>
    <row r="14068" spans="1:13">
      <c r="A14068">
        <v>86303000</v>
      </c>
      <c r="B14068">
        <v>2003460</v>
      </c>
      <c r="C14068" t="s">
        <v>7020</v>
      </c>
      <c r="D14068" t="s">
        <v>442</v>
      </c>
      <c r="E14068" t="s">
        <v>441</v>
      </c>
      <c r="F14068">
        <v>1E-3</v>
      </c>
      <c r="H14068" t="s">
        <v>8580</v>
      </c>
      <c r="I14068">
        <v>720</v>
      </c>
      <c r="J14068" t="s">
        <v>450</v>
      </c>
      <c r="K14068" t="s">
        <v>446</v>
      </c>
      <c r="M14068">
        <v>0</v>
      </c>
    </row>
    <row r="14069" spans="1:13">
      <c r="A14069">
        <v>86303100</v>
      </c>
      <c r="B14069">
        <v>2003461</v>
      </c>
      <c r="C14069" t="s">
        <v>7021</v>
      </c>
      <c r="D14069" t="s">
        <v>442</v>
      </c>
      <c r="E14069" t="s">
        <v>441</v>
      </c>
      <c r="F14069">
        <v>1E-3</v>
      </c>
      <c r="H14069" t="s">
        <v>8584</v>
      </c>
      <c r="I14069">
        <v>720</v>
      </c>
      <c r="J14069" t="s">
        <v>450</v>
      </c>
      <c r="K14069" t="s">
        <v>446</v>
      </c>
      <c r="M14069">
        <v>0</v>
      </c>
    </row>
    <row r="14070" spans="1:13">
      <c r="A14070">
        <v>86303200</v>
      </c>
      <c r="B14070">
        <v>2003462</v>
      </c>
      <c r="C14070" t="s">
        <v>7022</v>
      </c>
      <c r="D14070" t="s">
        <v>442</v>
      </c>
      <c r="E14070" t="s">
        <v>441</v>
      </c>
      <c r="F14070">
        <v>1E-3</v>
      </c>
      <c r="H14070" t="s">
        <v>8580</v>
      </c>
      <c r="I14070">
        <v>720</v>
      </c>
      <c r="J14070" t="s">
        <v>450</v>
      </c>
      <c r="K14070" t="s">
        <v>446</v>
      </c>
      <c r="M14070">
        <v>0</v>
      </c>
    </row>
    <row r="14071" spans="1:13">
      <c r="A14071">
        <v>86303300</v>
      </c>
      <c r="B14071">
        <v>2003463</v>
      </c>
      <c r="C14071" t="s">
        <v>7023</v>
      </c>
      <c r="D14071" t="s">
        <v>442</v>
      </c>
      <c r="E14071" t="s">
        <v>441</v>
      </c>
      <c r="F14071">
        <v>1E-3</v>
      </c>
      <c r="H14071" t="s">
        <v>8584</v>
      </c>
      <c r="I14071">
        <v>720</v>
      </c>
      <c r="J14071" t="s">
        <v>450</v>
      </c>
      <c r="K14071" t="s">
        <v>446</v>
      </c>
      <c r="M14071">
        <v>0</v>
      </c>
    </row>
    <row r="14072" spans="1:13">
      <c r="A14072">
        <v>86303400</v>
      </c>
      <c r="B14072">
        <v>2003464</v>
      </c>
      <c r="C14072" t="s">
        <v>7024</v>
      </c>
      <c r="D14072" t="s">
        <v>442</v>
      </c>
      <c r="E14072" t="s">
        <v>441</v>
      </c>
      <c r="F14072">
        <v>1E-3</v>
      </c>
      <c r="H14072" t="s">
        <v>8584</v>
      </c>
      <c r="I14072">
        <v>720</v>
      </c>
      <c r="J14072" t="s">
        <v>450</v>
      </c>
      <c r="K14072" t="s">
        <v>446</v>
      </c>
      <c r="M14072">
        <v>0</v>
      </c>
    </row>
    <row r="14073" spans="1:13">
      <c r="A14073">
        <v>86303500</v>
      </c>
      <c r="B14073">
        <v>2003465</v>
      </c>
      <c r="C14073" t="s">
        <v>7025</v>
      </c>
      <c r="D14073" t="s">
        <v>442</v>
      </c>
      <c r="E14073" t="s">
        <v>441</v>
      </c>
      <c r="F14073">
        <v>1E-3</v>
      </c>
      <c r="H14073" t="s">
        <v>8584</v>
      </c>
      <c r="I14073">
        <v>720</v>
      </c>
      <c r="J14073" t="s">
        <v>450</v>
      </c>
      <c r="K14073" t="s">
        <v>446</v>
      </c>
      <c r="M14073">
        <v>0</v>
      </c>
    </row>
    <row r="14074" spans="1:13">
      <c r="A14074">
        <v>86303600</v>
      </c>
      <c r="B14074">
        <v>2003466</v>
      </c>
      <c r="C14074" t="s">
        <v>14071</v>
      </c>
      <c r="D14074" t="s">
        <v>442</v>
      </c>
      <c r="E14074" t="s">
        <v>441</v>
      </c>
      <c r="F14074">
        <v>1E-3</v>
      </c>
      <c r="H14074" t="s">
        <v>8584</v>
      </c>
      <c r="I14074">
        <v>720</v>
      </c>
      <c r="J14074" t="s">
        <v>450</v>
      </c>
      <c r="K14074" t="s">
        <v>446</v>
      </c>
      <c r="M14074">
        <v>0</v>
      </c>
    </row>
    <row r="14075" spans="1:13">
      <c r="A14075">
        <v>86303700</v>
      </c>
      <c r="B14075">
        <v>2003467</v>
      </c>
      <c r="C14075" t="s">
        <v>14072</v>
      </c>
      <c r="D14075" t="s">
        <v>442</v>
      </c>
      <c r="E14075" t="s">
        <v>441</v>
      </c>
      <c r="F14075">
        <v>1E-3</v>
      </c>
      <c r="H14075" t="s">
        <v>8584</v>
      </c>
      <c r="I14075">
        <v>720</v>
      </c>
      <c r="J14075" t="s">
        <v>450</v>
      </c>
      <c r="K14075" t="s">
        <v>446</v>
      </c>
      <c r="M14075">
        <v>0</v>
      </c>
    </row>
    <row r="14076" spans="1:13">
      <c r="A14076">
        <v>86303800</v>
      </c>
      <c r="B14076">
        <v>2003468</v>
      </c>
      <c r="C14076" t="s">
        <v>14073</v>
      </c>
      <c r="D14076" t="s">
        <v>442</v>
      </c>
      <c r="E14076" t="s">
        <v>441</v>
      </c>
      <c r="F14076">
        <v>1E-3</v>
      </c>
      <c r="H14076" t="s">
        <v>8584</v>
      </c>
      <c r="I14076">
        <v>720</v>
      </c>
      <c r="J14076" t="s">
        <v>450</v>
      </c>
      <c r="K14076" t="s">
        <v>446</v>
      </c>
      <c r="M14076">
        <v>0</v>
      </c>
    </row>
    <row r="14077" spans="1:13">
      <c r="A14077">
        <v>86303900</v>
      </c>
      <c r="B14077">
        <v>2003469</v>
      </c>
      <c r="C14077" t="s">
        <v>14074</v>
      </c>
      <c r="D14077" t="s">
        <v>442</v>
      </c>
      <c r="E14077" t="s">
        <v>441</v>
      </c>
      <c r="F14077">
        <v>1E-3</v>
      </c>
      <c r="H14077" t="s">
        <v>8584</v>
      </c>
      <c r="I14077">
        <v>720</v>
      </c>
      <c r="J14077" t="s">
        <v>450</v>
      </c>
      <c r="K14077" t="s">
        <v>446</v>
      </c>
      <c r="M14077">
        <v>0</v>
      </c>
    </row>
    <row r="14078" spans="1:13">
      <c r="A14078">
        <v>86304000</v>
      </c>
      <c r="B14078">
        <v>2003470</v>
      </c>
      <c r="C14078" t="s">
        <v>7026</v>
      </c>
      <c r="D14078" t="s">
        <v>442</v>
      </c>
      <c r="E14078" t="s">
        <v>441</v>
      </c>
      <c r="F14078">
        <v>1E-3</v>
      </c>
      <c r="H14078" t="s">
        <v>8584</v>
      </c>
      <c r="I14078">
        <v>720</v>
      </c>
      <c r="J14078" t="s">
        <v>450</v>
      </c>
      <c r="K14078" t="s">
        <v>446</v>
      </c>
      <c r="M14078">
        <v>0</v>
      </c>
    </row>
    <row r="14079" spans="1:13">
      <c r="A14079">
        <v>86304100</v>
      </c>
      <c r="B14079">
        <v>2003471</v>
      </c>
      <c r="C14079" t="s">
        <v>7027</v>
      </c>
      <c r="D14079" t="s">
        <v>442</v>
      </c>
      <c r="E14079" t="s">
        <v>441</v>
      </c>
      <c r="F14079">
        <v>1E-3</v>
      </c>
      <c r="H14079" t="s">
        <v>8584</v>
      </c>
      <c r="I14079">
        <v>720</v>
      </c>
      <c r="J14079" t="s">
        <v>450</v>
      </c>
      <c r="K14079" t="s">
        <v>446</v>
      </c>
      <c r="M14079">
        <v>0</v>
      </c>
    </row>
    <row r="14080" spans="1:13">
      <c r="A14080">
        <v>86304200</v>
      </c>
      <c r="B14080">
        <v>2003472</v>
      </c>
      <c r="C14080" t="s">
        <v>7028</v>
      </c>
      <c r="D14080" t="s">
        <v>442</v>
      </c>
      <c r="E14080" t="s">
        <v>441</v>
      </c>
      <c r="F14080">
        <v>1E-3</v>
      </c>
      <c r="H14080" t="s">
        <v>8584</v>
      </c>
      <c r="I14080">
        <v>720</v>
      </c>
      <c r="J14080" t="s">
        <v>450</v>
      </c>
      <c r="K14080" t="s">
        <v>446</v>
      </c>
      <c r="M14080">
        <v>0</v>
      </c>
    </row>
    <row r="14081" spans="1:13">
      <c r="A14081">
        <v>86304300</v>
      </c>
      <c r="B14081">
        <v>2003473</v>
      </c>
      <c r="C14081" t="s">
        <v>7029</v>
      </c>
      <c r="D14081" t="s">
        <v>442</v>
      </c>
      <c r="E14081" t="s">
        <v>441</v>
      </c>
      <c r="F14081">
        <v>1E-3</v>
      </c>
      <c r="H14081" t="s">
        <v>8584</v>
      </c>
      <c r="I14081">
        <v>720</v>
      </c>
      <c r="J14081" t="s">
        <v>450</v>
      </c>
      <c r="K14081" t="s">
        <v>446</v>
      </c>
      <c r="M14081">
        <v>0</v>
      </c>
    </row>
    <row r="14082" spans="1:13">
      <c r="A14082">
        <v>86304400</v>
      </c>
      <c r="B14082">
        <v>2003474</v>
      </c>
      <c r="C14082" t="s">
        <v>7030</v>
      </c>
      <c r="D14082" t="s">
        <v>442</v>
      </c>
      <c r="E14082" t="s">
        <v>441</v>
      </c>
      <c r="F14082">
        <v>1E-3</v>
      </c>
      <c r="H14082" t="s">
        <v>8584</v>
      </c>
      <c r="I14082">
        <v>720</v>
      </c>
      <c r="J14082" t="s">
        <v>450</v>
      </c>
      <c r="K14082" t="s">
        <v>446</v>
      </c>
      <c r="M14082">
        <v>0</v>
      </c>
    </row>
    <row r="14083" spans="1:13">
      <c r="A14083">
        <v>86304500</v>
      </c>
      <c r="B14083">
        <v>2003475</v>
      </c>
      <c r="C14083" t="s">
        <v>7031</v>
      </c>
      <c r="D14083" t="s">
        <v>442</v>
      </c>
      <c r="E14083" t="s">
        <v>441</v>
      </c>
      <c r="F14083">
        <v>1E-3</v>
      </c>
      <c r="H14083" t="s">
        <v>8580</v>
      </c>
      <c r="I14083">
        <v>720</v>
      </c>
      <c r="J14083" t="s">
        <v>450</v>
      </c>
      <c r="K14083" t="s">
        <v>446</v>
      </c>
      <c r="M14083">
        <v>0</v>
      </c>
    </row>
    <row r="14084" spans="1:13">
      <c r="A14084">
        <v>86304600</v>
      </c>
      <c r="B14084">
        <v>2003476</v>
      </c>
      <c r="C14084" t="s">
        <v>7032</v>
      </c>
      <c r="D14084" t="s">
        <v>442</v>
      </c>
      <c r="E14084" t="s">
        <v>441</v>
      </c>
      <c r="F14084">
        <v>1E-3</v>
      </c>
      <c r="H14084" t="s">
        <v>8580</v>
      </c>
      <c r="I14084">
        <v>720</v>
      </c>
      <c r="J14084" t="s">
        <v>450</v>
      </c>
      <c r="K14084" t="s">
        <v>446</v>
      </c>
      <c r="M14084">
        <v>0</v>
      </c>
    </row>
    <row r="14085" spans="1:13">
      <c r="A14085">
        <v>86304700</v>
      </c>
      <c r="B14085">
        <v>2003477</v>
      </c>
      <c r="C14085" t="s">
        <v>7033</v>
      </c>
      <c r="D14085" t="s">
        <v>442</v>
      </c>
      <c r="E14085" t="s">
        <v>441</v>
      </c>
      <c r="F14085">
        <v>1E-3</v>
      </c>
      <c r="H14085" t="s">
        <v>8580</v>
      </c>
      <c r="I14085">
        <v>720</v>
      </c>
      <c r="J14085" t="s">
        <v>450</v>
      </c>
      <c r="K14085" t="s">
        <v>446</v>
      </c>
      <c r="M14085">
        <v>0</v>
      </c>
    </row>
    <row r="14086" spans="1:13">
      <c r="A14086">
        <v>86304800</v>
      </c>
      <c r="B14086">
        <v>2003478</v>
      </c>
      <c r="C14086" t="s">
        <v>7034</v>
      </c>
      <c r="D14086" t="s">
        <v>442</v>
      </c>
      <c r="E14086" t="s">
        <v>441</v>
      </c>
      <c r="F14086">
        <v>1E-3</v>
      </c>
      <c r="H14086" t="s">
        <v>8584</v>
      </c>
      <c r="I14086">
        <v>720</v>
      </c>
      <c r="J14086" t="s">
        <v>450</v>
      </c>
      <c r="K14086" t="s">
        <v>446</v>
      </c>
      <c r="M14086">
        <v>0</v>
      </c>
    </row>
    <row r="14087" spans="1:13">
      <c r="A14087">
        <v>86304900</v>
      </c>
      <c r="B14087">
        <v>2003479</v>
      </c>
      <c r="C14087" t="s">
        <v>7035</v>
      </c>
      <c r="D14087" t="s">
        <v>442</v>
      </c>
      <c r="E14087" t="s">
        <v>441</v>
      </c>
      <c r="F14087">
        <v>1E-3</v>
      </c>
      <c r="H14087" t="s">
        <v>8584</v>
      </c>
      <c r="I14087">
        <v>720</v>
      </c>
      <c r="J14087" t="s">
        <v>450</v>
      </c>
      <c r="K14087" t="s">
        <v>446</v>
      </c>
      <c r="M14087">
        <v>0</v>
      </c>
    </row>
    <row r="14088" spans="1:13">
      <c r="A14088">
        <v>86305000</v>
      </c>
      <c r="B14088">
        <v>2003480</v>
      </c>
      <c r="C14088" t="s">
        <v>7036</v>
      </c>
      <c r="D14088" t="s">
        <v>442</v>
      </c>
      <c r="E14088" t="s">
        <v>441</v>
      </c>
      <c r="F14088">
        <v>1E-3</v>
      </c>
      <c r="H14088" t="s">
        <v>8584</v>
      </c>
      <c r="I14088">
        <v>720</v>
      </c>
      <c r="J14088" t="s">
        <v>450</v>
      </c>
      <c r="K14088" t="s">
        <v>446</v>
      </c>
      <c r="M14088">
        <v>0</v>
      </c>
    </row>
    <row r="14089" spans="1:13">
      <c r="A14089">
        <v>86305100</v>
      </c>
      <c r="B14089">
        <v>2003481</v>
      </c>
      <c r="C14089" t="s">
        <v>7037</v>
      </c>
      <c r="D14089" t="s">
        <v>442</v>
      </c>
      <c r="E14089" t="s">
        <v>441</v>
      </c>
      <c r="F14089">
        <v>1E-3</v>
      </c>
      <c r="H14089" t="s">
        <v>8584</v>
      </c>
      <c r="I14089">
        <v>720</v>
      </c>
      <c r="J14089" t="s">
        <v>450</v>
      </c>
      <c r="K14089" t="s">
        <v>446</v>
      </c>
      <c r="M14089">
        <v>0</v>
      </c>
    </row>
    <row r="14090" spans="1:13">
      <c r="A14090">
        <v>86305200</v>
      </c>
      <c r="B14090">
        <v>2003482</v>
      </c>
      <c r="C14090" t="s">
        <v>7038</v>
      </c>
      <c r="D14090" t="s">
        <v>442</v>
      </c>
      <c r="E14090" t="s">
        <v>441</v>
      </c>
      <c r="F14090">
        <v>1E-3</v>
      </c>
      <c r="H14090" t="s">
        <v>8584</v>
      </c>
      <c r="I14090">
        <v>720</v>
      </c>
      <c r="J14090" t="s">
        <v>450</v>
      </c>
      <c r="K14090" t="s">
        <v>446</v>
      </c>
      <c r="M14090">
        <v>0</v>
      </c>
    </row>
    <row r="14091" spans="1:13">
      <c r="A14091">
        <v>86305300</v>
      </c>
      <c r="B14091">
        <v>2003483</v>
      </c>
      <c r="C14091" t="s">
        <v>7039</v>
      </c>
      <c r="D14091" t="s">
        <v>442</v>
      </c>
      <c r="E14091" t="s">
        <v>441</v>
      </c>
      <c r="F14091">
        <v>1E-3</v>
      </c>
      <c r="H14091" t="s">
        <v>8584</v>
      </c>
      <c r="I14091">
        <v>720</v>
      </c>
      <c r="J14091" t="s">
        <v>450</v>
      </c>
      <c r="K14091" t="s">
        <v>446</v>
      </c>
      <c r="M14091">
        <v>0</v>
      </c>
    </row>
    <row r="14092" spans="1:13">
      <c r="A14092">
        <v>86305400</v>
      </c>
      <c r="B14092">
        <v>2003557</v>
      </c>
      <c r="C14092" t="s">
        <v>7040</v>
      </c>
      <c r="D14092" t="s">
        <v>442</v>
      </c>
      <c r="E14092" t="s">
        <v>441</v>
      </c>
      <c r="F14092">
        <v>1E-3</v>
      </c>
      <c r="H14092" t="s">
        <v>8584</v>
      </c>
      <c r="I14092">
        <v>730</v>
      </c>
      <c r="J14092" t="s">
        <v>450</v>
      </c>
      <c r="K14092" t="s">
        <v>446</v>
      </c>
      <c r="M14092">
        <v>0</v>
      </c>
    </row>
    <row r="14093" spans="1:13">
      <c r="A14093">
        <v>86305500</v>
      </c>
      <c r="B14093">
        <v>2003503</v>
      </c>
      <c r="C14093" t="s">
        <v>7041</v>
      </c>
      <c r="D14093" t="s">
        <v>442</v>
      </c>
      <c r="E14093" t="s">
        <v>441</v>
      </c>
      <c r="F14093">
        <v>1E-3</v>
      </c>
      <c r="H14093" t="s">
        <v>8581</v>
      </c>
      <c r="I14093">
        <v>360</v>
      </c>
      <c r="J14093" t="s">
        <v>450</v>
      </c>
      <c r="K14093" t="s">
        <v>446</v>
      </c>
      <c r="M14093">
        <v>0</v>
      </c>
    </row>
    <row r="14094" spans="1:13">
      <c r="A14094">
        <v>86305600</v>
      </c>
      <c r="B14094">
        <v>2003501</v>
      </c>
      <c r="C14094" t="s">
        <v>7042</v>
      </c>
      <c r="D14094" t="s">
        <v>442</v>
      </c>
      <c r="F14094">
        <v>0</v>
      </c>
      <c r="H14094" t="s">
        <v>8581</v>
      </c>
      <c r="I14094">
        <v>730</v>
      </c>
      <c r="J14094" t="s">
        <v>450</v>
      </c>
      <c r="K14094" t="s">
        <v>446</v>
      </c>
      <c r="M14094">
        <v>0</v>
      </c>
    </row>
    <row r="14095" spans="1:13">
      <c r="A14095">
        <v>86305700</v>
      </c>
      <c r="B14095">
        <v>2003499</v>
      </c>
      <c r="C14095" t="s">
        <v>7043</v>
      </c>
      <c r="D14095" t="s">
        <v>442</v>
      </c>
      <c r="F14095">
        <v>0</v>
      </c>
      <c r="H14095" t="s">
        <v>8581</v>
      </c>
      <c r="I14095">
        <v>730</v>
      </c>
      <c r="J14095" t="s">
        <v>450</v>
      </c>
      <c r="K14095" t="s">
        <v>446</v>
      </c>
      <c r="M14095">
        <v>0</v>
      </c>
    </row>
    <row r="14096" spans="1:13">
      <c r="A14096">
        <v>86305800</v>
      </c>
      <c r="B14096">
        <v>2003498</v>
      </c>
      <c r="C14096" t="s">
        <v>7044</v>
      </c>
      <c r="D14096" t="s">
        <v>442</v>
      </c>
      <c r="F14096">
        <v>0</v>
      </c>
      <c r="H14096" t="s">
        <v>8581</v>
      </c>
      <c r="I14096">
        <v>730</v>
      </c>
      <c r="J14096" t="s">
        <v>450</v>
      </c>
      <c r="K14096" t="s">
        <v>446</v>
      </c>
      <c r="M14096">
        <v>0</v>
      </c>
    </row>
    <row r="14097" spans="1:13">
      <c r="A14097">
        <v>86305900</v>
      </c>
      <c r="B14097">
        <v>2003500</v>
      </c>
      <c r="C14097" t="s">
        <v>7045</v>
      </c>
      <c r="D14097" t="s">
        <v>442</v>
      </c>
      <c r="F14097">
        <v>0</v>
      </c>
      <c r="H14097" t="s">
        <v>8581</v>
      </c>
      <c r="I14097">
        <v>730</v>
      </c>
      <c r="J14097" t="s">
        <v>450</v>
      </c>
      <c r="K14097" t="s">
        <v>446</v>
      </c>
      <c r="M14097">
        <v>0</v>
      </c>
    </row>
    <row r="14098" spans="1:13">
      <c r="A14098">
        <v>86306100</v>
      </c>
      <c r="B14098">
        <v>2003504</v>
      </c>
      <c r="C14098" t="s">
        <v>7046</v>
      </c>
      <c r="D14098" t="s">
        <v>442</v>
      </c>
      <c r="F14098">
        <v>0</v>
      </c>
      <c r="H14098" t="s">
        <v>8581</v>
      </c>
      <c r="I14098">
        <v>730</v>
      </c>
      <c r="J14098" t="s">
        <v>450</v>
      </c>
      <c r="K14098" t="s">
        <v>446</v>
      </c>
      <c r="M14098">
        <v>0</v>
      </c>
    </row>
    <row r="14099" spans="1:13">
      <c r="A14099">
        <v>86306200</v>
      </c>
      <c r="B14099">
        <v>2003497</v>
      </c>
      <c r="C14099" t="s">
        <v>7047</v>
      </c>
      <c r="D14099" t="s">
        <v>442</v>
      </c>
      <c r="F14099">
        <v>0</v>
      </c>
      <c r="H14099" t="s">
        <v>8581</v>
      </c>
      <c r="I14099">
        <v>730</v>
      </c>
      <c r="J14099" t="s">
        <v>450</v>
      </c>
      <c r="K14099" t="s">
        <v>446</v>
      </c>
      <c r="M14099">
        <v>0</v>
      </c>
    </row>
    <row r="14100" spans="1:13">
      <c r="A14100">
        <v>86306300</v>
      </c>
      <c r="B14100">
        <v>2003502</v>
      </c>
      <c r="C14100" t="s">
        <v>17232</v>
      </c>
      <c r="D14100" t="s">
        <v>442</v>
      </c>
      <c r="E14100" t="s">
        <v>441</v>
      </c>
      <c r="F14100">
        <v>1E-3</v>
      </c>
      <c r="H14100" t="s">
        <v>8581</v>
      </c>
      <c r="I14100">
        <v>730</v>
      </c>
      <c r="J14100" t="s">
        <v>450</v>
      </c>
      <c r="M14100">
        <v>0</v>
      </c>
    </row>
    <row r="14101" spans="1:13">
      <c r="A14101">
        <v>86306400</v>
      </c>
      <c r="B14101">
        <v>2003610</v>
      </c>
      <c r="C14101" t="s">
        <v>7048</v>
      </c>
      <c r="D14101" t="s">
        <v>442</v>
      </c>
      <c r="F14101">
        <v>0</v>
      </c>
      <c r="H14101" t="s">
        <v>8581</v>
      </c>
      <c r="I14101">
        <v>730</v>
      </c>
      <c r="J14101" t="s">
        <v>450</v>
      </c>
      <c r="K14101" t="s">
        <v>446</v>
      </c>
      <c r="M14101">
        <v>0</v>
      </c>
    </row>
    <row r="14102" spans="1:13">
      <c r="A14102">
        <v>86306500</v>
      </c>
      <c r="B14102">
        <v>2003617</v>
      </c>
      <c r="C14102" t="s">
        <v>7049</v>
      </c>
      <c r="D14102" t="s">
        <v>442</v>
      </c>
      <c r="F14102">
        <v>0</v>
      </c>
      <c r="H14102" t="s">
        <v>8581</v>
      </c>
      <c r="I14102">
        <v>720</v>
      </c>
      <c r="J14102" t="s">
        <v>450</v>
      </c>
      <c r="K14102" t="s">
        <v>446</v>
      </c>
      <c r="M14102">
        <v>0</v>
      </c>
    </row>
    <row r="14103" spans="1:13">
      <c r="A14103">
        <v>86306600</v>
      </c>
      <c r="B14103">
        <v>2003613</v>
      </c>
      <c r="C14103" t="s">
        <v>7050</v>
      </c>
      <c r="D14103" t="s">
        <v>442</v>
      </c>
      <c r="F14103">
        <v>0</v>
      </c>
      <c r="H14103" t="s">
        <v>8581</v>
      </c>
      <c r="I14103">
        <v>720</v>
      </c>
      <c r="J14103" t="s">
        <v>450</v>
      </c>
      <c r="K14103" t="s">
        <v>446</v>
      </c>
      <c r="M14103">
        <v>0</v>
      </c>
    </row>
    <row r="14104" spans="1:13">
      <c r="A14104">
        <v>86306700</v>
      </c>
      <c r="B14104">
        <v>2003618</v>
      </c>
      <c r="C14104" t="s">
        <v>7051</v>
      </c>
      <c r="D14104" t="s">
        <v>442</v>
      </c>
      <c r="F14104">
        <v>0</v>
      </c>
      <c r="H14104" t="s">
        <v>8581</v>
      </c>
      <c r="I14104">
        <v>720</v>
      </c>
      <c r="J14104" t="s">
        <v>450</v>
      </c>
      <c r="K14104" t="s">
        <v>446</v>
      </c>
      <c r="M14104">
        <v>0</v>
      </c>
    </row>
    <row r="14105" spans="1:13">
      <c r="A14105">
        <v>86306800</v>
      </c>
      <c r="B14105">
        <v>2003619</v>
      </c>
      <c r="C14105" t="s">
        <v>7052</v>
      </c>
      <c r="D14105" t="s">
        <v>442</v>
      </c>
      <c r="F14105">
        <v>0</v>
      </c>
      <c r="H14105" t="s">
        <v>8581</v>
      </c>
      <c r="I14105">
        <v>720</v>
      </c>
      <c r="J14105" t="s">
        <v>450</v>
      </c>
      <c r="K14105" t="s">
        <v>446</v>
      </c>
      <c r="M14105">
        <v>0</v>
      </c>
    </row>
    <row r="14106" spans="1:13">
      <c r="A14106">
        <v>86306900</v>
      </c>
      <c r="B14106">
        <v>2003620</v>
      </c>
      <c r="C14106" t="s">
        <v>7053</v>
      </c>
      <c r="D14106" t="s">
        <v>442</v>
      </c>
      <c r="F14106">
        <v>0</v>
      </c>
      <c r="H14106" t="s">
        <v>8581</v>
      </c>
      <c r="I14106">
        <v>720</v>
      </c>
      <c r="J14106" t="s">
        <v>450</v>
      </c>
      <c r="K14106" t="s">
        <v>446</v>
      </c>
      <c r="M14106">
        <v>0</v>
      </c>
    </row>
    <row r="14107" spans="1:13">
      <c r="A14107">
        <v>86307000</v>
      </c>
      <c r="B14107">
        <v>2003615</v>
      </c>
      <c r="C14107" t="s">
        <v>14075</v>
      </c>
      <c r="D14107" t="s">
        <v>442</v>
      </c>
      <c r="F14107">
        <v>0</v>
      </c>
      <c r="H14107" t="s">
        <v>8581</v>
      </c>
      <c r="I14107">
        <v>720</v>
      </c>
      <c r="J14107" t="s">
        <v>450</v>
      </c>
      <c r="K14107" t="s">
        <v>446</v>
      </c>
      <c r="M14107">
        <v>0</v>
      </c>
    </row>
    <row r="14108" spans="1:13">
      <c r="A14108">
        <v>86307100</v>
      </c>
      <c r="B14108">
        <v>2003622</v>
      </c>
      <c r="C14108" t="s">
        <v>7054</v>
      </c>
      <c r="D14108" t="s">
        <v>442</v>
      </c>
      <c r="F14108">
        <v>0</v>
      </c>
      <c r="H14108" t="s">
        <v>8581</v>
      </c>
      <c r="I14108">
        <v>720</v>
      </c>
      <c r="J14108" t="s">
        <v>450</v>
      </c>
      <c r="K14108" t="s">
        <v>446</v>
      </c>
      <c r="M14108">
        <v>0</v>
      </c>
    </row>
    <row r="14109" spans="1:13">
      <c r="A14109">
        <v>86307200</v>
      </c>
      <c r="B14109">
        <v>2003614</v>
      </c>
      <c r="C14109" t="s">
        <v>7055</v>
      </c>
      <c r="D14109" t="s">
        <v>442</v>
      </c>
      <c r="F14109">
        <v>0</v>
      </c>
      <c r="H14109" t="s">
        <v>8581</v>
      </c>
      <c r="I14109">
        <v>720</v>
      </c>
      <c r="J14109" t="s">
        <v>450</v>
      </c>
      <c r="K14109" t="s">
        <v>446</v>
      </c>
      <c r="M14109">
        <v>0</v>
      </c>
    </row>
    <row r="14110" spans="1:13">
      <c r="A14110">
        <v>86307300</v>
      </c>
      <c r="B14110">
        <v>2003621</v>
      </c>
      <c r="C14110" t="s">
        <v>7056</v>
      </c>
      <c r="D14110" t="s">
        <v>442</v>
      </c>
      <c r="F14110">
        <v>0</v>
      </c>
      <c r="H14110" t="s">
        <v>8581</v>
      </c>
      <c r="I14110">
        <v>720</v>
      </c>
      <c r="J14110" t="s">
        <v>450</v>
      </c>
      <c r="K14110" t="s">
        <v>446</v>
      </c>
      <c r="M14110">
        <v>0</v>
      </c>
    </row>
    <row r="14111" spans="1:13">
      <c r="A14111">
        <v>86307400</v>
      </c>
      <c r="B14111">
        <v>2003616</v>
      </c>
      <c r="C14111" t="s">
        <v>7057</v>
      </c>
      <c r="D14111" t="s">
        <v>442</v>
      </c>
      <c r="F14111">
        <v>0</v>
      </c>
      <c r="H14111" t="s">
        <v>8581</v>
      </c>
      <c r="I14111">
        <v>720</v>
      </c>
      <c r="J14111" t="s">
        <v>450</v>
      </c>
      <c r="K14111" t="s">
        <v>446</v>
      </c>
      <c r="M14111">
        <v>0</v>
      </c>
    </row>
    <row r="14112" spans="1:13">
      <c r="A14112">
        <v>86307500</v>
      </c>
      <c r="B14112">
        <v>2003651</v>
      </c>
      <c r="C14112" t="s">
        <v>7058</v>
      </c>
      <c r="D14112" t="s">
        <v>442</v>
      </c>
      <c r="F14112">
        <v>0</v>
      </c>
      <c r="H14112" t="s">
        <v>8581</v>
      </c>
      <c r="I14112">
        <v>720</v>
      </c>
      <c r="J14112" t="s">
        <v>450</v>
      </c>
      <c r="K14112" t="s">
        <v>446</v>
      </c>
      <c r="M14112">
        <v>0</v>
      </c>
    </row>
    <row r="14113" spans="1:13">
      <c r="A14113">
        <v>86307600</v>
      </c>
      <c r="B14113">
        <v>2003661</v>
      </c>
      <c r="C14113" t="s">
        <v>7059</v>
      </c>
      <c r="D14113" t="s">
        <v>442</v>
      </c>
      <c r="F14113">
        <v>0</v>
      </c>
      <c r="H14113" t="s">
        <v>8581</v>
      </c>
      <c r="I14113">
        <v>720</v>
      </c>
      <c r="J14113" t="s">
        <v>450</v>
      </c>
      <c r="K14113" t="s">
        <v>446</v>
      </c>
      <c r="M14113">
        <v>0</v>
      </c>
    </row>
    <row r="14114" spans="1:13">
      <c r="A14114">
        <v>86307700</v>
      </c>
      <c r="B14114">
        <v>2003663</v>
      </c>
      <c r="C14114" t="s">
        <v>7060</v>
      </c>
      <c r="D14114" t="s">
        <v>442</v>
      </c>
      <c r="F14114">
        <v>0</v>
      </c>
      <c r="H14114" t="s">
        <v>8581</v>
      </c>
      <c r="I14114">
        <v>720</v>
      </c>
      <c r="J14114" t="s">
        <v>450</v>
      </c>
      <c r="K14114" t="s">
        <v>446</v>
      </c>
      <c r="M14114">
        <v>0</v>
      </c>
    </row>
    <row r="14115" spans="1:13">
      <c r="A14115">
        <v>86307800</v>
      </c>
      <c r="B14115">
        <v>2003662</v>
      </c>
      <c r="C14115" t="s">
        <v>7061</v>
      </c>
      <c r="D14115" t="s">
        <v>442</v>
      </c>
      <c r="F14115">
        <v>0</v>
      </c>
      <c r="H14115" t="s">
        <v>8581</v>
      </c>
      <c r="I14115">
        <v>720</v>
      </c>
      <c r="J14115" t="s">
        <v>450</v>
      </c>
      <c r="K14115" t="s">
        <v>446</v>
      </c>
      <c r="M14115">
        <v>0</v>
      </c>
    </row>
    <row r="14116" spans="1:13">
      <c r="A14116">
        <v>86307900</v>
      </c>
      <c r="B14116">
        <v>2000033</v>
      </c>
      <c r="C14116" t="s">
        <v>7062</v>
      </c>
      <c r="D14116" t="s">
        <v>442</v>
      </c>
      <c r="E14116" t="s">
        <v>441</v>
      </c>
      <c r="F14116">
        <v>1E-3</v>
      </c>
      <c r="I14116">
        <v>730</v>
      </c>
      <c r="J14116" t="s">
        <v>450</v>
      </c>
      <c r="M14116">
        <v>0</v>
      </c>
    </row>
    <row r="14117" spans="1:13">
      <c r="A14117">
        <v>86308000</v>
      </c>
      <c r="B14117">
        <v>2003686</v>
      </c>
      <c r="C14117" t="s">
        <v>7063</v>
      </c>
      <c r="D14117" t="s">
        <v>442</v>
      </c>
      <c r="F14117">
        <v>0</v>
      </c>
      <c r="H14117" t="s">
        <v>8581</v>
      </c>
      <c r="I14117">
        <v>720</v>
      </c>
      <c r="J14117" t="s">
        <v>450</v>
      </c>
      <c r="K14117" t="s">
        <v>446</v>
      </c>
      <c r="M14117">
        <v>0</v>
      </c>
    </row>
    <row r="14118" spans="1:13">
      <c r="A14118">
        <v>86308100</v>
      </c>
      <c r="B14118">
        <v>2003692</v>
      </c>
      <c r="C14118" t="s">
        <v>7064</v>
      </c>
      <c r="D14118" t="s">
        <v>442</v>
      </c>
      <c r="F14118">
        <v>0</v>
      </c>
      <c r="H14118" t="s">
        <v>8581</v>
      </c>
      <c r="I14118">
        <v>720</v>
      </c>
      <c r="J14118" t="s">
        <v>450</v>
      </c>
      <c r="K14118" t="s">
        <v>446</v>
      </c>
      <c r="M14118">
        <v>0</v>
      </c>
    </row>
    <row r="14119" spans="1:13">
      <c r="A14119">
        <v>86308200</v>
      </c>
      <c r="B14119">
        <v>2003687</v>
      </c>
      <c r="C14119" t="s">
        <v>7065</v>
      </c>
      <c r="D14119" t="s">
        <v>442</v>
      </c>
      <c r="F14119">
        <v>0</v>
      </c>
      <c r="H14119" t="s">
        <v>8581</v>
      </c>
      <c r="I14119">
        <v>720</v>
      </c>
      <c r="J14119" t="s">
        <v>450</v>
      </c>
      <c r="K14119" t="s">
        <v>446</v>
      </c>
      <c r="M14119">
        <v>0</v>
      </c>
    </row>
    <row r="14120" spans="1:13">
      <c r="A14120">
        <v>86308300</v>
      </c>
      <c r="B14120">
        <v>2003693</v>
      </c>
      <c r="C14120" t="s">
        <v>7066</v>
      </c>
      <c r="D14120" t="s">
        <v>442</v>
      </c>
      <c r="F14120">
        <v>0</v>
      </c>
      <c r="H14120" t="s">
        <v>8581</v>
      </c>
      <c r="I14120">
        <v>720</v>
      </c>
      <c r="J14120" t="s">
        <v>450</v>
      </c>
      <c r="K14120" t="s">
        <v>446</v>
      </c>
      <c r="M14120">
        <v>0</v>
      </c>
    </row>
    <row r="14121" spans="1:13">
      <c r="A14121">
        <v>86308400</v>
      </c>
      <c r="B14121">
        <v>2003691</v>
      </c>
      <c r="C14121" t="s">
        <v>7067</v>
      </c>
      <c r="D14121" t="s">
        <v>442</v>
      </c>
      <c r="F14121">
        <v>0</v>
      </c>
      <c r="H14121" t="s">
        <v>8581</v>
      </c>
      <c r="I14121">
        <v>720</v>
      </c>
      <c r="J14121" t="s">
        <v>450</v>
      </c>
      <c r="K14121" t="s">
        <v>446</v>
      </c>
      <c r="M14121">
        <v>0</v>
      </c>
    </row>
    <row r="14122" spans="1:13">
      <c r="A14122">
        <v>86308500</v>
      </c>
      <c r="B14122">
        <v>2003695</v>
      </c>
      <c r="C14122" t="s">
        <v>7068</v>
      </c>
      <c r="D14122" t="s">
        <v>442</v>
      </c>
      <c r="F14122">
        <v>0</v>
      </c>
      <c r="H14122" t="s">
        <v>8581</v>
      </c>
      <c r="I14122">
        <v>720</v>
      </c>
      <c r="J14122" t="s">
        <v>450</v>
      </c>
      <c r="K14122" t="s">
        <v>446</v>
      </c>
      <c r="M14122">
        <v>0</v>
      </c>
    </row>
    <row r="14123" spans="1:13">
      <c r="A14123">
        <v>86308600</v>
      </c>
      <c r="B14123">
        <v>2003694</v>
      </c>
      <c r="C14123" t="s">
        <v>7069</v>
      </c>
      <c r="D14123" t="s">
        <v>442</v>
      </c>
      <c r="F14123">
        <v>0</v>
      </c>
      <c r="H14123" t="s">
        <v>8581</v>
      </c>
      <c r="I14123">
        <v>720</v>
      </c>
      <c r="J14123" t="s">
        <v>450</v>
      </c>
      <c r="K14123" t="s">
        <v>446</v>
      </c>
      <c r="M14123">
        <v>0</v>
      </c>
    </row>
    <row r="14124" spans="1:13">
      <c r="A14124">
        <v>86308700</v>
      </c>
      <c r="B14124">
        <v>2003696</v>
      </c>
      <c r="C14124" t="s">
        <v>7070</v>
      </c>
      <c r="D14124" t="s">
        <v>442</v>
      </c>
      <c r="F14124">
        <v>0</v>
      </c>
      <c r="H14124" t="s">
        <v>8581</v>
      </c>
      <c r="I14124">
        <v>720</v>
      </c>
      <c r="J14124" t="s">
        <v>450</v>
      </c>
      <c r="K14124" t="s">
        <v>446</v>
      </c>
      <c r="M14124">
        <v>0</v>
      </c>
    </row>
    <row r="14125" spans="1:13">
      <c r="A14125">
        <v>86308800</v>
      </c>
      <c r="B14125">
        <v>2003688</v>
      </c>
      <c r="C14125" t="s">
        <v>7071</v>
      </c>
      <c r="D14125" t="s">
        <v>442</v>
      </c>
      <c r="F14125">
        <v>0</v>
      </c>
      <c r="H14125" t="s">
        <v>8581</v>
      </c>
      <c r="I14125">
        <v>720</v>
      </c>
      <c r="J14125" t="s">
        <v>450</v>
      </c>
      <c r="K14125" t="s">
        <v>446</v>
      </c>
      <c r="M14125">
        <v>0</v>
      </c>
    </row>
    <row r="14126" spans="1:13">
      <c r="A14126">
        <v>86308900</v>
      </c>
      <c r="B14126">
        <v>2003690</v>
      </c>
      <c r="C14126" t="s">
        <v>7072</v>
      </c>
      <c r="D14126" t="s">
        <v>442</v>
      </c>
      <c r="F14126">
        <v>0</v>
      </c>
      <c r="H14126" t="s">
        <v>8581</v>
      </c>
      <c r="I14126">
        <v>720</v>
      </c>
      <c r="J14126" t="s">
        <v>450</v>
      </c>
      <c r="K14126" t="s">
        <v>446</v>
      </c>
      <c r="M14126">
        <v>0</v>
      </c>
    </row>
    <row r="14127" spans="1:13">
      <c r="A14127">
        <v>86309000</v>
      </c>
      <c r="B14127">
        <v>2003689</v>
      </c>
      <c r="C14127" t="s">
        <v>7073</v>
      </c>
      <c r="D14127" t="s">
        <v>442</v>
      </c>
      <c r="F14127">
        <v>0</v>
      </c>
      <c r="H14127" t="s">
        <v>8581</v>
      </c>
      <c r="I14127">
        <v>720</v>
      </c>
      <c r="J14127" t="s">
        <v>450</v>
      </c>
      <c r="K14127" t="s">
        <v>446</v>
      </c>
      <c r="M14127">
        <v>0</v>
      </c>
    </row>
    <row r="14128" spans="1:13">
      <c r="A14128">
        <v>86309010</v>
      </c>
      <c r="B14128">
        <v>2003757</v>
      </c>
      <c r="C14128" t="s">
        <v>7074</v>
      </c>
      <c r="D14128" t="s">
        <v>442</v>
      </c>
      <c r="F14128">
        <v>0</v>
      </c>
      <c r="H14128" t="s">
        <v>8581</v>
      </c>
      <c r="I14128">
        <v>730</v>
      </c>
      <c r="J14128" t="s">
        <v>450</v>
      </c>
      <c r="K14128" t="s">
        <v>446</v>
      </c>
      <c r="M14128">
        <v>0</v>
      </c>
    </row>
    <row r="14129" spans="1:13">
      <c r="A14129">
        <v>86309020</v>
      </c>
      <c r="B14129">
        <v>2003761</v>
      </c>
      <c r="C14129" t="s">
        <v>7075</v>
      </c>
      <c r="D14129" t="s">
        <v>442</v>
      </c>
      <c r="F14129">
        <v>0</v>
      </c>
      <c r="H14129" t="s">
        <v>8581</v>
      </c>
      <c r="I14129">
        <v>720</v>
      </c>
      <c r="J14129" t="s">
        <v>450</v>
      </c>
      <c r="K14129" t="s">
        <v>446</v>
      </c>
      <c r="M14129">
        <v>0</v>
      </c>
    </row>
    <row r="14130" spans="1:13">
      <c r="A14130">
        <v>86309030</v>
      </c>
      <c r="B14130">
        <v>2000352</v>
      </c>
      <c r="C14130" t="s">
        <v>7076</v>
      </c>
      <c r="D14130" t="s">
        <v>442</v>
      </c>
      <c r="E14130" t="s">
        <v>441</v>
      </c>
      <c r="F14130">
        <v>1E-3</v>
      </c>
      <c r="H14130" t="s">
        <v>8581</v>
      </c>
      <c r="I14130">
        <v>730</v>
      </c>
      <c r="J14130" t="s">
        <v>450</v>
      </c>
      <c r="K14130" t="s">
        <v>446</v>
      </c>
      <c r="M14130">
        <v>0</v>
      </c>
    </row>
    <row r="14131" spans="1:13">
      <c r="A14131">
        <v>86309040</v>
      </c>
      <c r="B14131">
        <v>2003809</v>
      </c>
      <c r="C14131" t="s">
        <v>7077</v>
      </c>
      <c r="D14131" t="s">
        <v>442</v>
      </c>
      <c r="F14131">
        <v>0</v>
      </c>
      <c r="H14131" t="s">
        <v>8581</v>
      </c>
      <c r="I14131">
        <v>730</v>
      </c>
      <c r="J14131" t="s">
        <v>450</v>
      </c>
      <c r="K14131" t="s">
        <v>446</v>
      </c>
      <c r="M14131">
        <v>0</v>
      </c>
    </row>
    <row r="14132" spans="1:13">
      <c r="A14132">
        <v>86309050</v>
      </c>
      <c r="B14132">
        <v>2002710</v>
      </c>
      <c r="C14132" t="s">
        <v>7078</v>
      </c>
      <c r="D14132" t="s">
        <v>442</v>
      </c>
      <c r="E14132" t="s">
        <v>441</v>
      </c>
      <c r="F14132">
        <v>1E-3</v>
      </c>
      <c r="H14132" t="s">
        <v>8574</v>
      </c>
      <c r="I14132">
        <v>730</v>
      </c>
      <c r="J14132" t="s">
        <v>450</v>
      </c>
      <c r="K14132" t="s">
        <v>446</v>
      </c>
      <c r="M14132">
        <v>0</v>
      </c>
    </row>
    <row r="14133" spans="1:13">
      <c r="A14133">
        <v>86309060</v>
      </c>
      <c r="B14133">
        <v>2003913</v>
      </c>
      <c r="C14133" t="s">
        <v>7079</v>
      </c>
      <c r="D14133" t="s">
        <v>442</v>
      </c>
      <c r="F14133">
        <v>0</v>
      </c>
      <c r="H14133" t="s">
        <v>8581</v>
      </c>
      <c r="I14133">
        <v>730</v>
      </c>
      <c r="J14133" t="s">
        <v>450</v>
      </c>
      <c r="K14133" t="s">
        <v>446</v>
      </c>
      <c r="M14133">
        <v>0</v>
      </c>
    </row>
    <row r="14134" spans="1:13">
      <c r="A14134">
        <v>86309070</v>
      </c>
      <c r="B14134">
        <v>2003917</v>
      </c>
      <c r="C14134" t="s">
        <v>7080</v>
      </c>
      <c r="D14134" t="s">
        <v>442</v>
      </c>
      <c r="F14134">
        <v>0</v>
      </c>
      <c r="H14134" t="s">
        <v>8581</v>
      </c>
      <c r="I14134">
        <v>730</v>
      </c>
      <c r="J14134" t="s">
        <v>450</v>
      </c>
      <c r="K14134" t="s">
        <v>446</v>
      </c>
      <c r="M14134">
        <v>0</v>
      </c>
    </row>
    <row r="14135" spans="1:13">
      <c r="A14135">
        <v>86309080</v>
      </c>
      <c r="B14135">
        <v>2003916</v>
      </c>
      <c r="C14135" t="s">
        <v>7081</v>
      </c>
      <c r="D14135" t="s">
        <v>442</v>
      </c>
      <c r="F14135">
        <v>0</v>
      </c>
      <c r="H14135" t="s">
        <v>8581</v>
      </c>
      <c r="I14135">
        <v>730</v>
      </c>
      <c r="J14135" t="s">
        <v>450</v>
      </c>
      <c r="K14135" t="s">
        <v>446</v>
      </c>
      <c r="M14135">
        <v>0</v>
      </c>
    </row>
    <row r="14136" spans="1:13">
      <c r="A14136">
        <v>86309090</v>
      </c>
      <c r="B14136">
        <v>2003956</v>
      </c>
      <c r="C14136" t="s">
        <v>7082</v>
      </c>
      <c r="D14136" t="s">
        <v>442</v>
      </c>
      <c r="F14136">
        <v>0</v>
      </c>
      <c r="H14136" t="s">
        <v>8581</v>
      </c>
      <c r="I14136">
        <v>730</v>
      </c>
      <c r="J14136" t="s">
        <v>450</v>
      </c>
      <c r="K14136" t="s">
        <v>446</v>
      </c>
      <c r="M14136">
        <v>0</v>
      </c>
    </row>
    <row r="14137" spans="1:13">
      <c r="A14137">
        <v>86309100</v>
      </c>
      <c r="B14137">
        <v>2003740</v>
      </c>
      <c r="C14137" t="s">
        <v>7083</v>
      </c>
      <c r="D14137" t="s">
        <v>442</v>
      </c>
      <c r="F14137">
        <v>0</v>
      </c>
      <c r="H14137" t="s">
        <v>8581</v>
      </c>
      <c r="I14137">
        <v>720</v>
      </c>
      <c r="J14137" t="s">
        <v>450</v>
      </c>
      <c r="K14137" t="s">
        <v>446</v>
      </c>
      <c r="M14137">
        <v>0</v>
      </c>
    </row>
    <row r="14138" spans="1:13">
      <c r="A14138">
        <v>86309110</v>
      </c>
      <c r="B14138">
        <v>2003955</v>
      </c>
      <c r="C14138" t="s">
        <v>7084</v>
      </c>
      <c r="D14138" t="s">
        <v>442</v>
      </c>
      <c r="F14138">
        <v>0</v>
      </c>
      <c r="H14138" t="s">
        <v>8581</v>
      </c>
      <c r="I14138">
        <v>730</v>
      </c>
      <c r="J14138" t="s">
        <v>450</v>
      </c>
      <c r="K14138" t="s">
        <v>446</v>
      </c>
      <c r="M14138">
        <v>0</v>
      </c>
    </row>
    <row r="14139" spans="1:13">
      <c r="A14139">
        <v>86309120</v>
      </c>
      <c r="B14139">
        <v>2003954</v>
      </c>
      <c r="C14139" t="s">
        <v>7085</v>
      </c>
      <c r="D14139" t="s">
        <v>442</v>
      </c>
      <c r="F14139">
        <v>0</v>
      </c>
      <c r="H14139" t="s">
        <v>8581</v>
      </c>
      <c r="I14139">
        <v>730</v>
      </c>
      <c r="J14139" t="s">
        <v>450</v>
      </c>
      <c r="K14139" t="s">
        <v>446</v>
      </c>
      <c r="M14139">
        <v>0</v>
      </c>
    </row>
    <row r="14140" spans="1:13">
      <c r="A14140">
        <v>86309130</v>
      </c>
      <c r="B14140">
        <v>2004005</v>
      </c>
      <c r="C14140" t="s">
        <v>7086</v>
      </c>
      <c r="D14140" t="s">
        <v>442</v>
      </c>
      <c r="F14140">
        <v>0</v>
      </c>
      <c r="H14140" t="s">
        <v>8574</v>
      </c>
      <c r="I14140">
        <v>730</v>
      </c>
      <c r="J14140" t="s">
        <v>450</v>
      </c>
      <c r="K14140" t="s">
        <v>446</v>
      </c>
      <c r="M14140">
        <v>0</v>
      </c>
    </row>
    <row r="14141" spans="1:13">
      <c r="A14141">
        <v>86309140</v>
      </c>
      <c r="B14141">
        <v>2004004</v>
      </c>
      <c r="C14141" t="s">
        <v>7087</v>
      </c>
      <c r="D14141" t="s">
        <v>442</v>
      </c>
      <c r="F14141">
        <v>0</v>
      </c>
      <c r="H14141" t="s">
        <v>8581</v>
      </c>
      <c r="I14141">
        <v>720</v>
      </c>
      <c r="J14141" t="s">
        <v>450</v>
      </c>
      <c r="K14141" t="s">
        <v>446</v>
      </c>
      <c r="M14141">
        <v>0</v>
      </c>
    </row>
    <row r="14142" spans="1:13">
      <c r="A14142">
        <v>86309150</v>
      </c>
      <c r="B14142">
        <v>2004009</v>
      </c>
      <c r="C14142" t="s">
        <v>7088</v>
      </c>
      <c r="D14142" t="s">
        <v>442</v>
      </c>
      <c r="F14142">
        <v>0</v>
      </c>
      <c r="H14142" t="s">
        <v>8580</v>
      </c>
      <c r="I14142">
        <v>720</v>
      </c>
      <c r="J14142" t="s">
        <v>450</v>
      </c>
      <c r="K14142" t="s">
        <v>446</v>
      </c>
      <c r="M14142">
        <v>0</v>
      </c>
    </row>
    <row r="14143" spans="1:13">
      <c r="A14143">
        <v>86309160</v>
      </c>
      <c r="B14143">
        <v>2004033</v>
      </c>
      <c r="C14143" t="s">
        <v>7089</v>
      </c>
      <c r="D14143" t="s">
        <v>442</v>
      </c>
      <c r="F14143">
        <v>0</v>
      </c>
      <c r="H14143" t="s">
        <v>8581</v>
      </c>
      <c r="I14143">
        <v>730</v>
      </c>
      <c r="J14143" t="s">
        <v>450</v>
      </c>
      <c r="K14143" t="s">
        <v>446</v>
      </c>
      <c r="M14143">
        <v>0</v>
      </c>
    </row>
    <row r="14144" spans="1:13">
      <c r="A14144">
        <v>86309170</v>
      </c>
      <c r="B14144">
        <v>2004032</v>
      </c>
      <c r="C14144" t="s">
        <v>7090</v>
      </c>
      <c r="D14144" t="s">
        <v>442</v>
      </c>
      <c r="F14144">
        <v>0</v>
      </c>
      <c r="H14144" t="s">
        <v>8581</v>
      </c>
      <c r="I14144">
        <v>730</v>
      </c>
      <c r="J14144" t="s">
        <v>450</v>
      </c>
      <c r="K14144" t="s">
        <v>446</v>
      </c>
      <c r="M14144">
        <v>0</v>
      </c>
    </row>
    <row r="14145" spans="1:13">
      <c r="A14145">
        <v>86309180</v>
      </c>
      <c r="B14145">
        <v>2004030</v>
      </c>
      <c r="C14145" t="s">
        <v>7091</v>
      </c>
      <c r="D14145" t="s">
        <v>442</v>
      </c>
      <c r="F14145">
        <v>0</v>
      </c>
      <c r="H14145" t="s">
        <v>8581</v>
      </c>
      <c r="I14145">
        <v>730</v>
      </c>
      <c r="J14145" t="s">
        <v>450</v>
      </c>
      <c r="K14145" t="s">
        <v>446</v>
      </c>
      <c r="M14145">
        <v>0</v>
      </c>
    </row>
    <row r="14146" spans="1:13">
      <c r="A14146">
        <v>86309190</v>
      </c>
      <c r="B14146">
        <v>2004031</v>
      </c>
      <c r="C14146" t="s">
        <v>7092</v>
      </c>
      <c r="D14146" t="s">
        <v>442</v>
      </c>
      <c r="F14146">
        <v>0</v>
      </c>
      <c r="H14146" t="s">
        <v>8581</v>
      </c>
      <c r="I14146">
        <v>730</v>
      </c>
      <c r="J14146" t="s">
        <v>450</v>
      </c>
      <c r="K14146" t="s">
        <v>446</v>
      </c>
      <c r="M14146">
        <v>0</v>
      </c>
    </row>
    <row r="14147" spans="1:13">
      <c r="A14147">
        <v>86309200</v>
      </c>
      <c r="B14147">
        <v>2003719</v>
      </c>
      <c r="C14147" t="s">
        <v>14076</v>
      </c>
      <c r="D14147" t="s">
        <v>442</v>
      </c>
      <c r="F14147">
        <v>0</v>
      </c>
      <c r="H14147" t="s">
        <v>8581</v>
      </c>
      <c r="I14147">
        <v>720</v>
      </c>
      <c r="J14147" t="s">
        <v>450</v>
      </c>
      <c r="K14147" t="s">
        <v>446</v>
      </c>
      <c r="M14147">
        <v>0</v>
      </c>
    </row>
    <row r="14148" spans="1:13">
      <c r="A14148">
        <v>86309210</v>
      </c>
      <c r="B14148">
        <v>2004029</v>
      </c>
      <c r="C14148" t="s">
        <v>7093</v>
      </c>
      <c r="D14148" t="s">
        <v>442</v>
      </c>
      <c r="F14148">
        <v>0</v>
      </c>
      <c r="H14148" t="s">
        <v>8581</v>
      </c>
      <c r="I14148">
        <v>730</v>
      </c>
      <c r="J14148" t="s">
        <v>450</v>
      </c>
      <c r="K14148" t="s">
        <v>446</v>
      </c>
      <c r="M14148">
        <v>0</v>
      </c>
    </row>
    <row r="14149" spans="1:13">
      <c r="A14149">
        <v>86309220</v>
      </c>
      <c r="B14149">
        <v>2004028</v>
      </c>
      <c r="C14149" t="s">
        <v>7094</v>
      </c>
      <c r="D14149" t="s">
        <v>442</v>
      </c>
      <c r="F14149">
        <v>0</v>
      </c>
      <c r="H14149" t="s">
        <v>8581</v>
      </c>
      <c r="I14149">
        <v>730</v>
      </c>
      <c r="J14149" t="s">
        <v>450</v>
      </c>
      <c r="K14149" t="s">
        <v>446</v>
      </c>
      <c r="M14149">
        <v>0</v>
      </c>
    </row>
    <row r="14150" spans="1:13">
      <c r="A14150">
        <v>86309230</v>
      </c>
      <c r="B14150">
        <v>2004027</v>
      </c>
      <c r="C14150" t="s">
        <v>7095</v>
      </c>
      <c r="D14150" t="s">
        <v>442</v>
      </c>
      <c r="F14150">
        <v>0</v>
      </c>
      <c r="H14150" t="s">
        <v>8581</v>
      </c>
      <c r="I14150">
        <v>730</v>
      </c>
      <c r="J14150" t="s">
        <v>450</v>
      </c>
      <c r="K14150" t="s">
        <v>446</v>
      </c>
      <c r="M14150">
        <v>0</v>
      </c>
    </row>
    <row r="14151" spans="1:13">
      <c r="A14151">
        <v>86309240</v>
      </c>
      <c r="B14151">
        <v>2004026</v>
      </c>
      <c r="C14151" t="s">
        <v>7096</v>
      </c>
      <c r="D14151" t="s">
        <v>442</v>
      </c>
      <c r="F14151">
        <v>0</v>
      </c>
      <c r="H14151" t="s">
        <v>8581</v>
      </c>
      <c r="I14151">
        <v>730</v>
      </c>
      <c r="J14151" t="s">
        <v>450</v>
      </c>
      <c r="K14151" t="s">
        <v>446</v>
      </c>
      <c r="M14151">
        <v>0</v>
      </c>
    </row>
    <row r="14152" spans="1:13">
      <c r="A14152">
        <v>86309260</v>
      </c>
      <c r="B14152">
        <v>2004012</v>
      </c>
      <c r="C14152" t="s">
        <v>7097</v>
      </c>
      <c r="D14152" t="s">
        <v>442</v>
      </c>
      <c r="F14152">
        <v>0</v>
      </c>
      <c r="H14152" t="s">
        <v>8581</v>
      </c>
      <c r="I14152">
        <v>730</v>
      </c>
      <c r="J14152" t="s">
        <v>450</v>
      </c>
      <c r="K14152" t="s">
        <v>446</v>
      </c>
      <c r="M14152">
        <v>0</v>
      </c>
    </row>
    <row r="14153" spans="1:13">
      <c r="A14153">
        <v>86309270</v>
      </c>
      <c r="B14153">
        <v>2004079</v>
      </c>
      <c r="C14153" t="s">
        <v>7098</v>
      </c>
      <c r="D14153" t="s">
        <v>442</v>
      </c>
      <c r="F14153">
        <v>0</v>
      </c>
      <c r="H14153" t="s">
        <v>8581</v>
      </c>
      <c r="I14153">
        <v>730</v>
      </c>
      <c r="J14153" t="s">
        <v>450</v>
      </c>
      <c r="K14153" t="s">
        <v>446</v>
      </c>
      <c r="M14153">
        <v>0</v>
      </c>
    </row>
    <row r="14154" spans="1:13">
      <c r="A14154">
        <v>86309280</v>
      </c>
      <c r="B14154">
        <v>2004087</v>
      </c>
      <c r="C14154" t="s">
        <v>7099</v>
      </c>
      <c r="D14154" t="s">
        <v>442</v>
      </c>
      <c r="F14154">
        <v>0</v>
      </c>
      <c r="H14154" t="s">
        <v>8581</v>
      </c>
      <c r="I14154">
        <v>720</v>
      </c>
      <c r="J14154" t="s">
        <v>450</v>
      </c>
      <c r="K14154" t="s">
        <v>446</v>
      </c>
      <c r="M14154">
        <v>0</v>
      </c>
    </row>
    <row r="14155" spans="1:13">
      <c r="A14155">
        <v>86309300</v>
      </c>
      <c r="B14155">
        <v>2100740</v>
      </c>
      <c r="C14155" t="s">
        <v>7100</v>
      </c>
      <c r="D14155" t="s">
        <v>441</v>
      </c>
      <c r="F14155">
        <v>0</v>
      </c>
      <c r="H14155" t="s">
        <v>8580</v>
      </c>
      <c r="I14155">
        <v>180</v>
      </c>
      <c r="J14155" t="s">
        <v>458</v>
      </c>
      <c r="K14155" t="s">
        <v>446</v>
      </c>
      <c r="M14155">
        <v>7122</v>
      </c>
    </row>
    <row r="14156" spans="1:13">
      <c r="A14156">
        <v>86309400</v>
      </c>
      <c r="B14156">
        <v>2100575</v>
      </c>
      <c r="C14156" t="s">
        <v>13894</v>
      </c>
      <c r="D14156" t="s">
        <v>441</v>
      </c>
      <c r="F14156">
        <v>0</v>
      </c>
      <c r="I14156">
        <v>365</v>
      </c>
      <c r="J14156" t="s">
        <v>458</v>
      </c>
      <c r="K14156" t="s">
        <v>446</v>
      </c>
      <c r="M14156">
        <v>0</v>
      </c>
    </row>
    <row r="14157" spans="1:13">
      <c r="A14157">
        <v>86309500</v>
      </c>
      <c r="B14157">
        <v>2004095</v>
      </c>
      <c r="C14157" t="s">
        <v>7101</v>
      </c>
      <c r="D14157" t="s">
        <v>442</v>
      </c>
      <c r="F14157">
        <v>0</v>
      </c>
      <c r="H14157" t="s">
        <v>8581</v>
      </c>
      <c r="I14157">
        <v>730</v>
      </c>
      <c r="J14157" t="s">
        <v>450</v>
      </c>
      <c r="K14157" t="s">
        <v>446</v>
      </c>
      <c r="M14157">
        <v>0</v>
      </c>
    </row>
    <row r="14158" spans="1:13">
      <c r="A14158">
        <v>86309600</v>
      </c>
      <c r="B14158">
        <v>2004124</v>
      </c>
      <c r="C14158" t="s">
        <v>7102</v>
      </c>
      <c r="D14158" t="s">
        <v>442</v>
      </c>
      <c r="F14158">
        <v>0</v>
      </c>
      <c r="H14158" t="s">
        <v>8581</v>
      </c>
      <c r="I14158">
        <v>730</v>
      </c>
      <c r="J14158" t="s">
        <v>450</v>
      </c>
      <c r="K14158" t="s">
        <v>446</v>
      </c>
      <c r="M14158">
        <v>0</v>
      </c>
    </row>
    <row r="14159" spans="1:13">
      <c r="A14159">
        <v>86309700</v>
      </c>
      <c r="B14159">
        <v>2004125</v>
      </c>
      <c r="C14159" t="s">
        <v>7103</v>
      </c>
      <c r="D14159" t="s">
        <v>442</v>
      </c>
      <c r="F14159">
        <v>0</v>
      </c>
      <c r="H14159" t="s">
        <v>8581</v>
      </c>
      <c r="I14159">
        <v>730</v>
      </c>
      <c r="J14159" t="s">
        <v>450</v>
      </c>
      <c r="K14159" t="s">
        <v>446</v>
      </c>
      <c r="M14159">
        <v>0</v>
      </c>
    </row>
    <row r="14160" spans="1:13">
      <c r="A14160">
        <v>86309800</v>
      </c>
      <c r="B14160">
        <v>2004111</v>
      </c>
      <c r="C14160" t="s">
        <v>7104</v>
      </c>
      <c r="D14160" t="s">
        <v>442</v>
      </c>
      <c r="F14160">
        <v>0</v>
      </c>
      <c r="H14160" t="s">
        <v>8581</v>
      </c>
      <c r="I14160">
        <v>730</v>
      </c>
      <c r="J14160" t="s">
        <v>450</v>
      </c>
      <c r="K14160" t="s">
        <v>446</v>
      </c>
      <c r="M14160">
        <v>0</v>
      </c>
    </row>
    <row r="14161" spans="1:13">
      <c r="A14161">
        <v>86309900</v>
      </c>
      <c r="B14161">
        <v>2004354</v>
      </c>
      <c r="C14161" t="s">
        <v>7105</v>
      </c>
      <c r="D14161" t="s">
        <v>442</v>
      </c>
      <c r="F14161">
        <v>0</v>
      </c>
      <c r="H14161" t="s">
        <v>8581</v>
      </c>
      <c r="I14161">
        <v>730</v>
      </c>
      <c r="J14161" t="s">
        <v>450</v>
      </c>
      <c r="K14161" t="s">
        <v>446</v>
      </c>
      <c r="M14161">
        <v>0</v>
      </c>
    </row>
    <row r="14162" spans="1:13">
      <c r="A14162">
        <v>86310000</v>
      </c>
      <c r="B14162">
        <v>2007694</v>
      </c>
      <c r="C14162" t="s">
        <v>7106</v>
      </c>
      <c r="D14162" t="s">
        <v>442</v>
      </c>
      <c r="F14162">
        <v>0</v>
      </c>
      <c r="H14162" t="s">
        <v>8581</v>
      </c>
      <c r="I14162">
        <v>360</v>
      </c>
      <c r="J14162" t="s">
        <v>450</v>
      </c>
      <c r="K14162" t="s">
        <v>446</v>
      </c>
      <c r="M14162">
        <v>0</v>
      </c>
    </row>
    <row r="14163" spans="1:13">
      <c r="A14163">
        <v>86310100</v>
      </c>
      <c r="B14163">
        <v>2003679</v>
      </c>
      <c r="C14163" t="s">
        <v>7107</v>
      </c>
      <c r="D14163" t="s">
        <v>442</v>
      </c>
      <c r="F14163">
        <v>0</v>
      </c>
      <c r="I14163">
        <v>720</v>
      </c>
      <c r="J14163" t="s">
        <v>450</v>
      </c>
      <c r="K14163" t="s">
        <v>446</v>
      </c>
      <c r="M14163">
        <v>0</v>
      </c>
    </row>
    <row r="14164" spans="1:13">
      <c r="A14164">
        <v>86310200</v>
      </c>
      <c r="B14164">
        <v>2003705</v>
      </c>
      <c r="C14164" t="s">
        <v>7108</v>
      </c>
      <c r="D14164" t="s">
        <v>442</v>
      </c>
      <c r="F14164">
        <v>0</v>
      </c>
      <c r="H14164" t="s">
        <v>8581</v>
      </c>
      <c r="I14164">
        <v>720</v>
      </c>
      <c r="J14164" t="s">
        <v>450</v>
      </c>
      <c r="K14164" t="s">
        <v>446</v>
      </c>
      <c r="M14164">
        <v>0</v>
      </c>
    </row>
    <row r="14165" spans="1:13">
      <c r="A14165">
        <v>86310300</v>
      </c>
      <c r="B14165">
        <v>2003709</v>
      </c>
      <c r="C14165" t="s">
        <v>7109</v>
      </c>
      <c r="D14165" t="s">
        <v>442</v>
      </c>
      <c r="F14165">
        <v>0</v>
      </c>
      <c r="H14165" t="s">
        <v>8581</v>
      </c>
      <c r="I14165">
        <v>730</v>
      </c>
      <c r="J14165" t="s">
        <v>450</v>
      </c>
      <c r="K14165" t="s">
        <v>446</v>
      </c>
      <c r="M14165">
        <v>0</v>
      </c>
    </row>
    <row r="14166" spans="1:13">
      <c r="A14166">
        <v>86310400</v>
      </c>
      <c r="B14166">
        <v>2004362</v>
      </c>
      <c r="C14166" t="s">
        <v>7110</v>
      </c>
      <c r="D14166" t="s">
        <v>442</v>
      </c>
      <c r="F14166">
        <v>0</v>
      </c>
      <c r="H14166" t="s">
        <v>8581</v>
      </c>
      <c r="I14166">
        <v>730</v>
      </c>
      <c r="J14166" t="s">
        <v>450</v>
      </c>
      <c r="K14166" t="s">
        <v>446</v>
      </c>
      <c r="M14166">
        <v>0</v>
      </c>
    </row>
    <row r="14167" spans="1:13">
      <c r="A14167">
        <v>86310500</v>
      </c>
      <c r="B14167">
        <v>2004361</v>
      </c>
      <c r="C14167" t="s">
        <v>7111</v>
      </c>
      <c r="D14167" t="s">
        <v>442</v>
      </c>
      <c r="F14167">
        <v>0</v>
      </c>
      <c r="H14167" t="s">
        <v>8581</v>
      </c>
      <c r="I14167">
        <v>730</v>
      </c>
      <c r="J14167" t="s">
        <v>450</v>
      </c>
      <c r="K14167" t="s">
        <v>446</v>
      </c>
      <c r="M14167">
        <v>0</v>
      </c>
    </row>
    <row r="14168" spans="1:13">
      <c r="A14168">
        <v>86310600</v>
      </c>
      <c r="B14168">
        <v>2004363</v>
      </c>
      <c r="C14168" t="s">
        <v>7112</v>
      </c>
      <c r="D14168" t="s">
        <v>442</v>
      </c>
      <c r="F14168">
        <v>0</v>
      </c>
      <c r="H14168" t="s">
        <v>8581</v>
      </c>
      <c r="I14168">
        <v>730</v>
      </c>
      <c r="J14168" t="s">
        <v>450</v>
      </c>
      <c r="K14168" t="s">
        <v>446</v>
      </c>
      <c r="M14168">
        <v>0</v>
      </c>
    </row>
    <row r="14169" spans="1:13">
      <c r="A14169">
        <v>86310700</v>
      </c>
      <c r="B14169">
        <v>2004344</v>
      </c>
      <c r="C14169" t="s">
        <v>7113</v>
      </c>
      <c r="D14169" t="s">
        <v>442</v>
      </c>
      <c r="F14169">
        <v>0</v>
      </c>
      <c r="H14169" t="s">
        <v>8581</v>
      </c>
      <c r="I14169">
        <v>730</v>
      </c>
      <c r="J14169" t="s">
        <v>450</v>
      </c>
      <c r="K14169" t="s">
        <v>446</v>
      </c>
      <c r="M14169">
        <v>0</v>
      </c>
    </row>
    <row r="14170" spans="1:13">
      <c r="A14170">
        <v>86310800</v>
      </c>
      <c r="B14170">
        <v>2004382</v>
      </c>
      <c r="C14170" t="s">
        <v>7114</v>
      </c>
      <c r="D14170" t="s">
        <v>442</v>
      </c>
      <c r="F14170">
        <v>0</v>
      </c>
      <c r="H14170" t="s">
        <v>8581</v>
      </c>
      <c r="I14170">
        <v>730</v>
      </c>
      <c r="J14170" t="s">
        <v>450</v>
      </c>
      <c r="K14170" t="s">
        <v>446</v>
      </c>
      <c r="M14170">
        <v>0</v>
      </c>
    </row>
    <row r="14171" spans="1:13">
      <c r="A14171">
        <v>86310900</v>
      </c>
      <c r="B14171">
        <v>2004393</v>
      </c>
      <c r="C14171" t="s">
        <v>15734</v>
      </c>
      <c r="D14171" t="s">
        <v>442</v>
      </c>
      <c r="F14171">
        <v>0</v>
      </c>
      <c r="H14171" t="s">
        <v>8581</v>
      </c>
      <c r="I14171">
        <v>730</v>
      </c>
      <c r="J14171" t="s">
        <v>450</v>
      </c>
      <c r="M14171">
        <v>0</v>
      </c>
    </row>
    <row r="14172" spans="1:13">
      <c r="A14172">
        <v>86311000</v>
      </c>
      <c r="B14172">
        <v>2004394</v>
      </c>
      <c r="C14172" t="s">
        <v>14077</v>
      </c>
      <c r="D14172" t="s">
        <v>442</v>
      </c>
      <c r="F14172">
        <v>0</v>
      </c>
      <c r="H14172" t="s">
        <v>8581</v>
      </c>
      <c r="I14172">
        <v>730</v>
      </c>
      <c r="J14172" t="s">
        <v>450</v>
      </c>
      <c r="K14172" t="s">
        <v>446</v>
      </c>
      <c r="M14172">
        <v>0</v>
      </c>
    </row>
    <row r="14173" spans="1:13">
      <c r="A14173">
        <v>86311100</v>
      </c>
      <c r="B14173">
        <v>2004395</v>
      </c>
      <c r="C14173" t="s">
        <v>7115</v>
      </c>
      <c r="D14173" t="s">
        <v>442</v>
      </c>
      <c r="F14173">
        <v>0</v>
      </c>
      <c r="H14173" t="s">
        <v>8581</v>
      </c>
      <c r="I14173">
        <v>730</v>
      </c>
      <c r="J14173" t="s">
        <v>450</v>
      </c>
      <c r="K14173" t="s">
        <v>446</v>
      </c>
      <c r="M14173">
        <v>0</v>
      </c>
    </row>
    <row r="14174" spans="1:13">
      <c r="A14174">
        <v>86311200</v>
      </c>
      <c r="B14174">
        <v>2004396</v>
      </c>
      <c r="C14174" t="s">
        <v>7116</v>
      </c>
      <c r="D14174" t="s">
        <v>442</v>
      </c>
      <c r="F14174">
        <v>0</v>
      </c>
      <c r="H14174" t="s">
        <v>8581</v>
      </c>
      <c r="I14174">
        <v>730</v>
      </c>
      <c r="J14174" t="s">
        <v>450</v>
      </c>
      <c r="K14174" t="s">
        <v>446</v>
      </c>
      <c r="M14174">
        <v>0</v>
      </c>
    </row>
    <row r="14175" spans="1:13">
      <c r="A14175">
        <v>86311300</v>
      </c>
      <c r="B14175">
        <v>2004403</v>
      </c>
      <c r="C14175" t="s">
        <v>7117</v>
      </c>
      <c r="D14175" t="s">
        <v>442</v>
      </c>
      <c r="F14175">
        <v>0</v>
      </c>
      <c r="H14175" t="s">
        <v>8581</v>
      </c>
      <c r="I14175">
        <v>730</v>
      </c>
      <c r="J14175" t="s">
        <v>450</v>
      </c>
      <c r="K14175" t="s">
        <v>446</v>
      </c>
      <c r="M14175">
        <v>0</v>
      </c>
    </row>
    <row r="14176" spans="1:13">
      <c r="A14176">
        <v>86311400</v>
      </c>
      <c r="B14176">
        <v>2004425</v>
      </c>
      <c r="C14176" t="s">
        <v>7118</v>
      </c>
      <c r="D14176" t="s">
        <v>442</v>
      </c>
      <c r="F14176">
        <v>0</v>
      </c>
      <c r="H14176" t="s">
        <v>8581</v>
      </c>
      <c r="I14176">
        <v>730</v>
      </c>
      <c r="J14176" t="s">
        <v>450</v>
      </c>
      <c r="K14176" t="s">
        <v>446</v>
      </c>
      <c r="M14176">
        <v>0</v>
      </c>
    </row>
    <row r="14177" spans="1:13">
      <c r="A14177">
        <v>86311500</v>
      </c>
      <c r="B14177">
        <v>2004476</v>
      </c>
      <c r="C14177" t="s">
        <v>7119</v>
      </c>
      <c r="D14177" t="s">
        <v>442</v>
      </c>
      <c r="F14177">
        <v>0</v>
      </c>
      <c r="H14177" t="s">
        <v>8581</v>
      </c>
      <c r="I14177">
        <v>730</v>
      </c>
      <c r="J14177" t="s">
        <v>450</v>
      </c>
      <c r="K14177" t="s">
        <v>446</v>
      </c>
      <c r="M14177">
        <v>0</v>
      </c>
    </row>
    <row r="14178" spans="1:13">
      <c r="A14178">
        <v>86311600</v>
      </c>
      <c r="B14178">
        <v>2004484</v>
      </c>
      <c r="C14178" t="s">
        <v>7120</v>
      </c>
      <c r="D14178" t="s">
        <v>442</v>
      </c>
      <c r="F14178">
        <v>0</v>
      </c>
      <c r="H14178" t="s">
        <v>8581</v>
      </c>
      <c r="I14178">
        <v>730</v>
      </c>
      <c r="J14178" t="s">
        <v>450</v>
      </c>
      <c r="K14178" t="s">
        <v>446</v>
      </c>
      <c r="M14178">
        <v>0</v>
      </c>
    </row>
    <row r="14179" spans="1:13">
      <c r="A14179">
        <v>86311700</v>
      </c>
      <c r="B14179">
        <v>2004520</v>
      </c>
      <c r="C14179" t="s">
        <v>7121</v>
      </c>
      <c r="D14179" t="s">
        <v>442</v>
      </c>
      <c r="F14179">
        <v>0</v>
      </c>
      <c r="H14179" t="s">
        <v>8580</v>
      </c>
      <c r="I14179">
        <v>720</v>
      </c>
      <c r="J14179" t="s">
        <v>450</v>
      </c>
      <c r="K14179" t="s">
        <v>446</v>
      </c>
      <c r="M14179">
        <v>0</v>
      </c>
    </row>
    <row r="14180" spans="1:13">
      <c r="A14180">
        <v>86311800</v>
      </c>
      <c r="B14180">
        <v>2004524</v>
      </c>
      <c r="C14180" t="s">
        <v>7122</v>
      </c>
      <c r="D14180" t="s">
        <v>442</v>
      </c>
      <c r="F14180">
        <v>0</v>
      </c>
      <c r="H14180" t="s">
        <v>8581</v>
      </c>
      <c r="I14180">
        <v>730</v>
      </c>
      <c r="J14180" t="s">
        <v>450</v>
      </c>
      <c r="K14180" t="s">
        <v>446</v>
      </c>
      <c r="M14180">
        <v>0</v>
      </c>
    </row>
    <row r="14181" spans="1:13">
      <c r="A14181">
        <v>86311900</v>
      </c>
      <c r="B14181">
        <v>2004523</v>
      </c>
      <c r="C14181" t="s">
        <v>7123</v>
      </c>
      <c r="D14181" t="s">
        <v>442</v>
      </c>
      <c r="F14181">
        <v>0</v>
      </c>
      <c r="H14181" t="s">
        <v>8581</v>
      </c>
      <c r="I14181">
        <v>730</v>
      </c>
      <c r="J14181" t="s">
        <v>450</v>
      </c>
      <c r="K14181" t="s">
        <v>446</v>
      </c>
      <c r="M14181">
        <v>0</v>
      </c>
    </row>
    <row r="14182" spans="1:13">
      <c r="A14182">
        <v>86312000</v>
      </c>
      <c r="B14182">
        <v>2004522</v>
      </c>
      <c r="C14182" t="s">
        <v>7124</v>
      </c>
      <c r="D14182" t="s">
        <v>442</v>
      </c>
      <c r="F14182">
        <v>0</v>
      </c>
      <c r="H14182" t="s">
        <v>8581</v>
      </c>
      <c r="I14182">
        <v>730</v>
      </c>
      <c r="J14182" t="s">
        <v>450</v>
      </c>
      <c r="K14182" t="s">
        <v>446</v>
      </c>
      <c r="M14182">
        <v>0</v>
      </c>
    </row>
    <row r="14183" spans="1:13">
      <c r="A14183">
        <v>86312100</v>
      </c>
      <c r="B14183">
        <v>2004750</v>
      </c>
      <c r="C14183" t="s">
        <v>7125</v>
      </c>
      <c r="D14183" t="s">
        <v>442</v>
      </c>
      <c r="F14183">
        <v>0</v>
      </c>
      <c r="H14183" t="s">
        <v>8581</v>
      </c>
      <c r="I14183">
        <v>730</v>
      </c>
      <c r="J14183" t="s">
        <v>450</v>
      </c>
      <c r="K14183" t="s">
        <v>446</v>
      </c>
      <c r="M14183">
        <v>0</v>
      </c>
    </row>
    <row r="14184" spans="1:13">
      <c r="A14184">
        <v>86312200</v>
      </c>
      <c r="B14184">
        <v>2004751</v>
      </c>
      <c r="C14184" t="s">
        <v>7126</v>
      </c>
      <c r="D14184" t="s">
        <v>442</v>
      </c>
      <c r="F14184">
        <v>0</v>
      </c>
      <c r="H14184" t="s">
        <v>8581</v>
      </c>
      <c r="I14184">
        <v>730</v>
      </c>
      <c r="J14184" t="s">
        <v>450</v>
      </c>
      <c r="K14184" t="s">
        <v>446</v>
      </c>
      <c r="M14184">
        <v>0</v>
      </c>
    </row>
    <row r="14185" spans="1:13">
      <c r="A14185">
        <v>86312300</v>
      </c>
      <c r="B14185">
        <v>2004752</v>
      </c>
      <c r="C14185" t="s">
        <v>7127</v>
      </c>
      <c r="D14185" t="s">
        <v>442</v>
      </c>
      <c r="F14185">
        <v>0</v>
      </c>
      <c r="H14185" t="s">
        <v>8581</v>
      </c>
      <c r="I14185">
        <v>730</v>
      </c>
      <c r="J14185" t="s">
        <v>450</v>
      </c>
      <c r="K14185" t="s">
        <v>446</v>
      </c>
      <c r="M14185">
        <v>0</v>
      </c>
    </row>
    <row r="14186" spans="1:13">
      <c r="A14186">
        <v>86312400</v>
      </c>
      <c r="B14186">
        <v>2004753</v>
      </c>
      <c r="C14186" t="s">
        <v>7128</v>
      </c>
      <c r="D14186" t="s">
        <v>442</v>
      </c>
      <c r="F14186">
        <v>0</v>
      </c>
      <c r="H14186" t="s">
        <v>8581</v>
      </c>
      <c r="I14186">
        <v>730</v>
      </c>
      <c r="J14186" t="s">
        <v>450</v>
      </c>
      <c r="K14186" t="s">
        <v>446</v>
      </c>
      <c r="M14186">
        <v>0</v>
      </c>
    </row>
    <row r="14187" spans="1:13">
      <c r="A14187">
        <v>86312500</v>
      </c>
      <c r="B14187">
        <v>2003556</v>
      </c>
      <c r="C14187" t="s">
        <v>7129</v>
      </c>
      <c r="D14187" t="s">
        <v>442</v>
      </c>
      <c r="E14187" t="s">
        <v>441</v>
      </c>
      <c r="F14187">
        <v>1E-3</v>
      </c>
      <c r="H14187" t="s">
        <v>8581</v>
      </c>
      <c r="I14187">
        <v>730</v>
      </c>
      <c r="J14187" t="s">
        <v>450</v>
      </c>
      <c r="K14187" t="s">
        <v>446</v>
      </c>
      <c r="M14187">
        <v>0</v>
      </c>
    </row>
    <row r="14188" spans="1:13">
      <c r="A14188">
        <v>86312600</v>
      </c>
      <c r="B14188">
        <v>2004814</v>
      </c>
      <c r="C14188" t="s">
        <v>7130</v>
      </c>
      <c r="D14188" t="s">
        <v>442</v>
      </c>
      <c r="E14188" t="s">
        <v>441</v>
      </c>
      <c r="F14188">
        <v>1E-3</v>
      </c>
      <c r="H14188" t="s">
        <v>8581</v>
      </c>
      <c r="I14188">
        <v>730</v>
      </c>
      <c r="J14188" t="s">
        <v>450</v>
      </c>
      <c r="K14188" t="s">
        <v>446</v>
      </c>
      <c r="M14188">
        <v>0</v>
      </c>
    </row>
    <row r="14189" spans="1:13">
      <c r="A14189">
        <v>86312700</v>
      </c>
      <c r="B14189">
        <v>2004815</v>
      </c>
      <c r="C14189" t="s">
        <v>7131</v>
      </c>
      <c r="D14189" t="s">
        <v>442</v>
      </c>
      <c r="E14189" t="s">
        <v>441</v>
      </c>
      <c r="F14189">
        <v>1E-3</v>
      </c>
      <c r="H14189" t="s">
        <v>8581</v>
      </c>
      <c r="I14189">
        <v>730</v>
      </c>
      <c r="J14189" t="s">
        <v>450</v>
      </c>
      <c r="K14189" t="s">
        <v>446</v>
      </c>
      <c r="M14189">
        <v>0</v>
      </c>
    </row>
    <row r="14190" spans="1:13">
      <c r="A14190">
        <v>86312800</v>
      </c>
      <c r="B14190">
        <v>2004816</v>
      </c>
      <c r="C14190" t="s">
        <v>7132</v>
      </c>
      <c r="D14190" t="s">
        <v>442</v>
      </c>
      <c r="E14190" t="s">
        <v>441</v>
      </c>
      <c r="F14190">
        <v>0.01</v>
      </c>
      <c r="H14190" t="s">
        <v>8581</v>
      </c>
      <c r="I14190">
        <v>730</v>
      </c>
      <c r="J14190" t="s">
        <v>450</v>
      </c>
      <c r="K14190" t="s">
        <v>446</v>
      </c>
      <c r="M14190">
        <v>0</v>
      </c>
    </row>
    <row r="14191" spans="1:13">
      <c r="A14191">
        <v>86312900</v>
      </c>
      <c r="B14191">
        <v>2004817</v>
      </c>
      <c r="C14191" t="s">
        <v>7133</v>
      </c>
      <c r="D14191" t="s">
        <v>442</v>
      </c>
      <c r="E14191" t="s">
        <v>441</v>
      </c>
      <c r="F14191">
        <v>1E-3</v>
      </c>
      <c r="H14191" t="s">
        <v>8581</v>
      </c>
      <c r="I14191">
        <v>730</v>
      </c>
      <c r="J14191" t="s">
        <v>450</v>
      </c>
      <c r="K14191" t="s">
        <v>446</v>
      </c>
      <c r="M14191">
        <v>0</v>
      </c>
    </row>
    <row r="14192" spans="1:13">
      <c r="A14192">
        <v>86313000</v>
      </c>
      <c r="B14192">
        <v>2004818</v>
      </c>
      <c r="C14192" t="s">
        <v>7134</v>
      </c>
      <c r="D14192" t="s">
        <v>442</v>
      </c>
      <c r="E14192" t="s">
        <v>441</v>
      </c>
      <c r="F14192">
        <v>1E-3</v>
      </c>
      <c r="H14192" t="s">
        <v>8581</v>
      </c>
      <c r="I14192">
        <v>730</v>
      </c>
      <c r="J14192" t="s">
        <v>450</v>
      </c>
      <c r="K14192" t="s">
        <v>446</v>
      </c>
      <c r="M14192">
        <v>0</v>
      </c>
    </row>
    <row r="14193" spans="1:13">
      <c r="A14193">
        <v>86313100</v>
      </c>
      <c r="B14193">
        <v>2004779</v>
      </c>
      <c r="C14193" t="s">
        <v>7135</v>
      </c>
      <c r="D14193" t="s">
        <v>442</v>
      </c>
      <c r="F14193">
        <v>0</v>
      </c>
      <c r="H14193" t="s">
        <v>8581</v>
      </c>
      <c r="I14193">
        <v>730</v>
      </c>
      <c r="J14193" t="s">
        <v>450</v>
      </c>
      <c r="K14193" t="s">
        <v>446</v>
      </c>
      <c r="M14193">
        <v>0</v>
      </c>
    </row>
    <row r="14194" spans="1:13">
      <c r="A14194">
        <v>86313200</v>
      </c>
      <c r="B14194">
        <v>2005007</v>
      </c>
      <c r="C14194" t="s">
        <v>7136</v>
      </c>
      <c r="D14194" t="s">
        <v>442</v>
      </c>
      <c r="F14194">
        <v>0</v>
      </c>
      <c r="H14194" t="s">
        <v>8581</v>
      </c>
      <c r="I14194">
        <v>730</v>
      </c>
      <c r="J14194" t="s">
        <v>450</v>
      </c>
      <c r="K14194" t="s">
        <v>446</v>
      </c>
      <c r="M14194">
        <v>0</v>
      </c>
    </row>
    <row r="14195" spans="1:13">
      <c r="A14195">
        <v>86313300</v>
      </c>
      <c r="B14195">
        <v>2005010</v>
      </c>
      <c r="C14195" t="s">
        <v>7137</v>
      </c>
      <c r="D14195" t="s">
        <v>442</v>
      </c>
      <c r="F14195">
        <v>0</v>
      </c>
      <c r="H14195" t="s">
        <v>8581</v>
      </c>
      <c r="I14195">
        <v>730</v>
      </c>
      <c r="J14195" t="s">
        <v>450</v>
      </c>
      <c r="K14195" t="s">
        <v>446</v>
      </c>
      <c r="M14195">
        <v>0</v>
      </c>
    </row>
    <row r="14196" spans="1:13">
      <c r="A14196">
        <v>86313400</v>
      </c>
      <c r="B14196">
        <v>2005030</v>
      </c>
      <c r="C14196" t="s">
        <v>7138</v>
      </c>
      <c r="D14196" t="s">
        <v>442</v>
      </c>
      <c r="F14196">
        <v>0</v>
      </c>
      <c r="H14196" t="s">
        <v>8581</v>
      </c>
      <c r="I14196">
        <v>730</v>
      </c>
      <c r="J14196" t="s">
        <v>450</v>
      </c>
      <c r="K14196" t="s">
        <v>446</v>
      </c>
      <c r="M14196">
        <v>0</v>
      </c>
    </row>
    <row r="14197" spans="1:13">
      <c r="A14197">
        <v>86313500</v>
      </c>
      <c r="B14197">
        <v>2005043</v>
      </c>
      <c r="C14197" t="s">
        <v>14078</v>
      </c>
      <c r="D14197" t="s">
        <v>442</v>
      </c>
      <c r="F14197">
        <v>0</v>
      </c>
      <c r="H14197" t="s">
        <v>8581</v>
      </c>
      <c r="I14197">
        <v>730</v>
      </c>
      <c r="J14197" t="s">
        <v>450</v>
      </c>
      <c r="K14197" t="s">
        <v>446</v>
      </c>
      <c r="M14197">
        <v>0</v>
      </c>
    </row>
    <row r="14198" spans="1:13">
      <c r="A14198">
        <v>86313600</v>
      </c>
      <c r="B14198">
        <v>2005044</v>
      </c>
      <c r="C14198" t="s">
        <v>7139</v>
      </c>
      <c r="D14198" t="s">
        <v>442</v>
      </c>
      <c r="F14198">
        <v>0</v>
      </c>
      <c r="H14198" t="s">
        <v>8581</v>
      </c>
      <c r="I14198">
        <v>730</v>
      </c>
      <c r="J14198" t="s">
        <v>450</v>
      </c>
      <c r="K14198" t="s">
        <v>446</v>
      </c>
      <c r="M14198">
        <v>0</v>
      </c>
    </row>
    <row r="14199" spans="1:13">
      <c r="A14199">
        <v>86313700</v>
      </c>
      <c r="B14199">
        <v>2005061</v>
      </c>
      <c r="C14199" t="s">
        <v>7140</v>
      </c>
      <c r="D14199" t="s">
        <v>442</v>
      </c>
      <c r="F14199">
        <v>0</v>
      </c>
      <c r="H14199" t="s">
        <v>8581</v>
      </c>
      <c r="I14199">
        <v>730</v>
      </c>
      <c r="J14199" t="s">
        <v>450</v>
      </c>
      <c r="K14199" t="s">
        <v>446</v>
      </c>
      <c r="M14199">
        <v>0</v>
      </c>
    </row>
    <row r="14200" spans="1:13">
      <c r="A14200">
        <v>86313800</v>
      </c>
      <c r="B14200">
        <v>2005058</v>
      </c>
      <c r="C14200" t="s">
        <v>7141</v>
      </c>
      <c r="D14200" t="s">
        <v>442</v>
      </c>
      <c r="F14200">
        <v>0</v>
      </c>
      <c r="H14200" t="s">
        <v>8581</v>
      </c>
      <c r="I14200">
        <v>730</v>
      </c>
      <c r="J14200" t="s">
        <v>450</v>
      </c>
      <c r="K14200" t="s">
        <v>446</v>
      </c>
      <c r="M14200">
        <v>0</v>
      </c>
    </row>
    <row r="14201" spans="1:13">
      <c r="A14201">
        <v>86313900</v>
      </c>
      <c r="B14201">
        <v>2005057</v>
      </c>
      <c r="C14201" t="s">
        <v>7142</v>
      </c>
      <c r="D14201" t="s">
        <v>442</v>
      </c>
      <c r="F14201">
        <v>0</v>
      </c>
      <c r="H14201" t="s">
        <v>8581</v>
      </c>
      <c r="I14201">
        <v>730</v>
      </c>
      <c r="J14201" t="s">
        <v>450</v>
      </c>
      <c r="K14201" t="s">
        <v>446</v>
      </c>
      <c r="M14201">
        <v>0</v>
      </c>
    </row>
    <row r="14202" spans="1:13">
      <c r="A14202">
        <v>86314000</v>
      </c>
      <c r="B14202">
        <v>2005080</v>
      </c>
      <c r="C14202" t="s">
        <v>7143</v>
      </c>
      <c r="D14202" t="s">
        <v>442</v>
      </c>
      <c r="F14202">
        <v>0</v>
      </c>
      <c r="H14202" t="s">
        <v>8581</v>
      </c>
      <c r="I14202">
        <v>730</v>
      </c>
      <c r="J14202" t="s">
        <v>450</v>
      </c>
      <c r="K14202" t="s">
        <v>446</v>
      </c>
      <c r="M14202">
        <v>0</v>
      </c>
    </row>
    <row r="14203" spans="1:13">
      <c r="A14203">
        <v>86314100</v>
      </c>
      <c r="B14203">
        <v>2005081</v>
      </c>
      <c r="C14203" t="s">
        <v>7144</v>
      </c>
      <c r="D14203" t="s">
        <v>442</v>
      </c>
      <c r="F14203">
        <v>0</v>
      </c>
      <c r="H14203" t="s">
        <v>8581</v>
      </c>
      <c r="I14203">
        <v>730</v>
      </c>
      <c r="J14203" t="s">
        <v>450</v>
      </c>
      <c r="K14203" t="s">
        <v>446</v>
      </c>
      <c r="M14203">
        <v>0</v>
      </c>
    </row>
    <row r="14204" spans="1:13">
      <c r="A14204">
        <v>86314200</v>
      </c>
      <c r="B14204">
        <v>2005082</v>
      </c>
      <c r="C14204" t="s">
        <v>7145</v>
      </c>
      <c r="D14204" t="s">
        <v>442</v>
      </c>
      <c r="F14204">
        <v>0</v>
      </c>
      <c r="H14204" t="s">
        <v>8581</v>
      </c>
      <c r="I14204">
        <v>730</v>
      </c>
      <c r="J14204" t="s">
        <v>450</v>
      </c>
      <c r="K14204" t="s">
        <v>446</v>
      </c>
      <c r="M14204">
        <v>0</v>
      </c>
    </row>
    <row r="14205" spans="1:13">
      <c r="A14205">
        <v>86314300</v>
      </c>
      <c r="B14205">
        <v>2005083</v>
      </c>
      <c r="C14205" t="s">
        <v>7146</v>
      </c>
      <c r="D14205" t="s">
        <v>442</v>
      </c>
      <c r="F14205">
        <v>0</v>
      </c>
      <c r="H14205" t="s">
        <v>8581</v>
      </c>
      <c r="I14205">
        <v>730</v>
      </c>
      <c r="J14205" t="s">
        <v>450</v>
      </c>
      <c r="K14205" t="s">
        <v>446</v>
      </c>
      <c r="M14205">
        <v>0</v>
      </c>
    </row>
    <row r="14206" spans="1:13">
      <c r="A14206">
        <v>86314400</v>
      </c>
      <c r="B14206">
        <v>2005074</v>
      </c>
      <c r="C14206" t="s">
        <v>7147</v>
      </c>
      <c r="D14206" t="s">
        <v>442</v>
      </c>
      <c r="F14206">
        <v>0</v>
      </c>
      <c r="H14206" t="s">
        <v>8581</v>
      </c>
      <c r="I14206">
        <v>730</v>
      </c>
      <c r="J14206" t="s">
        <v>450</v>
      </c>
      <c r="K14206" t="s">
        <v>446</v>
      </c>
      <c r="M14206">
        <v>0</v>
      </c>
    </row>
    <row r="14207" spans="1:13">
      <c r="A14207">
        <v>86314500</v>
      </c>
      <c r="B14207">
        <v>2005085</v>
      </c>
      <c r="C14207" t="s">
        <v>7148</v>
      </c>
      <c r="D14207" t="s">
        <v>442</v>
      </c>
      <c r="F14207">
        <v>0</v>
      </c>
      <c r="H14207" t="s">
        <v>8581</v>
      </c>
      <c r="I14207">
        <v>730</v>
      </c>
      <c r="J14207" t="s">
        <v>450</v>
      </c>
      <c r="K14207" t="s">
        <v>446</v>
      </c>
      <c r="M14207">
        <v>0</v>
      </c>
    </row>
    <row r="14208" spans="1:13">
      <c r="A14208">
        <v>86314600</v>
      </c>
      <c r="B14208">
        <v>2005086</v>
      </c>
      <c r="C14208" t="s">
        <v>7149</v>
      </c>
      <c r="D14208" t="s">
        <v>442</v>
      </c>
      <c r="F14208">
        <v>0</v>
      </c>
      <c r="H14208" t="s">
        <v>8581</v>
      </c>
      <c r="I14208">
        <v>720</v>
      </c>
      <c r="J14208" t="s">
        <v>450</v>
      </c>
      <c r="K14208" t="s">
        <v>446</v>
      </c>
      <c r="M14208">
        <v>0</v>
      </c>
    </row>
    <row r="14209" spans="1:13">
      <c r="A14209">
        <v>86314700</v>
      </c>
      <c r="B14209">
        <v>2005087</v>
      </c>
      <c r="C14209" t="s">
        <v>7150</v>
      </c>
      <c r="D14209" t="s">
        <v>442</v>
      </c>
      <c r="F14209">
        <v>0</v>
      </c>
      <c r="H14209" t="s">
        <v>8581</v>
      </c>
      <c r="I14209">
        <v>730</v>
      </c>
      <c r="J14209" t="s">
        <v>450</v>
      </c>
      <c r="K14209" t="s">
        <v>446</v>
      </c>
      <c r="M14209">
        <v>0</v>
      </c>
    </row>
    <row r="14210" spans="1:13">
      <c r="A14210">
        <v>86314800</v>
      </c>
      <c r="B14210">
        <v>2005089</v>
      </c>
      <c r="C14210" t="s">
        <v>7151</v>
      </c>
      <c r="D14210" t="s">
        <v>442</v>
      </c>
      <c r="F14210">
        <v>0</v>
      </c>
      <c r="H14210" t="s">
        <v>8581</v>
      </c>
      <c r="I14210">
        <v>730</v>
      </c>
      <c r="J14210" t="s">
        <v>450</v>
      </c>
      <c r="K14210" t="s">
        <v>446</v>
      </c>
      <c r="M14210">
        <v>0</v>
      </c>
    </row>
    <row r="14211" spans="1:13">
      <c r="A14211">
        <v>86314900</v>
      </c>
      <c r="B14211">
        <v>2005090</v>
      </c>
      <c r="C14211" t="s">
        <v>7152</v>
      </c>
      <c r="D14211" t="s">
        <v>442</v>
      </c>
      <c r="F14211">
        <v>0</v>
      </c>
      <c r="H14211" t="s">
        <v>8581</v>
      </c>
      <c r="I14211">
        <v>730</v>
      </c>
      <c r="J14211" t="s">
        <v>450</v>
      </c>
      <c r="K14211" t="s">
        <v>446</v>
      </c>
      <c r="M14211">
        <v>0</v>
      </c>
    </row>
    <row r="14212" spans="1:13">
      <c r="A14212">
        <v>86315000</v>
      </c>
      <c r="B14212">
        <v>2005103</v>
      </c>
      <c r="C14212" t="s">
        <v>7153</v>
      </c>
      <c r="D14212" t="s">
        <v>442</v>
      </c>
      <c r="F14212">
        <v>0</v>
      </c>
      <c r="H14212" t="s">
        <v>8581</v>
      </c>
      <c r="I14212">
        <v>730</v>
      </c>
      <c r="J14212" t="s">
        <v>450</v>
      </c>
      <c r="K14212" t="s">
        <v>446</v>
      </c>
      <c r="M14212">
        <v>0</v>
      </c>
    </row>
    <row r="14213" spans="1:13">
      <c r="A14213">
        <v>86315100</v>
      </c>
      <c r="B14213">
        <v>2005104</v>
      </c>
      <c r="C14213" t="s">
        <v>7154</v>
      </c>
      <c r="D14213" t="s">
        <v>442</v>
      </c>
      <c r="F14213">
        <v>0</v>
      </c>
      <c r="H14213" t="s">
        <v>8581</v>
      </c>
      <c r="I14213">
        <v>730</v>
      </c>
      <c r="J14213" t="s">
        <v>450</v>
      </c>
      <c r="K14213" t="s">
        <v>446</v>
      </c>
      <c r="M14213">
        <v>0</v>
      </c>
    </row>
    <row r="14214" spans="1:13">
      <c r="A14214">
        <v>86315200</v>
      </c>
      <c r="B14214">
        <v>2005108</v>
      </c>
      <c r="C14214" t="s">
        <v>7155</v>
      </c>
      <c r="D14214" t="s">
        <v>442</v>
      </c>
      <c r="F14214">
        <v>0</v>
      </c>
      <c r="H14214" t="s">
        <v>8581</v>
      </c>
      <c r="I14214">
        <v>730</v>
      </c>
      <c r="J14214" t="s">
        <v>450</v>
      </c>
      <c r="K14214" t="s">
        <v>446</v>
      </c>
      <c r="M14214">
        <v>0</v>
      </c>
    </row>
    <row r="14215" spans="1:13">
      <c r="A14215">
        <v>86315300</v>
      </c>
      <c r="B14215">
        <v>2005109</v>
      </c>
      <c r="C14215" t="s">
        <v>7156</v>
      </c>
      <c r="D14215" t="s">
        <v>442</v>
      </c>
      <c r="F14215">
        <v>0</v>
      </c>
      <c r="H14215" t="s">
        <v>8581</v>
      </c>
      <c r="I14215">
        <v>730</v>
      </c>
      <c r="J14215" t="s">
        <v>450</v>
      </c>
      <c r="K14215" t="s">
        <v>446</v>
      </c>
      <c r="M14215">
        <v>0</v>
      </c>
    </row>
    <row r="14216" spans="1:13">
      <c r="A14216">
        <v>86315400</v>
      </c>
      <c r="B14216">
        <v>2005130</v>
      </c>
      <c r="C14216" t="s">
        <v>7157</v>
      </c>
      <c r="D14216" t="s">
        <v>442</v>
      </c>
      <c r="F14216">
        <v>0</v>
      </c>
      <c r="H14216" t="s">
        <v>8581</v>
      </c>
      <c r="I14216">
        <v>730</v>
      </c>
      <c r="J14216" t="s">
        <v>450</v>
      </c>
      <c r="K14216" t="s">
        <v>446</v>
      </c>
      <c r="M14216">
        <v>0</v>
      </c>
    </row>
    <row r="14217" spans="1:13">
      <c r="A14217">
        <v>86315500</v>
      </c>
      <c r="B14217">
        <v>2005127</v>
      </c>
      <c r="C14217" t="s">
        <v>7158</v>
      </c>
      <c r="D14217" t="s">
        <v>442</v>
      </c>
      <c r="F14217">
        <v>0</v>
      </c>
      <c r="H14217" t="s">
        <v>8581</v>
      </c>
      <c r="I14217">
        <v>730</v>
      </c>
      <c r="J14217" t="s">
        <v>450</v>
      </c>
      <c r="K14217" t="s">
        <v>446</v>
      </c>
      <c r="M14217">
        <v>0</v>
      </c>
    </row>
    <row r="14218" spans="1:13">
      <c r="A14218">
        <v>86315600</v>
      </c>
      <c r="B14218">
        <v>2005126</v>
      </c>
      <c r="C14218" t="s">
        <v>7159</v>
      </c>
      <c r="D14218" t="s">
        <v>442</v>
      </c>
      <c r="F14218">
        <v>0</v>
      </c>
      <c r="H14218" t="s">
        <v>8581</v>
      </c>
      <c r="I14218">
        <v>730</v>
      </c>
      <c r="J14218" t="s">
        <v>450</v>
      </c>
      <c r="K14218" t="s">
        <v>446</v>
      </c>
      <c r="M14218">
        <v>0</v>
      </c>
    </row>
    <row r="14219" spans="1:13">
      <c r="A14219">
        <v>86315700</v>
      </c>
      <c r="B14219">
        <v>2005128</v>
      </c>
      <c r="C14219" t="s">
        <v>7160</v>
      </c>
      <c r="D14219" t="s">
        <v>442</v>
      </c>
      <c r="F14219">
        <v>0</v>
      </c>
      <c r="H14219" t="s">
        <v>8581</v>
      </c>
      <c r="I14219">
        <v>730</v>
      </c>
      <c r="J14219" t="s">
        <v>450</v>
      </c>
      <c r="K14219" t="s">
        <v>446</v>
      </c>
      <c r="M14219">
        <v>0</v>
      </c>
    </row>
    <row r="14220" spans="1:13">
      <c r="A14220">
        <v>86315800</v>
      </c>
      <c r="B14220">
        <v>2005141</v>
      </c>
      <c r="C14220" t="s">
        <v>7161</v>
      </c>
      <c r="D14220" t="s">
        <v>442</v>
      </c>
      <c r="F14220">
        <v>0</v>
      </c>
      <c r="H14220" t="s">
        <v>8581</v>
      </c>
      <c r="I14220">
        <v>730</v>
      </c>
      <c r="J14220" t="s">
        <v>450</v>
      </c>
      <c r="K14220" t="s">
        <v>446</v>
      </c>
      <c r="M14220">
        <v>0</v>
      </c>
    </row>
    <row r="14221" spans="1:13">
      <c r="A14221">
        <v>86315900</v>
      </c>
      <c r="B14221">
        <v>2005140</v>
      </c>
      <c r="C14221" t="s">
        <v>7162</v>
      </c>
      <c r="D14221" t="s">
        <v>442</v>
      </c>
      <c r="F14221">
        <v>0</v>
      </c>
      <c r="H14221" t="s">
        <v>8581</v>
      </c>
      <c r="I14221">
        <v>730</v>
      </c>
      <c r="J14221" t="s">
        <v>450</v>
      </c>
      <c r="K14221" t="s">
        <v>446</v>
      </c>
      <c r="M14221">
        <v>0</v>
      </c>
    </row>
    <row r="14222" spans="1:13">
      <c r="A14222">
        <v>86316000</v>
      </c>
      <c r="B14222">
        <v>2005129</v>
      </c>
      <c r="C14222" t="s">
        <v>7163</v>
      </c>
      <c r="D14222" t="s">
        <v>442</v>
      </c>
      <c r="F14222">
        <v>0</v>
      </c>
      <c r="H14222" t="s">
        <v>8581</v>
      </c>
      <c r="I14222">
        <v>730</v>
      </c>
      <c r="J14222" t="s">
        <v>450</v>
      </c>
      <c r="K14222" t="s">
        <v>446</v>
      </c>
      <c r="M14222">
        <v>0</v>
      </c>
    </row>
    <row r="14223" spans="1:13">
      <c r="A14223">
        <v>86316100</v>
      </c>
      <c r="B14223">
        <v>2005133</v>
      </c>
      <c r="C14223" t="s">
        <v>7164</v>
      </c>
      <c r="D14223" t="s">
        <v>442</v>
      </c>
      <c r="F14223">
        <v>0</v>
      </c>
      <c r="H14223" t="s">
        <v>8581</v>
      </c>
      <c r="I14223">
        <v>730</v>
      </c>
      <c r="J14223" t="s">
        <v>450</v>
      </c>
      <c r="K14223" t="s">
        <v>446</v>
      </c>
      <c r="M14223">
        <v>0</v>
      </c>
    </row>
    <row r="14224" spans="1:13">
      <c r="A14224">
        <v>86316200</v>
      </c>
      <c r="B14224">
        <v>2002514</v>
      </c>
      <c r="C14224" t="s">
        <v>14079</v>
      </c>
      <c r="D14224" t="s">
        <v>442</v>
      </c>
      <c r="E14224" t="s">
        <v>441</v>
      </c>
      <c r="F14224">
        <v>1E-3</v>
      </c>
      <c r="H14224" t="s">
        <v>8581</v>
      </c>
      <c r="I14224">
        <v>730</v>
      </c>
      <c r="J14224" t="s">
        <v>450</v>
      </c>
      <c r="K14224" t="s">
        <v>446</v>
      </c>
      <c r="M14224">
        <v>0</v>
      </c>
    </row>
    <row r="14225" spans="1:13">
      <c r="A14225">
        <v>86316300</v>
      </c>
      <c r="B14225">
        <v>2002332</v>
      </c>
      <c r="C14225" t="s">
        <v>7165</v>
      </c>
      <c r="D14225" t="s">
        <v>442</v>
      </c>
      <c r="E14225" t="s">
        <v>441</v>
      </c>
      <c r="F14225">
        <v>1E-3</v>
      </c>
      <c r="H14225" t="s">
        <v>8581</v>
      </c>
      <c r="I14225">
        <v>730</v>
      </c>
      <c r="J14225" t="s">
        <v>450</v>
      </c>
      <c r="K14225" t="s">
        <v>446</v>
      </c>
      <c r="M14225">
        <v>0</v>
      </c>
    </row>
    <row r="14226" spans="1:13">
      <c r="A14226">
        <v>86316400</v>
      </c>
      <c r="B14226">
        <v>2003872</v>
      </c>
      <c r="C14226" t="s">
        <v>7166</v>
      </c>
      <c r="D14226" t="s">
        <v>442</v>
      </c>
      <c r="E14226" t="s">
        <v>441</v>
      </c>
      <c r="F14226">
        <v>1E-3</v>
      </c>
      <c r="H14226" t="s">
        <v>8581</v>
      </c>
      <c r="I14226">
        <v>730</v>
      </c>
      <c r="J14226" t="s">
        <v>450</v>
      </c>
      <c r="K14226" t="s">
        <v>446</v>
      </c>
      <c r="M14226">
        <v>0</v>
      </c>
    </row>
    <row r="14227" spans="1:13">
      <c r="A14227">
        <v>86316500</v>
      </c>
      <c r="B14227">
        <v>2002517</v>
      </c>
      <c r="C14227" t="s">
        <v>7167</v>
      </c>
      <c r="D14227" t="s">
        <v>442</v>
      </c>
      <c r="E14227" t="s">
        <v>441</v>
      </c>
      <c r="F14227">
        <v>1E-3</v>
      </c>
      <c r="H14227" t="s">
        <v>8581</v>
      </c>
      <c r="I14227">
        <v>730</v>
      </c>
      <c r="J14227" t="s">
        <v>450</v>
      </c>
      <c r="K14227" t="s">
        <v>446</v>
      </c>
      <c r="M14227">
        <v>0</v>
      </c>
    </row>
    <row r="14228" spans="1:13">
      <c r="A14228">
        <v>86316600</v>
      </c>
      <c r="B14228">
        <v>2002513</v>
      </c>
      <c r="C14228" t="s">
        <v>7168</v>
      </c>
      <c r="D14228" t="s">
        <v>442</v>
      </c>
      <c r="E14228" t="s">
        <v>441</v>
      </c>
      <c r="F14228">
        <v>1E-3</v>
      </c>
      <c r="H14228" t="s">
        <v>8581</v>
      </c>
      <c r="I14228">
        <v>730</v>
      </c>
      <c r="J14228" t="s">
        <v>450</v>
      </c>
      <c r="K14228" t="s">
        <v>446</v>
      </c>
      <c r="M14228">
        <v>0</v>
      </c>
    </row>
    <row r="14229" spans="1:13">
      <c r="A14229">
        <v>86316700</v>
      </c>
      <c r="B14229">
        <v>2002515</v>
      </c>
      <c r="C14229" t="s">
        <v>7169</v>
      </c>
      <c r="D14229" t="s">
        <v>442</v>
      </c>
      <c r="E14229" t="s">
        <v>441</v>
      </c>
      <c r="F14229">
        <v>1E-3</v>
      </c>
      <c r="H14229" t="s">
        <v>8581</v>
      </c>
      <c r="I14229">
        <v>730</v>
      </c>
      <c r="J14229" t="s">
        <v>450</v>
      </c>
      <c r="K14229" t="s">
        <v>446</v>
      </c>
      <c r="M14229">
        <v>0</v>
      </c>
    </row>
    <row r="14230" spans="1:13">
      <c r="A14230">
        <v>86316800</v>
      </c>
      <c r="B14230">
        <v>2003878</v>
      </c>
      <c r="C14230" t="s">
        <v>7170</v>
      </c>
      <c r="D14230" t="s">
        <v>442</v>
      </c>
      <c r="E14230" t="s">
        <v>441</v>
      </c>
      <c r="F14230">
        <v>1E-3</v>
      </c>
      <c r="H14230" t="s">
        <v>8581</v>
      </c>
      <c r="I14230">
        <v>730</v>
      </c>
      <c r="J14230" t="s">
        <v>450</v>
      </c>
      <c r="K14230" t="s">
        <v>446</v>
      </c>
      <c r="M14230">
        <v>0</v>
      </c>
    </row>
    <row r="14231" spans="1:13">
      <c r="A14231">
        <v>86316900</v>
      </c>
      <c r="B14231">
        <v>2005181</v>
      </c>
      <c r="C14231" t="s">
        <v>7171</v>
      </c>
      <c r="D14231" t="s">
        <v>442</v>
      </c>
      <c r="F14231">
        <v>0</v>
      </c>
      <c r="H14231" t="s">
        <v>8581</v>
      </c>
      <c r="I14231">
        <v>730</v>
      </c>
      <c r="J14231" t="s">
        <v>450</v>
      </c>
      <c r="K14231" t="s">
        <v>446</v>
      </c>
      <c r="M14231">
        <v>0</v>
      </c>
    </row>
    <row r="14232" spans="1:13">
      <c r="A14232">
        <v>86317100</v>
      </c>
      <c r="B14232">
        <v>2005198</v>
      </c>
      <c r="C14232" t="s">
        <v>7172</v>
      </c>
      <c r="D14232" t="s">
        <v>442</v>
      </c>
      <c r="F14232">
        <v>0</v>
      </c>
      <c r="H14232" t="s">
        <v>8581</v>
      </c>
      <c r="I14232">
        <v>730</v>
      </c>
      <c r="J14232" t="s">
        <v>450</v>
      </c>
      <c r="K14232" t="s">
        <v>446</v>
      </c>
      <c r="M14232">
        <v>0</v>
      </c>
    </row>
    <row r="14233" spans="1:13">
      <c r="A14233">
        <v>86317200</v>
      </c>
      <c r="B14233">
        <v>2005219</v>
      </c>
      <c r="C14233" t="s">
        <v>7173</v>
      </c>
      <c r="D14233" t="s">
        <v>442</v>
      </c>
      <c r="E14233" t="s">
        <v>441</v>
      </c>
      <c r="F14233">
        <v>1E-3</v>
      </c>
      <c r="H14233" t="s">
        <v>8581</v>
      </c>
      <c r="I14233">
        <v>730</v>
      </c>
      <c r="J14233" t="s">
        <v>450</v>
      </c>
      <c r="K14233" t="s">
        <v>446</v>
      </c>
      <c r="M14233">
        <v>0</v>
      </c>
    </row>
    <row r="14234" spans="1:13">
      <c r="A14234">
        <v>86317300</v>
      </c>
      <c r="B14234">
        <v>2005230</v>
      </c>
      <c r="C14234" t="s">
        <v>7174</v>
      </c>
      <c r="D14234" t="s">
        <v>442</v>
      </c>
      <c r="F14234">
        <v>0</v>
      </c>
      <c r="H14234" t="s">
        <v>8581</v>
      </c>
      <c r="I14234">
        <v>730</v>
      </c>
      <c r="J14234" t="s">
        <v>450</v>
      </c>
      <c r="K14234" t="s">
        <v>446</v>
      </c>
      <c r="M14234">
        <v>0</v>
      </c>
    </row>
    <row r="14235" spans="1:13">
      <c r="A14235">
        <v>86317400</v>
      </c>
      <c r="B14235">
        <v>2005231</v>
      </c>
      <c r="C14235" t="s">
        <v>7175</v>
      </c>
      <c r="D14235" t="s">
        <v>442</v>
      </c>
      <c r="F14235">
        <v>0</v>
      </c>
      <c r="H14235" t="s">
        <v>8581</v>
      </c>
      <c r="I14235">
        <v>730</v>
      </c>
      <c r="J14235" t="s">
        <v>450</v>
      </c>
      <c r="K14235" t="s">
        <v>446</v>
      </c>
      <c r="M14235">
        <v>0</v>
      </c>
    </row>
    <row r="14236" spans="1:13">
      <c r="A14236">
        <v>86317500</v>
      </c>
      <c r="B14236">
        <v>2005228</v>
      </c>
      <c r="C14236" t="s">
        <v>7176</v>
      </c>
      <c r="D14236" t="s">
        <v>442</v>
      </c>
      <c r="F14236">
        <v>0</v>
      </c>
      <c r="H14236" t="s">
        <v>8581</v>
      </c>
      <c r="I14236">
        <v>730</v>
      </c>
      <c r="J14236" t="s">
        <v>450</v>
      </c>
      <c r="K14236" t="s">
        <v>446</v>
      </c>
      <c r="M14236">
        <v>3805</v>
      </c>
    </row>
    <row r="14237" spans="1:13">
      <c r="A14237">
        <v>86317600</v>
      </c>
      <c r="B14237">
        <v>2005229</v>
      </c>
      <c r="C14237" t="s">
        <v>7177</v>
      </c>
      <c r="D14237" t="s">
        <v>442</v>
      </c>
      <c r="F14237">
        <v>0</v>
      </c>
      <c r="H14237" t="s">
        <v>8581</v>
      </c>
      <c r="I14237">
        <v>730</v>
      </c>
      <c r="J14237" t="s">
        <v>450</v>
      </c>
      <c r="K14237" t="s">
        <v>446</v>
      </c>
      <c r="M14237">
        <v>3805</v>
      </c>
    </row>
    <row r="14238" spans="1:13">
      <c r="A14238">
        <v>86317700</v>
      </c>
      <c r="B14238">
        <v>2005240</v>
      </c>
      <c r="C14238" t="s">
        <v>7178</v>
      </c>
      <c r="D14238" t="s">
        <v>442</v>
      </c>
      <c r="F14238">
        <v>0</v>
      </c>
      <c r="H14238" t="s">
        <v>8581</v>
      </c>
      <c r="I14238">
        <v>730</v>
      </c>
      <c r="J14238" t="s">
        <v>450</v>
      </c>
      <c r="K14238" t="s">
        <v>446</v>
      </c>
      <c r="M14238">
        <v>3805</v>
      </c>
    </row>
    <row r="14239" spans="1:13">
      <c r="A14239">
        <v>86317800</v>
      </c>
      <c r="B14239">
        <v>2005241</v>
      </c>
      <c r="C14239" t="s">
        <v>7179</v>
      </c>
      <c r="D14239" t="s">
        <v>442</v>
      </c>
      <c r="F14239">
        <v>0</v>
      </c>
      <c r="H14239" t="s">
        <v>8581</v>
      </c>
      <c r="I14239">
        <v>730</v>
      </c>
      <c r="J14239" t="s">
        <v>450</v>
      </c>
      <c r="K14239" t="s">
        <v>446</v>
      </c>
      <c r="M14239">
        <v>3805</v>
      </c>
    </row>
    <row r="14240" spans="1:13">
      <c r="A14240">
        <v>86317900</v>
      </c>
      <c r="B14240">
        <v>2005242</v>
      </c>
      <c r="C14240" t="s">
        <v>7180</v>
      </c>
      <c r="D14240" t="s">
        <v>442</v>
      </c>
      <c r="F14240">
        <v>0</v>
      </c>
      <c r="H14240" t="s">
        <v>8581</v>
      </c>
      <c r="I14240">
        <v>730</v>
      </c>
      <c r="J14240" t="s">
        <v>450</v>
      </c>
      <c r="K14240" t="s">
        <v>446</v>
      </c>
      <c r="M14240">
        <v>0</v>
      </c>
    </row>
    <row r="14241" spans="1:13">
      <c r="A14241">
        <v>86318000</v>
      </c>
      <c r="B14241">
        <v>2005243</v>
      </c>
      <c r="C14241" t="s">
        <v>7181</v>
      </c>
      <c r="D14241" t="s">
        <v>442</v>
      </c>
      <c r="F14241">
        <v>0</v>
      </c>
      <c r="H14241" t="s">
        <v>8581</v>
      </c>
      <c r="I14241">
        <v>730</v>
      </c>
      <c r="J14241" t="s">
        <v>450</v>
      </c>
      <c r="K14241" t="s">
        <v>446</v>
      </c>
      <c r="M14241">
        <v>0</v>
      </c>
    </row>
    <row r="14242" spans="1:13">
      <c r="A14242">
        <v>86318100</v>
      </c>
      <c r="B14242">
        <v>2005244</v>
      </c>
      <c r="C14242" t="s">
        <v>7182</v>
      </c>
      <c r="D14242" t="s">
        <v>442</v>
      </c>
      <c r="F14242">
        <v>0</v>
      </c>
      <c r="H14242" t="s">
        <v>8581</v>
      </c>
      <c r="I14242">
        <v>730</v>
      </c>
      <c r="J14242" t="s">
        <v>450</v>
      </c>
      <c r="K14242" t="s">
        <v>446</v>
      </c>
      <c r="M14242">
        <v>3805</v>
      </c>
    </row>
    <row r="14243" spans="1:13">
      <c r="A14243">
        <v>86318200</v>
      </c>
      <c r="B14243">
        <v>2005245</v>
      </c>
      <c r="C14243" t="s">
        <v>7183</v>
      </c>
      <c r="D14243" t="s">
        <v>442</v>
      </c>
      <c r="F14243">
        <v>0</v>
      </c>
      <c r="H14243" t="s">
        <v>8581</v>
      </c>
      <c r="I14243">
        <v>730</v>
      </c>
      <c r="J14243" t="s">
        <v>450</v>
      </c>
      <c r="K14243" t="s">
        <v>446</v>
      </c>
      <c r="M14243">
        <v>3805</v>
      </c>
    </row>
    <row r="14244" spans="1:13">
      <c r="A14244">
        <v>86318300</v>
      </c>
      <c r="B14244">
        <v>2005246</v>
      </c>
      <c r="C14244" t="s">
        <v>7184</v>
      </c>
      <c r="D14244" t="s">
        <v>442</v>
      </c>
      <c r="F14244">
        <v>0</v>
      </c>
      <c r="H14244" t="s">
        <v>8581</v>
      </c>
      <c r="I14244">
        <v>730</v>
      </c>
      <c r="J14244" t="s">
        <v>450</v>
      </c>
      <c r="K14244" t="s">
        <v>446</v>
      </c>
      <c r="M14244">
        <v>3805</v>
      </c>
    </row>
    <row r="14245" spans="1:13">
      <c r="A14245">
        <v>86318400</v>
      </c>
      <c r="B14245">
        <v>2005247</v>
      </c>
      <c r="C14245" t="s">
        <v>7185</v>
      </c>
      <c r="D14245" t="s">
        <v>442</v>
      </c>
      <c r="F14245">
        <v>0</v>
      </c>
      <c r="H14245" t="s">
        <v>8581</v>
      </c>
      <c r="I14245">
        <v>730</v>
      </c>
      <c r="J14245" t="s">
        <v>450</v>
      </c>
      <c r="K14245" t="s">
        <v>446</v>
      </c>
      <c r="M14245">
        <v>0</v>
      </c>
    </row>
    <row r="14246" spans="1:13">
      <c r="A14246">
        <v>86318500</v>
      </c>
      <c r="B14246">
        <v>2005248</v>
      </c>
      <c r="C14246" t="s">
        <v>7186</v>
      </c>
      <c r="D14246" t="s">
        <v>442</v>
      </c>
      <c r="F14246">
        <v>0</v>
      </c>
      <c r="H14246" t="s">
        <v>8581</v>
      </c>
      <c r="I14246">
        <v>730</v>
      </c>
      <c r="J14246" t="s">
        <v>450</v>
      </c>
      <c r="K14246" t="s">
        <v>446</v>
      </c>
      <c r="M14246">
        <v>0</v>
      </c>
    </row>
    <row r="14247" spans="1:13">
      <c r="A14247">
        <v>86318600</v>
      </c>
      <c r="B14247">
        <v>2005249</v>
      </c>
      <c r="C14247" t="s">
        <v>7187</v>
      </c>
      <c r="D14247" t="s">
        <v>442</v>
      </c>
      <c r="F14247">
        <v>0</v>
      </c>
      <c r="H14247" t="s">
        <v>8581</v>
      </c>
      <c r="I14247">
        <v>730</v>
      </c>
      <c r="J14247" t="s">
        <v>450</v>
      </c>
      <c r="K14247" t="s">
        <v>446</v>
      </c>
      <c r="M14247">
        <v>3805</v>
      </c>
    </row>
    <row r="14248" spans="1:13">
      <c r="A14248">
        <v>86318700</v>
      </c>
      <c r="B14248">
        <v>2005265</v>
      </c>
      <c r="C14248" t="s">
        <v>7188</v>
      </c>
      <c r="D14248" t="s">
        <v>442</v>
      </c>
      <c r="F14248">
        <v>0</v>
      </c>
      <c r="H14248" t="s">
        <v>8581</v>
      </c>
      <c r="I14248">
        <v>730</v>
      </c>
      <c r="J14248" t="s">
        <v>450</v>
      </c>
      <c r="K14248" t="s">
        <v>446</v>
      </c>
      <c r="M14248">
        <v>0</v>
      </c>
    </row>
    <row r="14249" spans="1:13">
      <c r="A14249">
        <v>86318800</v>
      </c>
      <c r="B14249">
        <v>2005264</v>
      </c>
      <c r="C14249" t="s">
        <v>7189</v>
      </c>
      <c r="D14249" t="s">
        <v>442</v>
      </c>
      <c r="F14249">
        <v>0</v>
      </c>
      <c r="H14249" t="s">
        <v>8581</v>
      </c>
      <c r="I14249">
        <v>730</v>
      </c>
      <c r="J14249" t="s">
        <v>450</v>
      </c>
      <c r="K14249" t="s">
        <v>446</v>
      </c>
      <c r="M14249">
        <v>0</v>
      </c>
    </row>
    <row r="14250" spans="1:13">
      <c r="A14250">
        <v>86318900</v>
      </c>
      <c r="B14250">
        <v>2005263</v>
      </c>
      <c r="C14250" t="s">
        <v>7190</v>
      </c>
      <c r="D14250" t="s">
        <v>442</v>
      </c>
      <c r="F14250">
        <v>0</v>
      </c>
      <c r="H14250" t="s">
        <v>8581</v>
      </c>
      <c r="I14250">
        <v>730</v>
      </c>
      <c r="J14250" t="s">
        <v>450</v>
      </c>
      <c r="K14250" t="s">
        <v>446</v>
      </c>
      <c r="M14250">
        <v>0</v>
      </c>
    </row>
    <row r="14251" spans="1:13">
      <c r="A14251">
        <v>86319000</v>
      </c>
      <c r="B14251">
        <v>2005259</v>
      </c>
      <c r="C14251" t="s">
        <v>7191</v>
      </c>
      <c r="D14251" t="s">
        <v>442</v>
      </c>
      <c r="F14251">
        <v>0</v>
      </c>
      <c r="H14251" t="s">
        <v>8581</v>
      </c>
      <c r="I14251">
        <v>730</v>
      </c>
      <c r="J14251" t="s">
        <v>450</v>
      </c>
      <c r="K14251" t="s">
        <v>446</v>
      </c>
      <c r="M14251">
        <v>0</v>
      </c>
    </row>
    <row r="14252" spans="1:13">
      <c r="A14252">
        <v>86319100</v>
      </c>
      <c r="B14252">
        <v>2005314</v>
      </c>
      <c r="C14252" t="s">
        <v>7192</v>
      </c>
      <c r="D14252" t="s">
        <v>442</v>
      </c>
      <c r="F14252">
        <v>0</v>
      </c>
      <c r="H14252" t="s">
        <v>8581</v>
      </c>
      <c r="I14252">
        <v>730</v>
      </c>
      <c r="J14252" t="s">
        <v>450</v>
      </c>
      <c r="K14252" t="s">
        <v>446</v>
      </c>
      <c r="M14252">
        <v>0</v>
      </c>
    </row>
    <row r="14253" spans="1:13">
      <c r="A14253">
        <v>86319200</v>
      </c>
      <c r="B14253">
        <v>2005309</v>
      </c>
      <c r="C14253" t="s">
        <v>7193</v>
      </c>
      <c r="D14253" t="s">
        <v>442</v>
      </c>
      <c r="E14253" t="s">
        <v>441</v>
      </c>
      <c r="F14253">
        <v>1E-3</v>
      </c>
      <c r="H14253" t="s">
        <v>8581</v>
      </c>
      <c r="I14253">
        <v>730</v>
      </c>
      <c r="J14253" t="s">
        <v>450</v>
      </c>
      <c r="K14253" t="s">
        <v>446</v>
      </c>
      <c r="M14253">
        <v>0</v>
      </c>
    </row>
    <row r="14254" spans="1:13">
      <c r="A14254">
        <v>86319230</v>
      </c>
      <c r="B14254">
        <v>2005330</v>
      </c>
      <c r="C14254" t="s">
        <v>7194</v>
      </c>
      <c r="D14254" t="s">
        <v>442</v>
      </c>
      <c r="F14254">
        <v>0</v>
      </c>
      <c r="H14254" t="s">
        <v>8581</v>
      </c>
      <c r="I14254">
        <v>730</v>
      </c>
      <c r="J14254" t="s">
        <v>450</v>
      </c>
      <c r="K14254" t="s">
        <v>446</v>
      </c>
      <c r="M14254">
        <v>0</v>
      </c>
    </row>
    <row r="14255" spans="1:13">
      <c r="A14255">
        <v>86319240</v>
      </c>
      <c r="B14255">
        <v>2005331</v>
      </c>
      <c r="C14255" t="s">
        <v>7195</v>
      </c>
      <c r="D14255" t="s">
        <v>442</v>
      </c>
      <c r="E14255" t="s">
        <v>441</v>
      </c>
      <c r="F14255">
        <v>1E-3</v>
      </c>
      <c r="H14255" t="s">
        <v>8581</v>
      </c>
      <c r="I14255">
        <v>730</v>
      </c>
      <c r="J14255" t="s">
        <v>450</v>
      </c>
      <c r="K14255" t="s">
        <v>446</v>
      </c>
      <c r="M14255">
        <v>0</v>
      </c>
    </row>
    <row r="14256" spans="1:13">
      <c r="A14256">
        <v>86319500</v>
      </c>
      <c r="B14256">
        <v>2005351</v>
      </c>
      <c r="C14256" t="s">
        <v>7196</v>
      </c>
      <c r="D14256" t="s">
        <v>442</v>
      </c>
      <c r="F14256">
        <v>0</v>
      </c>
      <c r="H14256" t="s">
        <v>8581</v>
      </c>
      <c r="I14256">
        <v>730</v>
      </c>
      <c r="J14256" t="s">
        <v>450</v>
      </c>
      <c r="K14256" t="s">
        <v>446</v>
      </c>
      <c r="M14256">
        <v>0</v>
      </c>
    </row>
    <row r="14257" spans="1:13">
      <c r="A14257">
        <v>86319600</v>
      </c>
      <c r="B14257">
        <v>2005350</v>
      </c>
      <c r="C14257" t="s">
        <v>7197</v>
      </c>
      <c r="D14257" t="s">
        <v>442</v>
      </c>
      <c r="F14257">
        <v>0</v>
      </c>
      <c r="H14257" t="s">
        <v>8581</v>
      </c>
      <c r="I14257">
        <v>730</v>
      </c>
      <c r="J14257" t="s">
        <v>450</v>
      </c>
      <c r="K14257" t="s">
        <v>446</v>
      </c>
      <c r="M14257">
        <v>0</v>
      </c>
    </row>
    <row r="14258" spans="1:13">
      <c r="A14258">
        <v>86319700</v>
      </c>
      <c r="B14258">
        <v>2005329</v>
      </c>
      <c r="C14258" t="s">
        <v>7198</v>
      </c>
      <c r="D14258" t="s">
        <v>442</v>
      </c>
      <c r="F14258">
        <v>0</v>
      </c>
      <c r="H14258" t="s">
        <v>8581</v>
      </c>
      <c r="I14258">
        <v>730</v>
      </c>
      <c r="J14258" t="s">
        <v>450</v>
      </c>
      <c r="K14258" t="s">
        <v>446</v>
      </c>
      <c r="M14258">
        <v>0</v>
      </c>
    </row>
    <row r="14259" spans="1:13">
      <c r="A14259">
        <v>86319800</v>
      </c>
      <c r="B14259">
        <v>2005328</v>
      </c>
      <c r="C14259" t="s">
        <v>14651</v>
      </c>
      <c r="D14259" t="s">
        <v>442</v>
      </c>
      <c r="F14259">
        <v>0</v>
      </c>
      <c r="H14259" t="s">
        <v>8581</v>
      </c>
      <c r="I14259">
        <v>730</v>
      </c>
      <c r="J14259" t="s">
        <v>450</v>
      </c>
      <c r="K14259" t="s">
        <v>446</v>
      </c>
      <c r="M14259">
        <v>0</v>
      </c>
    </row>
    <row r="14260" spans="1:13">
      <c r="A14260">
        <v>86319900</v>
      </c>
      <c r="B14260">
        <v>2005327</v>
      </c>
      <c r="C14260" t="s">
        <v>14652</v>
      </c>
      <c r="D14260" t="s">
        <v>442</v>
      </c>
      <c r="F14260">
        <v>0</v>
      </c>
      <c r="H14260" t="s">
        <v>8581</v>
      </c>
      <c r="I14260">
        <v>730</v>
      </c>
      <c r="J14260" t="s">
        <v>450</v>
      </c>
      <c r="K14260" t="s">
        <v>446</v>
      </c>
      <c r="M14260">
        <v>0</v>
      </c>
    </row>
    <row r="14261" spans="1:13">
      <c r="A14261">
        <v>86320000</v>
      </c>
      <c r="B14261">
        <v>2005326</v>
      </c>
      <c r="C14261" t="s">
        <v>7199</v>
      </c>
      <c r="D14261" t="s">
        <v>442</v>
      </c>
      <c r="F14261">
        <v>0</v>
      </c>
      <c r="H14261" t="s">
        <v>8581</v>
      </c>
      <c r="I14261">
        <v>730</v>
      </c>
      <c r="J14261" t="s">
        <v>450</v>
      </c>
      <c r="K14261" t="s">
        <v>446</v>
      </c>
      <c r="M14261">
        <v>0</v>
      </c>
    </row>
    <row r="14262" spans="1:13">
      <c r="A14262">
        <v>86321000</v>
      </c>
      <c r="B14262">
        <v>2005325</v>
      </c>
      <c r="C14262" t="s">
        <v>7200</v>
      </c>
      <c r="D14262" t="s">
        <v>442</v>
      </c>
      <c r="F14262">
        <v>0</v>
      </c>
      <c r="H14262" t="s">
        <v>8581</v>
      </c>
      <c r="I14262">
        <v>730</v>
      </c>
      <c r="J14262" t="s">
        <v>450</v>
      </c>
      <c r="K14262" t="s">
        <v>446</v>
      </c>
      <c r="M14262">
        <v>0</v>
      </c>
    </row>
    <row r="14263" spans="1:13">
      <c r="A14263">
        <v>86321100</v>
      </c>
      <c r="B14263">
        <v>2005365</v>
      </c>
      <c r="C14263" t="s">
        <v>7201</v>
      </c>
      <c r="D14263" t="s">
        <v>442</v>
      </c>
      <c r="F14263">
        <v>0</v>
      </c>
      <c r="H14263" t="s">
        <v>8581</v>
      </c>
      <c r="I14263">
        <v>730</v>
      </c>
      <c r="J14263" t="s">
        <v>450</v>
      </c>
      <c r="K14263" t="s">
        <v>446</v>
      </c>
      <c r="M14263">
        <v>0</v>
      </c>
    </row>
    <row r="14264" spans="1:13">
      <c r="A14264">
        <v>86321200</v>
      </c>
      <c r="B14264">
        <v>2005364</v>
      </c>
      <c r="C14264" t="s">
        <v>14653</v>
      </c>
      <c r="D14264" t="s">
        <v>442</v>
      </c>
      <c r="F14264">
        <v>0</v>
      </c>
      <c r="H14264" t="s">
        <v>8581</v>
      </c>
      <c r="I14264">
        <v>730</v>
      </c>
      <c r="J14264" t="s">
        <v>450</v>
      </c>
      <c r="K14264" t="s">
        <v>446</v>
      </c>
      <c r="M14264">
        <v>0</v>
      </c>
    </row>
    <row r="14265" spans="1:13">
      <c r="A14265">
        <v>86321300</v>
      </c>
      <c r="B14265">
        <v>2005362</v>
      </c>
      <c r="C14265" t="s">
        <v>14654</v>
      </c>
      <c r="D14265" t="s">
        <v>442</v>
      </c>
      <c r="F14265">
        <v>0</v>
      </c>
      <c r="H14265" t="s">
        <v>8581</v>
      </c>
      <c r="I14265">
        <v>730</v>
      </c>
      <c r="J14265" t="s">
        <v>450</v>
      </c>
      <c r="K14265" t="s">
        <v>446</v>
      </c>
      <c r="M14265">
        <v>0</v>
      </c>
    </row>
    <row r="14266" spans="1:13">
      <c r="A14266">
        <v>86321400</v>
      </c>
      <c r="B14266">
        <v>2005363</v>
      </c>
      <c r="C14266" t="s">
        <v>14655</v>
      </c>
      <c r="D14266" t="s">
        <v>442</v>
      </c>
      <c r="F14266">
        <v>0</v>
      </c>
      <c r="H14266" t="s">
        <v>8581</v>
      </c>
      <c r="I14266">
        <v>730</v>
      </c>
      <c r="J14266" t="s">
        <v>450</v>
      </c>
      <c r="K14266" t="s">
        <v>446</v>
      </c>
      <c r="M14266">
        <v>0</v>
      </c>
    </row>
    <row r="14267" spans="1:13">
      <c r="A14267">
        <v>86321500</v>
      </c>
      <c r="B14267">
        <v>2005361</v>
      </c>
      <c r="C14267" t="s">
        <v>14656</v>
      </c>
      <c r="D14267" t="s">
        <v>442</v>
      </c>
      <c r="F14267">
        <v>0</v>
      </c>
      <c r="H14267" t="s">
        <v>8581</v>
      </c>
      <c r="I14267">
        <v>730</v>
      </c>
      <c r="J14267" t="s">
        <v>450</v>
      </c>
      <c r="K14267" t="s">
        <v>446</v>
      </c>
      <c r="M14267">
        <v>0</v>
      </c>
    </row>
    <row r="14268" spans="1:13">
      <c r="A14268">
        <v>86321600</v>
      </c>
      <c r="B14268">
        <v>2005360</v>
      </c>
      <c r="C14268" t="s">
        <v>7202</v>
      </c>
      <c r="D14268" t="s">
        <v>442</v>
      </c>
      <c r="F14268">
        <v>0</v>
      </c>
      <c r="H14268" t="s">
        <v>8581</v>
      </c>
      <c r="I14268">
        <v>730</v>
      </c>
      <c r="J14268" t="s">
        <v>450</v>
      </c>
      <c r="K14268" t="s">
        <v>446</v>
      </c>
      <c r="M14268">
        <v>0</v>
      </c>
    </row>
    <row r="14269" spans="1:13">
      <c r="A14269">
        <v>86321700</v>
      </c>
      <c r="B14269">
        <v>2005349</v>
      </c>
      <c r="C14269" t="s">
        <v>15243</v>
      </c>
      <c r="D14269" t="s">
        <v>442</v>
      </c>
      <c r="F14269">
        <v>0</v>
      </c>
      <c r="H14269" t="s">
        <v>8581</v>
      </c>
      <c r="I14269">
        <v>730</v>
      </c>
      <c r="J14269" t="s">
        <v>450</v>
      </c>
      <c r="K14269" t="s">
        <v>446</v>
      </c>
      <c r="M14269">
        <v>0</v>
      </c>
    </row>
    <row r="14270" spans="1:13">
      <c r="A14270">
        <v>86321800</v>
      </c>
      <c r="B14270">
        <v>2005371</v>
      </c>
      <c r="C14270" t="s">
        <v>7203</v>
      </c>
      <c r="D14270" t="s">
        <v>442</v>
      </c>
      <c r="F14270">
        <v>0</v>
      </c>
      <c r="H14270" t="s">
        <v>8581</v>
      </c>
      <c r="I14270">
        <v>730</v>
      </c>
      <c r="J14270" t="s">
        <v>450</v>
      </c>
      <c r="K14270" t="s">
        <v>446</v>
      </c>
      <c r="M14270">
        <v>0</v>
      </c>
    </row>
    <row r="14271" spans="1:13">
      <c r="A14271">
        <v>86321900</v>
      </c>
      <c r="B14271">
        <v>2005370</v>
      </c>
      <c r="C14271" t="s">
        <v>7204</v>
      </c>
      <c r="D14271" t="s">
        <v>442</v>
      </c>
      <c r="F14271">
        <v>0</v>
      </c>
      <c r="H14271" t="s">
        <v>8581</v>
      </c>
      <c r="I14271">
        <v>730</v>
      </c>
      <c r="J14271" t="s">
        <v>450</v>
      </c>
      <c r="K14271" t="s">
        <v>446</v>
      </c>
      <c r="M14271">
        <v>0</v>
      </c>
    </row>
    <row r="14272" spans="1:13">
      <c r="A14272">
        <v>86322000</v>
      </c>
      <c r="B14272">
        <v>2005369</v>
      </c>
      <c r="C14272" t="s">
        <v>7205</v>
      </c>
      <c r="D14272" t="s">
        <v>442</v>
      </c>
      <c r="F14272">
        <v>0</v>
      </c>
      <c r="H14272" t="s">
        <v>8581</v>
      </c>
      <c r="I14272">
        <v>730</v>
      </c>
      <c r="J14272" t="s">
        <v>450</v>
      </c>
      <c r="K14272" t="s">
        <v>446</v>
      </c>
      <c r="M14272">
        <v>0</v>
      </c>
    </row>
    <row r="14273" spans="1:13">
      <c r="A14273">
        <v>86322100</v>
      </c>
      <c r="B14273">
        <v>2005368</v>
      </c>
      <c r="C14273" t="s">
        <v>7206</v>
      </c>
      <c r="D14273" t="s">
        <v>442</v>
      </c>
      <c r="F14273">
        <v>0</v>
      </c>
      <c r="H14273" t="s">
        <v>8581</v>
      </c>
      <c r="I14273">
        <v>730</v>
      </c>
      <c r="J14273" t="s">
        <v>450</v>
      </c>
      <c r="K14273" t="s">
        <v>446</v>
      </c>
      <c r="M14273">
        <v>0</v>
      </c>
    </row>
    <row r="14274" spans="1:13">
      <c r="A14274">
        <v>86322200</v>
      </c>
      <c r="B14274">
        <v>2005384</v>
      </c>
      <c r="C14274" t="s">
        <v>7207</v>
      </c>
      <c r="D14274" t="s">
        <v>442</v>
      </c>
      <c r="F14274">
        <v>0</v>
      </c>
      <c r="H14274" t="s">
        <v>8581</v>
      </c>
      <c r="I14274">
        <v>730</v>
      </c>
      <c r="J14274" t="s">
        <v>450</v>
      </c>
      <c r="K14274" t="s">
        <v>446</v>
      </c>
      <c r="M14274">
        <v>0</v>
      </c>
    </row>
    <row r="14275" spans="1:13">
      <c r="A14275">
        <v>86322300</v>
      </c>
      <c r="B14275">
        <v>2005388</v>
      </c>
      <c r="C14275" t="s">
        <v>7208</v>
      </c>
      <c r="D14275" t="s">
        <v>442</v>
      </c>
      <c r="F14275">
        <v>0</v>
      </c>
      <c r="H14275" t="s">
        <v>8581</v>
      </c>
      <c r="I14275">
        <v>730</v>
      </c>
      <c r="J14275" t="s">
        <v>450</v>
      </c>
      <c r="K14275" t="s">
        <v>446</v>
      </c>
      <c r="M14275">
        <v>0</v>
      </c>
    </row>
    <row r="14276" spans="1:13">
      <c r="A14276">
        <v>86322400</v>
      </c>
      <c r="B14276">
        <v>2005387</v>
      </c>
      <c r="C14276" t="s">
        <v>7209</v>
      </c>
      <c r="D14276" t="s">
        <v>442</v>
      </c>
      <c r="F14276">
        <v>0</v>
      </c>
      <c r="H14276" t="s">
        <v>8581</v>
      </c>
      <c r="I14276">
        <v>730</v>
      </c>
      <c r="J14276" t="s">
        <v>450</v>
      </c>
      <c r="K14276" t="s">
        <v>446</v>
      </c>
      <c r="M14276">
        <v>0</v>
      </c>
    </row>
    <row r="14277" spans="1:13">
      <c r="A14277">
        <v>86322500</v>
      </c>
      <c r="B14277">
        <v>2005385</v>
      </c>
      <c r="C14277" t="s">
        <v>7210</v>
      </c>
      <c r="D14277" t="s">
        <v>442</v>
      </c>
      <c r="F14277">
        <v>0</v>
      </c>
      <c r="H14277" t="s">
        <v>8581</v>
      </c>
      <c r="I14277">
        <v>730</v>
      </c>
      <c r="J14277" t="s">
        <v>450</v>
      </c>
      <c r="K14277" t="s">
        <v>446</v>
      </c>
      <c r="M14277">
        <v>0</v>
      </c>
    </row>
    <row r="14278" spans="1:13">
      <c r="A14278">
        <v>86322600</v>
      </c>
      <c r="B14278">
        <v>2005417</v>
      </c>
      <c r="C14278" t="s">
        <v>7211</v>
      </c>
      <c r="D14278" t="s">
        <v>442</v>
      </c>
      <c r="F14278">
        <v>0</v>
      </c>
      <c r="H14278" t="s">
        <v>8581</v>
      </c>
      <c r="I14278">
        <v>730</v>
      </c>
      <c r="J14278" t="s">
        <v>450</v>
      </c>
      <c r="K14278" t="s">
        <v>446</v>
      </c>
      <c r="M14278">
        <v>0</v>
      </c>
    </row>
    <row r="14279" spans="1:13">
      <c r="A14279">
        <v>86322700</v>
      </c>
      <c r="B14279">
        <v>2005418</v>
      </c>
      <c r="C14279" t="s">
        <v>7212</v>
      </c>
      <c r="D14279" t="s">
        <v>442</v>
      </c>
      <c r="F14279">
        <v>0</v>
      </c>
      <c r="H14279" t="s">
        <v>8581</v>
      </c>
      <c r="I14279">
        <v>730</v>
      </c>
      <c r="J14279" t="s">
        <v>450</v>
      </c>
      <c r="K14279" t="s">
        <v>446</v>
      </c>
      <c r="M14279">
        <v>0</v>
      </c>
    </row>
    <row r="14280" spans="1:13">
      <c r="A14280">
        <v>86322800</v>
      </c>
      <c r="B14280">
        <v>2005419</v>
      </c>
      <c r="C14280" t="s">
        <v>7213</v>
      </c>
      <c r="D14280" t="s">
        <v>442</v>
      </c>
      <c r="F14280">
        <v>0</v>
      </c>
      <c r="H14280" t="s">
        <v>8581</v>
      </c>
      <c r="I14280">
        <v>730</v>
      </c>
      <c r="J14280" t="s">
        <v>450</v>
      </c>
      <c r="K14280" t="s">
        <v>446</v>
      </c>
      <c r="M14280">
        <v>0</v>
      </c>
    </row>
    <row r="14281" spans="1:13">
      <c r="A14281">
        <v>86322900</v>
      </c>
      <c r="B14281">
        <v>2005416</v>
      </c>
      <c r="C14281" t="s">
        <v>7214</v>
      </c>
      <c r="D14281" t="s">
        <v>442</v>
      </c>
      <c r="F14281">
        <v>0</v>
      </c>
      <c r="H14281" t="s">
        <v>8581</v>
      </c>
      <c r="I14281">
        <v>730</v>
      </c>
      <c r="J14281" t="s">
        <v>450</v>
      </c>
      <c r="K14281" t="s">
        <v>446</v>
      </c>
      <c r="M14281">
        <v>0</v>
      </c>
    </row>
    <row r="14282" spans="1:13">
      <c r="A14282">
        <v>86323000</v>
      </c>
      <c r="B14282">
        <v>2005420</v>
      </c>
      <c r="C14282" t="s">
        <v>7215</v>
      </c>
      <c r="D14282" t="s">
        <v>442</v>
      </c>
      <c r="F14282">
        <v>0</v>
      </c>
      <c r="H14282" t="s">
        <v>8581</v>
      </c>
      <c r="I14282">
        <v>730</v>
      </c>
      <c r="J14282" t="s">
        <v>450</v>
      </c>
      <c r="K14282" t="s">
        <v>446</v>
      </c>
      <c r="M14282">
        <v>0</v>
      </c>
    </row>
    <row r="14283" spans="1:13">
      <c r="A14283">
        <v>86323100</v>
      </c>
      <c r="B14283">
        <v>2005424</v>
      </c>
      <c r="C14283" t="s">
        <v>7216</v>
      </c>
      <c r="D14283" t="s">
        <v>442</v>
      </c>
      <c r="F14283">
        <v>0</v>
      </c>
      <c r="H14283" t="s">
        <v>8581</v>
      </c>
      <c r="I14283">
        <v>730</v>
      </c>
      <c r="J14283" t="s">
        <v>450</v>
      </c>
      <c r="K14283" t="s">
        <v>446</v>
      </c>
      <c r="M14283">
        <v>0</v>
      </c>
    </row>
    <row r="14284" spans="1:13">
      <c r="A14284">
        <v>86323200</v>
      </c>
      <c r="B14284">
        <v>2005407</v>
      </c>
      <c r="C14284" t="s">
        <v>7217</v>
      </c>
      <c r="D14284" t="s">
        <v>442</v>
      </c>
      <c r="F14284">
        <v>0</v>
      </c>
      <c r="H14284" t="s">
        <v>8581</v>
      </c>
      <c r="I14284">
        <v>730</v>
      </c>
      <c r="J14284" t="s">
        <v>450</v>
      </c>
      <c r="K14284" t="s">
        <v>446</v>
      </c>
      <c r="M14284">
        <v>0</v>
      </c>
    </row>
    <row r="14285" spans="1:13">
      <c r="A14285">
        <v>86323300</v>
      </c>
      <c r="B14285">
        <v>2005408</v>
      </c>
      <c r="C14285" t="s">
        <v>7218</v>
      </c>
      <c r="D14285" t="s">
        <v>442</v>
      </c>
      <c r="F14285">
        <v>0</v>
      </c>
      <c r="H14285" t="s">
        <v>8581</v>
      </c>
      <c r="I14285">
        <v>730</v>
      </c>
      <c r="J14285" t="s">
        <v>450</v>
      </c>
      <c r="K14285" t="s">
        <v>446</v>
      </c>
      <c r="M14285">
        <v>0</v>
      </c>
    </row>
    <row r="14286" spans="1:13">
      <c r="A14286">
        <v>86323400</v>
      </c>
      <c r="B14286">
        <v>2005571</v>
      </c>
      <c r="C14286" t="s">
        <v>7219</v>
      </c>
      <c r="D14286" t="s">
        <v>442</v>
      </c>
      <c r="F14286">
        <v>0</v>
      </c>
      <c r="H14286" t="s">
        <v>8581</v>
      </c>
      <c r="I14286">
        <v>730</v>
      </c>
      <c r="J14286" t="s">
        <v>450</v>
      </c>
      <c r="K14286" t="s">
        <v>446</v>
      </c>
      <c r="M14286">
        <v>0</v>
      </c>
    </row>
    <row r="14287" spans="1:13">
      <c r="A14287">
        <v>86323500</v>
      </c>
      <c r="B14287">
        <v>2005572</v>
      </c>
      <c r="C14287" t="s">
        <v>7220</v>
      </c>
      <c r="D14287" t="s">
        <v>442</v>
      </c>
      <c r="F14287">
        <v>0</v>
      </c>
      <c r="H14287" t="s">
        <v>8581</v>
      </c>
      <c r="I14287">
        <v>730</v>
      </c>
      <c r="J14287" t="s">
        <v>450</v>
      </c>
      <c r="K14287" t="s">
        <v>446</v>
      </c>
      <c r="M14287">
        <v>0</v>
      </c>
    </row>
    <row r="14288" spans="1:13">
      <c r="A14288">
        <v>86323600</v>
      </c>
      <c r="B14288">
        <v>2005573</v>
      </c>
      <c r="C14288" t="s">
        <v>7221</v>
      </c>
      <c r="D14288" t="s">
        <v>442</v>
      </c>
      <c r="F14288">
        <v>0</v>
      </c>
      <c r="H14288" t="s">
        <v>8581</v>
      </c>
      <c r="I14288">
        <v>730</v>
      </c>
      <c r="J14288" t="s">
        <v>450</v>
      </c>
      <c r="K14288" t="s">
        <v>446</v>
      </c>
      <c r="M14288">
        <v>0</v>
      </c>
    </row>
    <row r="14289" spans="1:13">
      <c r="A14289">
        <v>86323700</v>
      </c>
      <c r="B14289">
        <v>2005574</v>
      </c>
      <c r="C14289" t="s">
        <v>7222</v>
      </c>
      <c r="D14289" t="s">
        <v>442</v>
      </c>
      <c r="F14289">
        <v>0</v>
      </c>
      <c r="H14289" t="s">
        <v>8581</v>
      </c>
      <c r="I14289">
        <v>730</v>
      </c>
      <c r="J14289" t="s">
        <v>450</v>
      </c>
      <c r="K14289" t="s">
        <v>446</v>
      </c>
      <c r="M14289">
        <v>0</v>
      </c>
    </row>
    <row r="14290" spans="1:13">
      <c r="A14290">
        <v>86323800</v>
      </c>
      <c r="B14290">
        <v>2005575</v>
      </c>
      <c r="C14290" t="s">
        <v>7223</v>
      </c>
      <c r="D14290" t="s">
        <v>442</v>
      </c>
      <c r="F14290">
        <v>0</v>
      </c>
      <c r="H14290" t="s">
        <v>8581</v>
      </c>
      <c r="I14290">
        <v>730</v>
      </c>
      <c r="J14290" t="s">
        <v>450</v>
      </c>
      <c r="K14290" t="s">
        <v>446</v>
      </c>
      <c r="M14290">
        <v>0</v>
      </c>
    </row>
    <row r="14291" spans="1:13">
      <c r="A14291">
        <v>86323900</v>
      </c>
      <c r="B14291">
        <v>2005591</v>
      </c>
      <c r="C14291" t="s">
        <v>7224</v>
      </c>
      <c r="D14291" t="s">
        <v>442</v>
      </c>
      <c r="F14291">
        <v>0</v>
      </c>
      <c r="H14291" t="s">
        <v>8581</v>
      </c>
      <c r="I14291">
        <v>730</v>
      </c>
      <c r="J14291" t="s">
        <v>450</v>
      </c>
      <c r="K14291" t="s">
        <v>446</v>
      </c>
      <c r="M14291">
        <v>0</v>
      </c>
    </row>
    <row r="14292" spans="1:13">
      <c r="A14292">
        <v>86324000</v>
      </c>
      <c r="B14292">
        <v>2005606</v>
      </c>
      <c r="C14292" t="s">
        <v>7225</v>
      </c>
      <c r="D14292" t="s">
        <v>442</v>
      </c>
      <c r="F14292">
        <v>0</v>
      </c>
      <c r="H14292" t="s">
        <v>8581</v>
      </c>
      <c r="I14292">
        <v>730</v>
      </c>
      <c r="J14292" t="s">
        <v>450</v>
      </c>
      <c r="K14292" t="s">
        <v>446</v>
      </c>
      <c r="M14292">
        <v>0</v>
      </c>
    </row>
    <row r="14293" spans="1:13">
      <c r="A14293">
        <v>86324100</v>
      </c>
      <c r="B14293">
        <v>2005622</v>
      </c>
      <c r="C14293" t="s">
        <v>7226</v>
      </c>
      <c r="D14293" t="s">
        <v>442</v>
      </c>
      <c r="F14293">
        <v>0</v>
      </c>
      <c r="H14293" t="s">
        <v>8581</v>
      </c>
      <c r="I14293">
        <v>730</v>
      </c>
      <c r="J14293" t="s">
        <v>450</v>
      </c>
      <c r="K14293" t="s">
        <v>446</v>
      </c>
      <c r="M14293">
        <v>0</v>
      </c>
    </row>
    <row r="14294" spans="1:13">
      <c r="A14294">
        <v>86324200</v>
      </c>
      <c r="B14294">
        <v>2005642</v>
      </c>
      <c r="C14294" t="s">
        <v>7227</v>
      </c>
      <c r="D14294" t="s">
        <v>442</v>
      </c>
      <c r="F14294">
        <v>0</v>
      </c>
      <c r="H14294" t="s">
        <v>8581</v>
      </c>
      <c r="I14294">
        <v>730</v>
      </c>
      <c r="J14294" t="s">
        <v>450</v>
      </c>
      <c r="K14294" t="s">
        <v>446</v>
      </c>
      <c r="M14294">
        <v>0</v>
      </c>
    </row>
    <row r="14295" spans="1:13">
      <c r="A14295">
        <v>86324300</v>
      </c>
      <c r="B14295">
        <v>2005641</v>
      </c>
      <c r="C14295" t="s">
        <v>7228</v>
      </c>
      <c r="D14295" t="s">
        <v>442</v>
      </c>
      <c r="F14295">
        <v>0</v>
      </c>
      <c r="H14295" t="s">
        <v>8581</v>
      </c>
      <c r="I14295">
        <v>730</v>
      </c>
      <c r="J14295" t="s">
        <v>450</v>
      </c>
      <c r="K14295" t="s">
        <v>446</v>
      </c>
      <c r="M14295">
        <v>0</v>
      </c>
    </row>
    <row r="14296" spans="1:13">
      <c r="A14296">
        <v>86324400</v>
      </c>
      <c r="B14296">
        <v>2005640</v>
      </c>
      <c r="C14296" t="s">
        <v>7229</v>
      </c>
      <c r="D14296" t="s">
        <v>442</v>
      </c>
      <c r="F14296">
        <v>0</v>
      </c>
      <c r="H14296" t="s">
        <v>8581</v>
      </c>
      <c r="I14296">
        <v>730</v>
      </c>
      <c r="J14296" t="s">
        <v>450</v>
      </c>
      <c r="K14296" t="s">
        <v>446</v>
      </c>
      <c r="M14296">
        <v>0</v>
      </c>
    </row>
    <row r="14297" spans="1:13">
      <c r="A14297">
        <v>86324500</v>
      </c>
      <c r="B14297">
        <v>2005661</v>
      </c>
      <c r="C14297" t="s">
        <v>7230</v>
      </c>
      <c r="D14297" t="s">
        <v>442</v>
      </c>
      <c r="F14297">
        <v>0</v>
      </c>
      <c r="H14297" t="s">
        <v>8581</v>
      </c>
      <c r="I14297">
        <v>730</v>
      </c>
      <c r="J14297" t="s">
        <v>450</v>
      </c>
      <c r="K14297" t="s">
        <v>446</v>
      </c>
      <c r="M14297">
        <v>0</v>
      </c>
    </row>
    <row r="14298" spans="1:13">
      <c r="A14298">
        <v>86324600</v>
      </c>
      <c r="B14298">
        <v>2005683</v>
      </c>
      <c r="C14298" t="s">
        <v>7231</v>
      </c>
      <c r="D14298" t="s">
        <v>442</v>
      </c>
      <c r="E14298" t="s">
        <v>441</v>
      </c>
      <c r="F14298">
        <v>1E-3</v>
      </c>
      <c r="H14298" t="s">
        <v>8581</v>
      </c>
      <c r="I14298">
        <v>730</v>
      </c>
      <c r="J14298" t="s">
        <v>450</v>
      </c>
      <c r="K14298" t="s">
        <v>446</v>
      </c>
      <c r="M14298">
        <v>0</v>
      </c>
    </row>
    <row r="14299" spans="1:13">
      <c r="A14299">
        <v>86324700</v>
      </c>
      <c r="B14299">
        <v>2005714</v>
      </c>
      <c r="C14299" t="s">
        <v>7232</v>
      </c>
      <c r="D14299" t="s">
        <v>442</v>
      </c>
      <c r="F14299">
        <v>0</v>
      </c>
      <c r="H14299" t="s">
        <v>8581</v>
      </c>
      <c r="I14299">
        <v>725</v>
      </c>
      <c r="J14299" t="s">
        <v>450</v>
      </c>
      <c r="K14299" t="s">
        <v>446</v>
      </c>
      <c r="M14299">
        <v>0</v>
      </c>
    </row>
    <row r="14300" spans="1:13">
      <c r="A14300">
        <v>86324800</v>
      </c>
      <c r="B14300">
        <v>2005713</v>
      </c>
      <c r="C14300" t="s">
        <v>7233</v>
      </c>
      <c r="D14300" t="s">
        <v>442</v>
      </c>
      <c r="F14300">
        <v>0</v>
      </c>
      <c r="H14300" t="s">
        <v>8581</v>
      </c>
      <c r="I14300">
        <v>725</v>
      </c>
      <c r="J14300" t="s">
        <v>450</v>
      </c>
      <c r="K14300" t="s">
        <v>446</v>
      </c>
      <c r="M14300">
        <v>0</v>
      </c>
    </row>
    <row r="14301" spans="1:13">
      <c r="A14301">
        <v>86324900</v>
      </c>
      <c r="B14301">
        <v>2005712</v>
      </c>
      <c r="C14301" t="s">
        <v>7234</v>
      </c>
      <c r="D14301" t="s">
        <v>442</v>
      </c>
      <c r="F14301">
        <v>0</v>
      </c>
      <c r="H14301" t="s">
        <v>8581</v>
      </c>
      <c r="I14301">
        <v>725</v>
      </c>
      <c r="J14301" t="s">
        <v>450</v>
      </c>
      <c r="K14301" t="s">
        <v>446</v>
      </c>
      <c r="M14301">
        <v>0</v>
      </c>
    </row>
    <row r="14302" spans="1:13">
      <c r="A14302">
        <v>86325000</v>
      </c>
      <c r="B14302">
        <v>2005489</v>
      </c>
      <c r="C14302" t="s">
        <v>7235</v>
      </c>
      <c r="D14302" t="s">
        <v>442</v>
      </c>
      <c r="F14302">
        <v>0</v>
      </c>
      <c r="H14302" t="s">
        <v>8581</v>
      </c>
      <c r="I14302">
        <v>730</v>
      </c>
      <c r="J14302" t="s">
        <v>450</v>
      </c>
      <c r="K14302" t="s">
        <v>446</v>
      </c>
      <c r="M14302">
        <v>0</v>
      </c>
    </row>
    <row r="14303" spans="1:13">
      <c r="A14303">
        <v>86325100</v>
      </c>
      <c r="B14303">
        <v>2005762</v>
      </c>
      <c r="C14303" t="s">
        <v>7236</v>
      </c>
      <c r="D14303" t="s">
        <v>442</v>
      </c>
      <c r="E14303" t="s">
        <v>441</v>
      </c>
      <c r="F14303">
        <v>1E-3</v>
      </c>
      <c r="H14303" t="s">
        <v>8581</v>
      </c>
      <c r="I14303">
        <v>360</v>
      </c>
      <c r="J14303" t="s">
        <v>450</v>
      </c>
      <c r="K14303" t="s">
        <v>446</v>
      </c>
      <c r="M14303">
        <v>0</v>
      </c>
    </row>
    <row r="14304" spans="1:13">
      <c r="A14304">
        <v>86325200</v>
      </c>
      <c r="B14304">
        <v>2005763</v>
      </c>
      <c r="C14304" t="s">
        <v>7237</v>
      </c>
      <c r="D14304" t="s">
        <v>442</v>
      </c>
      <c r="F14304">
        <v>0</v>
      </c>
      <c r="H14304" t="s">
        <v>8581</v>
      </c>
      <c r="I14304">
        <v>360</v>
      </c>
      <c r="J14304" t="s">
        <v>450</v>
      </c>
      <c r="K14304" t="s">
        <v>446</v>
      </c>
      <c r="M14304">
        <v>0</v>
      </c>
    </row>
    <row r="14305" spans="1:13">
      <c r="A14305">
        <v>86325300</v>
      </c>
      <c r="B14305">
        <v>2005689</v>
      </c>
      <c r="C14305" t="s">
        <v>7238</v>
      </c>
      <c r="D14305" t="s">
        <v>442</v>
      </c>
      <c r="F14305">
        <v>0</v>
      </c>
      <c r="H14305" t="s">
        <v>8581</v>
      </c>
      <c r="I14305">
        <v>725</v>
      </c>
      <c r="J14305" t="s">
        <v>450</v>
      </c>
      <c r="K14305" t="s">
        <v>446</v>
      </c>
      <c r="M14305">
        <v>0</v>
      </c>
    </row>
    <row r="14306" spans="1:13">
      <c r="A14306">
        <v>86325400</v>
      </c>
      <c r="B14306">
        <v>2005834</v>
      </c>
      <c r="C14306" t="s">
        <v>7239</v>
      </c>
      <c r="D14306" t="s">
        <v>442</v>
      </c>
      <c r="F14306">
        <v>0</v>
      </c>
      <c r="H14306" t="s">
        <v>8581</v>
      </c>
      <c r="I14306">
        <v>730</v>
      </c>
      <c r="J14306" t="s">
        <v>450</v>
      </c>
      <c r="K14306" t="s">
        <v>446</v>
      </c>
      <c r="M14306">
        <v>0</v>
      </c>
    </row>
    <row r="14307" spans="1:13">
      <c r="A14307">
        <v>86325500</v>
      </c>
      <c r="B14307">
        <v>2005850</v>
      </c>
      <c r="C14307" t="s">
        <v>7240</v>
      </c>
      <c r="D14307" t="s">
        <v>442</v>
      </c>
      <c r="F14307">
        <v>0</v>
      </c>
      <c r="H14307" t="s">
        <v>8581</v>
      </c>
      <c r="I14307">
        <v>360</v>
      </c>
      <c r="J14307" t="s">
        <v>450</v>
      </c>
      <c r="K14307" t="s">
        <v>446</v>
      </c>
      <c r="M14307">
        <v>0</v>
      </c>
    </row>
    <row r="14308" spans="1:13">
      <c r="A14308">
        <v>86325600</v>
      </c>
      <c r="B14308">
        <v>2005849</v>
      </c>
      <c r="C14308" t="s">
        <v>7241</v>
      </c>
      <c r="D14308" t="s">
        <v>442</v>
      </c>
      <c r="F14308">
        <v>0</v>
      </c>
      <c r="H14308" t="s">
        <v>8581</v>
      </c>
      <c r="I14308">
        <v>360</v>
      </c>
      <c r="J14308" t="s">
        <v>450</v>
      </c>
      <c r="K14308" t="s">
        <v>446</v>
      </c>
      <c r="M14308">
        <v>0</v>
      </c>
    </row>
    <row r="14309" spans="1:13">
      <c r="A14309">
        <v>86325700</v>
      </c>
      <c r="B14309">
        <v>2005838</v>
      </c>
      <c r="C14309" t="s">
        <v>7242</v>
      </c>
      <c r="D14309" t="s">
        <v>442</v>
      </c>
      <c r="F14309">
        <v>0</v>
      </c>
      <c r="H14309" t="s">
        <v>8581</v>
      </c>
      <c r="I14309">
        <v>360</v>
      </c>
      <c r="J14309" t="s">
        <v>450</v>
      </c>
      <c r="K14309" t="s">
        <v>446</v>
      </c>
      <c r="M14309">
        <v>0</v>
      </c>
    </row>
    <row r="14310" spans="1:13">
      <c r="A14310">
        <v>86325800</v>
      </c>
      <c r="B14310">
        <v>2005837</v>
      </c>
      <c r="C14310" t="s">
        <v>7243</v>
      </c>
      <c r="D14310" t="s">
        <v>442</v>
      </c>
      <c r="F14310">
        <v>0</v>
      </c>
      <c r="H14310" t="s">
        <v>8581</v>
      </c>
      <c r="I14310">
        <v>360</v>
      </c>
      <c r="J14310" t="s">
        <v>450</v>
      </c>
      <c r="K14310" t="s">
        <v>446</v>
      </c>
      <c r="M14310">
        <v>0</v>
      </c>
    </row>
    <row r="14311" spans="1:13">
      <c r="A14311">
        <v>86325900</v>
      </c>
      <c r="B14311">
        <v>2005853</v>
      </c>
      <c r="C14311" t="s">
        <v>7244</v>
      </c>
      <c r="D14311" t="s">
        <v>442</v>
      </c>
      <c r="F14311">
        <v>0</v>
      </c>
      <c r="H14311" t="s">
        <v>8581</v>
      </c>
      <c r="I14311">
        <v>360</v>
      </c>
      <c r="J14311" t="s">
        <v>450</v>
      </c>
      <c r="K14311" t="s">
        <v>446</v>
      </c>
      <c r="M14311">
        <v>0</v>
      </c>
    </row>
    <row r="14312" spans="1:13">
      <c r="A14312">
        <v>86326000</v>
      </c>
      <c r="B14312">
        <v>2005854</v>
      </c>
      <c r="C14312" t="s">
        <v>7245</v>
      </c>
      <c r="D14312" t="s">
        <v>442</v>
      </c>
      <c r="F14312">
        <v>0</v>
      </c>
      <c r="H14312" t="s">
        <v>8581</v>
      </c>
      <c r="I14312">
        <v>360</v>
      </c>
      <c r="J14312" t="s">
        <v>450</v>
      </c>
      <c r="K14312" t="s">
        <v>446</v>
      </c>
      <c r="M14312">
        <v>0</v>
      </c>
    </row>
    <row r="14313" spans="1:13">
      <c r="A14313">
        <v>86326100</v>
      </c>
      <c r="B14313">
        <v>2005864</v>
      </c>
      <c r="C14313" t="s">
        <v>7246</v>
      </c>
      <c r="D14313" t="s">
        <v>442</v>
      </c>
      <c r="F14313">
        <v>0</v>
      </c>
      <c r="H14313" t="s">
        <v>8581</v>
      </c>
      <c r="I14313">
        <v>360</v>
      </c>
      <c r="J14313" t="s">
        <v>450</v>
      </c>
      <c r="K14313" t="s">
        <v>446</v>
      </c>
      <c r="M14313">
        <v>0</v>
      </c>
    </row>
    <row r="14314" spans="1:13">
      <c r="A14314">
        <v>86326200</v>
      </c>
      <c r="B14314">
        <v>2005863</v>
      </c>
      <c r="C14314" t="s">
        <v>7247</v>
      </c>
      <c r="D14314" t="s">
        <v>442</v>
      </c>
      <c r="F14314">
        <v>0</v>
      </c>
      <c r="H14314" t="s">
        <v>8581</v>
      </c>
      <c r="I14314">
        <v>360</v>
      </c>
      <c r="J14314" t="s">
        <v>450</v>
      </c>
      <c r="K14314" t="s">
        <v>446</v>
      </c>
      <c r="M14314">
        <v>0</v>
      </c>
    </row>
    <row r="14315" spans="1:13">
      <c r="A14315">
        <v>86326300</v>
      </c>
      <c r="B14315">
        <v>2005896</v>
      </c>
      <c r="C14315" t="s">
        <v>7248</v>
      </c>
      <c r="D14315" t="s">
        <v>442</v>
      </c>
      <c r="F14315">
        <v>0</v>
      </c>
      <c r="H14315" t="s">
        <v>8581</v>
      </c>
      <c r="I14315">
        <v>730</v>
      </c>
      <c r="J14315" t="s">
        <v>450</v>
      </c>
      <c r="K14315" t="s">
        <v>446</v>
      </c>
      <c r="M14315">
        <v>0</v>
      </c>
    </row>
    <row r="14316" spans="1:13">
      <c r="A14316">
        <v>86326400</v>
      </c>
      <c r="B14316">
        <v>2005900</v>
      </c>
      <c r="C14316" t="s">
        <v>7249</v>
      </c>
      <c r="D14316" t="s">
        <v>442</v>
      </c>
      <c r="E14316" t="s">
        <v>441</v>
      </c>
      <c r="F14316">
        <v>1E-3</v>
      </c>
      <c r="H14316" t="s">
        <v>8581</v>
      </c>
      <c r="I14316">
        <v>360</v>
      </c>
      <c r="J14316" t="s">
        <v>450</v>
      </c>
      <c r="K14316" t="s">
        <v>446</v>
      </c>
      <c r="M14316">
        <v>0</v>
      </c>
    </row>
    <row r="14317" spans="1:13">
      <c r="A14317">
        <v>86326500</v>
      </c>
      <c r="B14317">
        <v>2005887</v>
      </c>
      <c r="C14317" t="s">
        <v>7250</v>
      </c>
      <c r="D14317" t="s">
        <v>442</v>
      </c>
      <c r="F14317">
        <v>0</v>
      </c>
      <c r="H14317" t="s">
        <v>8581</v>
      </c>
      <c r="I14317">
        <v>360</v>
      </c>
      <c r="J14317" t="s">
        <v>450</v>
      </c>
      <c r="K14317" t="s">
        <v>446</v>
      </c>
      <c r="M14317">
        <v>0</v>
      </c>
    </row>
    <row r="14318" spans="1:13">
      <c r="A14318">
        <v>86326600</v>
      </c>
      <c r="B14318">
        <v>2005885</v>
      </c>
      <c r="C14318" t="s">
        <v>7251</v>
      </c>
      <c r="D14318" t="s">
        <v>442</v>
      </c>
      <c r="F14318">
        <v>0</v>
      </c>
      <c r="H14318" t="s">
        <v>8581</v>
      </c>
      <c r="I14318">
        <v>360</v>
      </c>
      <c r="J14318" t="s">
        <v>450</v>
      </c>
      <c r="K14318" t="s">
        <v>446</v>
      </c>
      <c r="M14318">
        <v>0</v>
      </c>
    </row>
    <row r="14319" spans="1:13">
      <c r="A14319">
        <v>86326700</v>
      </c>
      <c r="B14319">
        <v>2005884</v>
      </c>
      <c r="C14319" t="s">
        <v>7252</v>
      </c>
      <c r="D14319" t="s">
        <v>442</v>
      </c>
      <c r="F14319">
        <v>0</v>
      </c>
      <c r="H14319" t="s">
        <v>8581</v>
      </c>
      <c r="I14319">
        <v>360</v>
      </c>
      <c r="J14319" t="s">
        <v>450</v>
      </c>
      <c r="K14319" t="s">
        <v>446</v>
      </c>
      <c r="M14319">
        <v>0</v>
      </c>
    </row>
    <row r="14320" spans="1:13">
      <c r="A14320">
        <v>86326800</v>
      </c>
      <c r="B14320">
        <v>2005906</v>
      </c>
      <c r="C14320" t="s">
        <v>7253</v>
      </c>
      <c r="D14320" t="s">
        <v>442</v>
      </c>
      <c r="F14320">
        <v>0</v>
      </c>
      <c r="H14320" t="s">
        <v>8581</v>
      </c>
      <c r="I14320">
        <v>730</v>
      </c>
      <c r="J14320" t="s">
        <v>450</v>
      </c>
      <c r="K14320" t="s">
        <v>446</v>
      </c>
      <c r="M14320">
        <v>0</v>
      </c>
    </row>
    <row r="14321" spans="1:13">
      <c r="A14321">
        <v>86326900</v>
      </c>
      <c r="B14321">
        <v>2005905</v>
      </c>
      <c r="C14321" t="s">
        <v>7254</v>
      </c>
      <c r="D14321" t="s">
        <v>442</v>
      </c>
      <c r="F14321">
        <v>0</v>
      </c>
      <c r="H14321" t="s">
        <v>8581</v>
      </c>
      <c r="I14321">
        <v>730</v>
      </c>
      <c r="J14321" t="s">
        <v>450</v>
      </c>
      <c r="K14321" t="s">
        <v>446</v>
      </c>
      <c r="M14321">
        <v>0</v>
      </c>
    </row>
    <row r="14322" spans="1:13">
      <c r="A14322">
        <v>86327000</v>
      </c>
      <c r="B14322">
        <v>2005904</v>
      </c>
      <c r="C14322" t="s">
        <v>7255</v>
      </c>
      <c r="D14322" t="s">
        <v>442</v>
      </c>
      <c r="F14322">
        <v>0</v>
      </c>
      <c r="H14322" t="s">
        <v>8581</v>
      </c>
      <c r="I14322">
        <v>730</v>
      </c>
      <c r="J14322" t="s">
        <v>450</v>
      </c>
      <c r="K14322" t="s">
        <v>446</v>
      </c>
      <c r="M14322">
        <v>0</v>
      </c>
    </row>
    <row r="14323" spans="1:13">
      <c r="A14323">
        <v>86327100</v>
      </c>
      <c r="B14323">
        <v>2005903</v>
      </c>
      <c r="C14323" t="s">
        <v>7256</v>
      </c>
      <c r="D14323" t="s">
        <v>442</v>
      </c>
      <c r="F14323">
        <v>0</v>
      </c>
      <c r="H14323" t="s">
        <v>8581</v>
      </c>
      <c r="I14323">
        <v>730</v>
      </c>
      <c r="J14323" t="s">
        <v>450</v>
      </c>
      <c r="K14323" t="s">
        <v>446</v>
      </c>
      <c r="M14323">
        <v>0</v>
      </c>
    </row>
    <row r="14324" spans="1:13">
      <c r="A14324">
        <v>86327200</v>
      </c>
      <c r="B14324">
        <v>2005943</v>
      </c>
      <c r="C14324" t="s">
        <v>7257</v>
      </c>
      <c r="D14324" t="s">
        <v>442</v>
      </c>
      <c r="F14324">
        <v>0</v>
      </c>
      <c r="H14324" t="s">
        <v>8581</v>
      </c>
      <c r="I14324">
        <v>730</v>
      </c>
      <c r="J14324" t="s">
        <v>450</v>
      </c>
      <c r="K14324" t="s">
        <v>446</v>
      </c>
      <c r="M14324">
        <v>0</v>
      </c>
    </row>
    <row r="14325" spans="1:13">
      <c r="A14325">
        <v>86327300</v>
      </c>
      <c r="B14325">
        <v>2005899</v>
      </c>
      <c r="C14325" t="s">
        <v>7258</v>
      </c>
      <c r="D14325" t="s">
        <v>442</v>
      </c>
      <c r="F14325">
        <v>0</v>
      </c>
      <c r="I14325">
        <v>730</v>
      </c>
      <c r="J14325" t="s">
        <v>450</v>
      </c>
      <c r="K14325" t="s">
        <v>446</v>
      </c>
      <c r="M14325">
        <v>0</v>
      </c>
    </row>
    <row r="14326" spans="1:13">
      <c r="A14326">
        <v>86327400</v>
      </c>
      <c r="B14326">
        <v>2005949</v>
      </c>
      <c r="C14326" t="s">
        <v>7259</v>
      </c>
      <c r="D14326" t="s">
        <v>442</v>
      </c>
      <c r="E14326" t="s">
        <v>441</v>
      </c>
      <c r="F14326">
        <v>1E-3</v>
      </c>
      <c r="H14326" t="s">
        <v>8581</v>
      </c>
      <c r="I14326">
        <v>360</v>
      </c>
      <c r="J14326" t="s">
        <v>450</v>
      </c>
      <c r="K14326" t="s">
        <v>446</v>
      </c>
      <c r="M14326">
        <v>0</v>
      </c>
    </row>
    <row r="14327" spans="1:13">
      <c r="A14327">
        <v>86327500</v>
      </c>
      <c r="B14327">
        <v>2005959</v>
      </c>
      <c r="C14327" t="s">
        <v>7260</v>
      </c>
      <c r="D14327" t="s">
        <v>442</v>
      </c>
      <c r="F14327">
        <v>0</v>
      </c>
      <c r="H14327" t="s">
        <v>8581</v>
      </c>
      <c r="I14327">
        <v>360</v>
      </c>
      <c r="J14327" t="s">
        <v>450</v>
      </c>
      <c r="K14327" t="s">
        <v>446</v>
      </c>
      <c r="M14327">
        <v>0</v>
      </c>
    </row>
    <row r="14328" spans="1:13">
      <c r="A14328">
        <v>86327600</v>
      </c>
      <c r="B14328">
        <v>2005962</v>
      </c>
      <c r="C14328" t="s">
        <v>7261</v>
      </c>
      <c r="D14328" t="s">
        <v>442</v>
      </c>
      <c r="F14328">
        <v>0</v>
      </c>
      <c r="H14328" t="s">
        <v>8581</v>
      </c>
      <c r="I14328">
        <v>360</v>
      </c>
      <c r="J14328" t="s">
        <v>450</v>
      </c>
      <c r="K14328" t="s">
        <v>446</v>
      </c>
      <c r="M14328">
        <v>0</v>
      </c>
    </row>
    <row r="14329" spans="1:13">
      <c r="A14329">
        <v>86327700</v>
      </c>
      <c r="B14329">
        <v>2005958</v>
      </c>
      <c r="C14329" t="s">
        <v>7262</v>
      </c>
      <c r="D14329" t="s">
        <v>442</v>
      </c>
      <c r="F14329">
        <v>0</v>
      </c>
      <c r="H14329" t="s">
        <v>8581</v>
      </c>
      <c r="I14329">
        <v>360</v>
      </c>
      <c r="J14329" t="s">
        <v>450</v>
      </c>
      <c r="K14329" t="s">
        <v>446</v>
      </c>
      <c r="M14329">
        <v>0</v>
      </c>
    </row>
    <row r="14330" spans="1:13">
      <c r="A14330">
        <v>86327800</v>
      </c>
      <c r="B14330">
        <v>2005961</v>
      </c>
      <c r="C14330" t="s">
        <v>7263</v>
      </c>
      <c r="D14330" t="s">
        <v>442</v>
      </c>
      <c r="F14330">
        <v>0</v>
      </c>
      <c r="H14330" t="s">
        <v>8581</v>
      </c>
      <c r="I14330">
        <v>360</v>
      </c>
      <c r="J14330" t="s">
        <v>450</v>
      </c>
      <c r="K14330" t="s">
        <v>446</v>
      </c>
      <c r="M14330">
        <v>0</v>
      </c>
    </row>
    <row r="14331" spans="1:13">
      <c r="A14331">
        <v>86327900</v>
      </c>
      <c r="B14331">
        <v>2005960</v>
      </c>
      <c r="C14331" t="s">
        <v>7264</v>
      </c>
      <c r="D14331" t="s">
        <v>442</v>
      </c>
      <c r="F14331">
        <v>0</v>
      </c>
      <c r="H14331" t="s">
        <v>8581</v>
      </c>
      <c r="I14331">
        <v>360</v>
      </c>
      <c r="J14331" t="s">
        <v>450</v>
      </c>
      <c r="K14331" t="s">
        <v>446</v>
      </c>
      <c r="M14331">
        <v>0</v>
      </c>
    </row>
    <row r="14332" spans="1:13">
      <c r="A14332">
        <v>86328000</v>
      </c>
      <c r="B14332">
        <v>2005938</v>
      </c>
      <c r="C14332" t="s">
        <v>7265</v>
      </c>
      <c r="D14332" t="s">
        <v>442</v>
      </c>
      <c r="F14332">
        <v>0</v>
      </c>
      <c r="H14332" t="s">
        <v>8581</v>
      </c>
      <c r="I14332">
        <v>730</v>
      </c>
      <c r="J14332" t="s">
        <v>450</v>
      </c>
      <c r="K14332" t="s">
        <v>446</v>
      </c>
      <c r="M14332">
        <v>0</v>
      </c>
    </row>
    <row r="14333" spans="1:13">
      <c r="A14333">
        <v>86328100</v>
      </c>
      <c r="B14333">
        <v>2005977</v>
      </c>
      <c r="C14333" t="s">
        <v>7266</v>
      </c>
      <c r="D14333" t="s">
        <v>442</v>
      </c>
      <c r="F14333">
        <v>0</v>
      </c>
      <c r="H14333" t="s">
        <v>8581</v>
      </c>
      <c r="I14333">
        <v>730</v>
      </c>
      <c r="J14333" t="s">
        <v>450</v>
      </c>
      <c r="K14333" t="s">
        <v>446</v>
      </c>
      <c r="M14333">
        <v>0</v>
      </c>
    </row>
    <row r="14334" spans="1:13">
      <c r="A14334">
        <v>86328200</v>
      </c>
      <c r="B14334">
        <v>2005976</v>
      </c>
      <c r="C14334" t="s">
        <v>7267</v>
      </c>
      <c r="D14334" t="s">
        <v>442</v>
      </c>
      <c r="F14334">
        <v>0</v>
      </c>
      <c r="H14334" t="s">
        <v>8581</v>
      </c>
      <c r="I14334">
        <v>730</v>
      </c>
      <c r="J14334" t="s">
        <v>450</v>
      </c>
      <c r="K14334" t="s">
        <v>446</v>
      </c>
      <c r="M14334">
        <v>0</v>
      </c>
    </row>
    <row r="14335" spans="1:13">
      <c r="A14335">
        <v>86328300</v>
      </c>
      <c r="B14335">
        <v>2005975</v>
      </c>
      <c r="C14335" t="s">
        <v>7268</v>
      </c>
      <c r="D14335" t="s">
        <v>442</v>
      </c>
      <c r="F14335">
        <v>0</v>
      </c>
      <c r="H14335" t="s">
        <v>8581</v>
      </c>
      <c r="I14335">
        <v>730</v>
      </c>
      <c r="J14335" t="s">
        <v>450</v>
      </c>
      <c r="K14335" t="s">
        <v>446</v>
      </c>
      <c r="M14335">
        <v>0</v>
      </c>
    </row>
    <row r="14336" spans="1:13">
      <c r="A14336">
        <v>86328400</v>
      </c>
      <c r="B14336">
        <v>2006000</v>
      </c>
      <c r="C14336" t="s">
        <v>7269</v>
      </c>
      <c r="D14336" t="s">
        <v>442</v>
      </c>
      <c r="F14336">
        <v>0</v>
      </c>
      <c r="H14336" t="s">
        <v>8581</v>
      </c>
      <c r="I14336">
        <v>730</v>
      </c>
      <c r="J14336" t="s">
        <v>450</v>
      </c>
      <c r="K14336" t="s">
        <v>446</v>
      </c>
      <c r="M14336">
        <v>0</v>
      </c>
    </row>
    <row r="14337" spans="1:13">
      <c r="A14337">
        <v>86328500</v>
      </c>
      <c r="B14337">
        <v>2005999</v>
      </c>
      <c r="C14337" t="s">
        <v>7270</v>
      </c>
      <c r="D14337" t="s">
        <v>442</v>
      </c>
      <c r="F14337">
        <v>0</v>
      </c>
      <c r="H14337" t="s">
        <v>8581</v>
      </c>
      <c r="I14337">
        <v>730</v>
      </c>
      <c r="J14337" t="s">
        <v>450</v>
      </c>
      <c r="K14337" t="s">
        <v>446</v>
      </c>
      <c r="M14337">
        <v>0</v>
      </c>
    </row>
    <row r="14338" spans="1:13">
      <c r="A14338">
        <v>86328700</v>
      </c>
      <c r="B14338">
        <v>2005997</v>
      </c>
      <c r="C14338" t="s">
        <v>7271</v>
      </c>
      <c r="D14338" t="s">
        <v>442</v>
      </c>
      <c r="F14338">
        <v>0</v>
      </c>
      <c r="H14338" t="s">
        <v>8581</v>
      </c>
      <c r="I14338">
        <v>730</v>
      </c>
      <c r="J14338" t="s">
        <v>450</v>
      </c>
      <c r="K14338" t="s">
        <v>446</v>
      </c>
      <c r="M14338">
        <v>0</v>
      </c>
    </row>
    <row r="14339" spans="1:13">
      <c r="A14339">
        <v>86328800</v>
      </c>
      <c r="B14339">
        <v>2005993</v>
      </c>
      <c r="C14339" t="s">
        <v>7272</v>
      </c>
      <c r="D14339" t="s">
        <v>442</v>
      </c>
      <c r="F14339">
        <v>0</v>
      </c>
      <c r="H14339" t="s">
        <v>8581</v>
      </c>
      <c r="I14339">
        <v>730</v>
      </c>
      <c r="J14339" t="s">
        <v>450</v>
      </c>
      <c r="K14339" t="s">
        <v>446</v>
      </c>
      <c r="M14339">
        <v>0</v>
      </c>
    </row>
    <row r="14340" spans="1:13">
      <c r="A14340">
        <v>86328900</v>
      </c>
      <c r="B14340">
        <v>2005992</v>
      </c>
      <c r="C14340" t="s">
        <v>7273</v>
      </c>
      <c r="D14340" t="s">
        <v>442</v>
      </c>
      <c r="F14340">
        <v>0</v>
      </c>
      <c r="H14340" t="s">
        <v>8581</v>
      </c>
      <c r="I14340">
        <v>730</v>
      </c>
      <c r="J14340" t="s">
        <v>450</v>
      </c>
      <c r="K14340" t="s">
        <v>446</v>
      </c>
      <c r="M14340">
        <v>0</v>
      </c>
    </row>
    <row r="14341" spans="1:13">
      <c r="A14341">
        <v>86329000</v>
      </c>
      <c r="B14341">
        <v>2006021</v>
      </c>
      <c r="C14341" t="s">
        <v>7274</v>
      </c>
      <c r="D14341" t="s">
        <v>442</v>
      </c>
      <c r="F14341">
        <v>0</v>
      </c>
      <c r="H14341" t="s">
        <v>8581</v>
      </c>
      <c r="I14341">
        <v>730</v>
      </c>
      <c r="J14341" t="s">
        <v>450</v>
      </c>
      <c r="K14341" t="s">
        <v>446</v>
      </c>
      <c r="M14341">
        <v>0</v>
      </c>
    </row>
    <row r="14342" spans="1:13">
      <c r="A14342">
        <v>86329100</v>
      </c>
      <c r="B14342">
        <v>2006009</v>
      </c>
      <c r="C14342" t="s">
        <v>7275</v>
      </c>
      <c r="D14342" t="s">
        <v>442</v>
      </c>
      <c r="F14342">
        <v>0</v>
      </c>
      <c r="H14342" t="s">
        <v>8581</v>
      </c>
      <c r="I14342">
        <v>730</v>
      </c>
      <c r="J14342" t="s">
        <v>450</v>
      </c>
      <c r="K14342" t="s">
        <v>446</v>
      </c>
      <c r="M14342">
        <v>3805</v>
      </c>
    </row>
    <row r="14343" spans="1:13">
      <c r="A14343">
        <v>86329200</v>
      </c>
      <c r="B14343">
        <v>2006008</v>
      </c>
      <c r="C14343" t="s">
        <v>7276</v>
      </c>
      <c r="D14343" t="s">
        <v>442</v>
      </c>
      <c r="F14343">
        <v>0</v>
      </c>
      <c r="H14343" t="s">
        <v>8581</v>
      </c>
      <c r="I14343">
        <v>730</v>
      </c>
      <c r="J14343" t="s">
        <v>450</v>
      </c>
      <c r="K14343" t="s">
        <v>446</v>
      </c>
      <c r="M14343">
        <v>3805</v>
      </c>
    </row>
    <row r="14344" spans="1:13">
      <c r="A14344">
        <v>86329300</v>
      </c>
      <c r="B14344">
        <v>2006007</v>
      </c>
      <c r="C14344" t="s">
        <v>7277</v>
      </c>
      <c r="D14344" t="s">
        <v>442</v>
      </c>
      <c r="F14344">
        <v>0</v>
      </c>
      <c r="H14344" t="s">
        <v>8581</v>
      </c>
      <c r="I14344">
        <v>730</v>
      </c>
      <c r="J14344" t="s">
        <v>450</v>
      </c>
      <c r="K14344" t="s">
        <v>446</v>
      </c>
      <c r="M14344">
        <v>3805</v>
      </c>
    </row>
    <row r="14345" spans="1:13">
      <c r="A14345">
        <v>86329400</v>
      </c>
      <c r="B14345">
        <v>2006006</v>
      </c>
      <c r="C14345" t="s">
        <v>7278</v>
      </c>
      <c r="D14345" t="s">
        <v>442</v>
      </c>
      <c r="F14345">
        <v>0</v>
      </c>
      <c r="H14345" t="s">
        <v>8581</v>
      </c>
      <c r="I14345">
        <v>730</v>
      </c>
      <c r="J14345" t="s">
        <v>450</v>
      </c>
      <c r="K14345" t="s">
        <v>446</v>
      </c>
      <c r="M14345">
        <v>0</v>
      </c>
    </row>
    <row r="14346" spans="1:13">
      <c r="A14346">
        <v>86329500</v>
      </c>
      <c r="B14346">
        <v>2006024</v>
      </c>
      <c r="C14346" t="s">
        <v>7279</v>
      </c>
      <c r="D14346" t="s">
        <v>442</v>
      </c>
      <c r="F14346">
        <v>0</v>
      </c>
      <c r="H14346" t="s">
        <v>8581</v>
      </c>
      <c r="I14346">
        <v>360</v>
      </c>
      <c r="J14346" t="s">
        <v>450</v>
      </c>
      <c r="K14346" t="s">
        <v>446</v>
      </c>
      <c r="M14346">
        <v>0</v>
      </c>
    </row>
    <row r="14347" spans="1:13">
      <c r="A14347">
        <v>86329600</v>
      </c>
      <c r="B14347">
        <v>2006023</v>
      </c>
      <c r="C14347" t="s">
        <v>7280</v>
      </c>
      <c r="D14347" t="s">
        <v>442</v>
      </c>
      <c r="F14347">
        <v>0</v>
      </c>
      <c r="H14347" t="s">
        <v>8581</v>
      </c>
      <c r="I14347">
        <v>360</v>
      </c>
      <c r="J14347" t="s">
        <v>450</v>
      </c>
      <c r="K14347" t="s">
        <v>446</v>
      </c>
      <c r="M14347">
        <v>0</v>
      </c>
    </row>
    <row r="14348" spans="1:13">
      <c r="A14348">
        <v>86329700</v>
      </c>
      <c r="B14348">
        <v>2006042</v>
      </c>
      <c r="C14348" t="s">
        <v>7281</v>
      </c>
      <c r="D14348" t="s">
        <v>442</v>
      </c>
      <c r="F14348">
        <v>0</v>
      </c>
      <c r="H14348" t="s">
        <v>8581</v>
      </c>
      <c r="I14348">
        <v>730</v>
      </c>
      <c r="J14348" t="s">
        <v>450</v>
      </c>
      <c r="K14348" t="s">
        <v>446</v>
      </c>
      <c r="M14348">
        <v>0</v>
      </c>
    </row>
    <row r="14349" spans="1:13">
      <c r="A14349">
        <v>86329800</v>
      </c>
      <c r="B14349">
        <v>2006041</v>
      </c>
      <c r="C14349" t="s">
        <v>7282</v>
      </c>
      <c r="D14349" t="s">
        <v>442</v>
      </c>
      <c r="F14349">
        <v>0</v>
      </c>
      <c r="H14349" t="s">
        <v>8581</v>
      </c>
      <c r="I14349">
        <v>730</v>
      </c>
      <c r="J14349" t="s">
        <v>450</v>
      </c>
      <c r="K14349" t="s">
        <v>446</v>
      </c>
      <c r="M14349">
        <v>0</v>
      </c>
    </row>
    <row r="14350" spans="1:13">
      <c r="A14350">
        <v>86329900</v>
      </c>
      <c r="B14350">
        <v>2006057</v>
      </c>
      <c r="C14350" t="s">
        <v>7283</v>
      </c>
      <c r="D14350" t="s">
        <v>442</v>
      </c>
      <c r="F14350">
        <v>0</v>
      </c>
      <c r="H14350" t="s">
        <v>8581</v>
      </c>
      <c r="I14350">
        <v>730</v>
      </c>
      <c r="J14350" t="s">
        <v>450</v>
      </c>
      <c r="K14350" t="s">
        <v>446</v>
      </c>
      <c r="M14350">
        <v>0</v>
      </c>
    </row>
    <row r="14351" spans="1:13">
      <c r="A14351">
        <v>86330000</v>
      </c>
      <c r="B14351">
        <v>2006056</v>
      </c>
      <c r="C14351" t="s">
        <v>7284</v>
      </c>
      <c r="D14351" t="s">
        <v>442</v>
      </c>
      <c r="F14351">
        <v>0</v>
      </c>
      <c r="H14351" t="s">
        <v>8581</v>
      </c>
      <c r="I14351">
        <v>730</v>
      </c>
      <c r="J14351" t="s">
        <v>450</v>
      </c>
      <c r="K14351" t="s">
        <v>446</v>
      </c>
      <c r="M14351">
        <v>0</v>
      </c>
    </row>
    <row r="14352" spans="1:13">
      <c r="A14352">
        <v>86330100</v>
      </c>
      <c r="B14352">
        <v>2006055</v>
      </c>
      <c r="C14352" t="s">
        <v>7285</v>
      </c>
      <c r="D14352" t="s">
        <v>442</v>
      </c>
      <c r="F14352">
        <v>0</v>
      </c>
      <c r="I14352">
        <v>720</v>
      </c>
      <c r="J14352" t="s">
        <v>450</v>
      </c>
      <c r="K14352" t="s">
        <v>446</v>
      </c>
      <c r="M14352">
        <v>0</v>
      </c>
    </row>
    <row r="14353" spans="1:13">
      <c r="A14353">
        <v>86330200</v>
      </c>
      <c r="B14353">
        <v>2006074</v>
      </c>
      <c r="C14353" t="s">
        <v>7286</v>
      </c>
      <c r="D14353" t="s">
        <v>442</v>
      </c>
      <c r="F14353">
        <v>0</v>
      </c>
      <c r="H14353" t="s">
        <v>8581</v>
      </c>
      <c r="I14353">
        <v>730</v>
      </c>
      <c r="J14353" t="s">
        <v>450</v>
      </c>
      <c r="K14353" t="s">
        <v>446</v>
      </c>
      <c r="M14353">
        <v>0</v>
      </c>
    </row>
    <row r="14354" spans="1:13">
      <c r="A14354">
        <v>86330300</v>
      </c>
      <c r="B14354">
        <v>2006078</v>
      </c>
      <c r="C14354" t="s">
        <v>7287</v>
      </c>
      <c r="D14354" t="s">
        <v>442</v>
      </c>
      <c r="F14354">
        <v>0</v>
      </c>
      <c r="H14354" t="s">
        <v>8581</v>
      </c>
      <c r="I14354">
        <v>730</v>
      </c>
      <c r="J14354" t="s">
        <v>450</v>
      </c>
      <c r="K14354" t="s">
        <v>446</v>
      </c>
      <c r="M14354">
        <v>0</v>
      </c>
    </row>
    <row r="14355" spans="1:13">
      <c r="A14355">
        <v>86330400</v>
      </c>
      <c r="B14355">
        <v>2006077</v>
      </c>
      <c r="C14355" t="s">
        <v>7288</v>
      </c>
      <c r="D14355" t="s">
        <v>442</v>
      </c>
      <c r="F14355">
        <v>0</v>
      </c>
      <c r="H14355" t="s">
        <v>8581</v>
      </c>
      <c r="I14355">
        <v>730</v>
      </c>
      <c r="J14355" t="s">
        <v>450</v>
      </c>
      <c r="K14355" t="s">
        <v>446</v>
      </c>
      <c r="M14355">
        <v>0</v>
      </c>
    </row>
    <row r="14356" spans="1:13">
      <c r="A14356">
        <v>86330500</v>
      </c>
      <c r="B14356">
        <v>2006076</v>
      </c>
      <c r="C14356" t="s">
        <v>7289</v>
      </c>
      <c r="D14356" t="s">
        <v>442</v>
      </c>
      <c r="F14356">
        <v>0</v>
      </c>
      <c r="H14356" t="s">
        <v>8581</v>
      </c>
      <c r="I14356">
        <v>730</v>
      </c>
      <c r="J14356" t="s">
        <v>450</v>
      </c>
      <c r="K14356" t="s">
        <v>446</v>
      </c>
      <c r="M14356">
        <v>0</v>
      </c>
    </row>
    <row r="14357" spans="1:13">
      <c r="A14357">
        <v>86330600</v>
      </c>
      <c r="B14357">
        <v>2006089</v>
      </c>
      <c r="C14357" t="s">
        <v>7290</v>
      </c>
      <c r="D14357" t="s">
        <v>442</v>
      </c>
      <c r="F14357">
        <v>0</v>
      </c>
      <c r="H14357" t="s">
        <v>8581</v>
      </c>
      <c r="I14357">
        <v>730</v>
      </c>
      <c r="J14357" t="s">
        <v>450</v>
      </c>
      <c r="K14357" t="s">
        <v>446</v>
      </c>
      <c r="M14357">
        <v>0</v>
      </c>
    </row>
    <row r="14358" spans="1:13">
      <c r="A14358">
        <v>86330700</v>
      </c>
      <c r="B14358">
        <v>2006095</v>
      </c>
      <c r="C14358" t="s">
        <v>7291</v>
      </c>
      <c r="D14358" t="s">
        <v>442</v>
      </c>
      <c r="F14358">
        <v>0</v>
      </c>
      <c r="H14358" t="s">
        <v>8581</v>
      </c>
      <c r="I14358">
        <v>730</v>
      </c>
      <c r="J14358" t="s">
        <v>450</v>
      </c>
      <c r="K14358" t="s">
        <v>446</v>
      </c>
      <c r="M14358">
        <v>3805</v>
      </c>
    </row>
    <row r="14359" spans="1:13">
      <c r="A14359">
        <v>86330800</v>
      </c>
      <c r="B14359">
        <v>2006093</v>
      </c>
      <c r="C14359" t="s">
        <v>7292</v>
      </c>
      <c r="D14359" t="s">
        <v>442</v>
      </c>
      <c r="F14359">
        <v>0</v>
      </c>
      <c r="H14359" t="s">
        <v>8581</v>
      </c>
      <c r="I14359">
        <v>730</v>
      </c>
      <c r="J14359" t="s">
        <v>450</v>
      </c>
      <c r="K14359" t="s">
        <v>446</v>
      </c>
      <c r="M14359">
        <v>3805</v>
      </c>
    </row>
    <row r="14360" spans="1:13">
      <c r="A14360">
        <v>86330900</v>
      </c>
      <c r="B14360">
        <v>2006103</v>
      </c>
      <c r="C14360" t="s">
        <v>7293</v>
      </c>
      <c r="D14360" t="s">
        <v>442</v>
      </c>
      <c r="F14360">
        <v>0</v>
      </c>
      <c r="H14360" t="s">
        <v>8581</v>
      </c>
      <c r="I14360">
        <v>730</v>
      </c>
      <c r="J14360" t="s">
        <v>450</v>
      </c>
      <c r="K14360" t="s">
        <v>446</v>
      </c>
      <c r="M14360">
        <v>0</v>
      </c>
    </row>
    <row r="14361" spans="1:13">
      <c r="A14361">
        <v>86331000</v>
      </c>
      <c r="B14361">
        <v>2006102</v>
      </c>
      <c r="C14361" t="s">
        <v>7294</v>
      </c>
      <c r="D14361" t="s">
        <v>442</v>
      </c>
      <c r="F14361">
        <v>0</v>
      </c>
      <c r="H14361" t="s">
        <v>8581</v>
      </c>
      <c r="I14361">
        <v>730</v>
      </c>
      <c r="J14361" t="s">
        <v>450</v>
      </c>
      <c r="K14361" t="s">
        <v>446</v>
      </c>
      <c r="M14361">
        <v>0</v>
      </c>
    </row>
    <row r="14362" spans="1:13">
      <c r="A14362">
        <v>86331100</v>
      </c>
      <c r="B14362">
        <v>2006101</v>
      </c>
      <c r="C14362" t="s">
        <v>7295</v>
      </c>
      <c r="D14362" t="s">
        <v>442</v>
      </c>
      <c r="F14362">
        <v>0</v>
      </c>
      <c r="H14362" t="s">
        <v>8581</v>
      </c>
      <c r="I14362">
        <v>730</v>
      </c>
      <c r="J14362" t="s">
        <v>450</v>
      </c>
      <c r="K14362" t="s">
        <v>446</v>
      </c>
      <c r="M14362">
        <v>0</v>
      </c>
    </row>
    <row r="14363" spans="1:13">
      <c r="A14363">
        <v>86331200</v>
      </c>
      <c r="B14363">
        <v>2006100</v>
      </c>
      <c r="C14363" t="s">
        <v>7296</v>
      </c>
      <c r="D14363" t="s">
        <v>442</v>
      </c>
      <c r="F14363">
        <v>0</v>
      </c>
      <c r="H14363" t="s">
        <v>8581</v>
      </c>
      <c r="I14363">
        <v>730</v>
      </c>
      <c r="J14363" t="s">
        <v>450</v>
      </c>
      <c r="K14363" t="s">
        <v>446</v>
      </c>
      <c r="M14363">
        <v>0</v>
      </c>
    </row>
    <row r="14364" spans="1:13">
      <c r="A14364">
        <v>86331300</v>
      </c>
      <c r="B14364">
        <v>2006114</v>
      </c>
      <c r="C14364" t="s">
        <v>7297</v>
      </c>
      <c r="D14364" t="s">
        <v>442</v>
      </c>
      <c r="F14364">
        <v>0</v>
      </c>
      <c r="H14364" t="s">
        <v>8581</v>
      </c>
      <c r="I14364">
        <v>730</v>
      </c>
      <c r="J14364" t="s">
        <v>450</v>
      </c>
      <c r="K14364" t="s">
        <v>446</v>
      </c>
      <c r="M14364">
        <v>0</v>
      </c>
    </row>
    <row r="14365" spans="1:13">
      <c r="A14365">
        <v>86331400</v>
      </c>
      <c r="B14365">
        <v>2006137</v>
      </c>
      <c r="C14365" t="s">
        <v>7298</v>
      </c>
      <c r="D14365" t="s">
        <v>442</v>
      </c>
      <c r="F14365">
        <v>0</v>
      </c>
      <c r="H14365" t="s">
        <v>8581</v>
      </c>
      <c r="I14365">
        <v>730</v>
      </c>
      <c r="J14365" t="s">
        <v>450</v>
      </c>
      <c r="K14365" t="s">
        <v>446</v>
      </c>
      <c r="M14365">
        <v>0</v>
      </c>
    </row>
    <row r="14366" spans="1:13">
      <c r="A14366">
        <v>86331500</v>
      </c>
      <c r="B14366">
        <v>2006136</v>
      </c>
      <c r="C14366" t="s">
        <v>7299</v>
      </c>
      <c r="D14366" t="s">
        <v>442</v>
      </c>
      <c r="F14366">
        <v>0</v>
      </c>
      <c r="H14366" t="s">
        <v>8581</v>
      </c>
      <c r="I14366">
        <v>730</v>
      </c>
      <c r="J14366" t="s">
        <v>450</v>
      </c>
      <c r="K14366" t="s">
        <v>446</v>
      </c>
      <c r="M14366">
        <v>0</v>
      </c>
    </row>
    <row r="14367" spans="1:13">
      <c r="A14367">
        <v>86331600</v>
      </c>
      <c r="B14367">
        <v>2006135</v>
      </c>
      <c r="C14367" t="s">
        <v>17802</v>
      </c>
      <c r="D14367" t="s">
        <v>442</v>
      </c>
      <c r="F14367">
        <v>0</v>
      </c>
      <c r="H14367" t="s">
        <v>8581</v>
      </c>
      <c r="I14367">
        <v>730</v>
      </c>
      <c r="J14367" t="s">
        <v>450</v>
      </c>
      <c r="K14367" t="s">
        <v>446</v>
      </c>
      <c r="M14367">
        <v>0</v>
      </c>
    </row>
    <row r="14368" spans="1:13">
      <c r="A14368">
        <v>86331700</v>
      </c>
      <c r="B14368">
        <v>2006134</v>
      </c>
      <c r="C14368" t="s">
        <v>7300</v>
      </c>
      <c r="D14368" t="s">
        <v>442</v>
      </c>
      <c r="F14368">
        <v>0</v>
      </c>
      <c r="H14368" t="s">
        <v>8581</v>
      </c>
      <c r="I14368">
        <v>730</v>
      </c>
      <c r="J14368" t="s">
        <v>450</v>
      </c>
      <c r="K14368" t="s">
        <v>446</v>
      </c>
      <c r="M14368">
        <v>0</v>
      </c>
    </row>
    <row r="14369" spans="1:13">
      <c r="A14369">
        <v>86331800</v>
      </c>
      <c r="B14369">
        <v>2006133</v>
      </c>
      <c r="C14369" t="s">
        <v>7301</v>
      </c>
      <c r="D14369" t="s">
        <v>442</v>
      </c>
      <c r="F14369">
        <v>0</v>
      </c>
      <c r="H14369" t="s">
        <v>8581</v>
      </c>
      <c r="I14369">
        <v>730</v>
      </c>
      <c r="J14369" t="s">
        <v>450</v>
      </c>
      <c r="K14369" t="s">
        <v>446</v>
      </c>
      <c r="M14369">
        <v>0</v>
      </c>
    </row>
    <row r="14370" spans="1:13">
      <c r="A14370">
        <v>86331900</v>
      </c>
      <c r="B14370">
        <v>2006157</v>
      </c>
      <c r="C14370" t="s">
        <v>17233</v>
      </c>
      <c r="D14370" t="s">
        <v>442</v>
      </c>
      <c r="E14370" t="s">
        <v>441</v>
      </c>
      <c r="F14370">
        <v>1E-3</v>
      </c>
      <c r="H14370" t="s">
        <v>8581</v>
      </c>
      <c r="I14370">
        <v>730</v>
      </c>
      <c r="J14370" t="s">
        <v>450</v>
      </c>
      <c r="M14370">
        <v>0</v>
      </c>
    </row>
    <row r="14371" spans="1:13">
      <c r="A14371">
        <v>86332000</v>
      </c>
      <c r="B14371">
        <v>2006181</v>
      </c>
      <c r="C14371" t="s">
        <v>7302</v>
      </c>
      <c r="D14371" t="s">
        <v>442</v>
      </c>
      <c r="F14371">
        <v>0</v>
      </c>
      <c r="H14371" t="s">
        <v>8581</v>
      </c>
      <c r="I14371">
        <v>730</v>
      </c>
      <c r="J14371" t="s">
        <v>450</v>
      </c>
      <c r="K14371" t="s">
        <v>446</v>
      </c>
      <c r="M14371">
        <v>0</v>
      </c>
    </row>
    <row r="14372" spans="1:13">
      <c r="A14372">
        <v>86332100</v>
      </c>
      <c r="B14372">
        <v>2006184</v>
      </c>
      <c r="C14372" t="s">
        <v>7303</v>
      </c>
      <c r="D14372" t="s">
        <v>442</v>
      </c>
      <c r="F14372">
        <v>0</v>
      </c>
      <c r="I14372">
        <v>730</v>
      </c>
      <c r="J14372" t="s">
        <v>450</v>
      </c>
      <c r="K14372" t="s">
        <v>446</v>
      </c>
      <c r="M14372">
        <v>0</v>
      </c>
    </row>
    <row r="14373" spans="1:13">
      <c r="A14373">
        <v>86332200</v>
      </c>
      <c r="B14373">
        <v>2006183</v>
      </c>
      <c r="C14373" t="s">
        <v>7304</v>
      </c>
      <c r="D14373" t="s">
        <v>442</v>
      </c>
      <c r="F14373">
        <v>0</v>
      </c>
      <c r="H14373" t="s">
        <v>8581</v>
      </c>
      <c r="I14373">
        <v>730</v>
      </c>
      <c r="J14373" t="s">
        <v>450</v>
      </c>
      <c r="K14373" t="s">
        <v>446</v>
      </c>
      <c r="M14373">
        <v>0</v>
      </c>
    </row>
    <row r="14374" spans="1:13">
      <c r="A14374">
        <v>86332300</v>
      </c>
      <c r="B14374">
        <v>2005490</v>
      </c>
      <c r="C14374" t="s">
        <v>17234</v>
      </c>
      <c r="D14374" t="s">
        <v>442</v>
      </c>
      <c r="E14374" t="s">
        <v>441</v>
      </c>
      <c r="F14374">
        <v>1E-3</v>
      </c>
      <c r="H14374" t="s">
        <v>8574</v>
      </c>
      <c r="I14374">
        <v>730</v>
      </c>
      <c r="J14374" t="s">
        <v>450</v>
      </c>
      <c r="M14374">
        <v>0</v>
      </c>
    </row>
    <row r="14375" spans="1:13">
      <c r="A14375">
        <v>86332400</v>
      </c>
      <c r="B14375">
        <v>2003870</v>
      </c>
      <c r="C14375" t="s">
        <v>7305</v>
      </c>
      <c r="D14375" t="s">
        <v>442</v>
      </c>
      <c r="E14375" t="s">
        <v>441</v>
      </c>
      <c r="F14375">
        <v>1E-3</v>
      </c>
      <c r="H14375" t="s">
        <v>8574</v>
      </c>
      <c r="I14375">
        <v>730</v>
      </c>
      <c r="J14375" t="s">
        <v>450</v>
      </c>
      <c r="K14375" t="s">
        <v>446</v>
      </c>
      <c r="M14375">
        <v>0</v>
      </c>
    </row>
    <row r="14376" spans="1:13">
      <c r="A14376">
        <v>86332500</v>
      </c>
      <c r="B14376">
        <v>2005936</v>
      </c>
      <c r="C14376" t="s">
        <v>7306</v>
      </c>
      <c r="D14376" t="s">
        <v>442</v>
      </c>
      <c r="E14376" t="s">
        <v>441</v>
      </c>
      <c r="F14376">
        <v>1E-3</v>
      </c>
      <c r="H14376" t="s">
        <v>8581</v>
      </c>
      <c r="I14376">
        <v>730</v>
      </c>
      <c r="J14376" t="s">
        <v>450</v>
      </c>
      <c r="K14376" t="s">
        <v>446</v>
      </c>
      <c r="M14376">
        <v>0</v>
      </c>
    </row>
    <row r="14377" spans="1:13">
      <c r="A14377">
        <v>86332600</v>
      </c>
      <c r="B14377">
        <v>2006178</v>
      </c>
      <c r="C14377" t="s">
        <v>7307</v>
      </c>
      <c r="D14377" t="s">
        <v>442</v>
      </c>
      <c r="F14377">
        <v>0</v>
      </c>
      <c r="H14377" t="s">
        <v>8581</v>
      </c>
      <c r="I14377">
        <v>730</v>
      </c>
      <c r="J14377" t="s">
        <v>450</v>
      </c>
      <c r="K14377" t="s">
        <v>446</v>
      </c>
      <c r="M14377">
        <v>0</v>
      </c>
    </row>
    <row r="14378" spans="1:13">
      <c r="A14378">
        <v>86332700</v>
      </c>
      <c r="B14378">
        <v>2006186</v>
      </c>
      <c r="C14378" t="s">
        <v>7308</v>
      </c>
      <c r="D14378" t="s">
        <v>442</v>
      </c>
      <c r="F14378">
        <v>0</v>
      </c>
      <c r="H14378" t="s">
        <v>8581</v>
      </c>
      <c r="I14378">
        <v>730</v>
      </c>
      <c r="J14378" t="s">
        <v>450</v>
      </c>
      <c r="K14378" t="s">
        <v>446</v>
      </c>
      <c r="M14378">
        <v>0</v>
      </c>
    </row>
    <row r="14379" spans="1:13">
      <c r="A14379">
        <v>86332800</v>
      </c>
      <c r="B14379">
        <v>2006185</v>
      </c>
      <c r="C14379" t="s">
        <v>7309</v>
      </c>
      <c r="D14379" t="s">
        <v>442</v>
      </c>
      <c r="F14379">
        <v>0</v>
      </c>
      <c r="H14379" t="s">
        <v>8581</v>
      </c>
      <c r="I14379">
        <v>730</v>
      </c>
      <c r="J14379" t="s">
        <v>450</v>
      </c>
      <c r="K14379" t="s">
        <v>446</v>
      </c>
      <c r="M14379">
        <v>0</v>
      </c>
    </row>
    <row r="14380" spans="1:13">
      <c r="A14380">
        <v>86332900</v>
      </c>
      <c r="B14380">
        <v>2006195</v>
      </c>
      <c r="C14380" t="s">
        <v>7310</v>
      </c>
      <c r="D14380" t="s">
        <v>442</v>
      </c>
      <c r="E14380" t="s">
        <v>441</v>
      </c>
      <c r="F14380">
        <v>1E-3</v>
      </c>
      <c r="H14380" t="s">
        <v>8581</v>
      </c>
      <c r="I14380">
        <v>730</v>
      </c>
      <c r="J14380" t="s">
        <v>450</v>
      </c>
      <c r="K14380" t="s">
        <v>446</v>
      </c>
      <c r="M14380">
        <v>0</v>
      </c>
    </row>
    <row r="14381" spans="1:13">
      <c r="A14381">
        <v>86333000</v>
      </c>
      <c r="B14381">
        <v>2006196</v>
      </c>
      <c r="C14381" t="s">
        <v>7311</v>
      </c>
      <c r="D14381" t="s">
        <v>442</v>
      </c>
      <c r="F14381">
        <v>0</v>
      </c>
      <c r="H14381" t="s">
        <v>8581</v>
      </c>
      <c r="I14381">
        <v>720</v>
      </c>
      <c r="J14381" t="s">
        <v>450</v>
      </c>
      <c r="K14381" t="s">
        <v>446</v>
      </c>
      <c r="M14381">
        <v>0</v>
      </c>
    </row>
    <row r="14382" spans="1:13">
      <c r="A14382">
        <v>86333100</v>
      </c>
      <c r="B14382">
        <v>2006207</v>
      </c>
      <c r="C14382" t="s">
        <v>7312</v>
      </c>
      <c r="D14382" t="s">
        <v>442</v>
      </c>
      <c r="E14382" t="s">
        <v>441</v>
      </c>
      <c r="F14382">
        <v>1E-3</v>
      </c>
      <c r="H14382" t="s">
        <v>8581</v>
      </c>
      <c r="I14382">
        <v>730</v>
      </c>
      <c r="J14382" t="s">
        <v>450</v>
      </c>
      <c r="K14382" t="s">
        <v>446</v>
      </c>
      <c r="M14382">
        <v>0</v>
      </c>
    </row>
    <row r="14383" spans="1:13">
      <c r="A14383">
        <v>86333200</v>
      </c>
      <c r="B14383">
        <v>2006223</v>
      </c>
      <c r="C14383" t="s">
        <v>7313</v>
      </c>
      <c r="D14383" t="s">
        <v>442</v>
      </c>
      <c r="F14383">
        <v>0</v>
      </c>
      <c r="H14383" t="s">
        <v>8581</v>
      </c>
      <c r="I14383">
        <v>730</v>
      </c>
      <c r="J14383" t="s">
        <v>450</v>
      </c>
      <c r="K14383" t="s">
        <v>446</v>
      </c>
      <c r="M14383">
        <v>0</v>
      </c>
    </row>
    <row r="14384" spans="1:13">
      <c r="A14384">
        <v>86333300</v>
      </c>
      <c r="B14384">
        <v>2006222</v>
      </c>
      <c r="C14384" t="s">
        <v>7314</v>
      </c>
      <c r="D14384" t="s">
        <v>442</v>
      </c>
      <c r="F14384">
        <v>0</v>
      </c>
      <c r="H14384" t="s">
        <v>8581</v>
      </c>
      <c r="I14384">
        <v>730</v>
      </c>
      <c r="J14384" t="s">
        <v>450</v>
      </c>
      <c r="K14384" t="s">
        <v>446</v>
      </c>
      <c r="M14384">
        <v>0</v>
      </c>
    </row>
    <row r="14385" spans="1:13">
      <c r="A14385">
        <v>86333400</v>
      </c>
      <c r="B14385">
        <v>2006217</v>
      </c>
      <c r="C14385" t="s">
        <v>7315</v>
      </c>
      <c r="D14385" t="s">
        <v>442</v>
      </c>
      <c r="F14385">
        <v>0</v>
      </c>
      <c r="H14385" t="s">
        <v>8581</v>
      </c>
      <c r="I14385">
        <v>730</v>
      </c>
      <c r="J14385" t="s">
        <v>450</v>
      </c>
      <c r="K14385" t="s">
        <v>446</v>
      </c>
      <c r="M14385">
        <v>0</v>
      </c>
    </row>
    <row r="14386" spans="1:13">
      <c r="A14386">
        <v>86333500</v>
      </c>
      <c r="B14386">
        <v>2006216</v>
      </c>
      <c r="C14386" t="s">
        <v>7316</v>
      </c>
      <c r="D14386" t="s">
        <v>442</v>
      </c>
      <c r="F14386">
        <v>0</v>
      </c>
      <c r="H14386" t="s">
        <v>8581</v>
      </c>
      <c r="I14386">
        <v>730</v>
      </c>
      <c r="J14386" t="s">
        <v>450</v>
      </c>
      <c r="K14386" t="s">
        <v>446</v>
      </c>
      <c r="M14386">
        <v>0</v>
      </c>
    </row>
    <row r="14387" spans="1:13">
      <c r="A14387">
        <v>86333600</v>
      </c>
      <c r="B14387">
        <v>2006215</v>
      </c>
      <c r="C14387" t="s">
        <v>7317</v>
      </c>
      <c r="D14387" t="s">
        <v>442</v>
      </c>
      <c r="F14387">
        <v>0</v>
      </c>
      <c r="H14387" t="s">
        <v>8581</v>
      </c>
      <c r="I14387">
        <v>730</v>
      </c>
      <c r="J14387" t="s">
        <v>450</v>
      </c>
      <c r="K14387" t="s">
        <v>446</v>
      </c>
      <c r="M14387">
        <v>0</v>
      </c>
    </row>
    <row r="14388" spans="1:13">
      <c r="A14388">
        <v>86333700</v>
      </c>
      <c r="B14388">
        <v>2006214</v>
      </c>
      <c r="C14388" t="s">
        <v>14080</v>
      </c>
      <c r="D14388" t="s">
        <v>442</v>
      </c>
      <c r="F14388">
        <v>0</v>
      </c>
      <c r="H14388" t="s">
        <v>8581</v>
      </c>
      <c r="I14388">
        <v>730</v>
      </c>
      <c r="J14388" t="s">
        <v>450</v>
      </c>
      <c r="K14388" t="s">
        <v>446</v>
      </c>
      <c r="M14388">
        <v>0</v>
      </c>
    </row>
    <row r="14389" spans="1:13">
      <c r="A14389">
        <v>86333900</v>
      </c>
      <c r="B14389">
        <v>2006229</v>
      </c>
      <c r="C14389" t="s">
        <v>7318</v>
      </c>
      <c r="D14389" t="s">
        <v>442</v>
      </c>
      <c r="F14389">
        <v>0</v>
      </c>
      <c r="H14389" t="s">
        <v>8581</v>
      </c>
      <c r="I14389">
        <v>730</v>
      </c>
      <c r="J14389" t="s">
        <v>450</v>
      </c>
      <c r="K14389" t="s">
        <v>446</v>
      </c>
      <c r="M14389">
        <v>3805</v>
      </c>
    </row>
    <row r="14390" spans="1:13">
      <c r="A14390">
        <v>86334000</v>
      </c>
      <c r="B14390">
        <v>2005669</v>
      </c>
      <c r="C14390" t="s">
        <v>7319</v>
      </c>
      <c r="D14390" t="s">
        <v>442</v>
      </c>
      <c r="F14390">
        <v>0</v>
      </c>
      <c r="H14390" t="s">
        <v>8581</v>
      </c>
      <c r="I14390">
        <v>720</v>
      </c>
      <c r="J14390" t="s">
        <v>450</v>
      </c>
      <c r="K14390" t="s">
        <v>446</v>
      </c>
      <c r="M14390">
        <v>0</v>
      </c>
    </row>
    <row r="14391" spans="1:13">
      <c r="A14391">
        <v>86334100</v>
      </c>
      <c r="B14391">
        <v>2006237</v>
      </c>
      <c r="C14391" t="s">
        <v>7320</v>
      </c>
      <c r="D14391" t="s">
        <v>442</v>
      </c>
      <c r="F14391">
        <v>0</v>
      </c>
      <c r="H14391" t="s">
        <v>8581</v>
      </c>
      <c r="I14391">
        <v>730</v>
      </c>
      <c r="J14391" t="s">
        <v>450</v>
      </c>
      <c r="K14391" t="s">
        <v>446</v>
      </c>
      <c r="M14391">
        <v>3805</v>
      </c>
    </row>
    <row r="14392" spans="1:13">
      <c r="A14392">
        <v>86334200</v>
      </c>
      <c r="B14392">
        <v>2006236</v>
      </c>
      <c r="C14392" t="s">
        <v>7321</v>
      </c>
      <c r="D14392" t="s">
        <v>442</v>
      </c>
      <c r="F14392">
        <v>0</v>
      </c>
      <c r="H14392" t="s">
        <v>8581</v>
      </c>
      <c r="I14392">
        <v>730</v>
      </c>
      <c r="J14392" t="s">
        <v>450</v>
      </c>
      <c r="K14392" t="s">
        <v>446</v>
      </c>
      <c r="M14392">
        <v>3805</v>
      </c>
    </row>
    <row r="14393" spans="1:13">
      <c r="A14393">
        <v>86334300</v>
      </c>
      <c r="B14393">
        <v>2006283</v>
      </c>
      <c r="C14393" t="s">
        <v>7322</v>
      </c>
      <c r="D14393" t="s">
        <v>442</v>
      </c>
      <c r="F14393">
        <v>0</v>
      </c>
      <c r="H14393" t="s">
        <v>8581</v>
      </c>
      <c r="I14393">
        <v>730</v>
      </c>
      <c r="J14393" t="s">
        <v>450</v>
      </c>
      <c r="K14393" t="s">
        <v>446</v>
      </c>
      <c r="M14393">
        <v>0</v>
      </c>
    </row>
    <row r="14394" spans="1:13">
      <c r="A14394">
        <v>86334400</v>
      </c>
      <c r="B14394">
        <v>2006287</v>
      </c>
      <c r="C14394" t="s">
        <v>7323</v>
      </c>
      <c r="D14394" t="s">
        <v>442</v>
      </c>
      <c r="F14394">
        <v>0</v>
      </c>
      <c r="H14394" t="s">
        <v>8581</v>
      </c>
      <c r="I14394">
        <v>730</v>
      </c>
      <c r="J14394" t="s">
        <v>450</v>
      </c>
      <c r="K14394" t="s">
        <v>446</v>
      </c>
      <c r="M14394">
        <v>3805</v>
      </c>
    </row>
    <row r="14395" spans="1:13">
      <c r="A14395">
        <v>86334500</v>
      </c>
      <c r="B14395">
        <v>2006286</v>
      </c>
      <c r="C14395" t="s">
        <v>7324</v>
      </c>
      <c r="D14395" t="s">
        <v>442</v>
      </c>
      <c r="F14395">
        <v>0</v>
      </c>
      <c r="H14395" t="s">
        <v>8581</v>
      </c>
      <c r="I14395">
        <v>730</v>
      </c>
      <c r="J14395" t="s">
        <v>450</v>
      </c>
      <c r="K14395" t="s">
        <v>446</v>
      </c>
      <c r="M14395">
        <v>3805</v>
      </c>
    </row>
    <row r="14396" spans="1:13">
      <c r="A14396">
        <v>86334600</v>
      </c>
      <c r="B14396">
        <v>2006323</v>
      </c>
      <c r="C14396" t="s">
        <v>7325</v>
      </c>
      <c r="D14396" t="s">
        <v>442</v>
      </c>
      <c r="F14396">
        <v>0</v>
      </c>
      <c r="H14396" t="s">
        <v>8581</v>
      </c>
      <c r="I14396">
        <v>730</v>
      </c>
      <c r="J14396" t="s">
        <v>450</v>
      </c>
      <c r="K14396" t="s">
        <v>446</v>
      </c>
      <c r="M14396">
        <v>0</v>
      </c>
    </row>
    <row r="14397" spans="1:13">
      <c r="A14397">
        <v>86334700</v>
      </c>
      <c r="B14397">
        <v>2006360</v>
      </c>
      <c r="C14397" t="s">
        <v>7326</v>
      </c>
      <c r="D14397" t="s">
        <v>442</v>
      </c>
      <c r="F14397">
        <v>0</v>
      </c>
      <c r="H14397" t="s">
        <v>8581</v>
      </c>
      <c r="I14397">
        <v>730</v>
      </c>
      <c r="J14397" t="s">
        <v>450</v>
      </c>
      <c r="K14397" t="s">
        <v>446</v>
      </c>
      <c r="M14397">
        <v>3805</v>
      </c>
    </row>
    <row r="14398" spans="1:13">
      <c r="A14398">
        <v>86334800</v>
      </c>
      <c r="B14398">
        <v>2006359</v>
      </c>
      <c r="C14398" t="s">
        <v>7327</v>
      </c>
      <c r="D14398" t="s">
        <v>442</v>
      </c>
      <c r="F14398">
        <v>0</v>
      </c>
      <c r="H14398" t="s">
        <v>8581</v>
      </c>
      <c r="I14398">
        <v>730</v>
      </c>
      <c r="J14398" t="s">
        <v>450</v>
      </c>
      <c r="K14398" t="s">
        <v>446</v>
      </c>
      <c r="M14398">
        <v>3805</v>
      </c>
    </row>
    <row r="14399" spans="1:13">
      <c r="A14399">
        <v>86334900</v>
      </c>
      <c r="B14399">
        <v>2001257</v>
      </c>
      <c r="C14399" t="s">
        <v>7328</v>
      </c>
      <c r="D14399" t="s">
        <v>442</v>
      </c>
      <c r="E14399" t="s">
        <v>441</v>
      </c>
      <c r="F14399">
        <v>1E-3</v>
      </c>
      <c r="H14399" t="s">
        <v>8581</v>
      </c>
      <c r="I14399">
        <v>730</v>
      </c>
      <c r="J14399" t="s">
        <v>450</v>
      </c>
      <c r="K14399" t="s">
        <v>446</v>
      </c>
      <c r="M14399">
        <v>0</v>
      </c>
    </row>
    <row r="14400" spans="1:13">
      <c r="A14400">
        <v>86335000</v>
      </c>
      <c r="B14400">
        <v>2006416</v>
      </c>
      <c r="C14400" t="s">
        <v>7329</v>
      </c>
      <c r="D14400" t="s">
        <v>442</v>
      </c>
      <c r="F14400">
        <v>0</v>
      </c>
      <c r="H14400" t="s">
        <v>8581</v>
      </c>
      <c r="I14400">
        <v>725</v>
      </c>
      <c r="J14400" t="s">
        <v>450</v>
      </c>
      <c r="K14400" t="s">
        <v>446</v>
      </c>
      <c r="M14400">
        <v>0</v>
      </c>
    </row>
    <row r="14401" spans="1:13">
      <c r="A14401">
        <v>86335100</v>
      </c>
      <c r="B14401">
        <v>2006440</v>
      </c>
      <c r="C14401" t="s">
        <v>7330</v>
      </c>
      <c r="D14401" t="s">
        <v>442</v>
      </c>
      <c r="F14401">
        <v>0</v>
      </c>
      <c r="H14401" t="s">
        <v>8581</v>
      </c>
      <c r="I14401">
        <v>365</v>
      </c>
      <c r="J14401" t="s">
        <v>450</v>
      </c>
      <c r="K14401" t="s">
        <v>446</v>
      </c>
      <c r="M14401">
        <v>0</v>
      </c>
    </row>
    <row r="14402" spans="1:13">
      <c r="A14402">
        <v>86335200</v>
      </c>
      <c r="B14402">
        <v>2006465</v>
      </c>
      <c r="C14402" t="s">
        <v>7331</v>
      </c>
      <c r="D14402" t="s">
        <v>442</v>
      </c>
      <c r="F14402">
        <v>0</v>
      </c>
      <c r="H14402" t="s">
        <v>8574</v>
      </c>
      <c r="I14402">
        <v>365</v>
      </c>
      <c r="J14402" t="s">
        <v>450</v>
      </c>
      <c r="K14402" t="s">
        <v>446</v>
      </c>
      <c r="M14402">
        <v>0</v>
      </c>
    </row>
    <row r="14403" spans="1:13">
      <c r="A14403">
        <v>86335300</v>
      </c>
      <c r="B14403">
        <v>2006464</v>
      </c>
      <c r="C14403" t="s">
        <v>7332</v>
      </c>
      <c r="D14403" t="s">
        <v>442</v>
      </c>
      <c r="F14403">
        <v>0</v>
      </c>
      <c r="H14403" t="s">
        <v>8580</v>
      </c>
      <c r="I14403">
        <v>365</v>
      </c>
      <c r="J14403" t="s">
        <v>450</v>
      </c>
      <c r="K14403" t="s">
        <v>446</v>
      </c>
      <c r="M14403">
        <v>0</v>
      </c>
    </row>
    <row r="14404" spans="1:13">
      <c r="A14404">
        <v>86335400</v>
      </c>
      <c r="B14404">
        <v>2006453</v>
      </c>
      <c r="C14404" t="s">
        <v>7333</v>
      </c>
      <c r="D14404" t="s">
        <v>442</v>
      </c>
      <c r="F14404">
        <v>0</v>
      </c>
      <c r="I14404">
        <v>365</v>
      </c>
      <c r="J14404" t="s">
        <v>450</v>
      </c>
      <c r="K14404" t="s">
        <v>446</v>
      </c>
      <c r="M14404">
        <v>0</v>
      </c>
    </row>
    <row r="14405" spans="1:13">
      <c r="A14405">
        <v>86335500</v>
      </c>
      <c r="B14405">
        <v>2006473</v>
      </c>
      <c r="C14405" t="s">
        <v>7334</v>
      </c>
      <c r="D14405" t="s">
        <v>442</v>
      </c>
      <c r="F14405">
        <v>0</v>
      </c>
      <c r="H14405" t="s">
        <v>8581</v>
      </c>
      <c r="I14405">
        <v>365</v>
      </c>
      <c r="J14405" t="s">
        <v>450</v>
      </c>
      <c r="K14405" t="s">
        <v>446</v>
      </c>
      <c r="M14405">
        <v>0</v>
      </c>
    </row>
    <row r="14406" spans="1:13">
      <c r="A14406">
        <v>86335600</v>
      </c>
      <c r="B14406">
        <v>2006481</v>
      </c>
      <c r="C14406" t="s">
        <v>7335</v>
      </c>
      <c r="D14406" t="s">
        <v>442</v>
      </c>
      <c r="F14406">
        <v>0</v>
      </c>
      <c r="H14406" t="s">
        <v>8581</v>
      </c>
      <c r="I14406">
        <v>365</v>
      </c>
      <c r="J14406" t="s">
        <v>450</v>
      </c>
      <c r="K14406" t="s">
        <v>446</v>
      </c>
      <c r="M14406">
        <v>0</v>
      </c>
    </row>
    <row r="14407" spans="1:13">
      <c r="A14407">
        <v>86335700</v>
      </c>
      <c r="B14407">
        <v>2006492</v>
      </c>
      <c r="C14407" t="s">
        <v>7336</v>
      </c>
      <c r="D14407" t="s">
        <v>442</v>
      </c>
      <c r="F14407">
        <v>0</v>
      </c>
      <c r="H14407" t="s">
        <v>8581</v>
      </c>
      <c r="I14407">
        <v>365</v>
      </c>
      <c r="J14407" t="s">
        <v>450</v>
      </c>
      <c r="K14407" t="s">
        <v>446</v>
      </c>
      <c r="M14407">
        <v>0</v>
      </c>
    </row>
    <row r="14408" spans="1:13">
      <c r="A14408">
        <v>86335800</v>
      </c>
      <c r="B14408">
        <v>2006515</v>
      </c>
      <c r="C14408" t="s">
        <v>7337</v>
      </c>
      <c r="D14408" t="s">
        <v>442</v>
      </c>
      <c r="F14408">
        <v>0</v>
      </c>
      <c r="H14408" t="s">
        <v>8581</v>
      </c>
      <c r="I14408">
        <v>365</v>
      </c>
      <c r="J14408" t="s">
        <v>450</v>
      </c>
      <c r="K14408" t="s">
        <v>446</v>
      </c>
      <c r="M14408">
        <v>0</v>
      </c>
    </row>
    <row r="14409" spans="1:13">
      <c r="A14409">
        <v>86335900</v>
      </c>
      <c r="B14409">
        <v>2006514</v>
      </c>
      <c r="C14409" t="s">
        <v>7338</v>
      </c>
      <c r="D14409" t="s">
        <v>442</v>
      </c>
      <c r="F14409">
        <v>0</v>
      </c>
      <c r="H14409" t="s">
        <v>8581</v>
      </c>
      <c r="I14409">
        <v>365</v>
      </c>
      <c r="J14409" t="s">
        <v>450</v>
      </c>
      <c r="K14409" t="s">
        <v>446</v>
      </c>
      <c r="M14409">
        <v>0</v>
      </c>
    </row>
    <row r="14410" spans="1:13">
      <c r="A14410">
        <v>86336000</v>
      </c>
      <c r="B14410">
        <v>2006513</v>
      </c>
      <c r="C14410" t="s">
        <v>7339</v>
      </c>
      <c r="D14410" t="s">
        <v>442</v>
      </c>
      <c r="F14410">
        <v>0</v>
      </c>
      <c r="H14410" t="s">
        <v>8581</v>
      </c>
      <c r="I14410">
        <v>365</v>
      </c>
      <c r="J14410" t="s">
        <v>450</v>
      </c>
      <c r="K14410" t="s">
        <v>446</v>
      </c>
      <c r="M14410">
        <v>0</v>
      </c>
    </row>
    <row r="14411" spans="1:13">
      <c r="A14411">
        <v>86336100</v>
      </c>
      <c r="B14411">
        <v>2006512</v>
      </c>
      <c r="C14411" t="s">
        <v>7340</v>
      </c>
      <c r="D14411" t="s">
        <v>442</v>
      </c>
      <c r="F14411">
        <v>0</v>
      </c>
      <c r="H14411" t="s">
        <v>8581</v>
      </c>
      <c r="I14411">
        <v>365</v>
      </c>
      <c r="J14411" t="s">
        <v>450</v>
      </c>
      <c r="K14411" t="s">
        <v>446</v>
      </c>
      <c r="M14411">
        <v>0</v>
      </c>
    </row>
    <row r="14412" spans="1:13">
      <c r="A14412">
        <v>86336200</v>
      </c>
      <c r="B14412">
        <v>2006523</v>
      </c>
      <c r="C14412" t="s">
        <v>7341</v>
      </c>
      <c r="D14412" t="s">
        <v>442</v>
      </c>
      <c r="F14412">
        <v>0</v>
      </c>
      <c r="H14412" t="s">
        <v>8581</v>
      </c>
      <c r="I14412">
        <v>365</v>
      </c>
      <c r="J14412" t="s">
        <v>450</v>
      </c>
      <c r="K14412" t="s">
        <v>446</v>
      </c>
      <c r="M14412">
        <v>0</v>
      </c>
    </row>
    <row r="14413" spans="1:13">
      <c r="A14413">
        <v>86336300</v>
      </c>
      <c r="B14413">
        <v>2006522</v>
      </c>
      <c r="C14413" t="s">
        <v>7342</v>
      </c>
      <c r="D14413" t="s">
        <v>442</v>
      </c>
      <c r="E14413" t="s">
        <v>441</v>
      </c>
      <c r="F14413">
        <v>0.01</v>
      </c>
      <c r="H14413" t="s">
        <v>8581</v>
      </c>
      <c r="I14413">
        <v>365</v>
      </c>
      <c r="J14413" t="s">
        <v>450</v>
      </c>
      <c r="K14413" t="s">
        <v>446</v>
      </c>
      <c r="M14413">
        <v>0</v>
      </c>
    </row>
    <row r="14414" spans="1:13">
      <c r="A14414">
        <v>86336400</v>
      </c>
      <c r="B14414">
        <v>2006532</v>
      </c>
      <c r="C14414" t="s">
        <v>7343</v>
      </c>
      <c r="D14414" t="s">
        <v>442</v>
      </c>
      <c r="F14414">
        <v>0</v>
      </c>
      <c r="H14414" t="s">
        <v>8581</v>
      </c>
      <c r="I14414">
        <v>365</v>
      </c>
      <c r="J14414" t="s">
        <v>450</v>
      </c>
      <c r="K14414" t="s">
        <v>446</v>
      </c>
      <c r="M14414">
        <v>0</v>
      </c>
    </row>
    <row r="14415" spans="1:13">
      <c r="A14415">
        <v>86336500</v>
      </c>
      <c r="B14415">
        <v>2006543</v>
      </c>
      <c r="C14415" t="s">
        <v>7344</v>
      </c>
      <c r="D14415" t="s">
        <v>442</v>
      </c>
      <c r="F14415">
        <v>0</v>
      </c>
      <c r="H14415" t="s">
        <v>8581</v>
      </c>
      <c r="I14415">
        <v>365</v>
      </c>
      <c r="J14415" t="s">
        <v>450</v>
      </c>
      <c r="K14415" t="s">
        <v>446</v>
      </c>
      <c r="M14415">
        <v>0</v>
      </c>
    </row>
    <row r="14416" spans="1:13">
      <c r="A14416">
        <v>86336600</v>
      </c>
      <c r="B14416">
        <v>2006564</v>
      </c>
      <c r="C14416" t="s">
        <v>7345</v>
      </c>
      <c r="D14416" t="s">
        <v>442</v>
      </c>
      <c r="F14416">
        <v>0</v>
      </c>
      <c r="H14416" t="s">
        <v>8581</v>
      </c>
      <c r="I14416">
        <v>365</v>
      </c>
      <c r="J14416" t="s">
        <v>450</v>
      </c>
      <c r="K14416" t="s">
        <v>446</v>
      </c>
      <c r="M14416">
        <v>0</v>
      </c>
    </row>
    <row r="14417" spans="1:13">
      <c r="A14417">
        <v>86336700</v>
      </c>
      <c r="B14417">
        <v>2005484</v>
      </c>
      <c r="C14417" t="s">
        <v>7346</v>
      </c>
      <c r="D14417" t="s">
        <v>442</v>
      </c>
      <c r="E14417" t="s">
        <v>441</v>
      </c>
      <c r="F14417">
        <v>1E-3</v>
      </c>
      <c r="H14417" t="s">
        <v>8581</v>
      </c>
      <c r="I14417">
        <v>730</v>
      </c>
      <c r="J14417" t="s">
        <v>450</v>
      </c>
      <c r="K14417" t="s">
        <v>446</v>
      </c>
      <c r="M14417">
        <v>0</v>
      </c>
    </row>
    <row r="14418" spans="1:13">
      <c r="A14418">
        <v>86336800</v>
      </c>
      <c r="B14418">
        <v>2000172</v>
      </c>
      <c r="C14418" t="s">
        <v>7347</v>
      </c>
      <c r="D14418" t="s">
        <v>442</v>
      </c>
      <c r="E14418" t="s">
        <v>441</v>
      </c>
      <c r="F14418">
        <v>1E-3</v>
      </c>
      <c r="H14418" t="s">
        <v>8581</v>
      </c>
      <c r="I14418">
        <v>730</v>
      </c>
      <c r="J14418" t="s">
        <v>450</v>
      </c>
      <c r="K14418" t="s">
        <v>446</v>
      </c>
      <c r="M14418">
        <v>0</v>
      </c>
    </row>
    <row r="14419" spans="1:13">
      <c r="A14419">
        <v>86336900</v>
      </c>
      <c r="B14419">
        <v>2000198</v>
      </c>
      <c r="C14419" t="s">
        <v>7348</v>
      </c>
      <c r="D14419" t="s">
        <v>442</v>
      </c>
      <c r="E14419" t="s">
        <v>441</v>
      </c>
      <c r="F14419">
        <v>1E-3</v>
      </c>
      <c r="H14419" t="s">
        <v>8581</v>
      </c>
      <c r="I14419">
        <v>730</v>
      </c>
      <c r="J14419" t="s">
        <v>450</v>
      </c>
      <c r="K14419" t="s">
        <v>446</v>
      </c>
      <c r="M14419">
        <v>0</v>
      </c>
    </row>
    <row r="14420" spans="1:13">
      <c r="A14420">
        <v>86337000</v>
      </c>
      <c r="B14420">
        <v>2000200</v>
      </c>
      <c r="C14420" t="s">
        <v>7349</v>
      </c>
      <c r="D14420" t="s">
        <v>442</v>
      </c>
      <c r="E14420" t="s">
        <v>441</v>
      </c>
      <c r="F14420">
        <v>1E-3</v>
      </c>
      <c r="H14420" t="s">
        <v>8581</v>
      </c>
      <c r="I14420">
        <v>730</v>
      </c>
      <c r="J14420" t="s">
        <v>450</v>
      </c>
      <c r="K14420" t="s">
        <v>446</v>
      </c>
      <c r="M14420">
        <v>0</v>
      </c>
    </row>
    <row r="14421" spans="1:13">
      <c r="A14421">
        <v>86337100</v>
      </c>
      <c r="B14421">
        <v>2006600</v>
      </c>
      <c r="C14421" t="s">
        <v>7350</v>
      </c>
      <c r="D14421" t="s">
        <v>442</v>
      </c>
      <c r="F14421">
        <v>0</v>
      </c>
      <c r="H14421" t="s">
        <v>8581</v>
      </c>
      <c r="I14421">
        <v>365</v>
      </c>
      <c r="J14421" t="s">
        <v>450</v>
      </c>
      <c r="K14421" t="s">
        <v>446</v>
      </c>
      <c r="M14421">
        <v>0</v>
      </c>
    </row>
    <row r="14422" spans="1:13">
      <c r="A14422">
        <v>86337200</v>
      </c>
      <c r="B14422">
        <v>2006559</v>
      </c>
      <c r="C14422" t="s">
        <v>7351</v>
      </c>
      <c r="D14422" t="s">
        <v>442</v>
      </c>
      <c r="F14422">
        <v>0</v>
      </c>
      <c r="H14422" t="s">
        <v>8581</v>
      </c>
      <c r="I14422">
        <v>365</v>
      </c>
      <c r="J14422" t="s">
        <v>450</v>
      </c>
      <c r="K14422" t="s">
        <v>446</v>
      </c>
      <c r="M14422">
        <v>0</v>
      </c>
    </row>
    <row r="14423" spans="1:13">
      <c r="A14423">
        <v>86337300</v>
      </c>
      <c r="B14423">
        <v>2006613</v>
      </c>
      <c r="C14423" t="s">
        <v>7352</v>
      </c>
      <c r="D14423" t="s">
        <v>442</v>
      </c>
      <c r="F14423">
        <v>0</v>
      </c>
      <c r="H14423" t="s">
        <v>8581</v>
      </c>
      <c r="I14423">
        <v>365</v>
      </c>
      <c r="J14423" t="s">
        <v>450</v>
      </c>
      <c r="K14423" t="s">
        <v>446</v>
      </c>
      <c r="M14423">
        <v>0</v>
      </c>
    </row>
    <row r="14424" spans="1:13">
      <c r="A14424">
        <v>86337400</v>
      </c>
      <c r="B14424">
        <v>2006612</v>
      </c>
      <c r="C14424" t="s">
        <v>7353</v>
      </c>
      <c r="D14424" t="s">
        <v>442</v>
      </c>
      <c r="E14424" t="s">
        <v>441</v>
      </c>
      <c r="F14424">
        <v>0.01</v>
      </c>
      <c r="H14424" t="s">
        <v>8581</v>
      </c>
      <c r="I14424">
        <v>365</v>
      </c>
      <c r="J14424" t="s">
        <v>450</v>
      </c>
      <c r="K14424" t="s">
        <v>446</v>
      </c>
      <c r="M14424">
        <v>0</v>
      </c>
    </row>
    <row r="14425" spans="1:13">
      <c r="A14425">
        <v>86337500</v>
      </c>
      <c r="B14425">
        <v>2006611</v>
      </c>
      <c r="C14425" t="s">
        <v>7354</v>
      </c>
      <c r="D14425" t="s">
        <v>442</v>
      </c>
      <c r="F14425">
        <v>0</v>
      </c>
      <c r="H14425" t="s">
        <v>8581</v>
      </c>
      <c r="I14425">
        <v>365</v>
      </c>
      <c r="J14425" t="s">
        <v>450</v>
      </c>
      <c r="K14425" t="s">
        <v>446</v>
      </c>
      <c r="M14425">
        <v>0</v>
      </c>
    </row>
    <row r="14426" spans="1:13">
      <c r="A14426">
        <v>86337600</v>
      </c>
      <c r="B14426">
        <v>2006466</v>
      </c>
      <c r="C14426" t="s">
        <v>7355</v>
      </c>
      <c r="D14426" t="s">
        <v>442</v>
      </c>
      <c r="E14426" t="s">
        <v>441</v>
      </c>
      <c r="F14426">
        <v>1E-3</v>
      </c>
      <c r="H14426" t="s">
        <v>8581</v>
      </c>
      <c r="I14426">
        <v>725</v>
      </c>
      <c r="J14426" t="s">
        <v>450</v>
      </c>
      <c r="K14426" t="s">
        <v>446</v>
      </c>
      <c r="M14426">
        <v>0</v>
      </c>
    </row>
    <row r="14427" spans="1:13">
      <c r="A14427">
        <v>86337700</v>
      </c>
      <c r="B14427">
        <v>2006645</v>
      </c>
      <c r="C14427" t="s">
        <v>7356</v>
      </c>
      <c r="D14427" t="s">
        <v>442</v>
      </c>
      <c r="F14427">
        <v>0</v>
      </c>
      <c r="H14427" t="s">
        <v>8581</v>
      </c>
      <c r="I14427">
        <v>365</v>
      </c>
      <c r="J14427" t="s">
        <v>450</v>
      </c>
      <c r="K14427" t="s">
        <v>446</v>
      </c>
      <c r="M14427">
        <v>0</v>
      </c>
    </row>
    <row r="14428" spans="1:13">
      <c r="A14428">
        <v>86337800</v>
      </c>
      <c r="B14428">
        <v>2006646</v>
      </c>
      <c r="C14428" t="s">
        <v>7357</v>
      </c>
      <c r="D14428" t="s">
        <v>442</v>
      </c>
      <c r="F14428">
        <v>0</v>
      </c>
      <c r="H14428" t="s">
        <v>8581</v>
      </c>
      <c r="I14428">
        <v>365</v>
      </c>
      <c r="J14428" t="s">
        <v>450</v>
      </c>
      <c r="K14428" t="s">
        <v>446</v>
      </c>
      <c r="M14428">
        <v>0</v>
      </c>
    </row>
    <row r="14429" spans="1:13">
      <c r="A14429">
        <v>86337900</v>
      </c>
      <c r="B14429">
        <v>2006647</v>
      </c>
      <c r="C14429" t="s">
        <v>7358</v>
      </c>
      <c r="D14429" t="s">
        <v>442</v>
      </c>
      <c r="F14429">
        <v>0</v>
      </c>
      <c r="H14429" t="s">
        <v>8581</v>
      </c>
      <c r="I14429">
        <v>365</v>
      </c>
      <c r="J14429" t="s">
        <v>450</v>
      </c>
      <c r="K14429" t="s">
        <v>446</v>
      </c>
      <c r="M14429">
        <v>0</v>
      </c>
    </row>
    <row r="14430" spans="1:13">
      <c r="A14430">
        <v>86338000</v>
      </c>
      <c r="B14430">
        <v>2006648</v>
      </c>
      <c r="C14430" t="s">
        <v>7359</v>
      </c>
      <c r="D14430" t="s">
        <v>442</v>
      </c>
      <c r="F14430">
        <v>0</v>
      </c>
      <c r="H14430" t="s">
        <v>8581</v>
      </c>
      <c r="I14430">
        <v>725</v>
      </c>
      <c r="J14430" t="s">
        <v>450</v>
      </c>
      <c r="K14430" t="s">
        <v>446</v>
      </c>
      <c r="M14430">
        <v>0</v>
      </c>
    </row>
    <row r="14431" spans="1:13">
      <c r="A14431">
        <v>86338100</v>
      </c>
      <c r="B14431">
        <v>2006660</v>
      </c>
      <c r="C14431" t="s">
        <v>7360</v>
      </c>
      <c r="D14431" t="s">
        <v>442</v>
      </c>
      <c r="F14431">
        <v>0</v>
      </c>
      <c r="H14431" t="s">
        <v>8581</v>
      </c>
      <c r="I14431">
        <v>365</v>
      </c>
      <c r="J14431" t="s">
        <v>450</v>
      </c>
      <c r="K14431" t="s">
        <v>446</v>
      </c>
      <c r="M14431">
        <v>0</v>
      </c>
    </row>
    <row r="14432" spans="1:13">
      <c r="A14432">
        <v>86338200</v>
      </c>
      <c r="B14432">
        <v>2006580</v>
      </c>
      <c r="C14432" t="s">
        <v>7361</v>
      </c>
      <c r="D14432" t="s">
        <v>442</v>
      </c>
      <c r="E14432" t="s">
        <v>441</v>
      </c>
      <c r="F14432">
        <v>1E-3</v>
      </c>
      <c r="H14432" t="s">
        <v>8581</v>
      </c>
      <c r="I14432">
        <v>730</v>
      </c>
      <c r="J14432" t="s">
        <v>450</v>
      </c>
      <c r="K14432" t="s">
        <v>446</v>
      </c>
      <c r="M14432">
        <v>0</v>
      </c>
    </row>
    <row r="14433" spans="1:13">
      <c r="A14433">
        <v>86338300</v>
      </c>
      <c r="B14433">
        <v>2006667</v>
      </c>
      <c r="C14433" t="s">
        <v>7362</v>
      </c>
      <c r="D14433" t="s">
        <v>442</v>
      </c>
      <c r="F14433">
        <v>0</v>
      </c>
      <c r="H14433" t="s">
        <v>8581</v>
      </c>
      <c r="I14433">
        <v>365</v>
      </c>
      <c r="J14433" t="s">
        <v>450</v>
      </c>
      <c r="K14433" t="s">
        <v>446</v>
      </c>
      <c r="M14433">
        <v>0</v>
      </c>
    </row>
    <row r="14434" spans="1:13">
      <c r="A14434">
        <v>86338400</v>
      </c>
      <c r="B14434">
        <v>2001258</v>
      </c>
      <c r="C14434" t="s">
        <v>7363</v>
      </c>
      <c r="D14434" t="s">
        <v>442</v>
      </c>
      <c r="E14434" t="s">
        <v>441</v>
      </c>
      <c r="F14434">
        <v>1E-3</v>
      </c>
      <c r="H14434" t="s">
        <v>8581</v>
      </c>
      <c r="I14434">
        <v>730</v>
      </c>
      <c r="J14434" t="s">
        <v>450</v>
      </c>
      <c r="K14434" t="s">
        <v>446</v>
      </c>
      <c r="M14434">
        <v>0</v>
      </c>
    </row>
    <row r="14435" spans="1:13">
      <c r="A14435">
        <v>86338500</v>
      </c>
      <c r="B14435">
        <v>2002328</v>
      </c>
      <c r="C14435" t="s">
        <v>7364</v>
      </c>
      <c r="D14435" t="s">
        <v>442</v>
      </c>
      <c r="E14435" t="s">
        <v>441</v>
      </c>
      <c r="F14435">
        <v>1E-3</v>
      </c>
      <c r="H14435" t="s">
        <v>8581</v>
      </c>
      <c r="I14435">
        <v>730</v>
      </c>
      <c r="J14435" t="s">
        <v>450</v>
      </c>
      <c r="K14435" t="s">
        <v>446</v>
      </c>
      <c r="M14435">
        <v>0</v>
      </c>
    </row>
    <row r="14436" spans="1:13">
      <c r="A14436">
        <v>86338600</v>
      </c>
      <c r="B14436">
        <v>2006706</v>
      </c>
      <c r="C14436" t="s">
        <v>7365</v>
      </c>
      <c r="D14436" t="s">
        <v>442</v>
      </c>
      <c r="F14436">
        <v>0</v>
      </c>
      <c r="H14436" t="s">
        <v>8581</v>
      </c>
      <c r="I14436">
        <v>365</v>
      </c>
      <c r="J14436" t="s">
        <v>450</v>
      </c>
      <c r="K14436" t="s">
        <v>446</v>
      </c>
      <c r="M14436">
        <v>0</v>
      </c>
    </row>
    <row r="14437" spans="1:13">
      <c r="A14437">
        <v>86338700</v>
      </c>
      <c r="B14437">
        <v>2006705</v>
      </c>
      <c r="C14437" t="s">
        <v>7366</v>
      </c>
      <c r="D14437" t="s">
        <v>442</v>
      </c>
      <c r="F14437">
        <v>0</v>
      </c>
      <c r="H14437" t="s">
        <v>8581</v>
      </c>
      <c r="I14437">
        <v>365</v>
      </c>
      <c r="J14437" t="s">
        <v>450</v>
      </c>
      <c r="K14437" t="s">
        <v>446</v>
      </c>
      <c r="M14437">
        <v>0</v>
      </c>
    </row>
    <row r="14438" spans="1:13">
      <c r="A14438">
        <v>86338800</v>
      </c>
      <c r="B14438">
        <v>2006704</v>
      </c>
      <c r="C14438" t="s">
        <v>7367</v>
      </c>
      <c r="D14438" t="s">
        <v>442</v>
      </c>
      <c r="F14438">
        <v>0</v>
      </c>
      <c r="H14438" t="s">
        <v>8581</v>
      </c>
      <c r="I14438">
        <v>365</v>
      </c>
      <c r="J14438" t="s">
        <v>450</v>
      </c>
      <c r="K14438" t="s">
        <v>446</v>
      </c>
      <c r="M14438">
        <v>0</v>
      </c>
    </row>
    <row r="14439" spans="1:13">
      <c r="A14439">
        <v>86338900</v>
      </c>
      <c r="B14439">
        <v>2006711</v>
      </c>
      <c r="C14439" t="s">
        <v>7368</v>
      </c>
      <c r="D14439" t="s">
        <v>442</v>
      </c>
      <c r="E14439" t="s">
        <v>441</v>
      </c>
      <c r="F14439">
        <v>0.01</v>
      </c>
      <c r="H14439" t="s">
        <v>8581</v>
      </c>
      <c r="I14439">
        <v>365</v>
      </c>
      <c r="J14439" t="s">
        <v>450</v>
      </c>
      <c r="K14439" t="s">
        <v>446</v>
      </c>
      <c r="M14439">
        <v>0</v>
      </c>
    </row>
    <row r="14440" spans="1:13">
      <c r="A14440">
        <v>86339000</v>
      </c>
      <c r="B14440">
        <v>2006712</v>
      </c>
      <c r="C14440" t="s">
        <v>7369</v>
      </c>
      <c r="D14440" t="s">
        <v>442</v>
      </c>
      <c r="E14440" t="s">
        <v>441</v>
      </c>
      <c r="F14440">
        <v>0.01</v>
      </c>
      <c r="H14440" t="s">
        <v>8581</v>
      </c>
      <c r="I14440">
        <v>365</v>
      </c>
      <c r="J14440" t="s">
        <v>450</v>
      </c>
      <c r="K14440" t="s">
        <v>446</v>
      </c>
      <c r="M14440">
        <v>0</v>
      </c>
    </row>
    <row r="14441" spans="1:13">
      <c r="A14441">
        <v>86339100</v>
      </c>
      <c r="B14441">
        <v>2006737</v>
      </c>
      <c r="C14441" t="s">
        <v>7370</v>
      </c>
      <c r="D14441" t="s">
        <v>442</v>
      </c>
      <c r="F14441">
        <v>0</v>
      </c>
      <c r="H14441" t="s">
        <v>8581</v>
      </c>
      <c r="I14441">
        <v>365</v>
      </c>
      <c r="J14441" t="s">
        <v>450</v>
      </c>
      <c r="K14441" t="s">
        <v>446</v>
      </c>
      <c r="M14441">
        <v>0</v>
      </c>
    </row>
    <row r="14442" spans="1:13">
      <c r="A14442">
        <v>86339200</v>
      </c>
      <c r="B14442">
        <v>2006748</v>
      </c>
      <c r="C14442" t="s">
        <v>7371</v>
      </c>
      <c r="D14442" t="s">
        <v>442</v>
      </c>
      <c r="F14442">
        <v>0</v>
      </c>
      <c r="H14442" t="s">
        <v>8581</v>
      </c>
      <c r="I14442">
        <v>365</v>
      </c>
      <c r="J14442" t="s">
        <v>450</v>
      </c>
      <c r="K14442" t="s">
        <v>446</v>
      </c>
      <c r="M14442">
        <v>0</v>
      </c>
    </row>
    <row r="14443" spans="1:13">
      <c r="A14443">
        <v>86339300</v>
      </c>
      <c r="B14443">
        <v>2006747</v>
      </c>
      <c r="C14443" t="s">
        <v>7372</v>
      </c>
      <c r="D14443" t="s">
        <v>442</v>
      </c>
      <c r="F14443">
        <v>0</v>
      </c>
      <c r="H14443" t="s">
        <v>8581</v>
      </c>
      <c r="I14443">
        <v>365</v>
      </c>
      <c r="J14443" t="s">
        <v>450</v>
      </c>
      <c r="K14443" t="s">
        <v>446</v>
      </c>
      <c r="M14443">
        <v>0</v>
      </c>
    </row>
    <row r="14444" spans="1:13">
      <c r="A14444">
        <v>86339400</v>
      </c>
      <c r="B14444">
        <v>2006785</v>
      </c>
      <c r="C14444" t="s">
        <v>7373</v>
      </c>
      <c r="D14444" t="s">
        <v>442</v>
      </c>
      <c r="F14444">
        <v>0</v>
      </c>
      <c r="H14444" t="s">
        <v>8581</v>
      </c>
      <c r="I14444">
        <v>365</v>
      </c>
      <c r="J14444" t="s">
        <v>450</v>
      </c>
      <c r="K14444" t="s">
        <v>446</v>
      </c>
      <c r="M14444">
        <v>0</v>
      </c>
    </row>
    <row r="14445" spans="1:13">
      <c r="A14445">
        <v>86339500</v>
      </c>
      <c r="B14445">
        <v>2006783</v>
      </c>
      <c r="C14445" t="s">
        <v>7374</v>
      </c>
      <c r="D14445" t="s">
        <v>442</v>
      </c>
      <c r="F14445">
        <v>0</v>
      </c>
      <c r="H14445" t="s">
        <v>8581</v>
      </c>
      <c r="I14445">
        <v>365</v>
      </c>
      <c r="J14445" t="s">
        <v>450</v>
      </c>
      <c r="K14445" t="s">
        <v>446</v>
      </c>
      <c r="M14445">
        <v>0</v>
      </c>
    </row>
    <row r="14446" spans="1:13">
      <c r="A14446">
        <v>86339600</v>
      </c>
      <c r="B14446">
        <v>2006784</v>
      </c>
      <c r="C14446" t="s">
        <v>17803</v>
      </c>
      <c r="D14446" t="s">
        <v>442</v>
      </c>
      <c r="E14446" t="s">
        <v>441</v>
      </c>
      <c r="F14446">
        <v>0.01</v>
      </c>
      <c r="H14446" t="s">
        <v>8581</v>
      </c>
      <c r="I14446">
        <v>365</v>
      </c>
      <c r="J14446" t="s">
        <v>450</v>
      </c>
      <c r="M14446">
        <v>0</v>
      </c>
    </row>
    <row r="14447" spans="1:13">
      <c r="A14447">
        <v>86339700</v>
      </c>
      <c r="B14447">
        <v>2006883</v>
      </c>
      <c r="C14447" t="s">
        <v>7375</v>
      </c>
      <c r="D14447" t="s">
        <v>442</v>
      </c>
      <c r="F14447">
        <v>0</v>
      </c>
      <c r="H14447" t="s">
        <v>8581</v>
      </c>
      <c r="I14447">
        <v>365</v>
      </c>
      <c r="J14447" t="s">
        <v>450</v>
      </c>
      <c r="K14447" t="s">
        <v>446</v>
      </c>
      <c r="M14447">
        <v>0</v>
      </c>
    </row>
    <row r="14448" spans="1:13">
      <c r="A14448">
        <v>86339800</v>
      </c>
      <c r="B14448">
        <v>2006882</v>
      </c>
      <c r="C14448" t="s">
        <v>7376</v>
      </c>
      <c r="D14448" t="s">
        <v>442</v>
      </c>
      <c r="F14448">
        <v>0</v>
      </c>
      <c r="H14448" t="s">
        <v>8581</v>
      </c>
      <c r="I14448">
        <v>365</v>
      </c>
      <c r="J14448" t="s">
        <v>450</v>
      </c>
      <c r="K14448" t="s">
        <v>446</v>
      </c>
      <c r="M14448">
        <v>0</v>
      </c>
    </row>
    <row r="14449" spans="1:13">
      <c r="A14449">
        <v>86339900</v>
      </c>
      <c r="B14449">
        <v>2006886</v>
      </c>
      <c r="C14449" t="s">
        <v>14657</v>
      </c>
      <c r="D14449" t="s">
        <v>442</v>
      </c>
      <c r="F14449">
        <v>0</v>
      </c>
      <c r="H14449" t="s">
        <v>8581</v>
      </c>
      <c r="I14449">
        <v>365</v>
      </c>
      <c r="J14449" t="s">
        <v>450</v>
      </c>
      <c r="K14449" t="s">
        <v>446</v>
      </c>
      <c r="M14449">
        <v>0</v>
      </c>
    </row>
    <row r="14450" spans="1:13">
      <c r="A14450">
        <v>86340000</v>
      </c>
      <c r="B14450">
        <v>2006893</v>
      </c>
      <c r="C14450" t="s">
        <v>7377</v>
      </c>
      <c r="D14450" t="s">
        <v>442</v>
      </c>
      <c r="F14450">
        <v>0</v>
      </c>
      <c r="H14450" t="s">
        <v>8581</v>
      </c>
      <c r="I14450">
        <v>365</v>
      </c>
      <c r="J14450" t="s">
        <v>450</v>
      </c>
      <c r="K14450" t="s">
        <v>446</v>
      </c>
      <c r="M14450">
        <v>0</v>
      </c>
    </row>
    <row r="14451" spans="1:13">
      <c r="A14451">
        <v>86340100</v>
      </c>
      <c r="B14451">
        <v>2006892</v>
      </c>
      <c r="C14451" t="s">
        <v>7378</v>
      </c>
      <c r="D14451" t="s">
        <v>442</v>
      </c>
      <c r="F14451">
        <v>0</v>
      </c>
      <c r="H14451" t="s">
        <v>8581</v>
      </c>
      <c r="I14451">
        <v>365</v>
      </c>
      <c r="J14451" t="s">
        <v>450</v>
      </c>
      <c r="K14451" t="s">
        <v>446</v>
      </c>
      <c r="M14451">
        <v>0</v>
      </c>
    </row>
    <row r="14452" spans="1:13">
      <c r="A14452">
        <v>86340200</v>
      </c>
      <c r="B14452">
        <v>2006891</v>
      </c>
      <c r="C14452" t="s">
        <v>7379</v>
      </c>
      <c r="D14452" t="s">
        <v>442</v>
      </c>
      <c r="F14452">
        <v>0</v>
      </c>
      <c r="H14452" t="s">
        <v>8581</v>
      </c>
      <c r="I14452">
        <v>365</v>
      </c>
      <c r="J14452" t="s">
        <v>450</v>
      </c>
      <c r="K14452" t="s">
        <v>446</v>
      </c>
      <c r="M14452">
        <v>0</v>
      </c>
    </row>
    <row r="14453" spans="1:13">
      <c r="A14453">
        <v>86340300</v>
      </c>
      <c r="B14453">
        <v>2006900</v>
      </c>
      <c r="C14453" t="s">
        <v>7380</v>
      </c>
      <c r="D14453" t="s">
        <v>442</v>
      </c>
      <c r="F14453">
        <v>0</v>
      </c>
      <c r="H14453" t="s">
        <v>8581</v>
      </c>
      <c r="I14453">
        <v>365</v>
      </c>
      <c r="J14453" t="s">
        <v>450</v>
      </c>
      <c r="K14453" t="s">
        <v>446</v>
      </c>
      <c r="M14453">
        <v>0</v>
      </c>
    </row>
    <row r="14454" spans="1:13">
      <c r="A14454">
        <v>86340400</v>
      </c>
      <c r="B14454">
        <v>2006869</v>
      </c>
      <c r="C14454" t="s">
        <v>7381</v>
      </c>
      <c r="D14454" t="s">
        <v>442</v>
      </c>
      <c r="F14454">
        <v>0</v>
      </c>
      <c r="H14454" t="s">
        <v>8581</v>
      </c>
      <c r="I14454">
        <v>360</v>
      </c>
      <c r="J14454" t="s">
        <v>450</v>
      </c>
      <c r="K14454" t="s">
        <v>446</v>
      </c>
      <c r="M14454">
        <v>0</v>
      </c>
    </row>
    <row r="14455" spans="1:13">
      <c r="A14455">
        <v>86340500</v>
      </c>
      <c r="B14455">
        <v>2006915</v>
      </c>
      <c r="C14455" t="s">
        <v>7382</v>
      </c>
      <c r="D14455" t="s">
        <v>442</v>
      </c>
      <c r="F14455">
        <v>0</v>
      </c>
      <c r="H14455" t="s">
        <v>8581</v>
      </c>
      <c r="I14455">
        <v>360</v>
      </c>
      <c r="J14455" t="s">
        <v>450</v>
      </c>
      <c r="K14455" t="s">
        <v>446</v>
      </c>
      <c r="M14455">
        <v>0</v>
      </c>
    </row>
    <row r="14456" spans="1:13">
      <c r="A14456">
        <v>86340600</v>
      </c>
      <c r="B14456">
        <v>2006914</v>
      </c>
      <c r="C14456" t="s">
        <v>7383</v>
      </c>
      <c r="D14456" t="s">
        <v>442</v>
      </c>
      <c r="F14456">
        <v>0</v>
      </c>
      <c r="H14456" t="s">
        <v>8581</v>
      </c>
      <c r="I14456">
        <v>360</v>
      </c>
      <c r="J14456" t="s">
        <v>450</v>
      </c>
      <c r="K14456" t="s">
        <v>446</v>
      </c>
      <c r="M14456">
        <v>0</v>
      </c>
    </row>
    <row r="14457" spans="1:13">
      <c r="A14457">
        <v>86340700</v>
      </c>
      <c r="B14457">
        <v>2006913</v>
      </c>
      <c r="C14457" t="s">
        <v>7384</v>
      </c>
      <c r="D14457" t="s">
        <v>442</v>
      </c>
      <c r="F14457">
        <v>0</v>
      </c>
      <c r="H14457" t="s">
        <v>8581</v>
      </c>
      <c r="I14457">
        <v>360</v>
      </c>
      <c r="J14457" t="s">
        <v>450</v>
      </c>
      <c r="K14457" t="s">
        <v>446</v>
      </c>
      <c r="M14457">
        <v>0</v>
      </c>
    </row>
    <row r="14458" spans="1:13">
      <c r="A14458">
        <v>86340800</v>
      </c>
      <c r="B14458">
        <v>2006912</v>
      </c>
      <c r="C14458" t="s">
        <v>7385</v>
      </c>
      <c r="D14458" t="s">
        <v>442</v>
      </c>
      <c r="F14458">
        <v>0</v>
      </c>
      <c r="H14458" t="s">
        <v>8581</v>
      </c>
      <c r="I14458">
        <v>360</v>
      </c>
      <c r="J14458" t="s">
        <v>450</v>
      </c>
      <c r="K14458" t="s">
        <v>446</v>
      </c>
      <c r="M14458">
        <v>0</v>
      </c>
    </row>
    <row r="14459" spans="1:13">
      <c r="A14459">
        <v>86340900</v>
      </c>
      <c r="B14459">
        <v>2006911</v>
      </c>
      <c r="C14459" t="s">
        <v>7386</v>
      </c>
      <c r="D14459" t="s">
        <v>442</v>
      </c>
      <c r="F14459">
        <v>0</v>
      </c>
      <c r="H14459" t="s">
        <v>8581</v>
      </c>
      <c r="I14459">
        <v>360</v>
      </c>
      <c r="J14459" t="s">
        <v>450</v>
      </c>
      <c r="K14459" t="s">
        <v>446</v>
      </c>
      <c r="M14459">
        <v>0</v>
      </c>
    </row>
    <row r="14460" spans="1:13">
      <c r="A14460">
        <v>86341000</v>
      </c>
      <c r="B14460">
        <v>2006910</v>
      </c>
      <c r="C14460" t="s">
        <v>7387</v>
      </c>
      <c r="D14460" t="s">
        <v>442</v>
      </c>
      <c r="F14460">
        <v>0</v>
      </c>
      <c r="H14460" t="s">
        <v>8581</v>
      </c>
      <c r="I14460">
        <v>360</v>
      </c>
      <c r="J14460" t="s">
        <v>450</v>
      </c>
      <c r="K14460" t="s">
        <v>446</v>
      </c>
      <c r="M14460">
        <v>0</v>
      </c>
    </row>
    <row r="14461" spans="1:13">
      <c r="A14461">
        <v>86341100</v>
      </c>
      <c r="B14461">
        <v>2006920</v>
      </c>
      <c r="C14461" t="s">
        <v>7388</v>
      </c>
      <c r="D14461" t="s">
        <v>442</v>
      </c>
      <c r="F14461">
        <v>0</v>
      </c>
      <c r="H14461" t="s">
        <v>8581</v>
      </c>
      <c r="I14461">
        <v>365</v>
      </c>
      <c r="J14461" t="s">
        <v>450</v>
      </c>
      <c r="K14461" t="s">
        <v>446</v>
      </c>
      <c r="M14461">
        <v>0</v>
      </c>
    </row>
    <row r="14462" spans="1:13">
      <c r="A14462">
        <v>86341200</v>
      </c>
      <c r="B14462">
        <v>2006931</v>
      </c>
      <c r="C14462" t="s">
        <v>7389</v>
      </c>
      <c r="D14462" t="s">
        <v>442</v>
      </c>
      <c r="F14462">
        <v>0</v>
      </c>
      <c r="H14462" t="s">
        <v>8581</v>
      </c>
      <c r="I14462">
        <v>365</v>
      </c>
      <c r="J14462" t="s">
        <v>450</v>
      </c>
      <c r="K14462" t="s">
        <v>446</v>
      </c>
      <c r="M14462">
        <v>0</v>
      </c>
    </row>
    <row r="14463" spans="1:13">
      <c r="A14463">
        <v>86341300</v>
      </c>
      <c r="B14463">
        <v>2006934</v>
      </c>
      <c r="C14463" t="s">
        <v>7390</v>
      </c>
      <c r="D14463" t="s">
        <v>442</v>
      </c>
      <c r="F14463">
        <v>0</v>
      </c>
      <c r="H14463" t="s">
        <v>8581</v>
      </c>
      <c r="I14463">
        <v>365</v>
      </c>
      <c r="J14463" t="s">
        <v>450</v>
      </c>
      <c r="K14463" t="s">
        <v>446</v>
      </c>
      <c r="M14463">
        <v>0</v>
      </c>
    </row>
    <row r="14464" spans="1:13">
      <c r="A14464">
        <v>86341400</v>
      </c>
      <c r="B14464">
        <v>2006940</v>
      </c>
      <c r="C14464" t="s">
        <v>7391</v>
      </c>
      <c r="D14464" t="s">
        <v>442</v>
      </c>
      <c r="F14464">
        <v>0</v>
      </c>
      <c r="H14464" t="s">
        <v>8581</v>
      </c>
      <c r="I14464">
        <v>365</v>
      </c>
      <c r="J14464" t="s">
        <v>450</v>
      </c>
      <c r="K14464" t="s">
        <v>446</v>
      </c>
      <c r="M14464">
        <v>0</v>
      </c>
    </row>
    <row r="14465" spans="1:13">
      <c r="A14465">
        <v>86341500</v>
      </c>
      <c r="B14465">
        <v>2006868</v>
      </c>
      <c r="C14465" t="s">
        <v>7392</v>
      </c>
      <c r="D14465" t="s">
        <v>442</v>
      </c>
      <c r="E14465" t="s">
        <v>441</v>
      </c>
      <c r="F14465">
        <v>0.01</v>
      </c>
      <c r="H14465" t="s">
        <v>8581</v>
      </c>
      <c r="I14465">
        <v>725</v>
      </c>
      <c r="J14465" t="s">
        <v>450</v>
      </c>
      <c r="K14465" t="s">
        <v>446</v>
      </c>
      <c r="M14465">
        <v>0</v>
      </c>
    </row>
    <row r="14466" spans="1:13">
      <c r="A14466">
        <v>86341600</v>
      </c>
      <c r="B14466">
        <v>2006962</v>
      </c>
      <c r="C14466" t="s">
        <v>7393</v>
      </c>
      <c r="D14466" t="s">
        <v>442</v>
      </c>
      <c r="F14466">
        <v>0</v>
      </c>
      <c r="H14466" t="s">
        <v>8581</v>
      </c>
      <c r="I14466">
        <v>365</v>
      </c>
      <c r="J14466" t="s">
        <v>450</v>
      </c>
      <c r="K14466" t="s">
        <v>446</v>
      </c>
      <c r="M14466">
        <v>0</v>
      </c>
    </row>
    <row r="14467" spans="1:13">
      <c r="A14467">
        <v>86341700</v>
      </c>
      <c r="B14467">
        <v>2006961</v>
      </c>
      <c r="C14467" t="s">
        <v>7394</v>
      </c>
      <c r="D14467" t="s">
        <v>442</v>
      </c>
      <c r="F14467">
        <v>0</v>
      </c>
      <c r="H14467" t="s">
        <v>8581</v>
      </c>
      <c r="I14467">
        <v>365</v>
      </c>
      <c r="J14467" t="s">
        <v>450</v>
      </c>
      <c r="K14467" t="s">
        <v>446</v>
      </c>
      <c r="M14467">
        <v>0</v>
      </c>
    </row>
    <row r="14468" spans="1:13">
      <c r="A14468">
        <v>86341800</v>
      </c>
      <c r="B14468">
        <v>2006963</v>
      </c>
      <c r="C14468" t="s">
        <v>7395</v>
      </c>
      <c r="D14468" t="s">
        <v>442</v>
      </c>
      <c r="F14468">
        <v>0</v>
      </c>
      <c r="H14468" t="s">
        <v>8581</v>
      </c>
      <c r="I14468">
        <v>365</v>
      </c>
      <c r="J14468" t="s">
        <v>450</v>
      </c>
      <c r="K14468" t="s">
        <v>446</v>
      </c>
      <c r="M14468">
        <v>0</v>
      </c>
    </row>
    <row r="14469" spans="1:13">
      <c r="A14469">
        <v>86341900</v>
      </c>
      <c r="B14469">
        <v>2006964</v>
      </c>
      <c r="C14469" t="s">
        <v>7396</v>
      </c>
      <c r="D14469" t="s">
        <v>442</v>
      </c>
      <c r="F14469">
        <v>0</v>
      </c>
      <c r="H14469" t="s">
        <v>8581</v>
      </c>
      <c r="I14469">
        <v>365</v>
      </c>
      <c r="J14469" t="s">
        <v>450</v>
      </c>
      <c r="K14469" t="s">
        <v>446</v>
      </c>
      <c r="M14469">
        <v>0</v>
      </c>
    </row>
    <row r="14470" spans="1:13">
      <c r="A14470">
        <v>86342000</v>
      </c>
      <c r="B14470">
        <v>2006970</v>
      </c>
      <c r="C14470" t="s">
        <v>7397</v>
      </c>
      <c r="D14470" t="s">
        <v>442</v>
      </c>
      <c r="F14470">
        <v>0</v>
      </c>
      <c r="H14470" t="s">
        <v>8581</v>
      </c>
      <c r="I14470">
        <v>365</v>
      </c>
      <c r="J14470" t="s">
        <v>450</v>
      </c>
      <c r="K14470" t="s">
        <v>446</v>
      </c>
      <c r="M14470">
        <v>0</v>
      </c>
    </row>
    <row r="14471" spans="1:13">
      <c r="A14471">
        <v>86342100</v>
      </c>
      <c r="B14471">
        <v>2006976</v>
      </c>
      <c r="C14471" t="s">
        <v>7398</v>
      </c>
      <c r="D14471" t="s">
        <v>442</v>
      </c>
      <c r="F14471">
        <v>0</v>
      </c>
      <c r="H14471" t="s">
        <v>8581</v>
      </c>
      <c r="I14471">
        <v>365</v>
      </c>
      <c r="J14471" t="s">
        <v>450</v>
      </c>
      <c r="K14471" t="s">
        <v>446</v>
      </c>
      <c r="M14471">
        <v>0</v>
      </c>
    </row>
    <row r="14472" spans="1:13">
      <c r="A14472">
        <v>86342200</v>
      </c>
      <c r="B14472">
        <v>2007011</v>
      </c>
      <c r="C14472" t="s">
        <v>7399</v>
      </c>
      <c r="D14472" t="s">
        <v>442</v>
      </c>
      <c r="E14472" t="s">
        <v>441</v>
      </c>
      <c r="F14472">
        <v>0.01</v>
      </c>
      <c r="H14472" t="s">
        <v>8581</v>
      </c>
      <c r="I14472">
        <v>1440</v>
      </c>
      <c r="J14472" t="s">
        <v>450</v>
      </c>
      <c r="K14472" t="s">
        <v>446</v>
      </c>
      <c r="M14472">
        <v>0</v>
      </c>
    </row>
    <row r="14473" spans="1:13">
      <c r="A14473">
        <v>86342300</v>
      </c>
      <c r="B14473">
        <v>2007006</v>
      </c>
      <c r="C14473" t="s">
        <v>7400</v>
      </c>
      <c r="D14473" t="s">
        <v>442</v>
      </c>
      <c r="F14473">
        <v>0</v>
      </c>
      <c r="H14473" t="s">
        <v>8581</v>
      </c>
      <c r="I14473">
        <v>365</v>
      </c>
      <c r="J14473" t="s">
        <v>450</v>
      </c>
      <c r="K14473" t="s">
        <v>446</v>
      </c>
      <c r="M14473">
        <v>0</v>
      </c>
    </row>
    <row r="14474" spans="1:13">
      <c r="A14474">
        <v>86342400</v>
      </c>
      <c r="B14474">
        <v>2007007</v>
      </c>
      <c r="C14474" t="s">
        <v>7401</v>
      </c>
      <c r="D14474" t="s">
        <v>442</v>
      </c>
      <c r="F14474">
        <v>0</v>
      </c>
      <c r="H14474" t="s">
        <v>8581</v>
      </c>
      <c r="I14474">
        <v>365</v>
      </c>
      <c r="J14474" t="s">
        <v>450</v>
      </c>
      <c r="K14474" t="s">
        <v>446</v>
      </c>
      <c r="M14474">
        <v>0</v>
      </c>
    </row>
    <row r="14475" spans="1:13">
      <c r="A14475">
        <v>86342500</v>
      </c>
      <c r="B14475">
        <v>2007014</v>
      </c>
      <c r="C14475" t="s">
        <v>7402</v>
      </c>
      <c r="D14475" t="s">
        <v>442</v>
      </c>
      <c r="E14475" t="s">
        <v>441</v>
      </c>
      <c r="F14475">
        <v>0.01</v>
      </c>
      <c r="H14475" t="s">
        <v>8581</v>
      </c>
      <c r="I14475">
        <v>365</v>
      </c>
      <c r="J14475" t="s">
        <v>450</v>
      </c>
      <c r="K14475" t="s">
        <v>446</v>
      </c>
      <c r="M14475">
        <v>0</v>
      </c>
    </row>
    <row r="14476" spans="1:13">
      <c r="A14476">
        <v>86342600</v>
      </c>
      <c r="B14476">
        <v>2007013</v>
      </c>
      <c r="C14476" t="s">
        <v>7403</v>
      </c>
      <c r="D14476" t="s">
        <v>442</v>
      </c>
      <c r="E14476" t="s">
        <v>441</v>
      </c>
      <c r="F14476">
        <v>0.01</v>
      </c>
      <c r="H14476" t="s">
        <v>8581</v>
      </c>
      <c r="I14476">
        <v>360</v>
      </c>
      <c r="J14476" t="s">
        <v>450</v>
      </c>
      <c r="K14476" t="s">
        <v>446</v>
      </c>
      <c r="M14476">
        <v>0</v>
      </c>
    </row>
    <row r="14477" spans="1:13">
      <c r="A14477">
        <v>86342700</v>
      </c>
      <c r="B14477">
        <v>2007012</v>
      </c>
      <c r="C14477" t="s">
        <v>7404</v>
      </c>
      <c r="D14477" t="s">
        <v>442</v>
      </c>
      <c r="F14477">
        <v>0</v>
      </c>
      <c r="H14477" t="s">
        <v>8581</v>
      </c>
      <c r="I14477">
        <v>365</v>
      </c>
      <c r="J14477" t="s">
        <v>450</v>
      </c>
      <c r="K14477" t="s">
        <v>446</v>
      </c>
      <c r="M14477">
        <v>0</v>
      </c>
    </row>
    <row r="14478" spans="1:13">
      <c r="A14478">
        <v>86342800</v>
      </c>
      <c r="B14478">
        <v>2007020</v>
      </c>
      <c r="C14478" t="s">
        <v>7405</v>
      </c>
      <c r="D14478" t="s">
        <v>442</v>
      </c>
      <c r="F14478">
        <v>0</v>
      </c>
      <c r="H14478" t="s">
        <v>8581</v>
      </c>
      <c r="I14478">
        <v>365</v>
      </c>
      <c r="J14478" t="s">
        <v>450</v>
      </c>
      <c r="K14478" t="s">
        <v>446</v>
      </c>
      <c r="M14478">
        <v>0</v>
      </c>
    </row>
    <row r="14479" spans="1:13">
      <c r="A14479">
        <v>86342900</v>
      </c>
      <c r="B14479">
        <v>2007051</v>
      </c>
      <c r="C14479" t="s">
        <v>7406</v>
      </c>
      <c r="D14479" t="s">
        <v>442</v>
      </c>
      <c r="F14479">
        <v>0</v>
      </c>
      <c r="H14479" t="s">
        <v>8581</v>
      </c>
      <c r="I14479">
        <v>365</v>
      </c>
      <c r="J14479" t="s">
        <v>450</v>
      </c>
      <c r="K14479" t="s">
        <v>446</v>
      </c>
      <c r="M14479">
        <v>0</v>
      </c>
    </row>
    <row r="14480" spans="1:13">
      <c r="A14480">
        <v>86343000</v>
      </c>
      <c r="B14480">
        <v>2007057</v>
      </c>
      <c r="C14480" t="s">
        <v>7407</v>
      </c>
      <c r="D14480" t="s">
        <v>442</v>
      </c>
      <c r="F14480">
        <v>0</v>
      </c>
      <c r="H14480" t="s">
        <v>8581</v>
      </c>
      <c r="I14480">
        <v>365</v>
      </c>
      <c r="J14480" t="s">
        <v>450</v>
      </c>
      <c r="K14480" t="s">
        <v>446</v>
      </c>
      <c r="M14480">
        <v>0</v>
      </c>
    </row>
    <row r="14481" spans="1:13">
      <c r="A14481">
        <v>86343100</v>
      </c>
      <c r="B14481">
        <v>2007058</v>
      </c>
      <c r="C14481" t="s">
        <v>7408</v>
      </c>
      <c r="D14481" t="s">
        <v>442</v>
      </c>
      <c r="F14481">
        <v>0</v>
      </c>
      <c r="H14481" t="s">
        <v>8581</v>
      </c>
      <c r="I14481">
        <v>365</v>
      </c>
      <c r="J14481" t="s">
        <v>450</v>
      </c>
      <c r="K14481" t="s">
        <v>446</v>
      </c>
      <c r="M14481">
        <v>0</v>
      </c>
    </row>
    <row r="14482" spans="1:13">
      <c r="A14482">
        <v>86343200</v>
      </c>
      <c r="B14482">
        <v>2007073</v>
      </c>
      <c r="C14482" t="s">
        <v>7409</v>
      </c>
      <c r="D14482" t="s">
        <v>442</v>
      </c>
      <c r="E14482" t="s">
        <v>441</v>
      </c>
      <c r="F14482">
        <v>0.01</v>
      </c>
      <c r="H14482" t="s">
        <v>8581</v>
      </c>
      <c r="I14482">
        <v>365</v>
      </c>
      <c r="J14482" t="s">
        <v>450</v>
      </c>
      <c r="K14482" t="s">
        <v>446</v>
      </c>
      <c r="M14482">
        <v>0</v>
      </c>
    </row>
    <row r="14483" spans="1:13">
      <c r="A14483">
        <v>86343300</v>
      </c>
      <c r="B14483">
        <v>2007088</v>
      </c>
      <c r="C14483" t="s">
        <v>7410</v>
      </c>
      <c r="D14483" t="s">
        <v>442</v>
      </c>
      <c r="F14483">
        <v>0</v>
      </c>
      <c r="H14483" t="s">
        <v>8581</v>
      </c>
      <c r="I14483">
        <v>365</v>
      </c>
      <c r="J14483" t="s">
        <v>450</v>
      </c>
      <c r="K14483" t="s">
        <v>446</v>
      </c>
      <c r="M14483">
        <v>0</v>
      </c>
    </row>
    <row r="14484" spans="1:13">
      <c r="A14484">
        <v>86343400</v>
      </c>
      <c r="B14484">
        <v>2007097</v>
      </c>
      <c r="C14484" t="s">
        <v>7411</v>
      </c>
      <c r="D14484" t="s">
        <v>442</v>
      </c>
      <c r="F14484">
        <v>0</v>
      </c>
      <c r="H14484" t="s">
        <v>8581</v>
      </c>
      <c r="I14484">
        <v>365</v>
      </c>
      <c r="J14484" t="s">
        <v>450</v>
      </c>
      <c r="K14484" t="s">
        <v>446</v>
      </c>
      <c r="M14484">
        <v>0</v>
      </c>
    </row>
    <row r="14485" spans="1:13">
      <c r="A14485">
        <v>86343500</v>
      </c>
      <c r="B14485">
        <v>2007092</v>
      </c>
      <c r="C14485" t="s">
        <v>7412</v>
      </c>
      <c r="D14485" t="s">
        <v>442</v>
      </c>
      <c r="F14485">
        <v>0</v>
      </c>
      <c r="H14485" t="s">
        <v>8581</v>
      </c>
      <c r="I14485">
        <v>365</v>
      </c>
      <c r="J14485" t="s">
        <v>450</v>
      </c>
      <c r="K14485" t="s">
        <v>446</v>
      </c>
      <c r="M14485">
        <v>0</v>
      </c>
    </row>
    <row r="14486" spans="1:13">
      <c r="A14486">
        <v>86343600</v>
      </c>
      <c r="B14486">
        <v>2007107</v>
      </c>
      <c r="C14486" t="s">
        <v>17804</v>
      </c>
      <c r="D14486" t="s">
        <v>442</v>
      </c>
      <c r="E14486" t="s">
        <v>441</v>
      </c>
      <c r="F14486">
        <v>0.01</v>
      </c>
      <c r="H14486" t="s">
        <v>8581</v>
      </c>
      <c r="I14486">
        <v>365</v>
      </c>
      <c r="J14486" t="s">
        <v>450</v>
      </c>
      <c r="K14486" t="s">
        <v>446</v>
      </c>
      <c r="M14486">
        <v>0</v>
      </c>
    </row>
    <row r="14487" spans="1:13">
      <c r="A14487">
        <v>86343700</v>
      </c>
      <c r="B14487">
        <v>2007103</v>
      </c>
      <c r="C14487" t="s">
        <v>7413</v>
      </c>
      <c r="D14487" t="s">
        <v>442</v>
      </c>
      <c r="F14487">
        <v>0</v>
      </c>
      <c r="H14487" t="s">
        <v>8581</v>
      </c>
      <c r="I14487">
        <v>365</v>
      </c>
      <c r="J14487" t="s">
        <v>450</v>
      </c>
      <c r="K14487" t="s">
        <v>446</v>
      </c>
      <c r="M14487">
        <v>0</v>
      </c>
    </row>
    <row r="14488" spans="1:13">
      <c r="A14488">
        <v>86343800</v>
      </c>
      <c r="B14488">
        <v>2007109</v>
      </c>
      <c r="C14488" t="s">
        <v>7414</v>
      </c>
      <c r="D14488" t="s">
        <v>442</v>
      </c>
      <c r="F14488">
        <v>0</v>
      </c>
      <c r="H14488" t="s">
        <v>8581</v>
      </c>
      <c r="I14488">
        <v>365</v>
      </c>
      <c r="J14488" t="s">
        <v>450</v>
      </c>
      <c r="K14488" t="s">
        <v>446</v>
      </c>
      <c r="M14488">
        <v>0</v>
      </c>
    </row>
    <row r="14489" spans="1:13">
      <c r="A14489">
        <v>86343900</v>
      </c>
      <c r="B14489">
        <v>2007111</v>
      </c>
      <c r="C14489" t="s">
        <v>7415</v>
      </c>
      <c r="D14489" t="s">
        <v>442</v>
      </c>
      <c r="F14489">
        <v>0</v>
      </c>
      <c r="H14489" t="s">
        <v>8581</v>
      </c>
      <c r="I14489">
        <v>365</v>
      </c>
      <c r="J14489" t="s">
        <v>450</v>
      </c>
      <c r="K14489" t="s">
        <v>446</v>
      </c>
      <c r="M14489">
        <v>0</v>
      </c>
    </row>
    <row r="14490" spans="1:13">
      <c r="A14490">
        <v>86344000</v>
      </c>
      <c r="B14490">
        <v>2007125</v>
      </c>
      <c r="C14490" t="s">
        <v>17235</v>
      </c>
      <c r="D14490" t="s">
        <v>442</v>
      </c>
      <c r="E14490" t="s">
        <v>441</v>
      </c>
      <c r="F14490">
        <v>0.01</v>
      </c>
      <c r="H14490" t="s">
        <v>8581</v>
      </c>
      <c r="I14490">
        <v>365</v>
      </c>
      <c r="J14490" t="s">
        <v>450</v>
      </c>
      <c r="K14490" t="s">
        <v>446</v>
      </c>
      <c r="M14490">
        <v>0</v>
      </c>
    </row>
    <row r="14491" spans="1:13">
      <c r="A14491">
        <v>86344100</v>
      </c>
      <c r="B14491">
        <v>2007144</v>
      </c>
      <c r="C14491" t="s">
        <v>7416</v>
      </c>
      <c r="D14491" t="s">
        <v>442</v>
      </c>
      <c r="F14491">
        <v>0</v>
      </c>
      <c r="H14491" t="s">
        <v>8581</v>
      </c>
      <c r="I14491">
        <v>365</v>
      </c>
      <c r="J14491" t="s">
        <v>450</v>
      </c>
      <c r="K14491" t="s">
        <v>446</v>
      </c>
      <c r="M14491">
        <v>0</v>
      </c>
    </row>
    <row r="14492" spans="1:13">
      <c r="A14492">
        <v>86344200</v>
      </c>
      <c r="B14492">
        <v>2007176</v>
      </c>
      <c r="C14492" t="s">
        <v>7417</v>
      </c>
      <c r="D14492" t="s">
        <v>442</v>
      </c>
      <c r="F14492">
        <v>0</v>
      </c>
      <c r="H14492" t="s">
        <v>8581</v>
      </c>
      <c r="I14492">
        <v>365</v>
      </c>
      <c r="J14492" t="s">
        <v>450</v>
      </c>
      <c r="K14492" t="s">
        <v>446</v>
      </c>
      <c r="M14492">
        <v>0</v>
      </c>
    </row>
    <row r="14493" spans="1:13">
      <c r="A14493">
        <v>86344300</v>
      </c>
      <c r="B14493">
        <v>2007175</v>
      </c>
      <c r="C14493" t="s">
        <v>7418</v>
      </c>
      <c r="D14493" t="s">
        <v>442</v>
      </c>
      <c r="E14493" t="s">
        <v>441</v>
      </c>
      <c r="F14493">
        <v>0.01</v>
      </c>
      <c r="H14493" t="s">
        <v>8581</v>
      </c>
      <c r="I14493">
        <v>365</v>
      </c>
      <c r="J14493" t="s">
        <v>450</v>
      </c>
      <c r="K14493" t="s">
        <v>446</v>
      </c>
      <c r="M14493">
        <v>0</v>
      </c>
    </row>
    <row r="14494" spans="1:13">
      <c r="A14494">
        <v>86344400</v>
      </c>
      <c r="B14494">
        <v>2007174</v>
      </c>
      <c r="C14494" t="s">
        <v>7419</v>
      </c>
      <c r="D14494" t="s">
        <v>442</v>
      </c>
      <c r="F14494">
        <v>0</v>
      </c>
      <c r="H14494" t="s">
        <v>8581</v>
      </c>
      <c r="I14494">
        <v>365</v>
      </c>
      <c r="J14494" t="s">
        <v>450</v>
      </c>
      <c r="K14494" t="s">
        <v>446</v>
      </c>
      <c r="M14494">
        <v>0</v>
      </c>
    </row>
    <row r="14495" spans="1:13">
      <c r="A14495">
        <v>86344500</v>
      </c>
      <c r="B14495">
        <v>2007173</v>
      </c>
      <c r="C14495" t="s">
        <v>7420</v>
      </c>
      <c r="D14495" t="s">
        <v>442</v>
      </c>
      <c r="F14495">
        <v>0</v>
      </c>
      <c r="H14495" t="s">
        <v>8581</v>
      </c>
      <c r="I14495">
        <v>365</v>
      </c>
      <c r="J14495" t="s">
        <v>450</v>
      </c>
      <c r="K14495" t="s">
        <v>446</v>
      </c>
      <c r="M14495">
        <v>0</v>
      </c>
    </row>
    <row r="14496" spans="1:13">
      <c r="A14496">
        <v>86344600</v>
      </c>
      <c r="B14496">
        <v>2007172</v>
      </c>
      <c r="C14496" t="s">
        <v>15735</v>
      </c>
      <c r="D14496" t="s">
        <v>442</v>
      </c>
      <c r="F14496">
        <v>0</v>
      </c>
      <c r="H14496" t="s">
        <v>8581</v>
      </c>
      <c r="I14496">
        <v>365</v>
      </c>
      <c r="J14496" t="s">
        <v>450</v>
      </c>
      <c r="M14496">
        <v>0</v>
      </c>
    </row>
    <row r="14497" spans="1:13">
      <c r="A14497">
        <v>86344700</v>
      </c>
      <c r="B14497">
        <v>2007171</v>
      </c>
      <c r="C14497" t="s">
        <v>7421</v>
      </c>
      <c r="D14497" t="s">
        <v>442</v>
      </c>
      <c r="F14497">
        <v>0</v>
      </c>
      <c r="H14497" t="s">
        <v>8581</v>
      </c>
      <c r="I14497">
        <v>365</v>
      </c>
      <c r="J14497" t="s">
        <v>450</v>
      </c>
      <c r="K14497" t="s">
        <v>446</v>
      </c>
      <c r="M14497">
        <v>0</v>
      </c>
    </row>
    <row r="14498" spans="1:13">
      <c r="A14498">
        <v>86344800</v>
      </c>
      <c r="B14498">
        <v>2007190</v>
      </c>
      <c r="C14498" t="s">
        <v>7422</v>
      </c>
      <c r="D14498" t="s">
        <v>442</v>
      </c>
      <c r="F14498">
        <v>0</v>
      </c>
      <c r="H14498" t="s">
        <v>8581</v>
      </c>
      <c r="I14498">
        <v>365</v>
      </c>
      <c r="J14498" t="s">
        <v>450</v>
      </c>
      <c r="K14498" t="s">
        <v>446</v>
      </c>
      <c r="M14498">
        <v>0</v>
      </c>
    </row>
    <row r="14499" spans="1:13">
      <c r="A14499">
        <v>86344900</v>
      </c>
      <c r="B14499">
        <v>2007169</v>
      </c>
      <c r="C14499" t="s">
        <v>7423</v>
      </c>
      <c r="D14499" t="s">
        <v>442</v>
      </c>
      <c r="F14499">
        <v>0</v>
      </c>
      <c r="H14499" t="s">
        <v>8581</v>
      </c>
      <c r="I14499">
        <v>365</v>
      </c>
      <c r="J14499" t="s">
        <v>450</v>
      </c>
      <c r="K14499" t="s">
        <v>446</v>
      </c>
      <c r="M14499">
        <v>0</v>
      </c>
    </row>
    <row r="14500" spans="1:13">
      <c r="A14500">
        <v>86345000</v>
      </c>
      <c r="B14500">
        <v>2007168</v>
      </c>
      <c r="C14500" t="s">
        <v>7424</v>
      </c>
      <c r="D14500" t="s">
        <v>442</v>
      </c>
      <c r="F14500">
        <v>0</v>
      </c>
      <c r="H14500" t="s">
        <v>8581</v>
      </c>
      <c r="I14500">
        <v>365</v>
      </c>
      <c r="J14500" t="s">
        <v>450</v>
      </c>
      <c r="K14500" t="s">
        <v>446</v>
      </c>
      <c r="M14500">
        <v>0</v>
      </c>
    </row>
    <row r="14501" spans="1:13">
      <c r="A14501">
        <v>86345100</v>
      </c>
      <c r="B14501">
        <v>2007185</v>
      </c>
      <c r="C14501" t="s">
        <v>7425</v>
      </c>
      <c r="D14501" t="s">
        <v>442</v>
      </c>
      <c r="F14501">
        <v>0</v>
      </c>
      <c r="H14501" t="s">
        <v>8581</v>
      </c>
      <c r="I14501">
        <v>365</v>
      </c>
      <c r="J14501" t="s">
        <v>450</v>
      </c>
      <c r="K14501" t="s">
        <v>446</v>
      </c>
      <c r="M14501">
        <v>0</v>
      </c>
    </row>
    <row r="14502" spans="1:13">
      <c r="A14502">
        <v>86345200</v>
      </c>
      <c r="B14502">
        <v>2007170</v>
      </c>
      <c r="C14502" t="s">
        <v>7426</v>
      </c>
      <c r="D14502" t="s">
        <v>442</v>
      </c>
      <c r="F14502">
        <v>0</v>
      </c>
      <c r="H14502" t="s">
        <v>8581</v>
      </c>
      <c r="I14502">
        <v>365</v>
      </c>
      <c r="J14502" t="s">
        <v>450</v>
      </c>
      <c r="K14502" t="s">
        <v>446</v>
      </c>
      <c r="M14502">
        <v>0</v>
      </c>
    </row>
    <row r="14503" spans="1:13">
      <c r="A14503">
        <v>86345300</v>
      </c>
      <c r="B14503">
        <v>2007203</v>
      </c>
      <c r="C14503" t="s">
        <v>7427</v>
      </c>
      <c r="D14503" t="s">
        <v>442</v>
      </c>
      <c r="E14503" t="s">
        <v>441</v>
      </c>
      <c r="F14503">
        <v>0.01</v>
      </c>
      <c r="H14503" t="s">
        <v>8581</v>
      </c>
      <c r="I14503">
        <v>365</v>
      </c>
      <c r="J14503" t="s">
        <v>450</v>
      </c>
      <c r="K14503" t="s">
        <v>446</v>
      </c>
      <c r="M14503">
        <v>0</v>
      </c>
    </row>
    <row r="14504" spans="1:13">
      <c r="A14504">
        <v>86345400</v>
      </c>
      <c r="B14504">
        <v>2007202</v>
      </c>
      <c r="C14504" t="s">
        <v>7428</v>
      </c>
      <c r="D14504" t="s">
        <v>442</v>
      </c>
      <c r="F14504">
        <v>0</v>
      </c>
      <c r="H14504" t="s">
        <v>8581</v>
      </c>
      <c r="I14504">
        <v>365</v>
      </c>
      <c r="J14504" t="s">
        <v>450</v>
      </c>
      <c r="K14504" t="s">
        <v>446</v>
      </c>
      <c r="M14504">
        <v>0</v>
      </c>
    </row>
    <row r="14505" spans="1:13">
      <c r="A14505">
        <v>86345500</v>
      </c>
      <c r="B14505">
        <v>2007201</v>
      </c>
      <c r="C14505" t="s">
        <v>7429</v>
      </c>
      <c r="D14505" t="s">
        <v>442</v>
      </c>
      <c r="F14505">
        <v>0</v>
      </c>
      <c r="H14505" t="s">
        <v>8581</v>
      </c>
      <c r="I14505">
        <v>365</v>
      </c>
      <c r="J14505" t="s">
        <v>450</v>
      </c>
      <c r="K14505" t="s">
        <v>446</v>
      </c>
      <c r="M14505">
        <v>0</v>
      </c>
    </row>
    <row r="14506" spans="1:13">
      <c r="A14506">
        <v>86345600</v>
      </c>
      <c r="B14506">
        <v>2007205</v>
      </c>
      <c r="C14506" t="s">
        <v>7430</v>
      </c>
      <c r="D14506" t="s">
        <v>442</v>
      </c>
      <c r="F14506">
        <v>0</v>
      </c>
      <c r="H14506" t="s">
        <v>8581</v>
      </c>
      <c r="I14506">
        <v>365</v>
      </c>
      <c r="J14506" t="s">
        <v>450</v>
      </c>
      <c r="K14506" t="s">
        <v>446</v>
      </c>
      <c r="M14506">
        <v>0</v>
      </c>
    </row>
    <row r="14507" spans="1:13">
      <c r="A14507">
        <v>86345700</v>
      </c>
      <c r="B14507">
        <v>2007227</v>
      </c>
      <c r="C14507" t="s">
        <v>7431</v>
      </c>
      <c r="D14507" t="s">
        <v>442</v>
      </c>
      <c r="F14507">
        <v>0</v>
      </c>
      <c r="H14507" t="s">
        <v>8581</v>
      </c>
      <c r="I14507">
        <v>365</v>
      </c>
      <c r="J14507" t="s">
        <v>450</v>
      </c>
      <c r="K14507" t="s">
        <v>446</v>
      </c>
      <c r="M14507">
        <v>0</v>
      </c>
    </row>
    <row r="14508" spans="1:13">
      <c r="A14508">
        <v>86345800</v>
      </c>
      <c r="B14508">
        <v>2007226</v>
      </c>
      <c r="C14508" t="s">
        <v>7432</v>
      </c>
      <c r="D14508" t="s">
        <v>442</v>
      </c>
      <c r="E14508" t="s">
        <v>441</v>
      </c>
      <c r="F14508">
        <v>0.01</v>
      </c>
      <c r="H14508" t="s">
        <v>8581</v>
      </c>
      <c r="I14508">
        <v>365</v>
      </c>
      <c r="J14508" t="s">
        <v>450</v>
      </c>
      <c r="K14508" t="s">
        <v>446</v>
      </c>
      <c r="M14508">
        <v>0</v>
      </c>
    </row>
    <row r="14509" spans="1:13">
      <c r="A14509">
        <v>86345900</v>
      </c>
      <c r="B14509">
        <v>2007225</v>
      </c>
      <c r="C14509" t="s">
        <v>7433</v>
      </c>
      <c r="D14509" t="s">
        <v>442</v>
      </c>
      <c r="F14509">
        <v>0</v>
      </c>
      <c r="H14509" t="s">
        <v>8581</v>
      </c>
      <c r="I14509">
        <v>365</v>
      </c>
      <c r="J14509" t="s">
        <v>450</v>
      </c>
      <c r="K14509" t="s">
        <v>446</v>
      </c>
      <c r="M14509">
        <v>0</v>
      </c>
    </row>
    <row r="14510" spans="1:13">
      <c r="A14510">
        <v>86346000</v>
      </c>
      <c r="B14510">
        <v>2007224</v>
      </c>
      <c r="C14510" t="s">
        <v>7434</v>
      </c>
      <c r="D14510" t="s">
        <v>442</v>
      </c>
      <c r="F14510">
        <v>0</v>
      </c>
      <c r="H14510" t="s">
        <v>8581</v>
      </c>
      <c r="I14510">
        <v>365</v>
      </c>
      <c r="J14510" t="s">
        <v>450</v>
      </c>
      <c r="K14510" t="s">
        <v>446</v>
      </c>
      <c r="M14510">
        <v>0</v>
      </c>
    </row>
    <row r="14511" spans="1:13">
      <c r="A14511">
        <v>86346100</v>
      </c>
      <c r="B14511">
        <v>2007241</v>
      </c>
      <c r="C14511" t="s">
        <v>7435</v>
      </c>
      <c r="D14511" t="s">
        <v>442</v>
      </c>
      <c r="F14511">
        <v>0</v>
      </c>
      <c r="H14511" t="s">
        <v>8581</v>
      </c>
      <c r="I14511">
        <v>365</v>
      </c>
      <c r="J14511" t="s">
        <v>450</v>
      </c>
      <c r="K14511" t="s">
        <v>446</v>
      </c>
      <c r="M14511">
        <v>0</v>
      </c>
    </row>
    <row r="14512" spans="1:13">
      <c r="A14512">
        <v>86346200</v>
      </c>
      <c r="B14512">
        <v>2007240</v>
      </c>
      <c r="C14512" t="s">
        <v>7436</v>
      </c>
      <c r="D14512" t="s">
        <v>442</v>
      </c>
      <c r="F14512">
        <v>0</v>
      </c>
      <c r="H14512" t="s">
        <v>8581</v>
      </c>
      <c r="I14512">
        <v>365</v>
      </c>
      <c r="J14512" t="s">
        <v>450</v>
      </c>
      <c r="K14512" t="s">
        <v>446</v>
      </c>
      <c r="M14512">
        <v>0</v>
      </c>
    </row>
    <row r="14513" spans="1:13">
      <c r="A14513">
        <v>86346300</v>
      </c>
      <c r="B14513">
        <v>2007229</v>
      </c>
      <c r="C14513" t="s">
        <v>7437</v>
      </c>
      <c r="D14513" t="s">
        <v>442</v>
      </c>
      <c r="F14513">
        <v>0</v>
      </c>
      <c r="H14513" t="s">
        <v>8581</v>
      </c>
      <c r="I14513">
        <v>365</v>
      </c>
      <c r="J14513" t="s">
        <v>450</v>
      </c>
      <c r="K14513" t="s">
        <v>446</v>
      </c>
      <c r="M14513">
        <v>0</v>
      </c>
    </row>
    <row r="14514" spans="1:13">
      <c r="A14514">
        <v>86346400</v>
      </c>
      <c r="B14514">
        <v>2007260</v>
      </c>
      <c r="C14514" t="s">
        <v>7438</v>
      </c>
      <c r="D14514" t="s">
        <v>442</v>
      </c>
      <c r="F14514">
        <v>0</v>
      </c>
      <c r="H14514" t="s">
        <v>8581</v>
      </c>
      <c r="I14514">
        <v>365</v>
      </c>
      <c r="J14514" t="s">
        <v>450</v>
      </c>
      <c r="K14514" t="s">
        <v>446</v>
      </c>
      <c r="M14514">
        <v>0</v>
      </c>
    </row>
    <row r="14515" spans="1:13">
      <c r="A14515">
        <v>86346500</v>
      </c>
      <c r="B14515">
        <v>2007251</v>
      </c>
      <c r="C14515" t="s">
        <v>14658</v>
      </c>
      <c r="D14515" t="s">
        <v>442</v>
      </c>
      <c r="F14515">
        <v>0</v>
      </c>
      <c r="H14515" t="s">
        <v>13782</v>
      </c>
      <c r="I14515">
        <v>365</v>
      </c>
      <c r="J14515" t="s">
        <v>450</v>
      </c>
      <c r="K14515" t="s">
        <v>446</v>
      </c>
      <c r="M14515">
        <v>0</v>
      </c>
    </row>
    <row r="14516" spans="1:13">
      <c r="A14516">
        <v>86346600</v>
      </c>
      <c r="B14516">
        <v>2007250</v>
      </c>
      <c r="C14516" t="s">
        <v>7439</v>
      </c>
      <c r="D14516" t="s">
        <v>442</v>
      </c>
      <c r="F14516">
        <v>0</v>
      </c>
      <c r="H14516" t="s">
        <v>8581</v>
      </c>
      <c r="I14516">
        <v>365</v>
      </c>
      <c r="J14516" t="s">
        <v>450</v>
      </c>
      <c r="K14516" t="s">
        <v>446</v>
      </c>
      <c r="M14516">
        <v>0</v>
      </c>
    </row>
    <row r="14517" spans="1:13">
      <c r="A14517">
        <v>86346700</v>
      </c>
      <c r="B14517">
        <v>2007280</v>
      </c>
      <c r="C14517" t="s">
        <v>7440</v>
      </c>
      <c r="D14517" t="s">
        <v>442</v>
      </c>
      <c r="F14517">
        <v>0</v>
      </c>
      <c r="H14517" t="s">
        <v>8581</v>
      </c>
      <c r="I14517">
        <v>365</v>
      </c>
      <c r="J14517" t="s">
        <v>450</v>
      </c>
      <c r="K14517" t="s">
        <v>446</v>
      </c>
      <c r="M14517">
        <v>0</v>
      </c>
    </row>
    <row r="14518" spans="1:13">
      <c r="A14518">
        <v>86346800</v>
      </c>
      <c r="B14518">
        <v>2007292</v>
      </c>
      <c r="C14518" t="s">
        <v>7441</v>
      </c>
      <c r="D14518" t="s">
        <v>442</v>
      </c>
      <c r="F14518">
        <v>0</v>
      </c>
      <c r="I14518">
        <v>365</v>
      </c>
      <c r="J14518" t="s">
        <v>450</v>
      </c>
      <c r="K14518" t="s">
        <v>446</v>
      </c>
      <c r="M14518">
        <v>2611</v>
      </c>
    </row>
    <row r="14519" spans="1:13">
      <c r="A14519">
        <v>86346900</v>
      </c>
      <c r="B14519">
        <v>2007332</v>
      </c>
      <c r="C14519" t="s">
        <v>7442</v>
      </c>
      <c r="D14519" t="s">
        <v>442</v>
      </c>
      <c r="F14519">
        <v>0</v>
      </c>
      <c r="H14519" t="s">
        <v>8581</v>
      </c>
      <c r="I14519">
        <v>365</v>
      </c>
      <c r="J14519" t="s">
        <v>450</v>
      </c>
      <c r="K14519" t="s">
        <v>446</v>
      </c>
      <c r="M14519">
        <v>0</v>
      </c>
    </row>
    <row r="14520" spans="1:13">
      <c r="A14520">
        <v>86347000</v>
      </c>
      <c r="B14520">
        <v>2007333</v>
      </c>
      <c r="C14520" t="s">
        <v>7443</v>
      </c>
      <c r="D14520" t="s">
        <v>442</v>
      </c>
      <c r="F14520">
        <v>0</v>
      </c>
      <c r="H14520" t="s">
        <v>8581</v>
      </c>
      <c r="I14520">
        <v>365</v>
      </c>
      <c r="J14520" t="s">
        <v>450</v>
      </c>
      <c r="K14520" t="s">
        <v>446</v>
      </c>
      <c r="M14520">
        <v>0</v>
      </c>
    </row>
    <row r="14521" spans="1:13">
      <c r="A14521">
        <v>86347100</v>
      </c>
      <c r="B14521">
        <v>2007348</v>
      </c>
      <c r="C14521" t="s">
        <v>7444</v>
      </c>
      <c r="D14521" t="s">
        <v>442</v>
      </c>
      <c r="F14521">
        <v>0</v>
      </c>
      <c r="H14521" t="s">
        <v>8581</v>
      </c>
      <c r="I14521">
        <v>365</v>
      </c>
      <c r="J14521" t="s">
        <v>450</v>
      </c>
      <c r="K14521" t="s">
        <v>446</v>
      </c>
      <c r="M14521">
        <v>0</v>
      </c>
    </row>
    <row r="14522" spans="1:13">
      <c r="A14522">
        <v>86347200</v>
      </c>
      <c r="B14522">
        <v>2007347</v>
      </c>
      <c r="C14522" t="s">
        <v>7445</v>
      </c>
      <c r="D14522" t="s">
        <v>442</v>
      </c>
      <c r="F14522">
        <v>0</v>
      </c>
      <c r="H14522" t="s">
        <v>8581</v>
      </c>
      <c r="I14522">
        <v>365</v>
      </c>
      <c r="J14522" t="s">
        <v>450</v>
      </c>
      <c r="K14522" t="s">
        <v>446</v>
      </c>
      <c r="M14522">
        <v>0</v>
      </c>
    </row>
    <row r="14523" spans="1:13">
      <c r="A14523">
        <v>86347300</v>
      </c>
      <c r="B14523">
        <v>2007373</v>
      </c>
      <c r="C14523" t="s">
        <v>7446</v>
      </c>
      <c r="D14523" t="s">
        <v>442</v>
      </c>
      <c r="F14523">
        <v>0</v>
      </c>
      <c r="H14523" t="s">
        <v>8581</v>
      </c>
      <c r="I14523">
        <v>365</v>
      </c>
      <c r="J14523" t="s">
        <v>450</v>
      </c>
      <c r="K14523" t="s">
        <v>446</v>
      </c>
      <c r="M14523">
        <v>0</v>
      </c>
    </row>
    <row r="14524" spans="1:13">
      <c r="A14524">
        <v>86347400</v>
      </c>
      <c r="B14524">
        <v>2007367</v>
      </c>
      <c r="C14524" t="s">
        <v>7447</v>
      </c>
      <c r="D14524" t="s">
        <v>442</v>
      </c>
      <c r="F14524">
        <v>0</v>
      </c>
      <c r="H14524" t="s">
        <v>8581</v>
      </c>
      <c r="I14524">
        <v>365</v>
      </c>
      <c r="J14524" t="s">
        <v>450</v>
      </c>
      <c r="K14524" t="s">
        <v>446</v>
      </c>
      <c r="M14524">
        <v>0</v>
      </c>
    </row>
    <row r="14525" spans="1:13">
      <c r="A14525">
        <v>86347500</v>
      </c>
      <c r="B14525">
        <v>2007366</v>
      </c>
      <c r="C14525" t="s">
        <v>7448</v>
      </c>
      <c r="D14525" t="s">
        <v>442</v>
      </c>
      <c r="F14525">
        <v>0</v>
      </c>
      <c r="H14525" t="s">
        <v>8581</v>
      </c>
      <c r="I14525">
        <v>365</v>
      </c>
      <c r="J14525" t="s">
        <v>450</v>
      </c>
      <c r="K14525" t="s">
        <v>446</v>
      </c>
      <c r="M14525">
        <v>0</v>
      </c>
    </row>
    <row r="14526" spans="1:13">
      <c r="A14526">
        <v>86347600</v>
      </c>
      <c r="B14526">
        <v>2007365</v>
      </c>
      <c r="C14526" t="s">
        <v>7449</v>
      </c>
      <c r="D14526" t="s">
        <v>442</v>
      </c>
      <c r="F14526">
        <v>0</v>
      </c>
      <c r="H14526" t="s">
        <v>8581</v>
      </c>
      <c r="I14526">
        <v>365</v>
      </c>
      <c r="J14526" t="s">
        <v>450</v>
      </c>
      <c r="K14526" t="s">
        <v>446</v>
      </c>
      <c r="M14526">
        <v>0</v>
      </c>
    </row>
    <row r="14527" spans="1:13">
      <c r="A14527">
        <v>86347700</v>
      </c>
      <c r="B14527">
        <v>2007382</v>
      </c>
      <c r="C14527" t="s">
        <v>7450</v>
      </c>
      <c r="D14527" t="s">
        <v>442</v>
      </c>
      <c r="F14527">
        <v>0</v>
      </c>
      <c r="H14527" t="s">
        <v>8581</v>
      </c>
      <c r="I14527">
        <v>365</v>
      </c>
      <c r="J14527" t="s">
        <v>450</v>
      </c>
      <c r="K14527" t="s">
        <v>446</v>
      </c>
      <c r="M14527">
        <v>0</v>
      </c>
    </row>
    <row r="14528" spans="1:13">
      <c r="A14528">
        <v>86347800</v>
      </c>
      <c r="B14528">
        <v>2007391</v>
      </c>
      <c r="C14528" t="s">
        <v>7451</v>
      </c>
      <c r="D14528" t="s">
        <v>442</v>
      </c>
      <c r="F14528">
        <v>0</v>
      </c>
      <c r="H14528" t="s">
        <v>8581</v>
      </c>
      <c r="I14528">
        <v>365</v>
      </c>
      <c r="J14528" t="s">
        <v>450</v>
      </c>
      <c r="K14528" t="s">
        <v>446</v>
      </c>
      <c r="M14528">
        <v>0</v>
      </c>
    </row>
    <row r="14529" spans="1:13">
      <c r="A14529">
        <v>86347900</v>
      </c>
      <c r="B14529">
        <v>2007390</v>
      </c>
      <c r="C14529" t="s">
        <v>7452</v>
      </c>
      <c r="D14529" t="s">
        <v>442</v>
      </c>
      <c r="E14529" t="s">
        <v>441</v>
      </c>
      <c r="F14529">
        <v>0.01</v>
      </c>
      <c r="H14529" t="s">
        <v>8581</v>
      </c>
      <c r="I14529">
        <v>365</v>
      </c>
      <c r="J14529" t="s">
        <v>450</v>
      </c>
      <c r="K14529" t="s">
        <v>446</v>
      </c>
      <c r="M14529">
        <v>3805</v>
      </c>
    </row>
    <row r="14530" spans="1:13">
      <c r="A14530">
        <v>86348000</v>
      </c>
      <c r="B14530">
        <v>2007379</v>
      </c>
      <c r="C14530" t="s">
        <v>7453</v>
      </c>
      <c r="D14530" t="s">
        <v>442</v>
      </c>
      <c r="F14530">
        <v>0</v>
      </c>
      <c r="H14530" t="s">
        <v>8581</v>
      </c>
      <c r="I14530">
        <v>365</v>
      </c>
      <c r="J14530" t="s">
        <v>450</v>
      </c>
      <c r="K14530" t="s">
        <v>446</v>
      </c>
      <c r="M14530">
        <v>3805</v>
      </c>
    </row>
    <row r="14531" spans="1:13">
      <c r="A14531">
        <v>86348100</v>
      </c>
      <c r="B14531">
        <v>2007695</v>
      </c>
      <c r="C14531" t="s">
        <v>7454</v>
      </c>
      <c r="D14531" t="s">
        <v>442</v>
      </c>
      <c r="E14531" t="s">
        <v>441</v>
      </c>
      <c r="F14531">
        <v>1E-3</v>
      </c>
      <c r="H14531" t="s">
        <v>8581</v>
      </c>
      <c r="I14531">
        <v>360</v>
      </c>
      <c r="J14531" t="s">
        <v>450</v>
      </c>
      <c r="K14531" t="s">
        <v>446</v>
      </c>
      <c r="M14531">
        <v>0</v>
      </c>
    </row>
    <row r="14532" spans="1:13">
      <c r="A14532">
        <v>86348200</v>
      </c>
      <c r="B14532">
        <v>2007696</v>
      </c>
      <c r="C14532" t="s">
        <v>7455</v>
      </c>
      <c r="D14532" t="s">
        <v>442</v>
      </c>
      <c r="E14532" t="s">
        <v>441</v>
      </c>
      <c r="F14532">
        <v>1E-3</v>
      </c>
      <c r="H14532" t="s">
        <v>8581</v>
      </c>
      <c r="I14532">
        <v>360</v>
      </c>
      <c r="J14532" t="s">
        <v>450</v>
      </c>
      <c r="K14532" t="s">
        <v>446</v>
      </c>
      <c r="M14532">
        <v>0</v>
      </c>
    </row>
    <row r="14533" spans="1:13">
      <c r="A14533">
        <v>86348300</v>
      </c>
      <c r="B14533">
        <v>2007697</v>
      </c>
      <c r="C14533" t="s">
        <v>7456</v>
      </c>
      <c r="D14533" t="s">
        <v>442</v>
      </c>
      <c r="E14533" t="s">
        <v>441</v>
      </c>
      <c r="F14533">
        <v>1E-3</v>
      </c>
      <c r="H14533" t="s">
        <v>8581</v>
      </c>
      <c r="I14533">
        <v>360</v>
      </c>
      <c r="J14533" t="s">
        <v>450</v>
      </c>
      <c r="K14533" t="s">
        <v>446</v>
      </c>
      <c r="M14533">
        <v>0</v>
      </c>
    </row>
    <row r="14534" spans="1:13">
      <c r="A14534">
        <v>86348400</v>
      </c>
      <c r="B14534">
        <v>2007698</v>
      </c>
      <c r="C14534" t="s">
        <v>7457</v>
      </c>
      <c r="D14534" t="s">
        <v>442</v>
      </c>
      <c r="F14534">
        <v>0</v>
      </c>
      <c r="H14534" t="s">
        <v>8581</v>
      </c>
      <c r="I14534">
        <v>360</v>
      </c>
      <c r="J14534" t="s">
        <v>450</v>
      </c>
      <c r="K14534" t="s">
        <v>446</v>
      </c>
      <c r="M14534">
        <v>0</v>
      </c>
    </row>
    <row r="14535" spans="1:13">
      <c r="A14535">
        <v>86348500</v>
      </c>
      <c r="B14535">
        <v>2007699</v>
      </c>
      <c r="C14535" t="s">
        <v>7458</v>
      </c>
      <c r="D14535" t="s">
        <v>442</v>
      </c>
      <c r="E14535" t="s">
        <v>441</v>
      </c>
      <c r="F14535">
        <v>1E-3</v>
      </c>
      <c r="H14535" t="s">
        <v>8581</v>
      </c>
      <c r="I14535">
        <v>360</v>
      </c>
      <c r="J14535" t="s">
        <v>450</v>
      </c>
      <c r="K14535" t="s">
        <v>446</v>
      </c>
      <c r="M14535">
        <v>0</v>
      </c>
    </row>
    <row r="14536" spans="1:13">
      <c r="A14536">
        <v>86348600</v>
      </c>
      <c r="B14536">
        <v>2007700</v>
      </c>
      <c r="C14536" t="s">
        <v>7459</v>
      </c>
      <c r="D14536" t="s">
        <v>442</v>
      </c>
      <c r="E14536" t="s">
        <v>441</v>
      </c>
      <c r="F14536">
        <v>1E-3</v>
      </c>
      <c r="H14536" t="s">
        <v>8581</v>
      </c>
      <c r="I14536">
        <v>360</v>
      </c>
      <c r="J14536" t="s">
        <v>450</v>
      </c>
      <c r="K14536" t="s">
        <v>446</v>
      </c>
      <c r="M14536">
        <v>0</v>
      </c>
    </row>
    <row r="14537" spans="1:13">
      <c r="A14537">
        <v>86348700</v>
      </c>
      <c r="B14537">
        <v>2007703</v>
      </c>
      <c r="C14537" t="s">
        <v>7460</v>
      </c>
      <c r="D14537" t="s">
        <v>442</v>
      </c>
      <c r="F14537">
        <v>0</v>
      </c>
      <c r="H14537" t="s">
        <v>8581</v>
      </c>
      <c r="I14537">
        <v>360</v>
      </c>
      <c r="J14537" t="s">
        <v>450</v>
      </c>
      <c r="K14537" t="s">
        <v>446</v>
      </c>
      <c r="M14537">
        <v>0</v>
      </c>
    </row>
    <row r="14538" spans="1:13">
      <c r="A14538">
        <v>86348800</v>
      </c>
      <c r="B14538">
        <v>2007704</v>
      </c>
      <c r="C14538" t="s">
        <v>7461</v>
      </c>
      <c r="D14538" t="s">
        <v>442</v>
      </c>
      <c r="E14538" t="s">
        <v>441</v>
      </c>
      <c r="F14538">
        <v>1E-3</v>
      </c>
      <c r="H14538" t="s">
        <v>8581</v>
      </c>
      <c r="I14538">
        <v>360</v>
      </c>
      <c r="J14538" t="s">
        <v>450</v>
      </c>
      <c r="K14538" t="s">
        <v>446</v>
      </c>
      <c r="M14538">
        <v>0</v>
      </c>
    </row>
    <row r="14539" spans="1:13">
      <c r="A14539">
        <v>86348900</v>
      </c>
      <c r="B14539">
        <v>2007282</v>
      </c>
      <c r="C14539" t="s">
        <v>7462</v>
      </c>
      <c r="D14539" t="s">
        <v>442</v>
      </c>
      <c r="E14539" t="s">
        <v>441</v>
      </c>
      <c r="F14539">
        <v>0.01</v>
      </c>
      <c r="H14539" t="s">
        <v>8581</v>
      </c>
      <c r="I14539">
        <v>365</v>
      </c>
      <c r="J14539" t="s">
        <v>450</v>
      </c>
      <c r="K14539" t="s">
        <v>446</v>
      </c>
      <c r="M14539">
        <v>0</v>
      </c>
    </row>
    <row r="14540" spans="1:13">
      <c r="A14540">
        <v>86349000</v>
      </c>
      <c r="B14540">
        <v>2007403</v>
      </c>
      <c r="C14540" t="s">
        <v>7463</v>
      </c>
      <c r="D14540" t="s">
        <v>442</v>
      </c>
      <c r="F14540">
        <v>0</v>
      </c>
      <c r="H14540" t="s">
        <v>8581</v>
      </c>
      <c r="I14540">
        <v>365</v>
      </c>
      <c r="J14540" t="s">
        <v>450</v>
      </c>
      <c r="K14540" t="s">
        <v>446</v>
      </c>
      <c r="M14540">
        <v>0</v>
      </c>
    </row>
    <row r="14541" spans="1:13">
      <c r="A14541">
        <v>86349100</v>
      </c>
      <c r="B14541">
        <v>2007705</v>
      </c>
      <c r="C14541" t="s">
        <v>7464</v>
      </c>
      <c r="D14541" t="s">
        <v>442</v>
      </c>
      <c r="F14541">
        <v>0</v>
      </c>
      <c r="H14541" t="s">
        <v>8581</v>
      </c>
      <c r="I14541">
        <v>360</v>
      </c>
      <c r="J14541" t="s">
        <v>450</v>
      </c>
      <c r="K14541" t="s">
        <v>446</v>
      </c>
      <c r="M14541">
        <v>0</v>
      </c>
    </row>
    <row r="14542" spans="1:13">
      <c r="A14542">
        <v>86349200</v>
      </c>
      <c r="B14542">
        <v>2007716</v>
      </c>
      <c r="C14542" t="s">
        <v>7465</v>
      </c>
      <c r="D14542" t="s">
        <v>442</v>
      </c>
      <c r="E14542" t="s">
        <v>441</v>
      </c>
      <c r="F14542">
        <v>1E-3</v>
      </c>
      <c r="H14542" t="s">
        <v>8581</v>
      </c>
      <c r="I14542">
        <v>360</v>
      </c>
      <c r="J14542" t="s">
        <v>450</v>
      </c>
      <c r="K14542" t="s">
        <v>446</v>
      </c>
      <c r="M14542">
        <v>0</v>
      </c>
    </row>
    <row r="14543" spans="1:13">
      <c r="A14543">
        <v>86349300</v>
      </c>
      <c r="B14543">
        <v>2007715</v>
      </c>
      <c r="C14543" t="s">
        <v>7466</v>
      </c>
      <c r="D14543" t="s">
        <v>442</v>
      </c>
      <c r="E14543" t="s">
        <v>441</v>
      </c>
      <c r="F14543">
        <v>1E-3</v>
      </c>
      <c r="H14543" t="s">
        <v>8581</v>
      </c>
      <c r="I14543">
        <v>360</v>
      </c>
      <c r="J14543" t="s">
        <v>450</v>
      </c>
      <c r="K14543" t="s">
        <v>446</v>
      </c>
      <c r="M14543">
        <v>0</v>
      </c>
    </row>
    <row r="14544" spans="1:13">
      <c r="A14544">
        <v>86349400</v>
      </c>
      <c r="B14544">
        <v>2007729</v>
      </c>
      <c r="C14544" t="s">
        <v>7467</v>
      </c>
      <c r="D14544" t="s">
        <v>442</v>
      </c>
      <c r="E14544" t="s">
        <v>441</v>
      </c>
      <c r="F14544">
        <v>1E-3</v>
      </c>
      <c r="H14544" t="s">
        <v>8581</v>
      </c>
      <c r="I14544">
        <v>360</v>
      </c>
      <c r="J14544" t="s">
        <v>450</v>
      </c>
      <c r="K14544" t="s">
        <v>446</v>
      </c>
      <c r="M14544">
        <v>0</v>
      </c>
    </row>
    <row r="14545" spans="1:13">
      <c r="A14545">
        <v>86349600</v>
      </c>
      <c r="B14545">
        <v>2007692</v>
      </c>
      <c r="C14545" t="s">
        <v>7468</v>
      </c>
      <c r="D14545" t="s">
        <v>442</v>
      </c>
      <c r="F14545">
        <v>0</v>
      </c>
      <c r="H14545" t="s">
        <v>8581</v>
      </c>
      <c r="I14545">
        <v>360</v>
      </c>
      <c r="J14545" t="s">
        <v>450</v>
      </c>
      <c r="K14545" t="s">
        <v>446</v>
      </c>
      <c r="M14545">
        <v>0</v>
      </c>
    </row>
    <row r="14546" spans="1:13">
      <c r="A14546">
        <v>86349700</v>
      </c>
      <c r="B14546">
        <v>2007747</v>
      </c>
      <c r="C14546" t="s">
        <v>7469</v>
      </c>
      <c r="D14546" t="s">
        <v>442</v>
      </c>
      <c r="F14546">
        <v>0</v>
      </c>
      <c r="H14546" t="s">
        <v>8581</v>
      </c>
      <c r="I14546">
        <v>360</v>
      </c>
      <c r="J14546" t="s">
        <v>450</v>
      </c>
      <c r="K14546" t="s">
        <v>446</v>
      </c>
      <c r="M14546">
        <v>0</v>
      </c>
    </row>
    <row r="14547" spans="1:13">
      <c r="A14547">
        <v>86349800</v>
      </c>
      <c r="B14547">
        <v>2007874</v>
      </c>
      <c r="C14547" t="s">
        <v>7470</v>
      </c>
      <c r="D14547" t="s">
        <v>442</v>
      </c>
      <c r="E14547" t="s">
        <v>441</v>
      </c>
      <c r="F14547">
        <v>1E-3</v>
      </c>
      <c r="H14547" t="s">
        <v>8581</v>
      </c>
      <c r="I14547">
        <v>360</v>
      </c>
      <c r="J14547" t="s">
        <v>450</v>
      </c>
      <c r="K14547" t="s">
        <v>446</v>
      </c>
      <c r="M14547">
        <v>0</v>
      </c>
    </row>
    <row r="14548" spans="1:13">
      <c r="A14548">
        <v>86350000</v>
      </c>
      <c r="B14548">
        <v>2007409</v>
      </c>
      <c r="C14548" t="s">
        <v>7471</v>
      </c>
      <c r="D14548" t="s">
        <v>442</v>
      </c>
      <c r="F14548">
        <v>0</v>
      </c>
      <c r="H14548" t="s">
        <v>8581</v>
      </c>
      <c r="I14548">
        <v>365</v>
      </c>
      <c r="J14548" t="s">
        <v>450</v>
      </c>
      <c r="K14548" t="s">
        <v>446</v>
      </c>
      <c r="M14548">
        <v>0</v>
      </c>
    </row>
    <row r="14549" spans="1:13">
      <c r="A14549">
        <v>86350100</v>
      </c>
      <c r="B14549">
        <v>2007861</v>
      </c>
      <c r="C14549" t="s">
        <v>7472</v>
      </c>
      <c r="D14549" t="s">
        <v>442</v>
      </c>
      <c r="E14549" t="s">
        <v>441</v>
      </c>
      <c r="F14549">
        <v>1E-3</v>
      </c>
      <c r="H14549" t="s">
        <v>8581</v>
      </c>
      <c r="I14549">
        <v>360</v>
      </c>
      <c r="J14549" t="s">
        <v>450</v>
      </c>
      <c r="K14549" t="s">
        <v>446</v>
      </c>
      <c r="M14549">
        <v>0</v>
      </c>
    </row>
    <row r="14550" spans="1:13">
      <c r="A14550">
        <v>86350200</v>
      </c>
      <c r="B14550">
        <v>2007867</v>
      </c>
      <c r="C14550" t="s">
        <v>7473</v>
      </c>
      <c r="D14550" t="s">
        <v>442</v>
      </c>
      <c r="F14550">
        <v>0</v>
      </c>
      <c r="H14550" t="s">
        <v>8581</v>
      </c>
      <c r="I14550">
        <v>360</v>
      </c>
      <c r="J14550" t="s">
        <v>450</v>
      </c>
      <c r="K14550" t="s">
        <v>446</v>
      </c>
      <c r="M14550">
        <v>0</v>
      </c>
    </row>
    <row r="14551" spans="1:13">
      <c r="A14551">
        <v>86350300</v>
      </c>
      <c r="B14551">
        <v>2007866</v>
      </c>
      <c r="C14551" t="s">
        <v>7474</v>
      </c>
      <c r="D14551" t="s">
        <v>442</v>
      </c>
      <c r="F14551">
        <v>0</v>
      </c>
      <c r="H14551" t="s">
        <v>8581</v>
      </c>
      <c r="I14551">
        <v>360</v>
      </c>
      <c r="J14551" t="s">
        <v>450</v>
      </c>
      <c r="K14551" t="s">
        <v>446</v>
      </c>
      <c r="M14551">
        <v>0</v>
      </c>
    </row>
    <row r="14552" spans="1:13">
      <c r="A14552">
        <v>86350400</v>
      </c>
      <c r="B14552">
        <v>2007878</v>
      </c>
      <c r="C14552" t="s">
        <v>7475</v>
      </c>
      <c r="D14552" t="s">
        <v>442</v>
      </c>
      <c r="F14552">
        <v>0</v>
      </c>
      <c r="H14552" t="s">
        <v>8581</v>
      </c>
      <c r="I14552">
        <v>360</v>
      </c>
      <c r="J14552" t="s">
        <v>450</v>
      </c>
      <c r="K14552" t="s">
        <v>446</v>
      </c>
      <c r="M14552">
        <v>0</v>
      </c>
    </row>
    <row r="14553" spans="1:13">
      <c r="A14553">
        <v>86350500</v>
      </c>
      <c r="B14553">
        <v>2007879</v>
      </c>
      <c r="C14553" t="s">
        <v>7476</v>
      </c>
      <c r="D14553" t="s">
        <v>442</v>
      </c>
      <c r="E14553" t="s">
        <v>441</v>
      </c>
      <c r="F14553">
        <v>1E-3</v>
      </c>
      <c r="H14553" t="s">
        <v>8581</v>
      </c>
      <c r="I14553">
        <v>360</v>
      </c>
      <c r="J14553" t="s">
        <v>450</v>
      </c>
      <c r="K14553" t="s">
        <v>446</v>
      </c>
      <c r="M14553">
        <v>0</v>
      </c>
    </row>
    <row r="14554" spans="1:13">
      <c r="A14554">
        <v>86350600</v>
      </c>
      <c r="B14554">
        <v>2007892</v>
      </c>
      <c r="C14554" t="s">
        <v>7477</v>
      </c>
      <c r="D14554" t="s">
        <v>442</v>
      </c>
      <c r="F14554">
        <v>0</v>
      </c>
      <c r="H14554" t="s">
        <v>8581</v>
      </c>
      <c r="I14554">
        <v>360</v>
      </c>
      <c r="J14554" t="s">
        <v>450</v>
      </c>
      <c r="K14554" t="s">
        <v>446</v>
      </c>
      <c r="M14554">
        <v>0</v>
      </c>
    </row>
    <row r="14555" spans="1:13">
      <c r="A14555">
        <v>86350700</v>
      </c>
      <c r="B14555">
        <v>2007929</v>
      </c>
      <c r="C14555" t="s">
        <v>7478</v>
      </c>
      <c r="D14555" t="s">
        <v>442</v>
      </c>
      <c r="F14555">
        <v>0</v>
      </c>
      <c r="H14555" t="s">
        <v>8581</v>
      </c>
      <c r="I14555">
        <v>360</v>
      </c>
      <c r="J14555" t="s">
        <v>450</v>
      </c>
      <c r="K14555" t="s">
        <v>446</v>
      </c>
      <c r="M14555">
        <v>0</v>
      </c>
    </row>
    <row r="14556" spans="1:13">
      <c r="A14556">
        <v>86350800</v>
      </c>
      <c r="B14556">
        <v>2007937</v>
      </c>
      <c r="C14556" t="s">
        <v>7479</v>
      </c>
      <c r="D14556" t="s">
        <v>442</v>
      </c>
      <c r="F14556">
        <v>0</v>
      </c>
      <c r="H14556" t="s">
        <v>8581</v>
      </c>
      <c r="I14556">
        <v>360</v>
      </c>
      <c r="J14556" t="s">
        <v>450</v>
      </c>
      <c r="K14556" t="s">
        <v>446</v>
      </c>
      <c r="M14556">
        <v>0</v>
      </c>
    </row>
    <row r="14557" spans="1:13">
      <c r="A14557">
        <v>86350900</v>
      </c>
      <c r="B14557">
        <v>2007945</v>
      </c>
      <c r="C14557" t="s">
        <v>7480</v>
      </c>
      <c r="D14557" t="s">
        <v>442</v>
      </c>
      <c r="F14557">
        <v>0</v>
      </c>
      <c r="H14557" t="s">
        <v>8581</v>
      </c>
      <c r="I14557">
        <v>360</v>
      </c>
      <c r="J14557" t="s">
        <v>450</v>
      </c>
      <c r="K14557" t="s">
        <v>446</v>
      </c>
      <c r="M14557">
        <v>0</v>
      </c>
    </row>
    <row r="14558" spans="1:13">
      <c r="A14558">
        <v>86351000</v>
      </c>
      <c r="B14558">
        <v>2007408</v>
      </c>
      <c r="C14558" t="s">
        <v>7481</v>
      </c>
      <c r="D14558" t="s">
        <v>442</v>
      </c>
      <c r="F14558">
        <v>0</v>
      </c>
      <c r="H14558" t="s">
        <v>8581</v>
      </c>
      <c r="I14558">
        <v>365</v>
      </c>
      <c r="J14558" t="s">
        <v>450</v>
      </c>
      <c r="K14558" t="s">
        <v>446</v>
      </c>
      <c r="M14558">
        <v>0</v>
      </c>
    </row>
    <row r="14559" spans="1:13">
      <c r="A14559">
        <v>86352000</v>
      </c>
      <c r="B14559">
        <v>2007407</v>
      </c>
      <c r="C14559" t="s">
        <v>7482</v>
      </c>
      <c r="D14559" t="s">
        <v>442</v>
      </c>
      <c r="F14559">
        <v>0</v>
      </c>
      <c r="H14559" t="s">
        <v>8581</v>
      </c>
      <c r="I14559">
        <v>365</v>
      </c>
      <c r="J14559" t="s">
        <v>450</v>
      </c>
      <c r="K14559" t="s">
        <v>446</v>
      </c>
      <c r="M14559">
        <v>0</v>
      </c>
    </row>
    <row r="14560" spans="1:13">
      <c r="A14560">
        <v>86353000</v>
      </c>
      <c r="B14560">
        <v>2007410</v>
      </c>
      <c r="C14560" t="s">
        <v>7483</v>
      </c>
      <c r="D14560" t="s">
        <v>442</v>
      </c>
      <c r="F14560">
        <v>0</v>
      </c>
      <c r="H14560" t="s">
        <v>8581</v>
      </c>
      <c r="I14560">
        <v>365</v>
      </c>
      <c r="J14560" t="s">
        <v>450</v>
      </c>
      <c r="K14560" t="s">
        <v>446</v>
      </c>
      <c r="M14560">
        <v>0</v>
      </c>
    </row>
    <row r="14561" spans="1:13">
      <c r="A14561">
        <v>86354000</v>
      </c>
      <c r="B14561">
        <v>2007398</v>
      </c>
      <c r="C14561" t="s">
        <v>7484</v>
      </c>
      <c r="D14561" t="s">
        <v>442</v>
      </c>
      <c r="E14561" t="s">
        <v>441</v>
      </c>
      <c r="F14561">
        <v>0.01</v>
      </c>
      <c r="H14561" t="s">
        <v>8581</v>
      </c>
      <c r="I14561">
        <v>365</v>
      </c>
      <c r="J14561" t="s">
        <v>450</v>
      </c>
      <c r="K14561" t="s">
        <v>446</v>
      </c>
      <c r="M14561">
        <v>0</v>
      </c>
    </row>
    <row r="14562" spans="1:13">
      <c r="A14562">
        <v>86355000</v>
      </c>
      <c r="B14562">
        <v>2007399</v>
      </c>
      <c r="C14562" t="s">
        <v>7485</v>
      </c>
      <c r="D14562" t="s">
        <v>442</v>
      </c>
      <c r="F14562">
        <v>0</v>
      </c>
      <c r="H14562" t="s">
        <v>8581</v>
      </c>
      <c r="I14562">
        <v>365</v>
      </c>
      <c r="J14562" t="s">
        <v>450</v>
      </c>
      <c r="K14562" t="s">
        <v>446</v>
      </c>
      <c r="M14562">
        <v>0</v>
      </c>
    </row>
    <row r="14563" spans="1:13">
      <c r="A14563">
        <v>86356000</v>
      </c>
      <c r="B14563">
        <v>2007414</v>
      </c>
      <c r="C14563" t="s">
        <v>7486</v>
      </c>
      <c r="D14563" t="s">
        <v>442</v>
      </c>
      <c r="F14563">
        <v>0</v>
      </c>
      <c r="H14563" t="s">
        <v>8581</v>
      </c>
      <c r="I14563">
        <v>365</v>
      </c>
      <c r="J14563" t="s">
        <v>450</v>
      </c>
      <c r="K14563" t="s">
        <v>446</v>
      </c>
      <c r="M14563">
        <v>0</v>
      </c>
    </row>
    <row r="14564" spans="1:13">
      <c r="A14564">
        <v>86357000</v>
      </c>
      <c r="B14564">
        <v>2007415</v>
      </c>
      <c r="C14564" t="s">
        <v>7487</v>
      </c>
      <c r="D14564" t="s">
        <v>442</v>
      </c>
      <c r="F14564">
        <v>0</v>
      </c>
      <c r="H14564" t="s">
        <v>13782</v>
      </c>
      <c r="I14564">
        <v>365</v>
      </c>
      <c r="J14564" t="s">
        <v>450</v>
      </c>
      <c r="K14564" t="s">
        <v>446</v>
      </c>
      <c r="M14564">
        <v>0</v>
      </c>
    </row>
    <row r="14565" spans="1:13">
      <c r="A14565">
        <v>86358000</v>
      </c>
      <c r="B14565">
        <v>2007435</v>
      </c>
      <c r="C14565" t="s">
        <v>17236</v>
      </c>
      <c r="D14565" t="s">
        <v>442</v>
      </c>
      <c r="E14565" t="s">
        <v>441</v>
      </c>
      <c r="F14565">
        <v>1E-3</v>
      </c>
      <c r="H14565" t="s">
        <v>8581</v>
      </c>
      <c r="I14565">
        <v>365</v>
      </c>
      <c r="J14565" t="s">
        <v>450</v>
      </c>
      <c r="M14565">
        <v>0</v>
      </c>
    </row>
    <row r="14566" spans="1:13">
      <c r="A14566">
        <v>86359000</v>
      </c>
      <c r="B14566">
        <v>2007470</v>
      </c>
      <c r="C14566" t="s">
        <v>7488</v>
      </c>
      <c r="D14566" t="s">
        <v>442</v>
      </c>
      <c r="F14566">
        <v>0</v>
      </c>
      <c r="H14566" t="s">
        <v>8581</v>
      </c>
      <c r="I14566">
        <v>360</v>
      </c>
      <c r="J14566" t="s">
        <v>450</v>
      </c>
      <c r="K14566" t="s">
        <v>446</v>
      </c>
      <c r="M14566">
        <v>0</v>
      </c>
    </row>
    <row r="14567" spans="1:13">
      <c r="A14567">
        <v>86359500</v>
      </c>
      <c r="B14567">
        <v>2007728</v>
      </c>
      <c r="C14567" t="s">
        <v>7489</v>
      </c>
      <c r="D14567" t="s">
        <v>442</v>
      </c>
      <c r="E14567" t="s">
        <v>441</v>
      </c>
      <c r="F14567">
        <v>1E-3</v>
      </c>
      <c r="H14567" t="s">
        <v>8581</v>
      </c>
      <c r="I14567">
        <v>360</v>
      </c>
      <c r="J14567" t="s">
        <v>450</v>
      </c>
      <c r="K14567" t="s">
        <v>446</v>
      </c>
      <c r="M14567">
        <v>0</v>
      </c>
    </row>
    <row r="14568" spans="1:13">
      <c r="A14568">
        <v>86360000</v>
      </c>
      <c r="B14568">
        <v>2007460</v>
      </c>
      <c r="C14568" t="s">
        <v>7490</v>
      </c>
      <c r="D14568" t="s">
        <v>442</v>
      </c>
      <c r="F14568">
        <v>0</v>
      </c>
      <c r="H14568" t="s">
        <v>8581</v>
      </c>
      <c r="I14568">
        <v>365</v>
      </c>
      <c r="J14568" t="s">
        <v>450</v>
      </c>
      <c r="K14568" t="s">
        <v>446</v>
      </c>
      <c r="M14568">
        <v>0</v>
      </c>
    </row>
    <row r="14569" spans="1:13">
      <c r="A14569">
        <v>86360100</v>
      </c>
      <c r="B14569">
        <v>2007988</v>
      </c>
      <c r="C14569" t="s">
        <v>7491</v>
      </c>
      <c r="D14569" t="s">
        <v>442</v>
      </c>
      <c r="F14569">
        <v>0</v>
      </c>
      <c r="H14569" t="s">
        <v>8581</v>
      </c>
      <c r="I14569">
        <v>360</v>
      </c>
      <c r="J14569" t="s">
        <v>450</v>
      </c>
      <c r="K14569" t="s">
        <v>446</v>
      </c>
      <c r="M14569">
        <v>0</v>
      </c>
    </row>
    <row r="14570" spans="1:13">
      <c r="A14570">
        <v>86360200</v>
      </c>
      <c r="B14570">
        <v>2007959</v>
      </c>
      <c r="C14570" t="s">
        <v>7492</v>
      </c>
      <c r="D14570" t="s">
        <v>442</v>
      </c>
      <c r="F14570">
        <v>0</v>
      </c>
      <c r="H14570" t="s">
        <v>8581</v>
      </c>
      <c r="I14570">
        <v>360</v>
      </c>
      <c r="J14570" t="s">
        <v>450</v>
      </c>
      <c r="K14570" t="s">
        <v>446</v>
      </c>
      <c r="M14570">
        <v>0</v>
      </c>
    </row>
    <row r="14571" spans="1:13">
      <c r="A14571">
        <v>86360300</v>
      </c>
      <c r="B14571">
        <v>2008017</v>
      </c>
      <c r="C14571" t="s">
        <v>7493</v>
      </c>
      <c r="D14571" t="s">
        <v>442</v>
      </c>
      <c r="F14571">
        <v>0</v>
      </c>
      <c r="H14571" t="s">
        <v>8581</v>
      </c>
      <c r="I14571">
        <v>360</v>
      </c>
      <c r="J14571" t="s">
        <v>450</v>
      </c>
      <c r="K14571" t="s">
        <v>446</v>
      </c>
      <c r="M14571">
        <v>0</v>
      </c>
    </row>
    <row r="14572" spans="1:13">
      <c r="A14572">
        <v>86360400</v>
      </c>
      <c r="B14572">
        <v>2008007</v>
      </c>
      <c r="C14572" t="s">
        <v>7494</v>
      </c>
      <c r="D14572" t="s">
        <v>442</v>
      </c>
      <c r="F14572">
        <v>0</v>
      </c>
      <c r="H14572" t="s">
        <v>8581</v>
      </c>
      <c r="I14572">
        <v>360</v>
      </c>
      <c r="J14572" t="s">
        <v>450</v>
      </c>
      <c r="K14572" t="s">
        <v>446</v>
      </c>
      <c r="M14572">
        <v>0</v>
      </c>
    </row>
    <row r="14573" spans="1:13">
      <c r="A14573">
        <v>86360500</v>
      </c>
      <c r="B14573">
        <v>2008033</v>
      </c>
      <c r="C14573" t="s">
        <v>7495</v>
      </c>
      <c r="D14573" t="s">
        <v>442</v>
      </c>
      <c r="F14573">
        <v>0</v>
      </c>
      <c r="H14573" t="s">
        <v>8581</v>
      </c>
      <c r="I14573">
        <v>360</v>
      </c>
      <c r="J14573" t="s">
        <v>450</v>
      </c>
      <c r="K14573" t="s">
        <v>446</v>
      </c>
      <c r="M14573">
        <v>0</v>
      </c>
    </row>
    <row r="14574" spans="1:13">
      <c r="A14574">
        <v>86360600</v>
      </c>
      <c r="B14574">
        <v>2008051</v>
      </c>
      <c r="C14574" t="s">
        <v>7496</v>
      </c>
      <c r="D14574" t="s">
        <v>442</v>
      </c>
      <c r="F14574">
        <v>0</v>
      </c>
      <c r="H14574" t="s">
        <v>8581</v>
      </c>
      <c r="I14574">
        <v>360</v>
      </c>
      <c r="J14574" t="s">
        <v>450</v>
      </c>
      <c r="K14574" t="s">
        <v>446</v>
      </c>
      <c r="M14574">
        <v>0</v>
      </c>
    </row>
    <row r="14575" spans="1:13">
      <c r="A14575">
        <v>86360700</v>
      </c>
      <c r="B14575">
        <v>2008056</v>
      </c>
      <c r="C14575" t="s">
        <v>7497</v>
      </c>
      <c r="D14575" t="s">
        <v>442</v>
      </c>
      <c r="F14575">
        <v>0</v>
      </c>
      <c r="H14575" t="s">
        <v>8581</v>
      </c>
      <c r="I14575">
        <v>360</v>
      </c>
      <c r="J14575" t="s">
        <v>450</v>
      </c>
      <c r="K14575" t="s">
        <v>446</v>
      </c>
      <c r="M14575">
        <v>0</v>
      </c>
    </row>
    <row r="14576" spans="1:13">
      <c r="A14576">
        <v>86360800</v>
      </c>
      <c r="B14576">
        <v>2008057</v>
      </c>
      <c r="C14576" t="s">
        <v>7498</v>
      </c>
      <c r="D14576" t="s">
        <v>442</v>
      </c>
      <c r="F14576">
        <v>0</v>
      </c>
      <c r="H14576" t="s">
        <v>8581</v>
      </c>
      <c r="I14576">
        <v>360</v>
      </c>
      <c r="J14576" t="s">
        <v>450</v>
      </c>
      <c r="K14576" t="s">
        <v>446</v>
      </c>
      <c r="M14576">
        <v>0</v>
      </c>
    </row>
    <row r="14577" spans="1:13">
      <c r="A14577">
        <v>86360900</v>
      </c>
      <c r="B14577">
        <v>2008118</v>
      </c>
      <c r="C14577" t="s">
        <v>7499</v>
      </c>
      <c r="D14577" t="s">
        <v>442</v>
      </c>
      <c r="F14577">
        <v>0</v>
      </c>
      <c r="H14577" t="s">
        <v>8581</v>
      </c>
      <c r="I14577">
        <v>360</v>
      </c>
      <c r="J14577" t="s">
        <v>450</v>
      </c>
      <c r="K14577" t="s">
        <v>446</v>
      </c>
      <c r="M14577">
        <v>0</v>
      </c>
    </row>
    <row r="14578" spans="1:13">
      <c r="A14578">
        <v>86361000</v>
      </c>
      <c r="B14578">
        <v>2007511</v>
      </c>
      <c r="C14578" t="s">
        <v>7500</v>
      </c>
      <c r="D14578" t="s">
        <v>442</v>
      </c>
      <c r="E14578" t="s">
        <v>441</v>
      </c>
      <c r="F14578">
        <v>1E-3</v>
      </c>
      <c r="H14578" t="s">
        <v>8581</v>
      </c>
      <c r="I14578">
        <v>360</v>
      </c>
      <c r="J14578" t="s">
        <v>450</v>
      </c>
      <c r="K14578" t="s">
        <v>446</v>
      </c>
      <c r="M14578">
        <v>0</v>
      </c>
    </row>
    <row r="14579" spans="1:13">
      <c r="A14579">
        <v>86361100</v>
      </c>
      <c r="B14579">
        <v>2008119</v>
      </c>
      <c r="C14579" t="s">
        <v>7501</v>
      </c>
      <c r="D14579" t="s">
        <v>442</v>
      </c>
      <c r="F14579">
        <v>0</v>
      </c>
      <c r="H14579" t="s">
        <v>8581</v>
      </c>
      <c r="I14579">
        <v>360</v>
      </c>
      <c r="J14579" t="s">
        <v>450</v>
      </c>
      <c r="K14579" t="s">
        <v>446</v>
      </c>
      <c r="M14579">
        <v>0</v>
      </c>
    </row>
    <row r="14580" spans="1:13">
      <c r="A14580">
        <v>86361200</v>
      </c>
      <c r="B14580">
        <v>2008206</v>
      </c>
      <c r="C14580" t="s">
        <v>7502</v>
      </c>
      <c r="D14580" t="s">
        <v>442</v>
      </c>
      <c r="F14580">
        <v>0</v>
      </c>
      <c r="H14580" t="s">
        <v>8581</v>
      </c>
      <c r="I14580">
        <v>360</v>
      </c>
      <c r="J14580" t="s">
        <v>450</v>
      </c>
      <c r="K14580" t="s">
        <v>446</v>
      </c>
      <c r="M14580">
        <v>0</v>
      </c>
    </row>
    <row r="14581" spans="1:13">
      <c r="A14581">
        <v>86361300</v>
      </c>
      <c r="B14581">
        <v>2008194</v>
      </c>
      <c r="C14581" t="s">
        <v>7503</v>
      </c>
      <c r="D14581" t="s">
        <v>442</v>
      </c>
      <c r="F14581">
        <v>0</v>
      </c>
      <c r="H14581" t="s">
        <v>8581</v>
      </c>
      <c r="I14581">
        <v>360</v>
      </c>
      <c r="J14581" t="s">
        <v>450</v>
      </c>
      <c r="K14581" t="s">
        <v>446</v>
      </c>
      <c r="M14581">
        <v>0</v>
      </c>
    </row>
    <row r="14582" spans="1:13">
      <c r="A14582">
        <v>86361400</v>
      </c>
      <c r="B14582">
        <v>2008221</v>
      </c>
      <c r="C14582" t="s">
        <v>7504</v>
      </c>
      <c r="D14582" t="s">
        <v>442</v>
      </c>
      <c r="F14582">
        <v>0</v>
      </c>
      <c r="H14582" t="s">
        <v>13782</v>
      </c>
      <c r="I14582">
        <v>360</v>
      </c>
      <c r="J14582" t="s">
        <v>450</v>
      </c>
      <c r="K14582" t="s">
        <v>446</v>
      </c>
      <c r="M14582">
        <v>0</v>
      </c>
    </row>
    <row r="14583" spans="1:13">
      <c r="A14583">
        <v>86361500</v>
      </c>
      <c r="B14583">
        <v>2008193</v>
      </c>
      <c r="C14583" t="s">
        <v>7505</v>
      </c>
      <c r="D14583" t="s">
        <v>442</v>
      </c>
      <c r="F14583">
        <v>0</v>
      </c>
      <c r="H14583" t="s">
        <v>8581</v>
      </c>
      <c r="I14583">
        <v>360</v>
      </c>
      <c r="J14583" t="s">
        <v>450</v>
      </c>
      <c r="K14583" t="s">
        <v>446</v>
      </c>
      <c r="M14583">
        <v>0</v>
      </c>
    </row>
    <row r="14584" spans="1:13">
      <c r="A14584">
        <v>86361600</v>
      </c>
      <c r="B14584">
        <v>2008208</v>
      </c>
      <c r="C14584" t="s">
        <v>7506</v>
      </c>
      <c r="D14584" t="s">
        <v>442</v>
      </c>
      <c r="F14584">
        <v>0</v>
      </c>
      <c r="H14584" t="s">
        <v>8580</v>
      </c>
      <c r="I14584">
        <v>360</v>
      </c>
      <c r="J14584" t="s">
        <v>450</v>
      </c>
      <c r="K14584" t="s">
        <v>446</v>
      </c>
      <c r="M14584">
        <v>0</v>
      </c>
    </row>
    <row r="14585" spans="1:13">
      <c r="A14585">
        <v>86361700</v>
      </c>
      <c r="B14585">
        <v>2008262</v>
      </c>
      <c r="C14585" t="s">
        <v>7507</v>
      </c>
      <c r="D14585" t="s">
        <v>442</v>
      </c>
      <c r="F14585">
        <v>0</v>
      </c>
      <c r="H14585" t="s">
        <v>8580</v>
      </c>
      <c r="I14585">
        <v>360</v>
      </c>
      <c r="J14585" t="s">
        <v>450</v>
      </c>
      <c r="K14585" t="s">
        <v>446</v>
      </c>
      <c r="M14585">
        <v>0</v>
      </c>
    </row>
    <row r="14586" spans="1:13">
      <c r="A14586">
        <v>86361800</v>
      </c>
      <c r="B14586">
        <v>2008261</v>
      </c>
      <c r="C14586" t="s">
        <v>7508</v>
      </c>
      <c r="D14586" t="s">
        <v>442</v>
      </c>
      <c r="E14586" t="s">
        <v>441</v>
      </c>
      <c r="F14586">
        <v>1E-3</v>
      </c>
      <c r="I14586">
        <v>360</v>
      </c>
      <c r="J14586" t="s">
        <v>450</v>
      </c>
      <c r="K14586" t="s">
        <v>446</v>
      </c>
      <c r="M14586">
        <v>0</v>
      </c>
    </row>
    <row r="14587" spans="1:13">
      <c r="A14587">
        <v>86361900</v>
      </c>
      <c r="B14587">
        <v>2008260</v>
      </c>
      <c r="C14587" t="s">
        <v>7509</v>
      </c>
      <c r="D14587" t="s">
        <v>442</v>
      </c>
      <c r="F14587">
        <v>0</v>
      </c>
      <c r="H14587" t="s">
        <v>8580</v>
      </c>
      <c r="I14587">
        <v>360</v>
      </c>
      <c r="J14587" t="s">
        <v>450</v>
      </c>
      <c r="K14587" t="s">
        <v>446</v>
      </c>
      <c r="M14587">
        <v>0</v>
      </c>
    </row>
    <row r="14588" spans="1:13">
      <c r="A14588">
        <v>86362000</v>
      </c>
      <c r="B14588">
        <v>2007510</v>
      </c>
      <c r="C14588" t="s">
        <v>7510</v>
      </c>
      <c r="D14588" t="s">
        <v>442</v>
      </c>
      <c r="E14588" t="s">
        <v>441</v>
      </c>
      <c r="F14588">
        <v>1E-3</v>
      </c>
      <c r="H14588" t="s">
        <v>8581</v>
      </c>
      <c r="I14588">
        <v>360</v>
      </c>
      <c r="J14588" t="s">
        <v>450</v>
      </c>
      <c r="K14588" t="s">
        <v>446</v>
      </c>
      <c r="M14588">
        <v>0</v>
      </c>
    </row>
    <row r="14589" spans="1:13">
      <c r="A14589">
        <v>86363000</v>
      </c>
      <c r="B14589">
        <v>2007491</v>
      </c>
      <c r="C14589" t="s">
        <v>7511</v>
      </c>
      <c r="D14589" t="s">
        <v>442</v>
      </c>
      <c r="F14589">
        <v>0</v>
      </c>
      <c r="H14589" t="s">
        <v>8581</v>
      </c>
      <c r="I14589">
        <v>360</v>
      </c>
      <c r="J14589" t="s">
        <v>450</v>
      </c>
      <c r="K14589" t="s">
        <v>446</v>
      </c>
      <c r="M14589">
        <v>0</v>
      </c>
    </row>
    <row r="14590" spans="1:13">
      <c r="A14590">
        <v>86364000</v>
      </c>
      <c r="B14590">
        <v>2007518</v>
      </c>
      <c r="C14590" t="s">
        <v>7512</v>
      </c>
      <c r="D14590" t="s">
        <v>442</v>
      </c>
      <c r="E14590" t="s">
        <v>441</v>
      </c>
      <c r="F14590">
        <v>1E-3</v>
      </c>
      <c r="I14590">
        <v>360</v>
      </c>
      <c r="J14590" t="s">
        <v>450</v>
      </c>
      <c r="K14590" t="s">
        <v>446</v>
      </c>
      <c r="M14590">
        <v>0</v>
      </c>
    </row>
    <row r="14591" spans="1:13">
      <c r="A14591">
        <v>86365000</v>
      </c>
      <c r="B14591">
        <v>2007517</v>
      </c>
      <c r="C14591" t="s">
        <v>7513</v>
      </c>
      <c r="D14591" t="s">
        <v>442</v>
      </c>
      <c r="E14591" t="s">
        <v>441</v>
      </c>
      <c r="F14591">
        <v>1E-3</v>
      </c>
      <c r="I14591">
        <v>360</v>
      </c>
      <c r="J14591" t="s">
        <v>450</v>
      </c>
      <c r="K14591" t="s">
        <v>446</v>
      </c>
      <c r="M14591">
        <v>0</v>
      </c>
    </row>
    <row r="14592" spans="1:13">
      <c r="A14592">
        <v>86366000</v>
      </c>
      <c r="B14592">
        <v>2007508</v>
      </c>
      <c r="C14592" t="s">
        <v>7514</v>
      </c>
      <c r="D14592" t="s">
        <v>442</v>
      </c>
      <c r="F14592">
        <v>0</v>
      </c>
      <c r="H14592" t="s">
        <v>8581</v>
      </c>
      <c r="I14592">
        <v>360</v>
      </c>
      <c r="J14592" t="s">
        <v>450</v>
      </c>
      <c r="K14592" t="s">
        <v>446</v>
      </c>
      <c r="M14592">
        <v>0</v>
      </c>
    </row>
    <row r="14593" spans="1:13">
      <c r="A14593">
        <v>86368000</v>
      </c>
      <c r="B14593">
        <v>2007505</v>
      </c>
      <c r="C14593" t="s">
        <v>7515</v>
      </c>
      <c r="D14593" t="s">
        <v>442</v>
      </c>
      <c r="E14593" t="s">
        <v>441</v>
      </c>
      <c r="F14593">
        <v>1E-3</v>
      </c>
      <c r="H14593" t="s">
        <v>8581</v>
      </c>
      <c r="I14593">
        <v>360</v>
      </c>
      <c r="J14593" t="s">
        <v>450</v>
      </c>
      <c r="K14593" t="s">
        <v>446</v>
      </c>
      <c r="M14593">
        <v>0</v>
      </c>
    </row>
    <row r="14594" spans="1:13">
      <c r="A14594">
        <v>86369000</v>
      </c>
      <c r="B14594">
        <v>2007504</v>
      </c>
      <c r="C14594" t="s">
        <v>7516</v>
      </c>
      <c r="D14594" t="s">
        <v>442</v>
      </c>
      <c r="E14594" t="s">
        <v>441</v>
      </c>
      <c r="F14594">
        <v>1E-3</v>
      </c>
      <c r="H14594" t="s">
        <v>8581</v>
      </c>
      <c r="I14594">
        <v>360</v>
      </c>
      <c r="J14594" t="s">
        <v>450</v>
      </c>
      <c r="K14594" t="s">
        <v>446</v>
      </c>
      <c r="M14594">
        <v>0</v>
      </c>
    </row>
    <row r="14595" spans="1:13">
      <c r="A14595">
        <v>86370000</v>
      </c>
      <c r="B14595">
        <v>2007522</v>
      </c>
      <c r="C14595" t="s">
        <v>7517</v>
      </c>
      <c r="D14595" t="s">
        <v>442</v>
      </c>
      <c r="F14595">
        <v>0</v>
      </c>
      <c r="H14595" t="s">
        <v>8581</v>
      </c>
      <c r="I14595">
        <v>360</v>
      </c>
      <c r="J14595" t="s">
        <v>450</v>
      </c>
      <c r="K14595" t="s">
        <v>446</v>
      </c>
      <c r="M14595">
        <v>0</v>
      </c>
    </row>
    <row r="14596" spans="1:13">
      <c r="A14596">
        <v>86371000</v>
      </c>
      <c r="B14596">
        <v>2007566</v>
      </c>
      <c r="C14596" t="s">
        <v>7518</v>
      </c>
      <c r="D14596" t="s">
        <v>442</v>
      </c>
      <c r="F14596">
        <v>0</v>
      </c>
      <c r="H14596" t="s">
        <v>8581</v>
      </c>
      <c r="I14596">
        <v>360</v>
      </c>
      <c r="J14596" t="s">
        <v>450</v>
      </c>
      <c r="K14596" t="s">
        <v>446</v>
      </c>
      <c r="M14596">
        <v>0</v>
      </c>
    </row>
    <row r="14597" spans="1:13">
      <c r="A14597">
        <v>86371100</v>
      </c>
      <c r="B14597">
        <v>2008229</v>
      </c>
      <c r="C14597" t="s">
        <v>7519</v>
      </c>
      <c r="D14597" t="s">
        <v>442</v>
      </c>
      <c r="F14597">
        <v>0</v>
      </c>
      <c r="H14597" t="s">
        <v>8580</v>
      </c>
      <c r="I14597">
        <v>360</v>
      </c>
      <c r="J14597" t="s">
        <v>450</v>
      </c>
      <c r="K14597" t="s">
        <v>446</v>
      </c>
      <c r="M14597">
        <v>0</v>
      </c>
    </row>
    <row r="14598" spans="1:13">
      <c r="A14598">
        <v>86371200</v>
      </c>
      <c r="B14598">
        <v>2008228</v>
      </c>
      <c r="C14598" t="s">
        <v>7520</v>
      </c>
      <c r="D14598" t="s">
        <v>442</v>
      </c>
      <c r="F14598">
        <v>0</v>
      </c>
      <c r="I14598">
        <v>360</v>
      </c>
      <c r="J14598" t="s">
        <v>450</v>
      </c>
      <c r="K14598" t="s">
        <v>446</v>
      </c>
      <c r="M14598">
        <v>0</v>
      </c>
    </row>
    <row r="14599" spans="1:13">
      <c r="A14599">
        <v>86371300</v>
      </c>
      <c r="B14599">
        <v>2008236</v>
      </c>
      <c r="C14599" t="s">
        <v>7521</v>
      </c>
      <c r="D14599" t="s">
        <v>442</v>
      </c>
      <c r="F14599">
        <v>0</v>
      </c>
      <c r="H14599" t="s">
        <v>8935</v>
      </c>
      <c r="I14599">
        <v>360</v>
      </c>
      <c r="J14599" t="s">
        <v>450</v>
      </c>
      <c r="K14599" t="s">
        <v>446</v>
      </c>
      <c r="M14599">
        <v>0</v>
      </c>
    </row>
    <row r="14600" spans="1:13">
      <c r="A14600">
        <v>86371400</v>
      </c>
      <c r="B14600">
        <v>2008195</v>
      </c>
      <c r="C14600" t="s">
        <v>7522</v>
      </c>
      <c r="D14600" t="s">
        <v>442</v>
      </c>
      <c r="F14600">
        <v>0</v>
      </c>
      <c r="H14600" t="s">
        <v>8581</v>
      </c>
      <c r="I14600">
        <v>360</v>
      </c>
      <c r="J14600" t="s">
        <v>450</v>
      </c>
      <c r="K14600" t="s">
        <v>446</v>
      </c>
      <c r="M14600">
        <v>0</v>
      </c>
    </row>
    <row r="14601" spans="1:13">
      <c r="A14601">
        <v>86371500</v>
      </c>
      <c r="B14601">
        <v>2008253</v>
      </c>
      <c r="C14601" t="s">
        <v>7523</v>
      </c>
      <c r="D14601" t="s">
        <v>442</v>
      </c>
      <c r="F14601">
        <v>0</v>
      </c>
      <c r="H14601" t="s">
        <v>8580</v>
      </c>
      <c r="I14601">
        <v>360</v>
      </c>
      <c r="J14601" t="s">
        <v>450</v>
      </c>
      <c r="K14601" t="s">
        <v>446</v>
      </c>
      <c r="M14601">
        <v>0</v>
      </c>
    </row>
    <row r="14602" spans="1:13">
      <c r="A14602">
        <v>86371600</v>
      </c>
      <c r="B14602">
        <v>2008254</v>
      </c>
      <c r="C14602" t="s">
        <v>7524</v>
      </c>
      <c r="D14602" t="s">
        <v>442</v>
      </c>
      <c r="F14602">
        <v>0</v>
      </c>
      <c r="H14602" t="s">
        <v>8935</v>
      </c>
      <c r="I14602">
        <v>360</v>
      </c>
      <c r="J14602" t="s">
        <v>450</v>
      </c>
      <c r="K14602" t="s">
        <v>446</v>
      </c>
      <c r="M14602">
        <v>0</v>
      </c>
    </row>
    <row r="14603" spans="1:13">
      <c r="A14603">
        <v>86371700</v>
      </c>
      <c r="B14603">
        <v>2008270</v>
      </c>
      <c r="C14603" t="s">
        <v>7525</v>
      </c>
      <c r="D14603" t="s">
        <v>442</v>
      </c>
      <c r="F14603">
        <v>0</v>
      </c>
      <c r="I14603">
        <v>360</v>
      </c>
      <c r="J14603" t="s">
        <v>450</v>
      </c>
      <c r="K14603" t="s">
        <v>446</v>
      </c>
      <c r="M14603">
        <v>0</v>
      </c>
    </row>
    <row r="14604" spans="1:13">
      <c r="A14604">
        <v>86371800</v>
      </c>
      <c r="B14604">
        <v>2008235</v>
      </c>
      <c r="C14604" t="s">
        <v>7526</v>
      </c>
      <c r="D14604" t="s">
        <v>442</v>
      </c>
      <c r="F14604">
        <v>0</v>
      </c>
      <c r="I14604">
        <v>360</v>
      </c>
      <c r="J14604" t="s">
        <v>450</v>
      </c>
      <c r="K14604" t="s">
        <v>446</v>
      </c>
      <c r="M14604">
        <v>0</v>
      </c>
    </row>
    <row r="14605" spans="1:13">
      <c r="A14605">
        <v>86371900</v>
      </c>
      <c r="B14605">
        <v>2008197</v>
      </c>
      <c r="C14605" t="s">
        <v>7527</v>
      </c>
      <c r="D14605" t="s">
        <v>442</v>
      </c>
      <c r="F14605">
        <v>0</v>
      </c>
      <c r="H14605" t="s">
        <v>8581</v>
      </c>
      <c r="I14605">
        <v>360</v>
      </c>
      <c r="J14605" t="s">
        <v>450</v>
      </c>
      <c r="K14605" t="s">
        <v>446</v>
      </c>
      <c r="M14605">
        <v>0</v>
      </c>
    </row>
    <row r="14606" spans="1:13">
      <c r="A14606">
        <v>86372000</v>
      </c>
      <c r="B14606">
        <v>2007565</v>
      </c>
      <c r="C14606" t="s">
        <v>7528</v>
      </c>
      <c r="D14606" t="s">
        <v>442</v>
      </c>
      <c r="F14606">
        <v>0</v>
      </c>
      <c r="H14606" t="s">
        <v>8581</v>
      </c>
      <c r="I14606">
        <v>360</v>
      </c>
      <c r="J14606" t="s">
        <v>450</v>
      </c>
      <c r="K14606" t="s">
        <v>446</v>
      </c>
      <c r="M14606">
        <v>0</v>
      </c>
    </row>
    <row r="14607" spans="1:13">
      <c r="A14607">
        <v>86372100</v>
      </c>
      <c r="B14607">
        <v>2008196</v>
      </c>
      <c r="C14607" t="s">
        <v>7529</v>
      </c>
      <c r="D14607" t="s">
        <v>442</v>
      </c>
      <c r="F14607">
        <v>0</v>
      </c>
      <c r="H14607" t="s">
        <v>8581</v>
      </c>
      <c r="I14607">
        <v>360</v>
      </c>
      <c r="J14607" t="s">
        <v>450</v>
      </c>
      <c r="K14607" t="s">
        <v>446</v>
      </c>
      <c r="M14607">
        <v>0</v>
      </c>
    </row>
    <row r="14608" spans="1:13">
      <c r="A14608">
        <v>86372200</v>
      </c>
      <c r="B14608">
        <v>2008264</v>
      </c>
      <c r="C14608" t="s">
        <v>7530</v>
      </c>
      <c r="D14608" t="s">
        <v>442</v>
      </c>
      <c r="F14608">
        <v>0</v>
      </c>
      <c r="H14608" t="s">
        <v>8935</v>
      </c>
      <c r="I14608">
        <v>720</v>
      </c>
      <c r="J14608" t="s">
        <v>450</v>
      </c>
      <c r="K14608" t="s">
        <v>446</v>
      </c>
      <c r="M14608">
        <v>0</v>
      </c>
    </row>
    <row r="14609" spans="1:13">
      <c r="A14609">
        <v>86372300</v>
      </c>
      <c r="B14609">
        <v>2008351</v>
      </c>
      <c r="C14609" t="s">
        <v>7531</v>
      </c>
      <c r="D14609" t="s">
        <v>442</v>
      </c>
      <c r="F14609">
        <v>0</v>
      </c>
      <c r="H14609" t="s">
        <v>8637</v>
      </c>
      <c r="I14609">
        <v>360</v>
      </c>
      <c r="J14609" t="s">
        <v>450</v>
      </c>
      <c r="K14609" t="s">
        <v>446</v>
      </c>
      <c r="M14609">
        <v>0</v>
      </c>
    </row>
    <row r="14610" spans="1:13">
      <c r="A14610">
        <v>86372400</v>
      </c>
      <c r="B14610">
        <v>2008337</v>
      </c>
      <c r="C14610" t="s">
        <v>7532</v>
      </c>
      <c r="D14610" t="s">
        <v>442</v>
      </c>
      <c r="F14610">
        <v>0</v>
      </c>
      <c r="H14610" t="s">
        <v>8580</v>
      </c>
      <c r="I14610">
        <v>360</v>
      </c>
      <c r="J14610" t="s">
        <v>450</v>
      </c>
      <c r="K14610" t="s">
        <v>446</v>
      </c>
      <c r="M14610">
        <v>0</v>
      </c>
    </row>
    <row r="14611" spans="1:13">
      <c r="A14611">
        <v>86372500</v>
      </c>
      <c r="B14611">
        <v>2008352</v>
      </c>
      <c r="C14611" t="s">
        <v>7533</v>
      </c>
      <c r="D14611" t="s">
        <v>442</v>
      </c>
      <c r="F14611">
        <v>0</v>
      </c>
      <c r="H14611" t="s">
        <v>8935</v>
      </c>
      <c r="I14611">
        <v>360</v>
      </c>
      <c r="J14611" t="s">
        <v>450</v>
      </c>
      <c r="K14611" t="s">
        <v>446</v>
      </c>
      <c r="M14611">
        <v>0</v>
      </c>
    </row>
    <row r="14612" spans="1:13">
      <c r="A14612">
        <v>86372600</v>
      </c>
      <c r="B14612">
        <v>2008338</v>
      </c>
      <c r="C14612" t="s">
        <v>7534</v>
      </c>
      <c r="D14612" t="s">
        <v>442</v>
      </c>
      <c r="F14612">
        <v>0</v>
      </c>
      <c r="I14612">
        <v>360</v>
      </c>
      <c r="J14612" t="s">
        <v>450</v>
      </c>
      <c r="K14612" t="s">
        <v>446</v>
      </c>
      <c r="M14612">
        <v>0</v>
      </c>
    </row>
    <row r="14613" spans="1:13">
      <c r="A14613">
        <v>86372700</v>
      </c>
      <c r="B14613">
        <v>2008350</v>
      </c>
      <c r="C14613" t="s">
        <v>7535</v>
      </c>
      <c r="D14613" t="s">
        <v>442</v>
      </c>
      <c r="E14613" t="s">
        <v>441</v>
      </c>
      <c r="F14613">
        <v>1E-3</v>
      </c>
      <c r="H14613" t="s">
        <v>8627</v>
      </c>
      <c r="I14613">
        <v>360</v>
      </c>
      <c r="J14613" t="s">
        <v>450</v>
      </c>
      <c r="K14613" t="s">
        <v>446</v>
      </c>
      <c r="M14613">
        <v>0</v>
      </c>
    </row>
    <row r="14614" spans="1:13">
      <c r="A14614">
        <v>86372800</v>
      </c>
      <c r="B14614">
        <v>2008339</v>
      </c>
      <c r="C14614" t="s">
        <v>7536</v>
      </c>
      <c r="D14614" t="s">
        <v>442</v>
      </c>
      <c r="E14614" t="s">
        <v>441</v>
      </c>
      <c r="F14614">
        <v>1E-3</v>
      </c>
      <c r="H14614" t="s">
        <v>8580</v>
      </c>
      <c r="I14614">
        <v>360</v>
      </c>
      <c r="J14614" t="s">
        <v>450</v>
      </c>
      <c r="K14614" t="s">
        <v>446</v>
      </c>
      <c r="M14614">
        <v>0</v>
      </c>
    </row>
    <row r="14615" spans="1:13">
      <c r="A14615">
        <v>86372900</v>
      </c>
      <c r="B14615">
        <v>2008309</v>
      </c>
      <c r="C14615" t="s">
        <v>7537</v>
      </c>
      <c r="D14615" t="s">
        <v>442</v>
      </c>
      <c r="F14615">
        <v>0</v>
      </c>
      <c r="H14615" t="s">
        <v>8584</v>
      </c>
      <c r="I14615">
        <v>360</v>
      </c>
      <c r="J14615" t="s">
        <v>450</v>
      </c>
      <c r="K14615" t="s">
        <v>446</v>
      </c>
      <c r="M14615">
        <v>0</v>
      </c>
    </row>
    <row r="14616" spans="1:13">
      <c r="A14616">
        <v>86373000</v>
      </c>
      <c r="B14616">
        <v>2007564</v>
      </c>
      <c r="C14616" t="s">
        <v>7538</v>
      </c>
      <c r="D14616" t="s">
        <v>442</v>
      </c>
      <c r="F14616">
        <v>0</v>
      </c>
      <c r="H14616" t="s">
        <v>8581</v>
      </c>
      <c r="I14616">
        <v>360</v>
      </c>
      <c r="J14616" t="s">
        <v>450</v>
      </c>
      <c r="K14616" t="s">
        <v>446</v>
      </c>
      <c r="M14616">
        <v>0</v>
      </c>
    </row>
    <row r="14617" spans="1:13">
      <c r="A14617">
        <v>86373100</v>
      </c>
      <c r="B14617">
        <v>2008427</v>
      </c>
      <c r="C14617" t="s">
        <v>7539</v>
      </c>
      <c r="D14617" t="s">
        <v>442</v>
      </c>
      <c r="E14617" t="s">
        <v>441</v>
      </c>
      <c r="F14617">
        <v>1E-3</v>
      </c>
      <c r="H14617" t="s">
        <v>8580</v>
      </c>
      <c r="I14617">
        <v>360</v>
      </c>
      <c r="J14617" t="s">
        <v>450</v>
      </c>
      <c r="K14617" t="s">
        <v>446</v>
      </c>
      <c r="M14617">
        <v>0</v>
      </c>
    </row>
    <row r="14618" spans="1:13">
      <c r="A14618">
        <v>86373200</v>
      </c>
      <c r="B14618">
        <v>2008444</v>
      </c>
      <c r="C14618" t="s">
        <v>7540</v>
      </c>
      <c r="D14618" t="s">
        <v>442</v>
      </c>
      <c r="F14618">
        <v>0</v>
      </c>
      <c r="I14618">
        <v>360</v>
      </c>
      <c r="J14618" t="s">
        <v>450</v>
      </c>
      <c r="K14618" t="s">
        <v>446</v>
      </c>
      <c r="M14618">
        <v>0</v>
      </c>
    </row>
    <row r="14619" spans="1:13">
      <c r="A14619">
        <v>86373300</v>
      </c>
      <c r="B14619">
        <v>2008443</v>
      </c>
      <c r="C14619" t="s">
        <v>7541</v>
      </c>
      <c r="D14619" t="s">
        <v>442</v>
      </c>
      <c r="F14619">
        <v>0</v>
      </c>
      <c r="H14619" t="s">
        <v>8580</v>
      </c>
      <c r="I14619">
        <v>360</v>
      </c>
      <c r="J14619" t="s">
        <v>450</v>
      </c>
      <c r="K14619" t="s">
        <v>446</v>
      </c>
      <c r="M14619">
        <v>0</v>
      </c>
    </row>
    <row r="14620" spans="1:13">
      <c r="A14620">
        <v>86373400</v>
      </c>
      <c r="B14620">
        <v>2008446</v>
      </c>
      <c r="C14620" t="s">
        <v>7542</v>
      </c>
      <c r="D14620" t="s">
        <v>442</v>
      </c>
      <c r="E14620" t="s">
        <v>441</v>
      </c>
      <c r="F14620">
        <v>1E-3</v>
      </c>
      <c r="I14620">
        <v>360</v>
      </c>
      <c r="J14620" t="s">
        <v>450</v>
      </c>
      <c r="K14620" t="s">
        <v>446</v>
      </c>
      <c r="M14620">
        <v>0</v>
      </c>
    </row>
    <row r="14621" spans="1:13">
      <c r="A14621">
        <v>86373500</v>
      </c>
      <c r="B14621">
        <v>2007868</v>
      </c>
      <c r="C14621" t="s">
        <v>7543</v>
      </c>
      <c r="D14621" t="s">
        <v>442</v>
      </c>
      <c r="F14621">
        <v>0</v>
      </c>
      <c r="H14621" t="s">
        <v>8581</v>
      </c>
      <c r="I14621">
        <v>360</v>
      </c>
      <c r="J14621" t="s">
        <v>450</v>
      </c>
      <c r="K14621" t="s">
        <v>446</v>
      </c>
      <c r="M14621">
        <v>0</v>
      </c>
    </row>
    <row r="14622" spans="1:13">
      <c r="A14622">
        <v>86373600</v>
      </c>
      <c r="B14622">
        <v>2008191</v>
      </c>
      <c r="C14622" t="s">
        <v>7544</v>
      </c>
      <c r="D14622" t="s">
        <v>442</v>
      </c>
      <c r="F14622">
        <v>0</v>
      </c>
      <c r="H14622" t="s">
        <v>8581</v>
      </c>
      <c r="I14622">
        <v>360</v>
      </c>
      <c r="J14622" t="s">
        <v>450</v>
      </c>
      <c r="K14622" t="s">
        <v>446</v>
      </c>
      <c r="M14622">
        <v>0</v>
      </c>
    </row>
    <row r="14623" spans="1:13">
      <c r="A14623">
        <v>86373700</v>
      </c>
      <c r="B14623">
        <v>2008441</v>
      </c>
      <c r="C14623" t="s">
        <v>7545</v>
      </c>
      <c r="D14623" t="s">
        <v>442</v>
      </c>
      <c r="F14623">
        <v>0</v>
      </c>
      <c r="H14623" t="s">
        <v>8584</v>
      </c>
      <c r="I14623">
        <v>360</v>
      </c>
      <c r="J14623" t="s">
        <v>450</v>
      </c>
      <c r="K14623" t="s">
        <v>446</v>
      </c>
      <c r="M14623">
        <v>0</v>
      </c>
    </row>
    <row r="14624" spans="1:13">
      <c r="A14624">
        <v>86373800</v>
      </c>
      <c r="B14624">
        <v>2008481</v>
      </c>
      <c r="C14624" t="s">
        <v>7546</v>
      </c>
      <c r="D14624" t="s">
        <v>442</v>
      </c>
      <c r="F14624">
        <v>0</v>
      </c>
      <c r="I14624">
        <v>360</v>
      </c>
      <c r="J14624" t="s">
        <v>450</v>
      </c>
      <c r="K14624" t="s">
        <v>446</v>
      </c>
      <c r="M14624">
        <v>0</v>
      </c>
    </row>
    <row r="14625" spans="1:13">
      <c r="A14625">
        <v>86373900</v>
      </c>
      <c r="B14625">
        <v>2008473</v>
      </c>
      <c r="C14625" t="s">
        <v>7547</v>
      </c>
      <c r="D14625" t="s">
        <v>442</v>
      </c>
      <c r="F14625">
        <v>0</v>
      </c>
      <c r="I14625">
        <v>360</v>
      </c>
      <c r="J14625" t="s">
        <v>450</v>
      </c>
      <c r="K14625" t="s">
        <v>446</v>
      </c>
      <c r="M14625">
        <v>0</v>
      </c>
    </row>
    <row r="14626" spans="1:13">
      <c r="A14626">
        <v>86374000</v>
      </c>
      <c r="B14626">
        <v>2007584</v>
      </c>
      <c r="C14626" t="s">
        <v>7548</v>
      </c>
      <c r="D14626" t="s">
        <v>442</v>
      </c>
      <c r="F14626">
        <v>0</v>
      </c>
      <c r="H14626" t="s">
        <v>8581</v>
      </c>
      <c r="I14626">
        <v>360</v>
      </c>
      <c r="J14626" t="s">
        <v>450</v>
      </c>
      <c r="K14626" t="s">
        <v>446</v>
      </c>
      <c r="M14626">
        <v>0</v>
      </c>
    </row>
    <row r="14627" spans="1:13">
      <c r="A14627">
        <v>86374100</v>
      </c>
      <c r="B14627">
        <v>2008494</v>
      </c>
      <c r="C14627" t="s">
        <v>7549</v>
      </c>
      <c r="D14627" t="s">
        <v>442</v>
      </c>
      <c r="F14627">
        <v>0</v>
      </c>
      <c r="H14627" t="s">
        <v>8584</v>
      </c>
      <c r="I14627">
        <v>360</v>
      </c>
      <c r="J14627" t="s">
        <v>450</v>
      </c>
      <c r="K14627" t="s">
        <v>446</v>
      </c>
      <c r="M14627">
        <v>0</v>
      </c>
    </row>
    <row r="14628" spans="1:13">
      <c r="A14628">
        <v>86374200</v>
      </c>
      <c r="B14628">
        <v>2008493</v>
      </c>
      <c r="C14628" t="s">
        <v>7550</v>
      </c>
      <c r="D14628" t="s">
        <v>442</v>
      </c>
      <c r="F14628">
        <v>0</v>
      </c>
      <c r="I14628">
        <v>360</v>
      </c>
      <c r="J14628" t="s">
        <v>450</v>
      </c>
      <c r="K14628" t="s">
        <v>446</v>
      </c>
      <c r="M14628">
        <v>0</v>
      </c>
    </row>
    <row r="14629" spans="1:13">
      <c r="A14629">
        <v>86374300</v>
      </c>
      <c r="B14629">
        <v>2008523</v>
      </c>
      <c r="C14629" t="s">
        <v>7551</v>
      </c>
      <c r="D14629" t="s">
        <v>442</v>
      </c>
      <c r="F14629">
        <v>0</v>
      </c>
      <c r="I14629">
        <v>360</v>
      </c>
      <c r="J14629" t="s">
        <v>450</v>
      </c>
      <c r="K14629" t="s">
        <v>446</v>
      </c>
      <c r="M14629">
        <v>0</v>
      </c>
    </row>
    <row r="14630" spans="1:13">
      <c r="A14630">
        <v>86374400</v>
      </c>
      <c r="B14630">
        <v>2008527</v>
      </c>
      <c r="C14630" t="s">
        <v>7552</v>
      </c>
      <c r="D14630" t="s">
        <v>442</v>
      </c>
      <c r="F14630">
        <v>0</v>
      </c>
      <c r="H14630" t="s">
        <v>8584</v>
      </c>
      <c r="I14630">
        <v>360</v>
      </c>
      <c r="J14630" t="s">
        <v>450</v>
      </c>
      <c r="K14630" t="s">
        <v>446</v>
      </c>
      <c r="M14630">
        <v>0</v>
      </c>
    </row>
    <row r="14631" spans="1:13">
      <c r="A14631">
        <v>86374500</v>
      </c>
      <c r="B14631">
        <v>2008526</v>
      </c>
      <c r="C14631" t="s">
        <v>7553</v>
      </c>
      <c r="D14631" t="s">
        <v>442</v>
      </c>
      <c r="F14631">
        <v>0</v>
      </c>
      <c r="H14631" t="s">
        <v>8580</v>
      </c>
      <c r="I14631">
        <v>365</v>
      </c>
      <c r="J14631" t="s">
        <v>450</v>
      </c>
      <c r="K14631" t="s">
        <v>446</v>
      </c>
      <c r="M14631">
        <v>0</v>
      </c>
    </row>
    <row r="14632" spans="1:13">
      <c r="A14632">
        <v>86374600</v>
      </c>
      <c r="B14632">
        <v>2008545</v>
      </c>
      <c r="C14632" t="s">
        <v>7554</v>
      </c>
      <c r="D14632" t="s">
        <v>442</v>
      </c>
      <c r="F14632">
        <v>0</v>
      </c>
      <c r="H14632" t="s">
        <v>8580</v>
      </c>
      <c r="I14632">
        <v>360</v>
      </c>
      <c r="J14632" t="s">
        <v>450</v>
      </c>
      <c r="K14632" t="s">
        <v>446</v>
      </c>
      <c r="M14632">
        <v>0</v>
      </c>
    </row>
    <row r="14633" spans="1:13">
      <c r="A14633">
        <v>86374700</v>
      </c>
      <c r="B14633">
        <v>2008530</v>
      </c>
      <c r="C14633" t="s">
        <v>7555</v>
      </c>
      <c r="D14633" t="s">
        <v>442</v>
      </c>
      <c r="F14633">
        <v>0</v>
      </c>
      <c r="I14633">
        <v>360</v>
      </c>
      <c r="J14633" t="s">
        <v>450</v>
      </c>
      <c r="K14633" t="s">
        <v>446</v>
      </c>
      <c r="M14633">
        <v>0</v>
      </c>
    </row>
    <row r="14634" spans="1:13">
      <c r="A14634">
        <v>86374800</v>
      </c>
      <c r="B14634">
        <v>2008529</v>
      </c>
      <c r="C14634" t="s">
        <v>7556</v>
      </c>
      <c r="D14634" t="s">
        <v>442</v>
      </c>
      <c r="F14634">
        <v>0</v>
      </c>
      <c r="H14634" t="s">
        <v>8580</v>
      </c>
      <c r="I14634">
        <v>360</v>
      </c>
      <c r="J14634" t="s">
        <v>450</v>
      </c>
      <c r="K14634" t="s">
        <v>446</v>
      </c>
      <c r="M14634">
        <v>0</v>
      </c>
    </row>
    <row r="14635" spans="1:13">
      <c r="A14635">
        <v>86374900</v>
      </c>
      <c r="B14635">
        <v>2008563</v>
      </c>
      <c r="C14635" t="s">
        <v>17237</v>
      </c>
      <c r="D14635" t="s">
        <v>442</v>
      </c>
      <c r="E14635" t="s">
        <v>441</v>
      </c>
      <c r="F14635">
        <v>0.01</v>
      </c>
      <c r="I14635">
        <v>360</v>
      </c>
      <c r="J14635" t="s">
        <v>450</v>
      </c>
      <c r="M14635">
        <v>0</v>
      </c>
    </row>
    <row r="14636" spans="1:13">
      <c r="A14636">
        <v>86375000</v>
      </c>
      <c r="B14636">
        <v>2007578</v>
      </c>
      <c r="C14636" t="s">
        <v>7557</v>
      </c>
      <c r="D14636" t="s">
        <v>442</v>
      </c>
      <c r="F14636">
        <v>0</v>
      </c>
      <c r="H14636" t="s">
        <v>8581</v>
      </c>
      <c r="I14636">
        <v>360</v>
      </c>
      <c r="J14636" t="s">
        <v>450</v>
      </c>
      <c r="K14636" t="s">
        <v>446</v>
      </c>
      <c r="M14636">
        <v>0</v>
      </c>
    </row>
    <row r="14637" spans="1:13">
      <c r="A14637">
        <v>86375100</v>
      </c>
      <c r="B14637">
        <v>2008537</v>
      </c>
      <c r="C14637" t="s">
        <v>7558</v>
      </c>
      <c r="D14637" t="s">
        <v>442</v>
      </c>
      <c r="F14637">
        <v>0</v>
      </c>
      <c r="I14637">
        <v>360</v>
      </c>
      <c r="J14637" t="s">
        <v>450</v>
      </c>
      <c r="K14637" t="s">
        <v>446</v>
      </c>
      <c r="M14637">
        <v>0</v>
      </c>
    </row>
    <row r="14638" spans="1:13">
      <c r="A14638">
        <v>86375200</v>
      </c>
      <c r="B14638">
        <v>2008579</v>
      </c>
      <c r="C14638" t="s">
        <v>7559</v>
      </c>
      <c r="D14638" t="s">
        <v>442</v>
      </c>
      <c r="F14638">
        <v>0</v>
      </c>
      <c r="H14638" t="s">
        <v>8580</v>
      </c>
      <c r="I14638">
        <v>360</v>
      </c>
      <c r="J14638" t="s">
        <v>450</v>
      </c>
      <c r="K14638" t="s">
        <v>446</v>
      </c>
      <c r="M14638">
        <v>0</v>
      </c>
    </row>
    <row r="14639" spans="1:13">
      <c r="A14639">
        <v>86375300</v>
      </c>
      <c r="B14639">
        <v>2008580</v>
      </c>
      <c r="C14639" t="s">
        <v>7560</v>
      </c>
      <c r="D14639" t="s">
        <v>442</v>
      </c>
      <c r="F14639">
        <v>0</v>
      </c>
      <c r="I14639">
        <v>360</v>
      </c>
      <c r="J14639" t="s">
        <v>450</v>
      </c>
      <c r="K14639" t="s">
        <v>446</v>
      </c>
      <c r="M14639">
        <v>0</v>
      </c>
    </row>
    <row r="14640" spans="1:13">
      <c r="A14640">
        <v>86375400</v>
      </c>
      <c r="B14640">
        <v>2008581</v>
      </c>
      <c r="C14640" t="s">
        <v>7561</v>
      </c>
      <c r="D14640" t="s">
        <v>442</v>
      </c>
      <c r="E14640" t="s">
        <v>441</v>
      </c>
      <c r="F14640">
        <v>0.01</v>
      </c>
      <c r="H14640" t="s">
        <v>8580</v>
      </c>
      <c r="I14640">
        <v>360</v>
      </c>
      <c r="J14640" t="s">
        <v>450</v>
      </c>
      <c r="K14640" t="s">
        <v>446</v>
      </c>
      <c r="M14640">
        <v>0</v>
      </c>
    </row>
    <row r="14641" spans="1:13">
      <c r="A14641">
        <v>86375500</v>
      </c>
      <c r="B14641">
        <v>2008587</v>
      </c>
      <c r="C14641" t="s">
        <v>7562</v>
      </c>
      <c r="D14641" t="s">
        <v>442</v>
      </c>
      <c r="F14641">
        <v>0</v>
      </c>
      <c r="H14641" t="s">
        <v>8580</v>
      </c>
      <c r="I14641">
        <v>360</v>
      </c>
      <c r="J14641" t="s">
        <v>450</v>
      </c>
      <c r="K14641" t="s">
        <v>446</v>
      </c>
      <c r="M14641">
        <v>0</v>
      </c>
    </row>
    <row r="14642" spans="1:13">
      <c r="A14642">
        <v>86375600</v>
      </c>
      <c r="B14642">
        <v>2008586</v>
      </c>
      <c r="C14642" t="s">
        <v>7563</v>
      </c>
      <c r="D14642" t="s">
        <v>442</v>
      </c>
      <c r="F14642">
        <v>0</v>
      </c>
      <c r="H14642" t="s">
        <v>8584</v>
      </c>
      <c r="I14642">
        <v>360</v>
      </c>
      <c r="J14642" t="s">
        <v>450</v>
      </c>
      <c r="K14642" t="s">
        <v>446</v>
      </c>
      <c r="M14642">
        <v>0</v>
      </c>
    </row>
    <row r="14643" spans="1:13">
      <c r="A14643">
        <v>86375700</v>
      </c>
      <c r="B14643">
        <v>2008585</v>
      </c>
      <c r="C14643" t="s">
        <v>7564</v>
      </c>
      <c r="D14643" t="s">
        <v>442</v>
      </c>
      <c r="E14643" t="s">
        <v>441</v>
      </c>
      <c r="F14643">
        <v>0.01</v>
      </c>
      <c r="H14643" t="s">
        <v>8580</v>
      </c>
      <c r="I14643">
        <v>360</v>
      </c>
      <c r="J14643" t="s">
        <v>450</v>
      </c>
      <c r="K14643" t="s">
        <v>446</v>
      </c>
      <c r="M14643">
        <v>0</v>
      </c>
    </row>
    <row r="14644" spans="1:13">
      <c r="A14644">
        <v>86375800</v>
      </c>
      <c r="B14644">
        <v>2008584</v>
      </c>
      <c r="C14644" t="s">
        <v>7565</v>
      </c>
      <c r="D14644" t="s">
        <v>442</v>
      </c>
      <c r="E14644" t="s">
        <v>441</v>
      </c>
      <c r="F14644">
        <v>0.01</v>
      </c>
      <c r="I14644">
        <v>360</v>
      </c>
      <c r="J14644" t="s">
        <v>450</v>
      </c>
      <c r="K14644" t="s">
        <v>446</v>
      </c>
      <c r="M14644">
        <v>0</v>
      </c>
    </row>
    <row r="14645" spans="1:13">
      <c r="A14645">
        <v>86375900</v>
      </c>
      <c r="B14645">
        <v>2008583</v>
      </c>
      <c r="C14645" t="s">
        <v>7566</v>
      </c>
      <c r="D14645" t="s">
        <v>442</v>
      </c>
      <c r="E14645" t="s">
        <v>441</v>
      </c>
      <c r="F14645">
        <v>0.01</v>
      </c>
      <c r="H14645" t="s">
        <v>8580</v>
      </c>
      <c r="I14645">
        <v>360</v>
      </c>
      <c r="J14645" t="s">
        <v>450</v>
      </c>
      <c r="K14645" t="s">
        <v>446</v>
      </c>
      <c r="M14645">
        <v>0</v>
      </c>
    </row>
    <row r="14646" spans="1:13">
      <c r="A14646">
        <v>86376000</v>
      </c>
      <c r="B14646">
        <v>2007576</v>
      </c>
      <c r="C14646" t="s">
        <v>7567</v>
      </c>
      <c r="D14646" t="s">
        <v>442</v>
      </c>
      <c r="E14646" t="s">
        <v>441</v>
      </c>
      <c r="F14646">
        <v>1E-3</v>
      </c>
      <c r="H14646" t="s">
        <v>8581</v>
      </c>
      <c r="I14646">
        <v>360</v>
      </c>
      <c r="J14646" t="s">
        <v>450</v>
      </c>
      <c r="K14646" t="s">
        <v>446</v>
      </c>
      <c r="M14646">
        <v>0</v>
      </c>
    </row>
    <row r="14647" spans="1:13">
      <c r="A14647">
        <v>86376100</v>
      </c>
      <c r="B14647">
        <v>2008567</v>
      </c>
      <c r="C14647" t="s">
        <v>7568</v>
      </c>
      <c r="D14647" t="s">
        <v>442</v>
      </c>
      <c r="F14647">
        <v>0</v>
      </c>
      <c r="H14647" t="s">
        <v>8584</v>
      </c>
      <c r="I14647">
        <v>360</v>
      </c>
      <c r="J14647" t="s">
        <v>450</v>
      </c>
      <c r="K14647" t="s">
        <v>446</v>
      </c>
      <c r="M14647">
        <v>3892</v>
      </c>
    </row>
    <row r="14648" spans="1:13">
      <c r="A14648">
        <v>86376200</v>
      </c>
      <c r="B14648">
        <v>2008618</v>
      </c>
      <c r="C14648" t="s">
        <v>7569</v>
      </c>
      <c r="D14648" t="s">
        <v>442</v>
      </c>
      <c r="F14648">
        <v>0</v>
      </c>
      <c r="H14648" t="s">
        <v>8580</v>
      </c>
      <c r="I14648">
        <v>360</v>
      </c>
      <c r="J14648" t="s">
        <v>450</v>
      </c>
      <c r="K14648" t="s">
        <v>446</v>
      </c>
      <c r="M14648">
        <v>3892</v>
      </c>
    </row>
    <row r="14649" spans="1:13">
      <c r="A14649">
        <v>86376300</v>
      </c>
      <c r="B14649">
        <v>2008641</v>
      </c>
      <c r="C14649" t="s">
        <v>7570</v>
      </c>
      <c r="D14649" t="s">
        <v>442</v>
      </c>
      <c r="F14649">
        <v>0</v>
      </c>
      <c r="I14649">
        <v>360</v>
      </c>
      <c r="J14649" t="s">
        <v>450</v>
      </c>
      <c r="K14649" t="s">
        <v>446</v>
      </c>
      <c r="M14649">
        <v>0</v>
      </c>
    </row>
    <row r="14650" spans="1:13">
      <c r="A14650">
        <v>86376400</v>
      </c>
      <c r="B14650">
        <v>2008640</v>
      </c>
      <c r="C14650" t="s">
        <v>7571</v>
      </c>
      <c r="D14650" t="s">
        <v>442</v>
      </c>
      <c r="F14650">
        <v>0</v>
      </c>
      <c r="H14650" t="s">
        <v>8580</v>
      </c>
      <c r="I14650">
        <v>360</v>
      </c>
      <c r="J14650" t="s">
        <v>450</v>
      </c>
      <c r="K14650" t="s">
        <v>446</v>
      </c>
      <c r="M14650">
        <v>0</v>
      </c>
    </row>
    <row r="14651" spans="1:13">
      <c r="A14651">
        <v>86376500</v>
      </c>
      <c r="B14651">
        <v>2008609</v>
      </c>
      <c r="C14651" t="s">
        <v>7572</v>
      </c>
      <c r="D14651" t="s">
        <v>442</v>
      </c>
      <c r="F14651">
        <v>0</v>
      </c>
      <c r="H14651" t="s">
        <v>8580</v>
      </c>
      <c r="I14651">
        <v>360</v>
      </c>
      <c r="J14651" t="s">
        <v>450</v>
      </c>
      <c r="K14651" t="s">
        <v>446</v>
      </c>
      <c r="M14651">
        <v>0</v>
      </c>
    </row>
    <row r="14652" spans="1:13">
      <c r="A14652">
        <v>86376600</v>
      </c>
      <c r="B14652">
        <v>2008608</v>
      </c>
      <c r="C14652" t="s">
        <v>7573</v>
      </c>
      <c r="D14652" t="s">
        <v>442</v>
      </c>
      <c r="F14652">
        <v>0</v>
      </c>
      <c r="I14652">
        <v>360</v>
      </c>
      <c r="J14652" t="s">
        <v>450</v>
      </c>
      <c r="K14652" t="s">
        <v>446</v>
      </c>
      <c r="M14652">
        <v>0</v>
      </c>
    </row>
    <row r="14653" spans="1:13">
      <c r="A14653">
        <v>86376700</v>
      </c>
      <c r="B14653">
        <v>2008607</v>
      </c>
      <c r="C14653" t="s">
        <v>7574</v>
      </c>
      <c r="D14653" t="s">
        <v>442</v>
      </c>
      <c r="F14653">
        <v>0</v>
      </c>
      <c r="H14653" t="s">
        <v>8580</v>
      </c>
      <c r="I14653">
        <v>360</v>
      </c>
      <c r="J14653" t="s">
        <v>450</v>
      </c>
      <c r="K14653" t="s">
        <v>446</v>
      </c>
      <c r="M14653">
        <v>0</v>
      </c>
    </row>
    <row r="14654" spans="1:13">
      <c r="A14654">
        <v>86376800</v>
      </c>
      <c r="B14654">
        <v>2008605</v>
      </c>
      <c r="C14654" t="s">
        <v>7575</v>
      </c>
      <c r="D14654" t="s">
        <v>442</v>
      </c>
      <c r="F14654">
        <v>0</v>
      </c>
      <c r="H14654" t="s">
        <v>8584</v>
      </c>
      <c r="I14654">
        <v>360</v>
      </c>
      <c r="J14654" t="s">
        <v>450</v>
      </c>
      <c r="K14654" t="s">
        <v>446</v>
      </c>
      <c r="M14654">
        <v>0</v>
      </c>
    </row>
    <row r="14655" spans="1:13">
      <c r="A14655">
        <v>86376900</v>
      </c>
      <c r="B14655">
        <v>2008646</v>
      </c>
      <c r="C14655" t="s">
        <v>7576</v>
      </c>
      <c r="D14655" t="s">
        <v>442</v>
      </c>
      <c r="F14655">
        <v>0</v>
      </c>
      <c r="H14655" t="s">
        <v>8580</v>
      </c>
      <c r="I14655">
        <v>360</v>
      </c>
      <c r="J14655" t="s">
        <v>450</v>
      </c>
      <c r="K14655" t="s">
        <v>446</v>
      </c>
      <c r="M14655">
        <v>0</v>
      </c>
    </row>
    <row r="14656" spans="1:13">
      <c r="A14656">
        <v>86377000</v>
      </c>
      <c r="B14656">
        <v>2007577</v>
      </c>
      <c r="C14656" t="s">
        <v>7577</v>
      </c>
      <c r="D14656" t="s">
        <v>442</v>
      </c>
      <c r="F14656">
        <v>0</v>
      </c>
      <c r="H14656" t="s">
        <v>8581</v>
      </c>
      <c r="I14656">
        <v>360</v>
      </c>
      <c r="J14656" t="s">
        <v>450</v>
      </c>
      <c r="K14656" t="s">
        <v>446</v>
      </c>
      <c r="M14656">
        <v>0</v>
      </c>
    </row>
    <row r="14657" spans="1:13">
      <c r="A14657">
        <v>86377100</v>
      </c>
      <c r="B14657">
        <v>2008647</v>
      </c>
      <c r="C14657" t="s">
        <v>7578</v>
      </c>
      <c r="D14657" t="s">
        <v>442</v>
      </c>
      <c r="F14657">
        <v>0</v>
      </c>
      <c r="I14657">
        <v>360</v>
      </c>
      <c r="J14657" t="s">
        <v>450</v>
      </c>
      <c r="K14657" t="s">
        <v>446</v>
      </c>
      <c r="M14657">
        <v>0</v>
      </c>
    </row>
    <row r="14658" spans="1:13">
      <c r="A14658">
        <v>86377200</v>
      </c>
      <c r="B14658">
        <v>2008648</v>
      </c>
      <c r="C14658" t="s">
        <v>7579</v>
      </c>
      <c r="D14658" t="s">
        <v>442</v>
      </c>
      <c r="F14658">
        <v>0</v>
      </c>
      <c r="H14658" t="s">
        <v>8580</v>
      </c>
      <c r="I14658">
        <v>360</v>
      </c>
      <c r="J14658" t="s">
        <v>450</v>
      </c>
      <c r="K14658" t="s">
        <v>446</v>
      </c>
      <c r="M14658">
        <v>0</v>
      </c>
    </row>
    <row r="14659" spans="1:13">
      <c r="A14659">
        <v>86377300</v>
      </c>
      <c r="B14659">
        <v>2008634</v>
      </c>
      <c r="C14659" t="s">
        <v>7580</v>
      </c>
      <c r="D14659" t="s">
        <v>442</v>
      </c>
      <c r="E14659" t="s">
        <v>441</v>
      </c>
      <c r="F14659">
        <v>0.01</v>
      </c>
      <c r="H14659" t="s">
        <v>8580</v>
      </c>
      <c r="I14659">
        <v>360</v>
      </c>
      <c r="J14659" t="s">
        <v>450</v>
      </c>
      <c r="K14659" t="s">
        <v>446</v>
      </c>
      <c r="M14659">
        <v>0</v>
      </c>
    </row>
    <row r="14660" spans="1:13">
      <c r="A14660">
        <v>86377400</v>
      </c>
      <c r="B14660">
        <v>2008635</v>
      </c>
      <c r="C14660" t="s">
        <v>7581</v>
      </c>
      <c r="D14660" t="s">
        <v>442</v>
      </c>
      <c r="F14660">
        <v>0</v>
      </c>
      <c r="I14660">
        <v>360</v>
      </c>
      <c r="J14660" t="s">
        <v>450</v>
      </c>
      <c r="K14660" t="s">
        <v>446</v>
      </c>
      <c r="M14660">
        <v>0</v>
      </c>
    </row>
    <row r="14661" spans="1:13">
      <c r="A14661">
        <v>86377500</v>
      </c>
      <c r="B14661">
        <v>2008636</v>
      </c>
      <c r="C14661" t="s">
        <v>7582</v>
      </c>
      <c r="D14661" t="s">
        <v>442</v>
      </c>
      <c r="F14661">
        <v>0</v>
      </c>
      <c r="H14661" t="s">
        <v>8580</v>
      </c>
      <c r="I14661">
        <v>360</v>
      </c>
      <c r="J14661" t="s">
        <v>450</v>
      </c>
      <c r="K14661" t="s">
        <v>446</v>
      </c>
      <c r="M14661">
        <v>0</v>
      </c>
    </row>
    <row r="14662" spans="1:13">
      <c r="A14662">
        <v>86377600</v>
      </c>
      <c r="B14662">
        <v>2008637</v>
      </c>
      <c r="C14662" t="s">
        <v>7583</v>
      </c>
      <c r="D14662" t="s">
        <v>442</v>
      </c>
      <c r="E14662" t="s">
        <v>441</v>
      </c>
      <c r="F14662">
        <v>0.01</v>
      </c>
      <c r="I14662">
        <v>360</v>
      </c>
      <c r="J14662" t="s">
        <v>450</v>
      </c>
      <c r="K14662" t="s">
        <v>446</v>
      </c>
      <c r="M14662">
        <v>0</v>
      </c>
    </row>
    <row r="14663" spans="1:13">
      <c r="A14663">
        <v>86377700</v>
      </c>
      <c r="B14663">
        <v>2008638</v>
      </c>
      <c r="C14663" t="s">
        <v>7584</v>
      </c>
      <c r="D14663" t="s">
        <v>442</v>
      </c>
      <c r="E14663" t="s">
        <v>441</v>
      </c>
      <c r="F14663">
        <v>0.01</v>
      </c>
      <c r="H14663" t="s">
        <v>8580</v>
      </c>
      <c r="I14663">
        <v>360</v>
      </c>
      <c r="J14663" t="s">
        <v>450</v>
      </c>
      <c r="K14663" t="s">
        <v>446</v>
      </c>
      <c r="M14663">
        <v>0</v>
      </c>
    </row>
    <row r="14664" spans="1:13">
      <c r="A14664">
        <v>86377800</v>
      </c>
      <c r="B14664">
        <v>2008639</v>
      </c>
      <c r="C14664" t="s">
        <v>7585</v>
      </c>
      <c r="D14664" t="s">
        <v>442</v>
      </c>
      <c r="E14664" t="s">
        <v>441</v>
      </c>
      <c r="F14664">
        <v>0.01</v>
      </c>
      <c r="I14664">
        <v>360</v>
      </c>
      <c r="J14664" t="s">
        <v>450</v>
      </c>
      <c r="K14664" t="s">
        <v>446</v>
      </c>
      <c r="M14664">
        <v>0</v>
      </c>
    </row>
    <row r="14665" spans="1:13">
      <c r="A14665">
        <v>86377900</v>
      </c>
      <c r="B14665">
        <v>2008650</v>
      </c>
      <c r="C14665" t="s">
        <v>7586</v>
      </c>
      <c r="D14665" t="s">
        <v>442</v>
      </c>
      <c r="E14665" t="s">
        <v>441</v>
      </c>
      <c r="F14665">
        <v>0.01</v>
      </c>
      <c r="H14665" t="s">
        <v>8580</v>
      </c>
      <c r="I14665">
        <v>360</v>
      </c>
      <c r="J14665" t="s">
        <v>450</v>
      </c>
      <c r="K14665" t="s">
        <v>446</v>
      </c>
      <c r="M14665">
        <v>0</v>
      </c>
    </row>
    <row r="14666" spans="1:13">
      <c r="A14666">
        <v>86378000</v>
      </c>
      <c r="B14666">
        <v>2007590</v>
      </c>
      <c r="C14666" t="s">
        <v>7587</v>
      </c>
      <c r="D14666" t="s">
        <v>442</v>
      </c>
      <c r="F14666">
        <v>0</v>
      </c>
      <c r="H14666" t="s">
        <v>8581</v>
      </c>
      <c r="I14666">
        <v>360</v>
      </c>
      <c r="J14666" t="s">
        <v>450</v>
      </c>
      <c r="K14666" t="s">
        <v>446</v>
      </c>
      <c r="M14666">
        <v>0</v>
      </c>
    </row>
    <row r="14667" spans="1:13">
      <c r="A14667">
        <v>86378100</v>
      </c>
      <c r="B14667">
        <v>2008651</v>
      </c>
      <c r="C14667" t="s">
        <v>7588</v>
      </c>
      <c r="D14667" t="s">
        <v>442</v>
      </c>
      <c r="E14667" t="s">
        <v>441</v>
      </c>
      <c r="F14667">
        <v>0.01</v>
      </c>
      <c r="I14667">
        <v>360</v>
      </c>
      <c r="J14667" t="s">
        <v>450</v>
      </c>
      <c r="K14667" t="s">
        <v>446</v>
      </c>
      <c r="M14667">
        <v>0</v>
      </c>
    </row>
    <row r="14668" spans="1:13">
      <c r="A14668">
        <v>86378200</v>
      </c>
      <c r="B14668">
        <v>2008652</v>
      </c>
      <c r="C14668" t="s">
        <v>7589</v>
      </c>
      <c r="D14668" t="s">
        <v>442</v>
      </c>
      <c r="F14668">
        <v>0</v>
      </c>
      <c r="H14668" t="s">
        <v>8580</v>
      </c>
      <c r="I14668">
        <v>360</v>
      </c>
      <c r="J14668" t="s">
        <v>450</v>
      </c>
      <c r="K14668" t="s">
        <v>446</v>
      </c>
      <c r="M14668">
        <v>0</v>
      </c>
    </row>
    <row r="14669" spans="1:13">
      <c r="A14669">
        <v>86378300</v>
      </c>
      <c r="B14669">
        <v>2008653</v>
      </c>
      <c r="C14669" t="s">
        <v>7590</v>
      </c>
      <c r="D14669" t="s">
        <v>442</v>
      </c>
      <c r="F14669">
        <v>0</v>
      </c>
      <c r="I14669">
        <v>360</v>
      </c>
      <c r="J14669" t="s">
        <v>450</v>
      </c>
      <c r="K14669" t="s">
        <v>446</v>
      </c>
      <c r="M14669">
        <v>0</v>
      </c>
    </row>
    <row r="14670" spans="1:13">
      <c r="A14670">
        <v>86378400</v>
      </c>
      <c r="B14670">
        <v>2008654</v>
      </c>
      <c r="C14670" t="s">
        <v>7591</v>
      </c>
      <c r="D14670" t="s">
        <v>442</v>
      </c>
      <c r="E14670" t="s">
        <v>441</v>
      </c>
      <c r="F14670">
        <v>0.01</v>
      </c>
      <c r="H14670" t="s">
        <v>8580</v>
      </c>
      <c r="I14670">
        <v>360</v>
      </c>
      <c r="J14670" t="s">
        <v>450</v>
      </c>
      <c r="K14670" t="s">
        <v>446</v>
      </c>
      <c r="M14670">
        <v>0</v>
      </c>
    </row>
    <row r="14671" spans="1:13">
      <c r="A14671">
        <v>86378500</v>
      </c>
      <c r="B14671">
        <v>2008655</v>
      </c>
      <c r="C14671" t="s">
        <v>7592</v>
      </c>
      <c r="D14671" t="s">
        <v>442</v>
      </c>
      <c r="E14671" t="s">
        <v>441</v>
      </c>
      <c r="F14671">
        <v>0.01</v>
      </c>
      <c r="I14671">
        <v>360</v>
      </c>
      <c r="J14671" t="s">
        <v>450</v>
      </c>
      <c r="K14671" t="s">
        <v>446</v>
      </c>
      <c r="M14671">
        <v>0</v>
      </c>
    </row>
    <row r="14672" spans="1:13">
      <c r="A14672">
        <v>86378600</v>
      </c>
      <c r="B14672">
        <v>2008656</v>
      </c>
      <c r="C14672" t="s">
        <v>7593</v>
      </c>
      <c r="D14672" t="s">
        <v>442</v>
      </c>
      <c r="F14672">
        <v>0</v>
      </c>
      <c r="H14672" t="s">
        <v>8580</v>
      </c>
      <c r="I14672">
        <v>360</v>
      </c>
      <c r="J14672" t="s">
        <v>450</v>
      </c>
      <c r="K14672" t="s">
        <v>446</v>
      </c>
      <c r="M14672">
        <v>0</v>
      </c>
    </row>
    <row r="14673" spans="1:13">
      <c r="A14673">
        <v>86378700</v>
      </c>
      <c r="B14673">
        <v>2008659</v>
      </c>
      <c r="C14673" t="s">
        <v>7594</v>
      </c>
      <c r="D14673" t="s">
        <v>442</v>
      </c>
      <c r="F14673">
        <v>0</v>
      </c>
      <c r="H14673" t="s">
        <v>8580</v>
      </c>
      <c r="I14673">
        <v>360</v>
      </c>
      <c r="J14673" t="s">
        <v>450</v>
      </c>
      <c r="K14673" t="s">
        <v>446</v>
      </c>
      <c r="M14673">
        <v>0</v>
      </c>
    </row>
    <row r="14674" spans="1:13">
      <c r="A14674">
        <v>86378800</v>
      </c>
      <c r="B14674">
        <v>2008661</v>
      </c>
      <c r="C14674" t="s">
        <v>7595</v>
      </c>
      <c r="D14674" t="s">
        <v>442</v>
      </c>
      <c r="F14674">
        <v>0</v>
      </c>
      <c r="H14674" t="s">
        <v>8584</v>
      </c>
      <c r="I14674">
        <v>360</v>
      </c>
      <c r="J14674" t="s">
        <v>450</v>
      </c>
      <c r="K14674" t="s">
        <v>446</v>
      </c>
      <c r="M14674">
        <v>0</v>
      </c>
    </row>
    <row r="14675" spans="1:13">
      <c r="A14675">
        <v>86378900</v>
      </c>
      <c r="B14675">
        <v>2008668</v>
      </c>
      <c r="C14675" t="s">
        <v>7596</v>
      </c>
      <c r="D14675" t="s">
        <v>442</v>
      </c>
      <c r="F14675">
        <v>0</v>
      </c>
      <c r="I14675">
        <v>360</v>
      </c>
      <c r="J14675" t="s">
        <v>450</v>
      </c>
      <c r="K14675" t="s">
        <v>446</v>
      </c>
      <c r="M14675">
        <v>0</v>
      </c>
    </row>
    <row r="14676" spans="1:13">
      <c r="A14676">
        <v>86379000</v>
      </c>
      <c r="B14676">
        <v>2007589</v>
      </c>
      <c r="C14676" t="s">
        <v>7597</v>
      </c>
      <c r="D14676" t="s">
        <v>442</v>
      </c>
      <c r="F14676">
        <v>0</v>
      </c>
      <c r="H14676" t="s">
        <v>8581</v>
      </c>
      <c r="I14676">
        <v>360</v>
      </c>
      <c r="J14676" t="s">
        <v>450</v>
      </c>
      <c r="K14676" t="s">
        <v>446</v>
      </c>
      <c r="M14676">
        <v>0</v>
      </c>
    </row>
    <row r="14677" spans="1:13">
      <c r="A14677">
        <v>86379100</v>
      </c>
      <c r="B14677">
        <v>2008717</v>
      </c>
      <c r="C14677" t="s">
        <v>7598</v>
      </c>
      <c r="D14677" t="s">
        <v>442</v>
      </c>
      <c r="F14677">
        <v>0</v>
      </c>
      <c r="H14677" t="s">
        <v>8622</v>
      </c>
      <c r="I14677">
        <v>360</v>
      </c>
      <c r="J14677" t="s">
        <v>450</v>
      </c>
      <c r="K14677" t="s">
        <v>446</v>
      </c>
      <c r="M14677">
        <v>0</v>
      </c>
    </row>
    <row r="14678" spans="1:13">
      <c r="A14678">
        <v>86379200</v>
      </c>
      <c r="B14678">
        <v>2008715</v>
      </c>
      <c r="C14678" t="s">
        <v>7599</v>
      </c>
      <c r="D14678" t="s">
        <v>442</v>
      </c>
      <c r="F14678">
        <v>0</v>
      </c>
      <c r="H14678" t="s">
        <v>8580</v>
      </c>
      <c r="I14678">
        <v>360</v>
      </c>
      <c r="J14678" t="s">
        <v>450</v>
      </c>
      <c r="K14678" t="s">
        <v>446</v>
      </c>
      <c r="M14678">
        <v>0</v>
      </c>
    </row>
    <row r="14679" spans="1:13">
      <c r="A14679">
        <v>86379300</v>
      </c>
      <c r="B14679">
        <v>2008714</v>
      </c>
      <c r="C14679" t="s">
        <v>7600</v>
      </c>
      <c r="D14679" t="s">
        <v>442</v>
      </c>
      <c r="F14679">
        <v>0</v>
      </c>
      <c r="H14679" t="s">
        <v>8580</v>
      </c>
      <c r="I14679">
        <v>360</v>
      </c>
      <c r="J14679" t="s">
        <v>450</v>
      </c>
      <c r="K14679" t="s">
        <v>446</v>
      </c>
      <c r="M14679">
        <v>0</v>
      </c>
    </row>
    <row r="14680" spans="1:13">
      <c r="A14680">
        <v>86379400</v>
      </c>
      <c r="B14680">
        <v>2008713</v>
      </c>
      <c r="C14680" t="s">
        <v>7601</v>
      </c>
      <c r="D14680" t="s">
        <v>442</v>
      </c>
      <c r="F14680">
        <v>0</v>
      </c>
      <c r="I14680">
        <v>360</v>
      </c>
      <c r="J14680" t="s">
        <v>450</v>
      </c>
      <c r="K14680" t="s">
        <v>446</v>
      </c>
      <c r="M14680">
        <v>0</v>
      </c>
    </row>
    <row r="14681" spans="1:13">
      <c r="A14681">
        <v>86379500</v>
      </c>
      <c r="B14681">
        <v>2008705</v>
      </c>
      <c r="C14681" t="s">
        <v>7602</v>
      </c>
      <c r="D14681" t="s">
        <v>442</v>
      </c>
      <c r="E14681" t="s">
        <v>441</v>
      </c>
      <c r="F14681">
        <v>0.01</v>
      </c>
      <c r="H14681" t="s">
        <v>8580</v>
      </c>
      <c r="I14681">
        <v>360</v>
      </c>
      <c r="J14681" t="s">
        <v>450</v>
      </c>
      <c r="K14681" t="s">
        <v>446</v>
      </c>
      <c r="M14681">
        <v>0</v>
      </c>
    </row>
    <row r="14682" spans="1:13">
      <c r="A14682">
        <v>86379600</v>
      </c>
      <c r="B14682">
        <v>2008704</v>
      </c>
      <c r="C14682" t="s">
        <v>7603</v>
      </c>
      <c r="D14682" t="s">
        <v>442</v>
      </c>
      <c r="E14682" t="s">
        <v>441</v>
      </c>
      <c r="F14682">
        <v>0.01</v>
      </c>
      <c r="I14682">
        <v>360</v>
      </c>
      <c r="J14682" t="s">
        <v>450</v>
      </c>
      <c r="K14682" t="s">
        <v>446</v>
      </c>
      <c r="M14682">
        <v>0</v>
      </c>
    </row>
    <row r="14683" spans="1:13">
      <c r="A14683">
        <v>86379700</v>
      </c>
      <c r="B14683">
        <v>2008736</v>
      </c>
      <c r="C14683" t="s">
        <v>7604</v>
      </c>
      <c r="D14683" t="s">
        <v>442</v>
      </c>
      <c r="F14683">
        <v>0</v>
      </c>
      <c r="H14683" t="s">
        <v>8580</v>
      </c>
      <c r="I14683">
        <v>360</v>
      </c>
      <c r="J14683" t="s">
        <v>450</v>
      </c>
      <c r="K14683" t="s">
        <v>446</v>
      </c>
      <c r="M14683">
        <v>0</v>
      </c>
    </row>
    <row r="14684" spans="1:13">
      <c r="A14684">
        <v>86379800</v>
      </c>
      <c r="B14684">
        <v>2008744</v>
      </c>
      <c r="C14684" t="s">
        <v>7605</v>
      </c>
      <c r="D14684" t="s">
        <v>442</v>
      </c>
      <c r="F14684">
        <v>0</v>
      </c>
      <c r="H14684" t="s">
        <v>8580</v>
      </c>
      <c r="I14684">
        <v>360</v>
      </c>
      <c r="J14684" t="s">
        <v>450</v>
      </c>
      <c r="K14684" t="s">
        <v>446</v>
      </c>
      <c r="M14684">
        <v>0</v>
      </c>
    </row>
    <row r="14685" spans="1:13">
      <c r="A14685">
        <v>86379900</v>
      </c>
      <c r="B14685">
        <v>2008806</v>
      </c>
      <c r="C14685" t="s">
        <v>17805</v>
      </c>
      <c r="D14685" t="s">
        <v>442</v>
      </c>
      <c r="F14685">
        <v>0</v>
      </c>
      <c r="H14685" t="s">
        <v>8935</v>
      </c>
      <c r="I14685">
        <v>360</v>
      </c>
      <c r="J14685" t="s">
        <v>450</v>
      </c>
      <c r="K14685" t="s">
        <v>446</v>
      </c>
      <c r="M14685">
        <v>0</v>
      </c>
    </row>
    <row r="14686" spans="1:13">
      <c r="A14686">
        <v>86380000</v>
      </c>
      <c r="B14686">
        <v>2007588</v>
      </c>
      <c r="C14686" t="s">
        <v>7606</v>
      </c>
      <c r="D14686" t="s">
        <v>442</v>
      </c>
      <c r="F14686">
        <v>0</v>
      </c>
      <c r="H14686" t="s">
        <v>8581</v>
      </c>
      <c r="I14686">
        <v>360</v>
      </c>
      <c r="J14686" t="s">
        <v>450</v>
      </c>
      <c r="K14686" t="s">
        <v>446</v>
      </c>
      <c r="M14686">
        <v>0</v>
      </c>
    </row>
    <row r="14687" spans="1:13">
      <c r="A14687">
        <v>86380100</v>
      </c>
      <c r="B14687">
        <v>2008796</v>
      </c>
      <c r="C14687" t="s">
        <v>7607</v>
      </c>
      <c r="D14687" t="s">
        <v>442</v>
      </c>
      <c r="E14687" t="s">
        <v>441</v>
      </c>
      <c r="F14687">
        <v>0.01</v>
      </c>
      <c r="H14687" t="s">
        <v>8580</v>
      </c>
      <c r="I14687">
        <v>360</v>
      </c>
      <c r="J14687" t="s">
        <v>450</v>
      </c>
      <c r="K14687" t="s">
        <v>446</v>
      </c>
      <c r="M14687">
        <v>0</v>
      </c>
    </row>
    <row r="14688" spans="1:13">
      <c r="A14688">
        <v>86380200</v>
      </c>
      <c r="B14688">
        <v>2008795</v>
      </c>
      <c r="C14688" t="s">
        <v>7608</v>
      </c>
      <c r="D14688" t="s">
        <v>442</v>
      </c>
      <c r="E14688" t="s">
        <v>441</v>
      </c>
      <c r="F14688">
        <v>0.01</v>
      </c>
      <c r="H14688" t="s">
        <v>8580</v>
      </c>
      <c r="I14688">
        <v>360</v>
      </c>
      <c r="J14688" t="s">
        <v>450</v>
      </c>
      <c r="K14688" t="s">
        <v>446</v>
      </c>
      <c r="M14688">
        <v>0</v>
      </c>
    </row>
    <row r="14689" spans="1:13">
      <c r="A14689">
        <v>86380300</v>
      </c>
      <c r="B14689">
        <v>2008783</v>
      </c>
      <c r="C14689" t="s">
        <v>7609</v>
      </c>
      <c r="D14689" t="s">
        <v>442</v>
      </c>
      <c r="F14689">
        <v>0</v>
      </c>
      <c r="H14689" t="s">
        <v>8580</v>
      </c>
      <c r="I14689">
        <v>360</v>
      </c>
      <c r="J14689" t="s">
        <v>450</v>
      </c>
      <c r="K14689" t="s">
        <v>446</v>
      </c>
      <c r="M14689">
        <v>0</v>
      </c>
    </row>
    <row r="14690" spans="1:13">
      <c r="A14690">
        <v>86380400</v>
      </c>
      <c r="B14690">
        <v>2008784</v>
      </c>
      <c r="C14690" t="s">
        <v>7610</v>
      </c>
      <c r="D14690" t="s">
        <v>442</v>
      </c>
      <c r="F14690">
        <v>0</v>
      </c>
      <c r="H14690" t="s">
        <v>8580</v>
      </c>
      <c r="I14690">
        <v>360</v>
      </c>
      <c r="J14690" t="s">
        <v>450</v>
      </c>
      <c r="K14690" t="s">
        <v>446</v>
      </c>
      <c r="M14690">
        <v>0</v>
      </c>
    </row>
    <row r="14691" spans="1:13">
      <c r="A14691">
        <v>86380500</v>
      </c>
      <c r="B14691">
        <v>2008831</v>
      </c>
      <c r="C14691" t="s">
        <v>7611</v>
      </c>
      <c r="D14691" t="s">
        <v>442</v>
      </c>
      <c r="F14691">
        <v>0</v>
      </c>
      <c r="H14691" t="s">
        <v>8935</v>
      </c>
      <c r="I14691">
        <v>360</v>
      </c>
      <c r="J14691" t="s">
        <v>450</v>
      </c>
      <c r="K14691" t="s">
        <v>446</v>
      </c>
      <c r="M14691">
        <v>0</v>
      </c>
    </row>
    <row r="14692" spans="1:13">
      <c r="A14692">
        <v>86380600</v>
      </c>
      <c r="B14692">
        <v>2008843</v>
      </c>
      <c r="C14692" t="s">
        <v>7612</v>
      </c>
      <c r="D14692" t="s">
        <v>442</v>
      </c>
      <c r="E14692" t="s">
        <v>441</v>
      </c>
      <c r="F14692">
        <v>0.01</v>
      </c>
      <c r="I14692">
        <v>360</v>
      </c>
      <c r="J14692" t="s">
        <v>450</v>
      </c>
      <c r="K14692" t="s">
        <v>446</v>
      </c>
      <c r="M14692">
        <v>0</v>
      </c>
    </row>
    <row r="14693" spans="1:13">
      <c r="A14693">
        <v>86380700</v>
      </c>
      <c r="B14693">
        <v>2008844</v>
      </c>
      <c r="C14693" t="s">
        <v>7613</v>
      </c>
      <c r="D14693" t="s">
        <v>442</v>
      </c>
      <c r="E14693" t="s">
        <v>441</v>
      </c>
      <c r="F14693">
        <v>0.01</v>
      </c>
      <c r="I14693">
        <v>360</v>
      </c>
      <c r="J14693" t="s">
        <v>450</v>
      </c>
      <c r="K14693" t="s">
        <v>446</v>
      </c>
      <c r="M14693">
        <v>0</v>
      </c>
    </row>
    <row r="14694" spans="1:13">
      <c r="A14694">
        <v>86380800</v>
      </c>
      <c r="B14694">
        <v>2008845</v>
      </c>
      <c r="C14694" t="s">
        <v>7614</v>
      </c>
      <c r="D14694" t="s">
        <v>442</v>
      </c>
      <c r="E14694" t="s">
        <v>441</v>
      </c>
      <c r="F14694">
        <v>0.01</v>
      </c>
      <c r="H14694" t="s">
        <v>8935</v>
      </c>
      <c r="I14694">
        <v>360</v>
      </c>
      <c r="J14694" t="s">
        <v>450</v>
      </c>
      <c r="K14694" t="s">
        <v>446</v>
      </c>
      <c r="M14694">
        <v>0</v>
      </c>
    </row>
    <row r="14695" spans="1:13">
      <c r="A14695">
        <v>86380900</v>
      </c>
      <c r="B14695">
        <v>2008846</v>
      </c>
      <c r="C14695" t="s">
        <v>7615</v>
      </c>
      <c r="D14695" t="s">
        <v>442</v>
      </c>
      <c r="F14695">
        <v>0</v>
      </c>
      <c r="H14695" t="s">
        <v>8935</v>
      </c>
      <c r="I14695">
        <v>360</v>
      </c>
      <c r="J14695" t="s">
        <v>450</v>
      </c>
      <c r="K14695" t="s">
        <v>446</v>
      </c>
      <c r="M14695">
        <v>0</v>
      </c>
    </row>
    <row r="14696" spans="1:13">
      <c r="A14696">
        <v>86381000</v>
      </c>
      <c r="B14696">
        <v>2007587</v>
      </c>
      <c r="C14696" t="s">
        <v>7616</v>
      </c>
      <c r="D14696" t="s">
        <v>442</v>
      </c>
      <c r="F14696">
        <v>0</v>
      </c>
      <c r="H14696" t="s">
        <v>8581</v>
      </c>
      <c r="I14696">
        <v>360</v>
      </c>
      <c r="J14696" t="s">
        <v>450</v>
      </c>
      <c r="K14696" t="s">
        <v>446</v>
      </c>
      <c r="M14696">
        <v>0</v>
      </c>
    </row>
    <row r="14697" spans="1:13">
      <c r="A14697">
        <v>86381100</v>
      </c>
      <c r="B14697">
        <v>2008847</v>
      </c>
      <c r="C14697" t="s">
        <v>7617</v>
      </c>
      <c r="D14697" t="s">
        <v>442</v>
      </c>
      <c r="F14697">
        <v>0</v>
      </c>
      <c r="H14697" t="s">
        <v>8935</v>
      </c>
      <c r="I14697">
        <v>360</v>
      </c>
      <c r="J14697" t="s">
        <v>450</v>
      </c>
      <c r="K14697" t="s">
        <v>446</v>
      </c>
      <c r="M14697">
        <v>0</v>
      </c>
    </row>
    <row r="14698" spans="1:13">
      <c r="A14698">
        <v>86381200</v>
      </c>
      <c r="B14698">
        <v>2008861</v>
      </c>
      <c r="C14698" t="s">
        <v>7618</v>
      </c>
      <c r="D14698" t="s">
        <v>442</v>
      </c>
      <c r="F14698">
        <v>0</v>
      </c>
      <c r="H14698" t="s">
        <v>8935</v>
      </c>
      <c r="I14698">
        <v>360</v>
      </c>
      <c r="J14698" t="s">
        <v>450</v>
      </c>
      <c r="K14698" t="s">
        <v>446</v>
      </c>
      <c r="M14698">
        <v>0</v>
      </c>
    </row>
    <row r="14699" spans="1:13">
      <c r="A14699">
        <v>86381300</v>
      </c>
      <c r="B14699">
        <v>2008871</v>
      </c>
      <c r="C14699" t="s">
        <v>7619</v>
      </c>
      <c r="D14699" t="s">
        <v>442</v>
      </c>
      <c r="F14699">
        <v>0</v>
      </c>
      <c r="I14699">
        <v>360</v>
      </c>
      <c r="J14699" t="s">
        <v>450</v>
      </c>
      <c r="K14699" t="s">
        <v>446</v>
      </c>
      <c r="M14699">
        <v>0</v>
      </c>
    </row>
    <row r="14700" spans="1:13">
      <c r="A14700">
        <v>86381400</v>
      </c>
      <c r="B14700">
        <v>2008872</v>
      </c>
      <c r="C14700" t="s">
        <v>7620</v>
      </c>
      <c r="D14700" t="s">
        <v>442</v>
      </c>
      <c r="E14700" t="s">
        <v>441</v>
      </c>
      <c r="F14700">
        <v>0.01</v>
      </c>
      <c r="H14700" t="s">
        <v>8935</v>
      </c>
      <c r="I14700">
        <v>360</v>
      </c>
      <c r="J14700" t="s">
        <v>450</v>
      </c>
      <c r="K14700" t="s">
        <v>446</v>
      </c>
      <c r="M14700">
        <v>0</v>
      </c>
    </row>
    <row r="14701" spans="1:13">
      <c r="A14701">
        <v>86381500</v>
      </c>
      <c r="B14701">
        <v>2008873</v>
      </c>
      <c r="C14701" t="s">
        <v>17238</v>
      </c>
      <c r="D14701" t="s">
        <v>442</v>
      </c>
      <c r="E14701" t="s">
        <v>441</v>
      </c>
      <c r="F14701">
        <v>0.01</v>
      </c>
      <c r="H14701" t="s">
        <v>8935</v>
      </c>
      <c r="I14701">
        <v>360</v>
      </c>
      <c r="J14701" t="s">
        <v>450</v>
      </c>
      <c r="M14701">
        <v>0</v>
      </c>
    </row>
    <row r="14702" spans="1:13">
      <c r="A14702">
        <v>86381600</v>
      </c>
      <c r="B14702">
        <v>2008859</v>
      </c>
      <c r="C14702" t="s">
        <v>7621</v>
      </c>
      <c r="D14702" t="s">
        <v>442</v>
      </c>
      <c r="F14702">
        <v>0</v>
      </c>
      <c r="H14702" t="s">
        <v>8935</v>
      </c>
      <c r="I14702">
        <v>360</v>
      </c>
      <c r="J14702" t="s">
        <v>450</v>
      </c>
      <c r="K14702" t="s">
        <v>446</v>
      </c>
      <c r="M14702">
        <v>0</v>
      </c>
    </row>
    <row r="14703" spans="1:13">
      <c r="A14703">
        <v>86381700</v>
      </c>
      <c r="B14703">
        <v>2008858</v>
      </c>
      <c r="C14703" t="s">
        <v>7622</v>
      </c>
      <c r="D14703" t="s">
        <v>442</v>
      </c>
      <c r="E14703" t="s">
        <v>441</v>
      </c>
      <c r="F14703">
        <v>0.01</v>
      </c>
      <c r="H14703" t="s">
        <v>8935</v>
      </c>
      <c r="I14703">
        <v>360</v>
      </c>
      <c r="J14703" t="s">
        <v>450</v>
      </c>
      <c r="K14703" t="s">
        <v>446</v>
      </c>
      <c r="M14703">
        <v>0</v>
      </c>
    </row>
    <row r="14704" spans="1:13">
      <c r="A14704">
        <v>86381800</v>
      </c>
      <c r="B14704">
        <v>2008857</v>
      </c>
      <c r="C14704" t="s">
        <v>7623</v>
      </c>
      <c r="D14704" t="s">
        <v>442</v>
      </c>
      <c r="F14704">
        <v>0</v>
      </c>
      <c r="H14704" t="s">
        <v>8935</v>
      </c>
      <c r="I14704">
        <v>360</v>
      </c>
      <c r="J14704" t="s">
        <v>450</v>
      </c>
      <c r="K14704" t="s">
        <v>446</v>
      </c>
      <c r="M14704">
        <v>0</v>
      </c>
    </row>
    <row r="14705" spans="1:13">
      <c r="A14705">
        <v>86381900</v>
      </c>
      <c r="B14705">
        <v>2008856</v>
      </c>
      <c r="C14705" t="s">
        <v>7624</v>
      </c>
      <c r="D14705" t="s">
        <v>442</v>
      </c>
      <c r="F14705">
        <v>0</v>
      </c>
      <c r="H14705" t="s">
        <v>8935</v>
      </c>
      <c r="I14705">
        <v>360</v>
      </c>
      <c r="J14705" t="s">
        <v>450</v>
      </c>
      <c r="K14705" t="s">
        <v>446</v>
      </c>
      <c r="M14705">
        <v>0</v>
      </c>
    </row>
    <row r="14706" spans="1:13">
      <c r="A14706">
        <v>86382000</v>
      </c>
      <c r="B14706">
        <v>2007586</v>
      </c>
      <c r="C14706" t="s">
        <v>7625</v>
      </c>
      <c r="D14706" t="s">
        <v>442</v>
      </c>
      <c r="F14706">
        <v>0</v>
      </c>
      <c r="H14706" t="s">
        <v>8581</v>
      </c>
      <c r="I14706">
        <v>360</v>
      </c>
      <c r="J14706" t="s">
        <v>450</v>
      </c>
      <c r="K14706" t="s">
        <v>446</v>
      </c>
      <c r="M14706">
        <v>0</v>
      </c>
    </row>
    <row r="14707" spans="1:13">
      <c r="A14707">
        <v>86382100</v>
      </c>
      <c r="B14707">
        <v>2008930</v>
      </c>
      <c r="C14707" t="s">
        <v>7626</v>
      </c>
      <c r="D14707" t="s">
        <v>442</v>
      </c>
      <c r="F14707">
        <v>0</v>
      </c>
      <c r="H14707" t="s">
        <v>8584</v>
      </c>
      <c r="I14707">
        <v>360</v>
      </c>
      <c r="J14707" t="s">
        <v>450</v>
      </c>
      <c r="K14707" t="s">
        <v>446</v>
      </c>
      <c r="M14707">
        <v>0</v>
      </c>
    </row>
    <row r="14708" spans="1:13">
      <c r="A14708">
        <v>86382200</v>
      </c>
      <c r="B14708">
        <v>2008931</v>
      </c>
      <c r="C14708" t="s">
        <v>7627</v>
      </c>
      <c r="D14708" t="s">
        <v>442</v>
      </c>
      <c r="F14708">
        <v>0</v>
      </c>
      <c r="I14708">
        <v>360</v>
      </c>
      <c r="J14708" t="s">
        <v>450</v>
      </c>
      <c r="K14708" t="s">
        <v>446</v>
      </c>
      <c r="M14708">
        <v>0</v>
      </c>
    </row>
    <row r="14709" spans="1:13">
      <c r="A14709">
        <v>86382300</v>
      </c>
      <c r="B14709">
        <v>2009027</v>
      </c>
      <c r="C14709" t="s">
        <v>7628</v>
      </c>
      <c r="D14709" t="s">
        <v>442</v>
      </c>
      <c r="F14709">
        <v>0</v>
      </c>
      <c r="I14709">
        <v>360</v>
      </c>
      <c r="J14709" t="s">
        <v>450</v>
      </c>
      <c r="K14709" t="s">
        <v>446</v>
      </c>
      <c r="M14709">
        <v>0</v>
      </c>
    </row>
    <row r="14710" spans="1:13">
      <c r="A14710">
        <v>86382400</v>
      </c>
      <c r="B14710">
        <v>2009026</v>
      </c>
      <c r="C14710" t="s">
        <v>7629</v>
      </c>
      <c r="D14710" t="s">
        <v>442</v>
      </c>
      <c r="F14710">
        <v>0</v>
      </c>
      <c r="I14710">
        <v>360</v>
      </c>
      <c r="J14710" t="s">
        <v>450</v>
      </c>
      <c r="K14710" t="s">
        <v>446</v>
      </c>
      <c r="M14710">
        <v>0</v>
      </c>
    </row>
    <row r="14711" spans="1:13">
      <c r="A14711">
        <v>86382500</v>
      </c>
      <c r="B14711">
        <v>2009025</v>
      </c>
      <c r="C14711" t="s">
        <v>7630</v>
      </c>
      <c r="D14711" t="s">
        <v>442</v>
      </c>
      <c r="F14711">
        <v>0</v>
      </c>
      <c r="I14711">
        <v>360</v>
      </c>
      <c r="J14711" t="s">
        <v>450</v>
      </c>
      <c r="K14711" t="s">
        <v>446</v>
      </c>
      <c r="M14711">
        <v>0</v>
      </c>
    </row>
    <row r="14712" spans="1:13">
      <c r="A14712">
        <v>86382600</v>
      </c>
      <c r="B14712">
        <v>2009024</v>
      </c>
      <c r="C14712" t="s">
        <v>7631</v>
      </c>
      <c r="D14712" t="s">
        <v>442</v>
      </c>
      <c r="F14712">
        <v>0</v>
      </c>
      <c r="I14712">
        <v>360</v>
      </c>
      <c r="J14712" t="s">
        <v>450</v>
      </c>
      <c r="K14712" t="s">
        <v>446</v>
      </c>
      <c r="M14712">
        <v>0</v>
      </c>
    </row>
    <row r="14713" spans="1:13">
      <c r="A14713">
        <v>86382700</v>
      </c>
      <c r="B14713">
        <v>2009023</v>
      </c>
      <c r="C14713" t="s">
        <v>7632</v>
      </c>
      <c r="D14713" t="s">
        <v>442</v>
      </c>
      <c r="F14713">
        <v>0</v>
      </c>
      <c r="I14713">
        <v>360</v>
      </c>
      <c r="J14713" t="s">
        <v>450</v>
      </c>
      <c r="K14713" t="s">
        <v>446</v>
      </c>
      <c r="M14713">
        <v>0</v>
      </c>
    </row>
    <row r="14714" spans="1:13">
      <c r="A14714">
        <v>86382800</v>
      </c>
      <c r="B14714">
        <v>2009022</v>
      </c>
      <c r="C14714" t="s">
        <v>7633</v>
      </c>
      <c r="D14714" t="s">
        <v>442</v>
      </c>
      <c r="F14714">
        <v>0</v>
      </c>
      <c r="I14714">
        <v>360</v>
      </c>
      <c r="J14714" t="s">
        <v>450</v>
      </c>
      <c r="K14714" t="s">
        <v>446</v>
      </c>
      <c r="M14714">
        <v>0</v>
      </c>
    </row>
    <row r="14715" spans="1:13">
      <c r="A14715">
        <v>86382900</v>
      </c>
      <c r="B14715">
        <v>2009021</v>
      </c>
      <c r="C14715" t="s">
        <v>7634</v>
      </c>
      <c r="D14715" t="s">
        <v>442</v>
      </c>
      <c r="F14715">
        <v>0</v>
      </c>
      <c r="I14715">
        <v>360</v>
      </c>
      <c r="J14715" t="s">
        <v>450</v>
      </c>
      <c r="K14715" t="s">
        <v>446</v>
      </c>
      <c r="M14715">
        <v>0</v>
      </c>
    </row>
    <row r="14716" spans="1:13">
      <c r="A14716">
        <v>86383000</v>
      </c>
      <c r="B14716">
        <v>2007592</v>
      </c>
      <c r="C14716" t="s">
        <v>7635</v>
      </c>
      <c r="D14716" t="s">
        <v>442</v>
      </c>
      <c r="F14716">
        <v>0</v>
      </c>
      <c r="H14716" t="s">
        <v>8581</v>
      </c>
      <c r="I14716">
        <v>360</v>
      </c>
      <c r="J14716" t="s">
        <v>450</v>
      </c>
      <c r="K14716" t="s">
        <v>446</v>
      </c>
      <c r="M14716">
        <v>0</v>
      </c>
    </row>
    <row r="14717" spans="1:13">
      <c r="A14717">
        <v>86383100</v>
      </c>
      <c r="B14717">
        <v>2009020</v>
      </c>
      <c r="C14717" t="s">
        <v>7636</v>
      </c>
      <c r="D14717" t="s">
        <v>442</v>
      </c>
      <c r="F14717">
        <v>0</v>
      </c>
      <c r="I14717">
        <v>360</v>
      </c>
      <c r="J14717" t="s">
        <v>450</v>
      </c>
      <c r="K14717" t="s">
        <v>446</v>
      </c>
      <c r="M14717">
        <v>0</v>
      </c>
    </row>
    <row r="14718" spans="1:13">
      <c r="A14718">
        <v>86383200</v>
      </c>
      <c r="B14718">
        <v>2009052</v>
      </c>
      <c r="C14718" t="s">
        <v>7637</v>
      </c>
      <c r="D14718" t="s">
        <v>442</v>
      </c>
      <c r="F14718">
        <v>0</v>
      </c>
      <c r="H14718" t="s">
        <v>8580</v>
      </c>
      <c r="I14718">
        <v>360</v>
      </c>
      <c r="J14718" t="s">
        <v>450</v>
      </c>
      <c r="K14718" t="s">
        <v>446</v>
      </c>
      <c r="M14718">
        <v>0</v>
      </c>
    </row>
    <row r="14719" spans="1:13">
      <c r="A14719">
        <v>86383300</v>
      </c>
      <c r="B14719">
        <v>2009051</v>
      </c>
      <c r="C14719" t="s">
        <v>7638</v>
      </c>
      <c r="D14719" t="s">
        <v>442</v>
      </c>
      <c r="F14719">
        <v>0</v>
      </c>
      <c r="H14719" t="s">
        <v>8580</v>
      </c>
      <c r="I14719">
        <v>360</v>
      </c>
      <c r="J14719" t="s">
        <v>450</v>
      </c>
      <c r="K14719" t="s">
        <v>446</v>
      </c>
      <c r="M14719">
        <v>0</v>
      </c>
    </row>
    <row r="14720" spans="1:13">
      <c r="A14720">
        <v>86383400</v>
      </c>
      <c r="B14720">
        <v>2009058</v>
      </c>
      <c r="C14720" t="s">
        <v>7639</v>
      </c>
      <c r="D14720" t="s">
        <v>442</v>
      </c>
      <c r="F14720">
        <v>0</v>
      </c>
      <c r="H14720" t="s">
        <v>8580</v>
      </c>
      <c r="I14720">
        <v>360</v>
      </c>
      <c r="J14720" t="s">
        <v>450</v>
      </c>
      <c r="K14720" t="s">
        <v>446</v>
      </c>
      <c r="M14720">
        <v>0</v>
      </c>
    </row>
    <row r="14721" spans="1:13">
      <c r="A14721">
        <v>86383500</v>
      </c>
      <c r="B14721">
        <v>2009078</v>
      </c>
      <c r="C14721" t="s">
        <v>17806</v>
      </c>
      <c r="D14721" t="s">
        <v>442</v>
      </c>
      <c r="F14721">
        <v>0</v>
      </c>
      <c r="I14721">
        <v>360</v>
      </c>
      <c r="J14721" t="s">
        <v>450</v>
      </c>
      <c r="M14721">
        <v>0</v>
      </c>
    </row>
    <row r="14722" spans="1:13">
      <c r="A14722">
        <v>86383600</v>
      </c>
      <c r="B14722">
        <v>2009077</v>
      </c>
      <c r="C14722" t="s">
        <v>15736</v>
      </c>
      <c r="D14722" t="s">
        <v>442</v>
      </c>
      <c r="F14722">
        <v>0</v>
      </c>
      <c r="I14722">
        <v>360</v>
      </c>
      <c r="J14722" t="s">
        <v>450</v>
      </c>
      <c r="K14722" t="s">
        <v>446</v>
      </c>
      <c r="M14722">
        <v>0</v>
      </c>
    </row>
    <row r="14723" spans="1:13">
      <c r="A14723">
        <v>86383700</v>
      </c>
      <c r="B14723">
        <v>2009076</v>
      </c>
      <c r="C14723" t="s">
        <v>7640</v>
      </c>
      <c r="D14723" t="s">
        <v>442</v>
      </c>
      <c r="E14723" t="s">
        <v>441</v>
      </c>
      <c r="F14723">
        <v>0.01</v>
      </c>
      <c r="I14723">
        <v>360</v>
      </c>
      <c r="J14723" t="s">
        <v>450</v>
      </c>
      <c r="K14723" t="s">
        <v>446</v>
      </c>
      <c r="M14723">
        <v>3805</v>
      </c>
    </row>
    <row r="14724" spans="1:13">
      <c r="A14724">
        <v>86383800</v>
      </c>
      <c r="B14724">
        <v>2009075</v>
      </c>
      <c r="C14724" t="s">
        <v>7641</v>
      </c>
      <c r="D14724" t="s">
        <v>442</v>
      </c>
      <c r="E14724" t="s">
        <v>441</v>
      </c>
      <c r="F14724">
        <v>0.01</v>
      </c>
      <c r="H14724" t="s">
        <v>8624</v>
      </c>
      <c r="I14724">
        <v>360</v>
      </c>
      <c r="J14724" t="s">
        <v>450</v>
      </c>
      <c r="K14724" t="s">
        <v>446</v>
      </c>
      <c r="M14724">
        <v>3805</v>
      </c>
    </row>
    <row r="14725" spans="1:13">
      <c r="A14725">
        <v>86383900</v>
      </c>
      <c r="B14725">
        <v>2009074</v>
      </c>
      <c r="C14725" t="s">
        <v>7642</v>
      </c>
      <c r="D14725" t="s">
        <v>442</v>
      </c>
      <c r="E14725" t="s">
        <v>441</v>
      </c>
      <c r="F14725">
        <v>0.01</v>
      </c>
      <c r="H14725" t="s">
        <v>8583</v>
      </c>
      <c r="I14725">
        <v>360</v>
      </c>
      <c r="J14725" t="s">
        <v>450</v>
      </c>
      <c r="K14725" t="s">
        <v>446</v>
      </c>
      <c r="M14725">
        <v>3805</v>
      </c>
    </row>
    <row r="14726" spans="1:13">
      <c r="A14726">
        <v>86384000</v>
      </c>
      <c r="B14726">
        <v>2007591</v>
      </c>
      <c r="C14726" t="s">
        <v>7643</v>
      </c>
      <c r="D14726" t="s">
        <v>442</v>
      </c>
      <c r="F14726">
        <v>0</v>
      </c>
      <c r="H14726" t="s">
        <v>8581</v>
      </c>
      <c r="I14726">
        <v>360</v>
      </c>
      <c r="J14726" t="s">
        <v>450</v>
      </c>
      <c r="K14726" t="s">
        <v>446</v>
      </c>
      <c r="M14726">
        <v>0</v>
      </c>
    </row>
    <row r="14727" spans="1:13">
      <c r="A14727">
        <v>86384100</v>
      </c>
      <c r="B14727">
        <v>2009073</v>
      </c>
      <c r="C14727" t="s">
        <v>7644</v>
      </c>
      <c r="D14727" t="s">
        <v>442</v>
      </c>
      <c r="E14727" t="s">
        <v>441</v>
      </c>
      <c r="F14727">
        <v>0.01</v>
      </c>
      <c r="H14727" t="s">
        <v>8583</v>
      </c>
      <c r="I14727">
        <v>360</v>
      </c>
      <c r="J14727" t="s">
        <v>450</v>
      </c>
      <c r="K14727" t="s">
        <v>446</v>
      </c>
      <c r="M14727">
        <v>3805</v>
      </c>
    </row>
    <row r="14728" spans="1:13">
      <c r="A14728">
        <v>86384200</v>
      </c>
      <c r="B14728">
        <v>2009072</v>
      </c>
      <c r="C14728" t="s">
        <v>7645</v>
      </c>
      <c r="D14728" t="s">
        <v>442</v>
      </c>
      <c r="E14728" t="s">
        <v>441</v>
      </c>
      <c r="F14728">
        <v>0.01</v>
      </c>
      <c r="I14728">
        <v>360</v>
      </c>
      <c r="J14728" t="s">
        <v>450</v>
      </c>
      <c r="K14728" t="s">
        <v>446</v>
      </c>
      <c r="M14728">
        <v>3805</v>
      </c>
    </row>
    <row r="14729" spans="1:13">
      <c r="A14729">
        <v>86384300</v>
      </c>
      <c r="B14729">
        <v>2009071</v>
      </c>
      <c r="C14729" t="s">
        <v>7646</v>
      </c>
      <c r="D14729" t="s">
        <v>442</v>
      </c>
      <c r="E14729" t="s">
        <v>441</v>
      </c>
      <c r="F14729">
        <v>0.01</v>
      </c>
      <c r="I14729">
        <v>360</v>
      </c>
      <c r="J14729" t="s">
        <v>450</v>
      </c>
      <c r="K14729" t="s">
        <v>446</v>
      </c>
      <c r="M14729">
        <v>3805</v>
      </c>
    </row>
    <row r="14730" spans="1:13">
      <c r="A14730">
        <v>86384400</v>
      </c>
      <c r="B14730">
        <v>2009066</v>
      </c>
      <c r="C14730" t="s">
        <v>7647</v>
      </c>
      <c r="D14730" t="s">
        <v>442</v>
      </c>
      <c r="E14730" t="s">
        <v>441</v>
      </c>
      <c r="F14730">
        <v>0.01</v>
      </c>
      <c r="H14730" t="s">
        <v>8580</v>
      </c>
      <c r="I14730">
        <v>360</v>
      </c>
      <c r="J14730" t="s">
        <v>450</v>
      </c>
      <c r="K14730" t="s">
        <v>446</v>
      </c>
      <c r="M14730">
        <v>3805</v>
      </c>
    </row>
    <row r="14731" spans="1:13">
      <c r="A14731">
        <v>86384500</v>
      </c>
      <c r="B14731">
        <v>2009065</v>
      </c>
      <c r="C14731" t="s">
        <v>17239</v>
      </c>
      <c r="D14731" t="s">
        <v>442</v>
      </c>
      <c r="F14731">
        <v>0</v>
      </c>
      <c r="I14731">
        <v>360</v>
      </c>
      <c r="J14731" t="s">
        <v>450</v>
      </c>
      <c r="K14731" t="s">
        <v>446</v>
      </c>
      <c r="M14731">
        <v>0</v>
      </c>
    </row>
    <row r="14732" spans="1:13">
      <c r="A14732">
        <v>86384600</v>
      </c>
      <c r="B14732">
        <v>2009064</v>
      </c>
      <c r="C14732" t="s">
        <v>7648</v>
      </c>
      <c r="D14732" t="s">
        <v>442</v>
      </c>
      <c r="E14732" t="s">
        <v>441</v>
      </c>
      <c r="F14732">
        <v>0.01</v>
      </c>
      <c r="I14732">
        <v>360</v>
      </c>
      <c r="J14732" t="s">
        <v>450</v>
      </c>
      <c r="K14732" t="s">
        <v>446</v>
      </c>
      <c r="M14732">
        <v>3805</v>
      </c>
    </row>
    <row r="14733" spans="1:13">
      <c r="A14733">
        <v>86384700</v>
      </c>
      <c r="B14733">
        <v>2009079</v>
      </c>
      <c r="C14733" t="s">
        <v>15737</v>
      </c>
      <c r="D14733" t="s">
        <v>442</v>
      </c>
      <c r="F14733">
        <v>0</v>
      </c>
      <c r="I14733">
        <v>360</v>
      </c>
      <c r="J14733" t="s">
        <v>450</v>
      </c>
      <c r="K14733" t="s">
        <v>446</v>
      </c>
      <c r="M14733">
        <v>0</v>
      </c>
    </row>
    <row r="14734" spans="1:13">
      <c r="A14734">
        <v>86384800</v>
      </c>
      <c r="B14734">
        <v>2009090</v>
      </c>
      <c r="C14734" t="s">
        <v>15738</v>
      </c>
      <c r="D14734" t="s">
        <v>442</v>
      </c>
      <c r="F14734">
        <v>0</v>
      </c>
      <c r="H14734" t="s">
        <v>8580</v>
      </c>
      <c r="I14734">
        <v>360</v>
      </c>
      <c r="J14734" t="s">
        <v>450</v>
      </c>
      <c r="K14734" t="s">
        <v>446</v>
      </c>
      <c r="M14734">
        <v>0</v>
      </c>
    </row>
    <row r="14735" spans="1:13">
      <c r="A14735">
        <v>86384900</v>
      </c>
      <c r="B14735">
        <v>2009091</v>
      </c>
      <c r="C14735" t="s">
        <v>7649</v>
      </c>
      <c r="D14735" t="s">
        <v>442</v>
      </c>
      <c r="E14735" t="s">
        <v>441</v>
      </c>
      <c r="F14735">
        <v>0.01</v>
      </c>
      <c r="H14735" t="s">
        <v>8580</v>
      </c>
      <c r="I14735">
        <v>360</v>
      </c>
      <c r="J14735" t="s">
        <v>450</v>
      </c>
      <c r="K14735" t="s">
        <v>446</v>
      </c>
      <c r="M14735">
        <v>3805</v>
      </c>
    </row>
    <row r="14736" spans="1:13">
      <c r="A14736">
        <v>86385000</v>
      </c>
      <c r="B14736">
        <v>2007626</v>
      </c>
      <c r="C14736" t="s">
        <v>7650</v>
      </c>
      <c r="D14736" t="s">
        <v>442</v>
      </c>
      <c r="F14736">
        <v>0</v>
      </c>
      <c r="H14736" t="s">
        <v>13782</v>
      </c>
      <c r="I14736">
        <v>360</v>
      </c>
      <c r="J14736" t="s">
        <v>450</v>
      </c>
      <c r="K14736" t="s">
        <v>446</v>
      </c>
      <c r="M14736">
        <v>0</v>
      </c>
    </row>
    <row r="14737" spans="1:13">
      <c r="A14737">
        <v>86385100</v>
      </c>
      <c r="B14737">
        <v>2009092</v>
      </c>
      <c r="C14737" t="s">
        <v>7651</v>
      </c>
      <c r="D14737" t="s">
        <v>442</v>
      </c>
      <c r="E14737" t="s">
        <v>441</v>
      </c>
      <c r="F14737">
        <v>0.01</v>
      </c>
      <c r="H14737" t="s">
        <v>8580</v>
      </c>
      <c r="I14737">
        <v>360</v>
      </c>
      <c r="J14737" t="s">
        <v>450</v>
      </c>
      <c r="K14737" t="s">
        <v>446</v>
      </c>
      <c r="M14737">
        <v>3805</v>
      </c>
    </row>
    <row r="14738" spans="1:13">
      <c r="A14738">
        <v>86385200</v>
      </c>
      <c r="B14738">
        <v>2009093</v>
      </c>
      <c r="C14738" t="s">
        <v>7652</v>
      </c>
      <c r="D14738" t="s">
        <v>442</v>
      </c>
      <c r="E14738" t="s">
        <v>441</v>
      </c>
      <c r="F14738">
        <v>0.01</v>
      </c>
      <c r="H14738" t="s">
        <v>8580</v>
      </c>
      <c r="I14738">
        <v>360</v>
      </c>
      <c r="J14738" t="s">
        <v>450</v>
      </c>
      <c r="K14738" t="s">
        <v>446</v>
      </c>
      <c r="M14738">
        <v>3805</v>
      </c>
    </row>
    <row r="14739" spans="1:13">
      <c r="A14739">
        <v>86385300</v>
      </c>
      <c r="B14739">
        <v>2009094</v>
      </c>
      <c r="C14739" t="s">
        <v>7653</v>
      </c>
      <c r="D14739" t="s">
        <v>442</v>
      </c>
      <c r="E14739" t="s">
        <v>441</v>
      </c>
      <c r="F14739">
        <v>0.01</v>
      </c>
      <c r="H14739" t="s">
        <v>8580</v>
      </c>
      <c r="I14739">
        <v>360</v>
      </c>
      <c r="J14739" t="s">
        <v>450</v>
      </c>
      <c r="K14739" t="s">
        <v>446</v>
      </c>
      <c r="M14739">
        <v>3805</v>
      </c>
    </row>
    <row r="14740" spans="1:13">
      <c r="A14740">
        <v>86385400</v>
      </c>
      <c r="B14740">
        <v>2009095</v>
      </c>
      <c r="C14740" t="s">
        <v>7654</v>
      </c>
      <c r="D14740" t="s">
        <v>442</v>
      </c>
      <c r="E14740" t="s">
        <v>441</v>
      </c>
      <c r="F14740">
        <v>0.01</v>
      </c>
      <c r="H14740" t="s">
        <v>8580</v>
      </c>
      <c r="I14740">
        <v>360</v>
      </c>
      <c r="J14740" t="s">
        <v>450</v>
      </c>
      <c r="K14740" t="s">
        <v>446</v>
      </c>
      <c r="M14740">
        <v>3805</v>
      </c>
    </row>
    <row r="14741" spans="1:13">
      <c r="A14741">
        <v>86385500</v>
      </c>
      <c r="B14741">
        <v>2006050</v>
      </c>
      <c r="C14741" t="s">
        <v>7655</v>
      </c>
      <c r="D14741" t="s">
        <v>442</v>
      </c>
      <c r="E14741" t="s">
        <v>441</v>
      </c>
      <c r="F14741">
        <v>1E-3</v>
      </c>
      <c r="H14741" t="s">
        <v>8581</v>
      </c>
      <c r="I14741">
        <v>730</v>
      </c>
      <c r="J14741" t="s">
        <v>450</v>
      </c>
      <c r="K14741" t="s">
        <v>446</v>
      </c>
      <c r="M14741">
        <v>0</v>
      </c>
    </row>
    <row r="14742" spans="1:13">
      <c r="A14742">
        <v>86385600</v>
      </c>
      <c r="B14742">
        <v>2009192</v>
      </c>
      <c r="C14742" t="s">
        <v>7656</v>
      </c>
      <c r="D14742" t="s">
        <v>442</v>
      </c>
      <c r="F14742">
        <v>0</v>
      </c>
      <c r="H14742" t="s">
        <v>8935</v>
      </c>
      <c r="I14742">
        <v>360</v>
      </c>
      <c r="J14742" t="s">
        <v>450</v>
      </c>
      <c r="K14742" t="s">
        <v>446</v>
      </c>
      <c r="M14742">
        <v>0</v>
      </c>
    </row>
    <row r="14743" spans="1:13">
      <c r="A14743">
        <v>86385700</v>
      </c>
      <c r="B14743">
        <v>2009190</v>
      </c>
      <c r="C14743" t="s">
        <v>7657</v>
      </c>
      <c r="D14743" t="s">
        <v>442</v>
      </c>
      <c r="E14743" t="s">
        <v>441</v>
      </c>
      <c r="F14743">
        <v>0.01</v>
      </c>
      <c r="H14743" t="s">
        <v>8935</v>
      </c>
      <c r="I14743">
        <v>360</v>
      </c>
      <c r="J14743" t="s">
        <v>450</v>
      </c>
      <c r="K14743" t="s">
        <v>446</v>
      </c>
      <c r="M14743">
        <v>0</v>
      </c>
    </row>
    <row r="14744" spans="1:13">
      <c r="A14744">
        <v>86385800</v>
      </c>
      <c r="B14744">
        <v>2009119</v>
      </c>
      <c r="C14744" t="s">
        <v>17240</v>
      </c>
      <c r="D14744" t="s">
        <v>442</v>
      </c>
      <c r="E14744" t="s">
        <v>441</v>
      </c>
      <c r="F14744">
        <v>1E-3</v>
      </c>
      <c r="I14744">
        <v>360</v>
      </c>
      <c r="J14744" t="s">
        <v>450</v>
      </c>
      <c r="M14744">
        <v>0</v>
      </c>
    </row>
    <row r="14745" spans="1:13">
      <c r="A14745">
        <v>86385900</v>
      </c>
      <c r="B14745">
        <v>2009273</v>
      </c>
      <c r="C14745" t="s">
        <v>7658</v>
      </c>
      <c r="D14745" t="s">
        <v>442</v>
      </c>
      <c r="F14745">
        <v>0</v>
      </c>
      <c r="H14745" t="s">
        <v>8580</v>
      </c>
      <c r="I14745">
        <v>360</v>
      </c>
      <c r="J14745" t="s">
        <v>450</v>
      </c>
      <c r="K14745" t="s">
        <v>446</v>
      </c>
      <c r="M14745">
        <v>0</v>
      </c>
    </row>
    <row r="14746" spans="1:13">
      <c r="A14746">
        <v>86386000</v>
      </c>
      <c r="B14746">
        <v>2007539</v>
      </c>
      <c r="C14746" t="s">
        <v>7659</v>
      </c>
      <c r="D14746" t="s">
        <v>442</v>
      </c>
      <c r="F14746">
        <v>0</v>
      </c>
      <c r="H14746" t="s">
        <v>8581</v>
      </c>
      <c r="I14746">
        <v>360</v>
      </c>
      <c r="J14746" t="s">
        <v>450</v>
      </c>
      <c r="K14746" t="s">
        <v>446</v>
      </c>
      <c r="M14746">
        <v>0</v>
      </c>
    </row>
    <row r="14747" spans="1:13">
      <c r="A14747">
        <v>86386100</v>
      </c>
      <c r="B14747">
        <v>2009274</v>
      </c>
      <c r="C14747" t="s">
        <v>7660</v>
      </c>
      <c r="D14747" t="s">
        <v>442</v>
      </c>
      <c r="E14747" t="s">
        <v>441</v>
      </c>
      <c r="F14747">
        <v>0.01</v>
      </c>
      <c r="H14747" t="s">
        <v>8580</v>
      </c>
      <c r="I14747">
        <v>360</v>
      </c>
      <c r="J14747" t="s">
        <v>450</v>
      </c>
      <c r="K14747" t="s">
        <v>446</v>
      </c>
      <c r="M14747">
        <v>0</v>
      </c>
    </row>
    <row r="14748" spans="1:13">
      <c r="A14748">
        <v>86386200</v>
      </c>
      <c r="B14748">
        <v>2009156</v>
      </c>
      <c r="C14748" t="s">
        <v>7661</v>
      </c>
      <c r="D14748" t="s">
        <v>442</v>
      </c>
      <c r="F14748">
        <v>0</v>
      </c>
      <c r="H14748" t="s">
        <v>8935</v>
      </c>
      <c r="I14748">
        <v>360</v>
      </c>
      <c r="J14748" t="s">
        <v>450</v>
      </c>
      <c r="K14748" t="s">
        <v>446</v>
      </c>
      <c r="M14748">
        <v>0</v>
      </c>
    </row>
    <row r="14749" spans="1:13">
      <c r="A14749">
        <v>86386300</v>
      </c>
      <c r="B14749">
        <v>2009298</v>
      </c>
      <c r="C14749" t="s">
        <v>7662</v>
      </c>
      <c r="D14749" t="s">
        <v>442</v>
      </c>
      <c r="F14749">
        <v>0</v>
      </c>
      <c r="H14749" t="s">
        <v>8580</v>
      </c>
      <c r="I14749">
        <v>360</v>
      </c>
      <c r="J14749" t="s">
        <v>450</v>
      </c>
      <c r="K14749" t="s">
        <v>446</v>
      </c>
      <c r="M14749">
        <v>0</v>
      </c>
    </row>
    <row r="14750" spans="1:13">
      <c r="A14750">
        <v>86386400</v>
      </c>
      <c r="B14750">
        <v>2009315</v>
      </c>
      <c r="C14750" t="s">
        <v>7663</v>
      </c>
      <c r="D14750" t="s">
        <v>442</v>
      </c>
      <c r="F14750">
        <v>0</v>
      </c>
      <c r="I14750">
        <v>360</v>
      </c>
      <c r="J14750" t="s">
        <v>450</v>
      </c>
      <c r="K14750" t="s">
        <v>446</v>
      </c>
      <c r="M14750">
        <v>0</v>
      </c>
    </row>
    <row r="14751" spans="1:13">
      <c r="A14751">
        <v>86386600</v>
      </c>
      <c r="B14751">
        <v>2009282</v>
      </c>
      <c r="C14751" t="s">
        <v>7664</v>
      </c>
      <c r="D14751" t="s">
        <v>442</v>
      </c>
      <c r="F14751">
        <v>0</v>
      </c>
      <c r="H14751" t="s">
        <v>8580</v>
      </c>
      <c r="I14751">
        <v>360</v>
      </c>
      <c r="J14751" t="s">
        <v>450</v>
      </c>
      <c r="K14751" t="s">
        <v>446</v>
      </c>
      <c r="M14751">
        <v>0</v>
      </c>
    </row>
    <row r="14752" spans="1:13">
      <c r="A14752">
        <v>86386700</v>
      </c>
      <c r="B14752">
        <v>2009264</v>
      </c>
      <c r="C14752" t="s">
        <v>7665</v>
      </c>
      <c r="D14752" t="s">
        <v>442</v>
      </c>
      <c r="E14752" t="s">
        <v>441</v>
      </c>
      <c r="F14752">
        <v>0.01</v>
      </c>
      <c r="I14752">
        <v>360</v>
      </c>
      <c r="J14752" t="s">
        <v>450</v>
      </c>
      <c r="K14752" t="s">
        <v>446</v>
      </c>
      <c r="M14752">
        <v>0</v>
      </c>
    </row>
    <row r="14753" spans="1:13">
      <c r="A14753">
        <v>86386800</v>
      </c>
      <c r="B14753">
        <v>2009263</v>
      </c>
      <c r="C14753" t="s">
        <v>7666</v>
      </c>
      <c r="D14753" t="s">
        <v>442</v>
      </c>
      <c r="E14753" t="s">
        <v>441</v>
      </c>
      <c r="F14753">
        <v>0.01</v>
      </c>
      <c r="I14753">
        <v>360</v>
      </c>
      <c r="J14753" t="s">
        <v>450</v>
      </c>
      <c r="K14753" t="s">
        <v>446</v>
      </c>
      <c r="M14753">
        <v>0</v>
      </c>
    </row>
    <row r="14754" spans="1:13">
      <c r="A14754">
        <v>86386900</v>
      </c>
      <c r="B14754">
        <v>2009266</v>
      </c>
      <c r="C14754" t="s">
        <v>7667</v>
      </c>
      <c r="D14754" t="s">
        <v>442</v>
      </c>
      <c r="F14754">
        <v>0</v>
      </c>
      <c r="I14754">
        <v>360</v>
      </c>
      <c r="J14754" t="s">
        <v>450</v>
      </c>
      <c r="K14754" t="s">
        <v>446</v>
      </c>
      <c r="M14754">
        <v>0</v>
      </c>
    </row>
    <row r="14755" spans="1:13">
      <c r="A14755">
        <v>86387000</v>
      </c>
      <c r="B14755">
        <v>2007659</v>
      </c>
      <c r="C14755" t="s">
        <v>7668</v>
      </c>
      <c r="D14755" t="s">
        <v>442</v>
      </c>
      <c r="E14755" t="s">
        <v>441</v>
      </c>
      <c r="F14755">
        <v>1E-3</v>
      </c>
      <c r="H14755" t="s">
        <v>8581</v>
      </c>
      <c r="I14755">
        <v>360</v>
      </c>
      <c r="J14755" t="s">
        <v>450</v>
      </c>
      <c r="K14755" t="s">
        <v>446</v>
      </c>
      <c r="M14755">
        <v>0</v>
      </c>
    </row>
    <row r="14756" spans="1:13">
      <c r="A14756">
        <v>86387100</v>
      </c>
      <c r="B14756">
        <v>2009265</v>
      </c>
      <c r="C14756" t="s">
        <v>7669</v>
      </c>
      <c r="D14756" t="s">
        <v>442</v>
      </c>
      <c r="E14756" t="s">
        <v>441</v>
      </c>
      <c r="F14756">
        <v>0.01</v>
      </c>
      <c r="I14756">
        <v>360</v>
      </c>
      <c r="J14756" t="s">
        <v>450</v>
      </c>
      <c r="K14756" t="s">
        <v>446</v>
      </c>
      <c r="M14756">
        <v>0</v>
      </c>
    </row>
    <row r="14757" spans="1:13">
      <c r="A14757">
        <v>86387200</v>
      </c>
      <c r="B14757">
        <v>2009352</v>
      </c>
      <c r="C14757" t="s">
        <v>7670</v>
      </c>
      <c r="D14757" t="s">
        <v>442</v>
      </c>
      <c r="F14757">
        <v>0</v>
      </c>
      <c r="I14757">
        <v>360</v>
      </c>
      <c r="J14757" t="s">
        <v>450</v>
      </c>
      <c r="K14757" t="s">
        <v>446</v>
      </c>
      <c r="M14757">
        <v>0</v>
      </c>
    </row>
    <row r="14758" spans="1:13">
      <c r="A14758">
        <v>86387300</v>
      </c>
      <c r="B14758">
        <v>2009354</v>
      </c>
      <c r="C14758" t="s">
        <v>7671</v>
      </c>
      <c r="D14758" t="s">
        <v>442</v>
      </c>
      <c r="F14758">
        <v>0</v>
      </c>
      <c r="I14758">
        <v>360</v>
      </c>
      <c r="J14758" t="s">
        <v>450</v>
      </c>
      <c r="K14758" t="s">
        <v>446</v>
      </c>
      <c r="M14758">
        <v>0</v>
      </c>
    </row>
    <row r="14759" spans="1:13">
      <c r="A14759">
        <v>86387400</v>
      </c>
      <c r="B14759">
        <v>2009325</v>
      </c>
      <c r="C14759" t="s">
        <v>7672</v>
      </c>
      <c r="D14759" t="s">
        <v>442</v>
      </c>
      <c r="F14759">
        <v>0</v>
      </c>
      <c r="H14759" t="s">
        <v>8935</v>
      </c>
      <c r="I14759">
        <v>360</v>
      </c>
      <c r="J14759" t="s">
        <v>450</v>
      </c>
      <c r="K14759" t="s">
        <v>446</v>
      </c>
      <c r="M14759">
        <v>0</v>
      </c>
    </row>
    <row r="14760" spans="1:13">
      <c r="A14760">
        <v>86387500</v>
      </c>
      <c r="B14760">
        <v>2009327</v>
      </c>
      <c r="C14760" t="s">
        <v>15739</v>
      </c>
      <c r="D14760" t="s">
        <v>442</v>
      </c>
      <c r="F14760">
        <v>0</v>
      </c>
      <c r="H14760" t="s">
        <v>8935</v>
      </c>
      <c r="I14760">
        <v>360</v>
      </c>
      <c r="J14760" t="s">
        <v>450</v>
      </c>
      <c r="M14760">
        <v>0</v>
      </c>
    </row>
    <row r="14761" spans="1:13">
      <c r="A14761">
        <v>86387600</v>
      </c>
      <c r="B14761">
        <v>2009326</v>
      </c>
      <c r="C14761" t="s">
        <v>7673</v>
      </c>
      <c r="D14761" t="s">
        <v>442</v>
      </c>
      <c r="F14761">
        <v>0</v>
      </c>
      <c r="H14761" t="s">
        <v>8935</v>
      </c>
      <c r="I14761">
        <v>360</v>
      </c>
      <c r="J14761" t="s">
        <v>450</v>
      </c>
      <c r="K14761" t="s">
        <v>446</v>
      </c>
      <c r="M14761">
        <v>0</v>
      </c>
    </row>
    <row r="14762" spans="1:13">
      <c r="A14762">
        <v>86387700</v>
      </c>
      <c r="B14762">
        <v>2009328</v>
      </c>
      <c r="C14762" t="s">
        <v>7674</v>
      </c>
      <c r="D14762" t="s">
        <v>442</v>
      </c>
      <c r="F14762">
        <v>0</v>
      </c>
      <c r="H14762" t="s">
        <v>8580</v>
      </c>
      <c r="I14762">
        <v>360</v>
      </c>
      <c r="J14762" t="s">
        <v>450</v>
      </c>
      <c r="K14762" t="s">
        <v>446</v>
      </c>
      <c r="M14762">
        <v>0</v>
      </c>
    </row>
    <row r="14763" spans="1:13">
      <c r="A14763">
        <v>86387800</v>
      </c>
      <c r="B14763">
        <v>2009329</v>
      </c>
      <c r="C14763" t="s">
        <v>7675</v>
      </c>
      <c r="D14763" t="s">
        <v>442</v>
      </c>
      <c r="F14763">
        <v>0</v>
      </c>
      <c r="H14763" t="s">
        <v>8580</v>
      </c>
      <c r="I14763">
        <v>360</v>
      </c>
      <c r="J14763" t="s">
        <v>450</v>
      </c>
      <c r="K14763" t="s">
        <v>446</v>
      </c>
      <c r="M14763">
        <v>0</v>
      </c>
    </row>
    <row r="14764" spans="1:13">
      <c r="A14764">
        <v>86387900</v>
      </c>
      <c r="B14764">
        <v>2009324</v>
      </c>
      <c r="C14764" t="s">
        <v>7676</v>
      </c>
      <c r="D14764" t="s">
        <v>442</v>
      </c>
      <c r="F14764">
        <v>0</v>
      </c>
      <c r="I14764">
        <v>360</v>
      </c>
      <c r="J14764" t="s">
        <v>450</v>
      </c>
      <c r="K14764" t="s">
        <v>446</v>
      </c>
      <c r="M14764">
        <v>0</v>
      </c>
    </row>
    <row r="14765" spans="1:13">
      <c r="A14765">
        <v>86388000</v>
      </c>
      <c r="B14765">
        <v>2007670</v>
      </c>
      <c r="C14765" t="s">
        <v>7677</v>
      </c>
      <c r="D14765" t="s">
        <v>442</v>
      </c>
      <c r="E14765" t="s">
        <v>441</v>
      </c>
      <c r="F14765">
        <v>1E-3</v>
      </c>
      <c r="H14765" t="s">
        <v>8581</v>
      </c>
      <c r="I14765">
        <v>360</v>
      </c>
      <c r="J14765" t="s">
        <v>450</v>
      </c>
      <c r="K14765" t="s">
        <v>446</v>
      </c>
      <c r="M14765">
        <v>0</v>
      </c>
    </row>
    <row r="14766" spans="1:13">
      <c r="A14766">
        <v>86388100</v>
      </c>
      <c r="B14766">
        <v>2009323</v>
      </c>
      <c r="C14766" t="s">
        <v>7678</v>
      </c>
      <c r="D14766" t="s">
        <v>442</v>
      </c>
      <c r="F14766">
        <v>0</v>
      </c>
      <c r="I14766">
        <v>360</v>
      </c>
      <c r="J14766" t="s">
        <v>450</v>
      </c>
      <c r="K14766" t="s">
        <v>446</v>
      </c>
      <c r="M14766">
        <v>0</v>
      </c>
    </row>
    <row r="14767" spans="1:13">
      <c r="A14767">
        <v>86388300</v>
      </c>
      <c r="B14767">
        <v>2009426</v>
      </c>
      <c r="C14767" t="s">
        <v>7679</v>
      </c>
      <c r="D14767" t="s">
        <v>442</v>
      </c>
      <c r="F14767">
        <v>0</v>
      </c>
      <c r="H14767" t="s">
        <v>8580</v>
      </c>
      <c r="I14767">
        <v>360</v>
      </c>
      <c r="J14767" t="s">
        <v>450</v>
      </c>
      <c r="K14767" t="s">
        <v>446</v>
      </c>
      <c r="M14767">
        <v>0</v>
      </c>
    </row>
    <row r="14768" spans="1:13">
      <c r="A14768">
        <v>86388400</v>
      </c>
      <c r="B14768">
        <v>2009368</v>
      </c>
      <c r="C14768" t="s">
        <v>7680</v>
      </c>
      <c r="D14768" t="s">
        <v>442</v>
      </c>
      <c r="F14768">
        <v>0</v>
      </c>
      <c r="I14768">
        <v>360</v>
      </c>
      <c r="J14768" t="s">
        <v>450</v>
      </c>
      <c r="K14768" t="s">
        <v>446</v>
      </c>
      <c r="M14768">
        <v>0</v>
      </c>
    </row>
    <row r="14769" spans="1:13">
      <c r="A14769">
        <v>86388500</v>
      </c>
      <c r="B14769">
        <v>2009409</v>
      </c>
      <c r="C14769" t="s">
        <v>7681</v>
      </c>
      <c r="D14769" t="s">
        <v>442</v>
      </c>
      <c r="E14769" t="s">
        <v>441</v>
      </c>
      <c r="F14769">
        <v>0.04</v>
      </c>
      <c r="I14769">
        <v>730</v>
      </c>
      <c r="J14769" t="s">
        <v>450</v>
      </c>
      <c r="K14769" t="s">
        <v>446</v>
      </c>
      <c r="M14769">
        <v>0</v>
      </c>
    </row>
    <row r="14770" spans="1:13">
      <c r="A14770">
        <v>86388900</v>
      </c>
      <c r="B14770">
        <v>2009620</v>
      </c>
      <c r="C14770" t="s">
        <v>7682</v>
      </c>
      <c r="D14770" t="s">
        <v>442</v>
      </c>
      <c r="E14770" t="s">
        <v>441</v>
      </c>
      <c r="F14770">
        <v>0.01</v>
      </c>
      <c r="I14770">
        <v>360</v>
      </c>
      <c r="J14770" t="s">
        <v>450</v>
      </c>
      <c r="K14770" t="s">
        <v>446</v>
      </c>
      <c r="M14770">
        <v>0</v>
      </c>
    </row>
    <row r="14771" spans="1:13">
      <c r="A14771">
        <v>86389000</v>
      </c>
      <c r="B14771">
        <v>2007671</v>
      </c>
      <c r="C14771" t="s">
        <v>7683</v>
      </c>
      <c r="D14771" t="s">
        <v>442</v>
      </c>
      <c r="F14771">
        <v>0</v>
      </c>
      <c r="H14771" t="s">
        <v>8581</v>
      </c>
      <c r="I14771">
        <v>360</v>
      </c>
      <c r="J14771" t="s">
        <v>450</v>
      </c>
      <c r="K14771" t="s">
        <v>446</v>
      </c>
      <c r="M14771">
        <v>0</v>
      </c>
    </row>
    <row r="14772" spans="1:13">
      <c r="A14772">
        <v>86389100</v>
      </c>
      <c r="B14772">
        <v>2009507</v>
      </c>
      <c r="C14772" t="s">
        <v>7684</v>
      </c>
      <c r="D14772" t="s">
        <v>442</v>
      </c>
      <c r="F14772">
        <v>0</v>
      </c>
      <c r="I14772">
        <v>360</v>
      </c>
      <c r="J14772" t="s">
        <v>450</v>
      </c>
      <c r="K14772" t="s">
        <v>446</v>
      </c>
      <c r="M14772">
        <v>0</v>
      </c>
    </row>
    <row r="14773" spans="1:13">
      <c r="A14773">
        <v>86389200</v>
      </c>
      <c r="B14773">
        <v>2009520</v>
      </c>
      <c r="C14773" t="s">
        <v>7685</v>
      </c>
      <c r="D14773" t="s">
        <v>442</v>
      </c>
      <c r="F14773">
        <v>0</v>
      </c>
      <c r="H14773" t="s">
        <v>8580</v>
      </c>
      <c r="I14773">
        <v>360</v>
      </c>
      <c r="J14773" t="s">
        <v>450</v>
      </c>
      <c r="K14773" t="s">
        <v>446</v>
      </c>
      <c r="M14773">
        <v>0</v>
      </c>
    </row>
    <row r="14774" spans="1:13">
      <c r="A14774">
        <v>86389300</v>
      </c>
      <c r="B14774">
        <v>2009509</v>
      </c>
      <c r="C14774" t="s">
        <v>7686</v>
      </c>
      <c r="D14774" t="s">
        <v>442</v>
      </c>
      <c r="F14774">
        <v>0</v>
      </c>
      <c r="I14774">
        <v>360</v>
      </c>
      <c r="J14774" t="s">
        <v>450</v>
      </c>
      <c r="K14774" t="s">
        <v>446</v>
      </c>
      <c r="M14774">
        <v>0</v>
      </c>
    </row>
    <row r="14775" spans="1:13">
      <c r="A14775">
        <v>86389400</v>
      </c>
      <c r="B14775">
        <v>2009508</v>
      </c>
      <c r="C14775" t="s">
        <v>7687</v>
      </c>
      <c r="D14775" t="s">
        <v>442</v>
      </c>
      <c r="F14775">
        <v>0</v>
      </c>
      <c r="I14775">
        <v>360</v>
      </c>
      <c r="J14775" t="s">
        <v>450</v>
      </c>
      <c r="K14775" t="s">
        <v>446</v>
      </c>
      <c r="M14775">
        <v>0</v>
      </c>
    </row>
    <row r="14776" spans="1:13">
      <c r="A14776">
        <v>86389500</v>
      </c>
      <c r="B14776">
        <v>2009573</v>
      </c>
      <c r="C14776" t="s">
        <v>7688</v>
      </c>
      <c r="D14776" t="s">
        <v>442</v>
      </c>
      <c r="F14776">
        <v>0</v>
      </c>
      <c r="I14776">
        <v>360</v>
      </c>
      <c r="J14776" t="s">
        <v>450</v>
      </c>
      <c r="K14776" t="s">
        <v>446</v>
      </c>
      <c r="M14776">
        <v>0</v>
      </c>
    </row>
    <row r="14777" spans="1:13">
      <c r="A14777">
        <v>86389600</v>
      </c>
      <c r="B14777">
        <v>2009574</v>
      </c>
      <c r="C14777" t="s">
        <v>7689</v>
      </c>
      <c r="D14777" t="s">
        <v>442</v>
      </c>
      <c r="F14777">
        <v>0</v>
      </c>
      <c r="H14777" t="s">
        <v>8935</v>
      </c>
      <c r="I14777">
        <v>360</v>
      </c>
      <c r="J14777" t="s">
        <v>450</v>
      </c>
      <c r="K14777" t="s">
        <v>446</v>
      </c>
      <c r="M14777">
        <v>0</v>
      </c>
    </row>
    <row r="14778" spans="1:13">
      <c r="A14778">
        <v>86389700</v>
      </c>
      <c r="B14778">
        <v>2009575</v>
      </c>
      <c r="C14778" t="s">
        <v>7690</v>
      </c>
      <c r="D14778" t="s">
        <v>442</v>
      </c>
      <c r="F14778">
        <v>0</v>
      </c>
      <c r="H14778" t="s">
        <v>8935</v>
      </c>
      <c r="I14778">
        <v>360</v>
      </c>
      <c r="J14778" t="s">
        <v>450</v>
      </c>
      <c r="K14778" t="s">
        <v>446</v>
      </c>
      <c r="M14778">
        <v>0</v>
      </c>
    </row>
    <row r="14779" spans="1:13">
      <c r="A14779">
        <v>86389800</v>
      </c>
      <c r="B14779">
        <v>2009572</v>
      </c>
      <c r="C14779" t="s">
        <v>7691</v>
      </c>
      <c r="D14779" t="s">
        <v>442</v>
      </c>
      <c r="F14779">
        <v>0</v>
      </c>
      <c r="I14779">
        <v>360</v>
      </c>
      <c r="J14779" t="s">
        <v>450</v>
      </c>
      <c r="K14779" t="s">
        <v>446</v>
      </c>
      <c r="M14779">
        <v>0</v>
      </c>
    </row>
    <row r="14780" spans="1:13">
      <c r="A14780">
        <v>86389900</v>
      </c>
      <c r="B14780">
        <v>2009576</v>
      </c>
      <c r="C14780" t="s">
        <v>7692</v>
      </c>
      <c r="D14780" t="s">
        <v>442</v>
      </c>
      <c r="F14780">
        <v>0</v>
      </c>
      <c r="H14780" t="s">
        <v>8935</v>
      </c>
      <c r="I14780">
        <v>360</v>
      </c>
      <c r="J14780" t="s">
        <v>450</v>
      </c>
      <c r="K14780" t="s">
        <v>446</v>
      </c>
      <c r="M14780">
        <v>0</v>
      </c>
    </row>
    <row r="14781" spans="1:13">
      <c r="A14781">
        <v>86390000</v>
      </c>
      <c r="B14781">
        <v>2007672</v>
      </c>
      <c r="C14781" t="s">
        <v>7693</v>
      </c>
      <c r="D14781" t="s">
        <v>442</v>
      </c>
      <c r="E14781" t="s">
        <v>441</v>
      </c>
      <c r="F14781">
        <v>1E-3</v>
      </c>
      <c r="H14781" t="s">
        <v>8581</v>
      </c>
      <c r="I14781">
        <v>360</v>
      </c>
      <c r="J14781" t="s">
        <v>450</v>
      </c>
      <c r="K14781" t="s">
        <v>446</v>
      </c>
      <c r="M14781">
        <v>0</v>
      </c>
    </row>
    <row r="14782" spans="1:13">
      <c r="A14782">
        <v>86390100</v>
      </c>
      <c r="B14782">
        <v>2009577</v>
      </c>
      <c r="C14782" t="s">
        <v>7694</v>
      </c>
      <c r="D14782" t="s">
        <v>442</v>
      </c>
      <c r="F14782">
        <v>0</v>
      </c>
      <c r="H14782" t="s">
        <v>8935</v>
      </c>
      <c r="I14782">
        <v>360</v>
      </c>
      <c r="J14782" t="s">
        <v>450</v>
      </c>
      <c r="K14782" t="s">
        <v>446</v>
      </c>
      <c r="M14782">
        <v>0</v>
      </c>
    </row>
    <row r="14783" spans="1:13">
      <c r="A14783">
        <v>86390200</v>
      </c>
      <c r="B14783">
        <v>2009578</v>
      </c>
      <c r="C14783" t="s">
        <v>7695</v>
      </c>
      <c r="D14783" t="s">
        <v>442</v>
      </c>
      <c r="F14783">
        <v>0</v>
      </c>
      <c r="H14783" t="s">
        <v>8935</v>
      </c>
      <c r="I14783">
        <v>360</v>
      </c>
      <c r="J14783" t="s">
        <v>450</v>
      </c>
      <c r="K14783" t="s">
        <v>446</v>
      </c>
      <c r="M14783">
        <v>0</v>
      </c>
    </row>
    <row r="14784" spans="1:13">
      <c r="A14784">
        <v>86390300</v>
      </c>
      <c r="B14784">
        <v>2009579</v>
      </c>
      <c r="C14784" t="s">
        <v>7696</v>
      </c>
      <c r="D14784" t="s">
        <v>442</v>
      </c>
      <c r="F14784">
        <v>0</v>
      </c>
      <c r="H14784" t="s">
        <v>8935</v>
      </c>
      <c r="I14784">
        <v>360</v>
      </c>
      <c r="J14784" t="s">
        <v>450</v>
      </c>
      <c r="K14784" t="s">
        <v>446</v>
      </c>
      <c r="M14784">
        <v>0</v>
      </c>
    </row>
    <row r="14785" spans="1:13">
      <c r="A14785">
        <v>86390400</v>
      </c>
      <c r="B14785">
        <v>2009640</v>
      </c>
      <c r="C14785" t="s">
        <v>7697</v>
      </c>
      <c r="D14785" t="s">
        <v>442</v>
      </c>
      <c r="F14785">
        <v>0</v>
      </c>
      <c r="I14785">
        <v>360</v>
      </c>
      <c r="J14785" t="s">
        <v>450</v>
      </c>
      <c r="K14785" t="s">
        <v>446</v>
      </c>
      <c r="M14785">
        <v>0</v>
      </c>
    </row>
    <row r="14786" spans="1:13">
      <c r="A14786">
        <v>86390500</v>
      </c>
      <c r="B14786">
        <v>2009632</v>
      </c>
      <c r="C14786" t="s">
        <v>7698</v>
      </c>
      <c r="D14786" t="s">
        <v>442</v>
      </c>
      <c r="F14786">
        <v>0</v>
      </c>
      <c r="H14786" t="s">
        <v>8935</v>
      </c>
      <c r="I14786">
        <v>360</v>
      </c>
      <c r="J14786" t="s">
        <v>450</v>
      </c>
      <c r="K14786" t="s">
        <v>446</v>
      </c>
      <c r="M14786">
        <v>0</v>
      </c>
    </row>
    <row r="14787" spans="1:13">
      <c r="A14787">
        <v>86390600</v>
      </c>
      <c r="B14787">
        <v>2009645</v>
      </c>
      <c r="C14787" t="s">
        <v>7699</v>
      </c>
      <c r="D14787" t="s">
        <v>442</v>
      </c>
      <c r="E14787" t="s">
        <v>441</v>
      </c>
      <c r="F14787">
        <v>0.01</v>
      </c>
      <c r="I14787">
        <v>360</v>
      </c>
      <c r="J14787" t="s">
        <v>450</v>
      </c>
      <c r="K14787" t="s">
        <v>446</v>
      </c>
      <c r="M14787">
        <v>0</v>
      </c>
    </row>
    <row r="14788" spans="1:13">
      <c r="A14788">
        <v>86390700</v>
      </c>
      <c r="B14788">
        <v>2009646</v>
      </c>
      <c r="C14788" t="s">
        <v>7700</v>
      </c>
      <c r="D14788" t="s">
        <v>442</v>
      </c>
      <c r="E14788" t="s">
        <v>441</v>
      </c>
      <c r="F14788">
        <v>0.01</v>
      </c>
      <c r="I14788">
        <v>360</v>
      </c>
      <c r="J14788" t="s">
        <v>450</v>
      </c>
      <c r="K14788" t="s">
        <v>446</v>
      </c>
      <c r="M14788">
        <v>0</v>
      </c>
    </row>
    <row r="14789" spans="1:13">
      <c r="A14789">
        <v>86390800</v>
      </c>
      <c r="B14789">
        <v>2009644</v>
      </c>
      <c r="C14789" t="s">
        <v>7701</v>
      </c>
      <c r="D14789" t="s">
        <v>442</v>
      </c>
      <c r="E14789" t="s">
        <v>441</v>
      </c>
      <c r="F14789">
        <v>0.01</v>
      </c>
      <c r="I14789">
        <v>360</v>
      </c>
      <c r="J14789" t="s">
        <v>450</v>
      </c>
      <c r="K14789" t="s">
        <v>446</v>
      </c>
      <c r="M14789">
        <v>0</v>
      </c>
    </row>
    <row r="14790" spans="1:13">
      <c r="A14790">
        <v>86390900</v>
      </c>
      <c r="B14790">
        <v>2009649</v>
      </c>
      <c r="C14790" t="s">
        <v>7702</v>
      </c>
      <c r="D14790" t="s">
        <v>442</v>
      </c>
      <c r="E14790" t="s">
        <v>441</v>
      </c>
      <c r="F14790">
        <v>0.01</v>
      </c>
      <c r="I14790">
        <v>360</v>
      </c>
      <c r="J14790" t="s">
        <v>450</v>
      </c>
      <c r="K14790" t="s">
        <v>446</v>
      </c>
      <c r="M14790">
        <v>0</v>
      </c>
    </row>
    <row r="14791" spans="1:13">
      <c r="A14791">
        <v>86391000</v>
      </c>
      <c r="B14791">
        <v>2007673</v>
      </c>
      <c r="C14791" t="s">
        <v>7703</v>
      </c>
      <c r="D14791" t="s">
        <v>442</v>
      </c>
      <c r="F14791">
        <v>0</v>
      </c>
      <c r="H14791" t="s">
        <v>8581</v>
      </c>
      <c r="I14791">
        <v>360</v>
      </c>
      <c r="J14791" t="s">
        <v>450</v>
      </c>
      <c r="K14791" t="s">
        <v>446</v>
      </c>
      <c r="M14791">
        <v>0</v>
      </c>
    </row>
    <row r="14792" spans="1:13">
      <c r="A14792">
        <v>86391100</v>
      </c>
      <c r="B14792">
        <v>2009647</v>
      </c>
      <c r="C14792" t="s">
        <v>7704</v>
      </c>
      <c r="D14792" t="s">
        <v>442</v>
      </c>
      <c r="E14792" t="s">
        <v>441</v>
      </c>
      <c r="F14792">
        <v>0.01</v>
      </c>
      <c r="I14792">
        <v>360</v>
      </c>
      <c r="J14792" t="s">
        <v>450</v>
      </c>
      <c r="K14792" t="s">
        <v>446</v>
      </c>
      <c r="M14792">
        <v>0</v>
      </c>
    </row>
    <row r="14793" spans="1:13">
      <c r="A14793">
        <v>86391200</v>
      </c>
      <c r="B14793">
        <v>2009648</v>
      </c>
      <c r="C14793" t="s">
        <v>7705</v>
      </c>
      <c r="D14793" t="s">
        <v>442</v>
      </c>
      <c r="E14793" t="s">
        <v>441</v>
      </c>
      <c r="F14793">
        <v>0.01</v>
      </c>
      <c r="I14793">
        <v>360</v>
      </c>
      <c r="J14793" t="s">
        <v>450</v>
      </c>
      <c r="K14793" t="s">
        <v>446</v>
      </c>
      <c r="M14793">
        <v>0</v>
      </c>
    </row>
    <row r="14794" spans="1:13">
      <c r="A14794">
        <v>86391300</v>
      </c>
      <c r="B14794">
        <v>2009625</v>
      </c>
      <c r="C14794" t="s">
        <v>7706</v>
      </c>
      <c r="D14794" t="s">
        <v>442</v>
      </c>
      <c r="E14794" t="s">
        <v>441</v>
      </c>
      <c r="F14794">
        <v>0.01</v>
      </c>
      <c r="H14794" t="s">
        <v>8580</v>
      </c>
      <c r="I14794">
        <v>360</v>
      </c>
      <c r="J14794" t="s">
        <v>450</v>
      </c>
      <c r="K14794" t="s">
        <v>446</v>
      </c>
      <c r="M14794">
        <v>0</v>
      </c>
    </row>
    <row r="14795" spans="1:13">
      <c r="A14795">
        <v>86391400</v>
      </c>
      <c r="B14795">
        <v>2009626</v>
      </c>
      <c r="C14795" t="s">
        <v>7707</v>
      </c>
      <c r="D14795" t="s">
        <v>442</v>
      </c>
      <c r="E14795" t="s">
        <v>441</v>
      </c>
      <c r="F14795">
        <v>0.01</v>
      </c>
      <c r="H14795" t="s">
        <v>8580</v>
      </c>
      <c r="I14795">
        <v>360</v>
      </c>
      <c r="J14795" t="s">
        <v>450</v>
      </c>
      <c r="K14795" t="s">
        <v>446</v>
      </c>
      <c r="M14795">
        <v>0</v>
      </c>
    </row>
    <row r="14796" spans="1:13">
      <c r="A14796">
        <v>86391500</v>
      </c>
      <c r="B14796">
        <v>2009628</v>
      </c>
      <c r="C14796" t="s">
        <v>7708</v>
      </c>
      <c r="D14796" t="s">
        <v>442</v>
      </c>
      <c r="E14796" t="s">
        <v>441</v>
      </c>
      <c r="F14796">
        <v>0.01</v>
      </c>
      <c r="H14796" t="s">
        <v>8935</v>
      </c>
      <c r="I14796">
        <v>360</v>
      </c>
      <c r="J14796" t="s">
        <v>450</v>
      </c>
      <c r="K14796" t="s">
        <v>446</v>
      </c>
      <c r="M14796">
        <v>0</v>
      </c>
    </row>
    <row r="14797" spans="1:13">
      <c r="A14797">
        <v>86391600</v>
      </c>
      <c r="B14797">
        <v>2009627</v>
      </c>
      <c r="C14797" t="s">
        <v>7709</v>
      </c>
      <c r="D14797" t="s">
        <v>442</v>
      </c>
      <c r="E14797" t="s">
        <v>441</v>
      </c>
      <c r="F14797">
        <v>0.01</v>
      </c>
      <c r="H14797" t="s">
        <v>8580</v>
      </c>
      <c r="I14797">
        <v>360</v>
      </c>
      <c r="J14797" t="s">
        <v>450</v>
      </c>
      <c r="K14797" t="s">
        <v>446</v>
      </c>
      <c r="M14797">
        <v>0</v>
      </c>
    </row>
    <row r="14798" spans="1:13">
      <c r="A14798">
        <v>86391700</v>
      </c>
      <c r="B14798">
        <v>2010299</v>
      </c>
      <c r="C14798" t="s">
        <v>7710</v>
      </c>
      <c r="D14798" t="s">
        <v>442</v>
      </c>
      <c r="E14798" t="s">
        <v>441</v>
      </c>
      <c r="F14798">
        <v>1E-3</v>
      </c>
      <c r="H14798" t="s">
        <v>8580</v>
      </c>
      <c r="I14798">
        <v>360</v>
      </c>
      <c r="J14798" t="s">
        <v>450</v>
      </c>
      <c r="K14798" t="s">
        <v>446</v>
      </c>
      <c r="M14798">
        <v>0</v>
      </c>
    </row>
    <row r="14799" spans="1:13">
      <c r="A14799">
        <v>86391800</v>
      </c>
      <c r="B14799">
        <v>2009793</v>
      </c>
      <c r="C14799" t="s">
        <v>7711</v>
      </c>
      <c r="D14799" t="s">
        <v>442</v>
      </c>
      <c r="F14799">
        <v>0</v>
      </c>
      <c r="H14799" t="s">
        <v>8935</v>
      </c>
      <c r="I14799">
        <v>360</v>
      </c>
      <c r="J14799" t="s">
        <v>450</v>
      </c>
      <c r="K14799" t="s">
        <v>446</v>
      </c>
      <c r="M14799">
        <v>0</v>
      </c>
    </row>
    <row r="14800" spans="1:13">
      <c r="A14800">
        <v>86391900</v>
      </c>
      <c r="B14800">
        <v>2009797</v>
      </c>
      <c r="C14800" t="s">
        <v>7712</v>
      </c>
      <c r="D14800" t="s">
        <v>442</v>
      </c>
      <c r="F14800">
        <v>0</v>
      </c>
      <c r="I14800">
        <v>360</v>
      </c>
      <c r="J14800" t="s">
        <v>450</v>
      </c>
      <c r="K14800" t="s">
        <v>446</v>
      </c>
      <c r="M14800">
        <v>0</v>
      </c>
    </row>
    <row r="14801" spans="1:13">
      <c r="A14801">
        <v>86392000</v>
      </c>
      <c r="B14801">
        <v>2007647</v>
      </c>
      <c r="C14801" t="s">
        <v>7713</v>
      </c>
      <c r="D14801" t="s">
        <v>442</v>
      </c>
      <c r="F14801">
        <v>0</v>
      </c>
      <c r="H14801" t="s">
        <v>8581</v>
      </c>
      <c r="I14801">
        <v>360</v>
      </c>
      <c r="J14801" t="s">
        <v>450</v>
      </c>
      <c r="K14801" t="s">
        <v>446</v>
      </c>
      <c r="M14801">
        <v>0</v>
      </c>
    </row>
    <row r="14802" spans="1:13">
      <c r="A14802">
        <v>86392100</v>
      </c>
      <c r="B14802">
        <v>2009818</v>
      </c>
      <c r="C14802" t="s">
        <v>7714</v>
      </c>
      <c r="D14802" t="s">
        <v>442</v>
      </c>
      <c r="F14802">
        <v>0</v>
      </c>
      <c r="H14802" t="s">
        <v>8935</v>
      </c>
      <c r="I14802">
        <v>360</v>
      </c>
      <c r="J14802" t="s">
        <v>450</v>
      </c>
      <c r="K14802" t="s">
        <v>446</v>
      </c>
      <c r="M14802">
        <v>0</v>
      </c>
    </row>
    <row r="14803" spans="1:13">
      <c r="A14803">
        <v>86392200</v>
      </c>
      <c r="B14803">
        <v>2010020</v>
      </c>
      <c r="C14803" t="s">
        <v>7715</v>
      </c>
      <c r="D14803" t="s">
        <v>442</v>
      </c>
      <c r="F14803">
        <v>0</v>
      </c>
      <c r="H14803" t="s">
        <v>8580</v>
      </c>
      <c r="I14803">
        <v>360</v>
      </c>
      <c r="J14803" t="s">
        <v>450</v>
      </c>
      <c r="K14803" t="s">
        <v>446</v>
      </c>
      <c r="M14803">
        <v>0</v>
      </c>
    </row>
    <row r="14804" spans="1:13">
      <c r="A14804">
        <v>86392300</v>
      </c>
      <c r="B14804">
        <v>2010021</v>
      </c>
      <c r="C14804" t="s">
        <v>7716</v>
      </c>
      <c r="D14804" t="s">
        <v>442</v>
      </c>
      <c r="F14804">
        <v>0</v>
      </c>
      <c r="H14804" t="s">
        <v>8580</v>
      </c>
      <c r="I14804">
        <v>360</v>
      </c>
      <c r="J14804" t="s">
        <v>450</v>
      </c>
      <c r="K14804" t="s">
        <v>446</v>
      </c>
      <c r="M14804">
        <v>0</v>
      </c>
    </row>
    <row r="14805" spans="1:13">
      <c r="A14805">
        <v>86392400</v>
      </c>
      <c r="B14805">
        <v>2009500</v>
      </c>
      <c r="C14805" t="s">
        <v>7717</v>
      </c>
      <c r="D14805" t="s">
        <v>442</v>
      </c>
      <c r="E14805" t="s">
        <v>441</v>
      </c>
      <c r="F14805">
        <v>1E-3</v>
      </c>
      <c r="I14805">
        <v>9999</v>
      </c>
      <c r="J14805" t="s">
        <v>450</v>
      </c>
      <c r="K14805" t="s">
        <v>446</v>
      </c>
      <c r="M14805">
        <v>0</v>
      </c>
    </row>
    <row r="14806" spans="1:13">
      <c r="A14806">
        <v>86392500</v>
      </c>
      <c r="B14806">
        <v>2009994</v>
      </c>
      <c r="C14806" t="s">
        <v>7718</v>
      </c>
      <c r="D14806" t="s">
        <v>442</v>
      </c>
      <c r="F14806">
        <v>0</v>
      </c>
      <c r="H14806" t="s">
        <v>8580</v>
      </c>
      <c r="I14806">
        <v>360</v>
      </c>
      <c r="J14806" t="s">
        <v>450</v>
      </c>
      <c r="K14806" t="s">
        <v>446</v>
      </c>
      <c r="M14806">
        <v>0</v>
      </c>
    </row>
    <row r="14807" spans="1:13">
      <c r="A14807">
        <v>86392600</v>
      </c>
      <c r="B14807">
        <v>2009995</v>
      </c>
      <c r="C14807" t="s">
        <v>7719</v>
      </c>
      <c r="D14807" t="s">
        <v>442</v>
      </c>
      <c r="F14807">
        <v>0</v>
      </c>
      <c r="H14807" t="s">
        <v>8580</v>
      </c>
      <c r="I14807">
        <v>360</v>
      </c>
      <c r="J14807" t="s">
        <v>450</v>
      </c>
      <c r="K14807" t="s">
        <v>446</v>
      </c>
      <c r="M14807">
        <v>0</v>
      </c>
    </row>
    <row r="14808" spans="1:13">
      <c r="A14808">
        <v>86392700</v>
      </c>
      <c r="B14808">
        <v>2010007</v>
      </c>
      <c r="C14808" t="s">
        <v>7720</v>
      </c>
      <c r="D14808" t="s">
        <v>442</v>
      </c>
      <c r="F14808">
        <v>0</v>
      </c>
      <c r="H14808" t="s">
        <v>8580</v>
      </c>
      <c r="I14808">
        <v>360</v>
      </c>
      <c r="J14808" t="s">
        <v>450</v>
      </c>
      <c r="K14808" t="s">
        <v>446</v>
      </c>
      <c r="M14808">
        <v>0</v>
      </c>
    </row>
    <row r="14809" spans="1:13">
      <c r="A14809">
        <v>86392800</v>
      </c>
      <c r="B14809">
        <v>2009999</v>
      </c>
      <c r="C14809" t="s">
        <v>7721</v>
      </c>
      <c r="D14809" t="s">
        <v>442</v>
      </c>
      <c r="F14809">
        <v>0</v>
      </c>
      <c r="H14809" t="s">
        <v>8580</v>
      </c>
      <c r="I14809">
        <v>360</v>
      </c>
      <c r="J14809" t="s">
        <v>450</v>
      </c>
      <c r="K14809" t="s">
        <v>446</v>
      </c>
      <c r="M14809">
        <v>0</v>
      </c>
    </row>
    <row r="14810" spans="1:13">
      <c r="A14810">
        <v>86392900</v>
      </c>
      <c r="B14810">
        <v>2010091</v>
      </c>
      <c r="C14810" t="s">
        <v>7722</v>
      </c>
      <c r="D14810" t="s">
        <v>442</v>
      </c>
      <c r="E14810" t="s">
        <v>441</v>
      </c>
      <c r="F14810">
        <v>0.01</v>
      </c>
      <c r="H14810" t="s">
        <v>8580</v>
      </c>
      <c r="I14810">
        <v>360</v>
      </c>
      <c r="J14810" t="s">
        <v>450</v>
      </c>
      <c r="K14810" t="s">
        <v>446</v>
      </c>
      <c r="M14810">
        <v>0</v>
      </c>
    </row>
    <row r="14811" spans="1:13">
      <c r="A14811">
        <v>86393000</v>
      </c>
      <c r="B14811">
        <v>2007676</v>
      </c>
      <c r="C14811" t="s">
        <v>7723</v>
      </c>
      <c r="D14811" t="s">
        <v>442</v>
      </c>
      <c r="F14811">
        <v>0</v>
      </c>
      <c r="H14811" t="s">
        <v>8581</v>
      </c>
      <c r="I14811">
        <v>360</v>
      </c>
      <c r="J14811" t="s">
        <v>450</v>
      </c>
      <c r="K14811" t="s">
        <v>446</v>
      </c>
      <c r="M14811">
        <v>0</v>
      </c>
    </row>
    <row r="14812" spans="1:13">
      <c r="A14812">
        <v>86393100</v>
      </c>
      <c r="B14812">
        <v>2010099</v>
      </c>
      <c r="C14812" t="s">
        <v>7724</v>
      </c>
      <c r="D14812" t="s">
        <v>442</v>
      </c>
      <c r="E14812" t="s">
        <v>441</v>
      </c>
      <c r="F14812">
        <v>1E-3</v>
      </c>
      <c r="H14812" t="s">
        <v>8580</v>
      </c>
      <c r="I14812">
        <v>360</v>
      </c>
      <c r="J14812" t="s">
        <v>450</v>
      </c>
      <c r="K14812" t="s">
        <v>446</v>
      </c>
      <c r="M14812">
        <v>0</v>
      </c>
    </row>
    <row r="14813" spans="1:13">
      <c r="A14813">
        <v>86393200</v>
      </c>
      <c r="B14813">
        <v>2010085</v>
      </c>
      <c r="C14813" t="s">
        <v>7725</v>
      </c>
      <c r="D14813" t="s">
        <v>442</v>
      </c>
      <c r="E14813" t="s">
        <v>441</v>
      </c>
      <c r="F14813">
        <v>0.01</v>
      </c>
      <c r="H14813" t="s">
        <v>8580</v>
      </c>
      <c r="I14813">
        <v>360</v>
      </c>
      <c r="J14813" t="s">
        <v>450</v>
      </c>
      <c r="K14813" t="s">
        <v>446</v>
      </c>
      <c r="M14813">
        <v>0</v>
      </c>
    </row>
    <row r="14814" spans="1:13">
      <c r="A14814">
        <v>86393300</v>
      </c>
      <c r="B14814">
        <v>2010084</v>
      </c>
      <c r="C14814" t="s">
        <v>7726</v>
      </c>
      <c r="D14814" t="s">
        <v>442</v>
      </c>
      <c r="E14814" t="s">
        <v>441</v>
      </c>
      <c r="F14814">
        <v>0.01</v>
      </c>
      <c r="H14814" t="s">
        <v>8580</v>
      </c>
      <c r="I14814">
        <v>360</v>
      </c>
      <c r="J14814" t="s">
        <v>450</v>
      </c>
      <c r="K14814" t="s">
        <v>446</v>
      </c>
      <c r="M14814">
        <v>0</v>
      </c>
    </row>
    <row r="14815" spans="1:13">
      <c r="A14815">
        <v>86393400</v>
      </c>
      <c r="B14815">
        <v>2010097</v>
      </c>
      <c r="C14815" t="s">
        <v>7727</v>
      </c>
      <c r="D14815" t="s">
        <v>442</v>
      </c>
      <c r="E14815" t="s">
        <v>441</v>
      </c>
      <c r="F14815">
        <v>1E-3</v>
      </c>
      <c r="H14815" t="s">
        <v>8580</v>
      </c>
      <c r="I14815">
        <v>360</v>
      </c>
      <c r="J14815" t="s">
        <v>450</v>
      </c>
      <c r="K14815" t="s">
        <v>446</v>
      </c>
      <c r="M14815">
        <v>0</v>
      </c>
    </row>
    <row r="14816" spans="1:13">
      <c r="A14816">
        <v>86393500</v>
      </c>
      <c r="B14816">
        <v>2010098</v>
      </c>
      <c r="C14816" t="s">
        <v>7728</v>
      </c>
      <c r="D14816" t="s">
        <v>442</v>
      </c>
      <c r="E14816" t="s">
        <v>441</v>
      </c>
      <c r="F14816">
        <v>1E-3</v>
      </c>
      <c r="H14816" t="s">
        <v>8580</v>
      </c>
      <c r="I14816">
        <v>360</v>
      </c>
      <c r="J14816" t="s">
        <v>450</v>
      </c>
      <c r="K14816" t="s">
        <v>446</v>
      </c>
      <c r="M14816">
        <v>0</v>
      </c>
    </row>
    <row r="14817" spans="1:13">
      <c r="A14817">
        <v>86393600</v>
      </c>
      <c r="B14817">
        <v>2010135</v>
      </c>
      <c r="C14817" t="s">
        <v>7729</v>
      </c>
      <c r="D14817" t="s">
        <v>442</v>
      </c>
      <c r="F14817">
        <v>0</v>
      </c>
      <c r="H14817" t="s">
        <v>8580</v>
      </c>
      <c r="I14817">
        <v>360</v>
      </c>
      <c r="J14817" t="s">
        <v>450</v>
      </c>
      <c r="K14817" t="s">
        <v>446</v>
      </c>
      <c r="M14817">
        <v>0</v>
      </c>
    </row>
    <row r="14818" spans="1:13">
      <c r="A14818">
        <v>86393700</v>
      </c>
      <c r="B14818">
        <v>2010066</v>
      </c>
      <c r="C14818" t="s">
        <v>7730</v>
      </c>
      <c r="D14818" t="s">
        <v>442</v>
      </c>
      <c r="F14818">
        <v>0</v>
      </c>
      <c r="H14818" t="s">
        <v>8580</v>
      </c>
      <c r="I14818">
        <v>360</v>
      </c>
      <c r="J14818" t="s">
        <v>450</v>
      </c>
      <c r="K14818" t="s">
        <v>446</v>
      </c>
      <c r="M14818">
        <v>0</v>
      </c>
    </row>
    <row r="14819" spans="1:13">
      <c r="A14819">
        <v>86393800</v>
      </c>
      <c r="B14819">
        <v>2010067</v>
      </c>
      <c r="C14819" t="s">
        <v>7731</v>
      </c>
      <c r="D14819" t="s">
        <v>442</v>
      </c>
      <c r="F14819">
        <v>0</v>
      </c>
      <c r="H14819" t="s">
        <v>8584</v>
      </c>
      <c r="I14819">
        <v>360</v>
      </c>
      <c r="J14819" t="s">
        <v>450</v>
      </c>
      <c r="K14819" t="s">
        <v>446</v>
      </c>
      <c r="M14819">
        <v>0</v>
      </c>
    </row>
    <row r="14820" spans="1:13">
      <c r="A14820">
        <v>86393900</v>
      </c>
      <c r="B14820">
        <v>2010069</v>
      </c>
      <c r="C14820" t="s">
        <v>7732</v>
      </c>
      <c r="D14820" t="s">
        <v>442</v>
      </c>
      <c r="E14820" t="s">
        <v>441</v>
      </c>
      <c r="F14820">
        <v>0.01</v>
      </c>
      <c r="H14820" t="s">
        <v>8580</v>
      </c>
      <c r="I14820">
        <v>360</v>
      </c>
      <c r="J14820" t="s">
        <v>450</v>
      </c>
      <c r="K14820" t="s">
        <v>446</v>
      </c>
      <c r="M14820">
        <v>0</v>
      </c>
    </row>
    <row r="14821" spans="1:13">
      <c r="A14821">
        <v>86394000</v>
      </c>
      <c r="B14821">
        <v>2007677</v>
      </c>
      <c r="C14821" t="s">
        <v>7733</v>
      </c>
      <c r="D14821" t="s">
        <v>442</v>
      </c>
      <c r="F14821">
        <v>0</v>
      </c>
      <c r="H14821" t="s">
        <v>8581</v>
      </c>
      <c r="I14821">
        <v>360</v>
      </c>
      <c r="J14821" t="s">
        <v>450</v>
      </c>
      <c r="K14821" t="s">
        <v>446</v>
      </c>
      <c r="M14821">
        <v>0</v>
      </c>
    </row>
    <row r="14822" spans="1:13">
      <c r="A14822">
        <v>86394100</v>
      </c>
      <c r="B14822">
        <v>2010068</v>
      </c>
      <c r="C14822" t="s">
        <v>7734</v>
      </c>
      <c r="D14822" t="s">
        <v>442</v>
      </c>
      <c r="F14822">
        <v>0</v>
      </c>
      <c r="H14822" t="s">
        <v>8619</v>
      </c>
      <c r="I14822">
        <v>360</v>
      </c>
      <c r="J14822" t="s">
        <v>450</v>
      </c>
      <c r="K14822" t="s">
        <v>446</v>
      </c>
      <c r="M14822">
        <v>0</v>
      </c>
    </row>
    <row r="14823" spans="1:13">
      <c r="A14823">
        <v>86394200</v>
      </c>
      <c r="B14823">
        <v>2010188</v>
      </c>
      <c r="C14823" t="s">
        <v>7735</v>
      </c>
      <c r="D14823" t="s">
        <v>442</v>
      </c>
      <c r="E14823" t="s">
        <v>441</v>
      </c>
      <c r="F14823">
        <v>0.01</v>
      </c>
      <c r="H14823" t="s">
        <v>8624</v>
      </c>
      <c r="I14823">
        <v>360</v>
      </c>
      <c r="J14823" t="s">
        <v>450</v>
      </c>
      <c r="K14823" t="s">
        <v>446</v>
      </c>
      <c r="M14823">
        <v>0</v>
      </c>
    </row>
    <row r="14824" spans="1:13">
      <c r="A14824">
        <v>86394300</v>
      </c>
      <c r="B14824">
        <v>2010187</v>
      </c>
      <c r="C14824" t="s">
        <v>7736</v>
      </c>
      <c r="D14824" t="s">
        <v>442</v>
      </c>
      <c r="E14824" t="s">
        <v>441</v>
      </c>
      <c r="F14824">
        <v>0.01</v>
      </c>
      <c r="H14824" t="s">
        <v>8624</v>
      </c>
      <c r="I14824">
        <v>360</v>
      </c>
      <c r="J14824" t="s">
        <v>450</v>
      </c>
      <c r="K14824" t="s">
        <v>446</v>
      </c>
      <c r="M14824">
        <v>0</v>
      </c>
    </row>
    <row r="14825" spans="1:13">
      <c r="A14825">
        <v>86394400</v>
      </c>
      <c r="B14825">
        <v>2007042</v>
      </c>
      <c r="C14825" t="s">
        <v>7737</v>
      </c>
      <c r="D14825" t="s">
        <v>442</v>
      </c>
      <c r="E14825" t="s">
        <v>441</v>
      </c>
      <c r="F14825">
        <v>1E-3</v>
      </c>
      <c r="H14825" t="s">
        <v>8581</v>
      </c>
      <c r="I14825">
        <v>720</v>
      </c>
      <c r="J14825" t="s">
        <v>450</v>
      </c>
      <c r="K14825" t="s">
        <v>446</v>
      </c>
      <c r="M14825">
        <v>0</v>
      </c>
    </row>
    <row r="14826" spans="1:13">
      <c r="A14826">
        <v>86394500</v>
      </c>
      <c r="B14826">
        <v>2007074</v>
      </c>
      <c r="C14826" t="s">
        <v>7738</v>
      </c>
      <c r="D14826" t="s">
        <v>442</v>
      </c>
      <c r="E14826" t="s">
        <v>441</v>
      </c>
      <c r="F14826">
        <v>1E-3</v>
      </c>
      <c r="H14826" t="s">
        <v>8581</v>
      </c>
      <c r="I14826">
        <v>720</v>
      </c>
      <c r="J14826" t="s">
        <v>450</v>
      </c>
      <c r="K14826" t="s">
        <v>446</v>
      </c>
      <c r="M14826">
        <v>0</v>
      </c>
    </row>
    <row r="14827" spans="1:13">
      <c r="A14827">
        <v>86394600</v>
      </c>
      <c r="B14827">
        <v>2010023</v>
      </c>
      <c r="C14827" t="s">
        <v>7739</v>
      </c>
      <c r="D14827" t="s">
        <v>442</v>
      </c>
      <c r="E14827" t="s">
        <v>441</v>
      </c>
      <c r="F14827">
        <v>1E-3</v>
      </c>
      <c r="H14827" t="s">
        <v>8580</v>
      </c>
      <c r="I14827">
        <v>720</v>
      </c>
      <c r="J14827" t="s">
        <v>450</v>
      </c>
      <c r="K14827" t="s">
        <v>446</v>
      </c>
      <c r="M14827">
        <v>0</v>
      </c>
    </row>
    <row r="14828" spans="1:13">
      <c r="A14828">
        <v>86394700</v>
      </c>
      <c r="B14828">
        <v>2010239</v>
      </c>
      <c r="C14828" t="s">
        <v>7740</v>
      </c>
      <c r="D14828" t="s">
        <v>442</v>
      </c>
      <c r="E14828" t="s">
        <v>441</v>
      </c>
      <c r="F14828">
        <v>0.01</v>
      </c>
      <c r="H14828" t="s">
        <v>8580</v>
      </c>
      <c r="I14828">
        <v>360</v>
      </c>
      <c r="J14828" t="s">
        <v>450</v>
      </c>
      <c r="K14828" t="s">
        <v>446</v>
      </c>
      <c r="M14828">
        <v>0</v>
      </c>
    </row>
    <row r="14829" spans="1:13">
      <c r="A14829">
        <v>86394800</v>
      </c>
      <c r="B14829">
        <v>2010285</v>
      </c>
      <c r="C14829" t="s">
        <v>7741</v>
      </c>
      <c r="D14829" t="s">
        <v>442</v>
      </c>
      <c r="E14829" t="s">
        <v>441</v>
      </c>
      <c r="F14829">
        <v>0.01</v>
      </c>
      <c r="I14829">
        <v>360</v>
      </c>
      <c r="J14829" t="s">
        <v>450</v>
      </c>
      <c r="K14829" t="s">
        <v>446</v>
      </c>
      <c r="M14829">
        <v>0</v>
      </c>
    </row>
    <row r="14830" spans="1:13">
      <c r="A14830">
        <v>86394900</v>
      </c>
      <c r="B14830">
        <v>2010295</v>
      </c>
      <c r="C14830" t="s">
        <v>7742</v>
      </c>
      <c r="D14830" t="s">
        <v>442</v>
      </c>
      <c r="E14830" t="s">
        <v>441</v>
      </c>
      <c r="F14830">
        <v>1E-3</v>
      </c>
      <c r="I14830">
        <v>360</v>
      </c>
      <c r="J14830" t="s">
        <v>450</v>
      </c>
      <c r="K14830" t="s">
        <v>446</v>
      </c>
      <c r="M14830">
        <v>0</v>
      </c>
    </row>
    <row r="14831" spans="1:13">
      <c r="A14831">
        <v>86395000</v>
      </c>
      <c r="B14831">
        <v>2007668</v>
      </c>
      <c r="C14831" t="s">
        <v>7743</v>
      </c>
      <c r="D14831" t="s">
        <v>442</v>
      </c>
      <c r="E14831" t="s">
        <v>441</v>
      </c>
      <c r="F14831">
        <v>1E-3</v>
      </c>
      <c r="H14831" t="s">
        <v>8581</v>
      </c>
      <c r="I14831">
        <v>360</v>
      </c>
      <c r="J14831" t="s">
        <v>450</v>
      </c>
      <c r="K14831" t="s">
        <v>446</v>
      </c>
      <c r="M14831">
        <v>0</v>
      </c>
    </row>
    <row r="14832" spans="1:13">
      <c r="A14832">
        <v>86395100</v>
      </c>
      <c r="B14832">
        <v>2010296</v>
      </c>
      <c r="C14832" t="s">
        <v>7744</v>
      </c>
      <c r="D14832" t="s">
        <v>442</v>
      </c>
      <c r="E14832" t="s">
        <v>441</v>
      </c>
      <c r="F14832">
        <v>1E-3</v>
      </c>
      <c r="I14832">
        <v>360</v>
      </c>
      <c r="J14832" t="s">
        <v>450</v>
      </c>
      <c r="K14832" t="s">
        <v>446</v>
      </c>
      <c r="M14832">
        <v>0</v>
      </c>
    </row>
    <row r="14833" spans="1:13">
      <c r="A14833">
        <v>86395200</v>
      </c>
      <c r="B14833">
        <v>2010351</v>
      </c>
      <c r="C14833" t="s">
        <v>7745</v>
      </c>
      <c r="D14833" t="s">
        <v>442</v>
      </c>
      <c r="E14833" t="s">
        <v>441</v>
      </c>
      <c r="F14833">
        <v>1E-3</v>
      </c>
      <c r="H14833" t="s">
        <v>8624</v>
      </c>
      <c r="I14833">
        <v>360</v>
      </c>
      <c r="J14833" t="s">
        <v>450</v>
      </c>
      <c r="K14833" t="s">
        <v>446</v>
      </c>
      <c r="M14833">
        <v>0</v>
      </c>
    </row>
    <row r="14834" spans="1:13">
      <c r="A14834">
        <v>86395300</v>
      </c>
      <c r="B14834">
        <v>2010298</v>
      </c>
      <c r="C14834" t="s">
        <v>7746</v>
      </c>
      <c r="D14834" t="s">
        <v>442</v>
      </c>
      <c r="E14834" t="s">
        <v>441</v>
      </c>
      <c r="F14834">
        <v>1E-3</v>
      </c>
      <c r="H14834" t="s">
        <v>8580</v>
      </c>
      <c r="I14834">
        <v>360</v>
      </c>
      <c r="J14834" t="s">
        <v>450</v>
      </c>
      <c r="K14834" t="s">
        <v>446</v>
      </c>
      <c r="M14834">
        <v>0</v>
      </c>
    </row>
    <row r="14835" spans="1:13">
      <c r="A14835">
        <v>86395400</v>
      </c>
      <c r="B14835">
        <v>2010381</v>
      </c>
      <c r="C14835" t="s">
        <v>7747</v>
      </c>
      <c r="D14835" t="s">
        <v>442</v>
      </c>
      <c r="E14835" t="s">
        <v>441</v>
      </c>
      <c r="F14835">
        <v>1E-3</v>
      </c>
      <c r="H14835" t="s">
        <v>8580</v>
      </c>
      <c r="I14835">
        <v>360</v>
      </c>
      <c r="J14835" t="s">
        <v>450</v>
      </c>
      <c r="K14835" t="s">
        <v>446</v>
      </c>
      <c r="M14835">
        <v>0</v>
      </c>
    </row>
    <row r="14836" spans="1:13">
      <c r="A14836">
        <v>86395600</v>
      </c>
      <c r="B14836">
        <v>2010382</v>
      </c>
      <c r="C14836" t="s">
        <v>7748</v>
      </c>
      <c r="D14836" t="s">
        <v>442</v>
      </c>
      <c r="E14836" t="s">
        <v>441</v>
      </c>
      <c r="F14836">
        <v>1E-3</v>
      </c>
      <c r="H14836" t="s">
        <v>8583</v>
      </c>
      <c r="I14836">
        <v>360</v>
      </c>
      <c r="J14836" t="s">
        <v>450</v>
      </c>
      <c r="K14836" t="s">
        <v>446</v>
      </c>
      <c r="M14836">
        <v>0</v>
      </c>
    </row>
    <row r="14837" spans="1:13">
      <c r="A14837">
        <v>86395700</v>
      </c>
      <c r="B14837">
        <v>2010380</v>
      </c>
      <c r="C14837" t="s">
        <v>7749</v>
      </c>
      <c r="D14837" t="s">
        <v>442</v>
      </c>
      <c r="E14837" t="s">
        <v>441</v>
      </c>
      <c r="F14837">
        <v>1E-3</v>
      </c>
      <c r="I14837">
        <v>360</v>
      </c>
      <c r="J14837" t="s">
        <v>450</v>
      </c>
      <c r="K14837" t="s">
        <v>446</v>
      </c>
      <c r="M14837">
        <v>0</v>
      </c>
    </row>
    <row r="14838" spans="1:13">
      <c r="A14838">
        <v>86395800</v>
      </c>
      <c r="B14838">
        <v>2010383</v>
      </c>
      <c r="C14838" t="s">
        <v>7750</v>
      </c>
      <c r="D14838" t="s">
        <v>442</v>
      </c>
      <c r="E14838" t="s">
        <v>441</v>
      </c>
      <c r="F14838">
        <v>1E-3</v>
      </c>
      <c r="H14838" t="s">
        <v>8584</v>
      </c>
      <c r="I14838">
        <v>360</v>
      </c>
      <c r="J14838" t="s">
        <v>450</v>
      </c>
      <c r="K14838" t="s">
        <v>446</v>
      </c>
      <c r="M14838">
        <v>0</v>
      </c>
    </row>
    <row r="14839" spans="1:13">
      <c r="A14839">
        <v>86395900</v>
      </c>
      <c r="B14839">
        <v>2010378</v>
      </c>
      <c r="C14839" t="s">
        <v>7751</v>
      </c>
      <c r="D14839" t="s">
        <v>442</v>
      </c>
      <c r="E14839" t="s">
        <v>441</v>
      </c>
      <c r="F14839">
        <v>1E-3</v>
      </c>
      <c r="I14839">
        <v>360</v>
      </c>
      <c r="J14839" t="s">
        <v>450</v>
      </c>
      <c r="K14839" t="s">
        <v>446</v>
      </c>
      <c r="M14839">
        <v>0</v>
      </c>
    </row>
    <row r="14840" spans="1:13">
      <c r="A14840">
        <v>86396000</v>
      </c>
      <c r="B14840">
        <v>2007669</v>
      </c>
      <c r="C14840" t="s">
        <v>7752</v>
      </c>
      <c r="D14840" t="s">
        <v>442</v>
      </c>
      <c r="E14840" t="s">
        <v>441</v>
      </c>
      <c r="F14840">
        <v>1E-3</v>
      </c>
      <c r="H14840" t="s">
        <v>8581</v>
      </c>
      <c r="I14840">
        <v>360</v>
      </c>
      <c r="J14840" t="s">
        <v>450</v>
      </c>
      <c r="K14840" t="s">
        <v>446</v>
      </c>
      <c r="M14840">
        <v>0</v>
      </c>
    </row>
    <row r="14841" spans="1:13">
      <c r="A14841">
        <v>86396100</v>
      </c>
      <c r="B14841">
        <v>2010357</v>
      </c>
      <c r="C14841" t="s">
        <v>7753</v>
      </c>
      <c r="D14841" t="s">
        <v>442</v>
      </c>
      <c r="E14841" t="s">
        <v>441</v>
      </c>
      <c r="F14841">
        <v>1E-3</v>
      </c>
      <c r="H14841" t="s">
        <v>8584</v>
      </c>
      <c r="I14841">
        <v>360</v>
      </c>
      <c r="J14841" t="s">
        <v>450</v>
      </c>
      <c r="K14841" t="s">
        <v>446</v>
      </c>
      <c r="M14841">
        <v>0</v>
      </c>
    </row>
    <row r="14842" spans="1:13">
      <c r="A14842">
        <v>86396200</v>
      </c>
      <c r="B14842">
        <v>2010379</v>
      </c>
      <c r="C14842" t="s">
        <v>7754</v>
      </c>
      <c r="D14842" t="s">
        <v>442</v>
      </c>
      <c r="E14842" t="s">
        <v>441</v>
      </c>
      <c r="F14842">
        <v>1E-3</v>
      </c>
      <c r="H14842" t="s">
        <v>8580</v>
      </c>
      <c r="I14842">
        <v>360</v>
      </c>
      <c r="J14842" t="s">
        <v>450</v>
      </c>
      <c r="K14842" t="s">
        <v>446</v>
      </c>
      <c r="M14842">
        <v>0</v>
      </c>
    </row>
    <row r="14843" spans="1:13">
      <c r="A14843">
        <v>86396300</v>
      </c>
      <c r="B14843">
        <v>2010385</v>
      </c>
      <c r="C14843" t="s">
        <v>7755</v>
      </c>
      <c r="D14843" t="s">
        <v>442</v>
      </c>
      <c r="E14843" t="s">
        <v>441</v>
      </c>
      <c r="F14843">
        <v>1E-3</v>
      </c>
      <c r="H14843" t="s">
        <v>8583</v>
      </c>
      <c r="I14843">
        <v>360</v>
      </c>
      <c r="J14843" t="s">
        <v>450</v>
      </c>
      <c r="K14843" t="s">
        <v>446</v>
      </c>
      <c r="M14843">
        <v>0</v>
      </c>
    </row>
    <row r="14844" spans="1:13">
      <c r="A14844">
        <v>86396400</v>
      </c>
      <c r="B14844">
        <v>2010384</v>
      </c>
      <c r="C14844" t="s">
        <v>7756</v>
      </c>
      <c r="D14844" t="s">
        <v>442</v>
      </c>
      <c r="E14844" t="s">
        <v>441</v>
      </c>
      <c r="F14844">
        <v>1E-3</v>
      </c>
      <c r="H14844" t="s">
        <v>8583</v>
      </c>
      <c r="I14844">
        <v>360</v>
      </c>
      <c r="J14844" t="s">
        <v>450</v>
      </c>
      <c r="K14844" t="s">
        <v>446</v>
      </c>
      <c r="M14844">
        <v>0</v>
      </c>
    </row>
    <row r="14845" spans="1:13">
      <c r="A14845">
        <v>86396500</v>
      </c>
      <c r="B14845">
        <v>2010390</v>
      </c>
      <c r="C14845" t="s">
        <v>7757</v>
      </c>
      <c r="D14845" t="s">
        <v>442</v>
      </c>
      <c r="E14845" t="s">
        <v>441</v>
      </c>
      <c r="F14845">
        <v>1E-3</v>
      </c>
      <c r="H14845" t="s">
        <v>8580</v>
      </c>
      <c r="I14845">
        <v>360</v>
      </c>
      <c r="J14845" t="s">
        <v>450</v>
      </c>
      <c r="K14845" t="s">
        <v>446</v>
      </c>
      <c r="M14845">
        <v>0</v>
      </c>
    </row>
    <row r="14846" spans="1:13">
      <c r="A14846">
        <v>86396600</v>
      </c>
      <c r="B14846">
        <v>2010412</v>
      </c>
      <c r="C14846" t="s">
        <v>7758</v>
      </c>
      <c r="D14846" t="s">
        <v>442</v>
      </c>
      <c r="E14846" t="s">
        <v>441</v>
      </c>
      <c r="F14846">
        <v>1E-3</v>
      </c>
      <c r="I14846">
        <v>360</v>
      </c>
      <c r="J14846" t="s">
        <v>450</v>
      </c>
      <c r="K14846" t="s">
        <v>446</v>
      </c>
      <c r="M14846">
        <v>0</v>
      </c>
    </row>
    <row r="14847" spans="1:13">
      <c r="A14847">
        <v>86396700</v>
      </c>
      <c r="B14847">
        <v>2010396</v>
      </c>
      <c r="C14847" t="s">
        <v>7759</v>
      </c>
      <c r="D14847" t="s">
        <v>442</v>
      </c>
      <c r="E14847" t="s">
        <v>441</v>
      </c>
      <c r="F14847">
        <v>1E-3</v>
      </c>
      <c r="H14847" t="s">
        <v>8580</v>
      </c>
      <c r="I14847">
        <v>360</v>
      </c>
      <c r="J14847" t="s">
        <v>450</v>
      </c>
      <c r="K14847" t="s">
        <v>446</v>
      </c>
      <c r="M14847">
        <v>0</v>
      </c>
    </row>
    <row r="14848" spans="1:13">
      <c r="A14848">
        <v>86396800</v>
      </c>
      <c r="B14848">
        <v>2010397</v>
      </c>
      <c r="C14848" t="s">
        <v>7760</v>
      </c>
      <c r="D14848" t="s">
        <v>442</v>
      </c>
      <c r="E14848" t="s">
        <v>441</v>
      </c>
      <c r="F14848">
        <v>1E-3</v>
      </c>
      <c r="I14848">
        <v>360</v>
      </c>
      <c r="J14848" t="s">
        <v>450</v>
      </c>
      <c r="K14848" t="s">
        <v>446</v>
      </c>
      <c r="M14848">
        <v>0</v>
      </c>
    </row>
    <row r="14849" spans="1:13">
      <c r="A14849">
        <v>86396900</v>
      </c>
      <c r="B14849">
        <v>2010451</v>
      </c>
      <c r="C14849" t="s">
        <v>7761</v>
      </c>
      <c r="D14849" t="s">
        <v>442</v>
      </c>
      <c r="E14849" t="s">
        <v>441</v>
      </c>
      <c r="F14849">
        <v>1E-3</v>
      </c>
      <c r="H14849" t="s">
        <v>8583</v>
      </c>
      <c r="I14849">
        <v>360</v>
      </c>
      <c r="J14849" t="s">
        <v>450</v>
      </c>
      <c r="K14849" t="s">
        <v>446</v>
      </c>
      <c r="M14849">
        <v>0</v>
      </c>
    </row>
    <row r="14850" spans="1:13">
      <c r="A14850">
        <v>86397000</v>
      </c>
      <c r="B14850">
        <v>2007686</v>
      </c>
      <c r="C14850" t="s">
        <v>7762</v>
      </c>
      <c r="D14850" t="s">
        <v>442</v>
      </c>
      <c r="E14850" t="s">
        <v>441</v>
      </c>
      <c r="F14850">
        <v>1E-3</v>
      </c>
      <c r="H14850" t="s">
        <v>8581</v>
      </c>
      <c r="I14850">
        <v>360</v>
      </c>
      <c r="J14850" t="s">
        <v>450</v>
      </c>
      <c r="K14850" t="s">
        <v>446</v>
      </c>
      <c r="M14850">
        <v>0</v>
      </c>
    </row>
    <row r="14851" spans="1:13">
      <c r="A14851">
        <v>86397100</v>
      </c>
      <c r="B14851">
        <v>2010464</v>
      </c>
      <c r="C14851" t="s">
        <v>7763</v>
      </c>
      <c r="D14851" t="s">
        <v>442</v>
      </c>
      <c r="E14851" t="s">
        <v>441</v>
      </c>
      <c r="F14851">
        <v>1E-3</v>
      </c>
      <c r="I14851">
        <v>360</v>
      </c>
      <c r="J14851" t="s">
        <v>450</v>
      </c>
      <c r="K14851" t="s">
        <v>446</v>
      </c>
      <c r="M14851">
        <v>0</v>
      </c>
    </row>
    <row r="14852" spans="1:13">
      <c r="A14852">
        <v>86397200</v>
      </c>
      <c r="B14852">
        <v>2010487</v>
      </c>
      <c r="C14852" t="s">
        <v>7764</v>
      </c>
      <c r="D14852" t="s">
        <v>442</v>
      </c>
      <c r="E14852" t="s">
        <v>441</v>
      </c>
      <c r="F14852">
        <v>1E-3</v>
      </c>
      <c r="H14852" t="s">
        <v>8584</v>
      </c>
      <c r="I14852">
        <v>360</v>
      </c>
      <c r="J14852" t="s">
        <v>450</v>
      </c>
      <c r="K14852" t="s">
        <v>446</v>
      </c>
      <c r="M14852">
        <v>0</v>
      </c>
    </row>
    <row r="14853" spans="1:13">
      <c r="A14853">
        <v>86397300</v>
      </c>
      <c r="B14853">
        <v>2010488</v>
      </c>
      <c r="C14853" t="s">
        <v>7765</v>
      </c>
      <c r="D14853" t="s">
        <v>442</v>
      </c>
      <c r="E14853" t="s">
        <v>441</v>
      </c>
      <c r="F14853">
        <v>1E-3</v>
      </c>
      <c r="H14853" t="s">
        <v>8584</v>
      </c>
      <c r="I14853">
        <v>360</v>
      </c>
      <c r="J14853" t="s">
        <v>450</v>
      </c>
      <c r="K14853" t="s">
        <v>446</v>
      </c>
      <c r="M14853">
        <v>0</v>
      </c>
    </row>
    <row r="14854" spans="1:13">
      <c r="A14854">
        <v>86397400</v>
      </c>
      <c r="B14854">
        <v>2010436</v>
      </c>
      <c r="C14854" t="s">
        <v>7766</v>
      </c>
      <c r="D14854" t="s">
        <v>442</v>
      </c>
      <c r="E14854" t="s">
        <v>441</v>
      </c>
      <c r="F14854">
        <v>1E-3</v>
      </c>
      <c r="I14854">
        <v>360</v>
      </c>
      <c r="J14854" t="s">
        <v>450</v>
      </c>
      <c r="K14854" t="s">
        <v>446</v>
      </c>
      <c r="M14854">
        <v>0</v>
      </c>
    </row>
    <row r="14855" spans="1:13">
      <c r="A14855">
        <v>86397500</v>
      </c>
      <c r="B14855">
        <v>2010478</v>
      </c>
      <c r="C14855" t="s">
        <v>7767</v>
      </c>
      <c r="D14855" t="s">
        <v>442</v>
      </c>
      <c r="E14855" t="s">
        <v>441</v>
      </c>
      <c r="F14855">
        <v>1E-3</v>
      </c>
      <c r="H14855" t="s">
        <v>8580</v>
      </c>
      <c r="I14855">
        <v>360</v>
      </c>
      <c r="J14855" t="s">
        <v>450</v>
      </c>
      <c r="K14855" t="s">
        <v>446</v>
      </c>
      <c r="M14855">
        <v>0</v>
      </c>
    </row>
    <row r="14856" spans="1:13">
      <c r="A14856">
        <v>86397600</v>
      </c>
      <c r="B14856">
        <v>2010477</v>
      </c>
      <c r="C14856" t="s">
        <v>7768</v>
      </c>
      <c r="D14856" t="s">
        <v>442</v>
      </c>
      <c r="E14856" t="s">
        <v>441</v>
      </c>
      <c r="F14856">
        <v>1E-3</v>
      </c>
      <c r="H14856" t="s">
        <v>8584</v>
      </c>
      <c r="I14856">
        <v>360</v>
      </c>
      <c r="J14856" t="s">
        <v>450</v>
      </c>
      <c r="K14856" t="s">
        <v>446</v>
      </c>
      <c r="M14856">
        <v>0</v>
      </c>
    </row>
    <row r="14857" spans="1:13">
      <c r="A14857">
        <v>86397700</v>
      </c>
      <c r="B14857">
        <v>2010475</v>
      </c>
      <c r="C14857" t="s">
        <v>7769</v>
      </c>
      <c r="D14857" t="s">
        <v>442</v>
      </c>
      <c r="E14857" t="s">
        <v>441</v>
      </c>
      <c r="F14857">
        <v>1E-3</v>
      </c>
      <c r="I14857">
        <v>360</v>
      </c>
      <c r="J14857" t="s">
        <v>450</v>
      </c>
      <c r="K14857" t="s">
        <v>446</v>
      </c>
      <c r="M14857">
        <v>0</v>
      </c>
    </row>
    <row r="14858" spans="1:13">
      <c r="A14858">
        <v>86397800</v>
      </c>
      <c r="B14858">
        <v>2010476</v>
      </c>
      <c r="C14858" t="s">
        <v>7770</v>
      </c>
      <c r="D14858" t="s">
        <v>442</v>
      </c>
      <c r="E14858" t="s">
        <v>441</v>
      </c>
      <c r="F14858">
        <v>1E-3</v>
      </c>
      <c r="H14858" t="s">
        <v>8580</v>
      </c>
      <c r="I14858">
        <v>360</v>
      </c>
      <c r="J14858" t="s">
        <v>450</v>
      </c>
      <c r="K14858" t="s">
        <v>446</v>
      </c>
      <c r="M14858">
        <v>0</v>
      </c>
    </row>
    <row r="14859" spans="1:13">
      <c r="A14859">
        <v>86397900</v>
      </c>
      <c r="B14859">
        <v>2010472</v>
      </c>
      <c r="C14859" t="s">
        <v>7771</v>
      </c>
      <c r="D14859" t="s">
        <v>442</v>
      </c>
      <c r="E14859" t="s">
        <v>441</v>
      </c>
      <c r="F14859">
        <v>1E-3</v>
      </c>
      <c r="H14859" t="s">
        <v>8584</v>
      </c>
      <c r="I14859">
        <v>360</v>
      </c>
      <c r="J14859" t="s">
        <v>450</v>
      </c>
      <c r="K14859" t="s">
        <v>446</v>
      </c>
      <c r="M14859">
        <v>0</v>
      </c>
    </row>
    <row r="14860" spans="1:13">
      <c r="A14860">
        <v>86398000</v>
      </c>
      <c r="B14860">
        <v>2007685</v>
      </c>
      <c r="C14860" t="s">
        <v>7772</v>
      </c>
      <c r="D14860" t="s">
        <v>442</v>
      </c>
      <c r="E14860" t="s">
        <v>441</v>
      </c>
      <c r="F14860">
        <v>1E-3</v>
      </c>
      <c r="H14860" t="s">
        <v>8581</v>
      </c>
      <c r="I14860">
        <v>360</v>
      </c>
      <c r="J14860" t="s">
        <v>450</v>
      </c>
      <c r="K14860" t="s">
        <v>446</v>
      </c>
      <c r="M14860">
        <v>0</v>
      </c>
    </row>
    <row r="14861" spans="1:13">
      <c r="A14861">
        <v>86398100</v>
      </c>
      <c r="B14861">
        <v>2010473</v>
      </c>
      <c r="C14861" t="s">
        <v>7773</v>
      </c>
      <c r="D14861" t="s">
        <v>442</v>
      </c>
      <c r="E14861" t="s">
        <v>441</v>
      </c>
      <c r="F14861">
        <v>1E-3</v>
      </c>
      <c r="H14861" t="s">
        <v>8580</v>
      </c>
      <c r="I14861">
        <v>360</v>
      </c>
      <c r="J14861" t="s">
        <v>450</v>
      </c>
      <c r="K14861" t="s">
        <v>446</v>
      </c>
      <c r="M14861">
        <v>0</v>
      </c>
    </row>
    <row r="14862" spans="1:13">
      <c r="A14862">
        <v>86398200</v>
      </c>
      <c r="B14862">
        <v>2010474</v>
      </c>
      <c r="C14862" t="s">
        <v>7774</v>
      </c>
      <c r="D14862" t="s">
        <v>442</v>
      </c>
      <c r="E14862" t="s">
        <v>441</v>
      </c>
      <c r="F14862">
        <v>1E-3</v>
      </c>
      <c r="H14862" t="s">
        <v>8580</v>
      </c>
      <c r="I14862">
        <v>360</v>
      </c>
      <c r="J14862" t="s">
        <v>450</v>
      </c>
      <c r="K14862" t="s">
        <v>446</v>
      </c>
      <c r="M14862">
        <v>0</v>
      </c>
    </row>
    <row r="14863" spans="1:13">
      <c r="A14863">
        <v>86398300</v>
      </c>
      <c r="B14863">
        <v>2010470</v>
      </c>
      <c r="C14863" t="s">
        <v>7775</v>
      </c>
      <c r="D14863" t="s">
        <v>442</v>
      </c>
      <c r="E14863" t="s">
        <v>441</v>
      </c>
      <c r="F14863">
        <v>1E-3</v>
      </c>
      <c r="H14863" t="s">
        <v>8580</v>
      </c>
      <c r="I14863">
        <v>360</v>
      </c>
      <c r="J14863" t="s">
        <v>450</v>
      </c>
      <c r="K14863" t="s">
        <v>446</v>
      </c>
      <c r="M14863">
        <v>0</v>
      </c>
    </row>
    <row r="14864" spans="1:13">
      <c r="A14864">
        <v>86398400</v>
      </c>
      <c r="B14864">
        <v>2010471</v>
      </c>
      <c r="C14864" t="s">
        <v>7776</v>
      </c>
      <c r="D14864" t="s">
        <v>442</v>
      </c>
      <c r="E14864" t="s">
        <v>441</v>
      </c>
      <c r="F14864">
        <v>1E-3</v>
      </c>
      <c r="H14864" t="s">
        <v>8584</v>
      </c>
      <c r="I14864">
        <v>360</v>
      </c>
      <c r="J14864" t="s">
        <v>450</v>
      </c>
      <c r="K14864" t="s">
        <v>446</v>
      </c>
      <c r="M14864">
        <v>0</v>
      </c>
    </row>
    <row r="14865" spans="1:13">
      <c r="A14865">
        <v>86398500</v>
      </c>
      <c r="B14865">
        <v>2010439</v>
      </c>
      <c r="C14865" t="s">
        <v>7777</v>
      </c>
      <c r="D14865" t="s">
        <v>442</v>
      </c>
      <c r="E14865" t="s">
        <v>441</v>
      </c>
      <c r="F14865">
        <v>1E-3</v>
      </c>
      <c r="H14865" t="s">
        <v>8580</v>
      </c>
      <c r="I14865">
        <v>360</v>
      </c>
      <c r="J14865" t="s">
        <v>450</v>
      </c>
      <c r="K14865" t="s">
        <v>446</v>
      </c>
      <c r="M14865">
        <v>0</v>
      </c>
    </row>
    <row r="14866" spans="1:13">
      <c r="A14866">
        <v>86398600</v>
      </c>
      <c r="B14866">
        <v>2010438</v>
      </c>
      <c r="C14866" t="s">
        <v>7778</v>
      </c>
      <c r="D14866" t="s">
        <v>442</v>
      </c>
      <c r="E14866" t="s">
        <v>441</v>
      </c>
      <c r="F14866">
        <v>1E-3</v>
      </c>
      <c r="H14866" t="s">
        <v>8580</v>
      </c>
      <c r="I14866">
        <v>360</v>
      </c>
      <c r="J14866" t="s">
        <v>450</v>
      </c>
      <c r="K14866" t="s">
        <v>446</v>
      </c>
      <c r="M14866">
        <v>0</v>
      </c>
    </row>
    <row r="14867" spans="1:13">
      <c r="A14867">
        <v>86398700</v>
      </c>
      <c r="B14867">
        <v>2010437</v>
      </c>
      <c r="C14867" t="s">
        <v>7779</v>
      </c>
      <c r="D14867" t="s">
        <v>442</v>
      </c>
      <c r="E14867" t="s">
        <v>441</v>
      </c>
      <c r="F14867">
        <v>1E-3</v>
      </c>
      <c r="H14867" t="s">
        <v>8580</v>
      </c>
      <c r="I14867">
        <v>360</v>
      </c>
      <c r="J14867" t="s">
        <v>450</v>
      </c>
      <c r="K14867" t="s">
        <v>446</v>
      </c>
      <c r="M14867">
        <v>0</v>
      </c>
    </row>
    <row r="14868" spans="1:13">
      <c r="A14868">
        <v>86398800</v>
      </c>
      <c r="B14868">
        <v>2010485</v>
      </c>
      <c r="C14868" t="s">
        <v>7780</v>
      </c>
      <c r="D14868" t="s">
        <v>442</v>
      </c>
      <c r="E14868" t="s">
        <v>441</v>
      </c>
      <c r="F14868">
        <v>1E-3</v>
      </c>
      <c r="H14868" t="s">
        <v>8583</v>
      </c>
      <c r="I14868">
        <v>360</v>
      </c>
      <c r="J14868" t="s">
        <v>450</v>
      </c>
      <c r="K14868" t="s">
        <v>446</v>
      </c>
      <c r="M14868">
        <v>0</v>
      </c>
    </row>
    <row r="14869" spans="1:13">
      <c r="A14869">
        <v>86398900</v>
      </c>
      <c r="B14869">
        <v>2010479</v>
      </c>
      <c r="C14869" t="s">
        <v>7781</v>
      </c>
      <c r="D14869" t="s">
        <v>442</v>
      </c>
      <c r="E14869" t="s">
        <v>441</v>
      </c>
      <c r="F14869">
        <v>1E-3</v>
      </c>
      <c r="H14869" t="s">
        <v>8580</v>
      </c>
      <c r="I14869">
        <v>360</v>
      </c>
      <c r="J14869" t="s">
        <v>450</v>
      </c>
      <c r="K14869" t="s">
        <v>446</v>
      </c>
      <c r="M14869">
        <v>0</v>
      </c>
    </row>
    <row r="14870" spans="1:13">
      <c r="A14870">
        <v>86399000</v>
      </c>
      <c r="B14870">
        <v>2007693</v>
      </c>
      <c r="C14870" t="s">
        <v>7782</v>
      </c>
      <c r="D14870" t="s">
        <v>442</v>
      </c>
      <c r="E14870" t="s">
        <v>441</v>
      </c>
      <c r="F14870">
        <v>1E-3</v>
      </c>
      <c r="H14870" t="s">
        <v>8581</v>
      </c>
      <c r="I14870">
        <v>360</v>
      </c>
      <c r="J14870" t="s">
        <v>450</v>
      </c>
      <c r="K14870" t="s">
        <v>446</v>
      </c>
      <c r="M14870">
        <v>0</v>
      </c>
    </row>
    <row r="14871" spans="1:13">
      <c r="A14871">
        <v>86399100</v>
      </c>
      <c r="B14871">
        <v>2010484</v>
      </c>
      <c r="C14871" t="s">
        <v>7783</v>
      </c>
      <c r="D14871" t="s">
        <v>442</v>
      </c>
      <c r="E14871" t="s">
        <v>441</v>
      </c>
      <c r="F14871">
        <v>1E-3</v>
      </c>
      <c r="H14871" t="s">
        <v>8580</v>
      </c>
      <c r="I14871">
        <v>360</v>
      </c>
      <c r="J14871" t="s">
        <v>450</v>
      </c>
      <c r="K14871" t="s">
        <v>446</v>
      </c>
      <c r="M14871">
        <v>0</v>
      </c>
    </row>
    <row r="14872" spans="1:13">
      <c r="A14872">
        <v>86399200</v>
      </c>
      <c r="B14872">
        <v>2010483</v>
      </c>
      <c r="C14872" t="s">
        <v>7784</v>
      </c>
      <c r="D14872" t="s">
        <v>442</v>
      </c>
      <c r="E14872" t="s">
        <v>441</v>
      </c>
      <c r="F14872">
        <v>1E-3</v>
      </c>
      <c r="H14872" t="s">
        <v>8580</v>
      </c>
      <c r="I14872">
        <v>360</v>
      </c>
      <c r="J14872" t="s">
        <v>450</v>
      </c>
      <c r="K14872" t="s">
        <v>446</v>
      </c>
      <c r="M14872">
        <v>0</v>
      </c>
    </row>
    <row r="14873" spans="1:13">
      <c r="A14873">
        <v>86399300</v>
      </c>
      <c r="B14873">
        <v>2010482</v>
      </c>
      <c r="C14873" t="s">
        <v>7785</v>
      </c>
      <c r="D14873" t="s">
        <v>442</v>
      </c>
      <c r="E14873" t="s">
        <v>441</v>
      </c>
      <c r="F14873">
        <v>1E-3</v>
      </c>
      <c r="H14873" t="s">
        <v>8580</v>
      </c>
      <c r="I14873">
        <v>360</v>
      </c>
      <c r="J14873" t="s">
        <v>450</v>
      </c>
      <c r="K14873" t="s">
        <v>446</v>
      </c>
      <c r="M14873">
        <v>0</v>
      </c>
    </row>
    <row r="14874" spans="1:13">
      <c r="A14874">
        <v>86399400</v>
      </c>
      <c r="B14874">
        <v>2010481</v>
      </c>
      <c r="C14874" t="s">
        <v>7786</v>
      </c>
      <c r="D14874" t="s">
        <v>442</v>
      </c>
      <c r="E14874" t="s">
        <v>441</v>
      </c>
      <c r="F14874">
        <v>1E-3</v>
      </c>
      <c r="H14874" t="s">
        <v>8580</v>
      </c>
      <c r="I14874">
        <v>360</v>
      </c>
      <c r="J14874" t="s">
        <v>450</v>
      </c>
      <c r="K14874" t="s">
        <v>446</v>
      </c>
      <c r="M14874">
        <v>0</v>
      </c>
    </row>
    <row r="14875" spans="1:13">
      <c r="A14875">
        <v>86399500</v>
      </c>
      <c r="B14875">
        <v>2010480</v>
      </c>
      <c r="C14875" t="s">
        <v>7787</v>
      </c>
      <c r="D14875" t="s">
        <v>442</v>
      </c>
      <c r="E14875" t="s">
        <v>441</v>
      </c>
      <c r="F14875">
        <v>1E-3</v>
      </c>
      <c r="H14875" t="s">
        <v>8637</v>
      </c>
      <c r="I14875">
        <v>360</v>
      </c>
      <c r="J14875" t="s">
        <v>450</v>
      </c>
      <c r="K14875" t="s">
        <v>446</v>
      </c>
      <c r="M14875">
        <v>0</v>
      </c>
    </row>
    <row r="14876" spans="1:13">
      <c r="A14876">
        <v>86399600</v>
      </c>
      <c r="B14876">
        <v>2010530</v>
      </c>
      <c r="C14876" t="s">
        <v>15740</v>
      </c>
      <c r="D14876" t="s">
        <v>442</v>
      </c>
      <c r="E14876" t="s">
        <v>441</v>
      </c>
      <c r="F14876">
        <v>1E-3</v>
      </c>
      <c r="H14876" t="s">
        <v>8580</v>
      </c>
      <c r="I14876">
        <v>360</v>
      </c>
      <c r="J14876" t="s">
        <v>450</v>
      </c>
      <c r="M14876">
        <v>0</v>
      </c>
    </row>
    <row r="14877" spans="1:13">
      <c r="A14877">
        <v>86399700</v>
      </c>
      <c r="B14877">
        <v>2010544</v>
      </c>
      <c r="C14877" t="s">
        <v>7788</v>
      </c>
      <c r="D14877" t="s">
        <v>442</v>
      </c>
      <c r="E14877" t="s">
        <v>441</v>
      </c>
      <c r="F14877">
        <v>1E-3</v>
      </c>
      <c r="H14877" t="s">
        <v>8584</v>
      </c>
      <c r="I14877">
        <v>360</v>
      </c>
      <c r="J14877" t="s">
        <v>450</v>
      </c>
      <c r="K14877" t="s">
        <v>446</v>
      </c>
      <c r="M14877">
        <v>0</v>
      </c>
    </row>
    <row r="14878" spans="1:13">
      <c r="A14878">
        <v>86399800</v>
      </c>
      <c r="B14878">
        <v>2010543</v>
      </c>
      <c r="C14878" t="s">
        <v>7789</v>
      </c>
      <c r="D14878" t="s">
        <v>442</v>
      </c>
      <c r="E14878" t="s">
        <v>441</v>
      </c>
      <c r="F14878">
        <v>1E-3</v>
      </c>
      <c r="H14878" t="s">
        <v>8584</v>
      </c>
      <c r="I14878">
        <v>360</v>
      </c>
      <c r="J14878" t="s">
        <v>450</v>
      </c>
      <c r="K14878" t="s">
        <v>446</v>
      </c>
      <c r="M14878">
        <v>0</v>
      </c>
    </row>
    <row r="14879" spans="1:13">
      <c r="A14879">
        <v>86399900</v>
      </c>
      <c r="B14879">
        <v>2010576</v>
      </c>
      <c r="C14879" t="s">
        <v>7790</v>
      </c>
      <c r="D14879" t="s">
        <v>442</v>
      </c>
      <c r="E14879" t="s">
        <v>441</v>
      </c>
      <c r="F14879">
        <v>1E-3</v>
      </c>
      <c r="H14879" t="s">
        <v>8584</v>
      </c>
      <c r="I14879">
        <v>360</v>
      </c>
      <c r="J14879" t="s">
        <v>450</v>
      </c>
      <c r="K14879" t="s">
        <v>446</v>
      </c>
      <c r="M14879">
        <v>0</v>
      </c>
    </row>
    <row r="14880" spans="1:13">
      <c r="A14880">
        <v>86400100</v>
      </c>
      <c r="B14880">
        <v>2010575</v>
      </c>
      <c r="C14880" t="s">
        <v>7791</v>
      </c>
      <c r="D14880" t="s">
        <v>442</v>
      </c>
      <c r="E14880" t="s">
        <v>441</v>
      </c>
      <c r="F14880">
        <v>1E-3</v>
      </c>
      <c r="H14880" t="s">
        <v>8580</v>
      </c>
      <c r="I14880">
        <v>360</v>
      </c>
      <c r="J14880" t="s">
        <v>450</v>
      </c>
      <c r="K14880" t="s">
        <v>446</v>
      </c>
      <c r="M14880">
        <v>0</v>
      </c>
    </row>
    <row r="14881" spans="1:13">
      <c r="A14881">
        <v>86400200</v>
      </c>
      <c r="B14881">
        <v>2010582</v>
      </c>
      <c r="C14881" t="s">
        <v>7792</v>
      </c>
      <c r="D14881" t="s">
        <v>442</v>
      </c>
      <c r="E14881" t="s">
        <v>441</v>
      </c>
      <c r="F14881">
        <v>1E-3</v>
      </c>
      <c r="H14881" t="s">
        <v>8584</v>
      </c>
      <c r="I14881">
        <v>360</v>
      </c>
      <c r="J14881" t="s">
        <v>450</v>
      </c>
      <c r="K14881" t="s">
        <v>446</v>
      </c>
      <c r="M14881">
        <v>0</v>
      </c>
    </row>
    <row r="14882" spans="1:13">
      <c r="A14882">
        <v>86400300</v>
      </c>
      <c r="B14882">
        <v>2010583</v>
      </c>
      <c r="C14882" t="s">
        <v>7793</v>
      </c>
      <c r="D14882" t="s">
        <v>442</v>
      </c>
      <c r="E14882" t="s">
        <v>441</v>
      </c>
      <c r="F14882">
        <v>1E-3</v>
      </c>
      <c r="H14882" t="s">
        <v>8584</v>
      </c>
      <c r="I14882">
        <v>360</v>
      </c>
      <c r="J14882" t="s">
        <v>450</v>
      </c>
      <c r="K14882" t="s">
        <v>446</v>
      </c>
      <c r="M14882">
        <v>0</v>
      </c>
    </row>
    <row r="14883" spans="1:13">
      <c r="A14883">
        <v>86400400</v>
      </c>
      <c r="B14883">
        <v>2010623</v>
      </c>
      <c r="C14883" t="s">
        <v>7794</v>
      </c>
      <c r="D14883" t="s">
        <v>442</v>
      </c>
      <c r="E14883" t="s">
        <v>441</v>
      </c>
      <c r="F14883">
        <v>1E-3</v>
      </c>
      <c r="I14883">
        <v>360</v>
      </c>
      <c r="J14883" t="s">
        <v>450</v>
      </c>
      <c r="K14883" t="s">
        <v>446</v>
      </c>
      <c r="M14883">
        <v>0</v>
      </c>
    </row>
    <row r="14884" spans="1:13">
      <c r="A14884">
        <v>86400500</v>
      </c>
      <c r="B14884">
        <v>2010419</v>
      </c>
      <c r="C14884" t="s">
        <v>17241</v>
      </c>
      <c r="D14884" t="s">
        <v>442</v>
      </c>
      <c r="E14884" t="s">
        <v>441</v>
      </c>
      <c r="F14884">
        <v>1E-3</v>
      </c>
      <c r="I14884">
        <v>365</v>
      </c>
      <c r="J14884" t="s">
        <v>450</v>
      </c>
      <c r="K14884" t="s">
        <v>446</v>
      </c>
      <c r="M14884">
        <v>0</v>
      </c>
    </row>
    <row r="14885" spans="1:13">
      <c r="A14885">
        <v>86400600</v>
      </c>
      <c r="B14885">
        <v>2010673</v>
      </c>
      <c r="C14885" t="s">
        <v>7795</v>
      </c>
      <c r="D14885" t="s">
        <v>442</v>
      </c>
      <c r="E14885" t="s">
        <v>441</v>
      </c>
      <c r="F14885">
        <v>1E-3</v>
      </c>
      <c r="H14885" t="s">
        <v>8624</v>
      </c>
      <c r="I14885">
        <v>360</v>
      </c>
      <c r="J14885" t="s">
        <v>450</v>
      </c>
      <c r="K14885" t="s">
        <v>446</v>
      </c>
      <c r="M14885">
        <v>0</v>
      </c>
    </row>
    <row r="14886" spans="1:13">
      <c r="A14886">
        <v>86400800</v>
      </c>
      <c r="B14886">
        <v>2010670</v>
      </c>
      <c r="C14886" t="s">
        <v>7796</v>
      </c>
      <c r="D14886" t="s">
        <v>442</v>
      </c>
      <c r="E14886" t="s">
        <v>441</v>
      </c>
      <c r="F14886">
        <v>1E-3</v>
      </c>
      <c r="H14886" t="s">
        <v>8583</v>
      </c>
      <c r="I14886">
        <v>360</v>
      </c>
      <c r="J14886" t="s">
        <v>450</v>
      </c>
      <c r="K14886" t="s">
        <v>446</v>
      </c>
      <c r="M14886">
        <v>0</v>
      </c>
    </row>
    <row r="14887" spans="1:13">
      <c r="A14887">
        <v>86400900</v>
      </c>
      <c r="B14887">
        <v>2010677</v>
      </c>
      <c r="C14887" t="s">
        <v>7797</v>
      </c>
      <c r="D14887" t="s">
        <v>442</v>
      </c>
      <c r="E14887" t="s">
        <v>441</v>
      </c>
      <c r="F14887">
        <v>1E-3</v>
      </c>
      <c r="H14887" t="s">
        <v>8584</v>
      </c>
      <c r="I14887">
        <v>360</v>
      </c>
      <c r="J14887" t="s">
        <v>450</v>
      </c>
      <c r="K14887" t="s">
        <v>446</v>
      </c>
      <c r="M14887">
        <v>0</v>
      </c>
    </row>
    <row r="14888" spans="1:13">
      <c r="A14888">
        <v>86401100</v>
      </c>
      <c r="B14888">
        <v>2010690</v>
      </c>
      <c r="C14888" t="s">
        <v>7798</v>
      </c>
      <c r="D14888" t="s">
        <v>442</v>
      </c>
      <c r="E14888" t="s">
        <v>441</v>
      </c>
      <c r="F14888">
        <v>1E-3</v>
      </c>
      <c r="H14888" t="s">
        <v>8622</v>
      </c>
      <c r="I14888">
        <v>360</v>
      </c>
      <c r="J14888" t="s">
        <v>450</v>
      </c>
      <c r="K14888" t="s">
        <v>446</v>
      </c>
      <c r="M14888">
        <v>0</v>
      </c>
    </row>
    <row r="14889" spans="1:13">
      <c r="A14889">
        <v>86401200</v>
      </c>
      <c r="B14889">
        <v>2008225</v>
      </c>
      <c r="C14889" t="s">
        <v>7799</v>
      </c>
      <c r="D14889" t="s">
        <v>442</v>
      </c>
      <c r="F14889">
        <v>0</v>
      </c>
      <c r="H14889" t="s">
        <v>8581</v>
      </c>
      <c r="I14889">
        <v>725</v>
      </c>
      <c r="J14889" t="s">
        <v>450</v>
      </c>
      <c r="K14889" t="s">
        <v>446</v>
      </c>
      <c r="M14889">
        <v>0</v>
      </c>
    </row>
    <row r="14890" spans="1:13">
      <c r="A14890">
        <v>86401300</v>
      </c>
      <c r="B14890">
        <v>2010728</v>
      </c>
      <c r="C14890" t="s">
        <v>7800</v>
      </c>
      <c r="D14890" t="s">
        <v>442</v>
      </c>
      <c r="E14890" t="s">
        <v>441</v>
      </c>
      <c r="F14890">
        <v>1E-3</v>
      </c>
      <c r="H14890" t="s">
        <v>8580</v>
      </c>
      <c r="I14890">
        <v>360</v>
      </c>
      <c r="J14890" t="s">
        <v>450</v>
      </c>
      <c r="K14890" t="s">
        <v>446</v>
      </c>
      <c r="M14890">
        <v>0</v>
      </c>
    </row>
    <row r="14891" spans="1:13">
      <c r="A14891">
        <v>86401400</v>
      </c>
      <c r="B14891">
        <v>2010691</v>
      </c>
      <c r="C14891" t="s">
        <v>7801</v>
      </c>
      <c r="D14891" t="s">
        <v>442</v>
      </c>
      <c r="E14891" t="s">
        <v>441</v>
      </c>
      <c r="F14891">
        <v>1E-3</v>
      </c>
      <c r="H14891" t="s">
        <v>8622</v>
      </c>
      <c r="I14891">
        <v>360</v>
      </c>
      <c r="J14891" t="s">
        <v>450</v>
      </c>
      <c r="K14891" t="s">
        <v>446</v>
      </c>
      <c r="M14891">
        <v>0</v>
      </c>
    </row>
    <row r="14892" spans="1:13">
      <c r="A14892">
        <v>86401500</v>
      </c>
      <c r="B14892">
        <v>2010692</v>
      </c>
      <c r="C14892" t="s">
        <v>7802</v>
      </c>
      <c r="D14892" t="s">
        <v>442</v>
      </c>
      <c r="E14892" t="s">
        <v>441</v>
      </c>
      <c r="F14892">
        <v>1E-3</v>
      </c>
      <c r="H14892" t="s">
        <v>8580</v>
      </c>
      <c r="I14892">
        <v>360</v>
      </c>
      <c r="J14892" t="s">
        <v>450</v>
      </c>
      <c r="K14892" t="s">
        <v>446</v>
      </c>
      <c r="M14892">
        <v>0</v>
      </c>
    </row>
    <row r="14893" spans="1:13">
      <c r="A14893">
        <v>86401600</v>
      </c>
      <c r="B14893">
        <v>2010695</v>
      </c>
      <c r="C14893" t="s">
        <v>14659</v>
      </c>
      <c r="D14893" t="s">
        <v>442</v>
      </c>
      <c r="E14893" t="s">
        <v>441</v>
      </c>
      <c r="F14893">
        <v>1E-3</v>
      </c>
      <c r="H14893" t="s">
        <v>8584</v>
      </c>
      <c r="I14893">
        <v>360</v>
      </c>
      <c r="J14893" t="s">
        <v>450</v>
      </c>
      <c r="K14893" t="s">
        <v>446</v>
      </c>
      <c r="M14893">
        <v>0</v>
      </c>
    </row>
    <row r="14894" spans="1:13">
      <c r="A14894">
        <v>86401700</v>
      </c>
      <c r="B14894">
        <v>2010742</v>
      </c>
      <c r="C14894" t="s">
        <v>7803</v>
      </c>
      <c r="D14894" t="s">
        <v>442</v>
      </c>
      <c r="E14894" t="s">
        <v>441</v>
      </c>
      <c r="F14894">
        <v>1E-3</v>
      </c>
      <c r="H14894" t="s">
        <v>8584</v>
      </c>
      <c r="I14894">
        <v>360</v>
      </c>
      <c r="J14894" t="s">
        <v>450</v>
      </c>
      <c r="K14894" t="s">
        <v>446</v>
      </c>
      <c r="M14894">
        <v>0</v>
      </c>
    </row>
    <row r="14895" spans="1:13">
      <c r="A14895">
        <v>86401800</v>
      </c>
      <c r="B14895">
        <v>2010743</v>
      </c>
      <c r="C14895" t="s">
        <v>7804</v>
      </c>
      <c r="D14895" t="s">
        <v>442</v>
      </c>
      <c r="E14895" t="s">
        <v>441</v>
      </c>
      <c r="F14895">
        <v>1E-3</v>
      </c>
      <c r="I14895">
        <v>360</v>
      </c>
      <c r="J14895" t="s">
        <v>450</v>
      </c>
      <c r="K14895" t="s">
        <v>446</v>
      </c>
      <c r="M14895">
        <v>0</v>
      </c>
    </row>
    <row r="14896" spans="1:13">
      <c r="A14896">
        <v>86401900</v>
      </c>
      <c r="B14896">
        <v>2010707</v>
      </c>
      <c r="C14896" t="s">
        <v>7805</v>
      </c>
      <c r="D14896" t="s">
        <v>442</v>
      </c>
      <c r="E14896" t="s">
        <v>441</v>
      </c>
      <c r="F14896">
        <v>1E-3</v>
      </c>
      <c r="H14896" t="s">
        <v>8580</v>
      </c>
      <c r="I14896">
        <v>360</v>
      </c>
      <c r="J14896" t="s">
        <v>450</v>
      </c>
      <c r="K14896" t="s">
        <v>446</v>
      </c>
      <c r="M14896">
        <v>0</v>
      </c>
    </row>
    <row r="14897" spans="1:13">
      <c r="A14897">
        <v>86402100</v>
      </c>
      <c r="B14897">
        <v>2010708</v>
      </c>
      <c r="C14897" t="s">
        <v>7806</v>
      </c>
      <c r="D14897" t="s">
        <v>442</v>
      </c>
      <c r="E14897" t="s">
        <v>441</v>
      </c>
      <c r="F14897">
        <v>1E-3</v>
      </c>
      <c r="H14897" t="s">
        <v>8580</v>
      </c>
      <c r="I14897">
        <v>360</v>
      </c>
      <c r="J14897" t="s">
        <v>450</v>
      </c>
      <c r="K14897" t="s">
        <v>446</v>
      </c>
      <c r="M14897">
        <v>0</v>
      </c>
    </row>
    <row r="14898" spans="1:13">
      <c r="A14898">
        <v>86402200</v>
      </c>
      <c r="B14898">
        <v>2010750</v>
      </c>
      <c r="C14898" t="s">
        <v>7807</v>
      </c>
      <c r="D14898" t="s">
        <v>442</v>
      </c>
      <c r="E14898" t="s">
        <v>441</v>
      </c>
      <c r="F14898">
        <v>1E-3</v>
      </c>
      <c r="H14898" t="s">
        <v>8580</v>
      </c>
      <c r="I14898">
        <v>360</v>
      </c>
      <c r="J14898" t="s">
        <v>450</v>
      </c>
      <c r="K14898" t="s">
        <v>446</v>
      </c>
      <c r="M14898">
        <v>0</v>
      </c>
    </row>
    <row r="14899" spans="1:13">
      <c r="A14899">
        <v>86402300</v>
      </c>
      <c r="B14899">
        <v>2010751</v>
      </c>
      <c r="C14899" t="s">
        <v>7808</v>
      </c>
      <c r="D14899" t="s">
        <v>442</v>
      </c>
      <c r="E14899" t="s">
        <v>441</v>
      </c>
      <c r="F14899">
        <v>1E-3</v>
      </c>
      <c r="I14899">
        <v>360</v>
      </c>
      <c r="J14899" t="s">
        <v>450</v>
      </c>
      <c r="K14899" t="s">
        <v>446</v>
      </c>
      <c r="M14899">
        <v>0</v>
      </c>
    </row>
    <row r="14900" spans="1:13">
      <c r="A14900">
        <v>86402400</v>
      </c>
      <c r="B14900">
        <v>2010752</v>
      </c>
      <c r="C14900" t="s">
        <v>7809</v>
      </c>
      <c r="D14900" t="s">
        <v>442</v>
      </c>
      <c r="E14900" t="s">
        <v>441</v>
      </c>
      <c r="F14900">
        <v>1E-3</v>
      </c>
      <c r="H14900" t="s">
        <v>8580</v>
      </c>
      <c r="I14900">
        <v>360</v>
      </c>
      <c r="J14900" t="s">
        <v>450</v>
      </c>
      <c r="K14900" t="s">
        <v>446</v>
      </c>
      <c r="M14900">
        <v>0</v>
      </c>
    </row>
    <row r="14901" spans="1:13">
      <c r="A14901">
        <v>86402500</v>
      </c>
      <c r="B14901">
        <v>2010696</v>
      </c>
      <c r="C14901" t="s">
        <v>7810</v>
      </c>
      <c r="D14901" t="s">
        <v>442</v>
      </c>
      <c r="E14901" t="s">
        <v>441</v>
      </c>
      <c r="F14901">
        <v>1E-3</v>
      </c>
      <c r="H14901" t="s">
        <v>8584</v>
      </c>
      <c r="I14901">
        <v>360</v>
      </c>
      <c r="J14901" t="s">
        <v>450</v>
      </c>
      <c r="K14901" t="s">
        <v>446</v>
      </c>
      <c r="M14901">
        <v>0</v>
      </c>
    </row>
    <row r="14902" spans="1:13">
      <c r="A14902">
        <v>86402600</v>
      </c>
      <c r="B14902">
        <v>2010758</v>
      </c>
      <c r="C14902" t="s">
        <v>7811</v>
      </c>
      <c r="D14902" t="s">
        <v>442</v>
      </c>
      <c r="E14902" t="s">
        <v>441</v>
      </c>
      <c r="F14902">
        <v>1E-3</v>
      </c>
      <c r="H14902" t="s">
        <v>8580</v>
      </c>
      <c r="I14902">
        <v>360</v>
      </c>
      <c r="J14902" t="s">
        <v>450</v>
      </c>
      <c r="K14902" t="s">
        <v>446</v>
      </c>
      <c r="M14902">
        <v>0</v>
      </c>
    </row>
    <row r="14903" spans="1:13">
      <c r="A14903">
        <v>86402700</v>
      </c>
      <c r="B14903">
        <v>2010435</v>
      </c>
      <c r="C14903" t="s">
        <v>17807</v>
      </c>
      <c r="D14903" t="s">
        <v>442</v>
      </c>
      <c r="E14903" t="s">
        <v>441</v>
      </c>
      <c r="F14903">
        <v>1E-3</v>
      </c>
      <c r="H14903" t="s">
        <v>8584</v>
      </c>
      <c r="I14903">
        <v>365</v>
      </c>
      <c r="J14903" t="s">
        <v>450</v>
      </c>
      <c r="K14903" t="s">
        <v>446</v>
      </c>
      <c r="M14903">
        <v>0</v>
      </c>
    </row>
    <row r="14904" spans="1:13">
      <c r="A14904">
        <v>86402800</v>
      </c>
      <c r="B14904">
        <v>2010764</v>
      </c>
      <c r="C14904" t="s">
        <v>7812</v>
      </c>
      <c r="D14904" t="s">
        <v>442</v>
      </c>
      <c r="E14904" t="s">
        <v>441</v>
      </c>
      <c r="F14904">
        <v>1E-3</v>
      </c>
      <c r="H14904" t="s">
        <v>8580</v>
      </c>
      <c r="I14904">
        <v>360</v>
      </c>
      <c r="J14904" t="s">
        <v>450</v>
      </c>
      <c r="K14904" t="s">
        <v>446</v>
      </c>
      <c r="M14904">
        <v>0</v>
      </c>
    </row>
    <row r="14905" spans="1:13">
      <c r="A14905">
        <v>86402900</v>
      </c>
      <c r="B14905">
        <v>2010762</v>
      </c>
      <c r="C14905" t="s">
        <v>7813</v>
      </c>
      <c r="D14905" t="s">
        <v>442</v>
      </c>
      <c r="E14905" t="s">
        <v>441</v>
      </c>
      <c r="F14905">
        <v>1E-3</v>
      </c>
      <c r="H14905" t="s">
        <v>8584</v>
      </c>
      <c r="I14905">
        <v>360</v>
      </c>
      <c r="J14905" t="s">
        <v>450</v>
      </c>
      <c r="K14905" t="s">
        <v>446</v>
      </c>
      <c r="M14905">
        <v>0</v>
      </c>
    </row>
    <row r="14906" spans="1:13">
      <c r="A14906">
        <v>86403100</v>
      </c>
      <c r="B14906">
        <v>2010763</v>
      </c>
      <c r="C14906" t="s">
        <v>7814</v>
      </c>
      <c r="D14906" t="s">
        <v>442</v>
      </c>
      <c r="E14906" t="s">
        <v>441</v>
      </c>
      <c r="F14906">
        <v>1E-3</v>
      </c>
      <c r="I14906">
        <v>360</v>
      </c>
      <c r="J14906" t="s">
        <v>450</v>
      </c>
      <c r="K14906" t="s">
        <v>446</v>
      </c>
      <c r="M14906">
        <v>0</v>
      </c>
    </row>
    <row r="14907" spans="1:13">
      <c r="A14907">
        <v>86403200</v>
      </c>
      <c r="B14907">
        <v>2010775</v>
      </c>
      <c r="C14907" t="s">
        <v>7815</v>
      </c>
      <c r="D14907" t="s">
        <v>442</v>
      </c>
      <c r="E14907" t="s">
        <v>441</v>
      </c>
      <c r="F14907">
        <v>1E-3</v>
      </c>
      <c r="H14907" t="s">
        <v>8624</v>
      </c>
      <c r="I14907">
        <v>360</v>
      </c>
      <c r="J14907" t="s">
        <v>450</v>
      </c>
      <c r="K14907" t="s">
        <v>446</v>
      </c>
      <c r="M14907">
        <v>0</v>
      </c>
    </row>
    <row r="14908" spans="1:13">
      <c r="A14908">
        <v>86403300</v>
      </c>
      <c r="B14908">
        <v>2010776</v>
      </c>
      <c r="C14908" t="s">
        <v>7816</v>
      </c>
      <c r="D14908" t="s">
        <v>442</v>
      </c>
      <c r="E14908" t="s">
        <v>441</v>
      </c>
      <c r="F14908">
        <v>1E-3</v>
      </c>
      <c r="H14908" t="s">
        <v>8580</v>
      </c>
      <c r="I14908">
        <v>360</v>
      </c>
      <c r="J14908" t="s">
        <v>450</v>
      </c>
      <c r="K14908" t="s">
        <v>446</v>
      </c>
      <c r="M14908">
        <v>0</v>
      </c>
    </row>
    <row r="14909" spans="1:13">
      <c r="A14909">
        <v>86403400</v>
      </c>
      <c r="B14909">
        <v>2010777</v>
      </c>
      <c r="C14909" t="s">
        <v>7817</v>
      </c>
      <c r="D14909" t="s">
        <v>442</v>
      </c>
      <c r="E14909" t="s">
        <v>441</v>
      </c>
      <c r="F14909">
        <v>1E-3</v>
      </c>
      <c r="H14909" t="s">
        <v>8637</v>
      </c>
      <c r="I14909">
        <v>360</v>
      </c>
      <c r="J14909" t="s">
        <v>450</v>
      </c>
      <c r="K14909" t="s">
        <v>446</v>
      </c>
      <c r="M14909">
        <v>0</v>
      </c>
    </row>
    <row r="14910" spans="1:13">
      <c r="A14910">
        <v>86403500</v>
      </c>
      <c r="B14910">
        <v>2010790</v>
      </c>
      <c r="C14910" t="s">
        <v>7818</v>
      </c>
      <c r="D14910" t="s">
        <v>442</v>
      </c>
      <c r="E14910" t="s">
        <v>441</v>
      </c>
      <c r="F14910">
        <v>1E-3</v>
      </c>
      <c r="H14910" t="s">
        <v>8580</v>
      </c>
      <c r="I14910">
        <v>360</v>
      </c>
      <c r="J14910" t="s">
        <v>450</v>
      </c>
      <c r="K14910" t="s">
        <v>446</v>
      </c>
      <c r="M14910">
        <v>0</v>
      </c>
    </row>
    <row r="14911" spans="1:13">
      <c r="A14911">
        <v>86403600</v>
      </c>
      <c r="B14911">
        <v>2010778</v>
      </c>
      <c r="C14911" t="s">
        <v>7819</v>
      </c>
      <c r="D14911" t="s">
        <v>442</v>
      </c>
      <c r="E14911" t="s">
        <v>441</v>
      </c>
      <c r="F14911">
        <v>1E-3</v>
      </c>
      <c r="H14911" t="s">
        <v>8935</v>
      </c>
      <c r="I14911">
        <v>360</v>
      </c>
      <c r="J14911" t="s">
        <v>450</v>
      </c>
      <c r="K14911" t="s">
        <v>446</v>
      </c>
      <c r="M14911">
        <v>0</v>
      </c>
    </row>
    <row r="14912" spans="1:13">
      <c r="A14912">
        <v>86403700</v>
      </c>
      <c r="B14912">
        <v>2010779</v>
      </c>
      <c r="C14912" t="s">
        <v>7820</v>
      </c>
      <c r="D14912" t="s">
        <v>442</v>
      </c>
      <c r="E14912" t="s">
        <v>441</v>
      </c>
      <c r="F14912">
        <v>1E-3</v>
      </c>
      <c r="H14912" t="s">
        <v>8935</v>
      </c>
      <c r="I14912">
        <v>360</v>
      </c>
      <c r="J14912" t="s">
        <v>450</v>
      </c>
      <c r="K14912" t="s">
        <v>446</v>
      </c>
      <c r="M14912">
        <v>0</v>
      </c>
    </row>
    <row r="14913" spans="1:13">
      <c r="A14913">
        <v>86403800</v>
      </c>
      <c r="B14913">
        <v>2010791</v>
      </c>
      <c r="C14913" t="s">
        <v>7821</v>
      </c>
      <c r="D14913" t="s">
        <v>442</v>
      </c>
      <c r="E14913" t="s">
        <v>441</v>
      </c>
      <c r="F14913">
        <v>1E-3</v>
      </c>
      <c r="I14913">
        <v>360</v>
      </c>
      <c r="J14913" t="s">
        <v>450</v>
      </c>
      <c r="K14913" t="s">
        <v>446</v>
      </c>
      <c r="M14913">
        <v>0</v>
      </c>
    </row>
    <row r="14914" spans="1:13">
      <c r="A14914">
        <v>86403900</v>
      </c>
      <c r="B14914">
        <v>2010792</v>
      </c>
      <c r="C14914" t="s">
        <v>7822</v>
      </c>
      <c r="D14914" t="s">
        <v>442</v>
      </c>
      <c r="E14914" t="s">
        <v>441</v>
      </c>
      <c r="F14914">
        <v>1E-3</v>
      </c>
      <c r="H14914" t="s">
        <v>8580</v>
      </c>
      <c r="I14914">
        <v>360</v>
      </c>
      <c r="J14914" t="s">
        <v>450</v>
      </c>
      <c r="K14914" t="s">
        <v>446</v>
      </c>
      <c r="M14914">
        <v>0</v>
      </c>
    </row>
    <row r="14915" spans="1:13">
      <c r="A14915">
        <v>86404100</v>
      </c>
      <c r="B14915">
        <v>2010766</v>
      </c>
      <c r="C14915" t="s">
        <v>7823</v>
      </c>
      <c r="D14915" t="s">
        <v>442</v>
      </c>
      <c r="E14915" t="s">
        <v>441</v>
      </c>
      <c r="F14915">
        <v>1E-3</v>
      </c>
      <c r="H14915" t="s">
        <v>8580</v>
      </c>
      <c r="I14915">
        <v>360</v>
      </c>
      <c r="J14915" t="s">
        <v>450</v>
      </c>
      <c r="K14915" t="s">
        <v>446</v>
      </c>
      <c r="M14915">
        <v>0</v>
      </c>
    </row>
    <row r="14916" spans="1:13">
      <c r="A14916">
        <v>86404200</v>
      </c>
      <c r="B14916">
        <v>2010765</v>
      </c>
      <c r="C14916" t="s">
        <v>7824</v>
      </c>
      <c r="D14916" t="s">
        <v>442</v>
      </c>
      <c r="E14916" t="s">
        <v>441</v>
      </c>
      <c r="F14916">
        <v>1E-3</v>
      </c>
      <c r="I14916">
        <v>360</v>
      </c>
      <c r="J14916" t="s">
        <v>450</v>
      </c>
      <c r="K14916" t="s">
        <v>446</v>
      </c>
      <c r="M14916">
        <v>0</v>
      </c>
    </row>
    <row r="14917" spans="1:13">
      <c r="A14917">
        <v>86404300</v>
      </c>
      <c r="B14917">
        <v>2010769</v>
      </c>
      <c r="C14917" t="s">
        <v>7825</v>
      </c>
      <c r="D14917" t="s">
        <v>442</v>
      </c>
      <c r="E14917" t="s">
        <v>441</v>
      </c>
      <c r="F14917">
        <v>1E-3</v>
      </c>
      <c r="I14917">
        <v>360</v>
      </c>
      <c r="J14917" t="s">
        <v>450</v>
      </c>
      <c r="K14917" t="s">
        <v>446</v>
      </c>
      <c r="M14917">
        <v>0</v>
      </c>
    </row>
    <row r="14918" spans="1:13">
      <c r="A14918">
        <v>86404600</v>
      </c>
      <c r="B14918">
        <v>2010916</v>
      </c>
      <c r="C14918" t="s">
        <v>7826</v>
      </c>
      <c r="D14918" t="s">
        <v>442</v>
      </c>
      <c r="E14918" t="s">
        <v>441</v>
      </c>
      <c r="F14918">
        <v>1E-3</v>
      </c>
      <c r="H14918" t="s">
        <v>8935</v>
      </c>
      <c r="I14918">
        <v>360</v>
      </c>
      <c r="J14918" t="s">
        <v>450</v>
      </c>
      <c r="K14918" t="s">
        <v>446</v>
      </c>
      <c r="M14918">
        <v>0</v>
      </c>
    </row>
    <row r="14919" spans="1:13">
      <c r="A14919">
        <v>86404700</v>
      </c>
      <c r="B14919">
        <v>2010961</v>
      </c>
      <c r="C14919" t="s">
        <v>14660</v>
      </c>
      <c r="D14919" t="s">
        <v>442</v>
      </c>
      <c r="E14919" t="s">
        <v>441</v>
      </c>
      <c r="F14919">
        <v>1E-3</v>
      </c>
      <c r="H14919" t="s">
        <v>8624</v>
      </c>
      <c r="I14919">
        <v>360</v>
      </c>
      <c r="J14919" t="s">
        <v>450</v>
      </c>
      <c r="K14919" t="s">
        <v>446</v>
      </c>
      <c r="M14919">
        <v>0</v>
      </c>
    </row>
    <row r="14920" spans="1:13">
      <c r="A14920">
        <v>86404900</v>
      </c>
      <c r="B14920">
        <v>2010990</v>
      </c>
      <c r="C14920" t="s">
        <v>7827</v>
      </c>
      <c r="D14920" t="s">
        <v>442</v>
      </c>
      <c r="E14920" t="s">
        <v>441</v>
      </c>
      <c r="F14920">
        <v>1E-3</v>
      </c>
      <c r="H14920" t="s">
        <v>8619</v>
      </c>
      <c r="I14920">
        <v>360</v>
      </c>
      <c r="J14920" t="s">
        <v>450</v>
      </c>
      <c r="K14920" t="s">
        <v>446</v>
      </c>
      <c r="M14920">
        <v>0</v>
      </c>
    </row>
    <row r="14921" spans="1:13">
      <c r="A14921">
        <v>86405100</v>
      </c>
      <c r="B14921">
        <v>2010991</v>
      </c>
      <c r="C14921" t="s">
        <v>7828</v>
      </c>
      <c r="D14921" t="s">
        <v>442</v>
      </c>
      <c r="E14921" t="s">
        <v>441</v>
      </c>
      <c r="F14921">
        <v>1E-3</v>
      </c>
      <c r="H14921" t="s">
        <v>8580</v>
      </c>
      <c r="I14921">
        <v>360</v>
      </c>
      <c r="J14921" t="s">
        <v>450</v>
      </c>
      <c r="K14921" t="s">
        <v>446</v>
      </c>
      <c r="M14921">
        <v>0</v>
      </c>
    </row>
    <row r="14922" spans="1:13">
      <c r="A14922">
        <v>86405200</v>
      </c>
      <c r="B14922">
        <v>2011008</v>
      </c>
      <c r="C14922" t="s">
        <v>7829</v>
      </c>
      <c r="D14922" t="s">
        <v>442</v>
      </c>
      <c r="E14922" t="s">
        <v>441</v>
      </c>
      <c r="F14922">
        <v>1E-3</v>
      </c>
      <c r="H14922" t="s">
        <v>8637</v>
      </c>
      <c r="I14922">
        <v>360</v>
      </c>
      <c r="J14922" t="s">
        <v>450</v>
      </c>
      <c r="K14922" t="s">
        <v>446</v>
      </c>
      <c r="M14922">
        <v>0</v>
      </c>
    </row>
    <row r="14923" spans="1:13">
      <c r="A14923">
        <v>86405300</v>
      </c>
      <c r="B14923">
        <v>2011009</v>
      </c>
      <c r="C14923" t="s">
        <v>7830</v>
      </c>
      <c r="D14923" t="s">
        <v>442</v>
      </c>
      <c r="E14923" t="s">
        <v>441</v>
      </c>
      <c r="F14923">
        <v>1E-3</v>
      </c>
      <c r="H14923" t="s">
        <v>8637</v>
      </c>
      <c r="I14923">
        <v>360</v>
      </c>
      <c r="J14923" t="s">
        <v>450</v>
      </c>
      <c r="K14923" t="s">
        <v>446</v>
      </c>
      <c r="M14923">
        <v>0</v>
      </c>
    </row>
    <row r="14924" spans="1:13">
      <c r="A14924">
        <v>86405400</v>
      </c>
      <c r="B14924">
        <v>2011041</v>
      </c>
      <c r="C14924" t="s">
        <v>7831</v>
      </c>
      <c r="D14924" t="s">
        <v>442</v>
      </c>
      <c r="E14924" t="s">
        <v>441</v>
      </c>
      <c r="F14924">
        <v>1E-3</v>
      </c>
      <c r="H14924" t="s">
        <v>8584</v>
      </c>
      <c r="I14924">
        <v>360</v>
      </c>
      <c r="J14924" t="s">
        <v>450</v>
      </c>
      <c r="K14924" t="s">
        <v>446</v>
      </c>
      <c r="M14924">
        <v>0</v>
      </c>
    </row>
    <row r="14925" spans="1:13">
      <c r="A14925">
        <v>86405500</v>
      </c>
      <c r="B14925">
        <v>2011040</v>
      </c>
      <c r="C14925" t="s">
        <v>7832</v>
      </c>
      <c r="D14925" t="s">
        <v>442</v>
      </c>
      <c r="E14925" t="s">
        <v>441</v>
      </c>
      <c r="F14925">
        <v>1E-3</v>
      </c>
      <c r="H14925" t="s">
        <v>8580</v>
      </c>
      <c r="I14925">
        <v>360</v>
      </c>
      <c r="J14925" t="s">
        <v>450</v>
      </c>
      <c r="K14925" t="s">
        <v>446</v>
      </c>
      <c r="M14925">
        <v>0</v>
      </c>
    </row>
    <row r="14926" spans="1:13">
      <c r="A14926">
        <v>86405600</v>
      </c>
      <c r="B14926">
        <v>2011027</v>
      </c>
      <c r="C14926" t="s">
        <v>14081</v>
      </c>
      <c r="D14926" t="s">
        <v>449</v>
      </c>
      <c r="E14926" t="s">
        <v>441</v>
      </c>
      <c r="F14926">
        <v>1E-3</v>
      </c>
      <c r="G14926">
        <v>0</v>
      </c>
      <c r="H14926" t="s">
        <v>8580</v>
      </c>
      <c r="I14926">
        <v>360</v>
      </c>
      <c r="J14926" t="s">
        <v>450</v>
      </c>
      <c r="K14926" t="s">
        <v>446</v>
      </c>
      <c r="M14926">
        <v>0</v>
      </c>
    </row>
    <row r="14927" spans="1:13">
      <c r="A14927">
        <v>86405700</v>
      </c>
      <c r="B14927">
        <v>2011075</v>
      </c>
      <c r="C14927" t="s">
        <v>7833</v>
      </c>
      <c r="D14927" t="s">
        <v>442</v>
      </c>
      <c r="E14927" t="s">
        <v>441</v>
      </c>
      <c r="F14927">
        <v>1E-3</v>
      </c>
      <c r="H14927" t="s">
        <v>8584</v>
      </c>
      <c r="I14927">
        <v>360</v>
      </c>
      <c r="J14927" t="s">
        <v>450</v>
      </c>
      <c r="K14927" t="s">
        <v>446</v>
      </c>
      <c r="M14927">
        <v>0</v>
      </c>
    </row>
    <row r="14928" spans="1:13">
      <c r="A14928">
        <v>86405800</v>
      </c>
      <c r="B14928">
        <v>2011076</v>
      </c>
      <c r="C14928" t="s">
        <v>15741</v>
      </c>
      <c r="D14928" t="s">
        <v>442</v>
      </c>
      <c r="E14928" t="s">
        <v>441</v>
      </c>
      <c r="F14928">
        <v>1E-3</v>
      </c>
      <c r="I14928">
        <v>360</v>
      </c>
      <c r="J14928" t="s">
        <v>450</v>
      </c>
      <c r="M14928">
        <v>0</v>
      </c>
    </row>
    <row r="14929" spans="1:13">
      <c r="A14929">
        <v>86405900</v>
      </c>
      <c r="B14929">
        <v>2011038</v>
      </c>
      <c r="C14929" t="s">
        <v>7834</v>
      </c>
      <c r="D14929" t="s">
        <v>442</v>
      </c>
      <c r="E14929" t="s">
        <v>441</v>
      </c>
      <c r="F14929">
        <v>1E-3</v>
      </c>
      <c r="H14929" t="s">
        <v>8580</v>
      </c>
      <c r="I14929">
        <v>360</v>
      </c>
      <c r="J14929" t="s">
        <v>450</v>
      </c>
      <c r="K14929" t="s">
        <v>446</v>
      </c>
      <c r="M14929">
        <v>0</v>
      </c>
    </row>
    <row r="14930" spans="1:13">
      <c r="A14930">
        <v>86406100</v>
      </c>
      <c r="B14930">
        <v>2011115</v>
      </c>
      <c r="C14930" t="s">
        <v>7835</v>
      </c>
      <c r="D14930" t="s">
        <v>442</v>
      </c>
      <c r="E14930" t="s">
        <v>441</v>
      </c>
      <c r="F14930">
        <v>1E-3</v>
      </c>
      <c r="I14930">
        <v>360</v>
      </c>
      <c r="J14930" t="s">
        <v>450</v>
      </c>
      <c r="K14930" t="s">
        <v>446</v>
      </c>
      <c r="M14930">
        <v>0</v>
      </c>
    </row>
    <row r="14931" spans="1:13">
      <c r="A14931">
        <v>86406200</v>
      </c>
      <c r="B14931">
        <v>2011118</v>
      </c>
      <c r="C14931" t="s">
        <v>17808</v>
      </c>
      <c r="D14931" t="s">
        <v>442</v>
      </c>
      <c r="E14931" t="s">
        <v>441</v>
      </c>
      <c r="F14931">
        <v>1E-3</v>
      </c>
      <c r="I14931">
        <v>360</v>
      </c>
      <c r="J14931" t="s">
        <v>450</v>
      </c>
      <c r="K14931" t="s">
        <v>446</v>
      </c>
      <c r="M14931">
        <v>0</v>
      </c>
    </row>
    <row r="14932" spans="1:13">
      <c r="A14932">
        <v>86406300</v>
      </c>
      <c r="B14932">
        <v>2011173</v>
      </c>
      <c r="C14932" t="s">
        <v>14661</v>
      </c>
      <c r="D14932" t="s">
        <v>442</v>
      </c>
      <c r="E14932" t="s">
        <v>441</v>
      </c>
      <c r="F14932">
        <v>1E-3</v>
      </c>
      <c r="H14932" t="s">
        <v>8622</v>
      </c>
      <c r="I14932">
        <v>360</v>
      </c>
      <c r="J14932" t="s">
        <v>450</v>
      </c>
      <c r="K14932" t="s">
        <v>446</v>
      </c>
      <c r="M14932">
        <v>0</v>
      </c>
    </row>
    <row r="14933" spans="1:13">
      <c r="A14933">
        <v>86406500</v>
      </c>
      <c r="B14933">
        <v>2011212</v>
      </c>
      <c r="C14933" t="s">
        <v>15742</v>
      </c>
      <c r="D14933" t="s">
        <v>442</v>
      </c>
      <c r="E14933" t="s">
        <v>441</v>
      </c>
      <c r="F14933">
        <v>1E-3</v>
      </c>
      <c r="H14933" t="s">
        <v>8584</v>
      </c>
      <c r="I14933">
        <v>360</v>
      </c>
      <c r="J14933" t="s">
        <v>450</v>
      </c>
      <c r="M14933">
        <v>0</v>
      </c>
    </row>
    <row r="14934" spans="1:13">
      <c r="A14934">
        <v>86406600</v>
      </c>
      <c r="B14934">
        <v>2011157</v>
      </c>
      <c r="C14934" t="s">
        <v>7836</v>
      </c>
      <c r="D14934" t="s">
        <v>442</v>
      </c>
      <c r="E14934" t="s">
        <v>441</v>
      </c>
      <c r="F14934">
        <v>1E-3</v>
      </c>
      <c r="H14934" t="s">
        <v>8583</v>
      </c>
      <c r="I14934">
        <v>360</v>
      </c>
      <c r="J14934" t="s">
        <v>450</v>
      </c>
      <c r="K14934" t="s">
        <v>446</v>
      </c>
      <c r="M14934">
        <v>0</v>
      </c>
    </row>
    <row r="14935" spans="1:13">
      <c r="A14935">
        <v>86406700</v>
      </c>
      <c r="B14935">
        <v>2011222</v>
      </c>
      <c r="C14935" t="s">
        <v>7837</v>
      </c>
      <c r="D14935" t="s">
        <v>442</v>
      </c>
      <c r="E14935" t="s">
        <v>441</v>
      </c>
      <c r="F14935">
        <v>1E-3</v>
      </c>
      <c r="I14935">
        <v>360</v>
      </c>
      <c r="J14935" t="s">
        <v>450</v>
      </c>
      <c r="K14935" t="s">
        <v>446</v>
      </c>
      <c r="M14935">
        <v>0</v>
      </c>
    </row>
    <row r="14936" spans="1:13">
      <c r="A14936">
        <v>86406800</v>
      </c>
      <c r="B14936">
        <v>2011221</v>
      </c>
      <c r="C14936" t="s">
        <v>7838</v>
      </c>
      <c r="D14936" t="s">
        <v>442</v>
      </c>
      <c r="E14936" t="s">
        <v>441</v>
      </c>
      <c r="F14936">
        <v>1E-3</v>
      </c>
      <c r="I14936">
        <v>360</v>
      </c>
      <c r="J14936" t="s">
        <v>450</v>
      </c>
      <c r="K14936" t="s">
        <v>446</v>
      </c>
      <c r="M14936">
        <v>0</v>
      </c>
    </row>
    <row r="14937" spans="1:13">
      <c r="A14937">
        <v>86406900</v>
      </c>
      <c r="B14937">
        <v>2011179</v>
      </c>
      <c r="C14937" t="s">
        <v>7839</v>
      </c>
      <c r="D14937" t="s">
        <v>442</v>
      </c>
      <c r="E14937" t="s">
        <v>441</v>
      </c>
      <c r="F14937">
        <v>1E-3</v>
      </c>
      <c r="H14937" t="s">
        <v>8584</v>
      </c>
      <c r="I14937">
        <v>360</v>
      </c>
      <c r="J14937" t="s">
        <v>450</v>
      </c>
      <c r="K14937" t="s">
        <v>446</v>
      </c>
      <c r="M14937">
        <v>0</v>
      </c>
    </row>
    <row r="14938" spans="1:13">
      <c r="A14938">
        <v>86407100</v>
      </c>
      <c r="B14938">
        <v>2011204</v>
      </c>
      <c r="C14938" t="s">
        <v>7840</v>
      </c>
      <c r="D14938" t="s">
        <v>442</v>
      </c>
      <c r="E14938" t="s">
        <v>441</v>
      </c>
      <c r="F14938">
        <v>1E-3</v>
      </c>
      <c r="H14938" t="s">
        <v>8580</v>
      </c>
      <c r="I14938">
        <v>360</v>
      </c>
      <c r="J14938" t="s">
        <v>450</v>
      </c>
      <c r="K14938" t="s">
        <v>446</v>
      </c>
      <c r="M14938">
        <v>0</v>
      </c>
    </row>
    <row r="14939" spans="1:13">
      <c r="A14939">
        <v>86407200</v>
      </c>
      <c r="B14939">
        <v>2011205</v>
      </c>
      <c r="C14939" t="s">
        <v>7841</v>
      </c>
      <c r="D14939" t="s">
        <v>442</v>
      </c>
      <c r="E14939" t="s">
        <v>441</v>
      </c>
      <c r="F14939">
        <v>1E-3</v>
      </c>
      <c r="H14939" t="s">
        <v>8580</v>
      </c>
      <c r="I14939">
        <v>360</v>
      </c>
      <c r="J14939" t="s">
        <v>450</v>
      </c>
      <c r="K14939" t="s">
        <v>446</v>
      </c>
      <c r="M14939">
        <v>0</v>
      </c>
    </row>
    <row r="14940" spans="1:13">
      <c r="A14940">
        <v>86407300</v>
      </c>
      <c r="B14940">
        <v>2011252</v>
      </c>
      <c r="C14940" t="s">
        <v>7842</v>
      </c>
      <c r="D14940" t="s">
        <v>442</v>
      </c>
      <c r="E14940" t="s">
        <v>441</v>
      </c>
      <c r="F14940">
        <v>1E-3</v>
      </c>
      <c r="I14940">
        <v>360</v>
      </c>
      <c r="J14940" t="s">
        <v>450</v>
      </c>
      <c r="K14940" t="s">
        <v>446</v>
      </c>
      <c r="M14940">
        <v>0</v>
      </c>
    </row>
    <row r="14941" spans="1:13">
      <c r="A14941">
        <v>86407400</v>
      </c>
      <c r="B14941">
        <v>2011253</v>
      </c>
      <c r="C14941" t="s">
        <v>7843</v>
      </c>
      <c r="D14941" t="s">
        <v>442</v>
      </c>
      <c r="E14941" t="s">
        <v>441</v>
      </c>
      <c r="F14941">
        <v>1E-3</v>
      </c>
      <c r="H14941" t="s">
        <v>8580</v>
      </c>
      <c r="I14941">
        <v>360</v>
      </c>
      <c r="J14941" t="s">
        <v>450</v>
      </c>
      <c r="K14941" t="s">
        <v>446</v>
      </c>
      <c r="M14941">
        <v>0</v>
      </c>
    </row>
    <row r="14942" spans="1:13">
      <c r="A14942">
        <v>86407500</v>
      </c>
      <c r="B14942">
        <v>2011254</v>
      </c>
      <c r="C14942" t="s">
        <v>7844</v>
      </c>
      <c r="D14942" t="s">
        <v>442</v>
      </c>
      <c r="E14942" t="s">
        <v>441</v>
      </c>
      <c r="F14942">
        <v>1E-3</v>
      </c>
      <c r="H14942" t="s">
        <v>8580</v>
      </c>
      <c r="I14942">
        <v>360</v>
      </c>
      <c r="J14942" t="s">
        <v>450</v>
      </c>
      <c r="K14942" t="s">
        <v>446</v>
      </c>
      <c r="M14942">
        <v>0</v>
      </c>
    </row>
    <row r="14943" spans="1:13">
      <c r="A14943">
        <v>86407600</v>
      </c>
      <c r="B14943">
        <v>2011307</v>
      </c>
      <c r="C14943" t="s">
        <v>7845</v>
      </c>
      <c r="D14943" t="s">
        <v>442</v>
      </c>
      <c r="E14943" t="s">
        <v>441</v>
      </c>
      <c r="F14943">
        <v>1E-3</v>
      </c>
      <c r="H14943" t="s">
        <v>8584</v>
      </c>
      <c r="I14943">
        <v>360</v>
      </c>
      <c r="J14943" t="s">
        <v>450</v>
      </c>
      <c r="K14943" t="s">
        <v>446</v>
      </c>
      <c r="M14943">
        <v>0</v>
      </c>
    </row>
    <row r="14944" spans="1:13">
      <c r="A14944">
        <v>86407700</v>
      </c>
      <c r="B14944">
        <v>2011308</v>
      </c>
      <c r="C14944" t="s">
        <v>7846</v>
      </c>
      <c r="D14944" t="s">
        <v>442</v>
      </c>
      <c r="E14944" t="s">
        <v>441</v>
      </c>
      <c r="F14944">
        <v>1E-3</v>
      </c>
      <c r="I14944">
        <v>360</v>
      </c>
      <c r="J14944" t="s">
        <v>450</v>
      </c>
      <c r="K14944" t="s">
        <v>446</v>
      </c>
      <c r="M14944">
        <v>0</v>
      </c>
    </row>
    <row r="14945" spans="1:13">
      <c r="A14945">
        <v>86407800</v>
      </c>
      <c r="B14945">
        <v>2011310</v>
      </c>
      <c r="C14945" t="s">
        <v>7847</v>
      </c>
      <c r="D14945" t="s">
        <v>442</v>
      </c>
      <c r="E14945" t="s">
        <v>441</v>
      </c>
      <c r="F14945">
        <v>1E-3</v>
      </c>
      <c r="I14945">
        <v>360</v>
      </c>
      <c r="J14945" t="s">
        <v>450</v>
      </c>
      <c r="K14945" t="s">
        <v>446</v>
      </c>
      <c r="M14945">
        <v>0</v>
      </c>
    </row>
    <row r="14946" spans="1:13">
      <c r="A14946">
        <v>86407900</v>
      </c>
      <c r="B14946">
        <v>2011309</v>
      </c>
      <c r="C14946" t="s">
        <v>7848</v>
      </c>
      <c r="D14946" t="s">
        <v>442</v>
      </c>
      <c r="E14946" t="s">
        <v>441</v>
      </c>
      <c r="F14946">
        <v>1E-3</v>
      </c>
      <c r="H14946" t="s">
        <v>8580</v>
      </c>
      <c r="I14946">
        <v>360</v>
      </c>
      <c r="J14946" t="s">
        <v>450</v>
      </c>
      <c r="K14946" t="s">
        <v>446</v>
      </c>
      <c r="M14946">
        <v>0</v>
      </c>
    </row>
    <row r="14947" spans="1:13">
      <c r="A14947">
        <v>86408100</v>
      </c>
      <c r="B14947">
        <v>2011331</v>
      </c>
      <c r="C14947" t="s">
        <v>7849</v>
      </c>
      <c r="D14947" t="s">
        <v>442</v>
      </c>
      <c r="E14947" t="s">
        <v>441</v>
      </c>
      <c r="F14947">
        <v>1E-3</v>
      </c>
      <c r="H14947" t="s">
        <v>8580</v>
      </c>
      <c r="I14947">
        <v>360</v>
      </c>
      <c r="J14947" t="s">
        <v>450</v>
      </c>
      <c r="K14947" t="s">
        <v>446</v>
      </c>
      <c r="M14947">
        <v>0</v>
      </c>
    </row>
    <row r="14948" spans="1:13">
      <c r="A14948">
        <v>86408200</v>
      </c>
      <c r="B14948">
        <v>2011330</v>
      </c>
      <c r="C14948" t="s">
        <v>7850</v>
      </c>
      <c r="D14948" t="s">
        <v>442</v>
      </c>
      <c r="E14948" t="s">
        <v>441</v>
      </c>
      <c r="F14948">
        <v>1E-3</v>
      </c>
      <c r="I14948">
        <v>360</v>
      </c>
      <c r="J14948" t="s">
        <v>450</v>
      </c>
      <c r="K14948" t="s">
        <v>446</v>
      </c>
      <c r="M14948">
        <v>0</v>
      </c>
    </row>
    <row r="14949" spans="1:13">
      <c r="A14949">
        <v>86408300</v>
      </c>
      <c r="B14949">
        <v>2011334</v>
      </c>
      <c r="C14949" t="s">
        <v>7851</v>
      </c>
      <c r="D14949" t="s">
        <v>442</v>
      </c>
      <c r="E14949" t="s">
        <v>441</v>
      </c>
      <c r="F14949">
        <v>1E-3</v>
      </c>
      <c r="H14949" t="s">
        <v>8586</v>
      </c>
      <c r="I14949">
        <v>360</v>
      </c>
      <c r="J14949" t="s">
        <v>450</v>
      </c>
      <c r="K14949" t="s">
        <v>446</v>
      </c>
      <c r="M14949">
        <v>0</v>
      </c>
    </row>
    <row r="14950" spans="1:13">
      <c r="A14950">
        <v>86408400</v>
      </c>
      <c r="B14950">
        <v>2011341</v>
      </c>
      <c r="C14950" t="s">
        <v>7852</v>
      </c>
      <c r="D14950" t="s">
        <v>442</v>
      </c>
      <c r="E14950" t="s">
        <v>441</v>
      </c>
      <c r="F14950">
        <v>1E-3</v>
      </c>
      <c r="H14950" t="s">
        <v>8586</v>
      </c>
      <c r="I14950">
        <v>360</v>
      </c>
      <c r="J14950" t="s">
        <v>450</v>
      </c>
      <c r="K14950" t="s">
        <v>446</v>
      </c>
      <c r="M14950">
        <v>0</v>
      </c>
    </row>
    <row r="14951" spans="1:13">
      <c r="A14951">
        <v>86408500</v>
      </c>
      <c r="B14951">
        <v>2011338</v>
      </c>
      <c r="C14951" t="s">
        <v>7853</v>
      </c>
      <c r="D14951" t="s">
        <v>442</v>
      </c>
      <c r="E14951" t="s">
        <v>441</v>
      </c>
      <c r="F14951">
        <v>1E-3</v>
      </c>
      <c r="H14951" t="s">
        <v>8586</v>
      </c>
      <c r="I14951">
        <v>360</v>
      </c>
      <c r="J14951" t="s">
        <v>450</v>
      </c>
      <c r="K14951" t="s">
        <v>446</v>
      </c>
      <c r="M14951">
        <v>0</v>
      </c>
    </row>
    <row r="14952" spans="1:13">
      <c r="A14952">
        <v>86408600</v>
      </c>
      <c r="B14952">
        <v>2011337</v>
      </c>
      <c r="C14952" t="s">
        <v>7854</v>
      </c>
      <c r="D14952" t="s">
        <v>442</v>
      </c>
      <c r="E14952" t="s">
        <v>441</v>
      </c>
      <c r="F14952">
        <v>1E-3</v>
      </c>
      <c r="H14952" t="s">
        <v>8586</v>
      </c>
      <c r="I14952">
        <v>360</v>
      </c>
      <c r="J14952" t="s">
        <v>450</v>
      </c>
      <c r="K14952" t="s">
        <v>446</v>
      </c>
      <c r="M14952">
        <v>0</v>
      </c>
    </row>
    <row r="14953" spans="1:13">
      <c r="A14953">
        <v>86408700</v>
      </c>
      <c r="B14953">
        <v>2011339</v>
      </c>
      <c r="C14953" t="s">
        <v>7855</v>
      </c>
      <c r="D14953" t="s">
        <v>442</v>
      </c>
      <c r="E14953" t="s">
        <v>441</v>
      </c>
      <c r="F14953">
        <v>1E-3</v>
      </c>
      <c r="H14953" t="s">
        <v>8586</v>
      </c>
      <c r="I14953">
        <v>360</v>
      </c>
      <c r="J14953" t="s">
        <v>450</v>
      </c>
      <c r="K14953" t="s">
        <v>446</v>
      </c>
      <c r="M14953">
        <v>0</v>
      </c>
    </row>
    <row r="14954" spans="1:13">
      <c r="A14954">
        <v>86408800</v>
      </c>
      <c r="B14954">
        <v>2011335</v>
      </c>
      <c r="C14954" t="s">
        <v>7856</v>
      </c>
      <c r="D14954" t="s">
        <v>442</v>
      </c>
      <c r="E14954" t="s">
        <v>441</v>
      </c>
      <c r="F14954">
        <v>1E-3</v>
      </c>
      <c r="H14954" t="s">
        <v>8586</v>
      </c>
      <c r="I14954">
        <v>360</v>
      </c>
      <c r="J14954" t="s">
        <v>450</v>
      </c>
      <c r="K14954" t="s">
        <v>446</v>
      </c>
      <c r="M14954">
        <v>0</v>
      </c>
    </row>
    <row r="14955" spans="1:13">
      <c r="A14955">
        <v>86408900</v>
      </c>
      <c r="B14955">
        <v>2011340</v>
      </c>
      <c r="C14955" t="s">
        <v>7857</v>
      </c>
      <c r="D14955" t="s">
        <v>442</v>
      </c>
      <c r="E14955" t="s">
        <v>441</v>
      </c>
      <c r="F14955">
        <v>1E-3</v>
      </c>
      <c r="H14955" t="s">
        <v>8586</v>
      </c>
      <c r="I14955">
        <v>360</v>
      </c>
      <c r="J14955" t="s">
        <v>450</v>
      </c>
      <c r="K14955" t="s">
        <v>446</v>
      </c>
      <c r="M14955">
        <v>0</v>
      </c>
    </row>
    <row r="14956" spans="1:13">
      <c r="A14956">
        <v>86409100</v>
      </c>
      <c r="B14956">
        <v>2011336</v>
      </c>
      <c r="C14956" t="s">
        <v>7858</v>
      </c>
      <c r="D14956" t="s">
        <v>442</v>
      </c>
      <c r="E14956" t="s">
        <v>441</v>
      </c>
      <c r="F14956">
        <v>1E-3</v>
      </c>
      <c r="H14956" t="s">
        <v>8586</v>
      </c>
      <c r="I14956">
        <v>360</v>
      </c>
      <c r="J14956" t="s">
        <v>450</v>
      </c>
      <c r="K14956" t="s">
        <v>446</v>
      </c>
      <c r="M14956">
        <v>0</v>
      </c>
    </row>
    <row r="14957" spans="1:13">
      <c r="A14957">
        <v>86409200</v>
      </c>
      <c r="B14957">
        <v>2011411</v>
      </c>
      <c r="C14957" t="s">
        <v>15743</v>
      </c>
      <c r="D14957" t="s">
        <v>442</v>
      </c>
      <c r="E14957" t="s">
        <v>441</v>
      </c>
      <c r="F14957">
        <v>1E-3</v>
      </c>
      <c r="H14957" t="s">
        <v>8580</v>
      </c>
      <c r="I14957">
        <v>360</v>
      </c>
      <c r="J14957" t="s">
        <v>450</v>
      </c>
      <c r="M14957">
        <v>0</v>
      </c>
    </row>
    <row r="14958" spans="1:13">
      <c r="A14958">
        <v>86409300</v>
      </c>
      <c r="B14958">
        <v>2011412</v>
      </c>
      <c r="C14958" t="s">
        <v>7859</v>
      </c>
      <c r="D14958" t="s">
        <v>442</v>
      </c>
      <c r="E14958" t="s">
        <v>441</v>
      </c>
      <c r="F14958">
        <v>1E-3</v>
      </c>
      <c r="I14958">
        <v>360</v>
      </c>
      <c r="J14958" t="s">
        <v>450</v>
      </c>
      <c r="K14958" t="s">
        <v>446</v>
      </c>
      <c r="M14958">
        <v>0</v>
      </c>
    </row>
    <row r="14959" spans="1:13">
      <c r="A14959">
        <v>86409400</v>
      </c>
      <c r="B14959">
        <v>2011523</v>
      </c>
      <c r="C14959" t="s">
        <v>7860</v>
      </c>
      <c r="D14959" t="s">
        <v>442</v>
      </c>
      <c r="E14959" t="s">
        <v>441</v>
      </c>
      <c r="F14959">
        <v>1E-3</v>
      </c>
      <c r="I14959">
        <v>360</v>
      </c>
      <c r="J14959" t="s">
        <v>450</v>
      </c>
      <c r="K14959" t="s">
        <v>446</v>
      </c>
      <c r="M14959">
        <v>0</v>
      </c>
    </row>
    <row r="14960" spans="1:13">
      <c r="A14960">
        <v>86409500</v>
      </c>
      <c r="B14960">
        <v>2011517</v>
      </c>
      <c r="C14960" t="s">
        <v>7861</v>
      </c>
      <c r="D14960" t="s">
        <v>442</v>
      </c>
      <c r="E14960" t="s">
        <v>441</v>
      </c>
      <c r="F14960">
        <v>1E-3</v>
      </c>
      <c r="I14960">
        <v>360</v>
      </c>
      <c r="J14960" t="s">
        <v>450</v>
      </c>
      <c r="K14960" t="s">
        <v>446</v>
      </c>
      <c r="M14960">
        <v>0</v>
      </c>
    </row>
    <row r="14961" spans="1:13">
      <c r="A14961">
        <v>86409600</v>
      </c>
      <c r="B14961">
        <v>2011518</v>
      </c>
      <c r="C14961" t="s">
        <v>7862</v>
      </c>
      <c r="D14961" t="s">
        <v>442</v>
      </c>
      <c r="E14961" t="s">
        <v>441</v>
      </c>
      <c r="F14961">
        <v>1E-3</v>
      </c>
      <c r="H14961" t="s">
        <v>8580</v>
      </c>
      <c r="I14961">
        <v>360</v>
      </c>
      <c r="J14961" t="s">
        <v>450</v>
      </c>
      <c r="K14961" t="s">
        <v>446</v>
      </c>
      <c r="M14961">
        <v>0</v>
      </c>
    </row>
    <row r="14962" spans="1:13">
      <c r="A14962">
        <v>86409700</v>
      </c>
      <c r="B14962">
        <v>2011541</v>
      </c>
      <c r="C14962" t="s">
        <v>17243</v>
      </c>
      <c r="D14962" t="s">
        <v>442</v>
      </c>
      <c r="E14962" t="s">
        <v>441</v>
      </c>
      <c r="F14962">
        <v>1E-3</v>
      </c>
      <c r="H14962" t="s">
        <v>8584</v>
      </c>
      <c r="I14962">
        <v>360</v>
      </c>
      <c r="J14962" t="s">
        <v>450</v>
      </c>
      <c r="M14962">
        <v>0</v>
      </c>
    </row>
    <row r="14963" spans="1:13">
      <c r="A14963">
        <v>86409800</v>
      </c>
      <c r="B14963">
        <v>2011519</v>
      </c>
      <c r="C14963" t="s">
        <v>7863</v>
      </c>
      <c r="D14963" t="s">
        <v>442</v>
      </c>
      <c r="E14963" t="s">
        <v>441</v>
      </c>
      <c r="F14963">
        <v>1E-3</v>
      </c>
      <c r="I14963">
        <v>360</v>
      </c>
      <c r="J14963" t="s">
        <v>450</v>
      </c>
      <c r="K14963" t="s">
        <v>446</v>
      </c>
      <c r="M14963">
        <v>0</v>
      </c>
    </row>
    <row r="14964" spans="1:13">
      <c r="A14964">
        <v>86409900</v>
      </c>
      <c r="B14964">
        <v>2011540</v>
      </c>
      <c r="C14964" t="s">
        <v>7864</v>
      </c>
      <c r="D14964" t="s">
        <v>442</v>
      </c>
      <c r="E14964" t="s">
        <v>441</v>
      </c>
      <c r="F14964">
        <v>1E-3</v>
      </c>
      <c r="I14964">
        <v>360</v>
      </c>
      <c r="J14964" t="s">
        <v>450</v>
      </c>
      <c r="K14964" t="s">
        <v>446</v>
      </c>
      <c r="M14964">
        <v>0</v>
      </c>
    </row>
    <row r="14965" spans="1:13">
      <c r="A14965">
        <v>86410100</v>
      </c>
      <c r="B14965">
        <v>2011557</v>
      </c>
      <c r="C14965" t="s">
        <v>7865</v>
      </c>
      <c r="D14965" t="s">
        <v>442</v>
      </c>
      <c r="E14965" t="s">
        <v>441</v>
      </c>
      <c r="F14965">
        <v>1E-3</v>
      </c>
      <c r="H14965" t="s">
        <v>8634</v>
      </c>
      <c r="I14965">
        <v>360</v>
      </c>
      <c r="J14965" t="s">
        <v>450</v>
      </c>
      <c r="K14965" t="s">
        <v>446</v>
      </c>
      <c r="M14965">
        <v>0</v>
      </c>
    </row>
    <row r="14966" spans="1:13">
      <c r="A14966">
        <v>86410200</v>
      </c>
      <c r="B14966">
        <v>2011556</v>
      </c>
      <c r="C14966" t="s">
        <v>7866</v>
      </c>
      <c r="D14966" t="s">
        <v>442</v>
      </c>
      <c r="E14966" t="s">
        <v>441</v>
      </c>
      <c r="F14966">
        <v>1E-3</v>
      </c>
      <c r="H14966" t="s">
        <v>8634</v>
      </c>
      <c r="I14966">
        <v>360</v>
      </c>
      <c r="J14966" t="s">
        <v>450</v>
      </c>
      <c r="K14966" t="s">
        <v>446</v>
      </c>
      <c r="M14966">
        <v>0</v>
      </c>
    </row>
    <row r="14967" spans="1:13">
      <c r="A14967">
        <v>86410300</v>
      </c>
      <c r="B14967">
        <v>2011555</v>
      </c>
      <c r="C14967" t="s">
        <v>7867</v>
      </c>
      <c r="D14967" t="s">
        <v>442</v>
      </c>
      <c r="E14967" t="s">
        <v>441</v>
      </c>
      <c r="F14967">
        <v>1E-3</v>
      </c>
      <c r="H14967" t="s">
        <v>8634</v>
      </c>
      <c r="I14967">
        <v>360</v>
      </c>
      <c r="J14967" t="s">
        <v>450</v>
      </c>
      <c r="K14967" t="s">
        <v>446</v>
      </c>
      <c r="M14967">
        <v>0</v>
      </c>
    </row>
    <row r="14968" spans="1:13">
      <c r="A14968">
        <v>86410400</v>
      </c>
      <c r="B14968">
        <v>2011558</v>
      </c>
      <c r="C14968" t="s">
        <v>7868</v>
      </c>
      <c r="D14968" t="s">
        <v>442</v>
      </c>
      <c r="E14968" t="s">
        <v>441</v>
      </c>
      <c r="F14968">
        <v>1E-3</v>
      </c>
      <c r="H14968" t="s">
        <v>8634</v>
      </c>
      <c r="I14968">
        <v>360</v>
      </c>
      <c r="J14968" t="s">
        <v>450</v>
      </c>
      <c r="K14968" t="s">
        <v>446</v>
      </c>
      <c r="M14968">
        <v>0</v>
      </c>
    </row>
    <row r="14969" spans="1:13">
      <c r="A14969">
        <v>86410500</v>
      </c>
      <c r="B14969">
        <v>2011551</v>
      </c>
      <c r="C14969" t="s">
        <v>7869</v>
      </c>
      <c r="D14969" t="s">
        <v>442</v>
      </c>
      <c r="E14969" t="s">
        <v>441</v>
      </c>
      <c r="F14969">
        <v>1E-3</v>
      </c>
      <c r="H14969" t="s">
        <v>8634</v>
      </c>
      <c r="I14969">
        <v>360</v>
      </c>
      <c r="J14969" t="s">
        <v>450</v>
      </c>
      <c r="K14969" t="s">
        <v>446</v>
      </c>
      <c r="M14969">
        <v>0</v>
      </c>
    </row>
    <row r="14970" spans="1:13">
      <c r="A14970">
        <v>86410600</v>
      </c>
      <c r="B14970">
        <v>2011550</v>
      </c>
      <c r="C14970" t="s">
        <v>7870</v>
      </c>
      <c r="D14970" t="s">
        <v>442</v>
      </c>
      <c r="E14970" t="s">
        <v>441</v>
      </c>
      <c r="F14970">
        <v>1E-3</v>
      </c>
      <c r="H14970" t="s">
        <v>8634</v>
      </c>
      <c r="I14970">
        <v>360</v>
      </c>
      <c r="J14970" t="s">
        <v>450</v>
      </c>
      <c r="K14970" t="s">
        <v>446</v>
      </c>
      <c r="M14970">
        <v>0</v>
      </c>
    </row>
    <row r="14971" spans="1:13">
      <c r="A14971">
        <v>86410700</v>
      </c>
      <c r="B14971">
        <v>2011574</v>
      </c>
      <c r="C14971" t="s">
        <v>7871</v>
      </c>
      <c r="D14971" t="s">
        <v>442</v>
      </c>
      <c r="E14971" t="s">
        <v>441</v>
      </c>
      <c r="F14971">
        <v>1E-3</v>
      </c>
      <c r="H14971" t="s">
        <v>8622</v>
      </c>
      <c r="I14971">
        <v>360</v>
      </c>
      <c r="J14971" t="s">
        <v>450</v>
      </c>
      <c r="K14971" t="s">
        <v>446</v>
      </c>
      <c r="M14971">
        <v>0</v>
      </c>
    </row>
    <row r="14972" spans="1:13">
      <c r="A14972">
        <v>86410800</v>
      </c>
      <c r="B14972">
        <v>2011577</v>
      </c>
      <c r="C14972" t="s">
        <v>7872</v>
      </c>
      <c r="D14972" t="s">
        <v>442</v>
      </c>
      <c r="E14972" t="s">
        <v>441</v>
      </c>
      <c r="F14972">
        <v>1E-3</v>
      </c>
      <c r="H14972" t="s">
        <v>8580</v>
      </c>
      <c r="I14972">
        <v>360</v>
      </c>
      <c r="J14972" t="s">
        <v>450</v>
      </c>
      <c r="K14972" t="s">
        <v>446</v>
      </c>
      <c r="M14972">
        <v>0</v>
      </c>
    </row>
    <row r="14973" spans="1:13">
      <c r="A14973">
        <v>86410900</v>
      </c>
      <c r="B14973">
        <v>2011578</v>
      </c>
      <c r="C14973" t="s">
        <v>7873</v>
      </c>
      <c r="D14973" t="s">
        <v>442</v>
      </c>
      <c r="E14973" t="s">
        <v>441</v>
      </c>
      <c r="F14973">
        <v>1E-3</v>
      </c>
      <c r="H14973" t="s">
        <v>8584</v>
      </c>
      <c r="I14973">
        <v>360</v>
      </c>
      <c r="J14973" t="s">
        <v>450</v>
      </c>
      <c r="K14973" t="s">
        <v>446</v>
      </c>
      <c r="M14973">
        <v>0</v>
      </c>
    </row>
    <row r="14974" spans="1:13">
      <c r="A14974">
        <v>86411100</v>
      </c>
      <c r="B14974">
        <v>2011590</v>
      </c>
      <c r="C14974" t="s">
        <v>7791</v>
      </c>
      <c r="D14974" t="s">
        <v>442</v>
      </c>
      <c r="E14974" t="s">
        <v>441</v>
      </c>
      <c r="F14974">
        <v>1E-3</v>
      </c>
      <c r="I14974">
        <v>360</v>
      </c>
      <c r="J14974" t="s">
        <v>450</v>
      </c>
      <c r="K14974" t="s">
        <v>446</v>
      </c>
      <c r="M14974">
        <v>0</v>
      </c>
    </row>
    <row r="14975" spans="1:13">
      <c r="A14975">
        <v>86411200</v>
      </c>
      <c r="B14975">
        <v>2011591</v>
      </c>
      <c r="C14975" t="s">
        <v>7874</v>
      </c>
      <c r="D14975" t="s">
        <v>442</v>
      </c>
      <c r="E14975" t="s">
        <v>441</v>
      </c>
      <c r="F14975">
        <v>1E-3</v>
      </c>
      <c r="H14975" t="s">
        <v>8580</v>
      </c>
      <c r="I14975">
        <v>360</v>
      </c>
      <c r="J14975" t="s">
        <v>450</v>
      </c>
      <c r="K14975" t="s">
        <v>446</v>
      </c>
      <c r="M14975">
        <v>0</v>
      </c>
    </row>
    <row r="14976" spans="1:13">
      <c r="A14976">
        <v>86411300</v>
      </c>
      <c r="B14976">
        <v>2011589</v>
      </c>
      <c r="C14976" t="s">
        <v>7875</v>
      </c>
      <c r="D14976" t="s">
        <v>442</v>
      </c>
      <c r="E14976" t="s">
        <v>441</v>
      </c>
      <c r="F14976">
        <v>1E-3</v>
      </c>
      <c r="H14976" t="s">
        <v>8580</v>
      </c>
      <c r="I14976">
        <v>360</v>
      </c>
      <c r="J14976" t="s">
        <v>450</v>
      </c>
      <c r="K14976" t="s">
        <v>446</v>
      </c>
      <c r="M14976">
        <v>0</v>
      </c>
    </row>
    <row r="14977" spans="1:13">
      <c r="A14977">
        <v>86411600</v>
      </c>
      <c r="B14977">
        <v>2011660</v>
      </c>
      <c r="C14977" t="s">
        <v>7876</v>
      </c>
      <c r="D14977" t="s">
        <v>442</v>
      </c>
      <c r="E14977" t="s">
        <v>441</v>
      </c>
      <c r="F14977">
        <v>1E-3</v>
      </c>
      <c r="H14977" t="s">
        <v>8580</v>
      </c>
      <c r="I14977">
        <v>360</v>
      </c>
      <c r="J14977" t="s">
        <v>450</v>
      </c>
      <c r="K14977" t="s">
        <v>446</v>
      </c>
      <c r="M14977">
        <v>0</v>
      </c>
    </row>
    <row r="14978" spans="1:13">
      <c r="A14978">
        <v>86411700</v>
      </c>
      <c r="B14978">
        <v>2011693</v>
      </c>
      <c r="C14978" t="s">
        <v>7877</v>
      </c>
      <c r="D14978" t="s">
        <v>442</v>
      </c>
      <c r="E14978" t="s">
        <v>441</v>
      </c>
      <c r="F14978">
        <v>1E-3</v>
      </c>
      <c r="H14978" t="s">
        <v>8580</v>
      </c>
      <c r="I14978">
        <v>360</v>
      </c>
      <c r="J14978" t="s">
        <v>450</v>
      </c>
      <c r="K14978" t="s">
        <v>446</v>
      </c>
      <c r="M14978">
        <v>0</v>
      </c>
    </row>
    <row r="14979" spans="1:13">
      <c r="A14979">
        <v>86411800</v>
      </c>
      <c r="B14979">
        <v>2011715</v>
      </c>
      <c r="C14979" t="s">
        <v>7878</v>
      </c>
      <c r="D14979" t="s">
        <v>442</v>
      </c>
      <c r="E14979" t="s">
        <v>441</v>
      </c>
      <c r="F14979">
        <v>1E-3</v>
      </c>
      <c r="H14979" t="s">
        <v>8580</v>
      </c>
      <c r="I14979">
        <v>360</v>
      </c>
      <c r="J14979" t="s">
        <v>450</v>
      </c>
      <c r="K14979" t="s">
        <v>446</v>
      </c>
      <c r="M14979">
        <v>0</v>
      </c>
    </row>
    <row r="14980" spans="1:13">
      <c r="A14980">
        <v>86411900</v>
      </c>
      <c r="B14980">
        <v>2011748</v>
      </c>
      <c r="C14980" t="s">
        <v>7879</v>
      </c>
      <c r="D14980" t="s">
        <v>442</v>
      </c>
      <c r="E14980" t="s">
        <v>441</v>
      </c>
      <c r="F14980">
        <v>1E-3</v>
      </c>
      <c r="H14980" t="s">
        <v>8584</v>
      </c>
      <c r="I14980">
        <v>360</v>
      </c>
      <c r="J14980" t="s">
        <v>450</v>
      </c>
      <c r="K14980" t="s">
        <v>446</v>
      </c>
      <c r="M14980">
        <v>0</v>
      </c>
    </row>
    <row r="14981" spans="1:13">
      <c r="A14981">
        <v>86412100</v>
      </c>
      <c r="B14981">
        <v>2011672</v>
      </c>
      <c r="C14981" t="s">
        <v>7880</v>
      </c>
      <c r="D14981" t="s">
        <v>442</v>
      </c>
      <c r="E14981" t="s">
        <v>441</v>
      </c>
      <c r="F14981">
        <v>1E-3</v>
      </c>
      <c r="H14981" t="s">
        <v>8580</v>
      </c>
      <c r="I14981">
        <v>730</v>
      </c>
      <c r="J14981" t="s">
        <v>450</v>
      </c>
      <c r="K14981" t="s">
        <v>446</v>
      </c>
      <c r="M14981">
        <v>0</v>
      </c>
    </row>
    <row r="14982" spans="1:13">
      <c r="A14982">
        <v>86412200</v>
      </c>
      <c r="B14982">
        <v>2011753</v>
      </c>
      <c r="C14982" t="s">
        <v>15744</v>
      </c>
      <c r="D14982" t="s">
        <v>442</v>
      </c>
      <c r="E14982" t="s">
        <v>441</v>
      </c>
      <c r="F14982">
        <v>1E-3</v>
      </c>
      <c r="H14982" t="s">
        <v>8584</v>
      </c>
      <c r="I14982">
        <v>360</v>
      </c>
      <c r="J14982" t="s">
        <v>450</v>
      </c>
      <c r="M14982">
        <v>0</v>
      </c>
    </row>
    <row r="14983" spans="1:13">
      <c r="A14983">
        <v>86412300</v>
      </c>
      <c r="B14983">
        <v>2011671</v>
      </c>
      <c r="C14983" t="s">
        <v>15745</v>
      </c>
      <c r="D14983" t="s">
        <v>442</v>
      </c>
      <c r="E14983" t="s">
        <v>441</v>
      </c>
      <c r="F14983">
        <v>1E-3</v>
      </c>
      <c r="H14983" t="s">
        <v>8580</v>
      </c>
      <c r="I14983">
        <v>360</v>
      </c>
      <c r="J14983" t="s">
        <v>450</v>
      </c>
      <c r="M14983">
        <v>0</v>
      </c>
    </row>
    <row r="14984" spans="1:13">
      <c r="A14984">
        <v>86412400</v>
      </c>
      <c r="B14984">
        <v>2011787</v>
      </c>
      <c r="C14984" t="s">
        <v>7881</v>
      </c>
      <c r="D14984" t="s">
        <v>442</v>
      </c>
      <c r="E14984" t="s">
        <v>441</v>
      </c>
      <c r="F14984">
        <v>1E-3</v>
      </c>
      <c r="H14984" t="s">
        <v>8580</v>
      </c>
      <c r="I14984">
        <v>360</v>
      </c>
      <c r="J14984" t="s">
        <v>450</v>
      </c>
      <c r="K14984" t="s">
        <v>446</v>
      </c>
      <c r="M14984">
        <v>0</v>
      </c>
    </row>
    <row r="14985" spans="1:13">
      <c r="A14985">
        <v>86412500</v>
      </c>
      <c r="B14985">
        <v>2011845</v>
      </c>
      <c r="C14985" t="s">
        <v>7882</v>
      </c>
      <c r="D14985" t="s">
        <v>442</v>
      </c>
      <c r="E14985" t="s">
        <v>441</v>
      </c>
      <c r="F14985">
        <v>1E-3</v>
      </c>
      <c r="H14985" t="s">
        <v>8580</v>
      </c>
      <c r="I14985">
        <v>360</v>
      </c>
      <c r="J14985" t="s">
        <v>450</v>
      </c>
      <c r="K14985" t="s">
        <v>446</v>
      </c>
      <c r="M14985">
        <v>0</v>
      </c>
    </row>
    <row r="14986" spans="1:13">
      <c r="A14986">
        <v>86412600</v>
      </c>
      <c r="B14986">
        <v>2011847</v>
      </c>
      <c r="C14986" t="s">
        <v>17244</v>
      </c>
      <c r="D14986" t="s">
        <v>442</v>
      </c>
      <c r="E14986" t="s">
        <v>441</v>
      </c>
      <c r="F14986">
        <v>1E-3</v>
      </c>
      <c r="I14986">
        <v>360</v>
      </c>
      <c r="J14986" t="s">
        <v>450</v>
      </c>
      <c r="M14986">
        <v>0</v>
      </c>
    </row>
    <row r="14987" spans="1:13">
      <c r="A14987">
        <v>86412700</v>
      </c>
      <c r="B14987">
        <v>2011846</v>
      </c>
      <c r="C14987" t="s">
        <v>15746</v>
      </c>
      <c r="D14987" t="s">
        <v>442</v>
      </c>
      <c r="E14987" t="s">
        <v>441</v>
      </c>
      <c r="F14987">
        <v>1E-3</v>
      </c>
      <c r="H14987" t="s">
        <v>8584</v>
      </c>
      <c r="I14987">
        <v>360</v>
      </c>
      <c r="J14987" t="s">
        <v>450</v>
      </c>
      <c r="M14987">
        <v>0</v>
      </c>
    </row>
    <row r="14988" spans="1:13">
      <c r="A14988">
        <v>86412800</v>
      </c>
      <c r="B14988">
        <v>2011901</v>
      </c>
      <c r="C14988" t="s">
        <v>7883</v>
      </c>
      <c r="D14988" t="s">
        <v>442</v>
      </c>
      <c r="E14988" t="s">
        <v>441</v>
      </c>
      <c r="F14988">
        <v>1E-3</v>
      </c>
      <c r="H14988" t="s">
        <v>8584</v>
      </c>
      <c r="I14988">
        <v>360</v>
      </c>
      <c r="J14988" t="s">
        <v>450</v>
      </c>
      <c r="K14988" t="s">
        <v>446</v>
      </c>
      <c r="M14988">
        <v>0</v>
      </c>
    </row>
    <row r="14989" spans="1:13">
      <c r="A14989">
        <v>86412900</v>
      </c>
      <c r="B14989">
        <v>2011910</v>
      </c>
      <c r="C14989" t="s">
        <v>7884</v>
      </c>
      <c r="D14989" t="s">
        <v>442</v>
      </c>
      <c r="E14989" t="s">
        <v>441</v>
      </c>
      <c r="F14989">
        <v>1E-3</v>
      </c>
      <c r="H14989" t="s">
        <v>8580</v>
      </c>
      <c r="I14989">
        <v>360</v>
      </c>
      <c r="J14989" t="s">
        <v>450</v>
      </c>
      <c r="K14989" t="s">
        <v>446</v>
      </c>
      <c r="M14989">
        <v>0</v>
      </c>
    </row>
    <row r="14990" spans="1:13">
      <c r="A14990">
        <v>86413100</v>
      </c>
      <c r="B14990">
        <v>2011881</v>
      </c>
      <c r="C14990" t="s">
        <v>7885</v>
      </c>
      <c r="D14990" t="s">
        <v>442</v>
      </c>
      <c r="E14990" t="s">
        <v>441</v>
      </c>
      <c r="F14990">
        <v>1E-3</v>
      </c>
      <c r="H14990" t="s">
        <v>8584</v>
      </c>
      <c r="I14990">
        <v>365</v>
      </c>
      <c r="J14990" t="s">
        <v>450</v>
      </c>
      <c r="K14990" t="s">
        <v>446</v>
      </c>
      <c r="M14990">
        <v>0</v>
      </c>
    </row>
    <row r="14991" spans="1:13">
      <c r="A14991">
        <v>86413200</v>
      </c>
      <c r="B14991">
        <v>2011922</v>
      </c>
      <c r="C14991" t="s">
        <v>7886</v>
      </c>
      <c r="D14991" t="s">
        <v>442</v>
      </c>
      <c r="E14991" t="s">
        <v>441</v>
      </c>
      <c r="F14991">
        <v>1E-3</v>
      </c>
      <c r="H14991" t="s">
        <v>8580</v>
      </c>
      <c r="I14991">
        <v>360</v>
      </c>
      <c r="J14991" t="s">
        <v>450</v>
      </c>
      <c r="K14991" t="s">
        <v>446</v>
      </c>
      <c r="M14991">
        <v>0</v>
      </c>
    </row>
    <row r="14992" spans="1:13">
      <c r="A14992">
        <v>86413300</v>
      </c>
      <c r="B14992">
        <v>2011921</v>
      </c>
      <c r="C14992" t="s">
        <v>17245</v>
      </c>
      <c r="D14992" t="s">
        <v>442</v>
      </c>
      <c r="E14992" t="s">
        <v>441</v>
      </c>
      <c r="F14992">
        <v>1E-3</v>
      </c>
      <c r="I14992">
        <v>360</v>
      </c>
      <c r="J14992" t="s">
        <v>450</v>
      </c>
      <c r="M14992">
        <v>0</v>
      </c>
    </row>
    <row r="14993" spans="1:13">
      <c r="A14993">
        <v>86413400</v>
      </c>
      <c r="B14993">
        <v>2011920</v>
      </c>
      <c r="C14993" t="s">
        <v>7887</v>
      </c>
      <c r="D14993" t="s">
        <v>442</v>
      </c>
      <c r="E14993" t="s">
        <v>441</v>
      </c>
      <c r="F14993">
        <v>1E-3</v>
      </c>
      <c r="H14993" t="s">
        <v>8580</v>
      </c>
      <c r="I14993">
        <v>360</v>
      </c>
      <c r="J14993" t="s">
        <v>450</v>
      </c>
      <c r="K14993" t="s">
        <v>446</v>
      </c>
      <c r="M14993">
        <v>0</v>
      </c>
    </row>
    <row r="14994" spans="1:13">
      <c r="A14994">
        <v>86413500</v>
      </c>
      <c r="B14994">
        <v>2011877</v>
      </c>
      <c r="C14994" t="s">
        <v>17246</v>
      </c>
      <c r="D14994" t="s">
        <v>442</v>
      </c>
      <c r="E14994" t="s">
        <v>441</v>
      </c>
      <c r="F14994">
        <v>1E-3</v>
      </c>
      <c r="I14994">
        <v>360</v>
      </c>
      <c r="J14994" t="s">
        <v>450</v>
      </c>
      <c r="M14994">
        <v>0</v>
      </c>
    </row>
    <row r="14995" spans="1:13">
      <c r="A14995">
        <v>86413600</v>
      </c>
      <c r="B14995">
        <v>2011834</v>
      </c>
      <c r="C14995" t="s">
        <v>7888</v>
      </c>
      <c r="D14995" t="s">
        <v>442</v>
      </c>
      <c r="E14995" t="s">
        <v>441</v>
      </c>
      <c r="F14995">
        <v>1E-3</v>
      </c>
      <c r="H14995" t="s">
        <v>8584</v>
      </c>
      <c r="I14995">
        <v>360</v>
      </c>
      <c r="J14995" t="s">
        <v>450</v>
      </c>
      <c r="K14995" t="s">
        <v>446</v>
      </c>
      <c r="M14995">
        <v>0</v>
      </c>
    </row>
    <row r="14996" spans="1:13">
      <c r="A14996">
        <v>86413700</v>
      </c>
      <c r="B14996">
        <v>2011836</v>
      </c>
      <c r="C14996" t="s">
        <v>17247</v>
      </c>
      <c r="D14996" t="s">
        <v>442</v>
      </c>
      <c r="E14996" t="s">
        <v>441</v>
      </c>
      <c r="F14996">
        <v>1E-3</v>
      </c>
      <c r="H14996" t="s">
        <v>8584</v>
      </c>
      <c r="I14996">
        <v>360</v>
      </c>
      <c r="J14996" t="s">
        <v>450</v>
      </c>
      <c r="M14996">
        <v>0</v>
      </c>
    </row>
    <row r="14997" spans="1:13">
      <c r="A14997">
        <v>86413800</v>
      </c>
      <c r="B14997">
        <v>2012004</v>
      </c>
      <c r="C14997" t="s">
        <v>7889</v>
      </c>
      <c r="D14997" t="s">
        <v>442</v>
      </c>
      <c r="E14997" t="s">
        <v>441</v>
      </c>
      <c r="F14997">
        <v>1E-3</v>
      </c>
      <c r="H14997" t="s">
        <v>8584</v>
      </c>
      <c r="I14997">
        <v>360</v>
      </c>
      <c r="J14997" t="s">
        <v>450</v>
      </c>
      <c r="K14997" t="s">
        <v>446</v>
      </c>
      <c r="M14997">
        <v>0</v>
      </c>
    </row>
    <row r="14998" spans="1:13">
      <c r="A14998">
        <v>86413900</v>
      </c>
      <c r="B14998">
        <v>2011997</v>
      </c>
      <c r="C14998" t="s">
        <v>15747</v>
      </c>
      <c r="D14998" t="s">
        <v>442</v>
      </c>
      <c r="E14998" t="s">
        <v>441</v>
      </c>
      <c r="F14998">
        <v>1E-3</v>
      </c>
      <c r="H14998" t="s">
        <v>8580</v>
      </c>
      <c r="I14998">
        <v>360</v>
      </c>
      <c r="J14998" t="s">
        <v>450</v>
      </c>
      <c r="M14998">
        <v>0</v>
      </c>
    </row>
    <row r="14999" spans="1:13">
      <c r="A14999">
        <v>86414100</v>
      </c>
      <c r="B14999">
        <v>2012054</v>
      </c>
      <c r="C14999" t="s">
        <v>15748</v>
      </c>
      <c r="D14999" t="s">
        <v>442</v>
      </c>
      <c r="E14999" t="s">
        <v>441</v>
      </c>
      <c r="F14999">
        <v>1E-3</v>
      </c>
      <c r="H14999" t="s">
        <v>8584</v>
      </c>
      <c r="I14999">
        <v>360</v>
      </c>
      <c r="J14999" t="s">
        <v>450</v>
      </c>
      <c r="M14999">
        <v>0</v>
      </c>
    </row>
    <row r="15000" spans="1:13">
      <c r="A15000">
        <v>86414300</v>
      </c>
      <c r="B15000">
        <v>2012066</v>
      </c>
      <c r="C15000" t="s">
        <v>17248</v>
      </c>
      <c r="D15000" t="s">
        <v>442</v>
      </c>
      <c r="E15000" t="s">
        <v>441</v>
      </c>
      <c r="F15000">
        <v>1E-3</v>
      </c>
      <c r="H15000" t="s">
        <v>8580</v>
      </c>
      <c r="I15000">
        <v>360</v>
      </c>
      <c r="J15000" t="s">
        <v>450</v>
      </c>
      <c r="M15000">
        <v>0</v>
      </c>
    </row>
    <row r="15001" spans="1:13">
      <c r="A15001">
        <v>86414400</v>
      </c>
      <c r="B15001">
        <v>2012056</v>
      </c>
      <c r="C15001" t="s">
        <v>7890</v>
      </c>
      <c r="D15001" t="s">
        <v>442</v>
      </c>
      <c r="E15001" t="s">
        <v>441</v>
      </c>
      <c r="F15001">
        <v>1E-3</v>
      </c>
      <c r="H15001" t="s">
        <v>8584</v>
      </c>
      <c r="I15001">
        <v>360</v>
      </c>
      <c r="J15001" t="s">
        <v>450</v>
      </c>
      <c r="K15001" t="s">
        <v>446</v>
      </c>
      <c r="M15001">
        <v>0</v>
      </c>
    </row>
    <row r="15002" spans="1:13">
      <c r="A15002">
        <v>86414500</v>
      </c>
      <c r="B15002">
        <v>2012055</v>
      </c>
      <c r="C15002" t="s">
        <v>17249</v>
      </c>
      <c r="D15002" t="s">
        <v>442</v>
      </c>
      <c r="E15002" t="s">
        <v>441</v>
      </c>
      <c r="F15002">
        <v>1E-3</v>
      </c>
      <c r="H15002" t="s">
        <v>8584</v>
      </c>
      <c r="I15002">
        <v>360</v>
      </c>
      <c r="J15002" t="s">
        <v>450</v>
      </c>
      <c r="M15002">
        <v>0</v>
      </c>
    </row>
    <row r="15003" spans="1:13">
      <c r="A15003">
        <v>86414600</v>
      </c>
      <c r="B15003">
        <v>2012102</v>
      </c>
      <c r="C15003" t="s">
        <v>7891</v>
      </c>
      <c r="D15003" t="s">
        <v>442</v>
      </c>
      <c r="E15003" t="s">
        <v>441</v>
      </c>
      <c r="F15003">
        <v>1E-3</v>
      </c>
      <c r="H15003" t="s">
        <v>8584</v>
      </c>
      <c r="I15003">
        <v>360</v>
      </c>
      <c r="J15003" t="s">
        <v>450</v>
      </c>
      <c r="K15003" t="s">
        <v>446</v>
      </c>
      <c r="M15003">
        <v>0</v>
      </c>
    </row>
    <row r="15004" spans="1:13">
      <c r="A15004">
        <v>86414700</v>
      </c>
      <c r="B15004">
        <v>2012149</v>
      </c>
      <c r="C15004" t="s">
        <v>7892</v>
      </c>
      <c r="D15004" t="s">
        <v>442</v>
      </c>
      <c r="E15004" t="s">
        <v>441</v>
      </c>
      <c r="F15004">
        <v>1E-3</v>
      </c>
      <c r="H15004" t="s">
        <v>8584</v>
      </c>
      <c r="I15004">
        <v>360</v>
      </c>
      <c r="J15004" t="s">
        <v>450</v>
      </c>
      <c r="K15004" t="s">
        <v>446</v>
      </c>
      <c r="M15004">
        <v>0</v>
      </c>
    </row>
    <row r="15005" spans="1:13">
      <c r="A15005">
        <v>86414800</v>
      </c>
      <c r="B15005">
        <v>2012185</v>
      </c>
      <c r="C15005" t="s">
        <v>7893</v>
      </c>
      <c r="D15005" t="s">
        <v>442</v>
      </c>
      <c r="E15005" t="s">
        <v>441</v>
      </c>
      <c r="F15005">
        <v>1E-3</v>
      </c>
      <c r="H15005" t="s">
        <v>8584</v>
      </c>
      <c r="I15005">
        <v>360</v>
      </c>
      <c r="J15005" t="s">
        <v>450</v>
      </c>
      <c r="K15005" t="s">
        <v>446</v>
      </c>
      <c r="M15005">
        <v>0</v>
      </c>
    </row>
    <row r="15006" spans="1:13">
      <c r="A15006">
        <v>86414900</v>
      </c>
      <c r="B15006">
        <v>2012176</v>
      </c>
      <c r="C15006" t="s">
        <v>7894</v>
      </c>
      <c r="D15006" t="s">
        <v>442</v>
      </c>
      <c r="E15006" t="s">
        <v>441</v>
      </c>
      <c r="F15006">
        <v>1E-3</v>
      </c>
      <c r="H15006" t="s">
        <v>8584</v>
      </c>
      <c r="I15006">
        <v>360</v>
      </c>
      <c r="J15006" t="s">
        <v>450</v>
      </c>
      <c r="K15006" t="s">
        <v>446</v>
      </c>
      <c r="M15006">
        <v>0</v>
      </c>
    </row>
    <row r="15007" spans="1:13">
      <c r="A15007">
        <v>86415100</v>
      </c>
      <c r="B15007">
        <v>2012203</v>
      </c>
      <c r="C15007" t="s">
        <v>7895</v>
      </c>
      <c r="D15007" t="s">
        <v>442</v>
      </c>
      <c r="E15007" t="s">
        <v>441</v>
      </c>
      <c r="F15007">
        <v>1E-3</v>
      </c>
      <c r="H15007" t="s">
        <v>8584</v>
      </c>
      <c r="I15007">
        <v>360</v>
      </c>
      <c r="J15007" t="s">
        <v>450</v>
      </c>
      <c r="K15007" t="s">
        <v>446</v>
      </c>
      <c r="M15007">
        <v>0</v>
      </c>
    </row>
    <row r="15008" spans="1:13">
      <c r="A15008">
        <v>86415200</v>
      </c>
      <c r="B15008">
        <v>2012202</v>
      </c>
      <c r="C15008" t="s">
        <v>7896</v>
      </c>
      <c r="D15008" t="s">
        <v>442</v>
      </c>
      <c r="E15008" t="s">
        <v>441</v>
      </c>
      <c r="F15008">
        <v>1E-3</v>
      </c>
      <c r="H15008" t="s">
        <v>8584</v>
      </c>
      <c r="I15008">
        <v>360</v>
      </c>
      <c r="J15008" t="s">
        <v>450</v>
      </c>
      <c r="K15008" t="s">
        <v>446</v>
      </c>
      <c r="M15008">
        <v>0</v>
      </c>
    </row>
    <row r="15009" spans="1:13">
      <c r="A15009">
        <v>86415300</v>
      </c>
      <c r="B15009">
        <v>2012187</v>
      </c>
      <c r="C15009" t="s">
        <v>7897</v>
      </c>
      <c r="D15009" t="s">
        <v>442</v>
      </c>
      <c r="E15009" t="s">
        <v>441</v>
      </c>
      <c r="F15009">
        <v>0.01</v>
      </c>
      <c r="H15009" t="s">
        <v>8584</v>
      </c>
      <c r="I15009">
        <v>360</v>
      </c>
      <c r="J15009" t="s">
        <v>450</v>
      </c>
      <c r="K15009" t="s">
        <v>446</v>
      </c>
      <c r="M15009">
        <v>0</v>
      </c>
    </row>
    <row r="15010" spans="1:13">
      <c r="A15010">
        <v>86415400</v>
      </c>
      <c r="B15010">
        <v>2012188</v>
      </c>
      <c r="C15010" t="s">
        <v>7898</v>
      </c>
      <c r="D15010" t="s">
        <v>442</v>
      </c>
      <c r="E15010" t="s">
        <v>441</v>
      </c>
      <c r="F15010">
        <v>1E-3</v>
      </c>
      <c r="H15010" t="s">
        <v>8584</v>
      </c>
      <c r="I15010">
        <v>360</v>
      </c>
      <c r="J15010" t="s">
        <v>450</v>
      </c>
      <c r="K15010" t="s">
        <v>446</v>
      </c>
      <c r="M15010">
        <v>0</v>
      </c>
    </row>
    <row r="15011" spans="1:13">
      <c r="A15011">
        <v>86415500</v>
      </c>
      <c r="B15011">
        <v>2012186</v>
      </c>
      <c r="C15011" t="s">
        <v>7899</v>
      </c>
      <c r="D15011" t="s">
        <v>442</v>
      </c>
      <c r="E15011" t="s">
        <v>441</v>
      </c>
      <c r="F15011">
        <v>1E-3</v>
      </c>
      <c r="H15011" t="s">
        <v>8584</v>
      </c>
      <c r="I15011">
        <v>360</v>
      </c>
      <c r="J15011" t="s">
        <v>450</v>
      </c>
      <c r="K15011" t="s">
        <v>446</v>
      </c>
      <c r="M15011">
        <v>0</v>
      </c>
    </row>
    <row r="15012" spans="1:13">
      <c r="A15012">
        <v>86415600</v>
      </c>
      <c r="B15012">
        <v>2012189</v>
      </c>
      <c r="C15012" t="s">
        <v>7900</v>
      </c>
      <c r="D15012" t="s">
        <v>442</v>
      </c>
      <c r="E15012" t="s">
        <v>441</v>
      </c>
      <c r="F15012">
        <v>1E-3</v>
      </c>
      <c r="H15012" t="s">
        <v>8584</v>
      </c>
      <c r="I15012">
        <v>360</v>
      </c>
      <c r="J15012" t="s">
        <v>450</v>
      </c>
      <c r="K15012" t="s">
        <v>446</v>
      </c>
      <c r="M15012">
        <v>0</v>
      </c>
    </row>
    <row r="15013" spans="1:13">
      <c r="A15013">
        <v>86415700</v>
      </c>
      <c r="B15013">
        <v>2012200</v>
      </c>
      <c r="C15013" t="s">
        <v>7901</v>
      </c>
      <c r="D15013" t="s">
        <v>442</v>
      </c>
      <c r="E15013" t="s">
        <v>441</v>
      </c>
      <c r="F15013">
        <v>1E-3</v>
      </c>
      <c r="H15013" t="s">
        <v>8584</v>
      </c>
      <c r="I15013">
        <v>360</v>
      </c>
      <c r="J15013" t="s">
        <v>450</v>
      </c>
      <c r="K15013" t="s">
        <v>446</v>
      </c>
      <c r="M15013">
        <v>0</v>
      </c>
    </row>
    <row r="15014" spans="1:13">
      <c r="A15014">
        <v>86415800</v>
      </c>
      <c r="B15014">
        <v>2012201</v>
      </c>
      <c r="C15014" t="s">
        <v>7902</v>
      </c>
      <c r="D15014" t="s">
        <v>442</v>
      </c>
      <c r="E15014" t="s">
        <v>441</v>
      </c>
      <c r="F15014">
        <v>1E-3</v>
      </c>
      <c r="H15014" t="s">
        <v>8584</v>
      </c>
      <c r="I15014">
        <v>360</v>
      </c>
      <c r="J15014" t="s">
        <v>450</v>
      </c>
      <c r="K15014" t="s">
        <v>446</v>
      </c>
      <c r="M15014">
        <v>0</v>
      </c>
    </row>
    <row r="15015" spans="1:13">
      <c r="A15015">
        <v>86416200</v>
      </c>
      <c r="B15015">
        <v>2012259</v>
      </c>
      <c r="C15015" t="s">
        <v>17250</v>
      </c>
      <c r="D15015" t="s">
        <v>442</v>
      </c>
      <c r="E15015" t="s">
        <v>441</v>
      </c>
      <c r="F15015">
        <v>1E-3</v>
      </c>
      <c r="H15015" t="s">
        <v>8580</v>
      </c>
      <c r="I15015">
        <v>360</v>
      </c>
      <c r="J15015" t="s">
        <v>450</v>
      </c>
      <c r="M15015">
        <v>0</v>
      </c>
    </row>
    <row r="15016" spans="1:13">
      <c r="A15016">
        <v>86416300</v>
      </c>
      <c r="B15016">
        <v>2012257</v>
      </c>
      <c r="C15016" t="s">
        <v>7903</v>
      </c>
      <c r="D15016" t="s">
        <v>442</v>
      </c>
      <c r="E15016" t="s">
        <v>441</v>
      </c>
      <c r="F15016">
        <v>1E-3</v>
      </c>
      <c r="H15016" t="s">
        <v>8584</v>
      </c>
      <c r="I15016">
        <v>360</v>
      </c>
      <c r="J15016" t="s">
        <v>450</v>
      </c>
      <c r="K15016" t="s">
        <v>446</v>
      </c>
      <c r="M15016">
        <v>0</v>
      </c>
    </row>
    <row r="15017" spans="1:13">
      <c r="A15017">
        <v>86416400</v>
      </c>
      <c r="B15017">
        <v>2012277</v>
      </c>
      <c r="C15017" t="s">
        <v>7904</v>
      </c>
      <c r="D15017" t="s">
        <v>442</v>
      </c>
      <c r="E15017" t="s">
        <v>441</v>
      </c>
      <c r="F15017">
        <v>1E-3</v>
      </c>
      <c r="H15017" t="s">
        <v>8584</v>
      </c>
      <c r="I15017">
        <v>360</v>
      </c>
      <c r="J15017" t="s">
        <v>450</v>
      </c>
      <c r="K15017" t="s">
        <v>446</v>
      </c>
      <c r="M15017">
        <v>0</v>
      </c>
    </row>
    <row r="15018" spans="1:13">
      <c r="A15018">
        <v>86416500</v>
      </c>
      <c r="B15018">
        <v>2012311</v>
      </c>
      <c r="C15018" t="s">
        <v>7905</v>
      </c>
      <c r="D15018" t="s">
        <v>442</v>
      </c>
      <c r="E15018" t="s">
        <v>441</v>
      </c>
      <c r="F15018">
        <v>1E-3</v>
      </c>
      <c r="H15018" t="s">
        <v>8584</v>
      </c>
      <c r="I15018">
        <v>365</v>
      </c>
      <c r="J15018" t="s">
        <v>450</v>
      </c>
      <c r="K15018" t="s">
        <v>446</v>
      </c>
      <c r="M15018">
        <v>0</v>
      </c>
    </row>
    <row r="15019" spans="1:13">
      <c r="A15019">
        <v>86416600</v>
      </c>
      <c r="B15019">
        <v>2012313</v>
      </c>
      <c r="C15019" t="s">
        <v>7906</v>
      </c>
      <c r="D15019" t="s">
        <v>442</v>
      </c>
      <c r="E15019" t="s">
        <v>441</v>
      </c>
      <c r="F15019">
        <v>1E-3</v>
      </c>
      <c r="H15019" t="s">
        <v>8584</v>
      </c>
      <c r="I15019">
        <v>365</v>
      </c>
      <c r="J15019" t="s">
        <v>450</v>
      </c>
      <c r="K15019" t="s">
        <v>446</v>
      </c>
      <c r="M15019">
        <v>0</v>
      </c>
    </row>
    <row r="15020" spans="1:13">
      <c r="A15020">
        <v>86416700</v>
      </c>
      <c r="B15020">
        <v>2012312</v>
      </c>
      <c r="C15020" t="s">
        <v>7907</v>
      </c>
      <c r="D15020" t="s">
        <v>442</v>
      </c>
      <c r="E15020" t="s">
        <v>441</v>
      </c>
      <c r="F15020">
        <v>1E-3</v>
      </c>
      <c r="H15020" t="s">
        <v>8580</v>
      </c>
      <c r="I15020">
        <v>365</v>
      </c>
      <c r="J15020" t="s">
        <v>450</v>
      </c>
      <c r="K15020" t="s">
        <v>446</v>
      </c>
      <c r="M15020">
        <v>0</v>
      </c>
    </row>
    <row r="15021" spans="1:13">
      <c r="A15021">
        <v>86416800</v>
      </c>
      <c r="B15021">
        <v>2012324</v>
      </c>
      <c r="C15021" t="s">
        <v>7908</v>
      </c>
      <c r="D15021" t="s">
        <v>442</v>
      </c>
      <c r="E15021" t="s">
        <v>441</v>
      </c>
      <c r="F15021">
        <v>1E-3</v>
      </c>
      <c r="H15021" t="s">
        <v>8584</v>
      </c>
      <c r="I15021">
        <v>360</v>
      </c>
      <c r="J15021" t="s">
        <v>450</v>
      </c>
      <c r="K15021" t="s">
        <v>446</v>
      </c>
      <c r="M15021">
        <v>0</v>
      </c>
    </row>
    <row r="15022" spans="1:13">
      <c r="A15022">
        <v>86416900</v>
      </c>
      <c r="B15022">
        <v>2012351</v>
      </c>
      <c r="C15022" t="s">
        <v>7909</v>
      </c>
      <c r="D15022" t="s">
        <v>442</v>
      </c>
      <c r="E15022" t="s">
        <v>441</v>
      </c>
      <c r="F15022">
        <v>1E-3</v>
      </c>
      <c r="H15022" t="s">
        <v>8584</v>
      </c>
      <c r="I15022">
        <v>360</v>
      </c>
      <c r="J15022" t="s">
        <v>450</v>
      </c>
      <c r="K15022" t="s">
        <v>446</v>
      </c>
      <c r="M15022">
        <v>0</v>
      </c>
    </row>
    <row r="15023" spans="1:13">
      <c r="A15023">
        <v>86417100</v>
      </c>
      <c r="B15023">
        <v>2012352</v>
      </c>
      <c r="C15023" t="s">
        <v>7910</v>
      </c>
      <c r="D15023" t="s">
        <v>442</v>
      </c>
      <c r="E15023" t="s">
        <v>441</v>
      </c>
      <c r="F15023">
        <v>1E-3</v>
      </c>
      <c r="H15023" t="s">
        <v>8584</v>
      </c>
      <c r="I15023">
        <v>360</v>
      </c>
      <c r="J15023" t="s">
        <v>450</v>
      </c>
      <c r="K15023" t="s">
        <v>446</v>
      </c>
      <c r="M15023">
        <v>0</v>
      </c>
    </row>
    <row r="15024" spans="1:13">
      <c r="A15024">
        <v>86417200</v>
      </c>
      <c r="B15024">
        <v>2012381</v>
      </c>
      <c r="C15024" t="s">
        <v>7911</v>
      </c>
      <c r="D15024" t="s">
        <v>442</v>
      </c>
      <c r="E15024" t="s">
        <v>441</v>
      </c>
      <c r="F15024">
        <v>1E-3</v>
      </c>
      <c r="H15024" t="s">
        <v>8584</v>
      </c>
      <c r="I15024">
        <v>360</v>
      </c>
      <c r="J15024" t="s">
        <v>450</v>
      </c>
      <c r="K15024" t="s">
        <v>446</v>
      </c>
      <c r="M15024">
        <v>0</v>
      </c>
    </row>
    <row r="15025" spans="1:13">
      <c r="A15025">
        <v>86417300</v>
      </c>
      <c r="B15025">
        <v>2012382</v>
      </c>
      <c r="C15025" t="s">
        <v>7912</v>
      </c>
      <c r="D15025" t="s">
        <v>442</v>
      </c>
      <c r="E15025" t="s">
        <v>441</v>
      </c>
      <c r="F15025">
        <v>1E-3</v>
      </c>
      <c r="H15025" t="s">
        <v>8584</v>
      </c>
      <c r="I15025">
        <v>360</v>
      </c>
      <c r="J15025" t="s">
        <v>450</v>
      </c>
      <c r="K15025" t="s">
        <v>446</v>
      </c>
      <c r="M15025">
        <v>0</v>
      </c>
    </row>
    <row r="15026" spans="1:13">
      <c r="A15026">
        <v>86417400</v>
      </c>
      <c r="B15026">
        <v>2012386</v>
      </c>
      <c r="C15026" t="s">
        <v>7913</v>
      </c>
      <c r="D15026" t="s">
        <v>442</v>
      </c>
      <c r="E15026" t="s">
        <v>441</v>
      </c>
      <c r="F15026">
        <v>1E-3</v>
      </c>
      <c r="H15026" t="s">
        <v>8580</v>
      </c>
      <c r="I15026">
        <v>360</v>
      </c>
      <c r="J15026" t="s">
        <v>450</v>
      </c>
      <c r="K15026" t="s">
        <v>446</v>
      </c>
      <c r="M15026">
        <v>0</v>
      </c>
    </row>
    <row r="15027" spans="1:13">
      <c r="A15027">
        <v>86417500</v>
      </c>
      <c r="B15027">
        <v>2012385</v>
      </c>
      <c r="C15027" t="s">
        <v>7914</v>
      </c>
      <c r="D15027" t="s">
        <v>442</v>
      </c>
      <c r="E15027" t="s">
        <v>441</v>
      </c>
      <c r="F15027">
        <v>1E-3</v>
      </c>
      <c r="H15027" t="s">
        <v>8580</v>
      </c>
      <c r="I15027">
        <v>360</v>
      </c>
      <c r="J15027" t="s">
        <v>450</v>
      </c>
      <c r="K15027" t="s">
        <v>446</v>
      </c>
      <c r="M15027">
        <v>0</v>
      </c>
    </row>
    <row r="15028" spans="1:13">
      <c r="A15028">
        <v>86417600</v>
      </c>
      <c r="B15028">
        <v>2012389</v>
      </c>
      <c r="C15028" t="s">
        <v>7915</v>
      </c>
      <c r="D15028" t="s">
        <v>442</v>
      </c>
      <c r="E15028" t="s">
        <v>441</v>
      </c>
      <c r="F15028">
        <v>1E-3</v>
      </c>
      <c r="H15028" t="s">
        <v>8584</v>
      </c>
      <c r="I15028">
        <v>360</v>
      </c>
      <c r="J15028" t="s">
        <v>450</v>
      </c>
      <c r="K15028" t="s">
        <v>446</v>
      </c>
      <c r="M15028">
        <v>0</v>
      </c>
    </row>
    <row r="15029" spans="1:13">
      <c r="A15029">
        <v>86417700</v>
      </c>
      <c r="B15029">
        <v>2012388</v>
      </c>
      <c r="C15029" t="s">
        <v>7916</v>
      </c>
      <c r="D15029" t="s">
        <v>442</v>
      </c>
      <c r="E15029" t="s">
        <v>441</v>
      </c>
      <c r="F15029">
        <v>1E-3</v>
      </c>
      <c r="H15029" t="s">
        <v>8584</v>
      </c>
      <c r="I15029">
        <v>360</v>
      </c>
      <c r="J15029" t="s">
        <v>450</v>
      </c>
      <c r="K15029" t="s">
        <v>446</v>
      </c>
      <c r="M15029">
        <v>0</v>
      </c>
    </row>
    <row r="15030" spans="1:13">
      <c r="A15030">
        <v>86417800</v>
      </c>
      <c r="B15030">
        <v>2012387</v>
      </c>
      <c r="C15030" t="s">
        <v>7917</v>
      </c>
      <c r="D15030" t="s">
        <v>442</v>
      </c>
      <c r="E15030" t="s">
        <v>441</v>
      </c>
      <c r="F15030">
        <v>1E-3</v>
      </c>
      <c r="H15030" t="s">
        <v>8580</v>
      </c>
      <c r="I15030">
        <v>360</v>
      </c>
      <c r="J15030" t="s">
        <v>450</v>
      </c>
      <c r="K15030" t="s">
        <v>446</v>
      </c>
      <c r="M15030">
        <v>0</v>
      </c>
    </row>
    <row r="15031" spans="1:13">
      <c r="A15031">
        <v>86417900</v>
      </c>
      <c r="B15031">
        <v>2012403</v>
      </c>
      <c r="C15031" t="s">
        <v>7918</v>
      </c>
      <c r="D15031" t="s">
        <v>442</v>
      </c>
      <c r="E15031" t="s">
        <v>441</v>
      </c>
      <c r="F15031">
        <v>1E-3</v>
      </c>
      <c r="H15031" t="s">
        <v>8584</v>
      </c>
      <c r="I15031">
        <v>360</v>
      </c>
      <c r="J15031" t="s">
        <v>450</v>
      </c>
      <c r="K15031" t="s">
        <v>446</v>
      </c>
      <c r="M15031">
        <v>0</v>
      </c>
    </row>
    <row r="15032" spans="1:13">
      <c r="A15032">
        <v>86418100</v>
      </c>
      <c r="B15032">
        <v>2012402</v>
      </c>
      <c r="C15032" t="s">
        <v>7919</v>
      </c>
      <c r="D15032" t="s">
        <v>442</v>
      </c>
      <c r="E15032" t="s">
        <v>441</v>
      </c>
      <c r="F15032">
        <v>1E-3</v>
      </c>
      <c r="H15032" t="s">
        <v>8580</v>
      </c>
      <c r="I15032">
        <v>360</v>
      </c>
      <c r="J15032" t="s">
        <v>450</v>
      </c>
      <c r="K15032" t="s">
        <v>446</v>
      </c>
      <c r="M15032">
        <v>0</v>
      </c>
    </row>
    <row r="15033" spans="1:13">
      <c r="A15033">
        <v>86418200</v>
      </c>
      <c r="B15033">
        <v>2012411</v>
      </c>
      <c r="C15033" t="s">
        <v>7920</v>
      </c>
      <c r="D15033" t="s">
        <v>442</v>
      </c>
      <c r="E15033" t="s">
        <v>441</v>
      </c>
      <c r="F15033">
        <v>1E-3</v>
      </c>
      <c r="H15033" t="s">
        <v>8584</v>
      </c>
      <c r="I15033">
        <v>360</v>
      </c>
      <c r="J15033" t="s">
        <v>450</v>
      </c>
      <c r="K15033" t="s">
        <v>446</v>
      </c>
      <c r="M15033">
        <v>0</v>
      </c>
    </row>
    <row r="15034" spans="1:13">
      <c r="A15034">
        <v>86418300</v>
      </c>
      <c r="B15034">
        <v>2012412</v>
      </c>
      <c r="C15034" t="s">
        <v>7921</v>
      </c>
      <c r="D15034" t="s">
        <v>442</v>
      </c>
      <c r="E15034" t="s">
        <v>441</v>
      </c>
      <c r="F15034">
        <v>1E-3</v>
      </c>
      <c r="H15034" t="s">
        <v>8584</v>
      </c>
      <c r="I15034">
        <v>360</v>
      </c>
      <c r="J15034" t="s">
        <v>450</v>
      </c>
      <c r="K15034" t="s">
        <v>446</v>
      </c>
      <c r="M15034">
        <v>0</v>
      </c>
    </row>
    <row r="15035" spans="1:13">
      <c r="A15035">
        <v>86418400</v>
      </c>
      <c r="B15035">
        <v>2012371</v>
      </c>
      <c r="C15035" t="s">
        <v>7922</v>
      </c>
      <c r="D15035" t="s">
        <v>442</v>
      </c>
      <c r="E15035" t="s">
        <v>441</v>
      </c>
      <c r="F15035">
        <v>1E-3</v>
      </c>
      <c r="H15035" t="s">
        <v>8584</v>
      </c>
      <c r="I15035">
        <v>365</v>
      </c>
      <c r="J15035" t="s">
        <v>450</v>
      </c>
      <c r="K15035" t="s">
        <v>446</v>
      </c>
      <c r="M15035">
        <v>0</v>
      </c>
    </row>
    <row r="15036" spans="1:13">
      <c r="A15036">
        <v>86418500</v>
      </c>
      <c r="B15036">
        <v>2012428</v>
      </c>
      <c r="C15036" t="s">
        <v>7923</v>
      </c>
      <c r="D15036" t="s">
        <v>442</v>
      </c>
      <c r="E15036" t="s">
        <v>441</v>
      </c>
      <c r="F15036">
        <v>1E-3</v>
      </c>
      <c r="H15036" t="s">
        <v>8584</v>
      </c>
      <c r="I15036">
        <v>360</v>
      </c>
      <c r="J15036" t="s">
        <v>450</v>
      </c>
      <c r="K15036" t="s">
        <v>446</v>
      </c>
      <c r="M15036">
        <v>0</v>
      </c>
    </row>
    <row r="15037" spans="1:13">
      <c r="A15037">
        <v>86418600</v>
      </c>
      <c r="B15037">
        <v>2012440</v>
      </c>
      <c r="C15037" t="s">
        <v>7924</v>
      </c>
      <c r="D15037" t="s">
        <v>442</v>
      </c>
      <c r="E15037" t="s">
        <v>441</v>
      </c>
      <c r="F15037">
        <v>1E-3</v>
      </c>
      <c r="H15037" t="s">
        <v>8584</v>
      </c>
      <c r="I15037">
        <v>360</v>
      </c>
      <c r="J15037" t="s">
        <v>450</v>
      </c>
      <c r="K15037" t="s">
        <v>446</v>
      </c>
      <c r="M15037">
        <v>0</v>
      </c>
    </row>
    <row r="15038" spans="1:13">
      <c r="A15038">
        <v>86418700</v>
      </c>
      <c r="B15038">
        <v>2012439</v>
      </c>
      <c r="C15038" t="s">
        <v>7925</v>
      </c>
      <c r="D15038" t="s">
        <v>442</v>
      </c>
      <c r="E15038" t="s">
        <v>441</v>
      </c>
      <c r="F15038">
        <v>1E-3</v>
      </c>
      <c r="H15038" t="s">
        <v>8584</v>
      </c>
      <c r="I15038">
        <v>360</v>
      </c>
      <c r="J15038" t="s">
        <v>450</v>
      </c>
      <c r="K15038" t="s">
        <v>446</v>
      </c>
      <c r="M15038">
        <v>0</v>
      </c>
    </row>
    <row r="15039" spans="1:13">
      <c r="A15039">
        <v>86418800</v>
      </c>
      <c r="B15039">
        <v>2012442</v>
      </c>
      <c r="C15039" t="s">
        <v>7926</v>
      </c>
      <c r="D15039" t="s">
        <v>442</v>
      </c>
      <c r="E15039" t="s">
        <v>441</v>
      </c>
      <c r="F15039">
        <v>1E-3</v>
      </c>
      <c r="H15039" t="s">
        <v>8580</v>
      </c>
      <c r="I15039">
        <v>360</v>
      </c>
      <c r="J15039" t="s">
        <v>450</v>
      </c>
      <c r="K15039" t="s">
        <v>446</v>
      </c>
      <c r="M15039">
        <v>0</v>
      </c>
    </row>
    <row r="15040" spans="1:13">
      <c r="A15040">
        <v>86418900</v>
      </c>
      <c r="B15040">
        <v>2012441</v>
      </c>
      <c r="C15040" t="s">
        <v>7927</v>
      </c>
      <c r="D15040" t="s">
        <v>442</v>
      </c>
      <c r="E15040" t="s">
        <v>441</v>
      </c>
      <c r="F15040">
        <v>1E-3</v>
      </c>
      <c r="H15040" t="s">
        <v>8584</v>
      </c>
      <c r="I15040">
        <v>360</v>
      </c>
      <c r="J15040" t="s">
        <v>450</v>
      </c>
      <c r="K15040" t="s">
        <v>446</v>
      </c>
      <c r="M15040">
        <v>0</v>
      </c>
    </row>
    <row r="15041" spans="1:13">
      <c r="A15041">
        <v>86419100</v>
      </c>
      <c r="B15041">
        <v>2012410</v>
      </c>
      <c r="C15041" t="s">
        <v>7928</v>
      </c>
      <c r="D15041" t="s">
        <v>442</v>
      </c>
      <c r="E15041" t="s">
        <v>441</v>
      </c>
      <c r="F15041">
        <v>1E-3</v>
      </c>
      <c r="H15041" t="s">
        <v>8584</v>
      </c>
      <c r="I15041">
        <v>365</v>
      </c>
      <c r="J15041" t="s">
        <v>450</v>
      </c>
      <c r="K15041" t="s">
        <v>446</v>
      </c>
      <c r="M15041">
        <v>0</v>
      </c>
    </row>
    <row r="15042" spans="1:13">
      <c r="A15042">
        <v>86419200</v>
      </c>
      <c r="B15042">
        <v>2012516</v>
      </c>
      <c r="C15042" t="s">
        <v>15749</v>
      </c>
      <c r="D15042" t="s">
        <v>442</v>
      </c>
      <c r="E15042" t="s">
        <v>441</v>
      </c>
      <c r="F15042">
        <v>1E-3</v>
      </c>
      <c r="H15042" t="s">
        <v>8584</v>
      </c>
      <c r="I15042">
        <v>360</v>
      </c>
      <c r="J15042" t="s">
        <v>450</v>
      </c>
      <c r="M15042">
        <v>0</v>
      </c>
    </row>
    <row r="15043" spans="1:13">
      <c r="A15043">
        <v>86419300</v>
      </c>
      <c r="B15043">
        <v>2012517</v>
      </c>
      <c r="C15043" t="s">
        <v>17809</v>
      </c>
      <c r="D15043" t="s">
        <v>442</v>
      </c>
      <c r="E15043" t="s">
        <v>441</v>
      </c>
      <c r="F15043">
        <v>1E-3</v>
      </c>
      <c r="H15043" t="s">
        <v>8580</v>
      </c>
      <c r="I15043">
        <v>360</v>
      </c>
      <c r="J15043" t="s">
        <v>450</v>
      </c>
      <c r="K15043" t="s">
        <v>446</v>
      </c>
      <c r="M15043">
        <v>0</v>
      </c>
    </row>
    <row r="15044" spans="1:13">
      <c r="A15044">
        <v>86419400</v>
      </c>
      <c r="B15044">
        <v>2012566</v>
      </c>
      <c r="C15044" t="s">
        <v>7929</v>
      </c>
      <c r="D15044" t="s">
        <v>442</v>
      </c>
      <c r="E15044" t="s">
        <v>441</v>
      </c>
      <c r="F15044">
        <v>1E-3</v>
      </c>
      <c r="H15044" t="s">
        <v>8584</v>
      </c>
      <c r="I15044">
        <v>360</v>
      </c>
      <c r="J15044" t="s">
        <v>450</v>
      </c>
      <c r="K15044" t="s">
        <v>446</v>
      </c>
      <c r="M15044">
        <v>0</v>
      </c>
    </row>
    <row r="15045" spans="1:13">
      <c r="A15045">
        <v>86419500</v>
      </c>
      <c r="B15045">
        <v>2012547</v>
      </c>
      <c r="C15045" t="s">
        <v>7930</v>
      </c>
      <c r="D15045" t="s">
        <v>442</v>
      </c>
      <c r="E15045" t="s">
        <v>441</v>
      </c>
      <c r="F15045">
        <v>1E-3</v>
      </c>
      <c r="H15045" t="s">
        <v>8584</v>
      </c>
      <c r="I15045">
        <v>360</v>
      </c>
      <c r="J15045" t="s">
        <v>450</v>
      </c>
      <c r="K15045" t="s">
        <v>446</v>
      </c>
      <c r="M15045">
        <v>0</v>
      </c>
    </row>
    <row r="15046" spans="1:13">
      <c r="A15046">
        <v>86419600</v>
      </c>
      <c r="B15046">
        <v>2012708</v>
      </c>
      <c r="C15046" t="s">
        <v>7931</v>
      </c>
      <c r="D15046" t="s">
        <v>442</v>
      </c>
      <c r="E15046" t="s">
        <v>441</v>
      </c>
      <c r="F15046">
        <v>1E-3</v>
      </c>
      <c r="H15046" t="s">
        <v>8580</v>
      </c>
      <c r="I15046">
        <v>360</v>
      </c>
      <c r="J15046" t="s">
        <v>450</v>
      </c>
      <c r="K15046" t="s">
        <v>446</v>
      </c>
      <c r="M15046">
        <v>0</v>
      </c>
    </row>
    <row r="15047" spans="1:13">
      <c r="A15047">
        <v>86419700</v>
      </c>
      <c r="B15047">
        <v>2012713</v>
      </c>
      <c r="C15047" t="s">
        <v>7932</v>
      </c>
      <c r="D15047" t="s">
        <v>442</v>
      </c>
      <c r="E15047" t="s">
        <v>441</v>
      </c>
      <c r="F15047">
        <v>1E-3</v>
      </c>
      <c r="I15047">
        <v>360</v>
      </c>
      <c r="J15047" t="s">
        <v>450</v>
      </c>
      <c r="K15047" t="s">
        <v>446</v>
      </c>
      <c r="M15047">
        <v>0</v>
      </c>
    </row>
    <row r="15048" spans="1:13">
      <c r="A15048">
        <v>86419800</v>
      </c>
      <c r="B15048">
        <v>2012716</v>
      </c>
      <c r="C15048" t="s">
        <v>7933</v>
      </c>
      <c r="D15048" t="s">
        <v>442</v>
      </c>
      <c r="E15048" t="s">
        <v>441</v>
      </c>
      <c r="F15048">
        <v>1E-3</v>
      </c>
      <c r="H15048" t="s">
        <v>8580</v>
      </c>
      <c r="I15048">
        <v>360</v>
      </c>
      <c r="J15048" t="s">
        <v>450</v>
      </c>
      <c r="K15048" t="s">
        <v>446</v>
      </c>
      <c r="M15048">
        <v>0</v>
      </c>
    </row>
    <row r="15049" spans="1:13">
      <c r="A15049">
        <v>86419900</v>
      </c>
      <c r="B15049">
        <v>2012760</v>
      </c>
      <c r="C15049" t="s">
        <v>7934</v>
      </c>
      <c r="D15049" t="s">
        <v>442</v>
      </c>
      <c r="E15049" t="s">
        <v>441</v>
      </c>
      <c r="F15049">
        <v>1E-3</v>
      </c>
      <c r="H15049" t="s">
        <v>8580</v>
      </c>
      <c r="I15049">
        <v>360</v>
      </c>
      <c r="J15049" t="s">
        <v>450</v>
      </c>
      <c r="K15049" t="s">
        <v>446</v>
      </c>
      <c r="M15049">
        <v>0</v>
      </c>
    </row>
    <row r="15050" spans="1:13">
      <c r="A15050">
        <v>86420100</v>
      </c>
      <c r="B15050">
        <v>2012770</v>
      </c>
      <c r="C15050" t="s">
        <v>7935</v>
      </c>
      <c r="D15050" t="s">
        <v>442</v>
      </c>
      <c r="E15050" t="s">
        <v>441</v>
      </c>
      <c r="F15050">
        <v>1E-3</v>
      </c>
      <c r="H15050" t="s">
        <v>8584</v>
      </c>
      <c r="I15050">
        <v>360</v>
      </c>
      <c r="J15050" t="s">
        <v>450</v>
      </c>
      <c r="K15050" t="s">
        <v>446</v>
      </c>
      <c r="M15050">
        <v>0</v>
      </c>
    </row>
    <row r="15051" spans="1:13">
      <c r="A15051">
        <v>86420200</v>
      </c>
      <c r="B15051">
        <v>2012764</v>
      </c>
      <c r="C15051" t="s">
        <v>7936</v>
      </c>
      <c r="D15051" t="s">
        <v>442</v>
      </c>
      <c r="E15051" t="s">
        <v>441</v>
      </c>
      <c r="F15051">
        <v>1E-3</v>
      </c>
      <c r="H15051" t="s">
        <v>8584</v>
      </c>
      <c r="I15051">
        <v>360</v>
      </c>
      <c r="J15051" t="s">
        <v>450</v>
      </c>
      <c r="K15051" t="s">
        <v>446</v>
      </c>
      <c r="M15051">
        <v>0</v>
      </c>
    </row>
    <row r="15052" spans="1:13">
      <c r="A15052">
        <v>86420300</v>
      </c>
      <c r="B15052">
        <v>2012763</v>
      </c>
      <c r="C15052" t="s">
        <v>7937</v>
      </c>
      <c r="D15052" t="s">
        <v>442</v>
      </c>
      <c r="E15052" t="s">
        <v>441</v>
      </c>
      <c r="F15052">
        <v>1E-3</v>
      </c>
      <c r="H15052" t="s">
        <v>8584</v>
      </c>
      <c r="I15052">
        <v>360</v>
      </c>
      <c r="J15052" t="s">
        <v>450</v>
      </c>
      <c r="K15052" t="s">
        <v>446</v>
      </c>
      <c r="M15052">
        <v>0</v>
      </c>
    </row>
    <row r="15053" spans="1:13">
      <c r="A15053">
        <v>86420400</v>
      </c>
      <c r="B15053">
        <v>2012761</v>
      </c>
      <c r="C15053" t="s">
        <v>7938</v>
      </c>
      <c r="D15053" t="s">
        <v>442</v>
      </c>
      <c r="E15053" t="s">
        <v>441</v>
      </c>
      <c r="F15053">
        <v>1E-3</v>
      </c>
      <c r="H15053" t="s">
        <v>8584</v>
      </c>
      <c r="I15053">
        <v>360</v>
      </c>
      <c r="J15053" t="s">
        <v>450</v>
      </c>
      <c r="K15053" t="s">
        <v>446</v>
      </c>
      <c r="M15053">
        <v>0</v>
      </c>
    </row>
    <row r="15054" spans="1:13">
      <c r="A15054">
        <v>86420500</v>
      </c>
      <c r="B15054">
        <v>2012762</v>
      </c>
      <c r="C15054" t="s">
        <v>7939</v>
      </c>
      <c r="D15054" t="s">
        <v>442</v>
      </c>
      <c r="E15054" t="s">
        <v>441</v>
      </c>
      <c r="F15054">
        <v>1E-3</v>
      </c>
      <c r="H15054" t="s">
        <v>8584</v>
      </c>
      <c r="I15054">
        <v>360</v>
      </c>
      <c r="J15054" t="s">
        <v>450</v>
      </c>
      <c r="K15054" t="s">
        <v>446</v>
      </c>
      <c r="M15054">
        <v>0</v>
      </c>
    </row>
    <row r="15055" spans="1:13">
      <c r="A15055">
        <v>86420600</v>
      </c>
      <c r="B15055">
        <v>2012756</v>
      </c>
      <c r="C15055" t="s">
        <v>7940</v>
      </c>
      <c r="D15055" t="s">
        <v>442</v>
      </c>
      <c r="E15055" t="s">
        <v>441</v>
      </c>
      <c r="F15055">
        <v>1E-3</v>
      </c>
      <c r="H15055" t="s">
        <v>8580</v>
      </c>
      <c r="I15055">
        <v>360</v>
      </c>
      <c r="J15055" t="s">
        <v>450</v>
      </c>
      <c r="K15055" t="s">
        <v>446</v>
      </c>
      <c r="M15055">
        <v>0</v>
      </c>
    </row>
    <row r="15056" spans="1:13">
      <c r="A15056">
        <v>86420700</v>
      </c>
      <c r="B15056">
        <v>2012755</v>
      </c>
      <c r="C15056" t="s">
        <v>7941</v>
      </c>
      <c r="D15056" t="s">
        <v>442</v>
      </c>
      <c r="E15056" t="s">
        <v>441</v>
      </c>
      <c r="F15056">
        <v>1E-3</v>
      </c>
      <c r="I15056">
        <v>360</v>
      </c>
      <c r="J15056" t="s">
        <v>450</v>
      </c>
      <c r="K15056" t="s">
        <v>446</v>
      </c>
      <c r="M15056">
        <v>0</v>
      </c>
    </row>
    <row r="15057" spans="1:13">
      <c r="A15057">
        <v>86420800</v>
      </c>
      <c r="B15057">
        <v>2012802</v>
      </c>
      <c r="C15057" t="s">
        <v>15750</v>
      </c>
      <c r="D15057" t="s">
        <v>442</v>
      </c>
      <c r="E15057" t="s">
        <v>441</v>
      </c>
      <c r="F15057">
        <v>1E-3</v>
      </c>
      <c r="H15057" t="s">
        <v>8580</v>
      </c>
      <c r="I15057">
        <v>360</v>
      </c>
      <c r="J15057" t="s">
        <v>450</v>
      </c>
      <c r="M15057">
        <v>0</v>
      </c>
    </row>
    <row r="15058" spans="1:13">
      <c r="A15058">
        <v>86420900</v>
      </c>
      <c r="B15058">
        <v>2012803</v>
      </c>
      <c r="C15058" t="s">
        <v>15751</v>
      </c>
      <c r="D15058" t="s">
        <v>442</v>
      </c>
      <c r="E15058" t="s">
        <v>441</v>
      </c>
      <c r="F15058">
        <v>1E-3</v>
      </c>
      <c r="I15058">
        <v>360</v>
      </c>
      <c r="J15058" t="s">
        <v>450</v>
      </c>
      <c r="M15058">
        <v>0</v>
      </c>
    </row>
    <row r="15059" spans="1:13">
      <c r="A15059">
        <v>86421100</v>
      </c>
      <c r="B15059">
        <v>2012806</v>
      </c>
      <c r="C15059" t="s">
        <v>7942</v>
      </c>
      <c r="D15059" t="s">
        <v>442</v>
      </c>
      <c r="E15059" t="s">
        <v>441</v>
      </c>
      <c r="F15059">
        <v>1E-3</v>
      </c>
      <c r="H15059" t="s">
        <v>8580</v>
      </c>
      <c r="I15059">
        <v>360</v>
      </c>
      <c r="J15059" t="s">
        <v>450</v>
      </c>
      <c r="K15059" t="s">
        <v>446</v>
      </c>
      <c r="M15059">
        <v>0</v>
      </c>
    </row>
    <row r="15060" spans="1:13">
      <c r="A15060">
        <v>86421200</v>
      </c>
      <c r="B15060">
        <v>2012846</v>
      </c>
      <c r="C15060" t="s">
        <v>7943</v>
      </c>
      <c r="D15060" t="s">
        <v>442</v>
      </c>
      <c r="E15060" t="s">
        <v>441</v>
      </c>
      <c r="F15060">
        <v>1E-3</v>
      </c>
      <c r="H15060" t="s">
        <v>8580</v>
      </c>
      <c r="I15060">
        <v>360</v>
      </c>
      <c r="J15060" t="s">
        <v>450</v>
      </c>
      <c r="K15060" t="s">
        <v>446</v>
      </c>
      <c r="M15060">
        <v>0</v>
      </c>
    </row>
    <row r="15061" spans="1:13">
      <c r="A15061">
        <v>86421300</v>
      </c>
      <c r="B15061">
        <v>2012847</v>
      </c>
      <c r="C15061" t="s">
        <v>17251</v>
      </c>
      <c r="D15061" t="s">
        <v>442</v>
      </c>
      <c r="E15061" t="s">
        <v>441</v>
      </c>
      <c r="F15061">
        <v>1E-3</v>
      </c>
      <c r="H15061" t="s">
        <v>8584</v>
      </c>
      <c r="I15061">
        <v>360</v>
      </c>
      <c r="J15061" t="s">
        <v>450</v>
      </c>
      <c r="M15061">
        <v>0</v>
      </c>
    </row>
    <row r="15062" spans="1:13">
      <c r="A15062">
        <v>86421400</v>
      </c>
      <c r="B15062">
        <v>2008716</v>
      </c>
      <c r="C15062" t="s">
        <v>17810</v>
      </c>
      <c r="D15062" t="s">
        <v>442</v>
      </c>
      <c r="E15062" t="s">
        <v>441</v>
      </c>
      <c r="F15062">
        <v>1E-3</v>
      </c>
      <c r="H15062" t="s">
        <v>8580</v>
      </c>
      <c r="I15062">
        <v>360</v>
      </c>
      <c r="J15062" t="s">
        <v>450</v>
      </c>
      <c r="K15062" t="s">
        <v>446</v>
      </c>
      <c r="M15062">
        <v>0</v>
      </c>
    </row>
    <row r="15063" spans="1:13">
      <c r="A15063">
        <v>86421500</v>
      </c>
      <c r="B15063">
        <v>2012783</v>
      </c>
      <c r="C15063" t="s">
        <v>7944</v>
      </c>
      <c r="D15063" t="s">
        <v>442</v>
      </c>
      <c r="E15063" t="s">
        <v>441</v>
      </c>
      <c r="F15063">
        <v>1E-3</v>
      </c>
      <c r="H15063" t="s">
        <v>8584</v>
      </c>
      <c r="I15063">
        <v>720</v>
      </c>
      <c r="J15063" t="s">
        <v>450</v>
      </c>
      <c r="K15063" t="s">
        <v>446</v>
      </c>
      <c r="M15063">
        <v>0</v>
      </c>
    </row>
    <row r="15064" spans="1:13">
      <c r="A15064">
        <v>86421600</v>
      </c>
      <c r="B15064">
        <v>2012945</v>
      </c>
      <c r="C15064" t="s">
        <v>7945</v>
      </c>
      <c r="D15064" t="s">
        <v>442</v>
      </c>
      <c r="E15064" t="s">
        <v>441</v>
      </c>
      <c r="F15064">
        <v>1E-3</v>
      </c>
      <c r="I15064">
        <v>360</v>
      </c>
      <c r="J15064" t="s">
        <v>450</v>
      </c>
      <c r="K15064" t="s">
        <v>446</v>
      </c>
      <c r="M15064">
        <v>0</v>
      </c>
    </row>
    <row r="15065" spans="1:13">
      <c r="A15065">
        <v>86421700</v>
      </c>
      <c r="B15065">
        <v>2012938</v>
      </c>
      <c r="C15065" t="s">
        <v>17252</v>
      </c>
      <c r="D15065" t="s">
        <v>442</v>
      </c>
      <c r="E15065" t="s">
        <v>441</v>
      </c>
      <c r="F15065">
        <v>1E-3</v>
      </c>
      <c r="H15065" t="s">
        <v>8584</v>
      </c>
      <c r="I15065">
        <v>360</v>
      </c>
      <c r="J15065" t="s">
        <v>450</v>
      </c>
      <c r="M15065">
        <v>0</v>
      </c>
    </row>
    <row r="15066" spans="1:13">
      <c r="A15066">
        <v>86421800</v>
      </c>
      <c r="B15066">
        <v>2012983</v>
      </c>
      <c r="C15066" t="s">
        <v>7946</v>
      </c>
      <c r="D15066" t="s">
        <v>442</v>
      </c>
      <c r="E15066" t="s">
        <v>441</v>
      </c>
      <c r="F15066">
        <v>1E-3</v>
      </c>
      <c r="H15066" t="s">
        <v>8580</v>
      </c>
      <c r="I15066">
        <v>360</v>
      </c>
      <c r="J15066" t="s">
        <v>450</v>
      </c>
      <c r="K15066" t="s">
        <v>446</v>
      </c>
      <c r="M15066">
        <v>0</v>
      </c>
    </row>
    <row r="15067" spans="1:13">
      <c r="A15067">
        <v>86421900</v>
      </c>
      <c r="B15067">
        <v>2012984</v>
      </c>
      <c r="C15067" t="s">
        <v>7947</v>
      </c>
      <c r="D15067" t="s">
        <v>442</v>
      </c>
      <c r="E15067" t="s">
        <v>441</v>
      </c>
      <c r="F15067">
        <v>1E-3</v>
      </c>
      <c r="H15067" t="s">
        <v>8580</v>
      </c>
      <c r="I15067">
        <v>360</v>
      </c>
      <c r="J15067" t="s">
        <v>450</v>
      </c>
      <c r="K15067" t="s">
        <v>446</v>
      </c>
      <c r="M15067">
        <v>0</v>
      </c>
    </row>
    <row r="15068" spans="1:13">
      <c r="A15068">
        <v>86422100</v>
      </c>
      <c r="B15068">
        <v>2013021</v>
      </c>
      <c r="C15068" t="s">
        <v>7948</v>
      </c>
      <c r="D15068" t="s">
        <v>442</v>
      </c>
      <c r="E15068" t="s">
        <v>441</v>
      </c>
      <c r="F15068">
        <v>1E-3</v>
      </c>
      <c r="H15068" t="s">
        <v>8580</v>
      </c>
      <c r="I15068">
        <v>360</v>
      </c>
      <c r="J15068" t="s">
        <v>450</v>
      </c>
      <c r="K15068" t="s">
        <v>446</v>
      </c>
      <c r="M15068">
        <v>0</v>
      </c>
    </row>
    <row r="15069" spans="1:13">
      <c r="A15069">
        <v>86422200</v>
      </c>
      <c r="B15069">
        <v>2013087</v>
      </c>
      <c r="C15069" t="s">
        <v>7949</v>
      </c>
      <c r="D15069" t="s">
        <v>442</v>
      </c>
      <c r="E15069" t="s">
        <v>441</v>
      </c>
      <c r="F15069">
        <v>1E-3</v>
      </c>
      <c r="I15069">
        <v>360</v>
      </c>
      <c r="J15069" t="s">
        <v>450</v>
      </c>
      <c r="K15069" t="s">
        <v>446</v>
      </c>
      <c r="M15069">
        <v>0</v>
      </c>
    </row>
    <row r="15070" spans="1:13">
      <c r="A15070">
        <v>86422300</v>
      </c>
      <c r="B15070">
        <v>2013088</v>
      </c>
      <c r="C15070" t="s">
        <v>7950</v>
      </c>
      <c r="D15070" t="s">
        <v>442</v>
      </c>
      <c r="E15070" t="s">
        <v>441</v>
      </c>
      <c r="F15070">
        <v>1E-3</v>
      </c>
      <c r="I15070">
        <v>360</v>
      </c>
      <c r="J15070" t="s">
        <v>450</v>
      </c>
      <c r="K15070" t="s">
        <v>446</v>
      </c>
      <c r="M15070">
        <v>0</v>
      </c>
    </row>
    <row r="15071" spans="1:13">
      <c r="A15071">
        <v>86422400</v>
      </c>
      <c r="B15071">
        <v>2013136</v>
      </c>
      <c r="C15071" t="s">
        <v>17253</v>
      </c>
      <c r="D15071" t="s">
        <v>442</v>
      </c>
      <c r="E15071" t="s">
        <v>441</v>
      </c>
      <c r="F15071">
        <v>1E-3</v>
      </c>
      <c r="H15071" t="s">
        <v>8580</v>
      </c>
      <c r="I15071">
        <v>360</v>
      </c>
      <c r="J15071" t="s">
        <v>450</v>
      </c>
      <c r="M15071">
        <v>0</v>
      </c>
    </row>
    <row r="15072" spans="1:13">
      <c r="A15072">
        <v>86422500</v>
      </c>
      <c r="B15072">
        <v>2013165</v>
      </c>
      <c r="C15072" t="s">
        <v>7951</v>
      </c>
      <c r="D15072" t="s">
        <v>442</v>
      </c>
      <c r="E15072" t="s">
        <v>441</v>
      </c>
      <c r="F15072">
        <v>1E-3</v>
      </c>
      <c r="H15072" t="s">
        <v>8580</v>
      </c>
      <c r="I15072">
        <v>360</v>
      </c>
      <c r="J15072" t="s">
        <v>450</v>
      </c>
      <c r="K15072" t="s">
        <v>446</v>
      </c>
      <c r="M15072">
        <v>0</v>
      </c>
    </row>
    <row r="15073" spans="1:13">
      <c r="A15073">
        <v>86422600</v>
      </c>
      <c r="B15073">
        <v>2013169</v>
      </c>
      <c r="C15073" t="s">
        <v>15752</v>
      </c>
      <c r="D15073" t="s">
        <v>442</v>
      </c>
      <c r="E15073" t="s">
        <v>441</v>
      </c>
      <c r="F15073">
        <v>1E-3</v>
      </c>
      <c r="H15073" t="s">
        <v>8584</v>
      </c>
      <c r="I15073">
        <v>360</v>
      </c>
      <c r="J15073" t="s">
        <v>450</v>
      </c>
      <c r="M15073">
        <v>0</v>
      </c>
    </row>
    <row r="15074" spans="1:13">
      <c r="A15074">
        <v>86422700</v>
      </c>
      <c r="B15074">
        <v>2013190</v>
      </c>
      <c r="C15074" t="s">
        <v>7952</v>
      </c>
      <c r="D15074" t="s">
        <v>442</v>
      </c>
      <c r="E15074" t="s">
        <v>441</v>
      </c>
      <c r="F15074">
        <v>1E-3</v>
      </c>
      <c r="H15074" t="s">
        <v>8580</v>
      </c>
      <c r="I15074">
        <v>360</v>
      </c>
      <c r="J15074" t="s">
        <v>450</v>
      </c>
      <c r="K15074" t="s">
        <v>446</v>
      </c>
      <c r="M15074">
        <v>0</v>
      </c>
    </row>
    <row r="15075" spans="1:13">
      <c r="A15075">
        <v>86422800</v>
      </c>
      <c r="B15075">
        <v>2013211</v>
      </c>
      <c r="C15075" t="s">
        <v>7953</v>
      </c>
      <c r="D15075" t="s">
        <v>442</v>
      </c>
      <c r="E15075" t="s">
        <v>441</v>
      </c>
      <c r="F15075">
        <v>1E-3</v>
      </c>
      <c r="H15075" t="s">
        <v>8580</v>
      </c>
      <c r="I15075">
        <v>360</v>
      </c>
      <c r="J15075" t="s">
        <v>450</v>
      </c>
      <c r="K15075" t="s">
        <v>446</v>
      </c>
      <c r="M15075">
        <v>0</v>
      </c>
    </row>
    <row r="15076" spans="1:13">
      <c r="A15076">
        <v>86422900</v>
      </c>
      <c r="B15076">
        <v>2013210</v>
      </c>
      <c r="C15076" t="s">
        <v>15753</v>
      </c>
      <c r="D15076" t="s">
        <v>442</v>
      </c>
      <c r="E15076" t="s">
        <v>441</v>
      </c>
      <c r="F15076">
        <v>1E-3</v>
      </c>
      <c r="I15076">
        <v>360</v>
      </c>
      <c r="J15076" t="s">
        <v>450</v>
      </c>
      <c r="M15076">
        <v>0</v>
      </c>
    </row>
    <row r="15077" spans="1:13">
      <c r="A15077">
        <v>86423100</v>
      </c>
      <c r="B15077">
        <v>2013213</v>
      </c>
      <c r="C15077" t="s">
        <v>7954</v>
      </c>
      <c r="D15077" t="s">
        <v>442</v>
      </c>
      <c r="E15077" t="s">
        <v>441</v>
      </c>
      <c r="F15077">
        <v>1E-3</v>
      </c>
      <c r="H15077" t="s">
        <v>8580</v>
      </c>
      <c r="I15077">
        <v>360</v>
      </c>
      <c r="J15077" t="s">
        <v>450</v>
      </c>
      <c r="K15077" t="s">
        <v>446</v>
      </c>
      <c r="M15077">
        <v>0</v>
      </c>
    </row>
    <row r="15078" spans="1:13">
      <c r="A15078">
        <v>86423200</v>
      </c>
      <c r="B15078">
        <v>2013227</v>
      </c>
      <c r="C15078" t="s">
        <v>7955</v>
      </c>
      <c r="D15078" t="s">
        <v>442</v>
      </c>
      <c r="E15078" t="s">
        <v>441</v>
      </c>
      <c r="F15078">
        <v>1E-3</v>
      </c>
      <c r="I15078">
        <v>360</v>
      </c>
      <c r="J15078" t="s">
        <v>450</v>
      </c>
      <c r="K15078" t="s">
        <v>446</v>
      </c>
      <c r="M15078">
        <v>0</v>
      </c>
    </row>
    <row r="15079" spans="1:13">
      <c r="A15079">
        <v>86423300</v>
      </c>
      <c r="B15079">
        <v>2013226</v>
      </c>
      <c r="C15079" t="s">
        <v>7956</v>
      </c>
      <c r="D15079" t="s">
        <v>442</v>
      </c>
      <c r="E15079" t="s">
        <v>441</v>
      </c>
      <c r="F15079">
        <v>1E-3</v>
      </c>
      <c r="H15079" t="s">
        <v>8580</v>
      </c>
      <c r="I15079">
        <v>360</v>
      </c>
      <c r="J15079" t="s">
        <v>450</v>
      </c>
      <c r="K15079" t="s">
        <v>446</v>
      </c>
      <c r="M15079">
        <v>0</v>
      </c>
    </row>
    <row r="15080" spans="1:13">
      <c r="A15080">
        <v>86423400</v>
      </c>
      <c r="B15080">
        <v>2013225</v>
      </c>
      <c r="C15080" t="s">
        <v>7957</v>
      </c>
      <c r="D15080" t="s">
        <v>442</v>
      </c>
      <c r="E15080" t="s">
        <v>441</v>
      </c>
      <c r="F15080">
        <v>1E-3</v>
      </c>
      <c r="I15080">
        <v>360</v>
      </c>
      <c r="J15080" t="s">
        <v>450</v>
      </c>
      <c r="K15080" t="s">
        <v>446</v>
      </c>
      <c r="M15080">
        <v>0</v>
      </c>
    </row>
    <row r="15081" spans="1:13">
      <c r="A15081">
        <v>86423500</v>
      </c>
      <c r="B15081">
        <v>2013217</v>
      </c>
      <c r="C15081" t="s">
        <v>15244</v>
      </c>
      <c r="D15081" t="s">
        <v>442</v>
      </c>
      <c r="E15081" t="s">
        <v>441</v>
      </c>
      <c r="F15081">
        <v>1E-3</v>
      </c>
      <c r="I15081">
        <v>360</v>
      </c>
      <c r="J15081" t="s">
        <v>450</v>
      </c>
      <c r="K15081" t="s">
        <v>446</v>
      </c>
      <c r="M15081">
        <v>0</v>
      </c>
    </row>
    <row r="15082" spans="1:13">
      <c r="A15082">
        <v>86423600</v>
      </c>
      <c r="B15082">
        <v>2013218</v>
      </c>
      <c r="C15082" t="s">
        <v>7958</v>
      </c>
      <c r="D15082" t="s">
        <v>442</v>
      </c>
      <c r="E15082" t="s">
        <v>441</v>
      </c>
      <c r="F15082">
        <v>1E-3</v>
      </c>
      <c r="H15082" t="s">
        <v>8580</v>
      </c>
      <c r="I15082">
        <v>360</v>
      </c>
      <c r="J15082" t="s">
        <v>450</v>
      </c>
      <c r="K15082" t="s">
        <v>446</v>
      </c>
      <c r="M15082">
        <v>0</v>
      </c>
    </row>
    <row r="15083" spans="1:13">
      <c r="A15083">
        <v>86423700</v>
      </c>
      <c r="B15083">
        <v>2013298</v>
      </c>
      <c r="C15083" t="s">
        <v>15754</v>
      </c>
      <c r="D15083" t="s">
        <v>442</v>
      </c>
      <c r="E15083" t="s">
        <v>441</v>
      </c>
      <c r="F15083">
        <v>1E-3</v>
      </c>
      <c r="H15083" t="s">
        <v>8584</v>
      </c>
      <c r="I15083">
        <v>360</v>
      </c>
      <c r="J15083" t="s">
        <v>450</v>
      </c>
      <c r="M15083">
        <v>0</v>
      </c>
    </row>
    <row r="15084" spans="1:13">
      <c r="A15084">
        <v>86423800</v>
      </c>
      <c r="B15084">
        <v>2013335</v>
      </c>
      <c r="C15084" t="s">
        <v>7959</v>
      </c>
      <c r="D15084" t="s">
        <v>442</v>
      </c>
      <c r="E15084" t="s">
        <v>441</v>
      </c>
      <c r="F15084">
        <v>1E-3</v>
      </c>
      <c r="H15084" t="s">
        <v>8580</v>
      </c>
      <c r="I15084">
        <v>360</v>
      </c>
      <c r="J15084" t="s">
        <v>450</v>
      </c>
      <c r="K15084" t="s">
        <v>446</v>
      </c>
      <c r="M15084">
        <v>0</v>
      </c>
    </row>
    <row r="15085" spans="1:13">
      <c r="A15085">
        <v>86423900</v>
      </c>
      <c r="B15085">
        <v>2013480</v>
      </c>
      <c r="C15085" t="s">
        <v>7960</v>
      </c>
      <c r="D15085" t="s">
        <v>442</v>
      </c>
      <c r="E15085" t="s">
        <v>441</v>
      </c>
      <c r="F15085">
        <v>1E-3</v>
      </c>
      <c r="H15085" t="s">
        <v>8580</v>
      </c>
      <c r="I15085">
        <v>360</v>
      </c>
      <c r="J15085" t="s">
        <v>450</v>
      </c>
      <c r="K15085" t="s">
        <v>446</v>
      </c>
      <c r="M15085">
        <v>0</v>
      </c>
    </row>
    <row r="15086" spans="1:13">
      <c r="A15086">
        <v>86424100</v>
      </c>
      <c r="B15086">
        <v>2013366</v>
      </c>
      <c r="C15086" t="s">
        <v>15755</v>
      </c>
      <c r="D15086" t="s">
        <v>442</v>
      </c>
      <c r="E15086" t="s">
        <v>441</v>
      </c>
      <c r="F15086">
        <v>1E-3</v>
      </c>
      <c r="H15086" t="s">
        <v>8584</v>
      </c>
      <c r="I15086">
        <v>360</v>
      </c>
      <c r="J15086" t="s">
        <v>450</v>
      </c>
      <c r="M15086">
        <v>0</v>
      </c>
    </row>
    <row r="15087" spans="1:13">
      <c r="A15087">
        <v>86424200</v>
      </c>
      <c r="B15087">
        <v>2013501</v>
      </c>
      <c r="C15087" t="s">
        <v>7961</v>
      </c>
      <c r="D15087" t="s">
        <v>442</v>
      </c>
      <c r="E15087" t="s">
        <v>441</v>
      </c>
      <c r="F15087">
        <v>1E-3</v>
      </c>
      <c r="I15087">
        <v>360</v>
      </c>
      <c r="J15087" t="s">
        <v>450</v>
      </c>
      <c r="K15087" t="s">
        <v>446</v>
      </c>
      <c r="M15087">
        <v>0</v>
      </c>
    </row>
    <row r="15088" spans="1:13">
      <c r="A15088">
        <v>86424300</v>
      </c>
      <c r="B15088">
        <v>2013528</v>
      </c>
      <c r="C15088" t="s">
        <v>7962</v>
      </c>
      <c r="D15088" t="s">
        <v>442</v>
      </c>
      <c r="E15088" t="s">
        <v>441</v>
      </c>
      <c r="F15088">
        <v>1E-3</v>
      </c>
      <c r="H15088" t="s">
        <v>8580</v>
      </c>
      <c r="I15088">
        <v>360</v>
      </c>
      <c r="J15088" t="s">
        <v>450</v>
      </c>
      <c r="K15088" t="s">
        <v>446</v>
      </c>
      <c r="M15088">
        <v>0</v>
      </c>
    </row>
    <row r="15089" spans="1:13">
      <c r="A15089">
        <v>86424400</v>
      </c>
      <c r="B15089">
        <v>2013532</v>
      </c>
      <c r="C15089" t="s">
        <v>7963</v>
      </c>
      <c r="D15089" t="s">
        <v>442</v>
      </c>
      <c r="E15089" t="s">
        <v>441</v>
      </c>
      <c r="F15089">
        <v>1E-3</v>
      </c>
      <c r="H15089" t="s">
        <v>8584</v>
      </c>
      <c r="I15089">
        <v>360</v>
      </c>
      <c r="J15089" t="s">
        <v>450</v>
      </c>
      <c r="K15089" t="s">
        <v>446</v>
      </c>
      <c r="M15089">
        <v>0</v>
      </c>
    </row>
    <row r="15090" spans="1:13">
      <c r="A15090">
        <v>86424500</v>
      </c>
      <c r="B15090">
        <v>2013533</v>
      </c>
      <c r="C15090" t="s">
        <v>7964</v>
      </c>
      <c r="D15090" t="s">
        <v>442</v>
      </c>
      <c r="E15090" t="s">
        <v>441</v>
      </c>
      <c r="F15090">
        <v>1E-3</v>
      </c>
      <c r="H15090" t="s">
        <v>8580</v>
      </c>
      <c r="I15090">
        <v>360</v>
      </c>
      <c r="J15090" t="s">
        <v>450</v>
      </c>
      <c r="K15090" t="s">
        <v>446</v>
      </c>
      <c r="M15090">
        <v>0</v>
      </c>
    </row>
    <row r="15091" spans="1:13">
      <c r="A15091">
        <v>86424600</v>
      </c>
      <c r="B15091">
        <v>2013529</v>
      </c>
      <c r="C15091" t="s">
        <v>7965</v>
      </c>
      <c r="D15091" t="s">
        <v>442</v>
      </c>
      <c r="E15091" t="s">
        <v>441</v>
      </c>
      <c r="F15091">
        <v>1E-3</v>
      </c>
      <c r="H15091" t="s">
        <v>8580</v>
      </c>
      <c r="I15091">
        <v>360</v>
      </c>
      <c r="J15091" t="s">
        <v>450</v>
      </c>
      <c r="K15091" t="s">
        <v>446</v>
      </c>
      <c r="M15091">
        <v>0</v>
      </c>
    </row>
    <row r="15092" spans="1:13">
      <c r="A15092">
        <v>86424700</v>
      </c>
      <c r="B15092">
        <v>2013530</v>
      </c>
      <c r="C15092" t="s">
        <v>15756</v>
      </c>
      <c r="D15092" t="s">
        <v>442</v>
      </c>
      <c r="E15092" t="s">
        <v>441</v>
      </c>
      <c r="F15092">
        <v>1E-3</v>
      </c>
      <c r="H15092" t="s">
        <v>8584</v>
      </c>
      <c r="I15092">
        <v>360</v>
      </c>
      <c r="J15092" t="s">
        <v>450</v>
      </c>
      <c r="M15092">
        <v>0</v>
      </c>
    </row>
    <row r="15093" spans="1:13">
      <c r="A15093">
        <v>86424800</v>
      </c>
      <c r="B15093">
        <v>2013531</v>
      </c>
      <c r="C15093" t="s">
        <v>15757</v>
      </c>
      <c r="D15093" t="s">
        <v>442</v>
      </c>
      <c r="E15093" t="s">
        <v>441</v>
      </c>
      <c r="F15093">
        <v>1E-3</v>
      </c>
      <c r="H15093" t="s">
        <v>8584</v>
      </c>
      <c r="I15093">
        <v>360</v>
      </c>
      <c r="J15093" t="s">
        <v>450</v>
      </c>
      <c r="M15093">
        <v>0</v>
      </c>
    </row>
    <row r="15094" spans="1:13">
      <c r="A15094">
        <v>86424900</v>
      </c>
      <c r="B15094">
        <v>2013559</v>
      </c>
      <c r="C15094" t="s">
        <v>15758</v>
      </c>
      <c r="D15094" t="s">
        <v>442</v>
      </c>
      <c r="E15094" t="s">
        <v>441</v>
      </c>
      <c r="F15094">
        <v>1E-3</v>
      </c>
      <c r="I15094">
        <v>360</v>
      </c>
      <c r="J15094" t="s">
        <v>450</v>
      </c>
      <c r="M15094">
        <v>0</v>
      </c>
    </row>
    <row r="15095" spans="1:13">
      <c r="A15095">
        <v>86425100</v>
      </c>
      <c r="B15095">
        <v>2013558</v>
      </c>
      <c r="C15095" t="s">
        <v>15759</v>
      </c>
      <c r="D15095" t="s">
        <v>442</v>
      </c>
      <c r="E15095" t="s">
        <v>441</v>
      </c>
      <c r="F15095">
        <v>1E-3</v>
      </c>
      <c r="H15095" t="s">
        <v>8580</v>
      </c>
      <c r="I15095">
        <v>360</v>
      </c>
      <c r="J15095" t="s">
        <v>450</v>
      </c>
      <c r="M15095">
        <v>0</v>
      </c>
    </row>
    <row r="15096" spans="1:13">
      <c r="A15096">
        <v>86425200</v>
      </c>
      <c r="B15096">
        <v>2013609</v>
      </c>
      <c r="C15096" t="s">
        <v>7966</v>
      </c>
      <c r="D15096" t="s">
        <v>442</v>
      </c>
      <c r="E15096" t="s">
        <v>441</v>
      </c>
      <c r="F15096">
        <v>1E-3</v>
      </c>
      <c r="H15096" t="s">
        <v>8580</v>
      </c>
      <c r="I15096">
        <v>360</v>
      </c>
      <c r="J15096" t="s">
        <v>450</v>
      </c>
      <c r="K15096" t="s">
        <v>446</v>
      </c>
      <c r="M15096">
        <v>0</v>
      </c>
    </row>
    <row r="15097" spans="1:13">
      <c r="A15097">
        <v>86425300</v>
      </c>
      <c r="B15097">
        <v>2013632</v>
      </c>
      <c r="C15097" t="s">
        <v>17254</v>
      </c>
      <c r="D15097" t="s">
        <v>442</v>
      </c>
      <c r="E15097" t="s">
        <v>441</v>
      </c>
      <c r="F15097">
        <v>1E-3</v>
      </c>
      <c r="H15097" t="s">
        <v>8580</v>
      </c>
      <c r="I15097">
        <v>360</v>
      </c>
      <c r="J15097" t="s">
        <v>450</v>
      </c>
      <c r="M15097">
        <v>0</v>
      </c>
    </row>
    <row r="15098" spans="1:13">
      <c r="A15098">
        <v>86425400</v>
      </c>
      <c r="B15098">
        <v>2013496</v>
      </c>
      <c r="C15098" t="s">
        <v>7967</v>
      </c>
      <c r="D15098" t="s">
        <v>442</v>
      </c>
      <c r="E15098" t="s">
        <v>441</v>
      </c>
      <c r="F15098">
        <v>1E-3</v>
      </c>
      <c r="I15098">
        <v>360</v>
      </c>
      <c r="J15098" t="s">
        <v>450</v>
      </c>
      <c r="K15098" t="s">
        <v>446</v>
      </c>
      <c r="M15098">
        <v>0</v>
      </c>
    </row>
    <row r="15099" spans="1:13">
      <c r="A15099">
        <v>86425500</v>
      </c>
      <c r="B15099">
        <v>2013571</v>
      </c>
      <c r="C15099" t="s">
        <v>7968</v>
      </c>
      <c r="D15099" t="s">
        <v>442</v>
      </c>
      <c r="E15099" t="s">
        <v>441</v>
      </c>
      <c r="F15099">
        <v>1E-3</v>
      </c>
      <c r="I15099">
        <v>365</v>
      </c>
      <c r="J15099" t="s">
        <v>450</v>
      </c>
      <c r="K15099" t="s">
        <v>446</v>
      </c>
      <c r="M15099">
        <v>0</v>
      </c>
    </row>
    <row r="15100" spans="1:13">
      <c r="A15100">
        <v>86425600</v>
      </c>
      <c r="B15100">
        <v>2013425</v>
      </c>
      <c r="C15100" t="s">
        <v>7969</v>
      </c>
      <c r="D15100" t="s">
        <v>442</v>
      </c>
      <c r="E15100" t="s">
        <v>441</v>
      </c>
      <c r="F15100">
        <v>1E-3</v>
      </c>
      <c r="H15100" t="s">
        <v>8584</v>
      </c>
      <c r="I15100">
        <v>365</v>
      </c>
      <c r="J15100" t="s">
        <v>450</v>
      </c>
      <c r="K15100" t="s">
        <v>446</v>
      </c>
      <c r="M15100">
        <v>0</v>
      </c>
    </row>
    <row r="15101" spans="1:13">
      <c r="A15101">
        <v>86425800</v>
      </c>
      <c r="B15101">
        <v>2013620</v>
      </c>
      <c r="C15101" t="s">
        <v>7970</v>
      </c>
      <c r="D15101" t="s">
        <v>442</v>
      </c>
      <c r="E15101" t="s">
        <v>441</v>
      </c>
      <c r="F15101">
        <v>1E-3</v>
      </c>
      <c r="H15101" t="s">
        <v>8580</v>
      </c>
      <c r="I15101">
        <v>360</v>
      </c>
      <c r="J15101" t="s">
        <v>450</v>
      </c>
      <c r="K15101" t="s">
        <v>446</v>
      </c>
      <c r="M15101">
        <v>0</v>
      </c>
    </row>
    <row r="15102" spans="1:13">
      <c r="A15102">
        <v>86425900</v>
      </c>
      <c r="B15102">
        <v>2013498</v>
      </c>
      <c r="C15102" t="s">
        <v>7971</v>
      </c>
      <c r="D15102" t="s">
        <v>442</v>
      </c>
      <c r="E15102" t="s">
        <v>441</v>
      </c>
      <c r="F15102">
        <v>1E-3</v>
      </c>
      <c r="I15102">
        <v>360</v>
      </c>
      <c r="J15102" t="s">
        <v>450</v>
      </c>
      <c r="K15102" t="s">
        <v>446</v>
      </c>
      <c r="M15102">
        <v>0</v>
      </c>
    </row>
    <row r="15103" spans="1:13">
      <c r="A15103">
        <v>86426100</v>
      </c>
      <c r="B15103">
        <v>2013621</v>
      </c>
      <c r="C15103" t="s">
        <v>7972</v>
      </c>
      <c r="D15103" t="s">
        <v>442</v>
      </c>
      <c r="E15103" t="s">
        <v>441</v>
      </c>
      <c r="F15103">
        <v>1E-3</v>
      </c>
      <c r="H15103" t="s">
        <v>8580</v>
      </c>
      <c r="I15103">
        <v>360</v>
      </c>
      <c r="J15103" t="s">
        <v>450</v>
      </c>
      <c r="K15103" t="s">
        <v>446</v>
      </c>
      <c r="M15103">
        <v>0</v>
      </c>
    </row>
    <row r="15104" spans="1:13">
      <c r="A15104">
        <v>86426200</v>
      </c>
      <c r="B15104">
        <v>2013631</v>
      </c>
      <c r="C15104" t="s">
        <v>7973</v>
      </c>
      <c r="D15104" t="s">
        <v>442</v>
      </c>
      <c r="E15104" t="s">
        <v>441</v>
      </c>
      <c r="F15104">
        <v>1E-3</v>
      </c>
      <c r="I15104">
        <v>360</v>
      </c>
      <c r="J15104" t="s">
        <v>450</v>
      </c>
      <c r="K15104" t="s">
        <v>446</v>
      </c>
      <c r="M15104">
        <v>0</v>
      </c>
    </row>
    <row r="15105" spans="1:13">
      <c r="A15105">
        <v>86426300</v>
      </c>
      <c r="B15105">
        <v>2013579</v>
      </c>
      <c r="C15105" t="s">
        <v>7974</v>
      </c>
      <c r="D15105" t="s">
        <v>442</v>
      </c>
      <c r="E15105" t="s">
        <v>441</v>
      </c>
      <c r="F15105">
        <v>1E-3</v>
      </c>
      <c r="H15105" t="s">
        <v>8580</v>
      </c>
      <c r="I15105">
        <v>365</v>
      </c>
      <c r="J15105" t="s">
        <v>450</v>
      </c>
      <c r="K15105" t="s">
        <v>446</v>
      </c>
      <c r="M15105">
        <v>0</v>
      </c>
    </row>
    <row r="15106" spans="1:13">
      <c r="A15106">
        <v>86426400</v>
      </c>
      <c r="B15106">
        <v>2013622</v>
      </c>
      <c r="C15106" t="s">
        <v>7975</v>
      </c>
      <c r="D15106" t="s">
        <v>442</v>
      </c>
      <c r="E15106" t="s">
        <v>441</v>
      </c>
      <c r="F15106">
        <v>1E-3</v>
      </c>
      <c r="I15106">
        <v>360</v>
      </c>
      <c r="J15106" t="s">
        <v>450</v>
      </c>
      <c r="K15106" t="s">
        <v>446</v>
      </c>
      <c r="M15106">
        <v>0</v>
      </c>
    </row>
    <row r="15107" spans="1:13">
      <c r="A15107">
        <v>86426500</v>
      </c>
      <c r="B15107">
        <v>2013640</v>
      </c>
      <c r="C15107" t="s">
        <v>7976</v>
      </c>
      <c r="D15107" t="s">
        <v>442</v>
      </c>
      <c r="E15107" t="s">
        <v>441</v>
      </c>
      <c r="F15107">
        <v>1E-3</v>
      </c>
      <c r="H15107" t="s">
        <v>8580</v>
      </c>
      <c r="I15107">
        <v>360</v>
      </c>
      <c r="J15107" t="s">
        <v>450</v>
      </c>
      <c r="K15107" t="s">
        <v>446</v>
      </c>
      <c r="M15107">
        <v>0</v>
      </c>
    </row>
    <row r="15108" spans="1:13">
      <c r="A15108">
        <v>86426600</v>
      </c>
      <c r="B15108">
        <v>2013420</v>
      </c>
      <c r="C15108" t="s">
        <v>17255</v>
      </c>
      <c r="D15108" t="s">
        <v>442</v>
      </c>
      <c r="E15108" t="s">
        <v>441</v>
      </c>
      <c r="F15108">
        <v>1E-3</v>
      </c>
      <c r="H15108" t="s">
        <v>8584</v>
      </c>
      <c r="I15108">
        <v>365</v>
      </c>
      <c r="J15108" t="s">
        <v>450</v>
      </c>
      <c r="M15108">
        <v>0</v>
      </c>
    </row>
    <row r="15109" spans="1:13">
      <c r="A15109">
        <v>86426800</v>
      </c>
      <c r="B15109">
        <v>2013423</v>
      </c>
      <c r="C15109" t="s">
        <v>7977</v>
      </c>
      <c r="D15109" t="s">
        <v>442</v>
      </c>
      <c r="E15109" t="s">
        <v>441</v>
      </c>
      <c r="F15109">
        <v>1E-3</v>
      </c>
      <c r="I15109">
        <v>365</v>
      </c>
      <c r="J15109" t="s">
        <v>450</v>
      </c>
      <c r="K15109" t="s">
        <v>446</v>
      </c>
      <c r="M15109">
        <v>0</v>
      </c>
    </row>
    <row r="15110" spans="1:13">
      <c r="A15110">
        <v>86426900</v>
      </c>
      <c r="B15110">
        <v>2013581</v>
      </c>
      <c r="C15110" t="s">
        <v>7978</v>
      </c>
      <c r="D15110" t="s">
        <v>442</v>
      </c>
      <c r="E15110" t="s">
        <v>441</v>
      </c>
      <c r="F15110">
        <v>1E-3</v>
      </c>
      <c r="H15110" t="s">
        <v>8580</v>
      </c>
      <c r="I15110">
        <v>365</v>
      </c>
      <c r="J15110" t="s">
        <v>450</v>
      </c>
      <c r="K15110" t="s">
        <v>446</v>
      </c>
      <c r="M15110">
        <v>0</v>
      </c>
    </row>
    <row r="15111" spans="1:13">
      <c r="A15111">
        <v>86427100</v>
      </c>
      <c r="B15111">
        <v>2013624</v>
      </c>
      <c r="C15111" t="s">
        <v>15760</v>
      </c>
      <c r="D15111" t="s">
        <v>442</v>
      </c>
      <c r="E15111" t="s">
        <v>441</v>
      </c>
      <c r="F15111">
        <v>1E-3</v>
      </c>
      <c r="I15111">
        <v>360</v>
      </c>
      <c r="J15111" t="s">
        <v>450</v>
      </c>
      <c r="M15111">
        <v>0</v>
      </c>
    </row>
    <row r="15112" spans="1:13">
      <c r="A15112">
        <v>86427200</v>
      </c>
      <c r="B15112">
        <v>2013623</v>
      </c>
      <c r="C15112" t="s">
        <v>15761</v>
      </c>
      <c r="D15112" t="s">
        <v>442</v>
      </c>
      <c r="E15112" t="s">
        <v>441</v>
      </c>
      <c r="F15112">
        <v>1E-3</v>
      </c>
      <c r="H15112" t="s">
        <v>8580</v>
      </c>
      <c r="I15112">
        <v>360</v>
      </c>
      <c r="J15112" t="s">
        <v>450</v>
      </c>
      <c r="M15112">
        <v>0</v>
      </c>
    </row>
    <row r="15113" spans="1:13">
      <c r="A15113">
        <v>86427300</v>
      </c>
      <c r="B15113">
        <v>2013627</v>
      </c>
      <c r="C15113" t="s">
        <v>15762</v>
      </c>
      <c r="D15113" t="s">
        <v>442</v>
      </c>
      <c r="E15113" t="s">
        <v>441</v>
      </c>
      <c r="F15113">
        <v>1E-3</v>
      </c>
      <c r="H15113" t="s">
        <v>8580</v>
      </c>
      <c r="I15113">
        <v>360</v>
      </c>
      <c r="J15113" t="s">
        <v>450</v>
      </c>
      <c r="M15113">
        <v>0</v>
      </c>
    </row>
    <row r="15114" spans="1:13">
      <c r="A15114">
        <v>86427400</v>
      </c>
      <c r="B15114">
        <v>2013626</v>
      </c>
      <c r="C15114" t="s">
        <v>15763</v>
      </c>
      <c r="D15114" t="s">
        <v>442</v>
      </c>
      <c r="E15114" t="s">
        <v>441</v>
      </c>
      <c r="F15114">
        <v>1E-3</v>
      </c>
      <c r="H15114" t="s">
        <v>8619</v>
      </c>
      <c r="I15114">
        <v>360</v>
      </c>
      <c r="J15114" t="s">
        <v>450</v>
      </c>
      <c r="M15114">
        <v>0</v>
      </c>
    </row>
    <row r="15115" spans="1:13">
      <c r="A15115">
        <v>86427500</v>
      </c>
      <c r="B15115">
        <v>2013681</v>
      </c>
      <c r="C15115" t="s">
        <v>17256</v>
      </c>
      <c r="D15115" t="s">
        <v>442</v>
      </c>
      <c r="E15115" t="s">
        <v>441</v>
      </c>
      <c r="F15115">
        <v>1E-3</v>
      </c>
      <c r="H15115" t="s">
        <v>8580</v>
      </c>
      <c r="I15115">
        <v>360</v>
      </c>
      <c r="J15115" t="s">
        <v>450</v>
      </c>
      <c r="M15115">
        <v>0</v>
      </c>
    </row>
    <row r="15116" spans="1:13">
      <c r="A15116">
        <v>86427600</v>
      </c>
      <c r="B15116">
        <v>2013680</v>
      </c>
      <c r="C15116" t="s">
        <v>15764</v>
      </c>
      <c r="D15116" t="s">
        <v>442</v>
      </c>
      <c r="E15116" t="s">
        <v>441</v>
      </c>
      <c r="F15116">
        <v>1E-3</v>
      </c>
      <c r="H15116" t="s">
        <v>8580</v>
      </c>
      <c r="I15116">
        <v>360</v>
      </c>
      <c r="J15116" t="s">
        <v>450</v>
      </c>
      <c r="M15116">
        <v>0</v>
      </c>
    </row>
    <row r="15117" spans="1:13">
      <c r="A15117">
        <v>86427700</v>
      </c>
      <c r="B15117">
        <v>2013682</v>
      </c>
      <c r="C15117" t="s">
        <v>15765</v>
      </c>
      <c r="D15117" t="s">
        <v>442</v>
      </c>
      <c r="E15117" t="s">
        <v>441</v>
      </c>
      <c r="F15117">
        <v>1E-3</v>
      </c>
      <c r="H15117" t="s">
        <v>8580</v>
      </c>
      <c r="I15117">
        <v>360</v>
      </c>
      <c r="J15117" t="s">
        <v>450</v>
      </c>
      <c r="M15117">
        <v>0</v>
      </c>
    </row>
    <row r="15118" spans="1:13">
      <c r="A15118">
        <v>86427800</v>
      </c>
      <c r="B15118">
        <v>2013693</v>
      </c>
      <c r="C15118" t="s">
        <v>15766</v>
      </c>
      <c r="D15118" t="s">
        <v>442</v>
      </c>
      <c r="E15118" t="s">
        <v>441</v>
      </c>
      <c r="F15118">
        <v>1E-3</v>
      </c>
      <c r="H15118" t="s">
        <v>8580</v>
      </c>
      <c r="I15118">
        <v>360</v>
      </c>
      <c r="J15118" t="s">
        <v>450</v>
      </c>
      <c r="M15118">
        <v>0</v>
      </c>
    </row>
    <row r="15119" spans="1:13">
      <c r="A15119">
        <v>86427900</v>
      </c>
      <c r="B15119">
        <v>2013715</v>
      </c>
      <c r="C15119" t="s">
        <v>7979</v>
      </c>
      <c r="D15119" t="s">
        <v>442</v>
      </c>
      <c r="E15119" t="s">
        <v>441</v>
      </c>
      <c r="F15119">
        <v>1E-3</v>
      </c>
      <c r="H15119" t="s">
        <v>8634</v>
      </c>
      <c r="I15119">
        <v>360</v>
      </c>
      <c r="J15119" t="s">
        <v>450</v>
      </c>
      <c r="K15119" t="s">
        <v>446</v>
      </c>
      <c r="M15119">
        <v>0</v>
      </c>
    </row>
    <row r="15120" spans="1:13">
      <c r="A15120">
        <v>86428100</v>
      </c>
      <c r="B15120">
        <v>2013716</v>
      </c>
      <c r="C15120" t="s">
        <v>7980</v>
      </c>
      <c r="D15120" t="s">
        <v>442</v>
      </c>
      <c r="E15120" t="s">
        <v>441</v>
      </c>
      <c r="F15120">
        <v>1E-3</v>
      </c>
      <c r="H15120" t="s">
        <v>8634</v>
      </c>
      <c r="I15120">
        <v>360</v>
      </c>
      <c r="J15120" t="s">
        <v>450</v>
      </c>
      <c r="K15120" t="s">
        <v>446</v>
      </c>
      <c r="M15120">
        <v>0</v>
      </c>
    </row>
    <row r="15121" spans="1:13">
      <c r="A15121">
        <v>86428200</v>
      </c>
      <c r="B15121">
        <v>2013733</v>
      </c>
      <c r="C15121" t="s">
        <v>7981</v>
      </c>
      <c r="D15121" t="s">
        <v>442</v>
      </c>
      <c r="E15121" t="s">
        <v>441</v>
      </c>
      <c r="F15121">
        <v>1E-3</v>
      </c>
      <c r="H15121" t="s">
        <v>8580</v>
      </c>
      <c r="I15121">
        <v>360</v>
      </c>
      <c r="J15121" t="s">
        <v>450</v>
      </c>
      <c r="K15121" t="s">
        <v>446</v>
      </c>
      <c r="M15121">
        <v>0</v>
      </c>
    </row>
    <row r="15122" spans="1:13">
      <c r="A15122">
        <v>86428300</v>
      </c>
      <c r="B15122">
        <v>2013750</v>
      </c>
      <c r="C15122" t="s">
        <v>17811</v>
      </c>
      <c r="D15122" t="s">
        <v>442</v>
      </c>
      <c r="E15122" t="s">
        <v>441</v>
      </c>
      <c r="F15122">
        <v>1E-3</v>
      </c>
      <c r="I15122">
        <v>360</v>
      </c>
      <c r="J15122" t="s">
        <v>450</v>
      </c>
      <c r="M15122">
        <v>0</v>
      </c>
    </row>
    <row r="15123" spans="1:13">
      <c r="A15123">
        <v>86428400</v>
      </c>
      <c r="B15123">
        <v>2013769</v>
      </c>
      <c r="C15123" t="s">
        <v>15767</v>
      </c>
      <c r="D15123" t="s">
        <v>442</v>
      </c>
      <c r="E15123" t="s">
        <v>441</v>
      </c>
      <c r="F15123">
        <v>1E-3</v>
      </c>
      <c r="H15123" t="s">
        <v>8580</v>
      </c>
      <c r="I15123">
        <v>360</v>
      </c>
      <c r="J15123" t="s">
        <v>450</v>
      </c>
      <c r="M15123">
        <v>0</v>
      </c>
    </row>
    <row r="15124" spans="1:13">
      <c r="A15124">
        <v>86428500</v>
      </c>
      <c r="B15124">
        <v>2013802</v>
      </c>
      <c r="C15124" t="s">
        <v>17257</v>
      </c>
      <c r="D15124" t="s">
        <v>442</v>
      </c>
      <c r="E15124" t="s">
        <v>441</v>
      </c>
      <c r="F15124">
        <v>1E-3</v>
      </c>
      <c r="H15124" t="s">
        <v>8580</v>
      </c>
      <c r="I15124">
        <v>360</v>
      </c>
      <c r="J15124" t="s">
        <v>450</v>
      </c>
      <c r="M15124">
        <v>0</v>
      </c>
    </row>
    <row r="15125" spans="1:13">
      <c r="A15125">
        <v>86428600</v>
      </c>
      <c r="B15125">
        <v>2013842</v>
      </c>
      <c r="C15125" t="s">
        <v>17812</v>
      </c>
      <c r="D15125" t="s">
        <v>442</v>
      </c>
      <c r="E15125" t="s">
        <v>441</v>
      </c>
      <c r="F15125">
        <v>1E-3</v>
      </c>
      <c r="H15125" t="s">
        <v>8580</v>
      </c>
      <c r="I15125">
        <v>360</v>
      </c>
      <c r="J15125" t="s">
        <v>450</v>
      </c>
      <c r="M15125">
        <v>0</v>
      </c>
    </row>
    <row r="15126" spans="1:13">
      <c r="A15126">
        <v>86428700</v>
      </c>
      <c r="B15126">
        <v>2013855</v>
      </c>
      <c r="C15126" t="s">
        <v>17813</v>
      </c>
      <c r="D15126" t="s">
        <v>442</v>
      </c>
      <c r="E15126" t="s">
        <v>441</v>
      </c>
      <c r="F15126">
        <v>1E-3</v>
      </c>
      <c r="H15126" t="s">
        <v>8580</v>
      </c>
      <c r="I15126">
        <v>360</v>
      </c>
      <c r="J15126" t="s">
        <v>450</v>
      </c>
      <c r="M15126">
        <v>0</v>
      </c>
    </row>
    <row r="15127" spans="1:13">
      <c r="A15127">
        <v>86428800</v>
      </c>
      <c r="B15127">
        <v>2013874</v>
      </c>
      <c r="C15127" t="s">
        <v>15768</v>
      </c>
      <c r="D15127" t="s">
        <v>442</v>
      </c>
      <c r="E15127" t="s">
        <v>441</v>
      </c>
      <c r="F15127">
        <v>1E-3</v>
      </c>
      <c r="H15127" t="s">
        <v>8580</v>
      </c>
      <c r="I15127">
        <v>360</v>
      </c>
      <c r="J15127" t="s">
        <v>450</v>
      </c>
      <c r="M15127">
        <v>0</v>
      </c>
    </row>
    <row r="15128" spans="1:13">
      <c r="A15128">
        <v>86428900</v>
      </c>
      <c r="B15128">
        <v>2013875</v>
      </c>
      <c r="C15128" t="s">
        <v>17814</v>
      </c>
      <c r="D15128" t="s">
        <v>442</v>
      </c>
      <c r="E15128" t="s">
        <v>441</v>
      </c>
      <c r="F15128">
        <v>1E-3</v>
      </c>
      <c r="H15128" t="s">
        <v>8580</v>
      </c>
      <c r="I15128">
        <v>360</v>
      </c>
      <c r="J15128" t="s">
        <v>450</v>
      </c>
      <c r="M15128">
        <v>0</v>
      </c>
    </row>
    <row r="15129" spans="1:13">
      <c r="A15129">
        <v>86429100</v>
      </c>
      <c r="B15129">
        <v>2013907</v>
      </c>
      <c r="C15129" t="s">
        <v>17815</v>
      </c>
      <c r="D15129" t="s">
        <v>442</v>
      </c>
      <c r="E15129" t="s">
        <v>441</v>
      </c>
      <c r="F15129">
        <v>1E-3</v>
      </c>
      <c r="H15129" t="s">
        <v>8580</v>
      </c>
      <c r="I15129">
        <v>360</v>
      </c>
      <c r="J15129" t="s">
        <v>450</v>
      </c>
      <c r="M15129">
        <v>0</v>
      </c>
    </row>
    <row r="15130" spans="1:13">
      <c r="A15130">
        <v>86429200</v>
      </c>
      <c r="B15130">
        <v>2013912</v>
      </c>
      <c r="C15130" t="s">
        <v>7982</v>
      </c>
      <c r="D15130" t="s">
        <v>442</v>
      </c>
      <c r="E15130" t="s">
        <v>441</v>
      </c>
      <c r="F15130">
        <v>1E-3</v>
      </c>
      <c r="H15130" t="s">
        <v>8580</v>
      </c>
      <c r="I15130">
        <v>360</v>
      </c>
      <c r="J15130" t="s">
        <v>450</v>
      </c>
      <c r="K15130" t="s">
        <v>446</v>
      </c>
      <c r="M15130">
        <v>0</v>
      </c>
    </row>
    <row r="15131" spans="1:13">
      <c r="A15131">
        <v>86429400</v>
      </c>
      <c r="B15131">
        <v>2014030</v>
      </c>
      <c r="C15131" t="s">
        <v>7983</v>
      </c>
      <c r="D15131" t="s">
        <v>442</v>
      </c>
      <c r="E15131" t="s">
        <v>441</v>
      </c>
      <c r="F15131">
        <v>1E-3</v>
      </c>
      <c r="H15131" t="s">
        <v>8580</v>
      </c>
      <c r="I15131">
        <v>360</v>
      </c>
      <c r="J15131" t="s">
        <v>450</v>
      </c>
      <c r="K15131" t="s">
        <v>446</v>
      </c>
      <c r="M15131">
        <v>0</v>
      </c>
    </row>
    <row r="15132" spans="1:13">
      <c r="A15132">
        <v>86429500</v>
      </c>
      <c r="B15132">
        <v>2014081</v>
      </c>
      <c r="C15132" t="s">
        <v>7984</v>
      </c>
      <c r="D15132" t="s">
        <v>442</v>
      </c>
      <c r="E15132" t="s">
        <v>441</v>
      </c>
      <c r="F15132">
        <v>1E-3</v>
      </c>
      <c r="H15132" t="s">
        <v>8580</v>
      </c>
      <c r="I15132">
        <v>360</v>
      </c>
      <c r="J15132" t="s">
        <v>450</v>
      </c>
      <c r="K15132" t="s">
        <v>446</v>
      </c>
      <c r="M15132">
        <v>0</v>
      </c>
    </row>
    <row r="15133" spans="1:13">
      <c r="A15133">
        <v>86429600</v>
      </c>
      <c r="B15133">
        <v>2014157</v>
      </c>
      <c r="C15133" t="s">
        <v>17258</v>
      </c>
      <c r="D15133" t="s">
        <v>442</v>
      </c>
      <c r="E15133" t="s">
        <v>441</v>
      </c>
      <c r="F15133">
        <v>1E-3</v>
      </c>
      <c r="I15133">
        <v>360</v>
      </c>
      <c r="J15133" t="s">
        <v>450</v>
      </c>
      <c r="M15133">
        <v>0</v>
      </c>
    </row>
    <row r="15134" spans="1:13">
      <c r="A15134">
        <v>86429700</v>
      </c>
      <c r="B15134">
        <v>2014158</v>
      </c>
      <c r="C15134" t="s">
        <v>7985</v>
      </c>
      <c r="D15134" t="s">
        <v>442</v>
      </c>
      <c r="E15134" t="s">
        <v>441</v>
      </c>
      <c r="F15134">
        <v>1E-3</v>
      </c>
      <c r="H15134" t="s">
        <v>8580</v>
      </c>
      <c r="I15134">
        <v>360</v>
      </c>
      <c r="J15134" t="s">
        <v>450</v>
      </c>
      <c r="K15134" t="s">
        <v>446</v>
      </c>
      <c r="M15134">
        <v>0</v>
      </c>
    </row>
    <row r="15135" spans="1:13">
      <c r="A15135">
        <v>86429800</v>
      </c>
      <c r="B15135">
        <v>2014180</v>
      </c>
      <c r="C15135" t="s">
        <v>17259</v>
      </c>
      <c r="D15135" t="s">
        <v>442</v>
      </c>
      <c r="E15135" t="s">
        <v>441</v>
      </c>
      <c r="F15135">
        <v>1E-3</v>
      </c>
      <c r="H15135" t="s">
        <v>8580</v>
      </c>
      <c r="I15135">
        <v>360</v>
      </c>
      <c r="J15135" t="s">
        <v>450</v>
      </c>
      <c r="M15135">
        <v>0</v>
      </c>
    </row>
    <row r="15136" spans="1:13">
      <c r="A15136">
        <v>86429900</v>
      </c>
      <c r="B15136">
        <v>2014159</v>
      </c>
      <c r="C15136" t="s">
        <v>17260</v>
      </c>
      <c r="D15136" t="s">
        <v>442</v>
      </c>
      <c r="E15136" t="s">
        <v>441</v>
      </c>
      <c r="F15136">
        <v>1E-3</v>
      </c>
      <c r="H15136" t="s">
        <v>8584</v>
      </c>
      <c r="I15136">
        <v>360</v>
      </c>
      <c r="J15136" t="s">
        <v>450</v>
      </c>
      <c r="M15136">
        <v>0</v>
      </c>
    </row>
    <row r="15137" spans="1:13">
      <c r="A15137">
        <v>86430100</v>
      </c>
      <c r="B15137">
        <v>2014184</v>
      </c>
      <c r="C15137" t="s">
        <v>17261</v>
      </c>
      <c r="D15137" t="s">
        <v>442</v>
      </c>
      <c r="E15137" t="s">
        <v>441</v>
      </c>
      <c r="F15137">
        <v>1E-3</v>
      </c>
      <c r="H15137" t="s">
        <v>8584</v>
      </c>
      <c r="I15137">
        <v>360</v>
      </c>
      <c r="J15137" t="s">
        <v>450</v>
      </c>
      <c r="M15137">
        <v>0</v>
      </c>
    </row>
    <row r="15138" spans="1:13">
      <c r="A15138">
        <v>86430200</v>
      </c>
      <c r="B15138">
        <v>2014181</v>
      </c>
      <c r="C15138" t="s">
        <v>17262</v>
      </c>
      <c r="D15138" t="s">
        <v>442</v>
      </c>
      <c r="E15138" t="s">
        <v>441</v>
      </c>
      <c r="F15138">
        <v>1E-3</v>
      </c>
      <c r="H15138" t="s">
        <v>8580</v>
      </c>
      <c r="I15138">
        <v>360</v>
      </c>
      <c r="J15138" t="s">
        <v>450</v>
      </c>
      <c r="M15138">
        <v>0</v>
      </c>
    </row>
    <row r="15139" spans="1:13">
      <c r="A15139">
        <v>86430300</v>
      </c>
      <c r="B15139">
        <v>2014182</v>
      </c>
      <c r="C15139" t="s">
        <v>7986</v>
      </c>
      <c r="D15139" t="s">
        <v>442</v>
      </c>
      <c r="E15139" t="s">
        <v>441</v>
      </c>
      <c r="F15139">
        <v>1E-3</v>
      </c>
      <c r="H15139" t="s">
        <v>8580</v>
      </c>
      <c r="I15139">
        <v>360</v>
      </c>
      <c r="J15139" t="s">
        <v>450</v>
      </c>
      <c r="K15139" t="s">
        <v>446</v>
      </c>
      <c r="M15139">
        <v>0</v>
      </c>
    </row>
    <row r="15140" spans="1:13">
      <c r="A15140">
        <v>86430400</v>
      </c>
      <c r="B15140">
        <v>2014183</v>
      </c>
      <c r="C15140" t="s">
        <v>17816</v>
      </c>
      <c r="D15140" t="s">
        <v>442</v>
      </c>
      <c r="E15140" t="s">
        <v>441</v>
      </c>
      <c r="F15140">
        <v>1E-3</v>
      </c>
      <c r="H15140" t="s">
        <v>8584</v>
      </c>
      <c r="I15140">
        <v>360</v>
      </c>
      <c r="J15140" t="s">
        <v>450</v>
      </c>
      <c r="M15140">
        <v>0</v>
      </c>
    </row>
    <row r="15141" spans="1:13">
      <c r="A15141">
        <v>86430500</v>
      </c>
      <c r="B15141">
        <v>2014215</v>
      </c>
      <c r="C15141" t="s">
        <v>17263</v>
      </c>
      <c r="D15141" t="s">
        <v>442</v>
      </c>
      <c r="E15141" t="s">
        <v>441</v>
      </c>
      <c r="F15141">
        <v>1E-3</v>
      </c>
      <c r="I15141">
        <v>360</v>
      </c>
      <c r="J15141" t="s">
        <v>450</v>
      </c>
      <c r="M15141">
        <v>0</v>
      </c>
    </row>
    <row r="15142" spans="1:13">
      <c r="A15142">
        <v>86430600</v>
      </c>
      <c r="B15142">
        <v>2014260</v>
      </c>
      <c r="C15142" t="s">
        <v>7987</v>
      </c>
      <c r="D15142" t="s">
        <v>442</v>
      </c>
      <c r="E15142" t="s">
        <v>441</v>
      </c>
      <c r="F15142">
        <v>1E-3</v>
      </c>
      <c r="I15142">
        <v>360</v>
      </c>
      <c r="J15142" t="s">
        <v>450</v>
      </c>
      <c r="K15142" t="s">
        <v>446</v>
      </c>
      <c r="M15142">
        <v>0</v>
      </c>
    </row>
    <row r="15143" spans="1:13">
      <c r="A15143">
        <v>86430700</v>
      </c>
      <c r="B15143">
        <v>2014292</v>
      </c>
      <c r="C15143" t="s">
        <v>7988</v>
      </c>
      <c r="D15143" t="s">
        <v>442</v>
      </c>
      <c r="E15143" t="s">
        <v>441</v>
      </c>
      <c r="F15143">
        <v>1E-3</v>
      </c>
      <c r="H15143" t="s">
        <v>8580</v>
      </c>
      <c r="I15143">
        <v>360</v>
      </c>
      <c r="J15143" t="s">
        <v>450</v>
      </c>
      <c r="K15143" t="s">
        <v>446</v>
      </c>
      <c r="M15143">
        <v>0</v>
      </c>
    </row>
    <row r="15144" spans="1:13">
      <c r="A15144">
        <v>86430800</v>
      </c>
      <c r="B15144">
        <v>2014294</v>
      </c>
      <c r="C15144" t="s">
        <v>7989</v>
      </c>
      <c r="D15144" t="s">
        <v>442</v>
      </c>
      <c r="E15144" t="s">
        <v>441</v>
      </c>
      <c r="F15144">
        <v>1E-3</v>
      </c>
      <c r="H15144" t="s">
        <v>8580</v>
      </c>
      <c r="I15144">
        <v>360</v>
      </c>
      <c r="J15144" t="s">
        <v>450</v>
      </c>
      <c r="K15144" t="s">
        <v>446</v>
      </c>
      <c r="M15144">
        <v>0</v>
      </c>
    </row>
    <row r="15145" spans="1:13">
      <c r="A15145">
        <v>86430900</v>
      </c>
      <c r="B15145">
        <v>2014317</v>
      </c>
      <c r="C15145" t="s">
        <v>7990</v>
      </c>
      <c r="D15145" t="s">
        <v>442</v>
      </c>
      <c r="E15145" t="s">
        <v>441</v>
      </c>
      <c r="F15145">
        <v>1E-3</v>
      </c>
      <c r="H15145" t="s">
        <v>8580</v>
      </c>
      <c r="I15145">
        <v>360</v>
      </c>
      <c r="J15145" t="s">
        <v>450</v>
      </c>
      <c r="K15145" t="s">
        <v>446</v>
      </c>
      <c r="M15145">
        <v>0</v>
      </c>
    </row>
    <row r="15146" spans="1:13">
      <c r="A15146">
        <v>86431100</v>
      </c>
      <c r="B15146">
        <v>2014325</v>
      </c>
      <c r="C15146" t="s">
        <v>14662</v>
      </c>
      <c r="D15146" t="s">
        <v>442</v>
      </c>
      <c r="E15146" t="s">
        <v>441</v>
      </c>
      <c r="F15146">
        <v>1E-3</v>
      </c>
      <c r="I15146">
        <v>360</v>
      </c>
      <c r="J15146" t="s">
        <v>450</v>
      </c>
      <c r="K15146" t="s">
        <v>446</v>
      </c>
      <c r="M15146">
        <v>0</v>
      </c>
    </row>
    <row r="15147" spans="1:13">
      <c r="A15147">
        <v>86431200</v>
      </c>
      <c r="B15147">
        <v>2014376</v>
      </c>
      <c r="C15147" t="s">
        <v>14663</v>
      </c>
      <c r="D15147" t="s">
        <v>442</v>
      </c>
      <c r="E15147" t="s">
        <v>441</v>
      </c>
      <c r="F15147">
        <v>1E-3</v>
      </c>
      <c r="H15147" t="s">
        <v>8580</v>
      </c>
      <c r="I15147">
        <v>360</v>
      </c>
      <c r="J15147" t="s">
        <v>450</v>
      </c>
      <c r="K15147" t="s">
        <v>446</v>
      </c>
      <c r="M15147">
        <v>0</v>
      </c>
    </row>
    <row r="15148" spans="1:13">
      <c r="A15148">
        <v>86431300</v>
      </c>
      <c r="B15148">
        <v>2014361</v>
      </c>
      <c r="C15148" t="s">
        <v>7991</v>
      </c>
      <c r="D15148" t="s">
        <v>442</v>
      </c>
      <c r="E15148" t="s">
        <v>441</v>
      </c>
      <c r="F15148">
        <v>1E-3</v>
      </c>
      <c r="H15148" t="s">
        <v>8580</v>
      </c>
      <c r="I15148">
        <v>360</v>
      </c>
      <c r="J15148" t="s">
        <v>450</v>
      </c>
      <c r="K15148" t="s">
        <v>446</v>
      </c>
      <c r="M15148">
        <v>0</v>
      </c>
    </row>
    <row r="15149" spans="1:13">
      <c r="A15149">
        <v>86431400</v>
      </c>
      <c r="B15149">
        <v>2013421</v>
      </c>
      <c r="C15149" t="s">
        <v>7992</v>
      </c>
      <c r="D15149" t="s">
        <v>442</v>
      </c>
      <c r="E15149" t="s">
        <v>441</v>
      </c>
      <c r="F15149">
        <v>1E-3</v>
      </c>
      <c r="H15149" t="s">
        <v>8580</v>
      </c>
      <c r="I15149">
        <v>365</v>
      </c>
      <c r="J15149" t="s">
        <v>450</v>
      </c>
      <c r="K15149" t="s">
        <v>446</v>
      </c>
      <c r="M15149">
        <v>0</v>
      </c>
    </row>
    <row r="15150" spans="1:13">
      <c r="A15150">
        <v>86431500</v>
      </c>
      <c r="B15150">
        <v>2014418</v>
      </c>
      <c r="C15150" t="s">
        <v>15245</v>
      </c>
      <c r="D15150" t="s">
        <v>442</v>
      </c>
      <c r="E15150" t="s">
        <v>441</v>
      </c>
      <c r="F15150">
        <v>1E-3</v>
      </c>
      <c r="I15150">
        <v>360</v>
      </c>
      <c r="J15150" t="s">
        <v>450</v>
      </c>
      <c r="K15150" t="s">
        <v>446</v>
      </c>
      <c r="M15150">
        <v>0</v>
      </c>
    </row>
    <row r="15151" spans="1:13">
      <c r="A15151">
        <v>86431600</v>
      </c>
      <c r="B15151">
        <v>2014419</v>
      </c>
      <c r="C15151" t="s">
        <v>15246</v>
      </c>
      <c r="D15151" t="s">
        <v>442</v>
      </c>
      <c r="E15151" t="s">
        <v>441</v>
      </c>
      <c r="F15151">
        <v>1E-3</v>
      </c>
      <c r="I15151">
        <v>360</v>
      </c>
      <c r="J15151" t="s">
        <v>450</v>
      </c>
      <c r="K15151" t="s">
        <v>446</v>
      </c>
      <c r="M15151">
        <v>0</v>
      </c>
    </row>
    <row r="15152" spans="1:13">
      <c r="A15152">
        <v>86431700</v>
      </c>
      <c r="B15152">
        <v>2014430</v>
      </c>
      <c r="C15152" t="s">
        <v>15247</v>
      </c>
      <c r="D15152" t="s">
        <v>442</v>
      </c>
      <c r="E15152" t="s">
        <v>441</v>
      </c>
      <c r="F15152">
        <v>1E-3</v>
      </c>
      <c r="I15152">
        <v>360</v>
      </c>
      <c r="J15152" t="s">
        <v>450</v>
      </c>
      <c r="K15152" t="s">
        <v>446</v>
      </c>
      <c r="M15152">
        <v>0</v>
      </c>
    </row>
    <row r="15153" spans="1:13">
      <c r="A15153">
        <v>86431800</v>
      </c>
      <c r="B15153">
        <v>2014417</v>
      </c>
      <c r="C15153" t="s">
        <v>15248</v>
      </c>
      <c r="D15153" t="s">
        <v>442</v>
      </c>
      <c r="E15153" t="s">
        <v>441</v>
      </c>
      <c r="F15153">
        <v>1E-3</v>
      </c>
      <c r="I15153">
        <v>360</v>
      </c>
      <c r="J15153" t="s">
        <v>450</v>
      </c>
      <c r="K15153" t="s">
        <v>446</v>
      </c>
      <c r="M15153">
        <v>0</v>
      </c>
    </row>
    <row r="15154" spans="1:13">
      <c r="A15154">
        <v>86431900</v>
      </c>
      <c r="B15154">
        <v>2014434</v>
      </c>
      <c r="C15154" t="s">
        <v>7993</v>
      </c>
      <c r="D15154" t="s">
        <v>442</v>
      </c>
      <c r="E15154" t="s">
        <v>441</v>
      </c>
      <c r="F15154">
        <v>1E-3</v>
      </c>
      <c r="I15154">
        <v>360</v>
      </c>
      <c r="J15154" t="s">
        <v>450</v>
      </c>
      <c r="K15154" t="s">
        <v>446</v>
      </c>
      <c r="M15154">
        <v>0</v>
      </c>
    </row>
    <row r="15155" spans="1:13">
      <c r="A15155">
        <v>86432100</v>
      </c>
      <c r="B15155">
        <v>2014433</v>
      </c>
      <c r="C15155" t="s">
        <v>7994</v>
      </c>
      <c r="D15155" t="s">
        <v>442</v>
      </c>
      <c r="E15155" t="s">
        <v>441</v>
      </c>
      <c r="F15155">
        <v>1E-3</v>
      </c>
      <c r="I15155">
        <v>360</v>
      </c>
      <c r="J15155" t="s">
        <v>450</v>
      </c>
      <c r="K15155" t="s">
        <v>446</v>
      </c>
      <c r="M15155">
        <v>0</v>
      </c>
    </row>
    <row r="15156" spans="1:13">
      <c r="A15156">
        <v>86432200</v>
      </c>
      <c r="B15156">
        <v>2014435</v>
      </c>
      <c r="C15156" t="s">
        <v>7995</v>
      </c>
      <c r="D15156" t="s">
        <v>442</v>
      </c>
      <c r="E15156" t="s">
        <v>441</v>
      </c>
      <c r="F15156">
        <v>1E-3</v>
      </c>
      <c r="I15156">
        <v>360</v>
      </c>
      <c r="J15156" t="s">
        <v>450</v>
      </c>
      <c r="K15156" t="s">
        <v>446</v>
      </c>
      <c r="M15156">
        <v>0</v>
      </c>
    </row>
    <row r="15157" spans="1:13">
      <c r="A15157">
        <v>86432300</v>
      </c>
      <c r="B15157">
        <v>2014436</v>
      </c>
      <c r="C15157" t="s">
        <v>7996</v>
      </c>
      <c r="D15157" t="s">
        <v>442</v>
      </c>
      <c r="E15157" t="s">
        <v>441</v>
      </c>
      <c r="F15157">
        <v>1E-3</v>
      </c>
      <c r="I15157">
        <v>360</v>
      </c>
      <c r="J15157" t="s">
        <v>450</v>
      </c>
      <c r="K15157" t="s">
        <v>446</v>
      </c>
      <c r="M15157">
        <v>0</v>
      </c>
    </row>
    <row r="15158" spans="1:13">
      <c r="A15158">
        <v>86432400</v>
      </c>
      <c r="B15158">
        <v>2014431</v>
      </c>
      <c r="C15158" t="s">
        <v>7997</v>
      </c>
      <c r="D15158" t="s">
        <v>442</v>
      </c>
      <c r="E15158" t="s">
        <v>441</v>
      </c>
      <c r="F15158">
        <v>1E-3</v>
      </c>
      <c r="I15158">
        <v>360</v>
      </c>
      <c r="J15158" t="s">
        <v>450</v>
      </c>
      <c r="K15158" t="s">
        <v>446</v>
      </c>
      <c r="M15158">
        <v>0</v>
      </c>
    </row>
    <row r="15159" spans="1:13">
      <c r="A15159">
        <v>86432500</v>
      </c>
      <c r="B15159">
        <v>2014432</v>
      </c>
      <c r="C15159" t="s">
        <v>7998</v>
      </c>
      <c r="D15159" t="s">
        <v>442</v>
      </c>
      <c r="E15159" t="s">
        <v>441</v>
      </c>
      <c r="F15159">
        <v>1E-3</v>
      </c>
      <c r="I15159">
        <v>360</v>
      </c>
      <c r="J15159" t="s">
        <v>450</v>
      </c>
      <c r="K15159" t="s">
        <v>446</v>
      </c>
      <c r="M15159">
        <v>0</v>
      </c>
    </row>
    <row r="15160" spans="1:13">
      <c r="A15160">
        <v>86432600</v>
      </c>
      <c r="B15160">
        <v>2014467</v>
      </c>
      <c r="C15160" t="s">
        <v>7999</v>
      </c>
      <c r="D15160" t="s">
        <v>442</v>
      </c>
      <c r="E15160" t="s">
        <v>441</v>
      </c>
      <c r="F15160">
        <v>1E-3</v>
      </c>
      <c r="H15160" t="s">
        <v>8580</v>
      </c>
      <c r="I15160">
        <v>360</v>
      </c>
      <c r="J15160" t="s">
        <v>450</v>
      </c>
      <c r="M15160">
        <v>0</v>
      </c>
    </row>
    <row r="15161" spans="1:13">
      <c r="A15161">
        <v>86432700</v>
      </c>
      <c r="B15161">
        <v>2014470</v>
      </c>
      <c r="C15161" t="s">
        <v>8000</v>
      </c>
      <c r="D15161" t="s">
        <v>442</v>
      </c>
      <c r="E15161" t="s">
        <v>441</v>
      </c>
      <c r="F15161">
        <v>1E-3</v>
      </c>
      <c r="H15161" t="s">
        <v>8580</v>
      </c>
      <c r="I15161">
        <v>360</v>
      </c>
      <c r="J15161" t="s">
        <v>450</v>
      </c>
      <c r="M15161">
        <v>0</v>
      </c>
    </row>
    <row r="15162" spans="1:13">
      <c r="A15162">
        <v>86432800</v>
      </c>
      <c r="B15162">
        <v>2013713</v>
      </c>
      <c r="C15162" t="s">
        <v>15769</v>
      </c>
      <c r="D15162" t="s">
        <v>442</v>
      </c>
      <c r="E15162" t="s">
        <v>441</v>
      </c>
      <c r="F15162">
        <v>1E-3</v>
      </c>
      <c r="H15162" t="s">
        <v>8634</v>
      </c>
      <c r="I15162">
        <v>720</v>
      </c>
      <c r="J15162" t="s">
        <v>450</v>
      </c>
      <c r="M15162">
        <v>0</v>
      </c>
    </row>
    <row r="15163" spans="1:13">
      <c r="A15163">
        <v>86432900</v>
      </c>
      <c r="B15163">
        <v>2014522</v>
      </c>
      <c r="C15163" t="s">
        <v>8001</v>
      </c>
      <c r="D15163" t="s">
        <v>442</v>
      </c>
      <c r="E15163" t="s">
        <v>441</v>
      </c>
      <c r="F15163">
        <v>1E-3</v>
      </c>
      <c r="I15163">
        <v>360</v>
      </c>
      <c r="J15163" t="s">
        <v>450</v>
      </c>
      <c r="K15163" t="s">
        <v>446</v>
      </c>
      <c r="M15163">
        <v>0</v>
      </c>
    </row>
    <row r="15164" spans="1:13">
      <c r="A15164">
        <v>86433100</v>
      </c>
      <c r="B15164">
        <v>2014547</v>
      </c>
      <c r="C15164" t="s">
        <v>8002</v>
      </c>
      <c r="D15164" t="s">
        <v>442</v>
      </c>
      <c r="E15164" t="s">
        <v>441</v>
      </c>
      <c r="F15164">
        <v>1E-3</v>
      </c>
      <c r="I15164">
        <v>360</v>
      </c>
      <c r="J15164" t="s">
        <v>450</v>
      </c>
      <c r="K15164" t="s">
        <v>446</v>
      </c>
      <c r="M15164">
        <v>0</v>
      </c>
    </row>
    <row r="15165" spans="1:13">
      <c r="A15165">
        <v>86433200</v>
      </c>
      <c r="B15165">
        <v>2014640</v>
      </c>
      <c r="C15165" t="s">
        <v>8003</v>
      </c>
      <c r="D15165" t="s">
        <v>442</v>
      </c>
      <c r="E15165" t="s">
        <v>441</v>
      </c>
      <c r="F15165">
        <v>1E-3</v>
      </c>
      <c r="I15165">
        <v>360</v>
      </c>
      <c r="J15165" t="s">
        <v>450</v>
      </c>
      <c r="K15165" t="s">
        <v>446</v>
      </c>
      <c r="M15165">
        <v>0</v>
      </c>
    </row>
    <row r="15166" spans="1:13">
      <c r="A15166">
        <v>86433300</v>
      </c>
      <c r="B15166">
        <v>2014652</v>
      </c>
      <c r="C15166" t="s">
        <v>8004</v>
      </c>
      <c r="D15166" t="s">
        <v>442</v>
      </c>
      <c r="E15166" t="s">
        <v>441</v>
      </c>
      <c r="F15166">
        <v>1E-3</v>
      </c>
      <c r="H15166" t="s">
        <v>8580</v>
      </c>
      <c r="I15166">
        <v>360</v>
      </c>
      <c r="J15166" t="s">
        <v>450</v>
      </c>
      <c r="K15166" t="s">
        <v>446</v>
      </c>
      <c r="M15166">
        <v>0</v>
      </c>
    </row>
    <row r="15167" spans="1:13">
      <c r="A15167">
        <v>86433400</v>
      </c>
      <c r="B15167">
        <v>2013432</v>
      </c>
      <c r="C15167" t="s">
        <v>8005</v>
      </c>
      <c r="D15167" t="s">
        <v>442</v>
      </c>
      <c r="E15167" t="s">
        <v>441</v>
      </c>
      <c r="F15167">
        <v>1E-3</v>
      </c>
      <c r="H15167" t="s">
        <v>8634</v>
      </c>
      <c r="I15167">
        <v>365</v>
      </c>
      <c r="J15167" t="s">
        <v>450</v>
      </c>
      <c r="K15167" t="s">
        <v>446</v>
      </c>
      <c r="M15167">
        <v>0</v>
      </c>
    </row>
    <row r="15168" spans="1:13">
      <c r="A15168">
        <v>86433500</v>
      </c>
      <c r="B15168">
        <v>2014654</v>
      </c>
      <c r="C15168" t="s">
        <v>15770</v>
      </c>
      <c r="D15168" t="s">
        <v>442</v>
      </c>
      <c r="E15168" t="s">
        <v>441</v>
      </c>
      <c r="F15168">
        <v>1E-3</v>
      </c>
      <c r="H15168" t="s">
        <v>8580</v>
      </c>
      <c r="I15168">
        <v>360</v>
      </c>
      <c r="J15168" t="s">
        <v>450</v>
      </c>
      <c r="M15168">
        <v>0</v>
      </c>
    </row>
    <row r="15169" spans="1:13">
      <c r="A15169">
        <v>86433600</v>
      </c>
      <c r="B15169">
        <v>2014723</v>
      </c>
      <c r="C15169" t="s">
        <v>15771</v>
      </c>
      <c r="D15169" t="s">
        <v>442</v>
      </c>
      <c r="E15169" t="s">
        <v>441</v>
      </c>
      <c r="F15169">
        <v>1E-3</v>
      </c>
      <c r="I15169">
        <v>730</v>
      </c>
      <c r="J15169" t="s">
        <v>450</v>
      </c>
      <c r="M15169">
        <v>0</v>
      </c>
    </row>
    <row r="15170" spans="1:13">
      <c r="A15170">
        <v>86433700</v>
      </c>
      <c r="B15170">
        <v>2014703</v>
      </c>
      <c r="C15170" t="s">
        <v>15772</v>
      </c>
      <c r="D15170" t="s">
        <v>442</v>
      </c>
      <c r="E15170" t="s">
        <v>441</v>
      </c>
      <c r="F15170">
        <v>1E-3</v>
      </c>
      <c r="H15170" t="s">
        <v>8580</v>
      </c>
      <c r="I15170">
        <v>360</v>
      </c>
      <c r="J15170" t="s">
        <v>450</v>
      </c>
      <c r="M15170">
        <v>0</v>
      </c>
    </row>
    <row r="15171" spans="1:13">
      <c r="A15171">
        <v>86433800</v>
      </c>
      <c r="B15171">
        <v>2014847</v>
      </c>
      <c r="C15171" t="s">
        <v>14082</v>
      </c>
      <c r="D15171" t="s">
        <v>442</v>
      </c>
      <c r="E15171" t="s">
        <v>441</v>
      </c>
      <c r="F15171">
        <v>1E-3</v>
      </c>
      <c r="H15171" t="s">
        <v>8580</v>
      </c>
      <c r="I15171">
        <v>360</v>
      </c>
      <c r="J15171" t="s">
        <v>450</v>
      </c>
      <c r="M15171">
        <v>0</v>
      </c>
    </row>
    <row r="15172" spans="1:13">
      <c r="A15172">
        <v>86433900</v>
      </c>
      <c r="B15172">
        <v>2014872</v>
      </c>
      <c r="C15172" t="s">
        <v>15773</v>
      </c>
      <c r="D15172" t="s">
        <v>442</v>
      </c>
      <c r="E15172" t="s">
        <v>441</v>
      </c>
      <c r="F15172">
        <v>1E-3</v>
      </c>
      <c r="H15172" t="s">
        <v>8580</v>
      </c>
      <c r="I15172">
        <v>360</v>
      </c>
      <c r="J15172" t="s">
        <v>450</v>
      </c>
      <c r="M15172">
        <v>0</v>
      </c>
    </row>
    <row r="15173" spans="1:13">
      <c r="A15173">
        <v>86434100</v>
      </c>
      <c r="B15173">
        <v>2014874</v>
      </c>
      <c r="C15173" t="s">
        <v>15774</v>
      </c>
      <c r="D15173" t="s">
        <v>442</v>
      </c>
      <c r="E15173" t="s">
        <v>441</v>
      </c>
      <c r="F15173">
        <v>1E-3</v>
      </c>
      <c r="I15173">
        <v>360</v>
      </c>
      <c r="J15173" t="s">
        <v>450</v>
      </c>
      <c r="M15173">
        <v>0</v>
      </c>
    </row>
    <row r="15174" spans="1:13">
      <c r="A15174">
        <v>86434200</v>
      </c>
      <c r="B15174">
        <v>2014903</v>
      </c>
      <c r="C15174" t="s">
        <v>17264</v>
      </c>
      <c r="D15174" t="s">
        <v>442</v>
      </c>
      <c r="E15174" t="s">
        <v>441</v>
      </c>
      <c r="F15174">
        <v>1E-3</v>
      </c>
      <c r="H15174" t="s">
        <v>8580</v>
      </c>
      <c r="I15174">
        <v>360</v>
      </c>
      <c r="J15174" t="s">
        <v>450</v>
      </c>
      <c r="M15174">
        <v>0</v>
      </c>
    </row>
    <row r="15175" spans="1:13">
      <c r="A15175">
        <v>86434300</v>
      </c>
      <c r="B15175">
        <v>2015078</v>
      </c>
      <c r="C15175" t="s">
        <v>8006</v>
      </c>
      <c r="D15175" t="s">
        <v>442</v>
      </c>
      <c r="E15175" t="s">
        <v>441</v>
      </c>
      <c r="F15175">
        <v>1E-3</v>
      </c>
      <c r="H15175" t="s">
        <v>8580</v>
      </c>
      <c r="I15175">
        <v>360</v>
      </c>
      <c r="J15175" t="s">
        <v>450</v>
      </c>
      <c r="K15175" t="s">
        <v>446</v>
      </c>
      <c r="M15175">
        <v>0</v>
      </c>
    </row>
    <row r="15176" spans="1:13">
      <c r="A15176">
        <v>86434400</v>
      </c>
      <c r="B15176">
        <v>2015093</v>
      </c>
      <c r="C15176" t="s">
        <v>8007</v>
      </c>
      <c r="D15176" t="s">
        <v>442</v>
      </c>
      <c r="E15176" t="s">
        <v>441</v>
      </c>
      <c r="F15176">
        <v>1E-3</v>
      </c>
      <c r="H15176" t="s">
        <v>8584</v>
      </c>
      <c r="I15176">
        <v>360</v>
      </c>
      <c r="J15176" t="s">
        <v>450</v>
      </c>
      <c r="K15176" t="s">
        <v>446</v>
      </c>
      <c r="M15176">
        <v>0</v>
      </c>
    </row>
    <row r="15177" spans="1:13">
      <c r="A15177">
        <v>86434600</v>
      </c>
      <c r="B15177">
        <v>2015186</v>
      </c>
      <c r="C15177" t="s">
        <v>14083</v>
      </c>
      <c r="D15177" t="s">
        <v>442</v>
      </c>
      <c r="E15177" t="s">
        <v>441</v>
      </c>
      <c r="F15177">
        <v>1E-3</v>
      </c>
      <c r="H15177" t="s">
        <v>8580</v>
      </c>
      <c r="I15177">
        <v>360</v>
      </c>
      <c r="J15177" t="s">
        <v>450</v>
      </c>
      <c r="M15177">
        <v>0</v>
      </c>
    </row>
    <row r="15178" spans="1:13">
      <c r="A15178">
        <v>86434700</v>
      </c>
      <c r="B15178">
        <v>2015185</v>
      </c>
      <c r="C15178" t="s">
        <v>8009</v>
      </c>
      <c r="D15178" t="s">
        <v>442</v>
      </c>
      <c r="E15178" t="s">
        <v>441</v>
      </c>
      <c r="F15178">
        <v>1E-3</v>
      </c>
      <c r="H15178" t="s">
        <v>8580</v>
      </c>
      <c r="I15178">
        <v>360</v>
      </c>
      <c r="J15178" t="s">
        <v>450</v>
      </c>
      <c r="M15178">
        <v>0</v>
      </c>
    </row>
    <row r="15179" spans="1:13">
      <c r="A15179">
        <v>86434800</v>
      </c>
      <c r="B15179">
        <v>2014834</v>
      </c>
      <c r="C15179" t="s">
        <v>15775</v>
      </c>
      <c r="D15179" t="s">
        <v>442</v>
      </c>
      <c r="E15179" t="s">
        <v>441</v>
      </c>
      <c r="F15179">
        <v>1E-3</v>
      </c>
      <c r="I15179">
        <v>720</v>
      </c>
      <c r="J15179" t="s">
        <v>450</v>
      </c>
      <c r="M15179">
        <v>0</v>
      </c>
    </row>
    <row r="15180" spans="1:13">
      <c r="A15180">
        <v>86434900</v>
      </c>
      <c r="B15180">
        <v>2015197</v>
      </c>
      <c r="C15180" t="s">
        <v>15776</v>
      </c>
      <c r="D15180" t="s">
        <v>442</v>
      </c>
      <c r="E15180" t="s">
        <v>441</v>
      </c>
      <c r="F15180">
        <v>1E-3</v>
      </c>
      <c r="H15180" t="s">
        <v>8580</v>
      </c>
      <c r="I15180">
        <v>360</v>
      </c>
      <c r="J15180" t="s">
        <v>450</v>
      </c>
      <c r="M15180">
        <v>0</v>
      </c>
    </row>
    <row r="15181" spans="1:13">
      <c r="A15181">
        <v>86435000</v>
      </c>
      <c r="B15181">
        <v>2015198</v>
      </c>
      <c r="C15181" t="s">
        <v>15777</v>
      </c>
      <c r="D15181" t="s">
        <v>442</v>
      </c>
      <c r="E15181" t="s">
        <v>441</v>
      </c>
      <c r="F15181">
        <v>1E-3</v>
      </c>
      <c r="H15181" t="s">
        <v>8580</v>
      </c>
      <c r="I15181">
        <v>360</v>
      </c>
      <c r="J15181" t="s">
        <v>450</v>
      </c>
      <c r="M15181">
        <v>0</v>
      </c>
    </row>
    <row r="15182" spans="1:13">
      <c r="A15182">
        <v>86435100</v>
      </c>
      <c r="B15182">
        <v>2015233</v>
      </c>
      <c r="C15182" t="s">
        <v>15778</v>
      </c>
      <c r="D15182" t="s">
        <v>442</v>
      </c>
      <c r="E15182" t="s">
        <v>441</v>
      </c>
      <c r="F15182">
        <v>1E-3</v>
      </c>
      <c r="H15182" t="s">
        <v>8580</v>
      </c>
      <c r="I15182">
        <v>360</v>
      </c>
      <c r="J15182" t="s">
        <v>450</v>
      </c>
      <c r="M15182">
        <v>0</v>
      </c>
    </row>
    <row r="15183" spans="1:13">
      <c r="A15183">
        <v>86435200</v>
      </c>
      <c r="B15183">
        <v>2015223</v>
      </c>
      <c r="C15183" t="s">
        <v>8010</v>
      </c>
      <c r="D15183" t="s">
        <v>442</v>
      </c>
      <c r="E15183" t="s">
        <v>441</v>
      </c>
      <c r="F15183">
        <v>1E-3</v>
      </c>
      <c r="H15183" t="s">
        <v>8580</v>
      </c>
      <c r="I15183">
        <v>360</v>
      </c>
      <c r="J15183" t="s">
        <v>450</v>
      </c>
      <c r="K15183" t="s">
        <v>446</v>
      </c>
      <c r="M15183">
        <v>0</v>
      </c>
    </row>
    <row r="15184" spans="1:13">
      <c r="A15184">
        <v>86435300</v>
      </c>
      <c r="B15184">
        <v>2015241</v>
      </c>
      <c r="C15184" t="s">
        <v>8011</v>
      </c>
      <c r="D15184" t="s">
        <v>442</v>
      </c>
      <c r="E15184" t="s">
        <v>441</v>
      </c>
      <c r="F15184">
        <v>1E-3</v>
      </c>
      <c r="H15184" t="s">
        <v>8580</v>
      </c>
      <c r="I15184">
        <v>360</v>
      </c>
      <c r="J15184" t="s">
        <v>450</v>
      </c>
      <c r="M15184">
        <v>0</v>
      </c>
    </row>
    <row r="15185" spans="1:13">
      <c r="A15185">
        <v>86435400</v>
      </c>
      <c r="B15185">
        <v>2015240</v>
      </c>
      <c r="C15185" t="s">
        <v>15779</v>
      </c>
      <c r="D15185" t="s">
        <v>442</v>
      </c>
      <c r="E15185" t="s">
        <v>441</v>
      </c>
      <c r="F15185">
        <v>1E-3</v>
      </c>
      <c r="H15185" t="s">
        <v>8580</v>
      </c>
      <c r="I15185">
        <v>360</v>
      </c>
      <c r="J15185" t="s">
        <v>450</v>
      </c>
      <c r="M15185">
        <v>0</v>
      </c>
    </row>
    <row r="15186" spans="1:13">
      <c r="A15186">
        <v>86435500</v>
      </c>
      <c r="B15186">
        <v>2015242</v>
      </c>
      <c r="C15186" t="s">
        <v>8012</v>
      </c>
      <c r="D15186" t="s">
        <v>442</v>
      </c>
      <c r="E15186" t="s">
        <v>441</v>
      </c>
      <c r="F15186">
        <v>1E-3</v>
      </c>
      <c r="H15186" t="s">
        <v>8580</v>
      </c>
      <c r="I15186">
        <v>360</v>
      </c>
      <c r="J15186" t="s">
        <v>450</v>
      </c>
      <c r="K15186" t="s">
        <v>446</v>
      </c>
      <c r="M15186">
        <v>0</v>
      </c>
    </row>
    <row r="15187" spans="1:13">
      <c r="A15187">
        <v>86435600</v>
      </c>
      <c r="B15187">
        <v>2015243</v>
      </c>
      <c r="C15187" t="s">
        <v>8013</v>
      </c>
      <c r="D15187" t="s">
        <v>442</v>
      </c>
      <c r="E15187" t="s">
        <v>441</v>
      </c>
      <c r="F15187">
        <v>1E-3</v>
      </c>
      <c r="H15187" t="s">
        <v>8580</v>
      </c>
      <c r="I15187">
        <v>360</v>
      </c>
      <c r="J15187" t="s">
        <v>450</v>
      </c>
      <c r="K15187" t="s">
        <v>446</v>
      </c>
      <c r="M15187">
        <v>0</v>
      </c>
    </row>
    <row r="15188" spans="1:13">
      <c r="A15188">
        <v>86435700</v>
      </c>
      <c r="B15188">
        <v>2015244</v>
      </c>
      <c r="C15188" t="s">
        <v>8014</v>
      </c>
      <c r="D15188" t="s">
        <v>442</v>
      </c>
      <c r="E15188" t="s">
        <v>441</v>
      </c>
      <c r="F15188">
        <v>1E-3</v>
      </c>
      <c r="H15188" t="s">
        <v>8580</v>
      </c>
      <c r="I15188">
        <v>360</v>
      </c>
      <c r="J15188" t="s">
        <v>450</v>
      </c>
      <c r="K15188" t="s">
        <v>446</v>
      </c>
      <c r="M15188">
        <v>0</v>
      </c>
    </row>
    <row r="15189" spans="1:13">
      <c r="A15189">
        <v>86435800</v>
      </c>
      <c r="B15189">
        <v>2015229</v>
      </c>
      <c r="C15189" t="s">
        <v>8015</v>
      </c>
      <c r="D15189" t="s">
        <v>442</v>
      </c>
      <c r="E15189" t="s">
        <v>441</v>
      </c>
      <c r="F15189">
        <v>1E-3</v>
      </c>
      <c r="H15189" t="s">
        <v>8580</v>
      </c>
      <c r="I15189">
        <v>360</v>
      </c>
      <c r="J15189" t="s">
        <v>450</v>
      </c>
      <c r="K15189" t="s">
        <v>446</v>
      </c>
      <c r="M15189">
        <v>0</v>
      </c>
    </row>
    <row r="15190" spans="1:13">
      <c r="A15190">
        <v>86435900</v>
      </c>
      <c r="B15190">
        <v>2015202</v>
      </c>
      <c r="C15190" t="s">
        <v>8016</v>
      </c>
      <c r="D15190" t="s">
        <v>442</v>
      </c>
      <c r="E15190" t="s">
        <v>441</v>
      </c>
      <c r="F15190">
        <v>1E-3</v>
      </c>
      <c r="H15190" t="s">
        <v>8580</v>
      </c>
      <c r="I15190">
        <v>360</v>
      </c>
      <c r="J15190" t="s">
        <v>450</v>
      </c>
      <c r="K15190" t="s">
        <v>446</v>
      </c>
      <c r="M15190">
        <v>0</v>
      </c>
    </row>
    <row r="15191" spans="1:13">
      <c r="A15191">
        <v>86436000</v>
      </c>
      <c r="B15191">
        <v>2015206</v>
      </c>
      <c r="C15191" t="s">
        <v>15780</v>
      </c>
      <c r="D15191" t="s">
        <v>442</v>
      </c>
      <c r="E15191" t="s">
        <v>441</v>
      </c>
      <c r="F15191">
        <v>1E-3</v>
      </c>
      <c r="H15191" t="s">
        <v>8580</v>
      </c>
      <c r="I15191">
        <v>360</v>
      </c>
      <c r="J15191" t="s">
        <v>450</v>
      </c>
      <c r="M15191">
        <v>0</v>
      </c>
    </row>
    <row r="15192" spans="1:13">
      <c r="A15192">
        <v>86436100</v>
      </c>
      <c r="B15192">
        <v>2015207</v>
      </c>
      <c r="C15192" t="s">
        <v>8017</v>
      </c>
      <c r="D15192" t="s">
        <v>442</v>
      </c>
      <c r="E15192" t="s">
        <v>441</v>
      </c>
      <c r="F15192">
        <v>1E-3</v>
      </c>
      <c r="H15192" t="s">
        <v>8580</v>
      </c>
      <c r="I15192">
        <v>360</v>
      </c>
      <c r="J15192" t="s">
        <v>450</v>
      </c>
      <c r="K15192" t="s">
        <v>446</v>
      </c>
      <c r="M15192">
        <v>0</v>
      </c>
    </row>
    <row r="15193" spans="1:13">
      <c r="A15193">
        <v>86436200</v>
      </c>
      <c r="B15193">
        <v>2015308</v>
      </c>
      <c r="C15193" t="s">
        <v>8018</v>
      </c>
      <c r="D15193" t="s">
        <v>442</v>
      </c>
      <c r="E15193" t="s">
        <v>441</v>
      </c>
      <c r="F15193">
        <v>1E-3</v>
      </c>
      <c r="H15193" t="s">
        <v>8580</v>
      </c>
      <c r="I15193">
        <v>360</v>
      </c>
      <c r="J15193" t="s">
        <v>450</v>
      </c>
      <c r="K15193" t="s">
        <v>446</v>
      </c>
      <c r="M15193">
        <v>0</v>
      </c>
    </row>
    <row r="15194" spans="1:13">
      <c r="A15194">
        <v>86436300</v>
      </c>
      <c r="B15194">
        <v>2015309</v>
      </c>
      <c r="C15194" t="s">
        <v>15781</v>
      </c>
      <c r="D15194" t="s">
        <v>442</v>
      </c>
      <c r="E15194" t="s">
        <v>441</v>
      </c>
      <c r="F15194">
        <v>1E-3</v>
      </c>
      <c r="H15194" t="s">
        <v>8580</v>
      </c>
      <c r="I15194">
        <v>360</v>
      </c>
      <c r="J15194" t="s">
        <v>450</v>
      </c>
      <c r="M15194">
        <v>0</v>
      </c>
    </row>
    <row r="15195" spans="1:13">
      <c r="A15195">
        <v>86436400</v>
      </c>
      <c r="B15195">
        <v>2015312</v>
      </c>
      <c r="C15195" t="s">
        <v>15782</v>
      </c>
      <c r="D15195" t="s">
        <v>442</v>
      </c>
      <c r="E15195" t="s">
        <v>441</v>
      </c>
      <c r="F15195">
        <v>1E-3</v>
      </c>
      <c r="H15195" t="s">
        <v>8580</v>
      </c>
      <c r="I15195">
        <v>360</v>
      </c>
      <c r="J15195" t="s">
        <v>450</v>
      </c>
      <c r="M15195">
        <v>0</v>
      </c>
    </row>
    <row r="15196" spans="1:13">
      <c r="A15196">
        <v>86436500</v>
      </c>
      <c r="B15196">
        <v>2015315</v>
      </c>
      <c r="C15196" t="s">
        <v>17817</v>
      </c>
      <c r="D15196" t="s">
        <v>442</v>
      </c>
      <c r="E15196" t="s">
        <v>441</v>
      </c>
      <c r="F15196">
        <v>1E-3</v>
      </c>
      <c r="H15196" t="s">
        <v>8580</v>
      </c>
      <c r="I15196">
        <v>360</v>
      </c>
      <c r="J15196" t="s">
        <v>450</v>
      </c>
      <c r="K15196" t="s">
        <v>446</v>
      </c>
      <c r="M15196">
        <v>0</v>
      </c>
    </row>
    <row r="15197" spans="1:13">
      <c r="A15197">
        <v>86436600</v>
      </c>
      <c r="B15197">
        <v>2015314</v>
      </c>
      <c r="C15197" t="s">
        <v>15783</v>
      </c>
      <c r="D15197" t="s">
        <v>442</v>
      </c>
      <c r="E15197" t="s">
        <v>441</v>
      </c>
      <c r="F15197">
        <v>1E-3</v>
      </c>
      <c r="H15197" t="s">
        <v>8637</v>
      </c>
      <c r="I15197">
        <v>360</v>
      </c>
      <c r="J15197" t="s">
        <v>450</v>
      </c>
      <c r="M15197">
        <v>0</v>
      </c>
    </row>
    <row r="15198" spans="1:13">
      <c r="A15198">
        <v>86436700</v>
      </c>
      <c r="B15198">
        <v>2015313</v>
      </c>
      <c r="C15198" t="s">
        <v>17818</v>
      </c>
      <c r="D15198" t="s">
        <v>442</v>
      </c>
      <c r="E15198" t="s">
        <v>441</v>
      </c>
      <c r="F15198">
        <v>1E-3</v>
      </c>
      <c r="H15198" t="s">
        <v>8580</v>
      </c>
      <c r="I15198">
        <v>360</v>
      </c>
      <c r="J15198" t="s">
        <v>450</v>
      </c>
      <c r="K15198" t="s">
        <v>446</v>
      </c>
      <c r="M15198">
        <v>0</v>
      </c>
    </row>
    <row r="15199" spans="1:13">
      <c r="A15199">
        <v>86436800</v>
      </c>
      <c r="B15199">
        <v>2015311</v>
      </c>
      <c r="C15199" t="s">
        <v>8019</v>
      </c>
      <c r="D15199" t="s">
        <v>442</v>
      </c>
      <c r="E15199" t="s">
        <v>441</v>
      </c>
      <c r="F15199">
        <v>1E-3</v>
      </c>
      <c r="H15199" t="s">
        <v>8637</v>
      </c>
      <c r="I15199">
        <v>360</v>
      </c>
      <c r="J15199" t="s">
        <v>450</v>
      </c>
      <c r="M15199">
        <v>0</v>
      </c>
    </row>
    <row r="15200" spans="1:13">
      <c r="A15200">
        <v>86436900</v>
      </c>
      <c r="B15200">
        <v>2015296</v>
      </c>
      <c r="C15200" t="s">
        <v>8020</v>
      </c>
      <c r="D15200" t="s">
        <v>442</v>
      </c>
      <c r="E15200" t="s">
        <v>441</v>
      </c>
      <c r="F15200">
        <v>1E-3</v>
      </c>
      <c r="H15200" t="s">
        <v>8580</v>
      </c>
      <c r="I15200">
        <v>360</v>
      </c>
      <c r="J15200" t="s">
        <v>450</v>
      </c>
      <c r="K15200" t="s">
        <v>446</v>
      </c>
      <c r="M15200">
        <v>0</v>
      </c>
    </row>
    <row r="15201" spans="1:13">
      <c r="A15201">
        <v>86437100</v>
      </c>
      <c r="B15201">
        <v>2015297</v>
      </c>
      <c r="C15201" t="s">
        <v>17819</v>
      </c>
      <c r="D15201" t="s">
        <v>442</v>
      </c>
      <c r="E15201" t="s">
        <v>441</v>
      </c>
      <c r="F15201">
        <v>1E-3</v>
      </c>
      <c r="H15201" t="s">
        <v>8580</v>
      </c>
      <c r="I15201">
        <v>360</v>
      </c>
      <c r="J15201" t="s">
        <v>450</v>
      </c>
      <c r="K15201" t="s">
        <v>446</v>
      </c>
      <c r="M15201">
        <v>0</v>
      </c>
    </row>
    <row r="15202" spans="1:13">
      <c r="A15202">
        <v>86437500</v>
      </c>
      <c r="B15202">
        <v>2015346</v>
      </c>
      <c r="C15202" t="s">
        <v>8021</v>
      </c>
      <c r="D15202" t="s">
        <v>442</v>
      </c>
      <c r="E15202" t="s">
        <v>441</v>
      </c>
      <c r="F15202">
        <v>1E-3</v>
      </c>
      <c r="H15202" t="s">
        <v>8584</v>
      </c>
      <c r="I15202">
        <v>356</v>
      </c>
      <c r="J15202" t="s">
        <v>450</v>
      </c>
      <c r="K15202" t="s">
        <v>446</v>
      </c>
      <c r="M15202">
        <v>0</v>
      </c>
    </row>
    <row r="15203" spans="1:13">
      <c r="A15203">
        <v>86437600</v>
      </c>
      <c r="B15203">
        <v>2015353</v>
      </c>
      <c r="C15203" t="s">
        <v>8022</v>
      </c>
      <c r="D15203" t="s">
        <v>442</v>
      </c>
      <c r="F15203">
        <v>0</v>
      </c>
      <c r="H15203" t="s">
        <v>8637</v>
      </c>
      <c r="I15203">
        <v>356</v>
      </c>
      <c r="J15203" t="s">
        <v>450</v>
      </c>
      <c r="K15203" t="s">
        <v>446</v>
      </c>
      <c r="M15203">
        <v>0</v>
      </c>
    </row>
    <row r="15204" spans="1:13">
      <c r="A15204">
        <v>86437700</v>
      </c>
      <c r="B15204">
        <v>2015354</v>
      </c>
      <c r="C15204" t="s">
        <v>8023</v>
      </c>
      <c r="D15204" t="s">
        <v>442</v>
      </c>
      <c r="F15204">
        <v>0</v>
      </c>
      <c r="H15204" t="s">
        <v>8580</v>
      </c>
      <c r="I15204">
        <v>356</v>
      </c>
      <c r="J15204" t="s">
        <v>450</v>
      </c>
      <c r="K15204" t="s">
        <v>446</v>
      </c>
      <c r="M15204">
        <v>0</v>
      </c>
    </row>
    <row r="15205" spans="1:13">
      <c r="A15205">
        <v>86437800</v>
      </c>
      <c r="B15205">
        <v>2015355</v>
      </c>
      <c r="C15205" t="s">
        <v>8024</v>
      </c>
      <c r="D15205" t="s">
        <v>442</v>
      </c>
      <c r="E15205" t="s">
        <v>441</v>
      </c>
      <c r="F15205">
        <v>1E-3</v>
      </c>
      <c r="H15205" t="s">
        <v>8584</v>
      </c>
      <c r="I15205">
        <v>356</v>
      </c>
      <c r="J15205" t="s">
        <v>450</v>
      </c>
      <c r="K15205" t="s">
        <v>446</v>
      </c>
      <c r="M15205">
        <v>0</v>
      </c>
    </row>
    <row r="15206" spans="1:13">
      <c r="A15206">
        <v>86437900</v>
      </c>
      <c r="B15206">
        <v>2015348</v>
      </c>
      <c r="C15206" t="s">
        <v>8025</v>
      </c>
      <c r="D15206" t="s">
        <v>442</v>
      </c>
      <c r="E15206" t="s">
        <v>441</v>
      </c>
      <c r="F15206">
        <v>1E-3</v>
      </c>
      <c r="H15206" t="s">
        <v>8580</v>
      </c>
      <c r="I15206">
        <v>356</v>
      </c>
      <c r="J15206" t="s">
        <v>450</v>
      </c>
      <c r="K15206" t="s">
        <v>446</v>
      </c>
      <c r="M15206">
        <v>0</v>
      </c>
    </row>
    <row r="15207" spans="1:13">
      <c r="A15207">
        <v>86438000</v>
      </c>
      <c r="B15207">
        <v>2015349</v>
      </c>
      <c r="C15207" t="s">
        <v>8026</v>
      </c>
      <c r="D15207" t="s">
        <v>442</v>
      </c>
      <c r="E15207" t="s">
        <v>441</v>
      </c>
      <c r="F15207">
        <v>1E-3</v>
      </c>
      <c r="H15207" t="s">
        <v>8580</v>
      </c>
      <c r="I15207">
        <v>356</v>
      </c>
      <c r="J15207" t="s">
        <v>450</v>
      </c>
      <c r="K15207" t="s">
        <v>446</v>
      </c>
      <c r="M15207">
        <v>0</v>
      </c>
    </row>
    <row r="15208" spans="1:13">
      <c r="A15208">
        <v>86438100</v>
      </c>
      <c r="B15208">
        <v>2015347</v>
      </c>
      <c r="C15208" t="s">
        <v>8027</v>
      </c>
      <c r="D15208" t="s">
        <v>442</v>
      </c>
      <c r="E15208" t="s">
        <v>441</v>
      </c>
      <c r="F15208">
        <v>1E-3</v>
      </c>
      <c r="H15208" t="s">
        <v>8584</v>
      </c>
      <c r="I15208">
        <v>356</v>
      </c>
      <c r="J15208" t="s">
        <v>450</v>
      </c>
      <c r="M15208">
        <v>0</v>
      </c>
    </row>
    <row r="15209" spans="1:13">
      <c r="A15209">
        <v>86438200</v>
      </c>
      <c r="B15209">
        <v>2015361</v>
      </c>
      <c r="C15209" t="s">
        <v>8028</v>
      </c>
      <c r="D15209" t="s">
        <v>442</v>
      </c>
      <c r="E15209" t="s">
        <v>441</v>
      </c>
      <c r="F15209">
        <v>1E-3</v>
      </c>
      <c r="H15209" t="s">
        <v>8580</v>
      </c>
      <c r="I15209">
        <v>356</v>
      </c>
      <c r="J15209" t="s">
        <v>450</v>
      </c>
      <c r="K15209" t="s">
        <v>446</v>
      </c>
      <c r="M15209">
        <v>0</v>
      </c>
    </row>
    <row r="15210" spans="1:13">
      <c r="A15210">
        <v>86438300</v>
      </c>
      <c r="B15210">
        <v>2015392</v>
      </c>
      <c r="C15210" t="s">
        <v>8029</v>
      </c>
      <c r="D15210" t="s">
        <v>442</v>
      </c>
      <c r="E15210" t="s">
        <v>441</v>
      </c>
      <c r="F15210">
        <v>1E-3</v>
      </c>
      <c r="H15210" t="s">
        <v>8634</v>
      </c>
      <c r="I15210">
        <v>356</v>
      </c>
      <c r="J15210" t="s">
        <v>450</v>
      </c>
      <c r="M15210">
        <v>0</v>
      </c>
    </row>
    <row r="15211" spans="1:13">
      <c r="A15211">
        <v>86438400</v>
      </c>
      <c r="B15211">
        <v>2015393</v>
      </c>
      <c r="C15211" t="s">
        <v>8030</v>
      </c>
      <c r="D15211" t="s">
        <v>442</v>
      </c>
      <c r="E15211" t="s">
        <v>441</v>
      </c>
      <c r="F15211">
        <v>1E-3</v>
      </c>
      <c r="H15211" t="s">
        <v>8634</v>
      </c>
      <c r="I15211">
        <v>356</v>
      </c>
      <c r="J15211" t="s">
        <v>450</v>
      </c>
      <c r="M15211">
        <v>0</v>
      </c>
    </row>
    <row r="15212" spans="1:13">
      <c r="A15212">
        <v>86438500</v>
      </c>
      <c r="B15212">
        <v>2015389</v>
      </c>
      <c r="C15212" t="s">
        <v>17265</v>
      </c>
      <c r="D15212" t="s">
        <v>442</v>
      </c>
      <c r="E15212" t="s">
        <v>441</v>
      </c>
      <c r="F15212">
        <v>1E-3</v>
      </c>
      <c r="H15212" t="s">
        <v>8634</v>
      </c>
      <c r="I15212">
        <v>356</v>
      </c>
      <c r="J15212" t="s">
        <v>450</v>
      </c>
      <c r="M15212">
        <v>0</v>
      </c>
    </row>
    <row r="15213" spans="1:13">
      <c r="A15213">
        <v>86438600</v>
      </c>
      <c r="B15213">
        <v>2015423</v>
      </c>
      <c r="C15213" t="s">
        <v>17266</v>
      </c>
      <c r="D15213" t="s">
        <v>442</v>
      </c>
      <c r="E15213" t="s">
        <v>441</v>
      </c>
      <c r="F15213">
        <v>1E-3</v>
      </c>
      <c r="H15213" t="s">
        <v>8583</v>
      </c>
      <c r="I15213">
        <v>356</v>
      </c>
      <c r="J15213" t="s">
        <v>450</v>
      </c>
      <c r="M15213">
        <v>0</v>
      </c>
    </row>
    <row r="15214" spans="1:13">
      <c r="A15214">
        <v>86438700</v>
      </c>
      <c r="B15214">
        <v>2015469</v>
      </c>
      <c r="C15214" t="s">
        <v>15784</v>
      </c>
      <c r="D15214" t="s">
        <v>442</v>
      </c>
      <c r="E15214" t="s">
        <v>441</v>
      </c>
      <c r="F15214">
        <v>1E-3</v>
      </c>
      <c r="H15214" t="s">
        <v>8624</v>
      </c>
      <c r="I15214">
        <v>356</v>
      </c>
      <c r="J15214" t="s">
        <v>450</v>
      </c>
      <c r="M15214">
        <v>0</v>
      </c>
    </row>
    <row r="15215" spans="1:13">
      <c r="A15215">
        <v>86438800</v>
      </c>
      <c r="B15215">
        <v>2015474</v>
      </c>
      <c r="C15215" t="s">
        <v>15785</v>
      </c>
      <c r="D15215" t="s">
        <v>442</v>
      </c>
      <c r="E15215" t="s">
        <v>441</v>
      </c>
      <c r="F15215">
        <v>1E-3</v>
      </c>
      <c r="H15215" t="s">
        <v>8584</v>
      </c>
      <c r="I15215">
        <v>356</v>
      </c>
      <c r="J15215" t="s">
        <v>450</v>
      </c>
      <c r="M15215">
        <v>0</v>
      </c>
    </row>
    <row r="15216" spans="1:13">
      <c r="A15216">
        <v>86438900</v>
      </c>
      <c r="B15216">
        <v>2015468</v>
      </c>
      <c r="C15216" t="s">
        <v>15786</v>
      </c>
      <c r="D15216" t="s">
        <v>442</v>
      </c>
      <c r="E15216" t="s">
        <v>441</v>
      </c>
      <c r="F15216">
        <v>1E-3</v>
      </c>
      <c r="H15216" t="s">
        <v>8624</v>
      </c>
      <c r="I15216">
        <v>356</v>
      </c>
      <c r="J15216" t="s">
        <v>450</v>
      </c>
      <c r="M15216">
        <v>0</v>
      </c>
    </row>
    <row r="15217" spans="1:13">
      <c r="A15217">
        <v>86439000</v>
      </c>
      <c r="B15217">
        <v>2015480</v>
      </c>
      <c r="C15217" t="s">
        <v>15787</v>
      </c>
      <c r="D15217" t="s">
        <v>442</v>
      </c>
      <c r="E15217" t="s">
        <v>441</v>
      </c>
      <c r="F15217">
        <v>1E-3</v>
      </c>
      <c r="H15217" t="s">
        <v>8584</v>
      </c>
      <c r="I15217">
        <v>356</v>
      </c>
      <c r="J15217" t="s">
        <v>450</v>
      </c>
      <c r="M15217">
        <v>0</v>
      </c>
    </row>
    <row r="15218" spans="1:13">
      <c r="A15218">
        <v>86439100</v>
      </c>
      <c r="B15218">
        <v>2015481</v>
      </c>
      <c r="C15218" t="s">
        <v>15788</v>
      </c>
      <c r="D15218" t="s">
        <v>442</v>
      </c>
      <c r="E15218" t="s">
        <v>441</v>
      </c>
      <c r="F15218">
        <v>1E-3</v>
      </c>
      <c r="H15218" t="s">
        <v>8580</v>
      </c>
      <c r="I15218">
        <v>356</v>
      </c>
      <c r="J15218" t="s">
        <v>450</v>
      </c>
      <c r="M15218">
        <v>0</v>
      </c>
    </row>
    <row r="15219" spans="1:13">
      <c r="A15219">
        <v>86439200</v>
      </c>
      <c r="B15219">
        <v>2015482</v>
      </c>
      <c r="C15219" t="s">
        <v>15789</v>
      </c>
      <c r="D15219" t="s">
        <v>442</v>
      </c>
      <c r="E15219" t="s">
        <v>441</v>
      </c>
      <c r="F15219">
        <v>1E-3</v>
      </c>
      <c r="H15219" t="s">
        <v>8580</v>
      </c>
      <c r="I15219">
        <v>356</v>
      </c>
      <c r="J15219" t="s">
        <v>450</v>
      </c>
      <c r="M15219">
        <v>0</v>
      </c>
    </row>
    <row r="15220" spans="1:13">
      <c r="A15220">
        <v>86439300</v>
      </c>
      <c r="B15220">
        <v>2015483</v>
      </c>
      <c r="C15220" t="s">
        <v>15790</v>
      </c>
      <c r="D15220" t="s">
        <v>442</v>
      </c>
      <c r="E15220" t="s">
        <v>441</v>
      </c>
      <c r="F15220">
        <v>1E-3</v>
      </c>
      <c r="H15220" t="s">
        <v>8580</v>
      </c>
      <c r="I15220">
        <v>356</v>
      </c>
      <c r="J15220" t="s">
        <v>450</v>
      </c>
      <c r="M15220">
        <v>0</v>
      </c>
    </row>
    <row r="15221" spans="1:13">
      <c r="A15221">
        <v>86439400</v>
      </c>
      <c r="B15221">
        <v>2015484</v>
      </c>
      <c r="C15221" t="s">
        <v>15791</v>
      </c>
      <c r="D15221" t="s">
        <v>442</v>
      </c>
      <c r="E15221" t="s">
        <v>441</v>
      </c>
      <c r="F15221">
        <v>1E-3</v>
      </c>
      <c r="H15221" t="s">
        <v>8580</v>
      </c>
      <c r="I15221">
        <v>356</v>
      </c>
      <c r="J15221" t="s">
        <v>450</v>
      </c>
      <c r="M15221">
        <v>0</v>
      </c>
    </row>
    <row r="15222" spans="1:13">
      <c r="A15222">
        <v>86439500</v>
      </c>
      <c r="B15222">
        <v>2015485</v>
      </c>
      <c r="C15222" t="s">
        <v>15792</v>
      </c>
      <c r="D15222" t="s">
        <v>442</v>
      </c>
      <c r="E15222" t="s">
        <v>441</v>
      </c>
      <c r="F15222">
        <v>1E-3</v>
      </c>
      <c r="H15222" t="s">
        <v>8580</v>
      </c>
      <c r="I15222">
        <v>356</v>
      </c>
      <c r="J15222" t="s">
        <v>450</v>
      </c>
      <c r="M15222">
        <v>0</v>
      </c>
    </row>
    <row r="15223" spans="1:13">
      <c r="A15223">
        <v>86439600</v>
      </c>
      <c r="B15223">
        <v>2015486</v>
      </c>
      <c r="C15223" t="s">
        <v>8031</v>
      </c>
      <c r="D15223" t="s">
        <v>442</v>
      </c>
      <c r="E15223" t="s">
        <v>441</v>
      </c>
      <c r="F15223">
        <v>1E-3</v>
      </c>
      <c r="H15223" t="s">
        <v>8580</v>
      </c>
      <c r="I15223">
        <v>356</v>
      </c>
      <c r="J15223" t="s">
        <v>450</v>
      </c>
      <c r="M15223">
        <v>0</v>
      </c>
    </row>
    <row r="15224" spans="1:13">
      <c r="A15224">
        <v>86439700</v>
      </c>
      <c r="B15224">
        <v>2015487</v>
      </c>
      <c r="C15224" t="s">
        <v>8032</v>
      </c>
      <c r="D15224" t="s">
        <v>442</v>
      </c>
      <c r="E15224" t="s">
        <v>441</v>
      </c>
      <c r="F15224">
        <v>1E-3</v>
      </c>
      <c r="H15224" t="s">
        <v>8580</v>
      </c>
      <c r="I15224">
        <v>356</v>
      </c>
      <c r="J15224" t="s">
        <v>450</v>
      </c>
      <c r="M15224">
        <v>0</v>
      </c>
    </row>
    <row r="15225" spans="1:13">
      <c r="A15225">
        <v>86439800</v>
      </c>
      <c r="B15225">
        <v>2015438</v>
      </c>
      <c r="C15225" t="s">
        <v>8033</v>
      </c>
      <c r="D15225" t="s">
        <v>442</v>
      </c>
      <c r="E15225" t="s">
        <v>441</v>
      </c>
      <c r="F15225">
        <v>1E-3</v>
      </c>
      <c r="H15225" t="s">
        <v>8580</v>
      </c>
      <c r="I15225">
        <v>365</v>
      </c>
      <c r="J15225" t="s">
        <v>450</v>
      </c>
      <c r="M15225">
        <v>0</v>
      </c>
    </row>
    <row r="15226" spans="1:13">
      <c r="A15226">
        <v>86439900</v>
      </c>
      <c r="B15226">
        <v>2015493</v>
      </c>
      <c r="C15226" t="s">
        <v>15793</v>
      </c>
      <c r="D15226" t="s">
        <v>442</v>
      </c>
      <c r="E15226" t="s">
        <v>441</v>
      </c>
      <c r="F15226">
        <v>1E-3</v>
      </c>
      <c r="H15226" t="s">
        <v>8580</v>
      </c>
      <c r="I15226">
        <v>365</v>
      </c>
      <c r="J15226" t="s">
        <v>450</v>
      </c>
      <c r="M15226">
        <v>0</v>
      </c>
    </row>
    <row r="15227" spans="1:13">
      <c r="A15227">
        <v>86440000</v>
      </c>
      <c r="B15227">
        <v>2015494</v>
      </c>
      <c r="C15227" t="s">
        <v>15794</v>
      </c>
      <c r="D15227" t="s">
        <v>442</v>
      </c>
      <c r="E15227" t="s">
        <v>441</v>
      </c>
      <c r="F15227">
        <v>1E-3</v>
      </c>
      <c r="H15227" t="s">
        <v>8584</v>
      </c>
      <c r="I15227">
        <v>365</v>
      </c>
      <c r="J15227" t="s">
        <v>450</v>
      </c>
      <c r="M15227">
        <v>0</v>
      </c>
    </row>
    <row r="15228" spans="1:13">
      <c r="A15228">
        <v>86440100</v>
      </c>
      <c r="B15228">
        <v>2015495</v>
      </c>
      <c r="C15228" t="s">
        <v>8034</v>
      </c>
      <c r="D15228" t="s">
        <v>442</v>
      </c>
      <c r="E15228" t="s">
        <v>441</v>
      </c>
      <c r="F15228">
        <v>1E-3</v>
      </c>
      <c r="H15228" t="s">
        <v>8580</v>
      </c>
      <c r="I15228">
        <v>365</v>
      </c>
      <c r="J15228" t="s">
        <v>450</v>
      </c>
      <c r="M15228">
        <v>0</v>
      </c>
    </row>
    <row r="15229" spans="1:13">
      <c r="A15229">
        <v>86440200</v>
      </c>
      <c r="B15229">
        <v>2015496</v>
      </c>
      <c r="C15229" t="s">
        <v>8035</v>
      </c>
      <c r="D15229" t="s">
        <v>442</v>
      </c>
      <c r="E15229" t="s">
        <v>441</v>
      </c>
      <c r="F15229">
        <v>1E-3</v>
      </c>
      <c r="H15229" t="s">
        <v>8580</v>
      </c>
      <c r="I15229">
        <v>365</v>
      </c>
      <c r="J15229" t="s">
        <v>450</v>
      </c>
      <c r="M15229">
        <v>0</v>
      </c>
    </row>
    <row r="15230" spans="1:13">
      <c r="A15230">
        <v>86440300</v>
      </c>
      <c r="B15230">
        <v>2015497</v>
      </c>
      <c r="C15230" t="s">
        <v>8036</v>
      </c>
      <c r="D15230" t="s">
        <v>442</v>
      </c>
      <c r="E15230" t="s">
        <v>441</v>
      </c>
      <c r="F15230">
        <v>1E-3</v>
      </c>
      <c r="H15230" t="s">
        <v>8580</v>
      </c>
      <c r="I15230">
        <v>365</v>
      </c>
      <c r="J15230" t="s">
        <v>450</v>
      </c>
      <c r="M15230">
        <v>0</v>
      </c>
    </row>
    <row r="15231" spans="1:13">
      <c r="A15231">
        <v>86440400</v>
      </c>
      <c r="B15231">
        <v>2015498</v>
      </c>
      <c r="C15231" t="s">
        <v>8037</v>
      </c>
      <c r="D15231" t="s">
        <v>442</v>
      </c>
      <c r="E15231" t="s">
        <v>441</v>
      </c>
      <c r="F15231">
        <v>1E-3</v>
      </c>
      <c r="H15231" t="s">
        <v>8580</v>
      </c>
      <c r="I15231">
        <v>365</v>
      </c>
      <c r="J15231" t="s">
        <v>450</v>
      </c>
      <c r="M15231">
        <v>0</v>
      </c>
    </row>
    <row r="15232" spans="1:13">
      <c r="A15232">
        <v>86440500</v>
      </c>
      <c r="B15232">
        <v>2015500</v>
      </c>
      <c r="C15232" t="s">
        <v>8038</v>
      </c>
      <c r="D15232" t="s">
        <v>442</v>
      </c>
      <c r="E15232" t="s">
        <v>441</v>
      </c>
      <c r="F15232">
        <v>1E-3</v>
      </c>
      <c r="H15232" t="s">
        <v>8580</v>
      </c>
      <c r="I15232">
        <v>365</v>
      </c>
      <c r="J15232" t="s">
        <v>450</v>
      </c>
      <c r="K15232" t="s">
        <v>446</v>
      </c>
      <c r="M15232">
        <v>0</v>
      </c>
    </row>
    <row r="15233" spans="1:13">
      <c r="A15233">
        <v>86440600</v>
      </c>
      <c r="B15233">
        <v>2015499</v>
      </c>
      <c r="C15233" t="s">
        <v>8039</v>
      </c>
      <c r="D15233" t="s">
        <v>442</v>
      </c>
      <c r="E15233" t="s">
        <v>441</v>
      </c>
      <c r="F15233">
        <v>1E-3</v>
      </c>
      <c r="H15233" t="s">
        <v>8580</v>
      </c>
      <c r="I15233">
        <v>365</v>
      </c>
      <c r="J15233" t="s">
        <v>450</v>
      </c>
      <c r="K15233" t="s">
        <v>446</v>
      </c>
      <c r="M15233">
        <v>0</v>
      </c>
    </row>
    <row r="15234" spans="1:13">
      <c r="A15234">
        <v>86440800</v>
      </c>
      <c r="B15234">
        <v>2015520</v>
      </c>
      <c r="C15234" t="s">
        <v>15795</v>
      </c>
      <c r="D15234" t="s">
        <v>442</v>
      </c>
      <c r="E15234" t="s">
        <v>441</v>
      </c>
      <c r="F15234">
        <v>1E-3</v>
      </c>
      <c r="H15234" t="s">
        <v>8584</v>
      </c>
      <c r="I15234">
        <v>365</v>
      </c>
      <c r="J15234" t="s">
        <v>450</v>
      </c>
      <c r="M15234">
        <v>0</v>
      </c>
    </row>
    <row r="15235" spans="1:13">
      <c r="A15235">
        <v>86440900</v>
      </c>
      <c r="B15235">
        <v>2015502</v>
      </c>
      <c r="C15235" t="s">
        <v>8040</v>
      </c>
      <c r="D15235" t="s">
        <v>442</v>
      </c>
      <c r="E15235" t="s">
        <v>441</v>
      </c>
      <c r="F15235">
        <v>1E-3</v>
      </c>
      <c r="H15235" t="s">
        <v>8580</v>
      </c>
      <c r="I15235">
        <v>365</v>
      </c>
      <c r="J15235" t="s">
        <v>450</v>
      </c>
      <c r="K15235" t="s">
        <v>446</v>
      </c>
      <c r="M15235">
        <v>0</v>
      </c>
    </row>
    <row r="15236" spans="1:13">
      <c r="A15236">
        <v>86441000</v>
      </c>
      <c r="B15236">
        <v>2015439</v>
      </c>
      <c r="C15236" t="s">
        <v>8041</v>
      </c>
      <c r="D15236" t="s">
        <v>442</v>
      </c>
      <c r="E15236" t="s">
        <v>441</v>
      </c>
      <c r="F15236">
        <v>1E-3</v>
      </c>
      <c r="H15236" t="s">
        <v>8580</v>
      </c>
      <c r="I15236">
        <v>365</v>
      </c>
      <c r="J15236" t="s">
        <v>450</v>
      </c>
      <c r="K15236" t="s">
        <v>446</v>
      </c>
      <c r="M15236">
        <v>0</v>
      </c>
    </row>
    <row r="15237" spans="1:13">
      <c r="A15237">
        <v>86441200</v>
      </c>
      <c r="B15237">
        <v>2015510</v>
      </c>
      <c r="C15237" t="s">
        <v>17267</v>
      </c>
      <c r="D15237" t="s">
        <v>442</v>
      </c>
      <c r="E15237" t="s">
        <v>441</v>
      </c>
      <c r="F15237">
        <v>1E-3</v>
      </c>
      <c r="H15237" t="s">
        <v>8580</v>
      </c>
      <c r="I15237">
        <v>365</v>
      </c>
      <c r="J15237" t="s">
        <v>450</v>
      </c>
      <c r="M15237">
        <v>0</v>
      </c>
    </row>
    <row r="15238" spans="1:13">
      <c r="A15238">
        <v>86441300</v>
      </c>
      <c r="B15238">
        <v>2015511</v>
      </c>
      <c r="C15238" t="s">
        <v>8042</v>
      </c>
      <c r="D15238" t="s">
        <v>442</v>
      </c>
      <c r="E15238" t="s">
        <v>441</v>
      </c>
      <c r="F15238">
        <v>1E-3</v>
      </c>
      <c r="H15238" t="s">
        <v>8580</v>
      </c>
      <c r="I15238">
        <v>365</v>
      </c>
      <c r="J15238" t="s">
        <v>450</v>
      </c>
      <c r="K15238" t="s">
        <v>446</v>
      </c>
      <c r="M15238">
        <v>0</v>
      </c>
    </row>
    <row r="15239" spans="1:13">
      <c r="A15239">
        <v>86441400</v>
      </c>
      <c r="B15239">
        <v>2015512</v>
      </c>
      <c r="C15239" t="s">
        <v>15796</v>
      </c>
      <c r="D15239" t="s">
        <v>442</v>
      </c>
      <c r="E15239" t="s">
        <v>441</v>
      </c>
      <c r="F15239">
        <v>1E-3</v>
      </c>
      <c r="H15239" t="s">
        <v>8580</v>
      </c>
      <c r="I15239">
        <v>365</v>
      </c>
      <c r="J15239" t="s">
        <v>450</v>
      </c>
      <c r="M15239">
        <v>0</v>
      </c>
    </row>
    <row r="15240" spans="1:13">
      <c r="A15240">
        <v>86441500</v>
      </c>
      <c r="B15240">
        <v>2015513</v>
      </c>
      <c r="C15240" t="s">
        <v>15797</v>
      </c>
      <c r="D15240" t="s">
        <v>442</v>
      </c>
      <c r="E15240" t="s">
        <v>441</v>
      </c>
      <c r="F15240">
        <v>1E-3</v>
      </c>
      <c r="H15240" t="s">
        <v>8580</v>
      </c>
      <c r="I15240">
        <v>365</v>
      </c>
      <c r="J15240" t="s">
        <v>450</v>
      </c>
      <c r="M15240">
        <v>0</v>
      </c>
    </row>
    <row r="15241" spans="1:13">
      <c r="A15241">
        <v>86441600</v>
      </c>
      <c r="B15241">
        <v>2015514</v>
      </c>
      <c r="C15241" t="s">
        <v>15798</v>
      </c>
      <c r="D15241" t="s">
        <v>442</v>
      </c>
      <c r="E15241" t="s">
        <v>441</v>
      </c>
      <c r="F15241">
        <v>1E-3</v>
      </c>
      <c r="H15241" t="s">
        <v>8583</v>
      </c>
      <c r="I15241">
        <v>365</v>
      </c>
      <c r="J15241" t="s">
        <v>450</v>
      </c>
      <c r="M15241">
        <v>0</v>
      </c>
    </row>
    <row r="15242" spans="1:13">
      <c r="A15242">
        <v>86441700</v>
      </c>
      <c r="B15242">
        <v>2015515</v>
      </c>
      <c r="C15242" t="s">
        <v>15799</v>
      </c>
      <c r="D15242" t="s">
        <v>442</v>
      </c>
      <c r="E15242" t="s">
        <v>441</v>
      </c>
      <c r="F15242">
        <v>1E-3</v>
      </c>
      <c r="H15242" t="s">
        <v>8583</v>
      </c>
      <c r="I15242">
        <v>365</v>
      </c>
      <c r="J15242" t="s">
        <v>450</v>
      </c>
      <c r="M15242">
        <v>0</v>
      </c>
    </row>
    <row r="15243" spans="1:13">
      <c r="A15243">
        <v>86441800</v>
      </c>
      <c r="B15243">
        <v>2015516</v>
      </c>
      <c r="C15243" t="s">
        <v>15800</v>
      </c>
      <c r="D15243" t="s">
        <v>442</v>
      </c>
      <c r="E15243" t="s">
        <v>441</v>
      </c>
      <c r="F15243">
        <v>1E-3</v>
      </c>
      <c r="H15243" t="s">
        <v>8583</v>
      </c>
      <c r="I15243">
        <v>365</v>
      </c>
      <c r="J15243" t="s">
        <v>450</v>
      </c>
      <c r="M15243">
        <v>0</v>
      </c>
    </row>
    <row r="15244" spans="1:13">
      <c r="A15244">
        <v>86441900</v>
      </c>
      <c r="B15244">
        <v>2015517</v>
      </c>
      <c r="C15244" t="s">
        <v>15801</v>
      </c>
      <c r="D15244" t="s">
        <v>442</v>
      </c>
      <c r="E15244" t="s">
        <v>441</v>
      </c>
      <c r="F15244">
        <v>1E-3</v>
      </c>
      <c r="H15244" t="s">
        <v>8583</v>
      </c>
      <c r="I15244">
        <v>365</v>
      </c>
      <c r="J15244" t="s">
        <v>450</v>
      </c>
      <c r="M15244">
        <v>0</v>
      </c>
    </row>
    <row r="15245" spans="1:13">
      <c r="A15245">
        <v>86442000</v>
      </c>
      <c r="B15245">
        <v>2015518</v>
      </c>
      <c r="C15245" t="s">
        <v>8043</v>
      </c>
      <c r="D15245" t="s">
        <v>442</v>
      </c>
      <c r="E15245" t="s">
        <v>441</v>
      </c>
      <c r="F15245">
        <v>1E-3</v>
      </c>
      <c r="H15245" t="s">
        <v>8584</v>
      </c>
      <c r="I15245">
        <v>365</v>
      </c>
      <c r="J15245" t="s">
        <v>450</v>
      </c>
      <c r="M15245">
        <v>0</v>
      </c>
    </row>
    <row r="15246" spans="1:13">
      <c r="A15246">
        <v>86442100</v>
      </c>
      <c r="B15246">
        <v>2015519</v>
      </c>
      <c r="C15246" t="s">
        <v>8044</v>
      </c>
      <c r="D15246" t="s">
        <v>442</v>
      </c>
      <c r="E15246" t="s">
        <v>441</v>
      </c>
      <c r="F15246">
        <v>1E-3</v>
      </c>
      <c r="H15246" t="s">
        <v>8580</v>
      </c>
      <c r="I15246">
        <v>365</v>
      </c>
      <c r="J15246" t="s">
        <v>450</v>
      </c>
      <c r="M15246">
        <v>0</v>
      </c>
    </row>
    <row r="15247" spans="1:13">
      <c r="A15247">
        <v>86442200</v>
      </c>
      <c r="B15247">
        <v>2015523</v>
      </c>
      <c r="C15247" t="s">
        <v>15802</v>
      </c>
      <c r="D15247" t="s">
        <v>442</v>
      </c>
      <c r="E15247" t="s">
        <v>441</v>
      </c>
      <c r="F15247">
        <v>1E-3</v>
      </c>
      <c r="I15247">
        <v>365</v>
      </c>
      <c r="J15247" t="s">
        <v>450</v>
      </c>
      <c r="M15247">
        <v>0</v>
      </c>
    </row>
    <row r="15248" spans="1:13">
      <c r="A15248">
        <v>86442300</v>
      </c>
      <c r="B15248">
        <v>2015521</v>
      </c>
      <c r="C15248" t="s">
        <v>15803</v>
      </c>
      <c r="D15248" t="s">
        <v>442</v>
      </c>
      <c r="E15248" t="s">
        <v>441</v>
      </c>
      <c r="F15248">
        <v>1E-3</v>
      </c>
      <c r="H15248" t="s">
        <v>8580</v>
      </c>
      <c r="I15248">
        <v>365</v>
      </c>
      <c r="J15248" t="s">
        <v>450</v>
      </c>
      <c r="M15248">
        <v>0</v>
      </c>
    </row>
    <row r="15249" spans="1:13">
      <c r="A15249">
        <v>86442400</v>
      </c>
      <c r="B15249">
        <v>2015522</v>
      </c>
      <c r="C15249" t="s">
        <v>15804</v>
      </c>
      <c r="D15249" t="s">
        <v>442</v>
      </c>
      <c r="E15249" t="s">
        <v>441</v>
      </c>
      <c r="F15249">
        <v>1E-3</v>
      </c>
      <c r="H15249" t="s">
        <v>8584</v>
      </c>
      <c r="I15249">
        <v>365</v>
      </c>
      <c r="J15249" t="s">
        <v>450</v>
      </c>
      <c r="M15249">
        <v>0</v>
      </c>
    </row>
    <row r="15250" spans="1:13">
      <c r="A15250">
        <v>86442600</v>
      </c>
      <c r="B15250">
        <v>2015601</v>
      </c>
      <c r="C15250" t="s">
        <v>17268</v>
      </c>
      <c r="D15250" t="s">
        <v>442</v>
      </c>
      <c r="E15250" t="s">
        <v>441</v>
      </c>
      <c r="F15250">
        <v>1E-3</v>
      </c>
      <c r="H15250" t="s">
        <v>8580</v>
      </c>
      <c r="I15250">
        <v>365</v>
      </c>
      <c r="J15250" t="s">
        <v>450</v>
      </c>
      <c r="M15250">
        <v>0</v>
      </c>
    </row>
    <row r="15251" spans="1:13">
      <c r="A15251">
        <v>86442700</v>
      </c>
      <c r="B15251">
        <v>2015579</v>
      </c>
      <c r="C15251" t="s">
        <v>15805</v>
      </c>
      <c r="D15251" t="s">
        <v>442</v>
      </c>
      <c r="E15251" t="s">
        <v>441</v>
      </c>
      <c r="F15251">
        <v>1E-3</v>
      </c>
      <c r="H15251" t="s">
        <v>8584</v>
      </c>
      <c r="I15251">
        <v>365</v>
      </c>
      <c r="J15251" t="s">
        <v>450</v>
      </c>
      <c r="M15251">
        <v>0</v>
      </c>
    </row>
    <row r="15252" spans="1:13">
      <c r="A15252">
        <v>86442800</v>
      </c>
      <c r="B15252">
        <v>2015578</v>
      </c>
      <c r="C15252" t="s">
        <v>15806</v>
      </c>
      <c r="D15252" t="s">
        <v>442</v>
      </c>
      <c r="E15252" t="s">
        <v>441</v>
      </c>
      <c r="F15252">
        <v>1E-3</v>
      </c>
      <c r="H15252" t="s">
        <v>8584</v>
      </c>
      <c r="I15252">
        <v>365</v>
      </c>
      <c r="J15252" t="s">
        <v>450</v>
      </c>
      <c r="M15252">
        <v>0</v>
      </c>
    </row>
    <row r="15253" spans="1:13">
      <c r="A15253">
        <v>86442900</v>
      </c>
      <c r="B15253">
        <v>2015603</v>
      </c>
      <c r="C15253" t="s">
        <v>15807</v>
      </c>
      <c r="D15253" t="s">
        <v>442</v>
      </c>
      <c r="E15253" t="s">
        <v>441</v>
      </c>
      <c r="F15253">
        <v>1E-3</v>
      </c>
      <c r="I15253">
        <v>365</v>
      </c>
      <c r="J15253" t="s">
        <v>450</v>
      </c>
      <c r="M15253">
        <v>0</v>
      </c>
    </row>
    <row r="15254" spans="1:13">
      <c r="A15254">
        <v>86443000</v>
      </c>
      <c r="B15254">
        <v>2015604</v>
      </c>
      <c r="C15254" t="s">
        <v>8045</v>
      </c>
      <c r="D15254" t="s">
        <v>442</v>
      </c>
      <c r="E15254" t="s">
        <v>441</v>
      </c>
      <c r="F15254">
        <v>1E-3</v>
      </c>
      <c r="I15254">
        <v>365</v>
      </c>
      <c r="J15254" t="s">
        <v>450</v>
      </c>
      <c r="M15254">
        <v>0</v>
      </c>
    </row>
    <row r="15255" spans="1:13">
      <c r="A15255">
        <v>86443100</v>
      </c>
      <c r="B15255">
        <v>2015610</v>
      </c>
      <c r="C15255" t="s">
        <v>15808</v>
      </c>
      <c r="D15255" t="s">
        <v>442</v>
      </c>
      <c r="E15255" t="s">
        <v>441</v>
      </c>
      <c r="F15255">
        <v>1E-3</v>
      </c>
      <c r="H15255" t="s">
        <v>8580</v>
      </c>
      <c r="I15255">
        <v>365</v>
      </c>
      <c r="J15255" t="s">
        <v>450</v>
      </c>
      <c r="M15255">
        <v>0</v>
      </c>
    </row>
    <row r="15256" spans="1:13">
      <c r="A15256">
        <v>86443200</v>
      </c>
      <c r="B15256">
        <v>2015611</v>
      </c>
      <c r="C15256" t="s">
        <v>15809</v>
      </c>
      <c r="D15256" t="s">
        <v>442</v>
      </c>
      <c r="E15256" t="s">
        <v>441</v>
      </c>
      <c r="F15256">
        <v>1E-3</v>
      </c>
      <c r="H15256" t="s">
        <v>8580</v>
      </c>
      <c r="I15256">
        <v>365</v>
      </c>
      <c r="J15256" t="s">
        <v>450</v>
      </c>
      <c r="M15256">
        <v>0</v>
      </c>
    </row>
    <row r="15257" spans="1:13">
      <c r="A15257">
        <v>86443300</v>
      </c>
      <c r="B15257">
        <v>2015605</v>
      </c>
      <c r="C15257" t="s">
        <v>8046</v>
      </c>
      <c r="D15257" t="s">
        <v>442</v>
      </c>
      <c r="E15257" t="s">
        <v>441</v>
      </c>
      <c r="F15257">
        <v>1E-3</v>
      </c>
      <c r="I15257">
        <v>365</v>
      </c>
      <c r="J15257" t="s">
        <v>450</v>
      </c>
      <c r="M15257">
        <v>0</v>
      </c>
    </row>
    <row r="15258" spans="1:13">
      <c r="A15258">
        <v>86443400</v>
      </c>
      <c r="B15258">
        <v>2015628</v>
      </c>
      <c r="C15258" t="s">
        <v>8047</v>
      </c>
      <c r="D15258" t="s">
        <v>442</v>
      </c>
      <c r="E15258" t="s">
        <v>441</v>
      </c>
      <c r="F15258">
        <v>1E-3</v>
      </c>
      <c r="H15258" t="s">
        <v>8580</v>
      </c>
      <c r="I15258">
        <v>365</v>
      </c>
      <c r="J15258" t="s">
        <v>450</v>
      </c>
      <c r="M15258">
        <v>0</v>
      </c>
    </row>
    <row r="15259" spans="1:13">
      <c r="A15259">
        <v>86443500</v>
      </c>
      <c r="B15259">
        <v>2015613</v>
      </c>
      <c r="C15259" t="s">
        <v>15810</v>
      </c>
      <c r="D15259" t="s">
        <v>442</v>
      </c>
      <c r="E15259" t="s">
        <v>441</v>
      </c>
      <c r="F15259">
        <v>1E-3</v>
      </c>
      <c r="H15259" t="s">
        <v>8580</v>
      </c>
      <c r="I15259">
        <v>365</v>
      </c>
      <c r="J15259" t="s">
        <v>450</v>
      </c>
      <c r="M15259">
        <v>0</v>
      </c>
    </row>
    <row r="15260" spans="1:13">
      <c r="A15260">
        <v>86443600</v>
      </c>
      <c r="B15260">
        <v>2015612</v>
      </c>
      <c r="C15260" t="s">
        <v>15811</v>
      </c>
      <c r="D15260" t="s">
        <v>442</v>
      </c>
      <c r="E15260" t="s">
        <v>441</v>
      </c>
      <c r="F15260">
        <v>1E-3</v>
      </c>
      <c r="H15260" t="s">
        <v>8580</v>
      </c>
      <c r="I15260">
        <v>365</v>
      </c>
      <c r="J15260" t="s">
        <v>450</v>
      </c>
      <c r="M15260">
        <v>0</v>
      </c>
    </row>
    <row r="15261" spans="1:13">
      <c r="A15261">
        <v>86443800</v>
      </c>
      <c r="B15261">
        <v>2015537</v>
      </c>
      <c r="C15261" t="s">
        <v>8048</v>
      </c>
      <c r="D15261" t="s">
        <v>442</v>
      </c>
      <c r="E15261" t="s">
        <v>441</v>
      </c>
      <c r="F15261">
        <v>1E-3</v>
      </c>
      <c r="H15261" t="s">
        <v>8580</v>
      </c>
      <c r="I15261">
        <v>365</v>
      </c>
      <c r="J15261" t="s">
        <v>450</v>
      </c>
      <c r="M15261">
        <v>0</v>
      </c>
    </row>
    <row r="15262" spans="1:13">
      <c r="A15262">
        <v>86443900</v>
      </c>
      <c r="B15262">
        <v>2015642</v>
      </c>
      <c r="C15262" t="s">
        <v>8049</v>
      </c>
      <c r="D15262" t="s">
        <v>442</v>
      </c>
      <c r="E15262" t="s">
        <v>441</v>
      </c>
      <c r="F15262">
        <v>1E-3</v>
      </c>
      <c r="H15262" t="s">
        <v>8580</v>
      </c>
      <c r="I15262">
        <v>365</v>
      </c>
      <c r="J15262" t="s">
        <v>450</v>
      </c>
      <c r="M15262">
        <v>0</v>
      </c>
    </row>
    <row r="15263" spans="1:13">
      <c r="A15263">
        <v>86444000</v>
      </c>
      <c r="B15263">
        <v>2015643</v>
      </c>
      <c r="C15263" t="s">
        <v>15812</v>
      </c>
      <c r="D15263" t="s">
        <v>442</v>
      </c>
      <c r="E15263" t="s">
        <v>441</v>
      </c>
      <c r="F15263">
        <v>1E-3</v>
      </c>
      <c r="H15263" t="s">
        <v>8580</v>
      </c>
      <c r="I15263">
        <v>365</v>
      </c>
      <c r="J15263" t="s">
        <v>450</v>
      </c>
      <c r="M15263">
        <v>0</v>
      </c>
    </row>
    <row r="15264" spans="1:13">
      <c r="A15264">
        <v>86444100</v>
      </c>
      <c r="B15264">
        <v>2015680</v>
      </c>
      <c r="C15264" t="s">
        <v>8050</v>
      </c>
      <c r="D15264" t="s">
        <v>442</v>
      </c>
      <c r="E15264" t="s">
        <v>441</v>
      </c>
      <c r="F15264">
        <v>1E-3</v>
      </c>
      <c r="H15264" t="s">
        <v>8580</v>
      </c>
      <c r="I15264">
        <v>365</v>
      </c>
      <c r="J15264" t="s">
        <v>450</v>
      </c>
      <c r="K15264" t="s">
        <v>446</v>
      </c>
      <c r="M15264">
        <v>0</v>
      </c>
    </row>
    <row r="15265" spans="1:13">
      <c r="A15265">
        <v>86444200</v>
      </c>
      <c r="B15265">
        <v>2015639</v>
      </c>
      <c r="C15265" t="s">
        <v>8051</v>
      </c>
      <c r="D15265" t="s">
        <v>442</v>
      </c>
      <c r="E15265" t="s">
        <v>441</v>
      </c>
      <c r="F15265">
        <v>1E-3</v>
      </c>
      <c r="H15265" t="s">
        <v>8580</v>
      </c>
      <c r="I15265">
        <v>365</v>
      </c>
      <c r="J15265" t="s">
        <v>450</v>
      </c>
      <c r="K15265" t="s">
        <v>446</v>
      </c>
      <c r="M15265">
        <v>0</v>
      </c>
    </row>
    <row r="15266" spans="1:13">
      <c r="A15266">
        <v>86444300</v>
      </c>
      <c r="B15266">
        <v>2015700</v>
      </c>
      <c r="C15266" t="s">
        <v>8052</v>
      </c>
      <c r="D15266" t="s">
        <v>442</v>
      </c>
      <c r="E15266" t="s">
        <v>441</v>
      </c>
      <c r="F15266">
        <v>1E-3</v>
      </c>
      <c r="H15266" t="s">
        <v>8580</v>
      </c>
      <c r="I15266">
        <v>365</v>
      </c>
      <c r="J15266" t="s">
        <v>450</v>
      </c>
      <c r="M15266">
        <v>0</v>
      </c>
    </row>
    <row r="15267" spans="1:13">
      <c r="A15267">
        <v>86444400</v>
      </c>
      <c r="B15267">
        <v>2015689</v>
      </c>
      <c r="C15267" t="s">
        <v>8053</v>
      </c>
      <c r="D15267" t="s">
        <v>442</v>
      </c>
      <c r="E15267" t="s">
        <v>441</v>
      </c>
      <c r="F15267">
        <v>1E-3</v>
      </c>
      <c r="I15267">
        <v>365</v>
      </c>
      <c r="J15267" t="s">
        <v>450</v>
      </c>
      <c r="M15267">
        <v>0</v>
      </c>
    </row>
    <row r="15268" spans="1:13">
      <c r="A15268">
        <v>86444500</v>
      </c>
      <c r="B15268">
        <v>2015764</v>
      </c>
      <c r="C15268" t="s">
        <v>15813</v>
      </c>
      <c r="D15268" t="s">
        <v>442</v>
      </c>
      <c r="E15268" t="s">
        <v>441</v>
      </c>
      <c r="F15268">
        <v>1E-3</v>
      </c>
      <c r="H15268" t="s">
        <v>8580</v>
      </c>
      <c r="I15268">
        <v>365</v>
      </c>
      <c r="J15268" t="s">
        <v>450</v>
      </c>
      <c r="M15268">
        <v>0</v>
      </c>
    </row>
    <row r="15269" spans="1:13">
      <c r="A15269">
        <v>86444600</v>
      </c>
      <c r="B15269">
        <v>2015780</v>
      </c>
      <c r="C15269" t="s">
        <v>8054</v>
      </c>
      <c r="D15269" t="s">
        <v>442</v>
      </c>
      <c r="E15269" t="s">
        <v>441</v>
      </c>
      <c r="F15269">
        <v>1E-3</v>
      </c>
      <c r="H15269" t="s">
        <v>8584</v>
      </c>
      <c r="I15269">
        <v>365</v>
      </c>
      <c r="J15269" t="s">
        <v>450</v>
      </c>
      <c r="K15269" t="s">
        <v>446</v>
      </c>
      <c r="M15269">
        <v>0</v>
      </c>
    </row>
    <row r="15270" spans="1:13">
      <c r="A15270">
        <v>86444700</v>
      </c>
      <c r="B15270">
        <v>2015756</v>
      </c>
      <c r="C15270" t="s">
        <v>8055</v>
      </c>
      <c r="D15270" t="s">
        <v>442</v>
      </c>
      <c r="E15270" t="s">
        <v>441</v>
      </c>
      <c r="F15270">
        <v>1E-3</v>
      </c>
      <c r="H15270" t="s">
        <v>8580</v>
      </c>
      <c r="I15270">
        <v>365</v>
      </c>
      <c r="J15270" t="s">
        <v>450</v>
      </c>
      <c r="M15270">
        <v>0</v>
      </c>
    </row>
    <row r="15271" spans="1:13">
      <c r="A15271">
        <v>86444800</v>
      </c>
      <c r="B15271">
        <v>2015757</v>
      </c>
      <c r="C15271" t="s">
        <v>8056</v>
      </c>
      <c r="D15271" t="s">
        <v>442</v>
      </c>
      <c r="E15271" t="s">
        <v>441</v>
      </c>
      <c r="F15271">
        <v>1E-3</v>
      </c>
      <c r="H15271" t="s">
        <v>8580</v>
      </c>
      <c r="I15271">
        <v>365</v>
      </c>
      <c r="J15271" t="s">
        <v>450</v>
      </c>
      <c r="M15271">
        <v>0</v>
      </c>
    </row>
    <row r="15272" spans="1:13">
      <c r="A15272">
        <v>86444900</v>
      </c>
      <c r="B15272">
        <v>2015749</v>
      </c>
      <c r="C15272" t="s">
        <v>8057</v>
      </c>
      <c r="D15272" t="s">
        <v>442</v>
      </c>
      <c r="E15272" t="s">
        <v>441</v>
      </c>
      <c r="F15272">
        <v>1E-3</v>
      </c>
      <c r="H15272" t="s">
        <v>8580</v>
      </c>
      <c r="I15272">
        <v>365</v>
      </c>
      <c r="J15272" t="s">
        <v>450</v>
      </c>
      <c r="K15272" t="s">
        <v>446</v>
      </c>
      <c r="M15272">
        <v>0</v>
      </c>
    </row>
    <row r="15273" spans="1:13">
      <c r="A15273">
        <v>86445000</v>
      </c>
      <c r="B15273">
        <v>2015792</v>
      </c>
      <c r="C15273" t="s">
        <v>15814</v>
      </c>
      <c r="D15273" t="s">
        <v>442</v>
      </c>
      <c r="E15273" t="s">
        <v>441</v>
      </c>
      <c r="F15273">
        <v>1E-3</v>
      </c>
      <c r="I15273">
        <v>365</v>
      </c>
      <c r="J15273" t="s">
        <v>450</v>
      </c>
      <c r="M15273">
        <v>0</v>
      </c>
    </row>
    <row r="15274" spans="1:13">
      <c r="A15274">
        <v>86445100</v>
      </c>
      <c r="B15274">
        <v>2015813</v>
      </c>
      <c r="C15274" t="s">
        <v>15815</v>
      </c>
      <c r="D15274" t="s">
        <v>442</v>
      </c>
      <c r="E15274" t="s">
        <v>441</v>
      </c>
      <c r="F15274">
        <v>1E-3</v>
      </c>
      <c r="I15274">
        <v>365</v>
      </c>
      <c r="J15274" t="s">
        <v>450</v>
      </c>
      <c r="M15274">
        <v>0</v>
      </c>
    </row>
    <row r="15275" spans="1:13">
      <c r="A15275">
        <v>86445200</v>
      </c>
      <c r="B15275">
        <v>2015804</v>
      </c>
      <c r="C15275" t="s">
        <v>8058</v>
      </c>
      <c r="D15275" t="s">
        <v>442</v>
      </c>
      <c r="E15275" t="s">
        <v>441</v>
      </c>
      <c r="F15275">
        <v>1E-3</v>
      </c>
      <c r="I15275">
        <v>365</v>
      </c>
      <c r="J15275" t="s">
        <v>450</v>
      </c>
      <c r="M15275">
        <v>0</v>
      </c>
    </row>
    <row r="15276" spans="1:13">
      <c r="A15276">
        <v>86445300</v>
      </c>
      <c r="B15276">
        <v>2015805</v>
      </c>
      <c r="C15276" t="s">
        <v>15816</v>
      </c>
      <c r="D15276" t="s">
        <v>442</v>
      </c>
      <c r="E15276" t="s">
        <v>441</v>
      </c>
      <c r="F15276">
        <v>1E-3</v>
      </c>
      <c r="H15276" t="s">
        <v>8580</v>
      </c>
      <c r="I15276">
        <v>365</v>
      </c>
      <c r="J15276" t="s">
        <v>450</v>
      </c>
      <c r="M15276">
        <v>0</v>
      </c>
    </row>
    <row r="15277" spans="1:13">
      <c r="A15277">
        <v>86445400</v>
      </c>
      <c r="B15277">
        <v>2015955</v>
      </c>
      <c r="C15277" t="s">
        <v>15817</v>
      </c>
      <c r="D15277" t="s">
        <v>442</v>
      </c>
      <c r="E15277" t="s">
        <v>441</v>
      </c>
      <c r="F15277">
        <v>1E-3</v>
      </c>
      <c r="I15277">
        <v>365</v>
      </c>
      <c r="J15277" t="s">
        <v>450</v>
      </c>
      <c r="M15277">
        <v>0</v>
      </c>
    </row>
    <row r="15278" spans="1:13">
      <c r="A15278">
        <v>86445500</v>
      </c>
      <c r="B15278">
        <v>2015954</v>
      </c>
      <c r="C15278" t="s">
        <v>15818</v>
      </c>
      <c r="D15278" t="s">
        <v>442</v>
      </c>
      <c r="E15278" t="s">
        <v>441</v>
      </c>
      <c r="F15278">
        <v>1E-3</v>
      </c>
      <c r="H15278" t="s">
        <v>8584</v>
      </c>
      <c r="I15278">
        <v>365</v>
      </c>
      <c r="J15278" t="s">
        <v>450</v>
      </c>
      <c r="M15278">
        <v>0</v>
      </c>
    </row>
    <row r="15279" spans="1:13">
      <c r="A15279">
        <v>86445600</v>
      </c>
      <c r="B15279">
        <v>2015956</v>
      </c>
      <c r="C15279" t="s">
        <v>8059</v>
      </c>
      <c r="D15279" t="s">
        <v>442</v>
      </c>
      <c r="E15279" t="s">
        <v>441</v>
      </c>
      <c r="F15279">
        <v>1E-3</v>
      </c>
      <c r="I15279">
        <v>365</v>
      </c>
      <c r="J15279" t="s">
        <v>450</v>
      </c>
      <c r="K15279" t="s">
        <v>446</v>
      </c>
      <c r="M15279">
        <v>0</v>
      </c>
    </row>
    <row r="15280" spans="1:13">
      <c r="A15280">
        <v>86445700</v>
      </c>
      <c r="B15280">
        <v>2015992</v>
      </c>
      <c r="C15280" t="s">
        <v>17269</v>
      </c>
      <c r="D15280" t="s">
        <v>442</v>
      </c>
      <c r="E15280" t="s">
        <v>441</v>
      </c>
      <c r="F15280">
        <v>1E-3</v>
      </c>
      <c r="H15280" t="s">
        <v>8580</v>
      </c>
      <c r="I15280">
        <v>365</v>
      </c>
      <c r="J15280" t="s">
        <v>450</v>
      </c>
      <c r="M15280">
        <v>0</v>
      </c>
    </row>
    <row r="15281" spans="1:13">
      <c r="A15281">
        <v>86445800</v>
      </c>
      <c r="B15281">
        <v>2015976</v>
      </c>
      <c r="C15281" t="s">
        <v>15819</v>
      </c>
      <c r="D15281" t="s">
        <v>442</v>
      </c>
      <c r="E15281" t="s">
        <v>441</v>
      </c>
      <c r="F15281">
        <v>1E-3</v>
      </c>
      <c r="I15281">
        <v>365</v>
      </c>
      <c r="J15281" t="s">
        <v>450</v>
      </c>
      <c r="M15281">
        <v>0</v>
      </c>
    </row>
    <row r="15282" spans="1:13">
      <c r="A15282">
        <v>86445900</v>
      </c>
      <c r="B15282">
        <v>2015993</v>
      </c>
      <c r="C15282" t="s">
        <v>17820</v>
      </c>
      <c r="D15282" t="s">
        <v>442</v>
      </c>
      <c r="E15282" t="s">
        <v>441</v>
      </c>
      <c r="F15282">
        <v>1E-3</v>
      </c>
      <c r="H15282" t="s">
        <v>8580</v>
      </c>
      <c r="I15282">
        <v>365</v>
      </c>
      <c r="J15282" t="s">
        <v>450</v>
      </c>
      <c r="K15282" t="s">
        <v>446</v>
      </c>
      <c r="M15282">
        <v>0</v>
      </c>
    </row>
    <row r="15283" spans="1:13">
      <c r="A15283">
        <v>86446000</v>
      </c>
      <c r="B15283">
        <v>2015994</v>
      </c>
      <c r="C15283" t="s">
        <v>17821</v>
      </c>
      <c r="D15283" t="s">
        <v>442</v>
      </c>
      <c r="E15283" t="s">
        <v>441</v>
      </c>
      <c r="F15283">
        <v>1E-3</v>
      </c>
      <c r="H15283" t="s">
        <v>8580</v>
      </c>
      <c r="I15283">
        <v>365</v>
      </c>
      <c r="J15283" t="s">
        <v>450</v>
      </c>
      <c r="K15283" t="s">
        <v>446</v>
      </c>
      <c r="M15283">
        <v>0</v>
      </c>
    </row>
    <row r="15284" spans="1:13">
      <c r="A15284">
        <v>86446100</v>
      </c>
      <c r="B15284">
        <v>2016021</v>
      </c>
      <c r="C15284" t="s">
        <v>8060</v>
      </c>
      <c r="D15284" t="s">
        <v>442</v>
      </c>
      <c r="E15284" t="s">
        <v>441</v>
      </c>
      <c r="F15284">
        <v>1E-3</v>
      </c>
      <c r="H15284" t="s">
        <v>8580</v>
      </c>
      <c r="I15284">
        <v>365</v>
      </c>
      <c r="J15284" t="s">
        <v>450</v>
      </c>
      <c r="M15284">
        <v>0</v>
      </c>
    </row>
    <row r="15285" spans="1:13">
      <c r="A15285">
        <v>86446200</v>
      </c>
      <c r="B15285">
        <v>2015967</v>
      </c>
      <c r="C15285" t="s">
        <v>8061</v>
      </c>
      <c r="D15285" t="s">
        <v>442</v>
      </c>
      <c r="E15285" t="s">
        <v>441</v>
      </c>
      <c r="F15285">
        <v>1E-3</v>
      </c>
      <c r="H15285" t="s">
        <v>8580</v>
      </c>
      <c r="I15285">
        <v>365</v>
      </c>
      <c r="J15285" t="s">
        <v>450</v>
      </c>
      <c r="M15285">
        <v>0</v>
      </c>
    </row>
    <row r="15286" spans="1:13">
      <c r="A15286">
        <v>86446300</v>
      </c>
      <c r="B15286">
        <v>2016023</v>
      </c>
      <c r="C15286" t="s">
        <v>8062</v>
      </c>
      <c r="D15286" t="s">
        <v>442</v>
      </c>
      <c r="E15286" t="s">
        <v>441</v>
      </c>
      <c r="F15286">
        <v>1E-3</v>
      </c>
      <c r="H15286" t="s">
        <v>8637</v>
      </c>
      <c r="I15286">
        <v>365</v>
      </c>
      <c r="J15286" t="s">
        <v>450</v>
      </c>
      <c r="K15286" t="s">
        <v>446</v>
      </c>
      <c r="M15286">
        <v>0</v>
      </c>
    </row>
    <row r="15287" spans="1:13">
      <c r="A15287">
        <v>86446400</v>
      </c>
      <c r="B15287">
        <v>2016014</v>
      </c>
      <c r="C15287" t="s">
        <v>8063</v>
      </c>
      <c r="D15287" t="s">
        <v>442</v>
      </c>
      <c r="E15287" t="s">
        <v>441</v>
      </c>
      <c r="F15287">
        <v>1E-3</v>
      </c>
      <c r="I15287">
        <v>365</v>
      </c>
      <c r="J15287" t="s">
        <v>450</v>
      </c>
      <c r="K15287" t="s">
        <v>446</v>
      </c>
      <c r="M15287">
        <v>0</v>
      </c>
    </row>
    <row r="15288" spans="1:13">
      <c r="A15288">
        <v>86446500</v>
      </c>
      <c r="B15288">
        <v>2016103</v>
      </c>
      <c r="C15288" t="s">
        <v>17270</v>
      </c>
      <c r="D15288" t="s">
        <v>442</v>
      </c>
      <c r="E15288" t="s">
        <v>441</v>
      </c>
      <c r="F15288">
        <v>1E-3</v>
      </c>
      <c r="H15288" t="s">
        <v>8580</v>
      </c>
      <c r="I15288">
        <v>365</v>
      </c>
      <c r="J15288" t="s">
        <v>450</v>
      </c>
      <c r="M15288">
        <v>0</v>
      </c>
    </row>
    <row r="15289" spans="1:13">
      <c r="A15289">
        <v>86446600</v>
      </c>
      <c r="B15289">
        <v>2016104</v>
      </c>
      <c r="C15289" t="s">
        <v>15820</v>
      </c>
      <c r="D15289" t="s">
        <v>442</v>
      </c>
      <c r="E15289" t="s">
        <v>441</v>
      </c>
      <c r="F15289">
        <v>1E-3</v>
      </c>
      <c r="H15289" t="s">
        <v>8580</v>
      </c>
      <c r="I15289">
        <v>365</v>
      </c>
      <c r="J15289" t="s">
        <v>450</v>
      </c>
      <c r="M15289">
        <v>0</v>
      </c>
    </row>
    <row r="15290" spans="1:13">
      <c r="A15290">
        <v>86446700</v>
      </c>
      <c r="B15290">
        <v>2016122</v>
      </c>
      <c r="C15290" t="s">
        <v>8064</v>
      </c>
      <c r="D15290" t="s">
        <v>442</v>
      </c>
      <c r="E15290" t="s">
        <v>441</v>
      </c>
      <c r="F15290">
        <v>1E-3</v>
      </c>
      <c r="H15290" t="s">
        <v>8584</v>
      </c>
      <c r="I15290">
        <v>365</v>
      </c>
      <c r="J15290" t="s">
        <v>450</v>
      </c>
      <c r="M15290">
        <v>0</v>
      </c>
    </row>
    <row r="15291" spans="1:13">
      <c r="A15291">
        <v>86446800</v>
      </c>
      <c r="B15291">
        <v>2016127</v>
      </c>
      <c r="C15291" t="s">
        <v>8065</v>
      </c>
      <c r="D15291" t="s">
        <v>442</v>
      </c>
      <c r="E15291" t="s">
        <v>441</v>
      </c>
      <c r="F15291">
        <v>1E-3</v>
      </c>
      <c r="H15291" t="s">
        <v>8584</v>
      </c>
      <c r="I15291">
        <v>365</v>
      </c>
      <c r="J15291" t="s">
        <v>450</v>
      </c>
      <c r="M15291">
        <v>0</v>
      </c>
    </row>
    <row r="15292" spans="1:13">
      <c r="A15292">
        <v>86446900</v>
      </c>
      <c r="B15292">
        <v>2016128</v>
      </c>
      <c r="C15292" t="s">
        <v>15821</v>
      </c>
      <c r="D15292" t="s">
        <v>442</v>
      </c>
      <c r="E15292" t="s">
        <v>441</v>
      </c>
      <c r="F15292">
        <v>1E-3</v>
      </c>
      <c r="H15292" t="s">
        <v>8580</v>
      </c>
      <c r="I15292">
        <v>365</v>
      </c>
      <c r="J15292" t="s">
        <v>450</v>
      </c>
      <c r="M15292">
        <v>0</v>
      </c>
    </row>
    <row r="15293" spans="1:13">
      <c r="A15293">
        <v>86447000</v>
      </c>
      <c r="B15293">
        <v>2016172</v>
      </c>
      <c r="C15293" t="s">
        <v>8066</v>
      </c>
      <c r="D15293" t="s">
        <v>442</v>
      </c>
      <c r="E15293" t="s">
        <v>441</v>
      </c>
      <c r="F15293">
        <v>1E-3</v>
      </c>
      <c r="H15293" t="s">
        <v>8580</v>
      </c>
      <c r="I15293">
        <v>365</v>
      </c>
      <c r="J15293" t="s">
        <v>450</v>
      </c>
      <c r="M15293">
        <v>0</v>
      </c>
    </row>
    <row r="15294" spans="1:13">
      <c r="A15294">
        <v>86447100</v>
      </c>
      <c r="B15294">
        <v>2016281</v>
      </c>
      <c r="C15294" t="s">
        <v>8067</v>
      </c>
      <c r="D15294" t="s">
        <v>442</v>
      </c>
      <c r="E15294" t="s">
        <v>441</v>
      </c>
      <c r="F15294">
        <v>1E-3</v>
      </c>
      <c r="I15294">
        <v>365</v>
      </c>
      <c r="J15294" t="s">
        <v>450</v>
      </c>
      <c r="K15294" t="s">
        <v>446</v>
      </c>
      <c r="M15294">
        <v>0</v>
      </c>
    </row>
    <row r="15295" spans="1:13">
      <c r="A15295">
        <v>86447200</v>
      </c>
      <c r="B15295">
        <v>2016282</v>
      </c>
      <c r="C15295" t="s">
        <v>15822</v>
      </c>
      <c r="D15295" t="s">
        <v>442</v>
      </c>
      <c r="E15295" t="s">
        <v>441</v>
      </c>
      <c r="F15295">
        <v>1E-3</v>
      </c>
      <c r="I15295">
        <v>365</v>
      </c>
      <c r="J15295" t="s">
        <v>450</v>
      </c>
      <c r="M15295">
        <v>0</v>
      </c>
    </row>
    <row r="15296" spans="1:13">
      <c r="A15296">
        <v>86447300</v>
      </c>
      <c r="B15296">
        <v>2016288</v>
      </c>
      <c r="C15296" t="s">
        <v>15823</v>
      </c>
      <c r="D15296" t="s">
        <v>442</v>
      </c>
      <c r="E15296" t="s">
        <v>441</v>
      </c>
      <c r="F15296">
        <v>1E-3</v>
      </c>
      <c r="I15296">
        <v>365</v>
      </c>
      <c r="J15296" t="s">
        <v>450</v>
      </c>
      <c r="M15296">
        <v>0</v>
      </c>
    </row>
    <row r="15297" spans="1:13">
      <c r="A15297">
        <v>86447400</v>
      </c>
      <c r="B15297">
        <v>2016363</v>
      </c>
      <c r="C15297" t="s">
        <v>15824</v>
      </c>
      <c r="D15297" t="s">
        <v>442</v>
      </c>
      <c r="E15297" t="s">
        <v>441</v>
      </c>
      <c r="F15297">
        <v>1E-3</v>
      </c>
      <c r="I15297">
        <v>365</v>
      </c>
      <c r="J15297" t="s">
        <v>450</v>
      </c>
      <c r="M15297">
        <v>0</v>
      </c>
    </row>
    <row r="15298" spans="1:13">
      <c r="A15298">
        <v>86447500</v>
      </c>
      <c r="B15298">
        <v>2016362</v>
      </c>
      <c r="C15298" t="s">
        <v>15825</v>
      </c>
      <c r="D15298" t="s">
        <v>442</v>
      </c>
      <c r="E15298" t="s">
        <v>441</v>
      </c>
      <c r="F15298">
        <v>1E-3</v>
      </c>
      <c r="H15298" t="s">
        <v>8580</v>
      </c>
      <c r="I15298">
        <v>365</v>
      </c>
      <c r="J15298" t="s">
        <v>450</v>
      </c>
      <c r="M15298">
        <v>0</v>
      </c>
    </row>
    <row r="15299" spans="1:13">
      <c r="A15299">
        <v>86447700</v>
      </c>
      <c r="B15299">
        <v>2016411</v>
      </c>
      <c r="C15299" t="s">
        <v>15826</v>
      </c>
      <c r="D15299" t="s">
        <v>442</v>
      </c>
      <c r="E15299" t="s">
        <v>441</v>
      </c>
      <c r="F15299">
        <v>1E-3</v>
      </c>
      <c r="H15299" t="s">
        <v>8580</v>
      </c>
      <c r="I15299">
        <v>365</v>
      </c>
      <c r="J15299" t="s">
        <v>450</v>
      </c>
      <c r="M15299">
        <v>0</v>
      </c>
    </row>
    <row r="15300" spans="1:13">
      <c r="A15300">
        <v>86447800</v>
      </c>
      <c r="B15300">
        <v>2016412</v>
      </c>
      <c r="C15300" t="s">
        <v>17242</v>
      </c>
      <c r="D15300" t="s">
        <v>442</v>
      </c>
      <c r="E15300" t="s">
        <v>441</v>
      </c>
      <c r="F15300">
        <v>1E-3</v>
      </c>
      <c r="H15300" t="s">
        <v>8584</v>
      </c>
      <c r="I15300">
        <v>365</v>
      </c>
      <c r="J15300" t="s">
        <v>450</v>
      </c>
      <c r="M15300">
        <v>0</v>
      </c>
    </row>
    <row r="15301" spans="1:13">
      <c r="A15301">
        <v>86447900</v>
      </c>
      <c r="B15301">
        <v>2016453</v>
      </c>
      <c r="C15301" t="s">
        <v>15827</v>
      </c>
      <c r="D15301" t="s">
        <v>442</v>
      </c>
      <c r="E15301" t="s">
        <v>441</v>
      </c>
      <c r="F15301">
        <v>1E-3</v>
      </c>
      <c r="H15301" t="s">
        <v>8624</v>
      </c>
      <c r="I15301">
        <v>365</v>
      </c>
      <c r="J15301" t="s">
        <v>450</v>
      </c>
      <c r="M15301">
        <v>0</v>
      </c>
    </row>
    <row r="15302" spans="1:13">
      <c r="A15302">
        <v>86448000</v>
      </c>
      <c r="B15302">
        <v>2016539</v>
      </c>
      <c r="C15302" t="s">
        <v>15828</v>
      </c>
      <c r="D15302" t="s">
        <v>442</v>
      </c>
      <c r="E15302" t="s">
        <v>441</v>
      </c>
      <c r="F15302">
        <v>1E-3</v>
      </c>
      <c r="H15302" t="s">
        <v>8580</v>
      </c>
      <c r="I15302">
        <v>365</v>
      </c>
      <c r="J15302" t="s">
        <v>450</v>
      </c>
      <c r="M15302">
        <v>0</v>
      </c>
    </row>
    <row r="15303" spans="1:13">
      <c r="A15303">
        <v>86448100</v>
      </c>
      <c r="B15303">
        <v>2016612</v>
      </c>
      <c r="C15303" t="s">
        <v>17271</v>
      </c>
      <c r="D15303" t="s">
        <v>442</v>
      </c>
      <c r="E15303" t="s">
        <v>441</v>
      </c>
      <c r="F15303">
        <v>1E-3</v>
      </c>
      <c r="H15303" t="s">
        <v>8580</v>
      </c>
      <c r="I15303">
        <v>365</v>
      </c>
      <c r="J15303" t="s">
        <v>450</v>
      </c>
      <c r="M15303">
        <v>0</v>
      </c>
    </row>
    <row r="15304" spans="1:13">
      <c r="A15304">
        <v>86448200</v>
      </c>
      <c r="B15304">
        <v>2016611</v>
      </c>
      <c r="C15304" t="s">
        <v>17272</v>
      </c>
      <c r="D15304" t="s">
        <v>442</v>
      </c>
      <c r="E15304" t="s">
        <v>441</v>
      </c>
      <c r="F15304">
        <v>1E-3</v>
      </c>
      <c r="H15304" t="s">
        <v>8935</v>
      </c>
      <c r="I15304">
        <v>365</v>
      </c>
      <c r="J15304" t="s">
        <v>450</v>
      </c>
      <c r="M15304">
        <v>0</v>
      </c>
    </row>
    <row r="15305" spans="1:13">
      <c r="A15305">
        <v>86448300</v>
      </c>
      <c r="B15305">
        <v>2016648</v>
      </c>
      <c r="C15305" t="s">
        <v>8068</v>
      </c>
      <c r="D15305" t="s">
        <v>442</v>
      </c>
      <c r="E15305" t="s">
        <v>441</v>
      </c>
      <c r="F15305">
        <v>1E-3</v>
      </c>
      <c r="H15305" t="s">
        <v>8935</v>
      </c>
      <c r="I15305">
        <v>365</v>
      </c>
      <c r="J15305" t="s">
        <v>450</v>
      </c>
      <c r="M15305">
        <v>0</v>
      </c>
    </row>
    <row r="15306" spans="1:13">
      <c r="A15306">
        <v>86448400</v>
      </c>
      <c r="B15306">
        <v>2016670</v>
      </c>
      <c r="C15306" t="s">
        <v>17273</v>
      </c>
      <c r="D15306" t="s">
        <v>442</v>
      </c>
      <c r="E15306" t="s">
        <v>441</v>
      </c>
      <c r="F15306">
        <v>1E-3</v>
      </c>
      <c r="H15306" t="s">
        <v>8935</v>
      </c>
      <c r="I15306">
        <v>365</v>
      </c>
      <c r="J15306" t="s">
        <v>450</v>
      </c>
      <c r="M15306">
        <v>0</v>
      </c>
    </row>
    <row r="15307" spans="1:13">
      <c r="A15307">
        <v>86448500</v>
      </c>
      <c r="B15307">
        <v>2016671</v>
      </c>
      <c r="C15307" t="s">
        <v>15829</v>
      </c>
      <c r="D15307" t="s">
        <v>442</v>
      </c>
      <c r="E15307" t="s">
        <v>441</v>
      </c>
      <c r="F15307">
        <v>1E-3</v>
      </c>
      <c r="H15307" t="s">
        <v>8935</v>
      </c>
      <c r="I15307">
        <v>365</v>
      </c>
      <c r="J15307" t="s">
        <v>450</v>
      </c>
      <c r="M15307">
        <v>0</v>
      </c>
    </row>
    <row r="15308" spans="1:13">
      <c r="A15308">
        <v>86448600</v>
      </c>
      <c r="B15308">
        <v>2016672</v>
      </c>
      <c r="C15308" t="s">
        <v>15830</v>
      </c>
      <c r="D15308" t="s">
        <v>442</v>
      </c>
      <c r="E15308" t="s">
        <v>441</v>
      </c>
      <c r="F15308">
        <v>1E-3</v>
      </c>
      <c r="H15308" t="s">
        <v>8935</v>
      </c>
      <c r="I15308">
        <v>365</v>
      </c>
      <c r="J15308" t="s">
        <v>450</v>
      </c>
      <c r="M15308">
        <v>0</v>
      </c>
    </row>
    <row r="15309" spans="1:13">
      <c r="A15309">
        <v>86448700</v>
      </c>
      <c r="B15309">
        <v>2016704</v>
      </c>
      <c r="C15309" t="s">
        <v>8069</v>
      </c>
      <c r="D15309" t="s">
        <v>442</v>
      </c>
      <c r="E15309" t="s">
        <v>441</v>
      </c>
      <c r="F15309">
        <v>1E-3</v>
      </c>
      <c r="H15309" t="s">
        <v>8935</v>
      </c>
      <c r="I15309">
        <v>365</v>
      </c>
      <c r="J15309" t="s">
        <v>450</v>
      </c>
      <c r="M15309">
        <v>0</v>
      </c>
    </row>
    <row r="15310" spans="1:13">
      <c r="A15310">
        <v>86448800</v>
      </c>
      <c r="B15310">
        <v>2016705</v>
      </c>
      <c r="C15310" t="s">
        <v>8070</v>
      </c>
      <c r="D15310" t="s">
        <v>442</v>
      </c>
      <c r="E15310" t="s">
        <v>441</v>
      </c>
      <c r="F15310">
        <v>1E-3</v>
      </c>
      <c r="H15310" t="s">
        <v>8935</v>
      </c>
      <c r="I15310">
        <v>365</v>
      </c>
      <c r="J15310" t="s">
        <v>450</v>
      </c>
      <c r="M15310">
        <v>0</v>
      </c>
    </row>
    <row r="15311" spans="1:13">
      <c r="A15311">
        <v>86448900</v>
      </c>
      <c r="B15311">
        <v>2016744</v>
      </c>
      <c r="C15311" t="s">
        <v>15831</v>
      </c>
      <c r="D15311" t="s">
        <v>442</v>
      </c>
      <c r="E15311" t="s">
        <v>441</v>
      </c>
      <c r="F15311">
        <v>1E-3</v>
      </c>
      <c r="I15311">
        <v>365</v>
      </c>
      <c r="J15311" t="s">
        <v>450</v>
      </c>
      <c r="M15311">
        <v>0</v>
      </c>
    </row>
    <row r="15312" spans="1:13">
      <c r="A15312">
        <v>86449000</v>
      </c>
      <c r="B15312">
        <v>2016738</v>
      </c>
      <c r="C15312" t="s">
        <v>15832</v>
      </c>
      <c r="D15312" t="s">
        <v>442</v>
      </c>
      <c r="E15312" t="s">
        <v>441</v>
      </c>
      <c r="F15312">
        <v>1E-3</v>
      </c>
      <c r="I15312">
        <v>365</v>
      </c>
      <c r="J15312" t="s">
        <v>450</v>
      </c>
      <c r="M15312">
        <v>0</v>
      </c>
    </row>
    <row r="15313" spans="1:13">
      <c r="A15313">
        <v>86449100</v>
      </c>
      <c r="B15313">
        <v>2016737</v>
      </c>
      <c r="C15313" t="s">
        <v>15833</v>
      </c>
      <c r="D15313" t="s">
        <v>442</v>
      </c>
      <c r="E15313" t="s">
        <v>441</v>
      </c>
      <c r="F15313">
        <v>1E-3</v>
      </c>
      <c r="H15313" t="s">
        <v>8580</v>
      </c>
      <c r="I15313">
        <v>365</v>
      </c>
      <c r="J15313" t="s">
        <v>450</v>
      </c>
      <c r="M15313">
        <v>0</v>
      </c>
    </row>
    <row r="15314" spans="1:13">
      <c r="A15314">
        <v>86449200</v>
      </c>
      <c r="B15314">
        <v>2016728</v>
      </c>
      <c r="C15314" t="s">
        <v>15834</v>
      </c>
      <c r="D15314" t="s">
        <v>442</v>
      </c>
      <c r="E15314" t="s">
        <v>441</v>
      </c>
      <c r="F15314">
        <v>1E-3</v>
      </c>
      <c r="H15314" t="s">
        <v>8586</v>
      </c>
      <c r="I15314">
        <v>365</v>
      </c>
      <c r="J15314" t="s">
        <v>450</v>
      </c>
      <c r="M15314">
        <v>0</v>
      </c>
    </row>
    <row r="15315" spans="1:13">
      <c r="A15315">
        <v>86449300</v>
      </c>
      <c r="B15315">
        <v>2016794</v>
      </c>
      <c r="C15315" t="s">
        <v>8071</v>
      </c>
      <c r="D15315" t="s">
        <v>442</v>
      </c>
      <c r="E15315" t="s">
        <v>441</v>
      </c>
      <c r="F15315">
        <v>1E-3</v>
      </c>
      <c r="I15315">
        <v>365</v>
      </c>
      <c r="J15315" t="s">
        <v>450</v>
      </c>
      <c r="M15315">
        <v>0</v>
      </c>
    </row>
    <row r="15316" spans="1:13">
      <c r="A15316">
        <v>86449400</v>
      </c>
      <c r="B15316">
        <v>2016798</v>
      </c>
      <c r="C15316" t="s">
        <v>8072</v>
      </c>
      <c r="D15316" t="s">
        <v>442</v>
      </c>
      <c r="E15316" t="s">
        <v>441</v>
      </c>
      <c r="F15316">
        <v>1E-3</v>
      </c>
      <c r="I15316">
        <v>365</v>
      </c>
      <c r="J15316" t="s">
        <v>450</v>
      </c>
      <c r="M15316">
        <v>0</v>
      </c>
    </row>
    <row r="15317" spans="1:13">
      <c r="A15317">
        <v>86449500</v>
      </c>
      <c r="B15317">
        <v>2016822</v>
      </c>
      <c r="C15317" t="s">
        <v>8073</v>
      </c>
      <c r="D15317" t="s">
        <v>442</v>
      </c>
      <c r="E15317" t="s">
        <v>441</v>
      </c>
      <c r="F15317">
        <v>1E-3</v>
      </c>
      <c r="H15317" t="s">
        <v>8580</v>
      </c>
      <c r="I15317">
        <v>365</v>
      </c>
      <c r="J15317" t="s">
        <v>450</v>
      </c>
      <c r="M15317">
        <v>0</v>
      </c>
    </row>
    <row r="15318" spans="1:13">
      <c r="A15318">
        <v>86449600</v>
      </c>
      <c r="B15318">
        <v>2016823</v>
      </c>
      <c r="C15318" t="s">
        <v>8074</v>
      </c>
      <c r="D15318" t="s">
        <v>442</v>
      </c>
      <c r="E15318" t="s">
        <v>441</v>
      </c>
      <c r="F15318">
        <v>1E-3</v>
      </c>
      <c r="I15318">
        <v>365</v>
      </c>
      <c r="J15318" t="s">
        <v>450</v>
      </c>
      <c r="M15318">
        <v>0</v>
      </c>
    </row>
    <row r="15319" spans="1:13">
      <c r="A15319">
        <v>86449700</v>
      </c>
      <c r="B15319">
        <v>2016837</v>
      </c>
      <c r="C15319" t="s">
        <v>8075</v>
      </c>
      <c r="D15319" t="s">
        <v>442</v>
      </c>
      <c r="E15319" t="s">
        <v>441</v>
      </c>
      <c r="F15319">
        <v>1E-3</v>
      </c>
      <c r="H15319" t="s">
        <v>8584</v>
      </c>
      <c r="I15319">
        <v>365</v>
      </c>
      <c r="J15319" t="s">
        <v>450</v>
      </c>
      <c r="K15319" t="s">
        <v>446</v>
      </c>
      <c r="M15319">
        <v>0</v>
      </c>
    </row>
    <row r="15320" spans="1:13">
      <c r="A15320">
        <v>86449800</v>
      </c>
      <c r="B15320">
        <v>2016853</v>
      </c>
      <c r="C15320" t="s">
        <v>8076</v>
      </c>
      <c r="D15320" t="s">
        <v>442</v>
      </c>
      <c r="E15320" t="s">
        <v>441</v>
      </c>
      <c r="F15320">
        <v>1E-3</v>
      </c>
      <c r="H15320" t="s">
        <v>8580</v>
      </c>
      <c r="I15320">
        <v>365</v>
      </c>
      <c r="J15320" t="s">
        <v>450</v>
      </c>
      <c r="K15320" t="s">
        <v>446</v>
      </c>
      <c r="M15320">
        <v>0</v>
      </c>
    </row>
    <row r="15321" spans="1:13">
      <c r="A15321">
        <v>86449900</v>
      </c>
      <c r="B15321">
        <v>2016852</v>
      </c>
      <c r="C15321" t="s">
        <v>15835</v>
      </c>
      <c r="D15321" t="s">
        <v>442</v>
      </c>
      <c r="E15321" t="s">
        <v>441</v>
      </c>
      <c r="F15321">
        <v>1E-3</v>
      </c>
      <c r="H15321" t="s">
        <v>8580</v>
      </c>
      <c r="I15321">
        <v>365</v>
      </c>
      <c r="J15321" t="s">
        <v>450</v>
      </c>
      <c r="M15321">
        <v>0</v>
      </c>
    </row>
    <row r="15322" spans="1:13">
      <c r="A15322">
        <v>86450000</v>
      </c>
      <c r="B15322">
        <v>2016904</v>
      </c>
      <c r="C15322" t="s">
        <v>15836</v>
      </c>
      <c r="D15322" t="s">
        <v>442</v>
      </c>
      <c r="E15322" t="s">
        <v>441</v>
      </c>
      <c r="F15322">
        <v>1E-3</v>
      </c>
      <c r="I15322">
        <v>365</v>
      </c>
      <c r="J15322" t="s">
        <v>450</v>
      </c>
      <c r="M15322">
        <v>0</v>
      </c>
    </row>
    <row r="15323" spans="1:13">
      <c r="A15323">
        <v>86450100</v>
      </c>
      <c r="B15323">
        <v>2016877</v>
      </c>
      <c r="C15323" t="s">
        <v>8077</v>
      </c>
      <c r="D15323" t="s">
        <v>442</v>
      </c>
      <c r="E15323" t="s">
        <v>441</v>
      </c>
      <c r="F15323">
        <v>1E-3</v>
      </c>
      <c r="I15323">
        <v>365</v>
      </c>
      <c r="J15323" t="s">
        <v>450</v>
      </c>
      <c r="K15323" t="s">
        <v>446</v>
      </c>
      <c r="M15323">
        <v>0</v>
      </c>
    </row>
    <row r="15324" spans="1:13">
      <c r="A15324">
        <v>86450200</v>
      </c>
      <c r="B15324">
        <v>2015076</v>
      </c>
      <c r="C15324" t="s">
        <v>17274</v>
      </c>
      <c r="D15324" t="s">
        <v>442</v>
      </c>
      <c r="E15324" t="s">
        <v>441</v>
      </c>
      <c r="F15324">
        <v>1E-3</v>
      </c>
      <c r="H15324" t="s">
        <v>8580</v>
      </c>
      <c r="I15324">
        <v>730</v>
      </c>
      <c r="J15324" t="s">
        <v>450</v>
      </c>
      <c r="M15324">
        <v>0</v>
      </c>
    </row>
    <row r="15325" spans="1:13">
      <c r="A15325">
        <v>86450300</v>
      </c>
      <c r="B15325">
        <v>2016989</v>
      </c>
      <c r="C15325" t="s">
        <v>17275</v>
      </c>
      <c r="D15325" t="s">
        <v>442</v>
      </c>
      <c r="E15325" t="s">
        <v>441</v>
      </c>
      <c r="F15325">
        <v>1E-3</v>
      </c>
      <c r="I15325">
        <v>360</v>
      </c>
      <c r="J15325" t="s">
        <v>450</v>
      </c>
      <c r="M15325">
        <v>0</v>
      </c>
    </row>
    <row r="15326" spans="1:13">
      <c r="A15326">
        <v>86450400</v>
      </c>
      <c r="B15326">
        <v>2017010</v>
      </c>
      <c r="C15326" t="s">
        <v>8078</v>
      </c>
      <c r="D15326" t="s">
        <v>442</v>
      </c>
      <c r="E15326" t="s">
        <v>441</v>
      </c>
      <c r="F15326">
        <v>1E-3</v>
      </c>
      <c r="H15326" t="s">
        <v>8580</v>
      </c>
      <c r="I15326">
        <v>360</v>
      </c>
      <c r="J15326" t="s">
        <v>450</v>
      </c>
      <c r="M15326">
        <v>0</v>
      </c>
    </row>
    <row r="15327" spans="1:13">
      <c r="A15327">
        <v>86450500</v>
      </c>
      <c r="B15327">
        <v>2017011</v>
      </c>
      <c r="C15327" t="s">
        <v>8079</v>
      </c>
      <c r="D15327" t="s">
        <v>442</v>
      </c>
      <c r="E15327" t="s">
        <v>441</v>
      </c>
      <c r="F15327">
        <v>1E-3</v>
      </c>
      <c r="H15327" t="s">
        <v>8580</v>
      </c>
      <c r="I15327">
        <v>360</v>
      </c>
      <c r="J15327" t="s">
        <v>450</v>
      </c>
      <c r="M15327">
        <v>0</v>
      </c>
    </row>
    <row r="15328" spans="1:13">
      <c r="A15328">
        <v>86450600</v>
      </c>
      <c r="B15328">
        <v>2017033</v>
      </c>
      <c r="C15328" t="s">
        <v>8080</v>
      </c>
      <c r="D15328" t="s">
        <v>442</v>
      </c>
      <c r="E15328" t="s">
        <v>441</v>
      </c>
      <c r="F15328">
        <v>1E-3</v>
      </c>
      <c r="I15328">
        <v>360</v>
      </c>
      <c r="J15328" t="s">
        <v>450</v>
      </c>
      <c r="K15328" t="s">
        <v>446</v>
      </c>
      <c r="M15328">
        <v>0</v>
      </c>
    </row>
    <row r="15329" spans="1:13">
      <c r="A15329">
        <v>86451100</v>
      </c>
      <c r="B15329">
        <v>2017052</v>
      </c>
      <c r="C15329" t="s">
        <v>17276</v>
      </c>
      <c r="D15329" t="s">
        <v>442</v>
      </c>
      <c r="E15329" t="s">
        <v>441</v>
      </c>
      <c r="F15329">
        <v>1E-3</v>
      </c>
      <c r="H15329" t="s">
        <v>8580</v>
      </c>
      <c r="I15329">
        <v>360</v>
      </c>
      <c r="J15329" t="s">
        <v>450</v>
      </c>
      <c r="M15329">
        <v>0</v>
      </c>
    </row>
    <row r="15330" spans="1:13">
      <c r="A15330">
        <v>86451200</v>
      </c>
      <c r="B15330">
        <v>2017053</v>
      </c>
      <c r="C15330" t="s">
        <v>17277</v>
      </c>
      <c r="D15330" t="s">
        <v>442</v>
      </c>
      <c r="E15330" t="s">
        <v>441</v>
      </c>
      <c r="F15330">
        <v>1E-3</v>
      </c>
      <c r="H15330" t="s">
        <v>8580</v>
      </c>
      <c r="I15330">
        <v>360</v>
      </c>
      <c r="J15330" t="s">
        <v>450</v>
      </c>
      <c r="M15330">
        <v>0</v>
      </c>
    </row>
    <row r="15331" spans="1:13">
      <c r="A15331">
        <v>86451300</v>
      </c>
      <c r="B15331">
        <v>2017065</v>
      </c>
      <c r="C15331" t="s">
        <v>17278</v>
      </c>
      <c r="D15331" t="s">
        <v>442</v>
      </c>
      <c r="E15331" t="s">
        <v>441</v>
      </c>
      <c r="F15331">
        <v>1E-3</v>
      </c>
      <c r="I15331">
        <v>360</v>
      </c>
      <c r="J15331" t="s">
        <v>450</v>
      </c>
      <c r="M15331">
        <v>0</v>
      </c>
    </row>
    <row r="15332" spans="1:13">
      <c r="A15332">
        <v>86451400</v>
      </c>
      <c r="B15332">
        <v>2017072</v>
      </c>
      <c r="C15332" t="s">
        <v>8081</v>
      </c>
      <c r="D15332" t="s">
        <v>442</v>
      </c>
      <c r="E15332" t="s">
        <v>441</v>
      </c>
      <c r="F15332">
        <v>1E-3</v>
      </c>
      <c r="I15332">
        <v>360</v>
      </c>
      <c r="J15332" t="s">
        <v>450</v>
      </c>
      <c r="M15332">
        <v>0</v>
      </c>
    </row>
    <row r="15333" spans="1:13">
      <c r="A15333">
        <v>86451500</v>
      </c>
      <c r="B15333">
        <v>2017071</v>
      </c>
      <c r="C15333" t="s">
        <v>8082</v>
      </c>
      <c r="D15333" t="s">
        <v>442</v>
      </c>
      <c r="E15333" t="s">
        <v>441</v>
      </c>
      <c r="F15333">
        <v>1E-3</v>
      </c>
      <c r="I15333">
        <v>360</v>
      </c>
      <c r="J15333" t="s">
        <v>450</v>
      </c>
      <c r="M15333">
        <v>0</v>
      </c>
    </row>
    <row r="15334" spans="1:13">
      <c r="A15334">
        <v>86451600</v>
      </c>
      <c r="B15334">
        <v>2017070</v>
      </c>
      <c r="C15334" t="s">
        <v>8083</v>
      </c>
      <c r="D15334" t="s">
        <v>442</v>
      </c>
      <c r="E15334" t="s">
        <v>441</v>
      </c>
      <c r="F15334">
        <v>1E-3</v>
      </c>
      <c r="I15334">
        <v>360</v>
      </c>
      <c r="J15334" t="s">
        <v>450</v>
      </c>
      <c r="M15334">
        <v>0</v>
      </c>
    </row>
    <row r="15335" spans="1:13">
      <c r="A15335">
        <v>86451700</v>
      </c>
      <c r="B15335">
        <v>2017069</v>
      </c>
      <c r="C15335" t="s">
        <v>8084</v>
      </c>
      <c r="D15335" t="s">
        <v>442</v>
      </c>
      <c r="E15335" t="s">
        <v>441</v>
      </c>
      <c r="F15335">
        <v>1E-3</v>
      </c>
      <c r="I15335">
        <v>360</v>
      </c>
      <c r="J15335" t="s">
        <v>450</v>
      </c>
      <c r="K15335" t="s">
        <v>446</v>
      </c>
      <c r="M15335">
        <v>0</v>
      </c>
    </row>
    <row r="15336" spans="1:13">
      <c r="A15336">
        <v>86451800</v>
      </c>
      <c r="B15336">
        <v>2017068</v>
      </c>
      <c r="C15336" t="s">
        <v>8085</v>
      </c>
      <c r="D15336" t="s">
        <v>442</v>
      </c>
      <c r="E15336" t="s">
        <v>441</v>
      </c>
      <c r="F15336">
        <v>1E-3</v>
      </c>
      <c r="I15336">
        <v>360</v>
      </c>
      <c r="J15336" t="s">
        <v>450</v>
      </c>
      <c r="K15336" t="s">
        <v>446</v>
      </c>
      <c r="M15336">
        <v>0</v>
      </c>
    </row>
    <row r="15337" spans="1:13">
      <c r="A15337">
        <v>86451900</v>
      </c>
      <c r="B15337">
        <v>2017287</v>
      </c>
      <c r="C15337" t="s">
        <v>15837</v>
      </c>
      <c r="D15337" t="s">
        <v>442</v>
      </c>
      <c r="E15337" t="s">
        <v>441</v>
      </c>
      <c r="F15337">
        <v>1E-3</v>
      </c>
      <c r="H15337" t="s">
        <v>8580</v>
      </c>
      <c r="I15337">
        <v>365</v>
      </c>
      <c r="J15337" t="s">
        <v>450</v>
      </c>
      <c r="M15337">
        <v>0</v>
      </c>
    </row>
    <row r="15338" spans="1:13">
      <c r="A15338">
        <v>86452000</v>
      </c>
      <c r="B15338">
        <v>2017288</v>
      </c>
      <c r="C15338" t="s">
        <v>8086</v>
      </c>
      <c r="D15338" t="s">
        <v>442</v>
      </c>
      <c r="E15338" t="s">
        <v>441</v>
      </c>
      <c r="F15338">
        <v>1E-3</v>
      </c>
      <c r="H15338" t="s">
        <v>8580</v>
      </c>
      <c r="I15338">
        <v>365</v>
      </c>
      <c r="J15338" t="s">
        <v>450</v>
      </c>
      <c r="M15338">
        <v>0</v>
      </c>
    </row>
    <row r="15339" spans="1:13">
      <c r="A15339">
        <v>86452100</v>
      </c>
      <c r="B15339">
        <v>2017289</v>
      </c>
      <c r="C15339" t="s">
        <v>8087</v>
      </c>
      <c r="D15339" t="s">
        <v>442</v>
      </c>
      <c r="E15339" t="s">
        <v>441</v>
      </c>
      <c r="F15339">
        <v>1E-3</v>
      </c>
      <c r="H15339" t="s">
        <v>8580</v>
      </c>
      <c r="I15339">
        <v>365</v>
      </c>
      <c r="J15339" t="s">
        <v>450</v>
      </c>
      <c r="M15339">
        <v>0</v>
      </c>
    </row>
    <row r="15340" spans="1:13">
      <c r="A15340">
        <v>86452200</v>
      </c>
      <c r="B15340">
        <v>2017300</v>
      </c>
      <c r="C15340" t="s">
        <v>8088</v>
      </c>
      <c r="D15340" t="s">
        <v>442</v>
      </c>
      <c r="E15340" t="s">
        <v>441</v>
      </c>
      <c r="F15340">
        <v>1E-3</v>
      </c>
      <c r="H15340" t="s">
        <v>8580</v>
      </c>
      <c r="I15340">
        <v>365</v>
      </c>
      <c r="J15340" t="s">
        <v>450</v>
      </c>
      <c r="M15340">
        <v>0</v>
      </c>
    </row>
    <row r="15341" spans="1:13">
      <c r="A15341">
        <v>86452300</v>
      </c>
      <c r="B15341">
        <v>2017301</v>
      </c>
      <c r="C15341" t="s">
        <v>17279</v>
      </c>
      <c r="D15341" t="s">
        <v>442</v>
      </c>
      <c r="E15341" t="s">
        <v>441</v>
      </c>
      <c r="F15341">
        <v>1E-3</v>
      </c>
      <c r="H15341" t="s">
        <v>8580</v>
      </c>
      <c r="I15341">
        <v>365</v>
      </c>
      <c r="J15341" t="s">
        <v>450</v>
      </c>
      <c r="M15341">
        <v>0</v>
      </c>
    </row>
    <row r="15342" spans="1:13">
      <c r="A15342">
        <v>86452400</v>
      </c>
      <c r="B15342">
        <v>2017359</v>
      </c>
      <c r="C15342" t="s">
        <v>17822</v>
      </c>
      <c r="D15342" t="s">
        <v>442</v>
      </c>
      <c r="E15342" t="s">
        <v>441</v>
      </c>
      <c r="F15342">
        <v>1E-3</v>
      </c>
      <c r="I15342">
        <v>365</v>
      </c>
      <c r="J15342" t="s">
        <v>450</v>
      </c>
      <c r="M15342">
        <v>0</v>
      </c>
    </row>
    <row r="15343" spans="1:13">
      <c r="A15343">
        <v>86452500</v>
      </c>
      <c r="B15343">
        <v>2016386</v>
      </c>
      <c r="C15343" t="s">
        <v>15838</v>
      </c>
      <c r="D15343" t="s">
        <v>442</v>
      </c>
      <c r="E15343" t="s">
        <v>441</v>
      </c>
      <c r="F15343">
        <v>1E-3</v>
      </c>
      <c r="I15343">
        <v>720</v>
      </c>
      <c r="J15343" t="s">
        <v>450</v>
      </c>
      <c r="M15343">
        <v>0</v>
      </c>
    </row>
    <row r="15344" spans="1:13">
      <c r="A15344">
        <v>86452600</v>
      </c>
      <c r="B15344">
        <v>2017489</v>
      </c>
      <c r="C15344" t="s">
        <v>17280</v>
      </c>
      <c r="D15344" t="s">
        <v>442</v>
      </c>
      <c r="E15344" t="s">
        <v>441</v>
      </c>
      <c r="F15344">
        <v>1E-3</v>
      </c>
      <c r="I15344">
        <v>720</v>
      </c>
      <c r="J15344" t="s">
        <v>450</v>
      </c>
      <c r="M15344">
        <v>0</v>
      </c>
    </row>
    <row r="15345" spans="1:13">
      <c r="A15345">
        <v>86452700</v>
      </c>
      <c r="B15345">
        <v>2017523</v>
      </c>
      <c r="C15345" t="s">
        <v>8089</v>
      </c>
      <c r="D15345" t="s">
        <v>442</v>
      </c>
      <c r="E15345" t="s">
        <v>441</v>
      </c>
      <c r="F15345">
        <v>1E-3</v>
      </c>
      <c r="H15345" t="s">
        <v>8580</v>
      </c>
      <c r="I15345">
        <v>365</v>
      </c>
      <c r="J15345" t="s">
        <v>450</v>
      </c>
      <c r="M15345">
        <v>0</v>
      </c>
    </row>
    <row r="15346" spans="1:13">
      <c r="A15346">
        <v>86452800</v>
      </c>
      <c r="B15346">
        <v>2017508</v>
      </c>
      <c r="C15346" t="s">
        <v>8090</v>
      </c>
      <c r="D15346" t="s">
        <v>442</v>
      </c>
      <c r="E15346" t="s">
        <v>441</v>
      </c>
      <c r="F15346">
        <v>1E-3</v>
      </c>
      <c r="H15346" t="s">
        <v>8580</v>
      </c>
      <c r="I15346">
        <v>365</v>
      </c>
      <c r="J15346" t="s">
        <v>450</v>
      </c>
      <c r="M15346">
        <v>0</v>
      </c>
    </row>
    <row r="15347" spans="1:13">
      <c r="A15347">
        <v>86452900</v>
      </c>
      <c r="B15347">
        <v>2017629</v>
      </c>
      <c r="C15347" t="s">
        <v>17281</v>
      </c>
      <c r="D15347" t="s">
        <v>442</v>
      </c>
      <c r="E15347" t="s">
        <v>441</v>
      </c>
      <c r="F15347">
        <v>1E-3</v>
      </c>
      <c r="H15347" t="s">
        <v>8580</v>
      </c>
      <c r="I15347">
        <v>365</v>
      </c>
      <c r="J15347" t="s">
        <v>450</v>
      </c>
      <c r="M15347">
        <v>0</v>
      </c>
    </row>
    <row r="15348" spans="1:13">
      <c r="A15348">
        <v>86453100</v>
      </c>
      <c r="B15348">
        <v>2017696</v>
      </c>
      <c r="C15348" t="s">
        <v>17282</v>
      </c>
      <c r="D15348" t="s">
        <v>442</v>
      </c>
      <c r="E15348" t="s">
        <v>441</v>
      </c>
      <c r="F15348">
        <v>1E-3</v>
      </c>
      <c r="I15348">
        <v>365</v>
      </c>
      <c r="J15348" t="s">
        <v>450</v>
      </c>
      <c r="M15348">
        <v>0</v>
      </c>
    </row>
    <row r="15349" spans="1:13">
      <c r="A15349">
        <v>86453200</v>
      </c>
      <c r="B15349">
        <v>2017630</v>
      </c>
      <c r="C15349" t="s">
        <v>17283</v>
      </c>
      <c r="D15349" t="s">
        <v>442</v>
      </c>
      <c r="E15349" t="s">
        <v>441</v>
      </c>
      <c r="F15349">
        <v>1E-3</v>
      </c>
      <c r="H15349" t="s">
        <v>8580</v>
      </c>
      <c r="I15349">
        <v>365</v>
      </c>
      <c r="J15349" t="s">
        <v>450</v>
      </c>
      <c r="M15349">
        <v>0</v>
      </c>
    </row>
    <row r="15350" spans="1:13">
      <c r="A15350">
        <v>86453300</v>
      </c>
      <c r="B15350">
        <v>2017631</v>
      </c>
      <c r="C15350" t="s">
        <v>17284</v>
      </c>
      <c r="D15350" t="s">
        <v>442</v>
      </c>
      <c r="E15350" t="s">
        <v>441</v>
      </c>
      <c r="F15350">
        <v>1E-3</v>
      </c>
      <c r="H15350" t="s">
        <v>8580</v>
      </c>
      <c r="I15350">
        <v>365</v>
      </c>
      <c r="J15350" t="s">
        <v>450</v>
      </c>
      <c r="M15350">
        <v>0</v>
      </c>
    </row>
    <row r="15351" spans="1:13">
      <c r="A15351">
        <v>86453400</v>
      </c>
      <c r="B15351">
        <v>2017697</v>
      </c>
      <c r="C15351" t="s">
        <v>15839</v>
      </c>
      <c r="D15351" t="s">
        <v>442</v>
      </c>
      <c r="E15351" t="s">
        <v>441</v>
      </c>
      <c r="F15351">
        <v>1E-3</v>
      </c>
      <c r="H15351" t="s">
        <v>8580</v>
      </c>
      <c r="I15351">
        <v>365</v>
      </c>
      <c r="J15351" t="s">
        <v>450</v>
      </c>
      <c r="M15351">
        <v>0</v>
      </c>
    </row>
    <row r="15352" spans="1:13">
      <c r="A15352">
        <v>86453500</v>
      </c>
      <c r="B15352">
        <v>2017790</v>
      </c>
      <c r="C15352" t="s">
        <v>15840</v>
      </c>
      <c r="D15352" t="s">
        <v>442</v>
      </c>
      <c r="E15352" t="s">
        <v>441</v>
      </c>
      <c r="F15352">
        <v>1E-3</v>
      </c>
      <c r="I15352">
        <v>365</v>
      </c>
      <c r="J15352" t="s">
        <v>450</v>
      </c>
      <c r="M15352">
        <v>0</v>
      </c>
    </row>
    <row r="15353" spans="1:13">
      <c r="A15353">
        <v>86453600</v>
      </c>
      <c r="B15353">
        <v>2017765</v>
      </c>
      <c r="C15353" t="s">
        <v>15841</v>
      </c>
      <c r="D15353" t="s">
        <v>442</v>
      </c>
      <c r="E15353" t="s">
        <v>441</v>
      </c>
      <c r="F15353">
        <v>1E-3</v>
      </c>
      <c r="H15353" t="s">
        <v>8580</v>
      </c>
      <c r="I15353">
        <v>365</v>
      </c>
      <c r="J15353" t="s">
        <v>450</v>
      </c>
      <c r="M15353">
        <v>0</v>
      </c>
    </row>
    <row r="15354" spans="1:13">
      <c r="A15354">
        <v>86453700</v>
      </c>
      <c r="B15354">
        <v>2017766</v>
      </c>
      <c r="C15354" t="s">
        <v>15842</v>
      </c>
      <c r="D15354" t="s">
        <v>442</v>
      </c>
      <c r="E15354" t="s">
        <v>441</v>
      </c>
      <c r="F15354">
        <v>1E-3</v>
      </c>
      <c r="H15354" t="s">
        <v>8580</v>
      </c>
      <c r="I15354">
        <v>365</v>
      </c>
      <c r="J15354" t="s">
        <v>450</v>
      </c>
      <c r="M15354">
        <v>0</v>
      </c>
    </row>
    <row r="15355" spans="1:13">
      <c r="A15355">
        <v>86453800</v>
      </c>
      <c r="B15355">
        <v>2017803</v>
      </c>
      <c r="C15355" t="s">
        <v>8091</v>
      </c>
      <c r="D15355" t="s">
        <v>442</v>
      </c>
      <c r="E15355" t="s">
        <v>441</v>
      </c>
      <c r="F15355">
        <v>1E-3</v>
      </c>
      <c r="H15355" t="s">
        <v>8580</v>
      </c>
      <c r="I15355">
        <v>365</v>
      </c>
      <c r="J15355" t="s">
        <v>450</v>
      </c>
      <c r="M15355">
        <v>0</v>
      </c>
    </row>
    <row r="15356" spans="1:13">
      <c r="A15356">
        <v>86453900</v>
      </c>
      <c r="B15356">
        <v>2017804</v>
      </c>
      <c r="C15356" t="s">
        <v>8092</v>
      </c>
      <c r="D15356" t="s">
        <v>442</v>
      </c>
      <c r="E15356" t="s">
        <v>441</v>
      </c>
      <c r="F15356">
        <v>1E-3</v>
      </c>
      <c r="H15356" t="s">
        <v>8584</v>
      </c>
      <c r="I15356">
        <v>365</v>
      </c>
      <c r="J15356" t="s">
        <v>450</v>
      </c>
      <c r="M15356">
        <v>0</v>
      </c>
    </row>
    <row r="15357" spans="1:13">
      <c r="A15357">
        <v>86454100</v>
      </c>
      <c r="B15357">
        <v>2017852</v>
      </c>
      <c r="C15357" t="s">
        <v>17285</v>
      </c>
      <c r="D15357" t="s">
        <v>442</v>
      </c>
      <c r="E15357" t="s">
        <v>441</v>
      </c>
      <c r="F15357">
        <v>1E-3</v>
      </c>
      <c r="H15357" t="s">
        <v>8580</v>
      </c>
      <c r="I15357">
        <v>365</v>
      </c>
      <c r="J15357" t="s">
        <v>450</v>
      </c>
      <c r="M15357">
        <v>0</v>
      </c>
    </row>
    <row r="15358" spans="1:13">
      <c r="A15358">
        <v>86454200</v>
      </c>
      <c r="B15358">
        <v>2017853</v>
      </c>
      <c r="C15358" t="s">
        <v>17286</v>
      </c>
      <c r="D15358" t="s">
        <v>442</v>
      </c>
      <c r="E15358" t="s">
        <v>441</v>
      </c>
      <c r="F15358">
        <v>1E-3</v>
      </c>
      <c r="I15358">
        <v>365</v>
      </c>
      <c r="J15358" t="s">
        <v>450</v>
      </c>
      <c r="M15358">
        <v>0</v>
      </c>
    </row>
    <row r="15359" spans="1:13">
      <c r="A15359">
        <v>86454300</v>
      </c>
      <c r="B15359">
        <v>2017927</v>
      </c>
      <c r="C15359" t="s">
        <v>15843</v>
      </c>
      <c r="D15359" t="s">
        <v>442</v>
      </c>
      <c r="E15359" t="s">
        <v>441</v>
      </c>
      <c r="F15359">
        <v>1E-3</v>
      </c>
      <c r="I15359">
        <v>365</v>
      </c>
      <c r="J15359" t="s">
        <v>450</v>
      </c>
      <c r="M15359">
        <v>0</v>
      </c>
    </row>
    <row r="15360" spans="1:13">
      <c r="A15360">
        <v>86454400</v>
      </c>
      <c r="B15360">
        <v>2017975</v>
      </c>
      <c r="C15360" t="s">
        <v>8093</v>
      </c>
      <c r="D15360" t="s">
        <v>442</v>
      </c>
      <c r="E15360" t="s">
        <v>441</v>
      </c>
      <c r="F15360">
        <v>1E-3</v>
      </c>
      <c r="I15360">
        <v>365</v>
      </c>
      <c r="J15360" t="s">
        <v>450</v>
      </c>
      <c r="K15360" t="s">
        <v>446</v>
      </c>
      <c r="M15360">
        <v>0</v>
      </c>
    </row>
    <row r="15361" spans="1:13">
      <c r="A15361">
        <v>86454500</v>
      </c>
      <c r="B15361">
        <v>2017976</v>
      </c>
      <c r="C15361" t="s">
        <v>17287</v>
      </c>
      <c r="D15361" t="s">
        <v>442</v>
      </c>
      <c r="E15361" t="s">
        <v>441</v>
      </c>
      <c r="F15361">
        <v>1E-3</v>
      </c>
      <c r="H15361" t="s">
        <v>8580</v>
      </c>
      <c r="I15361">
        <v>365</v>
      </c>
      <c r="J15361" t="s">
        <v>450</v>
      </c>
      <c r="M15361">
        <v>0</v>
      </c>
    </row>
    <row r="15362" spans="1:13">
      <c r="A15362">
        <v>86454600</v>
      </c>
      <c r="B15362">
        <v>2017957</v>
      </c>
      <c r="C15362" t="s">
        <v>8094</v>
      </c>
      <c r="D15362" t="s">
        <v>442</v>
      </c>
      <c r="E15362" t="s">
        <v>441</v>
      </c>
      <c r="F15362">
        <v>1E-3</v>
      </c>
      <c r="H15362" t="s">
        <v>8580</v>
      </c>
      <c r="I15362">
        <v>365</v>
      </c>
      <c r="J15362" t="s">
        <v>450</v>
      </c>
      <c r="K15362" t="s">
        <v>446</v>
      </c>
      <c r="M15362">
        <v>0</v>
      </c>
    </row>
    <row r="15363" spans="1:13">
      <c r="A15363">
        <v>86454700</v>
      </c>
      <c r="B15363">
        <v>2017956</v>
      </c>
      <c r="C15363" t="s">
        <v>8095</v>
      </c>
      <c r="D15363" t="s">
        <v>442</v>
      </c>
      <c r="E15363" t="s">
        <v>441</v>
      </c>
      <c r="F15363">
        <v>1E-3</v>
      </c>
      <c r="I15363">
        <v>365</v>
      </c>
      <c r="J15363" t="s">
        <v>450</v>
      </c>
      <c r="K15363" t="s">
        <v>446</v>
      </c>
      <c r="M15363">
        <v>0</v>
      </c>
    </row>
    <row r="15364" spans="1:13">
      <c r="A15364">
        <v>86454800</v>
      </c>
      <c r="B15364">
        <v>2017966</v>
      </c>
      <c r="C15364" t="s">
        <v>15844</v>
      </c>
      <c r="D15364" t="s">
        <v>442</v>
      </c>
      <c r="E15364" t="s">
        <v>441</v>
      </c>
      <c r="F15364">
        <v>1E-3</v>
      </c>
      <c r="I15364">
        <v>365</v>
      </c>
      <c r="J15364" t="s">
        <v>450</v>
      </c>
      <c r="M15364">
        <v>0</v>
      </c>
    </row>
    <row r="15365" spans="1:13">
      <c r="A15365">
        <v>86454900</v>
      </c>
      <c r="B15365">
        <v>2017983</v>
      </c>
      <c r="C15365" t="s">
        <v>15845</v>
      </c>
      <c r="D15365" t="s">
        <v>442</v>
      </c>
      <c r="E15365" t="s">
        <v>441</v>
      </c>
      <c r="F15365">
        <v>1E-3</v>
      </c>
      <c r="I15365">
        <v>365</v>
      </c>
      <c r="J15365" t="s">
        <v>450</v>
      </c>
      <c r="M15365">
        <v>0</v>
      </c>
    </row>
    <row r="15366" spans="1:13">
      <c r="A15366">
        <v>86455100</v>
      </c>
      <c r="B15366">
        <v>2017998</v>
      </c>
      <c r="C15366" t="s">
        <v>15846</v>
      </c>
      <c r="D15366" t="s">
        <v>442</v>
      </c>
      <c r="E15366" t="s">
        <v>441</v>
      </c>
      <c r="F15366">
        <v>1E-3</v>
      </c>
      <c r="H15366" t="s">
        <v>8580</v>
      </c>
      <c r="I15366">
        <v>365</v>
      </c>
      <c r="J15366" t="s">
        <v>450</v>
      </c>
      <c r="M15366">
        <v>0</v>
      </c>
    </row>
    <row r="15367" spans="1:13">
      <c r="A15367">
        <v>86455200</v>
      </c>
      <c r="B15367">
        <v>2018054</v>
      </c>
      <c r="C15367" t="s">
        <v>17292</v>
      </c>
      <c r="D15367" t="s">
        <v>442</v>
      </c>
      <c r="E15367" t="s">
        <v>441</v>
      </c>
      <c r="F15367">
        <v>1E-3</v>
      </c>
      <c r="H15367" t="s">
        <v>8584</v>
      </c>
      <c r="I15367">
        <v>365</v>
      </c>
      <c r="J15367" t="s">
        <v>450</v>
      </c>
      <c r="M15367">
        <v>0</v>
      </c>
    </row>
    <row r="15368" spans="1:13">
      <c r="A15368">
        <v>86455300</v>
      </c>
      <c r="B15368">
        <v>2018140</v>
      </c>
      <c r="C15368" t="s">
        <v>17823</v>
      </c>
      <c r="D15368" t="s">
        <v>442</v>
      </c>
      <c r="E15368" t="s">
        <v>441</v>
      </c>
      <c r="F15368">
        <v>1E-3</v>
      </c>
      <c r="H15368" t="s">
        <v>8584</v>
      </c>
      <c r="I15368">
        <v>365</v>
      </c>
      <c r="J15368" t="s">
        <v>450</v>
      </c>
      <c r="M15368">
        <v>0</v>
      </c>
    </row>
    <row r="15369" spans="1:13">
      <c r="A15369">
        <v>86455400</v>
      </c>
      <c r="B15369">
        <v>2018142</v>
      </c>
      <c r="C15369" t="s">
        <v>15847</v>
      </c>
      <c r="D15369" t="s">
        <v>442</v>
      </c>
      <c r="E15369" t="s">
        <v>441</v>
      </c>
      <c r="F15369">
        <v>1E-3</v>
      </c>
      <c r="H15369" t="s">
        <v>8580</v>
      </c>
      <c r="I15369">
        <v>365</v>
      </c>
      <c r="J15369" t="s">
        <v>450</v>
      </c>
      <c r="M15369">
        <v>0</v>
      </c>
    </row>
    <row r="15370" spans="1:13">
      <c r="A15370">
        <v>86455500</v>
      </c>
      <c r="B15370">
        <v>2018271</v>
      </c>
      <c r="C15370" t="s">
        <v>15848</v>
      </c>
      <c r="D15370" t="s">
        <v>442</v>
      </c>
      <c r="E15370" t="s">
        <v>441</v>
      </c>
      <c r="F15370">
        <v>1E-3</v>
      </c>
      <c r="H15370" t="s">
        <v>8580</v>
      </c>
      <c r="I15370">
        <v>365</v>
      </c>
      <c r="J15370" t="s">
        <v>450</v>
      </c>
      <c r="M15370">
        <v>0</v>
      </c>
    </row>
    <row r="15371" spans="1:13">
      <c r="A15371">
        <v>86455600</v>
      </c>
      <c r="B15371">
        <v>2018270</v>
      </c>
      <c r="C15371" t="s">
        <v>15849</v>
      </c>
      <c r="D15371" t="s">
        <v>442</v>
      </c>
      <c r="E15371" t="s">
        <v>441</v>
      </c>
      <c r="F15371">
        <v>1E-3</v>
      </c>
      <c r="H15371" t="s">
        <v>8580</v>
      </c>
      <c r="I15371">
        <v>365</v>
      </c>
      <c r="J15371" t="s">
        <v>450</v>
      </c>
      <c r="M15371">
        <v>0</v>
      </c>
    </row>
    <row r="15372" spans="1:13">
      <c r="A15372">
        <v>86455700</v>
      </c>
      <c r="B15372">
        <v>2018275</v>
      </c>
      <c r="C15372" t="s">
        <v>15850</v>
      </c>
      <c r="D15372" t="s">
        <v>442</v>
      </c>
      <c r="E15372" t="s">
        <v>441</v>
      </c>
      <c r="F15372">
        <v>1E-3</v>
      </c>
      <c r="H15372" t="s">
        <v>8580</v>
      </c>
      <c r="I15372">
        <v>365</v>
      </c>
      <c r="J15372" t="s">
        <v>450</v>
      </c>
      <c r="M15372">
        <v>0</v>
      </c>
    </row>
    <row r="15373" spans="1:13">
      <c r="A15373">
        <v>86455800</v>
      </c>
      <c r="B15373">
        <v>2018390</v>
      </c>
      <c r="C15373" t="s">
        <v>15851</v>
      </c>
      <c r="D15373" t="s">
        <v>442</v>
      </c>
      <c r="E15373" t="s">
        <v>441</v>
      </c>
      <c r="F15373">
        <v>1E-3</v>
      </c>
      <c r="H15373" t="s">
        <v>8935</v>
      </c>
      <c r="I15373">
        <v>365</v>
      </c>
      <c r="J15373" t="s">
        <v>450</v>
      </c>
      <c r="M15373">
        <v>0</v>
      </c>
    </row>
    <row r="15374" spans="1:13">
      <c r="A15374">
        <v>86455900</v>
      </c>
      <c r="B15374">
        <v>2018393</v>
      </c>
      <c r="C15374" t="s">
        <v>15852</v>
      </c>
      <c r="D15374" t="s">
        <v>442</v>
      </c>
      <c r="E15374" t="s">
        <v>441</v>
      </c>
      <c r="F15374">
        <v>1E-3</v>
      </c>
      <c r="H15374" t="s">
        <v>8580</v>
      </c>
      <c r="I15374">
        <v>365</v>
      </c>
      <c r="J15374" t="s">
        <v>450</v>
      </c>
      <c r="M15374">
        <v>0</v>
      </c>
    </row>
    <row r="15375" spans="1:13">
      <c r="A15375">
        <v>86456100</v>
      </c>
      <c r="B15375">
        <v>2018371</v>
      </c>
      <c r="C15375" t="s">
        <v>8096</v>
      </c>
      <c r="D15375" t="s">
        <v>442</v>
      </c>
      <c r="E15375" t="s">
        <v>441</v>
      </c>
      <c r="F15375">
        <v>1E-3</v>
      </c>
      <c r="H15375" t="s">
        <v>8935</v>
      </c>
      <c r="I15375">
        <v>365</v>
      </c>
      <c r="J15375" t="s">
        <v>450</v>
      </c>
      <c r="M15375">
        <v>0</v>
      </c>
    </row>
    <row r="15376" spans="1:13">
      <c r="A15376">
        <v>86456200</v>
      </c>
      <c r="B15376">
        <v>2018348</v>
      </c>
      <c r="C15376" t="s">
        <v>15853</v>
      </c>
      <c r="D15376" t="s">
        <v>442</v>
      </c>
      <c r="E15376" t="s">
        <v>441</v>
      </c>
      <c r="F15376">
        <v>1E-3</v>
      </c>
      <c r="H15376" t="s">
        <v>8935</v>
      </c>
      <c r="I15376">
        <v>365</v>
      </c>
      <c r="J15376" t="s">
        <v>450</v>
      </c>
      <c r="M15376">
        <v>0</v>
      </c>
    </row>
    <row r="15377" spans="1:13">
      <c r="A15377">
        <v>86456300</v>
      </c>
      <c r="B15377">
        <v>2018420</v>
      </c>
      <c r="C15377" t="s">
        <v>8097</v>
      </c>
      <c r="D15377" t="s">
        <v>442</v>
      </c>
      <c r="E15377" t="s">
        <v>441</v>
      </c>
      <c r="F15377">
        <v>1E-3</v>
      </c>
      <c r="H15377" t="s">
        <v>8935</v>
      </c>
      <c r="I15377">
        <v>365</v>
      </c>
      <c r="J15377" t="s">
        <v>450</v>
      </c>
      <c r="M15377">
        <v>0</v>
      </c>
    </row>
    <row r="15378" spans="1:13">
      <c r="A15378">
        <v>86456400</v>
      </c>
      <c r="B15378">
        <v>2018421</v>
      </c>
      <c r="C15378" t="s">
        <v>8098</v>
      </c>
      <c r="D15378" t="s">
        <v>442</v>
      </c>
      <c r="E15378" t="s">
        <v>441</v>
      </c>
      <c r="F15378">
        <v>1E-3</v>
      </c>
      <c r="H15378" t="s">
        <v>8935</v>
      </c>
      <c r="I15378">
        <v>365</v>
      </c>
      <c r="J15378" t="s">
        <v>450</v>
      </c>
      <c r="M15378">
        <v>0</v>
      </c>
    </row>
    <row r="15379" spans="1:13">
      <c r="A15379">
        <v>86456500</v>
      </c>
      <c r="B15379">
        <v>2018409</v>
      </c>
      <c r="C15379" t="s">
        <v>15854</v>
      </c>
      <c r="D15379" t="s">
        <v>442</v>
      </c>
      <c r="E15379" t="s">
        <v>441</v>
      </c>
      <c r="F15379">
        <v>1E-3</v>
      </c>
      <c r="H15379" t="s">
        <v>8580</v>
      </c>
      <c r="I15379">
        <v>365</v>
      </c>
      <c r="J15379" t="s">
        <v>450</v>
      </c>
      <c r="M15379">
        <v>0</v>
      </c>
    </row>
    <row r="15380" spans="1:13">
      <c r="A15380">
        <v>86456600</v>
      </c>
      <c r="B15380">
        <v>2018422</v>
      </c>
      <c r="C15380" t="s">
        <v>8099</v>
      </c>
      <c r="D15380" t="s">
        <v>442</v>
      </c>
      <c r="E15380" t="s">
        <v>441</v>
      </c>
      <c r="F15380">
        <v>1E-3</v>
      </c>
      <c r="H15380" t="s">
        <v>8935</v>
      </c>
      <c r="I15380">
        <v>365</v>
      </c>
      <c r="J15380" t="s">
        <v>450</v>
      </c>
      <c r="M15380">
        <v>0</v>
      </c>
    </row>
    <row r="15381" spans="1:13">
      <c r="A15381">
        <v>86456700</v>
      </c>
      <c r="B15381">
        <v>2018424</v>
      </c>
      <c r="C15381" t="s">
        <v>8100</v>
      </c>
      <c r="D15381" t="s">
        <v>442</v>
      </c>
      <c r="E15381" t="s">
        <v>441</v>
      </c>
      <c r="F15381">
        <v>1E-3</v>
      </c>
      <c r="H15381" t="s">
        <v>8580</v>
      </c>
      <c r="I15381">
        <v>365</v>
      </c>
      <c r="J15381" t="s">
        <v>450</v>
      </c>
      <c r="M15381">
        <v>0</v>
      </c>
    </row>
    <row r="15382" spans="1:13">
      <c r="A15382">
        <v>86456800</v>
      </c>
      <c r="B15382">
        <v>2018423</v>
      </c>
      <c r="C15382" t="s">
        <v>8101</v>
      </c>
      <c r="D15382" t="s">
        <v>442</v>
      </c>
      <c r="E15382" t="s">
        <v>441</v>
      </c>
      <c r="F15382">
        <v>1E-3</v>
      </c>
      <c r="H15382" t="s">
        <v>8935</v>
      </c>
      <c r="I15382">
        <v>365</v>
      </c>
      <c r="J15382" t="s">
        <v>450</v>
      </c>
      <c r="M15382">
        <v>0</v>
      </c>
    </row>
    <row r="15383" spans="1:13">
      <c r="A15383">
        <v>86456900</v>
      </c>
      <c r="B15383">
        <v>2018500</v>
      </c>
      <c r="C15383" t="s">
        <v>8102</v>
      </c>
      <c r="D15383" t="s">
        <v>442</v>
      </c>
      <c r="E15383" t="s">
        <v>441</v>
      </c>
      <c r="F15383">
        <v>1E-3</v>
      </c>
      <c r="H15383" t="s">
        <v>8580</v>
      </c>
      <c r="I15383">
        <v>365</v>
      </c>
      <c r="J15383" t="s">
        <v>450</v>
      </c>
      <c r="M15383">
        <v>0</v>
      </c>
    </row>
    <row r="15384" spans="1:13">
      <c r="A15384">
        <v>86457100</v>
      </c>
      <c r="B15384">
        <v>2018504</v>
      </c>
      <c r="C15384" t="s">
        <v>15855</v>
      </c>
      <c r="D15384" t="s">
        <v>442</v>
      </c>
      <c r="E15384" t="s">
        <v>441</v>
      </c>
      <c r="F15384">
        <v>1E-3</v>
      </c>
      <c r="I15384">
        <v>365</v>
      </c>
      <c r="J15384" t="s">
        <v>450</v>
      </c>
      <c r="M15384">
        <v>0</v>
      </c>
    </row>
    <row r="15385" spans="1:13">
      <c r="A15385">
        <v>86457200</v>
      </c>
      <c r="B15385">
        <v>2018505</v>
      </c>
      <c r="C15385" t="s">
        <v>15856</v>
      </c>
      <c r="D15385" t="s">
        <v>442</v>
      </c>
      <c r="E15385" t="s">
        <v>441</v>
      </c>
      <c r="F15385">
        <v>1E-3</v>
      </c>
      <c r="H15385" t="s">
        <v>8580</v>
      </c>
      <c r="I15385">
        <v>365</v>
      </c>
      <c r="J15385" t="s">
        <v>450</v>
      </c>
      <c r="M15385">
        <v>0</v>
      </c>
    </row>
    <row r="15386" spans="1:13">
      <c r="A15386">
        <v>86457300</v>
      </c>
      <c r="B15386">
        <v>2018632</v>
      </c>
      <c r="C15386" t="s">
        <v>15857</v>
      </c>
      <c r="D15386" t="s">
        <v>442</v>
      </c>
      <c r="E15386" t="s">
        <v>441</v>
      </c>
      <c r="F15386">
        <v>1E-3</v>
      </c>
      <c r="I15386">
        <v>365</v>
      </c>
      <c r="J15386" t="s">
        <v>450</v>
      </c>
      <c r="M15386">
        <v>0</v>
      </c>
    </row>
    <row r="15387" spans="1:13">
      <c r="A15387">
        <v>86457400</v>
      </c>
      <c r="B15387">
        <v>2018633</v>
      </c>
      <c r="C15387" t="s">
        <v>15858</v>
      </c>
      <c r="D15387" t="s">
        <v>442</v>
      </c>
      <c r="E15387" t="s">
        <v>441</v>
      </c>
      <c r="F15387">
        <v>1E-3</v>
      </c>
      <c r="H15387" t="s">
        <v>8580</v>
      </c>
      <c r="I15387">
        <v>365</v>
      </c>
      <c r="J15387" t="s">
        <v>450</v>
      </c>
      <c r="M15387">
        <v>0</v>
      </c>
    </row>
    <row r="15388" spans="1:13">
      <c r="A15388">
        <v>86457500</v>
      </c>
      <c r="B15388">
        <v>2018638</v>
      </c>
      <c r="C15388" t="s">
        <v>15859</v>
      </c>
      <c r="D15388" t="s">
        <v>442</v>
      </c>
      <c r="E15388" t="s">
        <v>441</v>
      </c>
      <c r="F15388">
        <v>1E-3</v>
      </c>
      <c r="H15388" t="s">
        <v>8580</v>
      </c>
      <c r="I15388">
        <v>365</v>
      </c>
      <c r="J15388" t="s">
        <v>450</v>
      </c>
      <c r="M15388">
        <v>0</v>
      </c>
    </row>
    <row r="15389" spans="1:13">
      <c r="A15389">
        <v>86457600</v>
      </c>
      <c r="B15389">
        <v>2018692</v>
      </c>
      <c r="C15389" t="s">
        <v>15860</v>
      </c>
      <c r="D15389" t="s">
        <v>442</v>
      </c>
      <c r="E15389" t="s">
        <v>441</v>
      </c>
      <c r="F15389">
        <v>1E-3</v>
      </c>
      <c r="H15389" t="s">
        <v>8935</v>
      </c>
      <c r="I15389">
        <v>365</v>
      </c>
      <c r="J15389" t="s">
        <v>450</v>
      </c>
      <c r="M15389">
        <v>0</v>
      </c>
    </row>
    <row r="15390" spans="1:13">
      <c r="A15390">
        <v>86457700</v>
      </c>
      <c r="B15390">
        <v>2018693</v>
      </c>
      <c r="C15390" t="s">
        <v>15861</v>
      </c>
      <c r="D15390" t="s">
        <v>442</v>
      </c>
      <c r="E15390" t="s">
        <v>441</v>
      </c>
      <c r="F15390">
        <v>1E-3</v>
      </c>
      <c r="H15390" t="s">
        <v>8935</v>
      </c>
      <c r="I15390">
        <v>365</v>
      </c>
      <c r="J15390" t="s">
        <v>450</v>
      </c>
      <c r="M15390">
        <v>0</v>
      </c>
    </row>
    <row r="15391" spans="1:13">
      <c r="A15391">
        <v>86457800</v>
      </c>
      <c r="B15391">
        <v>2018694</v>
      </c>
      <c r="C15391" t="s">
        <v>15862</v>
      </c>
      <c r="D15391" t="s">
        <v>442</v>
      </c>
      <c r="E15391" t="s">
        <v>441</v>
      </c>
      <c r="F15391">
        <v>1E-3</v>
      </c>
      <c r="H15391" t="s">
        <v>8935</v>
      </c>
      <c r="I15391">
        <v>365</v>
      </c>
      <c r="J15391" t="s">
        <v>450</v>
      </c>
      <c r="M15391">
        <v>0</v>
      </c>
    </row>
    <row r="15392" spans="1:13">
      <c r="A15392">
        <v>86458200</v>
      </c>
      <c r="B15392">
        <v>2018800</v>
      </c>
      <c r="C15392" t="s">
        <v>8103</v>
      </c>
      <c r="D15392" t="s">
        <v>442</v>
      </c>
      <c r="E15392" t="s">
        <v>441</v>
      </c>
      <c r="F15392">
        <v>1E-3</v>
      </c>
      <c r="H15392" t="s">
        <v>8935</v>
      </c>
      <c r="I15392">
        <v>365</v>
      </c>
      <c r="J15392" t="s">
        <v>450</v>
      </c>
      <c r="M15392">
        <v>0</v>
      </c>
    </row>
    <row r="15393" spans="1:13">
      <c r="A15393">
        <v>86458300</v>
      </c>
      <c r="B15393">
        <v>2018802</v>
      </c>
      <c r="C15393" t="s">
        <v>15863</v>
      </c>
      <c r="D15393" t="s">
        <v>442</v>
      </c>
      <c r="E15393" t="s">
        <v>441</v>
      </c>
      <c r="F15393">
        <v>1E-3</v>
      </c>
      <c r="H15393" t="s">
        <v>8935</v>
      </c>
      <c r="I15393">
        <v>365</v>
      </c>
      <c r="J15393" t="s">
        <v>450</v>
      </c>
      <c r="M15393">
        <v>0</v>
      </c>
    </row>
    <row r="15394" spans="1:13">
      <c r="A15394">
        <v>86458400</v>
      </c>
      <c r="B15394">
        <v>2018803</v>
      </c>
      <c r="C15394" t="s">
        <v>15864</v>
      </c>
      <c r="D15394" t="s">
        <v>442</v>
      </c>
      <c r="E15394" t="s">
        <v>441</v>
      </c>
      <c r="F15394">
        <v>1E-3</v>
      </c>
      <c r="H15394" t="s">
        <v>8935</v>
      </c>
      <c r="I15394">
        <v>365</v>
      </c>
      <c r="J15394" t="s">
        <v>450</v>
      </c>
      <c r="M15394">
        <v>0</v>
      </c>
    </row>
    <row r="15395" spans="1:13">
      <c r="A15395">
        <v>86458500</v>
      </c>
      <c r="B15395">
        <v>2018804</v>
      </c>
      <c r="C15395" t="s">
        <v>15865</v>
      </c>
      <c r="D15395" t="s">
        <v>442</v>
      </c>
      <c r="E15395" t="s">
        <v>441</v>
      </c>
      <c r="F15395">
        <v>1E-3</v>
      </c>
      <c r="H15395" t="s">
        <v>8935</v>
      </c>
      <c r="I15395">
        <v>365</v>
      </c>
      <c r="J15395" t="s">
        <v>450</v>
      </c>
      <c r="M15395">
        <v>0</v>
      </c>
    </row>
    <row r="15396" spans="1:13">
      <c r="A15396">
        <v>86458600</v>
      </c>
      <c r="B15396">
        <v>2018805</v>
      </c>
      <c r="C15396" t="s">
        <v>15866</v>
      </c>
      <c r="D15396" t="s">
        <v>442</v>
      </c>
      <c r="E15396" t="s">
        <v>441</v>
      </c>
      <c r="F15396">
        <v>1E-3</v>
      </c>
      <c r="H15396" t="s">
        <v>8935</v>
      </c>
      <c r="I15396">
        <v>365</v>
      </c>
      <c r="J15396" t="s">
        <v>450</v>
      </c>
      <c r="M15396">
        <v>0</v>
      </c>
    </row>
    <row r="15397" spans="1:13">
      <c r="A15397">
        <v>86458700</v>
      </c>
      <c r="B15397">
        <v>2018820</v>
      </c>
      <c r="C15397" t="s">
        <v>8104</v>
      </c>
      <c r="D15397" t="s">
        <v>442</v>
      </c>
      <c r="E15397" t="s">
        <v>441</v>
      </c>
      <c r="F15397">
        <v>1E-3</v>
      </c>
      <c r="H15397" t="s">
        <v>8935</v>
      </c>
      <c r="I15397">
        <v>365</v>
      </c>
      <c r="J15397" t="s">
        <v>450</v>
      </c>
      <c r="M15397">
        <v>0</v>
      </c>
    </row>
    <row r="15398" spans="1:13">
      <c r="A15398">
        <v>86458800</v>
      </c>
      <c r="B15398">
        <v>2018821</v>
      </c>
      <c r="C15398" t="s">
        <v>17288</v>
      </c>
      <c r="D15398" t="s">
        <v>442</v>
      </c>
      <c r="E15398" t="s">
        <v>441</v>
      </c>
      <c r="F15398">
        <v>1E-3</v>
      </c>
      <c r="H15398" t="s">
        <v>8935</v>
      </c>
      <c r="I15398">
        <v>365</v>
      </c>
      <c r="J15398" t="s">
        <v>450</v>
      </c>
      <c r="M15398">
        <v>0</v>
      </c>
    </row>
    <row r="15399" spans="1:13">
      <c r="A15399">
        <v>86458900</v>
      </c>
      <c r="B15399">
        <v>2018822</v>
      </c>
      <c r="C15399" t="s">
        <v>17289</v>
      </c>
      <c r="D15399" t="s">
        <v>442</v>
      </c>
      <c r="E15399" t="s">
        <v>441</v>
      </c>
      <c r="F15399">
        <v>1E-3</v>
      </c>
      <c r="H15399" t="s">
        <v>8935</v>
      </c>
      <c r="I15399">
        <v>365</v>
      </c>
      <c r="J15399" t="s">
        <v>450</v>
      </c>
      <c r="M15399">
        <v>0</v>
      </c>
    </row>
    <row r="15400" spans="1:13">
      <c r="A15400">
        <v>86459100</v>
      </c>
      <c r="B15400">
        <v>2018872</v>
      </c>
      <c r="C15400" t="s">
        <v>15867</v>
      </c>
      <c r="D15400" t="s">
        <v>442</v>
      </c>
      <c r="E15400" t="s">
        <v>441</v>
      </c>
      <c r="F15400">
        <v>1E-3</v>
      </c>
      <c r="H15400" t="s">
        <v>8624</v>
      </c>
      <c r="I15400">
        <v>365</v>
      </c>
      <c r="J15400" t="s">
        <v>450</v>
      </c>
      <c r="M15400">
        <v>0</v>
      </c>
    </row>
    <row r="15401" spans="1:13">
      <c r="A15401">
        <v>86459200</v>
      </c>
      <c r="B15401">
        <v>2018789</v>
      </c>
      <c r="C15401" t="s">
        <v>15868</v>
      </c>
      <c r="D15401" t="s">
        <v>442</v>
      </c>
      <c r="E15401" t="s">
        <v>441</v>
      </c>
      <c r="F15401">
        <v>1E-3</v>
      </c>
      <c r="H15401" t="s">
        <v>8935</v>
      </c>
      <c r="I15401">
        <v>720</v>
      </c>
      <c r="J15401" t="s">
        <v>450</v>
      </c>
      <c r="M15401">
        <v>0</v>
      </c>
    </row>
    <row r="15402" spans="1:13">
      <c r="A15402">
        <v>86461200</v>
      </c>
      <c r="B15402">
        <v>2018997</v>
      </c>
      <c r="C15402" t="s">
        <v>14084</v>
      </c>
      <c r="D15402" t="s">
        <v>442</v>
      </c>
      <c r="E15402" t="s">
        <v>441</v>
      </c>
      <c r="F15402">
        <v>1E-3</v>
      </c>
      <c r="H15402" t="s">
        <v>8634</v>
      </c>
      <c r="I15402">
        <v>365</v>
      </c>
      <c r="J15402" t="s">
        <v>450</v>
      </c>
      <c r="M15402">
        <v>0</v>
      </c>
    </row>
    <row r="15403" spans="1:13">
      <c r="A15403">
        <v>86559300</v>
      </c>
      <c r="B15403">
        <v>2018926</v>
      </c>
      <c r="C15403" t="s">
        <v>8105</v>
      </c>
      <c r="D15403" t="s">
        <v>442</v>
      </c>
      <c r="E15403" t="s">
        <v>441</v>
      </c>
      <c r="F15403">
        <v>1E-3</v>
      </c>
      <c r="H15403" t="s">
        <v>8580</v>
      </c>
      <c r="I15403">
        <v>365</v>
      </c>
      <c r="J15403" t="s">
        <v>450</v>
      </c>
      <c r="M15403">
        <v>0</v>
      </c>
    </row>
    <row r="15404" spans="1:13">
      <c r="A15404">
        <v>86559400</v>
      </c>
      <c r="B15404">
        <v>2018928</v>
      </c>
      <c r="C15404" t="s">
        <v>8106</v>
      </c>
      <c r="D15404" t="s">
        <v>442</v>
      </c>
      <c r="E15404" t="s">
        <v>441</v>
      </c>
      <c r="F15404">
        <v>1E-3</v>
      </c>
      <c r="I15404">
        <v>365</v>
      </c>
      <c r="J15404" t="s">
        <v>450</v>
      </c>
      <c r="M15404">
        <v>0</v>
      </c>
    </row>
    <row r="15405" spans="1:13">
      <c r="A15405">
        <v>86559500</v>
      </c>
      <c r="B15405">
        <v>2018927</v>
      </c>
      <c r="C15405" t="s">
        <v>8107</v>
      </c>
      <c r="D15405" t="s">
        <v>442</v>
      </c>
      <c r="E15405" t="s">
        <v>441</v>
      </c>
      <c r="F15405">
        <v>1E-3</v>
      </c>
      <c r="H15405" t="s">
        <v>8580</v>
      </c>
      <c r="I15405">
        <v>365</v>
      </c>
      <c r="J15405" t="s">
        <v>450</v>
      </c>
      <c r="M15405">
        <v>0</v>
      </c>
    </row>
    <row r="15406" spans="1:13">
      <c r="A15406">
        <v>86559600</v>
      </c>
      <c r="B15406">
        <v>2018929</v>
      </c>
      <c r="C15406" t="s">
        <v>8108</v>
      </c>
      <c r="D15406" t="s">
        <v>442</v>
      </c>
      <c r="E15406" t="s">
        <v>441</v>
      </c>
      <c r="F15406">
        <v>1E-3</v>
      </c>
      <c r="H15406" t="s">
        <v>8580</v>
      </c>
      <c r="I15406">
        <v>365</v>
      </c>
      <c r="J15406" t="s">
        <v>450</v>
      </c>
      <c r="M15406">
        <v>0</v>
      </c>
    </row>
    <row r="15407" spans="1:13">
      <c r="A15407">
        <v>86559700</v>
      </c>
      <c r="B15407">
        <v>2017861</v>
      </c>
      <c r="C15407" t="s">
        <v>17290</v>
      </c>
      <c r="D15407" t="s">
        <v>442</v>
      </c>
      <c r="E15407" t="s">
        <v>441</v>
      </c>
      <c r="F15407">
        <v>1E-3</v>
      </c>
      <c r="H15407" t="s">
        <v>8622</v>
      </c>
      <c r="I15407">
        <v>730</v>
      </c>
      <c r="J15407" t="s">
        <v>450</v>
      </c>
      <c r="M15407">
        <v>0</v>
      </c>
    </row>
    <row r="15408" spans="1:13">
      <c r="A15408">
        <v>86559800</v>
      </c>
      <c r="B15408">
        <v>2018936</v>
      </c>
      <c r="C15408" t="s">
        <v>14085</v>
      </c>
      <c r="D15408" t="s">
        <v>442</v>
      </c>
      <c r="E15408" t="s">
        <v>441</v>
      </c>
      <c r="F15408">
        <v>1E-3</v>
      </c>
      <c r="H15408" t="s">
        <v>8580</v>
      </c>
      <c r="I15408">
        <v>365</v>
      </c>
      <c r="J15408" t="s">
        <v>450</v>
      </c>
      <c r="M15408">
        <v>0</v>
      </c>
    </row>
    <row r="15409" spans="1:13">
      <c r="A15409">
        <v>86559900</v>
      </c>
      <c r="B15409">
        <v>2018935</v>
      </c>
      <c r="C15409" t="s">
        <v>14086</v>
      </c>
      <c r="D15409" t="s">
        <v>442</v>
      </c>
      <c r="E15409" t="s">
        <v>441</v>
      </c>
      <c r="F15409">
        <v>1E-3</v>
      </c>
      <c r="H15409" t="s">
        <v>8580</v>
      </c>
      <c r="I15409">
        <v>365</v>
      </c>
      <c r="J15409" t="s">
        <v>450</v>
      </c>
      <c r="M15409">
        <v>0</v>
      </c>
    </row>
    <row r="15410" spans="1:13">
      <c r="A15410">
        <v>86560100</v>
      </c>
      <c r="B15410">
        <v>2018937</v>
      </c>
      <c r="C15410" t="s">
        <v>15869</v>
      </c>
      <c r="D15410" t="s">
        <v>442</v>
      </c>
      <c r="E15410" t="s">
        <v>441</v>
      </c>
      <c r="F15410">
        <v>1E-3</v>
      </c>
      <c r="H15410" t="s">
        <v>8580</v>
      </c>
      <c r="I15410">
        <v>365</v>
      </c>
      <c r="J15410" t="s">
        <v>450</v>
      </c>
      <c r="M15410">
        <v>0</v>
      </c>
    </row>
    <row r="15411" spans="1:13">
      <c r="A15411">
        <v>86560200</v>
      </c>
      <c r="B15411">
        <v>2018961</v>
      </c>
      <c r="C15411" t="s">
        <v>14087</v>
      </c>
      <c r="D15411" t="s">
        <v>442</v>
      </c>
      <c r="E15411" t="s">
        <v>441</v>
      </c>
      <c r="F15411">
        <v>1E-3</v>
      </c>
      <c r="H15411" t="s">
        <v>8580</v>
      </c>
      <c r="I15411">
        <v>365</v>
      </c>
      <c r="J15411" t="s">
        <v>450</v>
      </c>
      <c r="M15411">
        <v>0</v>
      </c>
    </row>
    <row r="15412" spans="1:13">
      <c r="A15412">
        <v>86560300</v>
      </c>
      <c r="B15412">
        <v>2018919</v>
      </c>
      <c r="C15412" t="s">
        <v>15870</v>
      </c>
      <c r="D15412" t="s">
        <v>442</v>
      </c>
      <c r="E15412" t="s">
        <v>441</v>
      </c>
      <c r="F15412">
        <v>1E-3</v>
      </c>
      <c r="I15412">
        <v>365</v>
      </c>
      <c r="J15412" t="s">
        <v>450</v>
      </c>
      <c r="M15412">
        <v>0</v>
      </c>
    </row>
    <row r="15413" spans="1:13">
      <c r="A15413">
        <v>86560400</v>
      </c>
      <c r="B15413">
        <v>2018973</v>
      </c>
      <c r="C15413" t="s">
        <v>15871</v>
      </c>
      <c r="D15413" t="s">
        <v>442</v>
      </c>
      <c r="E15413" t="s">
        <v>441</v>
      </c>
      <c r="F15413">
        <v>1E-3</v>
      </c>
      <c r="H15413" t="s">
        <v>8584</v>
      </c>
      <c r="I15413">
        <v>365</v>
      </c>
      <c r="J15413" t="s">
        <v>450</v>
      </c>
      <c r="M15413">
        <v>0</v>
      </c>
    </row>
    <row r="15414" spans="1:13">
      <c r="A15414">
        <v>86560500</v>
      </c>
      <c r="B15414">
        <v>2018976</v>
      </c>
      <c r="C15414" t="s">
        <v>15872</v>
      </c>
      <c r="D15414" t="s">
        <v>442</v>
      </c>
      <c r="E15414" t="s">
        <v>441</v>
      </c>
      <c r="F15414">
        <v>1E-3</v>
      </c>
      <c r="H15414" t="s">
        <v>8584</v>
      </c>
      <c r="I15414">
        <v>365</v>
      </c>
      <c r="J15414" t="s">
        <v>450</v>
      </c>
      <c r="M15414">
        <v>0</v>
      </c>
    </row>
    <row r="15415" spans="1:13">
      <c r="A15415">
        <v>86560600</v>
      </c>
      <c r="B15415">
        <v>2017223</v>
      </c>
      <c r="C15415" t="s">
        <v>15873</v>
      </c>
      <c r="D15415" t="s">
        <v>442</v>
      </c>
      <c r="E15415" t="s">
        <v>441</v>
      </c>
      <c r="F15415">
        <v>1E-3</v>
      </c>
      <c r="I15415">
        <v>720</v>
      </c>
      <c r="J15415" t="s">
        <v>450</v>
      </c>
      <c r="M15415">
        <v>0</v>
      </c>
    </row>
    <row r="15416" spans="1:13">
      <c r="A15416">
        <v>86560700</v>
      </c>
      <c r="B15416">
        <v>2017179</v>
      </c>
      <c r="C15416" t="s">
        <v>15874</v>
      </c>
      <c r="D15416" t="s">
        <v>442</v>
      </c>
      <c r="E15416" t="s">
        <v>441</v>
      </c>
      <c r="F15416">
        <v>1E-3</v>
      </c>
      <c r="H15416" t="s">
        <v>8580</v>
      </c>
      <c r="I15416">
        <v>720</v>
      </c>
      <c r="J15416" t="s">
        <v>450</v>
      </c>
      <c r="M15416">
        <v>0</v>
      </c>
    </row>
    <row r="15417" spans="1:13">
      <c r="A15417">
        <v>86560800</v>
      </c>
      <c r="B15417">
        <v>2017222</v>
      </c>
      <c r="C15417" t="s">
        <v>15875</v>
      </c>
      <c r="D15417" t="s">
        <v>442</v>
      </c>
      <c r="E15417" t="s">
        <v>441</v>
      </c>
      <c r="F15417">
        <v>1E-3</v>
      </c>
      <c r="I15417">
        <v>720</v>
      </c>
      <c r="J15417" t="s">
        <v>450</v>
      </c>
      <c r="M15417">
        <v>0</v>
      </c>
    </row>
    <row r="15418" spans="1:13">
      <c r="A15418">
        <v>86560900</v>
      </c>
      <c r="B15418">
        <v>2017220</v>
      </c>
      <c r="C15418" t="s">
        <v>15876</v>
      </c>
      <c r="D15418" t="s">
        <v>442</v>
      </c>
      <c r="E15418" t="s">
        <v>441</v>
      </c>
      <c r="F15418">
        <v>1E-3</v>
      </c>
      <c r="I15418">
        <v>720</v>
      </c>
      <c r="J15418" t="s">
        <v>450</v>
      </c>
      <c r="M15418">
        <v>0</v>
      </c>
    </row>
    <row r="15419" spans="1:13">
      <c r="A15419">
        <v>86561100</v>
      </c>
      <c r="B15419">
        <v>2017221</v>
      </c>
      <c r="C15419" t="s">
        <v>15877</v>
      </c>
      <c r="D15419" t="s">
        <v>442</v>
      </c>
      <c r="E15419" t="s">
        <v>441</v>
      </c>
      <c r="F15419">
        <v>1E-3</v>
      </c>
      <c r="I15419">
        <v>720</v>
      </c>
      <c r="J15419" t="s">
        <v>450</v>
      </c>
      <c r="M15419">
        <v>0</v>
      </c>
    </row>
    <row r="15420" spans="1:13">
      <c r="A15420">
        <v>86561300</v>
      </c>
      <c r="B15420">
        <v>2019049</v>
      </c>
      <c r="C15420" t="s">
        <v>15878</v>
      </c>
      <c r="D15420" t="s">
        <v>442</v>
      </c>
      <c r="E15420" t="s">
        <v>441</v>
      </c>
      <c r="F15420">
        <v>1E-3</v>
      </c>
      <c r="H15420" t="s">
        <v>10089</v>
      </c>
      <c r="I15420">
        <v>365</v>
      </c>
      <c r="J15420" t="s">
        <v>450</v>
      </c>
      <c r="K15420" t="s">
        <v>446</v>
      </c>
      <c r="M15420">
        <v>0</v>
      </c>
    </row>
    <row r="15421" spans="1:13">
      <c r="A15421">
        <v>86561400</v>
      </c>
      <c r="B15421">
        <v>2019045</v>
      </c>
      <c r="C15421" t="s">
        <v>8008</v>
      </c>
      <c r="D15421" t="s">
        <v>442</v>
      </c>
      <c r="E15421" t="s">
        <v>441</v>
      </c>
      <c r="F15421">
        <v>1E-3</v>
      </c>
      <c r="H15421" t="s">
        <v>8580</v>
      </c>
      <c r="I15421">
        <v>365</v>
      </c>
      <c r="J15421" t="s">
        <v>450</v>
      </c>
      <c r="K15421" t="s">
        <v>446</v>
      </c>
      <c r="M15421">
        <v>0</v>
      </c>
    </row>
    <row r="15422" spans="1:13">
      <c r="A15422">
        <v>86561500</v>
      </c>
      <c r="B15422">
        <v>2019046</v>
      </c>
      <c r="C15422" t="s">
        <v>17824</v>
      </c>
      <c r="D15422" t="s">
        <v>442</v>
      </c>
      <c r="E15422" t="s">
        <v>441</v>
      </c>
      <c r="F15422">
        <v>1E-3</v>
      </c>
      <c r="H15422" t="s">
        <v>10089</v>
      </c>
      <c r="I15422">
        <v>365</v>
      </c>
      <c r="J15422" t="s">
        <v>450</v>
      </c>
      <c r="K15422" t="s">
        <v>446</v>
      </c>
      <c r="M15422">
        <v>0</v>
      </c>
    </row>
    <row r="15423" spans="1:13">
      <c r="A15423">
        <v>86561600</v>
      </c>
      <c r="B15423">
        <v>2019014</v>
      </c>
      <c r="C15423" t="s">
        <v>15879</v>
      </c>
      <c r="D15423" t="s">
        <v>442</v>
      </c>
      <c r="E15423" t="s">
        <v>441</v>
      </c>
      <c r="F15423">
        <v>1E-3</v>
      </c>
      <c r="H15423" t="s">
        <v>8580</v>
      </c>
      <c r="I15423">
        <v>365</v>
      </c>
      <c r="J15423" t="s">
        <v>450</v>
      </c>
      <c r="K15423" t="s">
        <v>446</v>
      </c>
      <c r="M15423">
        <v>0</v>
      </c>
    </row>
    <row r="15424" spans="1:13">
      <c r="A15424">
        <v>86561700</v>
      </c>
      <c r="B15424">
        <v>2018998</v>
      </c>
      <c r="C15424" t="s">
        <v>17291</v>
      </c>
      <c r="D15424" t="s">
        <v>442</v>
      </c>
      <c r="E15424" t="s">
        <v>441</v>
      </c>
      <c r="F15424">
        <v>1E-3</v>
      </c>
      <c r="H15424" t="s">
        <v>8634</v>
      </c>
      <c r="I15424">
        <v>365</v>
      </c>
      <c r="J15424" t="s">
        <v>450</v>
      </c>
      <c r="M15424">
        <v>0</v>
      </c>
    </row>
    <row r="15425" spans="1:13">
      <c r="A15425">
        <v>86561800</v>
      </c>
      <c r="B15425">
        <v>2019048</v>
      </c>
      <c r="C15425" t="s">
        <v>17825</v>
      </c>
      <c r="D15425" t="s">
        <v>442</v>
      </c>
      <c r="E15425" t="s">
        <v>441</v>
      </c>
      <c r="F15425">
        <v>1E-3</v>
      </c>
      <c r="H15425" t="s">
        <v>10089</v>
      </c>
      <c r="I15425">
        <v>365</v>
      </c>
      <c r="J15425" t="s">
        <v>450</v>
      </c>
      <c r="K15425" t="s">
        <v>446</v>
      </c>
      <c r="M15425">
        <v>0</v>
      </c>
    </row>
    <row r="15426" spans="1:13">
      <c r="A15426">
        <v>86561900</v>
      </c>
      <c r="B15426">
        <v>2019047</v>
      </c>
      <c r="C15426" t="s">
        <v>15880</v>
      </c>
      <c r="D15426" t="s">
        <v>442</v>
      </c>
      <c r="E15426" t="s">
        <v>441</v>
      </c>
      <c r="F15426">
        <v>1E-3</v>
      </c>
      <c r="H15426" t="s">
        <v>10089</v>
      </c>
      <c r="I15426">
        <v>365</v>
      </c>
      <c r="J15426" t="s">
        <v>450</v>
      </c>
      <c r="K15426" t="s">
        <v>446</v>
      </c>
      <c r="M15426">
        <v>0</v>
      </c>
    </row>
    <row r="15427" spans="1:13">
      <c r="A15427">
        <v>86562100</v>
      </c>
      <c r="B15427">
        <v>2019039</v>
      </c>
      <c r="C15427" t="s">
        <v>14088</v>
      </c>
      <c r="D15427" t="s">
        <v>442</v>
      </c>
      <c r="E15427" t="s">
        <v>441</v>
      </c>
      <c r="F15427">
        <v>1E-3</v>
      </c>
      <c r="H15427" t="s">
        <v>8580</v>
      </c>
      <c r="I15427">
        <v>365</v>
      </c>
      <c r="J15427" t="s">
        <v>450</v>
      </c>
      <c r="M15427">
        <v>0</v>
      </c>
    </row>
    <row r="15428" spans="1:13">
      <c r="A15428">
        <v>86562200</v>
      </c>
      <c r="B15428">
        <v>2019060</v>
      </c>
      <c r="C15428" t="s">
        <v>14089</v>
      </c>
      <c r="D15428" t="s">
        <v>442</v>
      </c>
      <c r="E15428" t="s">
        <v>441</v>
      </c>
      <c r="F15428">
        <v>1E-3</v>
      </c>
      <c r="H15428" t="s">
        <v>8584</v>
      </c>
      <c r="I15428">
        <v>365</v>
      </c>
      <c r="J15428" t="s">
        <v>450</v>
      </c>
      <c r="M15428">
        <v>0</v>
      </c>
    </row>
    <row r="15429" spans="1:13">
      <c r="A15429">
        <v>86562300</v>
      </c>
      <c r="B15429">
        <v>2019061</v>
      </c>
      <c r="C15429" t="s">
        <v>14090</v>
      </c>
      <c r="D15429" t="s">
        <v>442</v>
      </c>
      <c r="E15429" t="s">
        <v>441</v>
      </c>
      <c r="F15429">
        <v>1E-3</v>
      </c>
      <c r="H15429" t="s">
        <v>8584</v>
      </c>
      <c r="I15429">
        <v>365</v>
      </c>
      <c r="J15429" t="s">
        <v>450</v>
      </c>
      <c r="M15429">
        <v>0</v>
      </c>
    </row>
    <row r="15430" spans="1:13">
      <c r="A15430">
        <v>86562400</v>
      </c>
      <c r="B15430">
        <v>2019070</v>
      </c>
      <c r="C15430" t="s">
        <v>14091</v>
      </c>
      <c r="D15430" t="s">
        <v>442</v>
      </c>
      <c r="E15430" t="s">
        <v>441</v>
      </c>
      <c r="F15430">
        <v>1E-3</v>
      </c>
      <c r="I15430">
        <v>365</v>
      </c>
      <c r="J15430" t="s">
        <v>450</v>
      </c>
      <c r="M15430">
        <v>0</v>
      </c>
    </row>
    <row r="15431" spans="1:13">
      <c r="A15431">
        <v>86562500</v>
      </c>
      <c r="B15431">
        <v>2019016</v>
      </c>
      <c r="C15431" t="s">
        <v>15881</v>
      </c>
      <c r="D15431" t="s">
        <v>442</v>
      </c>
      <c r="E15431" t="s">
        <v>441</v>
      </c>
      <c r="F15431">
        <v>1E-3</v>
      </c>
      <c r="H15431" t="s">
        <v>8580</v>
      </c>
      <c r="I15431">
        <v>365</v>
      </c>
      <c r="J15431" t="s">
        <v>450</v>
      </c>
      <c r="K15431" t="s">
        <v>446</v>
      </c>
      <c r="M15431">
        <v>0</v>
      </c>
    </row>
    <row r="15432" spans="1:13">
      <c r="A15432">
        <v>86562600</v>
      </c>
      <c r="B15432">
        <v>2019017</v>
      </c>
      <c r="C15432" t="s">
        <v>15882</v>
      </c>
      <c r="D15432" t="s">
        <v>442</v>
      </c>
      <c r="E15432" t="s">
        <v>441</v>
      </c>
      <c r="F15432">
        <v>1E-3</v>
      </c>
      <c r="H15432" t="s">
        <v>8580</v>
      </c>
      <c r="I15432">
        <v>365</v>
      </c>
      <c r="J15432" t="s">
        <v>450</v>
      </c>
      <c r="K15432" t="s">
        <v>446</v>
      </c>
      <c r="M15432">
        <v>0</v>
      </c>
    </row>
    <row r="15433" spans="1:13">
      <c r="A15433">
        <v>86562700</v>
      </c>
      <c r="B15433">
        <v>2019080</v>
      </c>
      <c r="C15433" t="s">
        <v>17292</v>
      </c>
      <c r="D15433" t="s">
        <v>442</v>
      </c>
      <c r="E15433" t="s">
        <v>441</v>
      </c>
      <c r="F15433">
        <v>1E-3</v>
      </c>
      <c r="H15433" t="s">
        <v>8624</v>
      </c>
      <c r="I15433">
        <v>365</v>
      </c>
      <c r="J15433" t="s">
        <v>450</v>
      </c>
      <c r="K15433" t="s">
        <v>446</v>
      </c>
      <c r="M15433">
        <v>0</v>
      </c>
    </row>
    <row r="15434" spans="1:13">
      <c r="A15434">
        <v>86562800</v>
      </c>
      <c r="B15434">
        <v>2019018</v>
      </c>
      <c r="C15434" t="s">
        <v>17293</v>
      </c>
      <c r="D15434" t="s">
        <v>442</v>
      </c>
      <c r="E15434" t="s">
        <v>441</v>
      </c>
      <c r="F15434">
        <v>1E-3</v>
      </c>
      <c r="H15434" t="s">
        <v>10089</v>
      </c>
      <c r="I15434">
        <v>365</v>
      </c>
      <c r="J15434" t="s">
        <v>450</v>
      </c>
      <c r="K15434" t="s">
        <v>446</v>
      </c>
      <c r="M15434">
        <v>0</v>
      </c>
    </row>
    <row r="15435" spans="1:13">
      <c r="A15435">
        <v>86562900</v>
      </c>
      <c r="B15435">
        <v>2019019</v>
      </c>
      <c r="C15435" t="s">
        <v>17294</v>
      </c>
      <c r="D15435" t="s">
        <v>442</v>
      </c>
      <c r="E15435" t="s">
        <v>441</v>
      </c>
      <c r="F15435">
        <v>1E-3</v>
      </c>
      <c r="H15435" t="s">
        <v>8580</v>
      </c>
      <c r="I15435">
        <v>365</v>
      </c>
      <c r="J15435" t="s">
        <v>450</v>
      </c>
      <c r="M15435">
        <v>0</v>
      </c>
    </row>
    <row r="15436" spans="1:13">
      <c r="A15436">
        <v>86563100</v>
      </c>
      <c r="B15436">
        <v>2019081</v>
      </c>
      <c r="C15436" t="s">
        <v>15883</v>
      </c>
      <c r="D15436" t="s">
        <v>442</v>
      </c>
      <c r="E15436" t="s">
        <v>441</v>
      </c>
      <c r="F15436">
        <v>1E-3</v>
      </c>
      <c r="H15436" t="s">
        <v>8624</v>
      </c>
      <c r="I15436">
        <v>365</v>
      </c>
      <c r="J15436" t="s">
        <v>450</v>
      </c>
      <c r="K15436" t="s">
        <v>446</v>
      </c>
      <c r="M15436">
        <v>0</v>
      </c>
    </row>
    <row r="15437" spans="1:13">
      <c r="A15437">
        <v>86563200</v>
      </c>
      <c r="B15437">
        <v>2019082</v>
      </c>
      <c r="C15437" t="s">
        <v>17295</v>
      </c>
      <c r="D15437" t="s">
        <v>442</v>
      </c>
      <c r="E15437" t="s">
        <v>441</v>
      </c>
      <c r="F15437">
        <v>1E-3</v>
      </c>
      <c r="I15437">
        <v>365</v>
      </c>
      <c r="J15437" t="s">
        <v>450</v>
      </c>
      <c r="K15437" t="s">
        <v>446</v>
      </c>
      <c r="M15437">
        <v>0</v>
      </c>
    </row>
    <row r="15438" spans="1:13">
      <c r="A15438">
        <v>86563300</v>
      </c>
      <c r="B15438">
        <v>2019083</v>
      </c>
      <c r="C15438" t="s">
        <v>15884</v>
      </c>
      <c r="D15438" t="s">
        <v>442</v>
      </c>
      <c r="E15438" t="s">
        <v>441</v>
      </c>
      <c r="F15438">
        <v>1E-3</v>
      </c>
      <c r="H15438" t="s">
        <v>8580</v>
      </c>
      <c r="I15438">
        <v>365</v>
      </c>
      <c r="J15438" t="s">
        <v>450</v>
      </c>
      <c r="M15438">
        <v>0</v>
      </c>
    </row>
    <row r="15439" spans="1:13">
      <c r="A15439">
        <v>86563400</v>
      </c>
      <c r="B15439">
        <v>2019086</v>
      </c>
      <c r="C15439" t="s">
        <v>15885</v>
      </c>
      <c r="D15439" t="s">
        <v>442</v>
      </c>
      <c r="E15439" t="s">
        <v>441</v>
      </c>
      <c r="F15439">
        <v>1E-3</v>
      </c>
      <c r="H15439" t="s">
        <v>8580</v>
      </c>
      <c r="I15439">
        <v>365</v>
      </c>
      <c r="J15439" t="s">
        <v>450</v>
      </c>
      <c r="M15439">
        <v>0</v>
      </c>
    </row>
    <row r="15440" spans="1:13">
      <c r="A15440">
        <v>86563500</v>
      </c>
      <c r="B15440">
        <v>2019084</v>
      </c>
      <c r="C15440" t="s">
        <v>15886</v>
      </c>
      <c r="D15440" t="s">
        <v>442</v>
      </c>
      <c r="E15440" t="s">
        <v>441</v>
      </c>
      <c r="F15440">
        <v>1E-3</v>
      </c>
      <c r="H15440" t="s">
        <v>8584</v>
      </c>
      <c r="I15440">
        <v>365</v>
      </c>
      <c r="J15440" t="s">
        <v>450</v>
      </c>
      <c r="M15440">
        <v>0</v>
      </c>
    </row>
    <row r="15441" spans="1:13">
      <c r="A15441">
        <v>86563600</v>
      </c>
      <c r="B15441">
        <v>2019085</v>
      </c>
      <c r="C15441" t="s">
        <v>15887</v>
      </c>
      <c r="D15441" t="s">
        <v>442</v>
      </c>
      <c r="E15441" t="s">
        <v>441</v>
      </c>
      <c r="F15441">
        <v>1E-3</v>
      </c>
      <c r="I15441">
        <v>365</v>
      </c>
      <c r="J15441" t="s">
        <v>450</v>
      </c>
      <c r="M15441">
        <v>0</v>
      </c>
    </row>
    <row r="15442" spans="1:13">
      <c r="A15442">
        <v>86563700</v>
      </c>
      <c r="B15442">
        <v>2019052</v>
      </c>
      <c r="C15442" t="s">
        <v>15888</v>
      </c>
      <c r="D15442" t="s">
        <v>442</v>
      </c>
      <c r="E15442" t="s">
        <v>441</v>
      </c>
      <c r="F15442">
        <v>1E-3</v>
      </c>
      <c r="H15442" t="s">
        <v>8634</v>
      </c>
      <c r="I15442">
        <v>365</v>
      </c>
      <c r="J15442" t="s">
        <v>450</v>
      </c>
      <c r="K15442" t="s">
        <v>446</v>
      </c>
      <c r="M15442">
        <v>0</v>
      </c>
    </row>
    <row r="15443" spans="1:13">
      <c r="A15443">
        <v>86563800</v>
      </c>
      <c r="B15443">
        <v>2018199</v>
      </c>
      <c r="C15443" t="s">
        <v>17296</v>
      </c>
      <c r="D15443" t="s">
        <v>442</v>
      </c>
      <c r="E15443" t="s">
        <v>441</v>
      </c>
      <c r="F15443">
        <v>1E-3</v>
      </c>
      <c r="H15443" t="s">
        <v>8580</v>
      </c>
      <c r="I15443">
        <v>720</v>
      </c>
      <c r="J15443" t="s">
        <v>450</v>
      </c>
      <c r="M15443">
        <v>0</v>
      </c>
    </row>
    <row r="15444" spans="1:13">
      <c r="A15444">
        <v>86563900</v>
      </c>
      <c r="B15444">
        <v>2018196</v>
      </c>
      <c r="C15444" t="s">
        <v>17297</v>
      </c>
      <c r="D15444" t="s">
        <v>442</v>
      </c>
      <c r="E15444" t="s">
        <v>441</v>
      </c>
      <c r="F15444">
        <v>1E-3</v>
      </c>
      <c r="H15444" t="s">
        <v>8580</v>
      </c>
      <c r="I15444">
        <v>265</v>
      </c>
      <c r="J15444" t="s">
        <v>450</v>
      </c>
      <c r="M15444">
        <v>0</v>
      </c>
    </row>
    <row r="15445" spans="1:13">
      <c r="A15445">
        <v>86564100</v>
      </c>
      <c r="B15445">
        <v>2018197</v>
      </c>
      <c r="C15445" t="s">
        <v>17298</v>
      </c>
      <c r="D15445" t="s">
        <v>442</v>
      </c>
      <c r="E15445" t="s">
        <v>441</v>
      </c>
      <c r="F15445">
        <v>1E-3</v>
      </c>
      <c r="I15445">
        <v>265</v>
      </c>
      <c r="J15445" t="s">
        <v>450</v>
      </c>
      <c r="M15445">
        <v>0</v>
      </c>
    </row>
    <row r="15446" spans="1:13">
      <c r="A15446">
        <v>86564200</v>
      </c>
      <c r="B15446">
        <v>2019122</v>
      </c>
      <c r="C15446" t="s">
        <v>15889</v>
      </c>
      <c r="D15446" t="s">
        <v>442</v>
      </c>
      <c r="E15446" t="s">
        <v>441</v>
      </c>
      <c r="F15446">
        <v>1E-3</v>
      </c>
      <c r="H15446" t="s">
        <v>8580</v>
      </c>
      <c r="I15446">
        <v>365</v>
      </c>
      <c r="J15446" t="s">
        <v>450</v>
      </c>
      <c r="M15446">
        <v>0</v>
      </c>
    </row>
    <row r="15447" spans="1:13">
      <c r="A15447">
        <v>86564300</v>
      </c>
      <c r="B15447">
        <v>2019250</v>
      </c>
      <c r="C15447" t="s">
        <v>14664</v>
      </c>
      <c r="D15447" t="s">
        <v>442</v>
      </c>
      <c r="E15447" t="s">
        <v>441</v>
      </c>
      <c r="F15447">
        <v>1E-3</v>
      </c>
      <c r="H15447" t="s">
        <v>8584</v>
      </c>
      <c r="I15447">
        <v>365</v>
      </c>
      <c r="J15447" t="s">
        <v>450</v>
      </c>
      <c r="M15447">
        <v>0</v>
      </c>
    </row>
    <row r="15448" spans="1:13">
      <c r="A15448">
        <v>86564400</v>
      </c>
      <c r="B15448">
        <v>2019256</v>
      </c>
      <c r="C15448" t="s">
        <v>14665</v>
      </c>
      <c r="D15448" t="s">
        <v>442</v>
      </c>
      <c r="E15448" t="s">
        <v>441</v>
      </c>
      <c r="F15448">
        <v>1E-3</v>
      </c>
      <c r="H15448" t="s">
        <v>8580</v>
      </c>
      <c r="I15448">
        <v>365</v>
      </c>
      <c r="J15448" t="s">
        <v>450</v>
      </c>
      <c r="M15448">
        <v>0</v>
      </c>
    </row>
    <row r="15449" spans="1:13">
      <c r="A15449">
        <v>86564500</v>
      </c>
      <c r="B15449">
        <v>2019252</v>
      </c>
      <c r="C15449" t="s">
        <v>14666</v>
      </c>
      <c r="D15449" t="s">
        <v>442</v>
      </c>
      <c r="E15449" t="s">
        <v>441</v>
      </c>
      <c r="F15449">
        <v>1E-3</v>
      </c>
      <c r="I15449">
        <v>365</v>
      </c>
      <c r="J15449" t="s">
        <v>450</v>
      </c>
      <c r="M15449">
        <v>0</v>
      </c>
    </row>
    <row r="15450" spans="1:13">
      <c r="A15450">
        <v>86564600</v>
      </c>
      <c r="B15450">
        <v>2019255</v>
      </c>
      <c r="C15450" t="s">
        <v>14667</v>
      </c>
      <c r="D15450" t="s">
        <v>442</v>
      </c>
      <c r="E15450" t="s">
        <v>441</v>
      </c>
      <c r="F15450">
        <v>1E-3</v>
      </c>
      <c r="I15450">
        <v>365</v>
      </c>
      <c r="J15450" t="s">
        <v>450</v>
      </c>
      <c r="M15450">
        <v>0</v>
      </c>
    </row>
    <row r="15451" spans="1:13">
      <c r="A15451">
        <v>86564700</v>
      </c>
      <c r="B15451">
        <v>2004686</v>
      </c>
      <c r="C15451" t="s">
        <v>15890</v>
      </c>
      <c r="D15451" t="s">
        <v>442</v>
      </c>
      <c r="E15451" t="s">
        <v>441</v>
      </c>
      <c r="F15451">
        <v>1E-3</v>
      </c>
      <c r="H15451" t="s">
        <v>8580</v>
      </c>
      <c r="I15451">
        <v>730</v>
      </c>
      <c r="J15451" t="s">
        <v>450</v>
      </c>
      <c r="M15451">
        <v>0</v>
      </c>
    </row>
    <row r="15452" spans="1:13">
      <c r="A15452">
        <v>86564800</v>
      </c>
      <c r="B15452">
        <v>2019342</v>
      </c>
      <c r="C15452" t="s">
        <v>17299</v>
      </c>
      <c r="D15452" t="s">
        <v>442</v>
      </c>
      <c r="E15452" t="s">
        <v>441</v>
      </c>
      <c r="F15452">
        <v>1E-3</v>
      </c>
      <c r="H15452" t="s">
        <v>8580</v>
      </c>
      <c r="I15452">
        <v>365</v>
      </c>
      <c r="J15452" t="s">
        <v>450</v>
      </c>
      <c r="M15452">
        <v>0</v>
      </c>
    </row>
    <row r="15453" spans="1:13">
      <c r="A15453">
        <v>86564900</v>
      </c>
      <c r="B15453">
        <v>2019412</v>
      </c>
      <c r="C15453" t="s">
        <v>14668</v>
      </c>
      <c r="D15453" t="s">
        <v>442</v>
      </c>
      <c r="E15453" t="s">
        <v>441</v>
      </c>
      <c r="F15453">
        <v>1E-3</v>
      </c>
      <c r="H15453" t="s">
        <v>8580</v>
      </c>
      <c r="I15453">
        <v>365</v>
      </c>
      <c r="J15453" t="s">
        <v>450</v>
      </c>
      <c r="M15453">
        <v>0</v>
      </c>
    </row>
    <row r="15454" spans="1:13">
      <c r="A15454">
        <v>86565000</v>
      </c>
      <c r="B15454">
        <v>2019512</v>
      </c>
      <c r="C15454" t="s">
        <v>15891</v>
      </c>
      <c r="D15454" t="s">
        <v>442</v>
      </c>
      <c r="E15454" t="s">
        <v>441</v>
      </c>
      <c r="F15454">
        <v>1E-3</v>
      </c>
      <c r="H15454" t="s">
        <v>8584</v>
      </c>
      <c r="I15454">
        <v>365</v>
      </c>
      <c r="J15454" t="s">
        <v>450</v>
      </c>
      <c r="M15454">
        <v>0</v>
      </c>
    </row>
    <row r="15455" spans="1:13">
      <c r="A15455">
        <v>86565100</v>
      </c>
      <c r="B15455">
        <v>2019544</v>
      </c>
      <c r="C15455" t="s">
        <v>15892</v>
      </c>
      <c r="D15455" t="s">
        <v>442</v>
      </c>
      <c r="E15455" t="s">
        <v>441</v>
      </c>
      <c r="F15455">
        <v>1E-3</v>
      </c>
      <c r="H15455" t="s">
        <v>8580</v>
      </c>
      <c r="I15455">
        <v>365</v>
      </c>
      <c r="J15455" t="s">
        <v>450</v>
      </c>
      <c r="M15455">
        <v>0</v>
      </c>
    </row>
    <row r="15456" spans="1:13">
      <c r="A15456">
        <v>86565200</v>
      </c>
      <c r="B15456">
        <v>2019528</v>
      </c>
      <c r="C15456" t="s">
        <v>15893</v>
      </c>
      <c r="D15456" t="s">
        <v>442</v>
      </c>
      <c r="E15456" t="s">
        <v>441</v>
      </c>
      <c r="F15456">
        <v>1E-3</v>
      </c>
      <c r="H15456" t="s">
        <v>8580</v>
      </c>
      <c r="I15456">
        <v>365</v>
      </c>
      <c r="J15456" t="s">
        <v>450</v>
      </c>
      <c r="M15456">
        <v>0</v>
      </c>
    </row>
    <row r="15457" spans="1:13">
      <c r="A15457">
        <v>86565300</v>
      </c>
      <c r="B15457">
        <v>2019581</v>
      </c>
      <c r="C15457" t="s">
        <v>14669</v>
      </c>
      <c r="D15457" t="s">
        <v>442</v>
      </c>
      <c r="E15457" t="s">
        <v>441</v>
      </c>
      <c r="F15457">
        <v>1E-3</v>
      </c>
      <c r="I15457">
        <v>365</v>
      </c>
      <c r="J15457" t="s">
        <v>450</v>
      </c>
      <c r="M15457">
        <v>0</v>
      </c>
    </row>
    <row r="15458" spans="1:13">
      <c r="A15458">
        <v>86565400</v>
      </c>
      <c r="B15458">
        <v>2019582</v>
      </c>
      <c r="C15458" t="s">
        <v>14670</v>
      </c>
      <c r="D15458" t="s">
        <v>442</v>
      </c>
      <c r="E15458" t="s">
        <v>441</v>
      </c>
      <c r="F15458">
        <v>1E-3</v>
      </c>
      <c r="H15458" t="s">
        <v>8584</v>
      </c>
      <c r="I15458">
        <v>365</v>
      </c>
      <c r="J15458" t="s">
        <v>450</v>
      </c>
      <c r="M15458">
        <v>0</v>
      </c>
    </row>
    <row r="15459" spans="1:13">
      <c r="A15459">
        <v>86565500</v>
      </c>
      <c r="B15459">
        <v>2013719</v>
      </c>
      <c r="C15459" t="s">
        <v>17300</v>
      </c>
      <c r="D15459" t="s">
        <v>442</v>
      </c>
      <c r="E15459" t="s">
        <v>441</v>
      </c>
      <c r="F15459">
        <v>1E-3</v>
      </c>
      <c r="H15459" t="s">
        <v>8580</v>
      </c>
      <c r="I15459">
        <v>365</v>
      </c>
      <c r="J15459" t="s">
        <v>450</v>
      </c>
      <c r="M15459">
        <v>0</v>
      </c>
    </row>
    <row r="15460" spans="1:13">
      <c r="A15460">
        <v>86565600</v>
      </c>
      <c r="B15460">
        <v>2004736</v>
      </c>
      <c r="C15460" t="s">
        <v>17826</v>
      </c>
      <c r="D15460" t="s">
        <v>442</v>
      </c>
      <c r="E15460" t="s">
        <v>441</v>
      </c>
      <c r="F15460">
        <v>1E-3</v>
      </c>
      <c r="H15460" t="s">
        <v>8581</v>
      </c>
      <c r="I15460">
        <v>730</v>
      </c>
      <c r="J15460" t="s">
        <v>450</v>
      </c>
      <c r="M15460">
        <v>0</v>
      </c>
    </row>
    <row r="15461" spans="1:13">
      <c r="A15461">
        <v>86565700</v>
      </c>
      <c r="B15461">
        <v>2019780</v>
      </c>
      <c r="C15461" t="s">
        <v>17301</v>
      </c>
      <c r="D15461" t="s">
        <v>442</v>
      </c>
      <c r="E15461" t="s">
        <v>441</v>
      </c>
      <c r="F15461">
        <v>1E-3</v>
      </c>
      <c r="H15461" t="s">
        <v>8580</v>
      </c>
      <c r="I15461">
        <v>365</v>
      </c>
      <c r="J15461" t="s">
        <v>450</v>
      </c>
      <c r="M15461">
        <v>0</v>
      </c>
    </row>
    <row r="15462" spans="1:13">
      <c r="A15462">
        <v>86565800</v>
      </c>
      <c r="B15462">
        <v>2019781</v>
      </c>
      <c r="C15462" t="s">
        <v>17302</v>
      </c>
      <c r="D15462" t="s">
        <v>442</v>
      </c>
      <c r="E15462" t="s">
        <v>441</v>
      </c>
      <c r="F15462">
        <v>1E-3</v>
      </c>
      <c r="H15462" t="s">
        <v>8580</v>
      </c>
      <c r="I15462">
        <v>365</v>
      </c>
      <c r="J15462" t="s">
        <v>450</v>
      </c>
      <c r="M15462">
        <v>0</v>
      </c>
    </row>
    <row r="15463" spans="1:13">
      <c r="A15463">
        <v>86565900</v>
      </c>
      <c r="B15463">
        <v>2019801</v>
      </c>
      <c r="C15463" t="s">
        <v>15894</v>
      </c>
      <c r="D15463" t="s">
        <v>442</v>
      </c>
      <c r="E15463" t="s">
        <v>441</v>
      </c>
      <c r="F15463">
        <v>1E-3</v>
      </c>
      <c r="H15463" t="s">
        <v>8584</v>
      </c>
      <c r="I15463">
        <v>365</v>
      </c>
      <c r="J15463" t="s">
        <v>450</v>
      </c>
      <c r="M15463">
        <v>0</v>
      </c>
    </row>
    <row r="15464" spans="1:13">
      <c r="A15464">
        <v>86566000</v>
      </c>
      <c r="B15464">
        <v>2019806</v>
      </c>
      <c r="C15464" t="s">
        <v>15895</v>
      </c>
      <c r="D15464" t="s">
        <v>442</v>
      </c>
      <c r="E15464" t="s">
        <v>441</v>
      </c>
      <c r="F15464">
        <v>1E-3</v>
      </c>
      <c r="I15464">
        <v>365</v>
      </c>
      <c r="J15464" t="s">
        <v>450</v>
      </c>
      <c r="M15464">
        <v>0</v>
      </c>
    </row>
    <row r="15465" spans="1:13">
      <c r="A15465">
        <v>86566100</v>
      </c>
      <c r="B15465">
        <v>2019807</v>
      </c>
      <c r="C15465" t="s">
        <v>15896</v>
      </c>
      <c r="D15465" t="s">
        <v>442</v>
      </c>
      <c r="E15465" t="s">
        <v>441</v>
      </c>
      <c r="F15465">
        <v>1E-3</v>
      </c>
      <c r="H15465" t="s">
        <v>8637</v>
      </c>
      <c r="I15465">
        <v>365</v>
      </c>
      <c r="J15465" t="s">
        <v>450</v>
      </c>
      <c r="M15465">
        <v>0</v>
      </c>
    </row>
    <row r="15466" spans="1:13">
      <c r="A15466">
        <v>86566200</v>
      </c>
      <c r="B15466">
        <v>2019816</v>
      </c>
      <c r="C15466" t="s">
        <v>17827</v>
      </c>
      <c r="D15466" t="s">
        <v>442</v>
      </c>
      <c r="E15466" t="s">
        <v>441</v>
      </c>
      <c r="F15466">
        <v>1E-3</v>
      </c>
      <c r="H15466" t="s">
        <v>8634</v>
      </c>
      <c r="I15466">
        <v>365</v>
      </c>
      <c r="J15466" t="s">
        <v>450</v>
      </c>
      <c r="M15466">
        <v>0</v>
      </c>
    </row>
    <row r="15467" spans="1:13">
      <c r="A15467">
        <v>86566300</v>
      </c>
      <c r="B15467">
        <v>2019868</v>
      </c>
      <c r="C15467" t="s">
        <v>15897</v>
      </c>
      <c r="D15467" t="s">
        <v>442</v>
      </c>
      <c r="E15467" t="s">
        <v>441</v>
      </c>
      <c r="F15467">
        <v>1E-3</v>
      </c>
      <c r="I15467">
        <v>365</v>
      </c>
      <c r="J15467" t="s">
        <v>450</v>
      </c>
      <c r="M15467">
        <v>0</v>
      </c>
    </row>
    <row r="15468" spans="1:13">
      <c r="A15468">
        <v>86566400</v>
      </c>
      <c r="B15468">
        <v>2019869</v>
      </c>
      <c r="C15468" t="s">
        <v>15898</v>
      </c>
      <c r="D15468" t="s">
        <v>442</v>
      </c>
      <c r="E15468" t="s">
        <v>441</v>
      </c>
      <c r="F15468">
        <v>1E-3</v>
      </c>
      <c r="H15468" t="s">
        <v>8580</v>
      </c>
      <c r="I15468">
        <v>365</v>
      </c>
      <c r="J15468" t="s">
        <v>450</v>
      </c>
      <c r="M15468">
        <v>0</v>
      </c>
    </row>
    <row r="15469" spans="1:13">
      <c r="A15469">
        <v>86566500</v>
      </c>
      <c r="B15469">
        <v>2019915</v>
      </c>
      <c r="C15469" t="s">
        <v>15899</v>
      </c>
      <c r="D15469" t="s">
        <v>442</v>
      </c>
      <c r="E15469" t="s">
        <v>441</v>
      </c>
      <c r="F15469">
        <v>1E-3</v>
      </c>
      <c r="I15469">
        <v>365</v>
      </c>
      <c r="J15469" t="s">
        <v>450</v>
      </c>
      <c r="M15469">
        <v>0</v>
      </c>
    </row>
    <row r="15470" spans="1:13">
      <c r="A15470">
        <v>86566600</v>
      </c>
      <c r="B15470">
        <v>2019916</v>
      </c>
      <c r="C15470" t="s">
        <v>15900</v>
      </c>
      <c r="D15470" t="s">
        <v>442</v>
      </c>
      <c r="E15470" t="s">
        <v>441</v>
      </c>
      <c r="F15470">
        <v>1E-3</v>
      </c>
      <c r="H15470" t="s">
        <v>8580</v>
      </c>
      <c r="I15470">
        <v>365</v>
      </c>
      <c r="J15470" t="s">
        <v>450</v>
      </c>
      <c r="M15470">
        <v>0</v>
      </c>
    </row>
    <row r="15471" spans="1:13">
      <c r="A15471">
        <v>86566700</v>
      </c>
      <c r="B15471">
        <v>2019942</v>
      </c>
      <c r="C15471" t="s">
        <v>15901</v>
      </c>
      <c r="D15471" t="s">
        <v>442</v>
      </c>
      <c r="E15471" t="s">
        <v>441</v>
      </c>
      <c r="F15471">
        <v>1E-3</v>
      </c>
      <c r="H15471" t="s">
        <v>8580</v>
      </c>
      <c r="I15471">
        <v>365</v>
      </c>
      <c r="J15471" t="s">
        <v>450</v>
      </c>
      <c r="M15471">
        <v>0</v>
      </c>
    </row>
    <row r="15472" spans="1:13">
      <c r="A15472">
        <v>86566800</v>
      </c>
      <c r="B15472">
        <v>2019943</v>
      </c>
      <c r="C15472" t="s">
        <v>15902</v>
      </c>
      <c r="D15472" t="s">
        <v>442</v>
      </c>
      <c r="E15472" t="s">
        <v>441</v>
      </c>
      <c r="F15472">
        <v>1E-3</v>
      </c>
      <c r="H15472" t="s">
        <v>8637</v>
      </c>
      <c r="I15472">
        <v>365</v>
      </c>
      <c r="J15472" t="s">
        <v>450</v>
      </c>
      <c r="M15472">
        <v>0</v>
      </c>
    </row>
    <row r="15473" spans="1:13">
      <c r="A15473">
        <v>86566900</v>
      </c>
      <c r="B15473">
        <v>2019959</v>
      </c>
      <c r="C15473" t="s">
        <v>15903</v>
      </c>
      <c r="D15473" t="s">
        <v>442</v>
      </c>
      <c r="E15473" t="s">
        <v>441</v>
      </c>
      <c r="F15473">
        <v>1E-3</v>
      </c>
      <c r="I15473">
        <v>365</v>
      </c>
      <c r="J15473" t="s">
        <v>450</v>
      </c>
      <c r="M15473">
        <v>0</v>
      </c>
    </row>
    <row r="15474" spans="1:13">
      <c r="A15474">
        <v>86567000</v>
      </c>
      <c r="B15474">
        <v>2019958</v>
      </c>
      <c r="C15474" t="s">
        <v>15904</v>
      </c>
      <c r="D15474" t="s">
        <v>442</v>
      </c>
      <c r="E15474" t="s">
        <v>441</v>
      </c>
      <c r="F15474">
        <v>1E-3</v>
      </c>
      <c r="H15474" t="s">
        <v>8580</v>
      </c>
      <c r="I15474">
        <v>365</v>
      </c>
      <c r="J15474" t="s">
        <v>450</v>
      </c>
      <c r="M15474">
        <v>0</v>
      </c>
    </row>
    <row r="15475" spans="1:13">
      <c r="A15475">
        <v>86567100</v>
      </c>
      <c r="B15475">
        <v>2020063</v>
      </c>
      <c r="C15475" t="s">
        <v>15905</v>
      </c>
      <c r="D15475" t="s">
        <v>442</v>
      </c>
      <c r="E15475" t="s">
        <v>441</v>
      </c>
      <c r="F15475">
        <v>1E-3</v>
      </c>
      <c r="H15475" t="s">
        <v>8580</v>
      </c>
      <c r="I15475">
        <v>365</v>
      </c>
      <c r="J15475" t="s">
        <v>450</v>
      </c>
      <c r="M15475">
        <v>0</v>
      </c>
    </row>
    <row r="15476" spans="1:13">
      <c r="A15476">
        <v>86567200</v>
      </c>
      <c r="B15476">
        <v>2020100</v>
      </c>
      <c r="C15476" t="s">
        <v>15906</v>
      </c>
      <c r="D15476" t="s">
        <v>442</v>
      </c>
      <c r="E15476" t="s">
        <v>441</v>
      </c>
      <c r="F15476">
        <v>1E-3</v>
      </c>
      <c r="H15476" t="s">
        <v>8580</v>
      </c>
      <c r="I15476">
        <v>365</v>
      </c>
      <c r="J15476" t="s">
        <v>450</v>
      </c>
      <c r="M15476">
        <v>0</v>
      </c>
    </row>
    <row r="15477" spans="1:13">
      <c r="A15477">
        <v>86567300</v>
      </c>
      <c r="B15477">
        <v>2020073</v>
      </c>
      <c r="C15477" t="s">
        <v>15907</v>
      </c>
      <c r="D15477" t="s">
        <v>442</v>
      </c>
      <c r="E15477" t="s">
        <v>441</v>
      </c>
      <c r="F15477">
        <v>1E-3</v>
      </c>
      <c r="H15477" t="s">
        <v>8580</v>
      </c>
      <c r="I15477">
        <v>365</v>
      </c>
      <c r="J15477" t="s">
        <v>450</v>
      </c>
      <c r="M15477">
        <v>0</v>
      </c>
    </row>
    <row r="15478" spans="1:13">
      <c r="A15478">
        <v>86567400</v>
      </c>
      <c r="B15478">
        <v>2020072</v>
      </c>
      <c r="C15478" t="s">
        <v>15908</v>
      </c>
      <c r="D15478" t="s">
        <v>442</v>
      </c>
      <c r="E15478" t="s">
        <v>441</v>
      </c>
      <c r="F15478">
        <v>1E-3</v>
      </c>
      <c r="I15478">
        <v>365</v>
      </c>
      <c r="J15478" t="s">
        <v>450</v>
      </c>
      <c r="M15478">
        <v>0</v>
      </c>
    </row>
    <row r="15479" spans="1:13">
      <c r="A15479">
        <v>86567500</v>
      </c>
      <c r="B15479">
        <v>2020039</v>
      </c>
      <c r="C15479" t="s">
        <v>15909</v>
      </c>
      <c r="D15479" t="s">
        <v>442</v>
      </c>
      <c r="E15479" t="s">
        <v>441</v>
      </c>
      <c r="F15479">
        <v>1E-3</v>
      </c>
      <c r="H15479" t="s">
        <v>8580</v>
      </c>
      <c r="I15479">
        <v>365</v>
      </c>
      <c r="J15479" t="s">
        <v>450</v>
      </c>
      <c r="M15479">
        <v>0</v>
      </c>
    </row>
    <row r="15480" spans="1:13">
      <c r="A15480">
        <v>86567600</v>
      </c>
      <c r="B15480">
        <v>2020093</v>
      </c>
      <c r="C15480" t="s">
        <v>15910</v>
      </c>
      <c r="D15480" t="s">
        <v>442</v>
      </c>
      <c r="E15480" t="s">
        <v>441</v>
      </c>
      <c r="F15480">
        <v>1E-3</v>
      </c>
      <c r="I15480">
        <v>365</v>
      </c>
      <c r="J15480" t="s">
        <v>450</v>
      </c>
      <c r="M15480">
        <v>0</v>
      </c>
    </row>
    <row r="15481" spans="1:13">
      <c r="A15481">
        <v>86567700</v>
      </c>
      <c r="B15481">
        <v>2020102</v>
      </c>
      <c r="C15481" t="s">
        <v>17303</v>
      </c>
      <c r="D15481" t="s">
        <v>442</v>
      </c>
      <c r="E15481" t="s">
        <v>441</v>
      </c>
      <c r="F15481">
        <v>1E-3</v>
      </c>
      <c r="H15481" t="s">
        <v>8580</v>
      </c>
      <c r="I15481">
        <v>365</v>
      </c>
      <c r="J15481" t="s">
        <v>450</v>
      </c>
      <c r="M15481">
        <v>0</v>
      </c>
    </row>
    <row r="15482" spans="1:13">
      <c r="A15482">
        <v>86567800</v>
      </c>
      <c r="B15482">
        <v>2020068</v>
      </c>
      <c r="C15482" t="s">
        <v>15911</v>
      </c>
      <c r="D15482" t="s">
        <v>442</v>
      </c>
      <c r="E15482" t="s">
        <v>441</v>
      </c>
      <c r="F15482">
        <v>1E-3</v>
      </c>
      <c r="I15482">
        <v>720</v>
      </c>
      <c r="J15482" t="s">
        <v>450</v>
      </c>
      <c r="M15482">
        <v>0</v>
      </c>
    </row>
    <row r="15483" spans="1:13">
      <c r="A15483">
        <v>86567900</v>
      </c>
      <c r="B15483">
        <v>2020069</v>
      </c>
      <c r="C15483" t="s">
        <v>15912</v>
      </c>
      <c r="D15483" t="s">
        <v>442</v>
      </c>
      <c r="E15483" t="s">
        <v>441</v>
      </c>
      <c r="F15483">
        <v>1E-3</v>
      </c>
      <c r="H15483" t="s">
        <v>8580</v>
      </c>
      <c r="I15483">
        <v>720</v>
      </c>
      <c r="J15483" t="s">
        <v>450</v>
      </c>
      <c r="M15483">
        <v>0</v>
      </c>
    </row>
    <row r="15484" spans="1:13">
      <c r="A15484">
        <v>86568000</v>
      </c>
      <c r="B15484">
        <v>2020067</v>
      </c>
      <c r="C15484" t="s">
        <v>15913</v>
      </c>
      <c r="D15484" t="s">
        <v>442</v>
      </c>
      <c r="E15484" t="s">
        <v>441</v>
      </c>
      <c r="F15484">
        <v>1E-3</v>
      </c>
      <c r="H15484" t="s">
        <v>8584</v>
      </c>
      <c r="I15484">
        <v>720</v>
      </c>
      <c r="J15484" t="s">
        <v>450</v>
      </c>
      <c r="M15484">
        <v>0</v>
      </c>
    </row>
    <row r="15485" spans="1:13">
      <c r="A15485">
        <v>86568100</v>
      </c>
      <c r="B15485">
        <v>2020066</v>
      </c>
      <c r="C15485" t="s">
        <v>17304</v>
      </c>
      <c r="D15485" t="s">
        <v>442</v>
      </c>
      <c r="E15485" t="s">
        <v>441</v>
      </c>
      <c r="F15485">
        <v>1E-3</v>
      </c>
      <c r="H15485" t="s">
        <v>8584</v>
      </c>
      <c r="I15485">
        <v>720</v>
      </c>
      <c r="J15485" t="s">
        <v>450</v>
      </c>
      <c r="M15485">
        <v>0</v>
      </c>
    </row>
    <row r="15486" spans="1:13">
      <c r="A15486">
        <v>86568200</v>
      </c>
      <c r="B15486">
        <v>2020065</v>
      </c>
      <c r="C15486" t="s">
        <v>15914</v>
      </c>
      <c r="D15486" t="s">
        <v>442</v>
      </c>
      <c r="E15486" t="s">
        <v>441</v>
      </c>
      <c r="F15486">
        <v>1E-3</v>
      </c>
      <c r="H15486" t="s">
        <v>8580</v>
      </c>
      <c r="I15486">
        <v>720</v>
      </c>
      <c r="J15486" t="s">
        <v>450</v>
      </c>
      <c r="M15486">
        <v>0</v>
      </c>
    </row>
    <row r="15487" spans="1:13">
      <c r="A15487">
        <v>86568300</v>
      </c>
      <c r="B15487">
        <v>2020153</v>
      </c>
      <c r="C15487" t="s">
        <v>15915</v>
      </c>
      <c r="D15487" t="s">
        <v>442</v>
      </c>
      <c r="E15487" t="s">
        <v>441</v>
      </c>
      <c r="F15487">
        <v>1E-3</v>
      </c>
      <c r="I15487">
        <v>365</v>
      </c>
      <c r="J15487" t="s">
        <v>450</v>
      </c>
      <c r="M15487">
        <v>0</v>
      </c>
    </row>
    <row r="15488" spans="1:13">
      <c r="A15488">
        <v>86568400</v>
      </c>
      <c r="B15488">
        <v>2020160</v>
      </c>
      <c r="C15488" t="s">
        <v>15916</v>
      </c>
      <c r="D15488" t="s">
        <v>442</v>
      </c>
      <c r="E15488" t="s">
        <v>441</v>
      </c>
      <c r="F15488">
        <v>1E-3</v>
      </c>
      <c r="H15488" t="s">
        <v>8580</v>
      </c>
      <c r="I15488">
        <v>365</v>
      </c>
      <c r="J15488" t="s">
        <v>450</v>
      </c>
      <c r="M15488">
        <v>0</v>
      </c>
    </row>
    <row r="15489" spans="1:13">
      <c r="A15489">
        <v>86568500</v>
      </c>
      <c r="B15489">
        <v>2020175</v>
      </c>
      <c r="C15489" t="s">
        <v>15917</v>
      </c>
      <c r="D15489" t="s">
        <v>442</v>
      </c>
      <c r="E15489" t="s">
        <v>441</v>
      </c>
      <c r="F15489">
        <v>1E-3</v>
      </c>
      <c r="I15489">
        <v>365</v>
      </c>
      <c r="J15489" t="s">
        <v>450</v>
      </c>
      <c r="M15489">
        <v>0</v>
      </c>
    </row>
    <row r="15490" spans="1:13">
      <c r="A15490">
        <v>86568600</v>
      </c>
      <c r="B15490">
        <v>2020118</v>
      </c>
      <c r="C15490" t="s">
        <v>15918</v>
      </c>
      <c r="D15490" t="s">
        <v>442</v>
      </c>
      <c r="E15490" t="s">
        <v>441</v>
      </c>
      <c r="F15490">
        <v>1E-3</v>
      </c>
      <c r="H15490" t="s">
        <v>8580</v>
      </c>
      <c r="I15490">
        <v>365</v>
      </c>
      <c r="J15490" t="s">
        <v>450</v>
      </c>
      <c r="M15490">
        <v>0</v>
      </c>
    </row>
    <row r="15491" spans="1:13">
      <c r="A15491">
        <v>86568700</v>
      </c>
      <c r="B15491">
        <v>2020190</v>
      </c>
      <c r="C15491" t="s">
        <v>17828</v>
      </c>
      <c r="D15491" t="s">
        <v>442</v>
      </c>
      <c r="E15491" t="s">
        <v>441</v>
      </c>
      <c r="F15491">
        <v>1E-3</v>
      </c>
      <c r="I15491">
        <v>365</v>
      </c>
      <c r="J15491" t="s">
        <v>450</v>
      </c>
      <c r="M15491">
        <v>0</v>
      </c>
    </row>
    <row r="15492" spans="1:13">
      <c r="A15492">
        <v>86568800</v>
      </c>
      <c r="B15492">
        <v>2020115</v>
      </c>
      <c r="C15492" t="s">
        <v>17829</v>
      </c>
      <c r="D15492" t="s">
        <v>442</v>
      </c>
      <c r="E15492" t="s">
        <v>441</v>
      </c>
      <c r="F15492">
        <v>1E-3</v>
      </c>
      <c r="I15492">
        <v>365</v>
      </c>
      <c r="J15492" t="s">
        <v>450</v>
      </c>
      <c r="M15492">
        <v>0</v>
      </c>
    </row>
    <row r="15493" spans="1:13">
      <c r="A15493">
        <v>86568900</v>
      </c>
      <c r="B15493">
        <v>2020191</v>
      </c>
      <c r="C15493" t="s">
        <v>17830</v>
      </c>
      <c r="D15493" t="s">
        <v>442</v>
      </c>
      <c r="E15493" t="s">
        <v>441</v>
      </c>
      <c r="F15493">
        <v>1E-3</v>
      </c>
      <c r="H15493" t="s">
        <v>8586</v>
      </c>
      <c r="I15493">
        <v>365</v>
      </c>
      <c r="J15493" t="s">
        <v>450</v>
      </c>
      <c r="M15493">
        <v>0</v>
      </c>
    </row>
    <row r="15494" spans="1:13">
      <c r="A15494">
        <v>86569000</v>
      </c>
      <c r="B15494">
        <v>2020116</v>
      </c>
      <c r="C15494" t="s">
        <v>17831</v>
      </c>
      <c r="D15494" t="s">
        <v>442</v>
      </c>
      <c r="E15494" t="s">
        <v>441</v>
      </c>
      <c r="F15494">
        <v>1E-3</v>
      </c>
      <c r="H15494" t="s">
        <v>8580</v>
      </c>
      <c r="I15494">
        <v>365</v>
      </c>
      <c r="J15494" t="s">
        <v>450</v>
      </c>
      <c r="M15494">
        <v>0</v>
      </c>
    </row>
    <row r="15495" spans="1:13">
      <c r="A15495">
        <v>86569100</v>
      </c>
      <c r="B15495">
        <v>2020117</v>
      </c>
      <c r="C15495" t="s">
        <v>17832</v>
      </c>
      <c r="D15495" t="s">
        <v>442</v>
      </c>
      <c r="E15495" t="s">
        <v>441</v>
      </c>
      <c r="F15495">
        <v>1E-3</v>
      </c>
      <c r="I15495">
        <v>365</v>
      </c>
      <c r="J15495" t="s">
        <v>450</v>
      </c>
      <c r="M15495">
        <v>0</v>
      </c>
    </row>
    <row r="15496" spans="1:13">
      <c r="A15496">
        <v>86569200</v>
      </c>
      <c r="B15496">
        <v>2020250</v>
      </c>
      <c r="C15496" t="s">
        <v>17305</v>
      </c>
      <c r="D15496" t="s">
        <v>442</v>
      </c>
      <c r="E15496" t="s">
        <v>441</v>
      </c>
      <c r="F15496">
        <v>1E-3</v>
      </c>
      <c r="I15496">
        <v>365</v>
      </c>
      <c r="J15496" t="s">
        <v>450</v>
      </c>
      <c r="M15496">
        <v>0</v>
      </c>
    </row>
    <row r="15497" spans="1:13">
      <c r="A15497">
        <v>86569300</v>
      </c>
      <c r="B15497">
        <v>2020261</v>
      </c>
      <c r="C15497" t="s">
        <v>17306</v>
      </c>
      <c r="D15497" t="s">
        <v>442</v>
      </c>
      <c r="E15497" t="s">
        <v>441</v>
      </c>
      <c r="F15497">
        <v>1E-3</v>
      </c>
      <c r="H15497" t="s">
        <v>8580</v>
      </c>
      <c r="I15497">
        <v>365</v>
      </c>
      <c r="J15497" t="s">
        <v>450</v>
      </c>
      <c r="M15497">
        <v>0</v>
      </c>
    </row>
    <row r="15498" spans="1:13">
      <c r="A15498">
        <v>86569400</v>
      </c>
      <c r="B15498">
        <v>2020298</v>
      </c>
      <c r="C15498" t="s">
        <v>15946</v>
      </c>
      <c r="D15498" t="s">
        <v>442</v>
      </c>
      <c r="E15498" t="s">
        <v>441</v>
      </c>
      <c r="F15498">
        <v>1E-3</v>
      </c>
      <c r="I15498">
        <v>365</v>
      </c>
      <c r="J15498" t="s">
        <v>450</v>
      </c>
      <c r="M15498">
        <v>0</v>
      </c>
    </row>
    <row r="15499" spans="1:13">
      <c r="A15499">
        <v>86569500</v>
      </c>
      <c r="B15499">
        <v>2020299</v>
      </c>
      <c r="C15499" t="s">
        <v>15947</v>
      </c>
      <c r="D15499" t="s">
        <v>442</v>
      </c>
      <c r="E15499" t="s">
        <v>441</v>
      </c>
      <c r="F15499">
        <v>1E-3</v>
      </c>
      <c r="H15499" t="s">
        <v>8580</v>
      </c>
      <c r="I15499">
        <v>365</v>
      </c>
      <c r="J15499" t="s">
        <v>450</v>
      </c>
      <c r="M15499">
        <v>0</v>
      </c>
    </row>
    <row r="15500" spans="1:13">
      <c r="A15500">
        <v>86569600</v>
      </c>
      <c r="B15500">
        <v>2019954</v>
      </c>
      <c r="C15500" t="s">
        <v>15948</v>
      </c>
      <c r="D15500" t="s">
        <v>442</v>
      </c>
      <c r="E15500" t="s">
        <v>441</v>
      </c>
      <c r="F15500">
        <v>1E-3</v>
      </c>
      <c r="H15500" t="s">
        <v>8580</v>
      </c>
      <c r="I15500">
        <v>720</v>
      </c>
      <c r="J15500" t="s">
        <v>450</v>
      </c>
      <c r="M15500">
        <v>0</v>
      </c>
    </row>
    <row r="15501" spans="1:13">
      <c r="A15501">
        <v>86569700</v>
      </c>
      <c r="B15501">
        <v>2020400</v>
      </c>
      <c r="C15501" t="s">
        <v>17307</v>
      </c>
      <c r="D15501" t="s">
        <v>442</v>
      </c>
      <c r="E15501" t="s">
        <v>441</v>
      </c>
      <c r="F15501">
        <v>1E-3</v>
      </c>
      <c r="H15501" t="s">
        <v>8580</v>
      </c>
      <c r="I15501">
        <v>365</v>
      </c>
      <c r="J15501" t="s">
        <v>450</v>
      </c>
      <c r="M15501">
        <v>0</v>
      </c>
    </row>
    <row r="15502" spans="1:13">
      <c r="A15502">
        <v>86569800</v>
      </c>
      <c r="B15502">
        <v>2020317</v>
      </c>
      <c r="C15502" t="s">
        <v>15949</v>
      </c>
      <c r="D15502" t="s">
        <v>442</v>
      </c>
      <c r="E15502" t="s">
        <v>441</v>
      </c>
      <c r="F15502">
        <v>1E-3</v>
      </c>
      <c r="H15502" t="s">
        <v>8580</v>
      </c>
      <c r="I15502">
        <v>365</v>
      </c>
      <c r="J15502" t="s">
        <v>450</v>
      </c>
      <c r="M15502">
        <v>0</v>
      </c>
    </row>
    <row r="15503" spans="1:13">
      <c r="A15503">
        <v>86569900</v>
      </c>
      <c r="B15503">
        <v>2020408</v>
      </c>
      <c r="C15503" t="s">
        <v>17308</v>
      </c>
      <c r="D15503" t="s">
        <v>442</v>
      </c>
      <c r="E15503" t="s">
        <v>441</v>
      </c>
      <c r="F15503">
        <v>1E-3</v>
      </c>
      <c r="H15503" t="s">
        <v>8580</v>
      </c>
      <c r="I15503">
        <v>365</v>
      </c>
      <c r="J15503" t="s">
        <v>450</v>
      </c>
      <c r="M15503">
        <v>0</v>
      </c>
    </row>
    <row r="15504" spans="1:13">
      <c r="A15504">
        <v>86570000</v>
      </c>
      <c r="B15504">
        <v>2020430</v>
      </c>
      <c r="C15504" t="s">
        <v>17309</v>
      </c>
      <c r="D15504" t="s">
        <v>442</v>
      </c>
      <c r="E15504" t="s">
        <v>441</v>
      </c>
      <c r="F15504">
        <v>1E-3</v>
      </c>
      <c r="I15504">
        <v>365</v>
      </c>
      <c r="J15504" t="s">
        <v>450</v>
      </c>
      <c r="M15504">
        <v>0</v>
      </c>
    </row>
    <row r="15505" spans="1:13">
      <c r="A15505">
        <v>86570100</v>
      </c>
      <c r="B15505">
        <v>2020434</v>
      </c>
      <c r="C15505" t="s">
        <v>17310</v>
      </c>
      <c r="D15505" t="s">
        <v>442</v>
      </c>
      <c r="E15505" t="s">
        <v>441</v>
      </c>
      <c r="F15505">
        <v>1E-3</v>
      </c>
      <c r="H15505" t="s">
        <v>8584</v>
      </c>
      <c r="I15505">
        <v>365</v>
      </c>
      <c r="J15505" t="s">
        <v>450</v>
      </c>
      <c r="M15505">
        <v>0</v>
      </c>
    </row>
    <row r="15506" spans="1:13">
      <c r="A15506">
        <v>86570200</v>
      </c>
      <c r="B15506">
        <v>2020433</v>
      </c>
      <c r="C15506" t="s">
        <v>17311</v>
      </c>
      <c r="D15506" t="s">
        <v>442</v>
      </c>
      <c r="E15506" t="s">
        <v>441</v>
      </c>
      <c r="F15506">
        <v>1E-3</v>
      </c>
      <c r="H15506" t="s">
        <v>8637</v>
      </c>
      <c r="I15506">
        <v>365</v>
      </c>
      <c r="J15506" t="s">
        <v>450</v>
      </c>
      <c r="M15506">
        <v>0</v>
      </c>
    </row>
    <row r="15507" spans="1:13">
      <c r="A15507">
        <v>86570300</v>
      </c>
      <c r="B15507">
        <v>2020444</v>
      </c>
      <c r="C15507" t="s">
        <v>17312</v>
      </c>
      <c r="D15507" t="s">
        <v>442</v>
      </c>
      <c r="E15507" t="s">
        <v>441</v>
      </c>
      <c r="F15507">
        <v>1E-3</v>
      </c>
      <c r="H15507" t="s">
        <v>8580</v>
      </c>
      <c r="I15507">
        <v>365</v>
      </c>
      <c r="J15507" t="s">
        <v>450</v>
      </c>
      <c r="M15507">
        <v>0</v>
      </c>
    </row>
    <row r="15508" spans="1:13">
      <c r="A15508">
        <v>86570400</v>
      </c>
      <c r="B15508">
        <v>2020438</v>
      </c>
      <c r="C15508" t="s">
        <v>17313</v>
      </c>
      <c r="D15508" t="s">
        <v>442</v>
      </c>
      <c r="E15508" t="s">
        <v>441</v>
      </c>
      <c r="F15508">
        <v>1E-3</v>
      </c>
      <c r="H15508" t="s">
        <v>8580</v>
      </c>
      <c r="I15508">
        <v>365</v>
      </c>
      <c r="J15508" t="s">
        <v>450</v>
      </c>
      <c r="M15508">
        <v>0</v>
      </c>
    </row>
    <row r="15509" spans="1:13">
      <c r="A15509">
        <v>86570500</v>
      </c>
      <c r="B15509">
        <v>2020446</v>
      </c>
      <c r="C15509" t="s">
        <v>17314</v>
      </c>
      <c r="D15509" t="s">
        <v>442</v>
      </c>
      <c r="E15509" t="s">
        <v>441</v>
      </c>
      <c r="F15509">
        <v>1E-3</v>
      </c>
      <c r="H15509" t="s">
        <v>8580</v>
      </c>
      <c r="I15509">
        <v>365</v>
      </c>
      <c r="J15509" t="s">
        <v>450</v>
      </c>
      <c r="M15509">
        <v>0</v>
      </c>
    </row>
    <row r="15510" spans="1:13">
      <c r="A15510">
        <v>86570600</v>
      </c>
      <c r="B15510">
        <v>2020445</v>
      </c>
      <c r="C15510" t="s">
        <v>17315</v>
      </c>
      <c r="D15510" t="s">
        <v>442</v>
      </c>
      <c r="E15510" t="s">
        <v>441</v>
      </c>
      <c r="F15510">
        <v>1E-3</v>
      </c>
      <c r="I15510">
        <v>365</v>
      </c>
      <c r="J15510" t="s">
        <v>450</v>
      </c>
      <c r="M15510">
        <v>0</v>
      </c>
    </row>
    <row r="15511" spans="1:13">
      <c r="A15511">
        <v>86570700</v>
      </c>
      <c r="B15511">
        <v>2020455</v>
      </c>
      <c r="C15511" t="s">
        <v>17316</v>
      </c>
      <c r="D15511" t="s">
        <v>442</v>
      </c>
      <c r="E15511" t="s">
        <v>441</v>
      </c>
      <c r="F15511">
        <v>1E-3</v>
      </c>
      <c r="I15511">
        <v>365</v>
      </c>
      <c r="J15511" t="s">
        <v>450</v>
      </c>
      <c r="M15511">
        <v>0</v>
      </c>
    </row>
    <row r="15512" spans="1:13">
      <c r="A15512">
        <v>86570800</v>
      </c>
      <c r="B15512">
        <v>2020457</v>
      </c>
      <c r="C15512" t="s">
        <v>17317</v>
      </c>
      <c r="D15512" t="s">
        <v>442</v>
      </c>
      <c r="E15512" t="s">
        <v>441</v>
      </c>
      <c r="F15512">
        <v>1E-3</v>
      </c>
      <c r="H15512" t="s">
        <v>8580</v>
      </c>
      <c r="I15512">
        <v>365</v>
      </c>
      <c r="J15512" t="s">
        <v>450</v>
      </c>
      <c r="M15512">
        <v>0</v>
      </c>
    </row>
    <row r="15513" spans="1:13">
      <c r="A15513">
        <v>86570900</v>
      </c>
      <c r="B15513">
        <v>2020483</v>
      </c>
      <c r="C15513" t="s">
        <v>17318</v>
      </c>
      <c r="D15513" t="s">
        <v>442</v>
      </c>
      <c r="E15513" t="s">
        <v>441</v>
      </c>
      <c r="F15513">
        <v>1E-3</v>
      </c>
      <c r="I15513">
        <v>365</v>
      </c>
      <c r="J15513" t="s">
        <v>450</v>
      </c>
      <c r="M15513">
        <v>0</v>
      </c>
    </row>
    <row r="15514" spans="1:13">
      <c r="A15514">
        <v>86571000</v>
      </c>
      <c r="B15514">
        <v>2019903</v>
      </c>
      <c r="C15514" t="s">
        <v>17319</v>
      </c>
      <c r="D15514" t="s">
        <v>442</v>
      </c>
      <c r="E15514" t="s">
        <v>441</v>
      </c>
      <c r="F15514">
        <v>1E-3</v>
      </c>
      <c r="H15514" t="s">
        <v>8634</v>
      </c>
      <c r="I15514">
        <v>720</v>
      </c>
      <c r="J15514" t="s">
        <v>450</v>
      </c>
      <c r="M15514">
        <v>0</v>
      </c>
    </row>
    <row r="15515" spans="1:13">
      <c r="A15515">
        <v>86571100</v>
      </c>
      <c r="B15515">
        <v>2020525</v>
      </c>
      <c r="C15515" t="s">
        <v>17833</v>
      </c>
      <c r="D15515" t="s">
        <v>442</v>
      </c>
      <c r="E15515" t="s">
        <v>441</v>
      </c>
      <c r="F15515">
        <v>1E-3</v>
      </c>
      <c r="I15515">
        <v>365</v>
      </c>
      <c r="J15515" t="s">
        <v>450</v>
      </c>
      <c r="M15515">
        <v>0</v>
      </c>
    </row>
    <row r="15516" spans="1:13">
      <c r="A15516">
        <v>86571200</v>
      </c>
      <c r="B15516">
        <v>2020555</v>
      </c>
      <c r="C15516" t="s">
        <v>17834</v>
      </c>
      <c r="D15516" t="s">
        <v>442</v>
      </c>
      <c r="E15516" t="s">
        <v>441</v>
      </c>
      <c r="F15516">
        <v>1E-3</v>
      </c>
      <c r="I15516">
        <v>365</v>
      </c>
      <c r="J15516" t="s">
        <v>450</v>
      </c>
      <c r="M15516">
        <v>0</v>
      </c>
    </row>
    <row r="15517" spans="1:13">
      <c r="A15517">
        <v>86571300</v>
      </c>
      <c r="B15517">
        <v>2020554</v>
      </c>
      <c r="C15517" t="s">
        <v>17835</v>
      </c>
      <c r="D15517" t="s">
        <v>442</v>
      </c>
      <c r="E15517" t="s">
        <v>441</v>
      </c>
      <c r="F15517">
        <v>1E-3</v>
      </c>
      <c r="H15517" t="s">
        <v>8580</v>
      </c>
      <c r="I15517">
        <v>365</v>
      </c>
      <c r="J15517" t="s">
        <v>450</v>
      </c>
      <c r="M15517">
        <v>0</v>
      </c>
    </row>
    <row r="15518" spans="1:13">
      <c r="A15518">
        <v>86571400</v>
      </c>
      <c r="B15518">
        <v>2020553</v>
      </c>
      <c r="C15518" t="s">
        <v>17836</v>
      </c>
      <c r="D15518" t="s">
        <v>442</v>
      </c>
      <c r="E15518" t="s">
        <v>441</v>
      </c>
      <c r="F15518">
        <v>1E-3</v>
      </c>
      <c r="I15518">
        <v>365</v>
      </c>
      <c r="J15518" t="s">
        <v>450</v>
      </c>
      <c r="M15518">
        <v>0</v>
      </c>
    </row>
    <row r="15519" spans="1:13">
      <c r="A15519">
        <v>86571500</v>
      </c>
      <c r="B15519">
        <v>2000344</v>
      </c>
      <c r="C15519" t="s">
        <v>17837</v>
      </c>
      <c r="D15519" t="s">
        <v>442</v>
      </c>
      <c r="E15519" t="s">
        <v>441</v>
      </c>
      <c r="F15519">
        <v>1E-3</v>
      </c>
      <c r="I15519">
        <v>730</v>
      </c>
      <c r="J15519" t="s">
        <v>450</v>
      </c>
      <c r="M15519">
        <v>0</v>
      </c>
    </row>
    <row r="15520" spans="1:13">
      <c r="A15520">
        <v>86571600</v>
      </c>
      <c r="B15520">
        <v>2020593</v>
      </c>
      <c r="C15520" t="s">
        <v>17838</v>
      </c>
      <c r="D15520" t="s">
        <v>442</v>
      </c>
      <c r="E15520" t="s">
        <v>441</v>
      </c>
      <c r="F15520">
        <v>1E-3</v>
      </c>
      <c r="H15520" t="s">
        <v>8580</v>
      </c>
      <c r="I15520">
        <v>365</v>
      </c>
      <c r="J15520" t="s">
        <v>450</v>
      </c>
      <c r="M15520">
        <v>0</v>
      </c>
    </row>
    <row r="15521" spans="1:13">
      <c r="A15521">
        <v>86571700</v>
      </c>
      <c r="B15521">
        <v>2020616</v>
      </c>
      <c r="C15521" t="s">
        <v>17839</v>
      </c>
      <c r="D15521" t="s">
        <v>442</v>
      </c>
      <c r="E15521" t="s">
        <v>441</v>
      </c>
      <c r="F15521">
        <v>1E-3</v>
      </c>
      <c r="H15521" t="s">
        <v>8580</v>
      </c>
      <c r="I15521">
        <v>365</v>
      </c>
      <c r="J15521" t="s">
        <v>450</v>
      </c>
      <c r="M15521">
        <v>0</v>
      </c>
    </row>
    <row r="15522" spans="1:13">
      <c r="A15522">
        <v>86571800</v>
      </c>
      <c r="B15522">
        <v>2020635</v>
      </c>
      <c r="C15522" t="s">
        <v>17840</v>
      </c>
      <c r="D15522" t="s">
        <v>442</v>
      </c>
      <c r="E15522" t="s">
        <v>441</v>
      </c>
      <c r="F15522">
        <v>1E-3</v>
      </c>
      <c r="H15522" t="s">
        <v>8950</v>
      </c>
      <c r="I15522">
        <v>365</v>
      </c>
      <c r="J15522" t="s">
        <v>450</v>
      </c>
      <c r="M15522">
        <v>0</v>
      </c>
    </row>
    <row r="15523" spans="1:13">
      <c r="A15523">
        <v>86571900</v>
      </c>
      <c r="B15523">
        <v>2019815</v>
      </c>
      <c r="C15523" t="s">
        <v>17841</v>
      </c>
      <c r="D15523" t="s">
        <v>442</v>
      </c>
      <c r="E15523" t="s">
        <v>441</v>
      </c>
      <c r="F15523">
        <v>1E-3</v>
      </c>
      <c r="H15523" t="s">
        <v>8634</v>
      </c>
      <c r="I15523">
        <v>765</v>
      </c>
      <c r="J15523" t="s">
        <v>450</v>
      </c>
      <c r="M15523">
        <v>0</v>
      </c>
    </row>
    <row r="15524" spans="1:13">
      <c r="A15524">
        <v>86572000</v>
      </c>
      <c r="B15524">
        <v>2020656</v>
      </c>
      <c r="C15524" t="s">
        <v>17842</v>
      </c>
      <c r="D15524" t="s">
        <v>442</v>
      </c>
      <c r="E15524" t="s">
        <v>441</v>
      </c>
      <c r="F15524">
        <v>1E-3</v>
      </c>
      <c r="H15524" t="s">
        <v>8950</v>
      </c>
      <c r="I15524">
        <v>365</v>
      </c>
      <c r="J15524" t="s">
        <v>450</v>
      </c>
      <c r="M15524">
        <v>0</v>
      </c>
    </row>
    <row r="15525" spans="1:13">
      <c r="A15525">
        <v>86572100</v>
      </c>
      <c r="B15525">
        <v>2020738</v>
      </c>
      <c r="C15525" t="s">
        <v>17843</v>
      </c>
      <c r="D15525" t="s">
        <v>442</v>
      </c>
      <c r="E15525" t="s">
        <v>441</v>
      </c>
      <c r="F15525">
        <v>1E-3</v>
      </c>
      <c r="H15525" t="s">
        <v>8584</v>
      </c>
      <c r="I15525">
        <v>365</v>
      </c>
      <c r="J15525" t="s">
        <v>450</v>
      </c>
      <c r="M15525">
        <v>0</v>
      </c>
    </row>
    <row r="15526" spans="1:13">
      <c r="A15526">
        <v>86572200</v>
      </c>
      <c r="B15526">
        <v>2020737</v>
      </c>
      <c r="C15526" t="s">
        <v>17844</v>
      </c>
      <c r="D15526" t="s">
        <v>442</v>
      </c>
      <c r="E15526" t="s">
        <v>441</v>
      </c>
      <c r="F15526">
        <v>1E-3</v>
      </c>
      <c r="H15526" t="s">
        <v>8584</v>
      </c>
      <c r="I15526">
        <v>365</v>
      </c>
      <c r="J15526" t="s">
        <v>450</v>
      </c>
      <c r="M15526">
        <v>0</v>
      </c>
    </row>
    <row r="15527" spans="1:13">
      <c r="A15527">
        <v>86572300</v>
      </c>
      <c r="B15527">
        <v>2020736</v>
      </c>
      <c r="C15527" t="s">
        <v>17845</v>
      </c>
      <c r="D15527" t="s">
        <v>442</v>
      </c>
      <c r="E15527" t="s">
        <v>441</v>
      </c>
      <c r="F15527">
        <v>1E-3</v>
      </c>
      <c r="H15527" t="s">
        <v>8584</v>
      </c>
      <c r="I15527">
        <v>365</v>
      </c>
      <c r="J15527" t="s">
        <v>450</v>
      </c>
      <c r="M15527">
        <v>0</v>
      </c>
    </row>
    <row r="15528" spans="1:13">
      <c r="A15528">
        <v>86572400</v>
      </c>
      <c r="B15528">
        <v>2020832</v>
      </c>
      <c r="C15528" t="s">
        <v>17846</v>
      </c>
      <c r="D15528" t="s">
        <v>442</v>
      </c>
      <c r="E15528" t="s">
        <v>441</v>
      </c>
      <c r="F15528">
        <v>1E-3</v>
      </c>
      <c r="H15528" t="s">
        <v>8584</v>
      </c>
      <c r="I15528">
        <v>365</v>
      </c>
      <c r="J15528" t="s">
        <v>450</v>
      </c>
      <c r="M15528">
        <v>0</v>
      </c>
    </row>
    <row r="15529" spans="1:13">
      <c r="A15529">
        <v>86572500</v>
      </c>
      <c r="B15529">
        <v>2020831</v>
      </c>
      <c r="C15529" t="s">
        <v>17847</v>
      </c>
      <c r="D15529" t="s">
        <v>442</v>
      </c>
      <c r="E15529" t="s">
        <v>441</v>
      </c>
      <c r="F15529">
        <v>1E-3</v>
      </c>
      <c r="H15529" t="s">
        <v>8584</v>
      </c>
      <c r="I15529">
        <v>365</v>
      </c>
      <c r="J15529" t="s">
        <v>450</v>
      </c>
      <c r="M15529">
        <v>0</v>
      </c>
    </row>
    <row r="15530" spans="1:13">
      <c r="A15530">
        <v>86701800</v>
      </c>
      <c r="B15530">
        <v>2000072</v>
      </c>
      <c r="C15530" t="s">
        <v>14092</v>
      </c>
      <c r="D15530" t="s">
        <v>442</v>
      </c>
      <c r="E15530" t="s">
        <v>441</v>
      </c>
      <c r="F15530">
        <v>0.05</v>
      </c>
      <c r="H15530" t="s">
        <v>8580</v>
      </c>
      <c r="I15530">
        <v>730</v>
      </c>
      <c r="J15530" t="s">
        <v>450</v>
      </c>
      <c r="K15530" t="s">
        <v>446</v>
      </c>
      <c r="M15530">
        <v>0</v>
      </c>
    </row>
    <row r="15531" spans="1:13">
      <c r="A15531">
        <v>86701900</v>
      </c>
      <c r="B15531">
        <v>2003173</v>
      </c>
      <c r="C15531" t="s">
        <v>14093</v>
      </c>
      <c r="D15531" t="s">
        <v>442</v>
      </c>
      <c r="E15531" t="s">
        <v>441</v>
      </c>
      <c r="F15531">
        <v>1E-3</v>
      </c>
      <c r="H15531" t="s">
        <v>8584</v>
      </c>
      <c r="I15531">
        <v>1440</v>
      </c>
      <c r="J15531" t="s">
        <v>450</v>
      </c>
      <c r="K15531" t="s">
        <v>446</v>
      </c>
      <c r="M15531">
        <v>0</v>
      </c>
    </row>
    <row r="15532" spans="1:13">
      <c r="A15532">
        <v>86702000</v>
      </c>
      <c r="B15532">
        <v>2006126</v>
      </c>
      <c r="C15532" t="s">
        <v>14094</v>
      </c>
      <c r="D15532" t="s">
        <v>442</v>
      </c>
      <c r="F15532">
        <v>0</v>
      </c>
      <c r="H15532" t="s">
        <v>8580</v>
      </c>
      <c r="I15532">
        <v>725</v>
      </c>
      <c r="J15532" t="s">
        <v>450</v>
      </c>
      <c r="K15532" t="s">
        <v>446</v>
      </c>
      <c r="M15532">
        <v>0</v>
      </c>
    </row>
    <row r="15533" spans="1:13">
      <c r="A15533">
        <v>86702100</v>
      </c>
      <c r="B15533">
        <v>2005287</v>
      </c>
      <c r="C15533" t="s">
        <v>14095</v>
      </c>
      <c r="D15533" t="s">
        <v>442</v>
      </c>
      <c r="F15533">
        <v>0</v>
      </c>
      <c r="H15533" t="s">
        <v>13999</v>
      </c>
      <c r="I15533">
        <v>730</v>
      </c>
      <c r="J15533" t="s">
        <v>450</v>
      </c>
      <c r="K15533" t="s">
        <v>446</v>
      </c>
      <c r="M15533">
        <v>0</v>
      </c>
    </row>
    <row r="15534" spans="1:13">
      <c r="A15534">
        <v>86702200</v>
      </c>
      <c r="B15534">
        <v>2000789</v>
      </c>
      <c r="C15534" t="s">
        <v>8109</v>
      </c>
      <c r="D15534" t="s">
        <v>442</v>
      </c>
      <c r="E15534" t="s">
        <v>441</v>
      </c>
      <c r="F15534">
        <v>0.5</v>
      </c>
      <c r="H15534" t="s">
        <v>13999</v>
      </c>
      <c r="I15534">
        <v>730</v>
      </c>
      <c r="J15534" t="s">
        <v>450</v>
      </c>
      <c r="M15534">
        <v>0</v>
      </c>
    </row>
    <row r="15535" spans="1:13">
      <c r="A15535">
        <v>86702300</v>
      </c>
      <c r="B15535">
        <v>2003174</v>
      </c>
      <c r="C15535" t="s">
        <v>14096</v>
      </c>
      <c r="D15535" t="s">
        <v>442</v>
      </c>
      <c r="E15535" t="s">
        <v>441</v>
      </c>
      <c r="F15535">
        <v>2E-3</v>
      </c>
      <c r="H15535" t="s">
        <v>13999</v>
      </c>
      <c r="I15535">
        <v>730</v>
      </c>
      <c r="J15535" t="s">
        <v>450</v>
      </c>
      <c r="K15535" t="s">
        <v>446</v>
      </c>
      <c r="M15535">
        <v>0</v>
      </c>
    </row>
    <row r="15536" spans="1:13">
      <c r="A15536">
        <v>86702400</v>
      </c>
      <c r="B15536">
        <v>2005284</v>
      </c>
      <c r="C15536" t="s">
        <v>14097</v>
      </c>
      <c r="D15536" t="s">
        <v>442</v>
      </c>
      <c r="F15536">
        <v>0</v>
      </c>
      <c r="H15536" t="s">
        <v>13999</v>
      </c>
      <c r="I15536">
        <v>730</v>
      </c>
      <c r="J15536" t="s">
        <v>450</v>
      </c>
      <c r="K15536" t="s">
        <v>446</v>
      </c>
      <c r="M15536">
        <v>0</v>
      </c>
    </row>
    <row r="15537" spans="1:13">
      <c r="A15537">
        <v>86702500</v>
      </c>
      <c r="B15537">
        <v>2003175</v>
      </c>
      <c r="C15537" t="s">
        <v>14098</v>
      </c>
      <c r="D15537" t="s">
        <v>442</v>
      </c>
      <c r="E15537" t="s">
        <v>441</v>
      </c>
      <c r="F15537">
        <v>2E-3</v>
      </c>
      <c r="H15537" t="s">
        <v>13999</v>
      </c>
      <c r="I15537">
        <v>730</v>
      </c>
      <c r="J15537" t="s">
        <v>450</v>
      </c>
      <c r="K15537" t="s">
        <v>446</v>
      </c>
      <c r="M15537">
        <v>0</v>
      </c>
    </row>
    <row r="15538" spans="1:13">
      <c r="A15538">
        <v>86702600</v>
      </c>
      <c r="B15538">
        <v>2003176</v>
      </c>
      <c r="C15538" t="s">
        <v>14099</v>
      </c>
      <c r="D15538" t="s">
        <v>442</v>
      </c>
      <c r="E15538" t="s">
        <v>441</v>
      </c>
      <c r="F15538">
        <v>2E-3</v>
      </c>
      <c r="H15538" t="s">
        <v>13999</v>
      </c>
      <c r="I15538">
        <v>730</v>
      </c>
      <c r="J15538" t="s">
        <v>450</v>
      </c>
      <c r="K15538" t="s">
        <v>446</v>
      </c>
      <c r="M15538">
        <v>0</v>
      </c>
    </row>
    <row r="15539" spans="1:13">
      <c r="A15539">
        <v>86702700</v>
      </c>
      <c r="B15539">
        <v>2004448</v>
      </c>
      <c r="C15539" t="s">
        <v>14100</v>
      </c>
      <c r="D15539" t="s">
        <v>442</v>
      </c>
      <c r="E15539" t="s">
        <v>441</v>
      </c>
      <c r="F15539">
        <v>1E-3</v>
      </c>
      <c r="H15539" t="s">
        <v>8584</v>
      </c>
      <c r="I15539">
        <v>730</v>
      </c>
      <c r="J15539" t="s">
        <v>450</v>
      </c>
      <c r="K15539" t="s">
        <v>446</v>
      </c>
      <c r="M15539">
        <v>0</v>
      </c>
    </row>
    <row r="15540" spans="1:13">
      <c r="A15540">
        <v>86702800</v>
      </c>
      <c r="B15540">
        <v>2003682</v>
      </c>
      <c r="C15540" t="s">
        <v>14101</v>
      </c>
      <c r="D15540" t="s">
        <v>441</v>
      </c>
      <c r="F15540">
        <v>0</v>
      </c>
      <c r="H15540" t="s">
        <v>13999</v>
      </c>
      <c r="I15540">
        <v>1095</v>
      </c>
      <c r="J15540" t="s">
        <v>450</v>
      </c>
      <c r="K15540" t="s">
        <v>446</v>
      </c>
      <c r="M15540">
        <v>0</v>
      </c>
    </row>
    <row r="15541" spans="1:13">
      <c r="A15541">
        <v>86702900</v>
      </c>
      <c r="B15541">
        <v>2005290</v>
      </c>
      <c r="C15541" t="s">
        <v>14102</v>
      </c>
      <c r="D15541" t="s">
        <v>442</v>
      </c>
      <c r="F15541">
        <v>0</v>
      </c>
      <c r="H15541" t="s">
        <v>13999</v>
      </c>
      <c r="I15541">
        <v>730</v>
      </c>
      <c r="J15541" t="s">
        <v>450</v>
      </c>
      <c r="K15541" t="s">
        <v>446</v>
      </c>
      <c r="M15541">
        <v>0</v>
      </c>
    </row>
    <row r="15542" spans="1:13">
      <c r="A15542">
        <v>86703000</v>
      </c>
      <c r="B15542">
        <v>2005146</v>
      </c>
      <c r="C15542" t="s">
        <v>14103</v>
      </c>
      <c r="D15542" t="s">
        <v>442</v>
      </c>
      <c r="F15542">
        <v>0</v>
      </c>
      <c r="H15542" t="s">
        <v>13999</v>
      </c>
      <c r="I15542">
        <v>730</v>
      </c>
      <c r="J15542" t="s">
        <v>450</v>
      </c>
      <c r="K15542" t="s">
        <v>446</v>
      </c>
      <c r="M15542">
        <v>0</v>
      </c>
    </row>
    <row r="15543" spans="1:13">
      <c r="A15543">
        <v>86703100</v>
      </c>
      <c r="B15543">
        <v>2006779</v>
      </c>
      <c r="C15543" t="s">
        <v>14104</v>
      </c>
      <c r="D15543" t="s">
        <v>442</v>
      </c>
      <c r="F15543">
        <v>0</v>
      </c>
      <c r="H15543" t="s">
        <v>13999</v>
      </c>
      <c r="I15543">
        <v>360</v>
      </c>
      <c r="J15543" t="s">
        <v>450</v>
      </c>
      <c r="K15543" t="s">
        <v>446</v>
      </c>
      <c r="M15543">
        <v>0</v>
      </c>
    </row>
    <row r="15544" spans="1:13">
      <c r="A15544">
        <v>86703200</v>
      </c>
      <c r="B15544">
        <v>2007044</v>
      </c>
      <c r="C15544" t="s">
        <v>14105</v>
      </c>
      <c r="D15544" t="s">
        <v>442</v>
      </c>
      <c r="F15544">
        <v>0</v>
      </c>
      <c r="H15544" t="s">
        <v>8580</v>
      </c>
      <c r="I15544">
        <v>360</v>
      </c>
      <c r="J15544" t="s">
        <v>450</v>
      </c>
      <c r="K15544" t="s">
        <v>446</v>
      </c>
      <c r="M15544">
        <v>0</v>
      </c>
    </row>
    <row r="15545" spans="1:13">
      <c r="A15545">
        <v>86703300</v>
      </c>
      <c r="B15545">
        <v>2007395</v>
      </c>
      <c r="C15545" t="s">
        <v>14106</v>
      </c>
      <c r="D15545" t="s">
        <v>449</v>
      </c>
      <c r="F15545">
        <v>0</v>
      </c>
      <c r="H15545" t="s">
        <v>8574</v>
      </c>
      <c r="I15545">
        <v>360</v>
      </c>
      <c r="J15545" t="s">
        <v>450</v>
      </c>
      <c r="K15545" t="s">
        <v>446</v>
      </c>
      <c r="M15545">
        <v>0</v>
      </c>
    </row>
    <row r="15546" spans="1:13">
      <c r="A15546">
        <v>86703400</v>
      </c>
      <c r="B15546">
        <v>2007661</v>
      </c>
      <c r="C15546" t="s">
        <v>14107</v>
      </c>
      <c r="D15546" t="s">
        <v>442</v>
      </c>
      <c r="F15546">
        <v>0</v>
      </c>
      <c r="I15546">
        <v>720</v>
      </c>
      <c r="J15546" t="s">
        <v>450</v>
      </c>
      <c r="K15546" t="s">
        <v>446</v>
      </c>
      <c r="M15546">
        <v>0</v>
      </c>
    </row>
    <row r="15547" spans="1:13">
      <c r="A15547">
        <v>86703500</v>
      </c>
      <c r="B15547">
        <v>2008534</v>
      </c>
      <c r="C15547" t="s">
        <v>14108</v>
      </c>
      <c r="D15547" t="s">
        <v>442</v>
      </c>
      <c r="E15547" t="s">
        <v>441</v>
      </c>
      <c r="F15547">
        <v>6.0000000000000001E-3</v>
      </c>
      <c r="H15547" t="s">
        <v>8580</v>
      </c>
      <c r="I15547">
        <v>547</v>
      </c>
      <c r="J15547" t="s">
        <v>450</v>
      </c>
      <c r="K15547" t="s">
        <v>446</v>
      </c>
      <c r="M15547">
        <v>0</v>
      </c>
    </row>
    <row r="15548" spans="1:13">
      <c r="A15548">
        <v>86703600</v>
      </c>
      <c r="B15548">
        <v>2010640</v>
      </c>
      <c r="C15548" t="s">
        <v>14109</v>
      </c>
      <c r="D15548" t="s">
        <v>441</v>
      </c>
      <c r="F15548">
        <v>0</v>
      </c>
      <c r="I15548">
        <v>720</v>
      </c>
      <c r="J15548" t="s">
        <v>450</v>
      </c>
      <c r="M15548">
        <v>0</v>
      </c>
    </row>
    <row r="15549" spans="1:13">
      <c r="A15549">
        <v>87001400</v>
      </c>
      <c r="B15549">
        <v>2001589</v>
      </c>
      <c r="C15549" t="s">
        <v>8110</v>
      </c>
      <c r="D15549" t="s">
        <v>442</v>
      </c>
      <c r="E15549" t="s">
        <v>441</v>
      </c>
      <c r="F15549">
        <v>0.45</v>
      </c>
      <c r="H15549" t="s">
        <v>13782</v>
      </c>
      <c r="I15549">
        <v>730</v>
      </c>
      <c r="J15549" t="s">
        <v>450</v>
      </c>
      <c r="K15549" t="s">
        <v>446</v>
      </c>
      <c r="M15549">
        <v>0</v>
      </c>
    </row>
    <row r="15550" spans="1:13">
      <c r="A15550">
        <v>87001411</v>
      </c>
      <c r="B15550">
        <v>2001576</v>
      </c>
      <c r="C15550" t="s">
        <v>8111</v>
      </c>
      <c r="D15550" t="s">
        <v>442</v>
      </c>
      <c r="E15550" t="s">
        <v>441</v>
      </c>
      <c r="F15550">
        <v>0.4</v>
      </c>
      <c r="H15550" t="s">
        <v>13782</v>
      </c>
      <c r="I15550">
        <v>730</v>
      </c>
      <c r="J15550" t="s">
        <v>450</v>
      </c>
      <c r="K15550" t="s">
        <v>446</v>
      </c>
      <c r="M15550">
        <v>0</v>
      </c>
    </row>
    <row r="15551" spans="1:13">
      <c r="A15551">
        <v>87001500</v>
      </c>
      <c r="B15551">
        <v>2001592</v>
      </c>
      <c r="C15551" t="s">
        <v>8112</v>
      </c>
      <c r="D15551" t="s">
        <v>442</v>
      </c>
      <c r="E15551" t="s">
        <v>441</v>
      </c>
      <c r="F15551">
        <v>0.54</v>
      </c>
      <c r="H15551" t="s">
        <v>13782</v>
      </c>
      <c r="I15551">
        <v>730</v>
      </c>
      <c r="J15551" t="s">
        <v>450</v>
      </c>
      <c r="M15551">
        <v>0</v>
      </c>
    </row>
    <row r="15552" spans="1:13">
      <c r="A15552">
        <v>87002700</v>
      </c>
      <c r="B15552">
        <v>2001585</v>
      </c>
      <c r="C15552" t="s">
        <v>8113</v>
      </c>
      <c r="D15552" t="s">
        <v>442</v>
      </c>
      <c r="E15552" t="s">
        <v>441</v>
      </c>
      <c r="F15552">
        <v>0.71</v>
      </c>
      <c r="H15552" t="s">
        <v>13782</v>
      </c>
      <c r="I15552">
        <v>730</v>
      </c>
      <c r="J15552" t="s">
        <v>450</v>
      </c>
      <c r="K15552" t="s">
        <v>446</v>
      </c>
      <c r="M15552">
        <v>0</v>
      </c>
    </row>
    <row r="15553" spans="1:13">
      <c r="A15553">
        <v>87003630</v>
      </c>
      <c r="B15553">
        <v>2006224</v>
      </c>
      <c r="C15553" t="s">
        <v>15249</v>
      </c>
      <c r="D15553" t="s">
        <v>442</v>
      </c>
      <c r="F15553">
        <v>0</v>
      </c>
      <c r="H15553" t="s">
        <v>13782</v>
      </c>
      <c r="I15553">
        <v>725</v>
      </c>
      <c r="J15553" t="s">
        <v>450</v>
      </c>
      <c r="K15553" t="s">
        <v>446</v>
      </c>
      <c r="M15553">
        <v>0</v>
      </c>
    </row>
    <row r="15554" spans="1:13">
      <c r="A15554">
        <v>87004400</v>
      </c>
      <c r="B15554">
        <v>2002259</v>
      </c>
      <c r="C15554" t="s">
        <v>8114</v>
      </c>
      <c r="D15554" t="s">
        <v>442</v>
      </c>
      <c r="E15554" t="s">
        <v>441</v>
      </c>
      <c r="F15554">
        <v>0.27100000000000002</v>
      </c>
      <c r="H15554" t="s">
        <v>13782</v>
      </c>
      <c r="I15554">
        <v>730</v>
      </c>
      <c r="J15554" t="s">
        <v>450</v>
      </c>
      <c r="K15554" t="s">
        <v>446</v>
      </c>
      <c r="M15554">
        <v>0</v>
      </c>
    </row>
    <row r="15555" spans="1:13">
      <c r="A15555">
        <v>87006600</v>
      </c>
      <c r="B15555">
        <v>2001603</v>
      </c>
      <c r="C15555" t="s">
        <v>8115</v>
      </c>
      <c r="D15555" t="s">
        <v>442</v>
      </c>
      <c r="E15555" t="s">
        <v>441</v>
      </c>
      <c r="F15555">
        <v>0.71</v>
      </c>
      <c r="H15555" t="s">
        <v>13782</v>
      </c>
      <c r="I15555">
        <v>730</v>
      </c>
      <c r="J15555" t="s">
        <v>450</v>
      </c>
      <c r="K15555" t="s">
        <v>446</v>
      </c>
      <c r="M15555">
        <v>0</v>
      </c>
    </row>
    <row r="15556" spans="1:13">
      <c r="A15556">
        <v>87009600</v>
      </c>
      <c r="B15556">
        <v>2001770</v>
      </c>
      <c r="C15556" t="s">
        <v>8116</v>
      </c>
      <c r="D15556" t="s">
        <v>442</v>
      </c>
      <c r="E15556" t="s">
        <v>441</v>
      </c>
      <c r="F15556">
        <v>1.2</v>
      </c>
      <c r="H15556" t="s">
        <v>13782</v>
      </c>
      <c r="I15556">
        <v>730</v>
      </c>
      <c r="J15556" t="s">
        <v>450</v>
      </c>
      <c r="M15556">
        <v>0</v>
      </c>
    </row>
    <row r="15557" spans="1:13">
      <c r="A15557">
        <v>87010700</v>
      </c>
      <c r="B15557">
        <v>2003177</v>
      </c>
      <c r="C15557" t="s">
        <v>8117</v>
      </c>
      <c r="D15557" t="s">
        <v>442</v>
      </c>
      <c r="E15557" t="s">
        <v>441</v>
      </c>
      <c r="F15557">
        <v>0.33100000000000002</v>
      </c>
      <c r="H15557" t="s">
        <v>13782</v>
      </c>
      <c r="I15557">
        <v>730</v>
      </c>
      <c r="J15557" t="s">
        <v>450</v>
      </c>
      <c r="K15557" t="s">
        <v>446</v>
      </c>
      <c r="M15557">
        <v>0</v>
      </c>
    </row>
    <row r="15558" spans="1:13">
      <c r="A15558">
        <v>87011200</v>
      </c>
      <c r="B15558">
        <v>2001596</v>
      </c>
      <c r="C15558" t="s">
        <v>8118</v>
      </c>
      <c r="D15558" t="s">
        <v>442</v>
      </c>
      <c r="E15558" t="s">
        <v>441</v>
      </c>
      <c r="F15558">
        <v>0.68</v>
      </c>
      <c r="H15558" t="s">
        <v>13782</v>
      </c>
      <c r="I15558">
        <v>730</v>
      </c>
      <c r="J15558" t="s">
        <v>450</v>
      </c>
      <c r="K15558" t="s">
        <v>446</v>
      </c>
      <c r="M15558">
        <v>0</v>
      </c>
    </row>
    <row r="15559" spans="1:13">
      <c r="A15559">
        <v>87012200</v>
      </c>
      <c r="B15559">
        <v>2000873</v>
      </c>
      <c r="C15559" t="s">
        <v>8119</v>
      </c>
      <c r="D15559" t="s">
        <v>442</v>
      </c>
      <c r="E15559" t="s">
        <v>441</v>
      </c>
      <c r="F15559">
        <v>0.48</v>
      </c>
      <c r="H15559" t="s">
        <v>8580</v>
      </c>
      <c r="I15559">
        <v>730</v>
      </c>
      <c r="J15559" t="s">
        <v>450</v>
      </c>
      <c r="K15559" t="s">
        <v>446</v>
      </c>
      <c r="M15559">
        <v>0</v>
      </c>
    </row>
    <row r="15560" spans="1:13">
      <c r="A15560">
        <v>87012400</v>
      </c>
      <c r="B15560">
        <v>2000430</v>
      </c>
      <c r="C15560" t="s">
        <v>8120</v>
      </c>
      <c r="D15560" t="s">
        <v>442</v>
      </c>
      <c r="E15560" t="s">
        <v>441</v>
      </c>
      <c r="F15560">
        <v>0.48</v>
      </c>
      <c r="H15560" t="s">
        <v>13782</v>
      </c>
      <c r="I15560">
        <v>730</v>
      </c>
      <c r="J15560" t="s">
        <v>450</v>
      </c>
      <c r="K15560" t="s">
        <v>446</v>
      </c>
      <c r="M15560">
        <v>0</v>
      </c>
    </row>
    <row r="15561" spans="1:13">
      <c r="A15561">
        <v>87012900</v>
      </c>
      <c r="B15561">
        <v>2003178</v>
      </c>
      <c r="C15561" t="s">
        <v>8121</v>
      </c>
      <c r="D15561" t="s">
        <v>442</v>
      </c>
      <c r="E15561" t="s">
        <v>441</v>
      </c>
      <c r="F15561">
        <v>0.55200000000000005</v>
      </c>
      <c r="H15561" t="s">
        <v>13782</v>
      </c>
      <c r="I15561">
        <v>730</v>
      </c>
      <c r="J15561" t="s">
        <v>450</v>
      </c>
      <c r="K15561" t="s">
        <v>446</v>
      </c>
      <c r="M15561">
        <v>0</v>
      </c>
    </row>
    <row r="15562" spans="1:13">
      <c r="A15562">
        <v>87014000</v>
      </c>
      <c r="B15562">
        <v>2003179</v>
      </c>
      <c r="C15562" t="s">
        <v>8122</v>
      </c>
      <c r="D15562" t="s">
        <v>442</v>
      </c>
      <c r="E15562" t="s">
        <v>441</v>
      </c>
      <c r="F15562">
        <v>0.22600000000000001</v>
      </c>
      <c r="H15562" t="s">
        <v>8584</v>
      </c>
      <c r="I15562">
        <v>730</v>
      </c>
      <c r="J15562" t="s">
        <v>450</v>
      </c>
      <c r="M15562">
        <v>0</v>
      </c>
    </row>
    <row r="15563" spans="1:13">
      <c r="A15563">
        <v>87014200</v>
      </c>
      <c r="B15563">
        <v>2000395</v>
      </c>
      <c r="C15563" t="s">
        <v>8123</v>
      </c>
      <c r="D15563" t="s">
        <v>442</v>
      </c>
      <c r="E15563" t="s">
        <v>441</v>
      </c>
      <c r="F15563">
        <v>0.42</v>
      </c>
      <c r="H15563" t="s">
        <v>13782</v>
      </c>
      <c r="I15563">
        <v>730</v>
      </c>
      <c r="J15563" t="s">
        <v>450</v>
      </c>
      <c r="K15563" t="s">
        <v>446</v>
      </c>
      <c r="M15563">
        <v>0</v>
      </c>
    </row>
    <row r="15564" spans="1:13">
      <c r="A15564">
        <v>87014300</v>
      </c>
      <c r="B15564">
        <v>2001604</v>
      </c>
      <c r="C15564" t="s">
        <v>8124</v>
      </c>
      <c r="D15564" t="s">
        <v>442</v>
      </c>
      <c r="E15564" t="s">
        <v>441</v>
      </c>
      <c r="F15564">
        <v>1.34</v>
      </c>
      <c r="H15564" t="s">
        <v>13782</v>
      </c>
      <c r="I15564">
        <v>730</v>
      </c>
      <c r="J15564" t="s">
        <v>450</v>
      </c>
      <c r="M15564">
        <v>0</v>
      </c>
    </row>
    <row r="15565" spans="1:13">
      <c r="A15565">
        <v>87015000</v>
      </c>
      <c r="B15565">
        <v>2003180</v>
      </c>
      <c r="C15565" t="s">
        <v>8125</v>
      </c>
      <c r="D15565" t="s">
        <v>442</v>
      </c>
      <c r="E15565" t="s">
        <v>441</v>
      </c>
      <c r="F15565">
        <v>0.33800000000000002</v>
      </c>
      <c r="H15565" t="s">
        <v>13782</v>
      </c>
      <c r="I15565">
        <v>730</v>
      </c>
      <c r="J15565" t="s">
        <v>450</v>
      </c>
      <c r="K15565" t="s">
        <v>446</v>
      </c>
      <c r="M15565">
        <v>0</v>
      </c>
    </row>
    <row r="15566" spans="1:13">
      <c r="A15566">
        <v>87015700</v>
      </c>
      <c r="B15566">
        <v>2003181</v>
      </c>
      <c r="C15566" t="s">
        <v>8126</v>
      </c>
      <c r="D15566" t="s">
        <v>442</v>
      </c>
      <c r="E15566" t="s">
        <v>441</v>
      </c>
      <c r="F15566">
        <v>0.22800000000000001</v>
      </c>
      <c r="H15566" t="s">
        <v>13782</v>
      </c>
      <c r="I15566">
        <v>730</v>
      </c>
      <c r="J15566" t="s">
        <v>450</v>
      </c>
      <c r="K15566" t="s">
        <v>446</v>
      </c>
      <c r="M15566">
        <v>0</v>
      </c>
    </row>
    <row r="15567" spans="1:13">
      <c r="A15567">
        <v>87016100</v>
      </c>
      <c r="B15567">
        <v>2000377</v>
      </c>
      <c r="C15567" t="s">
        <v>8127</v>
      </c>
      <c r="D15567" t="s">
        <v>442</v>
      </c>
      <c r="E15567" t="s">
        <v>441</v>
      </c>
      <c r="F15567">
        <v>0.34100000000000003</v>
      </c>
      <c r="H15567" t="s">
        <v>13782</v>
      </c>
      <c r="I15567">
        <v>730</v>
      </c>
      <c r="J15567" t="s">
        <v>450</v>
      </c>
      <c r="K15567" t="s">
        <v>446</v>
      </c>
      <c r="M15567">
        <v>0</v>
      </c>
    </row>
    <row r="15568" spans="1:13">
      <c r="A15568">
        <v>87016600</v>
      </c>
      <c r="B15568">
        <v>2002741</v>
      </c>
      <c r="C15568" t="s">
        <v>8128</v>
      </c>
      <c r="D15568" t="s">
        <v>442</v>
      </c>
      <c r="E15568" t="s">
        <v>441</v>
      </c>
      <c r="F15568">
        <v>0.3</v>
      </c>
      <c r="H15568" t="s">
        <v>8580</v>
      </c>
      <c r="I15568">
        <v>730</v>
      </c>
      <c r="J15568" t="s">
        <v>450</v>
      </c>
      <c r="K15568" t="s">
        <v>446</v>
      </c>
      <c r="M15568">
        <v>0</v>
      </c>
    </row>
    <row r="15569" spans="1:13">
      <c r="A15569">
        <v>87016700</v>
      </c>
      <c r="B15569">
        <v>2003182</v>
      </c>
      <c r="C15569" t="s">
        <v>8129</v>
      </c>
      <c r="D15569" t="s">
        <v>442</v>
      </c>
      <c r="E15569" t="s">
        <v>441</v>
      </c>
      <c r="F15569">
        <v>9.1999999999999998E-2</v>
      </c>
      <c r="H15569" t="s">
        <v>13782</v>
      </c>
      <c r="I15569">
        <v>730</v>
      </c>
      <c r="J15569" t="s">
        <v>450</v>
      </c>
      <c r="K15569" t="s">
        <v>446</v>
      </c>
      <c r="M15569">
        <v>0</v>
      </c>
    </row>
    <row r="15570" spans="1:13">
      <c r="A15570">
        <v>87017100</v>
      </c>
      <c r="B15570">
        <v>2003183</v>
      </c>
      <c r="C15570" t="s">
        <v>8130</v>
      </c>
      <c r="D15570" t="s">
        <v>442</v>
      </c>
      <c r="E15570" t="s">
        <v>441</v>
      </c>
      <c r="F15570">
        <v>0.26800000000000002</v>
      </c>
      <c r="H15570" t="s">
        <v>13782</v>
      </c>
      <c r="I15570">
        <v>730</v>
      </c>
      <c r="J15570" t="s">
        <v>450</v>
      </c>
      <c r="K15570" t="s">
        <v>446</v>
      </c>
      <c r="M15570">
        <v>0</v>
      </c>
    </row>
    <row r="15571" spans="1:13">
      <c r="A15571">
        <v>87018000</v>
      </c>
      <c r="B15571">
        <v>2001551</v>
      </c>
      <c r="C15571" t="s">
        <v>8131</v>
      </c>
      <c r="D15571" t="s">
        <v>442</v>
      </c>
      <c r="E15571" t="s">
        <v>441</v>
      </c>
      <c r="F15571">
        <v>0.13</v>
      </c>
      <c r="H15571" t="s">
        <v>13782</v>
      </c>
      <c r="I15571">
        <v>730</v>
      </c>
      <c r="J15571" t="s">
        <v>450</v>
      </c>
      <c r="M15571">
        <v>0</v>
      </c>
    </row>
    <row r="15572" spans="1:13">
      <c r="A15572">
        <v>87018100</v>
      </c>
      <c r="B15572">
        <v>2003184</v>
      </c>
      <c r="C15572" t="s">
        <v>8132</v>
      </c>
      <c r="D15572" t="s">
        <v>442</v>
      </c>
      <c r="E15572" t="s">
        <v>441</v>
      </c>
      <c r="F15572">
        <v>0.124</v>
      </c>
      <c r="H15572" t="s">
        <v>13782</v>
      </c>
      <c r="I15572">
        <v>730</v>
      </c>
      <c r="J15572" t="s">
        <v>450</v>
      </c>
      <c r="K15572" t="s">
        <v>446</v>
      </c>
      <c r="M15572">
        <v>0</v>
      </c>
    </row>
    <row r="15573" spans="1:13">
      <c r="A15573">
        <v>87018500</v>
      </c>
      <c r="B15573">
        <v>2001564</v>
      </c>
      <c r="C15573" t="s">
        <v>8133</v>
      </c>
      <c r="D15573" t="s">
        <v>442</v>
      </c>
      <c r="E15573" t="s">
        <v>441</v>
      </c>
      <c r="F15573">
        <v>0.2</v>
      </c>
      <c r="H15573" t="s">
        <v>13782</v>
      </c>
      <c r="I15573">
        <v>730</v>
      </c>
      <c r="J15573" t="s">
        <v>450</v>
      </c>
      <c r="K15573" t="s">
        <v>446</v>
      </c>
      <c r="M15573">
        <v>0</v>
      </c>
    </row>
    <row r="15574" spans="1:13">
      <c r="A15574">
        <v>87020500</v>
      </c>
      <c r="B15574">
        <v>2000399</v>
      </c>
      <c r="C15574" t="s">
        <v>8134</v>
      </c>
      <c r="D15574" t="s">
        <v>442</v>
      </c>
      <c r="E15574" t="s">
        <v>441</v>
      </c>
      <c r="F15574">
        <v>0.22</v>
      </c>
      <c r="H15574" t="s">
        <v>13782</v>
      </c>
      <c r="I15574">
        <v>365</v>
      </c>
      <c r="J15574" t="s">
        <v>450</v>
      </c>
      <c r="K15574" t="s">
        <v>446</v>
      </c>
      <c r="M15574">
        <v>0</v>
      </c>
    </row>
    <row r="15575" spans="1:13">
      <c r="A15575">
        <v>87020800</v>
      </c>
      <c r="B15575">
        <v>2003185</v>
      </c>
      <c r="C15575" t="s">
        <v>8135</v>
      </c>
      <c r="D15575" t="s">
        <v>442</v>
      </c>
      <c r="E15575" t="s">
        <v>441</v>
      </c>
      <c r="F15575">
        <v>0.44600000000000001</v>
      </c>
      <c r="H15575" t="s">
        <v>13782</v>
      </c>
      <c r="I15575">
        <v>730</v>
      </c>
      <c r="J15575" t="s">
        <v>450</v>
      </c>
      <c r="K15575" t="s">
        <v>446</v>
      </c>
      <c r="M15575">
        <v>0</v>
      </c>
    </row>
    <row r="15576" spans="1:13">
      <c r="A15576">
        <v>87021600</v>
      </c>
      <c r="B15576">
        <v>2003578</v>
      </c>
      <c r="C15576" t="s">
        <v>8136</v>
      </c>
      <c r="D15576" t="s">
        <v>442</v>
      </c>
      <c r="F15576">
        <v>0</v>
      </c>
      <c r="H15576" t="s">
        <v>13782</v>
      </c>
      <c r="I15576">
        <v>730</v>
      </c>
      <c r="J15576" t="s">
        <v>450</v>
      </c>
      <c r="K15576" t="s">
        <v>446</v>
      </c>
      <c r="M15576">
        <v>0</v>
      </c>
    </row>
    <row r="15577" spans="1:13">
      <c r="A15577">
        <v>87022000</v>
      </c>
      <c r="B15577">
        <v>2001554</v>
      </c>
      <c r="C15577" t="s">
        <v>8137</v>
      </c>
      <c r="D15577" t="s">
        <v>442</v>
      </c>
      <c r="E15577" t="s">
        <v>441</v>
      </c>
      <c r="F15577">
        <v>0.15</v>
      </c>
      <c r="H15577" t="s">
        <v>13782</v>
      </c>
      <c r="I15577">
        <v>730</v>
      </c>
      <c r="J15577" t="s">
        <v>450</v>
      </c>
      <c r="K15577" t="s">
        <v>446</v>
      </c>
      <c r="M15577">
        <v>0</v>
      </c>
    </row>
    <row r="15578" spans="1:13">
      <c r="A15578">
        <v>87022100</v>
      </c>
      <c r="B15578">
        <v>2001555</v>
      </c>
      <c r="C15578" t="s">
        <v>8138</v>
      </c>
      <c r="D15578" t="s">
        <v>442</v>
      </c>
      <c r="E15578" t="s">
        <v>441</v>
      </c>
      <c r="F15578">
        <v>0.45</v>
      </c>
      <c r="H15578" t="s">
        <v>13782</v>
      </c>
      <c r="I15578">
        <v>730</v>
      </c>
      <c r="J15578" t="s">
        <v>450</v>
      </c>
      <c r="K15578" t="s">
        <v>446</v>
      </c>
      <c r="M15578">
        <v>0</v>
      </c>
    </row>
    <row r="15579" spans="1:13">
      <c r="A15579">
        <v>87022800</v>
      </c>
      <c r="B15579">
        <v>2000449</v>
      </c>
      <c r="C15579" t="s">
        <v>8139</v>
      </c>
      <c r="D15579" t="s">
        <v>442</v>
      </c>
      <c r="E15579" t="s">
        <v>441</v>
      </c>
      <c r="F15579">
        <v>0.3</v>
      </c>
      <c r="H15579" t="s">
        <v>13782</v>
      </c>
      <c r="I15579">
        <v>730</v>
      </c>
      <c r="J15579" t="s">
        <v>450</v>
      </c>
      <c r="K15579" t="s">
        <v>446</v>
      </c>
      <c r="M15579">
        <v>0</v>
      </c>
    </row>
    <row r="15580" spans="1:13">
      <c r="A15580">
        <v>87022900</v>
      </c>
      <c r="B15580">
        <v>2003186</v>
      </c>
      <c r="C15580" t="s">
        <v>8140</v>
      </c>
      <c r="D15580" t="s">
        <v>442</v>
      </c>
      <c r="E15580" t="s">
        <v>441</v>
      </c>
      <c r="F15580">
        <v>3.5000000000000003E-2</v>
      </c>
      <c r="H15580" t="s">
        <v>13782</v>
      </c>
      <c r="I15580">
        <v>730</v>
      </c>
      <c r="J15580" t="s">
        <v>450</v>
      </c>
      <c r="K15580" t="s">
        <v>446</v>
      </c>
      <c r="M15580">
        <v>0</v>
      </c>
    </row>
    <row r="15581" spans="1:13">
      <c r="A15581">
        <v>87023000</v>
      </c>
      <c r="B15581">
        <v>2003187</v>
      </c>
      <c r="C15581" t="s">
        <v>8141</v>
      </c>
      <c r="D15581" t="s">
        <v>442</v>
      </c>
      <c r="E15581" t="s">
        <v>441</v>
      </c>
      <c r="F15581">
        <v>0.24</v>
      </c>
      <c r="H15581" t="s">
        <v>13782</v>
      </c>
      <c r="I15581">
        <v>730</v>
      </c>
      <c r="J15581" t="s">
        <v>450</v>
      </c>
      <c r="K15581" t="s">
        <v>446</v>
      </c>
      <c r="M15581">
        <v>0</v>
      </c>
    </row>
    <row r="15582" spans="1:13">
      <c r="A15582">
        <v>87023100</v>
      </c>
      <c r="B15582">
        <v>2003188</v>
      </c>
      <c r="C15582" t="s">
        <v>8142</v>
      </c>
      <c r="D15582" t="s">
        <v>442</v>
      </c>
      <c r="E15582" t="s">
        <v>441</v>
      </c>
      <c r="F15582">
        <v>3.5000000000000003E-2</v>
      </c>
      <c r="H15582" t="s">
        <v>8584</v>
      </c>
      <c r="I15582">
        <v>730</v>
      </c>
      <c r="J15582" t="s">
        <v>450</v>
      </c>
      <c r="K15582" t="s">
        <v>446</v>
      </c>
      <c r="M15582">
        <v>0</v>
      </c>
    </row>
    <row r="15583" spans="1:13">
      <c r="A15583">
        <v>87023200</v>
      </c>
      <c r="B15583">
        <v>2003189</v>
      </c>
      <c r="C15583" t="s">
        <v>8143</v>
      </c>
      <c r="D15583" t="s">
        <v>442</v>
      </c>
      <c r="E15583" t="s">
        <v>441</v>
      </c>
      <c r="F15583">
        <v>0.24</v>
      </c>
      <c r="H15583" t="s">
        <v>8584</v>
      </c>
      <c r="I15583">
        <v>730</v>
      </c>
      <c r="J15583" t="s">
        <v>450</v>
      </c>
      <c r="K15583" t="s">
        <v>446</v>
      </c>
      <c r="M15583">
        <v>0</v>
      </c>
    </row>
    <row r="15584" spans="1:13">
      <c r="A15584">
        <v>87023800</v>
      </c>
      <c r="B15584">
        <v>2003190</v>
      </c>
      <c r="C15584" t="s">
        <v>8144</v>
      </c>
      <c r="D15584" t="s">
        <v>442</v>
      </c>
      <c r="E15584" t="s">
        <v>441</v>
      </c>
      <c r="F15584">
        <v>0.185</v>
      </c>
      <c r="H15584" t="s">
        <v>13782</v>
      </c>
      <c r="I15584">
        <v>730</v>
      </c>
      <c r="J15584" t="s">
        <v>450</v>
      </c>
      <c r="K15584" t="s">
        <v>446</v>
      </c>
      <c r="M15584">
        <v>0</v>
      </c>
    </row>
    <row r="15585" spans="1:13">
      <c r="A15585">
        <v>87023900</v>
      </c>
      <c r="B15585">
        <v>2003191</v>
      </c>
      <c r="C15585" t="s">
        <v>8145</v>
      </c>
      <c r="D15585" t="s">
        <v>442</v>
      </c>
      <c r="E15585" t="s">
        <v>441</v>
      </c>
      <c r="F15585">
        <v>0.155</v>
      </c>
      <c r="H15585" t="s">
        <v>13782</v>
      </c>
      <c r="I15585">
        <v>730</v>
      </c>
      <c r="J15585" t="s">
        <v>450</v>
      </c>
      <c r="K15585" t="s">
        <v>446</v>
      </c>
      <c r="M15585">
        <v>0</v>
      </c>
    </row>
    <row r="15586" spans="1:13">
      <c r="A15586">
        <v>87024600</v>
      </c>
      <c r="B15586">
        <v>2001565</v>
      </c>
      <c r="C15586" t="s">
        <v>8146</v>
      </c>
      <c r="D15586" t="s">
        <v>442</v>
      </c>
      <c r="E15586" t="s">
        <v>441</v>
      </c>
      <c r="F15586">
        <v>0.2</v>
      </c>
      <c r="H15586" t="s">
        <v>13782</v>
      </c>
      <c r="I15586">
        <v>730</v>
      </c>
      <c r="J15586" t="s">
        <v>450</v>
      </c>
      <c r="K15586" t="s">
        <v>446</v>
      </c>
      <c r="M15586">
        <v>0</v>
      </c>
    </row>
    <row r="15587" spans="1:13">
      <c r="A15587">
        <v>87024700</v>
      </c>
      <c r="B15587">
        <v>2001570</v>
      </c>
      <c r="C15587" t="s">
        <v>8147</v>
      </c>
      <c r="D15587" t="s">
        <v>442</v>
      </c>
      <c r="E15587" t="s">
        <v>441</v>
      </c>
      <c r="F15587">
        <v>0.23</v>
      </c>
      <c r="H15587" t="s">
        <v>13782</v>
      </c>
      <c r="I15587">
        <v>730</v>
      </c>
      <c r="J15587" t="s">
        <v>450</v>
      </c>
      <c r="K15587" t="s">
        <v>446</v>
      </c>
      <c r="M15587">
        <v>0</v>
      </c>
    </row>
    <row r="15588" spans="1:13">
      <c r="A15588">
        <v>87024800</v>
      </c>
      <c r="B15588">
        <v>2003192</v>
      </c>
      <c r="C15588" t="s">
        <v>8148</v>
      </c>
      <c r="D15588" t="s">
        <v>442</v>
      </c>
      <c r="E15588" t="s">
        <v>441</v>
      </c>
      <c r="F15588">
        <v>0.185</v>
      </c>
      <c r="H15588" t="s">
        <v>13782</v>
      </c>
      <c r="I15588">
        <v>730</v>
      </c>
      <c r="J15588" t="s">
        <v>450</v>
      </c>
      <c r="K15588" t="s">
        <v>446</v>
      </c>
      <c r="M15588">
        <v>0</v>
      </c>
    </row>
    <row r="15589" spans="1:13">
      <c r="A15589">
        <v>87024900</v>
      </c>
      <c r="B15589">
        <v>2003193</v>
      </c>
      <c r="C15589" t="s">
        <v>8149</v>
      </c>
      <c r="D15589" t="s">
        <v>442</v>
      </c>
      <c r="E15589" t="s">
        <v>441</v>
      </c>
      <c r="F15589">
        <v>0.19500000000000001</v>
      </c>
      <c r="H15589" t="s">
        <v>13782</v>
      </c>
      <c r="I15589">
        <v>730</v>
      </c>
      <c r="J15589" t="s">
        <v>450</v>
      </c>
      <c r="K15589" t="s">
        <v>446</v>
      </c>
      <c r="M15589">
        <v>0</v>
      </c>
    </row>
    <row r="15590" spans="1:13">
      <c r="A15590">
        <v>87025000</v>
      </c>
      <c r="B15590">
        <v>2003194</v>
      </c>
      <c r="C15590" t="s">
        <v>8150</v>
      </c>
      <c r="D15590" t="s">
        <v>442</v>
      </c>
      <c r="E15590" t="s">
        <v>441</v>
      </c>
      <c r="F15590">
        <v>0.1</v>
      </c>
      <c r="H15590" t="s">
        <v>13782</v>
      </c>
      <c r="I15590">
        <v>730</v>
      </c>
      <c r="J15590" t="s">
        <v>450</v>
      </c>
      <c r="K15590" t="s">
        <v>446</v>
      </c>
      <c r="M15590">
        <v>0</v>
      </c>
    </row>
    <row r="15591" spans="1:13">
      <c r="A15591">
        <v>87025100</v>
      </c>
      <c r="B15591">
        <v>2003195</v>
      </c>
      <c r="C15591" t="s">
        <v>8151</v>
      </c>
      <c r="D15591" t="s">
        <v>442</v>
      </c>
      <c r="E15591" t="s">
        <v>441</v>
      </c>
      <c r="F15591">
        <v>0.1</v>
      </c>
      <c r="H15591" t="s">
        <v>13782</v>
      </c>
      <c r="I15591">
        <v>730</v>
      </c>
      <c r="J15591" t="s">
        <v>450</v>
      </c>
      <c r="K15591" t="s">
        <v>446</v>
      </c>
      <c r="M15591">
        <v>0</v>
      </c>
    </row>
    <row r="15592" spans="1:13">
      <c r="A15592">
        <v>87025200</v>
      </c>
      <c r="B15592">
        <v>2003196</v>
      </c>
      <c r="C15592" t="s">
        <v>8152</v>
      </c>
      <c r="D15592" t="s">
        <v>442</v>
      </c>
      <c r="E15592" t="s">
        <v>441</v>
      </c>
      <c r="F15592">
        <v>0.1</v>
      </c>
      <c r="H15592" t="s">
        <v>13782</v>
      </c>
      <c r="I15592">
        <v>730</v>
      </c>
      <c r="J15592" t="s">
        <v>450</v>
      </c>
      <c r="K15592" t="s">
        <v>446</v>
      </c>
      <c r="M15592">
        <v>0</v>
      </c>
    </row>
    <row r="15593" spans="1:13">
      <c r="A15593">
        <v>87025300</v>
      </c>
      <c r="B15593">
        <v>2003602</v>
      </c>
      <c r="C15593" t="s">
        <v>8153</v>
      </c>
      <c r="D15593" t="s">
        <v>442</v>
      </c>
      <c r="F15593">
        <v>0</v>
      </c>
      <c r="H15593" t="s">
        <v>13782</v>
      </c>
      <c r="I15593">
        <v>730</v>
      </c>
      <c r="J15593" t="s">
        <v>450</v>
      </c>
      <c r="K15593" t="s">
        <v>446</v>
      </c>
      <c r="M15593">
        <v>0</v>
      </c>
    </row>
    <row r="15594" spans="1:13">
      <c r="A15594">
        <v>87025400</v>
      </c>
      <c r="B15594">
        <v>2001127</v>
      </c>
      <c r="C15594" t="s">
        <v>8154</v>
      </c>
      <c r="D15594" t="s">
        <v>442</v>
      </c>
      <c r="E15594" t="s">
        <v>441</v>
      </c>
      <c r="F15594">
        <v>0.13</v>
      </c>
      <c r="H15594" t="s">
        <v>8574</v>
      </c>
      <c r="I15594">
        <v>730</v>
      </c>
      <c r="J15594" t="s">
        <v>450</v>
      </c>
      <c r="K15594" t="s">
        <v>446</v>
      </c>
      <c r="M15594">
        <v>0</v>
      </c>
    </row>
    <row r="15595" spans="1:13">
      <c r="A15595">
        <v>87025500</v>
      </c>
      <c r="B15595">
        <v>2003198</v>
      </c>
      <c r="C15595" t="s">
        <v>8155</v>
      </c>
      <c r="D15595" t="s">
        <v>442</v>
      </c>
      <c r="E15595" t="s">
        <v>441</v>
      </c>
      <c r="F15595">
        <v>0.13500000000000001</v>
      </c>
      <c r="H15595" t="s">
        <v>13782</v>
      </c>
      <c r="I15595">
        <v>730</v>
      </c>
      <c r="J15595" t="s">
        <v>450</v>
      </c>
      <c r="K15595" t="s">
        <v>446</v>
      </c>
      <c r="M15595">
        <v>0</v>
      </c>
    </row>
    <row r="15596" spans="1:13">
      <c r="A15596">
        <v>87025600</v>
      </c>
      <c r="B15596">
        <v>2003600</v>
      </c>
      <c r="C15596" t="s">
        <v>8156</v>
      </c>
      <c r="D15596" t="s">
        <v>442</v>
      </c>
      <c r="F15596">
        <v>0</v>
      </c>
      <c r="H15596" t="s">
        <v>13782</v>
      </c>
      <c r="I15596">
        <v>730</v>
      </c>
      <c r="J15596" t="s">
        <v>450</v>
      </c>
      <c r="K15596" t="s">
        <v>446</v>
      </c>
      <c r="M15596">
        <v>0</v>
      </c>
    </row>
    <row r="15597" spans="1:13">
      <c r="A15597">
        <v>87025700</v>
      </c>
      <c r="B15597">
        <v>2001536</v>
      </c>
      <c r="C15597" t="s">
        <v>8157</v>
      </c>
      <c r="D15597" t="s">
        <v>442</v>
      </c>
      <c r="E15597" t="s">
        <v>441</v>
      </c>
      <c r="F15597">
        <v>0.1</v>
      </c>
      <c r="H15597" t="s">
        <v>13782</v>
      </c>
      <c r="I15597">
        <v>730</v>
      </c>
      <c r="J15597" t="s">
        <v>450</v>
      </c>
      <c r="K15597" t="s">
        <v>446</v>
      </c>
      <c r="M15597">
        <v>0</v>
      </c>
    </row>
    <row r="15598" spans="1:13">
      <c r="A15598">
        <v>87025800</v>
      </c>
      <c r="B15598">
        <v>2003199</v>
      </c>
      <c r="C15598" t="s">
        <v>8158</v>
      </c>
      <c r="D15598" t="s">
        <v>442</v>
      </c>
      <c r="E15598" t="s">
        <v>441</v>
      </c>
      <c r="F15598">
        <v>0.23</v>
      </c>
      <c r="H15598" t="s">
        <v>13782</v>
      </c>
      <c r="I15598">
        <v>730</v>
      </c>
      <c r="J15598" t="s">
        <v>450</v>
      </c>
      <c r="K15598" t="s">
        <v>446</v>
      </c>
      <c r="M15598">
        <v>0</v>
      </c>
    </row>
    <row r="15599" spans="1:13">
      <c r="A15599">
        <v>87025900</v>
      </c>
      <c r="B15599">
        <v>2001572</v>
      </c>
      <c r="C15599" t="s">
        <v>8159</v>
      </c>
      <c r="D15599" t="s">
        <v>442</v>
      </c>
      <c r="E15599" t="s">
        <v>441</v>
      </c>
      <c r="F15599">
        <v>2.3E-2</v>
      </c>
      <c r="H15599" t="s">
        <v>13782</v>
      </c>
      <c r="I15599">
        <v>730</v>
      </c>
      <c r="J15599" t="s">
        <v>450</v>
      </c>
      <c r="K15599" t="s">
        <v>446</v>
      </c>
      <c r="M15599">
        <v>0</v>
      </c>
    </row>
    <row r="15600" spans="1:13">
      <c r="A15600">
        <v>87026100</v>
      </c>
      <c r="B15600">
        <v>2001537</v>
      </c>
      <c r="C15600" t="s">
        <v>8160</v>
      </c>
      <c r="D15600" t="s">
        <v>442</v>
      </c>
      <c r="E15600" t="s">
        <v>441</v>
      </c>
      <c r="F15600">
        <v>0.1</v>
      </c>
      <c r="H15600" t="s">
        <v>13782</v>
      </c>
      <c r="I15600">
        <v>730</v>
      </c>
      <c r="J15600" t="s">
        <v>450</v>
      </c>
      <c r="K15600" t="s">
        <v>446</v>
      </c>
      <c r="M15600">
        <v>0</v>
      </c>
    </row>
    <row r="15601" spans="1:13">
      <c r="A15601">
        <v>87026200</v>
      </c>
      <c r="B15601">
        <v>2001533</v>
      </c>
      <c r="C15601" t="s">
        <v>8161</v>
      </c>
      <c r="D15601" t="s">
        <v>442</v>
      </c>
      <c r="E15601" t="s">
        <v>441</v>
      </c>
      <c r="F15601">
        <v>0.1</v>
      </c>
      <c r="H15601" t="s">
        <v>13782</v>
      </c>
      <c r="I15601">
        <v>730</v>
      </c>
      <c r="J15601" t="s">
        <v>450</v>
      </c>
      <c r="K15601" t="s">
        <v>446</v>
      </c>
      <c r="M15601">
        <v>0</v>
      </c>
    </row>
    <row r="15602" spans="1:13">
      <c r="A15602">
        <v>87026300</v>
      </c>
      <c r="B15602">
        <v>2003200</v>
      </c>
      <c r="C15602" t="s">
        <v>8162</v>
      </c>
      <c r="D15602" t="s">
        <v>442</v>
      </c>
      <c r="E15602" t="s">
        <v>441</v>
      </c>
      <c r="F15602">
        <v>3.7999999999999999E-2</v>
      </c>
      <c r="H15602" t="s">
        <v>13782</v>
      </c>
      <c r="I15602">
        <v>730</v>
      </c>
      <c r="J15602" t="s">
        <v>450</v>
      </c>
      <c r="K15602" t="s">
        <v>446</v>
      </c>
      <c r="M15602">
        <v>0</v>
      </c>
    </row>
    <row r="15603" spans="1:13">
      <c r="A15603">
        <v>87026400</v>
      </c>
      <c r="B15603">
        <v>2003201</v>
      </c>
      <c r="C15603" t="s">
        <v>8163</v>
      </c>
      <c r="D15603" t="s">
        <v>442</v>
      </c>
      <c r="E15603" t="s">
        <v>441</v>
      </c>
      <c r="F15603">
        <v>0.2</v>
      </c>
      <c r="H15603" t="s">
        <v>13782</v>
      </c>
      <c r="I15603">
        <v>730</v>
      </c>
      <c r="J15603" t="s">
        <v>450</v>
      </c>
      <c r="K15603" t="s">
        <v>446</v>
      </c>
      <c r="M15603">
        <v>0</v>
      </c>
    </row>
    <row r="15604" spans="1:13">
      <c r="A15604">
        <v>87026500</v>
      </c>
      <c r="B15604">
        <v>2005635</v>
      </c>
      <c r="C15604" t="s">
        <v>8164</v>
      </c>
      <c r="D15604" t="s">
        <v>442</v>
      </c>
      <c r="E15604" t="s">
        <v>441</v>
      </c>
      <c r="F15604">
        <v>0.33800000000000002</v>
      </c>
      <c r="H15604" t="s">
        <v>8574</v>
      </c>
      <c r="I15604">
        <v>365</v>
      </c>
      <c r="J15604" t="s">
        <v>450</v>
      </c>
      <c r="K15604" t="s">
        <v>446</v>
      </c>
      <c r="M15604">
        <v>0</v>
      </c>
    </row>
    <row r="15605" spans="1:13">
      <c r="A15605">
        <v>87026700</v>
      </c>
      <c r="B15605">
        <v>2001598</v>
      </c>
      <c r="C15605" t="s">
        <v>8165</v>
      </c>
      <c r="D15605" t="s">
        <v>442</v>
      </c>
      <c r="E15605" t="s">
        <v>441</v>
      </c>
      <c r="F15605">
        <v>0.68</v>
      </c>
      <c r="H15605" t="s">
        <v>13782</v>
      </c>
      <c r="I15605">
        <v>730</v>
      </c>
      <c r="J15605" t="s">
        <v>450</v>
      </c>
      <c r="K15605" t="s">
        <v>446</v>
      </c>
      <c r="M15605">
        <v>0</v>
      </c>
    </row>
    <row r="15606" spans="1:13">
      <c r="A15606">
        <v>87026800</v>
      </c>
      <c r="B15606">
        <v>2000429</v>
      </c>
      <c r="C15606" t="s">
        <v>8166</v>
      </c>
      <c r="D15606" t="s">
        <v>442</v>
      </c>
      <c r="E15606" t="s">
        <v>441</v>
      </c>
      <c r="F15606">
        <v>0.33</v>
      </c>
      <c r="H15606" t="s">
        <v>8580</v>
      </c>
      <c r="I15606">
        <v>730</v>
      </c>
      <c r="J15606" t="s">
        <v>450</v>
      </c>
      <c r="K15606" t="s">
        <v>446</v>
      </c>
      <c r="M15606">
        <v>0</v>
      </c>
    </row>
    <row r="15607" spans="1:13">
      <c r="A15607">
        <v>87026900</v>
      </c>
      <c r="B15607">
        <v>2003640</v>
      </c>
      <c r="C15607" t="s">
        <v>8167</v>
      </c>
      <c r="D15607" t="s">
        <v>442</v>
      </c>
      <c r="F15607">
        <v>0</v>
      </c>
      <c r="H15607" t="s">
        <v>13782</v>
      </c>
      <c r="I15607">
        <v>730</v>
      </c>
      <c r="J15607" t="s">
        <v>450</v>
      </c>
      <c r="K15607" t="s">
        <v>446</v>
      </c>
      <c r="M15607">
        <v>0</v>
      </c>
    </row>
    <row r="15608" spans="1:13">
      <c r="A15608">
        <v>87027000</v>
      </c>
      <c r="B15608">
        <v>2003612</v>
      </c>
      <c r="C15608" t="s">
        <v>8168</v>
      </c>
      <c r="D15608" t="s">
        <v>442</v>
      </c>
      <c r="F15608">
        <v>0</v>
      </c>
      <c r="H15608" t="s">
        <v>13782</v>
      </c>
      <c r="I15608">
        <v>730</v>
      </c>
      <c r="J15608" t="s">
        <v>450</v>
      </c>
      <c r="K15608" t="s">
        <v>446</v>
      </c>
      <c r="M15608">
        <v>0</v>
      </c>
    </row>
    <row r="15609" spans="1:13">
      <c r="A15609">
        <v>87027100</v>
      </c>
      <c r="B15609">
        <v>2003202</v>
      </c>
      <c r="C15609" t="s">
        <v>8169</v>
      </c>
      <c r="D15609" t="s">
        <v>442</v>
      </c>
      <c r="E15609" t="s">
        <v>441</v>
      </c>
      <c r="F15609">
        <v>0.05</v>
      </c>
      <c r="H15609" t="s">
        <v>13782</v>
      </c>
      <c r="I15609">
        <v>730</v>
      </c>
      <c r="J15609" t="s">
        <v>450</v>
      </c>
      <c r="K15609" t="s">
        <v>446</v>
      </c>
      <c r="M15609">
        <v>0</v>
      </c>
    </row>
    <row r="15610" spans="1:13">
      <c r="A15610">
        <v>87027200</v>
      </c>
      <c r="B15610">
        <v>2003203</v>
      </c>
      <c r="C15610" t="s">
        <v>8170</v>
      </c>
      <c r="D15610" t="s">
        <v>442</v>
      </c>
      <c r="E15610" t="s">
        <v>441</v>
      </c>
      <c r="F15610">
        <v>0.184</v>
      </c>
      <c r="H15610" t="s">
        <v>13782</v>
      </c>
      <c r="I15610">
        <v>730</v>
      </c>
      <c r="J15610" t="s">
        <v>450</v>
      </c>
      <c r="K15610" t="s">
        <v>446</v>
      </c>
      <c r="M15610">
        <v>0</v>
      </c>
    </row>
    <row r="15611" spans="1:13">
      <c r="A15611">
        <v>87027300</v>
      </c>
      <c r="B15611">
        <v>2003204</v>
      </c>
      <c r="C15611" t="s">
        <v>8171</v>
      </c>
      <c r="D15611" t="s">
        <v>442</v>
      </c>
      <c r="E15611" t="s">
        <v>441</v>
      </c>
      <c r="F15611">
        <v>6.8000000000000005E-2</v>
      </c>
      <c r="H15611" t="s">
        <v>13782</v>
      </c>
      <c r="I15611">
        <v>730</v>
      </c>
      <c r="J15611" t="s">
        <v>450</v>
      </c>
      <c r="K15611" t="s">
        <v>446</v>
      </c>
      <c r="M15611">
        <v>0</v>
      </c>
    </row>
    <row r="15612" spans="1:13">
      <c r="A15612">
        <v>87027400</v>
      </c>
      <c r="B15612">
        <v>2003205</v>
      </c>
      <c r="C15612" t="s">
        <v>8172</v>
      </c>
      <c r="D15612" t="s">
        <v>442</v>
      </c>
      <c r="E15612" t="s">
        <v>441</v>
      </c>
      <c r="F15612">
        <v>0.26</v>
      </c>
      <c r="H15612" t="s">
        <v>13782</v>
      </c>
      <c r="I15612">
        <v>730</v>
      </c>
      <c r="J15612" t="s">
        <v>450</v>
      </c>
      <c r="K15612" t="s">
        <v>446</v>
      </c>
      <c r="M15612">
        <v>0</v>
      </c>
    </row>
    <row r="15613" spans="1:13">
      <c r="A15613">
        <v>87027500</v>
      </c>
      <c r="B15613">
        <v>2000442</v>
      </c>
      <c r="C15613" t="s">
        <v>8173</v>
      </c>
      <c r="D15613" t="s">
        <v>442</v>
      </c>
      <c r="E15613" t="s">
        <v>441</v>
      </c>
      <c r="F15613">
        <v>0.3</v>
      </c>
      <c r="H15613" t="s">
        <v>8580</v>
      </c>
      <c r="I15613">
        <v>730</v>
      </c>
      <c r="J15613" t="s">
        <v>450</v>
      </c>
      <c r="K15613" t="s">
        <v>446</v>
      </c>
      <c r="M15613">
        <v>0</v>
      </c>
    </row>
    <row r="15614" spans="1:13">
      <c r="A15614">
        <v>87027600</v>
      </c>
      <c r="B15614">
        <v>2003206</v>
      </c>
      <c r="C15614" t="s">
        <v>8174</v>
      </c>
      <c r="D15614" t="s">
        <v>442</v>
      </c>
      <c r="E15614" t="s">
        <v>441</v>
      </c>
      <c r="F15614">
        <v>0.18</v>
      </c>
      <c r="H15614" t="s">
        <v>13782</v>
      </c>
      <c r="I15614">
        <v>730</v>
      </c>
      <c r="J15614" t="s">
        <v>450</v>
      </c>
      <c r="K15614" t="s">
        <v>446</v>
      </c>
      <c r="M15614">
        <v>0</v>
      </c>
    </row>
    <row r="15615" spans="1:13">
      <c r="A15615">
        <v>87028000</v>
      </c>
      <c r="B15615">
        <v>2001563</v>
      </c>
      <c r="C15615" t="s">
        <v>8175</v>
      </c>
      <c r="D15615" t="s">
        <v>442</v>
      </c>
      <c r="E15615" t="s">
        <v>441</v>
      </c>
      <c r="F15615">
        <v>0.11799999999999999</v>
      </c>
      <c r="H15615" t="s">
        <v>13782</v>
      </c>
      <c r="I15615">
        <v>730</v>
      </c>
      <c r="J15615" t="s">
        <v>450</v>
      </c>
      <c r="K15615" t="s">
        <v>446</v>
      </c>
      <c r="M15615">
        <v>0</v>
      </c>
    </row>
    <row r="15616" spans="1:13">
      <c r="A15616">
        <v>87028100</v>
      </c>
      <c r="B15616">
        <v>2003207</v>
      </c>
      <c r="C15616" t="s">
        <v>8176</v>
      </c>
      <c r="D15616" t="s">
        <v>442</v>
      </c>
      <c r="E15616" t="s">
        <v>441</v>
      </c>
      <c r="F15616">
        <v>0.29499999999999998</v>
      </c>
      <c r="H15616" t="s">
        <v>13782</v>
      </c>
      <c r="I15616">
        <v>730</v>
      </c>
      <c r="J15616" t="s">
        <v>450</v>
      </c>
      <c r="K15616" t="s">
        <v>446</v>
      </c>
      <c r="M15616">
        <v>0</v>
      </c>
    </row>
    <row r="15617" spans="1:13">
      <c r="A15617">
        <v>87028200</v>
      </c>
      <c r="B15617">
        <v>2000386</v>
      </c>
      <c r="C15617" t="s">
        <v>8177</v>
      </c>
      <c r="D15617" t="s">
        <v>442</v>
      </c>
      <c r="E15617" t="s">
        <v>441</v>
      </c>
      <c r="F15617">
        <v>0.38</v>
      </c>
      <c r="H15617" t="s">
        <v>13782</v>
      </c>
      <c r="I15617">
        <v>730</v>
      </c>
      <c r="J15617" t="s">
        <v>450</v>
      </c>
      <c r="K15617" t="s">
        <v>446</v>
      </c>
      <c r="M15617">
        <v>0</v>
      </c>
    </row>
    <row r="15618" spans="1:13">
      <c r="A15618">
        <v>87028300</v>
      </c>
      <c r="B15618">
        <v>2003208</v>
      </c>
      <c r="C15618" t="s">
        <v>8178</v>
      </c>
      <c r="D15618" t="s">
        <v>442</v>
      </c>
      <c r="E15618" t="s">
        <v>441</v>
      </c>
      <c r="F15618">
        <v>0.73</v>
      </c>
      <c r="H15618" t="s">
        <v>13782</v>
      </c>
      <c r="I15618">
        <v>730</v>
      </c>
      <c r="J15618" t="s">
        <v>450</v>
      </c>
      <c r="K15618" t="s">
        <v>446</v>
      </c>
      <c r="M15618">
        <v>0</v>
      </c>
    </row>
    <row r="15619" spans="1:13">
      <c r="A15619">
        <v>87028400</v>
      </c>
      <c r="B15619">
        <v>2000379</v>
      </c>
      <c r="C15619" t="s">
        <v>8179</v>
      </c>
      <c r="D15619" t="s">
        <v>442</v>
      </c>
      <c r="E15619" t="s">
        <v>441</v>
      </c>
      <c r="F15619">
        <v>0.26500000000000001</v>
      </c>
      <c r="H15619" t="s">
        <v>13782</v>
      </c>
      <c r="I15619">
        <v>365</v>
      </c>
      <c r="J15619" t="s">
        <v>450</v>
      </c>
      <c r="K15619" t="s">
        <v>446</v>
      </c>
      <c r="M15619">
        <v>0</v>
      </c>
    </row>
    <row r="15620" spans="1:13">
      <c r="A15620">
        <v>87028500</v>
      </c>
      <c r="B15620">
        <v>2001526</v>
      </c>
      <c r="C15620" t="s">
        <v>8180</v>
      </c>
      <c r="D15620" t="s">
        <v>442</v>
      </c>
      <c r="E15620" t="s">
        <v>441</v>
      </c>
      <c r="F15620">
        <v>0.12</v>
      </c>
      <c r="H15620" t="s">
        <v>13782</v>
      </c>
      <c r="I15620">
        <v>730</v>
      </c>
      <c r="J15620" t="s">
        <v>450</v>
      </c>
      <c r="K15620" t="s">
        <v>446</v>
      </c>
      <c r="M15620">
        <v>0</v>
      </c>
    </row>
    <row r="15621" spans="1:13">
      <c r="A15621">
        <v>87028700</v>
      </c>
      <c r="B15621">
        <v>2003209</v>
      </c>
      <c r="C15621" t="s">
        <v>8181</v>
      </c>
      <c r="D15621" t="s">
        <v>442</v>
      </c>
      <c r="E15621" t="s">
        <v>441</v>
      </c>
      <c r="F15621">
        <v>1E-3</v>
      </c>
      <c r="H15621" t="s">
        <v>13782</v>
      </c>
      <c r="I15621">
        <v>720</v>
      </c>
      <c r="J15621" t="s">
        <v>450</v>
      </c>
      <c r="K15621" t="s">
        <v>446</v>
      </c>
      <c r="M15621">
        <v>0</v>
      </c>
    </row>
    <row r="15622" spans="1:13">
      <c r="A15622">
        <v>87028800</v>
      </c>
      <c r="B15622">
        <v>2003210</v>
      </c>
      <c r="C15622" t="s">
        <v>8182</v>
      </c>
      <c r="D15622" t="s">
        <v>442</v>
      </c>
      <c r="E15622" t="s">
        <v>441</v>
      </c>
      <c r="F15622">
        <v>1E-3</v>
      </c>
      <c r="H15622" t="s">
        <v>13782</v>
      </c>
      <c r="I15622">
        <v>720</v>
      </c>
      <c r="J15622" t="s">
        <v>450</v>
      </c>
      <c r="K15622" t="s">
        <v>446</v>
      </c>
      <c r="M15622">
        <v>0</v>
      </c>
    </row>
    <row r="15623" spans="1:13">
      <c r="A15623">
        <v>87028900</v>
      </c>
      <c r="B15623">
        <v>2003211</v>
      </c>
      <c r="C15623" t="s">
        <v>8183</v>
      </c>
      <c r="D15623" t="s">
        <v>442</v>
      </c>
      <c r="E15623" t="s">
        <v>441</v>
      </c>
      <c r="F15623">
        <v>1E-3</v>
      </c>
      <c r="H15623" t="s">
        <v>13782</v>
      </c>
      <c r="I15623">
        <v>720</v>
      </c>
      <c r="J15623" t="s">
        <v>450</v>
      </c>
      <c r="K15623" t="s">
        <v>446</v>
      </c>
      <c r="M15623">
        <v>0</v>
      </c>
    </row>
    <row r="15624" spans="1:13">
      <c r="A15624">
        <v>87029100</v>
      </c>
      <c r="B15624">
        <v>2003484</v>
      </c>
      <c r="C15624" t="s">
        <v>8184</v>
      </c>
      <c r="D15624" t="s">
        <v>442</v>
      </c>
      <c r="E15624" t="s">
        <v>441</v>
      </c>
      <c r="F15624">
        <v>0.2</v>
      </c>
      <c r="H15624" t="s">
        <v>8580</v>
      </c>
      <c r="I15624">
        <v>720</v>
      </c>
      <c r="J15624" t="s">
        <v>450</v>
      </c>
      <c r="K15624" t="s">
        <v>446</v>
      </c>
      <c r="M15624">
        <v>0</v>
      </c>
    </row>
    <row r="15625" spans="1:13">
      <c r="A15625">
        <v>87029200</v>
      </c>
      <c r="B15625">
        <v>2003485</v>
      </c>
      <c r="C15625" t="s">
        <v>8185</v>
      </c>
      <c r="D15625" t="s">
        <v>442</v>
      </c>
      <c r="E15625" t="s">
        <v>441</v>
      </c>
      <c r="F15625">
        <v>0.105</v>
      </c>
      <c r="H15625" t="s">
        <v>8580</v>
      </c>
      <c r="I15625">
        <v>720</v>
      </c>
      <c r="J15625" t="s">
        <v>450</v>
      </c>
      <c r="K15625" t="s">
        <v>446</v>
      </c>
      <c r="M15625">
        <v>0</v>
      </c>
    </row>
    <row r="15626" spans="1:13">
      <c r="A15626">
        <v>87029300</v>
      </c>
      <c r="B15626">
        <v>2003486</v>
      </c>
      <c r="C15626" t="s">
        <v>8186</v>
      </c>
      <c r="D15626" t="s">
        <v>442</v>
      </c>
      <c r="E15626" t="s">
        <v>441</v>
      </c>
      <c r="F15626">
        <v>0.11700000000000001</v>
      </c>
      <c r="H15626" t="s">
        <v>8580</v>
      </c>
      <c r="I15626">
        <v>720</v>
      </c>
      <c r="J15626" t="s">
        <v>450</v>
      </c>
      <c r="K15626" t="s">
        <v>446</v>
      </c>
      <c r="M15626">
        <v>0</v>
      </c>
    </row>
    <row r="15627" spans="1:13">
      <c r="A15627">
        <v>87029400</v>
      </c>
      <c r="B15627">
        <v>2003487</v>
      </c>
      <c r="C15627" t="s">
        <v>8187</v>
      </c>
      <c r="D15627" t="s">
        <v>442</v>
      </c>
      <c r="E15627" t="s">
        <v>441</v>
      </c>
      <c r="F15627">
        <v>0.77600000000000002</v>
      </c>
      <c r="H15627" t="s">
        <v>8584</v>
      </c>
      <c r="I15627">
        <v>720</v>
      </c>
      <c r="J15627" t="s">
        <v>450</v>
      </c>
      <c r="K15627" t="s">
        <v>446</v>
      </c>
      <c r="M15627">
        <v>0</v>
      </c>
    </row>
    <row r="15628" spans="1:13">
      <c r="A15628">
        <v>87029500</v>
      </c>
      <c r="B15628">
        <v>2001975</v>
      </c>
      <c r="C15628" t="s">
        <v>8188</v>
      </c>
      <c r="D15628" t="s">
        <v>442</v>
      </c>
      <c r="E15628" t="s">
        <v>441</v>
      </c>
      <c r="F15628">
        <v>0.73499999999999999</v>
      </c>
      <c r="H15628" t="s">
        <v>13782</v>
      </c>
      <c r="I15628">
        <v>730</v>
      </c>
      <c r="J15628" t="s">
        <v>450</v>
      </c>
      <c r="M15628">
        <v>0</v>
      </c>
    </row>
    <row r="15629" spans="1:13">
      <c r="A15629">
        <v>87029600</v>
      </c>
      <c r="B15629">
        <v>2003715</v>
      </c>
      <c r="C15629" t="s">
        <v>8189</v>
      </c>
      <c r="D15629" t="s">
        <v>442</v>
      </c>
      <c r="F15629">
        <v>0</v>
      </c>
      <c r="H15629" t="s">
        <v>13782</v>
      </c>
      <c r="I15629">
        <v>730</v>
      </c>
      <c r="J15629" t="s">
        <v>450</v>
      </c>
      <c r="K15629" t="s">
        <v>446</v>
      </c>
      <c r="M15629">
        <v>0</v>
      </c>
    </row>
    <row r="15630" spans="1:13">
      <c r="A15630">
        <v>87029700</v>
      </c>
      <c r="B15630">
        <v>2003580</v>
      </c>
      <c r="C15630" t="s">
        <v>8190</v>
      </c>
      <c r="D15630" t="s">
        <v>442</v>
      </c>
      <c r="E15630" t="s">
        <v>441</v>
      </c>
      <c r="F15630">
        <v>0.35</v>
      </c>
      <c r="G15630">
        <v>0</v>
      </c>
      <c r="H15630" t="s">
        <v>13782</v>
      </c>
      <c r="I15630">
        <v>730</v>
      </c>
      <c r="J15630" t="s">
        <v>450</v>
      </c>
      <c r="K15630" t="s">
        <v>446</v>
      </c>
      <c r="M15630">
        <v>0</v>
      </c>
    </row>
    <row r="15631" spans="1:13">
      <c r="A15631">
        <v>87029800</v>
      </c>
      <c r="B15631">
        <v>2003713</v>
      </c>
      <c r="C15631" t="s">
        <v>8191</v>
      </c>
      <c r="D15631" t="s">
        <v>442</v>
      </c>
      <c r="F15631">
        <v>0</v>
      </c>
      <c r="H15631" t="s">
        <v>13782</v>
      </c>
      <c r="I15631">
        <v>730</v>
      </c>
      <c r="J15631" t="s">
        <v>450</v>
      </c>
      <c r="K15631" t="s">
        <v>446</v>
      </c>
      <c r="M15631">
        <v>0</v>
      </c>
    </row>
    <row r="15632" spans="1:13">
      <c r="A15632">
        <v>87029900</v>
      </c>
      <c r="B15632">
        <v>2003772</v>
      </c>
      <c r="C15632" t="s">
        <v>8192</v>
      </c>
      <c r="D15632" t="s">
        <v>442</v>
      </c>
      <c r="F15632">
        <v>0</v>
      </c>
      <c r="H15632" t="s">
        <v>8637</v>
      </c>
      <c r="I15632">
        <v>730</v>
      </c>
      <c r="J15632" t="s">
        <v>450</v>
      </c>
      <c r="K15632" t="s">
        <v>446</v>
      </c>
      <c r="M15632">
        <v>0</v>
      </c>
    </row>
    <row r="15633" spans="1:13">
      <c r="A15633">
        <v>87030100</v>
      </c>
      <c r="B15633">
        <v>2003771</v>
      </c>
      <c r="C15633" t="s">
        <v>8193</v>
      </c>
      <c r="D15633" t="s">
        <v>442</v>
      </c>
      <c r="F15633">
        <v>0</v>
      </c>
      <c r="H15633" t="s">
        <v>8584</v>
      </c>
      <c r="I15633">
        <v>730</v>
      </c>
      <c r="J15633" t="s">
        <v>450</v>
      </c>
      <c r="K15633" t="s">
        <v>446</v>
      </c>
      <c r="M15633">
        <v>0</v>
      </c>
    </row>
    <row r="15634" spans="1:13">
      <c r="A15634">
        <v>87030110</v>
      </c>
      <c r="B15634">
        <v>2003884</v>
      </c>
      <c r="C15634" t="s">
        <v>8194</v>
      </c>
      <c r="D15634" t="s">
        <v>442</v>
      </c>
      <c r="F15634">
        <v>0</v>
      </c>
      <c r="H15634" t="s">
        <v>13782</v>
      </c>
      <c r="I15634">
        <v>730</v>
      </c>
      <c r="J15634" t="s">
        <v>450</v>
      </c>
      <c r="K15634" t="s">
        <v>446</v>
      </c>
      <c r="M15634">
        <v>0</v>
      </c>
    </row>
    <row r="15635" spans="1:13">
      <c r="A15635">
        <v>87030120</v>
      </c>
      <c r="B15635">
        <v>2003883</v>
      </c>
      <c r="C15635" t="s">
        <v>8195</v>
      </c>
      <c r="D15635" t="s">
        <v>442</v>
      </c>
      <c r="F15635">
        <v>0</v>
      </c>
      <c r="H15635" t="s">
        <v>13782</v>
      </c>
      <c r="I15635">
        <v>730</v>
      </c>
      <c r="J15635" t="s">
        <v>450</v>
      </c>
      <c r="M15635">
        <v>0</v>
      </c>
    </row>
    <row r="15636" spans="1:13">
      <c r="A15636">
        <v>87030130</v>
      </c>
      <c r="B15636">
        <v>2003915</v>
      </c>
      <c r="C15636" t="s">
        <v>8196</v>
      </c>
      <c r="D15636" t="s">
        <v>442</v>
      </c>
      <c r="F15636">
        <v>0</v>
      </c>
      <c r="H15636" t="s">
        <v>13782</v>
      </c>
      <c r="I15636">
        <v>730</v>
      </c>
      <c r="J15636" t="s">
        <v>450</v>
      </c>
      <c r="K15636" t="s">
        <v>446</v>
      </c>
      <c r="M15636">
        <v>0</v>
      </c>
    </row>
    <row r="15637" spans="1:13">
      <c r="A15637">
        <v>87030140</v>
      </c>
      <c r="B15637">
        <v>2003941</v>
      </c>
      <c r="C15637" t="s">
        <v>8197</v>
      </c>
      <c r="D15637" t="s">
        <v>442</v>
      </c>
      <c r="F15637">
        <v>0</v>
      </c>
      <c r="H15637" t="s">
        <v>13782</v>
      </c>
      <c r="I15637">
        <v>730</v>
      </c>
      <c r="J15637" t="s">
        <v>450</v>
      </c>
      <c r="K15637" t="s">
        <v>446</v>
      </c>
      <c r="M15637">
        <v>0</v>
      </c>
    </row>
    <row r="15638" spans="1:13">
      <c r="A15638">
        <v>87030150</v>
      </c>
      <c r="B15638">
        <v>2003957</v>
      </c>
      <c r="C15638" t="s">
        <v>8198</v>
      </c>
      <c r="D15638" t="s">
        <v>442</v>
      </c>
      <c r="F15638">
        <v>0</v>
      </c>
      <c r="H15638" t="s">
        <v>13782</v>
      </c>
      <c r="I15638">
        <v>730</v>
      </c>
      <c r="J15638" t="s">
        <v>450</v>
      </c>
      <c r="K15638" t="s">
        <v>446</v>
      </c>
      <c r="M15638">
        <v>0</v>
      </c>
    </row>
    <row r="15639" spans="1:13">
      <c r="A15639">
        <v>87030160</v>
      </c>
      <c r="B15639">
        <v>2003942</v>
      </c>
      <c r="C15639" t="s">
        <v>8199</v>
      </c>
      <c r="D15639" t="s">
        <v>449</v>
      </c>
      <c r="F15639">
        <v>0</v>
      </c>
      <c r="H15639" t="s">
        <v>8576</v>
      </c>
      <c r="I15639">
        <v>360</v>
      </c>
      <c r="J15639" t="s">
        <v>450</v>
      </c>
      <c r="K15639" t="s">
        <v>446</v>
      </c>
      <c r="M15639">
        <v>0</v>
      </c>
    </row>
    <row r="15640" spans="1:13">
      <c r="A15640">
        <v>87030170</v>
      </c>
      <c r="B15640">
        <v>2001567</v>
      </c>
      <c r="C15640" t="s">
        <v>8200</v>
      </c>
      <c r="D15640" t="s">
        <v>442</v>
      </c>
      <c r="E15640" t="s">
        <v>441</v>
      </c>
      <c r="F15640">
        <v>0.3</v>
      </c>
      <c r="H15640" t="s">
        <v>13782</v>
      </c>
      <c r="I15640">
        <v>730</v>
      </c>
      <c r="J15640" t="s">
        <v>450</v>
      </c>
      <c r="K15640" t="s">
        <v>446</v>
      </c>
      <c r="M15640">
        <v>0</v>
      </c>
    </row>
    <row r="15641" spans="1:13">
      <c r="A15641">
        <v>87030200</v>
      </c>
      <c r="B15641">
        <v>2002776</v>
      </c>
      <c r="C15641" t="s">
        <v>8201</v>
      </c>
      <c r="D15641" t="s">
        <v>442</v>
      </c>
      <c r="E15641" t="s">
        <v>441</v>
      </c>
      <c r="F15641">
        <v>8.8999999999999996E-2</v>
      </c>
      <c r="H15641" t="s">
        <v>13782</v>
      </c>
      <c r="I15641">
        <v>730</v>
      </c>
      <c r="J15641" t="s">
        <v>450</v>
      </c>
      <c r="K15641" t="s">
        <v>446</v>
      </c>
      <c r="M15641">
        <v>0</v>
      </c>
    </row>
    <row r="15642" spans="1:13">
      <c r="A15642">
        <v>87030300</v>
      </c>
      <c r="B15642">
        <v>2003716</v>
      </c>
      <c r="C15642" t="s">
        <v>8202</v>
      </c>
      <c r="D15642" t="s">
        <v>442</v>
      </c>
      <c r="F15642">
        <v>0</v>
      </c>
      <c r="H15642" t="s">
        <v>13782</v>
      </c>
      <c r="I15642">
        <v>730</v>
      </c>
      <c r="J15642" t="s">
        <v>450</v>
      </c>
      <c r="K15642" t="s">
        <v>446</v>
      </c>
      <c r="M15642">
        <v>0</v>
      </c>
    </row>
    <row r="15643" spans="1:13">
      <c r="A15643">
        <v>87030400</v>
      </c>
      <c r="B15643">
        <v>2003714</v>
      </c>
      <c r="C15643" t="s">
        <v>8203</v>
      </c>
      <c r="D15643" t="s">
        <v>442</v>
      </c>
      <c r="F15643">
        <v>0</v>
      </c>
      <c r="H15643" t="s">
        <v>13782</v>
      </c>
      <c r="I15643">
        <v>730</v>
      </c>
      <c r="J15643" t="s">
        <v>450</v>
      </c>
      <c r="K15643" t="s">
        <v>446</v>
      </c>
      <c r="M15643">
        <v>0</v>
      </c>
    </row>
    <row r="15644" spans="1:13">
      <c r="A15644">
        <v>87030500</v>
      </c>
      <c r="B15644">
        <v>2003667</v>
      </c>
      <c r="C15644" t="s">
        <v>8204</v>
      </c>
      <c r="D15644" t="s">
        <v>442</v>
      </c>
      <c r="F15644">
        <v>0</v>
      </c>
      <c r="H15644" t="s">
        <v>13782</v>
      </c>
      <c r="I15644">
        <v>730</v>
      </c>
      <c r="J15644" t="s">
        <v>450</v>
      </c>
      <c r="K15644" t="s">
        <v>446</v>
      </c>
      <c r="M15644">
        <v>0</v>
      </c>
    </row>
    <row r="15645" spans="1:13">
      <c r="A15645">
        <v>87030600</v>
      </c>
      <c r="B15645">
        <v>2003669</v>
      </c>
      <c r="C15645" t="s">
        <v>8205</v>
      </c>
      <c r="D15645" t="s">
        <v>442</v>
      </c>
      <c r="F15645">
        <v>0</v>
      </c>
      <c r="H15645" t="s">
        <v>13782</v>
      </c>
      <c r="I15645">
        <v>730</v>
      </c>
      <c r="J15645" t="s">
        <v>450</v>
      </c>
      <c r="K15645" t="s">
        <v>446</v>
      </c>
      <c r="M15645">
        <v>0</v>
      </c>
    </row>
    <row r="15646" spans="1:13">
      <c r="A15646">
        <v>87030700</v>
      </c>
      <c r="B15646">
        <v>2004000</v>
      </c>
      <c r="C15646" t="s">
        <v>8206</v>
      </c>
      <c r="D15646" t="s">
        <v>442</v>
      </c>
      <c r="E15646" t="s">
        <v>441</v>
      </c>
      <c r="F15646">
        <v>0.68</v>
      </c>
      <c r="H15646" t="s">
        <v>13782</v>
      </c>
      <c r="I15646">
        <v>730</v>
      </c>
      <c r="J15646" t="s">
        <v>450</v>
      </c>
      <c r="M15646">
        <v>0</v>
      </c>
    </row>
    <row r="15647" spans="1:13">
      <c r="A15647">
        <v>87030800</v>
      </c>
      <c r="B15647">
        <v>2001126</v>
      </c>
      <c r="C15647" t="s">
        <v>8207</v>
      </c>
      <c r="D15647" t="s">
        <v>442</v>
      </c>
      <c r="E15647" t="s">
        <v>441</v>
      </c>
      <c r="F15647">
        <v>0.27</v>
      </c>
      <c r="H15647" t="s">
        <v>8574</v>
      </c>
      <c r="I15647">
        <v>365</v>
      </c>
      <c r="J15647" t="s">
        <v>450</v>
      </c>
      <c r="K15647" t="s">
        <v>446</v>
      </c>
      <c r="M15647">
        <v>0</v>
      </c>
    </row>
    <row r="15648" spans="1:13">
      <c r="A15648">
        <v>87030900</v>
      </c>
      <c r="B15648">
        <v>2004137</v>
      </c>
      <c r="C15648" t="s">
        <v>8208</v>
      </c>
      <c r="D15648" t="s">
        <v>442</v>
      </c>
      <c r="E15648" t="s">
        <v>441</v>
      </c>
      <c r="F15648">
        <v>0.6</v>
      </c>
      <c r="H15648" t="s">
        <v>8580</v>
      </c>
      <c r="I15648">
        <v>730</v>
      </c>
      <c r="J15648" t="s">
        <v>450</v>
      </c>
      <c r="K15648" t="s">
        <v>446</v>
      </c>
      <c r="M15648">
        <v>0</v>
      </c>
    </row>
    <row r="15649" spans="1:13">
      <c r="A15649">
        <v>87031100</v>
      </c>
      <c r="B15649">
        <v>2004136</v>
      </c>
      <c r="C15649" t="s">
        <v>8209</v>
      </c>
      <c r="D15649" t="s">
        <v>442</v>
      </c>
      <c r="E15649" t="s">
        <v>441</v>
      </c>
      <c r="F15649">
        <v>0.2</v>
      </c>
      <c r="H15649" t="s">
        <v>8580</v>
      </c>
      <c r="I15649">
        <v>730</v>
      </c>
      <c r="J15649" t="s">
        <v>450</v>
      </c>
      <c r="K15649" t="s">
        <v>446</v>
      </c>
      <c r="M15649">
        <v>0</v>
      </c>
    </row>
    <row r="15650" spans="1:13">
      <c r="A15650">
        <v>87031200</v>
      </c>
      <c r="B15650">
        <v>2004401</v>
      </c>
      <c r="C15650" t="s">
        <v>8210</v>
      </c>
      <c r="D15650" t="s">
        <v>442</v>
      </c>
      <c r="F15650">
        <v>0</v>
      </c>
      <c r="H15650" t="s">
        <v>13782</v>
      </c>
      <c r="I15650">
        <v>720</v>
      </c>
      <c r="J15650" t="s">
        <v>450</v>
      </c>
      <c r="K15650" t="s">
        <v>446</v>
      </c>
      <c r="M15650">
        <v>0</v>
      </c>
    </row>
    <row r="15651" spans="1:13">
      <c r="A15651">
        <v>87031300</v>
      </c>
      <c r="B15651">
        <v>2005101</v>
      </c>
      <c r="C15651" t="s">
        <v>8211</v>
      </c>
      <c r="D15651" t="s">
        <v>442</v>
      </c>
      <c r="F15651">
        <v>0</v>
      </c>
      <c r="H15651" t="s">
        <v>13782</v>
      </c>
      <c r="I15651">
        <v>720</v>
      </c>
      <c r="J15651" t="s">
        <v>450</v>
      </c>
      <c r="M15651">
        <v>0</v>
      </c>
    </row>
    <row r="15652" spans="1:13">
      <c r="A15652">
        <v>87031400</v>
      </c>
      <c r="B15652">
        <v>2005102</v>
      </c>
      <c r="C15652" t="s">
        <v>14110</v>
      </c>
      <c r="D15652" t="s">
        <v>442</v>
      </c>
      <c r="F15652">
        <v>0</v>
      </c>
      <c r="H15652" t="s">
        <v>13782</v>
      </c>
      <c r="I15652">
        <v>360</v>
      </c>
      <c r="J15652" t="s">
        <v>450</v>
      </c>
      <c r="K15652" t="s">
        <v>446</v>
      </c>
      <c r="M15652">
        <v>0</v>
      </c>
    </row>
    <row r="15653" spans="1:13">
      <c r="A15653">
        <v>87031500</v>
      </c>
      <c r="B15653">
        <v>2000361</v>
      </c>
      <c r="C15653" t="s">
        <v>8212</v>
      </c>
      <c r="D15653" t="s">
        <v>442</v>
      </c>
      <c r="E15653" t="s">
        <v>441</v>
      </c>
      <c r="F15653">
        <v>0.188</v>
      </c>
      <c r="H15653" t="s">
        <v>13782</v>
      </c>
      <c r="I15653">
        <v>365</v>
      </c>
      <c r="J15653" t="s">
        <v>450</v>
      </c>
      <c r="K15653" t="s">
        <v>446</v>
      </c>
      <c r="M15653">
        <v>0</v>
      </c>
    </row>
    <row r="15654" spans="1:13">
      <c r="A15654">
        <v>87031600</v>
      </c>
      <c r="B15654">
        <v>2001588</v>
      </c>
      <c r="C15654" t="s">
        <v>8213</v>
      </c>
      <c r="D15654" t="s">
        <v>442</v>
      </c>
      <c r="E15654" t="s">
        <v>441</v>
      </c>
      <c r="F15654">
        <v>0.47</v>
      </c>
      <c r="H15654" t="s">
        <v>13782</v>
      </c>
      <c r="I15654">
        <v>730</v>
      </c>
      <c r="J15654" t="s">
        <v>450</v>
      </c>
      <c r="K15654" t="s">
        <v>446</v>
      </c>
      <c r="M15654">
        <v>0</v>
      </c>
    </row>
    <row r="15655" spans="1:13">
      <c r="A15655">
        <v>87031700</v>
      </c>
      <c r="B15655">
        <v>2001587</v>
      </c>
      <c r="C15655" t="s">
        <v>8214</v>
      </c>
      <c r="D15655" t="s">
        <v>442</v>
      </c>
      <c r="E15655" t="s">
        <v>441</v>
      </c>
      <c r="F15655">
        <v>0.45</v>
      </c>
      <c r="H15655" t="s">
        <v>13782</v>
      </c>
      <c r="I15655">
        <v>730</v>
      </c>
      <c r="J15655" t="s">
        <v>450</v>
      </c>
      <c r="K15655" t="s">
        <v>446</v>
      </c>
      <c r="M15655">
        <v>0</v>
      </c>
    </row>
    <row r="15656" spans="1:13">
      <c r="A15656">
        <v>87031800</v>
      </c>
      <c r="B15656">
        <v>2001594</v>
      </c>
      <c r="C15656" t="s">
        <v>8215</v>
      </c>
      <c r="D15656" t="s">
        <v>442</v>
      </c>
      <c r="E15656" t="s">
        <v>441</v>
      </c>
      <c r="F15656">
        <v>0.7</v>
      </c>
      <c r="H15656" t="s">
        <v>13782</v>
      </c>
      <c r="I15656">
        <v>730</v>
      </c>
      <c r="J15656" t="s">
        <v>450</v>
      </c>
      <c r="K15656" t="s">
        <v>446</v>
      </c>
      <c r="M15656">
        <v>0</v>
      </c>
    </row>
    <row r="15657" spans="1:13">
      <c r="A15657">
        <v>87031900</v>
      </c>
      <c r="B15657">
        <v>2005143</v>
      </c>
      <c r="C15657" t="s">
        <v>14111</v>
      </c>
      <c r="D15657" t="s">
        <v>442</v>
      </c>
      <c r="E15657" t="s">
        <v>441</v>
      </c>
      <c r="F15657">
        <v>5.0000000000000001E-3</v>
      </c>
      <c r="H15657" t="s">
        <v>13782</v>
      </c>
      <c r="I15657">
        <v>730</v>
      </c>
      <c r="J15657" t="s">
        <v>450</v>
      </c>
      <c r="K15657" t="s">
        <v>446</v>
      </c>
      <c r="M15657">
        <v>0</v>
      </c>
    </row>
    <row r="15658" spans="1:13">
      <c r="A15658">
        <v>87032000</v>
      </c>
      <c r="B15658">
        <v>2005184</v>
      </c>
      <c r="C15658" t="s">
        <v>8216</v>
      </c>
      <c r="D15658" t="s">
        <v>442</v>
      </c>
      <c r="F15658">
        <v>0</v>
      </c>
      <c r="H15658" t="s">
        <v>13782</v>
      </c>
      <c r="I15658">
        <v>730</v>
      </c>
      <c r="J15658" t="s">
        <v>450</v>
      </c>
      <c r="K15658" t="s">
        <v>446</v>
      </c>
      <c r="M15658">
        <v>0</v>
      </c>
    </row>
    <row r="15659" spans="1:13">
      <c r="A15659">
        <v>87032100</v>
      </c>
      <c r="B15659">
        <v>2005183</v>
      </c>
      <c r="C15659" t="s">
        <v>8217</v>
      </c>
      <c r="D15659" t="s">
        <v>442</v>
      </c>
      <c r="F15659">
        <v>0</v>
      </c>
      <c r="H15659" t="s">
        <v>13782</v>
      </c>
      <c r="I15659">
        <v>730</v>
      </c>
      <c r="J15659" t="s">
        <v>450</v>
      </c>
      <c r="K15659" t="s">
        <v>446</v>
      </c>
      <c r="M15659">
        <v>0</v>
      </c>
    </row>
    <row r="15660" spans="1:13">
      <c r="A15660">
        <v>87032200</v>
      </c>
      <c r="B15660">
        <v>2005182</v>
      </c>
      <c r="C15660" t="s">
        <v>8218</v>
      </c>
      <c r="D15660" t="s">
        <v>442</v>
      </c>
      <c r="F15660">
        <v>0</v>
      </c>
      <c r="H15660" t="s">
        <v>13782</v>
      </c>
      <c r="I15660">
        <v>730</v>
      </c>
      <c r="J15660" t="s">
        <v>450</v>
      </c>
      <c r="K15660" t="s">
        <v>446</v>
      </c>
      <c r="M15660">
        <v>0</v>
      </c>
    </row>
    <row r="15661" spans="1:13">
      <c r="A15661">
        <v>87032300</v>
      </c>
      <c r="B15661">
        <v>2005205</v>
      </c>
      <c r="C15661" t="s">
        <v>8219</v>
      </c>
      <c r="D15661" t="s">
        <v>442</v>
      </c>
      <c r="F15661">
        <v>0</v>
      </c>
      <c r="H15661" t="s">
        <v>13782</v>
      </c>
      <c r="I15661">
        <v>730</v>
      </c>
      <c r="J15661" t="s">
        <v>450</v>
      </c>
      <c r="K15661" t="s">
        <v>446</v>
      </c>
      <c r="M15661">
        <v>0</v>
      </c>
    </row>
    <row r="15662" spans="1:13">
      <c r="A15662">
        <v>87032400</v>
      </c>
      <c r="B15662">
        <v>2005188</v>
      </c>
      <c r="C15662" t="s">
        <v>14112</v>
      </c>
      <c r="D15662" t="s">
        <v>442</v>
      </c>
      <c r="F15662">
        <v>0</v>
      </c>
      <c r="H15662" t="s">
        <v>13782</v>
      </c>
      <c r="I15662">
        <v>730</v>
      </c>
      <c r="J15662" t="s">
        <v>450</v>
      </c>
      <c r="K15662" t="s">
        <v>446</v>
      </c>
      <c r="M15662">
        <v>0</v>
      </c>
    </row>
    <row r="15663" spans="1:13">
      <c r="A15663">
        <v>87032500</v>
      </c>
      <c r="B15663">
        <v>2005220</v>
      </c>
      <c r="C15663" t="s">
        <v>8220</v>
      </c>
      <c r="D15663" t="s">
        <v>442</v>
      </c>
      <c r="F15663">
        <v>0</v>
      </c>
      <c r="H15663" t="s">
        <v>13782</v>
      </c>
      <c r="I15663">
        <v>730</v>
      </c>
      <c r="J15663" t="s">
        <v>450</v>
      </c>
      <c r="K15663" t="s">
        <v>446</v>
      </c>
      <c r="M15663">
        <v>0</v>
      </c>
    </row>
    <row r="15664" spans="1:13">
      <c r="A15664">
        <v>87032600</v>
      </c>
      <c r="B15664">
        <v>2005221</v>
      </c>
      <c r="C15664" t="s">
        <v>8221</v>
      </c>
      <c r="D15664" t="s">
        <v>442</v>
      </c>
      <c r="F15664">
        <v>0</v>
      </c>
      <c r="H15664" t="s">
        <v>13782</v>
      </c>
      <c r="I15664">
        <v>730</v>
      </c>
      <c r="J15664" t="s">
        <v>450</v>
      </c>
      <c r="K15664" t="s">
        <v>446</v>
      </c>
      <c r="M15664">
        <v>0</v>
      </c>
    </row>
    <row r="15665" spans="1:13">
      <c r="A15665">
        <v>87032700</v>
      </c>
      <c r="B15665">
        <v>2001645</v>
      </c>
      <c r="C15665" t="s">
        <v>14113</v>
      </c>
      <c r="D15665" t="s">
        <v>442</v>
      </c>
      <c r="E15665" t="s">
        <v>441</v>
      </c>
      <c r="F15665">
        <v>1.9E-2</v>
      </c>
      <c r="H15665" t="s">
        <v>13782</v>
      </c>
      <c r="I15665">
        <v>730</v>
      </c>
      <c r="J15665" t="s">
        <v>450</v>
      </c>
      <c r="K15665" t="s">
        <v>446</v>
      </c>
      <c r="M15665">
        <v>0</v>
      </c>
    </row>
    <row r="15666" spans="1:13">
      <c r="A15666">
        <v>87032800</v>
      </c>
      <c r="B15666">
        <v>2002282</v>
      </c>
      <c r="C15666" t="s">
        <v>14114</v>
      </c>
      <c r="D15666" t="s">
        <v>442</v>
      </c>
      <c r="E15666" t="s">
        <v>441</v>
      </c>
      <c r="F15666">
        <v>0.05</v>
      </c>
      <c r="H15666" t="s">
        <v>13782</v>
      </c>
      <c r="I15666">
        <v>730</v>
      </c>
      <c r="J15666" t="s">
        <v>450</v>
      </c>
      <c r="K15666" t="s">
        <v>446</v>
      </c>
      <c r="M15666">
        <v>0</v>
      </c>
    </row>
    <row r="15667" spans="1:13">
      <c r="A15667">
        <v>87032900</v>
      </c>
      <c r="B15667">
        <v>2005353</v>
      </c>
      <c r="C15667" t="s">
        <v>8222</v>
      </c>
      <c r="D15667" t="s">
        <v>442</v>
      </c>
      <c r="F15667">
        <v>0</v>
      </c>
      <c r="H15667" t="s">
        <v>13782</v>
      </c>
      <c r="I15667">
        <v>360</v>
      </c>
      <c r="J15667" t="s">
        <v>450</v>
      </c>
      <c r="K15667" t="s">
        <v>446</v>
      </c>
      <c r="M15667">
        <v>0</v>
      </c>
    </row>
    <row r="15668" spans="1:13">
      <c r="A15668">
        <v>87033000</v>
      </c>
      <c r="B15668">
        <v>2005358</v>
      </c>
      <c r="C15668" t="s">
        <v>8223</v>
      </c>
      <c r="D15668" t="s">
        <v>442</v>
      </c>
      <c r="F15668">
        <v>0</v>
      </c>
      <c r="H15668" t="s">
        <v>13782</v>
      </c>
      <c r="I15668">
        <v>360</v>
      </c>
      <c r="J15668" t="s">
        <v>450</v>
      </c>
      <c r="K15668" t="s">
        <v>446</v>
      </c>
      <c r="M15668">
        <v>0</v>
      </c>
    </row>
    <row r="15669" spans="1:13">
      <c r="A15669">
        <v>87033100</v>
      </c>
      <c r="B15669">
        <v>2005439</v>
      </c>
      <c r="C15669" t="s">
        <v>8224</v>
      </c>
      <c r="D15669" t="s">
        <v>442</v>
      </c>
      <c r="F15669">
        <v>0</v>
      </c>
      <c r="H15669" t="s">
        <v>8580</v>
      </c>
      <c r="I15669">
        <v>720</v>
      </c>
      <c r="J15669" t="s">
        <v>450</v>
      </c>
      <c r="K15669" t="s">
        <v>446</v>
      </c>
      <c r="M15669">
        <v>0</v>
      </c>
    </row>
    <row r="15670" spans="1:13">
      <c r="A15670">
        <v>87033200</v>
      </c>
      <c r="B15670">
        <v>2005438</v>
      </c>
      <c r="C15670" t="s">
        <v>8225</v>
      </c>
      <c r="D15670" t="s">
        <v>442</v>
      </c>
      <c r="F15670">
        <v>0</v>
      </c>
      <c r="H15670" t="s">
        <v>13782</v>
      </c>
      <c r="I15670">
        <v>720</v>
      </c>
      <c r="J15670" t="s">
        <v>450</v>
      </c>
      <c r="K15670" t="s">
        <v>446</v>
      </c>
      <c r="M15670">
        <v>0</v>
      </c>
    </row>
    <row r="15671" spans="1:13">
      <c r="A15671">
        <v>87033300</v>
      </c>
      <c r="B15671">
        <v>2005597</v>
      </c>
      <c r="C15671" t="s">
        <v>8226</v>
      </c>
      <c r="D15671" t="s">
        <v>442</v>
      </c>
      <c r="F15671">
        <v>0</v>
      </c>
      <c r="H15671" t="s">
        <v>13782</v>
      </c>
      <c r="I15671">
        <v>360</v>
      </c>
      <c r="J15671" t="s">
        <v>450</v>
      </c>
      <c r="K15671" t="s">
        <v>446</v>
      </c>
      <c r="M15671">
        <v>0</v>
      </c>
    </row>
    <row r="15672" spans="1:13">
      <c r="A15672">
        <v>87033500</v>
      </c>
      <c r="B15672">
        <v>2003567</v>
      </c>
      <c r="C15672" t="s">
        <v>8227</v>
      </c>
      <c r="D15672" t="s">
        <v>442</v>
      </c>
      <c r="E15672" t="s">
        <v>441</v>
      </c>
      <c r="F15672">
        <v>3</v>
      </c>
      <c r="H15672" t="s">
        <v>13782</v>
      </c>
      <c r="I15672">
        <v>730</v>
      </c>
      <c r="J15672" t="s">
        <v>450</v>
      </c>
      <c r="K15672" t="s">
        <v>446</v>
      </c>
      <c r="M15672">
        <v>0</v>
      </c>
    </row>
    <row r="15673" spans="1:13">
      <c r="A15673">
        <v>87033600</v>
      </c>
      <c r="B15673">
        <v>2005666</v>
      </c>
      <c r="C15673" t="s">
        <v>8228</v>
      </c>
      <c r="D15673" t="s">
        <v>442</v>
      </c>
      <c r="F15673">
        <v>0</v>
      </c>
      <c r="H15673" t="s">
        <v>13782</v>
      </c>
      <c r="I15673">
        <v>360</v>
      </c>
      <c r="J15673" t="s">
        <v>450</v>
      </c>
      <c r="K15673" t="s">
        <v>446</v>
      </c>
      <c r="M15673">
        <v>0</v>
      </c>
    </row>
    <row r="15674" spans="1:13">
      <c r="A15674">
        <v>87033700</v>
      </c>
      <c r="B15674">
        <v>2005682</v>
      </c>
      <c r="C15674" t="s">
        <v>8229</v>
      </c>
      <c r="D15674" t="s">
        <v>442</v>
      </c>
      <c r="F15674">
        <v>0</v>
      </c>
      <c r="H15674" t="s">
        <v>13782</v>
      </c>
      <c r="I15674">
        <v>360</v>
      </c>
      <c r="J15674" t="s">
        <v>450</v>
      </c>
      <c r="K15674" t="s">
        <v>446</v>
      </c>
      <c r="M15674">
        <v>0</v>
      </c>
    </row>
    <row r="15675" spans="1:13">
      <c r="A15675">
        <v>87033800</v>
      </c>
      <c r="B15675">
        <v>2005681</v>
      </c>
      <c r="C15675" t="s">
        <v>8230</v>
      </c>
      <c r="D15675" t="s">
        <v>442</v>
      </c>
      <c r="F15675">
        <v>0</v>
      </c>
      <c r="H15675" t="s">
        <v>13782</v>
      </c>
      <c r="I15675">
        <v>360</v>
      </c>
      <c r="J15675" t="s">
        <v>450</v>
      </c>
      <c r="K15675" t="s">
        <v>446</v>
      </c>
      <c r="M15675">
        <v>0</v>
      </c>
    </row>
    <row r="15676" spans="1:13">
      <c r="A15676">
        <v>87033900</v>
      </c>
      <c r="B15676">
        <v>2005710</v>
      </c>
      <c r="C15676" t="s">
        <v>8231</v>
      </c>
      <c r="D15676" t="s">
        <v>442</v>
      </c>
      <c r="F15676">
        <v>0</v>
      </c>
      <c r="H15676" t="s">
        <v>13782</v>
      </c>
      <c r="I15676">
        <v>725</v>
      </c>
      <c r="J15676" t="s">
        <v>450</v>
      </c>
      <c r="K15676" t="s">
        <v>446</v>
      </c>
      <c r="M15676">
        <v>0</v>
      </c>
    </row>
    <row r="15677" spans="1:13">
      <c r="A15677">
        <v>87034000</v>
      </c>
      <c r="B15677">
        <v>2005824</v>
      </c>
      <c r="C15677" t="s">
        <v>8232</v>
      </c>
      <c r="D15677" t="s">
        <v>442</v>
      </c>
      <c r="F15677">
        <v>0</v>
      </c>
      <c r="H15677" t="s">
        <v>13782</v>
      </c>
      <c r="I15677">
        <v>360</v>
      </c>
      <c r="J15677" t="s">
        <v>450</v>
      </c>
      <c r="K15677" t="s">
        <v>446</v>
      </c>
      <c r="M15677">
        <v>0</v>
      </c>
    </row>
    <row r="15678" spans="1:13">
      <c r="A15678">
        <v>87034100</v>
      </c>
      <c r="B15678">
        <v>2005823</v>
      </c>
      <c r="C15678" t="s">
        <v>8233</v>
      </c>
      <c r="D15678" t="s">
        <v>442</v>
      </c>
      <c r="F15678">
        <v>0</v>
      </c>
      <c r="H15678" t="s">
        <v>13782</v>
      </c>
      <c r="I15678">
        <v>360</v>
      </c>
      <c r="J15678" t="s">
        <v>450</v>
      </c>
      <c r="K15678" t="s">
        <v>446</v>
      </c>
      <c r="M15678">
        <v>0</v>
      </c>
    </row>
    <row r="15679" spans="1:13">
      <c r="A15679">
        <v>87034200</v>
      </c>
      <c r="B15679">
        <v>2005844</v>
      </c>
      <c r="C15679" t="s">
        <v>8234</v>
      </c>
      <c r="D15679" t="s">
        <v>442</v>
      </c>
      <c r="F15679">
        <v>0</v>
      </c>
      <c r="H15679" t="s">
        <v>13782</v>
      </c>
      <c r="I15679">
        <v>360</v>
      </c>
      <c r="J15679" t="s">
        <v>450</v>
      </c>
      <c r="K15679" t="s">
        <v>446</v>
      </c>
      <c r="M15679">
        <v>0</v>
      </c>
    </row>
    <row r="15680" spans="1:13">
      <c r="A15680">
        <v>87034300</v>
      </c>
      <c r="B15680">
        <v>2005636</v>
      </c>
      <c r="C15680" t="s">
        <v>8235</v>
      </c>
      <c r="D15680" t="s">
        <v>442</v>
      </c>
      <c r="E15680" t="s">
        <v>441</v>
      </c>
      <c r="F15680">
        <v>0.50600000000000001</v>
      </c>
      <c r="H15680" t="s">
        <v>13782</v>
      </c>
      <c r="I15680">
        <v>730</v>
      </c>
      <c r="J15680" t="s">
        <v>450</v>
      </c>
      <c r="K15680" t="s">
        <v>446</v>
      </c>
      <c r="M15680">
        <v>0</v>
      </c>
    </row>
    <row r="15681" spans="1:13">
      <c r="A15681">
        <v>87034400</v>
      </c>
      <c r="B15681">
        <v>2005964</v>
      </c>
      <c r="C15681" t="s">
        <v>8236</v>
      </c>
      <c r="D15681" t="s">
        <v>442</v>
      </c>
      <c r="F15681">
        <v>0</v>
      </c>
      <c r="H15681" t="s">
        <v>13782</v>
      </c>
      <c r="I15681">
        <v>360</v>
      </c>
      <c r="J15681" t="s">
        <v>450</v>
      </c>
      <c r="M15681">
        <v>0</v>
      </c>
    </row>
    <row r="15682" spans="1:13">
      <c r="A15682">
        <v>87034500</v>
      </c>
      <c r="B15682">
        <v>2005963</v>
      </c>
      <c r="C15682" t="s">
        <v>8237</v>
      </c>
      <c r="D15682" t="s">
        <v>442</v>
      </c>
      <c r="F15682">
        <v>0</v>
      </c>
      <c r="H15682" t="s">
        <v>13782</v>
      </c>
      <c r="I15682">
        <v>360</v>
      </c>
      <c r="J15682" t="s">
        <v>450</v>
      </c>
      <c r="K15682" t="s">
        <v>446</v>
      </c>
      <c r="M15682">
        <v>0</v>
      </c>
    </row>
    <row r="15683" spans="1:13">
      <c r="A15683">
        <v>87034600</v>
      </c>
      <c r="B15683">
        <v>2005443</v>
      </c>
      <c r="C15683" t="s">
        <v>8238</v>
      </c>
      <c r="D15683" t="s">
        <v>442</v>
      </c>
      <c r="F15683">
        <v>0</v>
      </c>
      <c r="H15683" t="s">
        <v>13782</v>
      </c>
      <c r="I15683">
        <v>730</v>
      </c>
      <c r="J15683" t="s">
        <v>450</v>
      </c>
      <c r="K15683" t="s">
        <v>446</v>
      </c>
      <c r="M15683">
        <v>0</v>
      </c>
    </row>
    <row r="15684" spans="1:13">
      <c r="A15684">
        <v>87034700</v>
      </c>
      <c r="B15684">
        <v>2005991</v>
      </c>
      <c r="C15684" t="s">
        <v>8239</v>
      </c>
      <c r="D15684" t="s">
        <v>442</v>
      </c>
      <c r="F15684">
        <v>0</v>
      </c>
      <c r="H15684" t="s">
        <v>13782</v>
      </c>
      <c r="I15684">
        <v>360</v>
      </c>
      <c r="J15684" t="s">
        <v>450</v>
      </c>
      <c r="K15684" t="s">
        <v>446</v>
      </c>
      <c r="M15684">
        <v>0</v>
      </c>
    </row>
    <row r="15685" spans="1:13">
      <c r="A15685">
        <v>87034800</v>
      </c>
      <c r="B15685">
        <v>2005982</v>
      </c>
      <c r="C15685" t="s">
        <v>8240</v>
      </c>
      <c r="D15685" t="s">
        <v>442</v>
      </c>
      <c r="F15685">
        <v>0</v>
      </c>
      <c r="H15685" t="s">
        <v>13782</v>
      </c>
      <c r="I15685">
        <v>360</v>
      </c>
      <c r="J15685" t="s">
        <v>450</v>
      </c>
      <c r="K15685" t="s">
        <v>446</v>
      </c>
      <c r="M15685">
        <v>0</v>
      </c>
    </row>
    <row r="15686" spans="1:13">
      <c r="A15686">
        <v>87034900</v>
      </c>
      <c r="B15686">
        <v>2005981</v>
      </c>
      <c r="C15686" t="s">
        <v>8241</v>
      </c>
      <c r="D15686" t="s">
        <v>442</v>
      </c>
      <c r="F15686">
        <v>0</v>
      </c>
      <c r="H15686" t="s">
        <v>13782</v>
      </c>
      <c r="I15686">
        <v>360</v>
      </c>
      <c r="J15686" t="s">
        <v>450</v>
      </c>
      <c r="K15686" t="s">
        <v>446</v>
      </c>
      <c r="M15686">
        <v>0</v>
      </c>
    </row>
    <row r="15687" spans="1:13">
      <c r="A15687">
        <v>87035000</v>
      </c>
      <c r="B15687">
        <v>2006065</v>
      </c>
      <c r="C15687" t="s">
        <v>8242</v>
      </c>
      <c r="D15687" t="s">
        <v>442</v>
      </c>
      <c r="E15687" t="s">
        <v>441</v>
      </c>
      <c r="F15687">
        <v>0.27700000000000002</v>
      </c>
      <c r="H15687" t="s">
        <v>13782</v>
      </c>
      <c r="I15687">
        <v>730</v>
      </c>
      <c r="J15687" t="s">
        <v>450</v>
      </c>
      <c r="K15687" t="s">
        <v>446</v>
      </c>
      <c r="M15687">
        <v>0</v>
      </c>
    </row>
    <row r="15688" spans="1:13">
      <c r="A15688">
        <v>87035100</v>
      </c>
      <c r="B15688">
        <v>2006064</v>
      </c>
      <c r="C15688" t="s">
        <v>8243</v>
      </c>
      <c r="D15688" t="s">
        <v>442</v>
      </c>
      <c r="E15688" t="s">
        <v>441</v>
      </c>
      <c r="F15688">
        <v>0.3</v>
      </c>
      <c r="H15688" t="s">
        <v>13782</v>
      </c>
      <c r="I15688">
        <v>730</v>
      </c>
      <c r="J15688" t="s">
        <v>450</v>
      </c>
      <c r="M15688">
        <v>0</v>
      </c>
    </row>
    <row r="15689" spans="1:13">
      <c r="A15689">
        <v>87035200</v>
      </c>
      <c r="B15689">
        <v>2006063</v>
      </c>
      <c r="C15689" t="s">
        <v>8244</v>
      </c>
      <c r="D15689" t="s">
        <v>442</v>
      </c>
      <c r="E15689" t="s">
        <v>441</v>
      </c>
      <c r="F15689">
        <v>0.35</v>
      </c>
      <c r="H15689" t="s">
        <v>13782</v>
      </c>
      <c r="I15689">
        <v>730</v>
      </c>
      <c r="J15689" t="s">
        <v>450</v>
      </c>
      <c r="M15689">
        <v>0</v>
      </c>
    </row>
    <row r="15690" spans="1:13">
      <c r="A15690">
        <v>87035300</v>
      </c>
      <c r="B15690">
        <v>2006062</v>
      </c>
      <c r="C15690" t="s">
        <v>8245</v>
      </c>
      <c r="D15690" t="s">
        <v>442</v>
      </c>
      <c r="E15690" t="s">
        <v>441</v>
      </c>
      <c r="F15690">
        <v>0.27100000000000002</v>
      </c>
      <c r="H15690" t="s">
        <v>13782</v>
      </c>
      <c r="I15690">
        <v>730</v>
      </c>
      <c r="J15690" t="s">
        <v>450</v>
      </c>
      <c r="M15690">
        <v>0</v>
      </c>
    </row>
    <row r="15691" spans="1:13">
      <c r="A15691">
        <v>87035400</v>
      </c>
      <c r="B15691">
        <v>2006080</v>
      </c>
      <c r="C15691" t="s">
        <v>8246</v>
      </c>
      <c r="D15691" t="s">
        <v>442</v>
      </c>
      <c r="E15691" t="s">
        <v>441</v>
      </c>
      <c r="F15691">
        <v>0.27700000000000002</v>
      </c>
      <c r="H15691" t="s">
        <v>13782</v>
      </c>
      <c r="I15691">
        <v>730</v>
      </c>
      <c r="J15691" t="s">
        <v>450</v>
      </c>
      <c r="M15691">
        <v>0</v>
      </c>
    </row>
    <row r="15692" spans="1:13">
      <c r="A15692">
        <v>87035500</v>
      </c>
      <c r="B15692">
        <v>2006111</v>
      </c>
      <c r="C15692" t="s">
        <v>8247</v>
      </c>
      <c r="D15692" t="s">
        <v>442</v>
      </c>
      <c r="F15692">
        <v>0</v>
      </c>
      <c r="H15692" t="s">
        <v>13782</v>
      </c>
      <c r="I15692">
        <v>360</v>
      </c>
      <c r="J15692" t="s">
        <v>450</v>
      </c>
      <c r="K15692" t="s">
        <v>446</v>
      </c>
      <c r="M15692">
        <v>0</v>
      </c>
    </row>
    <row r="15693" spans="1:13">
      <c r="A15693">
        <v>87035600</v>
      </c>
      <c r="B15693">
        <v>2006112</v>
      </c>
      <c r="C15693" t="s">
        <v>8248</v>
      </c>
      <c r="D15693" t="s">
        <v>442</v>
      </c>
      <c r="F15693">
        <v>0</v>
      </c>
      <c r="H15693" t="s">
        <v>13782</v>
      </c>
      <c r="I15693">
        <v>360</v>
      </c>
      <c r="J15693" t="s">
        <v>450</v>
      </c>
      <c r="K15693" t="s">
        <v>446</v>
      </c>
      <c r="M15693">
        <v>0</v>
      </c>
    </row>
    <row r="15694" spans="1:13">
      <c r="A15694">
        <v>87035700</v>
      </c>
      <c r="B15694">
        <v>2006113</v>
      </c>
      <c r="C15694" t="s">
        <v>8249</v>
      </c>
      <c r="D15694" t="s">
        <v>442</v>
      </c>
      <c r="F15694">
        <v>0</v>
      </c>
      <c r="H15694" t="s">
        <v>13782</v>
      </c>
      <c r="I15694">
        <v>730</v>
      </c>
      <c r="J15694" t="s">
        <v>450</v>
      </c>
      <c r="K15694" t="s">
        <v>446</v>
      </c>
      <c r="M15694">
        <v>0</v>
      </c>
    </row>
    <row r="15695" spans="1:13">
      <c r="A15695">
        <v>87035800</v>
      </c>
      <c r="B15695">
        <v>2006110</v>
      </c>
      <c r="C15695" t="s">
        <v>8250</v>
      </c>
      <c r="D15695" t="s">
        <v>442</v>
      </c>
      <c r="E15695" t="s">
        <v>441</v>
      </c>
      <c r="F15695">
        <v>0.01</v>
      </c>
      <c r="H15695" t="s">
        <v>13782</v>
      </c>
      <c r="I15695">
        <v>180</v>
      </c>
      <c r="J15695" t="s">
        <v>450</v>
      </c>
      <c r="K15695" t="s">
        <v>446</v>
      </c>
      <c r="M15695">
        <v>0</v>
      </c>
    </row>
    <row r="15696" spans="1:13">
      <c r="A15696">
        <v>87035900</v>
      </c>
      <c r="B15696">
        <v>2004635</v>
      </c>
      <c r="C15696" t="s">
        <v>8251</v>
      </c>
      <c r="D15696" t="s">
        <v>442</v>
      </c>
      <c r="E15696" t="s">
        <v>441</v>
      </c>
      <c r="F15696">
        <v>0.25900000000000001</v>
      </c>
      <c r="H15696" t="s">
        <v>8935</v>
      </c>
      <c r="I15696">
        <v>730</v>
      </c>
      <c r="J15696" t="s">
        <v>450</v>
      </c>
      <c r="K15696" t="s">
        <v>446</v>
      </c>
      <c r="M15696">
        <v>0</v>
      </c>
    </row>
    <row r="15697" spans="1:13">
      <c r="A15697">
        <v>87036000</v>
      </c>
      <c r="B15697">
        <v>2006171</v>
      </c>
      <c r="C15697" t="s">
        <v>8252</v>
      </c>
      <c r="D15697" t="s">
        <v>442</v>
      </c>
      <c r="F15697">
        <v>0</v>
      </c>
      <c r="H15697" t="s">
        <v>13782</v>
      </c>
      <c r="I15697">
        <v>360</v>
      </c>
      <c r="J15697" t="s">
        <v>450</v>
      </c>
      <c r="K15697" t="s">
        <v>446</v>
      </c>
      <c r="M15697">
        <v>0</v>
      </c>
    </row>
    <row r="15698" spans="1:13">
      <c r="A15698">
        <v>87036100</v>
      </c>
      <c r="B15698">
        <v>2000388</v>
      </c>
      <c r="C15698" t="s">
        <v>8253</v>
      </c>
      <c r="D15698" t="s">
        <v>442</v>
      </c>
      <c r="E15698" t="s">
        <v>441</v>
      </c>
      <c r="F15698">
        <v>0.48099999999999998</v>
      </c>
      <c r="H15698" t="s">
        <v>13782</v>
      </c>
      <c r="I15698">
        <v>365</v>
      </c>
      <c r="J15698" t="s">
        <v>450</v>
      </c>
      <c r="K15698" t="s">
        <v>446</v>
      </c>
      <c r="M15698">
        <v>0</v>
      </c>
    </row>
    <row r="15699" spans="1:13">
      <c r="A15699">
        <v>87036200</v>
      </c>
      <c r="B15699">
        <v>2000369</v>
      </c>
      <c r="C15699" t="s">
        <v>8254</v>
      </c>
      <c r="D15699" t="s">
        <v>442</v>
      </c>
      <c r="E15699" t="s">
        <v>441</v>
      </c>
      <c r="F15699">
        <v>0.24299999999999999</v>
      </c>
      <c r="H15699" t="s">
        <v>13782</v>
      </c>
      <c r="I15699">
        <v>365</v>
      </c>
      <c r="J15699" t="s">
        <v>450</v>
      </c>
      <c r="K15699" t="s">
        <v>446</v>
      </c>
      <c r="M15699">
        <v>0</v>
      </c>
    </row>
    <row r="15700" spans="1:13">
      <c r="A15700">
        <v>87036400</v>
      </c>
      <c r="B15700">
        <v>2006299</v>
      </c>
      <c r="C15700" t="s">
        <v>8255</v>
      </c>
      <c r="D15700" t="s">
        <v>442</v>
      </c>
      <c r="F15700">
        <v>0</v>
      </c>
      <c r="H15700" t="s">
        <v>13782</v>
      </c>
      <c r="I15700">
        <v>730</v>
      </c>
      <c r="J15700" t="s">
        <v>450</v>
      </c>
      <c r="K15700" t="s">
        <v>446</v>
      </c>
      <c r="M15700">
        <v>0</v>
      </c>
    </row>
    <row r="15701" spans="1:13">
      <c r="A15701">
        <v>87036500</v>
      </c>
      <c r="B15701">
        <v>2006297</v>
      </c>
      <c r="C15701" t="s">
        <v>14115</v>
      </c>
      <c r="D15701" t="s">
        <v>442</v>
      </c>
      <c r="F15701">
        <v>0</v>
      </c>
      <c r="I15701">
        <v>730</v>
      </c>
      <c r="J15701" t="s">
        <v>450</v>
      </c>
      <c r="K15701" t="s">
        <v>446</v>
      </c>
      <c r="M15701">
        <v>0</v>
      </c>
    </row>
    <row r="15702" spans="1:13">
      <c r="A15702">
        <v>87036600</v>
      </c>
      <c r="B15702">
        <v>2006325</v>
      </c>
      <c r="C15702" t="s">
        <v>8256</v>
      </c>
      <c r="D15702" t="s">
        <v>442</v>
      </c>
      <c r="F15702">
        <v>0</v>
      </c>
      <c r="H15702" t="s">
        <v>13782</v>
      </c>
      <c r="I15702">
        <v>725</v>
      </c>
      <c r="J15702" t="s">
        <v>450</v>
      </c>
      <c r="K15702" t="s">
        <v>446</v>
      </c>
      <c r="M15702">
        <v>0</v>
      </c>
    </row>
    <row r="15703" spans="1:13">
      <c r="A15703">
        <v>87036700</v>
      </c>
      <c r="B15703">
        <v>2000385</v>
      </c>
      <c r="C15703" t="s">
        <v>8257</v>
      </c>
      <c r="D15703" t="s">
        <v>442</v>
      </c>
      <c r="E15703" t="s">
        <v>441</v>
      </c>
      <c r="F15703">
        <v>0.40200000000000002</v>
      </c>
      <c r="H15703" t="s">
        <v>13782</v>
      </c>
      <c r="I15703">
        <v>365</v>
      </c>
      <c r="J15703" t="s">
        <v>450</v>
      </c>
      <c r="M15703">
        <v>0</v>
      </c>
    </row>
    <row r="15704" spans="1:13">
      <c r="A15704">
        <v>87036800</v>
      </c>
      <c r="B15704">
        <v>2006324</v>
      </c>
      <c r="C15704" t="s">
        <v>8258</v>
      </c>
      <c r="D15704" t="s">
        <v>442</v>
      </c>
      <c r="F15704">
        <v>0</v>
      </c>
      <c r="H15704" t="s">
        <v>13782</v>
      </c>
      <c r="I15704">
        <v>725</v>
      </c>
      <c r="J15704" t="s">
        <v>450</v>
      </c>
      <c r="K15704" t="s">
        <v>446</v>
      </c>
      <c r="M15704">
        <v>0</v>
      </c>
    </row>
    <row r="15705" spans="1:13">
      <c r="A15705">
        <v>87036900</v>
      </c>
      <c r="B15705">
        <v>2006313</v>
      </c>
      <c r="C15705" t="s">
        <v>8259</v>
      </c>
      <c r="D15705" t="s">
        <v>442</v>
      </c>
      <c r="F15705">
        <v>0</v>
      </c>
      <c r="H15705" t="s">
        <v>13782</v>
      </c>
      <c r="I15705">
        <v>360</v>
      </c>
      <c r="J15705" t="s">
        <v>450</v>
      </c>
      <c r="K15705" t="s">
        <v>446</v>
      </c>
      <c r="M15705">
        <v>0</v>
      </c>
    </row>
    <row r="15706" spans="1:13">
      <c r="A15706">
        <v>87037000</v>
      </c>
      <c r="B15706">
        <v>2006336</v>
      </c>
      <c r="C15706" t="s">
        <v>8260</v>
      </c>
      <c r="D15706" t="s">
        <v>442</v>
      </c>
      <c r="F15706">
        <v>0</v>
      </c>
      <c r="H15706" t="s">
        <v>13782</v>
      </c>
      <c r="I15706">
        <v>725</v>
      </c>
      <c r="J15706" t="s">
        <v>450</v>
      </c>
      <c r="K15706" t="s">
        <v>446</v>
      </c>
      <c r="M15706">
        <v>0</v>
      </c>
    </row>
    <row r="15707" spans="1:13">
      <c r="A15707">
        <v>87037100</v>
      </c>
      <c r="B15707">
        <v>2006335</v>
      </c>
      <c r="C15707" t="s">
        <v>8261</v>
      </c>
      <c r="D15707" t="s">
        <v>442</v>
      </c>
      <c r="E15707" t="s">
        <v>441</v>
      </c>
      <c r="F15707">
        <v>0.3</v>
      </c>
      <c r="H15707" t="s">
        <v>13782</v>
      </c>
      <c r="I15707">
        <v>725</v>
      </c>
      <c r="J15707" t="s">
        <v>450</v>
      </c>
      <c r="K15707" t="s">
        <v>446</v>
      </c>
      <c r="M15707">
        <v>0</v>
      </c>
    </row>
    <row r="15708" spans="1:13">
      <c r="A15708">
        <v>87037200</v>
      </c>
      <c r="B15708">
        <v>2006398</v>
      </c>
      <c r="C15708" t="s">
        <v>8262</v>
      </c>
      <c r="D15708" t="s">
        <v>442</v>
      </c>
      <c r="E15708" t="s">
        <v>441</v>
      </c>
      <c r="F15708">
        <v>0.54</v>
      </c>
      <c r="H15708" t="s">
        <v>13782</v>
      </c>
      <c r="I15708">
        <v>730</v>
      </c>
      <c r="J15708" t="s">
        <v>450</v>
      </c>
      <c r="K15708" t="s">
        <v>446</v>
      </c>
      <c r="M15708">
        <v>0</v>
      </c>
    </row>
    <row r="15709" spans="1:13">
      <c r="A15709">
        <v>87037300</v>
      </c>
      <c r="B15709">
        <v>2006399</v>
      </c>
      <c r="C15709" t="s">
        <v>8263</v>
      </c>
      <c r="D15709" t="s">
        <v>442</v>
      </c>
      <c r="F15709">
        <v>0</v>
      </c>
      <c r="H15709" t="s">
        <v>13782</v>
      </c>
      <c r="I15709">
        <v>360</v>
      </c>
      <c r="J15709" t="s">
        <v>450</v>
      </c>
      <c r="K15709" t="s">
        <v>446</v>
      </c>
      <c r="M15709">
        <v>0</v>
      </c>
    </row>
    <row r="15710" spans="1:13">
      <c r="A15710">
        <v>87037400</v>
      </c>
      <c r="B15710">
        <v>2006472</v>
      </c>
      <c r="C15710" t="s">
        <v>8264</v>
      </c>
      <c r="D15710" t="s">
        <v>442</v>
      </c>
      <c r="F15710">
        <v>0</v>
      </c>
      <c r="H15710" t="s">
        <v>13782</v>
      </c>
      <c r="I15710">
        <v>730</v>
      </c>
      <c r="J15710" t="s">
        <v>450</v>
      </c>
      <c r="K15710" t="s">
        <v>446</v>
      </c>
      <c r="M15710">
        <v>0</v>
      </c>
    </row>
    <row r="15711" spans="1:13">
      <c r="A15711">
        <v>87037500</v>
      </c>
      <c r="B15711">
        <v>2006486</v>
      </c>
      <c r="C15711" t="s">
        <v>8265</v>
      </c>
      <c r="D15711" t="s">
        <v>442</v>
      </c>
      <c r="F15711">
        <v>0</v>
      </c>
      <c r="H15711" t="s">
        <v>13782</v>
      </c>
      <c r="I15711">
        <v>730</v>
      </c>
      <c r="J15711" t="s">
        <v>450</v>
      </c>
      <c r="K15711" t="s">
        <v>446</v>
      </c>
      <c r="M15711">
        <v>0</v>
      </c>
    </row>
    <row r="15712" spans="1:13">
      <c r="A15712">
        <v>87037600</v>
      </c>
      <c r="B15712">
        <v>2006485</v>
      </c>
      <c r="C15712" t="s">
        <v>8266</v>
      </c>
      <c r="D15712" t="s">
        <v>442</v>
      </c>
      <c r="F15712">
        <v>0</v>
      </c>
      <c r="H15712" t="s">
        <v>13782</v>
      </c>
      <c r="I15712">
        <v>730</v>
      </c>
      <c r="J15712" t="s">
        <v>450</v>
      </c>
      <c r="K15712" t="s">
        <v>446</v>
      </c>
      <c r="M15712">
        <v>0</v>
      </c>
    </row>
    <row r="15713" spans="1:13">
      <c r="A15713">
        <v>87037700</v>
      </c>
      <c r="B15713">
        <v>2006484</v>
      </c>
      <c r="C15713" t="s">
        <v>8267</v>
      </c>
      <c r="D15713" t="s">
        <v>442</v>
      </c>
      <c r="F15713">
        <v>0</v>
      </c>
      <c r="H15713" t="s">
        <v>13782</v>
      </c>
      <c r="I15713">
        <v>730</v>
      </c>
      <c r="J15713" t="s">
        <v>450</v>
      </c>
      <c r="K15713" t="s">
        <v>446</v>
      </c>
      <c r="M15713">
        <v>0</v>
      </c>
    </row>
    <row r="15714" spans="1:13">
      <c r="A15714">
        <v>87037800</v>
      </c>
      <c r="B15714">
        <v>2006483</v>
      </c>
      <c r="C15714" t="s">
        <v>8268</v>
      </c>
      <c r="D15714" t="s">
        <v>442</v>
      </c>
      <c r="F15714">
        <v>0</v>
      </c>
      <c r="H15714" t="s">
        <v>13782</v>
      </c>
      <c r="I15714">
        <v>730</v>
      </c>
      <c r="J15714" t="s">
        <v>450</v>
      </c>
      <c r="K15714" t="s">
        <v>446</v>
      </c>
      <c r="M15714">
        <v>0</v>
      </c>
    </row>
    <row r="15715" spans="1:13">
      <c r="A15715">
        <v>87037900</v>
      </c>
      <c r="B15715">
        <v>2006460</v>
      </c>
      <c r="C15715" t="s">
        <v>8269</v>
      </c>
      <c r="D15715" t="s">
        <v>442</v>
      </c>
      <c r="F15715">
        <v>0</v>
      </c>
      <c r="H15715" t="s">
        <v>13782</v>
      </c>
      <c r="I15715">
        <v>360</v>
      </c>
      <c r="J15715" t="s">
        <v>450</v>
      </c>
      <c r="K15715" t="s">
        <v>446</v>
      </c>
      <c r="M15715">
        <v>0</v>
      </c>
    </row>
    <row r="15716" spans="1:13">
      <c r="A15716">
        <v>87038000</v>
      </c>
      <c r="B15716">
        <v>2004021</v>
      </c>
      <c r="C15716" t="s">
        <v>8270</v>
      </c>
      <c r="D15716" t="s">
        <v>442</v>
      </c>
      <c r="E15716" t="s">
        <v>441</v>
      </c>
      <c r="F15716">
        <v>5.7000000000000002E-2</v>
      </c>
      <c r="H15716" t="s">
        <v>13782</v>
      </c>
      <c r="I15716">
        <v>365</v>
      </c>
      <c r="J15716" t="s">
        <v>450</v>
      </c>
      <c r="K15716" t="s">
        <v>446</v>
      </c>
      <c r="M15716">
        <v>0</v>
      </c>
    </row>
    <row r="15717" spans="1:13">
      <c r="A15717">
        <v>87038100</v>
      </c>
      <c r="B15717">
        <v>2004020</v>
      </c>
      <c r="C15717" t="s">
        <v>8271</v>
      </c>
      <c r="D15717" t="s">
        <v>442</v>
      </c>
      <c r="E15717" t="s">
        <v>441</v>
      </c>
      <c r="F15717">
        <v>6.8000000000000005E-2</v>
      </c>
      <c r="G15717">
        <v>0.56999999999999995</v>
      </c>
      <c r="H15717" t="s">
        <v>13782</v>
      </c>
      <c r="I15717">
        <v>365</v>
      </c>
      <c r="J15717" t="s">
        <v>450</v>
      </c>
      <c r="K15717" t="s">
        <v>446</v>
      </c>
      <c r="M15717">
        <v>0</v>
      </c>
    </row>
    <row r="15718" spans="1:13">
      <c r="A15718">
        <v>87038200</v>
      </c>
      <c r="B15718">
        <v>2006595</v>
      </c>
      <c r="C15718" t="s">
        <v>8272</v>
      </c>
      <c r="D15718" t="s">
        <v>442</v>
      </c>
      <c r="F15718">
        <v>0</v>
      </c>
      <c r="H15718" t="s">
        <v>13782</v>
      </c>
      <c r="I15718">
        <v>360</v>
      </c>
      <c r="J15718" t="s">
        <v>450</v>
      </c>
      <c r="K15718" t="s">
        <v>446</v>
      </c>
      <c r="M15718">
        <v>0</v>
      </c>
    </row>
    <row r="15719" spans="1:13">
      <c r="A15719">
        <v>87038300</v>
      </c>
      <c r="B15719">
        <v>2006594</v>
      </c>
      <c r="C15719" t="s">
        <v>8273</v>
      </c>
      <c r="D15719" t="s">
        <v>442</v>
      </c>
      <c r="F15719">
        <v>0</v>
      </c>
      <c r="H15719" t="s">
        <v>13782</v>
      </c>
      <c r="I15719">
        <v>360</v>
      </c>
      <c r="J15719" t="s">
        <v>450</v>
      </c>
      <c r="K15719" t="s">
        <v>446</v>
      </c>
      <c r="M15719">
        <v>0</v>
      </c>
    </row>
    <row r="15720" spans="1:13">
      <c r="A15720">
        <v>87038400</v>
      </c>
      <c r="B15720">
        <v>2006654</v>
      </c>
      <c r="C15720" t="s">
        <v>8274</v>
      </c>
      <c r="D15720" t="s">
        <v>442</v>
      </c>
      <c r="F15720">
        <v>0</v>
      </c>
      <c r="H15720" t="s">
        <v>13782</v>
      </c>
      <c r="I15720">
        <v>360</v>
      </c>
      <c r="J15720" t="s">
        <v>450</v>
      </c>
      <c r="K15720" t="s">
        <v>446</v>
      </c>
      <c r="M15720">
        <v>0</v>
      </c>
    </row>
    <row r="15721" spans="1:13">
      <c r="A15721">
        <v>87038500</v>
      </c>
      <c r="B15721">
        <v>2006653</v>
      </c>
      <c r="C15721" t="s">
        <v>8275</v>
      </c>
      <c r="D15721" t="s">
        <v>442</v>
      </c>
      <c r="F15721">
        <v>0</v>
      </c>
      <c r="H15721" t="s">
        <v>13782</v>
      </c>
      <c r="I15721">
        <v>360</v>
      </c>
      <c r="J15721" t="s">
        <v>450</v>
      </c>
      <c r="K15721" t="s">
        <v>446</v>
      </c>
      <c r="M15721">
        <v>0</v>
      </c>
    </row>
    <row r="15722" spans="1:13">
      <c r="A15722">
        <v>87038600</v>
      </c>
      <c r="B15722">
        <v>2006652</v>
      </c>
      <c r="C15722" t="s">
        <v>8276</v>
      </c>
      <c r="D15722" t="s">
        <v>442</v>
      </c>
      <c r="F15722">
        <v>0</v>
      </c>
      <c r="H15722" t="s">
        <v>13782</v>
      </c>
      <c r="I15722">
        <v>360</v>
      </c>
      <c r="J15722" t="s">
        <v>450</v>
      </c>
      <c r="K15722" t="s">
        <v>446</v>
      </c>
      <c r="M15722">
        <v>0</v>
      </c>
    </row>
    <row r="15723" spans="1:13">
      <c r="A15723">
        <v>87038700</v>
      </c>
      <c r="B15723">
        <v>2006736</v>
      </c>
      <c r="C15723" t="s">
        <v>8271</v>
      </c>
      <c r="D15723" t="s">
        <v>442</v>
      </c>
      <c r="E15723" t="s">
        <v>441</v>
      </c>
      <c r="F15723">
        <v>6.9000000000000006E-2</v>
      </c>
      <c r="H15723" t="s">
        <v>13782</v>
      </c>
      <c r="I15723">
        <v>365</v>
      </c>
      <c r="J15723" t="s">
        <v>450</v>
      </c>
      <c r="K15723" t="s">
        <v>446</v>
      </c>
      <c r="M15723">
        <v>0</v>
      </c>
    </row>
    <row r="15724" spans="1:13">
      <c r="A15724">
        <v>87038800</v>
      </c>
      <c r="B15724">
        <v>2005691</v>
      </c>
      <c r="C15724" t="s">
        <v>8277</v>
      </c>
      <c r="D15724" t="s">
        <v>442</v>
      </c>
      <c r="F15724">
        <v>0</v>
      </c>
      <c r="H15724" t="s">
        <v>13782</v>
      </c>
      <c r="I15724">
        <v>730</v>
      </c>
      <c r="J15724" t="s">
        <v>450</v>
      </c>
      <c r="K15724" t="s">
        <v>446</v>
      </c>
      <c r="M15724">
        <v>0</v>
      </c>
    </row>
    <row r="15725" spans="1:13">
      <c r="A15725">
        <v>87038900</v>
      </c>
      <c r="B15725">
        <v>2005692</v>
      </c>
      <c r="C15725" t="s">
        <v>8278</v>
      </c>
      <c r="D15725" t="s">
        <v>442</v>
      </c>
      <c r="F15725">
        <v>0</v>
      </c>
      <c r="I15725">
        <v>730</v>
      </c>
      <c r="J15725" t="s">
        <v>450</v>
      </c>
      <c r="K15725" t="s">
        <v>446</v>
      </c>
      <c r="M15725">
        <v>0</v>
      </c>
    </row>
    <row r="15726" spans="1:13">
      <c r="A15726">
        <v>87039000</v>
      </c>
      <c r="B15726">
        <v>2006865</v>
      </c>
      <c r="C15726" t="s">
        <v>8279</v>
      </c>
      <c r="D15726" t="s">
        <v>442</v>
      </c>
      <c r="F15726">
        <v>0</v>
      </c>
      <c r="H15726" t="s">
        <v>13782</v>
      </c>
      <c r="I15726">
        <v>180</v>
      </c>
      <c r="J15726" t="s">
        <v>450</v>
      </c>
      <c r="K15726" t="s">
        <v>446</v>
      </c>
      <c r="M15726">
        <v>0</v>
      </c>
    </row>
    <row r="15727" spans="1:13">
      <c r="A15727">
        <v>87039100</v>
      </c>
      <c r="B15727">
        <v>2006864</v>
      </c>
      <c r="C15727" t="s">
        <v>8280</v>
      </c>
      <c r="D15727" t="s">
        <v>442</v>
      </c>
      <c r="F15727">
        <v>0</v>
      </c>
      <c r="H15727" t="s">
        <v>13782</v>
      </c>
      <c r="I15727">
        <v>180</v>
      </c>
      <c r="J15727" t="s">
        <v>450</v>
      </c>
      <c r="K15727" t="s">
        <v>446</v>
      </c>
      <c r="M15727">
        <v>0</v>
      </c>
    </row>
    <row r="15728" spans="1:13">
      <c r="A15728">
        <v>87039200</v>
      </c>
      <c r="B15728">
        <v>2006866</v>
      </c>
      <c r="C15728" t="s">
        <v>8281</v>
      </c>
      <c r="D15728" t="s">
        <v>442</v>
      </c>
      <c r="F15728">
        <v>0</v>
      </c>
      <c r="H15728" t="s">
        <v>13782</v>
      </c>
      <c r="I15728">
        <v>180</v>
      </c>
      <c r="J15728" t="s">
        <v>450</v>
      </c>
      <c r="K15728" t="s">
        <v>446</v>
      </c>
      <c r="M15728">
        <v>0</v>
      </c>
    </row>
    <row r="15729" spans="1:13">
      <c r="A15729">
        <v>87039300</v>
      </c>
      <c r="B15729">
        <v>2003398</v>
      </c>
      <c r="C15729" t="s">
        <v>8282</v>
      </c>
      <c r="D15729" t="s">
        <v>442</v>
      </c>
      <c r="E15729" t="s">
        <v>441</v>
      </c>
      <c r="F15729">
        <v>0.05</v>
      </c>
      <c r="H15729" t="s">
        <v>13782</v>
      </c>
      <c r="I15729">
        <v>730</v>
      </c>
      <c r="J15729" t="s">
        <v>450</v>
      </c>
      <c r="K15729" t="s">
        <v>446</v>
      </c>
      <c r="M15729">
        <v>0</v>
      </c>
    </row>
    <row r="15730" spans="1:13">
      <c r="A15730">
        <v>87039400</v>
      </c>
      <c r="B15730">
        <v>2006187</v>
      </c>
      <c r="C15730" t="s">
        <v>8283</v>
      </c>
      <c r="D15730" t="s">
        <v>442</v>
      </c>
      <c r="F15730">
        <v>0</v>
      </c>
      <c r="H15730" t="s">
        <v>13782</v>
      </c>
      <c r="I15730">
        <v>365</v>
      </c>
      <c r="J15730" t="s">
        <v>450</v>
      </c>
      <c r="K15730" t="s">
        <v>446</v>
      </c>
      <c r="M15730">
        <v>0</v>
      </c>
    </row>
    <row r="15731" spans="1:13">
      <c r="A15731">
        <v>87039500</v>
      </c>
      <c r="B15731">
        <v>2006220</v>
      </c>
      <c r="C15731" t="s">
        <v>14116</v>
      </c>
      <c r="D15731" t="s">
        <v>442</v>
      </c>
      <c r="F15731">
        <v>0</v>
      </c>
      <c r="H15731" t="s">
        <v>8574</v>
      </c>
      <c r="I15731">
        <v>365</v>
      </c>
      <c r="J15731" t="s">
        <v>450</v>
      </c>
      <c r="K15731" t="s">
        <v>446</v>
      </c>
      <c r="M15731">
        <v>0</v>
      </c>
    </row>
    <row r="15732" spans="1:13">
      <c r="A15732">
        <v>87039600</v>
      </c>
      <c r="B15732">
        <v>2006932</v>
      </c>
      <c r="C15732" t="s">
        <v>8284</v>
      </c>
      <c r="D15732" t="s">
        <v>442</v>
      </c>
      <c r="F15732">
        <v>0</v>
      </c>
      <c r="H15732" t="s">
        <v>13782</v>
      </c>
      <c r="I15732">
        <v>360</v>
      </c>
      <c r="J15732" t="s">
        <v>450</v>
      </c>
      <c r="K15732" t="s">
        <v>446</v>
      </c>
      <c r="M15732">
        <v>0</v>
      </c>
    </row>
    <row r="15733" spans="1:13">
      <c r="A15733">
        <v>87039700</v>
      </c>
      <c r="B15733">
        <v>2006937</v>
      </c>
      <c r="C15733" t="s">
        <v>8285</v>
      </c>
      <c r="D15733" t="s">
        <v>442</v>
      </c>
      <c r="F15733">
        <v>0</v>
      </c>
      <c r="H15733" t="s">
        <v>13782</v>
      </c>
      <c r="I15733">
        <v>180</v>
      </c>
      <c r="J15733" t="s">
        <v>450</v>
      </c>
      <c r="K15733" t="s">
        <v>446</v>
      </c>
      <c r="M15733">
        <v>0</v>
      </c>
    </row>
    <row r="15734" spans="1:13">
      <c r="A15734">
        <v>87039800</v>
      </c>
      <c r="B15734">
        <v>2006954</v>
      </c>
      <c r="C15734" t="s">
        <v>8286</v>
      </c>
      <c r="D15734" t="s">
        <v>442</v>
      </c>
      <c r="F15734">
        <v>0</v>
      </c>
      <c r="H15734" t="s">
        <v>13782</v>
      </c>
      <c r="I15734">
        <v>180</v>
      </c>
      <c r="J15734" t="s">
        <v>450</v>
      </c>
      <c r="K15734" t="s">
        <v>446</v>
      </c>
      <c r="M15734">
        <v>0</v>
      </c>
    </row>
    <row r="15735" spans="1:13">
      <c r="A15735">
        <v>87039900</v>
      </c>
      <c r="B15735">
        <v>2006955</v>
      </c>
      <c r="C15735" t="s">
        <v>8287</v>
      </c>
      <c r="D15735" t="s">
        <v>442</v>
      </c>
      <c r="F15735">
        <v>0</v>
      </c>
      <c r="H15735" t="s">
        <v>13782</v>
      </c>
      <c r="I15735">
        <v>180</v>
      </c>
      <c r="J15735" t="s">
        <v>450</v>
      </c>
      <c r="K15735" t="s">
        <v>446</v>
      </c>
      <c r="M15735">
        <v>0</v>
      </c>
    </row>
    <row r="15736" spans="1:13">
      <c r="A15736">
        <v>87040000</v>
      </c>
      <c r="B15736">
        <v>2006956</v>
      </c>
      <c r="C15736" t="s">
        <v>8288</v>
      </c>
      <c r="D15736" t="s">
        <v>442</v>
      </c>
      <c r="F15736">
        <v>0</v>
      </c>
      <c r="H15736" t="s">
        <v>13782</v>
      </c>
      <c r="I15736">
        <v>180</v>
      </c>
      <c r="J15736" t="s">
        <v>450</v>
      </c>
      <c r="K15736" t="s">
        <v>446</v>
      </c>
      <c r="M15736">
        <v>0</v>
      </c>
    </row>
    <row r="15737" spans="1:13">
      <c r="A15737">
        <v>87040100</v>
      </c>
      <c r="B15737">
        <v>2006341</v>
      </c>
      <c r="C15737" t="s">
        <v>8289</v>
      </c>
      <c r="D15737" t="s">
        <v>442</v>
      </c>
      <c r="E15737" t="s">
        <v>441</v>
      </c>
      <c r="F15737">
        <v>1E-3</v>
      </c>
      <c r="H15737" t="s">
        <v>13782</v>
      </c>
      <c r="I15737">
        <v>365</v>
      </c>
      <c r="J15737" t="s">
        <v>450</v>
      </c>
      <c r="K15737" t="s">
        <v>446</v>
      </c>
      <c r="M15737">
        <v>0</v>
      </c>
    </row>
    <row r="15738" spans="1:13">
      <c r="A15738">
        <v>87040200</v>
      </c>
      <c r="B15738">
        <v>2006945</v>
      </c>
      <c r="C15738" t="s">
        <v>8290</v>
      </c>
      <c r="D15738" t="s">
        <v>442</v>
      </c>
      <c r="F15738">
        <v>0</v>
      </c>
      <c r="H15738" t="s">
        <v>13782</v>
      </c>
      <c r="I15738">
        <v>360</v>
      </c>
      <c r="J15738" t="s">
        <v>450</v>
      </c>
      <c r="K15738" t="s">
        <v>446</v>
      </c>
      <c r="M15738">
        <v>0</v>
      </c>
    </row>
    <row r="15739" spans="1:13">
      <c r="A15739">
        <v>87040300</v>
      </c>
      <c r="B15739">
        <v>2006355</v>
      </c>
      <c r="C15739" t="s">
        <v>14117</v>
      </c>
      <c r="D15739" t="s">
        <v>442</v>
      </c>
      <c r="F15739">
        <v>0</v>
      </c>
      <c r="H15739" t="s">
        <v>8574</v>
      </c>
      <c r="I15739">
        <v>365</v>
      </c>
      <c r="J15739" t="s">
        <v>450</v>
      </c>
      <c r="K15739" t="s">
        <v>446</v>
      </c>
      <c r="M15739">
        <v>0</v>
      </c>
    </row>
    <row r="15740" spans="1:13">
      <c r="A15740">
        <v>87040400</v>
      </c>
      <c r="B15740">
        <v>2006979</v>
      </c>
      <c r="C15740" t="s">
        <v>8291</v>
      </c>
      <c r="D15740" t="s">
        <v>442</v>
      </c>
      <c r="F15740">
        <v>0</v>
      </c>
      <c r="H15740" t="s">
        <v>13782</v>
      </c>
      <c r="I15740">
        <v>180</v>
      </c>
      <c r="J15740" t="s">
        <v>450</v>
      </c>
      <c r="K15740" t="s">
        <v>446</v>
      </c>
      <c r="M15740">
        <v>0</v>
      </c>
    </row>
    <row r="15741" spans="1:13">
      <c r="A15741">
        <v>87040500</v>
      </c>
      <c r="B15741">
        <v>2006978</v>
      </c>
      <c r="C15741" t="s">
        <v>8292</v>
      </c>
      <c r="D15741" t="s">
        <v>442</v>
      </c>
      <c r="F15741">
        <v>0</v>
      </c>
      <c r="H15741" t="s">
        <v>13782</v>
      </c>
      <c r="I15741">
        <v>180</v>
      </c>
      <c r="J15741" t="s">
        <v>450</v>
      </c>
      <c r="K15741" t="s">
        <v>446</v>
      </c>
      <c r="M15741">
        <v>0</v>
      </c>
    </row>
    <row r="15742" spans="1:13">
      <c r="A15742">
        <v>87040600</v>
      </c>
      <c r="B15742">
        <v>2007019</v>
      </c>
      <c r="C15742" t="s">
        <v>8293</v>
      </c>
      <c r="D15742" t="s">
        <v>442</v>
      </c>
      <c r="F15742">
        <v>0</v>
      </c>
      <c r="H15742" t="s">
        <v>13782</v>
      </c>
      <c r="I15742">
        <v>360</v>
      </c>
      <c r="J15742" t="s">
        <v>450</v>
      </c>
      <c r="K15742" t="s">
        <v>446</v>
      </c>
      <c r="M15742">
        <v>0</v>
      </c>
    </row>
    <row r="15743" spans="1:13">
      <c r="A15743">
        <v>87040700</v>
      </c>
      <c r="B15743">
        <v>2007018</v>
      </c>
      <c r="C15743" t="s">
        <v>8294</v>
      </c>
      <c r="D15743" t="s">
        <v>442</v>
      </c>
      <c r="F15743">
        <v>0</v>
      </c>
      <c r="H15743" t="s">
        <v>13782</v>
      </c>
      <c r="I15743">
        <v>360</v>
      </c>
      <c r="J15743" t="s">
        <v>450</v>
      </c>
      <c r="M15743">
        <v>0</v>
      </c>
    </row>
    <row r="15744" spans="1:13">
      <c r="A15744">
        <v>87040800</v>
      </c>
      <c r="B15744">
        <v>2007032</v>
      </c>
      <c r="C15744" t="s">
        <v>8295</v>
      </c>
      <c r="D15744" t="s">
        <v>442</v>
      </c>
      <c r="F15744">
        <v>0</v>
      </c>
      <c r="H15744" t="s">
        <v>13782</v>
      </c>
      <c r="I15744">
        <v>360</v>
      </c>
      <c r="J15744" t="s">
        <v>450</v>
      </c>
      <c r="K15744" t="s">
        <v>446</v>
      </c>
      <c r="M15744">
        <v>0</v>
      </c>
    </row>
    <row r="15745" spans="1:13">
      <c r="A15745">
        <v>87040900</v>
      </c>
      <c r="B15745">
        <v>2007031</v>
      </c>
      <c r="C15745" t="s">
        <v>8296</v>
      </c>
      <c r="D15745" t="s">
        <v>442</v>
      </c>
      <c r="F15745">
        <v>0</v>
      </c>
      <c r="H15745" t="s">
        <v>13782</v>
      </c>
      <c r="I15745">
        <v>360</v>
      </c>
      <c r="J15745" t="s">
        <v>450</v>
      </c>
      <c r="K15745" t="s">
        <v>446</v>
      </c>
      <c r="M15745">
        <v>0</v>
      </c>
    </row>
    <row r="15746" spans="1:13">
      <c r="A15746">
        <v>87041000</v>
      </c>
      <c r="B15746">
        <v>2007030</v>
      </c>
      <c r="C15746" t="s">
        <v>8297</v>
      </c>
      <c r="D15746" t="s">
        <v>442</v>
      </c>
      <c r="F15746">
        <v>0</v>
      </c>
      <c r="H15746" t="s">
        <v>13782</v>
      </c>
      <c r="I15746">
        <v>360</v>
      </c>
      <c r="J15746" t="s">
        <v>450</v>
      </c>
      <c r="K15746" t="s">
        <v>446</v>
      </c>
      <c r="M15746">
        <v>0</v>
      </c>
    </row>
    <row r="15747" spans="1:13">
      <c r="A15747">
        <v>87041100</v>
      </c>
      <c r="B15747">
        <v>2007035</v>
      </c>
      <c r="C15747" t="s">
        <v>8298</v>
      </c>
      <c r="D15747" t="s">
        <v>442</v>
      </c>
      <c r="E15747" t="s">
        <v>441</v>
      </c>
      <c r="F15747">
        <v>0.3</v>
      </c>
      <c r="H15747" t="s">
        <v>13782</v>
      </c>
      <c r="I15747">
        <v>360</v>
      </c>
      <c r="J15747" t="s">
        <v>450</v>
      </c>
      <c r="K15747" t="s">
        <v>446</v>
      </c>
      <c r="M15747">
        <v>0</v>
      </c>
    </row>
    <row r="15748" spans="1:13">
      <c r="A15748">
        <v>87041200</v>
      </c>
      <c r="B15748">
        <v>2007157</v>
      </c>
      <c r="C15748" t="s">
        <v>8299</v>
      </c>
      <c r="D15748" t="s">
        <v>442</v>
      </c>
      <c r="E15748" t="s">
        <v>441</v>
      </c>
      <c r="F15748">
        <v>0.06</v>
      </c>
      <c r="H15748" t="s">
        <v>13782</v>
      </c>
      <c r="I15748">
        <v>360</v>
      </c>
      <c r="J15748" t="s">
        <v>450</v>
      </c>
      <c r="K15748" t="s">
        <v>446</v>
      </c>
      <c r="M15748">
        <v>0</v>
      </c>
    </row>
    <row r="15749" spans="1:13">
      <c r="A15749">
        <v>87041300</v>
      </c>
      <c r="B15749">
        <v>2007078</v>
      </c>
      <c r="C15749" t="s">
        <v>8300</v>
      </c>
      <c r="D15749" t="s">
        <v>442</v>
      </c>
      <c r="E15749" t="s">
        <v>441</v>
      </c>
      <c r="F15749">
        <v>0.2</v>
      </c>
      <c r="H15749" t="s">
        <v>8580</v>
      </c>
      <c r="I15749">
        <v>360</v>
      </c>
      <c r="J15749" t="s">
        <v>450</v>
      </c>
      <c r="M15749">
        <v>0</v>
      </c>
    </row>
    <row r="15750" spans="1:13">
      <c r="A15750">
        <v>87041400</v>
      </c>
      <c r="B15750">
        <v>2007079</v>
      </c>
      <c r="C15750" t="s">
        <v>8301</v>
      </c>
      <c r="D15750" t="s">
        <v>442</v>
      </c>
      <c r="E15750" t="s">
        <v>441</v>
      </c>
      <c r="F15750">
        <v>0.04</v>
      </c>
      <c r="H15750" t="s">
        <v>8580</v>
      </c>
      <c r="I15750">
        <v>360</v>
      </c>
      <c r="J15750" t="s">
        <v>450</v>
      </c>
      <c r="M15750">
        <v>0</v>
      </c>
    </row>
    <row r="15751" spans="1:13">
      <c r="A15751">
        <v>87041500</v>
      </c>
      <c r="B15751">
        <v>2007164</v>
      </c>
      <c r="C15751" t="s">
        <v>8302</v>
      </c>
      <c r="D15751" t="s">
        <v>442</v>
      </c>
      <c r="E15751" t="s">
        <v>441</v>
      </c>
      <c r="F15751">
        <v>0.109</v>
      </c>
      <c r="H15751" t="s">
        <v>8580</v>
      </c>
      <c r="I15751">
        <v>365</v>
      </c>
      <c r="J15751" t="s">
        <v>450</v>
      </c>
      <c r="K15751" t="s">
        <v>446</v>
      </c>
      <c r="M15751">
        <v>0</v>
      </c>
    </row>
    <row r="15752" spans="1:13">
      <c r="A15752">
        <v>87041600</v>
      </c>
      <c r="B15752">
        <v>2007287</v>
      </c>
      <c r="C15752" t="s">
        <v>8303</v>
      </c>
      <c r="D15752" t="s">
        <v>442</v>
      </c>
      <c r="E15752" t="s">
        <v>441</v>
      </c>
      <c r="F15752">
        <v>7.0000000000000007E-2</v>
      </c>
      <c r="H15752" t="s">
        <v>13782</v>
      </c>
      <c r="I15752">
        <v>360</v>
      </c>
      <c r="J15752" t="s">
        <v>450</v>
      </c>
      <c r="K15752" t="s">
        <v>446</v>
      </c>
      <c r="M15752">
        <v>0</v>
      </c>
    </row>
    <row r="15753" spans="1:13">
      <c r="A15753">
        <v>87041700</v>
      </c>
      <c r="B15753">
        <v>2007286</v>
      </c>
      <c r="C15753" t="s">
        <v>8304</v>
      </c>
      <c r="D15753" t="s">
        <v>442</v>
      </c>
      <c r="F15753">
        <v>0</v>
      </c>
      <c r="H15753" t="s">
        <v>13782</v>
      </c>
      <c r="I15753">
        <v>360</v>
      </c>
      <c r="J15753" t="s">
        <v>450</v>
      </c>
      <c r="K15753" t="s">
        <v>446</v>
      </c>
      <c r="M15753">
        <v>0</v>
      </c>
    </row>
    <row r="15754" spans="1:13">
      <c r="A15754">
        <v>87041800</v>
      </c>
      <c r="B15754">
        <v>2007312</v>
      </c>
      <c r="C15754" t="s">
        <v>8305</v>
      </c>
      <c r="D15754" t="s">
        <v>442</v>
      </c>
      <c r="F15754">
        <v>0</v>
      </c>
      <c r="H15754" t="s">
        <v>13782</v>
      </c>
      <c r="I15754">
        <v>360</v>
      </c>
      <c r="J15754" t="s">
        <v>450</v>
      </c>
      <c r="K15754" t="s">
        <v>446</v>
      </c>
      <c r="M15754">
        <v>0</v>
      </c>
    </row>
    <row r="15755" spans="1:13">
      <c r="A15755">
        <v>87041900</v>
      </c>
      <c r="B15755">
        <v>2007311</v>
      </c>
      <c r="C15755" t="s">
        <v>8306</v>
      </c>
      <c r="D15755" t="s">
        <v>442</v>
      </c>
      <c r="F15755">
        <v>0</v>
      </c>
      <c r="H15755" t="s">
        <v>13782</v>
      </c>
      <c r="I15755">
        <v>360</v>
      </c>
      <c r="J15755" t="s">
        <v>450</v>
      </c>
      <c r="K15755" t="s">
        <v>446</v>
      </c>
      <c r="M15755">
        <v>0</v>
      </c>
    </row>
    <row r="15756" spans="1:13">
      <c r="A15756">
        <v>87042000</v>
      </c>
      <c r="B15756">
        <v>2007356</v>
      </c>
      <c r="C15756" t="s">
        <v>8307</v>
      </c>
      <c r="D15756" t="s">
        <v>442</v>
      </c>
      <c r="F15756">
        <v>0</v>
      </c>
      <c r="H15756" t="s">
        <v>13782</v>
      </c>
      <c r="I15756">
        <v>360</v>
      </c>
      <c r="J15756" t="s">
        <v>450</v>
      </c>
      <c r="K15756" t="s">
        <v>446</v>
      </c>
      <c r="M15756">
        <v>0</v>
      </c>
    </row>
    <row r="15757" spans="1:13">
      <c r="A15757">
        <v>87042100</v>
      </c>
      <c r="B15757">
        <v>2007419</v>
      </c>
      <c r="C15757" t="s">
        <v>8308</v>
      </c>
      <c r="D15757" t="s">
        <v>442</v>
      </c>
      <c r="F15757">
        <v>0</v>
      </c>
      <c r="H15757" t="s">
        <v>13782</v>
      </c>
      <c r="I15757">
        <v>360</v>
      </c>
      <c r="J15757" t="s">
        <v>450</v>
      </c>
      <c r="K15757" t="s">
        <v>446</v>
      </c>
      <c r="M15757">
        <v>0</v>
      </c>
    </row>
    <row r="15758" spans="1:13">
      <c r="A15758">
        <v>87042200</v>
      </c>
      <c r="B15758">
        <v>2007418</v>
      </c>
      <c r="C15758" t="s">
        <v>14118</v>
      </c>
      <c r="D15758" t="s">
        <v>442</v>
      </c>
      <c r="F15758">
        <v>0</v>
      </c>
      <c r="H15758" t="s">
        <v>13782</v>
      </c>
      <c r="I15758">
        <v>360</v>
      </c>
      <c r="J15758" t="s">
        <v>450</v>
      </c>
      <c r="K15758" t="s">
        <v>446</v>
      </c>
      <c r="M15758">
        <v>0</v>
      </c>
    </row>
    <row r="15759" spans="1:13">
      <c r="A15759">
        <v>87042300</v>
      </c>
      <c r="B15759">
        <v>2007417</v>
      </c>
      <c r="C15759" t="s">
        <v>14119</v>
      </c>
      <c r="D15759" t="s">
        <v>442</v>
      </c>
      <c r="F15759">
        <v>0</v>
      </c>
      <c r="H15759" t="s">
        <v>13782</v>
      </c>
      <c r="I15759">
        <v>360</v>
      </c>
      <c r="J15759" t="s">
        <v>450</v>
      </c>
      <c r="K15759" t="s">
        <v>446</v>
      </c>
      <c r="M15759">
        <v>0</v>
      </c>
    </row>
    <row r="15760" spans="1:13">
      <c r="A15760">
        <v>87042400</v>
      </c>
      <c r="B15760">
        <v>2007423</v>
      </c>
      <c r="C15760" t="s">
        <v>8309</v>
      </c>
      <c r="D15760" t="s">
        <v>442</v>
      </c>
      <c r="F15760">
        <v>0</v>
      </c>
      <c r="H15760" t="s">
        <v>13782</v>
      </c>
      <c r="I15760">
        <v>360</v>
      </c>
      <c r="J15760" t="s">
        <v>450</v>
      </c>
      <c r="K15760" t="s">
        <v>446</v>
      </c>
      <c r="M15760">
        <v>0</v>
      </c>
    </row>
    <row r="15761" spans="1:13">
      <c r="A15761">
        <v>87042500</v>
      </c>
      <c r="B15761">
        <v>2007434</v>
      </c>
      <c r="C15761" t="s">
        <v>14120</v>
      </c>
      <c r="D15761" t="s">
        <v>442</v>
      </c>
      <c r="F15761">
        <v>0</v>
      </c>
      <c r="H15761" t="s">
        <v>13782</v>
      </c>
      <c r="I15761">
        <v>365</v>
      </c>
      <c r="J15761" t="s">
        <v>450</v>
      </c>
      <c r="K15761" t="s">
        <v>446</v>
      </c>
      <c r="M15761">
        <v>0</v>
      </c>
    </row>
    <row r="15762" spans="1:13">
      <c r="A15762">
        <v>87042600</v>
      </c>
      <c r="B15762">
        <v>2007441</v>
      </c>
      <c r="C15762" t="s">
        <v>14121</v>
      </c>
      <c r="D15762" t="s">
        <v>442</v>
      </c>
      <c r="F15762">
        <v>0</v>
      </c>
      <c r="H15762" t="s">
        <v>14002</v>
      </c>
      <c r="I15762">
        <v>720</v>
      </c>
      <c r="J15762" t="s">
        <v>450</v>
      </c>
      <c r="K15762" t="s">
        <v>446</v>
      </c>
      <c r="M15762">
        <v>0</v>
      </c>
    </row>
    <row r="15763" spans="1:13">
      <c r="A15763">
        <v>87042700</v>
      </c>
      <c r="B15763">
        <v>2007461</v>
      </c>
      <c r="C15763" t="s">
        <v>8310</v>
      </c>
      <c r="D15763" t="s">
        <v>442</v>
      </c>
      <c r="F15763">
        <v>0</v>
      </c>
      <c r="H15763" t="s">
        <v>13782</v>
      </c>
      <c r="I15763">
        <v>365</v>
      </c>
      <c r="J15763" t="s">
        <v>450</v>
      </c>
      <c r="K15763" t="s">
        <v>446</v>
      </c>
      <c r="M15763">
        <v>0</v>
      </c>
    </row>
    <row r="15764" spans="1:13">
      <c r="A15764">
        <v>87042900</v>
      </c>
      <c r="B15764">
        <v>2007623</v>
      </c>
      <c r="C15764" t="s">
        <v>14122</v>
      </c>
      <c r="D15764" t="s">
        <v>442</v>
      </c>
      <c r="F15764">
        <v>0</v>
      </c>
      <c r="H15764" t="s">
        <v>8574</v>
      </c>
      <c r="I15764">
        <v>10</v>
      </c>
      <c r="J15764" t="s">
        <v>450</v>
      </c>
      <c r="K15764" t="s">
        <v>446</v>
      </c>
      <c r="M15764">
        <v>0</v>
      </c>
    </row>
    <row r="15765" spans="1:13">
      <c r="A15765">
        <v>87043000</v>
      </c>
      <c r="B15765">
        <v>2007355</v>
      </c>
      <c r="C15765" t="s">
        <v>8311</v>
      </c>
      <c r="D15765" t="s">
        <v>442</v>
      </c>
      <c r="F15765">
        <v>0</v>
      </c>
      <c r="H15765" t="s">
        <v>13782</v>
      </c>
      <c r="I15765">
        <v>360</v>
      </c>
      <c r="J15765" t="s">
        <v>450</v>
      </c>
      <c r="K15765" t="s">
        <v>446</v>
      </c>
      <c r="M15765">
        <v>0</v>
      </c>
    </row>
    <row r="15766" spans="1:13">
      <c r="A15766">
        <v>87043100</v>
      </c>
      <c r="B15766">
        <v>2007422</v>
      </c>
      <c r="C15766" t="s">
        <v>8312</v>
      </c>
      <c r="D15766" t="s">
        <v>442</v>
      </c>
      <c r="F15766">
        <v>0</v>
      </c>
      <c r="H15766" t="s">
        <v>13782</v>
      </c>
      <c r="I15766">
        <v>360</v>
      </c>
      <c r="J15766" t="s">
        <v>450</v>
      </c>
      <c r="K15766" t="s">
        <v>446</v>
      </c>
      <c r="M15766">
        <v>0</v>
      </c>
    </row>
    <row r="15767" spans="1:13">
      <c r="A15767">
        <v>87043200</v>
      </c>
      <c r="B15767">
        <v>2007421</v>
      </c>
      <c r="C15767" t="s">
        <v>8313</v>
      </c>
      <c r="D15767" t="s">
        <v>442</v>
      </c>
      <c r="F15767">
        <v>0</v>
      </c>
      <c r="H15767" t="s">
        <v>13782</v>
      </c>
      <c r="I15767">
        <v>360</v>
      </c>
      <c r="J15767" t="s">
        <v>450</v>
      </c>
      <c r="K15767" t="s">
        <v>446</v>
      </c>
      <c r="M15767">
        <v>0</v>
      </c>
    </row>
    <row r="15768" spans="1:13">
      <c r="A15768">
        <v>87043300</v>
      </c>
      <c r="B15768">
        <v>2007420</v>
      </c>
      <c r="C15768" t="s">
        <v>8314</v>
      </c>
      <c r="D15768" t="s">
        <v>442</v>
      </c>
      <c r="F15768">
        <v>0</v>
      </c>
      <c r="H15768" t="s">
        <v>13782</v>
      </c>
      <c r="I15768">
        <v>360</v>
      </c>
      <c r="J15768" t="s">
        <v>450</v>
      </c>
      <c r="K15768" t="s">
        <v>446</v>
      </c>
      <c r="M15768">
        <v>0</v>
      </c>
    </row>
    <row r="15769" spans="1:13">
      <c r="A15769">
        <v>87043400</v>
      </c>
      <c r="B15769">
        <v>2007624</v>
      </c>
      <c r="C15769" t="s">
        <v>14123</v>
      </c>
      <c r="D15769" t="s">
        <v>442</v>
      </c>
      <c r="F15769">
        <v>0</v>
      </c>
      <c r="H15769" t="s">
        <v>13782</v>
      </c>
      <c r="I15769">
        <v>10</v>
      </c>
      <c r="J15769" t="s">
        <v>450</v>
      </c>
      <c r="K15769" t="s">
        <v>446</v>
      </c>
      <c r="M15769">
        <v>0</v>
      </c>
    </row>
    <row r="15770" spans="1:13">
      <c r="A15770">
        <v>87043500</v>
      </c>
      <c r="B15770">
        <v>2007636</v>
      </c>
      <c r="C15770" t="s">
        <v>8315</v>
      </c>
      <c r="D15770" t="s">
        <v>442</v>
      </c>
      <c r="F15770">
        <v>0</v>
      </c>
      <c r="H15770" t="s">
        <v>13782</v>
      </c>
      <c r="I15770">
        <v>360</v>
      </c>
      <c r="J15770" t="s">
        <v>450</v>
      </c>
      <c r="K15770" t="s">
        <v>446</v>
      </c>
      <c r="M15770">
        <v>0</v>
      </c>
    </row>
    <row r="15771" spans="1:13">
      <c r="A15771">
        <v>87043600</v>
      </c>
      <c r="B15771">
        <v>2007648</v>
      </c>
      <c r="C15771" t="s">
        <v>8316</v>
      </c>
      <c r="D15771" t="s">
        <v>442</v>
      </c>
      <c r="E15771" t="s">
        <v>441</v>
      </c>
      <c r="F15771">
        <v>0.68</v>
      </c>
      <c r="H15771" t="s">
        <v>13782</v>
      </c>
      <c r="I15771">
        <v>360</v>
      </c>
      <c r="J15771" t="s">
        <v>450</v>
      </c>
      <c r="K15771" t="s">
        <v>446</v>
      </c>
      <c r="M15771">
        <v>0</v>
      </c>
    </row>
    <row r="15772" spans="1:13">
      <c r="A15772">
        <v>87043700</v>
      </c>
      <c r="B15772">
        <v>2007706</v>
      </c>
      <c r="C15772" t="s">
        <v>8317</v>
      </c>
      <c r="D15772" t="s">
        <v>442</v>
      </c>
      <c r="E15772" t="s">
        <v>441</v>
      </c>
      <c r="F15772">
        <v>3</v>
      </c>
      <c r="H15772" t="s">
        <v>13782</v>
      </c>
      <c r="I15772">
        <v>360</v>
      </c>
      <c r="J15772" t="s">
        <v>450</v>
      </c>
      <c r="M15772">
        <v>0</v>
      </c>
    </row>
    <row r="15773" spans="1:13">
      <c r="A15773">
        <v>87043800</v>
      </c>
      <c r="B15773">
        <v>2007723</v>
      </c>
      <c r="C15773" t="s">
        <v>8318</v>
      </c>
      <c r="D15773" t="s">
        <v>442</v>
      </c>
      <c r="F15773">
        <v>0</v>
      </c>
      <c r="I15773">
        <v>360</v>
      </c>
      <c r="J15773" t="s">
        <v>450</v>
      </c>
      <c r="K15773" t="s">
        <v>446</v>
      </c>
      <c r="M15773">
        <v>0</v>
      </c>
    </row>
    <row r="15774" spans="1:13">
      <c r="A15774">
        <v>87043900</v>
      </c>
      <c r="B15774">
        <v>2007714</v>
      </c>
      <c r="C15774" t="s">
        <v>8319</v>
      </c>
      <c r="D15774" t="s">
        <v>442</v>
      </c>
      <c r="F15774">
        <v>0</v>
      </c>
      <c r="H15774" t="s">
        <v>13782</v>
      </c>
      <c r="I15774">
        <v>360</v>
      </c>
      <c r="J15774" t="s">
        <v>450</v>
      </c>
      <c r="K15774" t="s">
        <v>446</v>
      </c>
      <c r="M15774">
        <v>0</v>
      </c>
    </row>
    <row r="15775" spans="1:13">
      <c r="A15775">
        <v>87044000</v>
      </c>
      <c r="B15775">
        <v>2007713</v>
      </c>
      <c r="C15775" t="s">
        <v>8320</v>
      </c>
      <c r="D15775" t="s">
        <v>442</v>
      </c>
      <c r="F15775">
        <v>0</v>
      </c>
      <c r="H15775" t="s">
        <v>13782</v>
      </c>
      <c r="I15775">
        <v>360</v>
      </c>
      <c r="J15775" t="s">
        <v>450</v>
      </c>
      <c r="M15775">
        <v>0</v>
      </c>
    </row>
    <row r="15776" spans="1:13">
      <c r="A15776">
        <v>87044100</v>
      </c>
      <c r="B15776">
        <v>2000457</v>
      </c>
      <c r="C15776" t="s">
        <v>8321</v>
      </c>
      <c r="D15776" t="s">
        <v>442</v>
      </c>
      <c r="E15776" t="s">
        <v>441</v>
      </c>
      <c r="F15776">
        <v>0.23</v>
      </c>
      <c r="I15776">
        <v>730</v>
      </c>
      <c r="J15776" t="s">
        <v>450</v>
      </c>
      <c r="M15776">
        <v>0</v>
      </c>
    </row>
    <row r="15777" spans="1:13">
      <c r="A15777">
        <v>87044200</v>
      </c>
      <c r="B15777">
        <v>2007963</v>
      </c>
      <c r="C15777" t="s">
        <v>8322</v>
      </c>
      <c r="D15777" t="s">
        <v>442</v>
      </c>
      <c r="F15777">
        <v>0</v>
      </c>
      <c r="H15777" t="s">
        <v>13782</v>
      </c>
      <c r="I15777">
        <v>720</v>
      </c>
      <c r="J15777" t="s">
        <v>450</v>
      </c>
      <c r="K15777" t="s">
        <v>446</v>
      </c>
      <c r="M15777">
        <v>0</v>
      </c>
    </row>
    <row r="15778" spans="1:13">
      <c r="A15778">
        <v>87044300</v>
      </c>
      <c r="B15778">
        <v>2007902</v>
      </c>
      <c r="C15778" t="s">
        <v>8323</v>
      </c>
      <c r="D15778" t="s">
        <v>442</v>
      </c>
      <c r="E15778" t="s">
        <v>441</v>
      </c>
      <c r="F15778">
        <v>4.4999999999999998E-2</v>
      </c>
      <c r="H15778" t="s">
        <v>13782</v>
      </c>
      <c r="I15778">
        <v>730</v>
      </c>
      <c r="J15778" t="s">
        <v>450</v>
      </c>
      <c r="K15778" t="s">
        <v>446</v>
      </c>
      <c r="M15778">
        <v>0</v>
      </c>
    </row>
    <row r="15779" spans="1:13">
      <c r="A15779">
        <v>87044400</v>
      </c>
      <c r="B15779">
        <v>2007889</v>
      </c>
      <c r="C15779" t="s">
        <v>8324</v>
      </c>
      <c r="D15779" t="s">
        <v>442</v>
      </c>
      <c r="E15779" t="s">
        <v>441</v>
      </c>
      <c r="F15779">
        <v>0.1</v>
      </c>
      <c r="H15779" t="s">
        <v>13782</v>
      </c>
      <c r="I15779">
        <v>360</v>
      </c>
      <c r="J15779" t="s">
        <v>450</v>
      </c>
      <c r="M15779">
        <v>0</v>
      </c>
    </row>
    <row r="15780" spans="1:13">
      <c r="A15780">
        <v>87044500</v>
      </c>
      <c r="B15780">
        <v>2007910</v>
      </c>
      <c r="C15780" t="s">
        <v>8325</v>
      </c>
      <c r="D15780" t="s">
        <v>442</v>
      </c>
      <c r="E15780" t="s">
        <v>441</v>
      </c>
      <c r="F15780">
        <v>0.1</v>
      </c>
      <c r="H15780" t="s">
        <v>13782</v>
      </c>
      <c r="I15780">
        <v>730</v>
      </c>
      <c r="J15780" t="s">
        <v>450</v>
      </c>
      <c r="K15780" t="s">
        <v>446</v>
      </c>
      <c r="M15780">
        <v>0</v>
      </c>
    </row>
    <row r="15781" spans="1:13">
      <c r="A15781">
        <v>87044600</v>
      </c>
      <c r="B15781">
        <v>2007911</v>
      </c>
      <c r="C15781" t="s">
        <v>8326</v>
      </c>
      <c r="D15781" t="s">
        <v>442</v>
      </c>
      <c r="F15781">
        <v>0</v>
      </c>
      <c r="G15781">
        <v>0.87</v>
      </c>
      <c r="H15781" t="s">
        <v>13782</v>
      </c>
      <c r="I15781">
        <v>730</v>
      </c>
      <c r="J15781" t="s">
        <v>450</v>
      </c>
      <c r="K15781" t="s">
        <v>446</v>
      </c>
      <c r="M15781">
        <v>0</v>
      </c>
    </row>
    <row r="15782" spans="1:13">
      <c r="A15782">
        <v>87044700</v>
      </c>
      <c r="B15782">
        <v>2007940</v>
      </c>
      <c r="C15782" t="s">
        <v>8327</v>
      </c>
      <c r="D15782" t="s">
        <v>442</v>
      </c>
      <c r="E15782" t="s">
        <v>441</v>
      </c>
      <c r="F15782">
        <v>0.125</v>
      </c>
      <c r="H15782" t="s">
        <v>8574</v>
      </c>
      <c r="I15782">
        <v>365</v>
      </c>
      <c r="J15782" t="s">
        <v>450</v>
      </c>
      <c r="M15782">
        <v>0</v>
      </c>
    </row>
    <row r="15783" spans="1:13">
      <c r="A15783">
        <v>87044800</v>
      </c>
      <c r="B15783">
        <v>2007888</v>
      </c>
      <c r="C15783" t="s">
        <v>8328</v>
      </c>
      <c r="D15783" t="s">
        <v>442</v>
      </c>
      <c r="E15783" t="s">
        <v>441</v>
      </c>
      <c r="F15783">
        <v>1</v>
      </c>
      <c r="H15783" t="s">
        <v>13782</v>
      </c>
      <c r="I15783">
        <v>730</v>
      </c>
      <c r="J15783" t="s">
        <v>450</v>
      </c>
      <c r="K15783" t="s">
        <v>446</v>
      </c>
      <c r="M15783">
        <v>0</v>
      </c>
    </row>
    <row r="15784" spans="1:13">
      <c r="A15784">
        <v>87044900</v>
      </c>
      <c r="B15784">
        <v>2007960</v>
      </c>
      <c r="C15784" t="s">
        <v>8329</v>
      </c>
      <c r="D15784" t="s">
        <v>442</v>
      </c>
      <c r="F15784">
        <v>0</v>
      </c>
      <c r="H15784" t="s">
        <v>8580</v>
      </c>
      <c r="I15784">
        <v>360</v>
      </c>
      <c r="J15784" t="s">
        <v>450</v>
      </c>
      <c r="K15784" t="s">
        <v>446</v>
      </c>
      <c r="M15784">
        <v>0</v>
      </c>
    </row>
    <row r="15785" spans="1:13">
      <c r="A15785">
        <v>87045000</v>
      </c>
      <c r="B15785">
        <v>2007944</v>
      </c>
      <c r="C15785" t="s">
        <v>14124</v>
      </c>
      <c r="D15785" t="s">
        <v>442</v>
      </c>
      <c r="F15785">
        <v>0</v>
      </c>
      <c r="H15785" t="s">
        <v>8574</v>
      </c>
      <c r="I15785">
        <v>360</v>
      </c>
      <c r="J15785" t="s">
        <v>450</v>
      </c>
      <c r="K15785" t="s">
        <v>446</v>
      </c>
      <c r="M15785">
        <v>0</v>
      </c>
    </row>
    <row r="15786" spans="1:13">
      <c r="A15786">
        <v>87045100</v>
      </c>
      <c r="B15786">
        <v>2007637</v>
      </c>
      <c r="C15786" t="s">
        <v>8330</v>
      </c>
      <c r="D15786" t="s">
        <v>442</v>
      </c>
      <c r="E15786" t="s">
        <v>441</v>
      </c>
      <c r="F15786">
        <v>0.29899999999999999</v>
      </c>
      <c r="H15786" t="s">
        <v>13782</v>
      </c>
      <c r="I15786">
        <v>360</v>
      </c>
      <c r="J15786" t="s">
        <v>450</v>
      </c>
      <c r="K15786" t="s">
        <v>446</v>
      </c>
      <c r="M15786">
        <v>0</v>
      </c>
    </row>
    <row r="15787" spans="1:13">
      <c r="A15787">
        <v>87045200</v>
      </c>
      <c r="B15787">
        <v>2007919</v>
      </c>
      <c r="C15787" t="s">
        <v>8331</v>
      </c>
      <c r="D15787" t="s">
        <v>442</v>
      </c>
      <c r="F15787">
        <v>0</v>
      </c>
      <c r="H15787" t="s">
        <v>13782</v>
      </c>
      <c r="I15787">
        <v>720</v>
      </c>
      <c r="J15787" t="s">
        <v>450</v>
      </c>
      <c r="K15787" t="s">
        <v>446</v>
      </c>
      <c r="M15787">
        <v>0</v>
      </c>
    </row>
    <row r="15788" spans="1:13">
      <c r="A15788">
        <v>87045300</v>
      </c>
      <c r="B15788">
        <v>2007918</v>
      </c>
      <c r="C15788" t="s">
        <v>8332</v>
      </c>
      <c r="D15788" t="s">
        <v>442</v>
      </c>
      <c r="F15788">
        <v>0</v>
      </c>
      <c r="H15788" t="s">
        <v>13782</v>
      </c>
      <c r="I15788">
        <v>720</v>
      </c>
      <c r="J15788" t="s">
        <v>450</v>
      </c>
      <c r="K15788" t="s">
        <v>446</v>
      </c>
      <c r="M15788">
        <v>0</v>
      </c>
    </row>
    <row r="15789" spans="1:13">
      <c r="A15789">
        <v>87045400</v>
      </c>
      <c r="B15789">
        <v>2007916</v>
      </c>
      <c r="C15789" t="s">
        <v>8333</v>
      </c>
      <c r="D15789" t="s">
        <v>442</v>
      </c>
      <c r="E15789" t="s">
        <v>441</v>
      </c>
      <c r="F15789">
        <v>0.13500000000000001</v>
      </c>
      <c r="H15789" t="s">
        <v>13782</v>
      </c>
      <c r="I15789">
        <v>730</v>
      </c>
      <c r="J15789" t="s">
        <v>450</v>
      </c>
      <c r="K15789" t="s">
        <v>446</v>
      </c>
      <c r="M15789">
        <v>0</v>
      </c>
    </row>
    <row r="15790" spans="1:13">
      <c r="A15790">
        <v>87045500</v>
      </c>
      <c r="B15790">
        <v>2007915</v>
      </c>
      <c r="C15790" t="s">
        <v>8334</v>
      </c>
      <c r="D15790" t="s">
        <v>442</v>
      </c>
      <c r="F15790">
        <v>0</v>
      </c>
      <c r="H15790" t="s">
        <v>13782</v>
      </c>
      <c r="I15790">
        <v>720</v>
      </c>
      <c r="J15790" t="s">
        <v>450</v>
      </c>
      <c r="M15790">
        <v>0</v>
      </c>
    </row>
    <row r="15791" spans="1:13">
      <c r="A15791">
        <v>87045600</v>
      </c>
      <c r="B15791">
        <v>2007914</v>
      </c>
      <c r="C15791" t="s">
        <v>8335</v>
      </c>
      <c r="D15791" t="s">
        <v>442</v>
      </c>
      <c r="F15791">
        <v>0</v>
      </c>
      <c r="H15791" t="s">
        <v>13782</v>
      </c>
      <c r="I15791">
        <v>720</v>
      </c>
      <c r="J15791" t="s">
        <v>450</v>
      </c>
      <c r="M15791">
        <v>0</v>
      </c>
    </row>
    <row r="15792" spans="1:13">
      <c r="A15792">
        <v>87045700</v>
      </c>
      <c r="B15792">
        <v>2007913</v>
      </c>
      <c r="C15792" t="s">
        <v>8336</v>
      </c>
      <c r="D15792" t="s">
        <v>442</v>
      </c>
      <c r="F15792">
        <v>0</v>
      </c>
      <c r="H15792" t="s">
        <v>13782</v>
      </c>
      <c r="I15792">
        <v>720</v>
      </c>
      <c r="J15792" t="s">
        <v>450</v>
      </c>
      <c r="K15792" t="s">
        <v>446</v>
      </c>
      <c r="M15792">
        <v>0</v>
      </c>
    </row>
    <row r="15793" spans="1:13">
      <c r="A15793">
        <v>87045800</v>
      </c>
      <c r="B15793">
        <v>2007996</v>
      </c>
      <c r="C15793" t="s">
        <v>8337</v>
      </c>
      <c r="D15793" t="s">
        <v>442</v>
      </c>
      <c r="F15793">
        <v>0</v>
      </c>
      <c r="H15793" t="s">
        <v>13782</v>
      </c>
      <c r="I15793">
        <v>720</v>
      </c>
      <c r="J15793" t="s">
        <v>450</v>
      </c>
      <c r="M15793">
        <v>0</v>
      </c>
    </row>
    <row r="15794" spans="1:13">
      <c r="A15794">
        <v>87045900</v>
      </c>
      <c r="B15794">
        <v>2007997</v>
      </c>
      <c r="C15794" t="s">
        <v>8338</v>
      </c>
      <c r="D15794" t="s">
        <v>442</v>
      </c>
      <c r="F15794">
        <v>0</v>
      </c>
      <c r="H15794" t="s">
        <v>13782</v>
      </c>
      <c r="I15794">
        <v>720</v>
      </c>
      <c r="J15794" t="s">
        <v>450</v>
      </c>
      <c r="M15794">
        <v>0</v>
      </c>
    </row>
    <row r="15795" spans="1:13">
      <c r="A15795">
        <v>87046000</v>
      </c>
      <c r="B15795">
        <v>2007917</v>
      </c>
      <c r="C15795" t="s">
        <v>8339</v>
      </c>
      <c r="D15795" t="s">
        <v>442</v>
      </c>
      <c r="F15795">
        <v>0</v>
      </c>
      <c r="H15795" t="s">
        <v>13782</v>
      </c>
      <c r="I15795">
        <v>720</v>
      </c>
      <c r="J15795" t="s">
        <v>450</v>
      </c>
      <c r="K15795" t="s">
        <v>446</v>
      </c>
      <c r="M15795">
        <v>0</v>
      </c>
    </row>
    <row r="15796" spans="1:13">
      <c r="A15796">
        <v>87046100</v>
      </c>
      <c r="B15796">
        <v>2007932</v>
      </c>
      <c r="C15796" t="s">
        <v>8340</v>
      </c>
      <c r="D15796" t="s">
        <v>442</v>
      </c>
      <c r="E15796" t="s">
        <v>441</v>
      </c>
      <c r="F15796">
        <v>0.222</v>
      </c>
      <c r="H15796" t="s">
        <v>8574</v>
      </c>
      <c r="I15796">
        <v>365</v>
      </c>
      <c r="J15796" t="s">
        <v>450</v>
      </c>
      <c r="K15796" t="s">
        <v>446</v>
      </c>
      <c r="M15796">
        <v>0</v>
      </c>
    </row>
    <row r="15797" spans="1:13">
      <c r="A15797">
        <v>87046200</v>
      </c>
      <c r="B15797">
        <v>2007933</v>
      </c>
      <c r="C15797" t="s">
        <v>8341</v>
      </c>
      <c r="D15797" t="s">
        <v>442</v>
      </c>
      <c r="E15797" t="s">
        <v>441</v>
      </c>
      <c r="F15797">
        <v>0.17699999999999999</v>
      </c>
      <c r="H15797" t="s">
        <v>8574</v>
      </c>
      <c r="I15797">
        <v>365</v>
      </c>
      <c r="J15797" t="s">
        <v>450</v>
      </c>
      <c r="K15797" t="s">
        <v>446</v>
      </c>
      <c r="M15797">
        <v>0</v>
      </c>
    </row>
    <row r="15798" spans="1:13">
      <c r="A15798">
        <v>87046300</v>
      </c>
      <c r="B15798">
        <v>2008110</v>
      </c>
      <c r="C15798" t="s">
        <v>8342</v>
      </c>
      <c r="D15798" t="s">
        <v>442</v>
      </c>
      <c r="F15798">
        <v>0</v>
      </c>
      <c r="H15798" t="s">
        <v>13782</v>
      </c>
      <c r="I15798">
        <v>360</v>
      </c>
      <c r="J15798" t="s">
        <v>450</v>
      </c>
      <c r="K15798" t="s">
        <v>446</v>
      </c>
      <c r="M15798">
        <v>0</v>
      </c>
    </row>
    <row r="15799" spans="1:13">
      <c r="A15799">
        <v>87046400</v>
      </c>
      <c r="B15799">
        <v>2008111</v>
      </c>
      <c r="C15799" t="s">
        <v>8343</v>
      </c>
      <c r="D15799" t="s">
        <v>442</v>
      </c>
      <c r="F15799">
        <v>0</v>
      </c>
      <c r="H15799" t="s">
        <v>13782</v>
      </c>
      <c r="I15799">
        <v>720</v>
      </c>
      <c r="J15799" t="s">
        <v>450</v>
      </c>
      <c r="K15799" t="s">
        <v>446</v>
      </c>
      <c r="M15799">
        <v>0</v>
      </c>
    </row>
    <row r="15800" spans="1:13">
      <c r="A15800">
        <v>87046500</v>
      </c>
      <c r="B15800">
        <v>2008120</v>
      </c>
      <c r="C15800" t="s">
        <v>8344</v>
      </c>
      <c r="D15800" t="s">
        <v>442</v>
      </c>
      <c r="F15800">
        <v>0</v>
      </c>
      <c r="H15800" t="s">
        <v>13782</v>
      </c>
      <c r="I15800">
        <v>360</v>
      </c>
      <c r="J15800" t="s">
        <v>450</v>
      </c>
      <c r="K15800" t="s">
        <v>446</v>
      </c>
      <c r="M15800">
        <v>0</v>
      </c>
    </row>
    <row r="15801" spans="1:13">
      <c r="A15801">
        <v>87046600</v>
      </c>
      <c r="B15801">
        <v>2006723</v>
      </c>
      <c r="C15801" t="s">
        <v>8345</v>
      </c>
      <c r="D15801" t="s">
        <v>442</v>
      </c>
      <c r="E15801" t="s">
        <v>441</v>
      </c>
      <c r="F15801">
        <v>0.29899999999999999</v>
      </c>
      <c r="H15801" t="s">
        <v>13782</v>
      </c>
      <c r="I15801">
        <v>360</v>
      </c>
      <c r="J15801" t="s">
        <v>450</v>
      </c>
      <c r="M15801">
        <v>0</v>
      </c>
    </row>
    <row r="15802" spans="1:13">
      <c r="A15802">
        <v>87046700</v>
      </c>
      <c r="B15802">
        <v>2001577</v>
      </c>
      <c r="C15802" t="s">
        <v>8346</v>
      </c>
      <c r="D15802" t="s">
        <v>442</v>
      </c>
      <c r="E15802" t="s">
        <v>441</v>
      </c>
      <c r="F15802">
        <v>0.71</v>
      </c>
      <c r="H15802" t="s">
        <v>13782</v>
      </c>
      <c r="I15802">
        <v>730</v>
      </c>
      <c r="J15802" t="s">
        <v>450</v>
      </c>
      <c r="K15802" t="s">
        <v>446</v>
      </c>
      <c r="M15802">
        <v>0</v>
      </c>
    </row>
    <row r="15803" spans="1:13">
      <c r="A15803">
        <v>87046800</v>
      </c>
      <c r="B15803">
        <v>2008192</v>
      </c>
      <c r="C15803" t="s">
        <v>8347</v>
      </c>
      <c r="D15803" t="s">
        <v>442</v>
      </c>
      <c r="F15803">
        <v>0</v>
      </c>
      <c r="H15803" t="s">
        <v>13782</v>
      </c>
      <c r="I15803">
        <v>360</v>
      </c>
      <c r="J15803" t="s">
        <v>450</v>
      </c>
      <c r="K15803" t="s">
        <v>446</v>
      </c>
      <c r="M15803">
        <v>0</v>
      </c>
    </row>
    <row r="15804" spans="1:13">
      <c r="A15804">
        <v>87046900</v>
      </c>
      <c r="B15804">
        <v>2008177</v>
      </c>
      <c r="C15804" t="s">
        <v>8348</v>
      </c>
      <c r="D15804" t="s">
        <v>442</v>
      </c>
      <c r="F15804">
        <v>0</v>
      </c>
      <c r="H15804" t="s">
        <v>13782</v>
      </c>
      <c r="I15804">
        <v>360</v>
      </c>
      <c r="J15804" t="s">
        <v>450</v>
      </c>
      <c r="K15804" t="s">
        <v>446</v>
      </c>
      <c r="M15804">
        <v>0</v>
      </c>
    </row>
    <row r="15805" spans="1:13">
      <c r="A15805">
        <v>87047000</v>
      </c>
      <c r="B15805">
        <v>2008178</v>
      </c>
      <c r="C15805" t="s">
        <v>8349</v>
      </c>
      <c r="D15805" t="s">
        <v>442</v>
      </c>
      <c r="F15805">
        <v>0</v>
      </c>
      <c r="H15805" t="s">
        <v>13782</v>
      </c>
      <c r="I15805">
        <v>360</v>
      </c>
      <c r="J15805" t="s">
        <v>450</v>
      </c>
      <c r="K15805" t="s">
        <v>446</v>
      </c>
      <c r="M15805">
        <v>0</v>
      </c>
    </row>
    <row r="15806" spans="1:13">
      <c r="A15806">
        <v>87047100</v>
      </c>
      <c r="B15806">
        <v>2008179</v>
      </c>
      <c r="C15806" t="s">
        <v>8350</v>
      </c>
      <c r="D15806" t="s">
        <v>442</v>
      </c>
      <c r="F15806">
        <v>0</v>
      </c>
      <c r="H15806" t="s">
        <v>13782</v>
      </c>
      <c r="I15806">
        <v>360</v>
      </c>
      <c r="J15806" t="s">
        <v>450</v>
      </c>
      <c r="K15806" t="s">
        <v>446</v>
      </c>
      <c r="M15806">
        <v>0</v>
      </c>
    </row>
    <row r="15807" spans="1:13">
      <c r="A15807">
        <v>87047200</v>
      </c>
      <c r="B15807">
        <v>2008190</v>
      </c>
      <c r="C15807" t="s">
        <v>8351</v>
      </c>
      <c r="D15807" t="s">
        <v>442</v>
      </c>
      <c r="F15807">
        <v>0</v>
      </c>
      <c r="H15807" t="s">
        <v>13782</v>
      </c>
      <c r="I15807">
        <v>360</v>
      </c>
      <c r="J15807" t="s">
        <v>450</v>
      </c>
      <c r="K15807" t="s">
        <v>446</v>
      </c>
      <c r="M15807">
        <v>0</v>
      </c>
    </row>
    <row r="15808" spans="1:13">
      <c r="A15808">
        <v>87047300</v>
      </c>
      <c r="B15808">
        <v>2008175</v>
      </c>
      <c r="C15808" t="s">
        <v>8352</v>
      </c>
      <c r="D15808" t="s">
        <v>442</v>
      </c>
      <c r="F15808">
        <v>0</v>
      </c>
      <c r="H15808" t="s">
        <v>13782</v>
      </c>
      <c r="I15808">
        <v>360</v>
      </c>
      <c r="J15808" t="s">
        <v>450</v>
      </c>
      <c r="K15808" t="s">
        <v>446</v>
      </c>
      <c r="M15808">
        <v>0</v>
      </c>
    </row>
    <row r="15809" spans="1:13">
      <c r="A15809">
        <v>87047400</v>
      </c>
      <c r="B15809">
        <v>2008176</v>
      </c>
      <c r="C15809" t="s">
        <v>8353</v>
      </c>
      <c r="D15809" t="s">
        <v>442</v>
      </c>
      <c r="F15809">
        <v>0</v>
      </c>
      <c r="H15809" t="s">
        <v>13782</v>
      </c>
      <c r="I15809">
        <v>360</v>
      </c>
      <c r="J15809" t="s">
        <v>450</v>
      </c>
      <c r="K15809" t="s">
        <v>446</v>
      </c>
      <c r="M15809">
        <v>0</v>
      </c>
    </row>
    <row r="15810" spans="1:13">
      <c r="A15810">
        <v>87047500</v>
      </c>
      <c r="B15810">
        <v>2008188</v>
      </c>
      <c r="C15810" t="s">
        <v>8354</v>
      </c>
      <c r="D15810" t="s">
        <v>442</v>
      </c>
      <c r="F15810">
        <v>0</v>
      </c>
      <c r="H15810" t="s">
        <v>13782</v>
      </c>
      <c r="I15810">
        <v>360</v>
      </c>
      <c r="J15810" t="s">
        <v>450</v>
      </c>
      <c r="K15810" t="s">
        <v>446</v>
      </c>
      <c r="M15810">
        <v>0</v>
      </c>
    </row>
    <row r="15811" spans="1:13">
      <c r="A15811">
        <v>87047600</v>
      </c>
      <c r="B15811">
        <v>2008189</v>
      </c>
      <c r="C15811" t="s">
        <v>8355</v>
      </c>
      <c r="D15811" t="s">
        <v>442</v>
      </c>
      <c r="F15811">
        <v>0</v>
      </c>
      <c r="H15811" t="s">
        <v>13782</v>
      </c>
      <c r="I15811">
        <v>360</v>
      </c>
      <c r="J15811" t="s">
        <v>450</v>
      </c>
      <c r="K15811" t="s">
        <v>446</v>
      </c>
      <c r="M15811">
        <v>0</v>
      </c>
    </row>
    <row r="15812" spans="1:13">
      <c r="A15812">
        <v>87047700</v>
      </c>
      <c r="B15812">
        <v>2008210</v>
      </c>
      <c r="C15812" t="s">
        <v>8356</v>
      </c>
      <c r="D15812" t="s">
        <v>442</v>
      </c>
      <c r="F15812">
        <v>0</v>
      </c>
      <c r="H15812" t="s">
        <v>13782</v>
      </c>
      <c r="I15812">
        <v>360</v>
      </c>
      <c r="J15812" t="s">
        <v>450</v>
      </c>
      <c r="K15812" t="s">
        <v>446</v>
      </c>
      <c r="M15812">
        <v>0</v>
      </c>
    </row>
    <row r="15813" spans="1:13">
      <c r="A15813">
        <v>87047800</v>
      </c>
      <c r="B15813">
        <v>2008223</v>
      </c>
      <c r="C15813" t="s">
        <v>8357</v>
      </c>
      <c r="D15813" t="s">
        <v>442</v>
      </c>
      <c r="F15813">
        <v>0</v>
      </c>
      <c r="H15813" t="s">
        <v>13782</v>
      </c>
      <c r="I15813">
        <v>360</v>
      </c>
      <c r="J15813" t="s">
        <v>450</v>
      </c>
      <c r="M15813">
        <v>0</v>
      </c>
    </row>
    <row r="15814" spans="1:13">
      <c r="A15814">
        <v>87047900</v>
      </c>
      <c r="B15814">
        <v>2008224</v>
      </c>
      <c r="C15814" t="s">
        <v>8358</v>
      </c>
      <c r="D15814" t="s">
        <v>442</v>
      </c>
      <c r="F15814">
        <v>0</v>
      </c>
      <c r="H15814" t="s">
        <v>13782</v>
      </c>
      <c r="I15814">
        <v>360</v>
      </c>
      <c r="J15814" t="s">
        <v>450</v>
      </c>
      <c r="M15814">
        <v>0</v>
      </c>
    </row>
    <row r="15815" spans="1:13">
      <c r="A15815">
        <v>87048000</v>
      </c>
      <c r="B15815">
        <v>2008258</v>
      </c>
      <c r="C15815" t="s">
        <v>8359</v>
      </c>
      <c r="D15815" t="s">
        <v>442</v>
      </c>
      <c r="E15815" t="s">
        <v>441</v>
      </c>
      <c r="F15815">
        <v>0.13500000000000001</v>
      </c>
      <c r="H15815" t="s">
        <v>13782</v>
      </c>
      <c r="I15815">
        <v>365</v>
      </c>
      <c r="J15815" t="s">
        <v>450</v>
      </c>
      <c r="K15815" t="s">
        <v>446</v>
      </c>
      <c r="M15815">
        <v>0</v>
      </c>
    </row>
    <row r="15816" spans="1:13">
      <c r="A15816">
        <v>87048100</v>
      </c>
      <c r="B15816">
        <v>2008257</v>
      </c>
      <c r="C15816" t="s">
        <v>8360</v>
      </c>
      <c r="D15816" t="s">
        <v>442</v>
      </c>
      <c r="E15816" t="s">
        <v>441</v>
      </c>
      <c r="F15816">
        <v>0.13500000000000001</v>
      </c>
      <c r="H15816" t="s">
        <v>13782</v>
      </c>
      <c r="I15816">
        <v>365</v>
      </c>
      <c r="J15816" t="s">
        <v>450</v>
      </c>
      <c r="M15816">
        <v>0</v>
      </c>
    </row>
    <row r="15817" spans="1:13">
      <c r="A15817">
        <v>87048200</v>
      </c>
      <c r="B15817">
        <v>2008348</v>
      </c>
      <c r="C15817" t="s">
        <v>8361</v>
      </c>
      <c r="D15817" t="s">
        <v>442</v>
      </c>
      <c r="F15817">
        <v>0</v>
      </c>
      <c r="H15817" t="s">
        <v>13782</v>
      </c>
      <c r="I15817">
        <v>360</v>
      </c>
      <c r="J15817" t="s">
        <v>450</v>
      </c>
      <c r="K15817" t="s">
        <v>446</v>
      </c>
      <c r="M15817">
        <v>0</v>
      </c>
    </row>
    <row r="15818" spans="1:13">
      <c r="A15818">
        <v>87048300</v>
      </c>
      <c r="B15818">
        <v>2008364</v>
      </c>
      <c r="C15818" t="s">
        <v>8362</v>
      </c>
      <c r="D15818" t="s">
        <v>442</v>
      </c>
      <c r="F15818">
        <v>0</v>
      </c>
      <c r="H15818" t="s">
        <v>13782</v>
      </c>
      <c r="I15818">
        <v>360</v>
      </c>
      <c r="J15818" t="s">
        <v>450</v>
      </c>
      <c r="K15818" t="s">
        <v>446</v>
      </c>
      <c r="M15818">
        <v>0</v>
      </c>
    </row>
    <row r="15819" spans="1:13">
      <c r="A15819">
        <v>87048400</v>
      </c>
      <c r="B15819">
        <v>2008438</v>
      </c>
      <c r="C15819" t="s">
        <v>8363</v>
      </c>
      <c r="D15819" t="s">
        <v>442</v>
      </c>
      <c r="F15819">
        <v>0</v>
      </c>
      <c r="I15819">
        <v>360</v>
      </c>
      <c r="J15819" t="s">
        <v>450</v>
      </c>
      <c r="M15819">
        <v>0</v>
      </c>
    </row>
    <row r="15820" spans="1:13">
      <c r="A15820">
        <v>87048500</v>
      </c>
      <c r="B15820">
        <v>2007926</v>
      </c>
      <c r="C15820" t="s">
        <v>8364</v>
      </c>
      <c r="D15820" t="s">
        <v>442</v>
      </c>
      <c r="F15820">
        <v>0</v>
      </c>
      <c r="H15820" t="s">
        <v>13782</v>
      </c>
      <c r="I15820">
        <v>360</v>
      </c>
      <c r="J15820" t="s">
        <v>450</v>
      </c>
      <c r="M15820">
        <v>0</v>
      </c>
    </row>
    <row r="15821" spans="1:13">
      <c r="A15821">
        <v>87048600</v>
      </c>
      <c r="B15821">
        <v>2008447</v>
      </c>
      <c r="C15821" t="s">
        <v>8365</v>
      </c>
      <c r="D15821" t="s">
        <v>442</v>
      </c>
      <c r="F15821">
        <v>0</v>
      </c>
      <c r="H15821" t="s">
        <v>8627</v>
      </c>
      <c r="I15821">
        <v>360</v>
      </c>
      <c r="J15821" t="s">
        <v>450</v>
      </c>
      <c r="M15821">
        <v>0</v>
      </c>
    </row>
    <row r="15822" spans="1:13">
      <c r="A15822">
        <v>87048700</v>
      </c>
      <c r="B15822">
        <v>2008520</v>
      </c>
      <c r="C15822" t="s">
        <v>8366</v>
      </c>
      <c r="D15822" t="s">
        <v>442</v>
      </c>
      <c r="F15822">
        <v>0</v>
      </c>
      <c r="H15822" t="s">
        <v>8584</v>
      </c>
      <c r="I15822">
        <v>360</v>
      </c>
      <c r="J15822" t="s">
        <v>450</v>
      </c>
      <c r="M15822">
        <v>0</v>
      </c>
    </row>
    <row r="15823" spans="1:13">
      <c r="A15823">
        <v>87048800</v>
      </c>
      <c r="B15823">
        <v>2008501</v>
      </c>
      <c r="C15823" t="s">
        <v>8367</v>
      </c>
      <c r="D15823" t="s">
        <v>442</v>
      </c>
      <c r="F15823">
        <v>0</v>
      </c>
      <c r="I15823">
        <v>360</v>
      </c>
      <c r="J15823" t="s">
        <v>450</v>
      </c>
      <c r="M15823">
        <v>0</v>
      </c>
    </row>
    <row r="15824" spans="1:13">
      <c r="A15824">
        <v>87048900</v>
      </c>
      <c r="B15824">
        <v>2008465</v>
      </c>
      <c r="C15824" t="s">
        <v>8368</v>
      </c>
      <c r="D15824" t="s">
        <v>442</v>
      </c>
      <c r="E15824" t="s">
        <v>441</v>
      </c>
      <c r="F15824">
        <v>0.12</v>
      </c>
      <c r="I15824">
        <v>720</v>
      </c>
      <c r="J15824" t="s">
        <v>450</v>
      </c>
      <c r="K15824" t="s">
        <v>446</v>
      </c>
      <c r="M15824">
        <v>0</v>
      </c>
    </row>
    <row r="15825" spans="1:13">
      <c r="A15825">
        <v>87049000</v>
      </c>
      <c r="B15825">
        <v>2008463</v>
      </c>
      <c r="C15825" t="s">
        <v>8369</v>
      </c>
      <c r="D15825" t="s">
        <v>442</v>
      </c>
      <c r="E15825" t="s">
        <v>441</v>
      </c>
      <c r="F15825">
        <v>0.22</v>
      </c>
      <c r="I15825">
        <v>720</v>
      </c>
      <c r="J15825" t="s">
        <v>450</v>
      </c>
      <c r="K15825" t="s">
        <v>446</v>
      </c>
      <c r="M15825">
        <v>0</v>
      </c>
    </row>
    <row r="15826" spans="1:13">
      <c r="A15826">
        <v>87049100</v>
      </c>
      <c r="B15826">
        <v>2008565</v>
      </c>
      <c r="C15826" t="s">
        <v>8370</v>
      </c>
      <c r="D15826" t="s">
        <v>442</v>
      </c>
      <c r="F15826">
        <v>0</v>
      </c>
      <c r="I15826">
        <v>360</v>
      </c>
      <c r="J15826" t="s">
        <v>450</v>
      </c>
      <c r="K15826" t="s">
        <v>446</v>
      </c>
      <c r="M15826">
        <v>0</v>
      </c>
    </row>
    <row r="15827" spans="1:13">
      <c r="A15827">
        <v>87049200</v>
      </c>
      <c r="B15827">
        <v>2008564</v>
      </c>
      <c r="C15827" t="s">
        <v>8371</v>
      </c>
      <c r="D15827" t="s">
        <v>442</v>
      </c>
      <c r="F15827">
        <v>0</v>
      </c>
      <c r="H15827" t="s">
        <v>8580</v>
      </c>
      <c r="I15827">
        <v>360</v>
      </c>
      <c r="J15827" t="s">
        <v>450</v>
      </c>
      <c r="K15827" t="s">
        <v>446</v>
      </c>
      <c r="M15827">
        <v>0</v>
      </c>
    </row>
    <row r="15828" spans="1:13">
      <c r="A15828">
        <v>87049300</v>
      </c>
      <c r="B15828">
        <v>2008643</v>
      </c>
      <c r="C15828" t="s">
        <v>8372</v>
      </c>
      <c r="D15828" t="s">
        <v>442</v>
      </c>
      <c r="F15828">
        <v>0</v>
      </c>
      <c r="I15828">
        <v>360</v>
      </c>
      <c r="J15828" t="s">
        <v>450</v>
      </c>
      <c r="K15828" t="s">
        <v>446</v>
      </c>
      <c r="M15828">
        <v>0</v>
      </c>
    </row>
    <row r="15829" spans="1:13">
      <c r="A15829">
        <v>87049400</v>
      </c>
      <c r="B15829">
        <v>8200410</v>
      </c>
      <c r="C15829" t="s">
        <v>14125</v>
      </c>
      <c r="D15829" t="s">
        <v>442</v>
      </c>
      <c r="F15829">
        <v>0</v>
      </c>
      <c r="H15829" t="s">
        <v>8584</v>
      </c>
      <c r="I15829">
        <v>0</v>
      </c>
      <c r="J15829" t="s">
        <v>469</v>
      </c>
      <c r="M15829">
        <v>0</v>
      </c>
    </row>
    <row r="15830" spans="1:13">
      <c r="A15830">
        <v>87049500</v>
      </c>
      <c r="B15830">
        <v>2008700</v>
      </c>
      <c r="C15830" t="s">
        <v>8373</v>
      </c>
      <c r="D15830" t="s">
        <v>442</v>
      </c>
      <c r="F15830">
        <v>0</v>
      </c>
      <c r="H15830" t="s">
        <v>8619</v>
      </c>
      <c r="I15830">
        <v>360</v>
      </c>
      <c r="J15830" t="s">
        <v>450</v>
      </c>
      <c r="K15830" t="s">
        <v>446</v>
      </c>
      <c r="M15830">
        <v>0</v>
      </c>
    </row>
    <row r="15831" spans="1:13">
      <c r="A15831">
        <v>87049600</v>
      </c>
      <c r="B15831">
        <v>2008699</v>
      </c>
      <c r="C15831" t="s">
        <v>8374</v>
      </c>
      <c r="D15831" t="s">
        <v>442</v>
      </c>
      <c r="F15831">
        <v>0</v>
      </c>
      <c r="H15831" t="s">
        <v>8580</v>
      </c>
      <c r="I15831">
        <v>360</v>
      </c>
      <c r="J15831" t="s">
        <v>450</v>
      </c>
      <c r="K15831" t="s">
        <v>446</v>
      </c>
      <c r="M15831">
        <v>0</v>
      </c>
    </row>
    <row r="15832" spans="1:13">
      <c r="A15832">
        <v>87049700</v>
      </c>
      <c r="B15832">
        <v>2008698</v>
      </c>
      <c r="C15832" t="s">
        <v>8375</v>
      </c>
      <c r="D15832" t="s">
        <v>442</v>
      </c>
      <c r="F15832">
        <v>0</v>
      </c>
      <c r="I15832">
        <v>360</v>
      </c>
      <c r="J15832" t="s">
        <v>450</v>
      </c>
      <c r="K15832" t="s">
        <v>446</v>
      </c>
      <c r="M15832">
        <v>0</v>
      </c>
    </row>
    <row r="15833" spans="1:13">
      <c r="A15833">
        <v>87049800</v>
      </c>
      <c r="B15833">
        <v>2008785</v>
      </c>
      <c r="C15833" t="s">
        <v>8376</v>
      </c>
      <c r="D15833" t="s">
        <v>442</v>
      </c>
      <c r="E15833" t="s">
        <v>441</v>
      </c>
      <c r="F15833">
        <v>0.54</v>
      </c>
      <c r="H15833" t="s">
        <v>8580</v>
      </c>
      <c r="I15833">
        <v>360</v>
      </c>
      <c r="J15833" t="s">
        <v>450</v>
      </c>
      <c r="M15833">
        <v>0</v>
      </c>
    </row>
    <row r="15834" spans="1:13">
      <c r="A15834">
        <v>87049900</v>
      </c>
      <c r="B15834">
        <v>2008786</v>
      </c>
      <c r="C15834" t="s">
        <v>8377</v>
      </c>
      <c r="D15834" t="s">
        <v>442</v>
      </c>
      <c r="F15834">
        <v>0</v>
      </c>
      <c r="H15834" t="s">
        <v>8580</v>
      </c>
      <c r="I15834">
        <v>360</v>
      </c>
      <c r="J15834" t="s">
        <v>450</v>
      </c>
      <c r="K15834" t="s">
        <v>446</v>
      </c>
      <c r="M15834">
        <v>0</v>
      </c>
    </row>
    <row r="15835" spans="1:13">
      <c r="A15835">
        <v>87050000</v>
      </c>
      <c r="B15835">
        <v>2008814</v>
      </c>
      <c r="C15835" t="s">
        <v>8378</v>
      </c>
      <c r="D15835" t="s">
        <v>442</v>
      </c>
      <c r="F15835">
        <v>0</v>
      </c>
      <c r="H15835" t="s">
        <v>8935</v>
      </c>
      <c r="I15835">
        <v>360</v>
      </c>
      <c r="J15835" t="s">
        <v>450</v>
      </c>
      <c r="K15835" t="s">
        <v>446</v>
      </c>
      <c r="M15835">
        <v>0</v>
      </c>
    </row>
    <row r="15836" spans="1:13">
      <c r="A15836">
        <v>87050100</v>
      </c>
      <c r="B15836">
        <v>2008813</v>
      </c>
      <c r="C15836" t="s">
        <v>8379</v>
      </c>
      <c r="D15836" t="s">
        <v>442</v>
      </c>
      <c r="F15836">
        <v>0</v>
      </c>
      <c r="H15836" t="s">
        <v>8935</v>
      </c>
      <c r="I15836">
        <v>360</v>
      </c>
      <c r="J15836" t="s">
        <v>450</v>
      </c>
      <c r="K15836" t="s">
        <v>446</v>
      </c>
      <c r="M15836">
        <v>0</v>
      </c>
    </row>
    <row r="15837" spans="1:13">
      <c r="A15837">
        <v>87050200</v>
      </c>
      <c r="B15837">
        <v>2008808</v>
      </c>
      <c r="C15837" t="s">
        <v>8380</v>
      </c>
      <c r="D15837" t="s">
        <v>442</v>
      </c>
      <c r="F15837">
        <v>0</v>
      </c>
      <c r="H15837" t="s">
        <v>8935</v>
      </c>
      <c r="I15837">
        <v>360</v>
      </c>
      <c r="J15837" t="s">
        <v>450</v>
      </c>
      <c r="K15837" t="s">
        <v>446</v>
      </c>
      <c r="M15837">
        <v>0</v>
      </c>
    </row>
    <row r="15838" spans="1:13">
      <c r="A15838">
        <v>87050300</v>
      </c>
      <c r="B15838">
        <v>2008853</v>
      </c>
      <c r="C15838" t="s">
        <v>8381</v>
      </c>
      <c r="D15838" t="s">
        <v>442</v>
      </c>
      <c r="F15838">
        <v>0</v>
      </c>
      <c r="H15838" t="s">
        <v>8935</v>
      </c>
      <c r="I15838">
        <v>360</v>
      </c>
      <c r="J15838" t="s">
        <v>450</v>
      </c>
      <c r="K15838" t="s">
        <v>446</v>
      </c>
      <c r="M15838">
        <v>0</v>
      </c>
    </row>
    <row r="15839" spans="1:13">
      <c r="A15839">
        <v>87050400</v>
      </c>
      <c r="B15839">
        <v>2008854</v>
      </c>
      <c r="C15839" t="s">
        <v>8382</v>
      </c>
      <c r="D15839" t="s">
        <v>442</v>
      </c>
      <c r="F15839">
        <v>0</v>
      </c>
      <c r="H15839" t="s">
        <v>8935</v>
      </c>
      <c r="I15839">
        <v>360</v>
      </c>
      <c r="J15839" t="s">
        <v>450</v>
      </c>
      <c r="K15839" t="s">
        <v>446</v>
      </c>
      <c r="M15839">
        <v>0</v>
      </c>
    </row>
    <row r="15840" spans="1:13">
      <c r="A15840">
        <v>87050500</v>
      </c>
      <c r="B15840">
        <v>2008910</v>
      </c>
      <c r="C15840" t="s">
        <v>8383</v>
      </c>
      <c r="D15840" t="s">
        <v>442</v>
      </c>
      <c r="E15840" t="s">
        <v>441</v>
      </c>
      <c r="F15840">
        <v>0.4</v>
      </c>
      <c r="H15840" t="s">
        <v>8584</v>
      </c>
      <c r="I15840">
        <v>360</v>
      </c>
      <c r="J15840" t="s">
        <v>450</v>
      </c>
      <c r="K15840" t="s">
        <v>446</v>
      </c>
      <c r="M15840">
        <v>0</v>
      </c>
    </row>
    <row r="15841" spans="1:13">
      <c r="A15841">
        <v>87050600</v>
      </c>
      <c r="B15841">
        <v>2008906</v>
      </c>
      <c r="C15841" t="s">
        <v>8384</v>
      </c>
      <c r="D15841" t="s">
        <v>442</v>
      </c>
      <c r="E15841" t="s">
        <v>441</v>
      </c>
      <c r="F15841">
        <v>0.3</v>
      </c>
      <c r="I15841">
        <v>360</v>
      </c>
      <c r="J15841" t="s">
        <v>450</v>
      </c>
      <c r="M15841">
        <v>0</v>
      </c>
    </row>
    <row r="15842" spans="1:13">
      <c r="A15842">
        <v>87050700</v>
      </c>
      <c r="B15842">
        <v>2008905</v>
      </c>
      <c r="C15842" t="s">
        <v>8385</v>
      </c>
      <c r="D15842" t="s">
        <v>442</v>
      </c>
      <c r="E15842" t="s">
        <v>441</v>
      </c>
      <c r="F15842">
        <v>0.3</v>
      </c>
      <c r="I15842">
        <v>360</v>
      </c>
      <c r="J15842" t="s">
        <v>450</v>
      </c>
      <c r="M15842">
        <v>0</v>
      </c>
    </row>
    <row r="15843" spans="1:13">
      <c r="A15843">
        <v>87050800</v>
      </c>
      <c r="B15843">
        <v>2008955</v>
      </c>
      <c r="C15843" t="s">
        <v>8386</v>
      </c>
      <c r="D15843" t="s">
        <v>442</v>
      </c>
      <c r="F15843">
        <v>0</v>
      </c>
      <c r="H15843" t="s">
        <v>8580</v>
      </c>
      <c r="I15843">
        <v>360</v>
      </c>
      <c r="J15843" t="s">
        <v>450</v>
      </c>
      <c r="K15843" t="s">
        <v>446</v>
      </c>
      <c r="M15843">
        <v>0</v>
      </c>
    </row>
    <row r="15844" spans="1:13">
      <c r="A15844">
        <v>87050900</v>
      </c>
      <c r="B15844">
        <v>2009039</v>
      </c>
      <c r="C15844" t="s">
        <v>8387</v>
      </c>
      <c r="D15844" t="s">
        <v>442</v>
      </c>
      <c r="F15844">
        <v>0</v>
      </c>
      <c r="I15844">
        <v>360</v>
      </c>
      <c r="J15844" t="s">
        <v>450</v>
      </c>
      <c r="K15844" t="s">
        <v>446</v>
      </c>
      <c r="M15844">
        <v>0</v>
      </c>
    </row>
    <row r="15845" spans="1:13">
      <c r="A15845">
        <v>87051100</v>
      </c>
      <c r="B15845">
        <v>2009041</v>
      </c>
      <c r="C15845" t="s">
        <v>8388</v>
      </c>
      <c r="D15845" t="s">
        <v>442</v>
      </c>
      <c r="F15845">
        <v>0</v>
      </c>
      <c r="H15845" t="s">
        <v>8580</v>
      </c>
      <c r="I15845">
        <v>360</v>
      </c>
      <c r="J15845" t="s">
        <v>450</v>
      </c>
      <c r="K15845" t="s">
        <v>446</v>
      </c>
      <c r="M15845">
        <v>0</v>
      </c>
    </row>
    <row r="15846" spans="1:13">
      <c r="A15846">
        <v>87051200</v>
      </c>
      <c r="B15846">
        <v>2009014</v>
      </c>
      <c r="C15846" t="s">
        <v>14126</v>
      </c>
      <c r="D15846" t="s">
        <v>441</v>
      </c>
      <c r="F15846">
        <v>0</v>
      </c>
      <c r="H15846" t="s">
        <v>8580</v>
      </c>
      <c r="I15846">
        <v>360</v>
      </c>
      <c r="J15846" t="s">
        <v>450</v>
      </c>
      <c r="K15846" t="s">
        <v>446</v>
      </c>
      <c r="M15846">
        <v>0</v>
      </c>
    </row>
    <row r="15847" spans="1:13">
      <c r="A15847">
        <v>87051300</v>
      </c>
      <c r="B15847">
        <v>2007233</v>
      </c>
      <c r="C15847" t="s">
        <v>8389</v>
      </c>
      <c r="D15847" t="s">
        <v>442</v>
      </c>
      <c r="E15847" t="s">
        <v>441</v>
      </c>
      <c r="F15847">
        <v>0.29899999999999999</v>
      </c>
      <c r="H15847" t="s">
        <v>13782</v>
      </c>
      <c r="I15847">
        <v>360</v>
      </c>
      <c r="J15847" t="s">
        <v>450</v>
      </c>
      <c r="M15847">
        <v>0</v>
      </c>
    </row>
    <row r="15848" spans="1:13">
      <c r="A15848">
        <v>87051400</v>
      </c>
      <c r="B15848">
        <v>2009152</v>
      </c>
      <c r="C15848" t="s">
        <v>8390</v>
      </c>
      <c r="D15848" t="s">
        <v>442</v>
      </c>
      <c r="E15848" t="s">
        <v>441</v>
      </c>
      <c r="F15848">
        <v>0.12</v>
      </c>
      <c r="H15848" t="s">
        <v>8935</v>
      </c>
      <c r="I15848">
        <v>360</v>
      </c>
      <c r="J15848" t="s">
        <v>450</v>
      </c>
      <c r="K15848" t="s">
        <v>446</v>
      </c>
      <c r="M15848">
        <v>0</v>
      </c>
    </row>
    <row r="15849" spans="1:13">
      <c r="A15849">
        <v>87051500</v>
      </c>
      <c r="B15849">
        <v>2008777</v>
      </c>
      <c r="C15849" t="s">
        <v>8391</v>
      </c>
      <c r="D15849" t="s">
        <v>442</v>
      </c>
      <c r="E15849" t="s">
        <v>441</v>
      </c>
      <c r="F15849">
        <v>0.75</v>
      </c>
      <c r="H15849" t="s">
        <v>8584</v>
      </c>
      <c r="I15849">
        <v>986</v>
      </c>
      <c r="J15849" t="s">
        <v>450</v>
      </c>
      <c r="M15849">
        <v>0</v>
      </c>
    </row>
    <row r="15850" spans="1:13">
      <c r="A15850">
        <v>87051600</v>
      </c>
      <c r="B15850">
        <v>2009218</v>
      </c>
      <c r="C15850" t="s">
        <v>8392</v>
      </c>
      <c r="D15850" t="s">
        <v>442</v>
      </c>
      <c r="F15850">
        <v>0</v>
      </c>
      <c r="H15850" t="s">
        <v>8935</v>
      </c>
      <c r="I15850">
        <v>360</v>
      </c>
      <c r="J15850" t="s">
        <v>450</v>
      </c>
      <c r="K15850" t="s">
        <v>446</v>
      </c>
      <c r="M15850">
        <v>0</v>
      </c>
    </row>
    <row r="15851" spans="1:13">
      <c r="A15851">
        <v>87051700</v>
      </c>
      <c r="B15851">
        <v>2009219</v>
      </c>
      <c r="C15851" t="s">
        <v>8393</v>
      </c>
      <c r="D15851" t="s">
        <v>442</v>
      </c>
      <c r="F15851">
        <v>0</v>
      </c>
      <c r="H15851" t="s">
        <v>8935</v>
      </c>
      <c r="I15851">
        <v>360</v>
      </c>
      <c r="J15851" t="s">
        <v>450</v>
      </c>
      <c r="K15851" t="s">
        <v>446</v>
      </c>
      <c r="M15851">
        <v>0</v>
      </c>
    </row>
    <row r="15852" spans="1:13">
      <c r="A15852">
        <v>87051800</v>
      </c>
      <c r="B15852">
        <v>2009330</v>
      </c>
      <c r="C15852" t="s">
        <v>8394</v>
      </c>
      <c r="D15852" t="s">
        <v>442</v>
      </c>
      <c r="F15852">
        <v>0</v>
      </c>
      <c r="H15852" t="s">
        <v>8580</v>
      </c>
      <c r="I15852">
        <v>360</v>
      </c>
      <c r="J15852" t="s">
        <v>450</v>
      </c>
      <c r="K15852" t="s">
        <v>446</v>
      </c>
      <c r="M15852">
        <v>0</v>
      </c>
    </row>
    <row r="15853" spans="1:13">
      <c r="A15853">
        <v>87052100</v>
      </c>
      <c r="B15853">
        <v>2002775</v>
      </c>
      <c r="C15853" t="s">
        <v>8395</v>
      </c>
      <c r="D15853" t="s">
        <v>442</v>
      </c>
      <c r="E15853" t="s">
        <v>441</v>
      </c>
      <c r="F15853">
        <v>0.66</v>
      </c>
      <c r="H15853" t="s">
        <v>13782</v>
      </c>
      <c r="I15853">
        <v>730</v>
      </c>
      <c r="J15853" t="s">
        <v>450</v>
      </c>
      <c r="M15853">
        <v>0</v>
      </c>
    </row>
    <row r="15854" spans="1:13">
      <c r="A15854">
        <v>87052200</v>
      </c>
      <c r="B15854">
        <v>2008800</v>
      </c>
      <c r="C15854" t="s">
        <v>8396</v>
      </c>
      <c r="D15854" t="s">
        <v>442</v>
      </c>
      <c r="E15854" t="s">
        <v>441</v>
      </c>
      <c r="F15854">
        <v>0.75</v>
      </c>
      <c r="H15854" t="s">
        <v>8580</v>
      </c>
      <c r="I15854">
        <v>986</v>
      </c>
      <c r="J15854" t="s">
        <v>450</v>
      </c>
      <c r="K15854" t="s">
        <v>446</v>
      </c>
      <c r="M15854">
        <v>0</v>
      </c>
    </row>
    <row r="15855" spans="1:13">
      <c r="A15855">
        <v>87052300</v>
      </c>
      <c r="B15855">
        <v>2009358</v>
      </c>
      <c r="C15855" t="s">
        <v>8397</v>
      </c>
      <c r="D15855" t="s">
        <v>442</v>
      </c>
      <c r="F15855">
        <v>0</v>
      </c>
      <c r="I15855">
        <v>360</v>
      </c>
      <c r="J15855" t="s">
        <v>450</v>
      </c>
      <c r="K15855" t="s">
        <v>446</v>
      </c>
      <c r="M15855">
        <v>0</v>
      </c>
    </row>
    <row r="15856" spans="1:13">
      <c r="A15856">
        <v>87052400</v>
      </c>
      <c r="B15856">
        <v>2009357</v>
      </c>
      <c r="C15856" t="s">
        <v>8398</v>
      </c>
      <c r="D15856" t="s">
        <v>442</v>
      </c>
      <c r="F15856">
        <v>0</v>
      </c>
      <c r="I15856">
        <v>360</v>
      </c>
      <c r="J15856" t="s">
        <v>450</v>
      </c>
      <c r="K15856" t="s">
        <v>446</v>
      </c>
      <c r="M15856">
        <v>0</v>
      </c>
    </row>
    <row r="15857" spans="1:13">
      <c r="A15857">
        <v>87052500</v>
      </c>
      <c r="B15857">
        <v>2009375</v>
      </c>
      <c r="C15857" t="s">
        <v>8399</v>
      </c>
      <c r="D15857" t="s">
        <v>442</v>
      </c>
      <c r="F15857">
        <v>0</v>
      </c>
      <c r="I15857">
        <v>360</v>
      </c>
      <c r="J15857" t="s">
        <v>450</v>
      </c>
      <c r="M15857">
        <v>0</v>
      </c>
    </row>
    <row r="15858" spans="1:13">
      <c r="A15858">
        <v>87052600</v>
      </c>
      <c r="B15858">
        <v>2009374</v>
      </c>
      <c r="C15858" t="s">
        <v>8400</v>
      </c>
      <c r="D15858" t="s">
        <v>442</v>
      </c>
      <c r="F15858">
        <v>0</v>
      </c>
      <c r="I15858">
        <v>360</v>
      </c>
      <c r="J15858" t="s">
        <v>450</v>
      </c>
      <c r="M15858">
        <v>0</v>
      </c>
    </row>
    <row r="15859" spans="1:13">
      <c r="A15859">
        <v>87052700</v>
      </c>
      <c r="B15859">
        <v>2009503</v>
      </c>
      <c r="C15859" t="s">
        <v>8401</v>
      </c>
      <c r="D15859" t="s">
        <v>442</v>
      </c>
      <c r="F15859">
        <v>0</v>
      </c>
      <c r="I15859">
        <v>360</v>
      </c>
      <c r="J15859" t="s">
        <v>450</v>
      </c>
      <c r="M15859">
        <v>0</v>
      </c>
    </row>
    <row r="15860" spans="1:13">
      <c r="A15860">
        <v>87052900</v>
      </c>
      <c r="B15860">
        <v>2009701</v>
      </c>
      <c r="C15860" t="s">
        <v>8402</v>
      </c>
      <c r="D15860" t="s">
        <v>442</v>
      </c>
      <c r="E15860" t="s">
        <v>441</v>
      </c>
      <c r="F15860">
        <v>1</v>
      </c>
      <c r="H15860" t="s">
        <v>8580</v>
      </c>
      <c r="I15860">
        <v>785</v>
      </c>
      <c r="J15860" t="s">
        <v>450</v>
      </c>
      <c r="K15860" t="s">
        <v>446</v>
      </c>
      <c r="M15860">
        <v>0</v>
      </c>
    </row>
    <row r="15861" spans="1:13">
      <c r="A15861">
        <v>87053000</v>
      </c>
      <c r="B15861">
        <v>2009702</v>
      </c>
      <c r="C15861" t="s">
        <v>8403</v>
      </c>
      <c r="D15861" t="s">
        <v>442</v>
      </c>
      <c r="E15861" t="s">
        <v>441</v>
      </c>
      <c r="F15861">
        <v>1</v>
      </c>
      <c r="H15861" t="s">
        <v>8580</v>
      </c>
      <c r="I15861">
        <v>785</v>
      </c>
      <c r="J15861" t="s">
        <v>450</v>
      </c>
      <c r="K15861" t="s">
        <v>446</v>
      </c>
      <c r="M15861">
        <v>0</v>
      </c>
    </row>
    <row r="15862" spans="1:13">
      <c r="A15862">
        <v>87053400</v>
      </c>
      <c r="B15862">
        <v>2009846</v>
      </c>
      <c r="C15862" t="s">
        <v>8404</v>
      </c>
      <c r="D15862" t="s">
        <v>442</v>
      </c>
      <c r="E15862" t="s">
        <v>441</v>
      </c>
      <c r="F15862">
        <v>0.3</v>
      </c>
      <c r="H15862" t="s">
        <v>8935</v>
      </c>
      <c r="I15862">
        <v>360</v>
      </c>
      <c r="J15862" t="s">
        <v>450</v>
      </c>
      <c r="M15862">
        <v>0</v>
      </c>
    </row>
    <row r="15863" spans="1:13">
      <c r="A15863">
        <v>87053500</v>
      </c>
      <c r="B15863">
        <v>2010006</v>
      </c>
      <c r="C15863" t="s">
        <v>14127</v>
      </c>
      <c r="D15863" t="s">
        <v>442</v>
      </c>
      <c r="E15863" t="s">
        <v>441</v>
      </c>
      <c r="F15863">
        <v>1E-3</v>
      </c>
      <c r="H15863" t="s">
        <v>8580</v>
      </c>
      <c r="I15863">
        <v>720</v>
      </c>
      <c r="J15863" t="s">
        <v>450</v>
      </c>
      <c r="M15863">
        <v>0</v>
      </c>
    </row>
    <row r="15864" spans="1:13">
      <c r="A15864">
        <v>87053700</v>
      </c>
      <c r="B15864">
        <v>2010061</v>
      </c>
      <c r="C15864" t="s">
        <v>8405</v>
      </c>
      <c r="D15864" t="s">
        <v>442</v>
      </c>
      <c r="E15864" t="s">
        <v>441</v>
      </c>
      <c r="F15864">
        <v>0.03</v>
      </c>
      <c r="H15864" t="s">
        <v>8584</v>
      </c>
      <c r="I15864">
        <v>360</v>
      </c>
      <c r="J15864" t="s">
        <v>450</v>
      </c>
      <c r="M15864">
        <v>0</v>
      </c>
    </row>
    <row r="15865" spans="1:13">
      <c r="A15865">
        <v>87053800</v>
      </c>
      <c r="B15865">
        <v>2010062</v>
      </c>
      <c r="C15865" t="s">
        <v>8406</v>
      </c>
      <c r="D15865" t="s">
        <v>442</v>
      </c>
      <c r="E15865" t="s">
        <v>441</v>
      </c>
      <c r="F15865">
        <v>0.03</v>
      </c>
      <c r="H15865" t="s">
        <v>8580</v>
      </c>
      <c r="I15865">
        <v>360</v>
      </c>
      <c r="J15865" t="s">
        <v>450</v>
      </c>
      <c r="K15865" t="s">
        <v>446</v>
      </c>
      <c r="M15865">
        <v>0</v>
      </c>
    </row>
    <row r="15866" spans="1:13">
      <c r="A15866">
        <v>87053900</v>
      </c>
      <c r="B15866">
        <v>2010113</v>
      </c>
      <c r="C15866" t="s">
        <v>8407</v>
      </c>
      <c r="D15866" t="s">
        <v>442</v>
      </c>
      <c r="E15866" t="s">
        <v>441</v>
      </c>
      <c r="F15866">
        <v>0.3</v>
      </c>
      <c r="H15866" t="s">
        <v>8580</v>
      </c>
      <c r="I15866">
        <v>360</v>
      </c>
      <c r="J15866" t="s">
        <v>450</v>
      </c>
      <c r="K15866" t="s">
        <v>446</v>
      </c>
      <c r="M15866">
        <v>0</v>
      </c>
    </row>
    <row r="15867" spans="1:13">
      <c r="A15867">
        <v>87054100</v>
      </c>
      <c r="B15867">
        <v>2008550</v>
      </c>
      <c r="C15867" t="s">
        <v>8408</v>
      </c>
      <c r="D15867" t="s">
        <v>442</v>
      </c>
      <c r="E15867" t="s">
        <v>441</v>
      </c>
      <c r="F15867">
        <v>7.0000000000000007E-2</v>
      </c>
      <c r="H15867" t="s">
        <v>8580</v>
      </c>
      <c r="I15867">
        <v>365</v>
      </c>
      <c r="J15867" t="s">
        <v>450</v>
      </c>
      <c r="K15867" t="s">
        <v>446</v>
      </c>
      <c r="M15867">
        <v>0</v>
      </c>
    </row>
    <row r="15868" spans="1:13">
      <c r="A15868">
        <v>87054200</v>
      </c>
      <c r="B15868">
        <v>2010041</v>
      </c>
      <c r="C15868" t="s">
        <v>8409</v>
      </c>
      <c r="D15868" t="s">
        <v>442</v>
      </c>
      <c r="E15868" t="s">
        <v>441</v>
      </c>
      <c r="F15868">
        <v>0.02</v>
      </c>
      <c r="H15868" t="s">
        <v>8580</v>
      </c>
      <c r="I15868">
        <v>365</v>
      </c>
      <c r="J15868" t="s">
        <v>450</v>
      </c>
      <c r="K15868" t="s">
        <v>446</v>
      </c>
      <c r="M15868">
        <v>0</v>
      </c>
    </row>
    <row r="15869" spans="1:13">
      <c r="A15869">
        <v>87054300</v>
      </c>
      <c r="B15869">
        <v>2010129</v>
      </c>
      <c r="C15869" t="s">
        <v>8410</v>
      </c>
      <c r="D15869" t="s">
        <v>442</v>
      </c>
      <c r="E15869" t="s">
        <v>441</v>
      </c>
      <c r="F15869">
        <v>0.2</v>
      </c>
      <c r="H15869" t="s">
        <v>8637</v>
      </c>
      <c r="I15869">
        <v>360</v>
      </c>
      <c r="J15869" t="s">
        <v>450</v>
      </c>
      <c r="K15869" t="s">
        <v>446</v>
      </c>
      <c r="M15869">
        <v>0</v>
      </c>
    </row>
    <row r="15870" spans="1:13">
      <c r="A15870">
        <v>87054400</v>
      </c>
      <c r="B15870">
        <v>2010170</v>
      </c>
      <c r="C15870" t="s">
        <v>8411</v>
      </c>
      <c r="D15870" t="s">
        <v>442</v>
      </c>
      <c r="E15870" t="s">
        <v>441</v>
      </c>
      <c r="F15870">
        <v>0.2</v>
      </c>
      <c r="H15870" t="s">
        <v>8580</v>
      </c>
      <c r="I15870">
        <v>360</v>
      </c>
      <c r="J15870" t="s">
        <v>450</v>
      </c>
      <c r="K15870" t="s">
        <v>446</v>
      </c>
      <c r="M15870">
        <v>0</v>
      </c>
    </row>
    <row r="15871" spans="1:13">
      <c r="A15871">
        <v>87054500</v>
      </c>
      <c r="B15871">
        <v>2010223</v>
      </c>
      <c r="C15871" t="s">
        <v>8412</v>
      </c>
      <c r="D15871" t="s">
        <v>442</v>
      </c>
      <c r="F15871">
        <v>0</v>
      </c>
      <c r="I15871">
        <v>360</v>
      </c>
      <c r="J15871" t="s">
        <v>450</v>
      </c>
      <c r="K15871" t="s">
        <v>446</v>
      </c>
      <c r="M15871">
        <v>0</v>
      </c>
    </row>
    <row r="15872" spans="1:13">
      <c r="A15872">
        <v>87054600</v>
      </c>
      <c r="B15872">
        <v>2010207</v>
      </c>
      <c r="C15872" t="s">
        <v>14128</v>
      </c>
      <c r="D15872" t="s">
        <v>442</v>
      </c>
      <c r="F15872">
        <v>0</v>
      </c>
      <c r="H15872" t="s">
        <v>8580</v>
      </c>
      <c r="I15872">
        <v>360</v>
      </c>
      <c r="J15872" t="s">
        <v>450</v>
      </c>
      <c r="K15872" t="s">
        <v>446</v>
      </c>
      <c r="M15872">
        <v>0</v>
      </c>
    </row>
    <row r="15873" spans="1:13">
      <c r="A15873">
        <v>87054700</v>
      </c>
      <c r="B15873">
        <v>2010271</v>
      </c>
      <c r="C15873" t="s">
        <v>8413</v>
      </c>
      <c r="D15873" t="s">
        <v>442</v>
      </c>
      <c r="E15873" t="s">
        <v>441</v>
      </c>
      <c r="F15873">
        <v>0.1</v>
      </c>
      <c r="H15873" t="s">
        <v>8624</v>
      </c>
      <c r="I15873">
        <v>360</v>
      </c>
      <c r="J15873" t="s">
        <v>450</v>
      </c>
      <c r="M15873">
        <v>0</v>
      </c>
    </row>
    <row r="15874" spans="1:13">
      <c r="A15874">
        <v>87054800</v>
      </c>
      <c r="B15874">
        <v>2010235</v>
      </c>
      <c r="C15874" t="s">
        <v>8414</v>
      </c>
      <c r="D15874" t="s">
        <v>442</v>
      </c>
      <c r="E15874" t="s">
        <v>441</v>
      </c>
      <c r="F15874">
        <v>0.3</v>
      </c>
      <c r="I15874">
        <v>360</v>
      </c>
      <c r="J15874" t="s">
        <v>450</v>
      </c>
      <c r="M15874">
        <v>0</v>
      </c>
    </row>
    <row r="15875" spans="1:13">
      <c r="A15875">
        <v>87054900</v>
      </c>
      <c r="B15875">
        <v>2010306</v>
      </c>
      <c r="C15875" t="s">
        <v>8415</v>
      </c>
      <c r="D15875" t="s">
        <v>442</v>
      </c>
      <c r="E15875" t="s">
        <v>441</v>
      </c>
      <c r="F15875">
        <v>1</v>
      </c>
      <c r="H15875" t="s">
        <v>8580</v>
      </c>
      <c r="I15875">
        <v>360</v>
      </c>
      <c r="J15875" t="s">
        <v>450</v>
      </c>
      <c r="K15875" t="s">
        <v>446</v>
      </c>
      <c r="M15875">
        <v>0</v>
      </c>
    </row>
    <row r="15876" spans="1:13">
      <c r="A15876">
        <v>87055100</v>
      </c>
      <c r="B15876">
        <v>2005603</v>
      </c>
      <c r="C15876" t="s">
        <v>8416</v>
      </c>
      <c r="D15876" t="s">
        <v>442</v>
      </c>
      <c r="E15876" t="s">
        <v>441</v>
      </c>
      <c r="F15876">
        <v>1E-3</v>
      </c>
      <c r="H15876" t="s">
        <v>13782</v>
      </c>
      <c r="I15876">
        <v>365</v>
      </c>
      <c r="J15876" t="s">
        <v>450</v>
      </c>
      <c r="K15876" t="s">
        <v>446</v>
      </c>
      <c r="M15876">
        <v>0</v>
      </c>
    </row>
    <row r="15877" spans="1:13">
      <c r="A15877">
        <v>87055300</v>
      </c>
      <c r="B15877">
        <v>2010404</v>
      </c>
      <c r="C15877" t="s">
        <v>8417</v>
      </c>
      <c r="D15877" t="s">
        <v>442</v>
      </c>
      <c r="E15877" t="s">
        <v>441</v>
      </c>
      <c r="F15877">
        <v>0.3</v>
      </c>
      <c r="I15877">
        <v>360</v>
      </c>
      <c r="J15877" t="s">
        <v>450</v>
      </c>
      <c r="M15877">
        <v>0</v>
      </c>
    </row>
    <row r="15878" spans="1:13">
      <c r="A15878">
        <v>87055400</v>
      </c>
      <c r="B15878">
        <v>2004936</v>
      </c>
      <c r="C15878" t="s">
        <v>8418</v>
      </c>
      <c r="D15878" t="s">
        <v>442</v>
      </c>
      <c r="E15878" t="s">
        <v>441</v>
      </c>
      <c r="F15878">
        <v>5.6000000000000001E-2</v>
      </c>
      <c r="H15878" t="s">
        <v>8580</v>
      </c>
      <c r="I15878">
        <v>730</v>
      </c>
      <c r="J15878" t="s">
        <v>450</v>
      </c>
      <c r="M15878">
        <v>0</v>
      </c>
    </row>
    <row r="15879" spans="1:13">
      <c r="A15879">
        <v>87055500</v>
      </c>
      <c r="B15879">
        <v>2008956</v>
      </c>
      <c r="C15879" t="s">
        <v>8419</v>
      </c>
      <c r="D15879" t="s">
        <v>442</v>
      </c>
      <c r="E15879" t="s">
        <v>441</v>
      </c>
      <c r="F15879">
        <v>0.16</v>
      </c>
      <c r="H15879" t="s">
        <v>8580</v>
      </c>
      <c r="I15879">
        <v>365</v>
      </c>
      <c r="J15879" t="s">
        <v>450</v>
      </c>
      <c r="M15879">
        <v>0</v>
      </c>
    </row>
    <row r="15880" spans="1:13">
      <c r="A15880">
        <v>87055600</v>
      </c>
      <c r="B15880">
        <v>2004926</v>
      </c>
      <c r="C15880" t="s">
        <v>8420</v>
      </c>
      <c r="D15880" t="s">
        <v>442</v>
      </c>
      <c r="E15880" t="s">
        <v>441</v>
      </c>
      <c r="F15880">
        <v>0.318</v>
      </c>
      <c r="H15880" t="s">
        <v>8580</v>
      </c>
      <c r="I15880">
        <v>730</v>
      </c>
      <c r="J15880" t="s">
        <v>450</v>
      </c>
      <c r="M15880">
        <v>0</v>
      </c>
    </row>
    <row r="15881" spans="1:13">
      <c r="A15881">
        <v>87055700</v>
      </c>
      <c r="B15881">
        <v>2004927</v>
      </c>
      <c r="C15881" t="s">
        <v>8421</v>
      </c>
      <c r="D15881" t="s">
        <v>442</v>
      </c>
      <c r="E15881" t="s">
        <v>441</v>
      </c>
      <c r="F15881">
        <v>0.318</v>
      </c>
      <c r="I15881">
        <v>730</v>
      </c>
      <c r="J15881" t="s">
        <v>450</v>
      </c>
      <c r="M15881">
        <v>0</v>
      </c>
    </row>
    <row r="15882" spans="1:13">
      <c r="A15882">
        <v>87055800</v>
      </c>
      <c r="B15882">
        <v>2004917</v>
      </c>
      <c r="C15882" t="s">
        <v>8422</v>
      </c>
      <c r="D15882" t="s">
        <v>442</v>
      </c>
      <c r="E15882" t="s">
        <v>441</v>
      </c>
      <c r="F15882">
        <v>0.314</v>
      </c>
      <c r="H15882" t="s">
        <v>8584</v>
      </c>
      <c r="I15882">
        <v>730</v>
      </c>
      <c r="J15882" t="s">
        <v>450</v>
      </c>
      <c r="M15882">
        <v>0</v>
      </c>
    </row>
    <row r="15883" spans="1:13">
      <c r="A15883">
        <v>87055900</v>
      </c>
      <c r="B15883">
        <v>2008957</v>
      </c>
      <c r="C15883" t="s">
        <v>8423</v>
      </c>
      <c r="D15883" t="s">
        <v>442</v>
      </c>
      <c r="E15883" t="s">
        <v>441</v>
      </c>
      <c r="F15883">
        <v>0.28000000000000003</v>
      </c>
      <c r="H15883" t="s">
        <v>8580</v>
      </c>
      <c r="I15883">
        <v>365</v>
      </c>
      <c r="J15883" t="s">
        <v>450</v>
      </c>
      <c r="M15883">
        <v>0</v>
      </c>
    </row>
    <row r="15884" spans="1:13">
      <c r="A15884">
        <v>87056100</v>
      </c>
      <c r="B15884">
        <v>2010528</v>
      </c>
      <c r="C15884" t="s">
        <v>8424</v>
      </c>
      <c r="D15884" t="s">
        <v>442</v>
      </c>
      <c r="E15884" t="s">
        <v>441</v>
      </c>
      <c r="F15884">
        <v>0.3</v>
      </c>
      <c r="H15884" t="s">
        <v>8583</v>
      </c>
      <c r="I15884">
        <v>360</v>
      </c>
      <c r="J15884" t="s">
        <v>450</v>
      </c>
      <c r="K15884" t="s">
        <v>446</v>
      </c>
      <c r="M15884">
        <v>0</v>
      </c>
    </row>
    <row r="15885" spans="1:13">
      <c r="A15885">
        <v>87056400</v>
      </c>
      <c r="B15885">
        <v>2010612</v>
      </c>
      <c r="C15885" t="s">
        <v>8425</v>
      </c>
      <c r="D15885" t="s">
        <v>442</v>
      </c>
      <c r="E15885" t="s">
        <v>441</v>
      </c>
      <c r="F15885">
        <v>0.2</v>
      </c>
      <c r="H15885" t="s">
        <v>8583</v>
      </c>
      <c r="I15885">
        <v>360</v>
      </c>
      <c r="J15885" t="s">
        <v>450</v>
      </c>
      <c r="K15885" t="s">
        <v>446</v>
      </c>
      <c r="M15885">
        <v>0</v>
      </c>
    </row>
    <row r="15886" spans="1:13">
      <c r="A15886">
        <v>87057800</v>
      </c>
      <c r="B15886">
        <v>2009721</v>
      </c>
      <c r="C15886" t="s">
        <v>8426</v>
      </c>
      <c r="D15886" t="s">
        <v>442</v>
      </c>
      <c r="E15886" t="s">
        <v>441</v>
      </c>
      <c r="F15886">
        <v>0.5</v>
      </c>
      <c r="I15886">
        <v>360</v>
      </c>
      <c r="J15886" t="s">
        <v>450</v>
      </c>
      <c r="M15886">
        <v>0</v>
      </c>
    </row>
    <row r="15887" spans="1:13">
      <c r="A15887">
        <v>87058100</v>
      </c>
      <c r="B15887">
        <v>2010646</v>
      </c>
      <c r="C15887" t="s">
        <v>8427</v>
      </c>
      <c r="D15887" t="s">
        <v>442</v>
      </c>
      <c r="E15887" t="s">
        <v>441</v>
      </c>
      <c r="F15887">
        <v>0.05</v>
      </c>
      <c r="I15887">
        <v>360</v>
      </c>
      <c r="J15887" t="s">
        <v>450</v>
      </c>
      <c r="K15887" t="s">
        <v>446</v>
      </c>
      <c r="M15887">
        <v>0</v>
      </c>
    </row>
    <row r="15888" spans="1:13">
      <c r="A15888">
        <v>87058200</v>
      </c>
      <c r="B15888">
        <v>2010659</v>
      </c>
      <c r="C15888" t="s">
        <v>8428</v>
      </c>
      <c r="D15888" t="s">
        <v>442</v>
      </c>
      <c r="E15888" t="s">
        <v>441</v>
      </c>
      <c r="F15888">
        <v>0.05</v>
      </c>
      <c r="H15888" t="s">
        <v>8580</v>
      </c>
      <c r="I15888">
        <v>360</v>
      </c>
      <c r="J15888" t="s">
        <v>450</v>
      </c>
      <c r="K15888" t="s">
        <v>446</v>
      </c>
      <c r="M15888">
        <v>0</v>
      </c>
    </row>
    <row r="15889" spans="1:13">
      <c r="A15889">
        <v>87058300</v>
      </c>
      <c r="B15889">
        <v>2010664</v>
      </c>
      <c r="C15889" t="s">
        <v>8429</v>
      </c>
      <c r="D15889" t="s">
        <v>442</v>
      </c>
      <c r="E15889" t="s">
        <v>441</v>
      </c>
      <c r="F15889">
        <v>0.05</v>
      </c>
      <c r="H15889" t="s">
        <v>8580</v>
      </c>
      <c r="I15889">
        <v>360</v>
      </c>
      <c r="J15889" t="s">
        <v>450</v>
      </c>
      <c r="K15889" t="s">
        <v>446</v>
      </c>
      <c r="M15889">
        <v>0</v>
      </c>
    </row>
    <row r="15890" spans="1:13">
      <c r="A15890">
        <v>87058400</v>
      </c>
      <c r="B15890">
        <v>2010653</v>
      </c>
      <c r="C15890" t="s">
        <v>8430</v>
      </c>
      <c r="D15890" t="s">
        <v>442</v>
      </c>
      <c r="E15890" t="s">
        <v>441</v>
      </c>
      <c r="F15890">
        <v>0.05</v>
      </c>
      <c r="H15890" t="s">
        <v>8584</v>
      </c>
      <c r="I15890">
        <v>360</v>
      </c>
      <c r="J15890" t="s">
        <v>450</v>
      </c>
      <c r="K15890" t="s">
        <v>446</v>
      </c>
      <c r="M15890">
        <v>0</v>
      </c>
    </row>
    <row r="15891" spans="1:13">
      <c r="A15891">
        <v>87058500</v>
      </c>
      <c r="B15891">
        <v>2010652</v>
      </c>
      <c r="C15891" t="s">
        <v>8431</v>
      </c>
      <c r="D15891" t="s">
        <v>442</v>
      </c>
      <c r="E15891" t="s">
        <v>441</v>
      </c>
      <c r="F15891">
        <v>0.05</v>
      </c>
      <c r="H15891" t="s">
        <v>8580</v>
      </c>
      <c r="I15891">
        <v>360</v>
      </c>
      <c r="J15891" t="s">
        <v>450</v>
      </c>
      <c r="K15891" t="s">
        <v>446</v>
      </c>
      <c r="M15891">
        <v>0</v>
      </c>
    </row>
    <row r="15892" spans="1:13">
      <c r="A15892">
        <v>87058600</v>
      </c>
      <c r="B15892">
        <v>2010627</v>
      </c>
      <c r="C15892" t="s">
        <v>8432</v>
      </c>
      <c r="D15892" t="s">
        <v>442</v>
      </c>
      <c r="E15892" t="s">
        <v>441</v>
      </c>
      <c r="F15892">
        <v>0.3</v>
      </c>
      <c r="H15892" t="s">
        <v>8580</v>
      </c>
      <c r="I15892">
        <v>360</v>
      </c>
      <c r="J15892" t="s">
        <v>450</v>
      </c>
      <c r="M15892">
        <v>0</v>
      </c>
    </row>
    <row r="15893" spans="1:13">
      <c r="A15893">
        <v>87058700</v>
      </c>
      <c r="B15893">
        <v>2010628</v>
      </c>
      <c r="C15893" t="s">
        <v>8433</v>
      </c>
      <c r="D15893" t="s">
        <v>442</v>
      </c>
      <c r="E15893" t="s">
        <v>441</v>
      </c>
      <c r="F15893">
        <v>0.3</v>
      </c>
      <c r="H15893" t="s">
        <v>8580</v>
      </c>
      <c r="I15893">
        <v>360</v>
      </c>
      <c r="J15893" t="s">
        <v>450</v>
      </c>
      <c r="M15893">
        <v>0</v>
      </c>
    </row>
    <row r="15894" spans="1:13">
      <c r="A15894">
        <v>87058800</v>
      </c>
      <c r="B15894">
        <v>2010629</v>
      </c>
      <c r="C15894" t="s">
        <v>8434</v>
      </c>
      <c r="D15894" t="s">
        <v>442</v>
      </c>
      <c r="E15894" t="s">
        <v>441</v>
      </c>
      <c r="F15894">
        <v>0.3</v>
      </c>
      <c r="H15894" t="s">
        <v>9302</v>
      </c>
      <c r="I15894">
        <v>360</v>
      </c>
      <c r="J15894" t="s">
        <v>450</v>
      </c>
      <c r="M15894">
        <v>0</v>
      </c>
    </row>
    <row r="15895" spans="1:13">
      <c r="A15895">
        <v>87058900</v>
      </c>
      <c r="B15895">
        <v>2010680</v>
      </c>
      <c r="C15895" t="s">
        <v>8435</v>
      </c>
      <c r="D15895" t="s">
        <v>442</v>
      </c>
      <c r="E15895" t="s">
        <v>441</v>
      </c>
      <c r="F15895">
        <v>0.2</v>
      </c>
      <c r="H15895" t="s">
        <v>9302</v>
      </c>
      <c r="I15895">
        <v>360</v>
      </c>
      <c r="J15895" t="s">
        <v>450</v>
      </c>
      <c r="M15895">
        <v>0</v>
      </c>
    </row>
    <row r="15896" spans="1:13">
      <c r="A15896">
        <v>87059100</v>
      </c>
      <c r="B15896">
        <v>2010700</v>
      </c>
      <c r="C15896" t="s">
        <v>8436</v>
      </c>
      <c r="D15896" t="s">
        <v>442</v>
      </c>
      <c r="E15896" t="s">
        <v>441</v>
      </c>
      <c r="F15896">
        <v>0.2</v>
      </c>
      <c r="H15896" t="s">
        <v>8584</v>
      </c>
      <c r="I15896">
        <v>360</v>
      </c>
      <c r="J15896" t="s">
        <v>450</v>
      </c>
      <c r="M15896">
        <v>0</v>
      </c>
    </row>
    <row r="15897" spans="1:13">
      <c r="A15897">
        <v>87059200</v>
      </c>
      <c r="B15897">
        <v>2010723</v>
      </c>
      <c r="C15897" t="s">
        <v>8437</v>
      </c>
      <c r="D15897" t="s">
        <v>442</v>
      </c>
      <c r="E15897" t="s">
        <v>441</v>
      </c>
      <c r="F15897">
        <v>0.3</v>
      </c>
      <c r="H15897" t="s">
        <v>8583</v>
      </c>
      <c r="I15897">
        <v>360</v>
      </c>
      <c r="J15897" t="s">
        <v>450</v>
      </c>
      <c r="K15897" t="s">
        <v>446</v>
      </c>
      <c r="M15897">
        <v>0</v>
      </c>
    </row>
    <row r="15898" spans="1:13">
      <c r="A15898">
        <v>87059300</v>
      </c>
      <c r="B15898">
        <v>2010724</v>
      </c>
      <c r="C15898" t="s">
        <v>8438</v>
      </c>
      <c r="D15898" t="s">
        <v>442</v>
      </c>
      <c r="E15898" t="s">
        <v>441</v>
      </c>
      <c r="F15898">
        <v>0.1</v>
      </c>
      <c r="H15898" t="s">
        <v>8583</v>
      </c>
      <c r="I15898">
        <v>360</v>
      </c>
      <c r="J15898" t="s">
        <v>450</v>
      </c>
      <c r="K15898" t="s">
        <v>446</v>
      </c>
      <c r="M15898">
        <v>0</v>
      </c>
    </row>
    <row r="15899" spans="1:13">
      <c r="A15899">
        <v>87059400</v>
      </c>
      <c r="B15899">
        <v>2001591</v>
      </c>
      <c r="C15899" t="s">
        <v>8439</v>
      </c>
      <c r="D15899" t="s">
        <v>442</v>
      </c>
      <c r="E15899" t="s">
        <v>441</v>
      </c>
      <c r="F15899">
        <v>0.37</v>
      </c>
      <c r="H15899" t="s">
        <v>13782</v>
      </c>
      <c r="I15899">
        <v>730</v>
      </c>
      <c r="J15899" t="s">
        <v>450</v>
      </c>
      <c r="K15899" t="s">
        <v>446</v>
      </c>
      <c r="M15899">
        <v>0</v>
      </c>
    </row>
    <row r="15900" spans="1:13">
      <c r="A15900">
        <v>87059500</v>
      </c>
      <c r="B15900">
        <v>2010771</v>
      </c>
      <c r="C15900" t="s">
        <v>8440</v>
      </c>
      <c r="D15900" t="s">
        <v>442</v>
      </c>
      <c r="E15900" t="s">
        <v>441</v>
      </c>
      <c r="F15900">
        <v>0.2</v>
      </c>
      <c r="H15900" t="s">
        <v>8637</v>
      </c>
      <c r="I15900">
        <v>360</v>
      </c>
      <c r="J15900" t="s">
        <v>450</v>
      </c>
      <c r="M15900">
        <v>0</v>
      </c>
    </row>
    <row r="15901" spans="1:13">
      <c r="A15901">
        <v>87059600</v>
      </c>
      <c r="B15901">
        <v>2010770</v>
      </c>
      <c r="C15901" t="s">
        <v>8441</v>
      </c>
      <c r="D15901" t="s">
        <v>442</v>
      </c>
      <c r="E15901" t="s">
        <v>441</v>
      </c>
      <c r="F15901">
        <v>0.1</v>
      </c>
      <c r="H15901" t="s">
        <v>8580</v>
      </c>
      <c r="I15901">
        <v>360</v>
      </c>
      <c r="J15901" t="s">
        <v>450</v>
      </c>
      <c r="M15901">
        <v>0</v>
      </c>
    </row>
    <row r="15902" spans="1:13">
      <c r="A15902">
        <v>87060100</v>
      </c>
      <c r="B15902">
        <v>2010847</v>
      </c>
      <c r="C15902" t="s">
        <v>8442</v>
      </c>
      <c r="D15902" t="s">
        <v>442</v>
      </c>
      <c r="E15902" t="s">
        <v>441</v>
      </c>
      <c r="F15902">
        <v>0.25</v>
      </c>
      <c r="H15902" t="s">
        <v>8935</v>
      </c>
      <c r="I15902">
        <v>360</v>
      </c>
      <c r="J15902" t="s">
        <v>450</v>
      </c>
      <c r="M15902">
        <v>0</v>
      </c>
    </row>
    <row r="15903" spans="1:13">
      <c r="A15903">
        <v>87060300</v>
      </c>
      <c r="B15903">
        <v>2010905</v>
      </c>
      <c r="C15903" t="s">
        <v>8443</v>
      </c>
      <c r="D15903" t="s">
        <v>442</v>
      </c>
      <c r="E15903" t="s">
        <v>441</v>
      </c>
      <c r="F15903">
        <v>0.25</v>
      </c>
      <c r="H15903" t="s">
        <v>8935</v>
      </c>
      <c r="I15903">
        <v>360</v>
      </c>
      <c r="J15903" t="s">
        <v>450</v>
      </c>
      <c r="M15903">
        <v>0</v>
      </c>
    </row>
    <row r="15904" spans="1:13">
      <c r="A15904">
        <v>87060400</v>
      </c>
      <c r="B15904">
        <v>2011074</v>
      </c>
      <c r="C15904" t="s">
        <v>8444</v>
      </c>
      <c r="D15904" t="s">
        <v>442</v>
      </c>
      <c r="E15904" t="s">
        <v>441</v>
      </c>
      <c r="F15904">
        <v>0.4</v>
      </c>
      <c r="H15904" t="s">
        <v>8580</v>
      </c>
      <c r="I15904">
        <v>360</v>
      </c>
      <c r="J15904" t="s">
        <v>450</v>
      </c>
      <c r="K15904" t="s">
        <v>446</v>
      </c>
      <c r="M15904">
        <v>0</v>
      </c>
    </row>
    <row r="15905" spans="1:13">
      <c r="A15905">
        <v>87060500</v>
      </c>
      <c r="B15905">
        <v>2010986</v>
      </c>
      <c r="C15905" t="s">
        <v>8445</v>
      </c>
      <c r="D15905" t="s">
        <v>442</v>
      </c>
      <c r="E15905" t="s">
        <v>441</v>
      </c>
      <c r="F15905">
        <v>0.3</v>
      </c>
      <c r="H15905" t="s">
        <v>8580</v>
      </c>
      <c r="I15905">
        <v>360</v>
      </c>
      <c r="J15905" t="s">
        <v>450</v>
      </c>
      <c r="K15905" t="s">
        <v>446</v>
      </c>
      <c r="M15905">
        <v>0</v>
      </c>
    </row>
    <row r="15906" spans="1:13">
      <c r="A15906">
        <v>87060600</v>
      </c>
      <c r="B15906">
        <v>2011141</v>
      </c>
      <c r="C15906" t="s">
        <v>8446</v>
      </c>
      <c r="D15906" t="s">
        <v>442</v>
      </c>
      <c r="E15906" t="s">
        <v>441</v>
      </c>
      <c r="F15906">
        <v>0.3</v>
      </c>
      <c r="H15906" t="s">
        <v>8634</v>
      </c>
      <c r="I15906">
        <v>360</v>
      </c>
      <c r="J15906" t="s">
        <v>450</v>
      </c>
      <c r="K15906" t="s">
        <v>446</v>
      </c>
      <c r="M15906">
        <v>0</v>
      </c>
    </row>
    <row r="15907" spans="1:13">
      <c r="A15907">
        <v>87060700</v>
      </c>
      <c r="B15907">
        <v>2011142</v>
      </c>
      <c r="C15907" t="s">
        <v>8447</v>
      </c>
      <c r="D15907" t="s">
        <v>442</v>
      </c>
      <c r="E15907" t="s">
        <v>441</v>
      </c>
      <c r="F15907">
        <v>0.3</v>
      </c>
      <c r="H15907" t="s">
        <v>8624</v>
      </c>
      <c r="I15907">
        <v>360</v>
      </c>
      <c r="J15907" t="s">
        <v>450</v>
      </c>
      <c r="K15907" t="s">
        <v>446</v>
      </c>
      <c r="M15907">
        <v>0</v>
      </c>
    </row>
    <row r="15908" spans="1:13">
      <c r="A15908">
        <v>87060800</v>
      </c>
      <c r="B15908">
        <v>2011145</v>
      </c>
      <c r="C15908" t="s">
        <v>8448</v>
      </c>
      <c r="D15908" t="s">
        <v>442</v>
      </c>
      <c r="E15908" t="s">
        <v>441</v>
      </c>
      <c r="F15908">
        <v>0.29899999999999999</v>
      </c>
      <c r="H15908" t="s">
        <v>8583</v>
      </c>
      <c r="I15908">
        <v>360</v>
      </c>
      <c r="J15908" t="s">
        <v>450</v>
      </c>
      <c r="M15908">
        <v>0</v>
      </c>
    </row>
    <row r="15909" spans="1:13">
      <c r="A15909">
        <v>87060900</v>
      </c>
      <c r="B15909">
        <v>2011320</v>
      </c>
      <c r="C15909" t="s">
        <v>8449</v>
      </c>
      <c r="D15909" t="s">
        <v>442</v>
      </c>
      <c r="E15909" t="s">
        <v>441</v>
      </c>
      <c r="F15909">
        <v>0.3</v>
      </c>
      <c r="H15909" t="s">
        <v>8583</v>
      </c>
      <c r="I15909">
        <v>360</v>
      </c>
      <c r="J15909" t="s">
        <v>450</v>
      </c>
      <c r="K15909" t="s">
        <v>446</v>
      </c>
      <c r="M15909">
        <v>0</v>
      </c>
    </row>
    <row r="15910" spans="1:13">
      <c r="A15910">
        <v>87070100</v>
      </c>
      <c r="B15910">
        <v>2011401</v>
      </c>
      <c r="C15910" t="s">
        <v>8450</v>
      </c>
      <c r="D15910" t="s">
        <v>442</v>
      </c>
      <c r="E15910" t="s">
        <v>441</v>
      </c>
      <c r="F15910">
        <v>0.5</v>
      </c>
      <c r="H15910" t="s">
        <v>8580</v>
      </c>
      <c r="I15910">
        <v>790</v>
      </c>
      <c r="J15910" t="s">
        <v>450</v>
      </c>
      <c r="M15910">
        <v>0</v>
      </c>
    </row>
    <row r="15911" spans="1:13">
      <c r="A15911">
        <v>87070200</v>
      </c>
      <c r="B15911">
        <v>2011400</v>
      </c>
      <c r="C15911" t="s">
        <v>8451</v>
      </c>
      <c r="D15911" t="s">
        <v>442</v>
      </c>
      <c r="E15911" t="s">
        <v>441</v>
      </c>
      <c r="F15911">
        <v>0.5</v>
      </c>
      <c r="H15911" t="s">
        <v>8580</v>
      </c>
      <c r="I15911">
        <v>790</v>
      </c>
      <c r="J15911" t="s">
        <v>450</v>
      </c>
      <c r="M15911">
        <v>0</v>
      </c>
    </row>
    <row r="15912" spans="1:13">
      <c r="A15912">
        <v>87070300</v>
      </c>
      <c r="B15912">
        <v>2011433</v>
      </c>
      <c r="C15912" t="s">
        <v>15250</v>
      </c>
      <c r="D15912" t="s">
        <v>442</v>
      </c>
      <c r="E15912" t="s">
        <v>441</v>
      </c>
      <c r="F15912">
        <v>0.73499999999999999</v>
      </c>
      <c r="H15912" t="s">
        <v>8580</v>
      </c>
      <c r="I15912">
        <v>790</v>
      </c>
      <c r="J15912" t="s">
        <v>450</v>
      </c>
      <c r="M15912">
        <v>0</v>
      </c>
    </row>
    <row r="15913" spans="1:13">
      <c r="A15913">
        <v>87070400</v>
      </c>
      <c r="B15913">
        <v>2011349</v>
      </c>
      <c r="C15913" t="s">
        <v>8452</v>
      </c>
      <c r="D15913" t="s">
        <v>442</v>
      </c>
      <c r="E15913" t="s">
        <v>441</v>
      </c>
      <c r="F15913">
        <v>0.5</v>
      </c>
      <c r="H15913" t="s">
        <v>8586</v>
      </c>
      <c r="I15913">
        <v>790</v>
      </c>
      <c r="J15913" t="s">
        <v>450</v>
      </c>
      <c r="K15913" t="s">
        <v>446</v>
      </c>
      <c r="M15913">
        <v>0</v>
      </c>
    </row>
    <row r="15914" spans="1:13">
      <c r="A15914">
        <v>87070500</v>
      </c>
      <c r="B15914">
        <v>2011806</v>
      </c>
      <c r="C15914" t="s">
        <v>8453</v>
      </c>
      <c r="D15914" t="s">
        <v>442</v>
      </c>
      <c r="E15914" t="s">
        <v>441</v>
      </c>
      <c r="F15914">
        <v>0.3</v>
      </c>
      <c r="H15914" t="s">
        <v>8580</v>
      </c>
      <c r="I15914">
        <v>360</v>
      </c>
      <c r="J15914" t="s">
        <v>450</v>
      </c>
      <c r="M15914">
        <v>0</v>
      </c>
    </row>
    <row r="15915" spans="1:13">
      <c r="A15915">
        <v>87070600</v>
      </c>
      <c r="B15915">
        <v>2011831</v>
      </c>
      <c r="C15915" t="s">
        <v>8454</v>
      </c>
      <c r="D15915" t="s">
        <v>442</v>
      </c>
      <c r="E15915" t="s">
        <v>441</v>
      </c>
      <c r="F15915">
        <v>0.3</v>
      </c>
      <c r="I15915">
        <v>360</v>
      </c>
      <c r="J15915" t="s">
        <v>450</v>
      </c>
      <c r="M15915">
        <v>0</v>
      </c>
    </row>
    <row r="15916" spans="1:13">
      <c r="A15916">
        <v>87070700</v>
      </c>
      <c r="B15916">
        <v>2011811</v>
      </c>
      <c r="C15916" t="s">
        <v>8455</v>
      </c>
      <c r="D15916" t="s">
        <v>442</v>
      </c>
      <c r="E15916" t="s">
        <v>441</v>
      </c>
      <c r="F15916">
        <v>0.3</v>
      </c>
      <c r="H15916" t="s">
        <v>8584</v>
      </c>
      <c r="I15916">
        <v>360</v>
      </c>
      <c r="J15916" t="s">
        <v>450</v>
      </c>
      <c r="K15916" t="s">
        <v>446</v>
      </c>
      <c r="M15916">
        <v>0</v>
      </c>
    </row>
    <row r="15917" spans="1:13">
      <c r="A15917">
        <v>87070800</v>
      </c>
      <c r="B15917">
        <v>2011830</v>
      </c>
      <c r="C15917" t="s">
        <v>8456</v>
      </c>
      <c r="D15917" t="s">
        <v>442</v>
      </c>
      <c r="E15917" t="s">
        <v>441</v>
      </c>
      <c r="F15917">
        <v>0.1</v>
      </c>
      <c r="H15917" t="s">
        <v>8580</v>
      </c>
      <c r="I15917">
        <v>360</v>
      </c>
      <c r="J15917" t="s">
        <v>450</v>
      </c>
      <c r="K15917" t="s">
        <v>446</v>
      </c>
      <c r="M15917">
        <v>0</v>
      </c>
    </row>
    <row r="15918" spans="1:13">
      <c r="A15918">
        <v>87070900</v>
      </c>
      <c r="B15918">
        <v>2011840</v>
      </c>
      <c r="C15918" t="s">
        <v>8457</v>
      </c>
      <c r="D15918" t="s">
        <v>442</v>
      </c>
      <c r="E15918" t="s">
        <v>441</v>
      </c>
      <c r="F15918">
        <v>0.3</v>
      </c>
      <c r="H15918" t="s">
        <v>8580</v>
      </c>
      <c r="I15918">
        <v>360</v>
      </c>
      <c r="J15918" t="s">
        <v>450</v>
      </c>
      <c r="M15918">
        <v>0</v>
      </c>
    </row>
    <row r="15919" spans="1:13">
      <c r="A15919">
        <v>87071100</v>
      </c>
      <c r="B15919">
        <v>2011807</v>
      </c>
      <c r="C15919" t="s">
        <v>8458</v>
      </c>
      <c r="D15919" t="s">
        <v>442</v>
      </c>
      <c r="E15919" t="s">
        <v>441</v>
      </c>
      <c r="F15919">
        <v>0.5</v>
      </c>
      <c r="I15919">
        <v>790</v>
      </c>
      <c r="J15919" t="s">
        <v>450</v>
      </c>
      <c r="K15919" t="s">
        <v>446</v>
      </c>
      <c r="M15919">
        <v>0</v>
      </c>
    </row>
    <row r="15920" spans="1:13">
      <c r="A15920">
        <v>87071200</v>
      </c>
      <c r="B15920">
        <v>2011812</v>
      </c>
      <c r="C15920" t="s">
        <v>8459</v>
      </c>
      <c r="D15920" t="s">
        <v>442</v>
      </c>
      <c r="E15920" t="s">
        <v>441</v>
      </c>
      <c r="F15920">
        <v>0.5</v>
      </c>
      <c r="I15920">
        <v>790</v>
      </c>
      <c r="J15920" t="s">
        <v>450</v>
      </c>
      <c r="M15920">
        <v>0</v>
      </c>
    </row>
    <row r="15921" spans="1:13">
      <c r="A15921">
        <v>87071300</v>
      </c>
      <c r="B15921">
        <v>2011375</v>
      </c>
      <c r="C15921" t="s">
        <v>8460</v>
      </c>
      <c r="D15921" t="s">
        <v>442</v>
      </c>
      <c r="E15921" t="s">
        <v>441</v>
      </c>
      <c r="F15921">
        <v>0.5</v>
      </c>
      <c r="H15921" t="s">
        <v>8583</v>
      </c>
      <c r="I15921">
        <v>790</v>
      </c>
      <c r="J15921" t="s">
        <v>450</v>
      </c>
      <c r="K15921" t="s">
        <v>446</v>
      </c>
      <c r="M15921">
        <v>0</v>
      </c>
    </row>
    <row r="15922" spans="1:13">
      <c r="A15922">
        <v>87071400</v>
      </c>
      <c r="B15922">
        <v>2011844</v>
      </c>
      <c r="C15922" t="s">
        <v>8461</v>
      </c>
      <c r="D15922" t="s">
        <v>442</v>
      </c>
      <c r="E15922" t="s">
        <v>441</v>
      </c>
      <c r="F15922">
        <v>0.5</v>
      </c>
      <c r="H15922" t="s">
        <v>8584</v>
      </c>
      <c r="I15922">
        <v>360</v>
      </c>
      <c r="J15922" t="s">
        <v>450</v>
      </c>
      <c r="M15922">
        <v>0</v>
      </c>
    </row>
    <row r="15923" spans="1:13">
      <c r="A15923">
        <v>87071500</v>
      </c>
      <c r="B15923">
        <v>2011843</v>
      </c>
      <c r="C15923" t="s">
        <v>8462</v>
      </c>
      <c r="D15923" t="s">
        <v>442</v>
      </c>
      <c r="E15923" t="s">
        <v>441</v>
      </c>
      <c r="F15923">
        <v>0.5</v>
      </c>
      <c r="H15923" t="s">
        <v>9815</v>
      </c>
      <c r="I15923">
        <v>360</v>
      </c>
      <c r="J15923" t="s">
        <v>450</v>
      </c>
      <c r="M15923">
        <v>0</v>
      </c>
    </row>
    <row r="15924" spans="1:13">
      <c r="A15924">
        <v>87071600</v>
      </c>
      <c r="B15924">
        <v>2012001</v>
      </c>
      <c r="C15924" t="s">
        <v>8463</v>
      </c>
      <c r="D15924" t="s">
        <v>442</v>
      </c>
      <c r="E15924" t="s">
        <v>441</v>
      </c>
      <c r="F15924">
        <v>0.3</v>
      </c>
      <c r="H15924" t="s">
        <v>8580</v>
      </c>
      <c r="I15924">
        <v>360</v>
      </c>
      <c r="J15924" t="s">
        <v>450</v>
      </c>
      <c r="M15924">
        <v>0</v>
      </c>
    </row>
    <row r="15925" spans="1:13">
      <c r="A15925">
        <v>87071700</v>
      </c>
      <c r="B15925">
        <v>2012000</v>
      </c>
      <c r="C15925" t="s">
        <v>8464</v>
      </c>
      <c r="D15925" t="s">
        <v>442</v>
      </c>
      <c r="E15925" t="s">
        <v>441</v>
      </c>
      <c r="F15925">
        <v>0.3</v>
      </c>
      <c r="H15925" t="s">
        <v>8584</v>
      </c>
      <c r="I15925">
        <v>360</v>
      </c>
      <c r="J15925" t="s">
        <v>450</v>
      </c>
      <c r="M15925">
        <v>0</v>
      </c>
    </row>
    <row r="15926" spans="1:13">
      <c r="A15926">
        <v>87071800</v>
      </c>
      <c r="B15926">
        <v>2011431</v>
      </c>
      <c r="C15926" t="s">
        <v>8465</v>
      </c>
      <c r="D15926" t="s">
        <v>442</v>
      </c>
      <c r="E15926" t="s">
        <v>441</v>
      </c>
      <c r="F15926">
        <v>0.55000000000000004</v>
      </c>
      <c r="H15926" t="s">
        <v>8580</v>
      </c>
      <c r="I15926">
        <v>730</v>
      </c>
      <c r="J15926" t="s">
        <v>450</v>
      </c>
      <c r="M15926">
        <v>0</v>
      </c>
    </row>
    <row r="15927" spans="1:13">
      <c r="A15927">
        <v>87071900</v>
      </c>
      <c r="B15927">
        <v>2011432</v>
      </c>
      <c r="C15927" t="s">
        <v>8466</v>
      </c>
      <c r="D15927" t="s">
        <v>442</v>
      </c>
      <c r="E15927" t="s">
        <v>441</v>
      </c>
      <c r="F15927">
        <v>0.55000000000000004</v>
      </c>
      <c r="H15927" t="s">
        <v>8580</v>
      </c>
      <c r="I15927">
        <v>730</v>
      </c>
      <c r="J15927" t="s">
        <v>450</v>
      </c>
      <c r="M15927">
        <v>0</v>
      </c>
    </row>
    <row r="15928" spans="1:13">
      <c r="A15928">
        <v>87072100</v>
      </c>
      <c r="B15928">
        <v>2012052</v>
      </c>
      <c r="C15928" t="s">
        <v>8467</v>
      </c>
      <c r="D15928" t="s">
        <v>442</v>
      </c>
      <c r="E15928" t="s">
        <v>441</v>
      </c>
      <c r="F15928">
        <v>0.4</v>
      </c>
      <c r="H15928" t="s">
        <v>8584</v>
      </c>
      <c r="I15928">
        <v>360</v>
      </c>
      <c r="J15928" t="s">
        <v>450</v>
      </c>
      <c r="M15928">
        <v>0</v>
      </c>
    </row>
    <row r="15929" spans="1:13">
      <c r="A15929">
        <v>87072200</v>
      </c>
      <c r="B15929">
        <v>2012053</v>
      </c>
      <c r="C15929" t="s">
        <v>8468</v>
      </c>
      <c r="D15929" t="s">
        <v>442</v>
      </c>
      <c r="E15929" t="s">
        <v>441</v>
      </c>
      <c r="F15929">
        <v>0.2</v>
      </c>
      <c r="H15929" t="s">
        <v>8584</v>
      </c>
      <c r="I15929">
        <v>360</v>
      </c>
      <c r="J15929" t="s">
        <v>450</v>
      </c>
      <c r="M15929">
        <v>0</v>
      </c>
    </row>
    <row r="15930" spans="1:13">
      <c r="A15930">
        <v>87072300</v>
      </c>
      <c r="B15930">
        <v>2012181</v>
      </c>
      <c r="C15930" t="s">
        <v>8469</v>
      </c>
      <c r="D15930" t="s">
        <v>442</v>
      </c>
      <c r="E15930" t="s">
        <v>441</v>
      </c>
      <c r="F15930">
        <v>0.4</v>
      </c>
      <c r="H15930" t="s">
        <v>8584</v>
      </c>
      <c r="I15930">
        <v>360</v>
      </c>
      <c r="J15930" t="s">
        <v>450</v>
      </c>
      <c r="M15930">
        <v>0</v>
      </c>
    </row>
    <row r="15931" spans="1:13">
      <c r="A15931">
        <v>87072400</v>
      </c>
      <c r="B15931">
        <v>2012136</v>
      </c>
      <c r="C15931" t="s">
        <v>8470</v>
      </c>
      <c r="D15931" t="s">
        <v>442</v>
      </c>
      <c r="E15931" t="s">
        <v>441</v>
      </c>
      <c r="F15931">
        <v>0.4</v>
      </c>
      <c r="H15931" t="s">
        <v>8584</v>
      </c>
      <c r="I15931">
        <v>360</v>
      </c>
      <c r="J15931" t="s">
        <v>450</v>
      </c>
      <c r="M15931">
        <v>0</v>
      </c>
    </row>
    <row r="15932" spans="1:13">
      <c r="A15932">
        <v>87072500</v>
      </c>
      <c r="B15932">
        <v>2012204</v>
      </c>
      <c r="C15932" t="s">
        <v>8471</v>
      </c>
      <c r="D15932" t="s">
        <v>442</v>
      </c>
      <c r="E15932" t="s">
        <v>441</v>
      </c>
      <c r="F15932">
        <v>0.4</v>
      </c>
      <c r="H15932" t="s">
        <v>8584</v>
      </c>
      <c r="I15932">
        <v>360</v>
      </c>
      <c r="J15932" t="s">
        <v>450</v>
      </c>
      <c r="M15932">
        <v>0</v>
      </c>
    </row>
    <row r="15933" spans="1:13">
      <c r="A15933">
        <v>87072600</v>
      </c>
      <c r="B15933">
        <v>2012210</v>
      </c>
      <c r="C15933" t="s">
        <v>8472</v>
      </c>
      <c r="D15933" t="s">
        <v>442</v>
      </c>
      <c r="E15933" t="s">
        <v>441</v>
      </c>
      <c r="F15933">
        <v>0.3</v>
      </c>
      <c r="H15933" t="s">
        <v>8584</v>
      </c>
      <c r="I15933">
        <v>360</v>
      </c>
      <c r="J15933" t="s">
        <v>450</v>
      </c>
      <c r="M15933">
        <v>0</v>
      </c>
    </row>
    <row r="15934" spans="1:13">
      <c r="A15934">
        <v>87072700</v>
      </c>
      <c r="B15934">
        <v>2006959</v>
      </c>
      <c r="C15934" t="s">
        <v>8473</v>
      </c>
      <c r="D15934" t="s">
        <v>442</v>
      </c>
      <c r="E15934" t="s">
        <v>441</v>
      </c>
      <c r="F15934">
        <v>0.68</v>
      </c>
      <c r="H15934" t="s">
        <v>13782</v>
      </c>
      <c r="I15934">
        <v>720</v>
      </c>
      <c r="J15934" t="s">
        <v>450</v>
      </c>
      <c r="K15934" t="s">
        <v>446</v>
      </c>
      <c r="M15934">
        <v>0</v>
      </c>
    </row>
    <row r="15935" spans="1:13">
      <c r="A15935">
        <v>87072900</v>
      </c>
      <c r="B15935">
        <v>2000477</v>
      </c>
      <c r="C15935" t="s">
        <v>14129</v>
      </c>
      <c r="D15935" t="s">
        <v>442</v>
      </c>
      <c r="E15935" t="s">
        <v>441</v>
      </c>
      <c r="F15935">
        <v>8.4000000000000005E-2</v>
      </c>
      <c r="H15935" t="s">
        <v>13782</v>
      </c>
      <c r="I15935">
        <v>365</v>
      </c>
      <c r="J15935" t="s">
        <v>450</v>
      </c>
      <c r="K15935" t="s">
        <v>446</v>
      </c>
      <c r="M15935">
        <v>0</v>
      </c>
    </row>
    <row r="15936" spans="1:13">
      <c r="A15936">
        <v>87073100</v>
      </c>
      <c r="B15936">
        <v>2012467</v>
      </c>
      <c r="C15936" t="s">
        <v>14130</v>
      </c>
      <c r="D15936" t="s">
        <v>442</v>
      </c>
      <c r="E15936" t="s">
        <v>441</v>
      </c>
      <c r="F15936">
        <v>12</v>
      </c>
      <c r="H15936" t="s">
        <v>8584</v>
      </c>
      <c r="I15936">
        <v>360</v>
      </c>
      <c r="J15936" t="s">
        <v>450</v>
      </c>
      <c r="M15936">
        <v>0</v>
      </c>
    </row>
    <row r="15937" spans="1:13">
      <c r="A15937">
        <v>87073200</v>
      </c>
      <c r="B15937">
        <v>2012469</v>
      </c>
      <c r="C15937" t="s">
        <v>8474</v>
      </c>
      <c r="D15937" t="s">
        <v>442</v>
      </c>
      <c r="E15937" t="s">
        <v>441</v>
      </c>
      <c r="F15937">
        <v>0.3</v>
      </c>
      <c r="H15937" t="s">
        <v>8580</v>
      </c>
      <c r="I15937">
        <v>360</v>
      </c>
      <c r="J15937" t="s">
        <v>450</v>
      </c>
      <c r="M15937">
        <v>0</v>
      </c>
    </row>
    <row r="15938" spans="1:13">
      <c r="A15938">
        <v>87073300</v>
      </c>
      <c r="B15938">
        <v>2012550</v>
      </c>
      <c r="C15938" t="s">
        <v>8475</v>
      </c>
      <c r="D15938" t="s">
        <v>442</v>
      </c>
      <c r="E15938" t="s">
        <v>441</v>
      </c>
      <c r="F15938">
        <v>0.3</v>
      </c>
      <c r="H15938" t="s">
        <v>8584</v>
      </c>
      <c r="I15938">
        <v>360</v>
      </c>
      <c r="J15938" t="s">
        <v>450</v>
      </c>
      <c r="M15938">
        <v>0</v>
      </c>
    </row>
    <row r="15939" spans="1:13">
      <c r="A15939">
        <v>87400600</v>
      </c>
      <c r="B15939">
        <v>2003212</v>
      </c>
      <c r="C15939" t="s">
        <v>8476</v>
      </c>
      <c r="D15939" t="s">
        <v>442</v>
      </c>
      <c r="E15939" t="s">
        <v>441</v>
      </c>
      <c r="F15939">
        <v>3.6999999999999998E-2</v>
      </c>
      <c r="H15939" t="s">
        <v>8584</v>
      </c>
      <c r="I15939">
        <v>730</v>
      </c>
      <c r="J15939" t="s">
        <v>450</v>
      </c>
      <c r="M15939">
        <v>0</v>
      </c>
    </row>
    <row r="15940" spans="1:13">
      <c r="A15940">
        <v>87401700</v>
      </c>
      <c r="B15940">
        <v>2003213</v>
      </c>
      <c r="C15940" t="s">
        <v>14131</v>
      </c>
      <c r="D15940" t="s">
        <v>442</v>
      </c>
      <c r="E15940" t="s">
        <v>441</v>
      </c>
      <c r="F15940">
        <v>4.3999999999999997E-2</v>
      </c>
      <c r="H15940" t="s">
        <v>13782</v>
      </c>
      <c r="I15940">
        <v>730</v>
      </c>
      <c r="J15940" t="s">
        <v>450</v>
      </c>
      <c r="K15940" t="s">
        <v>446</v>
      </c>
      <c r="M15940">
        <v>0</v>
      </c>
    </row>
    <row r="15941" spans="1:13">
      <c r="A15941">
        <v>87401800</v>
      </c>
      <c r="B15941">
        <v>2003214</v>
      </c>
      <c r="C15941" t="s">
        <v>14132</v>
      </c>
      <c r="D15941" t="s">
        <v>442</v>
      </c>
      <c r="E15941" t="s">
        <v>441</v>
      </c>
      <c r="F15941">
        <v>1.6E-2</v>
      </c>
      <c r="H15941" t="s">
        <v>13782</v>
      </c>
      <c r="I15941">
        <v>730</v>
      </c>
      <c r="J15941" t="s">
        <v>450</v>
      </c>
      <c r="K15941" t="s">
        <v>446</v>
      </c>
      <c r="M15941">
        <v>0</v>
      </c>
    </row>
    <row r="15942" spans="1:13">
      <c r="A15942">
        <v>87402800</v>
      </c>
      <c r="B15942">
        <v>2001111</v>
      </c>
      <c r="C15942" t="s">
        <v>8477</v>
      </c>
      <c r="D15942" t="s">
        <v>442</v>
      </c>
      <c r="E15942" t="s">
        <v>441</v>
      </c>
      <c r="F15942">
        <v>0.33</v>
      </c>
      <c r="H15942" t="s">
        <v>8574</v>
      </c>
      <c r="I15942">
        <v>365</v>
      </c>
      <c r="J15942" t="s">
        <v>450</v>
      </c>
      <c r="M15942">
        <v>0</v>
      </c>
    </row>
    <row r="15943" spans="1:13">
      <c r="A15943">
        <v>87403200</v>
      </c>
      <c r="B15943">
        <v>2003215</v>
      </c>
      <c r="C15943" t="s">
        <v>14133</v>
      </c>
      <c r="D15943" t="s">
        <v>442</v>
      </c>
      <c r="E15943" t="s">
        <v>441</v>
      </c>
      <c r="F15943">
        <v>2.8000000000000001E-2</v>
      </c>
      <c r="H15943" t="s">
        <v>13782</v>
      </c>
      <c r="I15943">
        <v>730</v>
      </c>
      <c r="J15943" t="s">
        <v>450</v>
      </c>
      <c r="K15943" t="s">
        <v>446</v>
      </c>
      <c r="M15943">
        <v>0</v>
      </c>
    </row>
    <row r="15944" spans="1:13">
      <c r="A15944">
        <v>87403300</v>
      </c>
      <c r="B15944">
        <v>2003216</v>
      </c>
      <c r="C15944" t="s">
        <v>14134</v>
      </c>
      <c r="D15944" t="s">
        <v>442</v>
      </c>
      <c r="E15944" t="s">
        <v>441</v>
      </c>
      <c r="F15944">
        <v>4.2000000000000003E-2</v>
      </c>
      <c r="H15944" t="s">
        <v>13782</v>
      </c>
      <c r="I15944">
        <v>730</v>
      </c>
      <c r="J15944" t="s">
        <v>450</v>
      </c>
      <c r="K15944" t="s">
        <v>446</v>
      </c>
      <c r="M15944">
        <v>0</v>
      </c>
    </row>
    <row r="15945" spans="1:13">
      <c r="A15945">
        <v>87403700</v>
      </c>
      <c r="B15945">
        <v>2003217</v>
      </c>
      <c r="C15945" t="s">
        <v>14135</v>
      </c>
      <c r="D15945" t="s">
        <v>442</v>
      </c>
      <c r="E15945" t="s">
        <v>441</v>
      </c>
      <c r="F15945">
        <v>2.8000000000000001E-2</v>
      </c>
      <c r="H15945" t="s">
        <v>13782</v>
      </c>
      <c r="I15945">
        <v>730</v>
      </c>
      <c r="J15945" t="s">
        <v>450</v>
      </c>
      <c r="K15945" t="s">
        <v>446</v>
      </c>
      <c r="M15945">
        <v>0</v>
      </c>
    </row>
    <row r="15946" spans="1:13">
      <c r="A15946">
        <v>87404000</v>
      </c>
      <c r="B15946">
        <v>2003218</v>
      </c>
      <c r="C15946" t="s">
        <v>14136</v>
      </c>
      <c r="D15946" t="s">
        <v>442</v>
      </c>
      <c r="E15946" t="s">
        <v>441</v>
      </c>
      <c r="F15946">
        <v>3.2000000000000001E-2</v>
      </c>
      <c r="H15946" t="s">
        <v>13782</v>
      </c>
      <c r="I15946">
        <v>730</v>
      </c>
      <c r="J15946" t="s">
        <v>450</v>
      </c>
      <c r="K15946" t="s">
        <v>446</v>
      </c>
      <c r="M15946">
        <v>0</v>
      </c>
    </row>
    <row r="15947" spans="1:13">
      <c r="A15947">
        <v>87404100</v>
      </c>
      <c r="B15947">
        <v>2001641</v>
      </c>
      <c r="C15947" t="s">
        <v>14137</v>
      </c>
      <c r="D15947" t="s">
        <v>442</v>
      </c>
      <c r="E15947" t="s">
        <v>441</v>
      </c>
      <c r="F15947">
        <v>0.28999999999999998</v>
      </c>
      <c r="H15947" t="s">
        <v>13782</v>
      </c>
      <c r="I15947">
        <v>730</v>
      </c>
      <c r="J15947" t="s">
        <v>450</v>
      </c>
      <c r="K15947" t="s">
        <v>446</v>
      </c>
      <c r="M15947">
        <v>0</v>
      </c>
    </row>
    <row r="15948" spans="1:13">
      <c r="A15948">
        <v>87404200</v>
      </c>
      <c r="B15948">
        <v>2003219</v>
      </c>
      <c r="C15948" t="s">
        <v>14138</v>
      </c>
      <c r="D15948" t="s">
        <v>442</v>
      </c>
      <c r="E15948" t="s">
        <v>441</v>
      </c>
      <c r="F15948">
        <v>0.17499999999999999</v>
      </c>
      <c r="H15948" t="s">
        <v>13782</v>
      </c>
      <c r="I15948">
        <v>730</v>
      </c>
      <c r="J15948" t="s">
        <v>450</v>
      </c>
      <c r="K15948" t="s">
        <v>446</v>
      </c>
      <c r="M15948">
        <v>0</v>
      </c>
    </row>
    <row r="15949" spans="1:13">
      <c r="A15949">
        <v>87404300</v>
      </c>
      <c r="B15949">
        <v>2001608</v>
      </c>
      <c r="C15949" t="s">
        <v>14139</v>
      </c>
      <c r="D15949" t="s">
        <v>442</v>
      </c>
      <c r="E15949" t="s">
        <v>441</v>
      </c>
      <c r="F15949">
        <v>0.02</v>
      </c>
      <c r="H15949" t="s">
        <v>13782</v>
      </c>
      <c r="I15949">
        <v>730</v>
      </c>
      <c r="J15949" t="s">
        <v>450</v>
      </c>
      <c r="K15949" t="s">
        <v>446</v>
      </c>
      <c r="M15949">
        <v>0</v>
      </c>
    </row>
    <row r="15950" spans="1:13">
      <c r="A15950">
        <v>87404800</v>
      </c>
      <c r="B15950">
        <v>2016210</v>
      </c>
      <c r="C15950" t="s">
        <v>8478</v>
      </c>
      <c r="D15950" t="s">
        <v>442</v>
      </c>
      <c r="E15950" t="s">
        <v>441</v>
      </c>
      <c r="F15950">
        <v>0.2</v>
      </c>
      <c r="I15950">
        <v>360</v>
      </c>
      <c r="J15950" t="s">
        <v>450</v>
      </c>
      <c r="M15950">
        <v>0</v>
      </c>
    </row>
    <row r="15951" spans="1:13">
      <c r="A15951">
        <v>87404900</v>
      </c>
      <c r="B15951">
        <v>2016205</v>
      </c>
      <c r="C15951" t="s">
        <v>8479</v>
      </c>
      <c r="D15951" t="s">
        <v>442</v>
      </c>
      <c r="E15951" t="s">
        <v>441</v>
      </c>
      <c r="F15951">
        <v>0.2</v>
      </c>
      <c r="I15951">
        <v>360</v>
      </c>
      <c r="J15951" t="s">
        <v>450</v>
      </c>
      <c r="M15951">
        <v>0</v>
      </c>
    </row>
    <row r="15952" spans="1:13">
      <c r="A15952">
        <v>87405100</v>
      </c>
      <c r="B15952">
        <v>2016204</v>
      </c>
      <c r="C15952" t="s">
        <v>8480</v>
      </c>
      <c r="D15952" t="s">
        <v>442</v>
      </c>
      <c r="E15952" t="s">
        <v>441</v>
      </c>
      <c r="F15952">
        <v>0.2</v>
      </c>
      <c r="I15952">
        <v>360</v>
      </c>
      <c r="J15952" t="s">
        <v>450</v>
      </c>
      <c r="M15952">
        <v>0</v>
      </c>
    </row>
    <row r="15953" spans="1:13">
      <c r="A15953">
        <v>87405200</v>
      </c>
      <c r="B15953">
        <v>2016203</v>
      </c>
      <c r="C15953" t="s">
        <v>8481</v>
      </c>
      <c r="D15953" t="s">
        <v>442</v>
      </c>
      <c r="E15953" t="s">
        <v>441</v>
      </c>
      <c r="F15953">
        <v>0.2</v>
      </c>
      <c r="I15953">
        <v>360</v>
      </c>
      <c r="J15953" t="s">
        <v>450</v>
      </c>
      <c r="M15953">
        <v>0</v>
      </c>
    </row>
    <row r="15954" spans="1:13">
      <c r="A15954">
        <v>87405600</v>
      </c>
      <c r="B15954">
        <v>2016441</v>
      </c>
      <c r="C15954" t="s">
        <v>8482</v>
      </c>
      <c r="D15954" t="s">
        <v>442</v>
      </c>
      <c r="E15954" t="s">
        <v>441</v>
      </c>
      <c r="F15954">
        <v>0.3</v>
      </c>
      <c r="H15954" t="s">
        <v>8584</v>
      </c>
      <c r="I15954">
        <v>360</v>
      </c>
      <c r="J15954" t="s">
        <v>450</v>
      </c>
      <c r="M15954">
        <v>0</v>
      </c>
    </row>
    <row r="15955" spans="1:13">
      <c r="A15955">
        <v>87405800</v>
      </c>
      <c r="B15955">
        <v>2016503</v>
      </c>
      <c r="C15955" t="s">
        <v>8483</v>
      </c>
      <c r="D15955" t="s">
        <v>442</v>
      </c>
      <c r="E15955" t="s">
        <v>441</v>
      </c>
      <c r="F15955">
        <v>0.3</v>
      </c>
      <c r="H15955" t="s">
        <v>8584</v>
      </c>
      <c r="I15955">
        <v>360</v>
      </c>
      <c r="J15955" t="s">
        <v>450</v>
      </c>
      <c r="M15955">
        <v>0</v>
      </c>
    </row>
    <row r="15956" spans="1:13">
      <c r="A15956">
        <v>87405900</v>
      </c>
      <c r="B15956">
        <v>2016502</v>
      </c>
      <c r="C15956" t="s">
        <v>8484</v>
      </c>
      <c r="D15956" t="s">
        <v>442</v>
      </c>
      <c r="E15956" t="s">
        <v>441</v>
      </c>
      <c r="F15956">
        <v>0.3</v>
      </c>
      <c r="H15956" t="s">
        <v>8580</v>
      </c>
      <c r="I15956">
        <v>360</v>
      </c>
      <c r="J15956" t="s">
        <v>450</v>
      </c>
      <c r="M15956">
        <v>0</v>
      </c>
    </row>
    <row r="15957" spans="1:13">
      <c r="A15957">
        <v>87406100</v>
      </c>
      <c r="B15957">
        <v>2016532</v>
      </c>
      <c r="C15957" t="s">
        <v>8485</v>
      </c>
      <c r="D15957" t="s">
        <v>442</v>
      </c>
      <c r="E15957" t="s">
        <v>441</v>
      </c>
      <c r="F15957">
        <v>0.3</v>
      </c>
      <c r="H15957" t="s">
        <v>8580</v>
      </c>
      <c r="I15957">
        <v>360</v>
      </c>
      <c r="J15957" t="s">
        <v>450</v>
      </c>
      <c r="M15957">
        <v>0</v>
      </c>
    </row>
    <row r="15958" spans="1:13">
      <c r="A15958">
        <v>87406200</v>
      </c>
      <c r="B15958">
        <v>2016531</v>
      </c>
      <c r="C15958" t="s">
        <v>8486</v>
      </c>
      <c r="D15958" t="s">
        <v>442</v>
      </c>
      <c r="E15958" t="s">
        <v>441</v>
      </c>
      <c r="F15958">
        <v>0.3</v>
      </c>
      <c r="H15958" t="s">
        <v>8580</v>
      </c>
      <c r="I15958">
        <v>360</v>
      </c>
      <c r="J15958" t="s">
        <v>450</v>
      </c>
      <c r="M15958">
        <v>0</v>
      </c>
    </row>
    <row r="15959" spans="1:13">
      <c r="A15959">
        <v>87406300</v>
      </c>
      <c r="B15959">
        <v>2016560</v>
      </c>
      <c r="C15959" t="s">
        <v>8487</v>
      </c>
      <c r="D15959" t="s">
        <v>442</v>
      </c>
      <c r="E15959" t="s">
        <v>441</v>
      </c>
      <c r="F15959">
        <v>0.3</v>
      </c>
      <c r="H15959" t="s">
        <v>8584</v>
      </c>
      <c r="I15959">
        <v>360</v>
      </c>
      <c r="J15959" t="s">
        <v>450</v>
      </c>
      <c r="M15959">
        <v>0</v>
      </c>
    </row>
    <row r="15960" spans="1:13">
      <c r="A15960">
        <v>87451000</v>
      </c>
      <c r="B15960">
        <v>2003220</v>
      </c>
      <c r="C15960" t="s">
        <v>14140</v>
      </c>
      <c r="D15960" t="s">
        <v>442</v>
      </c>
      <c r="E15960" t="s">
        <v>441</v>
      </c>
      <c r="F15960">
        <v>5.1999999999999998E-2</v>
      </c>
      <c r="H15960" t="s">
        <v>13782</v>
      </c>
      <c r="I15960">
        <v>730</v>
      </c>
      <c r="J15960" t="s">
        <v>450</v>
      </c>
      <c r="M15960">
        <v>0</v>
      </c>
    </row>
    <row r="15961" spans="1:13">
      <c r="A15961">
        <v>87451500</v>
      </c>
      <c r="B15961">
        <v>2002042</v>
      </c>
      <c r="C15961" t="s">
        <v>8488</v>
      </c>
      <c r="D15961" t="s">
        <v>442</v>
      </c>
      <c r="E15961" t="s">
        <v>441</v>
      </c>
      <c r="F15961">
        <v>0.15</v>
      </c>
      <c r="H15961" t="s">
        <v>13782</v>
      </c>
      <c r="I15961">
        <v>730</v>
      </c>
      <c r="J15961" t="s">
        <v>450</v>
      </c>
      <c r="M15961">
        <v>0</v>
      </c>
    </row>
    <row r="15962" spans="1:13">
      <c r="A15962">
        <v>87600800</v>
      </c>
      <c r="B15962">
        <v>8200164</v>
      </c>
      <c r="C15962" t="s">
        <v>14141</v>
      </c>
      <c r="D15962" t="s">
        <v>442</v>
      </c>
      <c r="E15962" t="s">
        <v>441</v>
      </c>
      <c r="F15962">
        <v>1E-3</v>
      </c>
      <c r="H15962" t="s">
        <v>8584</v>
      </c>
      <c r="I15962">
        <v>0</v>
      </c>
      <c r="J15962" t="s">
        <v>469</v>
      </c>
      <c r="M15962">
        <v>0</v>
      </c>
    </row>
    <row r="15963" spans="1:13">
      <c r="A15963">
        <v>87600900</v>
      </c>
      <c r="B15963">
        <v>8200170</v>
      </c>
      <c r="C15963" t="s">
        <v>14142</v>
      </c>
      <c r="D15963" t="s">
        <v>442</v>
      </c>
      <c r="F15963">
        <v>0</v>
      </c>
      <c r="H15963" t="s">
        <v>8584</v>
      </c>
      <c r="I15963">
        <v>0</v>
      </c>
      <c r="J15963" t="s">
        <v>469</v>
      </c>
      <c r="M15963">
        <v>0</v>
      </c>
    </row>
    <row r="15964" spans="1:13">
      <c r="A15964">
        <v>87602800</v>
      </c>
      <c r="B15964">
        <v>8200163</v>
      </c>
      <c r="C15964" t="s">
        <v>8489</v>
      </c>
      <c r="D15964" t="s">
        <v>442</v>
      </c>
      <c r="F15964">
        <v>0</v>
      </c>
      <c r="H15964" t="s">
        <v>8584</v>
      </c>
      <c r="I15964">
        <v>0</v>
      </c>
      <c r="J15964" t="s">
        <v>469</v>
      </c>
      <c r="M15964">
        <v>0</v>
      </c>
    </row>
    <row r="15965" spans="1:13">
      <c r="A15965">
        <v>87690700</v>
      </c>
      <c r="B15965">
        <v>8200190</v>
      </c>
      <c r="C15965" t="s">
        <v>17848</v>
      </c>
      <c r="D15965" t="s">
        <v>442</v>
      </c>
      <c r="F15965">
        <v>0</v>
      </c>
      <c r="H15965" t="s">
        <v>8634</v>
      </c>
      <c r="I15965">
        <v>0</v>
      </c>
      <c r="J15965" t="s">
        <v>469</v>
      </c>
      <c r="M15965">
        <v>0</v>
      </c>
    </row>
    <row r="15966" spans="1:13">
      <c r="A15966">
        <v>87690800</v>
      </c>
      <c r="B15966">
        <v>8200191</v>
      </c>
      <c r="C15966" t="s">
        <v>14143</v>
      </c>
      <c r="D15966" t="s">
        <v>442</v>
      </c>
      <c r="F15966">
        <v>0</v>
      </c>
      <c r="H15966" t="s">
        <v>8580</v>
      </c>
      <c r="I15966">
        <v>0</v>
      </c>
      <c r="J15966" t="s">
        <v>469</v>
      </c>
      <c r="M15966">
        <v>0</v>
      </c>
    </row>
    <row r="15967" spans="1:13">
      <c r="A15967">
        <v>87690900</v>
      </c>
      <c r="B15967">
        <v>8200162</v>
      </c>
      <c r="C15967" t="s">
        <v>14144</v>
      </c>
      <c r="D15967" t="s">
        <v>442</v>
      </c>
      <c r="E15967" t="s">
        <v>441</v>
      </c>
      <c r="F15967">
        <v>1E-3</v>
      </c>
      <c r="H15967" t="s">
        <v>8580</v>
      </c>
      <c r="I15967">
        <v>0</v>
      </c>
      <c r="J15967" t="s">
        <v>469</v>
      </c>
      <c r="M15967">
        <v>0</v>
      </c>
    </row>
    <row r="15968" spans="1:13">
      <c r="A15968">
        <v>87900700</v>
      </c>
      <c r="B15968">
        <v>2003221</v>
      </c>
      <c r="C15968" t="s">
        <v>14145</v>
      </c>
      <c r="D15968" t="s">
        <v>441</v>
      </c>
      <c r="F15968">
        <v>0</v>
      </c>
      <c r="H15968" t="s">
        <v>13985</v>
      </c>
      <c r="I15968">
        <v>1080</v>
      </c>
      <c r="J15968" t="s">
        <v>450</v>
      </c>
      <c r="K15968" t="s">
        <v>446</v>
      </c>
      <c r="M15968">
        <v>0</v>
      </c>
    </row>
    <row r="15969" spans="1:13">
      <c r="A15969">
        <v>87900900</v>
      </c>
      <c r="B15969">
        <v>2002165</v>
      </c>
      <c r="C15969" t="s">
        <v>6726</v>
      </c>
      <c r="D15969" t="s">
        <v>441</v>
      </c>
      <c r="F15969">
        <v>0</v>
      </c>
      <c r="H15969" t="s">
        <v>8576</v>
      </c>
      <c r="I15969">
        <v>730</v>
      </c>
      <c r="J15969" t="s">
        <v>450</v>
      </c>
      <c r="K15969" t="s">
        <v>446</v>
      </c>
      <c r="M15969">
        <v>0</v>
      </c>
    </row>
    <row r="15970" spans="1:13">
      <c r="A15970">
        <v>87920100</v>
      </c>
      <c r="B15970">
        <v>2000589</v>
      </c>
      <c r="C15970" t="s">
        <v>8490</v>
      </c>
      <c r="D15970" t="s">
        <v>442</v>
      </c>
      <c r="E15970" t="s">
        <v>441</v>
      </c>
      <c r="F15970">
        <v>0.04</v>
      </c>
      <c r="H15970" t="s">
        <v>8576</v>
      </c>
      <c r="I15970">
        <v>360</v>
      </c>
      <c r="J15970" t="s">
        <v>450</v>
      </c>
      <c r="K15970" t="s">
        <v>446</v>
      </c>
      <c r="M15970">
        <v>0</v>
      </c>
    </row>
    <row r="15971" spans="1:13">
      <c r="A15971">
        <v>87920200</v>
      </c>
      <c r="B15971">
        <v>2001532</v>
      </c>
      <c r="C15971" t="s">
        <v>14146</v>
      </c>
      <c r="D15971" t="s">
        <v>441</v>
      </c>
      <c r="F15971">
        <v>0</v>
      </c>
      <c r="H15971" t="s">
        <v>8580</v>
      </c>
      <c r="I15971">
        <v>720</v>
      </c>
      <c r="J15971" t="s">
        <v>450</v>
      </c>
      <c r="K15971" t="s">
        <v>446</v>
      </c>
      <c r="M15971">
        <v>0</v>
      </c>
    </row>
    <row r="15972" spans="1:13">
      <c r="A15972">
        <v>87920300</v>
      </c>
      <c r="B15972">
        <v>2005145</v>
      </c>
      <c r="C15972" t="s">
        <v>14147</v>
      </c>
      <c r="D15972" t="s">
        <v>441</v>
      </c>
      <c r="F15972">
        <v>0</v>
      </c>
      <c r="H15972" t="s">
        <v>8580</v>
      </c>
      <c r="I15972">
        <v>360</v>
      </c>
      <c r="J15972" t="s">
        <v>450</v>
      </c>
      <c r="K15972" t="s">
        <v>446</v>
      </c>
      <c r="M15972">
        <v>0</v>
      </c>
    </row>
    <row r="15973" spans="1:13">
      <c r="A15973">
        <v>87920400</v>
      </c>
      <c r="B15973">
        <v>2001206</v>
      </c>
      <c r="C15973" t="s">
        <v>17849</v>
      </c>
      <c r="D15973" t="s">
        <v>442</v>
      </c>
      <c r="E15973" t="s">
        <v>441</v>
      </c>
      <c r="F15973">
        <v>0.125</v>
      </c>
      <c r="H15973" t="s">
        <v>8574</v>
      </c>
      <c r="I15973">
        <v>360</v>
      </c>
      <c r="J15973" t="s">
        <v>450</v>
      </c>
      <c r="M15973">
        <v>0</v>
      </c>
    </row>
    <row r="15974" spans="1:13">
      <c r="A15974">
        <v>87920500</v>
      </c>
      <c r="B15974">
        <v>2003853</v>
      </c>
      <c r="C15974" t="s">
        <v>17850</v>
      </c>
      <c r="D15974" t="s">
        <v>442</v>
      </c>
      <c r="E15974" t="s">
        <v>441</v>
      </c>
      <c r="F15974">
        <v>0.02</v>
      </c>
      <c r="H15974" t="s">
        <v>8574</v>
      </c>
      <c r="I15974">
        <v>365</v>
      </c>
      <c r="J15974" t="s">
        <v>450</v>
      </c>
      <c r="M15974">
        <v>0</v>
      </c>
    </row>
    <row r="15975" spans="1:13">
      <c r="A15975">
        <v>87920600</v>
      </c>
      <c r="B15975">
        <v>2003222</v>
      </c>
      <c r="C15975" t="s">
        <v>14148</v>
      </c>
      <c r="D15975" t="s">
        <v>442</v>
      </c>
      <c r="E15975" t="s">
        <v>441</v>
      </c>
      <c r="F15975">
        <v>1.66</v>
      </c>
      <c r="H15975" t="s">
        <v>14149</v>
      </c>
      <c r="I15975">
        <v>360</v>
      </c>
      <c r="J15975" t="s">
        <v>450</v>
      </c>
      <c r="M15975">
        <v>0</v>
      </c>
    </row>
    <row r="15976" spans="1:13">
      <c r="A15976">
        <v>87920700</v>
      </c>
      <c r="B15976">
        <v>2003928</v>
      </c>
      <c r="C15976" t="s">
        <v>14150</v>
      </c>
      <c r="D15976" t="s">
        <v>442</v>
      </c>
      <c r="F15976">
        <v>0</v>
      </c>
      <c r="H15976" t="s">
        <v>8574</v>
      </c>
      <c r="I15976">
        <v>360</v>
      </c>
      <c r="J15976" t="s">
        <v>450</v>
      </c>
      <c r="K15976" t="s">
        <v>446</v>
      </c>
      <c r="M15976">
        <v>2611</v>
      </c>
    </row>
    <row r="15977" spans="1:13">
      <c r="A15977">
        <v>87920800</v>
      </c>
      <c r="B15977">
        <v>2003979</v>
      </c>
      <c r="C15977" t="s">
        <v>8491</v>
      </c>
      <c r="D15977" t="s">
        <v>441</v>
      </c>
      <c r="F15977">
        <v>0</v>
      </c>
      <c r="H15977" t="s">
        <v>8576</v>
      </c>
      <c r="I15977">
        <v>365</v>
      </c>
      <c r="J15977" t="s">
        <v>450</v>
      </c>
      <c r="K15977" t="s">
        <v>446</v>
      </c>
      <c r="M15977">
        <v>0</v>
      </c>
    </row>
    <row r="15978" spans="1:13">
      <c r="A15978">
        <v>87920900</v>
      </c>
      <c r="B15978">
        <v>2002673</v>
      </c>
      <c r="C15978" t="s">
        <v>14151</v>
      </c>
      <c r="D15978" t="s">
        <v>442</v>
      </c>
      <c r="E15978" t="s">
        <v>441</v>
      </c>
      <c r="F15978">
        <v>9.1999999999999993</v>
      </c>
      <c r="H15978" t="s">
        <v>14149</v>
      </c>
      <c r="I15978">
        <v>365</v>
      </c>
      <c r="J15978" t="s">
        <v>450</v>
      </c>
      <c r="M15978">
        <v>0</v>
      </c>
    </row>
    <row r="15979" spans="1:13">
      <c r="A15979">
        <v>87921000</v>
      </c>
      <c r="B15979">
        <v>2008990</v>
      </c>
      <c r="C15979" t="s">
        <v>14152</v>
      </c>
      <c r="D15979" t="s">
        <v>441</v>
      </c>
      <c r="F15979">
        <v>0</v>
      </c>
      <c r="H15979" t="s">
        <v>8580</v>
      </c>
      <c r="I15979">
        <v>360</v>
      </c>
      <c r="J15979" t="s">
        <v>450</v>
      </c>
      <c r="K15979" t="s">
        <v>446</v>
      </c>
      <c r="M15979">
        <v>0</v>
      </c>
    </row>
    <row r="15980" spans="1:13">
      <c r="A15980">
        <v>87921100</v>
      </c>
      <c r="B15980">
        <v>2000597</v>
      </c>
      <c r="C15980" t="s">
        <v>6739</v>
      </c>
      <c r="D15980" t="s">
        <v>442</v>
      </c>
      <c r="E15980" t="s">
        <v>441</v>
      </c>
      <c r="F15980">
        <v>0.04</v>
      </c>
      <c r="G15980">
        <v>0</v>
      </c>
      <c r="H15980" t="s">
        <v>8576</v>
      </c>
      <c r="I15980">
        <v>365</v>
      </c>
      <c r="J15980" t="s">
        <v>450</v>
      </c>
      <c r="K15980" t="s">
        <v>446</v>
      </c>
      <c r="M15980">
        <v>0</v>
      </c>
    </row>
    <row r="15981" spans="1:13">
      <c r="A15981">
        <v>87921200</v>
      </c>
      <c r="B15981">
        <v>2003223</v>
      </c>
      <c r="C15981" t="s">
        <v>14153</v>
      </c>
      <c r="D15981" t="s">
        <v>442</v>
      </c>
      <c r="E15981" t="s">
        <v>441</v>
      </c>
      <c r="F15981">
        <v>1E-3</v>
      </c>
      <c r="H15981" t="s">
        <v>14149</v>
      </c>
      <c r="I15981">
        <v>360</v>
      </c>
      <c r="J15981" t="s">
        <v>450</v>
      </c>
      <c r="K15981" t="s">
        <v>446</v>
      </c>
      <c r="M15981">
        <v>0</v>
      </c>
    </row>
    <row r="15982" spans="1:13">
      <c r="A15982">
        <v>87921300</v>
      </c>
      <c r="B15982">
        <v>2001712</v>
      </c>
      <c r="C15982" t="s">
        <v>14154</v>
      </c>
      <c r="D15982" t="s">
        <v>442</v>
      </c>
      <c r="E15982" t="s">
        <v>441</v>
      </c>
      <c r="F15982">
        <v>0.125</v>
      </c>
      <c r="H15982" t="s">
        <v>14149</v>
      </c>
      <c r="I15982">
        <v>365</v>
      </c>
      <c r="J15982" t="s">
        <v>450</v>
      </c>
      <c r="K15982" t="s">
        <v>446</v>
      </c>
      <c r="M15982">
        <v>0</v>
      </c>
    </row>
    <row r="15983" spans="1:13">
      <c r="A15983">
        <v>87921400</v>
      </c>
      <c r="B15983">
        <v>2001208</v>
      </c>
      <c r="C15983" t="s">
        <v>14155</v>
      </c>
      <c r="D15983" t="s">
        <v>442</v>
      </c>
      <c r="E15983" t="s">
        <v>441</v>
      </c>
      <c r="F15983">
        <v>0.15</v>
      </c>
      <c r="H15983" t="s">
        <v>8574</v>
      </c>
      <c r="I15983">
        <v>360</v>
      </c>
      <c r="J15983" t="s">
        <v>450</v>
      </c>
      <c r="M15983">
        <v>0</v>
      </c>
    </row>
    <row r="15984" spans="1:13">
      <c r="A15984">
        <v>87921500</v>
      </c>
      <c r="B15984">
        <v>2001713</v>
      </c>
      <c r="C15984" t="s">
        <v>14156</v>
      </c>
      <c r="D15984" t="s">
        <v>442</v>
      </c>
      <c r="E15984" t="s">
        <v>441</v>
      </c>
      <c r="F15984">
        <v>0.125</v>
      </c>
      <c r="H15984" t="s">
        <v>14149</v>
      </c>
      <c r="I15984">
        <v>365</v>
      </c>
      <c r="J15984" t="s">
        <v>450</v>
      </c>
      <c r="K15984" t="s">
        <v>446</v>
      </c>
      <c r="M15984">
        <v>0</v>
      </c>
    </row>
    <row r="15985" spans="1:13">
      <c r="A15985">
        <v>87921600</v>
      </c>
      <c r="B15985">
        <v>2001716</v>
      </c>
      <c r="C15985" t="s">
        <v>14157</v>
      </c>
      <c r="D15985" t="s">
        <v>442</v>
      </c>
      <c r="E15985" t="s">
        <v>441</v>
      </c>
      <c r="F15985">
        <v>0.125</v>
      </c>
      <c r="H15985" t="s">
        <v>14149</v>
      </c>
      <c r="I15985">
        <v>365</v>
      </c>
      <c r="J15985" t="s">
        <v>450</v>
      </c>
      <c r="K15985" t="s">
        <v>446</v>
      </c>
      <c r="M15985">
        <v>0</v>
      </c>
    </row>
    <row r="15986" spans="1:13">
      <c r="A15986">
        <v>87921700</v>
      </c>
      <c r="B15986">
        <v>2001714</v>
      </c>
      <c r="C15986" t="s">
        <v>14158</v>
      </c>
      <c r="D15986" t="s">
        <v>442</v>
      </c>
      <c r="E15986" t="s">
        <v>441</v>
      </c>
      <c r="F15986">
        <v>0.125</v>
      </c>
      <c r="H15986" t="s">
        <v>14149</v>
      </c>
      <c r="I15986">
        <v>365</v>
      </c>
      <c r="J15986" t="s">
        <v>450</v>
      </c>
      <c r="K15986" t="s">
        <v>446</v>
      </c>
      <c r="M15986">
        <v>0</v>
      </c>
    </row>
    <row r="15987" spans="1:13">
      <c r="A15987">
        <v>87921800</v>
      </c>
      <c r="B15987">
        <v>2001710</v>
      </c>
      <c r="C15987" t="s">
        <v>14159</v>
      </c>
      <c r="D15987" t="s">
        <v>442</v>
      </c>
      <c r="E15987" t="s">
        <v>441</v>
      </c>
      <c r="F15987">
        <v>0.125</v>
      </c>
      <c r="H15987" t="s">
        <v>14149</v>
      </c>
      <c r="I15987">
        <v>365</v>
      </c>
      <c r="J15987" t="s">
        <v>450</v>
      </c>
      <c r="K15987" t="s">
        <v>446</v>
      </c>
      <c r="M15987">
        <v>0</v>
      </c>
    </row>
    <row r="15988" spans="1:13">
      <c r="A15988">
        <v>87921900</v>
      </c>
      <c r="B15988">
        <v>2001717</v>
      </c>
      <c r="C15988" t="s">
        <v>14160</v>
      </c>
      <c r="D15988" t="s">
        <v>442</v>
      </c>
      <c r="E15988" t="s">
        <v>441</v>
      </c>
      <c r="F15988">
        <v>0.125</v>
      </c>
      <c r="H15988" t="s">
        <v>14149</v>
      </c>
      <c r="I15988">
        <v>365</v>
      </c>
      <c r="J15988" t="s">
        <v>450</v>
      </c>
      <c r="K15988" t="s">
        <v>446</v>
      </c>
      <c r="M15988">
        <v>0</v>
      </c>
    </row>
    <row r="15989" spans="1:13">
      <c r="A15989">
        <v>87922000</v>
      </c>
      <c r="B15989">
        <v>2007525</v>
      </c>
      <c r="C15989" t="s">
        <v>14161</v>
      </c>
      <c r="D15989" t="s">
        <v>442</v>
      </c>
      <c r="E15989" t="s">
        <v>441</v>
      </c>
      <c r="F15989">
        <v>0.3</v>
      </c>
      <c r="H15989" t="s">
        <v>14149</v>
      </c>
      <c r="I15989">
        <v>360</v>
      </c>
      <c r="J15989" t="s">
        <v>450</v>
      </c>
      <c r="K15989" t="s">
        <v>446</v>
      </c>
      <c r="M15989">
        <v>0</v>
      </c>
    </row>
    <row r="15990" spans="1:13">
      <c r="A15990">
        <v>87922100</v>
      </c>
      <c r="B15990">
        <v>2008496</v>
      </c>
      <c r="C15990" t="s">
        <v>14162</v>
      </c>
      <c r="D15990" t="s">
        <v>442</v>
      </c>
      <c r="F15990">
        <v>0</v>
      </c>
      <c r="H15990" t="s">
        <v>8580</v>
      </c>
      <c r="I15990">
        <v>365</v>
      </c>
      <c r="J15990" t="s">
        <v>450</v>
      </c>
      <c r="K15990" t="s">
        <v>446</v>
      </c>
      <c r="M15990">
        <v>0</v>
      </c>
    </row>
    <row r="15991" spans="1:13">
      <c r="A15991">
        <v>87922200</v>
      </c>
      <c r="B15991">
        <v>2009396</v>
      </c>
      <c r="C15991" t="s">
        <v>17851</v>
      </c>
      <c r="D15991" t="s">
        <v>442</v>
      </c>
      <c r="E15991" t="s">
        <v>441</v>
      </c>
      <c r="F15991">
        <v>0.02</v>
      </c>
      <c r="H15991" t="s">
        <v>8580</v>
      </c>
      <c r="I15991">
        <v>1090</v>
      </c>
      <c r="J15991" t="s">
        <v>450</v>
      </c>
      <c r="M15991">
        <v>0</v>
      </c>
    </row>
    <row r="15992" spans="1:13">
      <c r="A15992">
        <v>87922500</v>
      </c>
      <c r="B15992">
        <v>2011594</v>
      </c>
      <c r="C15992" t="s">
        <v>14163</v>
      </c>
      <c r="D15992" t="s">
        <v>442</v>
      </c>
      <c r="E15992" t="s">
        <v>441</v>
      </c>
      <c r="F15992">
        <v>0.68600000000000005</v>
      </c>
      <c r="I15992">
        <v>365</v>
      </c>
      <c r="J15992" t="s">
        <v>450</v>
      </c>
      <c r="K15992" t="s">
        <v>446</v>
      </c>
      <c r="M15992">
        <v>0</v>
      </c>
    </row>
    <row r="15993" spans="1:13">
      <c r="A15993">
        <v>87922600</v>
      </c>
      <c r="B15993">
        <v>2011593</v>
      </c>
      <c r="C15993" t="s">
        <v>14164</v>
      </c>
      <c r="D15993" t="s">
        <v>442</v>
      </c>
      <c r="E15993" t="s">
        <v>441</v>
      </c>
      <c r="F15993">
        <v>0.57399999999999995</v>
      </c>
      <c r="H15993" t="s">
        <v>8580</v>
      </c>
      <c r="I15993">
        <v>365</v>
      </c>
      <c r="J15993" t="s">
        <v>450</v>
      </c>
      <c r="K15993" t="s">
        <v>446</v>
      </c>
      <c r="M15993">
        <v>0</v>
      </c>
    </row>
    <row r="15994" spans="1:13">
      <c r="A15994">
        <v>87922900</v>
      </c>
      <c r="B15994">
        <v>2012498</v>
      </c>
      <c r="C15994" t="s">
        <v>14165</v>
      </c>
      <c r="D15994" t="s">
        <v>442</v>
      </c>
      <c r="E15994" t="s">
        <v>441</v>
      </c>
      <c r="F15994">
        <v>1.66</v>
      </c>
      <c r="H15994" t="s">
        <v>8584</v>
      </c>
      <c r="I15994">
        <v>365</v>
      </c>
      <c r="J15994" t="s">
        <v>450</v>
      </c>
      <c r="M15994">
        <v>0</v>
      </c>
    </row>
    <row r="15995" spans="1:13">
      <c r="A15995">
        <v>87930000</v>
      </c>
      <c r="B15995">
        <v>2001688</v>
      </c>
      <c r="C15995" t="s">
        <v>8492</v>
      </c>
      <c r="D15995" t="s">
        <v>441</v>
      </c>
      <c r="F15995">
        <v>0</v>
      </c>
      <c r="H15995" t="s">
        <v>8576</v>
      </c>
      <c r="I15995">
        <v>360</v>
      </c>
      <c r="J15995" t="s">
        <v>450</v>
      </c>
      <c r="K15995" t="s">
        <v>446</v>
      </c>
      <c r="M15995">
        <v>0</v>
      </c>
    </row>
    <row r="15996" spans="1:13">
      <c r="A15996">
        <v>87940500</v>
      </c>
      <c r="B15996">
        <v>2003224</v>
      </c>
      <c r="C15996" t="s">
        <v>8493</v>
      </c>
      <c r="D15996" t="s">
        <v>442</v>
      </c>
      <c r="E15996" t="s">
        <v>441</v>
      </c>
      <c r="F15996">
        <v>2.7E-2</v>
      </c>
      <c r="H15996" t="s">
        <v>13997</v>
      </c>
      <c r="I15996">
        <v>540</v>
      </c>
      <c r="J15996" t="s">
        <v>450</v>
      </c>
      <c r="K15996" t="s">
        <v>446</v>
      </c>
      <c r="M15996">
        <v>0</v>
      </c>
    </row>
    <row r="15997" spans="1:13">
      <c r="A15997">
        <v>87942900</v>
      </c>
      <c r="B15997">
        <v>2003225</v>
      </c>
      <c r="C15997" t="s">
        <v>8494</v>
      </c>
      <c r="D15997" t="s">
        <v>442</v>
      </c>
      <c r="E15997" t="s">
        <v>441</v>
      </c>
      <c r="F15997">
        <v>0.24</v>
      </c>
      <c r="H15997" t="s">
        <v>13997</v>
      </c>
      <c r="I15997">
        <v>520</v>
      </c>
      <c r="J15997" t="s">
        <v>450</v>
      </c>
      <c r="K15997" t="s">
        <v>446</v>
      </c>
      <c r="M15997">
        <v>0</v>
      </c>
    </row>
    <row r="15998" spans="1:13">
      <c r="A15998">
        <v>88000800</v>
      </c>
      <c r="B15998">
        <v>2003226</v>
      </c>
      <c r="C15998" t="s">
        <v>8495</v>
      </c>
      <c r="D15998" t="s">
        <v>442</v>
      </c>
      <c r="E15998" t="s">
        <v>441</v>
      </c>
      <c r="F15998">
        <v>1E-3</v>
      </c>
      <c r="H15998" t="s">
        <v>8581</v>
      </c>
      <c r="I15998">
        <v>360</v>
      </c>
      <c r="J15998" t="s">
        <v>450</v>
      </c>
      <c r="K15998" t="s">
        <v>446</v>
      </c>
      <c r="M15998">
        <v>3311</v>
      </c>
    </row>
    <row r="15999" spans="1:13">
      <c r="A15999">
        <v>88001300</v>
      </c>
      <c r="B15999">
        <v>2003227</v>
      </c>
      <c r="C15999" t="s">
        <v>8496</v>
      </c>
      <c r="D15999" t="s">
        <v>442</v>
      </c>
      <c r="E15999" t="s">
        <v>441</v>
      </c>
      <c r="F15999">
        <v>0.3</v>
      </c>
      <c r="H15999" t="s">
        <v>13997</v>
      </c>
      <c r="I15999">
        <v>360</v>
      </c>
      <c r="J15999" t="s">
        <v>450</v>
      </c>
      <c r="M15999">
        <v>0</v>
      </c>
    </row>
    <row r="16000" spans="1:13">
      <c r="A16000">
        <v>88200100</v>
      </c>
      <c r="B16000">
        <v>2003228</v>
      </c>
      <c r="C16000" t="s">
        <v>14166</v>
      </c>
      <c r="D16000" t="s">
        <v>442</v>
      </c>
      <c r="E16000" t="s">
        <v>441</v>
      </c>
      <c r="F16000">
        <v>1E-3</v>
      </c>
      <c r="H16000" t="s">
        <v>13997</v>
      </c>
      <c r="I16000">
        <v>360</v>
      </c>
      <c r="J16000" t="s">
        <v>450</v>
      </c>
      <c r="K16000" t="s">
        <v>446</v>
      </c>
      <c r="M16000">
        <v>0</v>
      </c>
    </row>
    <row r="16001" spans="1:13">
      <c r="A16001">
        <v>88200200</v>
      </c>
      <c r="B16001">
        <v>2003229</v>
      </c>
      <c r="C16001" t="s">
        <v>14167</v>
      </c>
      <c r="D16001" t="s">
        <v>442</v>
      </c>
      <c r="E16001" t="s">
        <v>441</v>
      </c>
      <c r="F16001">
        <v>0.02</v>
      </c>
      <c r="H16001" t="s">
        <v>14149</v>
      </c>
      <c r="I16001">
        <v>360</v>
      </c>
      <c r="J16001" t="s">
        <v>450</v>
      </c>
      <c r="K16001" t="s">
        <v>446</v>
      </c>
      <c r="M16001">
        <v>0</v>
      </c>
    </row>
    <row r="16002" spans="1:13">
      <c r="A16002">
        <v>88200300</v>
      </c>
      <c r="B16002">
        <v>2006002</v>
      </c>
      <c r="C16002" t="s">
        <v>14168</v>
      </c>
      <c r="D16002" t="s">
        <v>442</v>
      </c>
      <c r="F16002">
        <v>0</v>
      </c>
      <c r="H16002" t="s">
        <v>8580</v>
      </c>
      <c r="I16002">
        <v>360</v>
      </c>
      <c r="J16002" t="s">
        <v>450</v>
      </c>
      <c r="K16002" t="s">
        <v>446</v>
      </c>
      <c r="M16002">
        <v>0</v>
      </c>
    </row>
    <row r="16003" spans="1:13">
      <c r="A16003">
        <v>88701100</v>
      </c>
      <c r="B16003">
        <v>2006387</v>
      </c>
      <c r="C16003" t="s">
        <v>14169</v>
      </c>
      <c r="D16003" t="s">
        <v>442</v>
      </c>
      <c r="E16003" t="s">
        <v>441</v>
      </c>
      <c r="F16003">
        <v>1E-3</v>
      </c>
      <c r="I16003">
        <v>730</v>
      </c>
      <c r="J16003" t="s">
        <v>450</v>
      </c>
      <c r="K16003" t="s">
        <v>446</v>
      </c>
      <c r="M16003">
        <v>0</v>
      </c>
    </row>
    <row r="16004" spans="1:13">
      <c r="A16004">
        <v>88701200</v>
      </c>
      <c r="B16004">
        <v>2005157</v>
      </c>
      <c r="C16004" t="s">
        <v>14170</v>
      </c>
      <c r="D16004" t="s">
        <v>442</v>
      </c>
      <c r="F16004">
        <v>0</v>
      </c>
      <c r="I16004">
        <v>720</v>
      </c>
      <c r="J16004" t="s">
        <v>450</v>
      </c>
      <c r="M16004">
        <v>0</v>
      </c>
    </row>
    <row r="16005" spans="1:13">
      <c r="A16005">
        <v>88701300</v>
      </c>
      <c r="B16005">
        <v>2005009</v>
      </c>
      <c r="C16005" t="s">
        <v>14171</v>
      </c>
      <c r="D16005" t="s">
        <v>442</v>
      </c>
      <c r="E16005" t="s">
        <v>441</v>
      </c>
      <c r="F16005">
        <v>0.01</v>
      </c>
      <c r="H16005" t="s">
        <v>8634</v>
      </c>
      <c r="I16005">
        <v>720</v>
      </c>
      <c r="J16005" t="s">
        <v>450</v>
      </c>
      <c r="M16005">
        <v>0</v>
      </c>
    </row>
    <row r="16006" spans="1:13">
      <c r="A16006">
        <v>88701400</v>
      </c>
      <c r="B16006">
        <v>2005035</v>
      </c>
      <c r="C16006" t="s">
        <v>14172</v>
      </c>
      <c r="D16006" t="s">
        <v>442</v>
      </c>
      <c r="F16006">
        <v>0</v>
      </c>
      <c r="H16006" t="s">
        <v>8584</v>
      </c>
      <c r="I16006">
        <v>720</v>
      </c>
      <c r="J16006" t="s">
        <v>450</v>
      </c>
      <c r="M16006">
        <v>0</v>
      </c>
    </row>
    <row r="16007" spans="1:13">
      <c r="A16007">
        <v>88701500</v>
      </c>
      <c r="B16007">
        <v>8200013</v>
      </c>
      <c r="C16007" t="s">
        <v>14173</v>
      </c>
      <c r="D16007" t="s">
        <v>442</v>
      </c>
      <c r="F16007">
        <v>0</v>
      </c>
      <c r="H16007" t="s">
        <v>8580</v>
      </c>
      <c r="I16007">
        <v>0</v>
      </c>
      <c r="J16007" t="s">
        <v>469</v>
      </c>
      <c r="M16007">
        <v>0</v>
      </c>
    </row>
    <row r="16008" spans="1:13">
      <c r="A16008">
        <v>88701600</v>
      </c>
      <c r="B16008">
        <v>8200005</v>
      </c>
      <c r="C16008" t="s">
        <v>14174</v>
      </c>
      <c r="D16008" t="s">
        <v>442</v>
      </c>
      <c r="F16008">
        <v>0</v>
      </c>
      <c r="H16008" t="s">
        <v>8580</v>
      </c>
      <c r="I16008">
        <v>0</v>
      </c>
      <c r="J16008" t="s">
        <v>469</v>
      </c>
      <c r="M16008">
        <v>0</v>
      </c>
    </row>
    <row r="16009" spans="1:13">
      <c r="A16009">
        <v>88701700</v>
      </c>
      <c r="B16009">
        <v>8200166</v>
      </c>
      <c r="C16009" t="s">
        <v>14175</v>
      </c>
      <c r="D16009" t="s">
        <v>442</v>
      </c>
      <c r="F16009">
        <v>0</v>
      </c>
      <c r="H16009" t="s">
        <v>8584</v>
      </c>
      <c r="I16009">
        <v>0</v>
      </c>
      <c r="J16009" t="s">
        <v>469</v>
      </c>
      <c r="M16009">
        <v>0</v>
      </c>
    </row>
    <row r="16010" spans="1:13">
      <c r="A16010">
        <v>88701800</v>
      </c>
      <c r="B16010">
        <v>8200012</v>
      </c>
      <c r="C16010" t="s">
        <v>14176</v>
      </c>
      <c r="D16010" t="s">
        <v>442</v>
      </c>
      <c r="F16010">
        <v>0</v>
      </c>
      <c r="H16010" t="s">
        <v>8580</v>
      </c>
      <c r="I16010">
        <v>0</v>
      </c>
      <c r="J16010" t="s">
        <v>469</v>
      </c>
      <c r="M16010">
        <v>0</v>
      </c>
    </row>
    <row r="16011" spans="1:13">
      <c r="A16011">
        <v>88701900</v>
      </c>
      <c r="B16011">
        <v>8200006</v>
      </c>
      <c r="C16011" t="s">
        <v>14177</v>
      </c>
      <c r="D16011" t="s">
        <v>442</v>
      </c>
      <c r="F16011">
        <v>0</v>
      </c>
      <c r="H16011" t="s">
        <v>8580</v>
      </c>
      <c r="I16011">
        <v>0</v>
      </c>
      <c r="J16011" t="s">
        <v>469</v>
      </c>
      <c r="M16011">
        <v>0</v>
      </c>
    </row>
    <row r="16012" spans="1:13">
      <c r="A16012">
        <v>88702000</v>
      </c>
      <c r="B16012">
        <v>2005454</v>
      </c>
      <c r="C16012" t="s">
        <v>14178</v>
      </c>
      <c r="D16012" t="s">
        <v>442</v>
      </c>
      <c r="E16012" t="s">
        <v>441</v>
      </c>
      <c r="F16012">
        <v>0.1</v>
      </c>
      <c r="H16012" t="s">
        <v>14002</v>
      </c>
      <c r="I16012">
        <v>720</v>
      </c>
      <c r="J16012" t="s">
        <v>450</v>
      </c>
      <c r="K16012" t="s">
        <v>446</v>
      </c>
      <c r="M16012">
        <v>0</v>
      </c>
    </row>
    <row r="16013" spans="1:13">
      <c r="A16013">
        <v>88702100</v>
      </c>
      <c r="B16013">
        <v>8200210</v>
      </c>
      <c r="C16013" t="s">
        <v>14179</v>
      </c>
      <c r="D16013" t="s">
        <v>442</v>
      </c>
      <c r="F16013">
        <v>0</v>
      </c>
      <c r="H16013" t="s">
        <v>8580</v>
      </c>
      <c r="I16013">
        <v>0</v>
      </c>
      <c r="J16013" t="s">
        <v>469</v>
      </c>
      <c r="M16013">
        <v>0</v>
      </c>
    </row>
    <row r="16014" spans="1:13">
      <c r="A16014">
        <v>88702200</v>
      </c>
      <c r="B16014">
        <v>8200221</v>
      </c>
      <c r="C16014" t="s">
        <v>14180</v>
      </c>
      <c r="D16014" t="s">
        <v>442</v>
      </c>
      <c r="F16014">
        <v>0</v>
      </c>
      <c r="H16014" t="s">
        <v>8580</v>
      </c>
      <c r="I16014">
        <v>0</v>
      </c>
      <c r="J16014" t="s">
        <v>469</v>
      </c>
      <c r="M16014">
        <v>0</v>
      </c>
    </row>
    <row r="16015" spans="1:13">
      <c r="A16015">
        <v>88702300</v>
      </c>
      <c r="B16015">
        <v>2003492</v>
      </c>
      <c r="C16015" t="s">
        <v>14181</v>
      </c>
      <c r="D16015" t="s">
        <v>442</v>
      </c>
      <c r="E16015" t="s">
        <v>441</v>
      </c>
      <c r="F16015">
        <v>1E-3</v>
      </c>
      <c r="H16015" t="s">
        <v>8584</v>
      </c>
      <c r="I16015">
        <v>730</v>
      </c>
      <c r="J16015" t="s">
        <v>450</v>
      </c>
      <c r="K16015" t="s">
        <v>446</v>
      </c>
      <c r="M16015">
        <v>0</v>
      </c>
    </row>
    <row r="16016" spans="1:13">
      <c r="A16016">
        <v>88702310</v>
      </c>
      <c r="B16016">
        <v>8200430</v>
      </c>
      <c r="C16016" t="s">
        <v>14182</v>
      </c>
      <c r="D16016" t="s">
        <v>442</v>
      </c>
      <c r="F16016">
        <v>0</v>
      </c>
      <c r="H16016" t="s">
        <v>8580</v>
      </c>
      <c r="I16016">
        <v>0</v>
      </c>
      <c r="J16016" t="s">
        <v>469</v>
      </c>
      <c r="M16016">
        <v>0</v>
      </c>
    </row>
    <row r="16017" spans="1:13">
      <c r="A16017">
        <v>88702400</v>
      </c>
      <c r="B16017">
        <v>8200362</v>
      </c>
      <c r="C16017" t="s">
        <v>14183</v>
      </c>
      <c r="D16017" t="s">
        <v>442</v>
      </c>
      <c r="F16017">
        <v>0</v>
      </c>
      <c r="H16017" t="s">
        <v>8634</v>
      </c>
      <c r="I16017">
        <v>0</v>
      </c>
      <c r="J16017" t="s">
        <v>469</v>
      </c>
      <c r="M16017">
        <v>0</v>
      </c>
    </row>
    <row r="16018" spans="1:13">
      <c r="A16018">
        <v>88702500</v>
      </c>
      <c r="B16018">
        <v>8200151</v>
      </c>
      <c r="C16018" t="s">
        <v>14184</v>
      </c>
      <c r="D16018" t="s">
        <v>442</v>
      </c>
      <c r="F16018">
        <v>0</v>
      </c>
      <c r="H16018" t="s">
        <v>8584</v>
      </c>
      <c r="I16018">
        <v>0</v>
      </c>
      <c r="J16018" t="s">
        <v>469</v>
      </c>
      <c r="M16018">
        <v>0</v>
      </c>
    </row>
    <row r="16019" spans="1:13">
      <c r="A16019">
        <v>88702600</v>
      </c>
      <c r="B16019">
        <v>2006658</v>
      </c>
      <c r="C16019" t="s">
        <v>14185</v>
      </c>
      <c r="D16019" t="s">
        <v>442</v>
      </c>
      <c r="F16019">
        <v>0</v>
      </c>
      <c r="H16019" t="s">
        <v>8580</v>
      </c>
      <c r="I16019">
        <v>725</v>
      </c>
      <c r="J16019" t="s">
        <v>450</v>
      </c>
      <c r="M16019">
        <v>0</v>
      </c>
    </row>
    <row r="16020" spans="1:13">
      <c r="A16020">
        <v>88702700</v>
      </c>
      <c r="B16020">
        <v>8200380</v>
      </c>
      <c r="C16020" t="s">
        <v>14186</v>
      </c>
      <c r="D16020" t="s">
        <v>442</v>
      </c>
      <c r="F16020">
        <v>0</v>
      </c>
      <c r="H16020" t="s">
        <v>8580</v>
      </c>
      <c r="I16020">
        <v>0</v>
      </c>
      <c r="J16020" t="s">
        <v>469</v>
      </c>
      <c r="M16020">
        <v>0</v>
      </c>
    </row>
    <row r="16021" spans="1:13">
      <c r="A16021">
        <v>88702800</v>
      </c>
      <c r="B16021">
        <v>8200360</v>
      </c>
      <c r="C16021" t="s">
        <v>14187</v>
      </c>
      <c r="D16021" t="s">
        <v>442</v>
      </c>
      <c r="F16021">
        <v>0</v>
      </c>
      <c r="H16021" t="s">
        <v>8634</v>
      </c>
      <c r="I16021">
        <v>0</v>
      </c>
      <c r="J16021" t="s">
        <v>469</v>
      </c>
      <c r="M16021">
        <v>0</v>
      </c>
    </row>
    <row r="16022" spans="1:13">
      <c r="A16022">
        <v>88702900</v>
      </c>
      <c r="B16022">
        <v>8200460</v>
      </c>
      <c r="C16022" t="s">
        <v>14188</v>
      </c>
      <c r="D16022" t="s">
        <v>442</v>
      </c>
      <c r="F16022">
        <v>0</v>
      </c>
      <c r="H16022" t="s">
        <v>8634</v>
      </c>
      <c r="I16022">
        <v>0</v>
      </c>
      <c r="J16022" t="s">
        <v>469</v>
      </c>
      <c r="M16022">
        <v>0</v>
      </c>
    </row>
    <row r="16023" spans="1:13">
      <c r="A16023">
        <v>88703100</v>
      </c>
      <c r="B16023">
        <v>2010988</v>
      </c>
      <c r="C16023" t="s">
        <v>14189</v>
      </c>
      <c r="D16023" t="s">
        <v>442</v>
      </c>
      <c r="E16023" t="s">
        <v>441</v>
      </c>
      <c r="F16023">
        <v>3</v>
      </c>
      <c r="H16023" t="s">
        <v>8580</v>
      </c>
      <c r="I16023">
        <v>730</v>
      </c>
      <c r="J16023" t="s">
        <v>450</v>
      </c>
      <c r="M16023">
        <v>0</v>
      </c>
    </row>
    <row r="16024" spans="1:13">
      <c r="A16024">
        <v>88703200</v>
      </c>
      <c r="B16024">
        <v>2013732</v>
      </c>
      <c r="C16024" t="s">
        <v>14178</v>
      </c>
      <c r="D16024" t="s">
        <v>442</v>
      </c>
      <c r="E16024" t="s">
        <v>441</v>
      </c>
      <c r="F16024">
        <v>0.3</v>
      </c>
      <c r="H16024" t="s">
        <v>8580</v>
      </c>
      <c r="I16024">
        <v>720</v>
      </c>
      <c r="J16024" t="s">
        <v>450</v>
      </c>
      <c r="M16024">
        <v>0</v>
      </c>
    </row>
    <row r="16025" spans="1:13">
      <c r="A16025">
        <v>88703300</v>
      </c>
      <c r="B16025">
        <v>8200660</v>
      </c>
      <c r="C16025" t="s">
        <v>14190</v>
      </c>
      <c r="D16025" t="s">
        <v>442</v>
      </c>
      <c r="F16025">
        <v>0</v>
      </c>
      <c r="H16025" t="s">
        <v>8584</v>
      </c>
      <c r="I16025">
        <v>0</v>
      </c>
      <c r="J16025" t="s">
        <v>469</v>
      </c>
      <c r="K16025" t="s">
        <v>446</v>
      </c>
      <c r="M16025">
        <v>0</v>
      </c>
    </row>
    <row r="16026" spans="1:13">
      <c r="A16026">
        <v>88703400</v>
      </c>
      <c r="B16026">
        <v>8200670</v>
      </c>
      <c r="C16026" t="s">
        <v>14191</v>
      </c>
      <c r="D16026" t="s">
        <v>442</v>
      </c>
      <c r="F16026">
        <v>0</v>
      </c>
      <c r="H16026" t="s">
        <v>8580</v>
      </c>
      <c r="I16026">
        <v>0</v>
      </c>
      <c r="J16026" t="s">
        <v>469</v>
      </c>
      <c r="M16026">
        <v>0</v>
      </c>
    </row>
    <row r="16027" spans="1:13">
      <c r="A16027">
        <v>88703500</v>
      </c>
      <c r="B16027">
        <v>8200420</v>
      </c>
      <c r="C16027" t="s">
        <v>14192</v>
      </c>
      <c r="D16027" t="s">
        <v>442</v>
      </c>
      <c r="F16027">
        <v>0</v>
      </c>
      <c r="H16027" t="s">
        <v>8584</v>
      </c>
      <c r="I16027">
        <v>0</v>
      </c>
      <c r="J16027" t="s">
        <v>469</v>
      </c>
      <c r="M16027">
        <v>0</v>
      </c>
    </row>
    <row r="16028" spans="1:13">
      <c r="A16028">
        <v>89333800</v>
      </c>
      <c r="B16028">
        <v>2006230</v>
      </c>
      <c r="C16028" t="s">
        <v>8497</v>
      </c>
      <c r="D16028" t="s">
        <v>442</v>
      </c>
      <c r="F16028">
        <v>0</v>
      </c>
      <c r="H16028" t="s">
        <v>8581</v>
      </c>
      <c r="I16028">
        <v>730</v>
      </c>
      <c r="J16028" t="s">
        <v>450</v>
      </c>
      <c r="K16028" t="s">
        <v>446</v>
      </c>
      <c r="M16028">
        <v>3805</v>
      </c>
    </row>
    <row r="16029" spans="1:13">
      <c r="A16029">
        <v>89720100</v>
      </c>
      <c r="B16029">
        <v>2003230</v>
      </c>
      <c r="C16029" t="s">
        <v>14193</v>
      </c>
      <c r="D16029" t="s">
        <v>442</v>
      </c>
      <c r="E16029" t="s">
        <v>441</v>
      </c>
      <c r="F16029">
        <v>1E-3</v>
      </c>
      <c r="H16029" t="s">
        <v>13985</v>
      </c>
      <c r="I16029">
        <v>720</v>
      </c>
      <c r="J16029" t="s">
        <v>450</v>
      </c>
      <c r="K16029" t="s">
        <v>446</v>
      </c>
      <c r="M16029">
        <v>0</v>
      </c>
    </row>
    <row r="16030" spans="1:13">
      <c r="A16030">
        <v>89720200</v>
      </c>
      <c r="B16030">
        <v>2003670</v>
      </c>
      <c r="C16030" t="s">
        <v>14194</v>
      </c>
      <c r="D16030" t="s">
        <v>442</v>
      </c>
      <c r="F16030">
        <v>0</v>
      </c>
      <c r="H16030" t="s">
        <v>14149</v>
      </c>
      <c r="I16030">
        <v>360</v>
      </c>
      <c r="J16030" t="s">
        <v>450</v>
      </c>
      <c r="K16030" t="s">
        <v>446</v>
      </c>
      <c r="M16030">
        <v>0</v>
      </c>
    </row>
    <row r="16031" spans="1:13">
      <c r="A16031">
        <v>89720300</v>
      </c>
      <c r="B16031">
        <v>8200165</v>
      </c>
      <c r="C16031" t="s">
        <v>14195</v>
      </c>
      <c r="D16031" t="s">
        <v>442</v>
      </c>
      <c r="E16031" t="s">
        <v>441</v>
      </c>
      <c r="F16031">
        <v>1E-3</v>
      </c>
      <c r="H16031" t="s">
        <v>8584</v>
      </c>
      <c r="I16031">
        <v>0</v>
      </c>
      <c r="J16031" t="s">
        <v>469</v>
      </c>
      <c r="M16031">
        <v>0</v>
      </c>
    </row>
    <row r="16032" spans="1:13">
      <c r="A16032">
        <v>89720400</v>
      </c>
      <c r="B16032">
        <v>2001211</v>
      </c>
      <c r="C16032" t="s">
        <v>8498</v>
      </c>
      <c r="D16032" t="s">
        <v>8499</v>
      </c>
      <c r="E16032" t="s">
        <v>441</v>
      </c>
      <c r="F16032">
        <v>1</v>
      </c>
      <c r="H16032" t="s">
        <v>8935</v>
      </c>
      <c r="I16032">
        <v>730</v>
      </c>
      <c r="J16032" t="s">
        <v>450</v>
      </c>
      <c r="K16032" t="s">
        <v>446</v>
      </c>
      <c r="M16032">
        <v>0</v>
      </c>
    </row>
    <row r="16033" spans="1:13">
      <c r="A16033">
        <v>89790000</v>
      </c>
      <c r="B16033">
        <v>3008753</v>
      </c>
      <c r="C16033" t="s">
        <v>8500</v>
      </c>
      <c r="D16033" t="s">
        <v>441</v>
      </c>
      <c r="F16033">
        <v>0</v>
      </c>
      <c r="G16033">
        <v>0.46</v>
      </c>
      <c r="H16033" t="s">
        <v>8584</v>
      </c>
      <c r="I16033">
        <v>0</v>
      </c>
      <c r="J16033" t="s">
        <v>445</v>
      </c>
      <c r="M16033">
        <v>0</v>
      </c>
    </row>
    <row r="16034" spans="1:13">
      <c r="A16034">
        <v>89790100</v>
      </c>
      <c r="B16034">
        <v>3008754</v>
      </c>
      <c r="C16034" t="s">
        <v>8501</v>
      </c>
      <c r="D16034" t="s">
        <v>441</v>
      </c>
      <c r="F16034">
        <v>0</v>
      </c>
      <c r="G16034">
        <v>0.54</v>
      </c>
      <c r="H16034" t="s">
        <v>8584</v>
      </c>
      <c r="I16034">
        <v>0</v>
      </c>
      <c r="J16034" t="s">
        <v>445</v>
      </c>
      <c r="M16034">
        <v>0</v>
      </c>
    </row>
    <row r="16035" spans="1:13">
      <c r="A16035">
        <v>91001000</v>
      </c>
      <c r="B16035">
        <v>8400261</v>
      </c>
      <c r="C16035" t="s">
        <v>8502</v>
      </c>
      <c r="D16035" t="s">
        <v>441</v>
      </c>
      <c r="F16035">
        <v>0</v>
      </c>
      <c r="H16035" t="s">
        <v>8583</v>
      </c>
      <c r="I16035">
        <v>0</v>
      </c>
      <c r="J16035" t="s">
        <v>8503</v>
      </c>
      <c r="M16035">
        <v>2311</v>
      </c>
    </row>
    <row r="16036" spans="1:13">
      <c r="A16036">
        <v>91001100</v>
      </c>
      <c r="B16036">
        <v>8400511</v>
      </c>
      <c r="C16036" t="s">
        <v>8504</v>
      </c>
      <c r="D16036" t="s">
        <v>441</v>
      </c>
      <c r="F16036">
        <v>0</v>
      </c>
      <c r="H16036" t="s">
        <v>14196</v>
      </c>
      <c r="I16036">
        <v>0</v>
      </c>
      <c r="J16036" t="s">
        <v>8503</v>
      </c>
      <c r="M16036">
        <v>2316</v>
      </c>
    </row>
    <row r="16037" spans="1:13">
      <c r="A16037">
        <v>91001200</v>
      </c>
      <c r="B16037">
        <v>8400512</v>
      </c>
      <c r="C16037" t="s">
        <v>8505</v>
      </c>
      <c r="D16037" t="s">
        <v>441</v>
      </c>
      <c r="F16037">
        <v>0</v>
      </c>
      <c r="H16037" t="s">
        <v>14196</v>
      </c>
      <c r="I16037">
        <v>0</v>
      </c>
      <c r="J16037" t="s">
        <v>8503</v>
      </c>
      <c r="M16037">
        <v>2311</v>
      </c>
    </row>
    <row r="16038" spans="1:13">
      <c r="A16038">
        <v>91001300</v>
      </c>
      <c r="B16038">
        <v>8400520</v>
      </c>
      <c r="C16038" t="s">
        <v>8506</v>
      </c>
      <c r="D16038" t="s">
        <v>441</v>
      </c>
      <c r="F16038">
        <v>0</v>
      </c>
      <c r="H16038" t="s">
        <v>8935</v>
      </c>
      <c r="I16038">
        <v>0</v>
      </c>
      <c r="J16038" t="s">
        <v>8503</v>
      </c>
      <c r="M16038">
        <v>2312</v>
      </c>
    </row>
    <row r="16039" spans="1:13">
      <c r="A16039">
        <v>91001400</v>
      </c>
      <c r="B16039">
        <v>8400513</v>
      </c>
      <c r="C16039" t="s">
        <v>8507</v>
      </c>
      <c r="D16039" t="s">
        <v>441</v>
      </c>
      <c r="F16039">
        <v>0</v>
      </c>
      <c r="H16039" t="s">
        <v>8935</v>
      </c>
      <c r="I16039">
        <v>0</v>
      </c>
      <c r="J16039" t="s">
        <v>8503</v>
      </c>
      <c r="M16039">
        <v>6666</v>
      </c>
    </row>
    <row r="16040" spans="1:13">
      <c r="A16040">
        <v>91001500</v>
      </c>
      <c r="B16040">
        <v>8400560</v>
      </c>
      <c r="C16040" t="s">
        <v>17852</v>
      </c>
      <c r="D16040" t="s">
        <v>441</v>
      </c>
      <c r="F16040">
        <v>0</v>
      </c>
      <c r="H16040" t="s">
        <v>8584</v>
      </c>
      <c r="I16040">
        <v>2</v>
      </c>
      <c r="J16040" t="s">
        <v>8503</v>
      </c>
      <c r="M16040">
        <v>0</v>
      </c>
    </row>
    <row r="16041" spans="1:13">
      <c r="A16041">
        <v>91002000</v>
      </c>
      <c r="B16041">
        <v>8400263</v>
      </c>
      <c r="C16041" t="s">
        <v>8508</v>
      </c>
      <c r="D16041" t="s">
        <v>441</v>
      </c>
      <c r="F16041">
        <v>0</v>
      </c>
      <c r="H16041" t="s">
        <v>8580</v>
      </c>
      <c r="I16041">
        <v>0</v>
      </c>
      <c r="J16041" t="s">
        <v>8503</v>
      </c>
      <c r="M16041">
        <v>2312</v>
      </c>
    </row>
    <row r="16042" spans="1:13">
      <c r="A16042">
        <v>91003000</v>
      </c>
      <c r="B16042">
        <v>8400264</v>
      </c>
      <c r="C16042" t="s">
        <v>8509</v>
      </c>
      <c r="D16042" t="s">
        <v>441</v>
      </c>
      <c r="F16042">
        <v>0</v>
      </c>
      <c r="I16042">
        <v>0</v>
      </c>
      <c r="J16042" t="s">
        <v>8503</v>
      </c>
      <c r="M16042">
        <v>2313</v>
      </c>
    </row>
    <row r="16043" spans="1:13">
      <c r="A16043">
        <v>91004000</v>
      </c>
      <c r="B16043">
        <v>8400266</v>
      </c>
      <c r="C16043" t="s">
        <v>8510</v>
      </c>
      <c r="D16043" t="s">
        <v>441</v>
      </c>
      <c r="F16043">
        <v>0</v>
      </c>
      <c r="H16043" t="s">
        <v>8619</v>
      </c>
      <c r="I16043">
        <v>0</v>
      </c>
      <c r="J16043" t="s">
        <v>8503</v>
      </c>
      <c r="M16043">
        <v>2314</v>
      </c>
    </row>
    <row r="16044" spans="1:13">
      <c r="A16044">
        <v>91005000</v>
      </c>
      <c r="B16044">
        <v>8400170</v>
      </c>
      <c r="C16044" t="s">
        <v>8511</v>
      </c>
      <c r="D16044" t="s">
        <v>441</v>
      </c>
      <c r="F16044">
        <v>0</v>
      </c>
      <c r="I16044">
        <v>0</v>
      </c>
      <c r="J16044" t="s">
        <v>8503</v>
      </c>
      <c r="M16044">
        <v>2316</v>
      </c>
    </row>
    <row r="16045" spans="1:13">
      <c r="A16045">
        <v>91006000</v>
      </c>
      <c r="B16045">
        <v>8400171</v>
      </c>
      <c r="C16045" t="s">
        <v>8512</v>
      </c>
      <c r="D16045" t="s">
        <v>441</v>
      </c>
      <c r="F16045">
        <v>0</v>
      </c>
      <c r="I16045">
        <v>0</v>
      </c>
      <c r="J16045" t="s">
        <v>8503</v>
      </c>
      <c r="M16045">
        <v>2316</v>
      </c>
    </row>
    <row r="16046" spans="1:13">
      <c r="A16046">
        <v>91007000</v>
      </c>
      <c r="B16046">
        <v>8400300</v>
      </c>
      <c r="C16046" t="s">
        <v>15301</v>
      </c>
      <c r="D16046" t="s">
        <v>441</v>
      </c>
      <c r="F16046">
        <v>0</v>
      </c>
      <c r="H16046" t="s">
        <v>8624</v>
      </c>
      <c r="I16046">
        <v>0</v>
      </c>
      <c r="J16046" t="s">
        <v>8503</v>
      </c>
      <c r="M16046">
        <v>6666</v>
      </c>
    </row>
    <row r="16047" spans="1:13">
      <c r="A16047">
        <v>91008000</v>
      </c>
      <c r="B16047">
        <v>8400441</v>
      </c>
      <c r="C16047" t="s">
        <v>14197</v>
      </c>
      <c r="D16047" t="s">
        <v>441</v>
      </c>
      <c r="F16047">
        <v>0</v>
      </c>
      <c r="H16047" t="s">
        <v>8584</v>
      </c>
      <c r="I16047">
        <v>0</v>
      </c>
      <c r="J16047" t="s">
        <v>8503</v>
      </c>
      <c r="M16047">
        <v>0</v>
      </c>
    </row>
    <row r="16048" spans="1:13">
      <c r="A16048">
        <v>91009000</v>
      </c>
      <c r="B16048">
        <v>8400510</v>
      </c>
      <c r="C16048" t="s">
        <v>14198</v>
      </c>
      <c r="D16048" t="s">
        <v>441</v>
      </c>
      <c r="F16048">
        <v>0</v>
      </c>
      <c r="I16048">
        <v>0</v>
      </c>
      <c r="J16048" t="s">
        <v>8503</v>
      </c>
      <c r="M16048">
        <v>2211</v>
      </c>
    </row>
    <row r="16049" spans="1:13">
      <c r="A16049">
        <v>91010000</v>
      </c>
      <c r="B16049">
        <v>8400267</v>
      </c>
      <c r="C16049" t="s">
        <v>14199</v>
      </c>
      <c r="D16049" t="s">
        <v>441</v>
      </c>
      <c r="F16049">
        <v>0</v>
      </c>
      <c r="G16049">
        <v>0</v>
      </c>
      <c r="H16049" t="s">
        <v>8580</v>
      </c>
      <c r="I16049">
        <v>0</v>
      </c>
      <c r="J16049" t="s">
        <v>8503</v>
      </c>
      <c r="M16049">
        <v>2211</v>
      </c>
    </row>
    <row r="16050" spans="1:13">
      <c r="A16050">
        <v>91011000</v>
      </c>
      <c r="B16050">
        <v>8400223</v>
      </c>
      <c r="C16050" t="s">
        <v>14200</v>
      </c>
      <c r="D16050" t="s">
        <v>441</v>
      </c>
      <c r="F16050">
        <v>0</v>
      </c>
      <c r="I16050">
        <v>0</v>
      </c>
      <c r="J16050" t="s">
        <v>8503</v>
      </c>
      <c r="M16050">
        <v>2311</v>
      </c>
    </row>
    <row r="16051" spans="1:13">
      <c r="A16051">
        <v>91012000</v>
      </c>
      <c r="B16051">
        <v>8400262</v>
      </c>
      <c r="C16051" t="s">
        <v>14201</v>
      </c>
      <c r="D16051" t="s">
        <v>441</v>
      </c>
      <c r="F16051">
        <v>0</v>
      </c>
      <c r="I16051">
        <v>0</v>
      </c>
      <c r="J16051" t="s">
        <v>8503</v>
      </c>
      <c r="K16051" t="s">
        <v>446</v>
      </c>
      <c r="M16051">
        <v>0</v>
      </c>
    </row>
    <row r="16052" spans="1:13">
      <c r="A16052">
        <v>91020000</v>
      </c>
      <c r="B16052">
        <v>8400141</v>
      </c>
      <c r="C16052" t="s">
        <v>14202</v>
      </c>
      <c r="D16052" t="s">
        <v>441</v>
      </c>
      <c r="F16052">
        <v>0</v>
      </c>
      <c r="I16052">
        <v>0</v>
      </c>
      <c r="J16052" t="s">
        <v>8503</v>
      </c>
      <c r="K16052" t="s">
        <v>446</v>
      </c>
      <c r="M16052">
        <v>0</v>
      </c>
    </row>
    <row r="16053" spans="1:13">
      <c r="A16053">
        <v>91021000</v>
      </c>
      <c r="B16053">
        <v>8400222</v>
      </c>
      <c r="C16053" t="s">
        <v>14203</v>
      </c>
      <c r="D16053" t="s">
        <v>441</v>
      </c>
      <c r="F16053">
        <v>0</v>
      </c>
      <c r="I16053">
        <v>0</v>
      </c>
      <c r="J16053" t="s">
        <v>8503</v>
      </c>
      <c r="K16053" t="s">
        <v>446</v>
      </c>
      <c r="M16053">
        <v>2311</v>
      </c>
    </row>
    <row r="16054" spans="1:13">
      <c r="A16054">
        <v>91022000</v>
      </c>
      <c r="B16054">
        <v>8400134</v>
      </c>
      <c r="C16054" t="s">
        <v>14204</v>
      </c>
      <c r="D16054" t="s">
        <v>441</v>
      </c>
      <c r="F16054">
        <v>0</v>
      </c>
      <c r="I16054">
        <v>0</v>
      </c>
      <c r="J16054" t="s">
        <v>8503</v>
      </c>
      <c r="K16054" t="s">
        <v>446</v>
      </c>
      <c r="M16054">
        <v>0</v>
      </c>
    </row>
    <row r="16055" spans="1:13">
      <c r="A16055">
        <v>91030000</v>
      </c>
      <c r="B16055">
        <v>8400142</v>
      </c>
      <c r="C16055" t="s">
        <v>14205</v>
      </c>
      <c r="D16055" t="s">
        <v>441</v>
      </c>
      <c r="F16055">
        <v>0</v>
      </c>
      <c r="I16055">
        <v>0</v>
      </c>
      <c r="J16055" t="s">
        <v>8503</v>
      </c>
      <c r="K16055" t="s">
        <v>446</v>
      </c>
      <c r="M16055">
        <v>0</v>
      </c>
    </row>
    <row r="16056" spans="1:13">
      <c r="A16056">
        <v>91031000</v>
      </c>
      <c r="B16056">
        <v>8400221</v>
      </c>
      <c r="C16056" t="s">
        <v>14206</v>
      </c>
      <c r="D16056" t="s">
        <v>441</v>
      </c>
      <c r="F16056">
        <v>0</v>
      </c>
      <c r="I16056">
        <v>0</v>
      </c>
      <c r="J16056" t="s">
        <v>8503</v>
      </c>
      <c r="K16056" t="s">
        <v>446</v>
      </c>
      <c r="M16056">
        <v>2311</v>
      </c>
    </row>
    <row r="16057" spans="1:13">
      <c r="A16057">
        <v>91032000</v>
      </c>
      <c r="B16057">
        <v>8400135</v>
      </c>
      <c r="C16057" t="s">
        <v>14207</v>
      </c>
      <c r="D16057" t="s">
        <v>441</v>
      </c>
      <c r="F16057">
        <v>0</v>
      </c>
      <c r="I16057">
        <v>0</v>
      </c>
      <c r="J16057" t="s">
        <v>8503</v>
      </c>
      <c r="K16057" t="s">
        <v>446</v>
      </c>
      <c r="M16057">
        <v>0</v>
      </c>
    </row>
    <row r="16058" spans="1:13">
      <c r="A16058">
        <v>91040000</v>
      </c>
      <c r="B16058">
        <v>8400143</v>
      </c>
      <c r="C16058" t="s">
        <v>14208</v>
      </c>
      <c r="D16058" t="s">
        <v>441</v>
      </c>
      <c r="F16058">
        <v>0</v>
      </c>
      <c r="I16058">
        <v>0</v>
      </c>
      <c r="J16058" t="s">
        <v>8503</v>
      </c>
      <c r="K16058" t="s">
        <v>446</v>
      </c>
      <c r="M16058">
        <v>0</v>
      </c>
    </row>
    <row r="16059" spans="1:13">
      <c r="A16059">
        <v>91050000</v>
      </c>
      <c r="B16059">
        <v>8400139</v>
      </c>
      <c r="C16059" t="s">
        <v>14209</v>
      </c>
      <c r="D16059" t="s">
        <v>441</v>
      </c>
      <c r="F16059">
        <v>0</v>
      </c>
      <c r="I16059">
        <v>0</v>
      </c>
      <c r="J16059" t="s">
        <v>8503</v>
      </c>
      <c r="K16059" t="s">
        <v>446</v>
      </c>
      <c r="M16059">
        <v>0</v>
      </c>
    </row>
    <row r="16060" spans="1:13">
      <c r="A16060">
        <v>91051000</v>
      </c>
      <c r="B16060">
        <v>8400224</v>
      </c>
      <c r="C16060" t="s">
        <v>14210</v>
      </c>
      <c r="D16060" t="s">
        <v>441</v>
      </c>
      <c r="F16060">
        <v>0</v>
      </c>
      <c r="I16060">
        <v>0</v>
      </c>
      <c r="J16060" t="s">
        <v>8503</v>
      </c>
      <c r="K16060" t="s">
        <v>446</v>
      </c>
      <c r="M16060">
        <v>2311</v>
      </c>
    </row>
    <row r="16061" spans="1:13">
      <c r="A16061">
        <v>91052000</v>
      </c>
      <c r="B16061">
        <v>8400132</v>
      </c>
      <c r="C16061" t="s">
        <v>14211</v>
      </c>
      <c r="D16061" t="s">
        <v>441</v>
      </c>
      <c r="F16061">
        <v>0</v>
      </c>
      <c r="I16061">
        <v>0</v>
      </c>
      <c r="J16061" t="s">
        <v>8503</v>
      </c>
      <c r="K16061" t="s">
        <v>446</v>
      </c>
      <c r="M16061">
        <v>0</v>
      </c>
    </row>
    <row r="16062" spans="1:13">
      <c r="A16062">
        <v>91060000</v>
      </c>
      <c r="B16062">
        <v>8400144</v>
      </c>
      <c r="C16062" t="s">
        <v>14212</v>
      </c>
      <c r="D16062" t="s">
        <v>441</v>
      </c>
      <c r="F16062">
        <v>0</v>
      </c>
      <c r="I16062">
        <v>0</v>
      </c>
      <c r="J16062" t="s">
        <v>8503</v>
      </c>
      <c r="K16062" t="s">
        <v>446</v>
      </c>
      <c r="M16062">
        <v>0</v>
      </c>
    </row>
    <row r="16063" spans="1:13">
      <c r="A16063">
        <v>91061000</v>
      </c>
      <c r="B16063">
        <v>8400220</v>
      </c>
      <c r="C16063" t="s">
        <v>14213</v>
      </c>
      <c r="D16063" t="s">
        <v>441</v>
      </c>
      <c r="F16063">
        <v>0</v>
      </c>
      <c r="I16063">
        <v>0</v>
      </c>
      <c r="J16063" t="s">
        <v>8503</v>
      </c>
      <c r="K16063" t="s">
        <v>446</v>
      </c>
      <c r="M16063">
        <v>2311</v>
      </c>
    </row>
    <row r="16064" spans="1:13">
      <c r="A16064">
        <v>91070000</v>
      </c>
      <c r="B16064">
        <v>8400145</v>
      </c>
      <c r="C16064" t="s">
        <v>14214</v>
      </c>
      <c r="D16064" t="s">
        <v>441</v>
      </c>
      <c r="F16064">
        <v>0</v>
      </c>
      <c r="I16064">
        <v>0</v>
      </c>
      <c r="J16064" t="s">
        <v>8503</v>
      </c>
      <c r="K16064" t="s">
        <v>446</v>
      </c>
      <c r="M16064">
        <v>0</v>
      </c>
    </row>
    <row r="16065" spans="1:13">
      <c r="A16065">
        <v>91080000</v>
      </c>
      <c r="B16065">
        <v>8400146</v>
      </c>
      <c r="C16065" t="s">
        <v>14215</v>
      </c>
      <c r="D16065" t="s">
        <v>441</v>
      </c>
      <c r="F16065">
        <v>0</v>
      </c>
      <c r="I16065">
        <v>0</v>
      </c>
      <c r="J16065" t="s">
        <v>8503</v>
      </c>
      <c r="K16065" t="s">
        <v>446</v>
      </c>
      <c r="M16065">
        <v>0</v>
      </c>
    </row>
    <row r="16066" spans="1:13">
      <c r="A16066">
        <v>91090000</v>
      </c>
      <c r="B16066">
        <v>8400147</v>
      </c>
      <c r="C16066" t="s">
        <v>14216</v>
      </c>
      <c r="D16066" t="s">
        <v>441</v>
      </c>
      <c r="F16066">
        <v>0</v>
      </c>
      <c r="I16066">
        <v>0</v>
      </c>
      <c r="J16066" t="s">
        <v>8503</v>
      </c>
      <c r="K16066" t="s">
        <v>446</v>
      </c>
      <c r="M16066">
        <v>2211</v>
      </c>
    </row>
    <row r="16067" spans="1:13">
      <c r="A16067">
        <v>95000701</v>
      </c>
      <c r="B16067">
        <v>2003488</v>
      </c>
      <c r="C16067" t="s">
        <v>8513</v>
      </c>
      <c r="D16067" t="s">
        <v>441</v>
      </c>
      <c r="F16067">
        <v>0</v>
      </c>
      <c r="H16067" t="s">
        <v>8584</v>
      </c>
      <c r="I16067">
        <v>720</v>
      </c>
      <c r="J16067" t="s">
        <v>450</v>
      </c>
      <c r="M16067">
        <v>3802</v>
      </c>
    </row>
    <row r="16068" spans="1:13">
      <c r="A16068">
        <v>95000702</v>
      </c>
      <c r="B16068">
        <v>2000802</v>
      </c>
      <c r="C16068" t="s">
        <v>8514</v>
      </c>
      <c r="D16068" t="s">
        <v>441</v>
      </c>
      <c r="F16068">
        <v>0</v>
      </c>
      <c r="H16068" t="s">
        <v>8580</v>
      </c>
      <c r="I16068">
        <v>730</v>
      </c>
      <c r="J16068" t="s">
        <v>450</v>
      </c>
      <c r="M16068">
        <v>0</v>
      </c>
    </row>
    <row r="16069" spans="1:13">
      <c r="A16069">
        <v>95000704</v>
      </c>
      <c r="B16069">
        <v>2003489</v>
      </c>
      <c r="C16069" t="s">
        <v>14217</v>
      </c>
      <c r="E16069" t="s">
        <v>441</v>
      </c>
      <c r="F16069">
        <v>1000</v>
      </c>
      <c r="H16069" t="s">
        <v>8584</v>
      </c>
      <c r="I16069">
        <v>720</v>
      </c>
      <c r="J16069" t="s">
        <v>450</v>
      </c>
      <c r="K16069" t="s">
        <v>446</v>
      </c>
      <c r="M16069">
        <v>3802</v>
      </c>
    </row>
    <row r="16070" spans="1:13">
      <c r="A16070">
        <v>95000705</v>
      </c>
      <c r="B16070">
        <v>2000804</v>
      </c>
      <c r="C16070" t="s">
        <v>8515</v>
      </c>
      <c r="D16070" t="s">
        <v>441</v>
      </c>
      <c r="F16070">
        <v>0</v>
      </c>
      <c r="H16070" t="s">
        <v>8580</v>
      </c>
      <c r="I16070">
        <v>730</v>
      </c>
      <c r="J16070" t="s">
        <v>450</v>
      </c>
      <c r="M16070">
        <v>0</v>
      </c>
    </row>
    <row r="16071" spans="1:13">
      <c r="A16071">
        <v>95900001</v>
      </c>
      <c r="B16071">
        <v>8200000</v>
      </c>
      <c r="C16071" t="s">
        <v>14218</v>
      </c>
      <c r="D16071" t="s">
        <v>442</v>
      </c>
      <c r="E16071" t="s">
        <v>441</v>
      </c>
      <c r="F16071">
        <v>1E-3</v>
      </c>
      <c r="H16071" t="s">
        <v>8584</v>
      </c>
      <c r="I16071">
        <v>0</v>
      </c>
      <c r="J16071" t="s">
        <v>469</v>
      </c>
      <c r="M16071">
        <v>0</v>
      </c>
    </row>
  </sheetData>
  <autoFilter ref="A1:M15663" xr:uid="{46B79E88-C945-4B8C-8C23-6279D2DE3E9B}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B7429-9C4E-495A-BED7-EC5ACD2C5112}">
  <sheetPr codeName="Arkusz10"/>
  <dimension ref="A1:R469"/>
  <sheetViews>
    <sheetView topLeftCell="C26" zoomScale="79" zoomScaleNormal="79" workbookViewId="0">
      <selection activeCell="D42" sqref="D42"/>
    </sheetView>
  </sheetViews>
  <sheetFormatPr defaultRowHeight="15"/>
  <cols>
    <col min="1" max="1" width="9" customWidth="1"/>
    <col min="2" max="2" width="19.5703125" customWidth="1"/>
    <col min="3" max="3" width="40.5703125" customWidth="1"/>
    <col min="4" max="4" width="13.42578125" bestFit="1" customWidth="1"/>
    <col min="5" max="5" width="29" customWidth="1"/>
    <col min="6" max="6" width="11" bestFit="1" customWidth="1"/>
    <col min="7" max="7" width="10.42578125" style="87" bestFit="1" customWidth="1"/>
    <col min="8" max="8" width="11" style="87" bestFit="1" customWidth="1"/>
    <col min="9" max="9" width="10.5703125" style="87" bestFit="1" customWidth="1"/>
    <col min="10" max="10" width="20.42578125" customWidth="1"/>
    <col min="11" max="11" width="16.5703125" customWidth="1"/>
    <col min="12" max="12" width="16.5703125" bestFit="1" customWidth="1"/>
    <col min="13" max="13" width="14.42578125" customWidth="1"/>
    <col min="14" max="14" width="19.42578125" bestFit="1" customWidth="1"/>
    <col min="15" max="15" width="15.42578125" customWidth="1"/>
    <col min="17" max="17" width="11.5703125" customWidth="1"/>
  </cols>
  <sheetData>
    <row r="1" spans="1:18">
      <c r="A1" t="s">
        <v>253</v>
      </c>
      <c r="B1" t="s">
        <v>68</v>
      </c>
      <c r="C1" t="s">
        <v>126</v>
      </c>
      <c r="D1" t="s">
        <v>256</v>
      </c>
      <c r="E1" t="s">
        <v>257</v>
      </c>
      <c r="F1" t="s">
        <v>258</v>
      </c>
      <c r="G1" s="87" t="s">
        <v>262</v>
      </c>
      <c r="H1" s="87" t="s">
        <v>265</v>
      </c>
      <c r="I1" s="87" t="s">
        <v>267</v>
      </c>
      <c r="J1" t="s">
        <v>269</v>
      </c>
      <c r="K1" t="s">
        <v>270</v>
      </c>
      <c r="L1" t="s">
        <v>319</v>
      </c>
      <c r="M1" t="s">
        <v>320</v>
      </c>
      <c r="N1" t="s">
        <v>321</v>
      </c>
      <c r="O1" s="237" t="s">
        <v>323</v>
      </c>
      <c r="R1" t="s">
        <v>18972</v>
      </c>
    </row>
    <row r="2" spans="1:18">
      <c r="A2">
        <v>3111</v>
      </c>
      <c r="B2">
        <v>15590007</v>
      </c>
      <c r="C2" t="s">
        <v>14680</v>
      </c>
      <c r="D2" t="s">
        <v>18813</v>
      </c>
      <c r="E2">
        <v>2024</v>
      </c>
      <c r="F2">
        <v>4126251</v>
      </c>
      <c r="G2">
        <v>632.5</v>
      </c>
      <c r="H2">
        <v>2370.5</v>
      </c>
      <c r="I2">
        <v>1738</v>
      </c>
      <c r="J2" s="225">
        <v>45390</v>
      </c>
      <c r="K2" s="225">
        <v>45390</v>
      </c>
      <c r="L2">
        <v>6</v>
      </c>
      <c r="M2" t="s">
        <v>18698</v>
      </c>
      <c r="N2" t="s">
        <v>18814</v>
      </c>
      <c r="O2" s="236">
        <f ca="1">N2*1-TODAY()</f>
        <v>-12</v>
      </c>
      <c r="P2">
        <f ca="1">IF(O2&lt;4,MID(B2,1,4)*1,0)</f>
        <v>1559</v>
      </c>
      <c r="Q2">
        <f>MID(B2,1,4)*1</f>
        <v>1559</v>
      </c>
      <c r="R2" t="str">
        <f>MID(D2,4,1)</f>
        <v>4</v>
      </c>
    </row>
    <row r="3" spans="1:18">
      <c r="A3">
        <v>3111</v>
      </c>
      <c r="B3">
        <v>15590007</v>
      </c>
      <c r="C3" t="s">
        <v>14680</v>
      </c>
      <c r="D3" t="s">
        <v>18815</v>
      </c>
      <c r="E3">
        <v>2024</v>
      </c>
      <c r="F3">
        <v>4125764</v>
      </c>
      <c r="G3">
        <v>721.5</v>
      </c>
      <c r="H3">
        <v>807.5</v>
      </c>
      <c r="I3">
        <v>86</v>
      </c>
      <c r="J3" s="225">
        <v>45390</v>
      </c>
      <c r="K3" s="225">
        <v>45390</v>
      </c>
      <c r="L3">
        <v>6</v>
      </c>
      <c r="M3" t="s">
        <v>18698</v>
      </c>
      <c r="N3" t="s">
        <v>18814</v>
      </c>
      <c r="O3" s="236">
        <f t="shared" ref="O3:O66" ca="1" si="0">N3*1-TODAY()</f>
        <v>-12</v>
      </c>
      <c r="P3">
        <f ca="1">IF(O3&lt;4,MID(B3,1,4)*1,0)</f>
        <v>1559</v>
      </c>
      <c r="Q3">
        <f t="shared" ref="Q3:Q66" si="1">MID(B3,1,4)*1</f>
        <v>1559</v>
      </c>
      <c r="R3" t="str">
        <f t="shared" ref="R3:R66" si="2">MID(D3,4,1)</f>
        <v>5</v>
      </c>
    </row>
    <row r="4" spans="1:18">
      <c r="A4">
        <v>3111</v>
      </c>
      <c r="B4">
        <v>16240007</v>
      </c>
      <c r="C4" t="s">
        <v>18697</v>
      </c>
      <c r="D4" t="s">
        <v>18768</v>
      </c>
      <c r="E4">
        <v>2024</v>
      </c>
      <c r="F4">
        <v>4123421</v>
      </c>
      <c r="G4">
        <v>102.5</v>
      </c>
      <c r="H4">
        <v>920</v>
      </c>
      <c r="I4">
        <v>817.5</v>
      </c>
      <c r="J4" s="225">
        <v>45387</v>
      </c>
      <c r="K4" s="225">
        <v>45390</v>
      </c>
      <c r="L4">
        <v>6</v>
      </c>
      <c r="M4" t="s">
        <v>18700</v>
      </c>
      <c r="N4" t="s">
        <v>18763</v>
      </c>
      <c r="O4" s="236">
        <f t="shared" ca="1" si="0"/>
        <v>-15</v>
      </c>
      <c r="P4">
        <f t="shared" ref="P4:P66" ca="1" si="3">IF(O4&lt;4,MID(B4,1,4)*1,0)</f>
        <v>1624</v>
      </c>
      <c r="Q4">
        <f t="shared" si="1"/>
        <v>1624</v>
      </c>
      <c r="R4" t="str">
        <f t="shared" si="2"/>
        <v>5</v>
      </c>
    </row>
    <row r="5" spans="1:18">
      <c r="A5">
        <v>3111</v>
      </c>
      <c r="B5">
        <v>16360007</v>
      </c>
      <c r="C5" t="s">
        <v>18749</v>
      </c>
      <c r="D5" t="s">
        <v>18769</v>
      </c>
      <c r="E5">
        <v>2024</v>
      </c>
      <c r="F5">
        <v>4123546</v>
      </c>
      <c r="G5">
        <v>913</v>
      </c>
      <c r="H5">
        <v>913</v>
      </c>
      <c r="I5">
        <v>0</v>
      </c>
      <c r="J5" s="225">
        <v>45387</v>
      </c>
      <c r="K5" s="225">
        <v>45387</v>
      </c>
      <c r="L5">
        <v>6</v>
      </c>
      <c r="M5" t="s">
        <v>18700</v>
      </c>
      <c r="N5" t="s">
        <v>18763</v>
      </c>
      <c r="O5" s="236">
        <f t="shared" ca="1" si="0"/>
        <v>-15</v>
      </c>
      <c r="P5">
        <f ca="1">IF(O5&lt;4,MID(B5,1,4)*1,0)</f>
        <v>1636</v>
      </c>
      <c r="Q5">
        <f t="shared" si="1"/>
        <v>1636</v>
      </c>
      <c r="R5" t="str">
        <f t="shared" si="2"/>
        <v>5</v>
      </c>
    </row>
    <row r="6" spans="1:18">
      <c r="A6">
        <v>3111</v>
      </c>
      <c r="B6">
        <v>20034619</v>
      </c>
      <c r="C6" t="s">
        <v>2568</v>
      </c>
      <c r="D6" t="s">
        <v>18816</v>
      </c>
      <c r="E6">
        <v>2024</v>
      </c>
      <c r="F6" t="s">
        <v>18817</v>
      </c>
      <c r="G6">
        <v>608.5</v>
      </c>
      <c r="H6">
        <v>1569.5</v>
      </c>
      <c r="I6">
        <v>961</v>
      </c>
      <c r="J6" s="225">
        <v>45390</v>
      </c>
      <c r="K6" s="225">
        <v>45390</v>
      </c>
      <c r="L6">
        <v>4</v>
      </c>
      <c r="M6" t="s">
        <v>18698</v>
      </c>
      <c r="N6" t="s">
        <v>18818</v>
      </c>
      <c r="O6" s="236">
        <f t="shared" ca="1" si="0"/>
        <v>-14</v>
      </c>
      <c r="P6">
        <f t="shared" ca="1" si="3"/>
        <v>2003</v>
      </c>
      <c r="Q6">
        <f t="shared" si="1"/>
        <v>2003</v>
      </c>
      <c r="R6" t="str">
        <f t="shared" si="2"/>
        <v>0</v>
      </c>
    </row>
    <row r="7" spans="1:18">
      <c r="A7">
        <v>3111</v>
      </c>
      <c r="B7">
        <v>20290007</v>
      </c>
      <c r="C7" t="s">
        <v>14681</v>
      </c>
      <c r="D7" t="s">
        <v>18819</v>
      </c>
      <c r="E7">
        <v>2024</v>
      </c>
      <c r="F7">
        <v>4126804</v>
      </c>
      <c r="G7">
        <v>3241.5</v>
      </c>
      <c r="H7">
        <v>3241.5</v>
      </c>
      <c r="I7">
        <v>0</v>
      </c>
      <c r="J7" s="225">
        <v>45390</v>
      </c>
      <c r="K7" s="225">
        <v>45390</v>
      </c>
      <c r="L7">
        <v>6</v>
      </c>
      <c r="M7" t="s">
        <v>18698</v>
      </c>
      <c r="N7" t="s">
        <v>18814</v>
      </c>
      <c r="O7" s="236">
        <f ca="1">N7*1-TODAY()</f>
        <v>-12</v>
      </c>
      <c r="P7">
        <f t="shared" ca="1" si="3"/>
        <v>2029</v>
      </c>
      <c r="Q7">
        <f t="shared" si="1"/>
        <v>2029</v>
      </c>
      <c r="R7" t="str">
        <f t="shared" si="2"/>
        <v>4</v>
      </c>
    </row>
    <row r="8" spans="1:18">
      <c r="A8">
        <v>3111</v>
      </c>
      <c r="B8">
        <v>20614007</v>
      </c>
      <c r="C8" t="s">
        <v>2720</v>
      </c>
      <c r="D8" t="s">
        <v>18820</v>
      </c>
      <c r="E8">
        <v>2024</v>
      </c>
      <c r="F8">
        <v>4126418</v>
      </c>
      <c r="G8">
        <v>1234.5</v>
      </c>
      <c r="H8">
        <v>1234.5</v>
      </c>
      <c r="I8">
        <v>0</v>
      </c>
      <c r="J8" s="225">
        <v>45390</v>
      </c>
      <c r="K8" s="225">
        <v>45390</v>
      </c>
      <c r="L8">
        <v>6</v>
      </c>
      <c r="M8" t="s">
        <v>18698</v>
      </c>
      <c r="N8" t="s">
        <v>18814</v>
      </c>
      <c r="O8" s="236">
        <f t="shared" ca="1" si="0"/>
        <v>-12</v>
      </c>
      <c r="P8">
        <f t="shared" ca="1" si="3"/>
        <v>2061</v>
      </c>
      <c r="Q8">
        <f t="shared" si="1"/>
        <v>2061</v>
      </c>
      <c r="R8" t="str">
        <f t="shared" si="2"/>
        <v>4</v>
      </c>
    </row>
    <row r="9" spans="1:18">
      <c r="A9">
        <v>3111</v>
      </c>
      <c r="B9">
        <v>22024602</v>
      </c>
      <c r="C9" t="s">
        <v>10784</v>
      </c>
      <c r="D9" t="s">
        <v>18821</v>
      </c>
      <c r="E9">
        <v>2024</v>
      </c>
      <c r="F9" t="s">
        <v>18822</v>
      </c>
      <c r="G9">
        <v>192.5</v>
      </c>
      <c r="H9">
        <v>192.5</v>
      </c>
      <c r="I9">
        <v>0</v>
      </c>
      <c r="J9" s="225">
        <v>45390</v>
      </c>
      <c r="K9" s="225">
        <v>45390</v>
      </c>
      <c r="L9">
        <v>4</v>
      </c>
      <c r="M9" t="s">
        <v>18698</v>
      </c>
      <c r="N9" t="s">
        <v>18818</v>
      </c>
      <c r="O9" s="236">
        <f t="shared" ca="1" si="0"/>
        <v>-14</v>
      </c>
      <c r="P9">
        <f t="shared" ca="1" si="3"/>
        <v>2202</v>
      </c>
      <c r="Q9">
        <f t="shared" si="1"/>
        <v>2202</v>
      </c>
      <c r="R9" t="str">
        <f t="shared" si="2"/>
        <v>0</v>
      </c>
    </row>
    <row r="10" spans="1:18">
      <c r="A10">
        <v>3111</v>
      </c>
      <c r="B10">
        <v>22044007</v>
      </c>
      <c r="C10" t="s">
        <v>8544</v>
      </c>
      <c r="D10" t="s">
        <v>18823</v>
      </c>
      <c r="E10">
        <v>2024</v>
      </c>
      <c r="F10">
        <v>4125853</v>
      </c>
      <c r="G10">
        <v>595</v>
      </c>
      <c r="H10">
        <v>595</v>
      </c>
      <c r="I10">
        <v>0</v>
      </c>
      <c r="J10" s="225">
        <v>45390</v>
      </c>
      <c r="K10" s="225">
        <v>45390</v>
      </c>
      <c r="L10">
        <v>6</v>
      </c>
      <c r="M10" t="s">
        <v>18698</v>
      </c>
      <c r="N10" t="s">
        <v>18814</v>
      </c>
      <c r="O10" s="236">
        <f t="shared" ca="1" si="0"/>
        <v>-12</v>
      </c>
      <c r="P10">
        <f t="shared" ca="1" si="3"/>
        <v>2204</v>
      </c>
      <c r="Q10">
        <f t="shared" si="1"/>
        <v>2204</v>
      </c>
      <c r="R10" t="str">
        <f t="shared" si="2"/>
        <v>4</v>
      </c>
    </row>
    <row r="11" spans="1:18">
      <c r="A11">
        <v>3111</v>
      </c>
      <c r="B11">
        <v>22044207</v>
      </c>
      <c r="C11" t="s">
        <v>8528</v>
      </c>
      <c r="D11" t="s">
        <v>18824</v>
      </c>
      <c r="E11">
        <v>2024</v>
      </c>
      <c r="F11">
        <v>4125859</v>
      </c>
      <c r="G11">
        <v>606</v>
      </c>
      <c r="H11">
        <v>606</v>
      </c>
      <c r="I11">
        <v>0</v>
      </c>
      <c r="J11" s="225">
        <v>45390</v>
      </c>
      <c r="K11" s="225">
        <v>45390</v>
      </c>
      <c r="L11">
        <v>6</v>
      </c>
      <c r="M11" t="s">
        <v>18698</v>
      </c>
      <c r="N11" t="s">
        <v>18814</v>
      </c>
      <c r="O11" s="236">
        <f t="shared" ca="1" si="0"/>
        <v>-12</v>
      </c>
      <c r="P11">
        <f t="shared" ca="1" si="3"/>
        <v>2204</v>
      </c>
      <c r="Q11">
        <f t="shared" si="1"/>
        <v>2204</v>
      </c>
      <c r="R11" t="str">
        <f t="shared" si="2"/>
        <v>4</v>
      </c>
    </row>
    <row r="12" spans="1:18">
      <c r="A12">
        <v>3111</v>
      </c>
      <c r="B12">
        <v>22054207</v>
      </c>
      <c r="C12" t="s">
        <v>8543</v>
      </c>
      <c r="D12" t="s">
        <v>18825</v>
      </c>
      <c r="E12">
        <v>2024</v>
      </c>
      <c r="F12">
        <v>4125717</v>
      </c>
      <c r="G12">
        <v>1692.5</v>
      </c>
      <c r="H12">
        <v>1692.5</v>
      </c>
      <c r="I12">
        <v>0</v>
      </c>
      <c r="J12" s="225">
        <v>45390</v>
      </c>
      <c r="K12" s="225">
        <v>45390</v>
      </c>
      <c r="L12">
        <v>6</v>
      </c>
      <c r="M12" t="s">
        <v>18698</v>
      </c>
      <c r="N12" t="s">
        <v>18814</v>
      </c>
      <c r="O12" s="236">
        <f t="shared" ca="1" si="0"/>
        <v>-12</v>
      </c>
      <c r="P12">
        <f t="shared" ca="1" si="3"/>
        <v>2205</v>
      </c>
      <c r="Q12">
        <f t="shared" si="1"/>
        <v>2205</v>
      </c>
      <c r="R12" t="str">
        <f t="shared" si="2"/>
        <v>4</v>
      </c>
    </row>
    <row r="13" spans="1:18">
      <c r="A13">
        <v>3111</v>
      </c>
      <c r="B13">
        <v>22224618</v>
      </c>
      <c r="C13" t="s">
        <v>11234</v>
      </c>
      <c r="D13" t="s">
        <v>18826</v>
      </c>
      <c r="E13">
        <v>2024</v>
      </c>
      <c r="F13" t="s">
        <v>18827</v>
      </c>
      <c r="G13">
        <v>441</v>
      </c>
      <c r="H13">
        <v>441</v>
      </c>
      <c r="I13">
        <v>0</v>
      </c>
      <c r="J13" s="225">
        <v>45391</v>
      </c>
      <c r="K13" s="225">
        <v>45391</v>
      </c>
      <c r="L13">
        <v>4</v>
      </c>
      <c r="M13" t="s">
        <v>18728</v>
      </c>
      <c r="N13" t="s">
        <v>18828</v>
      </c>
      <c r="O13" s="236">
        <f t="shared" ca="1" si="0"/>
        <v>-13</v>
      </c>
      <c r="P13">
        <f t="shared" ca="1" si="3"/>
        <v>2222</v>
      </c>
      <c r="Q13">
        <f t="shared" si="1"/>
        <v>2222</v>
      </c>
      <c r="R13" t="str">
        <f t="shared" si="2"/>
        <v>0</v>
      </c>
    </row>
    <row r="14" spans="1:18">
      <c r="A14">
        <v>3111</v>
      </c>
      <c r="B14">
        <v>22234602</v>
      </c>
      <c r="C14" t="s">
        <v>11242</v>
      </c>
      <c r="D14" t="s">
        <v>18829</v>
      </c>
      <c r="E14">
        <v>2024</v>
      </c>
      <c r="F14" t="s">
        <v>18830</v>
      </c>
      <c r="G14">
        <v>1836</v>
      </c>
      <c r="H14">
        <v>1836</v>
      </c>
      <c r="I14">
        <v>0</v>
      </c>
      <c r="J14" s="225">
        <v>45391</v>
      </c>
      <c r="K14" s="225">
        <v>45391</v>
      </c>
      <c r="L14">
        <v>1</v>
      </c>
      <c r="M14" t="s">
        <v>18728</v>
      </c>
      <c r="N14" t="s">
        <v>18752</v>
      </c>
      <c r="O14" s="236">
        <f t="shared" ca="1" si="0"/>
        <v>-16</v>
      </c>
      <c r="P14">
        <f t="shared" ca="1" si="3"/>
        <v>2223</v>
      </c>
      <c r="Q14">
        <f t="shared" si="1"/>
        <v>2223</v>
      </c>
      <c r="R14" t="str">
        <f t="shared" si="2"/>
        <v>0</v>
      </c>
    </row>
    <row r="15" spans="1:18">
      <c r="A15">
        <v>3111</v>
      </c>
      <c r="B15">
        <v>23164007</v>
      </c>
      <c r="C15" t="s">
        <v>8531</v>
      </c>
      <c r="D15" t="s">
        <v>18762</v>
      </c>
      <c r="E15">
        <v>2024</v>
      </c>
      <c r="F15">
        <v>4121638</v>
      </c>
      <c r="G15">
        <v>267</v>
      </c>
      <c r="H15">
        <v>926</v>
      </c>
      <c r="I15">
        <v>659</v>
      </c>
      <c r="J15" s="225">
        <v>45390</v>
      </c>
      <c r="K15" s="225">
        <v>45390</v>
      </c>
      <c r="L15">
        <v>7</v>
      </c>
      <c r="M15" t="s">
        <v>18701</v>
      </c>
      <c r="N15" t="s">
        <v>18763</v>
      </c>
      <c r="O15" s="236">
        <f t="shared" ca="1" si="0"/>
        <v>-15</v>
      </c>
      <c r="P15">
        <f t="shared" ca="1" si="3"/>
        <v>2316</v>
      </c>
      <c r="Q15">
        <f t="shared" si="1"/>
        <v>2316</v>
      </c>
      <c r="R15" t="str">
        <f t="shared" si="2"/>
        <v>5</v>
      </c>
    </row>
    <row r="16" spans="1:18">
      <c r="A16">
        <v>3111</v>
      </c>
      <c r="B16">
        <v>28180007</v>
      </c>
      <c r="C16" t="s">
        <v>18809</v>
      </c>
      <c r="D16" t="s">
        <v>18831</v>
      </c>
      <c r="E16">
        <v>2024</v>
      </c>
      <c r="F16">
        <v>4126120</v>
      </c>
      <c r="G16">
        <v>2594.5</v>
      </c>
      <c r="H16">
        <v>8727.5</v>
      </c>
      <c r="I16">
        <v>6133</v>
      </c>
      <c r="J16" s="225">
        <v>45390</v>
      </c>
      <c r="K16" s="225">
        <v>45390</v>
      </c>
      <c r="L16">
        <v>6</v>
      </c>
      <c r="M16" t="s">
        <v>18698</v>
      </c>
      <c r="N16" t="s">
        <v>18814</v>
      </c>
      <c r="O16" s="236">
        <f t="shared" ca="1" si="0"/>
        <v>-12</v>
      </c>
      <c r="P16">
        <f t="shared" ca="1" si="3"/>
        <v>2818</v>
      </c>
      <c r="Q16">
        <f t="shared" si="1"/>
        <v>2818</v>
      </c>
      <c r="R16" t="str">
        <f t="shared" si="2"/>
        <v>4</v>
      </c>
    </row>
    <row r="17" spans="1:18">
      <c r="A17">
        <v>3111</v>
      </c>
      <c r="B17">
        <v>28180007</v>
      </c>
      <c r="C17" t="s">
        <v>18809</v>
      </c>
      <c r="D17" t="s">
        <v>18832</v>
      </c>
      <c r="E17">
        <v>2024</v>
      </c>
      <c r="F17">
        <v>4125675</v>
      </c>
      <c r="G17">
        <v>590.5</v>
      </c>
      <c r="H17">
        <v>2490</v>
      </c>
      <c r="I17">
        <v>1899.5</v>
      </c>
      <c r="J17" s="225">
        <v>45390</v>
      </c>
      <c r="K17" s="225">
        <v>45390</v>
      </c>
      <c r="L17">
        <v>6</v>
      </c>
      <c r="M17" t="s">
        <v>18698</v>
      </c>
      <c r="N17" t="s">
        <v>18814</v>
      </c>
      <c r="O17" s="236">
        <f t="shared" ca="1" si="0"/>
        <v>-12</v>
      </c>
      <c r="P17">
        <f t="shared" ca="1" si="3"/>
        <v>2818</v>
      </c>
      <c r="Q17">
        <f t="shared" si="1"/>
        <v>2818</v>
      </c>
      <c r="R17" t="str">
        <f t="shared" si="2"/>
        <v>5</v>
      </c>
    </row>
    <row r="18" spans="1:18">
      <c r="A18">
        <v>3111</v>
      </c>
      <c r="B18">
        <v>28180007</v>
      </c>
      <c r="C18" t="s">
        <v>18809</v>
      </c>
      <c r="D18" t="s">
        <v>18833</v>
      </c>
      <c r="E18">
        <v>2024</v>
      </c>
      <c r="F18">
        <v>4127558</v>
      </c>
      <c r="G18">
        <v>516.5</v>
      </c>
      <c r="H18">
        <v>516.5</v>
      </c>
      <c r="I18">
        <v>0</v>
      </c>
      <c r="J18" s="225">
        <v>45391</v>
      </c>
      <c r="K18" s="225">
        <v>45391</v>
      </c>
      <c r="L18">
        <v>6</v>
      </c>
      <c r="M18" t="s">
        <v>18728</v>
      </c>
      <c r="N18" t="s">
        <v>18834</v>
      </c>
      <c r="O18" s="236">
        <f t="shared" ca="1" si="0"/>
        <v>-11</v>
      </c>
      <c r="P18">
        <f t="shared" ca="1" si="3"/>
        <v>2818</v>
      </c>
      <c r="Q18">
        <f t="shared" si="1"/>
        <v>2818</v>
      </c>
      <c r="R18" t="str">
        <f t="shared" si="2"/>
        <v>5</v>
      </c>
    </row>
    <row r="19" spans="1:18">
      <c r="A19">
        <v>3111</v>
      </c>
      <c r="B19">
        <v>28180602</v>
      </c>
      <c r="C19" t="s">
        <v>18835</v>
      </c>
      <c r="D19" t="s">
        <v>18836</v>
      </c>
      <c r="E19">
        <v>2024</v>
      </c>
      <c r="F19" t="s">
        <v>18837</v>
      </c>
      <c r="G19">
        <v>2840</v>
      </c>
      <c r="H19">
        <v>2840</v>
      </c>
      <c r="I19">
        <v>0</v>
      </c>
      <c r="J19" s="225">
        <v>45391</v>
      </c>
      <c r="K19" s="225">
        <v>45391</v>
      </c>
      <c r="L19">
        <v>4</v>
      </c>
      <c r="M19" t="s">
        <v>18728</v>
      </c>
      <c r="N19" t="s">
        <v>18828</v>
      </c>
      <c r="O19" s="236">
        <f t="shared" ca="1" si="0"/>
        <v>-13</v>
      </c>
      <c r="P19">
        <f t="shared" ca="1" si="3"/>
        <v>2818</v>
      </c>
      <c r="Q19">
        <f t="shared" si="1"/>
        <v>2818</v>
      </c>
      <c r="R19" t="str">
        <f t="shared" si="2"/>
        <v>0</v>
      </c>
    </row>
    <row r="20" spans="1:18">
      <c r="A20">
        <v>3111</v>
      </c>
      <c r="B20">
        <v>29104007</v>
      </c>
      <c r="C20" t="s">
        <v>14683</v>
      </c>
      <c r="D20" t="s">
        <v>18770</v>
      </c>
      <c r="E20">
        <v>2024</v>
      </c>
      <c r="F20">
        <v>4123449</v>
      </c>
      <c r="G20">
        <v>7236</v>
      </c>
      <c r="H20">
        <v>10759</v>
      </c>
      <c r="I20">
        <v>3523</v>
      </c>
      <c r="J20" s="225">
        <v>45387</v>
      </c>
      <c r="K20" s="225">
        <v>45390</v>
      </c>
      <c r="L20">
        <v>6</v>
      </c>
      <c r="M20" t="s">
        <v>18700</v>
      </c>
      <c r="N20" t="s">
        <v>18763</v>
      </c>
      <c r="O20" s="236">
        <f t="shared" ca="1" si="0"/>
        <v>-15</v>
      </c>
      <c r="P20">
        <f t="shared" ca="1" si="3"/>
        <v>2910</v>
      </c>
      <c r="Q20">
        <f t="shared" si="1"/>
        <v>2910</v>
      </c>
      <c r="R20" t="str">
        <f t="shared" si="2"/>
        <v>4</v>
      </c>
    </row>
    <row r="21" spans="1:18">
      <c r="A21">
        <v>3111</v>
      </c>
      <c r="B21">
        <v>29104007</v>
      </c>
      <c r="C21" t="s">
        <v>14683</v>
      </c>
      <c r="D21" t="s">
        <v>18838</v>
      </c>
      <c r="E21">
        <v>2024</v>
      </c>
      <c r="F21">
        <v>4126110</v>
      </c>
      <c r="G21">
        <v>10485.5</v>
      </c>
      <c r="H21">
        <v>10485.5</v>
      </c>
      <c r="I21">
        <v>0</v>
      </c>
      <c r="J21" s="225">
        <v>45390</v>
      </c>
      <c r="K21" s="225">
        <v>45390</v>
      </c>
      <c r="L21">
        <v>6</v>
      </c>
      <c r="M21" t="s">
        <v>18698</v>
      </c>
      <c r="N21" t="s">
        <v>18814</v>
      </c>
      <c r="O21" s="236">
        <f t="shared" ca="1" si="0"/>
        <v>-12</v>
      </c>
      <c r="P21">
        <f t="shared" ca="1" si="3"/>
        <v>2910</v>
      </c>
      <c r="Q21">
        <f t="shared" si="1"/>
        <v>2910</v>
      </c>
      <c r="R21" t="str">
        <f t="shared" si="2"/>
        <v>4</v>
      </c>
    </row>
    <row r="22" spans="1:18">
      <c r="A22">
        <v>3111</v>
      </c>
      <c r="B22">
        <v>29104007</v>
      </c>
      <c r="C22" t="s">
        <v>14683</v>
      </c>
      <c r="D22" t="s">
        <v>18839</v>
      </c>
      <c r="E22">
        <v>2024</v>
      </c>
      <c r="F22">
        <v>4125665</v>
      </c>
      <c r="G22">
        <v>4598.5</v>
      </c>
      <c r="H22">
        <v>4598.5</v>
      </c>
      <c r="I22">
        <v>0</v>
      </c>
      <c r="J22" s="225">
        <v>45390</v>
      </c>
      <c r="K22" s="225">
        <v>45390</v>
      </c>
      <c r="L22">
        <v>6</v>
      </c>
      <c r="M22" t="s">
        <v>18698</v>
      </c>
      <c r="N22" t="s">
        <v>18814</v>
      </c>
      <c r="O22" s="236">
        <f t="shared" ca="1" si="0"/>
        <v>-12</v>
      </c>
      <c r="P22">
        <f t="shared" ca="1" si="3"/>
        <v>2910</v>
      </c>
      <c r="Q22">
        <f t="shared" si="1"/>
        <v>2910</v>
      </c>
      <c r="R22" t="str">
        <f t="shared" si="2"/>
        <v>5</v>
      </c>
    </row>
    <row r="23" spans="1:18">
      <c r="A23">
        <v>3111</v>
      </c>
      <c r="B23">
        <v>29104007</v>
      </c>
      <c r="C23" t="s">
        <v>14683</v>
      </c>
      <c r="D23" t="s">
        <v>18840</v>
      </c>
      <c r="E23">
        <v>2024</v>
      </c>
      <c r="F23">
        <v>4127513</v>
      </c>
      <c r="G23">
        <v>1385</v>
      </c>
      <c r="H23">
        <v>1385</v>
      </c>
      <c r="I23">
        <v>0</v>
      </c>
      <c r="J23" s="225">
        <v>45391</v>
      </c>
      <c r="K23" s="225">
        <v>45391</v>
      </c>
      <c r="L23">
        <v>6</v>
      </c>
      <c r="M23" t="s">
        <v>18728</v>
      </c>
      <c r="N23" t="s">
        <v>18834</v>
      </c>
      <c r="O23" s="236">
        <f t="shared" ca="1" si="0"/>
        <v>-11</v>
      </c>
      <c r="P23">
        <f t="shared" ca="1" si="3"/>
        <v>2910</v>
      </c>
      <c r="Q23">
        <f t="shared" si="1"/>
        <v>2910</v>
      </c>
      <c r="R23" t="str">
        <f t="shared" si="2"/>
        <v>5</v>
      </c>
    </row>
    <row r="24" spans="1:18">
      <c r="A24">
        <v>3111</v>
      </c>
      <c r="B24">
        <v>29154007</v>
      </c>
      <c r="C24" t="s">
        <v>15125</v>
      </c>
      <c r="D24" t="s">
        <v>18771</v>
      </c>
      <c r="E24">
        <v>2024</v>
      </c>
      <c r="F24">
        <v>4122153</v>
      </c>
      <c r="G24">
        <v>325</v>
      </c>
      <c r="H24">
        <v>325</v>
      </c>
      <c r="I24">
        <v>0</v>
      </c>
      <c r="J24" s="225">
        <v>45386</v>
      </c>
      <c r="K24" s="225">
        <v>45389</v>
      </c>
      <c r="L24">
        <v>6</v>
      </c>
      <c r="M24" t="s">
        <v>18701</v>
      </c>
      <c r="N24" t="s">
        <v>18752</v>
      </c>
      <c r="O24" s="236">
        <f t="shared" ca="1" si="0"/>
        <v>-16</v>
      </c>
      <c r="P24">
        <f t="shared" ca="1" si="3"/>
        <v>2915</v>
      </c>
      <c r="Q24">
        <f t="shared" si="1"/>
        <v>2915</v>
      </c>
      <c r="R24" t="str">
        <f t="shared" si="2"/>
        <v>5</v>
      </c>
    </row>
    <row r="25" spans="1:18">
      <c r="A25">
        <v>3111</v>
      </c>
      <c r="B25">
        <v>29194007</v>
      </c>
      <c r="C25" t="s">
        <v>15137</v>
      </c>
      <c r="D25" t="s">
        <v>18772</v>
      </c>
      <c r="E25">
        <v>2024</v>
      </c>
      <c r="F25">
        <v>4122126</v>
      </c>
      <c r="G25">
        <v>646</v>
      </c>
      <c r="H25">
        <v>646</v>
      </c>
      <c r="I25">
        <v>0</v>
      </c>
      <c r="J25" s="225">
        <v>45386</v>
      </c>
      <c r="K25" s="225">
        <v>45386</v>
      </c>
      <c r="L25">
        <v>6</v>
      </c>
      <c r="M25" t="s">
        <v>18701</v>
      </c>
      <c r="N25" t="s">
        <v>18752</v>
      </c>
      <c r="O25" s="236">
        <f t="shared" ca="1" si="0"/>
        <v>-16</v>
      </c>
      <c r="P25">
        <f t="shared" ca="1" si="3"/>
        <v>2919</v>
      </c>
      <c r="Q25">
        <f t="shared" si="1"/>
        <v>2919</v>
      </c>
      <c r="R25" t="str">
        <f t="shared" si="2"/>
        <v>5</v>
      </c>
    </row>
    <row r="26" spans="1:18">
      <c r="A26">
        <v>3111</v>
      </c>
      <c r="B26">
        <v>29240007</v>
      </c>
      <c r="C26" t="s">
        <v>15153</v>
      </c>
      <c r="D26" t="s">
        <v>18773</v>
      </c>
      <c r="E26">
        <v>2024</v>
      </c>
      <c r="F26">
        <v>4123471</v>
      </c>
      <c r="G26">
        <v>809.5</v>
      </c>
      <c r="H26">
        <v>809.5</v>
      </c>
      <c r="I26">
        <v>0</v>
      </c>
      <c r="J26" s="225">
        <v>45387</v>
      </c>
      <c r="K26" s="225">
        <v>45387</v>
      </c>
      <c r="L26">
        <v>6</v>
      </c>
      <c r="M26" t="s">
        <v>18700</v>
      </c>
      <c r="N26" t="s">
        <v>18763</v>
      </c>
      <c r="O26" s="236">
        <f t="shared" ca="1" si="0"/>
        <v>-15</v>
      </c>
      <c r="P26">
        <f t="shared" ca="1" si="3"/>
        <v>2924</v>
      </c>
      <c r="Q26">
        <f t="shared" si="1"/>
        <v>2924</v>
      </c>
      <c r="R26" t="str">
        <f t="shared" si="2"/>
        <v>5</v>
      </c>
    </row>
    <row r="27" spans="1:18">
      <c r="A27">
        <v>3111</v>
      </c>
      <c r="B27">
        <v>29410007</v>
      </c>
      <c r="C27" t="s">
        <v>18748</v>
      </c>
      <c r="D27" t="s">
        <v>18841</v>
      </c>
      <c r="E27">
        <v>2024</v>
      </c>
      <c r="F27">
        <v>4124435</v>
      </c>
      <c r="G27">
        <v>519</v>
      </c>
      <c r="H27">
        <v>1130</v>
      </c>
      <c r="I27">
        <v>611</v>
      </c>
      <c r="J27" s="225">
        <v>45387</v>
      </c>
      <c r="K27" s="225">
        <v>45390</v>
      </c>
      <c r="L27">
        <v>6</v>
      </c>
      <c r="M27" t="s">
        <v>18700</v>
      </c>
      <c r="N27" t="s">
        <v>18763</v>
      </c>
      <c r="O27" s="236">
        <f t="shared" ca="1" si="0"/>
        <v>-15</v>
      </c>
      <c r="P27">
        <f t="shared" ca="1" si="3"/>
        <v>2941</v>
      </c>
      <c r="Q27">
        <f t="shared" si="1"/>
        <v>2941</v>
      </c>
      <c r="R27" t="str">
        <f t="shared" si="2"/>
        <v>4</v>
      </c>
    </row>
    <row r="28" spans="1:18">
      <c r="A28">
        <v>3111</v>
      </c>
      <c r="B28">
        <v>29410007</v>
      </c>
      <c r="C28" t="s">
        <v>18748</v>
      </c>
      <c r="D28" t="s">
        <v>18842</v>
      </c>
      <c r="E28">
        <v>2024</v>
      </c>
      <c r="F28">
        <v>4126423</v>
      </c>
      <c r="G28">
        <v>1080</v>
      </c>
      <c r="H28">
        <v>1080</v>
      </c>
      <c r="I28">
        <v>0</v>
      </c>
      <c r="J28" s="225">
        <v>45390</v>
      </c>
      <c r="K28" s="225">
        <v>45390</v>
      </c>
      <c r="L28">
        <v>6</v>
      </c>
      <c r="M28" t="s">
        <v>18698</v>
      </c>
      <c r="N28" t="s">
        <v>18814</v>
      </c>
      <c r="O28" s="236">
        <f t="shared" ca="1" si="0"/>
        <v>-12</v>
      </c>
      <c r="P28">
        <f t="shared" ca="1" si="3"/>
        <v>2941</v>
      </c>
      <c r="Q28">
        <f t="shared" si="1"/>
        <v>2941</v>
      </c>
      <c r="R28" t="str">
        <f t="shared" si="2"/>
        <v>4</v>
      </c>
    </row>
    <row r="29" spans="1:18">
      <c r="A29">
        <v>3111</v>
      </c>
      <c r="B29">
        <v>30080602</v>
      </c>
      <c r="C29" t="s">
        <v>12404</v>
      </c>
      <c r="D29" t="s">
        <v>18843</v>
      </c>
      <c r="E29">
        <v>2024</v>
      </c>
      <c r="F29" t="s">
        <v>18844</v>
      </c>
      <c r="G29">
        <v>2844.5</v>
      </c>
      <c r="H29">
        <v>2844.5</v>
      </c>
      <c r="I29">
        <v>0</v>
      </c>
      <c r="J29" s="225">
        <v>45391</v>
      </c>
      <c r="K29" s="225">
        <v>45391</v>
      </c>
      <c r="L29">
        <v>3</v>
      </c>
      <c r="M29" t="s">
        <v>18728</v>
      </c>
      <c r="N29" t="s">
        <v>18818</v>
      </c>
      <c r="O29" s="236">
        <f t="shared" ca="1" si="0"/>
        <v>-14</v>
      </c>
      <c r="P29">
        <f t="shared" ca="1" si="3"/>
        <v>3008</v>
      </c>
      <c r="Q29">
        <f t="shared" si="1"/>
        <v>3008</v>
      </c>
      <c r="R29" t="str">
        <f t="shared" si="2"/>
        <v>0</v>
      </c>
    </row>
    <row r="30" spans="1:18">
      <c r="A30">
        <v>3111</v>
      </c>
      <c r="B30">
        <v>30120612</v>
      </c>
      <c r="C30" t="s">
        <v>3548</v>
      </c>
      <c r="D30" t="s">
        <v>18845</v>
      </c>
      <c r="E30">
        <v>2024</v>
      </c>
      <c r="F30" t="s">
        <v>18846</v>
      </c>
      <c r="G30">
        <v>1895.5</v>
      </c>
      <c r="H30">
        <v>1895.5</v>
      </c>
      <c r="I30">
        <v>0</v>
      </c>
      <c r="J30" s="225">
        <v>45390</v>
      </c>
      <c r="K30" s="225">
        <v>45390</v>
      </c>
      <c r="L30">
        <v>3</v>
      </c>
      <c r="M30" t="s">
        <v>18698</v>
      </c>
      <c r="N30" t="s">
        <v>18763</v>
      </c>
      <c r="O30" s="236">
        <f t="shared" ca="1" si="0"/>
        <v>-15</v>
      </c>
      <c r="P30">
        <f t="shared" ca="1" si="3"/>
        <v>3012</v>
      </c>
      <c r="Q30">
        <f t="shared" si="1"/>
        <v>3012</v>
      </c>
      <c r="R30" t="str">
        <f t="shared" si="2"/>
        <v>0</v>
      </c>
    </row>
    <row r="31" spans="1:18">
      <c r="A31">
        <v>3111</v>
      </c>
      <c r="B31">
        <v>30200602</v>
      </c>
      <c r="C31" t="s">
        <v>18847</v>
      </c>
      <c r="D31" t="s">
        <v>18848</v>
      </c>
      <c r="E31">
        <v>2024</v>
      </c>
      <c r="F31" t="s">
        <v>18849</v>
      </c>
      <c r="G31">
        <v>1182</v>
      </c>
      <c r="H31">
        <v>1182</v>
      </c>
      <c r="I31">
        <v>0</v>
      </c>
      <c r="J31" s="225">
        <v>45390</v>
      </c>
      <c r="K31" s="225">
        <v>45391</v>
      </c>
      <c r="L31">
        <v>3</v>
      </c>
      <c r="M31" t="s">
        <v>18698</v>
      </c>
      <c r="N31" t="s">
        <v>18763</v>
      </c>
      <c r="O31" s="236">
        <f t="shared" ca="1" si="0"/>
        <v>-15</v>
      </c>
      <c r="P31">
        <f t="shared" ca="1" si="3"/>
        <v>3020</v>
      </c>
      <c r="Q31">
        <f t="shared" si="1"/>
        <v>3020</v>
      </c>
      <c r="R31" t="str">
        <f t="shared" si="2"/>
        <v>0</v>
      </c>
    </row>
    <row r="32" spans="1:18">
      <c r="A32">
        <v>3111</v>
      </c>
      <c r="B32">
        <v>50410000</v>
      </c>
      <c r="C32" t="s">
        <v>382</v>
      </c>
      <c r="D32" t="s">
        <v>18850</v>
      </c>
      <c r="E32">
        <v>2024</v>
      </c>
      <c r="F32" t="s">
        <v>18851</v>
      </c>
      <c r="G32">
        <v>1491</v>
      </c>
      <c r="H32">
        <v>2971.5</v>
      </c>
      <c r="I32">
        <v>1480.5</v>
      </c>
      <c r="J32" s="225">
        <v>45390</v>
      </c>
      <c r="K32" s="225">
        <v>45390</v>
      </c>
      <c r="L32">
        <v>4</v>
      </c>
      <c r="M32" t="s">
        <v>18698</v>
      </c>
      <c r="N32" t="s">
        <v>18818</v>
      </c>
      <c r="O32" s="236">
        <f t="shared" ca="1" si="0"/>
        <v>-14</v>
      </c>
      <c r="P32">
        <f t="shared" ca="1" si="3"/>
        <v>5041</v>
      </c>
      <c r="Q32">
        <f t="shared" si="1"/>
        <v>5041</v>
      </c>
      <c r="R32" t="str">
        <f t="shared" si="2"/>
        <v>0</v>
      </c>
    </row>
    <row r="33" spans="1:18">
      <c r="A33">
        <v>3111</v>
      </c>
      <c r="B33">
        <v>50410000</v>
      </c>
      <c r="C33" t="s">
        <v>382</v>
      </c>
      <c r="D33" t="s">
        <v>18852</v>
      </c>
      <c r="E33">
        <v>2024</v>
      </c>
      <c r="F33" t="s">
        <v>18853</v>
      </c>
      <c r="G33">
        <v>1060</v>
      </c>
      <c r="H33">
        <v>2618.5</v>
      </c>
      <c r="I33">
        <v>1558.5</v>
      </c>
      <c r="J33" s="225">
        <v>45390</v>
      </c>
      <c r="K33" s="225">
        <v>45390</v>
      </c>
      <c r="L33">
        <v>4</v>
      </c>
      <c r="M33" t="s">
        <v>18698</v>
      </c>
      <c r="N33" t="s">
        <v>18818</v>
      </c>
      <c r="O33" s="236">
        <f t="shared" ca="1" si="0"/>
        <v>-14</v>
      </c>
      <c r="P33">
        <f t="shared" ca="1" si="3"/>
        <v>5041</v>
      </c>
      <c r="Q33">
        <f t="shared" si="1"/>
        <v>5041</v>
      </c>
      <c r="R33" t="str">
        <f t="shared" si="2"/>
        <v>1</v>
      </c>
    </row>
    <row r="34" spans="1:18">
      <c r="A34">
        <v>3111</v>
      </c>
      <c r="B34">
        <v>50420000</v>
      </c>
      <c r="C34" t="s">
        <v>383</v>
      </c>
      <c r="D34" t="s">
        <v>18854</v>
      </c>
      <c r="E34">
        <v>2024</v>
      </c>
      <c r="F34" t="s">
        <v>18855</v>
      </c>
      <c r="G34">
        <v>2680.5</v>
      </c>
      <c r="H34">
        <v>2680.5</v>
      </c>
      <c r="I34">
        <v>0</v>
      </c>
      <c r="J34" s="225">
        <v>45390</v>
      </c>
      <c r="K34" s="225">
        <v>45390</v>
      </c>
      <c r="L34">
        <v>4</v>
      </c>
      <c r="M34" t="s">
        <v>18698</v>
      </c>
      <c r="N34" t="s">
        <v>18818</v>
      </c>
      <c r="O34" s="236">
        <f t="shared" ca="1" si="0"/>
        <v>-14</v>
      </c>
      <c r="P34">
        <f t="shared" ca="1" si="3"/>
        <v>5042</v>
      </c>
      <c r="Q34">
        <f t="shared" si="1"/>
        <v>5042</v>
      </c>
      <c r="R34" t="str">
        <f t="shared" si="2"/>
        <v>0</v>
      </c>
    </row>
    <row r="35" spans="1:18">
      <c r="A35">
        <v>3111</v>
      </c>
      <c r="B35">
        <v>51150000</v>
      </c>
      <c r="C35" t="s">
        <v>372</v>
      </c>
      <c r="D35" t="s">
        <v>18856</v>
      </c>
      <c r="E35">
        <v>2024</v>
      </c>
      <c r="F35" t="s">
        <v>18849</v>
      </c>
      <c r="G35">
        <v>1009</v>
      </c>
      <c r="H35">
        <v>1009</v>
      </c>
      <c r="I35">
        <v>0</v>
      </c>
      <c r="J35" s="225">
        <v>45390</v>
      </c>
      <c r="K35" s="225">
        <v>45390</v>
      </c>
      <c r="L35">
        <v>6</v>
      </c>
      <c r="M35" t="s">
        <v>18698</v>
      </c>
      <c r="N35" t="s">
        <v>18814</v>
      </c>
      <c r="O35" s="236">
        <f t="shared" ca="1" si="0"/>
        <v>-12</v>
      </c>
      <c r="P35">
        <f t="shared" ca="1" si="3"/>
        <v>5115</v>
      </c>
      <c r="Q35">
        <f t="shared" si="1"/>
        <v>5115</v>
      </c>
      <c r="R35" t="str">
        <f t="shared" si="2"/>
        <v>0</v>
      </c>
    </row>
    <row r="36" spans="1:18">
      <c r="A36">
        <v>3111</v>
      </c>
      <c r="B36">
        <v>52144000</v>
      </c>
      <c r="C36" t="s">
        <v>15450</v>
      </c>
      <c r="D36" t="s">
        <v>18857</v>
      </c>
      <c r="E36">
        <v>2024</v>
      </c>
      <c r="F36" t="s">
        <v>18858</v>
      </c>
      <c r="G36">
        <v>113</v>
      </c>
      <c r="H36">
        <v>2363</v>
      </c>
      <c r="I36">
        <v>2250</v>
      </c>
      <c r="J36" s="225">
        <v>45390</v>
      </c>
      <c r="K36" s="225">
        <v>45390</v>
      </c>
      <c r="L36">
        <v>4</v>
      </c>
      <c r="M36" t="s">
        <v>18699</v>
      </c>
      <c r="N36" t="s">
        <v>18752</v>
      </c>
      <c r="O36" s="236">
        <f t="shared" ca="1" si="0"/>
        <v>-16</v>
      </c>
      <c r="P36">
        <f t="shared" ca="1" si="3"/>
        <v>5214</v>
      </c>
      <c r="Q36">
        <f t="shared" si="1"/>
        <v>5214</v>
      </c>
      <c r="R36" t="str">
        <f t="shared" si="2"/>
        <v>0</v>
      </c>
    </row>
    <row r="37" spans="1:18">
      <c r="A37">
        <v>3111</v>
      </c>
      <c r="B37">
        <v>53620000</v>
      </c>
      <c r="C37" t="s">
        <v>387</v>
      </c>
      <c r="D37" t="s">
        <v>18859</v>
      </c>
      <c r="E37">
        <v>2024</v>
      </c>
      <c r="F37" t="s">
        <v>18860</v>
      </c>
      <c r="G37">
        <v>1167.5</v>
      </c>
      <c r="H37">
        <v>2632.5</v>
      </c>
      <c r="I37">
        <v>1465</v>
      </c>
      <c r="J37" s="225">
        <v>45390</v>
      </c>
      <c r="K37" s="225">
        <v>45390</v>
      </c>
      <c r="L37">
        <v>6</v>
      </c>
      <c r="M37" t="s">
        <v>18698</v>
      </c>
      <c r="N37" t="s">
        <v>18814</v>
      </c>
      <c r="O37" s="236">
        <f t="shared" ca="1" si="0"/>
        <v>-12</v>
      </c>
      <c r="P37">
        <f t="shared" ca="1" si="3"/>
        <v>5362</v>
      </c>
      <c r="Q37">
        <f t="shared" si="1"/>
        <v>5362</v>
      </c>
      <c r="R37" t="str">
        <f t="shared" si="2"/>
        <v>0</v>
      </c>
    </row>
    <row r="38" spans="1:18">
      <c r="A38">
        <v>3111</v>
      </c>
      <c r="B38">
        <v>64489000</v>
      </c>
      <c r="C38" t="s">
        <v>18808</v>
      </c>
      <c r="D38" t="s">
        <v>18861</v>
      </c>
      <c r="E38">
        <v>2024</v>
      </c>
      <c r="F38" t="s">
        <v>18862</v>
      </c>
      <c r="G38">
        <v>219.5</v>
      </c>
      <c r="H38">
        <v>249.5</v>
      </c>
      <c r="I38">
        <v>30</v>
      </c>
      <c r="J38" s="225">
        <v>45390</v>
      </c>
      <c r="K38" s="225">
        <v>45390</v>
      </c>
      <c r="L38">
        <v>4</v>
      </c>
      <c r="M38" t="s">
        <v>18698</v>
      </c>
      <c r="N38" t="s">
        <v>18818</v>
      </c>
      <c r="O38" s="236">
        <f t="shared" ca="1" si="0"/>
        <v>-14</v>
      </c>
      <c r="P38">
        <f t="shared" ca="1" si="3"/>
        <v>6448</v>
      </c>
      <c r="Q38">
        <f t="shared" si="1"/>
        <v>6448</v>
      </c>
      <c r="R38" t="str">
        <f t="shared" si="2"/>
        <v>0</v>
      </c>
    </row>
    <row r="39" spans="1:18">
      <c r="A39">
        <v>3111</v>
      </c>
      <c r="B39">
        <v>64489000</v>
      </c>
      <c r="C39" t="s">
        <v>18808</v>
      </c>
      <c r="D39" t="s">
        <v>18863</v>
      </c>
      <c r="E39">
        <v>2024</v>
      </c>
      <c r="F39" t="s">
        <v>18864</v>
      </c>
      <c r="G39">
        <v>211.5</v>
      </c>
      <c r="H39">
        <v>211.5</v>
      </c>
      <c r="I39">
        <v>0</v>
      </c>
      <c r="J39" s="225">
        <v>45390</v>
      </c>
      <c r="K39" s="225">
        <v>45390</v>
      </c>
      <c r="L39">
        <v>4</v>
      </c>
      <c r="M39" t="s">
        <v>18698</v>
      </c>
      <c r="N39" t="s">
        <v>18818</v>
      </c>
      <c r="O39" s="236">
        <f t="shared" ca="1" si="0"/>
        <v>-14</v>
      </c>
      <c r="P39">
        <f t="shared" ca="1" si="3"/>
        <v>6448</v>
      </c>
      <c r="Q39">
        <f t="shared" si="1"/>
        <v>6448</v>
      </c>
      <c r="R39" t="str">
        <f t="shared" si="2"/>
        <v>0</v>
      </c>
    </row>
    <row r="40" spans="1:18">
      <c r="A40">
        <v>3111</v>
      </c>
      <c r="B40">
        <v>64489000</v>
      </c>
      <c r="C40" t="s">
        <v>18808</v>
      </c>
      <c r="D40" t="s">
        <v>18865</v>
      </c>
      <c r="E40">
        <v>2024</v>
      </c>
      <c r="F40" t="s">
        <v>18866</v>
      </c>
      <c r="G40">
        <v>24</v>
      </c>
      <c r="H40">
        <v>24</v>
      </c>
      <c r="I40">
        <v>0</v>
      </c>
      <c r="J40" s="225">
        <v>45390</v>
      </c>
      <c r="K40" s="225">
        <v>45390</v>
      </c>
      <c r="L40">
        <v>4</v>
      </c>
      <c r="M40" t="s">
        <v>18698</v>
      </c>
      <c r="N40" t="s">
        <v>18818</v>
      </c>
      <c r="O40" s="236">
        <f t="shared" ca="1" si="0"/>
        <v>-14</v>
      </c>
      <c r="P40">
        <f t="shared" ca="1" si="3"/>
        <v>6448</v>
      </c>
      <c r="Q40">
        <f t="shared" si="1"/>
        <v>6448</v>
      </c>
      <c r="R40" t="str">
        <f t="shared" si="2"/>
        <v>0</v>
      </c>
    </row>
    <row r="41" spans="1:18">
      <c r="A41">
        <v>3111</v>
      </c>
      <c r="B41">
        <v>64999000</v>
      </c>
      <c r="C41" t="s">
        <v>15965</v>
      </c>
      <c r="D41" t="s">
        <v>18867</v>
      </c>
      <c r="E41">
        <v>2024</v>
      </c>
      <c r="F41" t="s">
        <v>18868</v>
      </c>
      <c r="G41">
        <v>136</v>
      </c>
      <c r="H41">
        <v>136</v>
      </c>
      <c r="I41">
        <v>0</v>
      </c>
      <c r="J41" s="225">
        <v>45390</v>
      </c>
      <c r="K41" s="225">
        <v>45390</v>
      </c>
      <c r="L41">
        <v>4</v>
      </c>
      <c r="M41" t="s">
        <v>18698</v>
      </c>
      <c r="N41" t="s">
        <v>18818</v>
      </c>
      <c r="O41" s="236">
        <f t="shared" ca="1" si="0"/>
        <v>-14</v>
      </c>
      <c r="P41">
        <f t="shared" ca="1" si="3"/>
        <v>6499</v>
      </c>
      <c r="Q41">
        <f t="shared" si="1"/>
        <v>6499</v>
      </c>
      <c r="R41" t="str">
        <f t="shared" si="2"/>
        <v>0</v>
      </c>
    </row>
    <row r="42" spans="1:18">
      <c r="A42">
        <v>3111</v>
      </c>
      <c r="B42">
        <v>64999000</v>
      </c>
      <c r="C42" t="s">
        <v>15965</v>
      </c>
      <c r="D42" t="s">
        <v>18869</v>
      </c>
      <c r="E42">
        <v>2024</v>
      </c>
      <c r="F42" t="s">
        <v>18870</v>
      </c>
      <c r="G42">
        <v>91.5</v>
      </c>
      <c r="H42">
        <v>91.5</v>
      </c>
      <c r="I42">
        <v>0</v>
      </c>
      <c r="J42" s="225">
        <v>45390</v>
      </c>
      <c r="K42" s="225">
        <v>45390</v>
      </c>
      <c r="L42">
        <v>4</v>
      </c>
      <c r="M42" t="s">
        <v>18698</v>
      </c>
      <c r="N42" t="s">
        <v>18818</v>
      </c>
      <c r="O42" s="236">
        <f t="shared" ca="1" si="0"/>
        <v>-14</v>
      </c>
      <c r="P42">
        <f t="shared" ca="1" si="3"/>
        <v>6499</v>
      </c>
      <c r="Q42">
        <f t="shared" si="1"/>
        <v>6499</v>
      </c>
      <c r="R42" t="str">
        <f t="shared" si="2"/>
        <v>0</v>
      </c>
    </row>
    <row r="43" spans="1:18">
      <c r="A43">
        <v>3111</v>
      </c>
      <c r="B43">
        <v>64999000</v>
      </c>
      <c r="C43" t="s">
        <v>15965</v>
      </c>
      <c r="D43" t="s">
        <v>18871</v>
      </c>
      <c r="E43">
        <v>2024</v>
      </c>
      <c r="F43" t="s">
        <v>18872</v>
      </c>
      <c r="G43">
        <v>109.5</v>
      </c>
      <c r="H43">
        <v>109.5</v>
      </c>
      <c r="I43">
        <v>0</v>
      </c>
      <c r="J43" s="225">
        <v>45390</v>
      </c>
      <c r="K43" s="225">
        <v>45390</v>
      </c>
      <c r="L43">
        <v>4</v>
      </c>
      <c r="M43" t="s">
        <v>18698</v>
      </c>
      <c r="N43" t="s">
        <v>18818</v>
      </c>
      <c r="O43" s="236">
        <f t="shared" ca="1" si="0"/>
        <v>-14</v>
      </c>
      <c r="P43">
        <f t="shared" ca="1" si="3"/>
        <v>6499</v>
      </c>
      <c r="Q43">
        <f t="shared" si="1"/>
        <v>6499</v>
      </c>
      <c r="R43" t="str">
        <f t="shared" si="2"/>
        <v>0</v>
      </c>
    </row>
    <row r="44" spans="1:18">
      <c r="A44">
        <v>3111</v>
      </c>
      <c r="B44">
        <v>64999000</v>
      </c>
      <c r="C44" t="s">
        <v>15965</v>
      </c>
      <c r="D44" t="s">
        <v>18873</v>
      </c>
      <c r="E44">
        <v>2024</v>
      </c>
      <c r="F44" t="s">
        <v>18874</v>
      </c>
      <c r="G44">
        <v>248.5</v>
      </c>
      <c r="H44">
        <v>248.5</v>
      </c>
      <c r="I44">
        <v>0</v>
      </c>
      <c r="J44" s="225">
        <v>45390</v>
      </c>
      <c r="K44" s="225">
        <v>45390</v>
      </c>
      <c r="L44">
        <v>4</v>
      </c>
      <c r="M44" t="s">
        <v>18698</v>
      </c>
      <c r="N44" t="s">
        <v>18818</v>
      </c>
      <c r="O44" s="236">
        <f t="shared" ca="1" si="0"/>
        <v>-14</v>
      </c>
      <c r="P44">
        <f t="shared" ca="1" si="3"/>
        <v>6499</v>
      </c>
      <c r="Q44">
        <f t="shared" si="1"/>
        <v>6499</v>
      </c>
      <c r="R44" t="str">
        <f t="shared" si="2"/>
        <v>0</v>
      </c>
    </row>
    <row r="45" spans="1:18">
      <c r="A45">
        <v>3111</v>
      </c>
      <c r="B45">
        <v>64999000</v>
      </c>
      <c r="C45" t="s">
        <v>15965</v>
      </c>
      <c r="D45" t="s">
        <v>18875</v>
      </c>
      <c r="E45">
        <v>2024</v>
      </c>
      <c r="F45" t="s">
        <v>18876</v>
      </c>
      <c r="G45">
        <v>13.5</v>
      </c>
      <c r="H45">
        <v>13.5</v>
      </c>
      <c r="I45">
        <v>0</v>
      </c>
      <c r="J45" s="225">
        <v>45390</v>
      </c>
      <c r="K45" s="225">
        <v>45390</v>
      </c>
      <c r="L45">
        <v>4</v>
      </c>
      <c r="M45" t="s">
        <v>18698</v>
      </c>
      <c r="N45" t="s">
        <v>18818</v>
      </c>
      <c r="O45" s="236">
        <f t="shared" ca="1" si="0"/>
        <v>-14</v>
      </c>
      <c r="P45">
        <f t="shared" ca="1" si="3"/>
        <v>6499</v>
      </c>
      <c r="Q45">
        <f t="shared" si="1"/>
        <v>6499</v>
      </c>
      <c r="R45" t="str">
        <f t="shared" si="2"/>
        <v>0</v>
      </c>
    </row>
    <row r="46" spans="1:18">
      <c r="A46">
        <v>3111</v>
      </c>
      <c r="B46">
        <v>64999000</v>
      </c>
      <c r="C46" t="s">
        <v>15965</v>
      </c>
      <c r="D46" t="s">
        <v>18877</v>
      </c>
      <c r="E46">
        <v>2024</v>
      </c>
      <c r="F46" t="s">
        <v>18878</v>
      </c>
      <c r="G46">
        <v>55</v>
      </c>
      <c r="H46">
        <v>55</v>
      </c>
      <c r="I46">
        <v>0</v>
      </c>
      <c r="J46" s="225">
        <v>45390</v>
      </c>
      <c r="K46" s="225">
        <v>45390</v>
      </c>
      <c r="L46">
        <v>4</v>
      </c>
      <c r="M46" t="s">
        <v>18698</v>
      </c>
      <c r="N46" t="s">
        <v>18818</v>
      </c>
      <c r="O46" s="236">
        <f t="shared" ca="1" si="0"/>
        <v>-14</v>
      </c>
      <c r="P46">
        <f t="shared" ca="1" si="3"/>
        <v>6499</v>
      </c>
      <c r="Q46">
        <f t="shared" si="1"/>
        <v>6499</v>
      </c>
      <c r="R46" t="str">
        <f t="shared" si="2"/>
        <v>0</v>
      </c>
    </row>
    <row r="47" spans="1:18">
      <c r="A47">
        <v>3111</v>
      </c>
      <c r="B47">
        <v>81410900</v>
      </c>
      <c r="C47" t="s">
        <v>18056</v>
      </c>
      <c r="D47" t="s">
        <v>18075</v>
      </c>
      <c r="E47">
        <v>2024</v>
      </c>
      <c r="F47" t="s">
        <v>18076</v>
      </c>
      <c r="G47">
        <v>71.42</v>
      </c>
      <c r="H47">
        <v>287.75</v>
      </c>
      <c r="I47">
        <v>216.33</v>
      </c>
      <c r="J47" s="225">
        <v>45376</v>
      </c>
      <c r="K47" s="225">
        <v>45390</v>
      </c>
      <c r="L47">
        <v>360</v>
      </c>
      <c r="O47" s="236">
        <f t="shared" ca="1" si="0"/>
        <v>-45408</v>
      </c>
      <c r="P47">
        <f t="shared" ca="1" si="3"/>
        <v>8141</v>
      </c>
      <c r="Q47">
        <f t="shared" si="1"/>
        <v>8141</v>
      </c>
      <c r="R47" t="str">
        <f t="shared" si="2"/>
        <v>0</v>
      </c>
    </row>
    <row r="48" spans="1:18">
      <c r="A48">
        <v>3111</v>
      </c>
      <c r="B48">
        <v>81410900</v>
      </c>
      <c r="C48" t="s">
        <v>18056</v>
      </c>
      <c r="D48" t="s">
        <v>18774</v>
      </c>
      <c r="E48">
        <v>2024</v>
      </c>
      <c r="F48" t="s">
        <v>18775</v>
      </c>
      <c r="G48">
        <v>186.19</v>
      </c>
      <c r="H48">
        <v>186.19</v>
      </c>
      <c r="I48">
        <v>0</v>
      </c>
      <c r="J48" s="225">
        <v>45386</v>
      </c>
      <c r="K48" s="225">
        <v>45390</v>
      </c>
      <c r="L48">
        <v>360</v>
      </c>
      <c r="O48" s="236">
        <f t="shared" ca="1" si="0"/>
        <v>-45408</v>
      </c>
      <c r="P48">
        <f t="shared" ca="1" si="3"/>
        <v>8141</v>
      </c>
      <c r="Q48">
        <f t="shared" si="1"/>
        <v>8141</v>
      </c>
      <c r="R48" t="str">
        <f t="shared" si="2"/>
        <v>0</v>
      </c>
    </row>
    <row r="49" spans="1:18">
      <c r="A49">
        <v>3112</v>
      </c>
      <c r="B49">
        <v>51140000</v>
      </c>
      <c r="C49" t="s">
        <v>12528</v>
      </c>
      <c r="D49" t="s">
        <v>18879</v>
      </c>
      <c r="E49">
        <v>2024</v>
      </c>
      <c r="F49" t="s">
        <v>18880</v>
      </c>
      <c r="G49">
        <v>1000</v>
      </c>
      <c r="H49">
        <v>1000</v>
      </c>
      <c r="I49">
        <v>0</v>
      </c>
      <c r="J49" s="225">
        <v>45390</v>
      </c>
      <c r="K49" s="225">
        <v>45390</v>
      </c>
      <c r="L49">
        <v>4</v>
      </c>
      <c r="M49" t="s">
        <v>18698</v>
      </c>
      <c r="N49" t="s">
        <v>18818</v>
      </c>
      <c r="O49" s="236">
        <f t="shared" ca="1" si="0"/>
        <v>-14</v>
      </c>
      <c r="P49">
        <f t="shared" ca="1" si="3"/>
        <v>5114</v>
      </c>
      <c r="Q49">
        <f t="shared" si="1"/>
        <v>5114</v>
      </c>
      <c r="R49" t="str">
        <f t="shared" si="2"/>
        <v>0</v>
      </c>
    </row>
    <row r="50" spans="1:18">
      <c r="A50">
        <v>3112</v>
      </c>
      <c r="B50">
        <v>51350000</v>
      </c>
      <c r="C50" t="s">
        <v>18810</v>
      </c>
      <c r="D50" t="s">
        <v>18881</v>
      </c>
      <c r="E50">
        <v>2024</v>
      </c>
      <c r="F50" t="s">
        <v>18849</v>
      </c>
      <c r="G50">
        <v>1300</v>
      </c>
      <c r="H50">
        <v>1300</v>
      </c>
      <c r="I50">
        <v>0</v>
      </c>
      <c r="J50" s="225">
        <v>45390</v>
      </c>
      <c r="K50" s="225">
        <v>45390</v>
      </c>
      <c r="L50">
        <v>4</v>
      </c>
      <c r="M50" t="s">
        <v>18698</v>
      </c>
      <c r="N50" t="s">
        <v>18818</v>
      </c>
      <c r="O50" s="236">
        <f t="shared" ca="1" si="0"/>
        <v>-14</v>
      </c>
      <c r="P50">
        <f t="shared" ca="1" si="3"/>
        <v>5135</v>
      </c>
      <c r="Q50">
        <f t="shared" si="1"/>
        <v>5135</v>
      </c>
      <c r="R50" t="str">
        <f t="shared" si="2"/>
        <v>0</v>
      </c>
    </row>
    <row r="51" spans="1:18">
      <c r="A51">
        <v>3112</v>
      </c>
      <c r="B51">
        <v>52740000</v>
      </c>
      <c r="C51" t="s">
        <v>421</v>
      </c>
      <c r="D51" t="s">
        <v>18882</v>
      </c>
      <c r="E51">
        <v>2024</v>
      </c>
      <c r="F51" t="s">
        <v>18866</v>
      </c>
      <c r="G51">
        <v>6000</v>
      </c>
      <c r="H51">
        <v>6000</v>
      </c>
      <c r="I51">
        <v>0</v>
      </c>
      <c r="J51" s="225">
        <v>45390</v>
      </c>
      <c r="K51" s="225">
        <v>45390</v>
      </c>
      <c r="L51">
        <v>2</v>
      </c>
      <c r="M51" t="s">
        <v>18698</v>
      </c>
      <c r="N51" t="s">
        <v>18752</v>
      </c>
      <c r="O51" s="236">
        <f t="shared" ca="1" si="0"/>
        <v>-16</v>
      </c>
      <c r="P51">
        <f t="shared" ca="1" si="3"/>
        <v>5274</v>
      </c>
      <c r="Q51">
        <f t="shared" si="1"/>
        <v>5274</v>
      </c>
      <c r="R51" t="str">
        <f t="shared" si="2"/>
        <v>0</v>
      </c>
    </row>
    <row r="52" spans="1:18">
      <c r="A52">
        <v>3112</v>
      </c>
      <c r="B52">
        <v>54300000</v>
      </c>
      <c r="C52" t="s">
        <v>3779</v>
      </c>
      <c r="D52" t="s">
        <v>18883</v>
      </c>
      <c r="E52">
        <v>2024</v>
      </c>
      <c r="F52" t="s">
        <v>18884</v>
      </c>
      <c r="G52">
        <v>6000</v>
      </c>
      <c r="H52">
        <v>6000</v>
      </c>
      <c r="I52">
        <v>0</v>
      </c>
      <c r="J52" s="225">
        <v>45390</v>
      </c>
      <c r="K52" s="225">
        <v>45390</v>
      </c>
      <c r="L52">
        <v>2</v>
      </c>
      <c r="M52" t="s">
        <v>18698</v>
      </c>
      <c r="N52" t="s">
        <v>18752</v>
      </c>
      <c r="O52" s="236">
        <f t="shared" ca="1" si="0"/>
        <v>-16</v>
      </c>
      <c r="P52">
        <f t="shared" ca="1" si="3"/>
        <v>5430</v>
      </c>
      <c r="Q52">
        <f t="shared" si="1"/>
        <v>5430</v>
      </c>
      <c r="R52" t="str">
        <f t="shared" si="2"/>
        <v>0</v>
      </c>
    </row>
    <row r="53" spans="1:18">
      <c r="A53">
        <v>3112</v>
      </c>
      <c r="B53">
        <v>54654000</v>
      </c>
      <c r="C53" t="s">
        <v>3805</v>
      </c>
      <c r="D53" t="s">
        <v>18885</v>
      </c>
      <c r="E53">
        <v>2024</v>
      </c>
      <c r="F53" t="s">
        <v>18851</v>
      </c>
      <c r="G53">
        <v>4060.1</v>
      </c>
      <c r="H53">
        <v>8210.1</v>
      </c>
      <c r="I53">
        <v>4150</v>
      </c>
      <c r="J53" s="225">
        <v>45390</v>
      </c>
      <c r="K53" s="225">
        <v>45390</v>
      </c>
      <c r="L53">
        <v>5</v>
      </c>
      <c r="M53" t="s">
        <v>18698</v>
      </c>
      <c r="N53" t="s">
        <v>18828</v>
      </c>
      <c r="O53" s="236">
        <f t="shared" ca="1" si="0"/>
        <v>-13</v>
      </c>
      <c r="P53">
        <f t="shared" ca="1" si="3"/>
        <v>5465</v>
      </c>
      <c r="Q53">
        <f t="shared" si="1"/>
        <v>5465</v>
      </c>
      <c r="R53" t="str">
        <f t="shared" si="2"/>
        <v>0</v>
      </c>
    </row>
    <row r="54" spans="1:18">
      <c r="A54">
        <v>3112</v>
      </c>
      <c r="B54">
        <v>54760000</v>
      </c>
      <c r="C54" t="s">
        <v>3808</v>
      </c>
      <c r="D54" t="s">
        <v>18886</v>
      </c>
      <c r="E54">
        <v>2024</v>
      </c>
      <c r="F54" t="s">
        <v>18887</v>
      </c>
      <c r="G54">
        <v>1500</v>
      </c>
      <c r="H54">
        <v>1500</v>
      </c>
      <c r="I54">
        <v>0</v>
      </c>
      <c r="J54" s="225">
        <v>45390</v>
      </c>
      <c r="K54" s="225">
        <v>45390</v>
      </c>
      <c r="L54">
        <v>2</v>
      </c>
      <c r="M54" t="s">
        <v>18698</v>
      </c>
      <c r="N54" t="s">
        <v>18752</v>
      </c>
      <c r="O54" s="236">
        <f t="shared" ca="1" si="0"/>
        <v>-16</v>
      </c>
      <c r="P54">
        <f t="shared" ca="1" si="3"/>
        <v>5476</v>
      </c>
      <c r="Q54">
        <f t="shared" si="1"/>
        <v>5476</v>
      </c>
      <c r="R54" t="str">
        <f t="shared" si="2"/>
        <v>0</v>
      </c>
    </row>
    <row r="55" spans="1:18">
      <c r="A55">
        <v>3112</v>
      </c>
      <c r="B55">
        <v>55230000</v>
      </c>
      <c r="C55" t="s">
        <v>18726</v>
      </c>
      <c r="D55" t="s">
        <v>18888</v>
      </c>
      <c r="E55">
        <v>2024</v>
      </c>
      <c r="F55" t="s">
        <v>18855</v>
      </c>
      <c r="G55">
        <v>750</v>
      </c>
      <c r="H55">
        <v>8834.9</v>
      </c>
      <c r="I55">
        <v>8084.9</v>
      </c>
      <c r="J55" s="225">
        <v>45390</v>
      </c>
      <c r="K55" s="225">
        <v>45390</v>
      </c>
      <c r="L55">
        <v>3</v>
      </c>
      <c r="M55" t="s">
        <v>18698</v>
      </c>
      <c r="N55" t="s">
        <v>18763</v>
      </c>
      <c r="O55" s="236">
        <f t="shared" ca="1" si="0"/>
        <v>-15</v>
      </c>
      <c r="P55">
        <f t="shared" ca="1" si="3"/>
        <v>5523</v>
      </c>
      <c r="Q55">
        <f t="shared" si="1"/>
        <v>5523</v>
      </c>
      <c r="R55" t="str">
        <f t="shared" si="2"/>
        <v>1</v>
      </c>
    </row>
    <row r="56" spans="1:18">
      <c r="A56">
        <v>3112</v>
      </c>
      <c r="B56">
        <v>55260000</v>
      </c>
      <c r="C56" t="s">
        <v>426</v>
      </c>
      <c r="D56" t="s">
        <v>18889</v>
      </c>
      <c r="E56">
        <v>2024</v>
      </c>
      <c r="F56" t="s">
        <v>18878</v>
      </c>
      <c r="G56">
        <v>6000</v>
      </c>
      <c r="H56">
        <v>6000</v>
      </c>
      <c r="I56">
        <v>0</v>
      </c>
      <c r="J56" s="225">
        <v>45390</v>
      </c>
      <c r="K56" s="225">
        <v>45390</v>
      </c>
      <c r="L56">
        <v>2</v>
      </c>
      <c r="M56" t="s">
        <v>18698</v>
      </c>
      <c r="N56" t="s">
        <v>18752</v>
      </c>
      <c r="O56" s="236">
        <f t="shared" ca="1" si="0"/>
        <v>-16</v>
      </c>
      <c r="P56">
        <f t="shared" ca="1" si="3"/>
        <v>5526</v>
      </c>
      <c r="Q56">
        <f t="shared" si="1"/>
        <v>5526</v>
      </c>
      <c r="R56" t="str">
        <f t="shared" si="2"/>
        <v>0</v>
      </c>
    </row>
    <row r="57" spans="1:18">
      <c r="A57">
        <v>3112</v>
      </c>
      <c r="B57">
        <v>55520000</v>
      </c>
      <c r="C57" t="s">
        <v>3843</v>
      </c>
      <c r="D57" t="s">
        <v>18890</v>
      </c>
      <c r="E57">
        <v>2024</v>
      </c>
      <c r="F57" t="s">
        <v>18891</v>
      </c>
      <c r="G57">
        <v>1188.0999999999999</v>
      </c>
      <c r="H57">
        <v>2300.1</v>
      </c>
      <c r="I57">
        <v>1112</v>
      </c>
      <c r="J57" s="225">
        <v>45389</v>
      </c>
      <c r="K57" s="225">
        <v>45391</v>
      </c>
      <c r="L57">
        <v>3</v>
      </c>
      <c r="M57" t="s">
        <v>18730</v>
      </c>
      <c r="N57" t="s">
        <v>18752</v>
      </c>
      <c r="O57" s="236">
        <f t="shared" ca="1" si="0"/>
        <v>-16</v>
      </c>
      <c r="P57">
        <f t="shared" ca="1" si="3"/>
        <v>5552</v>
      </c>
      <c r="Q57">
        <f t="shared" si="1"/>
        <v>5552</v>
      </c>
      <c r="R57" t="str">
        <f t="shared" si="2"/>
        <v>0</v>
      </c>
    </row>
    <row r="58" spans="1:18">
      <c r="A58">
        <v>3112</v>
      </c>
      <c r="B58">
        <v>55770000</v>
      </c>
      <c r="C58" t="s">
        <v>8534</v>
      </c>
      <c r="D58" t="s">
        <v>18892</v>
      </c>
      <c r="E58">
        <v>2024</v>
      </c>
      <c r="F58" t="s">
        <v>18868</v>
      </c>
      <c r="G58">
        <v>6004.3</v>
      </c>
      <c r="H58">
        <v>7504.3</v>
      </c>
      <c r="I58">
        <v>1500</v>
      </c>
      <c r="J58" s="225">
        <v>45390</v>
      </c>
      <c r="K58" s="225">
        <v>45390</v>
      </c>
      <c r="L58">
        <v>2</v>
      </c>
      <c r="M58" t="s">
        <v>18698</v>
      </c>
      <c r="N58" t="s">
        <v>18752</v>
      </c>
      <c r="O58" s="236">
        <f t="shared" ca="1" si="0"/>
        <v>-16</v>
      </c>
      <c r="P58">
        <f t="shared" ca="1" si="3"/>
        <v>5577</v>
      </c>
      <c r="Q58">
        <f t="shared" si="1"/>
        <v>5577</v>
      </c>
      <c r="R58" t="str">
        <f t="shared" si="2"/>
        <v>0</v>
      </c>
    </row>
    <row r="59" spans="1:18">
      <c r="A59">
        <v>3112</v>
      </c>
      <c r="B59">
        <v>55900000</v>
      </c>
      <c r="C59" t="s">
        <v>15205</v>
      </c>
      <c r="D59" t="s">
        <v>18893</v>
      </c>
      <c r="E59">
        <v>2024</v>
      </c>
      <c r="F59" t="s">
        <v>18851</v>
      </c>
      <c r="G59">
        <v>70.5</v>
      </c>
      <c r="H59">
        <v>250.5</v>
      </c>
      <c r="I59">
        <v>180</v>
      </c>
      <c r="J59" s="225">
        <v>45390</v>
      </c>
      <c r="K59" s="225">
        <v>45391</v>
      </c>
      <c r="L59">
        <v>7</v>
      </c>
      <c r="M59" t="s">
        <v>18698</v>
      </c>
      <c r="N59" t="s">
        <v>18834</v>
      </c>
      <c r="O59" s="236">
        <f t="shared" ca="1" si="0"/>
        <v>-11</v>
      </c>
      <c r="P59">
        <f t="shared" ca="1" si="3"/>
        <v>5590</v>
      </c>
      <c r="Q59">
        <f t="shared" si="1"/>
        <v>5590</v>
      </c>
      <c r="R59" t="str">
        <f t="shared" si="2"/>
        <v>0</v>
      </c>
    </row>
    <row r="60" spans="1:18">
      <c r="A60">
        <v>3112</v>
      </c>
      <c r="B60">
        <v>55920000</v>
      </c>
      <c r="C60" t="s">
        <v>15285</v>
      </c>
      <c r="D60" t="s">
        <v>18894</v>
      </c>
      <c r="E60">
        <v>2024</v>
      </c>
      <c r="F60" t="s">
        <v>18870</v>
      </c>
      <c r="G60">
        <v>2540</v>
      </c>
      <c r="H60">
        <v>6010</v>
      </c>
      <c r="I60">
        <v>3470</v>
      </c>
      <c r="J60" s="225">
        <v>45390</v>
      </c>
      <c r="K60" s="225">
        <v>45390</v>
      </c>
      <c r="L60">
        <v>2</v>
      </c>
      <c r="M60" t="s">
        <v>18698</v>
      </c>
      <c r="N60" t="s">
        <v>18752</v>
      </c>
      <c r="O60" s="236">
        <f t="shared" ca="1" si="0"/>
        <v>-16</v>
      </c>
      <c r="P60">
        <f t="shared" ca="1" si="3"/>
        <v>5592</v>
      </c>
      <c r="Q60">
        <f t="shared" si="1"/>
        <v>5592</v>
      </c>
      <c r="R60" t="str">
        <f t="shared" si="2"/>
        <v>0</v>
      </c>
    </row>
    <row r="61" spans="1:18">
      <c r="A61">
        <v>3112</v>
      </c>
      <c r="B61">
        <v>55950000</v>
      </c>
      <c r="C61" t="s">
        <v>15527</v>
      </c>
      <c r="D61" t="s">
        <v>18895</v>
      </c>
      <c r="E61">
        <v>2024</v>
      </c>
      <c r="F61" t="s">
        <v>18864</v>
      </c>
      <c r="G61">
        <v>1500</v>
      </c>
      <c r="H61">
        <v>3000</v>
      </c>
      <c r="I61">
        <v>1500</v>
      </c>
      <c r="J61" s="225">
        <v>45390</v>
      </c>
      <c r="K61" s="225">
        <v>45390</v>
      </c>
      <c r="L61">
        <v>3</v>
      </c>
      <c r="M61" t="s">
        <v>18698</v>
      </c>
      <c r="N61" t="s">
        <v>18763</v>
      </c>
      <c r="O61" s="236">
        <f t="shared" ca="1" si="0"/>
        <v>-15</v>
      </c>
      <c r="P61">
        <f t="shared" ca="1" si="3"/>
        <v>5595</v>
      </c>
      <c r="Q61">
        <f t="shared" si="1"/>
        <v>5595</v>
      </c>
      <c r="R61" t="str">
        <f t="shared" si="2"/>
        <v>0</v>
      </c>
    </row>
    <row r="62" spans="1:18">
      <c r="A62">
        <v>3112</v>
      </c>
      <c r="B62">
        <v>56000000</v>
      </c>
      <c r="C62" t="s">
        <v>18896</v>
      </c>
      <c r="D62" t="s">
        <v>18897</v>
      </c>
      <c r="E62">
        <v>2024</v>
      </c>
      <c r="F62" t="s">
        <v>18898</v>
      </c>
      <c r="G62">
        <v>400</v>
      </c>
      <c r="H62">
        <v>8000</v>
      </c>
      <c r="I62">
        <v>7600</v>
      </c>
      <c r="J62" s="225">
        <v>45391</v>
      </c>
      <c r="K62" s="225">
        <v>45391</v>
      </c>
      <c r="L62">
        <v>2</v>
      </c>
      <c r="M62" t="s">
        <v>18698</v>
      </c>
      <c r="N62" t="s">
        <v>18752</v>
      </c>
      <c r="O62" s="236">
        <f t="shared" ca="1" si="0"/>
        <v>-16</v>
      </c>
      <c r="P62">
        <f t="shared" ca="1" si="3"/>
        <v>5600</v>
      </c>
      <c r="Q62">
        <f t="shared" si="1"/>
        <v>5600</v>
      </c>
      <c r="R62" t="str">
        <f t="shared" si="2"/>
        <v>1</v>
      </c>
    </row>
    <row r="63" spans="1:18">
      <c r="A63">
        <v>3112</v>
      </c>
      <c r="B63">
        <v>56010000</v>
      </c>
      <c r="C63" t="s">
        <v>18811</v>
      </c>
      <c r="D63" t="s">
        <v>18899</v>
      </c>
      <c r="E63">
        <v>2024</v>
      </c>
      <c r="F63" t="s">
        <v>18860</v>
      </c>
      <c r="G63">
        <v>3980</v>
      </c>
      <c r="H63">
        <v>6000.2</v>
      </c>
      <c r="I63">
        <v>2020.2</v>
      </c>
      <c r="J63" s="225">
        <v>45390</v>
      </c>
      <c r="K63" s="225">
        <v>45390</v>
      </c>
      <c r="L63">
        <v>2</v>
      </c>
      <c r="M63" t="s">
        <v>18698</v>
      </c>
      <c r="N63" t="s">
        <v>18752</v>
      </c>
      <c r="O63" s="236">
        <f t="shared" ca="1" si="0"/>
        <v>-16</v>
      </c>
      <c r="P63">
        <f t="shared" ca="1" si="3"/>
        <v>5601</v>
      </c>
      <c r="Q63">
        <f t="shared" si="1"/>
        <v>5601</v>
      </c>
      <c r="R63" t="str">
        <f t="shared" si="2"/>
        <v>0</v>
      </c>
    </row>
    <row r="64" spans="1:18">
      <c r="A64">
        <v>3112</v>
      </c>
      <c r="B64">
        <v>56920000</v>
      </c>
      <c r="C64" t="s">
        <v>17589</v>
      </c>
      <c r="D64" t="s">
        <v>18900</v>
      </c>
      <c r="E64">
        <v>2024</v>
      </c>
      <c r="F64" t="s">
        <v>18901</v>
      </c>
      <c r="G64">
        <v>2108</v>
      </c>
      <c r="H64">
        <v>3908</v>
      </c>
      <c r="I64">
        <v>1800</v>
      </c>
      <c r="J64" s="225">
        <v>45390</v>
      </c>
      <c r="K64" s="225">
        <v>45391</v>
      </c>
      <c r="L64">
        <v>3</v>
      </c>
      <c r="M64" t="s">
        <v>18698</v>
      </c>
      <c r="N64" t="s">
        <v>18763</v>
      </c>
      <c r="O64" s="236">
        <f t="shared" ca="1" si="0"/>
        <v>-15</v>
      </c>
      <c r="P64">
        <f t="shared" ca="1" si="3"/>
        <v>5692</v>
      </c>
      <c r="Q64">
        <f t="shared" si="1"/>
        <v>5692</v>
      </c>
      <c r="R64" t="str">
        <f t="shared" si="2"/>
        <v>0</v>
      </c>
    </row>
    <row r="65" spans="1:18">
      <c r="A65">
        <v>3112</v>
      </c>
      <c r="B65">
        <v>57810000</v>
      </c>
      <c r="C65" t="s">
        <v>8535</v>
      </c>
      <c r="D65" t="s">
        <v>18902</v>
      </c>
      <c r="E65">
        <v>2024</v>
      </c>
      <c r="F65" t="s">
        <v>18903</v>
      </c>
      <c r="G65">
        <v>1000</v>
      </c>
      <c r="H65">
        <v>1071</v>
      </c>
      <c r="I65">
        <v>71</v>
      </c>
      <c r="J65" s="225">
        <v>45390</v>
      </c>
      <c r="K65" s="225">
        <v>45390</v>
      </c>
      <c r="L65">
        <v>1</v>
      </c>
      <c r="M65" t="s">
        <v>18698</v>
      </c>
      <c r="N65" t="s">
        <v>18728</v>
      </c>
      <c r="O65" s="236">
        <f t="shared" ca="1" si="0"/>
        <v>-17</v>
      </c>
      <c r="P65">
        <f t="shared" ca="1" si="3"/>
        <v>5781</v>
      </c>
      <c r="Q65">
        <f t="shared" si="1"/>
        <v>5781</v>
      </c>
      <c r="R65" t="str">
        <f t="shared" si="2"/>
        <v>0</v>
      </c>
    </row>
    <row r="66" spans="1:18">
      <c r="A66">
        <v>3112</v>
      </c>
      <c r="B66">
        <v>57814000</v>
      </c>
      <c r="C66" t="s">
        <v>8536</v>
      </c>
      <c r="D66" t="s">
        <v>18904</v>
      </c>
      <c r="E66">
        <v>2024</v>
      </c>
      <c r="F66" t="s">
        <v>18846</v>
      </c>
      <c r="G66">
        <v>921</v>
      </c>
      <c r="H66">
        <v>11000</v>
      </c>
      <c r="I66">
        <v>10079</v>
      </c>
      <c r="J66" s="225">
        <v>45390</v>
      </c>
      <c r="K66" s="225">
        <v>45391</v>
      </c>
      <c r="L66">
        <v>1</v>
      </c>
      <c r="M66" t="s">
        <v>18698</v>
      </c>
      <c r="N66" t="s">
        <v>18728</v>
      </c>
      <c r="O66" s="236">
        <f t="shared" ca="1" si="0"/>
        <v>-17</v>
      </c>
      <c r="P66">
        <f t="shared" ca="1" si="3"/>
        <v>5781</v>
      </c>
      <c r="Q66">
        <f t="shared" si="1"/>
        <v>5781</v>
      </c>
      <c r="R66" t="str">
        <f t="shared" si="2"/>
        <v>0</v>
      </c>
    </row>
    <row r="67" spans="1:18">
      <c r="A67">
        <v>3112</v>
      </c>
      <c r="B67">
        <v>81710300</v>
      </c>
      <c r="C67" t="s">
        <v>13904</v>
      </c>
      <c r="D67" t="s">
        <v>18754</v>
      </c>
      <c r="E67">
        <v>2024</v>
      </c>
      <c r="F67" t="s">
        <v>18755</v>
      </c>
      <c r="G67">
        <v>507</v>
      </c>
      <c r="H67">
        <v>1000</v>
      </c>
      <c r="I67">
        <v>493</v>
      </c>
      <c r="J67" s="225">
        <v>45385</v>
      </c>
      <c r="K67" s="225">
        <v>45391</v>
      </c>
      <c r="L67">
        <v>730</v>
      </c>
      <c r="O67" s="236">
        <f t="shared" ref="O67:O130" ca="1" si="4">N67*1-TODAY()</f>
        <v>-45408</v>
      </c>
      <c r="P67">
        <f t="shared" ref="P67:P130" ca="1" si="5">IF(O67&lt;4,MID(B67,1,4)*1,0)</f>
        <v>8171</v>
      </c>
      <c r="Q67">
        <f t="shared" ref="Q67:Q130" si="6">MID(B67,1,4)*1</f>
        <v>8171</v>
      </c>
      <c r="R67" t="str">
        <f t="shared" ref="R67:R130" si="7">MID(D67,4,1)</f>
        <v>0</v>
      </c>
    </row>
    <row r="68" spans="1:18">
      <c r="A68">
        <v>3112</v>
      </c>
      <c r="B68">
        <v>84000100</v>
      </c>
      <c r="C68" t="s">
        <v>15624</v>
      </c>
      <c r="D68" t="s">
        <v>18079</v>
      </c>
      <c r="E68">
        <v>2022</v>
      </c>
      <c r="F68">
        <v>3341502</v>
      </c>
      <c r="G68">
        <v>0.01</v>
      </c>
      <c r="H68">
        <v>4.6500000000000004</v>
      </c>
      <c r="I68">
        <v>4.6399999999999997</v>
      </c>
      <c r="J68" s="225">
        <v>44673</v>
      </c>
      <c r="K68" s="225">
        <v>44688</v>
      </c>
      <c r="L68">
        <v>540</v>
      </c>
      <c r="M68" t="s">
        <v>18080</v>
      </c>
      <c r="N68" t="s">
        <v>18081</v>
      </c>
      <c r="O68" s="236">
        <f t="shared" ca="1" si="4"/>
        <v>-196</v>
      </c>
      <c r="P68">
        <f t="shared" ca="1" si="5"/>
        <v>8400</v>
      </c>
      <c r="Q68">
        <f t="shared" si="6"/>
        <v>8400</v>
      </c>
      <c r="R68" t="str">
        <f t="shared" si="7"/>
        <v>0</v>
      </c>
    </row>
    <row r="69" spans="1:18">
      <c r="A69">
        <v>3112</v>
      </c>
      <c r="B69">
        <v>84000100</v>
      </c>
      <c r="C69" t="s">
        <v>15624</v>
      </c>
      <c r="D69" t="s">
        <v>18082</v>
      </c>
      <c r="E69">
        <v>2022</v>
      </c>
      <c r="F69">
        <v>3355815</v>
      </c>
      <c r="G69">
        <v>0.01</v>
      </c>
      <c r="H69">
        <v>11.33</v>
      </c>
      <c r="I69">
        <v>11.32</v>
      </c>
      <c r="J69" s="225">
        <v>44687</v>
      </c>
      <c r="K69" s="225">
        <v>44694</v>
      </c>
      <c r="L69">
        <v>540</v>
      </c>
      <c r="M69" t="s">
        <v>18083</v>
      </c>
      <c r="N69" t="s">
        <v>18084</v>
      </c>
      <c r="O69" s="236">
        <f t="shared" ca="1" si="4"/>
        <v>-182</v>
      </c>
      <c r="P69">
        <f t="shared" ca="1" si="5"/>
        <v>8400</v>
      </c>
      <c r="Q69">
        <f t="shared" si="6"/>
        <v>8400</v>
      </c>
      <c r="R69" t="str">
        <f t="shared" si="7"/>
        <v>0</v>
      </c>
    </row>
    <row r="70" spans="1:18">
      <c r="A70">
        <v>3112</v>
      </c>
      <c r="B70">
        <v>84000100</v>
      </c>
      <c r="C70" t="s">
        <v>15624</v>
      </c>
      <c r="D70" t="s">
        <v>18085</v>
      </c>
      <c r="E70">
        <v>2022</v>
      </c>
      <c r="F70">
        <v>3359403</v>
      </c>
      <c r="G70">
        <v>-0.01</v>
      </c>
      <c r="H70">
        <v>48.88</v>
      </c>
      <c r="I70">
        <v>48.89</v>
      </c>
      <c r="J70" s="225">
        <v>44691</v>
      </c>
      <c r="K70" s="225">
        <v>44699</v>
      </c>
      <c r="L70">
        <v>540</v>
      </c>
      <c r="M70" t="s">
        <v>18086</v>
      </c>
      <c r="N70" t="s">
        <v>18087</v>
      </c>
      <c r="O70" s="236">
        <f t="shared" ca="1" si="4"/>
        <v>-178</v>
      </c>
      <c r="P70">
        <f t="shared" ca="1" si="5"/>
        <v>8400</v>
      </c>
      <c r="Q70">
        <f t="shared" si="6"/>
        <v>8400</v>
      </c>
      <c r="R70" t="str">
        <f t="shared" si="7"/>
        <v>0</v>
      </c>
    </row>
    <row r="71" spans="1:18">
      <c r="A71">
        <v>3112</v>
      </c>
      <c r="B71">
        <v>84000100</v>
      </c>
      <c r="C71" t="s">
        <v>15624</v>
      </c>
      <c r="D71" t="s">
        <v>18088</v>
      </c>
      <c r="E71">
        <v>2022</v>
      </c>
      <c r="F71">
        <v>3381856</v>
      </c>
      <c r="G71">
        <v>-0.01</v>
      </c>
      <c r="H71">
        <v>77.17</v>
      </c>
      <c r="I71">
        <v>77.180000000000007</v>
      </c>
      <c r="J71" s="225">
        <v>44712</v>
      </c>
      <c r="K71" s="225">
        <v>44726</v>
      </c>
      <c r="L71">
        <v>540</v>
      </c>
      <c r="M71" t="s">
        <v>18089</v>
      </c>
      <c r="N71" t="s">
        <v>18090</v>
      </c>
      <c r="O71" s="236">
        <f t="shared" ca="1" si="4"/>
        <v>-157</v>
      </c>
      <c r="P71">
        <f t="shared" ca="1" si="5"/>
        <v>8400</v>
      </c>
      <c r="Q71">
        <f t="shared" si="6"/>
        <v>8400</v>
      </c>
      <c r="R71" t="str">
        <f t="shared" si="7"/>
        <v>0</v>
      </c>
    </row>
    <row r="72" spans="1:18">
      <c r="A72">
        <v>3112</v>
      </c>
      <c r="B72">
        <v>84000100</v>
      </c>
      <c r="C72" t="s">
        <v>15624</v>
      </c>
      <c r="D72" t="s">
        <v>18091</v>
      </c>
      <c r="E72">
        <v>2022</v>
      </c>
      <c r="F72">
        <v>3389491</v>
      </c>
      <c r="G72">
        <v>-0.02</v>
      </c>
      <c r="H72">
        <v>75.03</v>
      </c>
      <c r="I72">
        <v>75.05</v>
      </c>
      <c r="J72" s="225">
        <v>44719</v>
      </c>
      <c r="K72" s="225">
        <v>44730</v>
      </c>
      <c r="L72">
        <v>540</v>
      </c>
      <c r="M72" t="s">
        <v>18092</v>
      </c>
      <c r="N72" t="s">
        <v>18093</v>
      </c>
      <c r="O72" s="236">
        <f t="shared" ca="1" si="4"/>
        <v>-150</v>
      </c>
      <c r="P72">
        <f t="shared" ca="1" si="5"/>
        <v>8400</v>
      </c>
      <c r="Q72">
        <f t="shared" si="6"/>
        <v>8400</v>
      </c>
      <c r="R72" t="str">
        <f t="shared" si="7"/>
        <v>0</v>
      </c>
    </row>
    <row r="73" spans="1:18">
      <c r="A73">
        <v>3112</v>
      </c>
      <c r="B73">
        <v>84000100</v>
      </c>
      <c r="C73" t="s">
        <v>15624</v>
      </c>
      <c r="D73" t="s">
        <v>18094</v>
      </c>
      <c r="E73">
        <v>2022</v>
      </c>
      <c r="F73">
        <v>3410366</v>
      </c>
      <c r="G73">
        <v>-0.02</v>
      </c>
      <c r="H73">
        <v>37.42</v>
      </c>
      <c r="I73">
        <v>37.44</v>
      </c>
      <c r="J73" s="225">
        <v>44740</v>
      </c>
      <c r="K73" s="225">
        <v>44749</v>
      </c>
      <c r="L73">
        <v>540</v>
      </c>
      <c r="M73" t="s">
        <v>18095</v>
      </c>
      <c r="N73" t="s">
        <v>18096</v>
      </c>
      <c r="O73" s="236">
        <f t="shared" ca="1" si="4"/>
        <v>-129</v>
      </c>
      <c r="P73">
        <f t="shared" ca="1" si="5"/>
        <v>8400</v>
      </c>
      <c r="Q73">
        <f t="shared" si="6"/>
        <v>8400</v>
      </c>
      <c r="R73" t="str">
        <f t="shared" si="7"/>
        <v>0</v>
      </c>
    </row>
    <row r="74" spans="1:18">
      <c r="A74">
        <v>3112</v>
      </c>
      <c r="B74">
        <v>84000100</v>
      </c>
      <c r="C74" t="s">
        <v>15624</v>
      </c>
      <c r="D74" t="s">
        <v>18097</v>
      </c>
      <c r="E74">
        <v>2022</v>
      </c>
      <c r="F74">
        <v>3418743</v>
      </c>
      <c r="G74">
        <v>0.01</v>
      </c>
      <c r="H74">
        <v>93.85</v>
      </c>
      <c r="I74">
        <v>93.84</v>
      </c>
      <c r="J74" s="225">
        <v>44747</v>
      </c>
      <c r="K74" s="225">
        <v>44757</v>
      </c>
      <c r="L74">
        <v>540</v>
      </c>
      <c r="M74" t="s">
        <v>18098</v>
      </c>
      <c r="N74" t="s">
        <v>18099</v>
      </c>
      <c r="O74" s="236">
        <f t="shared" ca="1" si="4"/>
        <v>-122</v>
      </c>
      <c r="P74">
        <f t="shared" ca="1" si="5"/>
        <v>8400</v>
      </c>
      <c r="Q74">
        <f t="shared" si="6"/>
        <v>8400</v>
      </c>
      <c r="R74" t="str">
        <f t="shared" si="7"/>
        <v>0</v>
      </c>
    </row>
    <row r="75" spans="1:18">
      <c r="A75">
        <v>3112</v>
      </c>
      <c r="B75">
        <v>84000100</v>
      </c>
      <c r="C75" t="s">
        <v>15624</v>
      </c>
      <c r="D75" t="s">
        <v>18100</v>
      </c>
      <c r="E75">
        <v>2022</v>
      </c>
      <c r="F75">
        <v>3426771</v>
      </c>
      <c r="G75">
        <v>-0.03</v>
      </c>
      <c r="H75">
        <v>77.36</v>
      </c>
      <c r="I75">
        <v>77.39</v>
      </c>
      <c r="J75" s="225">
        <v>44754</v>
      </c>
      <c r="K75" s="225">
        <v>44767</v>
      </c>
      <c r="L75">
        <v>540</v>
      </c>
      <c r="M75" t="s">
        <v>18101</v>
      </c>
      <c r="N75" t="s">
        <v>18102</v>
      </c>
      <c r="O75" s="236">
        <f t="shared" ca="1" si="4"/>
        <v>-115</v>
      </c>
      <c r="P75">
        <f t="shared" ca="1" si="5"/>
        <v>8400</v>
      </c>
      <c r="Q75">
        <f t="shared" si="6"/>
        <v>8400</v>
      </c>
      <c r="R75" t="str">
        <f t="shared" si="7"/>
        <v>0</v>
      </c>
    </row>
    <row r="76" spans="1:18">
      <c r="A76">
        <v>3112</v>
      </c>
      <c r="B76">
        <v>84000100</v>
      </c>
      <c r="C76" t="s">
        <v>15624</v>
      </c>
      <c r="D76" t="s">
        <v>18103</v>
      </c>
      <c r="E76">
        <v>2022</v>
      </c>
      <c r="F76">
        <v>3459059</v>
      </c>
      <c r="G76">
        <v>-0.02</v>
      </c>
      <c r="H76">
        <v>89.28</v>
      </c>
      <c r="I76">
        <v>89.3</v>
      </c>
      <c r="J76" s="225">
        <v>44782</v>
      </c>
      <c r="K76" s="225">
        <v>44795</v>
      </c>
      <c r="L76">
        <v>540</v>
      </c>
      <c r="M76" t="s">
        <v>18104</v>
      </c>
      <c r="N76" t="s">
        <v>18105</v>
      </c>
      <c r="O76" s="236">
        <f t="shared" ca="1" si="4"/>
        <v>-87</v>
      </c>
      <c r="P76">
        <f t="shared" ca="1" si="5"/>
        <v>8400</v>
      </c>
      <c r="Q76">
        <f t="shared" si="6"/>
        <v>8400</v>
      </c>
      <c r="R76" t="str">
        <f t="shared" si="7"/>
        <v>0</v>
      </c>
    </row>
    <row r="77" spans="1:18">
      <c r="A77">
        <v>3112</v>
      </c>
      <c r="B77">
        <v>84000100</v>
      </c>
      <c r="C77" t="s">
        <v>15624</v>
      </c>
      <c r="D77" t="s">
        <v>18106</v>
      </c>
      <c r="E77">
        <v>2022</v>
      </c>
      <c r="F77">
        <v>3466954</v>
      </c>
      <c r="G77">
        <v>-0.01</v>
      </c>
      <c r="H77">
        <v>47.6</v>
      </c>
      <c r="I77">
        <v>47.61</v>
      </c>
      <c r="J77" s="225">
        <v>44790</v>
      </c>
      <c r="K77" s="225">
        <v>44799</v>
      </c>
      <c r="L77">
        <v>540</v>
      </c>
      <c r="M77" t="s">
        <v>18107</v>
      </c>
      <c r="N77" t="s">
        <v>18108</v>
      </c>
      <c r="O77" s="236">
        <f t="shared" ca="1" si="4"/>
        <v>-79</v>
      </c>
      <c r="P77">
        <f t="shared" ca="1" si="5"/>
        <v>8400</v>
      </c>
      <c r="Q77">
        <f t="shared" si="6"/>
        <v>8400</v>
      </c>
      <c r="R77" t="str">
        <f t="shared" si="7"/>
        <v>0</v>
      </c>
    </row>
    <row r="78" spans="1:18">
      <c r="A78">
        <v>3112</v>
      </c>
      <c r="B78">
        <v>84000200</v>
      </c>
      <c r="C78" t="s">
        <v>18057</v>
      </c>
      <c r="D78" t="s">
        <v>18109</v>
      </c>
      <c r="E78">
        <v>2023</v>
      </c>
      <c r="F78">
        <v>3705884</v>
      </c>
      <c r="G78">
        <v>0.01</v>
      </c>
      <c r="H78">
        <v>35.799999999999997</v>
      </c>
      <c r="I78">
        <v>35.79</v>
      </c>
      <c r="J78" s="225">
        <v>45013</v>
      </c>
      <c r="K78" s="225">
        <v>45073</v>
      </c>
      <c r="L78">
        <v>540</v>
      </c>
      <c r="M78" t="s">
        <v>18110</v>
      </c>
      <c r="N78" t="s">
        <v>18111</v>
      </c>
      <c r="O78" s="236">
        <f t="shared" ca="1" si="4"/>
        <v>138</v>
      </c>
      <c r="P78">
        <f t="shared" ca="1" si="5"/>
        <v>0</v>
      </c>
      <c r="Q78">
        <f t="shared" si="6"/>
        <v>8400</v>
      </c>
      <c r="R78" t="str">
        <f t="shared" si="7"/>
        <v>0</v>
      </c>
    </row>
    <row r="79" spans="1:18">
      <c r="A79">
        <v>3112</v>
      </c>
      <c r="B79">
        <v>84000200</v>
      </c>
      <c r="C79" t="s">
        <v>18057</v>
      </c>
      <c r="D79" t="s">
        <v>18112</v>
      </c>
      <c r="E79">
        <v>2022</v>
      </c>
      <c r="F79">
        <v>3334217</v>
      </c>
      <c r="G79">
        <v>0.01</v>
      </c>
      <c r="H79">
        <v>334.57</v>
      </c>
      <c r="I79">
        <v>334.56</v>
      </c>
      <c r="J79" s="225">
        <v>44664</v>
      </c>
      <c r="K79" s="225">
        <v>44673</v>
      </c>
      <c r="L79">
        <v>540</v>
      </c>
      <c r="M79" t="s">
        <v>18113</v>
      </c>
      <c r="N79" t="s">
        <v>18114</v>
      </c>
      <c r="O79" s="236">
        <f t="shared" ca="1" si="4"/>
        <v>-205</v>
      </c>
      <c r="P79">
        <f t="shared" ca="1" si="5"/>
        <v>8400</v>
      </c>
      <c r="Q79">
        <f t="shared" si="6"/>
        <v>8400</v>
      </c>
      <c r="R79" t="str">
        <f t="shared" si="7"/>
        <v>0</v>
      </c>
    </row>
    <row r="80" spans="1:18">
      <c r="A80">
        <v>3112</v>
      </c>
      <c r="B80">
        <v>84000200</v>
      </c>
      <c r="C80" t="s">
        <v>18057</v>
      </c>
      <c r="D80" t="s">
        <v>18115</v>
      </c>
      <c r="E80">
        <v>2022</v>
      </c>
      <c r="F80">
        <v>3341504</v>
      </c>
      <c r="G80">
        <v>0.01</v>
      </c>
      <c r="H80">
        <v>55.97</v>
      </c>
      <c r="I80">
        <v>55.96</v>
      </c>
      <c r="J80" s="225">
        <v>44673</v>
      </c>
      <c r="K80" s="225">
        <v>44685</v>
      </c>
      <c r="L80">
        <v>540</v>
      </c>
      <c r="M80" t="s">
        <v>18080</v>
      </c>
      <c r="N80" t="s">
        <v>18081</v>
      </c>
      <c r="O80" s="236">
        <f t="shared" ca="1" si="4"/>
        <v>-196</v>
      </c>
      <c r="P80">
        <f t="shared" ca="1" si="5"/>
        <v>8400</v>
      </c>
      <c r="Q80">
        <f t="shared" si="6"/>
        <v>8400</v>
      </c>
      <c r="R80" t="str">
        <f t="shared" si="7"/>
        <v>0</v>
      </c>
    </row>
    <row r="81" spans="1:18">
      <c r="A81">
        <v>3112</v>
      </c>
      <c r="B81">
        <v>84000200</v>
      </c>
      <c r="C81" t="s">
        <v>18057</v>
      </c>
      <c r="D81" t="s">
        <v>18116</v>
      </c>
      <c r="E81">
        <v>2022</v>
      </c>
      <c r="F81">
        <v>3345013</v>
      </c>
      <c r="G81">
        <v>0.03</v>
      </c>
      <c r="H81">
        <v>148.68</v>
      </c>
      <c r="I81">
        <v>148.65</v>
      </c>
      <c r="J81" s="225">
        <v>44677</v>
      </c>
      <c r="K81" s="225">
        <v>44685</v>
      </c>
      <c r="L81">
        <v>540</v>
      </c>
      <c r="M81" t="s">
        <v>18117</v>
      </c>
      <c r="N81" t="s">
        <v>18118</v>
      </c>
      <c r="O81" s="236">
        <f t="shared" ca="1" si="4"/>
        <v>-192</v>
      </c>
      <c r="P81">
        <f t="shared" ca="1" si="5"/>
        <v>8400</v>
      </c>
      <c r="Q81">
        <f t="shared" si="6"/>
        <v>8400</v>
      </c>
      <c r="R81" t="str">
        <f t="shared" si="7"/>
        <v>0</v>
      </c>
    </row>
    <row r="82" spans="1:18">
      <c r="A82">
        <v>3112</v>
      </c>
      <c r="B82">
        <v>84000200</v>
      </c>
      <c r="C82" t="s">
        <v>18057</v>
      </c>
      <c r="D82" t="s">
        <v>18119</v>
      </c>
      <c r="E82">
        <v>2022</v>
      </c>
      <c r="F82">
        <v>3346367</v>
      </c>
      <c r="G82">
        <v>0.01</v>
      </c>
      <c r="H82">
        <v>63.87</v>
      </c>
      <c r="I82">
        <v>63.86</v>
      </c>
      <c r="J82" s="225">
        <v>44678</v>
      </c>
      <c r="K82" s="225">
        <v>44686</v>
      </c>
      <c r="L82">
        <v>540</v>
      </c>
      <c r="M82" t="s">
        <v>18120</v>
      </c>
      <c r="N82" t="s">
        <v>18121</v>
      </c>
      <c r="O82" s="236">
        <f t="shared" ca="1" si="4"/>
        <v>-191</v>
      </c>
      <c r="P82">
        <f t="shared" ca="1" si="5"/>
        <v>8400</v>
      </c>
      <c r="Q82">
        <f t="shared" si="6"/>
        <v>8400</v>
      </c>
      <c r="R82" t="str">
        <f t="shared" si="7"/>
        <v>0</v>
      </c>
    </row>
    <row r="83" spans="1:18">
      <c r="A83">
        <v>3112</v>
      </c>
      <c r="B83">
        <v>84000200</v>
      </c>
      <c r="C83" t="s">
        <v>18057</v>
      </c>
      <c r="D83" t="s">
        <v>18122</v>
      </c>
      <c r="E83">
        <v>2022</v>
      </c>
      <c r="F83">
        <v>3347852</v>
      </c>
      <c r="G83">
        <v>0.03</v>
      </c>
      <c r="H83">
        <v>76.459999999999994</v>
      </c>
      <c r="I83">
        <v>76.430000000000007</v>
      </c>
      <c r="J83" s="225">
        <v>44679</v>
      </c>
      <c r="K83" s="225">
        <v>44686</v>
      </c>
      <c r="L83">
        <v>540</v>
      </c>
      <c r="M83" t="s">
        <v>18123</v>
      </c>
      <c r="N83" t="s">
        <v>18124</v>
      </c>
      <c r="O83" s="236">
        <f t="shared" ca="1" si="4"/>
        <v>-190</v>
      </c>
      <c r="P83">
        <f t="shared" ca="1" si="5"/>
        <v>8400</v>
      </c>
      <c r="Q83">
        <f t="shared" si="6"/>
        <v>8400</v>
      </c>
      <c r="R83" t="str">
        <f t="shared" si="7"/>
        <v>0</v>
      </c>
    </row>
    <row r="84" spans="1:18">
      <c r="A84">
        <v>3112</v>
      </c>
      <c r="B84">
        <v>84000200</v>
      </c>
      <c r="C84" t="s">
        <v>18057</v>
      </c>
      <c r="D84" t="s">
        <v>18125</v>
      </c>
      <c r="E84">
        <v>2022</v>
      </c>
      <c r="F84">
        <v>3349262</v>
      </c>
      <c r="G84">
        <v>0.01</v>
      </c>
      <c r="H84">
        <v>70.91</v>
      </c>
      <c r="I84">
        <v>70.900000000000006</v>
      </c>
      <c r="J84" s="225">
        <v>44680</v>
      </c>
      <c r="K84" s="225">
        <v>44686</v>
      </c>
      <c r="L84">
        <v>540</v>
      </c>
      <c r="M84" t="s">
        <v>18126</v>
      </c>
      <c r="N84" t="s">
        <v>18127</v>
      </c>
      <c r="O84" s="236">
        <f t="shared" ca="1" si="4"/>
        <v>-189</v>
      </c>
      <c r="P84">
        <f t="shared" ca="1" si="5"/>
        <v>8400</v>
      </c>
      <c r="Q84">
        <f t="shared" si="6"/>
        <v>8400</v>
      </c>
      <c r="R84" t="str">
        <f t="shared" si="7"/>
        <v>0</v>
      </c>
    </row>
    <row r="85" spans="1:18">
      <c r="A85">
        <v>3112</v>
      </c>
      <c r="B85">
        <v>84000200</v>
      </c>
      <c r="C85" t="s">
        <v>18057</v>
      </c>
      <c r="D85" t="s">
        <v>18128</v>
      </c>
      <c r="E85">
        <v>2022</v>
      </c>
      <c r="F85">
        <v>3353934</v>
      </c>
      <c r="G85">
        <v>0.02</v>
      </c>
      <c r="H85">
        <v>75.84</v>
      </c>
      <c r="I85">
        <v>75.819999999999993</v>
      </c>
      <c r="J85" s="225">
        <v>44686</v>
      </c>
      <c r="K85" s="225">
        <v>44688</v>
      </c>
      <c r="L85">
        <v>540</v>
      </c>
      <c r="M85" t="s">
        <v>18129</v>
      </c>
      <c r="N85" t="s">
        <v>18130</v>
      </c>
      <c r="O85" s="236">
        <f t="shared" ca="1" si="4"/>
        <v>-183</v>
      </c>
      <c r="P85">
        <f t="shared" ca="1" si="5"/>
        <v>8400</v>
      </c>
      <c r="Q85">
        <f t="shared" si="6"/>
        <v>8400</v>
      </c>
      <c r="R85" t="str">
        <f t="shared" si="7"/>
        <v>0</v>
      </c>
    </row>
    <row r="86" spans="1:18">
      <c r="A86">
        <v>3112</v>
      </c>
      <c r="B86">
        <v>84000200</v>
      </c>
      <c r="C86" t="s">
        <v>18057</v>
      </c>
      <c r="D86" t="s">
        <v>18131</v>
      </c>
      <c r="E86">
        <v>2022</v>
      </c>
      <c r="F86">
        <v>3381858</v>
      </c>
      <c r="G86">
        <v>0.01</v>
      </c>
      <c r="H86">
        <v>115.09</v>
      </c>
      <c r="I86">
        <v>115.08</v>
      </c>
      <c r="J86" s="225">
        <v>44712</v>
      </c>
      <c r="K86" s="225">
        <v>44722</v>
      </c>
      <c r="L86">
        <v>540</v>
      </c>
      <c r="M86" t="s">
        <v>18089</v>
      </c>
      <c r="N86" t="s">
        <v>18090</v>
      </c>
      <c r="O86" s="236">
        <f t="shared" ca="1" si="4"/>
        <v>-157</v>
      </c>
      <c r="P86">
        <f t="shared" ca="1" si="5"/>
        <v>8400</v>
      </c>
      <c r="Q86">
        <f t="shared" si="6"/>
        <v>8400</v>
      </c>
      <c r="R86" t="str">
        <f t="shared" si="7"/>
        <v>0</v>
      </c>
    </row>
    <row r="87" spans="1:18">
      <c r="A87">
        <v>3112</v>
      </c>
      <c r="B87">
        <v>84000200</v>
      </c>
      <c r="C87" t="s">
        <v>18057</v>
      </c>
      <c r="D87" t="s">
        <v>18132</v>
      </c>
      <c r="E87">
        <v>2022</v>
      </c>
      <c r="F87">
        <v>3389495</v>
      </c>
      <c r="G87">
        <v>-0.01</v>
      </c>
      <c r="H87">
        <v>103.1</v>
      </c>
      <c r="I87">
        <v>103.11</v>
      </c>
      <c r="J87" s="225">
        <v>44719</v>
      </c>
      <c r="K87" s="225">
        <v>44730</v>
      </c>
      <c r="L87">
        <v>540</v>
      </c>
      <c r="M87" t="s">
        <v>18092</v>
      </c>
      <c r="N87" t="s">
        <v>18093</v>
      </c>
      <c r="O87" s="236">
        <f t="shared" ca="1" si="4"/>
        <v>-150</v>
      </c>
      <c r="P87">
        <f t="shared" ca="1" si="5"/>
        <v>8400</v>
      </c>
      <c r="Q87">
        <f t="shared" si="6"/>
        <v>8400</v>
      </c>
      <c r="R87" t="str">
        <f t="shared" si="7"/>
        <v>0</v>
      </c>
    </row>
    <row r="88" spans="1:18">
      <c r="A88">
        <v>3112</v>
      </c>
      <c r="B88">
        <v>84000200</v>
      </c>
      <c r="C88" t="s">
        <v>18057</v>
      </c>
      <c r="D88" t="s">
        <v>18133</v>
      </c>
      <c r="E88">
        <v>2022</v>
      </c>
      <c r="F88">
        <v>3403743</v>
      </c>
      <c r="G88">
        <v>0.01</v>
      </c>
      <c r="H88">
        <v>76.58</v>
      </c>
      <c r="I88">
        <v>76.569999999999993</v>
      </c>
      <c r="J88" s="225">
        <v>44733</v>
      </c>
      <c r="K88" s="225">
        <v>44753</v>
      </c>
      <c r="L88">
        <v>540</v>
      </c>
      <c r="M88" t="s">
        <v>18134</v>
      </c>
      <c r="N88" t="s">
        <v>18135</v>
      </c>
      <c r="O88" s="236">
        <f t="shared" ca="1" si="4"/>
        <v>-136</v>
      </c>
      <c r="P88">
        <f t="shared" ca="1" si="5"/>
        <v>8400</v>
      </c>
      <c r="Q88">
        <f t="shared" si="6"/>
        <v>8400</v>
      </c>
      <c r="R88" t="str">
        <f t="shared" si="7"/>
        <v>0</v>
      </c>
    </row>
    <row r="89" spans="1:18">
      <c r="A89">
        <v>3112</v>
      </c>
      <c r="B89">
        <v>84000200</v>
      </c>
      <c r="C89" t="s">
        <v>18057</v>
      </c>
      <c r="D89" t="s">
        <v>18136</v>
      </c>
      <c r="E89">
        <v>2022</v>
      </c>
      <c r="F89">
        <v>3410375</v>
      </c>
      <c r="G89">
        <v>-0.02</v>
      </c>
      <c r="H89">
        <v>59.66</v>
      </c>
      <c r="I89">
        <v>59.68</v>
      </c>
      <c r="J89" s="225">
        <v>44740</v>
      </c>
      <c r="K89" s="225">
        <v>44756</v>
      </c>
      <c r="L89">
        <v>540</v>
      </c>
      <c r="M89" t="s">
        <v>18095</v>
      </c>
      <c r="N89" t="s">
        <v>18096</v>
      </c>
      <c r="O89" s="236">
        <f t="shared" ca="1" si="4"/>
        <v>-129</v>
      </c>
      <c r="P89">
        <f t="shared" ca="1" si="5"/>
        <v>8400</v>
      </c>
      <c r="Q89">
        <f t="shared" si="6"/>
        <v>8400</v>
      </c>
      <c r="R89" t="str">
        <f t="shared" si="7"/>
        <v>0</v>
      </c>
    </row>
    <row r="90" spans="1:18">
      <c r="A90">
        <v>3112</v>
      </c>
      <c r="B90">
        <v>84000200</v>
      </c>
      <c r="C90" t="s">
        <v>18057</v>
      </c>
      <c r="D90" t="s">
        <v>18137</v>
      </c>
      <c r="E90">
        <v>2022</v>
      </c>
      <c r="F90">
        <v>3418745</v>
      </c>
      <c r="G90">
        <v>-0.02</v>
      </c>
      <c r="H90">
        <v>77.209999999999994</v>
      </c>
      <c r="I90">
        <v>77.23</v>
      </c>
      <c r="J90" s="225">
        <v>44747</v>
      </c>
      <c r="K90" s="225">
        <v>44767</v>
      </c>
      <c r="L90">
        <v>540</v>
      </c>
      <c r="M90" t="s">
        <v>18098</v>
      </c>
      <c r="N90" t="s">
        <v>18099</v>
      </c>
      <c r="O90" s="236">
        <f t="shared" ca="1" si="4"/>
        <v>-122</v>
      </c>
      <c r="P90">
        <f t="shared" ca="1" si="5"/>
        <v>8400</v>
      </c>
      <c r="Q90">
        <f t="shared" si="6"/>
        <v>8400</v>
      </c>
      <c r="R90" t="str">
        <f t="shared" si="7"/>
        <v>0</v>
      </c>
    </row>
    <row r="91" spans="1:18">
      <c r="A91">
        <v>3112</v>
      </c>
      <c r="B91">
        <v>84000200</v>
      </c>
      <c r="C91" t="s">
        <v>18057</v>
      </c>
      <c r="D91" t="s">
        <v>18138</v>
      </c>
      <c r="E91">
        <v>2022</v>
      </c>
      <c r="F91">
        <v>3426773</v>
      </c>
      <c r="G91">
        <v>-0.01</v>
      </c>
      <c r="H91">
        <v>72.739999999999995</v>
      </c>
      <c r="I91">
        <v>72.75</v>
      </c>
      <c r="J91" s="225">
        <v>44754</v>
      </c>
      <c r="K91" s="225">
        <v>44770</v>
      </c>
      <c r="L91">
        <v>540</v>
      </c>
      <c r="M91" t="s">
        <v>18101</v>
      </c>
      <c r="N91" t="s">
        <v>18102</v>
      </c>
      <c r="O91" s="236">
        <f t="shared" ca="1" si="4"/>
        <v>-115</v>
      </c>
      <c r="P91">
        <f t="shared" ca="1" si="5"/>
        <v>8400</v>
      </c>
      <c r="Q91">
        <f t="shared" si="6"/>
        <v>8400</v>
      </c>
      <c r="R91" t="str">
        <f t="shared" si="7"/>
        <v>0</v>
      </c>
    </row>
    <row r="92" spans="1:18">
      <c r="A92">
        <v>3112</v>
      </c>
      <c r="B92">
        <v>84000200</v>
      </c>
      <c r="C92" t="s">
        <v>18057</v>
      </c>
      <c r="D92" t="s">
        <v>18139</v>
      </c>
      <c r="E92">
        <v>2022</v>
      </c>
      <c r="F92">
        <v>3434497</v>
      </c>
      <c r="G92">
        <v>-0.02</v>
      </c>
      <c r="H92">
        <v>447.15</v>
      </c>
      <c r="I92">
        <v>447.17</v>
      </c>
      <c r="J92" s="225">
        <v>44761</v>
      </c>
      <c r="K92" s="225">
        <v>44776</v>
      </c>
      <c r="L92">
        <v>540</v>
      </c>
      <c r="M92" t="s">
        <v>18140</v>
      </c>
      <c r="N92" t="s">
        <v>18141</v>
      </c>
      <c r="O92" s="236">
        <f t="shared" ca="1" si="4"/>
        <v>-108</v>
      </c>
      <c r="P92">
        <f t="shared" ca="1" si="5"/>
        <v>8400</v>
      </c>
      <c r="Q92">
        <f t="shared" si="6"/>
        <v>8400</v>
      </c>
      <c r="R92" t="str">
        <f t="shared" si="7"/>
        <v>0</v>
      </c>
    </row>
    <row r="93" spans="1:18">
      <c r="A93">
        <v>3112</v>
      </c>
      <c r="B93">
        <v>84000200</v>
      </c>
      <c r="C93" t="s">
        <v>18057</v>
      </c>
      <c r="D93" t="s">
        <v>18142</v>
      </c>
      <c r="E93">
        <v>2022</v>
      </c>
      <c r="F93">
        <v>3445489</v>
      </c>
      <c r="G93">
        <v>-0.02</v>
      </c>
      <c r="H93">
        <v>400.43</v>
      </c>
      <c r="I93">
        <v>400.45</v>
      </c>
      <c r="J93" s="225">
        <v>44770</v>
      </c>
      <c r="K93" s="225">
        <v>44792</v>
      </c>
      <c r="L93">
        <v>540</v>
      </c>
      <c r="M93" t="s">
        <v>18143</v>
      </c>
      <c r="N93" t="s">
        <v>18144</v>
      </c>
      <c r="O93" s="236">
        <f t="shared" ca="1" si="4"/>
        <v>-101</v>
      </c>
      <c r="P93">
        <f t="shared" ca="1" si="5"/>
        <v>8400</v>
      </c>
      <c r="Q93">
        <f t="shared" si="6"/>
        <v>8400</v>
      </c>
      <c r="R93" t="str">
        <f t="shared" si="7"/>
        <v>0</v>
      </c>
    </row>
    <row r="94" spans="1:18">
      <c r="A94">
        <v>3112</v>
      </c>
      <c r="B94">
        <v>84000200</v>
      </c>
      <c r="C94" t="s">
        <v>18057</v>
      </c>
      <c r="D94" t="s">
        <v>18145</v>
      </c>
      <c r="E94">
        <v>2022</v>
      </c>
      <c r="F94">
        <v>3459061</v>
      </c>
      <c r="G94">
        <v>-0.01</v>
      </c>
      <c r="H94">
        <v>295.70999999999998</v>
      </c>
      <c r="I94">
        <v>295.72000000000003</v>
      </c>
      <c r="J94" s="225">
        <v>44782</v>
      </c>
      <c r="K94" s="225">
        <v>44793</v>
      </c>
      <c r="L94">
        <v>540</v>
      </c>
      <c r="M94" t="s">
        <v>18104</v>
      </c>
      <c r="N94" t="s">
        <v>18105</v>
      </c>
      <c r="O94" s="236">
        <f t="shared" ca="1" si="4"/>
        <v>-87</v>
      </c>
      <c r="P94">
        <f t="shared" ca="1" si="5"/>
        <v>8400</v>
      </c>
      <c r="Q94">
        <f t="shared" si="6"/>
        <v>8400</v>
      </c>
      <c r="R94" t="str">
        <f t="shared" si="7"/>
        <v>0</v>
      </c>
    </row>
    <row r="95" spans="1:18">
      <c r="A95">
        <v>3112</v>
      </c>
      <c r="B95">
        <v>84000200</v>
      </c>
      <c r="C95" t="s">
        <v>18057</v>
      </c>
      <c r="D95" t="s">
        <v>18146</v>
      </c>
      <c r="E95">
        <v>2022</v>
      </c>
      <c r="F95">
        <v>3466956</v>
      </c>
      <c r="G95">
        <v>-0.01</v>
      </c>
      <c r="H95">
        <v>287.62</v>
      </c>
      <c r="I95">
        <v>287.63</v>
      </c>
      <c r="J95" s="225">
        <v>44790</v>
      </c>
      <c r="K95" s="225">
        <v>44799</v>
      </c>
      <c r="L95">
        <v>540</v>
      </c>
      <c r="M95" t="s">
        <v>18107</v>
      </c>
      <c r="N95" t="s">
        <v>18108</v>
      </c>
      <c r="O95" s="236">
        <f t="shared" ca="1" si="4"/>
        <v>-79</v>
      </c>
      <c r="P95">
        <f t="shared" ca="1" si="5"/>
        <v>8400</v>
      </c>
      <c r="Q95">
        <f t="shared" si="6"/>
        <v>8400</v>
      </c>
      <c r="R95" t="str">
        <f t="shared" si="7"/>
        <v>0</v>
      </c>
    </row>
    <row r="96" spans="1:18">
      <c r="A96">
        <v>3112</v>
      </c>
      <c r="B96">
        <v>84000200</v>
      </c>
      <c r="C96" t="s">
        <v>18057</v>
      </c>
      <c r="D96" t="s">
        <v>18147</v>
      </c>
      <c r="E96">
        <v>2022</v>
      </c>
      <c r="F96">
        <v>3492572</v>
      </c>
      <c r="G96">
        <v>0.01</v>
      </c>
      <c r="H96">
        <v>161.53</v>
      </c>
      <c r="I96">
        <v>161.52000000000001</v>
      </c>
      <c r="J96" s="225">
        <v>44837</v>
      </c>
      <c r="K96" s="225">
        <v>44841</v>
      </c>
      <c r="L96">
        <v>540</v>
      </c>
      <c r="M96" t="s">
        <v>18148</v>
      </c>
      <c r="N96" t="s">
        <v>18149</v>
      </c>
      <c r="O96" s="236">
        <f t="shared" ca="1" si="4"/>
        <v>-59</v>
      </c>
      <c r="P96">
        <f t="shared" ca="1" si="5"/>
        <v>8400</v>
      </c>
      <c r="Q96">
        <f t="shared" si="6"/>
        <v>8400</v>
      </c>
      <c r="R96" t="str">
        <f t="shared" si="7"/>
        <v>0</v>
      </c>
    </row>
    <row r="97" spans="1:18">
      <c r="A97">
        <v>3112</v>
      </c>
      <c r="B97">
        <v>84000200</v>
      </c>
      <c r="C97" t="s">
        <v>18057</v>
      </c>
      <c r="D97" t="s">
        <v>18150</v>
      </c>
      <c r="E97">
        <v>2022</v>
      </c>
      <c r="F97">
        <v>3518346</v>
      </c>
      <c r="G97">
        <v>0.02</v>
      </c>
      <c r="H97">
        <v>252.17</v>
      </c>
      <c r="I97">
        <v>252.15</v>
      </c>
      <c r="J97" s="225">
        <v>44839</v>
      </c>
      <c r="K97" s="225">
        <v>44862</v>
      </c>
      <c r="L97">
        <v>540</v>
      </c>
      <c r="M97" t="s">
        <v>18151</v>
      </c>
      <c r="N97" t="s">
        <v>18152</v>
      </c>
      <c r="O97" s="236">
        <f t="shared" ca="1" si="4"/>
        <v>-31</v>
      </c>
      <c r="P97">
        <f t="shared" ca="1" si="5"/>
        <v>8400</v>
      </c>
      <c r="Q97">
        <f t="shared" si="6"/>
        <v>8400</v>
      </c>
      <c r="R97" t="str">
        <f t="shared" si="7"/>
        <v>0</v>
      </c>
    </row>
    <row r="98" spans="1:18">
      <c r="A98">
        <v>3112</v>
      </c>
      <c r="B98">
        <v>84000200</v>
      </c>
      <c r="C98" t="s">
        <v>18057</v>
      </c>
      <c r="D98" t="s">
        <v>18153</v>
      </c>
      <c r="E98">
        <v>2022</v>
      </c>
      <c r="F98">
        <v>3551690</v>
      </c>
      <c r="G98">
        <v>0.02</v>
      </c>
      <c r="H98">
        <v>60.39</v>
      </c>
      <c r="I98">
        <v>60.37</v>
      </c>
      <c r="J98" s="225">
        <v>44887</v>
      </c>
      <c r="K98" s="225">
        <v>44896</v>
      </c>
      <c r="L98">
        <v>540</v>
      </c>
      <c r="M98" t="s">
        <v>18154</v>
      </c>
      <c r="N98" t="s">
        <v>18155</v>
      </c>
      <c r="O98" s="236">
        <f t="shared" ca="1" si="4"/>
        <v>-9</v>
      </c>
      <c r="P98">
        <f t="shared" ca="1" si="5"/>
        <v>8400</v>
      </c>
      <c r="Q98">
        <f t="shared" si="6"/>
        <v>8400</v>
      </c>
      <c r="R98" t="str">
        <f t="shared" si="7"/>
        <v>0</v>
      </c>
    </row>
    <row r="99" spans="1:18">
      <c r="A99">
        <v>3112</v>
      </c>
      <c r="B99">
        <v>84000300</v>
      </c>
      <c r="C99" t="s">
        <v>18058</v>
      </c>
      <c r="D99" t="s">
        <v>18156</v>
      </c>
      <c r="E99">
        <v>2022</v>
      </c>
      <c r="F99">
        <v>3334414</v>
      </c>
      <c r="G99">
        <v>0.01</v>
      </c>
      <c r="H99">
        <v>86.39</v>
      </c>
      <c r="I99">
        <v>86.38</v>
      </c>
      <c r="J99" s="225">
        <v>44664</v>
      </c>
      <c r="K99" s="225">
        <v>44671</v>
      </c>
      <c r="L99">
        <v>540</v>
      </c>
      <c r="M99" t="s">
        <v>18113</v>
      </c>
      <c r="N99" t="s">
        <v>18114</v>
      </c>
      <c r="O99" s="236">
        <f t="shared" ca="1" si="4"/>
        <v>-205</v>
      </c>
      <c r="P99">
        <f t="shared" ca="1" si="5"/>
        <v>8400</v>
      </c>
      <c r="Q99">
        <f t="shared" si="6"/>
        <v>8400</v>
      </c>
      <c r="R99" t="str">
        <f t="shared" si="7"/>
        <v>0</v>
      </c>
    </row>
    <row r="100" spans="1:18">
      <c r="A100">
        <v>3112</v>
      </c>
      <c r="B100">
        <v>84000300</v>
      </c>
      <c r="C100" t="s">
        <v>18058</v>
      </c>
      <c r="D100" t="s">
        <v>18157</v>
      </c>
      <c r="E100">
        <v>2022</v>
      </c>
      <c r="F100">
        <v>3340335</v>
      </c>
      <c r="G100">
        <v>0.01</v>
      </c>
      <c r="H100">
        <v>11.16</v>
      </c>
      <c r="I100">
        <v>11.15</v>
      </c>
      <c r="J100" s="225">
        <v>44672</v>
      </c>
      <c r="K100" s="225">
        <v>44678</v>
      </c>
      <c r="L100">
        <v>540</v>
      </c>
      <c r="M100" t="s">
        <v>18158</v>
      </c>
      <c r="N100" t="s">
        <v>18159</v>
      </c>
      <c r="O100" s="236">
        <f t="shared" ca="1" si="4"/>
        <v>-197</v>
      </c>
      <c r="P100">
        <f t="shared" ca="1" si="5"/>
        <v>8400</v>
      </c>
      <c r="Q100">
        <f t="shared" si="6"/>
        <v>8400</v>
      </c>
      <c r="R100" t="str">
        <f t="shared" si="7"/>
        <v>0</v>
      </c>
    </row>
    <row r="101" spans="1:18">
      <c r="A101">
        <v>3112</v>
      </c>
      <c r="B101">
        <v>84000300</v>
      </c>
      <c r="C101" t="s">
        <v>18058</v>
      </c>
      <c r="D101" t="s">
        <v>18160</v>
      </c>
      <c r="E101">
        <v>2022</v>
      </c>
      <c r="F101">
        <v>3347854</v>
      </c>
      <c r="G101">
        <v>0.01</v>
      </c>
      <c r="H101">
        <v>17.84</v>
      </c>
      <c r="I101">
        <v>17.829999999999998</v>
      </c>
      <c r="J101" s="225">
        <v>44679</v>
      </c>
      <c r="K101" s="225">
        <v>44688</v>
      </c>
      <c r="L101">
        <v>540</v>
      </c>
      <c r="M101" t="s">
        <v>18123</v>
      </c>
      <c r="N101" t="s">
        <v>18124</v>
      </c>
      <c r="O101" s="236">
        <f t="shared" ca="1" si="4"/>
        <v>-190</v>
      </c>
      <c r="P101">
        <f t="shared" ca="1" si="5"/>
        <v>8400</v>
      </c>
      <c r="Q101">
        <f t="shared" si="6"/>
        <v>8400</v>
      </c>
      <c r="R101" t="str">
        <f t="shared" si="7"/>
        <v>0</v>
      </c>
    </row>
    <row r="102" spans="1:18">
      <c r="A102">
        <v>3112</v>
      </c>
      <c r="B102">
        <v>84000300</v>
      </c>
      <c r="C102" t="s">
        <v>18058</v>
      </c>
      <c r="D102" t="s">
        <v>18161</v>
      </c>
      <c r="E102">
        <v>2022</v>
      </c>
      <c r="F102">
        <v>3353936</v>
      </c>
      <c r="G102">
        <v>0.01</v>
      </c>
      <c r="H102">
        <v>10.9</v>
      </c>
      <c r="I102">
        <v>10.89</v>
      </c>
      <c r="J102" s="225">
        <v>44686</v>
      </c>
      <c r="K102" s="225">
        <v>44694</v>
      </c>
      <c r="L102">
        <v>540</v>
      </c>
      <c r="M102" t="s">
        <v>18129</v>
      </c>
      <c r="N102" t="s">
        <v>18130</v>
      </c>
      <c r="O102" s="236">
        <f t="shared" ca="1" si="4"/>
        <v>-183</v>
      </c>
      <c r="P102">
        <f t="shared" ca="1" si="5"/>
        <v>8400</v>
      </c>
      <c r="Q102">
        <f t="shared" si="6"/>
        <v>8400</v>
      </c>
      <c r="R102" t="str">
        <f t="shared" si="7"/>
        <v>0</v>
      </c>
    </row>
    <row r="103" spans="1:18">
      <c r="A103">
        <v>3112</v>
      </c>
      <c r="B103">
        <v>84000300</v>
      </c>
      <c r="C103" t="s">
        <v>18058</v>
      </c>
      <c r="D103" t="s">
        <v>18162</v>
      </c>
      <c r="E103">
        <v>2022</v>
      </c>
      <c r="F103">
        <v>3374671</v>
      </c>
      <c r="G103">
        <v>-0.01</v>
      </c>
      <c r="H103">
        <v>15.45</v>
      </c>
      <c r="I103">
        <v>15.46</v>
      </c>
      <c r="J103" s="225">
        <v>44705</v>
      </c>
      <c r="K103" s="225">
        <v>44713</v>
      </c>
      <c r="L103">
        <v>540</v>
      </c>
      <c r="M103" t="s">
        <v>18163</v>
      </c>
      <c r="N103" t="s">
        <v>18164</v>
      </c>
      <c r="O103" s="236">
        <f t="shared" ca="1" si="4"/>
        <v>-164</v>
      </c>
      <c r="P103">
        <f t="shared" ca="1" si="5"/>
        <v>8400</v>
      </c>
      <c r="Q103">
        <f t="shared" si="6"/>
        <v>8400</v>
      </c>
      <c r="R103" t="str">
        <f t="shared" si="7"/>
        <v>0</v>
      </c>
    </row>
    <row r="104" spans="1:18">
      <c r="A104">
        <v>3112</v>
      </c>
      <c r="B104">
        <v>84000300</v>
      </c>
      <c r="C104" t="s">
        <v>18058</v>
      </c>
      <c r="D104" t="s">
        <v>18165</v>
      </c>
      <c r="E104">
        <v>2022</v>
      </c>
      <c r="F104">
        <v>3389497</v>
      </c>
      <c r="G104">
        <v>-0.01</v>
      </c>
      <c r="H104">
        <v>43.89</v>
      </c>
      <c r="I104">
        <v>43.9</v>
      </c>
      <c r="J104" s="225">
        <v>44719</v>
      </c>
      <c r="K104" s="225">
        <v>44727</v>
      </c>
      <c r="L104">
        <v>540</v>
      </c>
      <c r="M104" t="s">
        <v>18092</v>
      </c>
      <c r="N104" t="s">
        <v>18093</v>
      </c>
      <c r="O104" s="236">
        <f t="shared" ca="1" si="4"/>
        <v>-150</v>
      </c>
      <c r="P104">
        <f t="shared" ca="1" si="5"/>
        <v>8400</v>
      </c>
      <c r="Q104">
        <f t="shared" si="6"/>
        <v>8400</v>
      </c>
      <c r="R104" t="str">
        <f t="shared" si="7"/>
        <v>0</v>
      </c>
    </row>
    <row r="105" spans="1:18">
      <c r="A105">
        <v>3112</v>
      </c>
      <c r="B105">
        <v>84000300</v>
      </c>
      <c r="C105" t="s">
        <v>18058</v>
      </c>
      <c r="D105" t="s">
        <v>18166</v>
      </c>
      <c r="E105">
        <v>2022</v>
      </c>
      <c r="F105">
        <v>3403745</v>
      </c>
      <c r="G105">
        <v>-0.02</v>
      </c>
      <c r="H105">
        <v>33.9</v>
      </c>
      <c r="I105">
        <v>33.92</v>
      </c>
      <c r="J105" s="225">
        <v>44733</v>
      </c>
      <c r="K105" s="225">
        <v>44749</v>
      </c>
      <c r="L105">
        <v>540</v>
      </c>
      <c r="M105" t="s">
        <v>18134</v>
      </c>
      <c r="N105" t="s">
        <v>18135</v>
      </c>
      <c r="O105" s="236">
        <f t="shared" ca="1" si="4"/>
        <v>-136</v>
      </c>
      <c r="P105">
        <f t="shared" ca="1" si="5"/>
        <v>8400</v>
      </c>
      <c r="Q105">
        <f t="shared" si="6"/>
        <v>8400</v>
      </c>
      <c r="R105" t="str">
        <f t="shared" si="7"/>
        <v>0</v>
      </c>
    </row>
    <row r="106" spans="1:18">
      <c r="A106">
        <v>3112</v>
      </c>
      <c r="B106">
        <v>84000300</v>
      </c>
      <c r="C106" t="s">
        <v>18058</v>
      </c>
      <c r="D106" t="s">
        <v>18167</v>
      </c>
      <c r="E106">
        <v>2022</v>
      </c>
      <c r="F106">
        <v>3410379</v>
      </c>
      <c r="G106">
        <v>-0.01</v>
      </c>
      <c r="H106">
        <v>30.2</v>
      </c>
      <c r="I106">
        <v>30.21</v>
      </c>
      <c r="J106" s="225">
        <v>44740</v>
      </c>
      <c r="K106" s="225">
        <v>44753</v>
      </c>
      <c r="L106">
        <v>540</v>
      </c>
      <c r="M106" t="s">
        <v>18095</v>
      </c>
      <c r="N106" t="s">
        <v>18096</v>
      </c>
      <c r="O106" s="236">
        <f t="shared" ca="1" si="4"/>
        <v>-129</v>
      </c>
      <c r="P106">
        <f t="shared" ca="1" si="5"/>
        <v>8400</v>
      </c>
      <c r="Q106">
        <f t="shared" si="6"/>
        <v>8400</v>
      </c>
      <c r="R106" t="str">
        <f t="shared" si="7"/>
        <v>0</v>
      </c>
    </row>
    <row r="107" spans="1:18">
      <c r="A107">
        <v>3112</v>
      </c>
      <c r="B107">
        <v>84000300</v>
      </c>
      <c r="C107" t="s">
        <v>18058</v>
      </c>
      <c r="D107" t="s">
        <v>18168</v>
      </c>
      <c r="E107">
        <v>2022</v>
      </c>
      <c r="F107">
        <v>3418747</v>
      </c>
      <c r="G107">
        <v>-0.01</v>
      </c>
      <c r="H107">
        <v>20.190000000000001</v>
      </c>
      <c r="I107">
        <v>20.2</v>
      </c>
      <c r="J107" s="225">
        <v>44747</v>
      </c>
      <c r="K107" s="225">
        <v>44756</v>
      </c>
      <c r="L107">
        <v>540</v>
      </c>
      <c r="M107" t="s">
        <v>18098</v>
      </c>
      <c r="N107" t="s">
        <v>18099</v>
      </c>
      <c r="O107" s="236">
        <f t="shared" ca="1" si="4"/>
        <v>-122</v>
      </c>
      <c r="P107">
        <f t="shared" ca="1" si="5"/>
        <v>8400</v>
      </c>
      <c r="Q107">
        <f t="shared" si="6"/>
        <v>8400</v>
      </c>
      <c r="R107" t="str">
        <f t="shared" si="7"/>
        <v>0</v>
      </c>
    </row>
    <row r="108" spans="1:18">
      <c r="A108">
        <v>3112</v>
      </c>
      <c r="B108">
        <v>84000300</v>
      </c>
      <c r="C108" t="s">
        <v>18058</v>
      </c>
      <c r="D108" t="s">
        <v>18169</v>
      </c>
      <c r="E108">
        <v>2022</v>
      </c>
      <c r="F108">
        <v>3434499</v>
      </c>
      <c r="G108">
        <v>-0.02</v>
      </c>
      <c r="H108">
        <v>89.65</v>
      </c>
      <c r="I108">
        <v>89.67</v>
      </c>
      <c r="J108" s="225">
        <v>44761</v>
      </c>
      <c r="K108" s="225">
        <v>44776</v>
      </c>
      <c r="L108">
        <v>540</v>
      </c>
      <c r="M108" t="s">
        <v>18140</v>
      </c>
      <c r="N108" t="s">
        <v>18141</v>
      </c>
      <c r="O108" s="236">
        <f t="shared" ca="1" si="4"/>
        <v>-108</v>
      </c>
      <c r="P108">
        <f t="shared" ca="1" si="5"/>
        <v>8400</v>
      </c>
      <c r="Q108">
        <f t="shared" si="6"/>
        <v>8400</v>
      </c>
      <c r="R108" t="str">
        <f t="shared" si="7"/>
        <v>0</v>
      </c>
    </row>
    <row r="109" spans="1:18">
      <c r="A109">
        <v>3112</v>
      </c>
      <c r="B109">
        <v>84000300</v>
      </c>
      <c r="C109" t="s">
        <v>18058</v>
      </c>
      <c r="D109" t="s">
        <v>18170</v>
      </c>
      <c r="E109">
        <v>2022</v>
      </c>
      <c r="F109">
        <v>3459063</v>
      </c>
      <c r="G109">
        <v>-0.01</v>
      </c>
      <c r="H109">
        <v>118.77</v>
      </c>
      <c r="I109">
        <v>118.78</v>
      </c>
      <c r="J109" s="225">
        <v>44782</v>
      </c>
      <c r="K109" s="225">
        <v>44792</v>
      </c>
      <c r="L109">
        <v>540</v>
      </c>
      <c r="M109" t="s">
        <v>18104</v>
      </c>
      <c r="N109" t="s">
        <v>18105</v>
      </c>
      <c r="O109" s="236">
        <f t="shared" ca="1" si="4"/>
        <v>-87</v>
      </c>
      <c r="P109">
        <f t="shared" ca="1" si="5"/>
        <v>8400</v>
      </c>
      <c r="Q109">
        <f t="shared" si="6"/>
        <v>8400</v>
      </c>
      <c r="R109" t="str">
        <f t="shared" si="7"/>
        <v>0</v>
      </c>
    </row>
    <row r="110" spans="1:18">
      <c r="A110">
        <v>3112</v>
      </c>
      <c r="B110">
        <v>84000300</v>
      </c>
      <c r="C110" t="s">
        <v>18058</v>
      </c>
      <c r="D110" t="s">
        <v>18171</v>
      </c>
      <c r="E110">
        <v>2023</v>
      </c>
      <c r="F110" t="s">
        <v>18172</v>
      </c>
      <c r="G110">
        <v>0.01</v>
      </c>
      <c r="H110">
        <v>57.42</v>
      </c>
      <c r="I110">
        <v>57.41</v>
      </c>
      <c r="J110" s="225">
        <v>45096</v>
      </c>
      <c r="K110" s="225">
        <v>45106</v>
      </c>
      <c r="L110">
        <v>540</v>
      </c>
      <c r="M110" t="s">
        <v>18173</v>
      </c>
      <c r="N110" t="s">
        <v>18174</v>
      </c>
      <c r="O110" s="236">
        <f t="shared" ca="1" si="4"/>
        <v>281</v>
      </c>
      <c r="P110">
        <f t="shared" ca="1" si="5"/>
        <v>0</v>
      </c>
      <c r="Q110">
        <f t="shared" si="6"/>
        <v>8400</v>
      </c>
      <c r="R110" t="str">
        <f t="shared" si="7"/>
        <v>0</v>
      </c>
    </row>
    <row r="111" spans="1:18">
      <c r="A111">
        <v>3112</v>
      </c>
      <c r="B111">
        <v>84000300</v>
      </c>
      <c r="C111" t="s">
        <v>18058</v>
      </c>
      <c r="D111" t="s">
        <v>18175</v>
      </c>
      <c r="E111">
        <v>2022</v>
      </c>
      <c r="F111">
        <v>3466958</v>
      </c>
      <c r="G111">
        <v>-0.01</v>
      </c>
      <c r="H111">
        <v>58.68</v>
      </c>
      <c r="I111">
        <v>58.69</v>
      </c>
      <c r="J111" s="225">
        <v>44790</v>
      </c>
      <c r="K111" s="225">
        <v>44798</v>
      </c>
      <c r="L111">
        <v>540</v>
      </c>
      <c r="M111" t="s">
        <v>18107</v>
      </c>
      <c r="N111" t="s">
        <v>18108</v>
      </c>
      <c r="O111" s="236">
        <f t="shared" ca="1" si="4"/>
        <v>-79</v>
      </c>
      <c r="P111">
        <f t="shared" ca="1" si="5"/>
        <v>8400</v>
      </c>
      <c r="Q111">
        <f t="shared" si="6"/>
        <v>8400</v>
      </c>
      <c r="R111" t="str">
        <f t="shared" si="7"/>
        <v>0</v>
      </c>
    </row>
    <row r="112" spans="1:18">
      <c r="A112">
        <v>3112</v>
      </c>
      <c r="B112">
        <v>84000300</v>
      </c>
      <c r="C112" t="s">
        <v>18058</v>
      </c>
      <c r="D112" t="s">
        <v>18176</v>
      </c>
      <c r="E112">
        <v>2022</v>
      </c>
      <c r="F112">
        <v>3508826</v>
      </c>
      <c r="G112">
        <v>0.03</v>
      </c>
      <c r="H112">
        <v>400.99</v>
      </c>
      <c r="I112">
        <v>400.96</v>
      </c>
      <c r="J112" s="225">
        <v>44839</v>
      </c>
      <c r="K112" s="225">
        <v>44862</v>
      </c>
      <c r="L112">
        <v>540</v>
      </c>
      <c r="M112" t="s">
        <v>18177</v>
      </c>
      <c r="N112" t="s">
        <v>18178</v>
      </c>
      <c r="O112" s="236">
        <f t="shared" ca="1" si="4"/>
        <v>-42</v>
      </c>
      <c r="P112">
        <f t="shared" ca="1" si="5"/>
        <v>8400</v>
      </c>
      <c r="Q112">
        <f t="shared" si="6"/>
        <v>8400</v>
      </c>
      <c r="R112" t="str">
        <f t="shared" si="7"/>
        <v>4</v>
      </c>
    </row>
    <row r="113" spans="1:18">
      <c r="A113">
        <v>3112</v>
      </c>
      <c r="B113">
        <v>84000300</v>
      </c>
      <c r="C113" t="s">
        <v>18058</v>
      </c>
      <c r="D113" t="s">
        <v>18179</v>
      </c>
      <c r="E113">
        <v>2022</v>
      </c>
      <c r="F113">
        <v>3512191</v>
      </c>
      <c r="G113">
        <v>0.01</v>
      </c>
      <c r="H113">
        <v>77.28</v>
      </c>
      <c r="I113">
        <v>77.27</v>
      </c>
      <c r="J113" s="225">
        <v>44852</v>
      </c>
      <c r="K113" s="225">
        <v>44863</v>
      </c>
      <c r="L113">
        <v>540</v>
      </c>
      <c r="M113" t="s">
        <v>18180</v>
      </c>
      <c r="N113" t="s">
        <v>18077</v>
      </c>
      <c r="O113" s="236">
        <f t="shared" ca="1" si="4"/>
        <v>-38</v>
      </c>
      <c r="P113">
        <f t="shared" ca="1" si="5"/>
        <v>8400</v>
      </c>
      <c r="Q113">
        <f t="shared" si="6"/>
        <v>8400</v>
      </c>
      <c r="R113" t="str">
        <f t="shared" si="7"/>
        <v>0</v>
      </c>
    </row>
    <row r="114" spans="1:18">
      <c r="A114">
        <v>3112</v>
      </c>
      <c r="B114">
        <v>84000300</v>
      </c>
      <c r="C114" t="s">
        <v>18058</v>
      </c>
      <c r="D114" t="s">
        <v>18181</v>
      </c>
      <c r="E114">
        <v>2022</v>
      </c>
      <c r="F114">
        <v>3528215</v>
      </c>
      <c r="G114">
        <v>0.01</v>
      </c>
      <c r="H114">
        <v>100.6</v>
      </c>
      <c r="I114">
        <v>100.59</v>
      </c>
      <c r="J114" s="225">
        <v>44852</v>
      </c>
      <c r="K114" s="225">
        <v>44868</v>
      </c>
      <c r="L114">
        <v>540</v>
      </c>
      <c r="M114" t="s">
        <v>18182</v>
      </c>
      <c r="N114" t="s">
        <v>18078</v>
      </c>
      <c r="O114" s="236">
        <f t="shared" ca="1" si="4"/>
        <v>-24</v>
      </c>
      <c r="P114">
        <f t="shared" ca="1" si="5"/>
        <v>8400</v>
      </c>
      <c r="Q114">
        <f t="shared" si="6"/>
        <v>8400</v>
      </c>
      <c r="R114" t="str">
        <f t="shared" si="7"/>
        <v>0</v>
      </c>
    </row>
    <row r="115" spans="1:18">
      <c r="A115">
        <v>3112</v>
      </c>
      <c r="B115">
        <v>84000300</v>
      </c>
      <c r="C115" t="s">
        <v>18058</v>
      </c>
      <c r="D115" t="s">
        <v>18183</v>
      </c>
      <c r="E115">
        <v>2022</v>
      </c>
      <c r="F115">
        <v>3553230</v>
      </c>
      <c r="G115">
        <v>0.01</v>
      </c>
      <c r="H115">
        <v>90.58</v>
      </c>
      <c r="I115">
        <v>90.57</v>
      </c>
      <c r="J115" s="225">
        <v>44887</v>
      </c>
      <c r="K115" s="225">
        <v>44895</v>
      </c>
      <c r="L115">
        <v>540</v>
      </c>
      <c r="M115" t="s">
        <v>18154</v>
      </c>
      <c r="N115" t="s">
        <v>18155</v>
      </c>
      <c r="O115" s="236">
        <f t="shared" ca="1" si="4"/>
        <v>-9</v>
      </c>
      <c r="P115">
        <f t="shared" ca="1" si="5"/>
        <v>8400</v>
      </c>
      <c r="Q115">
        <f t="shared" si="6"/>
        <v>8400</v>
      </c>
      <c r="R115" t="str">
        <f t="shared" si="7"/>
        <v>0</v>
      </c>
    </row>
    <row r="116" spans="1:18">
      <c r="A116">
        <v>3112</v>
      </c>
      <c r="B116">
        <v>84000300</v>
      </c>
      <c r="C116" t="s">
        <v>18058</v>
      </c>
      <c r="D116" t="s">
        <v>18184</v>
      </c>
      <c r="E116">
        <v>2022</v>
      </c>
      <c r="F116">
        <v>3587939</v>
      </c>
      <c r="G116">
        <v>0.01</v>
      </c>
      <c r="H116">
        <v>30.19</v>
      </c>
      <c r="I116">
        <v>30.18</v>
      </c>
      <c r="J116" s="225">
        <v>44909</v>
      </c>
      <c r="K116" s="225">
        <v>45020</v>
      </c>
      <c r="L116">
        <v>540</v>
      </c>
      <c r="M116" t="s">
        <v>18185</v>
      </c>
      <c r="N116" t="s">
        <v>18186</v>
      </c>
      <c r="O116" s="236">
        <f t="shared" ca="1" si="4"/>
        <v>25</v>
      </c>
      <c r="P116">
        <f t="shared" ca="1" si="5"/>
        <v>0</v>
      </c>
      <c r="Q116">
        <f t="shared" si="6"/>
        <v>8400</v>
      </c>
      <c r="R116" t="str">
        <f t="shared" si="7"/>
        <v>0</v>
      </c>
    </row>
    <row r="117" spans="1:18">
      <c r="A117">
        <v>3112</v>
      </c>
      <c r="B117">
        <v>84000500</v>
      </c>
      <c r="C117" t="s">
        <v>18059</v>
      </c>
      <c r="D117" t="s">
        <v>18187</v>
      </c>
      <c r="E117">
        <v>2023</v>
      </c>
      <c r="F117">
        <v>3684337</v>
      </c>
      <c r="G117">
        <v>-0.01</v>
      </c>
      <c r="H117">
        <v>50.31</v>
      </c>
      <c r="I117">
        <v>50.32</v>
      </c>
      <c r="J117" s="225">
        <v>45013</v>
      </c>
      <c r="K117" s="225">
        <v>45037</v>
      </c>
      <c r="L117">
        <v>540</v>
      </c>
      <c r="M117" t="s">
        <v>18188</v>
      </c>
      <c r="N117" t="s">
        <v>18189</v>
      </c>
      <c r="O117" s="236">
        <f t="shared" ca="1" si="4"/>
        <v>124</v>
      </c>
      <c r="P117">
        <f t="shared" ca="1" si="5"/>
        <v>0</v>
      </c>
      <c r="Q117">
        <f t="shared" si="6"/>
        <v>8400</v>
      </c>
      <c r="R117" t="str">
        <f t="shared" si="7"/>
        <v>0</v>
      </c>
    </row>
    <row r="118" spans="1:18">
      <c r="A118">
        <v>3112</v>
      </c>
      <c r="B118">
        <v>84000500</v>
      </c>
      <c r="C118" t="s">
        <v>18059</v>
      </c>
      <c r="D118" t="s">
        <v>18190</v>
      </c>
      <c r="E118">
        <v>2023</v>
      </c>
      <c r="F118">
        <v>3700916</v>
      </c>
      <c r="G118">
        <v>0.01</v>
      </c>
      <c r="H118">
        <v>35.64</v>
      </c>
      <c r="I118">
        <v>35.630000000000003</v>
      </c>
      <c r="J118" s="225">
        <v>45058</v>
      </c>
      <c r="K118" s="225">
        <v>45064</v>
      </c>
      <c r="L118">
        <v>540</v>
      </c>
      <c r="M118" t="s">
        <v>18191</v>
      </c>
      <c r="N118" t="s">
        <v>18192</v>
      </c>
      <c r="O118" s="236">
        <f t="shared" ca="1" si="4"/>
        <v>137</v>
      </c>
      <c r="P118">
        <f t="shared" ca="1" si="5"/>
        <v>0</v>
      </c>
      <c r="Q118">
        <f t="shared" si="6"/>
        <v>8400</v>
      </c>
      <c r="R118" t="str">
        <f t="shared" si="7"/>
        <v>0</v>
      </c>
    </row>
    <row r="119" spans="1:18">
      <c r="A119">
        <v>3112</v>
      </c>
      <c r="B119">
        <v>84000500</v>
      </c>
      <c r="C119" t="s">
        <v>18059</v>
      </c>
      <c r="D119" t="s">
        <v>18193</v>
      </c>
      <c r="E119">
        <v>2023</v>
      </c>
      <c r="F119">
        <v>3705906</v>
      </c>
      <c r="G119">
        <v>-0.01</v>
      </c>
      <c r="H119">
        <v>19.79</v>
      </c>
      <c r="I119">
        <v>19.8</v>
      </c>
      <c r="J119" s="225">
        <v>45058</v>
      </c>
      <c r="K119" s="225">
        <v>45064</v>
      </c>
      <c r="L119">
        <v>540</v>
      </c>
      <c r="M119" t="s">
        <v>18110</v>
      </c>
      <c r="N119" t="s">
        <v>18111</v>
      </c>
      <c r="O119" s="236">
        <f t="shared" ca="1" si="4"/>
        <v>138</v>
      </c>
      <c r="P119">
        <f t="shared" ca="1" si="5"/>
        <v>0</v>
      </c>
      <c r="Q119">
        <f t="shared" si="6"/>
        <v>8400</v>
      </c>
      <c r="R119" t="str">
        <f t="shared" si="7"/>
        <v>0</v>
      </c>
    </row>
    <row r="120" spans="1:18">
      <c r="A120">
        <v>3112</v>
      </c>
      <c r="B120">
        <v>84000500</v>
      </c>
      <c r="C120" t="s">
        <v>18059</v>
      </c>
      <c r="D120" t="s">
        <v>18194</v>
      </c>
      <c r="E120">
        <v>2023</v>
      </c>
      <c r="F120">
        <v>3706016</v>
      </c>
      <c r="G120">
        <v>0.01</v>
      </c>
      <c r="H120">
        <v>79.2</v>
      </c>
      <c r="I120">
        <v>79.19</v>
      </c>
      <c r="J120" s="225">
        <v>45063</v>
      </c>
      <c r="K120" s="225">
        <v>45064</v>
      </c>
      <c r="L120">
        <v>540</v>
      </c>
      <c r="M120" t="s">
        <v>18195</v>
      </c>
      <c r="N120" t="s">
        <v>18196</v>
      </c>
      <c r="O120" s="236">
        <f t="shared" ca="1" si="4"/>
        <v>140</v>
      </c>
      <c r="P120">
        <f t="shared" ca="1" si="5"/>
        <v>0</v>
      </c>
      <c r="Q120">
        <f t="shared" si="6"/>
        <v>8400</v>
      </c>
      <c r="R120" t="str">
        <f t="shared" si="7"/>
        <v>0</v>
      </c>
    </row>
    <row r="121" spans="1:18">
      <c r="A121">
        <v>3112</v>
      </c>
      <c r="B121">
        <v>84000500</v>
      </c>
      <c r="C121" t="s">
        <v>18059</v>
      </c>
      <c r="D121" t="s">
        <v>18197</v>
      </c>
      <c r="E121">
        <v>2023</v>
      </c>
      <c r="F121">
        <v>3711636</v>
      </c>
      <c r="G121">
        <v>-0.01</v>
      </c>
      <c r="H121">
        <v>17.809999999999999</v>
      </c>
      <c r="I121">
        <v>17.82</v>
      </c>
      <c r="J121" s="225">
        <v>45063</v>
      </c>
      <c r="K121" s="225">
        <v>45065</v>
      </c>
      <c r="L121">
        <v>540</v>
      </c>
      <c r="M121" t="s">
        <v>18198</v>
      </c>
      <c r="N121" t="s">
        <v>18199</v>
      </c>
      <c r="O121" s="236">
        <f t="shared" ca="1" si="4"/>
        <v>146</v>
      </c>
      <c r="P121">
        <f t="shared" ca="1" si="5"/>
        <v>0</v>
      </c>
      <c r="Q121">
        <f t="shared" si="6"/>
        <v>8400</v>
      </c>
      <c r="R121" t="str">
        <f t="shared" si="7"/>
        <v>0</v>
      </c>
    </row>
    <row r="122" spans="1:18">
      <c r="A122">
        <v>3112</v>
      </c>
      <c r="B122">
        <v>84000500</v>
      </c>
      <c r="C122" t="s">
        <v>18059</v>
      </c>
      <c r="D122" t="s">
        <v>18200</v>
      </c>
      <c r="E122">
        <v>2023</v>
      </c>
      <c r="F122">
        <v>3728310</v>
      </c>
      <c r="G122">
        <v>0.01</v>
      </c>
      <c r="H122">
        <v>140.58000000000001</v>
      </c>
      <c r="I122">
        <v>140.57</v>
      </c>
      <c r="J122" s="225">
        <v>45064</v>
      </c>
      <c r="K122" s="225">
        <v>45071</v>
      </c>
      <c r="L122">
        <v>540</v>
      </c>
      <c r="M122" t="s">
        <v>18201</v>
      </c>
      <c r="N122" t="s">
        <v>18202</v>
      </c>
      <c r="O122" s="236">
        <f t="shared" ca="1" si="4"/>
        <v>165</v>
      </c>
      <c r="P122">
        <f t="shared" ca="1" si="5"/>
        <v>0</v>
      </c>
      <c r="Q122">
        <f t="shared" si="6"/>
        <v>8400</v>
      </c>
      <c r="R122" t="str">
        <f t="shared" si="7"/>
        <v>0</v>
      </c>
    </row>
    <row r="123" spans="1:18">
      <c r="A123">
        <v>3112</v>
      </c>
      <c r="B123">
        <v>84000500</v>
      </c>
      <c r="C123" t="s">
        <v>18059</v>
      </c>
      <c r="D123" t="s">
        <v>18203</v>
      </c>
      <c r="E123">
        <v>2022</v>
      </c>
      <c r="F123">
        <v>3510762</v>
      </c>
      <c r="G123">
        <v>0.01</v>
      </c>
      <c r="H123">
        <v>64.900000000000006</v>
      </c>
      <c r="I123">
        <v>64.89</v>
      </c>
      <c r="J123" s="225">
        <v>44852</v>
      </c>
      <c r="K123" s="225">
        <v>44855</v>
      </c>
      <c r="L123">
        <v>540</v>
      </c>
      <c r="M123" t="s">
        <v>18177</v>
      </c>
      <c r="N123" t="s">
        <v>18178</v>
      </c>
      <c r="O123" s="236">
        <f t="shared" ca="1" si="4"/>
        <v>-42</v>
      </c>
      <c r="P123">
        <f t="shared" ca="1" si="5"/>
        <v>8400</v>
      </c>
      <c r="Q123">
        <f t="shared" si="6"/>
        <v>8400</v>
      </c>
      <c r="R123" t="str">
        <f t="shared" si="7"/>
        <v>4</v>
      </c>
    </row>
    <row r="124" spans="1:18">
      <c r="A124">
        <v>3112</v>
      </c>
      <c r="B124">
        <v>84000500</v>
      </c>
      <c r="C124" t="s">
        <v>18059</v>
      </c>
      <c r="D124" t="s">
        <v>18204</v>
      </c>
      <c r="E124">
        <v>2022</v>
      </c>
      <c r="F124">
        <v>3528217</v>
      </c>
      <c r="G124">
        <v>0.01</v>
      </c>
      <c r="H124">
        <v>207.7</v>
      </c>
      <c r="I124">
        <v>207.69</v>
      </c>
      <c r="J124" s="225">
        <v>44852</v>
      </c>
      <c r="K124" s="225">
        <v>44868</v>
      </c>
      <c r="L124">
        <v>540</v>
      </c>
      <c r="M124" t="s">
        <v>18182</v>
      </c>
      <c r="N124" t="s">
        <v>18078</v>
      </c>
      <c r="O124" s="236">
        <f t="shared" ca="1" si="4"/>
        <v>-24</v>
      </c>
      <c r="P124">
        <f t="shared" ca="1" si="5"/>
        <v>8400</v>
      </c>
      <c r="Q124">
        <f t="shared" si="6"/>
        <v>8400</v>
      </c>
      <c r="R124" t="str">
        <f t="shared" si="7"/>
        <v>0</v>
      </c>
    </row>
    <row r="125" spans="1:18">
      <c r="A125">
        <v>3112</v>
      </c>
      <c r="B125">
        <v>84000500</v>
      </c>
      <c r="C125" t="s">
        <v>18059</v>
      </c>
      <c r="D125" t="s">
        <v>18205</v>
      </c>
      <c r="E125">
        <v>2022</v>
      </c>
      <c r="F125">
        <v>3544329</v>
      </c>
      <c r="G125">
        <v>0.02</v>
      </c>
      <c r="H125">
        <v>215.39</v>
      </c>
      <c r="I125">
        <v>215.37</v>
      </c>
      <c r="J125" s="225">
        <v>44865</v>
      </c>
      <c r="K125" s="225">
        <v>44869</v>
      </c>
      <c r="L125">
        <v>540</v>
      </c>
      <c r="M125" t="s">
        <v>18206</v>
      </c>
      <c r="N125" t="s">
        <v>18207</v>
      </c>
      <c r="O125" s="236">
        <f t="shared" ca="1" si="4"/>
        <v>-10</v>
      </c>
      <c r="P125">
        <f t="shared" ca="1" si="5"/>
        <v>8400</v>
      </c>
      <c r="Q125">
        <f t="shared" si="6"/>
        <v>8400</v>
      </c>
      <c r="R125" t="str">
        <f t="shared" si="7"/>
        <v>0</v>
      </c>
    </row>
    <row r="126" spans="1:18">
      <c r="A126">
        <v>3112</v>
      </c>
      <c r="B126">
        <v>84000500</v>
      </c>
      <c r="C126" t="s">
        <v>18059</v>
      </c>
      <c r="D126" t="s">
        <v>18208</v>
      </c>
      <c r="E126">
        <v>2022</v>
      </c>
      <c r="F126">
        <v>3551692</v>
      </c>
      <c r="G126">
        <v>0.01</v>
      </c>
      <c r="H126">
        <v>128.82</v>
      </c>
      <c r="I126">
        <v>128.81</v>
      </c>
      <c r="J126" s="225">
        <v>44865</v>
      </c>
      <c r="K126" s="225">
        <v>44889</v>
      </c>
      <c r="L126">
        <v>540</v>
      </c>
      <c r="M126" t="s">
        <v>18154</v>
      </c>
      <c r="N126" t="s">
        <v>18155</v>
      </c>
      <c r="O126" s="236">
        <f t="shared" ca="1" si="4"/>
        <v>-9</v>
      </c>
      <c r="P126">
        <f t="shared" ca="1" si="5"/>
        <v>8400</v>
      </c>
      <c r="Q126">
        <f t="shared" si="6"/>
        <v>8400</v>
      </c>
      <c r="R126" t="str">
        <f t="shared" si="7"/>
        <v>0</v>
      </c>
    </row>
    <row r="127" spans="1:18">
      <c r="A127">
        <v>3112</v>
      </c>
      <c r="B127">
        <v>84000500</v>
      </c>
      <c r="C127" t="s">
        <v>18059</v>
      </c>
      <c r="D127" t="s">
        <v>18209</v>
      </c>
      <c r="E127">
        <v>2022</v>
      </c>
      <c r="F127">
        <v>3558434</v>
      </c>
      <c r="G127">
        <v>0.01</v>
      </c>
      <c r="H127">
        <v>154.99</v>
      </c>
      <c r="I127">
        <v>154.97999999999999</v>
      </c>
      <c r="J127" s="225">
        <v>44887</v>
      </c>
      <c r="K127" s="225">
        <v>44910</v>
      </c>
      <c r="L127">
        <v>540</v>
      </c>
      <c r="M127" t="s">
        <v>18210</v>
      </c>
      <c r="N127" t="s">
        <v>18211</v>
      </c>
      <c r="O127" s="236">
        <f t="shared" ca="1" si="4"/>
        <v>-3</v>
      </c>
      <c r="P127">
        <f t="shared" ca="1" si="5"/>
        <v>8400</v>
      </c>
      <c r="Q127">
        <f t="shared" si="6"/>
        <v>8400</v>
      </c>
      <c r="R127" t="str">
        <f t="shared" si="7"/>
        <v>0</v>
      </c>
    </row>
    <row r="128" spans="1:18">
      <c r="A128">
        <v>3112</v>
      </c>
      <c r="B128">
        <v>84000500</v>
      </c>
      <c r="C128" t="s">
        <v>18059</v>
      </c>
      <c r="D128" t="s">
        <v>18212</v>
      </c>
      <c r="E128">
        <v>2022</v>
      </c>
      <c r="F128">
        <v>3593504</v>
      </c>
      <c r="G128">
        <v>-0.01</v>
      </c>
      <c r="H128">
        <v>128.82</v>
      </c>
      <c r="I128">
        <v>128.83000000000001</v>
      </c>
      <c r="J128" s="225">
        <v>44909</v>
      </c>
      <c r="K128" s="225">
        <v>44958</v>
      </c>
      <c r="L128">
        <v>540</v>
      </c>
      <c r="M128" t="s">
        <v>18213</v>
      </c>
      <c r="N128" t="s">
        <v>18214</v>
      </c>
      <c r="O128" s="236">
        <f t="shared" ca="1" si="4"/>
        <v>32</v>
      </c>
      <c r="P128">
        <f t="shared" ca="1" si="5"/>
        <v>0</v>
      </c>
      <c r="Q128">
        <f t="shared" si="6"/>
        <v>8400</v>
      </c>
      <c r="R128" t="str">
        <f t="shared" si="7"/>
        <v>0</v>
      </c>
    </row>
    <row r="129" spans="1:18">
      <c r="A129">
        <v>3112</v>
      </c>
      <c r="B129">
        <v>84000500</v>
      </c>
      <c r="C129" t="s">
        <v>18059</v>
      </c>
      <c r="D129" t="s">
        <v>18215</v>
      </c>
      <c r="E129">
        <v>2022</v>
      </c>
      <c r="F129">
        <v>3603526</v>
      </c>
      <c r="G129">
        <v>0.01</v>
      </c>
      <c r="H129">
        <v>144.93</v>
      </c>
      <c r="I129">
        <v>144.91999999999999</v>
      </c>
      <c r="J129" s="225">
        <v>44956</v>
      </c>
      <c r="K129" s="225">
        <v>45037</v>
      </c>
      <c r="L129">
        <v>540</v>
      </c>
      <c r="M129" t="s">
        <v>18216</v>
      </c>
      <c r="N129" t="s">
        <v>18217</v>
      </c>
      <c r="O129" s="236">
        <f t="shared" ca="1" si="4"/>
        <v>40</v>
      </c>
      <c r="P129">
        <f t="shared" ca="1" si="5"/>
        <v>0</v>
      </c>
      <c r="Q129">
        <f t="shared" si="6"/>
        <v>8400</v>
      </c>
      <c r="R129" t="str">
        <f t="shared" si="7"/>
        <v>0</v>
      </c>
    </row>
    <row r="130" spans="1:18">
      <c r="A130">
        <v>3112</v>
      </c>
      <c r="B130">
        <v>84000500</v>
      </c>
      <c r="C130" t="s">
        <v>18059</v>
      </c>
      <c r="D130" t="s">
        <v>18218</v>
      </c>
      <c r="E130">
        <v>2022</v>
      </c>
      <c r="F130">
        <v>3616340</v>
      </c>
      <c r="G130">
        <v>-0.01</v>
      </c>
      <c r="H130">
        <v>12.07</v>
      </c>
      <c r="I130">
        <v>12.08</v>
      </c>
      <c r="J130" s="225">
        <v>45013</v>
      </c>
      <c r="K130" s="225">
        <v>45038</v>
      </c>
      <c r="L130">
        <v>540</v>
      </c>
      <c r="M130" t="s">
        <v>18219</v>
      </c>
      <c r="N130" t="s">
        <v>18220</v>
      </c>
      <c r="O130" s="236">
        <f t="shared" ca="1" si="4"/>
        <v>56</v>
      </c>
      <c r="P130">
        <f t="shared" ca="1" si="5"/>
        <v>0</v>
      </c>
      <c r="Q130">
        <f t="shared" si="6"/>
        <v>8400</v>
      </c>
      <c r="R130" t="str">
        <f t="shared" si="7"/>
        <v>0</v>
      </c>
    </row>
    <row r="131" spans="1:18">
      <c r="A131">
        <v>3112</v>
      </c>
      <c r="B131">
        <v>84000600</v>
      </c>
      <c r="C131" t="s">
        <v>18060</v>
      </c>
      <c r="D131" t="s">
        <v>18221</v>
      </c>
      <c r="E131">
        <v>2023</v>
      </c>
      <c r="F131">
        <v>3624083</v>
      </c>
      <c r="G131">
        <v>0.01</v>
      </c>
      <c r="H131">
        <v>134.87</v>
      </c>
      <c r="I131">
        <v>134.86000000000001</v>
      </c>
      <c r="J131" s="225">
        <v>44956</v>
      </c>
      <c r="K131" s="225">
        <v>44958</v>
      </c>
      <c r="L131">
        <v>540</v>
      </c>
      <c r="M131" t="s">
        <v>18222</v>
      </c>
      <c r="N131" t="s">
        <v>18223</v>
      </c>
      <c r="O131" s="236">
        <f t="shared" ref="O131:O194" ca="1" si="8">N131*1-TODAY()</f>
        <v>61</v>
      </c>
      <c r="P131">
        <f t="shared" ref="P131:P174" ca="1" si="9">IF(O131&lt;4,MID(B131,1,4)*1,0)</f>
        <v>0</v>
      </c>
      <c r="Q131">
        <f t="shared" ref="Q131:Q174" si="10">MID(B131,1,4)*1</f>
        <v>8400</v>
      </c>
      <c r="R131" t="str">
        <f t="shared" ref="R131:R194" si="11">MID(D131,4,1)</f>
        <v>0</v>
      </c>
    </row>
    <row r="132" spans="1:18">
      <c r="A132">
        <v>3112</v>
      </c>
      <c r="B132">
        <v>84000600</v>
      </c>
      <c r="C132" t="s">
        <v>18060</v>
      </c>
      <c r="D132" t="s">
        <v>18224</v>
      </c>
      <c r="E132">
        <v>2023</v>
      </c>
      <c r="F132">
        <v>3642083</v>
      </c>
      <c r="G132">
        <v>0.01</v>
      </c>
      <c r="H132">
        <v>152.97999999999999</v>
      </c>
      <c r="I132">
        <v>152.97</v>
      </c>
      <c r="J132" s="225">
        <v>44956</v>
      </c>
      <c r="K132" s="225">
        <v>45029</v>
      </c>
      <c r="L132">
        <v>540</v>
      </c>
      <c r="M132" t="s">
        <v>18225</v>
      </c>
      <c r="N132" t="s">
        <v>18226</v>
      </c>
      <c r="O132" s="236">
        <f t="shared" ca="1" si="8"/>
        <v>81</v>
      </c>
      <c r="P132">
        <f t="shared" ca="1" si="9"/>
        <v>0</v>
      </c>
      <c r="Q132">
        <f t="shared" si="10"/>
        <v>8400</v>
      </c>
      <c r="R132" t="str">
        <f t="shared" si="11"/>
        <v>0</v>
      </c>
    </row>
    <row r="133" spans="1:18">
      <c r="A133">
        <v>3112</v>
      </c>
      <c r="B133">
        <v>84000600</v>
      </c>
      <c r="C133" t="s">
        <v>18060</v>
      </c>
      <c r="D133" t="s">
        <v>18227</v>
      </c>
      <c r="E133">
        <v>2023</v>
      </c>
      <c r="F133">
        <v>3676556</v>
      </c>
      <c r="G133">
        <v>0.01</v>
      </c>
      <c r="H133">
        <v>36.229999999999997</v>
      </c>
      <c r="I133">
        <v>36.22</v>
      </c>
      <c r="J133" s="225">
        <v>45013</v>
      </c>
      <c r="K133" s="225">
        <v>45035</v>
      </c>
      <c r="L133">
        <v>540</v>
      </c>
      <c r="M133" t="s">
        <v>18228</v>
      </c>
      <c r="N133" t="s">
        <v>18229</v>
      </c>
      <c r="O133" s="236">
        <f t="shared" ca="1" si="8"/>
        <v>116</v>
      </c>
      <c r="P133">
        <f t="shared" ca="1" si="9"/>
        <v>0</v>
      </c>
      <c r="Q133">
        <f t="shared" si="10"/>
        <v>8400</v>
      </c>
      <c r="R133" t="str">
        <f t="shared" si="11"/>
        <v>0</v>
      </c>
    </row>
    <row r="134" spans="1:18">
      <c r="A134">
        <v>3112</v>
      </c>
      <c r="B134">
        <v>84000600</v>
      </c>
      <c r="C134" t="s">
        <v>18060</v>
      </c>
      <c r="D134" t="s">
        <v>18230</v>
      </c>
      <c r="E134">
        <v>2023</v>
      </c>
      <c r="F134">
        <v>3684387</v>
      </c>
      <c r="G134">
        <v>0.01</v>
      </c>
      <c r="H134">
        <v>60.39</v>
      </c>
      <c r="I134">
        <v>60.38</v>
      </c>
      <c r="J134" s="225">
        <v>45013</v>
      </c>
      <c r="K134" s="225">
        <v>45038</v>
      </c>
      <c r="L134">
        <v>540</v>
      </c>
      <c r="M134" t="s">
        <v>18231</v>
      </c>
      <c r="N134" t="s">
        <v>18232</v>
      </c>
      <c r="O134" s="236">
        <f t="shared" ca="1" si="8"/>
        <v>123</v>
      </c>
      <c r="P134">
        <f t="shared" ca="1" si="9"/>
        <v>0</v>
      </c>
      <c r="Q134">
        <f t="shared" si="10"/>
        <v>8400</v>
      </c>
      <c r="R134" t="str">
        <f t="shared" si="11"/>
        <v>0</v>
      </c>
    </row>
    <row r="135" spans="1:18">
      <c r="A135">
        <v>3112</v>
      </c>
      <c r="B135">
        <v>84000600</v>
      </c>
      <c r="C135" t="s">
        <v>18060</v>
      </c>
      <c r="D135" t="s">
        <v>18233</v>
      </c>
      <c r="E135">
        <v>2023</v>
      </c>
      <c r="F135">
        <v>3690788</v>
      </c>
      <c r="G135">
        <v>0.01</v>
      </c>
      <c r="H135">
        <v>20.13</v>
      </c>
      <c r="I135">
        <v>20.12</v>
      </c>
      <c r="J135" s="225">
        <v>45050</v>
      </c>
      <c r="K135" s="225">
        <v>45058</v>
      </c>
      <c r="L135">
        <v>540</v>
      </c>
      <c r="M135" t="s">
        <v>18234</v>
      </c>
      <c r="N135" t="s">
        <v>18235</v>
      </c>
      <c r="O135" s="236">
        <f t="shared" ca="1" si="8"/>
        <v>130</v>
      </c>
      <c r="P135">
        <f t="shared" ca="1" si="9"/>
        <v>0</v>
      </c>
      <c r="Q135">
        <f t="shared" si="10"/>
        <v>8400</v>
      </c>
      <c r="R135" t="str">
        <f t="shared" si="11"/>
        <v>0</v>
      </c>
    </row>
    <row r="136" spans="1:18">
      <c r="A136">
        <v>3112</v>
      </c>
      <c r="B136">
        <v>84000600</v>
      </c>
      <c r="C136" t="s">
        <v>18060</v>
      </c>
      <c r="D136" t="s">
        <v>18236</v>
      </c>
      <c r="E136">
        <v>2023</v>
      </c>
      <c r="F136">
        <v>3705915</v>
      </c>
      <c r="G136">
        <v>0.01</v>
      </c>
      <c r="H136">
        <v>35.64</v>
      </c>
      <c r="I136">
        <v>35.630000000000003</v>
      </c>
      <c r="J136" s="225">
        <v>45050</v>
      </c>
      <c r="K136" s="225">
        <v>45058</v>
      </c>
      <c r="L136">
        <v>540</v>
      </c>
      <c r="M136" t="s">
        <v>18110</v>
      </c>
      <c r="N136" t="s">
        <v>18111</v>
      </c>
      <c r="O136" s="236">
        <f t="shared" ca="1" si="8"/>
        <v>138</v>
      </c>
      <c r="P136">
        <f t="shared" ca="1" si="9"/>
        <v>0</v>
      </c>
      <c r="Q136">
        <f t="shared" si="10"/>
        <v>8400</v>
      </c>
      <c r="R136" t="str">
        <f t="shared" si="11"/>
        <v>0</v>
      </c>
    </row>
    <row r="137" spans="1:18">
      <c r="A137">
        <v>3112</v>
      </c>
      <c r="B137">
        <v>84000600</v>
      </c>
      <c r="C137" t="s">
        <v>18060</v>
      </c>
      <c r="D137" t="s">
        <v>18237</v>
      </c>
      <c r="E137">
        <v>2023</v>
      </c>
      <c r="F137">
        <v>3728262</v>
      </c>
      <c r="G137">
        <v>-0.01</v>
      </c>
      <c r="H137">
        <v>79.19</v>
      </c>
      <c r="I137">
        <v>79.2</v>
      </c>
      <c r="J137" s="225">
        <v>45064</v>
      </c>
      <c r="K137" s="225">
        <v>45073</v>
      </c>
      <c r="L137">
        <v>540</v>
      </c>
      <c r="M137" t="s">
        <v>18238</v>
      </c>
      <c r="N137" t="s">
        <v>18239</v>
      </c>
      <c r="O137" s="236">
        <f t="shared" ca="1" si="8"/>
        <v>161</v>
      </c>
      <c r="P137">
        <f t="shared" ca="1" si="9"/>
        <v>0</v>
      </c>
      <c r="Q137">
        <f t="shared" si="10"/>
        <v>8400</v>
      </c>
      <c r="R137" t="str">
        <f t="shared" si="11"/>
        <v>0</v>
      </c>
    </row>
    <row r="138" spans="1:18">
      <c r="A138">
        <v>3112</v>
      </c>
      <c r="B138">
        <v>84000600</v>
      </c>
      <c r="C138" t="s">
        <v>18060</v>
      </c>
      <c r="D138" t="s">
        <v>18240</v>
      </c>
      <c r="E138">
        <v>2022</v>
      </c>
      <c r="F138">
        <v>3519955</v>
      </c>
      <c r="G138">
        <v>0.01</v>
      </c>
      <c r="H138">
        <v>111.1</v>
      </c>
      <c r="I138">
        <v>111.09</v>
      </c>
      <c r="J138" s="225">
        <v>44852</v>
      </c>
      <c r="K138" s="225">
        <v>44860</v>
      </c>
      <c r="L138">
        <v>540</v>
      </c>
      <c r="M138" t="s">
        <v>18151</v>
      </c>
      <c r="N138" t="s">
        <v>18152</v>
      </c>
      <c r="O138" s="236">
        <f t="shared" ca="1" si="8"/>
        <v>-31</v>
      </c>
      <c r="P138">
        <f t="shared" ca="1" si="9"/>
        <v>8400</v>
      </c>
      <c r="Q138">
        <f t="shared" si="10"/>
        <v>8400</v>
      </c>
      <c r="R138" t="str">
        <f t="shared" si="11"/>
        <v>0</v>
      </c>
    </row>
    <row r="139" spans="1:18">
      <c r="A139">
        <v>3112</v>
      </c>
      <c r="B139">
        <v>84000600</v>
      </c>
      <c r="C139" t="s">
        <v>18060</v>
      </c>
      <c r="D139" t="s">
        <v>18241</v>
      </c>
      <c r="E139">
        <v>2022</v>
      </c>
      <c r="F139">
        <v>3528219</v>
      </c>
      <c r="G139">
        <v>0.02</v>
      </c>
      <c r="H139">
        <v>148.47</v>
      </c>
      <c r="I139">
        <v>148.44999999999999</v>
      </c>
      <c r="J139" s="225">
        <v>44852</v>
      </c>
      <c r="K139" s="225">
        <v>44868</v>
      </c>
      <c r="L139">
        <v>540</v>
      </c>
      <c r="M139" t="s">
        <v>18182</v>
      </c>
      <c r="N139" t="s">
        <v>18078</v>
      </c>
      <c r="O139" s="236">
        <f t="shared" ca="1" si="8"/>
        <v>-24</v>
      </c>
      <c r="P139">
        <f t="shared" ca="1" si="9"/>
        <v>8400</v>
      </c>
      <c r="Q139">
        <f t="shared" si="10"/>
        <v>8400</v>
      </c>
      <c r="R139" t="str">
        <f t="shared" si="11"/>
        <v>0</v>
      </c>
    </row>
    <row r="140" spans="1:18">
      <c r="A140">
        <v>3112</v>
      </c>
      <c r="B140">
        <v>84000600</v>
      </c>
      <c r="C140" t="s">
        <v>18060</v>
      </c>
      <c r="D140" t="s">
        <v>18242</v>
      </c>
      <c r="E140">
        <v>2022</v>
      </c>
      <c r="F140">
        <v>3544331</v>
      </c>
      <c r="G140">
        <v>0.01</v>
      </c>
      <c r="H140">
        <v>118.75</v>
      </c>
      <c r="I140">
        <v>118.74</v>
      </c>
      <c r="J140" s="225">
        <v>44865</v>
      </c>
      <c r="K140" s="225">
        <v>44888</v>
      </c>
      <c r="L140">
        <v>540</v>
      </c>
      <c r="M140" t="s">
        <v>18206</v>
      </c>
      <c r="N140" t="s">
        <v>18207</v>
      </c>
      <c r="O140" s="236">
        <f t="shared" ca="1" si="8"/>
        <v>-10</v>
      </c>
      <c r="P140">
        <f t="shared" ca="1" si="9"/>
        <v>8400</v>
      </c>
      <c r="Q140">
        <f t="shared" si="10"/>
        <v>8400</v>
      </c>
      <c r="R140" t="str">
        <f t="shared" si="11"/>
        <v>0</v>
      </c>
    </row>
    <row r="141" spans="1:18">
      <c r="A141">
        <v>3112</v>
      </c>
      <c r="B141">
        <v>84000600</v>
      </c>
      <c r="C141" t="s">
        <v>18060</v>
      </c>
      <c r="D141" t="s">
        <v>18243</v>
      </c>
      <c r="E141">
        <v>2022</v>
      </c>
      <c r="F141">
        <v>3570040</v>
      </c>
      <c r="G141">
        <v>0.01</v>
      </c>
      <c r="H141">
        <v>156.99</v>
      </c>
      <c r="I141">
        <v>156.97999999999999</v>
      </c>
      <c r="J141" s="225">
        <v>44909</v>
      </c>
      <c r="K141" s="225">
        <v>44915</v>
      </c>
      <c r="L141">
        <v>540</v>
      </c>
      <c r="M141" t="s">
        <v>18244</v>
      </c>
      <c r="N141" t="s">
        <v>18245</v>
      </c>
      <c r="O141" s="236">
        <f t="shared" ca="1" si="8"/>
        <v>11</v>
      </c>
      <c r="P141">
        <f t="shared" ca="1" si="9"/>
        <v>0</v>
      </c>
      <c r="Q141">
        <f t="shared" si="10"/>
        <v>8400</v>
      </c>
      <c r="R141" t="str">
        <f t="shared" si="11"/>
        <v>0</v>
      </c>
    </row>
    <row r="142" spans="1:18">
      <c r="A142">
        <v>3112</v>
      </c>
      <c r="B142">
        <v>84000600</v>
      </c>
      <c r="C142" t="s">
        <v>18060</v>
      </c>
      <c r="D142" t="s">
        <v>18246</v>
      </c>
      <c r="E142">
        <v>2022</v>
      </c>
      <c r="F142">
        <v>3579891</v>
      </c>
      <c r="G142">
        <v>0.02</v>
      </c>
      <c r="H142">
        <v>159.04</v>
      </c>
      <c r="I142">
        <v>159.02000000000001</v>
      </c>
      <c r="J142" s="225">
        <v>44909</v>
      </c>
      <c r="K142" s="225">
        <v>44952</v>
      </c>
      <c r="L142">
        <v>540</v>
      </c>
      <c r="M142" t="s">
        <v>18247</v>
      </c>
      <c r="N142" t="s">
        <v>18248</v>
      </c>
      <c r="O142" s="236">
        <f t="shared" ca="1" si="8"/>
        <v>19</v>
      </c>
      <c r="P142">
        <f t="shared" ca="1" si="9"/>
        <v>0</v>
      </c>
      <c r="Q142">
        <f t="shared" si="10"/>
        <v>8400</v>
      </c>
      <c r="R142" t="str">
        <f t="shared" si="11"/>
        <v>0</v>
      </c>
    </row>
    <row r="143" spans="1:18">
      <c r="A143">
        <v>3112</v>
      </c>
      <c r="B143">
        <v>84000600</v>
      </c>
      <c r="C143" t="s">
        <v>18060</v>
      </c>
      <c r="D143" t="s">
        <v>18249</v>
      </c>
      <c r="E143">
        <v>2022</v>
      </c>
      <c r="F143">
        <v>3587945</v>
      </c>
      <c r="G143">
        <v>0.01</v>
      </c>
      <c r="H143">
        <v>110.71</v>
      </c>
      <c r="I143">
        <v>110.7</v>
      </c>
      <c r="J143" s="225">
        <v>44909</v>
      </c>
      <c r="K143" s="225">
        <v>44958</v>
      </c>
      <c r="L143">
        <v>540</v>
      </c>
      <c r="M143" t="s">
        <v>18185</v>
      </c>
      <c r="N143" t="s">
        <v>18186</v>
      </c>
      <c r="O143" s="236">
        <f t="shared" ca="1" si="8"/>
        <v>25</v>
      </c>
      <c r="P143">
        <f t="shared" ca="1" si="9"/>
        <v>0</v>
      </c>
      <c r="Q143">
        <f t="shared" si="10"/>
        <v>8400</v>
      </c>
      <c r="R143" t="str">
        <f t="shared" si="11"/>
        <v>0</v>
      </c>
    </row>
    <row r="144" spans="1:18">
      <c r="A144">
        <v>3112</v>
      </c>
      <c r="B144">
        <v>84000600</v>
      </c>
      <c r="C144" t="s">
        <v>18060</v>
      </c>
      <c r="D144" t="s">
        <v>18250</v>
      </c>
      <c r="E144">
        <v>2022</v>
      </c>
      <c r="F144">
        <v>3593506</v>
      </c>
      <c r="G144">
        <v>0.02</v>
      </c>
      <c r="H144">
        <v>181.17</v>
      </c>
      <c r="I144">
        <v>181.15</v>
      </c>
      <c r="J144" s="225">
        <v>44909</v>
      </c>
      <c r="K144" s="225">
        <v>44958</v>
      </c>
      <c r="L144">
        <v>540</v>
      </c>
      <c r="M144" t="s">
        <v>18213</v>
      </c>
      <c r="N144" t="s">
        <v>18214</v>
      </c>
      <c r="O144" s="236">
        <f t="shared" ca="1" si="8"/>
        <v>32</v>
      </c>
      <c r="P144">
        <f t="shared" ca="1" si="9"/>
        <v>0</v>
      </c>
      <c r="Q144">
        <f t="shared" si="10"/>
        <v>8400</v>
      </c>
      <c r="R144" t="str">
        <f t="shared" si="11"/>
        <v>0</v>
      </c>
    </row>
    <row r="145" spans="1:18">
      <c r="A145">
        <v>3112</v>
      </c>
      <c r="B145">
        <v>84000600</v>
      </c>
      <c r="C145" t="s">
        <v>18060</v>
      </c>
      <c r="D145" t="s">
        <v>18251</v>
      </c>
      <c r="E145">
        <v>2022</v>
      </c>
      <c r="F145">
        <v>3603528</v>
      </c>
      <c r="G145">
        <v>0.01</v>
      </c>
      <c r="H145">
        <v>104.67</v>
      </c>
      <c r="I145">
        <v>104.66</v>
      </c>
      <c r="J145" s="225">
        <v>44956</v>
      </c>
      <c r="K145" s="225">
        <v>45038</v>
      </c>
      <c r="L145">
        <v>540</v>
      </c>
      <c r="M145" t="s">
        <v>18216</v>
      </c>
      <c r="N145" t="s">
        <v>18217</v>
      </c>
      <c r="O145" s="236">
        <f t="shared" ca="1" si="8"/>
        <v>40</v>
      </c>
      <c r="P145">
        <f t="shared" ca="1" si="9"/>
        <v>0</v>
      </c>
      <c r="Q145">
        <f t="shared" si="10"/>
        <v>8400</v>
      </c>
      <c r="R145" t="str">
        <f t="shared" si="11"/>
        <v>0</v>
      </c>
    </row>
    <row r="146" spans="1:18">
      <c r="A146">
        <v>3112</v>
      </c>
      <c r="B146">
        <v>84000700</v>
      </c>
      <c r="C146" t="s">
        <v>18061</v>
      </c>
      <c r="D146" t="s">
        <v>18252</v>
      </c>
      <c r="E146">
        <v>2023</v>
      </c>
      <c r="F146">
        <v>3642086</v>
      </c>
      <c r="G146">
        <v>-0.01</v>
      </c>
      <c r="H146">
        <v>105.78</v>
      </c>
      <c r="I146">
        <v>105.79</v>
      </c>
      <c r="J146" s="225">
        <v>45020</v>
      </c>
      <c r="K146" s="225">
        <v>45035</v>
      </c>
      <c r="L146">
        <v>540</v>
      </c>
      <c r="M146" t="s">
        <v>18225</v>
      </c>
      <c r="N146" t="s">
        <v>18226</v>
      </c>
      <c r="O146" s="236">
        <f t="shared" ca="1" si="8"/>
        <v>81</v>
      </c>
      <c r="P146">
        <f t="shared" ca="1" si="9"/>
        <v>0</v>
      </c>
      <c r="Q146">
        <f t="shared" si="10"/>
        <v>8400</v>
      </c>
      <c r="R146" t="str">
        <f t="shared" si="11"/>
        <v>0</v>
      </c>
    </row>
    <row r="147" spans="1:18">
      <c r="A147">
        <v>3112</v>
      </c>
      <c r="B147">
        <v>84000700</v>
      </c>
      <c r="C147" t="s">
        <v>18061</v>
      </c>
      <c r="D147" t="s">
        <v>18253</v>
      </c>
      <c r="E147">
        <v>2023</v>
      </c>
      <c r="F147">
        <v>3728235</v>
      </c>
      <c r="G147">
        <v>0.01</v>
      </c>
      <c r="H147">
        <v>79.19</v>
      </c>
      <c r="I147">
        <v>79.180000000000007</v>
      </c>
      <c r="J147" s="225">
        <v>45064</v>
      </c>
      <c r="K147" s="225">
        <v>45071</v>
      </c>
      <c r="L147">
        <v>540</v>
      </c>
      <c r="M147" t="s">
        <v>18254</v>
      </c>
      <c r="N147" t="s">
        <v>18255</v>
      </c>
      <c r="O147" s="236">
        <f t="shared" ca="1" si="8"/>
        <v>159</v>
      </c>
      <c r="P147">
        <f t="shared" ca="1" si="9"/>
        <v>0</v>
      </c>
      <c r="Q147">
        <f t="shared" si="10"/>
        <v>8400</v>
      </c>
      <c r="R147" t="str">
        <f t="shared" si="11"/>
        <v>0</v>
      </c>
    </row>
    <row r="148" spans="1:18">
      <c r="A148">
        <v>3112</v>
      </c>
      <c r="B148">
        <v>84000700</v>
      </c>
      <c r="C148" t="s">
        <v>18061</v>
      </c>
      <c r="D148" t="s">
        <v>18256</v>
      </c>
      <c r="E148">
        <v>2023</v>
      </c>
      <c r="F148">
        <v>3741002</v>
      </c>
      <c r="G148">
        <v>-0.01</v>
      </c>
      <c r="H148">
        <v>102.95</v>
      </c>
      <c r="I148">
        <v>102.96</v>
      </c>
      <c r="J148" s="225">
        <v>45070</v>
      </c>
      <c r="K148" s="225">
        <v>45073</v>
      </c>
      <c r="L148">
        <v>540</v>
      </c>
      <c r="M148" t="s">
        <v>18257</v>
      </c>
      <c r="N148" t="s">
        <v>18258</v>
      </c>
      <c r="O148" s="236">
        <f t="shared" ca="1" si="8"/>
        <v>168</v>
      </c>
      <c r="P148">
        <f t="shared" ca="1" si="9"/>
        <v>0</v>
      </c>
      <c r="Q148">
        <f t="shared" si="10"/>
        <v>8400</v>
      </c>
      <c r="R148" t="str">
        <f t="shared" si="11"/>
        <v>0</v>
      </c>
    </row>
    <row r="149" spans="1:18">
      <c r="A149">
        <v>3112</v>
      </c>
      <c r="B149">
        <v>84000700</v>
      </c>
      <c r="C149" t="s">
        <v>18061</v>
      </c>
      <c r="D149" t="s">
        <v>18259</v>
      </c>
      <c r="E149">
        <v>2022</v>
      </c>
      <c r="F149">
        <v>3519957</v>
      </c>
      <c r="G149">
        <v>0.01</v>
      </c>
      <c r="H149">
        <v>36.44</v>
      </c>
      <c r="I149">
        <v>36.43</v>
      </c>
      <c r="J149" s="225">
        <v>44974</v>
      </c>
      <c r="K149" s="225">
        <v>45000</v>
      </c>
      <c r="L149">
        <v>540</v>
      </c>
      <c r="M149" t="s">
        <v>18151</v>
      </c>
      <c r="N149" t="s">
        <v>18152</v>
      </c>
      <c r="O149" s="236">
        <f t="shared" ca="1" si="8"/>
        <v>-31</v>
      </c>
      <c r="P149">
        <f t="shared" ca="1" si="9"/>
        <v>8400</v>
      </c>
      <c r="Q149">
        <f t="shared" si="10"/>
        <v>8400</v>
      </c>
      <c r="R149" t="str">
        <f t="shared" si="11"/>
        <v>0</v>
      </c>
    </row>
    <row r="150" spans="1:18">
      <c r="A150">
        <v>3112</v>
      </c>
      <c r="B150">
        <v>84000700</v>
      </c>
      <c r="C150" t="s">
        <v>18061</v>
      </c>
      <c r="D150" t="s">
        <v>18260</v>
      </c>
      <c r="E150">
        <v>2022</v>
      </c>
      <c r="F150">
        <v>3528222</v>
      </c>
      <c r="G150">
        <v>0.01</v>
      </c>
      <c r="H150">
        <v>61.31</v>
      </c>
      <c r="I150">
        <v>61.3</v>
      </c>
      <c r="J150" s="225">
        <v>44981</v>
      </c>
      <c r="K150" s="225">
        <v>45007</v>
      </c>
      <c r="L150">
        <v>540</v>
      </c>
      <c r="M150" t="s">
        <v>18182</v>
      </c>
      <c r="N150" t="s">
        <v>18078</v>
      </c>
      <c r="O150" s="236">
        <f t="shared" ca="1" si="8"/>
        <v>-24</v>
      </c>
      <c r="P150">
        <f t="shared" ca="1" si="9"/>
        <v>8400</v>
      </c>
      <c r="Q150">
        <f t="shared" si="10"/>
        <v>8400</v>
      </c>
      <c r="R150" t="str">
        <f t="shared" si="11"/>
        <v>0</v>
      </c>
    </row>
    <row r="151" spans="1:18">
      <c r="A151">
        <v>3112</v>
      </c>
      <c r="B151">
        <v>84000700</v>
      </c>
      <c r="C151" t="s">
        <v>18061</v>
      </c>
      <c r="D151" t="s">
        <v>18261</v>
      </c>
      <c r="E151">
        <v>2022</v>
      </c>
      <c r="F151">
        <v>3544333</v>
      </c>
      <c r="G151">
        <v>0.01</v>
      </c>
      <c r="H151">
        <v>48.3</v>
      </c>
      <c r="I151">
        <v>48.29</v>
      </c>
      <c r="J151" s="225">
        <v>44981</v>
      </c>
      <c r="K151" s="225">
        <v>45012</v>
      </c>
      <c r="L151">
        <v>540</v>
      </c>
      <c r="M151" t="s">
        <v>18206</v>
      </c>
      <c r="N151" t="s">
        <v>18207</v>
      </c>
      <c r="O151" s="236">
        <f t="shared" ca="1" si="8"/>
        <v>-10</v>
      </c>
      <c r="P151">
        <f t="shared" ca="1" si="9"/>
        <v>8400</v>
      </c>
      <c r="Q151">
        <f t="shared" si="10"/>
        <v>8400</v>
      </c>
      <c r="R151" t="str">
        <f t="shared" si="11"/>
        <v>0</v>
      </c>
    </row>
    <row r="152" spans="1:18">
      <c r="A152">
        <v>3112</v>
      </c>
      <c r="B152">
        <v>84000700</v>
      </c>
      <c r="C152" t="s">
        <v>18061</v>
      </c>
      <c r="D152" t="s">
        <v>18262</v>
      </c>
      <c r="E152">
        <v>2022</v>
      </c>
      <c r="F152">
        <v>3553232</v>
      </c>
      <c r="G152">
        <v>0.01</v>
      </c>
      <c r="H152">
        <v>34.22</v>
      </c>
      <c r="I152">
        <v>34.21</v>
      </c>
      <c r="J152" s="225">
        <v>44981</v>
      </c>
      <c r="K152" s="225">
        <v>45013</v>
      </c>
      <c r="L152">
        <v>540</v>
      </c>
      <c r="M152" t="s">
        <v>18154</v>
      </c>
      <c r="N152" t="s">
        <v>18155</v>
      </c>
      <c r="O152" s="236">
        <f t="shared" ca="1" si="8"/>
        <v>-9</v>
      </c>
      <c r="P152">
        <f t="shared" ca="1" si="9"/>
        <v>8400</v>
      </c>
      <c r="Q152">
        <f t="shared" si="10"/>
        <v>8400</v>
      </c>
      <c r="R152" t="str">
        <f t="shared" si="11"/>
        <v>0</v>
      </c>
    </row>
    <row r="153" spans="1:18">
      <c r="A153">
        <v>3112</v>
      </c>
      <c r="B153">
        <v>84000700</v>
      </c>
      <c r="C153" t="s">
        <v>18061</v>
      </c>
      <c r="D153" t="s">
        <v>18263</v>
      </c>
      <c r="E153">
        <v>2022</v>
      </c>
      <c r="F153">
        <v>3570042</v>
      </c>
      <c r="G153">
        <v>0.01</v>
      </c>
      <c r="H153">
        <v>104.67</v>
      </c>
      <c r="I153">
        <v>104.66</v>
      </c>
      <c r="J153" s="225">
        <v>44981</v>
      </c>
      <c r="K153" s="225">
        <v>45050</v>
      </c>
      <c r="L153">
        <v>540</v>
      </c>
      <c r="M153" t="s">
        <v>18244</v>
      </c>
      <c r="N153" t="s">
        <v>18245</v>
      </c>
      <c r="O153" s="236">
        <f t="shared" ca="1" si="8"/>
        <v>11</v>
      </c>
      <c r="P153">
        <f t="shared" ca="1" si="9"/>
        <v>0</v>
      </c>
      <c r="Q153">
        <f t="shared" si="10"/>
        <v>8400</v>
      </c>
      <c r="R153" t="str">
        <f t="shared" si="11"/>
        <v>0</v>
      </c>
    </row>
    <row r="154" spans="1:18">
      <c r="A154">
        <v>3112</v>
      </c>
      <c r="B154">
        <v>84000700</v>
      </c>
      <c r="C154" t="s">
        <v>18061</v>
      </c>
      <c r="D154" t="s">
        <v>18264</v>
      </c>
      <c r="E154">
        <v>2022</v>
      </c>
      <c r="F154">
        <v>3579893</v>
      </c>
      <c r="G154">
        <v>0.01</v>
      </c>
      <c r="H154">
        <v>82.53</v>
      </c>
      <c r="I154">
        <v>82.52</v>
      </c>
      <c r="J154" s="225">
        <v>45050</v>
      </c>
      <c r="K154" s="225">
        <v>45051</v>
      </c>
      <c r="L154">
        <v>540</v>
      </c>
      <c r="M154" t="s">
        <v>18247</v>
      </c>
      <c r="N154" t="s">
        <v>18248</v>
      </c>
      <c r="O154" s="236">
        <f t="shared" ca="1" si="8"/>
        <v>19</v>
      </c>
      <c r="P154">
        <f t="shared" ca="1" si="9"/>
        <v>0</v>
      </c>
      <c r="Q154">
        <f t="shared" si="10"/>
        <v>8400</v>
      </c>
      <c r="R154" t="str">
        <f t="shared" si="11"/>
        <v>0</v>
      </c>
    </row>
    <row r="155" spans="1:18">
      <c r="A155">
        <v>3112</v>
      </c>
      <c r="B155">
        <v>84000700</v>
      </c>
      <c r="C155" t="s">
        <v>18061</v>
      </c>
      <c r="D155" t="s">
        <v>18265</v>
      </c>
      <c r="E155">
        <v>2022</v>
      </c>
      <c r="F155">
        <v>3593508</v>
      </c>
      <c r="G155">
        <v>0.02</v>
      </c>
      <c r="H155">
        <v>155</v>
      </c>
      <c r="I155">
        <v>154.97999999999999</v>
      </c>
      <c r="J155" s="225">
        <v>45050</v>
      </c>
      <c r="K155" s="225">
        <v>45077</v>
      </c>
      <c r="L155">
        <v>540</v>
      </c>
      <c r="M155" t="s">
        <v>18213</v>
      </c>
      <c r="N155" t="s">
        <v>18214</v>
      </c>
      <c r="O155" s="236">
        <f t="shared" ca="1" si="8"/>
        <v>32</v>
      </c>
      <c r="P155">
        <f t="shared" ca="1" si="9"/>
        <v>0</v>
      </c>
      <c r="Q155">
        <f t="shared" si="10"/>
        <v>8400</v>
      </c>
      <c r="R155" t="str">
        <f t="shared" si="11"/>
        <v>0</v>
      </c>
    </row>
    <row r="156" spans="1:18">
      <c r="A156">
        <v>3112</v>
      </c>
      <c r="B156">
        <v>84001100</v>
      </c>
      <c r="C156" t="s">
        <v>18062</v>
      </c>
      <c r="D156" t="s">
        <v>18266</v>
      </c>
      <c r="E156">
        <v>2022</v>
      </c>
      <c r="F156">
        <v>3508867</v>
      </c>
      <c r="G156">
        <v>0.02</v>
      </c>
      <c r="H156">
        <v>171.67</v>
      </c>
      <c r="I156">
        <v>171.65</v>
      </c>
      <c r="J156" s="225">
        <v>44839</v>
      </c>
      <c r="K156" s="225">
        <v>44858</v>
      </c>
      <c r="L156">
        <v>540</v>
      </c>
      <c r="M156" t="s">
        <v>18177</v>
      </c>
      <c r="N156" t="s">
        <v>18178</v>
      </c>
      <c r="O156" s="236">
        <f t="shared" ca="1" si="8"/>
        <v>-42</v>
      </c>
      <c r="P156">
        <f t="shared" ca="1" si="9"/>
        <v>8400</v>
      </c>
      <c r="Q156">
        <f t="shared" si="10"/>
        <v>8400</v>
      </c>
      <c r="R156" t="str">
        <f t="shared" si="11"/>
        <v>4</v>
      </c>
    </row>
    <row r="157" spans="1:18">
      <c r="A157">
        <v>3112</v>
      </c>
      <c r="B157">
        <v>84006900</v>
      </c>
      <c r="C157" t="s">
        <v>343</v>
      </c>
      <c r="D157" t="s">
        <v>18267</v>
      </c>
      <c r="E157">
        <v>2019</v>
      </c>
      <c r="F157" t="s">
        <v>18268</v>
      </c>
      <c r="G157">
        <v>0.01</v>
      </c>
      <c r="H157">
        <v>135</v>
      </c>
      <c r="I157">
        <v>134.99</v>
      </c>
      <c r="J157" s="225">
        <v>43581</v>
      </c>
      <c r="K157" s="225">
        <v>43614</v>
      </c>
      <c r="L157">
        <v>365</v>
      </c>
      <c r="O157" s="236">
        <f t="shared" ca="1" si="8"/>
        <v>-45408</v>
      </c>
      <c r="P157">
        <f t="shared" ca="1" si="9"/>
        <v>8400</v>
      </c>
      <c r="Q157">
        <f t="shared" si="10"/>
        <v>8400</v>
      </c>
      <c r="R157" t="str">
        <f t="shared" si="11"/>
        <v>0</v>
      </c>
    </row>
    <row r="158" spans="1:18">
      <c r="A158">
        <v>3112</v>
      </c>
      <c r="B158">
        <v>84006900</v>
      </c>
      <c r="C158" t="s">
        <v>343</v>
      </c>
      <c r="D158" t="s">
        <v>18269</v>
      </c>
      <c r="E158">
        <v>2019</v>
      </c>
      <c r="F158" t="s">
        <v>18270</v>
      </c>
      <c r="G158">
        <v>0.01</v>
      </c>
      <c r="H158">
        <v>135</v>
      </c>
      <c r="I158">
        <v>134.99</v>
      </c>
      <c r="J158" s="225">
        <v>43720</v>
      </c>
      <c r="K158" s="225">
        <v>43725</v>
      </c>
      <c r="L158">
        <v>365</v>
      </c>
      <c r="O158" s="236">
        <f t="shared" ca="1" si="8"/>
        <v>-45408</v>
      </c>
      <c r="P158">
        <f t="shared" ca="1" si="9"/>
        <v>8400</v>
      </c>
      <c r="Q158">
        <f t="shared" si="10"/>
        <v>8400</v>
      </c>
      <c r="R158" t="str">
        <f t="shared" si="11"/>
        <v>0</v>
      </c>
    </row>
    <row r="159" spans="1:18">
      <c r="A159">
        <v>3112</v>
      </c>
      <c r="B159">
        <v>84006900</v>
      </c>
      <c r="C159" t="s">
        <v>343</v>
      </c>
      <c r="D159" t="s">
        <v>18271</v>
      </c>
      <c r="E159">
        <v>2020</v>
      </c>
      <c r="F159" t="s">
        <v>18272</v>
      </c>
      <c r="G159">
        <v>0.01</v>
      </c>
      <c r="H159">
        <v>135</v>
      </c>
      <c r="I159">
        <v>134.99</v>
      </c>
      <c r="J159" s="225">
        <v>43832</v>
      </c>
      <c r="K159" s="225">
        <v>43844</v>
      </c>
      <c r="L159">
        <v>365</v>
      </c>
      <c r="O159" s="236">
        <f t="shared" ca="1" si="8"/>
        <v>-45408</v>
      </c>
      <c r="P159">
        <f t="shared" ca="1" si="9"/>
        <v>8400</v>
      </c>
      <c r="Q159">
        <f t="shared" si="10"/>
        <v>8400</v>
      </c>
      <c r="R159" t="str">
        <f t="shared" si="11"/>
        <v>0</v>
      </c>
    </row>
    <row r="160" spans="1:18">
      <c r="A160">
        <v>3112</v>
      </c>
      <c r="B160">
        <v>84006900</v>
      </c>
      <c r="C160" t="s">
        <v>343</v>
      </c>
      <c r="D160" t="s">
        <v>18273</v>
      </c>
      <c r="E160">
        <v>2020</v>
      </c>
      <c r="F160" t="s">
        <v>18274</v>
      </c>
      <c r="G160">
        <v>0.01</v>
      </c>
      <c r="H160">
        <v>135</v>
      </c>
      <c r="I160">
        <v>134.99</v>
      </c>
      <c r="J160" s="225">
        <v>43847</v>
      </c>
      <c r="K160" s="225">
        <v>43854</v>
      </c>
      <c r="L160">
        <v>365</v>
      </c>
      <c r="O160" s="236">
        <f t="shared" ca="1" si="8"/>
        <v>-45408</v>
      </c>
      <c r="P160">
        <f t="shared" ca="1" si="9"/>
        <v>8400</v>
      </c>
      <c r="Q160">
        <f t="shared" si="10"/>
        <v>8400</v>
      </c>
      <c r="R160" t="str">
        <f t="shared" si="11"/>
        <v>0</v>
      </c>
    </row>
    <row r="161" spans="1:18">
      <c r="A161">
        <v>3112</v>
      </c>
      <c r="B161">
        <v>84006900</v>
      </c>
      <c r="C161" t="s">
        <v>343</v>
      </c>
      <c r="D161" t="s">
        <v>18275</v>
      </c>
      <c r="E161">
        <v>2020</v>
      </c>
      <c r="F161" t="s">
        <v>18276</v>
      </c>
      <c r="G161">
        <v>0.03</v>
      </c>
      <c r="H161">
        <v>135</v>
      </c>
      <c r="I161">
        <v>134.97</v>
      </c>
      <c r="J161" s="225">
        <v>43854</v>
      </c>
      <c r="K161" s="225">
        <v>43867</v>
      </c>
      <c r="L161">
        <v>365</v>
      </c>
      <c r="O161" s="236">
        <f t="shared" ca="1" si="8"/>
        <v>-45408</v>
      </c>
      <c r="P161">
        <f t="shared" ca="1" si="9"/>
        <v>8400</v>
      </c>
      <c r="Q161">
        <f t="shared" si="10"/>
        <v>8400</v>
      </c>
      <c r="R161" t="str">
        <f t="shared" si="11"/>
        <v>0</v>
      </c>
    </row>
    <row r="162" spans="1:18">
      <c r="A162">
        <v>3112</v>
      </c>
      <c r="B162">
        <v>84006900</v>
      </c>
      <c r="C162" t="s">
        <v>343</v>
      </c>
      <c r="D162" t="s">
        <v>18277</v>
      </c>
      <c r="E162">
        <v>2020</v>
      </c>
      <c r="F162" t="s">
        <v>18278</v>
      </c>
      <c r="G162">
        <v>0.01</v>
      </c>
      <c r="H162">
        <v>135</v>
      </c>
      <c r="I162">
        <v>134.99</v>
      </c>
      <c r="J162" s="225">
        <v>43867</v>
      </c>
      <c r="K162" s="225">
        <v>43882</v>
      </c>
      <c r="L162">
        <v>365</v>
      </c>
      <c r="O162" s="236">
        <f t="shared" ca="1" si="8"/>
        <v>-45408</v>
      </c>
      <c r="P162">
        <f t="shared" ca="1" si="9"/>
        <v>8400</v>
      </c>
      <c r="Q162">
        <f t="shared" si="10"/>
        <v>8400</v>
      </c>
      <c r="R162" t="str">
        <f t="shared" si="11"/>
        <v>0</v>
      </c>
    </row>
    <row r="163" spans="1:18">
      <c r="A163">
        <v>3112</v>
      </c>
      <c r="B163">
        <v>84006900</v>
      </c>
      <c r="C163" t="s">
        <v>343</v>
      </c>
      <c r="D163" t="s">
        <v>18279</v>
      </c>
      <c r="E163">
        <v>2020</v>
      </c>
      <c r="F163" t="s">
        <v>18280</v>
      </c>
      <c r="G163">
        <v>0.01</v>
      </c>
      <c r="H163">
        <v>10.97</v>
      </c>
      <c r="I163">
        <v>10.96</v>
      </c>
      <c r="J163" s="225">
        <v>43908</v>
      </c>
      <c r="K163" s="225">
        <v>43910</v>
      </c>
      <c r="L163">
        <v>365</v>
      </c>
      <c r="O163" s="236">
        <f t="shared" ca="1" si="8"/>
        <v>-45408</v>
      </c>
      <c r="P163">
        <f t="shared" ca="1" si="9"/>
        <v>8400</v>
      </c>
      <c r="Q163">
        <f t="shared" si="10"/>
        <v>8400</v>
      </c>
      <c r="R163" t="str">
        <f t="shared" si="11"/>
        <v>0</v>
      </c>
    </row>
    <row r="164" spans="1:18">
      <c r="A164">
        <v>3112</v>
      </c>
      <c r="B164">
        <v>84006900</v>
      </c>
      <c r="C164" t="s">
        <v>343</v>
      </c>
      <c r="D164" t="s">
        <v>18281</v>
      </c>
      <c r="E164">
        <v>2020</v>
      </c>
      <c r="F164" t="s">
        <v>18282</v>
      </c>
      <c r="G164">
        <v>0.01</v>
      </c>
      <c r="H164">
        <v>3.66</v>
      </c>
      <c r="I164">
        <v>3.65</v>
      </c>
      <c r="J164" s="225">
        <v>43922</v>
      </c>
      <c r="K164" s="225">
        <v>43922</v>
      </c>
      <c r="L164">
        <v>365</v>
      </c>
      <c r="O164" s="236">
        <f t="shared" ca="1" si="8"/>
        <v>-45408</v>
      </c>
      <c r="P164">
        <f t="shared" ca="1" si="9"/>
        <v>8400</v>
      </c>
      <c r="Q164">
        <f t="shared" si="10"/>
        <v>8400</v>
      </c>
      <c r="R164" t="str">
        <f t="shared" si="11"/>
        <v>0</v>
      </c>
    </row>
    <row r="165" spans="1:18">
      <c r="A165">
        <v>3112</v>
      </c>
      <c r="B165">
        <v>84006900</v>
      </c>
      <c r="C165" t="s">
        <v>343</v>
      </c>
      <c r="D165" t="s">
        <v>18283</v>
      </c>
      <c r="E165">
        <v>2021</v>
      </c>
      <c r="F165" t="s">
        <v>18284</v>
      </c>
      <c r="G165">
        <v>-0.01</v>
      </c>
      <c r="H165">
        <v>4.5599999999999996</v>
      </c>
      <c r="I165">
        <v>4.57</v>
      </c>
      <c r="J165" s="225">
        <v>44229</v>
      </c>
      <c r="K165" s="225">
        <v>44235</v>
      </c>
      <c r="L165">
        <v>365</v>
      </c>
      <c r="O165" s="236">
        <f t="shared" ca="1" si="8"/>
        <v>-45408</v>
      </c>
      <c r="P165">
        <f t="shared" ca="1" si="9"/>
        <v>8400</v>
      </c>
      <c r="Q165">
        <f t="shared" si="10"/>
        <v>8400</v>
      </c>
      <c r="R165" t="str">
        <f t="shared" si="11"/>
        <v>0</v>
      </c>
    </row>
    <row r="166" spans="1:18">
      <c r="A166">
        <v>3112</v>
      </c>
      <c r="B166">
        <v>84006900</v>
      </c>
      <c r="C166" t="s">
        <v>343</v>
      </c>
      <c r="D166" t="s">
        <v>18285</v>
      </c>
      <c r="E166">
        <v>2021</v>
      </c>
      <c r="F166" t="s">
        <v>18286</v>
      </c>
      <c r="G166">
        <v>0.01</v>
      </c>
      <c r="H166">
        <v>2.29</v>
      </c>
      <c r="I166">
        <v>2.2799999999999998</v>
      </c>
      <c r="J166" s="225">
        <v>44242</v>
      </c>
      <c r="K166" s="225">
        <v>44242</v>
      </c>
      <c r="L166">
        <v>365</v>
      </c>
      <c r="O166" s="236">
        <f t="shared" ca="1" si="8"/>
        <v>-45408</v>
      </c>
      <c r="P166">
        <f t="shared" ca="1" si="9"/>
        <v>8400</v>
      </c>
      <c r="Q166">
        <f t="shared" si="10"/>
        <v>8400</v>
      </c>
      <c r="R166" t="str">
        <f t="shared" si="11"/>
        <v>0</v>
      </c>
    </row>
    <row r="167" spans="1:18">
      <c r="A167">
        <v>3112</v>
      </c>
      <c r="B167">
        <v>84006900</v>
      </c>
      <c r="C167" t="s">
        <v>343</v>
      </c>
      <c r="D167" t="s">
        <v>18287</v>
      </c>
      <c r="E167">
        <v>2021</v>
      </c>
      <c r="F167" t="s">
        <v>18288</v>
      </c>
      <c r="G167">
        <v>0.01</v>
      </c>
      <c r="H167">
        <v>135</v>
      </c>
      <c r="I167">
        <v>134.99</v>
      </c>
      <c r="J167" s="225">
        <v>44242</v>
      </c>
      <c r="K167" s="225">
        <v>44249</v>
      </c>
      <c r="L167">
        <v>365</v>
      </c>
      <c r="O167" s="236">
        <f t="shared" ca="1" si="8"/>
        <v>-45408</v>
      </c>
      <c r="P167">
        <f t="shared" ca="1" si="9"/>
        <v>8400</v>
      </c>
      <c r="Q167">
        <f t="shared" si="10"/>
        <v>8400</v>
      </c>
      <c r="R167" t="str">
        <f t="shared" si="11"/>
        <v>0</v>
      </c>
    </row>
    <row r="168" spans="1:18">
      <c r="A168">
        <v>3112</v>
      </c>
      <c r="B168">
        <v>84006900</v>
      </c>
      <c r="C168" t="s">
        <v>343</v>
      </c>
      <c r="D168" t="s">
        <v>18289</v>
      </c>
      <c r="E168">
        <v>2021</v>
      </c>
      <c r="F168" t="s">
        <v>18290</v>
      </c>
      <c r="G168">
        <v>-0.01</v>
      </c>
      <c r="H168">
        <v>131.6</v>
      </c>
      <c r="I168">
        <v>131.61000000000001</v>
      </c>
      <c r="J168" s="225">
        <v>44279</v>
      </c>
      <c r="K168" s="225">
        <v>44281</v>
      </c>
      <c r="L168">
        <v>365</v>
      </c>
      <c r="O168" s="236">
        <f t="shared" ca="1" si="8"/>
        <v>-45408</v>
      </c>
      <c r="P168">
        <f t="shared" ca="1" si="9"/>
        <v>8400</v>
      </c>
      <c r="Q168">
        <f t="shared" si="10"/>
        <v>8400</v>
      </c>
      <c r="R168" t="str">
        <f t="shared" si="11"/>
        <v>0</v>
      </c>
    </row>
    <row r="169" spans="1:18">
      <c r="A169">
        <v>3112</v>
      </c>
      <c r="B169">
        <v>84006900</v>
      </c>
      <c r="C169" t="s">
        <v>343</v>
      </c>
      <c r="D169" t="s">
        <v>18291</v>
      </c>
      <c r="E169">
        <v>2021</v>
      </c>
      <c r="F169" t="s">
        <v>18292</v>
      </c>
      <c r="G169">
        <v>-0.01</v>
      </c>
      <c r="H169">
        <v>93.6</v>
      </c>
      <c r="I169">
        <v>93.61</v>
      </c>
      <c r="J169" s="225">
        <v>44313</v>
      </c>
      <c r="K169" s="225">
        <v>44340</v>
      </c>
      <c r="L169">
        <v>365</v>
      </c>
      <c r="O169" s="236">
        <f t="shared" ca="1" si="8"/>
        <v>-45408</v>
      </c>
      <c r="P169">
        <f t="shared" ca="1" si="9"/>
        <v>8400</v>
      </c>
      <c r="Q169">
        <f t="shared" si="10"/>
        <v>8400</v>
      </c>
      <c r="R169" t="str">
        <f t="shared" si="11"/>
        <v>0</v>
      </c>
    </row>
    <row r="170" spans="1:18">
      <c r="A170">
        <v>3112</v>
      </c>
      <c r="B170">
        <v>84006900</v>
      </c>
      <c r="C170" t="s">
        <v>343</v>
      </c>
      <c r="D170" t="s">
        <v>18293</v>
      </c>
      <c r="E170">
        <v>2021</v>
      </c>
      <c r="F170" t="s">
        <v>18294</v>
      </c>
      <c r="G170">
        <v>0.02</v>
      </c>
      <c r="H170">
        <v>91.4</v>
      </c>
      <c r="I170">
        <v>91.38</v>
      </c>
      <c r="J170" s="225">
        <v>44340</v>
      </c>
      <c r="K170" s="225">
        <v>44344</v>
      </c>
      <c r="L170">
        <v>365</v>
      </c>
      <c r="O170" s="236">
        <f t="shared" ca="1" si="8"/>
        <v>-45408</v>
      </c>
      <c r="P170">
        <f t="shared" ca="1" si="9"/>
        <v>8400</v>
      </c>
      <c r="Q170">
        <f t="shared" si="10"/>
        <v>8400</v>
      </c>
      <c r="R170" t="str">
        <f t="shared" si="11"/>
        <v>0</v>
      </c>
    </row>
    <row r="171" spans="1:18">
      <c r="A171">
        <v>3112</v>
      </c>
      <c r="B171">
        <v>84006900</v>
      </c>
      <c r="C171" t="s">
        <v>343</v>
      </c>
      <c r="D171" t="s">
        <v>18295</v>
      </c>
      <c r="E171">
        <v>2021</v>
      </c>
      <c r="F171" t="s">
        <v>18296</v>
      </c>
      <c r="G171">
        <v>0.01</v>
      </c>
      <c r="H171">
        <v>46.61</v>
      </c>
      <c r="I171">
        <v>46.6</v>
      </c>
      <c r="J171" s="225">
        <v>44382</v>
      </c>
      <c r="K171" s="225">
        <v>44412</v>
      </c>
      <c r="L171">
        <v>365</v>
      </c>
      <c r="O171" s="236">
        <f t="shared" ca="1" si="8"/>
        <v>-45408</v>
      </c>
      <c r="P171">
        <f t="shared" ca="1" si="9"/>
        <v>8400</v>
      </c>
      <c r="Q171">
        <f t="shared" si="10"/>
        <v>8400</v>
      </c>
      <c r="R171" t="str">
        <f t="shared" si="11"/>
        <v>0</v>
      </c>
    </row>
    <row r="172" spans="1:18">
      <c r="A172">
        <v>3112</v>
      </c>
      <c r="B172">
        <v>84006900</v>
      </c>
      <c r="C172" t="s">
        <v>343</v>
      </c>
      <c r="D172" t="s">
        <v>18297</v>
      </c>
      <c r="E172">
        <v>2021</v>
      </c>
      <c r="F172" t="s">
        <v>18298</v>
      </c>
      <c r="G172">
        <v>0.01</v>
      </c>
      <c r="H172">
        <v>45.7</v>
      </c>
      <c r="I172">
        <v>45.69</v>
      </c>
      <c r="J172" s="225">
        <v>44432</v>
      </c>
      <c r="K172" s="225">
        <v>44435</v>
      </c>
      <c r="L172">
        <v>365</v>
      </c>
      <c r="O172" s="236">
        <f t="shared" ca="1" si="8"/>
        <v>-45408</v>
      </c>
      <c r="P172">
        <f t="shared" ca="1" si="9"/>
        <v>8400</v>
      </c>
      <c r="Q172">
        <f t="shared" si="10"/>
        <v>8400</v>
      </c>
      <c r="R172" t="str">
        <f t="shared" si="11"/>
        <v>0</v>
      </c>
    </row>
    <row r="173" spans="1:18">
      <c r="A173">
        <v>3112</v>
      </c>
      <c r="B173">
        <v>84006900</v>
      </c>
      <c r="C173" t="s">
        <v>343</v>
      </c>
      <c r="D173" t="s">
        <v>18299</v>
      </c>
      <c r="E173">
        <v>2021</v>
      </c>
      <c r="F173" t="s">
        <v>18300</v>
      </c>
      <c r="G173">
        <v>0.01</v>
      </c>
      <c r="H173">
        <v>45.7</v>
      </c>
      <c r="I173">
        <v>45.69</v>
      </c>
      <c r="J173" s="225">
        <v>44434</v>
      </c>
      <c r="K173" s="225">
        <v>44438</v>
      </c>
      <c r="L173">
        <v>365</v>
      </c>
      <c r="O173" s="236">
        <f t="shared" ca="1" si="8"/>
        <v>-45408</v>
      </c>
      <c r="P173">
        <f t="shared" ca="1" si="9"/>
        <v>8400</v>
      </c>
      <c r="Q173">
        <f t="shared" si="10"/>
        <v>8400</v>
      </c>
      <c r="R173" t="str">
        <f t="shared" si="11"/>
        <v>0</v>
      </c>
    </row>
    <row r="174" spans="1:18">
      <c r="A174">
        <v>3112</v>
      </c>
      <c r="B174">
        <v>84006900</v>
      </c>
      <c r="C174" t="s">
        <v>343</v>
      </c>
      <c r="D174" t="s">
        <v>18301</v>
      </c>
      <c r="E174">
        <v>2021</v>
      </c>
      <c r="F174" t="s">
        <v>18302</v>
      </c>
      <c r="G174">
        <v>0.01</v>
      </c>
      <c r="H174">
        <v>45.7</v>
      </c>
      <c r="I174">
        <v>45.69</v>
      </c>
      <c r="J174" s="225">
        <v>44448</v>
      </c>
      <c r="K174" s="225">
        <v>44453</v>
      </c>
      <c r="L174">
        <v>365</v>
      </c>
      <c r="O174" s="236">
        <f t="shared" ca="1" si="8"/>
        <v>-45408</v>
      </c>
      <c r="P174">
        <f t="shared" ca="1" si="9"/>
        <v>8400</v>
      </c>
      <c r="Q174">
        <f t="shared" si="10"/>
        <v>8400</v>
      </c>
      <c r="R174" t="str">
        <f t="shared" si="11"/>
        <v>0</v>
      </c>
    </row>
    <row r="175" spans="1:18">
      <c r="A175">
        <v>3112</v>
      </c>
      <c r="B175">
        <v>84006900</v>
      </c>
      <c r="C175" t="s">
        <v>343</v>
      </c>
      <c r="D175" t="s">
        <v>18303</v>
      </c>
      <c r="E175">
        <v>2021</v>
      </c>
      <c r="F175" t="s">
        <v>18304</v>
      </c>
      <c r="G175">
        <v>0.01</v>
      </c>
      <c r="H175">
        <v>45.7</v>
      </c>
      <c r="I175">
        <v>45.69</v>
      </c>
      <c r="J175" s="225">
        <v>44488</v>
      </c>
      <c r="K175" s="225">
        <v>44490</v>
      </c>
      <c r="L175">
        <v>365</v>
      </c>
      <c r="O175" s="236">
        <f t="shared" ca="1" si="8"/>
        <v>-45408</v>
      </c>
      <c r="P175">
        <f t="shared" ref="P175:P238" ca="1" si="12">IF(O175&lt;4,MID(B175,1,4)*1,0)</f>
        <v>8400</v>
      </c>
      <c r="Q175">
        <f t="shared" ref="Q175:Q238" si="13">MID(B175,1,4)*1</f>
        <v>8400</v>
      </c>
      <c r="R175" t="str">
        <f t="shared" si="11"/>
        <v>0</v>
      </c>
    </row>
    <row r="176" spans="1:18">
      <c r="A176">
        <v>3112</v>
      </c>
      <c r="B176">
        <v>84006900</v>
      </c>
      <c r="C176" t="s">
        <v>343</v>
      </c>
      <c r="D176" t="s">
        <v>18305</v>
      </c>
      <c r="E176">
        <v>2021</v>
      </c>
      <c r="F176" t="s">
        <v>18306</v>
      </c>
      <c r="G176">
        <v>0.01</v>
      </c>
      <c r="H176">
        <v>45.7</v>
      </c>
      <c r="I176">
        <v>45.69</v>
      </c>
      <c r="J176" s="225">
        <v>44494</v>
      </c>
      <c r="K176" s="225">
        <v>44502</v>
      </c>
      <c r="L176">
        <v>365</v>
      </c>
      <c r="O176" s="236">
        <f t="shared" ca="1" si="8"/>
        <v>-45408</v>
      </c>
      <c r="P176">
        <f t="shared" ca="1" si="12"/>
        <v>8400</v>
      </c>
      <c r="Q176">
        <f t="shared" si="13"/>
        <v>8400</v>
      </c>
      <c r="R176" t="str">
        <f t="shared" si="11"/>
        <v>0</v>
      </c>
    </row>
    <row r="177" spans="1:18">
      <c r="A177">
        <v>3112</v>
      </c>
      <c r="B177">
        <v>84006900</v>
      </c>
      <c r="C177" t="s">
        <v>343</v>
      </c>
      <c r="D177" t="s">
        <v>18307</v>
      </c>
      <c r="E177">
        <v>2021</v>
      </c>
      <c r="F177" t="s">
        <v>18308</v>
      </c>
      <c r="G177">
        <v>0.01</v>
      </c>
      <c r="H177">
        <v>5.49</v>
      </c>
      <c r="I177">
        <v>5.48</v>
      </c>
      <c r="J177" s="225">
        <v>44526</v>
      </c>
      <c r="K177" s="225">
        <v>44530</v>
      </c>
      <c r="L177">
        <v>365</v>
      </c>
      <c r="O177" s="236">
        <f t="shared" ca="1" si="8"/>
        <v>-45408</v>
      </c>
      <c r="P177">
        <f t="shared" ca="1" si="12"/>
        <v>8400</v>
      </c>
      <c r="Q177">
        <f t="shared" si="13"/>
        <v>8400</v>
      </c>
      <c r="R177" t="str">
        <f t="shared" si="11"/>
        <v>0</v>
      </c>
    </row>
    <row r="178" spans="1:18">
      <c r="A178">
        <v>3112</v>
      </c>
      <c r="B178">
        <v>84006900</v>
      </c>
      <c r="C178" t="s">
        <v>343</v>
      </c>
      <c r="D178" t="s">
        <v>18309</v>
      </c>
      <c r="E178">
        <v>2021</v>
      </c>
      <c r="F178" t="s">
        <v>18310</v>
      </c>
      <c r="G178">
        <v>0.01</v>
      </c>
      <c r="H178">
        <v>45.68</v>
      </c>
      <c r="I178">
        <v>45.67</v>
      </c>
      <c r="J178" s="225">
        <v>44523</v>
      </c>
      <c r="K178" s="225">
        <v>44539</v>
      </c>
      <c r="L178">
        <v>365</v>
      </c>
      <c r="O178" s="236">
        <f t="shared" ca="1" si="8"/>
        <v>-45408</v>
      </c>
      <c r="P178">
        <f t="shared" ca="1" si="12"/>
        <v>8400</v>
      </c>
      <c r="Q178">
        <f t="shared" si="13"/>
        <v>8400</v>
      </c>
      <c r="R178" t="str">
        <f t="shared" si="11"/>
        <v>0</v>
      </c>
    </row>
    <row r="179" spans="1:18">
      <c r="A179">
        <v>3112</v>
      </c>
      <c r="B179">
        <v>84006900</v>
      </c>
      <c r="C179" t="s">
        <v>343</v>
      </c>
      <c r="D179" t="s">
        <v>18311</v>
      </c>
      <c r="E179">
        <v>2021</v>
      </c>
      <c r="F179" t="s">
        <v>18312</v>
      </c>
      <c r="G179">
        <v>0.02</v>
      </c>
      <c r="H179">
        <v>135</v>
      </c>
      <c r="I179">
        <v>134.97999999999999</v>
      </c>
      <c r="J179" s="225">
        <v>44530</v>
      </c>
      <c r="K179" s="225">
        <v>44539</v>
      </c>
      <c r="L179">
        <v>365</v>
      </c>
      <c r="O179" s="236">
        <f t="shared" ca="1" si="8"/>
        <v>-45408</v>
      </c>
      <c r="P179">
        <f t="shared" ca="1" si="12"/>
        <v>8400</v>
      </c>
      <c r="Q179">
        <f t="shared" si="13"/>
        <v>8400</v>
      </c>
      <c r="R179" t="str">
        <f t="shared" si="11"/>
        <v>0</v>
      </c>
    </row>
    <row r="180" spans="1:18">
      <c r="A180">
        <v>3112</v>
      </c>
      <c r="B180">
        <v>84006900</v>
      </c>
      <c r="C180" t="s">
        <v>343</v>
      </c>
      <c r="D180" t="s">
        <v>18313</v>
      </c>
      <c r="E180">
        <v>2021</v>
      </c>
      <c r="F180" t="s">
        <v>18314</v>
      </c>
      <c r="G180">
        <v>0.01</v>
      </c>
      <c r="H180">
        <v>68.55</v>
      </c>
      <c r="I180">
        <v>68.540000000000006</v>
      </c>
      <c r="J180" s="225">
        <v>44533</v>
      </c>
      <c r="K180" s="225">
        <v>44539</v>
      </c>
      <c r="L180">
        <v>365</v>
      </c>
      <c r="O180" s="236">
        <f t="shared" ca="1" si="8"/>
        <v>-45408</v>
      </c>
      <c r="P180">
        <f t="shared" ca="1" si="12"/>
        <v>8400</v>
      </c>
      <c r="Q180">
        <f t="shared" si="13"/>
        <v>8400</v>
      </c>
      <c r="R180" t="str">
        <f t="shared" si="11"/>
        <v>0</v>
      </c>
    </row>
    <row r="181" spans="1:18">
      <c r="A181">
        <v>3112</v>
      </c>
      <c r="B181">
        <v>84006900</v>
      </c>
      <c r="C181" t="s">
        <v>343</v>
      </c>
      <c r="D181" t="s">
        <v>18315</v>
      </c>
      <c r="E181">
        <v>2021</v>
      </c>
      <c r="F181" t="s">
        <v>18316</v>
      </c>
      <c r="G181">
        <v>0.02</v>
      </c>
      <c r="H181">
        <v>135</v>
      </c>
      <c r="I181">
        <v>134.97999999999999</v>
      </c>
      <c r="J181" s="225">
        <v>44539</v>
      </c>
      <c r="K181" s="225">
        <v>44547</v>
      </c>
      <c r="L181">
        <v>365</v>
      </c>
      <c r="O181" s="236">
        <f t="shared" ca="1" si="8"/>
        <v>-45408</v>
      </c>
      <c r="P181">
        <f t="shared" ca="1" si="12"/>
        <v>8400</v>
      </c>
      <c r="Q181">
        <f t="shared" si="13"/>
        <v>8400</v>
      </c>
      <c r="R181" t="str">
        <f t="shared" si="11"/>
        <v>0</v>
      </c>
    </row>
    <row r="182" spans="1:18">
      <c r="A182">
        <v>3112</v>
      </c>
      <c r="B182">
        <v>84006900</v>
      </c>
      <c r="C182" t="s">
        <v>343</v>
      </c>
      <c r="D182" t="s">
        <v>18317</v>
      </c>
      <c r="E182">
        <v>2021</v>
      </c>
      <c r="F182" t="s">
        <v>18318</v>
      </c>
      <c r="G182">
        <v>0.01</v>
      </c>
      <c r="H182">
        <v>137.1</v>
      </c>
      <c r="I182">
        <v>137.09</v>
      </c>
      <c r="J182" s="225">
        <v>44544</v>
      </c>
      <c r="K182" s="225">
        <v>44557</v>
      </c>
      <c r="L182">
        <v>365</v>
      </c>
      <c r="O182" s="236">
        <f t="shared" ca="1" si="8"/>
        <v>-45408</v>
      </c>
      <c r="P182">
        <f t="shared" ca="1" si="12"/>
        <v>8400</v>
      </c>
      <c r="Q182">
        <f t="shared" si="13"/>
        <v>8400</v>
      </c>
      <c r="R182" t="str">
        <f t="shared" si="11"/>
        <v>0</v>
      </c>
    </row>
    <row r="183" spans="1:18">
      <c r="A183">
        <v>3112</v>
      </c>
      <c r="B183">
        <v>84006900</v>
      </c>
      <c r="C183" t="s">
        <v>343</v>
      </c>
      <c r="D183" t="s">
        <v>18319</v>
      </c>
      <c r="E183">
        <v>2021</v>
      </c>
      <c r="F183" t="s">
        <v>18320</v>
      </c>
      <c r="G183">
        <v>0.01</v>
      </c>
      <c r="H183">
        <v>54.84</v>
      </c>
      <c r="I183">
        <v>54.83</v>
      </c>
      <c r="J183" s="225">
        <v>44550</v>
      </c>
      <c r="K183" s="225">
        <v>44553</v>
      </c>
      <c r="L183">
        <v>365</v>
      </c>
      <c r="O183" s="236">
        <f t="shared" ca="1" si="8"/>
        <v>-45408</v>
      </c>
      <c r="P183">
        <f t="shared" ca="1" si="12"/>
        <v>8400</v>
      </c>
      <c r="Q183">
        <f t="shared" si="13"/>
        <v>8400</v>
      </c>
      <c r="R183" t="str">
        <f t="shared" si="11"/>
        <v>0</v>
      </c>
    </row>
    <row r="184" spans="1:18">
      <c r="A184">
        <v>3112</v>
      </c>
      <c r="B184">
        <v>84006900</v>
      </c>
      <c r="C184" t="s">
        <v>343</v>
      </c>
      <c r="D184" t="s">
        <v>18321</v>
      </c>
      <c r="E184">
        <v>2022</v>
      </c>
      <c r="F184" t="s">
        <v>18322</v>
      </c>
      <c r="G184">
        <v>0.01</v>
      </c>
      <c r="H184">
        <v>73.12</v>
      </c>
      <c r="I184">
        <v>73.11</v>
      </c>
      <c r="J184" s="225">
        <v>44564</v>
      </c>
      <c r="K184" s="225">
        <v>44565</v>
      </c>
      <c r="L184">
        <v>365</v>
      </c>
      <c r="O184" s="236">
        <f t="shared" ca="1" si="8"/>
        <v>-45408</v>
      </c>
      <c r="P184">
        <f t="shared" ca="1" si="12"/>
        <v>8400</v>
      </c>
      <c r="Q184">
        <f t="shared" si="13"/>
        <v>8400</v>
      </c>
      <c r="R184" t="str">
        <f t="shared" si="11"/>
        <v>0</v>
      </c>
    </row>
    <row r="185" spans="1:18">
      <c r="A185">
        <v>3112</v>
      </c>
      <c r="B185">
        <v>84006900</v>
      </c>
      <c r="C185" t="s">
        <v>343</v>
      </c>
      <c r="D185" t="s">
        <v>18323</v>
      </c>
      <c r="E185">
        <v>2021</v>
      </c>
      <c r="F185" t="s">
        <v>18324</v>
      </c>
      <c r="G185">
        <v>0.01</v>
      </c>
      <c r="H185">
        <v>99</v>
      </c>
      <c r="I185">
        <v>98.99</v>
      </c>
      <c r="J185" s="225">
        <v>44557</v>
      </c>
      <c r="K185" s="225">
        <v>44578</v>
      </c>
      <c r="L185">
        <v>365</v>
      </c>
      <c r="O185" s="236">
        <f t="shared" ca="1" si="8"/>
        <v>-45408</v>
      </c>
      <c r="P185">
        <f t="shared" ca="1" si="12"/>
        <v>8400</v>
      </c>
      <c r="Q185">
        <f t="shared" si="13"/>
        <v>8400</v>
      </c>
      <c r="R185" t="str">
        <f t="shared" si="11"/>
        <v>0</v>
      </c>
    </row>
    <row r="186" spans="1:18">
      <c r="A186">
        <v>3112</v>
      </c>
      <c r="B186">
        <v>84006900</v>
      </c>
      <c r="C186" t="s">
        <v>343</v>
      </c>
      <c r="D186" t="s">
        <v>18325</v>
      </c>
      <c r="E186">
        <v>2022</v>
      </c>
      <c r="F186" t="s">
        <v>18326</v>
      </c>
      <c r="G186">
        <v>0.02</v>
      </c>
      <c r="H186">
        <v>73.12</v>
      </c>
      <c r="I186">
        <v>73.099999999999994</v>
      </c>
      <c r="J186" s="225">
        <v>44578</v>
      </c>
      <c r="K186" s="225">
        <v>44580</v>
      </c>
      <c r="L186">
        <v>365</v>
      </c>
      <c r="O186" s="236">
        <f t="shared" ca="1" si="8"/>
        <v>-45408</v>
      </c>
      <c r="P186">
        <f t="shared" ca="1" si="12"/>
        <v>8400</v>
      </c>
      <c r="Q186">
        <f t="shared" si="13"/>
        <v>8400</v>
      </c>
      <c r="R186" t="str">
        <f t="shared" si="11"/>
        <v>0</v>
      </c>
    </row>
    <row r="187" spans="1:18">
      <c r="A187">
        <v>3112</v>
      </c>
      <c r="B187">
        <v>84006900</v>
      </c>
      <c r="C187" t="s">
        <v>343</v>
      </c>
      <c r="D187" t="s">
        <v>18327</v>
      </c>
      <c r="E187">
        <v>2022</v>
      </c>
      <c r="F187" t="s">
        <v>18328</v>
      </c>
      <c r="G187">
        <v>0.01</v>
      </c>
      <c r="H187">
        <v>73.12</v>
      </c>
      <c r="I187">
        <v>73.11</v>
      </c>
      <c r="J187" s="225">
        <v>44580</v>
      </c>
      <c r="K187" s="225">
        <v>44582</v>
      </c>
      <c r="L187">
        <v>365</v>
      </c>
      <c r="O187" s="236">
        <f t="shared" ca="1" si="8"/>
        <v>-45408</v>
      </c>
      <c r="P187">
        <f t="shared" ca="1" si="12"/>
        <v>8400</v>
      </c>
      <c r="Q187">
        <f t="shared" si="13"/>
        <v>8400</v>
      </c>
      <c r="R187" t="str">
        <f t="shared" si="11"/>
        <v>0</v>
      </c>
    </row>
    <row r="188" spans="1:18">
      <c r="A188">
        <v>3112</v>
      </c>
      <c r="B188">
        <v>84006900</v>
      </c>
      <c r="C188" t="s">
        <v>343</v>
      </c>
      <c r="D188" t="s">
        <v>18329</v>
      </c>
      <c r="E188">
        <v>2022</v>
      </c>
      <c r="F188" t="s">
        <v>18330</v>
      </c>
      <c r="G188">
        <v>0.01</v>
      </c>
      <c r="H188">
        <v>68.55</v>
      </c>
      <c r="I188">
        <v>68.540000000000006</v>
      </c>
      <c r="J188" s="225">
        <v>44574</v>
      </c>
      <c r="K188" s="225">
        <v>44580</v>
      </c>
      <c r="L188">
        <v>365</v>
      </c>
      <c r="O188" s="236">
        <f t="shared" ca="1" si="8"/>
        <v>-45408</v>
      </c>
      <c r="P188">
        <f t="shared" ca="1" si="12"/>
        <v>8400</v>
      </c>
      <c r="Q188">
        <f t="shared" si="13"/>
        <v>8400</v>
      </c>
      <c r="R188" t="str">
        <f t="shared" si="11"/>
        <v>0</v>
      </c>
    </row>
    <row r="189" spans="1:18">
      <c r="A189">
        <v>3112</v>
      </c>
      <c r="B189">
        <v>84006900</v>
      </c>
      <c r="C189" t="s">
        <v>343</v>
      </c>
      <c r="D189" t="s">
        <v>18331</v>
      </c>
      <c r="E189">
        <v>2022</v>
      </c>
      <c r="F189" t="s">
        <v>18332</v>
      </c>
      <c r="G189">
        <v>0.01</v>
      </c>
      <c r="H189">
        <v>54.84</v>
      </c>
      <c r="I189">
        <v>54.83</v>
      </c>
      <c r="J189" s="225">
        <v>44585</v>
      </c>
      <c r="K189" s="225">
        <v>44588</v>
      </c>
      <c r="L189">
        <v>365</v>
      </c>
      <c r="O189" s="236">
        <f t="shared" ca="1" si="8"/>
        <v>-45408</v>
      </c>
      <c r="P189">
        <f t="shared" ca="1" si="12"/>
        <v>8400</v>
      </c>
      <c r="Q189">
        <f t="shared" si="13"/>
        <v>8400</v>
      </c>
      <c r="R189" t="str">
        <f t="shared" si="11"/>
        <v>0</v>
      </c>
    </row>
    <row r="190" spans="1:18">
      <c r="A190">
        <v>3112</v>
      </c>
      <c r="B190">
        <v>84006900</v>
      </c>
      <c r="C190" t="s">
        <v>343</v>
      </c>
      <c r="D190" t="s">
        <v>18333</v>
      </c>
      <c r="E190">
        <v>2022</v>
      </c>
      <c r="F190" t="s">
        <v>18334</v>
      </c>
      <c r="G190">
        <v>0.01</v>
      </c>
      <c r="H190">
        <v>32.9</v>
      </c>
      <c r="I190">
        <v>32.89</v>
      </c>
      <c r="J190" s="225">
        <v>44586</v>
      </c>
      <c r="K190" s="225">
        <v>44599</v>
      </c>
      <c r="L190">
        <v>365</v>
      </c>
      <c r="O190" s="236">
        <f t="shared" ca="1" si="8"/>
        <v>-45408</v>
      </c>
      <c r="P190">
        <f t="shared" ca="1" si="12"/>
        <v>8400</v>
      </c>
      <c r="Q190">
        <f t="shared" si="13"/>
        <v>8400</v>
      </c>
      <c r="R190" t="str">
        <f t="shared" si="11"/>
        <v>0</v>
      </c>
    </row>
    <row r="191" spans="1:18">
      <c r="A191">
        <v>3112</v>
      </c>
      <c r="B191">
        <v>84006900</v>
      </c>
      <c r="C191" t="s">
        <v>343</v>
      </c>
      <c r="D191" t="s">
        <v>18335</v>
      </c>
      <c r="E191">
        <v>2022</v>
      </c>
      <c r="F191" t="s">
        <v>18336</v>
      </c>
      <c r="G191">
        <v>0.01</v>
      </c>
      <c r="H191">
        <v>73.12</v>
      </c>
      <c r="I191">
        <v>73.11</v>
      </c>
      <c r="J191" s="225">
        <v>44594</v>
      </c>
      <c r="K191" s="225">
        <v>44595</v>
      </c>
      <c r="L191">
        <v>365</v>
      </c>
      <c r="O191" s="236">
        <f t="shared" ca="1" si="8"/>
        <v>-45408</v>
      </c>
      <c r="P191">
        <f t="shared" ca="1" si="12"/>
        <v>8400</v>
      </c>
      <c r="Q191">
        <f t="shared" si="13"/>
        <v>8400</v>
      </c>
      <c r="R191" t="str">
        <f t="shared" si="11"/>
        <v>0</v>
      </c>
    </row>
    <row r="192" spans="1:18">
      <c r="A192">
        <v>3112</v>
      </c>
      <c r="B192">
        <v>84006900</v>
      </c>
      <c r="C192" t="s">
        <v>343</v>
      </c>
      <c r="D192" t="s">
        <v>18337</v>
      </c>
      <c r="E192">
        <v>2022</v>
      </c>
      <c r="F192" t="s">
        <v>18338</v>
      </c>
      <c r="G192">
        <v>0.01</v>
      </c>
      <c r="H192">
        <v>68.55</v>
      </c>
      <c r="I192">
        <v>68.540000000000006</v>
      </c>
      <c r="J192" s="225">
        <v>44592</v>
      </c>
      <c r="K192" s="225">
        <v>44599</v>
      </c>
      <c r="L192">
        <v>365</v>
      </c>
      <c r="O192" s="236">
        <f t="shared" ca="1" si="8"/>
        <v>-45408</v>
      </c>
      <c r="P192">
        <f t="shared" ca="1" si="12"/>
        <v>8400</v>
      </c>
      <c r="Q192">
        <f t="shared" si="13"/>
        <v>8400</v>
      </c>
      <c r="R192" t="str">
        <f t="shared" si="11"/>
        <v>0</v>
      </c>
    </row>
    <row r="193" spans="1:18">
      <c r="A193">
        <v>3112</v>
      </c>
      <c r="B193">
        <v>84006900</v>
      </c>
      <c r="C193" t="s">
        <v>343</v>
      </c>
      <c r="D193" t="s">
        <v>18339</v>
      </c>
      <c r="E193">
        <v>2022</v>
      </c>
      <c r="F193" t="s">
        <v>18340</v>
      </c>
      <c r="G193">
        <v>0.02</v>
      </c>
      <c r="H193">
        <v>73.12</v>
      </c>
      <c r="I193">
        <v>73.099999999999994</v>
      </c>
      <c r="J193" s="225">
        <v>44595</v>
      </c>
      <c r="K193" s="225">
        <v>44602</v>
      </c>
      <c r="L193">
        <v>365</v>
      </c>
      <c r="O193" s="236">
        <f t="shared" ca="1" si="8"/>
        <v>-45408</v>
      </c>
      <c r="P193">
        <f t="shared" ca="1" si="12"/>
        <v>8400</v>
      </c>
      <c r="Q193">
        <f t="shared" si="13"/>
        <v>8400</v>
      </c>
      <c r="R193" t="str">
        <f t="shared" si="11"/>
        <v>0</v>
      </c>
    </row>
    <row r="194" spans="1:18">
      <c r="A194">
        <v>3112</v>
      </c>
      <c r="B194">
        <v>84006900</v>
      </c>
      <c r="C194" t="s">
        <v>343</v>
      </c>
      <c r="D194" t="s">
        <v>18341</v>
      </c>
      <c r="E194">
        <v>2022</v>
      </c>
      <c r="F194" t="s">
        <v>18342</v>
      </c>
      <c r="G194">
        <v>0.01</v>
      </c>
      <c r="H194">
        <v>13.71</v>
      </c>
      <c r="I194">
        <v>13.7</v>
      </c>
      <c r="J194" s="225">
        <v>44613</v>
      </c>
      <c r="K194" s="225">
        <v>44616</v>
      </c>
      <c r="L194">
        <v>365</v>
      </c>
      <c r="O194" s="236">
        <f t="shared" ca="1" si="8"/>
        <v>-45408</v>
      </c>
      <c r="P194">
        <f t="shared" ca="1" si="12"/>
        <v>8400</v>
      </c>
      <c r="Q194">
        <f t="shared" si="13"/>
        <v>8400</v>
      </c>
      <c r="R194" t="str">
        <f t="shared" si="11"/>
        <v>0</v>
      </c>
    </row>
    <row r="195" spans="1:18">
      <c r="A195">
        <v>3112</v>
      </c>
      <c r="B195">
        <v>84006900</v>
      </c>
      <c r="C195" t="s">
        <v>343</v>
      </c>
      <c r="D195" t="s">
        <v>18343</v>
      </c>
      <c r="E195">
        <v>2022</v>
      </c>
      <c r="F195" t="s">
        <v>18344</v>
      </c>
      <c r="G195">
        <v>0.01</v>
      </c>
      <c r="H195">
        <v>68.55</v>
      </c>
      <c r="I195">
        <v>68.540000000000006</v>
      </c>
      <c r="J195" s="225">
        <v>44599</v>
      </c>
      <c r="K195" s="225">
        <v>44606</v>
      </c>
      <c r="L195">
        <v>365</v>
      </c>
      <c r="O195" s="236">
        <f t="shared" ref="O195:O258" ca="1" si="14">N195*1-TODAY()</f>
        <v>-45408</v>
      </c>
      <c r="P195">
        <f t="shared" ca="1" si="12"/>
        <v>8400</v>
      </c>
      <c r="Q195">
        <f t="shared" si="13"/>
        <v>8400</v>
      </c>
      <c r="R195" t="str">
        <f t="shared" ref="R195:R258" si="15">MID(D195,4,1)</f>
        <v>0</v>
      </c>
    </row>
    <row r="196" spans="1:18">
      <c r="A196">
        <v>3112</v>
      </c>
      <c r="B196">
        <v>84006900</v>
      </c>
      <c r="C196" t="s">
        <v>343</v>
      </c>
      <c r="D196" t="s">
        <v>18345</v>
      </c>
      <c r="E196">
        <v>2022</v>
      </c>
      <c r="F196" t="s">
        <v>18346</v>
      </c>
      <c r="G196">
        <v>0.01</v>
      </c>
      <c r="H196">
        <v>68.55</v>
      </c>
      <c r="I196">
        <v>68.540000000000006</v>
      </c>
      <c r="J196" s="225">
        <v>44620</v>
      </c>
      <c r="K196" s="225">
        <v>44627</v>
      </c>
      <c r="L196">
        <v>365</v>
      </c>
      <c r="O196" s="236">
        <f t="shared" ca="1" si="14"/>
        <v>-45408</v>
      </c>
      <c r="P196">
        <f t="shared" ca="1" si="12"/>
        <v>8400</v>
      </c>
      <c r="Q196">
        <f t="shared" si="13"/>
        <v>8400</v>
      </c>
      <c r="R196" t="str">
        <f t="shared" si="15"/>
        <v>0</v>
      </c>
    </row>
    <row r="197" spans="1:18">
      <c r="A197">
        <v>3112</v>
      </c>
      <c r="B197">
        <v>84006900</v>
      </c>
      <c r="C197" t="s">
        <v>343</v>
      </c>
      <c r="D197" t="s">
        <v>18347</v>
      </c>
      <c r="E197">
        <v>2022</v>
      </c>
      <c r="F197" t="s">
        <v>18348</v>
      </c>
      <c r="G197">
        <v>0.01</v>
      </c>
      <c r="H197">
        <v>68.55</v>
      </c>
      <c r="I197">
        <v>68.540000000000006</v>
      </c>
      <c r="J197" s="225">
        <v>44606</v>
      </c>
      <c r="K197" s="225">
        <v>44615</v>
      </c>
      <c r="L197">
        <v>365</v>
      </c>
      <c r="O197" s="236">
        <f t="shared" ca="1" si="14"/>
        <v>-45408</v>
      </c>
      <c r="P197">
        <f t="shared" ca="1" si="12"/>
        <v>8400</v>
      </c>
      <c r="Q197">
        <f t="shared" si="13"/>
        <v>8400</v>
      </c>
      <c r="R197" t="str">
        <f t="shared" si="15"/>
        <v>0</v>
      </c>
    </row>
    <row r="198" spans="1:18">
      <c r="A198">
        <v>3112</v>
      </c>
      <c r="B198">
        <v>84006900</v>
      </c>
      <c r="C198" t="s">
        <v>343</v>
      </c>
      <c r="D198" t="s">
        <v>18349</v>
      </c>
      <c r="E198">
        <v>2022</v>
      </c>
      <c r="F198" t="s">
        <v>18350</v>
      </c>
      <c r="G198">
        <v>0.02</v>
      </c>
      <c r="H198">
        <v>68.55</v>
      </c>
      <c r="I198">
        <v>68.53</v>
      </c>
      <c r="J198" s="225">
        <v>44615</v>
      </c>
      <c r="K198" s="225">
        <v>44620</v>
      </c>
      <c r="L198">
        <v>365</v>
      </c>
      <c r="O198" s="236">
        <f t="shared" ca="1" si="14"/>
        <v>-45408</v>
      </c>
      <c r="P198">
        <f t="shared" ca="1" si="12"/>
        <v>8400</v>
      </c>
      <c r="Q198">
        <f t="shared" si="13"/>
        <v>8400</v>
      </c>
      <c r="R198" t="str">
        <f t="shared" si="15"/>
        <v>0</v>
      </c>
    </row>
    <row r="199" spans="1:18">
      <c r="A199">
        <v>3112</v>
      </c>
      <c r="B199">
        <v>84006900</v>
      </c>
      <c r="C199" t="s">
        <v>343</v>
      </c>
      <c r="D199" t="s">
        <v>18351</v>
      </c>
      <c r="E199">
        <v>2022</v>
      </c>
      <c r="F199" t="s">
        <v>18352</v>
      </c>
      <c r="G199">
        <v>0.01</v>
      </c>
      <c r="H199">
        <v>27.42</v>
      </c>
      <c r="I199">
        <v>27.41</v>
      </c>
      <c r="J199" s="225">
        <v>44622</v>
      </c>
      <c r="K199" s="225">
        <v>44623</v>
      </c>
      <c r="L199">
        <v>365</v>
      </c>
      <c r="O199" s="236">
        <f t="shared" ca="1" si="14"/>
        <v>-45408</v>
      </c>
      <c r="P199">
        <f t="shared" ca="1" si="12"/>
        <v>8400</v>
      </c>
      <c r="Q199">
        <f t="shared" si="13"/>
        <v>8400</v>
      </c>
      <c r="R199" t="str">
        <f t="shared" si="15"/>
        <v>0</v>
      </c>
    </row>
    <row r="200" spans="1:18">
      <c r="A200">
        <v>3112</v>
      </c>
      <c r="B200">
        <v>84006900</v>
      </c>
      <c r="C200" t="s">
        <v>343</v>
      </c>
      <c r="D200" t="s">
        <v>18353</v>
      </c>
      <c r="E200">
        <v>2022</v>
      </c>
      <c r="F200" t="s">
        <v>18354</v>
      </c>
      <c r="G200">
        <v>0.02</v>
      </c>
      <c r="H200">
        <v>54.84</v>
      </c>
      <c r="I200">
        <v>54.82</v>
      </c>
      <c r="J200" s="225">
        <v>44624</v>
      </c>
      <c r="K200" s="225">
        <v>44635</v>
      </c>
      <c r="L200">
        <v>365</v>
      </c>
      <c r="O200" s="236">
        <f t="shared" ca="1" si="14"/>
        <v>-45408</v>
      </c>
      <c r="P200">
        <f t="shared" ca="1" si="12"/>
        <v>8400</v>
      </c>
      <c r="Q200">
        <f t="shared" si="13"/>
        <v>8400</v>
      </c>
      <c r="R200" t="str">
        <f t="shared" si="15"/>
        <v>0</v>
      </c>
    </row>
    <row r="201" spans="1:18">
      <c r="A201">
        <v>3112</v>
      </c>
      <c r="B201">
        <v>84006900</v>
      </c>
      <c r="C201" t="s">
        <v>343</v>
      </c>
      <c r="D201" t="s">
        <v>18355</v>
      </c>
      <c r="E201">
        <v>2022</v>
      </c>
      <c r="F201" t="s">
        <v>18356</v>
      </c>
      <c r="G201">
        <v>0.02</v>
      </c>
      <c r="H201">
        <v>68.55</v>
      </c>
      <c r="I201">
        <v>68.53</v>
      </c>
      <c r="J201" s="225">
        <v>44623</v>
      </c>
      <c r="K201" s="225">
        <v>44628</v>
      </c>
      <c r="L201">
        <v>365</v>
      </c>
      <c r="O201" s="236">
        <f t="shared" ca="1" si="14"/>
        <v>-45408</v>
      </c>
      <c r="P201">
        <f t="shared" ca="1" si="12"/>
        <v>8400</v>
      </c>
      <c r="Q201">
        <f t="shared" si="13"/>
        <v>8400</v>
      </c>
      <c r="R201" t="str">
        <f t="shared" si="15"/>
        <v>0</v>
      </c>
    </row>
    <row r="202" spans="1:18">
      <c r="A202">
        <v>3112</v>
      </c>
      <c r="B202">
        <v>84006900</v>
      </c>
      <c r="C202" t="s">
        <v>343</v>
      </c>
      <c r="D202" t="s">
        <v>18357</v>
      </c>
      <c r="E202">
        <v>2022</v>
      </c>
      <c r="F202" t="s">
        <v>18358</v>
      </c>
      <c r="G202">
        <v>0.01</v>
      </c>
      <c r="H202">
        <v>68.55</v>
      </c>
      <c r="I202">
        <v>68.540000000000006</v>
      </c>
      <c r="J202" s="225">
        <v>44624</v>
      </c>
      <c r="K202" s="225">
        <v>44629</v>
      </c>
      <c r="L202">
        <v>365</v>
      </c>
      <c r="O202" s="236">
        <f t="shared" ca="1" si="14"/>
        <v>-45408</v>
      </c>
      <c r="P202">
        <f t="shared" ca="1" si="12"/>
        <v>8400</v>
      </c>
      <c r="Q202">
        <f t="shared" si="13"/>
        <v>8400</v>
      </c>
      <c r="R202" t="str">
        <f t="shared" si="15"/>
        <v>0</v>
      </c>
    </row>
    <row r="203" spans="1:18">
      <c r="A203">
        <v>3112</v>
      </c>
      <c r="B203">
        <v>84006900</v>
      </c>
      <c r="C203" t="s">
        <v>343</v>
      </c>
      <c r="D203" t="s">
        <v>18359</v>
      </c>
      <c r="E203">
        <v>2022</v>
      </c>
      <c r="F203" t="s">
        <v>18360</v>
      </c>
      <c r="G203">
        <v>0.01</v>
      </c>
      <c r="H203">
        <v>68.55</v>
      </c>
      <c r="I203">
        <v>68.540000000000006</v>
      </c>
      <c r="J203" s="225">
        <v>44628</v>
      </c>
      <c r="K203" s="225">
        <v>44636</v>
      </c>
      <c r="L203">
        <v>365</v>
      </c>
      <c r="O203" s="236">
        <f t="shared" ca="1" si="14"/>
        <v>-45408</v>
      </c>
      <c r="P203">
        <f t="shared" ca="1" si="12"/>
        <v>8400</v>
      </c>
      <c r="Q203">
        <f t="shared" si="13"/>
        <v>8400</v>
      </c>
      <c r="R203" t="str">
        <f t="shared" si="15"/>
        <v>0</v>
      </c>
    </row>
    <row r="204" spans="1:18">
      <c r="A204">
        <v>3112</v>
      </c>
      <c r="B204">
        <v>84006900</v>
      </c>
      <c r="C204" t="s">
        <v>343</v>
      </c>
      <c r="D204" t="s">
        <v>18361</v>
      </c>
      <c r="E204">
        <v>2022</v>
      </c>
      <c r="F204" t="s">
        <v>18362</v>
      </c>
      <c r="G204">
        <v>0.01</v>
      </c>
      <c r="H204">
        <v>10.97</v>
      </c>
      <c r="I204">
        <v>10.96</v>
      </c>
      <c r="J204" s="225">
        <v>44629</v>
      </c>
      <c r="K204" s="225">
        <v>44635</v>
      </c>
      <c r="L204">
        <v>365</v>
      </c>
      <c r="O204" s="236">
        <f t="shared" ca="1" si="14"/>
        <v>-45408</v>
      </c>
      <c r="P204">
        <f t="shared" ca="1" si="12"/>
        <v>8400</v>
      </c>
      <c r="Q204">
        <f t="shared" si="13"/>
        <v>8400</v>
      </c>
      <c r="R204" t="str">
        <f t="shared" si="15"/>
        <v>0</v>
      </c>
    </row>
    <row r="205" spans="1:18">
      <c r="A205">
        <v>3112</v>
      </c>
      <c r="B205">
        <v>84006900</v>
      </c>
      <c r="C205" t="s">
        <v>343</v>
      </c>
      <c r="D205" t="s">
        <v>18363</v>
      </c>
      <c r="E205">
        <v>2022</v>
      </c>
      <c r="F205" t="s">
        <v>18364</v>
      </c>
      <c r="G205">
        <v>0.01</v>
      </c>
      <c r="H205">
        <v>68.55</v>
      </c>
      <c r="I205">
        <v>68.540000000000006</v>
      </c>
      <c r="J205" s="225">
        <v>44634</v>
      </c>
      <c r="K205" s="225">
        <v>44638</v>
      </c>
      <c r="L205">
        <v>365</v>
      </c>
      <c r="O205" s="236">
        <f t="shared" ca="1" si="14"/>
        <v>-45408</v>
      </c>
      <c r="P205">
        <f t="shared" ca="1" si="12"/>
        <v>8400</v>
      </c>
      <c r="Q205">
        <f t="shared" si="13"/>
        <v>8400</v>
      </c>
      <c r="R205" t="str">
        <f t="shared" si="15"/>
        <v>0</v>
      </c>
    </row>
    <row r="206" spans="1:18">
      <c r="A206">
        <v>3112</v>
      </c>
      <c r="B206">
        <v>84006900</v>
      </c>
      <c r="C206" t="s">
        <v>343</v>
      </c>
      <c r="D206" t="s">
        <v>18365</v>
      </c>
      <c r="E206">
        <v>2022</v>
      </c>
      <c r="F206" t="s">
        <v>18366</v>
      </c>
      <c r="G206">
        <v>0.02</v>
      </c>
      <c r="H206">
        <v>68.55</v>
      </c>
      <c r="I206">
        <v>68.53</v>
      </c>
      <c r="J206" s="225">
        <v>44656</v>
      </c>
      <c r="K206" s="225">
        <v>44676</v>
      </c>
      <c r="L206">
        <v>365</v>
      </c>
      <c r="O206" s="236">
        <f t="shared" ca="1" si="14"/>
        <v>-45408</v>
      </c>
      <c r="P206">
        <f t="shared" ca="1" si="12"/>
        <v>8400</v>
      </c>
      <c r="Q206">
        <f t="shared" si="13"/>
        <v>8400</v>
      </c>
      <c r="R206" t="str">
        <f t="shared" si="15"/>
        <v>0</v>
      </c>
    </row>
    <row r="207" spans="1:18">
      <c r="A207">
        <v>3112</v>
      </c>
      <c r="B207">
        <v>84006900</v>
      </c>
      <c r="C207" t="s">
        <v>343</v>
      </c>
      <c r="D207" t="s">
        <v>18367</v>
      </c>
      <c r="E207">
        <v>2022</v>
      </c>
      <c r="F207" t="s">
        <v>18368</v>
      </c>
      <c r="G207">
        <v>0.01</v>
      </c>
      <c r="H207">
        <v>73.12</v>
      </c>
      <c r="I207">
        <v>73.11</v>
      </c>
      <c r="J207" s="225">
        <v>44679</v>
      </c>
      <c r="K207" s="225">
        <v>44690</v>
      </c>
      <c r="L207">
        <v>365</v>
      </c>
      <c r="O207" s="236">
        <f t="shared" ca="1" si="14"/>
        <v>-45408</v>
      </c>
      <c r="P207">
        <f t="shared" ca="1" si="12"/>
        <v>8400</v>
      </c>
      <c r="Q207" s="399">
        <f t="shared" si="13"/>
        <v>8400</v>
      </c>
      <c r="R207" t="str">
        <f t="shared" si="15"/>
        <v>0</v>
      </c>
    </row>
    <row r="208" spans="1:18">
      <c r="A208">
        <v>3112</v>
      </c>
      <c r="B208">
        <v>84006900</v>
      </c>
      <c r="C208" t="s">
        <v>343</v>
      </c>
      <c r="D208" t="s">
        <v>18369</v>
      </c>
      <c r="E208">
        <v>2022</v>
      </c>
      <c r="F208" t="s">
        <v>18370</v>
      </c>
      <c r="G208">
        <v>0.01</v>
      </c>
      <c r="H208">
        <v>68.55</v>
      </c>
      <c r="I208">
        <v>68.540000000000006</v>
      </c>
      <c r="J208" s="225">
        <v>44686</v>
      </c>
      <c r="K208" s="225">
        <v>44692</v>
      </c>
      <c r="L208">
        <v>365</v>
      </c>
      <c r="O208" s="236">
        <f t="shared" ca="1" si="14"/>
        <v>-45408</v>
      </c>
      <c r="P208">
        <f t="shared" ca="1" si="12"/>
        <v>8400</v>
      </c>
      <c r="Q208" s="399">
        <f t="shared" si="13"/>
        <v>8400</v>
      </c>
      <c r="R208" t="str">
        <f t="shared" si="15"/>
        <v>0</v>
      </c>
    </row>
    <row r="209" spans="1:18">
      <c r="A209">
        <v>3112</v>
      </c>
      <c r="B209">
        <v>84006900</v>
      </c>
      <c r="C209" t="s">
        <v>343</v>
      </c>
      <c r="D209" t="s">
        <v>18371</v>
      </c>
      <c r="E209">
        <v>2022</v>
      </c>
      <c r="F209" t="s">
        <v>18372</v>
      </c>
      <c r="G209">
        <v>0.01</v>
      </c>
      <c r="H209">
        <v>57.6</v>
      </c>
      <c r="I209">
        <v>57.59</v>
      </c>
      <c r="J209" s="225">
        <v>44693</v>
      </c>
      <c r="K209" s="225">
        <v>44698</v>
      </c>
      <c r="L209">
        <v>365</v>
      </c>
      <c r="O209" s="236">
        <f t="shared" ca="1" si="14"/>
        <v>-45408</v>
      </c>
      <c r="P209">
        <f t="shared" ca="1" si="12"/>
        <v>8400</v>
      </c>
      <c r="Q209">
        <f t="shared" si="13"/>
        <v>8400</v>
      </c>
      <c r="R209" t="str">
        <f t="shared" si="15"/>
        <v>0</v>
      </c>
    </row>
    <row r="210" spans="1:18">
      <c r="A210">
        <v>3112</v>
      </c>
      <c r="B210">
        <v>84006900</v>
      </c>
      <c r="C210" t="s">
        <v>343</v>
      </c>
      <c r="D210" t="s">
        <v>18373</v>
      </c>
      <c r="E210">
        <v>2022</v>
      </c>
      <c r="F210" t="s">
        <v>18374</v>
      </c>
      <c r="G210">
        <v>0.01</v>
      </c>
      <c r="H210">
        <v>11</v>
      </c>
      <c r="I210">
        <v>10.99</v>
      </c>
      <c r="J210" s="225">
        <v>44698</v>
      </c>
      <c r="K210" s="225">
        <v>44700</v>
      </c>
      <c r="L210">
        <v>365</v>
      </c>
      <c r="O210" s="236">
        <f t="shared" ca="1" si="14"/>
        <v>-45408</v>
      </c>
      <c r="P210">
        <f t="shared" ca="1" si="12"/>
        <v>8400</v>
      </c>
      <c r="Q210">
        <f t="shared" si="13"/>
        <v>8400</v>
      </c>
      <c r="R210" t="str">
        <f t="shared" si="15"/>
        <v>0</v>
      </c>
    </row>
    <row r="211" spans="1:18">
      <c r="A211">
        <v>3112</v>
      </c>
      <c r="B211">
        <v>84006900</v>
      </c>
      <c r="C211" t="s">
        <v>343</v>
      </c>
      <c r="D211" t="s">
        <v>18375</v>
      </c>
      <c r="E211">
        <v>2022</v>
      </c>
      <c r="F211" t="s">
        <v>18376</v>
      </c>
      <c r="G211">
        <v>0.01</v>
      </c>
      <c r="H211">
        <v>68.55</v>
      </c>
      <c r="I211">
        <v>68.540000000000006</v>
      </c>
      <c r="J211" s="225">
        <v>44706</v>
      </c>
      <c r="K211" s="225">
        <v>44715</v>
      </c>
      <c r="L211">
        <v>365</v>
      </c>
      <c r="O211" s="236">
        <f t="shared" ca="1" si="14"/>
        <v>-45408</v>
      </c>
      <c r="P211">
        <f t="shared" ca="1" si="12"/>
        <v>8400</v>
      </c>
      <c r="Q211">
        <f t="shared" si="13"/>
        <v>8400</v>
      </c>
      <c r="R211" t="str">
        <f t="shared" si="15"/>
        <v>0</v>
      </c>
    </row>
    <row r="212" spans="1:18">
      <c r="A212">
        <v>3112</v>
      </c>
      <c r="B212">
        <v>84006900</v>
      </c>
      <c r="C212" t="s">
        <v>343</v>
      </c>
      <c r="D212" t="s">
        <v>18377</v>
      </c>
      <c r="E212">
        <v>2022</v>
      </c>
      <c r="F212" t="s">
        <v>18378</v>
      </c>
      <c r="G212">
        <v>0.01</v>
      </c>
      <c r="H212">
        <v>73.12</v>
      </c>
      <c r="I212">
        <v>73.11</v>
      </c>
      <c r="J212" s="225">
        <v>44715</v>
      </c>
      <c r="K212" s="225">
        <v>44721</v>
      </c>
      <c r="L212">
        <v>365</v>
      </c>
      <c r="O212" s="236">
        <f t="shared" ca="1" si="14"/>
        <v>-45408</v>
      </c>
      <c r="P212">
        <f t="shared" ca="1" si="12"/>
        <v>8400</v>
      </c>
      <c r="Q212">
        <f t="shared" si="13"/>
        <v>8400</v>
      </c>
      <c r="R212" t="str">
        <f t="shared" si="15"/>
        <v>0</v>
      </c>
    </row>
    <row r="213" spans="1:18">
      <c r="A213">
        <v>3112</v>
      </c>
      <c r="B213">
        <v>84006900</v>
      </c>
      <c r="C213" t="s">
        <v>343</v>
      </c>
      <c r="D213" t="s">
        <v>18379</v>
      </c>
      <c r="E213">
        <v>2022</v>
      </c>
      <c r="F213" t="s">
        <v>18380</v>
      </c>
      <c r="G213">
        <v>0.01</v>
      </c>
      <c r="H213">
        <v>57.6</v>
      </c>
      <c r="I213">
        <v>57.59</v>
      </c>
      <c r="J213" s="225">
        <v>44711</v>
      </c>
      <c r="K213" s="225">
        <v>44718</v>
      </c>
      <c r="L213">
        <v>365</v>
      </c>
      <c r="O213" s="236">
        <f t="shared" ca="1" si="14"/>
        <v>-45408</v>
      </c>
      <c r="P213">
        <f t="shared" ca="1" si="12"/>
        <v>8400</v>
      </c>
      <c r="Q213">
        <f t="shared" si="13"/>
        <v>8400</v>
      </c>
      <c r="R213" t="str">
        <f t="shared" si="15"/>
        <v>0</v>
      </c>
    </row>
    <row r="214" spans="1:18">
      <c r="A214">
        <v>3112</v>
      </c>
      <c r="B214">
        <v>84006900</v>
      </c>
      <c r="C214" t="s">
        <v>343</v>
      </c>
      <c r="D214" t="s">
        <v>18381</v>
      </c>
      <c r="E214">
        <v>2022</v>
      </c>
      <c r="F214" t="s">
        <v>18382</v>
      </c>
      <c r="G214">
        <v>0.01</v>
      </c>
      <c r="H214">
        <v>57.6</v>
      </c>
      <c r="I214">
        <v>57.59</v>
      </c>
      <c r="J214" s="225">
        <v>44715</v>
      </c>
      <c r="K214" s="225">
        <v>44719</v>
      </c>
      <c r="L214">
        <v>365</v>
      </c>
      <c r="O214" s="236">
        <f t="shared" ca="1" si="14"/>
        <v>-45408</v>
      </c>
      <c r="P214">
        <f t="shared" ca="1" si="12"/>
        <v>8400</v>
      </c>
      <c r="Q214">
        <f t="shared" si="13"/>
        <v>8400</v>
      </c>
      <c r="R214" t="str">
        <f t="shared" si="15"/>
        <v>0</v>
      </c>
    </row>
    <row r="215" spans="1:18">
      <c r="A215">
        <v>3112</v>
      </c>
      <c r="B215">
        <v>84006900</v>
      </c>
      <c r="C215" t="s">
        <v>343</v>
      </c>
      <c r="D215" t="s">
        <v>18383</v>
      </c>
      <c r="E215">
        <v>2022</v>
      </c>
      <c r="F215" t="s">
        <v>18384</v>
      </c>
      <c r="G215">
        <v>0.01</v>
      </c>
      <c r="H215">
        <v>73.12</v>
      </c>
      <c r="I215">
        <v>73.11</v>
      </c>
      <c r="J215" s="225">
        <v>44718</v>
      </c>
      <c r="K215" s="225">
        <v>44727</v>
      </c>
      <c r="L215">
        <v>365</v>
      </c>
      <c r="O215" s="236">
        <f t="shared" ca="1" si="14"/>
        <v>-45408</v>
      </c>
      <c r="P215">
        <f t="shared" ca="1" si="12"/>
        <v>8400</v>
      </c>
      <c r="Q215">
        <f t="shared" si="13"/>
        <v>8400</v>
      </c>
      <c r="R215" t="str">
        <f t="shared" si="15"/>
        <v>0</v>
      </c>
    </row>
    <row r="216" spans="1:18">
      <c r="A216">
        <v>3112</v>
      </c>
      <c r="B216">
        <v>84006900</v>
      </c>
      <c r="C216" t="s">
        <v>343</v>
      </c>
      <c r="D216" t="s">
        <v>18385</v>
      </c>
      <c r="E216">
        <v>2022</v>
      </c>
      <c r="F216" t="s">
        <v>18386</v>
      </c>
      <c r="G216">
        <v>0.01</v>
      </c>
      <c r="H216">
        <v>73.12</v>
      </c>
      <c r="I216">
        <v>73.11</v>
      </c>
      <c r="J216" s="225">
        <v>44727</v>
      </c>
      <c r="K216" s="225">
        <v>44732</v>
      </c>
      <c r="L216">
        <v>365</v>
      </c>
      <c r="O216" s="236">
        <f t="shared" ca="1" si="14"/>
        <v>-45408</v>
      </c>
      <c r="P216">
        <f t="shared" ca="1" si="12"/>
        <v>8400</v>
      </c>
      <c r="Q216">
        <f t="shared" si="13"/>
        <v>8400</v>
      </c>
      <c r="R216" t="str">
        <f t="shared" si="15"/>
        <v>0</v>
      </c>
    </row>
    <row r="217" spans="1:18">
      <c r="A217">
        <v>3112</v>
      </c>
      <c r="B217">
        <v>84006900</v>
      </c>
      <c r="C217" t="s">
        <v>343</v>
      </c>
      <c r="D217" t="s">
        <v>18387</v>
      </c>
      <c r="E217">
        <v>2022</v>
      </c>
      <c r="F217" t="s">
        <v>18388</v>
      </c>
      <c r="G217">
        <v>0.01</v>
      </c>
      <c r="H217">
        <v>73.12</v>
      </c>
      <c r="I217">
        <v>73.11</v>
      </c>
      <c r="J217" s="225">
        <v>44732</v>
      </c>
      <c r="K217" s="225">
        <v>44739</v>
      </c>
      <c r="L217">
        <v>365</v>
      </c>
      <c r="O217" s="236">
        <f t="shared" ca="1" si="14"/>
        <v>-45408</v>
      </c>
      <c r="P217">
        <f t="shared" ca="1" si="12"/>
        <v>8400</v>
      </c>
      <c r="Q217">
        <f t="shared" si="13"/>
        <v>8400</v>
      </c>
      <c r="R217" t="str">
        <f t="shared" si="15"/>
        <v>0</v>
      </c>
    </row>
    <row r="218" spans="1:18">
      <c r="A218">
        <v>3112</v>
      </c>
      <c r="B218">
        <v>84006900</v>
      </c>
      <c r="C218" t="s">
        <v>343</v>
      </c>
      <c r="D218" t="s">
        <v>18389</v>
      </c>
      <c r="E218">
        <v>2022</v>
      </c>
      <c r="F218" t="s">
        <v>18390</v>
      </c>
      <c r="G218">
        <v>0.02</v>
      </c>
      <c r="H218">
        <v>57.6</v>
      </c>
      <c r="I218">
        <v>57.58</v>
      </c>
      <c r="J218" s="225">
        <v>44730</v>
      </c>
      <c r="K218" s="225">
        <v>44739</v>
      </c>
      <c r="L218">
        <v>365</v>
      </c>
      <c r="O218" s="236">
        <f t="shared" ca="1" si="14"/>
        <v>-45408</v>
      </c>
      <c r="P218">
        <f t="shared" ca="1" si="12"/>
        <v>8400</v>
      </c>
      <c r="Q218">
        <f t="shared" si="13"/>
        <v>8400</v>
      </c>
      <c r="R218" t="str">
        <f t="shared" si="15"/>
        <v>0</v>
      </c>
    </row>
    <row r="219" spans="1:18">
      <c r="A219">
        <v>3112</v>
      </c>
      <c r="B219">
        <v>84006900</v>
      </c>
      <c r="C219" t="s">
        <v>343</v>
      </c>
      <c r="D219" t="s">
        <v>18391</v>
      </c>
      <c r="E219">
        <v>2022</v>
      </c>
      <c r="F219" t="s">
        <v>18392</v>
      </c>
      <c r="G219">
        <v>0.01</v>
      </c>
      <c r="H219">
        <v>57.6</v>
      </c>
      <c r="I219">
        <v>57.59</v>
      </c>
      <c r="J219" s="225">
        <v>44742</v>
      </c>
      <c r="K219" s="225">
        <v>44743</v>
      </c>
      <c r="L219">
        <v>365</v>
      </c>
      <c r="O219" s="236">
        <f t="shared" ca="1" si="14"/>
        <v>-45408</v>
      </c>
      <c r="P219">
        <f t="shared" ca="1" si="12"/>
        <v>8400</v>
      </c>
      <c r="Q219">
        <f t="shared" si="13"/>
        <v>8400</v>
      </c>
      <c r="R219" t="str">
        <f t="shared" si="15"/>
        <v>0</v>
      </c>
    </row>
    <row r="220" spans="1:18">
      <c r="A220">
        <v>3112</v>
      </c>
      <c r="B220">
        <v>84006900</v>
      </c>
      <c r="C220" t="s">
        <v>343</v>
      </c>
      <c r="D220" t="s">
        <v>18393</v>
      </c>
      <c r="E220">
        <v>2022</v>
      </c>
      <c r="F220" t="s">
        <v>18394</v>
      </c>
      <c r="G220">
        <v>0.01</v>
      </c>
      <c r="H220">
        <v>73.12</v>
      </c>
      <c r="I220">
        <v>73.11</v>
      </c>
      <c r="J220" s="225">
        <v>44743</v>
      </c>
      <c r="K220" s="225">
        <v>44746</v>
      </c>
      <c r="L220">
        <v>365</v>
      </c>
      <c r="O220" s="236">
        <f t="shared" ca="1" si="14"/>
        <v>-45408</v>
      </c>
      <c r="P220">
        <f t="shared" ca="1" si="12"/>
        <v>8400</v>
      </c>
      <c r="Q220">
        <f t="shared" si="13"/>
        <v>8400</v>
      </c>
      <c r="R220" t="str">
        <f t="shared" si="15"/>
        <v>0</v>
      </c>
    </row>
    <row r="221" spans="1:18">
      <c r="A221">
        <v>3112</v>
      </c>
      <c r="B221">
        <v>84006900</v>
      </c>
      <c r="C221" t="s">
        <v>343</v>
      </c>
      <c r="D221" t="s">
        <v>18395</v>
      </c>
      <c r="E221">
        <v>2022</v>
      </c>
      <c r="F221" t="s">
        <v>18396</v>
      </c>
      <c r="G221">
        <v>0.01</v>
      </c>
      <c r="H221">
        <v>73.12</v>
      </c>
      <c r="I221">
        <v>73.11</v>
      </c>
      <c r="J221" s="225">
        <v>44744</v>
      </c>
      <c r="K221" s="225">
        <v>44749</v>
      </c>
      <c r="L221">
        <v>365</v>
      </c>
      <c r="O221" s="236">
        <f t="shared" ca="1" si="14"/>
        <v>-45408</v>
      </c>
      <c r="P221">
        <f t="shared" ca="1" si="12"/>
        <v>8400</v>
      </c>
      <c r="Q221">
        <f t="shared" si="13"/>
        <v>8400</v>
      </c>
      <c r="R221" t="str">
        <f t="shared" si="15"/>
        <v>0</v>
      </c>
    </row>
    <row r="222" spans="1:18">
      <c r="A222">
        <v>3112</v>
      </c>
      <c r="B222">
        <v>84006900</v>
      </c>
      <c r="C222" t="s">
        <v>343</v>
      </c>
      <c r="D222" t="s">
        <v>18397</v>
      </c>
      <c r="E222">
        <v>2022</v>
      </c>
      <c r="F222" t="s">
        <v>18398</v>
      </c>
      <c r="G222">
        <v>0.01</v>
      </c>
      <c r="H222">
        <v>73.12</v>
      </c>
      <c r="I222">
        <v>73.11</v>
      </c>
      <c r="J222" s="225">
        <v>44747</v>
      </c>
      <c r="K222" s="225">
        <v>44750</v>
      </c>
      <c r="L222">
        <v>365</v>
      </c>
      <c r="O222" s="236">
        <f t="shared" ca="1" si="14"/>
        <v>-45408</v>
      </c>
      <c r="P222">
        <f t="shared" ca="1" si="12"/>
        <v>8400</v>
      </c>
      <c r="Q222">
        <f t="shared" si="13"/>
        <v>8400</v>
      </c>
      <c r="R222" t="str">
        <f t="shared" si="15"/>
        <v>0</v>
      </c>
    </row>
    <row r="223" spans="1:18">
      <c r="A223">
        <v>3112</v>
      </c>
      <c r="B223">
        <v>84006900</v>
      </c>
      <c r="C223" t="s">
        <v>343</v>
      </c>
      <c r="D223" t="s">
        <v>18399</v>
      </c>
      <c r="E223">
        <v>2022</v>
      </c>
      <c r="F223" t="s">
        <v>18400</v>
      </c>
      <c r="G223">
        <v>0.01</v>
      </c>
      <c r="H223">
        <v>57.6</v>
      </c>
      <c r="I223">
        <v>57.59</v>
      </c>
      <c r="J223" s="225">
        <v>44762</v>
      </c>
      <c r="K223" s="225">
        <v>44771</v>
      </c>
      <c r="L223">
        <v>365</v>
      </c>
      <c r="O223" s="236">
        <f t="shared" ca="1" si="14"/>
        <v>-45408</v>
      </c>
      <c r="P223">
        <f t="shared" ca="1" si="12"/>
        <v>8400</v>
      </c>
      <c r="Q223">
        <f t="shared" si="13"/>
        <v>8400</v>
      </c>
      <c r="R223" t="str">
        <f t="shared" si="15"/>
        <v>0</v>
      </c>
    </row>
    <row r="224" spans="1:18">
      <c r="A224">
        <v>3112</v>
      </c>
      <c r="B224">
        <v>84006900</v>
      </c>
      <c r="C224" t="s">
        <v>343</v>
      </c>
      <c r="D224" t="s">
        <v>18401</v>
      </c>
      <c r="E224">
        <v>2022</v>
      </c>
      <c r="F224" t="s">
        <v>18402</v>
      </c>
      <c r="G224">
        <v>0.01</v>
      </c>
      <c r="H224">
        <v>73.12</v>
      </c>
      <c r="I224">
        <v>73.11</v>
      </c>
      <c r="J224" s="225">
        <v>44771</v>
      </c>
      <c r="K224" s="225">
        <v>44774</v>
      </c>
      <c r="L224">
        <v>365</v>
      </c>
      <c r="O224" s="236">
        <f t="shared" ca="1" si="14"/>
        <v>-45408</v>
      </c>
      <c r="P224">
        <f t="shared" ca="1" si="12"/>
        <v>8400</v>
      </c>
      <c r="Q224">
        <f t="shared" si="13"/>
        <v>8400</v>
      </c>
      <c r="R224" t="str">
        <f t="shared" si="15"/>
        <v>0</v>
      </c>
    </row>
    <row r="225" spans="1:18">
      <c r="A225">
        <v>3112</v>
      </c>
      <c r="B225">
        <v>84006900</v>
      </c>
      <c r="C225" t="s">
        <v>343</v>
      </c>
      <c r="D225" t="s">
        <v>18403</v>
      </c>
      <c r="E225">
        <v>2022</v>
      </c>
      <c r="F225" t="s">
        <v>18404</v>
      </c>
      <c r="G225">
        <v>0.01</v>
      </c>
      <c r="H225">
        <v>68.25</v>
      </c>
      <c r="I225">
        <v>68.239999999999995</v>
      </c>
      <c r="J225" s="225">
        <v>44764</v>
      </c>
      <c r="K225" s="225">
        <v>44774</v>
      </c>
      <c r="L225">
        <v>365</v>
      </c>
      <c r="O225" s="236">
        <f t="shared" ca="1" si="14"/>
        <v>-45408</v>
      </c>
      <c r="P225">
        <f t="shared" ca="1" si="12"/>
        <v>8400</v>
      </c>
      <c r="Q225">
        <f t="shared" si="13"/>
        <v>8400</v>
      </c>
      <c r="R225" t="str">
        <f t="shared" si="15"/>
        <v>0</v>
      </c>
    </row>
    <row r="226" spans="1:18">
      <c r="A226">
        <v>3112</v>
      </c>
      <c r="B226">
        <v>84006900</v>
      </c>
      <c r="C226" t="s">
        <v>343</v>
      </c>
      <c r="D226" t="s">
        <v>18405</v>
      </c>
      <c r="E226">
        <v>2022</v>
      </c>
      <c r="F226" t="s">
        <v>18406</v>
      </c>
      <c r="G226">
        <v>0.03</v>
      </c>
      <c r="H226">
        <v>82.26</v>
      </c>
      <c r="I226">
        <v>82.23</v>
      </c>
      <c r="J226" s="225">
        <v>44802</v>
      </c>
      <c r="K226" s="225">
        <v>44805</v>
      </c>
      <c r="L226">
        <v>365</v>
      </c>
      <c r="O226" s="236">
        <f t="shared" ca="1" si="14"/>
        <v>-45408</v>
      </c>
      <c r="P226">
        <f t="shared" ca="1" si="12"/>
        <v>8400</v>
      </c>
      <c r="Q226">
        <f t="shared" si="13"/>
        <v>8400</v>
      </c>
      <c r="R226" t="str">
        <f t="shared" si="15"/>
        <v>0</v>
      </c>
    </row>
    <row r="227" spans="1:18">
      <c r="A227">
        <v>3112</v>
      </c>
      <c r="B227">
        <v>84006900</v>
      </c>
      <c r="C227" t="s">
        <v>343</v>
      </c>
      <c r="D227" t="s">
        <v>18407</v>
      </c>
      <c r="E227">
        <v>2022</v>
      </c>
      <c r="F227" t="s">
        <v>18408</v>
      </c>
      <c r="G227">
        <v>0.01</v>
      </c>
      <c r="H227">
        <v>73.11</v>
      </c>
      <c r="I227">
        <v>73.099999999999994</v>
      </c>
      <c r="J227" s="225">
        <v>44803</v>
      </c>
      <c r="K227" s="225">
        <v>44821</v>
      </c>
      <c r="L227">
        <v>365</v>
      </c>
      <c r="O227" s="236">
        <f t="shared" ca="1" si="14"/>
        <v>-45408</v>
      </c>
      <c r="P227">
        <f t="shared" ca="1" si="12"/>
        <v>8400</v>
      </c>
      <c r="Q227" s="399">
        <f t="shared" si="13"/>
        <v>8400</v>
      </c>
      <c r="R227" t="str">
        <f t="shared" si="15"/>
        <v>0</v>
      </c>
    </row>
    <row r="228" spans="1:18">
      <c r="A228">
        <v>3112</v>
      </c>
      <c r="B228">
        <v>84006900</v>
      </c>
      <c r="C228" t="s">
        <v>343</v>
      </c>
      <c r="D228" t="s">
        <v>18409</v>
      </c>
      <c r="E228">
        <v>2022</v>
      </c>
      <c r="F228" t="s">
        <v>18410</v>
      </c>
      <c r="G228">
        <v>0.01</v>
      </c>
      <c r="H228">
        <v>57.6</v>
      </c>
      <c r="I228">
        <v>57.59</v>
      </c>
      <c r="J228" s="225">
        <v>44799</v>
      </c>
      <c r="K228" s="225">
        <v>44802</v>
      </c>
      <c r="L228">
        <v>365</v>
      </c>
      <c r="O228" s="236">
        <f t="shared" ca="1" si="14"/>
        <v>-45408</v>
      </c>
      <c r="P228">
        <f t="shared" ca="1" si="12"/>
        <v>8400</v>
      </c>
      <c r="Q228">
        <f t="shared" si="13"/>
        <v>8400</v>
      </c>
      <c r="R228" t="str">
        <f t="shared" si="15"/>
        <v>0</v>
      </c>
    </row>
    <row r="229" spans="1:18">
      <c r="A229">
        <v>3112</v>
      </c>
      <c r="B229">
        <v>84006900</v>
      </c>
      <c r="C229" t="s">
        <v>343</v>
      </c>
      <c r="D229" t="s">
        <v>18411</v>
      </c>
      <c r="E229">
        <v>2022</v>
      </c>
      <c r="F229" t="s">
        <v>18412</v>
      </c>
      <c r="G229">
        <v>0.01</v>
      </c>
      <c r="H229">
        <v>57.6</v>
      </c>
      <c r="I229">
        <v>57.59</v>
      </c>
      <c r="J229" s="225">
        <v>44804</v>
      </c>
      <c r="K229" s="225">
        <v>44809</v>
      </c>
      <c r="L229">
        <v>365</v>
      </c>
      <c r="O229" s="236">
        <f t="shared" ca="1" si="14"/>
        <v>-45408</v>
      </c>
      <c r="P229">
        <f t="shared" ca="1" si="12"/>
        <v>8400</v>
      </c>
      <c r="Q229">
        <f t="shared" si="13"/>
        <v>8400</v>
      </c>
      <c r="R229" t="str">
        <f t="shared" si="15"/>
        <v>0</v>
      </c>
    </row>
    <row r="230" spans="1:18">
      <c r="A230">
        <v>3112</v>
      </c>
      <c r="B230">
        <v>84006900</v>
      </c>
      <c r="C230" t="s">
        <v>343</v>
      </c>
      <c r="D230" t="s">
        <v>18413</v>
      </c>
      <c r="E230">
        <v>2022</v>
      </c>
      <c r="F230" t="s">
        <v>18414</v>
      </c>
      <c r="G230">
        <v>0.01</v>
      </c>
      <c r="H230">
        <v>57.6</v>
      </c>
      <c r="I230">
        <v>57.59</v>
      </c>
      <c r="J230" s="225">
        <v>44809</v>
      </c>
      <c r="K230" s="225">
        <v>44811</v>
      </c>
      <c r="L230">
        <v>365</v>
      </c>
      <c r="O230" s="236">
        <f t="shared" ca="1" si="14"/>
        <v>-45408</v>
      </c>
      <c r="P230">
        <f t="shared" ca="1" si="12"/>
        <v>8400</v>
      </c>
      <c r="Q230">
        <f t="shared" si="13"/>
        <v>8400</v>
      </c>
      <c r="R230" t="str">
        <f t="shared" si="15"/>
        <v>0</v>
      </c>
    </row>
    <row r="231" spans="1:18">
      <c r="A231">
        <v>3112</v>
      </c>
      <c r="B231">
        <v>84006900</v>
      </c>
      <c r="C231" t="s">
        <v>343</v>
      </c>
      <c r="D231" t="s">
        <v>18415</v>
      </c>
      <c r="E231">
        <v>2022</v>
      </c>
      <c r="F231" t="s">
        <v>18416</v>
      </c>
      <c r="G231">
        <v>0.01</v>
      </c>
      <c r="H231">
        <v>73.12</v>
      </c>
      <c r="I231">
        <v>73.11</v>
      </c>
      <c r="J231" s="225">
        <v>44816</v>
      </c>
      <c r="K231" s="225">
        <v>44825</v>
      </c>
      <c r="L231">
        <v>365</v>
      </c>
      <c r="O231" s="236">
        <f t="shared" ca="1" si="14"/>
        <v>-45408</v>
      </c>
      <c r="P231">
        <f t="shared" ca="1" si="12"/>
        <v>8400</v>
      </c>
      <c r="Q231">
        <f t="shared" si="13"/>
        <v>8400</v>
      </c>
      <c r="R231" t="str">
        <f t="shared" si="15"/>
        <v>0</v>
      </c>
    </row>
    <row r="232" spans="1:18">
      <c r="A232">
        <v>3112</v>
      </c>
      <c r="B232">
        <v>84006900</v>
      </c>
      <c r="C232" t="s">
        <v>343</v>
      </c>
      <c r="D232" t="s">
        <v>18417</v>
      </c>
      <c r="E232">
        <v>2022</v>
      </c>
      <c r="F232" t="s">
        <v>18418</v>
      </c>
      <c r="G232">
        <v>0.02</v>
      </c>
      <c r="H232">
        <v>73.12</v>
      </c>
      <c r="I232">
        <v>73.099999999999994</v>
      </c>
      <c r="J232" s="225">
        <v>44823</v>
      </c>
      <c r="K232" s="225">
        <v>44837</v>
      </c>
      <c r="L232">
        <v>365</v>
      </c>
      <c r="O232" s="236">
        <f t="shared" ca="1" si="14"/>
        <v>-45408</v>
      </c>
      <c r="P232">
        <f t="shared" ca="1" si="12"/>
        <v>8400</v>
      </c>
      <c r="Q232">
        <f t="shared" si="13"/>
        <v>8400</v>
      </c>
      <c r="R232" t="str">
        <f t="shared" si="15"/>
        <v>0</v>
      </c>
    </row>
    <row r="233" spans="1:18">
      <c r="A233">
        <v>3112</v>
      </c>
      <c r="B233">
        <v>84006900</v>
      </c>
      <c r="C233" t="s">
        <v>343</v>
      </c>
      <c r="D233" t="s">
        <v>18419</v>
      </c>
      <c r="E233">
        <v>2022</v>
      </c>
      <c r="F233" t="s">
        <v>18420</v>
      </c>
      <c r="G233">
        <v>0.01</v>
      </c>
      <c r="H233">
        <v>73.12</v>
      </c>
      <c r="I233">
        <v>73.11</v>
      </c>
      <c r="J233" s="225">
        <v>44859</v>
      </c>
      <c r="K233" s="225">
        <v>44867</v>
      </c>
      <c r="L233">
        <v>365</v>
      </c>
      <c r="O233" s="236">
        <f t="shared" ca="1" si="14"/>
        <v>-45408</v>
      </c>
      <c r="P233">
        <f t="shared" ca="1" si="12"/>
        <v>8400</v>
      </c>
      <c r="Q233">
        <f t="shared" si="13"/>
        <v>8400</v>
      </c>
      <c r="R233" t="str">
        <f t="shared" si="15"/>
        <v>0</v>
      </c>
    </row>
    <row r="234" spans="1:18">
      <c r="A234">
        <v>3112</v>
      </c>
      <c r="B234">
        <v>84006900</v>
      </c>
      <c r="C234" t="s">
        <v>343</v>
      </c>
      <c r="D234" t="s">
        <v>18421</v>
      </c>
      <c r="E234">
        <v>2022</v>
      </c>
      <c r="F234" t="s">
        <v>18422</v>
      </c>
      <c r="G234">
        <v>0.01</v>
      </c>
      <c r="H234">
        <v>73.12</v>
      </c>
      <c r="I234">
        <v>73.11</v>
      </c>
      <c r="J234" s="225">
        <v>44869</v>
      </c>
      <c r="K234" s="225">
        <v>44879</v>
      </c>
      <c r="L234">
        <v>365</v>
      </c>
      <c r="O234" s="236">
        <f t="shared" ca="1" si="14"/>
        <v>-45408</v>
      </c>
      <c r="P234">
        <f t="shared" ca="1" si="12"/>
        <v>8400</v>
      </c>
      <c r="Q234">
        <f t="shared" si="13"/>
        <v>8400</v>
      </c>
      <c r="R234" t="str">
        <f t="shared" si="15"/>
        <v>0</v>
      </c>
    </row>
    <row r="235" spans="1:18">
      <c r="A235">
        <v>3112</v>
      </c>
      <c r="B235">
        <v>84006900</v>
      </c>
      <c r="C235" t="s">
        <v>343</v>
      </c>
      <c r="D235" t="s">
        <v>18423</v>
      </c>
      <c r="E235">
        <v>2022</v>
      </c>
      <c r="F235" t="s">
        <v>18424</v>
      </c>
      <c r="G235">
        <v>0.01</v>
      </c>
      <c r="H235">
        <v>73.12</v>
      </c>
      <c r="I235">
        <v>73.11</v>
      </c>
      <c r="J235" s="225">
        <v>44888</v>
      </c>
      <c r="K235" s="225">
        <v>44889</v>
      </c>
      <c r="L235">
        <v>365</v>
      </c>
      <c r="O235" s="236">
        <f t="shared" ca="1" si="14"/>
        <v>-45408</v>
      </c>
      <c r="P235">
        <f t="shared" ca="1" si="12"/>
        <v>8400</v>
      </c>
      <c r="Q235">
        <f t="shared" si="13"/>
        <v>8400</v>
      </c>
      <c r="R235" t="str">
        <f t="shared" si="15"/>
        <v>0</v>
      </c>
    </row>
    <row r="236" spans="1:18">
      <c r="A236">
        <v>3112</v>
      </c>
      <c r="B236">
        <v>84006900</v>
      </c>
      <c r="C236" t="s">
        <v>343</v>
      </c>
      <c r="D236" t="s">
        <v>18425</v>
      </c>
      <c r="E236">
        <v>2022</v>
      </c>
      <c r="F236" t="s">
        <v>18426</v>
      </c>
      <c r="G236">
        <v>0.01</v>
      </c>
      <c r="H236">
        <v>57.6</v>
      </c>
      <c r="I236">
        <v>57.59</v>
      </c>
      <c r="J236" s="225">
        <v>44888</v>
      </c>
      <c r="K236" s="225">
        <v>44890</v>
      </c>
      <c r="L236">
        <v>365</v>
      </c>
      <c r="O236" s="236">
        <f t="shared" ca="1" si="14"/>
        <v>-45408</v>
      </c>
      <c r="P236">
        <f t="shared" ca="1" si="12"/>
        <v>8400</v>
      </c>
      <c r="Q236">
        <f t="shared" si="13"/>
        <v>8400</v>
      </c>
      <c r="R236" t="str">
        <f t="shared" si="15"/>
        <v>0</v>
      </c>
    </row>
    <row r="237" spans="1:18">
      <c r="A237">
        <v>3112</v>
      </c>
      <c r="B237">
        <v>84006900</v>
      </c>
      <c r="C237" t="s">
        <v>343</v>
      </c>
      <c r="D237" t="s">
        <v>18427</v>
      </c>
      <c r="E237">
        <v>2022</v>
      </c>
      <c r="F237" t="s">
        <v>18428</v>
      </c>
      <c r="G237">
        <v>-0.01</v>
      </c>
      <c r="H237">
        <v>73.11</v>
      </c>
      <c r="I237">
        <v>73.12</v>
      </c>
      <c r="J237" s="225">
        <v>44907</v>
      </c>
      <c r="K237" s="225">
        <v>44928</v>
      </c>
      <c r="L237">
        <v>365</v>
      </c>
      <c r="O237" s="236">
        <f t="shared" ca="1" si="14"/>
        <v>-45408</v>
      </c>
      <c r="P237">
        <f t="shared" ca="1" si="12"/>
        <v>8400</v>
      </c>
      <c r="Q237">
        <f t="shared" si="13"/>
        <v>8400</v>
      </c>
      <c r="R237" t="str">
        <f t="shared" si="15"/>
        <v>0</v>
      </c>
    </row>
    <row r="238" spans="1:18">
      <c r="A238">
        <v>3112</v>
      </c>
      <c r="B238">
        <v>84006900</v>
      </c>
      <c r="C238" t="s">
        <v>343</v>
      </c>
      <c r="D238" t="s">
        <v>18429</v>
      </c>
      <c r="E238">
        <v>2022</v>
      </c>
      <c r="F238" t="s">
        <v>18430</v>
      </c>
      <c r="G238">
        <v>0.02</v>
      </c>
      <c r="H238">
        <v>57.6</v>
      </c>
      <c r="I238">
        <v>57.58</v>
      </c>
      <c r="J238" s="225">
        <v>44900</v>
      </c>
      <c r="K238" s="225">
        <v>44902</v>
      </c>
      <c r="L238">
        <v>365</v>
      </c>
      <c r="O238" s="236">
        <f t="shared" ca="1" si="14"/>
        <v>-45408</v>
      </c>
      <c r="P238">
        <f t="shared" ca="1" si="12"/>
        <v>8400</v>
      </c>
      <c r="Q238">
        <f t="shared" si="13"/>
        <v>8400</v>
      </c>
      <c r="R238" t="str">
        <f t="shared" si="15"/>
        <v>0</v>
      </c>
    </row>
    <row r="239" spans="1:18">
      <c r="A239">
        <v>3112</v>
      </c>
      <c r="B239">
        <v>84006900</v>
      </c>
      <c r="C239" t="s">
        <v>343</v>
      </c>
      <c r="D239" t="s">
        <v>18431</v>
      </c>
      <c r="E239">
        <v>2022</v>
      </c>
      <c r="F239" t="s">
        <v>18432</v>
      </c>
      <c r="G239">
        <v>0.01</v>
      </c>
      <c r="H239">
        <v>57.6</v>
      </c>
      <c r="I239">
        <v>57.59</v>
      </c>
      <c r="J239" s="225">
        <v>44925</v>
      </c>
      <c r="K239" s="225">
        <v>44935</v>
      </c>
      <c r="L239">
        <v>365</v>
      </c>
      <c r="O239" s="236">
        <f t="shared" ca="1" si="14"/>
        <v>-45408</v>
      </c>
      <c r="P239">
        <f t="shared" ref="P239:P300" ca="1" si="16">IF(O239&lt;4,MID(B239,1,4)*1,0)</f>
        <v>8400</v>
      </c>
      <c r="Q239">
        <f t="shared" ref="Q239:Q300" si="17">MID(B239,1,4)*1</f>
        <v>8400</v>
      </c>
      <c r="R239" t="str">
        <f t="shared" si="15"/>
        <v>0</v>
      </c>
    </row>
    <row r="240" spans="1:18">
      <c r="A240">
        <v>3112</v>
      </c>
      <c r="B240">
        <v>84006900</v>
      </c>
      <c r="C240" t="s">
        <v>343</v>
      </c>
      <c r="D240" t="s">
        <v>18433</v>
      </c>
      <c r="E240">
        <v>2023</v>
      </c>
      <c r="F240" t="s">
        <v>18434</v>
      </c>
      <c r="G240">
        <v>0.03</v>
      </c>
      <c r="H240">
        <v>73.12</v>
      </c>
      <c r="I240">
        <v>73.09</v>
      </c>
      <c r="J240" s="225">
        <v>44928</v>
      </c>
      <c r="K240" s="225">
        <v>44931</v>
      </c>
      <c r="L240">
        <v>365</v>
      </c>
      <c r="O240" s="236">
        <f t="shared" ca="1" si="14"/>
        <v>-45408</v>
      </c>
      <c r="P240">
        <f t="shared" ca="1" si="16"/>
        <v>8400</v>
      </c>
      <c r="Q240">
        <f t="shared" si="17"/>
        <v>8400</v>
      </c>
      <c r="R240" t="str">
        <f t="shared" si="15"/>
        <v>0</v>
      </c>
    </row>
    <row r="241" spans="1:18">
      <c r="A241">
        <v>3112</v>
      </c>
      <c r="B241">
        <v>84006900</v>
      </c>
      <c r="C241" t="s">
        <v>343</v>
      </c>
      <c r="D241" t="s">
        <v>18435</v>
      </c>
      <c r="E241">
        <v>2023</v>
      </c>
      <c r="F241" t="s">
        <v>18436</v>
      </c>
      <c r="G241">
        <v>0.01</v>
      </c>
      <c r="H241">
        <v>73.11</v>
      </c>
      <c r="I241">
        <v>73.099999999999994</v>
      </c>
      <c r="J241" s="225">
        <v>44972</v>
      </c>
      <c r="K241" s="225">
        <v>44991</v>
      </c>
      <c r="L241">
        <v>365</v>
      </c>
      <c r="O241" s="236">
        <f t="shared" ca="1" si="14"/>
        <v>-45408</v>
      </c>
      <c r="P241">
        <f t="shared" ca="1" si="16"/>
        <v>8400</v>
      </c>
      <c r="Q241">
        <f t="shared" si="17"/>
        <v>8400</v>
      </c>
      <c r="R241" t="str">
        <f t="shared" si="15"/>
        <v>0</v>
      </c>
    </row>
    <row r="242" spans="1:18">
      <c r="A242">
        <v>3112</v>
      </c>
      <c r="B242">
        <v>84006900</v>
      </c>
      <c r="C242" t="s">
        <v>343</v>
      </c>
      <c r="D242" t="s">
        <v>18437</v>
      </c>
      <c r="E242">
        <v>2023</v>
      </c>
      <c r="F242" t="s">
        <v>18438</v>
      </c>
      <c r="G242">
        <v>0.01</v>
      </c>
      <c r="H242">
        <v>68.25</v>
      </c>
      <c r="I242">
        <v>68.239999999999995</v>
      </c>
      <c r="J242" s="225">
        <v>44972</v>
      </c>
      <c r="K242" s="225">
        <v>44980</v>
      </c>
      <c r="L242">
        <v>365</v>
      </c>
      <c r="O242" s="236">
        <f t="shared" ca="1" si="14"/>
        <v>-45408</v>
      </c>
      <c r="P242">
        <f t="shared" ca="1" si="16"/>
        <v>8400</v>
      </c>
      <c r="Q242">
        <f t="shared" si="17"/>
        <v>8400</v>
      </c>
      <c r="R242" t="str">
        <f t="shared" si="15"/>
        <v>0</v>
      </c>
    </row>
    <row r="243" spans="1:18">
      <c r="A243">
        <v>3112</v>
      </c>
      <c r="B243">
        <v>84006900</v>
      </c>
      <c r="C243" t="s">
        <v>343</v>
      </c>
      <c r="D243" t="s">
        <v>18439</v>
      </c>
      <c r="E243">
        <v>2023</v>
      </c>
      <c r="F243" t="s">
        <v>18440</v>
      </c>
      <c r="G243">
        <v>0.02</v>
      </c>
      <c r="H243">
        <v>73.12</v>
      </c>
      <c r="I243">
        <v>73.099999999999994</v>
      </c>
      <c r="J243" s="225">
        <v>45009</v>
      </c>
      <c r="K243" s="225">
        <v>45012</v>
      </c>
      <c r="L243">
        <v>365</v>
      </c>
      <c r="O243" s="236">
        <f t="shared" ca="1" si="14"/>
        <v>-45408</v>
      </c>
      <c r="P243">
        <f t="shared" ca="1" si="16"/>
        <v>8400</v>
      </c>
      <c r="Q243">
        <f t="shared" si="17"/>
        <v>8400</v>
      </c>
      <c r="R243" t="str">
        <f t="shared" si="15"/>
        <v>0</v>
      </c>
    </row>
    <row r="244" spans="1:18">
      <c r="A244">
        <v>3112</v>
      </c>
      <c r="B244">
        <v>84006900</v>
      </c>
      <c r="C244" t="s">
        <v>343</v>
      </c>
      <c r="D244" t="s">
        <v>18441</v>
      </c>
      <c r="E244">
        <v>2023</v>
      </c>
      <c r="F244" t="s">
        <v>18442</v>
      </c>
      <c r="G244">
        <v>0.01</v>
      </c>
      <c r="H244">
        <v>68.25</v>
      </c>
      <c r="I244">
        <v>68.239999999999995</v>
      </c>
      <c r="J244" s="225">
        <v>44994</v>
      </c>
      <c r="K244" s="225">
        <v>45007</v>
      </c>
      <c r="L244">
        <v>365</v>
      </c>
      <c r="O244" s="236">
        <f t="shared" ca="1" si="14"/>
        <v>-45408</v>
      </c>
      <c r="P244">
        <f t="shared" ca="1" si="16"/>
        <v>8400</v>
      </c>
      <c r="Q244">
        <f t="shared" si="17"/>
        <v>8400</v>
      </c>
      <c r="R244" t="str">
        <f t="shared" si="15"/>
        <v>0</v>
      </c>
    </row>
    <row r="245" spans="1:18">
      <c r="A245">
        <v>3112</v>
      </c>
      <c r="B245">
        <v>84006900</v>
      </c>
      <c r="C245" t="s">
        <v>343</v>
      </c>
      <c r="D245" t="s">
        <v>18443</v>
      </c>
      <c r="E245">
        <v>2023</v>
      </c>
      <c r="F245" t="s">
        <v>18444</v>
      </c>
      <c r="G245">
        <v>0.02</v>
      </c>
      <c r="H245">
        <v>73.12</v>
      </c>
      <c r="I245">
        <v>73.099999999999994</v>
      </c>
      <c r="J245" s="225">
        <v>45016</v>
      </c>
      <c r="K245" s="225">
        <v>45028</v>
      </c>
      <c r="L245">
        <v>365</v>
      </c>
      <c r="O245" s="236">
        <f t="shared" ca="1" si="14"/>
        <v>-45408</v>
      </c>
      <c r="P245">
        <f t="shared" ca="1" si="16"/>
        <v>8400</v>
      </c>
      <c r="Q245">
        <f t="shared" si="17"/>
        <v>8400</v>
      </c>
      <c r="R245" t="str">
        <f t="shared" si="15"/>
        <v>0</v>
      </c>
    </row>
    <row r="246" spans="1:18">
      <c r="A246">
        <v>3112</v>
      </c>
      <c r="B246">
        <v>84006900</v>
      </c>
      <c r="C246" t="s">
        <v>343</v>
      </c>
      <c r="D246" t="s">
        <v>18445</v>
      </c>
      <c r="E246">
        <v>2023</v>
      </c>
      <c r="F246" t="s">
        <v>18446</v>
      </c>
      <c r="G246">
        <v>0.02</v>
      </c>
      <c r="H246">
        <v>73.12</v>
      </c>
      <c r="I246">
        <v>73.099999999999994</v>
      </c>
      <c r="J246" s="225">
        <v>45028</v>
      </c>
      <c r="K246" s="225">
        <v>45043</v>
      </c>
      <c r="L246">
        <v>365</v>
      </c>
      <c r="O246" s="236">
        <f t="shared" ca="1" si="14"/>
        <v>-45408</v>
      </c>
      <c r="P246">
        <f t="shared" ca="1" si="16"/>
        <v>8400</v>
      </c>
      <c r="Q246">
        <f t="shared" si="17"/>
        <v>8400</v>
      </c>
      <c r="R246" t="str">
        <f t="shared" si="15"/>
        <v>0</v>
      </c>
    </row>
    <row r="247" spans="1:18">
      <c r="A247">
        <v>3112</v>
      </c>
      <c r="B247">
        <v>84006900</v>
      </c>
      <c r="C247" t="s">
        <v>343</v>
      </c>
      <c r="D247" t="s">
        <v>18447</v>
      </c>
      <c r="E247">
        <v>2023</v>
      </c>
      <c r="F247" t="s">
        <v>18448</v>
      </c>
      <c r="G247">
        <v>0.01</v>
      </c>
      <c r="H247">
        <v>73.12</v>
      </c>
      <c r="I247">
        <v>73.11</v>
      </c>
      <c r="J247" s="225">
        <v>45041</v>
      </c>
      <c r="K247" s="225">
        <v>45052</v>
      </c>
      <c r="L247">
        <v>365</v>
      </c>
      <c r="O247" s="236">
        <f t="shared" ca="1" si="14"/>
        <v>-45408</v>
      </c>
      <c r="P247">
        <f t="shared" ca="1" si="16"/>
        <v>8400</v>
      </c>
      <c r="Q247">
        <f t="shared" si="17"/>
        <v>8400</v>
      </c>
      <c r="R247" t="str">
        <f t="shared" si="15"/>
        <v>0</v>
      </c>
    </row>
    <row r="248" spans="1:18">
      <c r="A248">
        <v>3112</v>
      </c>
      <c r="B248">
        <v>84006900</v>
      </c>
      <c r="C248" t="s">
        <v>343</v>
      </c>
      <c r="D248" t="s">
        <v>18449</v>
      </c>
      <c r="E248">
        <v>2023</v>
      </c>
      <c r="F248" t="s">
        <v>18450</v>
      </c>
      <c r="G248">
        <v>0.04</v>
      </c>
      <c r="H248">
        <v>73.12</v>
      </c>
      <c r="I248">
        <v>73.08</v>
      </c>
      <c r="J248" s="225">
        <v>45058</v>
      </c>
      <c r="K248" s="225">
        <v>45061</v>
      </c>
      <c r="L248">
        <v>365</v>
      </c>
      <c r="O248" s="236">
        <f t="shared" ca="1" si="14"/>
        <v>-45408</v>
      </c>
      <c r="P248">
        <f t="shared" ca="1" si="16"/>
        <v>8400</v>
      </c>
      <c r="Q248">
        <f t="shared" si="17"/>
        <v>8400</v>
      </c>
      <c r="R248" t="str">
        <f t="shared" si="15"/>
        <v>0</v>
      </c>
    </row>
    <row r="249" spans="1:18">
      <c r="A249">
        <v>3112</v>
      </c>
      <c r="B249">
        <v>84006900</v>
      </c>
      <c r="C249" t="s">
        <v>343</v>
      </c>
      <c r="D249" t="s">
        <v>18451</v>
      </c>
      <c r="E249">
        <v>2023</v>
      </c>
      <c r="F249" t="s">
        <v>18452</v>
      </c>
      <c r="G249">
        <v>0.01</v>
      </c>
      <c r="H249">
        <v>57.6</v>
      </c>
      <c r="I249">
        <v>57.59</v>
      </c>
      <c r="J249" s="225">
        <v>45048</v>
      </c>
      <c r="K249" s="225">
        <v>45054</v>
      </c>
      <c r="L249">
        <v>365</v>
      </c>
      <c r="O249" s="236">
        <f t="shared" ca="1" si="14"/>
        <v>-45408</v>
      </c>
      <c r="P249">
        <f t="shared" ca="1" si="16"/>
        <v>8400</v>
      </c>
      <c r="Q249">
        <f t="shared" si="17"/>
        <v>8400</v>
      </c>
      <c r="R249" t="str">
        <f t="shared" si="15"/>
        <v>0</v>
      </c>
    </row>
    <row r="250" spans="1:18">
      <c r="A250">
        <v>3112</v>
      </c>
      <c r="B250">
        <v>84006900</v>
      </c>
      <c r="C250" t="s">
        <v>343</v>
      </c>
      <c r="D250" t="s">
        <v>18453</v>
      </c>
      <c r="E250">
        <v>2023</v>
      </c>
      <c r="F250" t="s">
        <v>18454</v>
      </c>
      <c r="G250">
        <v>0.01</v>
      </c>
      <c r="H250">
        <v>74.94</v>
      </c>
      <c r="I250">
        <v>74.930000000000007</v>
      </c>
      <c r="J250" s="225">
        <v>45059</v>
      </c>
      <c r="K250" s="225">
        <v>45073</v>
      </c>
      <c r="L250">
        <v>365</v>
      </c>
      <c r="O250" s="236">
        <f t="shared" ca="1" si="14"/>
        <v>-45408</v>
      </c>
      <c r="P250">
        <f t="shared" ca="1" si="16"/>
        <v>8400</v>
      </c>
      <c r="Q250">
        <f t="shared" si="17"/>
        <v>8400</v>
      </c>
      <c r="R250" t="str">
        <f t="shared" si="15"/>
        <v>0</v>
      </c>
    </row>
    <row r="251" spans="1:18">
      <c r="A251">
        <v>3112</v>
      </c>
      <c r="B251">
        <v>84006900</v>
      </c>
      <c r="C251" t="s">
        <v>343</v>
      </c>
      <c r="D251" t="s">
        <v>18455</v>
      </c>
      <c r="E251">
        <v>2023</v>
      </c>
      <c r="F251" t="s">
        <v>18456</v>
      </c>
      <c r="G251">
        <v>0.01</v>
      </c>
      <c r="H251">
        <v>73.12</v>
      </c>
      <c r="I251">
        <v>73.11</v>
      </c>
      <c r="J251" s="225">
        <v>45064</v>
      </c>
      <c r="K251" s="225">
        <v>45071</v>
      </c>
      <c r="L251">
        <v>365</v>
      </c>
      <c r="O251" s="236">
        <f t="shared" ca="1" si="14"/>
        <v>-45408</v>
      </c>
      <c r="P251">
        <f t="shared" ca="1" si="16"/>
        <v>8400</v>
      </c>
      <c r="Q251">
        <f t="shared" si="17"/>
        <v>8400</v>
      </c>
      <c r="R251" t="str">
        <f t="shared" si="15"/>
        <v>0</v>
      </c>
    </row>
    <row r="252" spans="1:18">
      <c r="A252">
        <v>3112</v>
      </c>
      <c r="B252">
        <v>84006900</v>
      </c>
      <c r="C252" t="s">
        <v>343</v>
      </c>
      <c r="D252" t="s">
        <v>18457</v>
      </c>
      <c r="E252">
        <v>2023</v>
      </c>
      <c r="F252" t="s">
        <v>18458</v>
      </c>
      <c r="G252">
        <v>0.01</v>
      </c>
      <c r="H252">
        <v>73.12</v>
      </c>
      <c r="I252">
        <v>73.11</v>
      </c>
      <c r="J252" s="225">
        <v>45068</v>
      </c>
      <c r="K252" s="225">
        <v>45071</v>
      </c>
      <c r="L252">
        <v>365</v>
      </c>
      <c r="O252" s="236">
        <f t="shared" ca="1" si="14"/>
        <v>-45408</v>
      </c>
      <c r="P252">
        <f t="shared" ca="1" si="16"/>
        <v>8400</v>
      </c>
      <c r="Q252">
        <f t="shared" si="17"/>
        <v>8400</v>
      </c>
      <c r="R252" t="str">
        <f t="shared" si="15"/>
        <v>0</v>
      </c>
    </row>
    <row r="253" spans="1:18">
      <c r="A253">
        <v>3112</v>
      </c>
      <c r="B253">
        <v>84006900</v>
      </c>
      <c r="C253" t="s">
        <v>343</v>
      </c>
      <c r="D253" t="s">
        <v>18459</v>
      </c>
      <c r="E253">
        <v>2023</v>
      </c>
      <c r="F253" t="s">
        <v>18460</v>
      </c>
      <c r="G253">
        <v>0.01</v>
      </c>
      <c r="H253">
        <v>57.6</v>
      </c>
      <c r="I253">
        <v>57.59</v>
      </c>
      <c r="J253" s="225">
        <v>45068</v>
      </c>
      <c r="K253" s="225">
        <v>45070</v>
      </c>
      <c r="L253">
        <v>365</v>
      </c>
      <c r="O253" s="236">
        <f t="shared" ca="1" si="14"/>
        <v>-45408</v>
      </c>
      <c r="P253">
        <f t="shared" ca="1" si="16"/>
        <v>8400</v>
      </c>
      <c r="Q253">
        <f t="shared" si="17"/>
        <v>8400</v>
      </c>
      <c r="R253" t="str">
        <f t="shared" si="15"/>
        <v>0</v>
      </c>
    </row>
    <row r="254" spans="1:18">
      <c r="A254">
        <v>3112</v>
      </c>
      <c r="B254">
        <v>84006900</v>
      </c>
      <c r="C254" t="s">
        <v>343</v>
      </c>
      <c r="D254" t="s">
        <v>18461</v>
      </c>
      <c r="E254">
        <v>2023</v>
      </c>
      <c r="F254" t="s">
        <v>18462</v>
      </c>
      <c r="G254">
        <v>0.01</v>
      </c>
      <c r="H254">
        <v>74.03</v>
      </c>
      <c r="I254">
        <v>74.02</v>
      </c>
      <c r="J254" s="225">
        <v>45107</v>
      </c>
      <c r="K254" s="225">
        <v>45111</v>
      </c>
      <c r="L254">
        <v>365</v>
      </c>
      <c r="O254" s="236">
        <f t="shared" ca="1" si="14"/>
        <v>-45408</v>
      </c>
      <c r="P254">
        <f t="shared" ca="1" si="16"/>
        <v>8400</v>
      </c>
      <c r="Q254">
        <f t="shared" si="17"/>
        <v>8400</v>
      </c>
      <c r="R254" t="str">
        <f t="shared" si="15"/>
        <v>0</v>
      </c>
    </row>
    <row r="255" spans="1:18">
      <c r="A255">
        <v>3112</v>
      </c>
      <c r="B255">
        <v>84006900</v>
      </c>
      <c r="C255" t="s">
        <v>343</v>
      </c>
      <c r="D255" t="s">
        <v>18463</v>
      </c>
      <c r="E255">
        <v>2023</v>
      </c>
      <c r="F255" t="s">
        <v>18464</v>
      </c>
      <c r="G255">
        <v>0.01</v>
      </c>
      <c r="H255">
        <v>57.6</v>
      </c>
      <c r="I255">
        <v>57.59</v>
      </c>
      <c r="J255" s="225">
        <v>45124</v>
      </c>
      <c r="K255" s="225">
        <v>45133</v>
      </c>
      <c r="L255">
        <v>365</v>
      </c>
      <c r="O255" s="236">
        <f t="shared" ca="1" si="14"/>
        <v>-45408</v>
      </c>
      <c r="P255">
        <f t="shared" ca="1" si="16"/>
        <v>8400</v>
      </c>
      <c r="Q255">
        <f t="shared" si="17"/>
        <v>8400</v>
      </c>
      <c r="R255" t="str">
        <f t="shared" si="15"/>
        <v>0</v>
      </c>
    </row>
    <row r="256" spans="1:18">
      <c r="A256">
        <v>3112</v>
      </c>
      <c r="B256">
        <v>84006900</v>
      </c>
      <c r="C256" t="s">
        <v>343</v>
      </c>
      <c r="D256" t="s">
        <v>18465</v>
      </c>
      <c r="E256">
        <v>2023</v>
      </c>
      <c r="F256" t="s">
        <v>18466</v>
      </c>
      <c r="G256">
        <v>0.01</v>
      </c>
      <c r="H256">
        <v>73.12</v>
      </c>
      <c r="I256">
        <v>73.11</v>
      </c>
      <c r="J256" s="225">
        <v>45140</v>
      </c>
      <c r="K256" s="225">
        <v>45161</v>
      </c>
      <c r="L256">
        <v>365</v>
      </c>
      <c r="O256" s="236">
        <f t="shared" ca="1" si="14"/>
        <v>-45408</v>
      </c>
      <c r="P256">
        <f t="shared" ca="1" si="16"/>
        <v>8400</v>
      </c>
      <c r="Q256">
        <f t="shared" si="17"/>
        <v>8400</v>
      </c>
      <c r="R256" t="str">
        <f t="shared" si="15"/>
        <v>0</v>
      </c>
    </row>
    <row r="257" spans="1:18">
      <c r="A257">
        <v>3112</v>
      </c>
      <c r="B257">
        <v>84006900</v>
      </c>
      <c r="C257" t="s">
        <v>343</v>
      </c>
      <c r="D257" t="s">
        <v>18467</v>
      </c>
      <c r="E257">
        <v>2023</v>
      </c>
      <c r="F257" t="s">
        <v>18468</v>
      </c>
      <c r="G257">
        <v>0.01</v>
      </c>
      <c r="H257">
        <v>74.03</v>
      </c>
      <c r="I257">
        <v>74.02</v>
      </c>
      <c r="J257" s="225">
        <v>45154</v>
      </c>
      <c r="K257" s="225">
        <v>45169</v>
      </c>
      <c r="L257">
        <v>365</v>
      </c>
      <c r="O257" s="236">
        <f t="shared" ca="1" si="14"/>
        <v>-45408</v>
      </c>
      <c r="P257">
        <f t="shared" ca="1" si="16"/>
        <v>8400</v>
      </c>
      <c r="Q257">
        <f t="shared" si="17"/>
        <v>8400</v>
      </c>
      <c r="R257" t="str">
        <f t="shared" si="15"/>
        <v>0</v>
      </c>
    </row>
    <row r="258" spans="1:18">
      <c r="A258">
        <v>3112</v>
      </c>
      <c r="B258">
        <v>84006900</v>
      </c>
      <c r="C258" t="s">
        <v>343</v>
      </c>
      <c r="D258" t="s">
        <v>18469</v>
      </c>
      <c r="E258">
        <v>2023</v>
      </c>
      <c r="F258" t="s">
        <v>18470</v>
      </c>
      <c r="G258">
        <v>0.03</v>
      </c>
      <c r="H258">
        <v>73.12</v>
      </c>
      <c r="I258">
        <v>73.09</v>
      </c>
      <c r="J258" s="225">
        <v>45166</v>
      </c>
      <c r="K258" s="225">
        <v>45187</v>
      </c>
      <c r="L258">
        <v>365</v>
      </c>
      <c r="O258" s="236">
        <f t="shared" ca="1" si="14"/>
        <v>-45408</v>
      </c>
      <c r="P258">
        <f t="shared" ca="1" si="16"/>
        <v>8400</v>
      </c>
      <c r="Q258">
        <f t="shared" si="17"/>
        <v>8400</v>
      </c>
      <c r="R258" t="str">
        <f t="shared" si="15"/>
        <v>0</v>
      </c>
    </row>
    <row r="259" spans="1:18">
      <c r="A259">
        <v>3112</v>
      </c>
      <c r="B259">
        <v>84006900</v>
      </c>
      <c r="C259" t="s">
        <v>343</v>
      </c>
      <c r="D259" t="s">
        <v>18471</v>
      </c>
      <c r="E259">
        <v>2023</v>
      </c>
      <c r="F259" t="s">
        <v>18472</v>
      </c>
      <c r="G259">
        <v>0.09</v>
      </c>
      <c r="H259">
        <v>73.12</v>
      </c>
      <c r="I259">
        <v>73.03</v>
      </c>
      <c r="J259" s="225">
        <v>45182</v>
      </c>
      <c r="K259" s="225">
        <v>45216</v>
      </c>
      <c r="L259">
        <v>365</v>
      </c>
      <c r="O259" s="236">
        <f t="shared" ref="O259:O300" ca="1" si="18">N259*1-TODAY()</f>
        <v>-45408</v>
      </c>
      <c r="P259">
        <f t="shared" ca="1" si="16"/>
        <v>8400</v>
      </c>
      <c r="Q259">
        <f t="shared" si="17"/>
        <v>8400</v>
      </c>
      <c r="R259" t="str">
        <f t="shared" ref="R259:R322" si="19">MID(D259,4,1)</f>
        <v>0</v>
      </c>
    </row>
    <row r="260" spans="1:18">
      <c r="A260">
        <v>3112</v>
      </c>
      <c r="B260">
        <v>84006900</v>
      </c>
      <c r="C260" t="s">
        <v>343</v>
      </c>
      <c r="D260" t="s">
        <v>18473</v>
      </c>
      <c r="E260">
        <v>2024</v>
      </c>
      <c r="F260" t="s">
        <v>18474</v>
      </c>
      <c r="G260">
        <v>0.02</v>
      </c>
      <c r="H260">
        <v>73.12</v>
      </c>
      <c r="I260">
        <v>73.099999999999994</v>
      </c>
      <c r="J260" s="225">
        <v>45355</v>
      </c>
      <c r="K260" s="225">
        <v>45376</v>
      </c>
      <c r="L260">
        <v>365</v>
      </c>
      <c r="O260" s="236">
        <f t="shared" ca="1" si="18"/>
        <v>-45408</v>
      </c>
      <c r="P260">
        <f t="shared" ca="1" si="16"/>
        <v>8400</v>
      </c>
      <c r="Q260">
        <f t="shared" si="17"/>
        <v>8400</v>
      </c>
      <c r="R260" t="str">
        <f t="shared" si="19"/>
        <v>0</v>
      </c>
    </row>
    <row r="261" spans="1:18">
      <c r="A261">
        <v>3112</v>
      </c>
      <c r="B261">
        <v>84006900</v>
      </c>
      <c r="C261" t="s">
        <v>343</v>
      </c>
      <c r="D261" t="s">
        <v>18475</v>
      </c>
      <c r="E261">
        <v>2024</v>
      </c>
      <c r="F261" t="s">
        <v>18476</v>
      </c>
      <c r="G261">
        <v>20.04</v>
      </c>
      <c r="H261">
        <v>73.12</v>
      </c>
      <c r="I261">
        <v>53.08</v>
      </c>
      <c r="J261" s="225">
        <v>45358</v>
      </c>
      <c r="K261" s="225">
        <v>45390</v>
      </c>
      <c r="L261">
        <v>365</v>
      </c>
      <c r="O261" s="236">
        <f t="shared" ca="1" si="18"/>
        <v>-45408</v>
      </c>
      <c r="P261">
        <f t="shared" ca="1" si="16"/>
        <v>8400</v>
      </c>
      <c r="Q261">
        <f t="shared" si="17"/>
        <v>8400</v>
      </c>
      <c r="R261" t="str">
        <f t="shared" si="19"/>
        <v>0</v>
      </c>
    </row>
    <row r="262" spans="1:18">
      <c r="A262">
        <v>3112</v>
      </c>
      <c r="B262">
        <v>84006900</v>
      </c>
      <c r="C262" t="s">
        <v>343</v>
      </c>
      <c r="D262" t="s">
        <v>18905</v>
      </c>
      <c r="E262">
        <v>2024</v>
      </c>
      <c r="F262" t="s">
        <v>18906</v>
      </c>
      <c r="G262">
        <v>57.6</v>
      </c>
      <c r="H262">
        <v>57.6</v>
      </c>
      <c r="I262">
        <v>0</v>
      </c>
      <c r="J262" s="225">
        <v>45390</v>
      </c>
      <c r="K262" s="225">
        <v>45390</v>
      </c>
      <c r="L262">
        <v>365</v>
      </c>
      <c r="O262" s="236">
        <f t="shared" ca="1" si="18"/>
        <v>-45408</v>
      </c>
      <c r="P262">
        <f t="shared" ca="1" si="16"/>
        <v>8400</v>
      </c>
      <c r="Q262">
        <f t="shared" si="17"/>
        <v>8400</v>
      </c>
      <c r="R262" t="str">
        <f t="shared" si="19"/>
        <v>0</v>
      </c>
    </row>
    <row r="263" spans="1:18">
      <c r="A263">
        <v>3112</v>
      </c>
      <c r="B263">
        <v>84008410</v>
      </c>
      <c r="C263" t="s">
        <v>402</v>
      </c>
      <c r="D263" t="s">
        <v>18477</v>
      </c>
      <c r="E263">
        <v>2022</v>
      </c>
      <c r="F263" t="s">
        <v>18478</v>
      </c>
      <c r="G263">
        <v>0.01</v>
      </c>
      <c r="H263">
        <v>2970.5</v>
      </c>
      <c r="I263">
        <v>2970.49</v>
      </c>
      <c r="J263" s="225">
        <v>44792</v>
      </c>
      <c r="K263" s="225">
        <v>44797</v>
      </c>
      <c r="L263">
        <v>90</v>
      </c>
      <c r="O263" s="236">
        <f t="shared" ca="1" si="18"/>
        <v>-45408</v>
      </c>
      <c r="P263">
        <f t="shared" ca="1" si="16"/>
        <v>8400</v>
      </c>
      <c r="Q263">
        <f t="shared" si="17"/>
        <v>8400</v>
      </c>
      <c r="R263" t="str">
        <f t="shared" si="19"/>
        <v>0</v>
      </c>
    </row>
    <row r="264" spans="1:18">
      <c r="A264">
        <v>3112</v>
      </c>
      <c r="B264">
        <v>84008500</v>
      </c>
      <c r="C264" t="s">
        <v>14686</v>
      </c>
      <c r="D264" t="s">
        <v>18479</v>
      </c>
      <c r="E264">
        <v>2022</v>
      </c>
      <c r="F264" t="s">
        <v>18480</v>
      </c>
      <c r="G264">
        <v>0.01</v>
      </c>
      <c r="H264">
        <v>429.84</v>
      </c>
      <c r="I264">
        <v>429.83</v>
      </c>
      <c r="J264" s="225">
        <v>44651</v>
      </c>
      <c r="K264" s="225">
        <v>44844</v>
      </c>
      <c r="L264">
        <v>720</v>
      </c>
      <c r="O264" s="236">
        <f t="shared" ca="1" si="18"/>
        <v>-45408</v>
      </c>
      <c r="P264">
        <f t="shared" ca="1" si="16"/>
        <v>8400</v>
      </c>
      <c r="Q264">
        <f t="shared" si="17"/>
        <v>8400</v>
      </c>
      <c r="R264" t="str">
        <f t="shared" si="19"/>
        <v>0</v>
      </c>
    </row>
    <row r="265" spans="1:18">
      <c r="A265">
        <v>3112</v>
      </c>
      <c r="B265">
        <v>84008500</v>
      </c>
      <c r="C265" t="s">
        <v>14686</v>
      </c>
      <c r="D265" t="s">
        <v>18481</v>
      </c>
      <c r="E265">
        <v>2022</v>
      </c>
      <c r="F265" t="s">
        <v>18482</v>
      </c>
      <c r="G265">
        <v>0.01</v>
      </c>
      <c r="H265">
        <v>216</v>
      </c>
      <c r="I265">
        <v>215.99</v>
      </c>
      <c r="J265" s="225">
        <v>44616</v>
      </c>
      <c r="K265" s="225">
        <v>44649</v>
      </c>
      <c r="L265">
        <v>720</v>
      </c>
      <c r="O265" s="236">
        <f t="shared" ca="1" si="18"/>
        <v>-45408</v>
      </c>
      <c r="P265">
        <f t="shared" ca="1" si="16"/>
        <v>8400</v>
      </c>
      <c r="Q265">
        <f t="shared" si="17"/>
        <v>8400</v>
      </c>
      <c r="R265" t="str">
        <f t="shared" si="19"/>
        <v>0</v>
      </c>
    </row>
    <row r="266" spans="1:18">
      <c r="A266">
        <v>3112</v>
      </c>
      <c r="B266">
        <v>84008500</v>
      </c>
      <c r="C266" t="s">
        <v>14686</v>
      </c>
      <c r="D266" t="s">
        <v>18483</v>
      </c>
      <c r="E266">
        <v>2022</v>
      </c>
      <c r="F266" t="s">
        <v>18484</v>
      </c>
      <c r="G266">
        <v>0.01</v>
      </c>
      <c r="H266">
        <v>864</v>
      </c>
      <c r="I266">
        <v>863.99</v>
      </c>
      <c r="J266" s="225">
        <v>44722</v>
      </c>
      <c r="K266" s="225">
        <v>44848</v>
      </c>
      <c r="L266">
        <v>720</v>
      </c>
      <c r="O266" s="236">
        <f t="shared" ca="1" si="18"/>
        <v>-45408</v>
      </c>
      <c r="P266">
        <f t="shared" ca="1" si="16"/>
        <v>8400</v>
      </c>
      <c r="Q266">
        <f t="shared" si="17"/>
        <v>8400</v>
      </c>
      <c r="R266" t="str">
        <f t="shared" si="19"/>
        <v>0</v>
      </c>
    </row>
    <row r="267" spans="1:18">
      <c r="A267">
        <v>3112</v>
      </c>
      <c r="B267">
        <v>84008500</v>
      </c>
      <c r="C267" t="s">
        <v>14686</v>
      </c>
      <c r="D267" t="s">
        <v>18485</v>
      </c>
      <c r="E267">
        <v>2022</v>
      </c>
      <c r="F267" t="s">
        <v>18486</v>
      </c>
      <c r="G267">
        <v>0.01</v>
      </c>
      <c r="H267">
        <v>1512</v>
      </c>
      <c r="I267">
        <v>1511.99</v>
      </c>
      <c r="J267" s="225">
        <v>44841</v>
      </c>
      <c r="K267" s="225">
        <v>44880</v>
      </c>
      <c r="L267">
        <v>720</v>
      </c>
      <c r="O267" s="236">
        <f t="shared" ca="1" si="18"/>
        <v>-45408</v>
      </c>
      <c r="P267">
        <f t="shared" ca="1" si="16"/>
        <v>8400</v>
      </c>
      <c r="Q267">
        <f t="shared" si="17"/>
        <v>8400</v>
      </c>
      <c r="R267" t="str">
        <f t="shared" si="19"/>
        <v>0</v>
      </c>
    </row>
    <row r="268" spans="1:18">
      <c r="A268">
        <v>3112</v>
      </c>
      <c r="B268">
        <v>84008600</v>
      </c>
      <c r="C268" t="s">
        <v>344</v>
      </c>
      <c r="D268" t="s">
        <v>18487</v>
      </c>
      <c r="E268">
        <v>2022</v>
      </c>
      <c r="F268" t="s">
        <v>18488</v>
      </c>
      <c r="G268">
        <v>0.01</v>
      </c>
      <c r="H268">
        <v>216</v>
      </c>
      <c r="I268">
        <v>215.99</v>
      </c>
      <c r="J268" s="225">
        <v>44616</v>
      </c>
      <c r="K268" s="225">
        <v>44721</v>
      </c>
      <c r="L268">
        <v>720</v>
      </c>
      <c r="O268" s="236">
        <f t="shared" ca="1" si="18"/>
        <v>-45408</v>
      </c>
      <c r="P268">
        <f t="shared" ca="1" si="16"/>
        <v>8400</v>
      </c>
      <c r="Q268">
        <f t="shared" si="17"/>
        <v>8400</v>
      </c>
      <c r="R268" t="str">
        <f t="shared" si="19"/>
        <v>0</v>
      </c>
    </row>
    <row r="269" spans="1:18">
      <c r="A269">
        <v>3112</v>
      </c>
      <c r="B269">
        <v>84008900</v>
      </c>
      <c r="C269" t="s">
        <v>18063</v>
      </c>
      <c r="D269" t="s">
        <v>18489</v>
      </c>
      <c r="E269">
        <v>2022</v>
      </c>
      <c r="F269" t="s">
        <v>18490</v>
      </c>
      <c r="G269">
        <v>0.01</v>
      </c>
      <c r="H269">
        <v>2041.2</v>
      </c>
      <c r="I269">
        <v>2041.19</v>
      </c>
      <c r="J269" s="225">
        <v>44875</v>
      </c>
      <c r="K269" s="225">
        <v>44928</v>
      </c>
      <c r="L269">
        <v>720</v>
      </c>
      <c r="O269" s="236">
        <f t="shared" ca="1" si="18"/>
        <v>-45408</v>
      </c>
      <c r="P269">
        <f t="shared" ca="1" si="16"/>
        <v>8400</v>
      </c>
      <c r="Q269">
        <f t="shared" si="17"/>
        <v>8400</v>
      </c>
      <c r="R269" t="str">
        <f t="shared" si="19"/>
        <v>0</v>
      </c>
    </row>
    <row r="270" spans="1:18">
      <c r="A270">
        <v>3112</v>
      </c>
      <c r="B270">
        <v>84008900</v>
      </c>
      <c r="C270" t="s">
        <v>18063</v>
      </c>
      <c r="D270" t="s">
        <v>18491</v>
      </c>
      <c r="E270">
        <v>2022</v>
      </c>
      <c r="F270" t="s">
        <v>18492</v>
      </c>
      <c r="G270">
        <v>0.02</v>
      </c>
      <c r="H270">
        <v>3628.8</v>
      </c>
      <c r="I270">
        <v>3628.78</v>
      </c>
      <c r="J270" s="225">
        <v>44916</v>
      </c>
      <c r="K270" s="225">
        <v>44950</v>
      </c>
      <c r="L270">
        <v>720</v>
      </c>
      <c r="O270" s="236">
        <f t="shared" ca="1" si="18"/>
        <v>-45408</v>
      </c>
      <c r="P270">
        <f t="shared" ca="1" si="16"/>
        <v>8400</v>
      </c>
      <c r="Q270">
        <f t="shared" si="17"/>
        <v>8400</v>
      </c>
      <c r="R270" t="str">
        <f t="shared" si="19"/>
        <v>0</v>
      </c>
    </row>
    <row r="271" spans="1:18">
      <c r="A271">
        <v>3112</v>
      </c>
      <c r="B271">
        <v>84008900</v>
      </c>
      <c r="C271" t="s">
        <v>18063</v>
      </c>
      <c r="D271" t="s">
        <v>18493</v>
      </c>
      <c r="E271">
        <v>2023</v>
      </c>
      <c r="F271" t="s">
        <v>18494</v>
      </c>
      <c r="G271">
        <v>0.01</v>
      </c>
      <c r="H271">
        <v>2041.2</v>
      </c>
      <c r="I271">
        <v>2041.19</v>
      </c>
      <c r="J271" s="225">
        <v>45033</v>
      </c>
      <c r="K271" s="225">
        <v>45099</v>
      </c>
      <c r="L271">
        <v>720</v>
      </c>
      <c r="O271" s="236">
        <f t="shared" ca="1" si="18"/>
        <v>-45408</v>
      </c>
      <c r="P271">
        <f t="shared" ca="1" si="16"/>
        <v>8400</v>
      </c>
      <c r="Q271">
        <f t="shared" si="17"/>
        <v>8400</v>
      </c>
      <c r="R271" t="str">
        <f t="shared" si="19"/>
        <v>0</v>
      </c>
    </row>
    <row r="272" spans="1:18">
      <c r="A272">
        <v>3112</v>
      </c>
      <c r="B272">
        <v>84008900</v>
      </c>
      <c r="C272" t="s">
        <v>18063</v>
      </c>
      <c r="D272" t="s">
        <v>18495</v>
      </c>
      <c r="E272">
        <v>2023</v>
      </c>
      <c r="F272" t="s">
        <v>18496</v>
      </c>
      <c r="G272">
        <v>0.01</v>
      </c>
      <c r="H272">
        <v>226.8</v>
      </c>
      <c r="I272">
        <v>226.79</v>
      </c>
      <c r="J272" s="225">
        <v>45070</v>
      </c>
      <c r="K272" s="225">
        <v>45070</v>
      </c>
      <c r="L272">
        <v>720</v>
      </c>
      <c r="O272" s="236">
        <f t="shared" ca="1" si="18"/>
        <v>-45408</v>
      </c>
      <c r="P272">
        <f t="shared" ca="1" si="16"/>
        <v>8400</v>
      </c>
      <c r="Q272">
        <f t="shared" si="17"/>
        <v>8400</v>
      </c>
      <c r="R272" t="str">
        <f t="shared" si="19"/>
        <v>0</v>
      </c>
    </row>
    <row r="273" spans="1:18">
      <c r="A273">
        <v>3112</v>
      </c>
      <c r="B273">
        <v>84008900</v>
      </c>
      <c r="C273" t="s">
        <v>18063</v>
      </c>
      <c r="D273" t="s">
        <v>18497</v>
      </c>
      <c r="E273">
        <v>2023</v>
      </c>
      <c r="F273" t="s">
        <v>18498</v>
      </c>
      <c r="G273">
        <v>0.01</v>
      </c>
      <c r="H273">
        <v>1814.4</v>
      </c>
      <c r="I273">
        <v>1814.39</v>
      </c>
      <c r="J273" s="225">
        <v>45044</v>
      </c>
      <c r="K273" s="225">
        <v>45077</v>
      </c>
      <c r="L273">
        <v>720</v>
      </c>
      <c r="O273" s="236">
        <f t="shared" ca="1" si="18"/>
        <v>-45408</v>
      </c>
      <c r="P273">
        <f t="shared" ca="1" si="16"/>
        <v>8400</v>
      </c>
      <c r="Q273">
        <f t="shared" si="17"/>
        <v>8400</v>
      </c>
      <c r="R273" t="str">
        <f t="shared" si="19"/>
        <v>0</v>
      </c>
    </row>
    <row r="274" spans="1:18">
      <c r="A274">
        <v>3112</v>
      </c>
      <c r="B274">
        <v>84008900</v>
      </c>
      <c r="C274" t="s">
        <v>18063</v>
      </c>
      <c r="D274" t="s">
        <v>18499</v>
      </c>
      <c r="E274">
        <v>2023</v>
      </c>
      <c r="F274" t="s">
        <v>18500</v>
      </c>
      <c r="G274">
        <v>0.01</v>
      </c>
      <c r="H274">
        <v>3175.2</v>
      </c>
      <c r="I274">
        <v>3175.19</v>
      </c>
      <c r="J274" s="225">
        <v>45120</v>
      </c>
      <c r="K274" s="225">
        <v>45161</v>
      </c>
      <c r="L274">
        <v>720</v>
      </c>
      <c r="O274" s="236">
        <f t="shared" ca="1" si="18"/>
        <v>-45408</v>
      </c>
      <c r="P274">
        <f t="shared" ca="1" si="16"/>
        <v>8400</v>
      </c>
      <c r="Q274">
        <f t="shared" si="17"/>
        <v>8400</v>
      </c>
      <c r="R274" t="str">
        <f t="shared" si="19"/>
        <v>0</v>
      </c>
    </row>
    <row r="275" spans="1:18">
      <c r="A275">
        <v>3112</v>
      </c>
      <c r="B275">
        <v>84008900</v>
      </c>
      <c r="C275" t="s">
        <v>18063</v>
      </c>
      <c r="D275" t="s">
        <v>18501</v>
      </c>
      <c r="E275">
        <v>2023</v>
      </c>
      <c r="F275" t="s">
        <v>18502</v>
      </c>
      <c r="G275">
        <v>0.01</v>
      </c>
      <c r="H275">
        <v>1587.6</v>
      </c>
      <c r="I275">
        <v>1587.59</v>
      </c>
      <c r="J275" s="225">
        <v>45146</v>
      </c>
      <c r="K275" s="225">
        <v>45169</v>
      </c>
      <c r="L275">
        <v>720</v>
      </c>
      <c r="O275" s="236">
        <f t="shared" ca="1" si="18"/>
        <v>-45408</v>
      </c>
      <c r="P275">
        <f t="shared" ca="1" si="16"/>
        <v>8400</v>
      </c>
      <c r="Q275">
        <f t="shared" si="17"/>
        <v>8400</v>
      </c>
      <c r="R275" t="str">
        <f t="shared" si="19"/>
        <v>0</v>
      </c>
    </row>
    <row r="276" spans="1:18">
      <c r="A276">
        <v>3112</v>
      </c>
      <c r="B276">
        <v>84008900</v>
      </c>
      <c r="C276" t="s">
        <v>18063</v>
      </c>
      <c r="D276" t="s">
        <v>18503</v>
      </c>
      <c r="E276">
        <v>2023</v>
      </c>
      <c r="F276" t="s">
        <v>18504</v>
      </c>
      <c r="G276">
        <v>0.04</v>
      </c>
      <c r="H276">
        <v>2948.4</v>
      </c>
      <c r="I276">
        <v>2948.36</v>
      </c>
      <c r="J276" s="225">
        <v>45146</v>
      </c>
      <c r="K276" s="225">
        <v>45215</v>
      </c>
      <c r="L276">
        <v>720</v>
      </c>
      <c r="O276" s="236">
        <f t="shared" ca="1" si="18"/>
        <v>-45408</v>
      </c>
      <c r="P276">
        <f t="shared" ca="1" si="16"/>
        <v>8400</v>
      </c>
      <c r="Q276">
        <f t="shared" si="17"/>
        <v>8400</v>
      </c>
      <c r="R276" t="str">
        <f t="shared" si="19"/>
        <v>0</v>
      </c>
    </row>
    <row r="277" spans="1:18">
      <c r="A277">
        <v>3112</v>
      </c>
      <c r="B277">
        <v>84008900</v>
      </c>
      <c r="C277" t="s">
        <v>18063</v>
      </c>
      <c r="D277" t="s">
        <v>18505</v>
      </c>
      <c r="E277">
        <v>2023</v>
      </c>
      <c r="F277" t="s">
        <v>18506</v>
      </c>
      <c r="G277">
        <v>0.01</v>
      </c>
      <c r="H277">
        <v>3175.2</v>
      </c>
      <c r="I277">
        <v>3175.19</v>
      </c>
      <c r="J277" s="225">
        <v>45167</v>
      </c>
      <c r="K277" s="225">
        <v>45224</v>
      </c>
      <c r="L277">
        <v>720</v>
      </c>
      <c r="O277" s="236">
        <f t="shared" ca="1" si="18"/>
        <v>-45408</v>
      </c>
      <c r="P277">
        <f t="shared" ca="1" si="16"/>
        <v>8400</v>
      </c>
      <c r="Q277">
        <f t="shared" si="17"/>
        <v>8400</v>
      </c>
      <c r="R277" t="str">
        <f t="shared" si="19"/>
        <v>0</v>
      </c>
    </row>
    <row r="278" spans="1:18">
      <c r="A278">
        <v>3112</v>
      </c>
      <c r="B278">
        <v>84008900</v>
      </c>
      <c r="C278" t="s">
        <v>18063</v>
      </c>
      <c r="D278" t="s">
        <v>18507</v>
      </c>
      <c r="E278">
        <v>2023</v>
      </c>
      <c r="F278" t="s">
        <v>18508</v>
      </c>
      <c r="G278">
        <v>0.02</v>
      </c>
      <c r="H278">
        <v>2494.8000000000002</v>
      </c>
      <c r="I278">
        <v>2494.7800000000002</v>
      </c>
      <c r="J278" s="225">
        <v>45175</v>
      </c>
      <c r="K278" s="225">
        <v>45225</v>
      </c>
      <c r="L278">
        <v>720</v>
      </c>
      <c r="O278" s="236">
        <f t="shared" ca="1" si="18"/>
        <v>-45408</v>
      </c>
      <c r="P278">
        <f t="shared" ca="1" si="16"/>
        <v>8400</v>
      </c>
      <c r="Q278">
        <f t="shared" si="17"/>
        <v>8400</v>
      </c>
      <c r="R278" t="str">
        <f t="shared" si="19"/>
        <v>0</v>
      </c>
    </row>
    <row r="279" spans="1:18">
      <c r="A279">
        <v>3112</v>
      </c>
      <c r="B279">
        <v>84008900</v>
      </c>
      <c r="C279" t="s">
        <v>18063</v>
      </c>
      <c r="D279" t="s">
        <v>18509</v>
      </c>
      <c r="E279">
        <v>2024</v>
      </c>
      <c r="F279" t="s">
        <v>18510</v>
      </c>
      <c r="G279">
        <v>0.02</v>
      </c>
      <c r="H279">
        <v>1814.4</v>
      </c>
      <c r="I279">
        <v>1814.38</v>
      </c>
      <c r="J279" s="225">
        <v>45341</v>
      </c>
      <c r="K279" s="225">
        <v>45371</v>
      </c>
      <c r="L279">
        <v>720</v>
      </c>
      <c r="O279" s="236">
        <f t="shared" ca="1" si="18"/>
        <v>-45408</v>
      </c>
      <c r="P279">
        <f t="shared" ca="1" si="16"/>
        <v>8400</v>
      </c>
      <c r="Q279">
        <f t="shared" si="17"/>
        <v>8400</v>
      </c>
      <c r="R279" t="str">
        <f t="shared" si="19"/>
        <v>0</v>
      </c>
    </row>
    <row r="280" spans="1:18">
      <c r="A280">
        <v>3112</v>
      </c>
      <c r="B280">
        <v>84008900</v>
      </c>
      <c r="C280" t="s">
        <v>18063</v>
      </c>
      <c r="D280" t="s">
        <v>18511</v>
      </c>
      <c r="E280">
        <v>2024</v>
      </c>
      <c r="F280" t="s">
        <v>18512</v>
      </c>
      <c r="G280">
        <v>0.01</v>
      </c>
      <c r="H280">
        <v>907.2</v>
      </c>
      <c r="I280">
        <v>907.19</v>
      </c>
      <c r="J280" s="225">
        <v>45355</v>
      </c>
      <c r="K280" s="225">
        <v>45365</v>
      </c>
      <c r="L280">
        <v>720</v>
      </c>
      <c r="O280" s="236">
        <f t="shared" ca="1" si="18"/>
        <v>-45408</v>
      </c>
      <c r="P280">
        <f t="shared" ca="1" si="16"/>
        <v>8400</v>
      </c>
      <c r="Q280">
        <f t="shared" si="17"/>
        <v>8400</v>
      </c>
      <c r="R280" t="str">
        <f t="shared" si="19"/>
        <v>0</v>
      </c>
    </row>
    <row r="281" spans="1:18">
      <c r="A281">
        <v>3112</v>
      </c>
      <c r="B281">
        <v>84008900</v>
      </c>
      <c r="C281" t="s">
        <v>18063</v>
      </c>
      <c r="D281" t="s">
        <v>18907</v>
      </c>
      <c r="E281">
        <v>2024</v>
      </c>
      <c r="F281" t="s">
        <v>18908</v>
      </c>
      <c r="G281">
        <v>64.08</v>
      </c>
      <c r="H281">
        <v>453.6</v>
      </c>
      <c r="I281">
        <v>389.52</v>
      </c>
      <c r="J281" s="225">
        <v>45387</v>
      </c>
      <c r="K281" s="225">
        <v>45390</v>
      </c>
      <c r="L281">
        <v>720</v>
      </c>
      <c r="O281" s="236">
        <f t="shared" ca="1" si="18"/>
        <v>-45408</v>
      </c>
      <c r="P281">
        <f t="shared" ca="1" si="16"/>
        <v>8400</v>
      </c>
      <c r="Q281">
        <f t="shared" si="17"/>
        <v>8400</v>
      </c>
      <c r="R281" t="str">
        <f t="shared" si="19"/>
        <v>0</v>
      </c>
    </row>
    <row r="282" spans="1:18">
      <c r="A282">
        <v>3112</v>
      </c>
      <c r="B282">
        <v>84008900</v>
      </c>
      <c r="C282" t="s">
        <v>18063</v>
      </c>
      <c r="D282" t="s">
        <v>18776</v>
      </c>
      <c r="E282">
        <v>2024</v>
      </c>
      <c r="F282" t="s">
        <v>18777</v>
      </c>
      <c r="G282">
        <v>226.8</v>
      </c>
      <c r="H282">
        <v>226.8</v>
      </c>
      <c r="I282">
        <v>0</v>
      </c>
      <c r="J282" s="225">
        <v>45386</v>
      </c>
      <c r="K282" s="225">
        <v>45386</v>
      </c>
      <c r="L282">
        <v>720</v>
      </c>
      <c r="O282" s="236">
        <f t="shared" ca="1" si="18"/>
        <v>-45408</v>
      </c>
      <c r="P282">
        <f t="shared" ca="1" si="16"/>
        <v>8400</v>
      </c>
      <c r="Q282">
        <f t="shared" si="17"/>
        <v>8400</v>
      </c>
      <c r="R282" t="str">
        <f t="shared" si="19"/>
        <v>0</v>
      </c>
    </row>
    <row r="283" spans="1:18">
      <c r="A283">
        <v>3112</v>
      </c>
      <c r="B283">
        <v>84008900</v>
      </c>
      <c r="C283" t="s">
        <v>18063</v>
      </c>
      <c r="D283" t="s">
        <v>18731</v>
      </c>
      <c r="E283">
        <v>2024</v>
      </c>
      <c r="F283" t="s">
        <v>18732</v>
      </c>
      <c r="G283">
        <v>453.6</v>
      </c>
      <c r="H283">
        <v>453.6</v>
      </c>
      <c r="I283">
        <v>0</v>
      </c>
      <c r="J283" s="225">
        <v>45384</v>
      </c>
      <c r="K283" s="225">
        <v>45384</v>
      </c>
      <c r="L283">
        <v>720</v>
      </c>
      <c r="O283" s="236">
        <f t="shared" ca="1" si="18"/>
        <v>-45408</v>
      </c>
      <c r="P283">
        <f t="shared" ca="1" si="16"/>
        <v>8400</v>
      </c>
      <c r="Q283">
        <f t="shared" si="17"/>
        <v>8400</v>
      </c>
      <c r="R283" t="str">
        <f t="shared" si="19"/>
        <v>0</v>
      </c>
    </row>
    <row r="284" spans="1:18">
      <c r="A284">
        <v>3112</v>
      </c>
      <c r="B284">
        <v>84008900</v>
      </c>
      <c r="C284" t="s">
        <v>18063</v>
      </c>
      <c r="D284" t="s">
        <v>18515</v>
      </c>
      <c r="E284">
        <v>2024</v>
      </c>
      <c r="F284" t="s">
        <v>18516</v>
      </c>
      <c r="G284">
        <v>0.02</v>
      </c>
      <c r="H284">
        <v>453.6</v>
      </c>
      <c r="I284">
        <v>453.58</v>
      </c>
      <c r="J284" s="225">
        <v>45336</v>
      </c>
      <c r="K284" s="225">
        <v>45373</v>
      </c>
      <c r="L284">
        <v>720</v>
      </c>
      <c r="O284" s="236">
        <f t="shared" ca="1" si="18"/>
        <v>-45408</v>
      </c>
      <c r="P284">
        <f t="shared" ca="1" si="16"/>
        <v>8400</v>
      </c>
      <c r="Q284">
        <f t="shared" si="17"/>
        <v>8400</v>
      </c>
      <c r="R284" t="str">
        <f t="shared" si="19"/>
        <v>0</v>
      </c>
    </row>
    <row r="285" spans="1:18">
      <c r="A285">
        <v>3112</v>
      </c>
      <c r="B285">
        <v>84009100</v>
      </c>
      <c r="C285" t="s">
        <v>14685</v>
      </c>
      <c r="D285" t="s">
        <v>18517</v>
      </c>
      <c r="E285">
        <v>2022</v>
      </c>
      <c r="F285" t="s">
        <v>18518</v>
      </c>
      <c r="G285">
        <v>85.5</v>
      </c>
      <c r="H285">
        <v>324</v>
      </c>
      <c r="I285">
        <v>238.5</v>
      </c>
      <c r="J285" s="225">
        <v>44690</v>
      </c>
      <c r="K285" s="225">
        <v>44691</v>
      </c>
      <c r="L285">
        <v>720</v>
      </c>
      <c r="O285" s="236">
        <f t="shared" ca="1" si="18"/>
        <v>-45408</v>
      </c>
      <c r="P285">
        <f t="shared" ca="1" si="16"/>
        <v>8400</v>
      </c>
      <c r="Q285">
        <f t="shared" si="17"/>
        <v>8400</v>
      </c>
      <c r="R285" t="str">
        <f t="shared" si="19"/>
        <v>0</v>
      </c>
    </row>
    <row r="286" spans="1:18">
      <c r="A286">
        <v>3112</v>
      </c>
      <c r="B286">
        <v>84009600</v>
      </c>
      <c r="C286" t="s">
        <v>15231</v>
      </c>
      <c r="D286" t="s">
        <v>18519</v>
      </c>
      <c r="E286">
        <v>2023</v>
      </c>
      <c r="F286" t="s">
        <v>18520</v>
      </c>
      <c r="G286">
        <v>0.01</v>
      </c>
      <c r="H286">
        <v>2283.9299999999998</v>
      </c>
      <c r="I286">
        <v>2283.92</v>
      </c>
      <c r="J286" s="225">
        <v>45173</v>
      </c>
      <c r="K286" s="225">
        <v>45202</v>
      </c>
      <c r="L286">
        <v>540</v>
      </c>
      <c r="O286" s="236">
        <f t="shared" ca="1" si="18"/>
        <v>-45408</v>
      </c>
      <c r="P286">
        <f t="shared" ca="1" si="16"/>
        <v>8400</v>
      </c>
      <c r="Q286">
        <f t="shared" si="17"/>
        <v>8400</v>
      </c>
      <c r="R286" t="str">
        <f t="shared" si="19"/>
        <v>0</v>
      </c>
    </row>
    <row r="287" spans="1:18">
      <c r="A287">
        <v>3112</v>
      </c>
      <c r="B287">
        <v>84009600</v>
      </c>
      <c r="C287" t="s">
        <v>15231</v>
      </c>
      <c r="D287" t="s">
        <v>18521</v>
      </c>
      <c r="E287">
        <v>2023</v>
      </c>
      <c r="F287" t="s">
        <v>18522</v>
      </c>
      <c r="G287">
        <v>0.02</v>
      </c>
      <c r="H287">
        <v>1595.88</v>
      </c>
      <c r="I287">
        <v>1595.86</v>
      </c>
      <c r="J287" s="225">
        <v>45211</v>
      </c>
      <c r="K287" s="225">
        <v>45252</v>
      </c>
      <c r="L287">
        <v>540</v>
      </c>
      <c r="O287" s="236">
        <f t="shared" ca="1" si="18"/>
        <v>-45408</v>
      </c>
      <c r="P287">
        <f t="shared" ca="1" si="16"/>
        <v>8400</v>
      </c>
      <c r="Q287">
        <f t="shared" si="17"/>
        <v>8400</v>
      </c>
      <c r="R287" t="str">
        <f t="shared" si="19"/>
        <v>0</v>
      </c>
    </row>
    <row r="288" spans="1:18">
      <c r="A288">
        <v>3112</v>
      </c>
      <c r="B288">
        <v>84009600</v>
      </c>
      <c r="C288" t="s">
        <v>15231</v>
      </c>
      <c r="D288" t="s">
        <v>18523</v>
      </c>
      <c r="E288">
        <v>2024</v>
      </c>
      <c r="F288" t="s">
        <v>18524</v>
      </c>
      <c r="G288">
        <v>112.2</v>
      </c>
      <c r="H288">
        <v>172.26</v>
      </c>
      <c r="I288">
        <v>60.06</v>
      </c>
      <c r="J288" s="225">
        <v>45362</v>
      </c>
      <c r="K288" s="225">
        <v>45371</v>
      </c>
      <c r="L288">
        <v>540</v>
      </c>
      <c r="O288" s="236">
        <f t="shared" ca="1" si="18"/>
        <v>-45408</v>
      </c>
      <c r="P288">
        <f t="shared" ca="1" si="16"/>
        <v>8400</v>
      </c>
      <c r="Q288">
        <f t="shared" si="17"/>
        <v>8400</v>
      </c>
      <c r="R288" t="str">
        <f t="shared" si="19"/>
        <v>0</v>
      </c>
    </row>
    <row r="289" spans="1:18">
      <c r="A289">
        <v>3112</v>
      </c>
      <c r="B289">
        <v>84009700</v>
      </c>
      <c r="C289" t="s">
        <v>15232</v>
      </c>
      <c r="D289" t="s">
        <v>18525</v>
      </c>
      <c r="E289">
        <v>2023</v>
      </c>
      <c r="F289" t="s">
        <v>18526</v>
      </c>
      <c r="G289">
        <v>0.01</v>
      </c>
      <c r="H289">
        <v>304.92</v>
      </c>
      <c r="I289">
        <v>304.91000000000003</v>
      </c>
      <c r="J289" s="225">
        <v>45089</v>
      </c>
      <c r="K289" s="225">
        <v>45090</v>
      </c>
      <c r="L289">
        <v>540</v>
      </c>
      <c r="O289" s="236">
        <f t="shared" ca="1" si="18"/>
        <v>-45408</v>
      </c>
      <c r="P289">
        <f t="shared" ca="1" si="16"/>
        <v>8400</v>
      </c>
      <c r="Q289">
        <f t="shared" si="17"/>
        <v>8400</v>
      </c>
      <c r="R289" t="str">
        <f t="shared" si="19"/>
        <v>0</v>
      </c>
    </row>
    <row r="290" spans="1:18">
      <c r="A290">
        <v>3112</v>
      </c>
      <c r="B290">
        <v>84009700</v>
      </c>
      <c r="C290" t="s">
        <v>15232</v>
      </c>
      <c r="D290" t="s">
        <v>18527</v>
      </c>
      <c r="E290">
        <v>2023</v>
      </c>
      <c r="F290" t="s">
        <v>18528</v>
      </c>
      <c r="G290">
        <v>-0.02</v>
      </c>
      <c r="H290">
        <v>2406.5500000000002</v>
      </c>
      <c r="I290">
        <v>2406.5700000000002</v>
      </c>
      <c r="J290" s="225">
        <v>45176</v>
      </c>
      <c r="K290" s="225">
        <v>45210</v>
      </c>
      <c r="L290">
        <v>540</v>
      </c>
      <c r="O290" s="236">
        <f t="shared" ca="1" si="18"/>
        <v>-45408</v>
      </c>
      <c r="P290">
        <f t="shared" ca="1" si="16"/>
        <v>8400</v>
      </c>
      <c r="Q290">
        <f t="shared" si="17"/>
        <v>8400</v>
      </c>
      <c r="R290" t="str">
        <f t="shared" si="19"/>
        <v>0</v>
      </c>
    </row>
    <row r="291" spans="1:18">
      <c r="A291">
        <v>3112</v>
      </c>
      <c r="B291">
        <v>84009700</v>
      </c>
      <c r="C291" t="s">
        <v>15232</v>
      </c>
      <c r="D291" t="s">
        <v>18529</v>
      </c>
      <c r="E291">
        <v>2023</v>
      </c>
      <c r="F291" t="s">
        <v>18530</v>
      </c>
      <c r="G291">
        <v>0.01</v>
      </c>
      <c r="H291">
        <v>3563.01</v>
      </c>
      <c r="I291">
        <v>3563</v>
      </c>
      <c r="J291" s="225">
        <v>45211</v>
      </c>
      <c r="K291" s="225">
        <v>45301</v>
      </c>
      <c r="L291">
        <v>540</v>
      </c>
      <c r="O291" s="236">
        <f t="shared" ca="1" si="18"/>
        <v>-45408</v>
      </c>
      <c r="P291">
        <f t="shared" ca="1" si="16"/>
        <v>8400</v>
      </c>
      <c r="Q291">
        <f t="shared" si="17"/>
        <v>8400</v>
      </c>
      <c r="R291" t="str">
        <f t="shared" si="19"/>
        <v>0</v>
      </c>
    </row>
    <row r="292" spans="1:18">
      <c r="A292">
        <v>3112</v>
      </c>
      <c r="B292">
        <v>84010400</v>
      </c>
      <c r="C292" t="s">
        <v>14629</v>
      </c>
      <c r="D292" t="s">
        <v>18778</v>
      </c>
      <c r="E292">
        <v>2024</v>
      </c>
      <c r="F292" t="s">
        <v>18779</v>
      </c>
      <c r="G292">
        <v>480</v>
      </c>
      <c r="H292">
        <v>640</v>
      </c>
      <c r="I292">
        <v>160</v>
      </c>
      <c r="J292" s="225">
        <v>45386</v>
      </c>
      <c r="K292" s="225">
        <v>45391</v>
      </c>
      <c r="L292">
        <v>155</v>
      </c>
      <c r="O292" s="236">
        <f t="shared" ca="1" si="18"/>
        <v>-45408</v>
      </c>
      <c r="P292">
        <f t="shared" ca="1" si="16"/>
        <v>8401</v>
      </c>
      <c r="Q292">
        <f t="shared" si="17"/>
        <v>8401</v>
      </c>
      <c r="R292" t="str">
        <f t="shared" si="19"/>
        <v>0</v>
      </c>
    </row>
    <row r="293" spans="1:18">
      <c r="A293">
        <v>3112</v>
      </c>
      <c r="B293">
        <v>84010400</v>
      </c>
      <c r="C293" t="s">
        <v>14629</v>
      </c>
      <c r="D293" t="s">
        <v>18756</v>
      </c>
      <c r="E293">
        <v>2024</v>
      </c>
      <c r="F293" t="s">
        <v>18757</v>
      </c>
      <c r="G293">
        <v>640</v>
      </c>
      <c r="H293">
        <v>640</v>
      </c>
      <c r="I293">
        <v>0</v>
      </c>
      <c r="J293" s="225">
        <v>45385</v>
      </c>
      <c r="K293" s="225">
        <v>45385</v>
      </c>
      <c r="L293">
        <v>155</v>
      </c>
      <c r="O293" s="236">
        <f t="shared" ca="1" si="18"/>
        <v>-45408</v>
      </c>
      <c r="P293">
        <f t="shared" ca="1" si="16"/>
        <v>8401</v>
      </c>
      <c r="Q293">
        <f t="shared" si="17"/>
        <v>8401</v>
      </c>
      <c r="R293" t="str">
        <f t="shared" si="19"/>
        <v>0</v>
      </c>
    </row>
    <row r="294" spans="1:18">
      <c r="A294">
        <v>3112</v>
      </c>
      <c r="B294">
        <v>84010500</v>
      </c>
      <c r="C294" t="s">
        <v>15615</v>
      </c>
      <c r="D294" t="s">
        <v>18531</v>
      </c>
      <c r="E294">
        <v>2024</v>
      </c>
      <c r="F294" t="s">
        <v>18532</v>
      </c>
      <c r="G294">
        <v>87.52</v>
      </c>
      <c r="H294">
        <v>201.08</v>
      </c>
      <c r="I294">
        <v>113.56</v>
      </c>
      <c r="J294" s="225">
        <v>45371</v>
      </c>
      <c r="K294" s="225">
        <v>45390</v>
      </c>
      <c r="L294">
        <v>180</v>
      </c>
      <c r="O294" s="236">
        <f t="shared" ca="1" si="18"/>
        <v>-45408</v>
      </c>
      <c r="P294">
        <f t="shared" ca="1" si="16"/>
        <v>8401</v>
      </c>
      <c r="Q294">
        <f t="shared" si="17"/>
        <v>8401</v>
      </c>
      <c r="R294" t="str">
        <f t="shared" si="19"/>
        <v>0</v>
      </c>
    </row>
    <row r="295" spans="1:18">
      <c r="A295">
        <v>3112</v>
      </c>
      <c r="B295">
        <v>84010908</v>
      </c>
      <c r="C295" t="s">
        <v>18064</v>
      </c>
      <c r="D295" t="s">
        <v>18533</v>
      </c>
      <c r="E295">
        <v>2024</v>
      </c>
      <c r="F295" t="s">
        <v>18534</v>
      </c>
      <c r="G295">
        <v>26.2</v>
      </c>
      <c r="H295">
        <v>621</v>
      </c>
      <c r="I295">
        <v>594.79999999999995</v>
      </c>
      <c r="J295" s="225">
        <v>45335</v>
      </c>
      <c r="K295" s="225">
        <v>45379</v>
      </c>
      <c r="L295">
        <v>720</v>
      </c>
      <c r="O295" s="236">
        <f t="shared" ca="1" si="18"/>
        <v>-45408</v>
      </c>
      <c r="P295">
        <f t="shared" ca="1" si="16"/>
        <v>8401</v>
      </c>
      <c r="Q295">
        <f t="shared" si="17"/>
        <v>8401</v>
      </c>
      <c r="R295" t="str">
        <f t="shared" si="19"/>
        <v>0</v>
      </c>
    </row>
    <row r="296" spans="1:18">
      <c r="A296">
        <v>3112</v>
      </c>
      <c r="B296">
        <v>84010908</v>
      </c>
      <c r="C296" t="s">
        <v>18064</v>
      </c>
      <c r="D296" t="s">
        <v>18535</v>
      </c>
      <c r="E296">
        <v>2024</v>
      </c>
      <c r="F296" t="s">
        <v>18536</v>
      </c>
      <c r="G296">
        <v>352.8</v>
      </c>
      <c r="H296">
        <v>352.8</v>
      </c>
      <c r="I296">
        <v>0</v>
      </c>
      <c r="J296" s="225">
        <v>45366</v>
      </c>
      <c r="K296" s="225">
        <v>45366</v>
      </c>
      <c r="L296">
        <v>720</v>
      </c>
      <c r="O296" s="236">
        <f t="shared" ca="1" si="18"/>
        <v>-45408</v>
      </c>
      <c r="P296">
        <f t="shared" ca="1" si="16"/>
        <v>8401</v>
      </c>
      <c r="Q296">
        <f t="shared" si="17"/>
        <v>8401</v>
      </c>
      <c r="R296" t="str">
        <f t="shared" si="19"/>
        <v>0</v>
      </c>
    </row>
    <row r="297" spans="1:18">
      <c r="A297">
        <v>3112</v>
      </c>
      <c r="B297">
        <v>84010915</v>
      </c>
      <c r="C297" t="s">
        <v>18065</v>
      </c>
      <c r="D297" t="s">
        <v>18537</v>
      </c>
      <c r="E297">
        <v>2024</v>
      </c>
      <c r="F297" t="s">
        <v>18538</v>
      </c>
      <c r="G297">
        <v>181.8</v>
      </c>
      <c r="H297">
        <v>181.8</v>
      </c>
      <c r="I297">
        <v>0</v>
      </c>
      <c r="J297" s="225">
        <v>45365</v>
      </c>
      <c r="K297" s="225">
        <v>45365</v>
      </c>
      <c r="L297">
        <v>540</v>
      </c>
      <c r="O297" s="236">
        <f t="shared" ca="1" si="18"/>
        <v>-45408</v>
      </c>
      <c r="P297">
        <f t="shared" ca="1" si="16"/>
        <v>8401</v>
      </c>
      <c r="Q297">
        <f t="shared" si="17"/>
        <v>8401</v>
      </c>
      <c r="R297" t="str">
        <f t="shared" si="19"/>
        <v>0</v>
      </c>
    </row>
    <row r="298" spans="1:18">
      <c r="A298">
        <v>3112</v>
      </c>
      <c r="B298">
        <v>84010916</v>
      </c>
      <c r="C298" t="s">
        <v>18066</v>
      </c>
      <c r="D298" t="s">
        <v>18539</v>
      </c>
      <c r="E298">
        <v>2024</v>
      </c>
      <c r="F298" t="s">
        <v>18540</v>
      </c>
      <c r="G298">
        <v>140.4</v>
      </c>
      <c r="H298">
        <v>140.4</v>
      </c>
      <c r="I298">
        <v>0</v>
      </c>
      <c r="J298" s="225">
        <v>45365</v>
      </c>
      <c r="K298" s="225">
        <v>45365</v>
      </c>
      <c r="L298">
        <v>540</v>
      </c>
      <c r="O298" s="236">
        <f t="shared" ca="1" si="18"/>
        <v>-45408</v>
      </c>
      <c r="P298">
        <f t="shared" ca="1" si="16"/>
        <v>8401</v>
      </c>
      <c r="Q298">
        <f t="shared" si="17"/>
        <v>8401</v>
      </c>
      <c r="R298" t="str">
        <f t="shared" si="19"/>
        <v>0</v>
      </c>
    </row>
    <row r="299" spans="1:18">
      <c r="A299">
        <v>3112</v>
      </c>
      <c r="B299">
        <v>84010925</v>
      </c>
      <c r="C299" t="s">
        <v>18067</v>
      </c>
      <c r="D299" t="s">
        <v>18541</v>
      </c>
      <c r="E299">
        <v>2024</v>
      </c>
      <c r="F299" t="s">
        <v>18542</v>
      </c>
      <c r="G299">
        <v>147.28</v>
      </c>
      <c r="H299">
        <v>1605.6</v>
      </c>
      <c r="I299">
        <v>1458.32</v>
      </c>
      <c r="J299" s="225">
        <v>45371</v>
      </c>
      <c r="K299" s="225">
        <v>45387</v>
      </c>
      <c r="L299">
        <v>540</v>
      </c>
      <c r="O299" s="236">
        <f t="shared" ca="1" si="18"/>
        <v>-45408</v>
      </c>
      <c r="P299">
        <f t="shared" ca="1" si="16"/>
        <v>8401</v>
      </c>
      <c r="Q299">
        <f t="shared" si="17"/>
        <v>8401</v>
      </c>
      <c r="R299" t="str">
        <f t="shared" si="19"/>
        <v>0</v>
      </c>
    </row>
    <row r="300" spans="1:18">
      <c r="A300">
        <v>3112</v>
      </c>
      <c r="B300">
        <v>84010926</v>
      </c>
      <c r="C300" t="s">
        <v>18068</v>
      </c>
      <c r="D300" t="s">
        <v>18543</v>
      </c>
      <c r="E300">
        <v>2024</v>
      </c>
      <c r="F300" t="s">
        <v>18544</v>
      </c>
      <c r="G300">
        <v>55.3</v>
      </c>
      <c r="H300">
        <v>648.9</v>
      </c>
      <c r="I300">
        <v>593.6</v>
      </c>
      <c r="J300" s="225">
        <v>45369</v>
      </c>
      <c r="K300" s="225">
        <v>45386</v>
      </c>
      <c r="L300">
        <v>540</v>
      </c>
      <c r="O300" s="236">
        <f t="shared" ca="1" si="18"/>
        <v>-45408</v>
      </c>
      <c r="P300">
        <f t="shared" ca="1" si="16"/>
        <v>8401</v>
      </c>
      <c r="Q300">
        <f t="shared" si="17"/>
        <v>8401</v>
      </c>
      <c r="R300" t="str">
        <f t="shared" si="19"/>
        <v>0</v>
      </c>
    </row>
    <row r="301" spans="1:18">
      <c r="A301">
        <v>3112</v>
      </c>
      <c r="B301">
        <v>84010926</v>
      </c>
      <c r="C301" t="s">
        <v>18068</v>
      </c>
      <c r="D301" t="s">
        <v>18758</v>
      </c>
      <c r="E301">
        <v>2024</v>
      </c>
      <c r="F301" t="s">
        <v>18759</v>
      </c>
      <c r="G301">
        <v>126.9</v>
      </c>
      <c r="H301">
        <v>126.9</v>
      </c>
      <c r="I301">
        <v>0</v>
      </c>
      <c r="J301" s="225">
        <v>45385</v>
      </c>
      <c r="K301" s="225">
        <v>45385</v>
      </c>
      <c r="L301">
        <v>540</v>
      </c>
      <c r="O301" s="236">
        <f t="shared" ref="O301:O364" ca="1" si="20">N301*1-TODAY()</f>
        <v>-45408</v>
      </c>
      <c r="P301">
        <f t="shared" ref="P301:P349" ca="1" si="21">IF(O301&lt;4,MID(B301,1,4)*1,0)</f>
        <v>8401</v>
      </c>
      <c r="Q301">
        <f t="shared" ref="Q301:Q349" si="22">MID(B301,1,4)*1</f>
        <v>8401</v>
      </c>
      <c r="R301" t="str">
        <f t="shared" si="19"/>
        <v>0</v>
      </c>
    </row>
    <row r="302" spans="1:18">
      <c r="A302">
        <v>3112</v>
      </c>
      <c r="B302">
        <v>84090300</v>
      </c>
      <c r="C302" t="s">
        <v>15625</v>
      </c>
      <c r="D302" t="s">
        <v>18545</v>
      </c>
      <c r="E302">
        <v>2023</v>
      </c>
      <c r="F302" t="s">
        <v>18546</v>
      </c>
      <c r="G302">
        <v>0.01</v>
      </c>
      <c r="H302">
        <v>415.8</v>
      </c>
      <c r="I302">
        <v>415.79</v>
      </c>
      <c r="J302" s="225">
        <v>45147</v>
      </c>
      <c r="K302" s="225">
        <v>45160</v>
      </c>
      <c r="L302">
        <v>540</v>
      </c>
      <c r="M302" t="s">
        <v>18547</v>
      </c>
      <c r="N302" t="s">
        <v>18548</v>
      </c>
      <c r="O302" s="236">
        <f t="shared" ca="1" si="20"/>
        <v>55</v>
      </c>
      <c r="P302">
        <f t="shared" ca="1" si="21"/>
        <v>0</v>
      </c>
      <c r="Q302">
        <f t="shared" si="22"/>
        <v>8409</v>
      </c>
      <c r="R302" t="str">
        <f t="shared" si="19"/>
        <v>2</v>
      </c>
    </row>
    <row r="303" spans="1:18" ht="39" customHeight="1">
      <c r="A303">
        <v>3112</v>
      </c>
      <c r="B303">
        <v>84090300</v>
      </c>
      <c r="C303" t="s">
        <v>15625</v>
      </c>
      <c r="D303" t="s">
        <v>18549</v>
      </c>
      <c r="E303">
        <v>2023</v>
      </c>
      <c r="F303" t="s">
        <v>18550</v>
      </c>
      <c r="G303">
        <v>0.01</v>
      </c>
      <c r="H303">
        <v>554.4</v>
      </c>
      <c r="I303">
        <v>554.39</v>
      </c>
      <c r="J303" s="225">
        <v>45162</v>
      </c>
      <c r="K303" s="225">
        <v>45169</v>
      </c>
      <c r="L303">
        <v>540</v>
      </c>
      <c r="M303" t="s">
        <v>18547</v>
      </c>
      <c r="N303" t="s">
        <v>18548</v>
      </c>
      <c r="O303" s="236">
        <f t="shared" ca="1" si="20"/>
        <v>55</v>
      </c>
      <c r="P303">
        <f t="shared" ca="1" si="21"/>
        <v>0</v>
      </c>
      <c r="Q303">
        <f t="shared" si="22"/>
        <v>8409</v>
      </c>
      <c r="R303" t="str">
        <f t="shared" si="19"/>
        <v>2</v>
      </c>
    </row>
    <row r="304" spans="1:18">
      <c r="A304">
        <v>3112</v>
      </c>
      <c r="B304">
        <v>84090700</v>
      </c>
      <c r="C304" t="s">
        <v>15628</v>
      </c>
      <c r="D304" t="s">
        <v>18551</v>
      </c>
      <c r="E304">
        <v>2023</v>
      </c>
      <c r="F304" t="s">
        <v>18552</v>
      </c>
      <c r="G304">
        <v>0.01</v>
      </c>
      <c r="H304">
        <v>277.2</v>
      </c>
      <c r="I304">
        <v>277.19</v>
      </c>
      <c r="J304" s="225">
        <v>45195</v>
      </c>
      <c r="K304" s="225">
        <v>45209</v>
      </c>
      <c r="L304">
        <v>540</v>
      </c>
      <c r="M304" t="s">
        <v>18547</v>
      </c>
      <c r="N304" t="s">
        <v>18548</v>
      </c>
      <c r="O304" s="236">
        <f t="shared" ca="1" si="20"/>
        <v>55</v>
      </c>
      <c r="P304">
        <f t="shared" ca="1" si="21"/>
        <v>0</v>
      </c>
      <c r="Q304">
        <f t="shared" si="22"/>
        <v>8409</v>
      </c>
      <c r="R304" t="str">
        <f t="shared" si="19"/>
        <v>2</v>
      </c>
    </row>
    <row r="305" spans="1:18">
      <c r="A305">
        <v>3112</v>
      </c>
      <c r="B305">
        <v>84090700</v>
      </c>
      <c r="C305" t="s">
        <v>15628</v>
      </c>
      <c r="D305" t="s">
        <v>18553</v>
      </c>
      <c r="E305">
        <v>2023</v>
      </c>
      <c r="F305" t="s">
        <v>18554</v>
      </c>
      <c r="G305">
        <v>0.01</v>
      </c>
      <c r="H305">
        <v>277.2</v>
      </c>
      <c r="I305">
        <v>277.19</v>
      </c>
      <c r="J305" s="225">
        <v>45218</v>
      </c>
      <c r="K305" s="225">
        <v>45224</v>
      </c>
      <c r="L305">
        <v>540</v>
      </c>
      <c r="M305" t="s">
        <v>18547</v>
      </c>
      <c r="N305" t="s">
        <v>18548</v>
      </c>
      <c r="O305" s="236">
        <f t="shared" ca="1" si="20"/>
        <v>55</v>
      </c>
      <c r="P305">
        <f t="shared" ca="1" si="21"/>
        <v>0</v>
      </c>
      <c r="Q305">
        <f t="shared" si="22"/>
        <v>8409</v>
      </c>
      <c r="R305" t="str">
        <f t="shared" si="19"/>
        <v>2</v>
      </c>
    </row>
    <row r="306" spans="1:18">
      <c r="A306">
        <v>3112</v>
      </c>
      <c r="B306">
        <v>84090700</v>
      </c>
      <c r="C306" t="s">
        <v>15628</v>
      </c>
      <c r="D306" t="s">
        <v>18555</v>
      </c>
      <c r="E306">
        <v>2024</v>
      </c>
      <c r="F306" t="s">
        <v>18556</v>
      </c>
      <c r="G306">
        <v>0.01</v>
      </c>
      <c r="H306">
        <v>415.8</v>
      </c>
      <c r="I306">
        <v>415.79</v>
      </c>
      <c r="J306" s="225">
        <v>45293</v>
      </c>
      <c r="K306" s="225">
        <v>45330</v>
      </c>
      <c r="L306">
        <v>540</v>
      </c>
      <c r="M306" t="s">
        <v>18557</v>
      </c>
      <c r="N306" t="s">
        <v>18558</v>
      </c>
      <c r="O306" s="236">
        <f t="shared" ca="1" si="20"/>
        <v>419</v>
      </c>
      <c r="P306">
        <f t="shared" ca="1" si="21"/>
        <v>0</v>
      </c>
      <c r="Q306">
        <f t="shared" si="22"/>
        <v>8409</v>
      </c>
      <c r="R306" t="str">
        <f t="shared" si="19"/>
        <v>2</v>
      </c>
    </row>
    <row r="307" spans="1:18">
      <c r="A307">
        <v>3112</v>
      </c>
      <c r="B307">
        <v>84091040</v>
      </c>
      <c r="C307" t="s">
        <v>18069</v>
      </c>
      <c r="D307" t="s">
        <v>18559</v>
      </c>
      <c r="E307">
        <v>2024</v>
      </c>
      <c r="F307" t="s">
        <v>18560</v>
      </c>
      <c r="G307">
        <v>0.01</v>
      </c>
      <c r="H307">
        <v>138.6</v>
      </c>
      <c r="I307">
        <v>138.59</v>
      </c>
      <c r="J307" s="225">
        <v>45352</v>
      </c>
      <c r="K307" s="225">
        <v>45363</v>
      </c>
      <c r="L307">
        <v>540</v>
      </c>
      <c r="M307" t="s">
        <v>18557</v>
      </c>
      <c r="N307" t="s">
        <v>18558</v>
      </c>
      <c r="O307" s="236">
        <f t="shared" ca="1" si="20"/>
        <v>419</v>
      </c>
      <c r="P307">
        <f t="shared" ca="1" si="21"/>
        <v>0</v>
      </c>
      <c r="Q307">
        <f t="shared" si="22"/>
        <v>8409</v>
      </c>
      <c r="R307" t="str">
        <f t="shared" si="19"/>
        <v>2</v>
      </c>
    </row>
    <row r="308" spans="1:18">
      <c r="A308">
        <v>3112</v>
      </c>
      <c r="B308">
        <v>84091040</v>
      </c>
      <c r="C308" t="s">
        <v>18069</v>
      </c>
      <c r="D308" t="s">
        <v>18561</v>
      </c>
      <c r="E308">
        <v>2024</v>
      </c>
      <c r="F308" t="s">
        <v>18562</v>
      </c>
      <c r="G308">
        <v>0.01</v>
      </c>
      <c r="H308">
        <v>138.6</v>
      </c>
      <c r="I308">
        <v>138.59</v>
      </c>
      <c r="J308" s="225">
        <v>45355</v>
      </c>
      <c r="K308" s="225">
        <v>45364</v>
      </c>
      <c r="L308">
        <v>540</v>
      </c>
      <c r="M308" t="s">
        <v>18557</v>
      </c>
      <c r="N308" t="s">
        <v>18558</v>
      </c>
      <c r="O308" s="236">
        <f t="shared" ca="1" si="20"/>
        <v>419</v>
      </c>
      <c r="P308">
        <f t="shared" ca="1" si="21"/>
        <v>0</v>
      </c>
      <c r="Q308">
        <f t="shared" si="22"/>
        <v>8409</v>
      </c>
      <c r="R308" t="str">
        <f t="shared" si="19"/>
        <v>2</v>
      </c>
    </row>
    <row r="309" spans="1:18">
      <c r="A309">
        <v>3112</v>
      </c>
      <c r="B309">
        <v>84091040</v>
      </c>
      <c r="C309" t="s">
        <v>18069</v>
      </c>
      <c r="D309" t="s">
        <v>18563</v>
      </c>
      <c r="E309">
        <v>2024</v>
      </c>
      <c r="F309" t="s">
        <v>18564</v>
      </c>
      <c r="G309">
        <v>0.01</v>
      </c>
      <c r="H309">
        <v>138.6</v>
      </c>
      <c r="I309">
        <v>138.59</v>
      </c>
      <c r="J309" s="225">
        <v>45365</v>
      </c>
      <c r="K309" s="225">
        <v>45366</v>
      </c>
      <c r="L309">
        <v>540</v>
      </c>
      <c r="M309" t="s">
        <v>18557</v>
      </c>
      <c r="N309" t="s">
        <v>18558</v>
      </c>
      <c r="O309" s="236">
        <f t="shared" ca="1" si="20"/>
        <v>419</v>
      </c>
      <c r="P309">
        <f t="shared" ca="1" si="21"/>
        <v>0</v>
      </c>
      <c r="Q309">
        <f t="shared" si="22"/>
        <v>8409</v>
      </c>
      <c r="R309" t="str">
        <f t="shared" si="19"/>
        <v>2</v>
      </c>
    </row>
    <row r="310" spans="1:18">
      <c r="A310">
        <v>3112</v>
      </c>
      <c r="B310">
        <v>84091040</v>
      </c>
      <c r="C310" t="s">
        <v>18069</v>
      </c>
      <c r="D310" t="s">
        <v>18565</v>
      </c>
      <c r="E310">
        <v>2024</v>
      </c>
      <c r="F310" t="s">
        <v>18566</v>
      </c>
      <c r="G310">
        <v>0.01</v>
      </c>
      <c r="H310">
        <v>138.6</v>
      </c>
      <c r="I310">
        <v>138.59</v>
      </c>
      <c r="J310" s="225">
        <v>45364</v>
      </c>
      <c r="K310" s="225">
        <v>45370</v>
      </c>
      <c r="L310">
        <v>540</v>
      </c>
      <c r="M310" t="s">
        <v>18557</v>
      </c>
      <c r="N310" t="s">
        <v>18558</v>
      </c>
      <c r="O310" s="236">
        <f t="shared" ca="1" si="20"/>
        <v>419</v>
      </c>
      <c r="P310">
        <f t="shared" ca="1" si="21"/>
        <v>0</v>
      </c>
      <c r="Q310">
        <f t="shared" si="22"/>
        <v>8409</v>
      </c>
      <c r="R310" t="str">
        <f t="shared" si="19"/>
        <v>2</v>
      </c>
    </row>
    <row r="311" spans="1:18">
      <c r="A311">
        <v>3112</v>
      </c>
      <c r="B311">
        <v>84091040</v>
      </c>
      <c r="C311" t="s">
        <v>18069</v>
      </c>
      <c r="D311" t="s">
        <v>18780</v>
      </c>
      <c r="E311">
        <v>2024</v>
      </c>
      <c r="F311" t="s">
        <v>18781</v>
      </c>
      <c r="G311">
        <v>89.1</v>
      </c>
      <c r="H311">
        <v>138.6</v>
      </c>
      <c r="I311">
        <v>49.5</v>
      </c>
      <c r="J311" s="225">
        <v>45386</v>
      </c>
      <c r="K311" s="225">
        <v>45390</v>
      </c>
      <c r="L311">
        <v>540</v>
      </c>
      <c r="M311" t="s">
        <v>18557</v>
      </c>
      <c r="N311" t="s">
        <v>18558</v>
      </c>
      <c r="O311" s="236">
        <f t="shared" ca="1" si="20"/>
        <v>419</v>
      </c>
      <c r="P311">
        <f t="shared" ca="1" si="21"/>
        <v>0</v>
      </c>
      <c r="Q311">
        <f t="shared" si="22"/>
        <v>8409</v>
      </c>
      <c r="R311" t="str">
        <f t="shared" si="19"/>
        <v>2</v>
      </c>
    </row>
    <row r="312" spans="1:18">
      <c r="A312">
        <v>3112</v>
      </c>
      <c r="B312">
        <v>84091040</v>
      </c>
      <c r="C312" t="s">
        <v>18069</v>
      </c>
      <c r="D312" t="s">
        <v>18782</v>
      </c>
      <c r="E312">
        <v>2024</v>
      </c>
      <c r="F312" t="s">
        <v>18783</v>
      </c>
      <c r="G312">
        <v>138.6</v>
      </c>
      <c r="H312">
        <v>138.6</v>
      </c>
      <c r="I312">
        <v>0</v>
      </c>
      <c r="J312" s="225">
        <v>45386</v>
      </c>
      <c r="K312" s="225">
        <v>45386</v>
      </c>
      <c r="L312">
        <v>540</v>
      </c>
      <c r="M312" t="s">
        <v>18557</v>
      </c>
      <c r="N312" t="s">
        <v>18558</v>
      </c>
      <c r="O312" s="236">
        <f t="shared" ca="1" si="20"/>
        <v>419</v>
      </c>
      <c r="P312">
        <f t="shared" ca="1" si="21"/>
        <v>0</v>
      </c>
      <c r="Q312">
        <f t="shared" si="22"/>
        <v>8409</v>
      </c>
      <c r="R312" t="str">
        <f t="shared" si="19"/>
        <v>2</v>
      </c>
    </row>
    <row r="313" spans="1:18">
      <c r="A313">
        <v>3112</v>
      </c>
      <c r="B313">
        <v>84091060</v>
      </c>
      <c r="C313" t="s">
        <v>18073</v>
      </c>
      <c r="D313" t="s">
        <v>18784</v>
      </c>
      <c r="E313">
        <v>2024</v>
      </c>
      <c r="F313" t="s">
        <v>18785</v>
      </c>
      <c r="G313">
        <v>178.2</v>
      </c>
      <c r="H313">
        <v>178.2</v>
      </c>
      <c r="I313">
        <v>0</v>
      </c>
      <c r="J313" s="225">
        <v>45386</v>
      </c>
      <c r="K313" s="225">
        <v>45386</v>
      </c>
      <c r="L313">
        <v>540</v>
      </c>
      <c r="M313" t="s">
        <v>18557</v>
      </c>
      <c r="N313" t="s">
        <v>18558</v>
      </c>
      <c r="O313" s="236">
        <f t="shared" ca="1" si="20"/>
        <v>419</v>
      </c>
      <c r="P313">
        <f t="shared" ca="1" si="21"/>
        <v>0</v>
      </c>
      <c r="Q313">
        <f t="shared" si="22"/>
        <v>8409</v>
      </c>
      <c r="R313" t="str">
        <f t="shared" si="19"/>
        <v>2</v>
      </c>
    </row>
    <row r="314" spans="1:18">
      <c r="A314">
        <v>3112</v>
      </c>
      <c r="B314">
        <v>84091060</v>
      </c>
      <c r="C314" t="s">
        <v>18073</v>
      </c>
      <c r="D314" t="s">
        <v>18786</v>
      </c>
      <c r="E314">
        <v>2024</v>
      </c>
      <c r="F314" t="s">
        <v>18787</v>
      </c>
      <c r="G314">
        <v>178.2</v>
      </c>
      <c r="H314">
        <v>178.2</v>
      </c>
      <c r="I314">
        <v>0</v>
      </c>
      <c r="J314" s="225">
        <v>45386</v>
      </c>
      <c r="K314" s="225">
        <v>45386</v>
      </c>
      <c r="L314">
        <v>540</v>
      </c>
      <c r="M314" t="s">
        <v>18557</v>
      </c>
      <c r="N314" t="s">
        <v>18558</v>
      </c>
      <c r="O314" s="236">
        <f t="shared" ca="1" si="20"/>
        <v>419</v>
      </c>
      <c r="P314">
        <f t="shared" ca="1" si="21"/>
        <v>0</v>
      </c>
      <c r="Q314">
        <f t="shared" si="22"/>
        <v>8409</v>
      </c>
      <c r="R314" t="str">
        <f t="shared" si="19"/>
        <v>2</v>
      </c>
    </row>
    <row r="315" spans="1:18">
      <c r="A315">
        <v>3112</v>
      </c>
      <c r="B315">
        <v>84426900</v>
      </c>
      <c r="C315" t="s">
        <v>322</v>
      </c>
      <c r="D315" t="s">
        <v>18567</v>
      </c>
      <c r="E315">
        <v>2024</v>
      </c>
      <c r="F315" t="s">
        <v>18568</v>
      </c>
      <c r="G315">
        <v>132.6</v>
      </c>
      <c r="H315">
        <v>720</v>
      </c>
      <c r="I315">
        <v>587.4</v>
      </c>
      <c r="J315" s="225">
        <v>45376</v>
      </c>
      <c r="K315" s="225">
        <v>45385</v>
      </c>
      <c r="L315">
        <v>420</v>
      </c>
      <c r="O315" s="236">
        <f t="shared" ca="1" si="20"/>
        <v>-45408</v>
      </c>
      <c r="P315">
        <f t="shared" ca="1" si="21"/>
        <v>8442</v>
      </c>
      <c r="Q315">
        <f t="shared" si="22"/>
        <v>8442</v>
      </c>
      <c r="R315" t="str">
        <f t="shared" si="19"/>
        <v>0</v>
      </c>
    </row>
    <row r="316" spans="1:18">
      <c r="A316">
        <v>3112</v>
      </c>
      <c r="B316">
        <v>84426900</v>
      </c>
      <c r="C316" t="s">
        <v>322</v>
      </c>
      <c r="D316" t="s">
        <v>18733</v>
      </c>
      <c r="E316">
        <v>2024</v>
      </c>
      <c r="F316" t="s">
        <v>18734</v>
      </c>
      <c r="G316">
        <v>675</v>
      </c>
      <c r="H316">
        <v>720</v>
      </c>
      <c r="I316">
        <v>45</v>
      </c>
      <c r="J316" s="225">
        <v>45384</v>
      </c>
      <c r="K316" s="225">
        <v>45390</v>
      </c>
      <c r="L316">
        <v>420</v>
      </c>
      <c r="O316" s="236">
        <f t="shared" ca="1" si="20"/>
        <v>-45408</v>
      </c>
      <c r="P316">
        <f t="shared" ca="1" si="21"/>
        <v>8442</v>
      </c>
      <c r="Q316">
        <f t="shared" si="22"/>
        <v>8442</v>
      </c>
      <c r="R316" t="str">
        <f t="shared" si="19"/>
        <v>0</v>
      </c>
    </row>
    <row r="317" spans="1:18">
      <c r="A317">
        <v>3112</v>
      </c>
      <c r="B317">
        <v>84426900</v>
      </c>
      <c r="C317" t="s">
        <v>322</v>
      </c>
      <c r="D317" t="s">
        <v>18788</v>
      </c>
      <c r="E317">
        <v>2024</v>
      </c>
      <c r="F317" t="s">
        <v>18789</v>
      </c>
      <c r="G317">
        <v>162.78</v>
      </c>
      <c r="H317">
        <v>360</v>
      </c>
      <c r="I317">
        <v>197.22</v>
      </c>
      <c r="J317" s="225">
        <v>45386</v>
      </c>
      <c r="K317" s="225">
        <v>45390</v>
      </c>
      <c r="L317">
        <v>420</v>
      </c>
      <c r="O317" s="236">
        <f t="shared" ca="1" si="20"/>
        <v>-45408</v>
      </c>
      <c r="P317">
        <f t="shared" ca="1" si="21"/>
        <v>8442</v>
      </c>
      <c r="Q317">
        <f t="shared" si="22"/>
        <v>8442</v>
      </c>
      <c r="R317" t="str">
        <f t="shared" si="19"/>
        <v>0</v>
      </c>
    </row>
    <row r="318" spans="1:18">
      <c r="A318">
        <v>3112</v>
      </c>
      <c r="B318">
        <v>84428000</v>
      </c>
      <c r="C318" t="s">
        <v>14630</v>
      </c>
      <c r="D318" t="s">
        <v>18760</v>
      </c>
      <c r="E318">
        <v>2024</v>
      </c>
      <c r="F318" t="s">
        <v>18761</v>
      </c>
      <c r="G318">
        <v>165</v>
      </c>
      <c r="H318">
        <v>2560</v>
      </c>
      <c r="I318">
        <v>2395</v>
      </c>
      <c r="J318" s="225">
        <v>45385</v>
      </c>
      <c r="K318" s="225">
        <v>45391</v>
      </c>
      <c r="L318">
        <v>183</v>
      </c>
      <c r="O318" s="236">
        <f t="shared" ca="1" si="20"/>
        <v>-45408</v>
      </c>
      <c r="P318">
        <f t="shared" ca="1" si="21"/>
        <v>8442</v>
      </c>
      <c r="Q318">
        <f t="shared" si="22"/>
        <v>8442</v>
      </c>
      <c r="R318" t="str">
        <f t="shared" si="19"/>
        <v>0</v>
      </c>
    </row>
    <row r="319" spans="1:18">
      <c r="A319">
        <v>3112</v>
      </c>
      <c r="B319">
        <v>85202100</v>
      </c>
      <c r="C319" t="s">
        <v>391</v>
      </c>
      <c r="D319" t="s">
        <v>18569</v>
      </c>
      <c r="E319">
        <v>2022</v>
      </c>
      <c r="F319" t="s">
        <v>18570</v>
      </c>
      <c r="G319">
        <v>-0.02</v>
      </c>
      <c r="H319">
        <v>0.8</v>
      </c>
      <c r="I319">
        <v>0.82</v>
      </c>
      <c r="J319" s="225">
        <v>44725</v>
      </c>
      <c r="K319" s="225">
        <v>44725</v>
      </c>
      <c r="L319">
        <v>1095</v>
      </c>
      <c r="O319" s="236">
        <f t="shared" ca="1" si="20"/>
        <v>-45408</v>
      </c>
      <c r="P319">
        <f t="shared" ca="1" si="21"/>
        <v>8520</v>
      </c>
      <c r="Q319">
        <f t="shared" si="22"/>
        <v>8520</v>
      </c>
      <c r="R319" t="str">
        <f t="shared" si="19"/>
        <v>0</v>
      </c>
    </row>
    <row r="320" spans="1:18">
      <c r="A320">
        <v>3113</v>
      </c>
      <c r="B320">
        <v>12394007</v>
      </c>
      <c r="C320" t="s">
        <v>18751</v>
      </c>
      <c r="D320" t="s">
        <v>18909</v>
      </c>
      <c r="E320">
        <v>2024</v>
      </c>
      <c r="F320">
        <v>4125891</v>
      </c>
      <c r="G320">
        <v>2867.5</v>
      </c>
      <c r="H320">
        <v>4014.5</v>
      </c>
      <c r="I320">
        <v>1147</v>
      </c>
      <c r="J320" s="225">
        <v>45390</v>
      </c>
      <c r="K320" s="225">
        <v>45390</v>
      </c>
      <c r="L320">
        <v>6</v>
      </c>
      <c r="M320" t="s">
        <v>18698</v>
      </c>
      <c r="N320" t="s">
        <v>18814</v>
      </c>
      <c r="O320" s="236">
        <f t="shared" ca="1" si="20"/>
        <v>-12</v>
      </c>
      <c r="P320">
        <f t="shared" ca="1" si="21"/>
        <v>1239</v>
      </c>
      <c r="Q320">
        <f t="shared" si="22"/>
        <v>1239</v>
      </c>
      <c r="R320" t="str">
        <f t="shared" si="19"/>
        <v>4</v>
      </c>
    </row>
    <row r="321" spans="1:18">
      <c r="A321">
        <v>3113</v>
      </c>
      <c r="B321">
        <v>17874007</v>
      </c>
      <c r="C321" t="s">
        <v>14228</v>
      </c>
      <c r="D321" t="s">
        <v>18910</v>
      </c>
      <c r="E321">
        <v>2024</v>
      </c>
      <c r="F321">
        <v>4123784</v>
      </c>
      <c r="G321">
        <v>1796</v>
      </c>
      <c r="H321">
        <v>9989</v>
      </c>
      <c r="I321">
        <v>8193</v>
      </c>
      <c r="J321" s="225">
        <v>45387</v>
      </c>
      <c r="K321" s="225">
        <v>45390</v>
      </c>
      <c r="L321">
        <v>6</v>
      </c>
      <c r="M321" t="s">
        <v>18700</v>
      </c>
      <c r="N321" t="s">
        <v>18763</v>
      </c>
      <c r="O321" s="236">
        <f t="shared" ca="1" si="20"/>
        <v>-15</v>
      </c>
      <c r="P321">
        <f t="shared" ca="1" si="21"/>
        <v>1787</v>
      </c>
      <c r="Q321">
        <f t="shared" si="22"/>
        <v>1787</v>
      </c>
      <c r="R321" t="str">
        <f t="shared" si="19"/>
        <v>4</v>
      </c>
    </row>
    <row r="322" spans="1:18">
      <c r="A322">
        <v>3113</v>
      </c>
      <c r="B322">
        <v>17874007</v>
      </c>
      <c r="C322" t="s">
        <v>14228</v>
      </c>
      <c r="D322" t="s">
        <v>18911</v>
      </c>
      <c r="E322">
        <v>2024</v>
      </c>
      <c r="F322">
        <v>4125740</v>
      </c>
      <c r="G322">
        <v>8250.5</v>
      </c>
      <c r="H322">
        <v>8250.5</v>
      </c>
      <c r="I322">
        <v>0</v>
      </c>
      <c r="J322" s="225">
        <v>45390</v>
      </c>
      <c r="K322" s="225">
        <v>45390</v>
      </c>
      <c r="L322">
        <v>6</v>
      </c>
      <c r="M322" t="s">
        <v>18698</v>
      </c>
      <c r="N322" t="s">
        <v>18814</v>
      </c>
      <c r="O322" s="236">
        <f t="shared" ca="1" si="20"/>
        <v>-12</v>
      </c>
      <c r="P322">
        <f t="shared" ca="1" si="21"/>
        <v>1787</v>
      </c>
      <c r="Q322">
        <f t="shared" si="22"/>
        <v>1787</v>
      </c>
      <c r="R322" t="str">
        <f t="shared" si="19"/>
        <v>4</v>
      </c>
    </row>
    <row r="323" spans="1:18">
      <c r="A323">
        <v>3113</v>
      </c>
      <c r="B323">
        <v>17874007</v>
      </c>
      <c r="C323" t="s">
        <v>14228</v>
      </c>
      <c r="D323" t="s">
        <v>18912</v>
      </c>
      <c r="E323">
        <v>2024</v>
      </c>
      <c r="F323">
        <v>4125715</v>
      </c>
      <c r="G323">
        <v>347</v>
      </c>
      <c r="H323">
        <v>885</v>
      </c>
      <c r="I323">
        <v>538</v>
      </c>
      <c r="J323" s="225">
        <v>45390</v>
      </c>
      <c r="K323" s="225">
        <v>45390</v>
      </c>
      <c r="L323">
        <v>6</v>
      </c>
      <c r="M323" t="s">
        <v>18698</v>
      </c>
      <c r="N323" t="s">
        <v>18814</v>
      </c>
      <c r="O323" s="236">
        <f t="shared" ca="1" si="20"/>
        <v>-12</v>
      </c>
      <c r="P323">
        <f t="shared" ca="1" si="21"/>
        <v>1787</v>
      </c>
      <c r="Q323">
        <f t="shared" si="22"/>
        <v>1787</v>
      </c>
      <c r="R323" t="str">
        <f t="shared" ref="R323:R386" si="23">MID(D323,4,1)</f>
        <v>5</v>
      </c>
    </row>
    <row r="324" spans="1:18">
      <c r="A324">
        <v>3113</v>
      </c>
      <c r="B324">
        <v>17884207</v>
      </c>
      <c r="C324" t="s">
        <v>17414</v>
      </c>
      <c r="D324" t="s">
        <v>18913</v>
      </c>
      <c r="E324">
        <v>2024</v>
      </c>
      <c r="F324">
        <v>4126368</v>
      </c>
      <c r="G324">
        <v>1082</v>
      </c>
      <c r="H324">
        <v>1082</v>
      </c>
      <c r="I324">
        <v>0</v>
      </c>
      <c r="J324" s="225">
        <v>45390</v>
      </c>
      <c r="K324" s="225">
        <v>45390</v>
      </c>
      <c r="L324">
        <v>6</v>
      </c>
      <c r="M324" t="s">
        <v>18698</v>
      </c>
      <c r="N324" t="s">
        <v>18814</v>
      </c>
      <c r="O324" s="236">
        <f t="shared" ca="1" si="20"/>
        <v>-12</v>
      </c>
      <c r="P324">
        <f t="shared" ca="1" si="21"/>
        <v>1788</v>
      </c>
      <c r="Q324">
        <f t="shared" si="22"/>
        <v>1788</v>
      </c>
      <c r="R324" t="str">
        <f t="shared" si="23"/>
        <v>4</v>
      </c>
    </row>
    <row r="325" spans="1:18">
      <c r="A325">
        <v>3113</v>
      </c>
      <c r="B325">
        <v>19234000</v>
      </c>
      <c r="C325" t="s">
        <v>18750</v>
      </c>
      <c r="D325" t="s">
        <v>18914</v>
      </c>
      <c r="E325">
        <v>2024</v>
      </c>
      <c r="F325" t="s">
        <v>18822</v>
      </c>
      <c r="G325">
        <v>1244</v>
      </c>
      <c r="H325">
        <v>1774</v>
      </c>
      <c r="I325">
        <v>530</v>
      </c>
      <c r="J325" s="225">
        <v>45390</v>
      </c>
      <c r="K325" s="225">
        <v>45391</v>
      </c>
      <c r="L325">
        <v>6</v>
      </c>
      <c r="M325" t="s">
        <v>18698</v>
      </c>
      <c r="N325" t="s">
        <v>18814</v>
      </c>
      <c r="O325" s="236">
        <f t="shared" ca="1" si="20"/>
        <v>-12</v>
      </c>
      <c r="P325">
        <f t="shared" ca="1" si="21"/>
        <v>1923</v>
      </c>
      <c r="Q325">
        <f t="shared" si="22"/>
        <v>1923</v>
      </c>
      <c r="R325" t="str">
        <f t="shared" si="23"/>
        <v>0</v>
      </c>
    </row>
    <row r="326" spans="1:18">
      <c r="A326">
        <v>3113</v>
      </c>
      <c r="B326">
        <v>20034007</v>
      </c>
      <c r="C326" t="s">
        <v>318</v>
      </c>
      <c r="D326" t="s">
        <v>18915</v>
      </c>
      <c r="E326">
        <v>2024</v>
      </c>
      <c r="F326">
        <v>4126116</v>
      </c>
      <c r="G326">
        <v>3019</v>
      </c>
      <c r="H326">
        <v>3450</v>
      </c>
      <c r="I326">
        <v>431</v>
      </c>
      <c r="J326" s="225">
        <v>45390</v>
      </c>
      <c r="K326" s="225">
        <v>45391</v>
      </c>
      <c r="L326">
        <v>6</v>
      </c>
      <c r="M326" t="s">
        <v>18698</v>
      </c>
      <c r="N326" t="s">
        <v>18814</v>
      </c>
      <c r="O326" s="236">
        <f t="shared" ca="1" si="20"/>
        <v>-12</v>
      </c>
      <c r="P326">
        <f t="shared" ca="1" si="21"/>
        <v>2003</v>
      </c>
      <c r="Q326">
        <f t="shared" si="22"/>
        <v>2003</v>
      </c>
      <c r="R326" t="str">
        <f t="shared" si="23"/>
        <v>4</v>
      </c>
    </row>
    <row r="327" spans="1:18">
      <c r="A327">
        <v>3113</v>
      </c>
      <c r="B327">
        <v>20034007</v>
      </c>
      <c r="C327" t="s">
        <v>318</v>
      </c>
      <c r="D327" t="s">
        <v>18916</v>
      </c>
      <c r="E327">
        <v>2024</v>
      </c>
      <c r="F327">
        <v>4125689</v>
      </c>
      <c r="G327">
        <v>570.5</v>
      </c>
      <c r="H327">
        <v>1410.5</v>
      </c>
      <c r="I327">
        <v>840</v>
      </c>
      <c r="J327" s="225">
        <v>45390</v>
      </c>
      <c r="K327" s="225">
        <v>45390</v>
      </c>
      <c r="L327">
        <v>6</v>
      </c>
      <c r="M327" t="s">
        <v>18698</v>
      </c>
      <c r="N327" t="s">
        <v>18814</v>
      </c>
      <c r="O327" s="236">
        <f t="shared" ca="1" si="20"/>
        <v>-12</v>
      </c>
      <c r="P327">
        <f t="shared" ca="1" si="21"/>
        <v>2003</v>
      </c>
      <c r="Q327">
        <f t="shared" si="22"/>
        <v>2003</v>
      </c>
      <c r="R327" t="str">
        <f t="shared" si="23"/>
        <v>5</v>
      </c>
    </row>
    <row r="328" spans="1:18">
      <c r="A328">
        <v>3113</v>
      </c>
      <c r="B328">
        <v>20034007</v>
      </c>
      <c r="C328" t="s">
        <v>318</v>
      </c>
      <c r="D328" t="s">
        <v>18917</v>
      </c>
      <c r="E328">
        <v>2024</v>
      </c>
      <c r="F328">
        <v>4127555</v>
      </c>
      <c r="G328">
        <v>923</v>
      </c>
      <c r="H328">
        <v>923</v>
      </c>
      <c r="I328">
        <v>0</v>
      </c>
      <c r="J328" s="225">
        <v>45391</v>
      </c>
      <c r="K328" s="225">
        <v>45391</v>
      </c>
      <c r="L328">
        <v>6</v>
      </c>
      <c r="M328" t="s">
        <v>18728</v>
      </c>
      <c r="N328" t="s">
        <v>18834</v>
      </c>
      <c r="O328" s="236">
        <f t="shared" ca="1" si="20"/>
        <v>-11</v>
      </c>
      <c r="P328">
        <f t="shared" ca="1" si="21"/>
        <v>2003</v>
      </c>
      <c r="Q328">
        <f t="shared" si="22"/>
        <v>2003</v>
      </c>
      <c r="R328" t="str">
        <f t="shared" si="23"/>
        <v>5</v>
      </c>
    </row>
    <row r="329" spans="1:18">
      <c r="A329">
        <v>3113</v>
      </c>
      <c r="B329">
        <v>21974007</v>
      </c>
      <c r="C329" t="s">
        <v>18055</v>
      </c>
      <c r="D329" t="s">
        <v>18918</v>
      </c>
      <c r="E329">
        <v>2024</v>
      </c>
      <c r="F329">
        <v>4127535</v>
      </c>
      <c r="G329">
        <v>1955</v>
      </c>
      <c r="H329">
        <v>1955</v>
      </c>
      <c r="I329">
        <v>0</v>
      </c>
      <c r="J329" s="225">
        <v>45391</v>
      </c>
      <c r="K329" s="225">
        <v>45391</v>
      </c>
      <c r="L329">
        <v>6</v>
      </c>
      <c r="M329" t="s">
        <v>18728</v>
      </c>
      <c r="N329" t="s">
        <v>18834</v>
      </c>
      <c r="O329" s="236">
        <f ca="1">N329*1-TODAY()</f>
        <v>-11</v>
      </c>
      <c r="P329">
        <f t="shared" ca="1" si="21"/>
        <v>2197</v>
      </c>
      <c r="Q329">
        <f>MID(B329,1,4)*1</f>
        <v>2197</v>
      </c>
      <c r="R329" t="str">
        <f t="shared" si="23"/>
        <v>5</v>
      </c>
    </row>
    <row r="330" spans="1:18">
      <c r="A330">
        <v>3113</v>
      </c>
      <c r="B330">
        <v>22024007</v>
      </c>
      <c r="C330" t="s">
        <v>8540</v>
      </c>
      <c r="D330" t="s">
        <v>18919</v>
      </c>
      <c r="E330">
        <v>2024</v>
      </c>
      <c r="F330">
        <v>4126434</v>
      </c>
      <c r="G330">
        <v>1665</v>
      </c>
      <c r="H330">
        <v>1913.5</v>
      </c>
      <c r="I330">
        <v>248.5</v>
      </c>
      <c r="J330" s="225">
        <v>45390</v>
      </c>
      <c r="K330" s="225">
        <v>45390</v>
      </c>
      <c r="L330">
        <v>6</v>
      </c>
      <c r="M330" t="s">
        <v>18698</v>
      </c>
      <c r="N330" t="s">
        <v>18814</v>
      </c>
      <c r="O330" s="236">
        <f ca="1">N330*1-TODAY()</f>
        <v>-12</v>
      </c>
      <c r="P330">
        <f t="shared" ca="1" si="21"/>
        <v>2202</v>
      </c>
      <c r="Q330">
        <f>MID(B330,1,4)*1</f>
        <v>2202</v>
      </c>
      <c r="R330" t="str">
        <f t="shared" si="23"/>
        <v>4</v>
      </c>
    </row>
    <row r="331" spans="1:18">
      <c r="A331">
        <v>3113</v>
      </c>
      <c r="B331">
        <v>22030007</v>
      </c>
      <c r="C331" t="s">
        <v>14231</v>
      </c>
      <c r="D331" t="s">
        <v>18920</v>
      </c>
      <c r="E331">
        <v>2024</v>
      </c>
      <c r="F331">
        <v>4126563</v>
      </c>
      <c r="G331">
        <v>878</v>
      </c>
      <c r="H331">
        <v>3101</v>
      </c>
      <c r="I331">
        <v>2223</v>
      </c>
      <c r="J331" s="225">
        <v>45390</v>
      </c>
      <c r="K331" s="225">
        <v>45391</v>
      </c>
      <c r="L331">
        <v>6</v>
      </c>
      <c r="M331" t="s">
        <v>18698</v>
      </c>
      <c r="N331" t="s">
        <v>18814</v>
      </c>
      <c r="O331" s="236">
        <f t="shared" ca="1" si="20"/>
        <v>-12</v>
      </c>
      <c r="P331">
        <f t="shared" ca="1" si="21"/>
        <v>2203</v>
      </c>
      <c r="Q331">
        <f t="shared" si="22"/>
        <v>2203</v>
      </c>
      <c r="R331" t="str">
        <f t="shared" si="23"/>
        <v>4</v>
      </c>
    </row>
    <row r="332" spans="1:18">
      <c r="A332">
        <v>3113</v>
      </c>
      <c r="B332">
        <v>22034007</v>
      </c>
      <c r="C332" t="s">
        <v>8537</v>
      </c>
      <c r="D332" t="s">
        <v>18921</v>
      </c>
      <c r="E332">
        <v>2024</v>
      </c>
      <c r="F332">
        <v>4126257</v>
      </c>
      <c r="G332">
        <v>1655</v>
      </c>
      <c r="H332">
        <v>1784</v>
      </c>
      <c r="I332">
        <v>129</v>
      </c>
      <c r="J332" s="225">
        <v>45390</v>
      </c>
      <c r="K332" s="225">
        <v>45390</v>
      </c>
      <c r="L332">
        <v>6</v>
      </c>
      <c r="M332" t="s">
        <v>18698</v>
      </c>
      <c r="N332" t="s">
        <v>18814</v>
      </c>
      <c r="O332" s="236">
        <f t="shared" ca="1" si="20"/>
        <v>-12</v>
      </c>
      <c r="P332">
        <f t="shared" ca="1" si="21"/>
        <v>2203</v>
      </c>
      <c r="Q332">
        <f t="shared" si="22"/>
        <v>2203</v>
      </c>
      <c r="R332" t="str">
        <f t="shared" si="23"/>
        <v>4</v>
      </c>
    </row>
    <row r="333" spans="1:18">
      <c r="A333">
        <v>3113</v>
      </c>
      <c r="B333">
        <v>22034007</v>
      </c>
      <c r="C333" t="s">
        <v>8537</v>
      </c>
      <c r="D333" t="s">
        <v>18922</v>
      </c>
      <c r="E333">
        <v>2024</v>
      </c>
      <c r="F333">
        <v>4127677</v>
      </c>
      <c r="G333">
        <v>564</v>
      </c>
      <c r="H333">
        <v>564</v>
      </c>
      <c r="I333">
        <v>0</v>
      </c>
      <c r="J333" s="225">
        <v>45391</v>
      </c>
      <c r="K333" s="225">
        <v>45391</v>
      </c>
      <c r="L333">
        <v>6</v>
      </c>
      <c r="M333" t="s">
        <v>18728</v>
      </c>
      <c r="N333" t="s">
        <v>18834</v>
      </c>
      <c r="O333" s="236">
        <f t="shared" ca="1" si="20"/>
        <v>-11</v>
      </c>
      <c r="P333">
        <f t="shared" ca="1" si="21"/>
        <v>2203</v>
      </c>
      <c r="Q333">
        <f t="shared" si="22"/>
        <v>2203</v>
      </c>
      <c r="R333" t="str">
        <f t="shared" si="23"/>
        <v>5</v>
      </c>
    </row>
    <row r="334" spans="1:18">
      <c r="A334">
        <v>3113</v>
      </c>
      <c r="B334">
        <v>22040618</v>
      </c>
      <c r="C334" t="s">
        <v>416</v>
      </c>
      <c r="D334" t="s">
        <v>18923</v>
      </c>
      <c r="E334">
        <v>2024</v>
      </c>
      <c r="F334" t="s">
        <v>18853</v>
      </c>
      <c r="G334">
        <v>4956</v>
      </c>
      <c r="H334">
        <v>6890</v>
      </c>
      <c r="I334">
        <v>1934</v>
      </c>
      <c r="J334" s="225">
        <v>45390</v>
      </c>
      <c r="K334" s="225">
        <v>45390</v>
      </c>
      <c r="L334">
        <v>4</v>
      </c>
      <c r="M334" t="s">
        <v>18698</v>
      </c>
      <c r="N334" t="s">
        <v>18818</v>
      </c>
      <c r="O334" s="236">
        <f t="shared" ca="1" si="20"/>
        <v>-14</v>
      </c>
      <c r="P334">
        <f t="shared" ca="1" si="21"/>
        <v>2204</v>
      </c>
      <c r="Q334">
        <f t="shared" si="22"/>
        <v>2204</v>
      </c>
      <c r="R334" t="str">
        <f t="shared" si="23"/>
        <v>0</v>
      </c>
    </row>
    <row r="335" spans="1:18">
      <c r="A335">
        <v>3113</v>
      </c>
      <c r="B335">
        <v>22044007</v>
      </c>
      <c r="C335" t="s">
        <v>8544</v>
      </c>
      <c r="D335" t="s">
        <v>18823</v>
      </c>
      <c r="E335">
        <v>2024</v>
      </c>
      <c r="F335">
        <v>4125853</v>
      </c>
      <c r="G335">
        <v>18159.5</v>
      </c>
      <c r="H335">
        <v>26906</v>
      </c>
      <c r="I335">
        <v>8746.5</v>
      </c>
      <c r="J335" s="225">
        <v>45390</v>
      </c>
      <c r="K335" s="225">
        <v>45390</v>
      </c>
      <c r="L335">
        <v>6</v>
      </c>
      <c r="M335" t="s">
        <v>18698</v>
      </c>
      <c r="N335" t="s">
        <v>18814</v>
      </c>
      <c r="O335" s="236">
        <f t="shared" ca="1" si="20"/>
        <v>-12</v>
      </c>
      <c r="P335">
        <f t="shared" ca="1" si="21"/>
        <v>2204</v>
      </c>
      <c r="Q335">
        <f t="shared" si="22"/>
        <v>2204</v>
      </c>
      <c r="R335" t="str">
        <f t="shared" si="23"/>
        <v>4</v>
      </c>
    </row>
    <row r="336" spans="1:18">
      <c r="A336">
        <v>3113</v>
      </c>
      <c r="B336">
        <v>22044007</v>
      </c>
      <c r="C336" t="s">
        <v>8544</v>
      </c>
      <c r="D336" t="s">
        <v>18924</v>
      </c>
      <c r="E336">
        <v>2024</v>
      </c>
      <c r="F336">
        <v>4125766</v>
      </c>
      <c r="G336">
        <v>2360</v>
      </c>
      <c r="H336">
        <v>2360</v>
      </c>
      <c r="I336">
        <v>0</v>
      </c>
      <c r="J336" s="225">
        <v>45390</v>
      </c>
      <c r="K336" s="225">
        <v>45390</v>
      </c>
      <c r="L336">
        <v>6</v>
      </c>
      <c r="M336" t="s">
        <v>18698</v>
      </c>
      <c r="N336" t="s">
        <v>18814</v>
      </c>
      <c r="O336" s="236">
        <f t="shared" ca="1" si="20"/>
        <v>-12</v>
      </c>
      <c r="P336">
        <f t="shared" ca="1" si="21"/>
        <v>2204</v>
      </c>
      <c r="Q336">
        <f t="shared" si="22"/>
        <v>2204</v>
      </c>
      <c r="R336" t="str">
        <f t="shared" si="23"/>
        <v>8</v>
      </c>
    </row>
    <row r="337" spans="1:18">
      <c r="A337">
        <v>3113</v>
      </c>
      <c r="B337">
        <v>22044007</v>
      </c>
      <c r="C337" t="s">
        <v>8544</v>
      </c>
      <c r="D337" t="s">
        <v>18925</v>
      </c>
      <c r="E337">
        <v>2024</v>
      </c>
      <c r="F337">
        <v>4127526</v>
      </c>
      <c r="G337">
        <v>3249.5</v>
      </c>
      <c r="H337">
        <v>3249.5</v>
      </c>
      <c r="I337">
        <v>0</v>
      </c>
      <c r="J337" s="225">
        <v>45391</v>
      </c>
      <c r="K337" s="225">
        <v>45391</v>
      </c>
      <c r="L337">
        <v>6</v>
      </c>
      <c r="M337" t="s">
        <v>18728</v>
      </c>
      <c r="N337" t="s">
        <v>18834</v>
      </c>
      <c r="O337" s="236">
        <f t="shared" ca="1" si="20"/>
        <v>-11</v>
      </c>
      <c r="P337">
        <f t="shared" ca="1" si="21"/>
        <v>2204</v>
      </c>
      <c r="Q337">
        <f t="shared" si="22"/>
        <v>2204</v>
      </c>
      <c r="R337" t="str">
        <f t="shared" si="23"/>
        <v>5</v>
      </c>
    </row>
    <row r="338" spans="1:18">
      <c r="A338">
        <v>3113</v>
      </c>
      <c r="B338">
        <v>22044207</v>
      </c>
      <c r="C338" t="s">
        <v>8528</v>
      </c>
      <c r="D338" t="s">
        <v>18824</v>
      </c>
      <c r="E338">
        <v>2024</v>
      </c>
      <c r="F338">
        <v>4125859</v>
      </c>
      <c r="G338">
        <v>5112</v>
      </c>
      <c r="H338">
        <v>5112</v>
      </c>
      <c r="I338">
        <v>0</v>
      </c>
      <c r="J338" s="225">
        <v>45390</v>
      </c>
      <c r="K338" s="225">
        <v>45390</v>
      </c>
      <c r="L338">
        <v>6</v>
      </c>
      <c r="M338" t="s">
        <v>18698</v>
      </c>
      <c r="N338" t="s">
        <v>18814</v>
      </c>
      <c r="O338" s="236">
        <f t="shared" ca="1" si="20"/>
        <v>-12</v>
      </c>
      <c r="P338">
        <f t="shared" ca="1" si="21"/>
        <v>2204</v>
      </c>
      <c r="Q338">
        <f t="shared" si="22"/>
        <v>2204</v>
      </c>
      <c r="R338" t="str">
        <f t="shared" si="23"/>
        <v>4</v>
      </c>
    </row>
    <row r="339" spans="1:18">
      <c r="A339">
        <v>3113</v>
      </c>
      <c r="B339">
        <v>22054207</v>
      </c>
      <c r="C339" t="s">
        <v>8543</v>
      </c>
      <c r="D339" t="s">
        <v>18926</v>
      </c>
      <c r="E339">
        <v>2024</v>
      </c>
      <c r="F339">
        <v>4127639</v>
      </c>
      <c r="G339">
        <v>513.5</v>
      </c>
      <c r="H339">
        <v>513.5</v>
      </c>
      <c r="I339">
        <v>0</v>
      </c>
      <c r="J339" s="225">
        <v>45391</v>
      </c>
      <c r="K339" s="225">
        <v>45391</v>
      </c>
      <c r="L339">
        <v>6</v>
      </c>
      <c r="M339" t="s">
        <v>18728</v>
      </c>
      <c r="N339" t="s">
        <v>18834</v>
      </c>
      <c r="O339" s="236">
        <f t="shared" ca="1" si="20"/>
        <v>-11</v>
      </c>
      <c r="P339">
        <f t="shared" ca="1" si="21"/>
        <v>2205</v>
      </c>
      <c r="Q339">
        <f t="shared" si="22"/>
        <v>2205</v>
      </c>
      <c r="R339" t="str">
        <f t="shared" si="23"/>
        <v>5</v>
      </c>
    </row>
    <row r="340" spans="1:18">
      <c r="A340">
        <v>3113</v>
      </c>
      <c r="B340">
        <v>22064007</v>
      </c>
      <c r="C340" t="s">
        <v>8545</v>
      </c>
      <c r="D340" t="s">
        <v>18927</v>
      </c>
      <c r="E340">
        <v>2024</v>
      </c>
      <c r="F340">
        <v>4125934</v>
      </c>
      <c r="G340">
        <v>87.5</v>
      </c>
      <c r="H340">
        <v>3267</v>
      </c>
      <c r="I340">
        <v>3179.5</v>
      </c>
      <c r="J340" s="225">
        <v>45390</v>
      </c>
      <c r="K340" s="225">
        <v>45390</v>
      </c>
      <c r="L340">
        <v>6</v>
      </c>
      <c r="M340" t="s">
        <v>18698</v>
      </c>
      <c r="N340" t="s">
        <v>18814</v>
      </c>
      <c r="O340" s="236">
        <f t="shared" ca="1" si="20"/>
        <v>-12</v>
      </c>
      <c r="P340">
        <f t="shared" ca="1" si="21"/>
        <v>2206</v>
      </c>
      <c r="Q340">
        <f t="shared" si="22"/>
        <v>2206</v>
      </c>
      <c r="R340" t="str">
        <f t="shared" si="23"/>
        <v>4</v>
      </c>
    </row>
    <row r="341" spans="1:18">
      <c r="A341">
        <v>3113</v>
      </c>
      <c r="B341">
        <v>22084207</v>
      </c>
      <c r="C341" t="s">
        <v>8529</v>
      </c>
      <c r="D341" t="s">
        <v>18928</v>
      </c>
      <c r="E341">
        <v>2024</v>
      </c>
      <c r="F341">
        <v>4126052</v>
      </c>
      <c r="G341">
        <v>646.5</v>
      </c>
      <c r="H341">
        <v>1446.5</v>
      </c>
      <c r="I341">
        <v>800</v>
      </c>
      <c r="J341" s="225">
        <v>45390</v>
      </c>
      <c r="K341" s="225">
        <v>45390</v>
      </c>
      <c r="L341">
        <v>6</v>
      </c>
      <c r="M341" t="s">
        <v>18698</v>
      </c>
      <c r="N341" t="s">
        <v>18814</v>
      </c>
      <c r="O341" s="236">
        <f t="shared" ca="1" si="20"/>
        <v>-12</v>
      </c>
      <c r="P341">
        <f t="shared" ca="1" si="21"/>
        <v>2208</v>
      </c>
      <c r="Q341">
        <f t="shared" si="22"/>
        <v>2208</v>
      </c>
      <c r="R341" t="str">
        <f t="shared" si="23"/>
        <v>4</v>
      </c>
    </row>
    <row r="342" spans="1:18">
      <c r="A342">
        <v>3113</v>
      </c>
      <c r="B342">
        <v>22088007</v>
      </c>
      <c r="C342" t="s">
        <v>14232</v>
      </c>
      <c r="D342" t="s">
        <v>18929</v>
      </c>
      <c r="E342">
        <v>2024</v>
      </c>
      <c r="F342">
        <v>4125082</v>
      </c>
      <c r="G342">
        <v>478</v>
      </c>
      <c r="H342">
        <v>478</v>
      </c>
      <c r="I342">
        <v>0</v>
      </c>
      <c r="J342" s="225">
        <v>45390</v>
      </c>
      <c r="K342" s="225">
        <v>45390</v>
      </c>
      <c r="L342">
        <v>6</v>
      </c>
      <c r="M342" t="s">
        <v>18700</v>
      </c>
      <c r="N342" t="s">
        <v>18763</v>
      </c>
      <c r="O342" s="236">
        <f t="shared" ca="1" si="20"/>
        <v>-15</v>
      </c>
      <c r="P342">
        <f t="shared" ca="1" si="21"/>
        <v>2208</v>
      </c>
      <c r="Q342">
        <f t="shared" si="22"/>
        <v>2208</v>
      </c>
      <c r="R342" t="str">
        <f t="shared" si="23"/>
        <v>4</v>
      </c>
    </row>
    <row r="343" spans="1:18">
      <c r="A343">
        <v>3113</v>
      </c>
      <c r="B343">
        <v>22088007</v>
      </c>
      <c r="C343" t="s">
        <v>14232</v>
      </c>
      <c r="D343" t="s">
        <v>18930</v>
      </c>
      <c r="E343">
        <v>2024</v>
      </c>
      <c r="F343">
        <v>4126353</v>
      </c>
      <c r="G343">
        <v>894</v>
      </c>
      <c r="H343">
        <v>2563.5</v>
      </c>
      <c r="I343">
        <v>1669.5</v>
      </c>
      <c r="J343" s="225">
        <v>45390</v>
      </c>
      <c r="K343" s="225">
        <v>45390</v>
      </c>
      <c r="L343">
        <v>6</v>
      </c>
      <c r="M343" t="s">
        <v>18698</v>
      </c>
      <c r="N343" t="s">
        <v>18814</v>
      </c>
      <c r="O343" s="236">
        <f t="shared" ca="1" si="20"/>
        <v>-12</v>
      </c>
      <c r="P343">
        <f t="shared" ca="1" si="21"/>
        <v>2208</v>
      </c>
      <c r="Q343">
        <f t="shared" si="22"/>
        <v>2208</v>
      </c>
      <c r="R343" t="str">
        <f t="shared" si="23"/>
        <v>4</v>
      </c>
    </row>
    <row r="344" spans="1:18">
      <c r="A344">
        <v>3113</v>
      </c>
      <c r="B344">
        <v>22094007</v>
      </c>
      <c r="C344" t="s">
        <v>11080</v>
      </c>
      <c r="D344" t="s">
        <v>18931</v>
      </c>
      <c r="E344">
        <v>2024</v>
      </c>
      <c r="F344">
        <v>4127102</v>
      </c>
      <c r="G344">
        <v>29</v>
      </c>
      <c r="H344">
        <v>146</v>
      </c>
      <c r="I344">
        <v>117</v>
      </c>
      <c r="J344" s="225">
        <v>45390</v>
      </c>
      <c r="K344" s="225">
        <v>45390</v>
      </c>
      <c r="L344">
        <v>6</v>
      </c>
      <c r="M344" t="s">
        <v>18698</v>
      </c>
      <c r="N344" t="s">
        <v>18814</v>
      </c>
      <c r="O344" s="236">
        <f t="shared" ca="1" si="20"/>
        <v>-12</v>
      </c>
      <c r="P344">
        <f t="shared" ca="1" si="21"/>
        <v>2209</v>
      </c>
      <c r="Q344">
        <f t="shared" si="22"/>
        <v>2209</v>
      </c>
      <c r="R344" t="str">
        <f t="shared" si="23"/>
        <v>4</v>
      </c>
    </row>
    <row r="345" spans="1:18">
      <c r="A345">
        <v>3113</v>
      </c>
      <c r="B345">
        <v>22094207</v>
      </c>
      <c r="C345" t="s">
        <v>14411</v>
      </c>
      <c r="D345" t="s">
        <v>18932</v>
      </c>
      <c r="E345">
        <v>2024</v>
      </c>
      <c r="F345">
        <v>4126627</v>
      </c>
      <c r="G345">
        <v>87.5</v>
      </c>
      <c r="H345">
        <v>837.5</v>
      </c>
      <c r="I345">
        <v>750</v>
      </c>
      <c r="J345" s="225">
        <v>45390</v>
      </c>
      <c r="K345" s="225">
        <v>45390</v>
      </c>
      <c r="L345">
        <v>6</v>
      </c>
      <c r="M345" t="s">
        <v>18698</v>
      </c>
      <c r="N345" t="s">
        <v>18814</v>
      </c>
      <c r="O345" s="236">
        <f t="shared" ca="1" si="20"/>
        <v>-12</v>
      </c>
      <c r="P345">
        <f t="shared" ca="1" si="21"/>
        <v>2209</v>
      </c>
      <c r="Q345">
        <f t="shared" si="22"/>
        <v>2209</v>
      </c>
      <c r="R345" t="str">
        <f t="shared" si="23"/>
        <v>4</v>
      </c>
    </row>
    <row r="346" spans="1:18">
      <c r="A346">
        <v>3113</v>
      </c>
      <c r="B346">
        <v>22124007</v>
      </c>
      <c r="C346" t="s">
        <v>11116</v>
      </c>
      <c r="D346" t="s">
        <v>18933</v>
      </c>
      <c r="E346">
        <v>2024</v>
      </c>
      <c r="F346">
        <v>4127431</v>
      </c>
      <c r="G346">
        <v>200</v>
      </c>
      <c r="H346">
        <v>200</v>
      </c>
      <c r="I346">
        <v>0</v>
      </c>
      <c r="J346" s="225">
        <v>45390</v>
      </c>
      <c r="K346" s="225">
        <v>45390</v>
      </c>
      <c r="L346">
        <v>6</v>
      </c>
      <c r="M346" t="s">
        <v>18698</v>
      </c>
      <c r="N346" t="s">
        <v>18814</v>
      </c>
      <c r="O346" s="236">
        <f t="shared" ca="1" si="20"/>
        <v>-12</v>
      </c>
      <c r="P346">
        <f t="shared" ca="1" si="21"/>
        <v>2212</v>
      </c>
      <c r="Q346">
        <f t="shared" si="22"/>
        <v>2212</v>
      </c>
      <c r="R346" t="str">
        <f t="shared" si="23"/>
        <v>4</v>
      </c>
    </row>
    <row r="347" spans="1:18">
      <c r="A347">
        <v>3113</v>
      </c>
      <c r="B347">
        <v>22134007</v>
      </c>
      <c r="C347" t="s">
        <v>11143</v>
      </c>
      <c r="D347" t="s">
        <v>18934</v>
      </c>
      <c r="E347">
        <v>2024</v>
      </c>
      <c r="F347">
        <v>4126807</v>
      </c>
      <c r="G347">
        <v>3573.5</v>
      </c>
      <c r="H347">
        <v>4051</v>
      </c>
      <c r="I347">
        <v>477.5</v>
      </c>
      <c r="J347" s="225">
        <v>45390</v>
      </c>
      <c r="K347" s="225">
        <v>45390</v>
      </c>
      <c r="L347">
        <v>6</v>
      </c>
      <c r="M347" t="s">
        <v>18698</v>
      </c>
      <c r="N347" t="s">
        <v>18814</v>
      </c>
      <c r="O347" s="236">
        <f t="shared" ca="1" si="20"/>
        <v>-12</v>
      </c>
      <c r="P347">
        <f t="shared" ca="1" si="21"/>
        <v>2213</v>
      </c>
      <c r="Q347">
        <f t="shared" si="22"/>
        <v>2213</v>
      </c>
      <c r="R347" t="str">
        <f t="shared" si="23"/>
        <v>4</v>
      </c>
    </row>
    <row r="348" spans="1:18">
      <c r="A348">
        <v>3113</v>
      </c>
      <c r="B348">
        <v>22144007</v>
      </c>
      <c r="C348" t="s">
        <v>11166</v>
      </c>
      <c r="D348" t="s">
        <v>18935</v>
      </c>
      <c r="E348">
        <v>2024</v>
      </c>
      <c r="F348">
        <v>4125985</v>
      </c>
      <c r="G348">
        <v>560</v>
      </c>
      <c r="H348">
        <v>560</v>
      </c>
      <c r="I348">
        <v>0</v>
      </c>
      <c r="J348" s="225">
        <v>45390</v>
      </c>
      <c r="K348" s="225">
        <v>45390</v>
      </c>
      <c r="L348">
        <v>6</v>
      </c>
      <c r="M348" t="s">
        <v>18698</v>
      </c>
      <c r="N348" t="s">
        <v>18814</v>
      </c>
      <c r="O348" s="236">
        <f t="shared" ca="1" si="20"/>
        <v>-12</v>
      </c>
      <c r="P348">
        <f t="shared" ca="1" si="21"/>
        <v>2214</v>
      </c>
      <c r="Q348">
        <f t="shared" si="22"/>
        <v>2214</v>
      </c>
      <c r="R348" t="str">
        <f t="shared" si="23"/>
        <v>5</v>
      </c>
    </row>
    <row r="349" spans="1:18">
      <c r="A349">
        <v>3113</v>
      </c>
      <c r="B349">
        <v>22224000</v>
      </c>
      <c r="C349" t="s">
        <v>11229</v>
      </c>
      <c r="D349" t="s">
        <v>18914</v>
      </c>
      <c r="E349">
        <v>2024</v>
      </c>
      <c r="F349" t="s">
        <v>18822</v>
      </c>
      <c r="G349">
        <v>2105</v>
      </c>
      <c r="H349">
        <v>4693</v>
      </c>
      <c r="I349">
        <v>2588</v>
      </c>
      <c r="J349" s="235">
        <v>45390</v>
      </c>
      <c r="K349" s="235">
        <v>45391</v>
      </c>
      <c r="L349">
        <v>6</v>
      </c>
      <c r="M349" t="s">
        <v>18698</v>
      </c>
      <c r="N349" t="s">
        <v>18814</v>
      </c>
      <c r="O349" s="236">
        <f t="shared" ca="1" si="20"/>
        <v>-12</v>
      </c>
      <c r="P349">
        <f t="shared" ca="1" si="21"/>
        <v>2222</v>
      </c>
      <c r="Q349">
        <f t="shared" si="22"/>
        <v>2222</v>
      </c>
      <c r="R349" t="str">
        <f t="shared" si="23"/>
        <v>0</v>
      </c>
    </row>
    <row r="350" spans="1:18">
      <c r="A350">
        <v>3113</v>
      </c>
      <c r="B350">
        <v>23164007</v>
      </c>
      <c r="C350" t="s">
        <v>8531</v>
      </c>
      <c r="D350" t="s">
        <v>18762</v>
      </c>
      <c r="E350">
        <v>2024</v>
      </c>
      <c r="F350">
        <v>4121638</v>
      </c>
      <c r="G350">
        <v>742.5</v>
      </c>
      <c r="H350">
        <v>8517.5</v>
      </c>
      <c r="I350">
        <v>7775</v>
      </c>
      <c r="J350" s="235">
        <v>45386</v>
      </c>
      <c r="K350" s="235">
        <v>45391</v>
      </c>
      <c r="L350">
        <v>7</v>
      </c>
      <c r="M350" t="s">
        <v>18701</v>
      </c>
      <c r="N350" t="s">
        <v>18763</v>
      </c>
      <c r="O350" s="236">
        <f t="shared" ca="1" si="20"/>
        <v>-15</v>
      </c>
      <c r="P350">
        <f t="shared" ref="P350:P354" ca="1" si="24">IF(O350&lt;4,MID(B350,1,4)*1,0)</f>
        <v>2316</v>
      </c>
      <c r="Q350">
        <f t="shared" ref="Q350:Q354" si="25">MID(B350,1,4)*1</f>
        <v>2316</v>
      </c>
      <c r="R350" t="str">
        <f t="shared" si="23"/>
        <v>5</v>
      </c>
    </row>
    <row r="351" spans="1:18">
      <c r="A351">
        <v>3113</v>
      </c>
      <c r="B351">
        <v>23164007</v>
      </c>
      <c r="C351" t="s">
        <v>8531</v>
      </c>
      <c r="D351" t="s">
        <v>18936</v>
      </c>
      <c r="E351">
        <v>2024</v>
      </c>
      <c r="F351">
        <v>4126106</v>
      </c>
      <c r="G351">
        <v>7739</v>
      </c>
      <c r="H351">
        <v>10264</v>
      </c>
      <c r="I351">
        <v>2525</v>
      </c>
      <c r="J351" s="235">
        <v>45390</v>
      </c>
      <c r="K351" s="235">
        <v>45391</v>
      </c>
      <c r="L351">
        <v>7</v>
      </c>
      <c r="M351" t="s">
        <v>18698</v>
      </c>
      <c r="N351" t="s">
        <v>18834</v>
      </c>
      <c r="O351" s="236">
        <f t="shared" ca="1" si="20"/>
        <v>-11</v>
      </c>
      <c r="P351">
        <f t="shared" ca="1" si="24"/>
        <v>2316</v>
      </c>
      <c r="Q351">
        <f t="shared" si="25"/>
        <v>2316</v>
      </c>
      <c r="R351" t="str">
        <f t="shared" si="23"/>
        <v>4</v>
      </c>
    </row>
    <row r="352" spans="1:18">
      <c r="A352">
        <v>3113</v>
      </c>
      <c r="B352">
        <v>23164007</v>
      </c>
      <c r="C352" t="s">
        <v>8531</v>
      </c>
      <c r="D352" t="s">
        <v>18937</v>
      </c>
      <c r="E352">
        <v>2024</v>
      </c>
      <c r="F352">
        <v>4125671</v>
      </c>
      <c r="G352">
        <v>3574</v>
      </c>
      <c r="H352">
        <v>3574</v>
      </c>
      <c r="I352">
        <v>0</v>
      </c>
      <c r="J352" s="235">
        <v>45390</v>
      </c>
      <c r="K352" s="235">
        <v>45390</v>
      </c>
      <c r="L352">
        <v>7</v>
      </c>
      <c r="M352" t="s">
        <v>18698</v>
      </c>
      <c r="N352" t="s">
        <v>18834</v>
      </c>
      <c r="O352" s="236">
        <f t="shared" ca="1" si="20"/>
        <v>-11</v>
      </c>
      <c r="P352">
        <f t="shared" ca="1" si="24"/>
        <v>2316</v>
      </c>
      <c r="Q352">
        <f t="shared" si="25"/>
        <v>2316</v>
      </c>
      <c r="R352" t="str">
        <f t="shared" si="23"/>
        <v>5</v>
      </c>
    </row>
    <row r="353" spans="1:18">
      <c r="A353">
        <v>3113</v>
      </c>
      <c r="B353">
        <v>23164007</v>
      </c>
      <c r="C353" t="s">
        <v>8531</v>
      </c>
      <c r="D353" t="s">
        <v>18938</v>
      </c>
      <c r="E353">
        <v>2024</v>
      </c>
      <c r="F353">
        <v>4127665</v>
      </c>
      <c r="G353">
        <v>465.5</v>
      </c>
      <c r="H353">
        <v>465.5</v>
      </c>
      <c r="I353">
        <v>0</v>
      </c>
      <c r="J353" s="235">
        <v>45391</v>
      </c>
      <c r="K353" s="235">
        <v>45391</v>
      </c>
      <c r="L353">
        <v>7</v>
      </c>
      <c r="M353" t="s">
        <v>18728</v>
      </c>
      <c r="N353" t="s">
        <v>18207</v>
      </c>
      <c r="O353" s="236">
        <f t="shared" ca="1" si="20"/>
        <v>-10</v>
      </c>
      <c r="P353">
        <f t="shared" ca="1" si="24"/>
        <v>2316</v>
      </c>
      <c r="Q353">
        <f t="shared" si="25"/>
        <v>2316</v>
      </c>
      <c r="R353" t="str">
        <f t="shared" si="23"/>
        <v>5</v>
      </c>
    </row>
    <row r="354" spans="1:18">
      <c r="A354">
        <v>3113</v>
      </c>
      <c r="B354">
        <v>27964007</v>
      </c>
      <c r="C354" t="s">
        <v>18727</v>
      </c>
      <c r="D354" t="s">
        <v>18753</v>
      </c>
      <c r="E354">
        <v>2024</v>
      </c>
      <c r="F354">
        <v>4121709</v>
      </c>
      <c r="G354">
        <v>3048.5</v>
      </c>
      <c r="H354">
        <v>7089.5</v>
      </c>
      <c r="I354">
        <v>4041</v>
      </c>
      <c r="J354" s="235">
        <v>45386</v>
      </c>
      <c r="K354" s="235">
        <v>45389</v>
      </c>
      <c r="L354">
        <v>6</v>
      </c>
      <c r="M354" t="s">
        <v>18701</v>
      </c>
      <c r="N354" t="s">
        <v>18752</v>
      </c>
      <c r="O354" s="236">
        <f t="shared" ca="1" si="20"/>
        <v>-16</v>
      </c>
      <c r="P354">
        <f t="shared" ca="1" si="24"/>
        <v>2796</v>
      </c>
      <c r="Q354">
        <f t="shared" si="25"/>
        <v>2796</v>
      </c>
      <c r="R354" t="str">
        <f t="shared" si="23"/>
        <v>5</v>
      </c>
    </row>
    <row r="355" spans="1:18">
      <c r="A355">
        <v>3113</v>
      </c>
      <c r="B355">
        <v>27964007</v>
      </c>
      <c r="C355" t="s">
        <v>18727</v>
      </c>
      <c r="D355" t="s">
        <v>18939</v>
      </c>
      <c r="E355">
        <v>2024</v>
      </c>
      <c r="F355">
        <v>4125687</v>
      </c>
      <c r="G355">
        <v>2864.5</v>
      </c>
      <c r="H355">
        <v>3360.5</v>
      </c>
      <c r="I355">
        <v>496</v>
      </c>
      <c r="J355" s="235">
        <v>45390</v>
      </c>
      <c r="K355" s="235">
        <v>45390</v>
      </c>
      <c r="L355">
        <v>6</v>
      </c>
      <c r="M355" t="s">
        <v>18698</v>
      </c>
      <c r="N355" t="s">
        <v>18814</v>
      </c>
      <c r="O355" s="236">
        <f t="shared" ca="1" si="20"/>
        <v>-12</v>
      </c>
      <c r="P355">
        <f t="shared" ref="P355:P381" ca="1" si="26">IF(O355&lt;4,MID(B355,1,4)*1,0)</f>
        <v>2796</v>
      </c>
      <c r="Q355">
        <f t="shared" ref="Q355:Q381" si="27">MID(B355,1,4)*1</f>
        <v>2796</v>
      </c>
      <c r="R355" t="str">
        <f t="shared" si="23"/>
        <v>5</v>
      </c>
    </row>
    <row r="356" spans="1:18">
      <c r="A356">
        <v>3113</v>
      </c>
      <c r="B356">
        <v>27964007</v>
      </c>
      <c r="C356" t="s">
        <v>18727</v>
      </c>
      <c r="D356" t="s">
        <v>18940</v>
      </c>
      <c r="E356">
        <v>2024</v>
      </c>
      <c r="F356">
        <v>4127628</v>
      </c>
      <c r="G356">
        <v>565</v>
      </c>
      <c r="H356">
        <v>565</v>
      </c>
      <c r="I356">
        <v>0</v>
      </c>
      <c r="J356" s="235">
        <v>45391</v>
      </c>
      <c r="K356" s="235">
        <v>45391</v>
      </c>
      <c r="L356">
        <v>6</v>
      </c>
      <c r="M356" t="s">
        <v>18728</v>
      </c>
      <c r="N356" t="s">
        <v>18834</v>
      </c>
      <c r="O356" s="236">
        <f t="shared" ca="1" si="20"/>
        <v>-11</v>
      </c>
      <c r="P356">
        <f t="shared" ca="1" si="26"/>
        <v>2796</v>
      </c>
      <c r="Q356">
        <f t="shared" si="27"/>
        <v>2796</v>
      </c>
      <c r="R356" t="str">
        <f t="shared" si="23"/>
        <v>5</v>
      </c>
    </row>
    <row r="357" spans="1:18">
      <c r="A357">
        <v>3113</v>
      </c>
      <c r="B357">
        <v>30080602</v>
      </c>
      <c r="C357" t="s">
        <v>12404</v>
      </c>
      <c r="D357" t="s">
        <v>18941</v>
      </c>
      <c r="E357">
        <v>2024</v>
      </c>
      <c r="F357" t="s">
        <v>18942</v>
      </c>
      <c r="G357">
        <v>771</v>
      </c>
      <c r="H357">
        <v>2530</v>
      </c>
      <c r="I357">
        <v>1759</v>
      </c>
      <c r="J357" s="235">
        <v>45389</v>
      </c>
      <c r="K357" s="235">
        <v>45390</v>
      </c>
      <c r="L357">
        <v>3</v>
      </c>
      <c r="M357" t="s">
        <v>18699</v>
      </c>
      <c r="N357" t="s">
        <v>18728</v>
      </c>
      <c r="O357" s="236">
        <f t="shared" ca="1" si="20"/>
        <v>-17</v>
      </c>
      <c r="P357">
        <f t="shared" ca="1" si="26"/>
        <v>3008</v>
      </c>
      <c r="Q357">
        <f t="shared" si="27"/>
        <v>3008</v>
      </c>
      <c r="R357" t="str">
        <f t="shared" si="23"/>
        <v>0</v>
      </c>
    </row>
    <row r="358" spans="1:18">
      <c r="A358">
        <v>3113</v>
      </c>
      <c r="B358">
        <v>30220602</v>
      </c>
      <c r="C358" t="s">
        <v>18729</v>
      </c>
      <c r="D358" t="s">
        <v>18943</v>
      </c>
      <c r="E358">
        <v>2024</v>
      </c>
      <c r="F358" t="s">
        <v>18944</v>
      </c>
      <c r="G358">
        <v>2010</v>
      </c>
      <c r="H358">
        <v>2810</v>
      </c>
      <c r="I358">
        <v>800</v>
      </c>
      <c r="J358" s="235">
        <v>45389</v>
      </c>
      <c r="K358" s="235">
        <v>45391</v>
      </c>
      <c r="L358">
        <v>3</v>
      </c>
      <c r="M358" t="s">
        <v>18699</v>
      </c>
      <c r="N358" t="s">
        <v>18728</v>
      </c>
      <c r="O358" s="236">
        <f t="shared" ca="1" si="20"/>
        <v>-17</v>
      </c>
      <c r="P358">
        <f t="shared" ca="1" si="26"/>
        <v>3022</v>
      </c>
      <c r="Q358">
        <f t="shared" si="27"/>
        <v>3022</v>
      </c>
      <c r="R358" t="str">
        <f t="shared" si="23"/>
        <v>0</v>
      </c>
    </row>
    <row r="359" spans="1:18">
      <c r="A359">
        <v>3113</v>
      </c>
      <c r="B359">
        <v>50220000</v>
      </c>
      <c r="C359" t="s">
        <v>404</v>
      </c>
      <c r="D359" t="s">
        <v>18945</v>
      </c>
      <c r="E359">
        <v>2024</v>
      </c>
      <c r="F359" t="s">
        <v>18946</v>
      </c>
      <c r="G359">
        <v>458</v>
      </c>
      <c r="H359">
        <v>926</v>
      </c>
      <c r="I359">
        <v>468</v>
      </c>
      <c r="J359" s="235">
        <v>45388</v>
      </c>
      <c r="K359" s="235">
        <v>45389</v>
      </c>
      <c r="L359">
        <v>6</v>
      </c>
      <c r="M359" t="s">
        <v>18699</v>
      </c>
      <c r="N359" t="s">
        <v>18818</v>
      </c>
      <c r="O359" s="236">
        <f t="shared" ca="1" si="20"/>
        <v>-14</v>
      </c>
      <c r="P359">
        <f t="shared" ca="1" si="26"/>
        <v>5022</v>
      </c>
      <c r="Q359">
        <f t="shared" si="27"/>
        <v>5022</v>
      </c>
      <c r="R359" t="str">
        <f t="shared" si="23"/>
        <v>0</v>
      </c>
    </row>
    <row r="360" spans="1:18">
      <c r="A360">
        <v>3113</v>
      </c>
      <c r="B360">
        <v>50220000</v>
      </c>
      <c r="C360" t="s">
        <v>404</v>
      </c>
      <c r="D360" t="s">
        <v>18947</v>
      </c>
      <c r="E360">
        <v>2024</v>
      </c>
      <c r="F360" t="s">
        <v>18870</v>
      </c>
      <c r="G360">
        <v>3525</v>
      </c>
      <c r="H360">
        <v>3525</v>
      </c>
      <c r="I360">
        <v>0</v>
      </c>
      <c r="J360" s="235">
        <v>45390</v>
      </c>
      <c r="K360" s="235">
        <v>45390</v>
      </c>
      <c r="L360">
        <v>6</v>
      </c>
      <c r="M360" t="s">
        <v>18698</v>
      </c>
      <c r="N360" t="s">
        <v>18814</v>
      </c>
      <c r="O360" s="236">
        <f t="shared" ca="1" si="20"/>
        <v>-12</v>
      </c>
      <c r="P360">
        <f t="shared" ca="1" si="26"/>
        <v>5022</v>
      </c>
      <c r="Q360">
        <f t="shared" si="27"/>
        <v>5022</v>
      </c>
      <c r="R360" t="str">
        <f t="shared" si="23"/>
        <v>0</v>
      </c>
    </row>
    <row r="361" spans="1:18">
      <c r="A361">
        <v>3113</v>
      </c>
      <c r="B361">
        <v>50270000</v>
      </c>
      <c r="C361" t="s">
        <v>360</v>
      </c>
      <c r="D361" t="s">
        <v>18948</v>
      </c>
      <c r="E361">
        <v>2024</v>
      </c>
      <c r="F361" t="s">
        <v>18949</v>
      </c>
      <c r="G361">
        <v>1213</v>
      </c>
      <c r="H361">
        <v>4651</v>
      </c>
      <c r="I361">
        <v>3438</v>
      </c>
      <c r="J361" s="235">
        <v>45388</v>
      </c>
      <c r="K361" s="235">
        <v>45390</v>
      </c>
      <c r="L361">
        <v>6</v>
      </c>
      <c r="M361" t="s">
        <v>18699</v>
      </c>
      <c r="N361" t="s">
        <v>18818</v>
      </c>
      <c r="O361" s="236">
        <f t="shared" ca="1" si="20"/>
        <v>-14</v>
      </c>
      <c r="P361">
        <f t="shared" ca="1" si="26"/>
        <v>5027</v>
      </c>
      <c r="Q361">
        <f t="shared" si="27"/>
        <v>5027</v>
      </c>
      <c r="R361" t="str">
        <f t="shared" si="23"/>
        <v>0</v>
      </c>
    </row>
    <row r="362" spans="1:18">
      <c r="A362">
        <v>3113</v>
      </c>
      <c r="B362">
        <v>50270000</v>
      </c>
      <c r="C362" t="s">
        <v>360</v>
      </c>
      <c r="D362" t="s">
        <v>18950</v>
      </c>
      <c r="E362">
        <v>2024</v>
      </c>
      <c r="F362" t="s">
        <v>18855</v>
      </c>
      <c r="G362">
        <v>399</v>
      </c>
      <c r="H362">
        <v>2649</v>
      </c>
      <c r="I362">
        <v>2250</v>
      </c>
      <c r="J362" s="235">
        <v>45390</v>
      </c>
      <c r="K362" s="235">
        <v>45390</v>
      </c>
      <c r="L362">
        <v>6</v>
      </c>
      <c r="M362" t="s">
        <v>18698</v>
      </c>
      <c r="N362" t="s">
        <v>18814</v>
      </c>
      <c r="O362" s="236">
        <f t="shared" ca="1" si="20"/>
        <v>-12</v>
      </c>
      <c r="P362">
        <f t="shared" ca="1" si="26"/>
        <v>5027</v>
      </c>
      <c r="Q362">
        <f t="shared" si="27"/>
        <v>5027</v>
      </c>
      <c r="R362" t="str">
        <f t="shared" si="23"/>
        <v>1</v>
      </c>
    </row>
    <row r="363" spans="1:18">
      <c r="A363">
        <v>3113</v>
      </c>
      <c r="B363">
        <v>52020000</v>
      </c>
      <c r="C363" t="s">
        <v>15454</v>
      </c>
      <c r="D363" t="s">
        <v>18951</v>
      </c>
      <c r="E363">
        <v>2024</v>
      </c>
      <c r="F363" t="s">
        <v>18846</v>
      </c>
      <c r="G363">
        <v>1573</v>
      </c>
      <c r="H363">
        <v>7258.5</v>
      </c>
      <c r="I363">
        <v>5685.5</v>
      </c>
      <c r="J363" s="235">
        <v>45390</v>
      </c>
      <c r="K363" s="235">
        <v>45390</v>
      </c>
      <c r="L363">
        <v>4</v>
      </c>
      <c r="M363" t="s">
        <v>18698</v>
      </c>
      <c r="N363" t="s">
        <v>18818</v>
      </c>
      <c r="O363" s="236">
        <f t="shared" ca="1" si="20"/>
        <v>-14</v>
      </c>
      <c r="P363">
        <f t="shared" ca="1" si="26"/>
        <v>5202</v>
      </c>
      <c r="Q363">
        <f t="shared" si="27"/>
        <v>5202</v>
      </c>
      <c r="R363" t="str">
        <f t="shared" si="23"/>
        <v>1</v>
      </c>
    </row>
    <row r="364" spans="1:18">
      <c r="A364">
        <v>3113</v>
      </c>
      <c r="B364">
        <v>52094000</v>
      </c>
      <c r="C364" t="s">
        <v>15519</v>
      </c>
      <c r="D364" t="s">
        <v>18952</v>
      </c>
      <c r="E364">
        <v>2024</v>
      </c>
      <c r="F364" t="s">
        <v>18903</v>
      </c>
      <c r="G364">
        <v>6394</v>
      </c>
      <c r="H364">
        <v>17094</v>
      </c>
      <c r="I364">
        <v>10700</v>
      </c>
      <c r="J364" s="235">
        <v>45390</v>
      </c>
      <c r="K364" s="235">
        <v>45391</v>
      </c>
      <c r="L364">
        <v>4</v>
      </c>
      <c r="M364" t="s">
        <v>18698</v>
      </c>
      <c r="N364" t="s">
        <v>18818</v>
      </c>
      <c r="O364" s="236">
        <f t="shared" ca="1" si="20"/>
        <v>-14</v>
      </c>
      <c r="P364">
        <f t="shared" ca="1" si="26"/>
        <v>5209</v>
      </c>
      <c r="Q364">
        <f t="shared" si="27"/>
        <v>5209</v>
      </c>
      <c r="R364" t="str">
        <f t="shared" si="23"/>
        <v>1</v>
      </c>
    </row>
    <row r="365" spans="1:18">
      <c r="A365">
        <v>3113</v>
      </c>
      <c r="B365">
        <v>52144000</v>
      </c>
      <c r="C365" t="s">
        <v>15450</v>
      </c>
      <c r="D365" t="s">
        <v>18953</v>
      </c>
      <c r="E365">
        <v>2024</v>
      </c>
      <c r="F365" t="s">
        <v>18851</v>
      </c>
      <c r="G365">
        <v>3393.5</v>
      </c>
      <c r="H365">
        <v>13110</v>
      </c>
      <c r="I365">
        <v>9716.5</v>
      </c>
      <c r="J365" s="235">
        <v>45390</v>
      </c>
      <c r="K365" s="235">
        <v>45391</v>
      </c>
      <c r="L365">
        <v>4</v>
      </c>
      <c r="M365" t="s">
        <v>18698</v>
      </c>
      <c r="N365" t="s">
        <v>18818</v>
      </c>
      <c r="O365" s="236">
        <f t="shared" ref="O365:O428" ca="1" si="28">N365*1-TODAY()</f>
        <v>-14</v>
      </c>
      <c r="P365">
        <f t="shared" ca="1" si="26"/>
        <v>5214</v>
      </c>
      <c r="Q365">
        <f t="shared" si="27"/>
        <v>5214</v>
      </c>
      <c r="R365" t="str">
        <f t="shared" si="23"/>
        <v>1</v>
      </c>
    </row>
    <row r="366" spans="1:18">
      <c r="A366">
        <v>3113</v>
      </c>
      <c r="B366">
        <v>52154000</v>
      </c>
      <c r="C366" t="s">
        <v>15451</v>
      </c>
      <c r="D366" t="s">
        <v>18954</v>
      </c>
      <c r="E366">
        <v>2024</v>
      </c>
      <c r="F366" t="s">
        <v>18827</v>
      </c>
      <c r="G366">
        <v>3228</v>
      </c>
      <c r="H366">
        <v>4376.5</v>
      </c>
      <c r="I366">
        <v>1148.5</v>
      </c>
      <c r="J366" s="235">
        <v>45391</v>
      </c>
      <c r="K366" s="235">
        <v>45391</v>
      </c>
      <c r="L366">
        <v>4</v>
      </c>
      <c r="M366" t="s">
        <v>18728</v>
      </c>
      <c r="N366" t="s">
        <v>18828</v>
      </c>
      <c r="O366" s="236">
        <f t="shared" ca="1" si="28"/>
        <v>-13</v>
      </c>
      <c r="P366">
        <f t="shared" ca="1" si="26"/>
        <v>5215</v>
      </c>
      <c r="Q366">
        <f t="shared" si="27"/>
        <v>5215</v>
      </c>
      <c r="R366" t="str">
        <f t="shared" si="23"/>
        <v>1</v>
      </c>
    </row>
    <row r="367" spans="1:18">
      <c r="A367">
        <v>3113</v>
      </c>
      <c r="B367">
        <v>52264000</v>
      </c>
      <c r="C367" t="s">
        <v>15452</v>
      </c>
      <c r="D367" t="s">
        <v>18955</v>
      </c>
      <c r="E367">
        <v>2024</v>
      </c>
      <c r="F367" t="s">
        <v>18822</v>
      </c>
      <c r="G367">
        <v>4603</v>
      </c>
      <c r="H367">
        <v>5124</v>
      </c>
      <c r="I367">
        <v>521</v>
      </c>
      <c r="J367" s="235">
        <v>45390</v>
      </c>
      <c r="K367" s="235">
        <v>45390</v>
      </c>
      <c r="L367">
        <v>4</v>
      </c>
      <c r="M367" t="s">
        <v>18698</v>
      </c>
      <c r="N367" t="s">
        <v>18818</v>
      </c>
      <c r="O367" s="236">
        <f t="shared" ca="1" si="28"/>
        <v>-14</v>
      </c>
      <c r="P367">
        <f t="shared" ca="1" si="26"/>
        <v>5226</v>
      </c>
      <c r="Q367">
        <f t="shared" si="27"/>
        <v>5226</v>
      </c>
      <c r="R367" t="str">
        <f t="shared" si="23"/>
        <v>1</v>
      </c>
    </row>
    <row r="368" spans="1:18">
      <c r="A368">
        <v>3113</v>
      </c>
      <c r="B368">
        <v>53040110</v>
      </c>
      <c r="C368" t="s">
        <v>8533</v>
      </c>
      <c r="D368" t="s">
        <v>18956</v>
      </c>
      <c r="E368">
        <v>2024</v>
      </c>
      <c r="F368" t="s">
        <v>18957</v>
      </c>
      <c r="G368">
        <v>6519</v>
      </c>
      <c r="H368">
        <v>9874</v>
      </c>
      <c r="I368">
        <v>3355</v>
      </c>
      <c r="J368" s="235">
        <v>45389</v>
      </c>
      <c r="K368" s="235">
        <v>45390</v>
      </c>
      <c r="L368">
        <v>5</v>
      </c>
      <c r="M368" t="s">
        <v>18571</v>
      </c>
      <c r="N368" t="s">
        <v>18958</v>
      </c>
      <c r="O368" s="236">
        <f t="shared" ca="1" si="28"/>
        <v>-113</v>
      </c>
      <c r="P368">
        <f t="shared" ca="1" si="26"/>
        <v>5304</v>
      </c>
      <c r="Q368">
        <f t="shared" si="27"/>
        <v>5304</v>
      </c>
      <c r="R368" t="str">
        <f t="shared" si="23"/>
        <v>4</v>
      </c>
    </row>
    <row r="369" spans="1:18">
      <c r="A369">
        <v>3113</v>
      </c>
      <c r="B369">
        <v>53060000</v>
      </c>
      <c r="C369" t="s">
        <v>18766</v>
      </c>
      <c r="D369" t="s">
        <v>18959</v>
      </c>
      <c r="E369">
        <v>2024</v>
      </c>
      <c r="F369" t="s">
        <v>18960</v>
      </c>
      <c r="G369">
        <v>4048.5</v>
      </c>
      <c r="H369">
        <v>14095.5</v>
      </c>
      <c r="I369">
        <v>10047</v>
      </c>
      <c r="J369" s="235">
        <v>45388</v>
      </c>
      <c r="K369" s="235">
        <v>45391</v>
      </c>
      <c r="L369">
        <v>4</v>
      </c>
      <c r="M369" t="s">
        <v>18699</v>
      </c>
      <c r="N369" t="s">
        <v>18752</v>
      </c>
      <c r="O369" s="236">
        <f t="shared" ca="1" si="28"/>
        <v>-16</v>
      </c>
      <c r="P369">
        <f t="shared" ca="1" si="26"/>
        <v>5306</v>
      </c>
      <c r="Q369">
        <f t="shared" si="27"/>
        <v>5306</v>
      </c>
      <c r="R369" t="str">
        <f t="shared" si="23"/>
        <v>3</v>
      </c>
    </row>
    <row r="370" spans="1:18">
      <c r="A370">
        <v>3113</v>
      </c>
      <c r="B370">
        <v>65999000</v>
      </c>
      <c r="C370" t="s">
        <v>18812</v>
      </c>
      <c r="D370" t="s">
        <v>18961</v>
      </c>
      <c r="E370">
        <v>2024</v>
      </c>
      <c r="F370" t="s">
        <v>18962</v>
      </c>
      <c r="G370">
        <v>632</v>
      </c>
      <c r="H370">
        <v>850</v>
      </c>
      <c r="I370">
        <v>218</v>
      </c>
      <c r="J370" s="235">
        <v>45387</v>
      </c>
      <c r="K370" s="235">
        <v>45391</v>
      </c>
      <c r="L370">
        <v>4</v>
      </c>
      <c r="M370" t="s">
        <v>18700</v>
      </c>
      <c r="N370" t="s">
        <v>18728</v>
      </c>
      <c r="O370" s="236">
        <f t="shared" ca="1" si="28"/>
        <v>-17</v>
      </c>
      <c r="P370">
        <f t="shared" ca="1" si="26"/>
        <v>6599</v>
      </c>
      <c r="Q370">
        <f t="shared" si="27"/>
        <v>6599</v>
      </c>
      <c r="R370" t="str">
        <f t="shared" si="23"/>
        <v>0</v>
      </c>
    </row>
    <row r="371" spans="1:18">
      <c r="A371">
        <v>3113</v>
      </c>
      <c r="B371">
        <v>81410900</v>
      </c>
      <c r="C371" t="s">
        <v>18056</v>
      </c>
      <c r="D371" t="s">
        <v>18774</v>
      </c>
      <c r="E371">
        <v>2024</v>
      </c>
      <c r="F371" t="s">
        <v>18775</v>
      </c>
      <c r="G371">
        <v>728.15</v>
      </c>
      <c r="H371">
        <v>5256</v>
      </c>
      <c r="I371">
        <v>4527.8500000000004</v>
      </c>
      <c r="J371" s="235">
        <v>45386</v>
      </c>
      <c r="K371" s="235">
        <v>45391</v>
      </c>
      <c r="L371">
        <v>360</v>
      </c>
      <c r="O371" s="236">
        <f t="shared" ca="1" si="28"/>
        <v>-45408</v>
      </c>
      <c r="P371">
        <f t="shared" ca="1" si="26"/>
        <v>8141</v>
      </c>
      <c r="Q371">
        <f t="shared" si="27"/>
        <v>8141</v>
      </c>
      <c r="R371" t="str">
        <f t="shared" si="23"/>
        <v>0</v>
      </c>
    </row>
    <row r="372" spans="1:18">
      <c r="A372">
        <v>3113</v>
      </c>
      <c r="B372">
        <v>84000200</v>
      </c>
      <c r="C372" t="s">
        <v>18057</v>
      </c>
      <c r="D372" t="s">
        <v>18572</v>
      </c>
      <c r="E372">
        <v>2022</v>
      </c>
      <c r="F372">
        <v>3359484</v>
      </c>
      <c r="G372">
        <v>0.01</v>
      </c>
      <c r="H372">
        <v>25.52</v>
      </c>
      <c r="I372">
        <v>25.51</v>
      </c>
      <c r="J372" s="235">
        <v>44698</v>
      </c>
      <c r="K372" s="235">
        <v>44699</v>
      </c>
      <c r="L372">
        <v>540</v>
      </c>
      <c r="M372" t="s">
        <v>18086</v>
      </c>
      <c r="N372" t="s">
        <v>18087</v>
      </c>
      <c r="O372" s="236">
        <f t="shared" ca="1" si="28"/>
        <v>-178</v>
      </c>
      <c r="P372">
        <f t="shared" ca="1" si="26"/>
        <v>8400</v>
      </c>
      <c r="Q372">
        <f t="shared" si="27"/>
        <v>8400</v>
      </c>
      <c r="R372" t="str">
        <f t="shared" si="23"/>
        <v>0</v>
      </c>
    </row>
    <row r="373" spans="1:18">
      <c r="A373">
        <v>3113</v>
      </c>
      <c r="B373">
        <v>84000200</v>
      </c>
      <c r="C373" t="s">
        <v>18057</v>
      </c>
      <c r="D373" t="s">
        <v>18573</v>
      </c>
      <c r="E373">
        <v>2022</v>
      </c>
      <c r="F373">
        <v>3367532</v>
      </c>
      <c r="G373">
        <v>-0.01</v>
      </c>
      <c r="H373">
        <v>155.26</v>
      </c>
      <c r="I373">
        <v>155.27000000000001</v>
      </c>
      <c r="J373" s="235">
        <v>44700</v>
      </c>
      <c r="K373" s="235">
        <v>44704</v>
      </c>
      <c r="L373">
        <v>540</v>
      </c>
      <c r="M373" t="s">
        <v>18574</v>
      </c>
      <c r="N373" t="s">
        <v>18575</v>
      </c>
      <c r="O373" s="236">
        <f t="shared" ca="1" si="28"/>
        <v>-171</v>
      </c>
      <c r="P373">
        <f t="shared" ca="1" si="26"/>
        <v>8400</v>
      </c>
      <c r="Q373">
        <f t="shared" si="27"/>
        <v>8400</v>
      </c>
      <c r="R373" t="str">
        <f t="shared" si="23"/>
        <v>0</v>
      </c>
    </row>
    <row r="374" spans="1:18">
      <c r="A374">
        <v>3113</v>
      </c>
      <c r="B374">
        <v>84000200</v>
      </c>
      <c r="C374" t="s">
        <v>18057</v>
      </c>
      <c r="D374" t="s">
        <v>18131</v>
      </c>
      <c r="E374">
        <v>2022</v>
      </c>
      <c r="F374">
        <v>3381858</v>
      </c>
      <c r="G374">
        <v>-0.02</v>
      </c>
      <c r="H374">
        <v>204.91</v>
      </c>
      <c r="I374">
        <v>204.93</v>
      </c>
      <c r="J374" s="235">
        <v>44712</v>
      </c>
      <c r="K374" s="235">
        <v>44718</v>
      </c>
      <c r="L374">
        <v>540</v>
      </c>
      <c r="M374" t="s">
        <v>18089</v>
      </c>
      <c r="N374" t="s">
        <v>18090</v>
      </c>
      <c r="O374" s="236">
        <f t="shared" ca="1" si="28"/>
        <v>-157</v>
      </c>
      <c r="P374">
        <f t="shared" ca="1" si="26"/>
        <v>8400</v>
      </c>
      <c r="Q374">
        <f t="shared" si="27"/>
        <v>8400</v>
      </c>
      <c r="R374" t="str">
        <f t="shared" si="23"/>
        <v>0</v>
      </c>
    </row>
    <row r="375" spans="1:18">
      <c r="A375">
        <v>3113</v>
      </c>
      <c r="B375">
        <v>84000200</v>
      </c>
      <c r="C375" t="s">
        <v>18057</v>
      </c>
      <c r="D375" t="s">
        <v>18576</v>
      </c>
      <c r="E375">
        <v>2022</v>
      </c>
      <c r="F375">
        <v>3396670</v>
      </c>
      <c r="G375">
        <v>-0.01</v>
      </c>
      <c r="H375">
        <v>215.33</v>
      </c>
      <c r="I375">
        <v>215.34</v>
      </c>
      <c r="J375" s="235">
        <v>44726</v>
      </c>
      <c r="K375" s="235">
        <v>44732</v>
      </c>
      <c r="L375">
        <v>540</v>
      </c>
      <c r="M375" t="s">
        <v>18577</v>
      </c>
      <c r="N375" t="s">
        <v>18578</v>
      </c>
      <c r="O375" s="236">
        <f t="shared" ca="1" si="28"/>
        <v>-143</v>
      </c>
      <c r="P375">
        <f t="shared" ca="1" si="26"/>
        <v>8400</v>
      </c>
      <c r="Q375">
        <f t="shared" si="27"/>
        <v>8400</v>
      </c>
      <c r="R375" t="str">
        <f t="shared" si="23"/>
        <v>0</v>
      </c>
    </row>
    <row r="376" spans="1:18">
      <c r="A376">
        <v>3113</v>
      </c>
      <c r="B376">
        <v>84000200</v>
      </c>
      <c r="C376" t="s">
        <v>18057</v>
      </c>
      <c r="D376" t="s">
        <v>18136</v>
      </c>
      <c r="E376">
        <v>2022</v>
      </c>
      <c r="F376">
        <v>3410375</v>
      </c>
      <c r="G376">
        <v>0.02</v>
      </c>
      <c r="H376">
        <v>305.7</v>
      </c>
      <c r="I376">
        <v>305.68</v>
      </c>
      <c r="J376" s="235">
        <v>44740</v>
      </c>
      <c r="K376" s="235">
        <v>44751</v>
      </c>
      <c r="L376">
        <v>540</v>
      </c>
      <c r="M376" t="s">
        <v>18095</v>
      </c>
      <c r="N376" t="s">
        <v>18096</v>
      </c>
      <c r="O376" s="236">
        <f t="shared" ca="1" si="28"/>
        <v>-129</v>
      </c>
      <c r="P376">
        <f t="shared" ca="1" si="26"/>
        <v>8400</v>
      </c>
      <c r="Q376">
        <f t="shared" si="27"/>
        <v>8400</v>
      </c>
      <c r="R376" t="str">
        <f t="shared" si="23"/>
        <v>0</v>
      </c>
    </row>
    <row r="377" spans="1:18">
      <c r="A377">
        <v>3113</v>
      </c>
      <c r="B377">
        <v>84000200</v>
      </c>
      <c r="C377" t="s">
        <v>18057</v>
      </c>
      <c r="D377" t="s">
        <v>18137</v>
      </c>
      <c r="E377">
        <v>2022</v>
      </c>
      <c r="F377">
        <v>3418745</v>
      </c>
      <c r="G377">
        <v>0.04</v>
      </c>
      <c r="H377">
        <v>321.79000000000002</v>
      </c>
      <c r="I377">
        <v>321.75</v>
      </c>
      <c r="J377" s="235">
        <v>44747</v>
      </c>
      <c r="K377" s="235">
        <v>44757</v>
      </c>
      <c r="L377">
        <v>540</v>
      </c>
      <c r="M377" t="s">
        <v>18098</v>
      </c>
      <c r="N377" t="s">
        <v>18099</v>
      </c>
      <c r="O377" s="236">
        <f t="shared" ca="1" si="28"/>
        <v>-122</v>
      </c>
      <c r="P377">
        <f t="shared" ca="1" si="26"/>
        <v>8400</v>
      </c>
      <c r="Q377">
        <f t="shared" si="27"/>
        <v>8400</v>
      </c>
      <c r="R377" t="str">
        <f t="shared" si="23"/>
        <v>0</v>
      </c>
    </row>
    <row r="378" spans="1:18">
      <c r="A378">
        <v>3113</v>
      </c>
      <c r="B378">
        <v>84000200</v>
      </c>
      <c r="C378" t="s">
        <v>18057</v>
      </c>
      <c r="D378" t="s">
        <v>18138</v>
      </c>
      <c r="E378">
        <v>2022</v>
      </c>
      <c r="F378">
        <v>3426773</v>
      </c>
      <c r="G378">
        <v>0.01</v>
      </c>
      <c r="H378">
        <v>325.36</v>
      </c>
      <c r="I378">
        <v>325.35000000000002</v>
      </c>
      <c r="J378" s="235">
        <v>44754</v>
      </c>
      <c r="K378" s="235">
        <v>44769</v>
      </c>
      <c r="L378">
        <v>540</v>
      </c>
      <c r="M378" t="s">
        <v>18101</v>
      </c>
      <c r="N378" t="s">
        <v>18102</v>
      </c>
      <c r="O378" s="236">
        <f t="shared" ca="1" si="28"/>
        <v>-115</v>
      </c>
      <c r="P378">
        <f t="shared" ca="1" si="26"/>
        <v>8400</v>
      </c>
      <c r="Q378">
        <f t="shared" si="27"/>
        <v>8400</v>
      </c>
      <c r="R378" t="str">
        <f t="shared" si="23"/>
        <v>0</v>
      </c>
    </row>
    <row r="379" spans="1:18">
      <c r="A379">
        <v>3113</v>
      </c>
      <c r="B379">
        <v>84000200</v>
      </c>
      <c r="C379" t="s">
        <v>18057</v>
      </c>
      <c r="D379" t="s">
        <v>18142</v>
      </c>
      <c r="E379">
        <v>2022</v>
      </c>
      <c r="F379">
        <v>3445489</v>
      </c>
      <c r="G379">
        <v>0.01</v>
      </c>
      <c r="H379">
        <v>304.39</v>
      </c>
      <c r="I379">
        <v>304.38</v>
      </c>
      <c r="J379" s="235">
        <v>44770</v>
      </c>
      <c r="K379" s="235">
        <v>44774</v>
      </c>
      <c r="L379">
        <v>540</v>
      </c>
      <c r="M379" t="s">
        <v>18143</v>
      </c>
      <c r="N379" t="s">
        <v>18144</v>
      </c>
      <c r="O379" s="236">
        <f t="shared" ca="1" si="28"/>
        <v>-101</v>
      </c>
      <c r="P379">
        <f t="shared" ca="1" si="26"/>
        <v>8400</v>
      </c>
      <c r="Q379">
        <f t="shared" si="27"/>
        <v>8400</v>
      </c>
      <c r="R379" t="str">
        <f t="shared" si="23"/>
        <v>0</v>
      </c>
    </row>
    <row r="380" spans="1:18">
      <c r="A380">
        <v>3113</v>
      </c>
      <c r="B380">
        <v>84000300</v>
      </c>
      <c r="C380" t="s">
        <v>18058</v>
      </c>
      <c r="D380" t="s">
        <v>18166</v>
      </c>
      <c r="E380">
        <v>2022</v>
      </c>
      <c r="F380">
        <v>3403745</v>
      </c>
      <c r="G380">
        <v>-0.01</v>
      </c>
      <c r="H380">
        <v>44.07</v>
      </c>
      <c r="I380">
        <v>44.08</v>
      </c>
      <c r="J380" s="235">
        <v>44733</v>
      </c>
      <c r="K380" s="235">
        <v>44742</v>
      </c>
      <c r="L380">
        <v>540</v>
      </c>
      <c r="M380" t="s">
        <v>18134</v>
      </c>
      <c r="N380" t="s">
        <v>18135</v>
      </c>
      <c r="O380" s="236">
        <f t="shared" ca="1" si="28"/>
        <v>-136</v>
      </c>
      <c r="P380">
        <f t="shared" ca="1" si="26"/>
        <v>8400</v>
      </c>
      <c r="Q380">
        <f t="shared" si="27"/>
        <v>8400</v>
      </c>
      <c r="R380" t="str">
        <f t="shared" si="23"/>
        <v>0</v>
      </c>
    </row>
    <row r="381" spans="1:18">
      <c r="A381">
        <v>3113</v>
      </c>
      <c r="B381">
        <v>84000300</v>
      </c>
      <c r="C381" t="s">
        <v>18058</v>
      </c>
      <c r="D381" t="s">
        <v>18168</v>
      </c>
      <c r="E381">
        <v>2022</v>
      </c>
      <c r="F381">
        <v>3418747</v>
      </c>
      <c r="G381">
        <v>-0.01</v>
      </c>
      <c r="H381">
        <v>73.83</v>
      </c>
      <c r="I381">
        <v>73.84</v>
      </c>
      <c r="J381" s="235">
        <v>44747</v>
      </c>
      <c r="K381" s="235">
        <v>44753</v>
      </c>
      <c r="L381">
        <v>540</v>
      </c>
      <c r="M381" t="s">
        <v>18098</v>
      </c>
      <c r="N381" t="s">
        <v>18099</v>
      </c>
      <c r="O381" s="236">
        <f t="shared" ca="1" si="28"/>
        <v>-122</v>
      </c>
      <c r="P381">
        <f t="shared" ca="1" si="26"/>
        <v>8400</v>
      </c>
      <c r="Q381">
        <f t="shared" si="27"/>
        <v>8400</v>
      </c>
      <c r="R381" t="str">
        <f t="shared" si="23"/>
        <v>0</v>
      </c>
    </row>
    <row r="382" spans="1:18">
      <c r="A382">
        <v>3113</v>
      </c>
      <c r="B382">
        <v>84000300</v>
      </c>
      <c r="C382" t="s">
        <v>18058</v>
      </c>
      <c r="D382" t="s">
        <v>18169</v>
      </c>
      <c r="E382">
        <v>2022</v>
      </c>
      <c r="F382">
        <v>3434499</v>
      </c>
      <c r="G382">
        <v>-0.02</v>
      </c>
      <c r="H382">
        <v>76.66</v>
      </c>
      <c r="I382">
        <v>76.680000000000007</v>
      </c>
      <c r="J382" s="235">
        <v>44761</v>
      </c>
      <c r="K382" s="235">
        <v>44771</v>
      </c>
      <c r="L382">
        <v>540</v>
      </c>
      <c r="M382" t="s">
        <v>18140</v>
      </c>
      <c r="N382" t="s">
        <v>18141</v>
      </c>
      <c r="O382" s="236">
        <f t="shared" ca="1" si="28"/>
        <v>-108</v>
      </c>
      <c r="P382">
        <f t="shared" ref="P382:P399" ca="1" si="29">IF(O382&lt;4,MID(B382,1,4)*1,0)</f>
        <v>8400</v>
      </c>
      <c r="Q382">
        <f t="shared" ref="Q382:Q399" si="30">MID(B382,1,4)*1</f>
        <v>8400</v>
      </c>
      <c r="R382" t="str">
        <f t="shared" si="23"/>
        <v>0</v>
      </c>
    </row>
    <row r="383" spans="1:18">
      <c r="A383">
        <v>3113</v>
      </c>
      <c r="B383">
        <v>84000300</v>
      </c>
      <c r="C383" t="s">
        <v>18058</v>
      </c>
      <c r="D383" t="s">
        <v>18579</v>
      </c>
      <c r="E383">
        <v>2022</v>
      </c>
      <c r="F383">
        <v>3445491</v>
      </c>
      <c r="G383">
        <v>-0.01</v>
      </c>
      <c r="H383">
        <v>46.32</v>
      </c>
      <c r="I383">
        <v>46.33</v>
      </c>
      <c r="J383" s="235">
        <v>44770</v>
      </c>
      <c r="K383" s="235">
        <v>44774</v>
      </c>
      <c r="L383">
        <v>540</v>
      </c>
      <c r="M383" t="s">
        <v>18143</v>
      </c>
      <c r="N383" t="s">
        <v>18144</v>
      </c>
      <c r="O383" s="236">
        <f t="shared" ca="1" si="28"/>
        <v>-101</v>
      </c>
      <c r="P383">
        <f t="shared" ca="1" si="29"/>
        <v>8400</v>
      </c>
      <c r="Q383">
        <f t="shared" si="30"/>
        <v>8400</v>
      </c>
      <c r="R383" t="str">
        <f t="shared" si="23"/>
        <v>0</v>
      </c>
    </row>
    <row r="384" spans="1:18">
      <c r="A384">
        <v>3113</v>
      </c>
      <c r="B384">
        <v>84008900</v>
      </c>
      <c r="C384" t="s">
        <v>18063</v>
      </c>
      <c r="D384" t="s">
        <v>18580</v>
      </c>
      <c r="E384">
        <v>2022</v>
      </c>
      <c r="F384" t="s">
        <v>18581</v>
      </c>
      <c r="G384">
        <v>0.01</v>
      </c>
      <c r="H384">
        <v>1587.6</v>
      </c>
      <c r="I384">
        <v>1587.59</v>
      </c>
      <c r="J384" s="235">
        <v>44902</v>
      </c>
      <c r="K384" s="235">
        <v>44924</v>
      </c>
      <c r="L384">
        <v>720</v>
      </c>
      <c r="O384" s="236">
        <f t="shared" ca="1" si="28"/>
        <v>-45408</v>
      </c>
      <c r="P384">
        <f t="shared" ca="1" si="29"/>
        <v>8400</v>
      </c>
      <c r="Q384">
        <f t="shared" si="30"/>
        <v>8400</v>
      </c>
      <c r="R384" t="str">
        <f t="shared" si="23"/>
        <v>0</v>
      </c>
    </row>
    <row r="385" spans="1:18">
      <c r="A385">
        <v>3113</v>
      </c>
      <c r="B385">
        <v>84008900</v>
      </c>
      <c r="C385" t="s">
        <v>18063</v>
      </c>
      <c r="D385" t="s">
        <v>18582</v>
      </c>
      <c r="E385">
        <v>2022</v>
      </c>
      <c r="F385" t="s">
        <v>18583</v>
      </c>
      <c r="G385">
        <v>0.04</v>
      </c>
      <c r="H385">
        <v>2194.56</v>
      </c>
      <c r="I385">
        <v>2194.52</v>
      </c>
      <c r="J385" s="235">
        <v>44886</v>
      </c>
      <c r="K385" s="235">
        <v>44902</v>
      </c>
      <c r="L385">
        <v>720</v>
      </c>
      <c r="O385" s="236">
        <f t="shared" ca="1" si="28"/>
        <v>-45408</v>
      </c>
      <c r="P385">
        <f t="shared" ca="1" si="29"/>
        <v>8400</v>
      </c>
      <c r="Q385">
        <f t="shared" si="30"/>
        <v>8400</v>
      </c>
      <c r="R385" t="str">
        <f t="shared" si="23"/>
        <v>0</v>
      </c>
    </row>
    <row r="386" spans="1:18">
      <c r="A386">
        <v>3113</v>
      </c>
      <c r="B386">
        <v>84008900</v>
      </c>
      <c r="C386" t="s">
        <v>18063</v>
      </c>
      <c r="D386" t="s">
        <v>18489</v>
      </c>
      <c r="E386">
        <v>2022</v>
      </c>
      <c r="F386" t="s">
        <v>18490</v>
      </c>
      <c r="G386">
        <v>0.03</v>
      </c>
      <c r="H386">
        <v>1954.8</v>
      </c>
      <c r="I386">
        <v>1954.77</v>
      </c>
      <c r="J386" s="235">
        <v>44881</v>
      </c>
      <c r="K386" s="235">
        <v>44924</v>
      </c>
      <c r="L386">
        <v>720</v>
      </c>
      <c r="O386" s="236">
        <f t="shared" ca="1" si="28"/>
        <v>-45408</v>
      </c>
      <c r="P386">
        <f t="shared" ca="1" si="29"/>
        <v>8400</v>
      </c>
      <c r="Q386">
        <f t="shared" si="30"/>
        <v>8400</v>
      </c>
      <c r="R386" t="str">
        <f t="shared" si="23"/>
        <v>0</v>
      </c>
    </row>
    <row r="387" spans="1:18">
      <c r="A387">
        <v>3113</v>
      </c>
      <c r="B387">
        <v>84008900</v>
      </c>
      <c r="C387" t="s">
        <v>18063</v>
      </c>
      <c r="D387" t="s">
        <v>18491</v>
      </c>
      <c r="E387">
        <v>2022</v>
      </c>
      <c r="F387" t="s">
        <v>18492</v>
      </c>
      <c r="G387">
        <v>0.01</v>
      </c>
      <c r="H387">
        <v>3401.96</v>
      </c>
      <c r="I387">
        <v>3401.95</v>
      </c>
      <c r="J387" s="235">
        <v>44924</v>
      </c>
      <c r="K387" s="235">
        <v>44953</v>
      </c>
      <c r="L387">
        <v>720</v>
      </c>
      <c r="O387" s="236">
        <f t="shared" ca="1" si="28"/>
        <v>-45408</v>
      </c>
      <c r="P387">
        <f t="shared" ca="1" si="29"/>
        <v>8400</v>
      </c>
      <c r="Q387">
        <f t="shared" si="30"/>
        <v>8400</v>
      </c>
      <c r="R387" t="str">
        <f t="shared" ref="R387:R450" si="31">MID(D387,4,1)</f>
        <v>0</v>
      </c>
    </row>
    <row r="388" spans="1:18">
      <c r="A388">
        <v>3113</v>
      </c>
      <c r="B388">
        <v>84008900</v>
      </c>
      <c r="C388" t="s">
        <v>18063</v>
      </c>
      <c r="D388" t="s">
        <v>18584</v>
      </c>
      <c r="E388">
        <v>2023</v>
      </c>
      <c r="F388" t="s">
        <v>18585</v>
      </c>
      <c r="G388">
        <v>0.01</v>
      </c>
      <c r="H388">
        <v>226.8</v>
      </c>
      <c r="I388">
        <v>226.79</v>
      </c>
      <c r="J388" s="235">
        <v>44942</v>
      </c>
      <c r="K388" s="235">
        <v>44954</v>
      </c>
      <c r="L388">
        <v>720</v>
      </c>
      <c r="O388" s="236">
        <f t="shared" ca="1" si="28"/>
        <v>-45408</v>
      </c>
      <c r="P388">
        <f t="shared" ca="1" si="29"/>
        <v>8400</v>
      </c>
      <c r="Q388">
        <f t="shared" si="30"/>
        <v>8400</v>
      </c>
      <c r="R388" t="str">
        <f t="shared" si="31"/>
        <v>0</v>
      </c>
    </row>
    <row r="389" spans="1:18">
      <c r="A389">
        <v>3113</v>
      </c>
      <c r="B389">
        <v>84008900</v>
      </c>
      <c r="C389" t="s">
        <v>18063</v>
      </c>
      <c r="D389" t="s">
        <v>18586</v>
      </c>
      <c r="E389">
        <v>2023</v>
      </c>
      <c r="F389" t="s">
        <v>18587</v>
      </c>
      <c r="G389">
        <v>0.04</v>
      </c>
      <c r="H389">
        <v>3175.2</v>
      </c>
      <c r="I389">
        <v>3175.16</v>
      </c>
      <c r="J389" s="235">
        <v>44950</v>
      </c>
      <c r="K389" s="235">
        <v>44986</v>
      </c>
      <c r="L389">
        <v>720</v>
      </c>
      <c r="O389" s="236">
        <f t="shared" ca="1" si="28"/>
        <v>-45408</v>
      </c>
      <c r="P389">
        <f t="shared" ca="1" si="29"/>
        <v>8400</v>
      </c>
      <c r="Q389">
        <f t="shared" si="30"/>
        <v>8400</v>
      </c>
      <c r="R389" t="str">
        <f t="shared" si="31"/>
        <v>0</v>
      </c>
    </row>
    <row r="390" spans="1:18">
      <c r="A390">
        <v>3113</v>
      </c>
      <c r="B390">
        <v>84008900</v>
      </c>
      <c r="C390" t="s">
        <v>18063</v>
      </c>
      <c r="D390" t="s">
        <v>18588</v>
      </c>
      <c r="E390">
        <v>2023</v>
      </c>
      <c r="F390" t="s">
        <v>18589</v>
      </c>
      <c r="G390">
        <v>0.01</v>
      </c>
      <c r="H390">
        <v>226.8</v>
      </c>
      <c r="I390">
        <v>226.79</v>
      </c>
      <c r="J390" s="235">
        <v>44963</v>
      </c>
      <c r="K390" s="235">
        <v>44986</v>
      </c>
      <c r="L390">
        <v>720</v>
      </c>
      <c r="O390" s="236">
        <f t="shared" ca="1" si="28"/>
        <v>-45408</v>
      </c>
      <c r="P390">
        <f t="shared" ca="1" si="29"/>
        <v>8400</v>
      </c>
      <c r="Q390">
        <f t="shared" si="30"/>
        <v>8400</v>
      </c>
      <c r="R390" t="str">
        <f t="shared" si="31"/>
        <v>0</v>
      </c>
    </row>
    <row r="391" spans="1:18">
      <c r="A391">
        <v>3113</v>
      </c>
      <c r="B391">
        <v>84008900</v>
      </c>
      <c r="C391" t="s">
        <v>18063</v>
      </c>
      <c r="D391" t="s">
        <v>18590</v>
      </c>
      <c r="E391">
        <v>2023</v>
      </c>
      <c r="F391" t="s">
        <v>18591</v>
      </c>
      <c r="G391">
        <v>0.16</v>
      </c>
      <c r="H391">
        <v>3855.6</v>
      </c>
      <c r="I391">
        <v>3855.44</v>
      </c>
      <c r="J391" s="235">
        <v>45000</v>
      </c>
      <c r="K391" s="235">
        <v>45021</v>
      </c>
      <c r="L391">
        <v>720</v>
      </c>
      <c r="O391" s="236">
        <f t="shared" ca="1" si="28"/>
        <v>-45408</v>
      </c>
      <c r="P391">
        <f t="shared" ca="1" si="29"/>
        <v>8400</v>
      </c>
      <c r="Q391">
        <f t="shared" si="30"/>
        <v>8400</v>
      </c>
      <c r="R391" t="str">
        <f t="shared" si="31"/>
        <v>0</v>
      </c>
    </row>
    <row r="392" spans="1:18">
      <c r="A392">
        <v>3113</v>
      </c>
      <c r="B392">
        <v>84008900</v>
      </c>
      <c r="C392" t="s">
        <v>18063</v>
      </c>
      <c r="D392" t="s">
        <v>18592</v>
      </c>
      <c r="E392">
        <v>2023</v>
      </c>
      <c r="F392" t="s">
        <v>18593</v>
      </c>
      <c r="G392">
        <v>0.05</v>
      </c>
      <c r="H392">
        <v>6136.8</v>
      </c>
      <c r="I392">
        <v>6136.75</v>
      </c>
      <c r="J392" s="235">
        <v>44984</v>
      </c>
      <c r="K392" s="235">
        <v>45031</v>
      </c>
      <c r="L392">
        <v>720</v>
      </c>
      <c r="O392" s="236">
        <f t="shared" ca="1" si="28"/>
        <v>-45408</v>
      </c>
      <c r="P392">
        <f t="shared" ca="1" si="29"/>
        <v>8400</v>
      </c>
      <c r="Q392">
        <f t="shared" si="30"/>
        <v>8400</v>
      </c>
      <c r="R392" t="str">
        <f t="shared" si="31"/>
        <v>0</v>
      </c>
    </row>
    <row r="393" spans="1:18">
      <c r="A393">
        <v>3113</v>
      </c>
      <c r="B393">
        <v>84008900</v>
      </c>
      <c r="C393" t="s">
        <v>18063</v>
      </c>
      <c r="D393" t="s">
        <v>18594</v>
      </c>
      <c r="E393">
        <v>2023</v>
      </c>
      <c r="F393" t="s">
        <v>18595</v>
      </c>
      <c r="G393">
        <v>0.01</v>
      </c>
      <c r="H393">
        <v>3640.8</v>
      </c>
      <c r="I393">
        <v>3640.79</v>
      </c>
      <c r="J393" s="235">
        <v>45019</v>
      </c>
      <c r="K393" s="235">
        <v>45039</v>
      </c>
      <c r="L393">
        <v>720</v>
      </c>
      <c r="O393" s="236">
        <f t="shared" ca="1" si="28"/>
        <v>-45408</v>
      </c>
      <c r="P393">
        <f t="shared" ca="1" si="29"/>
        <v>8400</v>
      </c>
      <c r="Q393">
        <f t="shared" si="30"/>
        <v>8400</v>
      </c>
      <c r="R393" t="str">
        <f t="shared" si="31"/>
        <v>0</v>
      </c>
    </row>
    <row r="394" spans="1:18">
      <c r="A394">
        <v>3113</v>
      </c>
      <c r="B394">
        <v>84008900</v>
      </c>
      <c r="C394" t="s">
        <v>18063</v>
      </c>
      <c r="D394" t="s">
        <v>18596</v>
      </c>
      <c r="E394">
        <v>2023</v>
      </c>
      <c r="F394" t="s">
        <v>18597</v>
      </c>
      <c r="G394">
        <v>0.04</v>
      </c>
      <c r="H394">
        <v>2494.8000000000002</v>
      </c>
      <c r="I394">
        <v>2494.7600000000002</v>
      </c>
      <c r="J394" s="235">
        <v>45052</v>
      </c>
      <c r="K394" s="235">
        <v>45070</v>
      </c>
      <c r="L394">
        <v>720</v>
      </c>
      <c r="O394" s="236">
        <f t="shared" ca="1" si="28"/>
        <v>-45408</v>
      </c>
      <c r="P394">
        <f t="shared" ca="1" si="29"/>
        <v>8400</v>
      </c>
      <c r="Q394">
        <f t="shared" si="30"/>
        <v>8400</v>
      </c>
      <c r="R394" t="str">
        <f t="shared" si="31"/>
        <v>0</v>
      </c>
    </row>
    <row r="395" spans="1:18">
      <c r="A395">
        <v>3113</v>
      </c>
      <c r="B395">
        <v>84008900</v>
      </c>
      <c r="C395" t="s">
        <v>18063</v>
      </c>
      <c r="D395" t="s">
        <v>18598</v>
      </c>
      <c r="E395">
        <v>2023</v>
      </c>
      <c r="F395" t="s">
        <v>18599</v>
      </c>
      <c r="G395">
        <v>0.1</v>
      </c>
      <c r="H395">
        <v>2948.4</v>
      </c>
      <c r="I395">
        <v>2948.3</v>
      </c>
      <c r="J395" s="235">
        <v>45048</v>
      </c>
      <c r="K395" s="235">
        <v>45113</v>
      </c>
      <c r="L395">
        <v>720</v>
      </c>
      <c r="O395" s="236">
        <f t="shared" ca="1" si="28"/>
        <v>-45408</v>
      </c>
      <c r="P395">
        <f t="shared" ca="1" si="29"/>
        <v>8400</v>
      </c>
      <c r="Q395">
        <f t="shared" si="30"/>
        <v>8400</v>
      </c>
      <c r="R395" t="str">
        <f t="shared" si="31"/>
        <v>0</v>
      </c>
    </row>
    <row r="396" spans="1:18">
      <c r="A396">
        <v>3113</v>
      </c>
      <c r="B396">
        <v>84008900</v>
      </c>
      <c r="C396" t="s">
        <v>18063</v>
      </c>
      <c r="D396" t="s">
        <v>18600</v>
      </c>
      <c r="E396">
        <v>2023</v>
      </c>
      <c r="F396" t="s">
        <v>18601</v>
      </c>
      <c r="G396">
        <v>0.14000000000000001</v>
      </c>
      <c r="H396">
        <v>6350.4</v>
      </c>
      <c r="I396">
        <v>6350.26</v>
      </c>
      <c r="J396" s="235">
        <v>45037</v>
      </c>
      <c r="K396" s="235">
        <v>45091</v>
      </c>
      <c r="L396">
        <v>720</v>
      </c>
      <c r="O396" s="236">
        <f t="shared" ca="1" si="28"/>
        <v>-45408</v>
      </c>
      <c r="P396">
        <f t="shared" ca="1" si="29"/>
        <v>8400</v>
      </c>
      <c r="Q396">
        <f t="shared" si="30"/>
        <v>8400</v>
      </c>
      <c r="R396" t="str">
        <f t="shared" si="31"/>
        <v>0</v>
      </c>
    </row>
    <row r="397" spans="1:18">
      <c r="A397">
        <v>3113</v>
      </c>
      <c r="B397">
        <v>84008900</v>
      </c>
      <c r="C397" t="s">
        <v>18063</v>
      </c>
      <c r="D397" t="s">
        <v>18602</v>
      </c>
      <c r="E397">
        <v>2023</v>
      </c>
      <c r="F397" t="s">
        <v>18603</v>
      </c>
      <c r="G397">
        <v>0.04</v>
      </c>
      <c r="H397">
        <v>1814.4</v>
      </c>
      <c r="I397">
        <v>1814.36</v>
      </c>
      <c r="J397" s="235">
        <v>45086</v>
      </c>
      <c r="K397" s="235">
        <v>45103</v>
      </c>
      <c r="L397">
        <v>720</v>
      </c>
      <c r="O397" s="236">
        <f t="shared" ca="1" si="28"/>
        <v>-45408</v>
      </c>
      <c r="P397">
        <f t="shared" ca="1" si="29"/>
        <v>8400</v>
      </c>
      <c r="Q397">
        <f t="shared" si="30"/>
        <v>8400</v>
      </c>
      <c r="R397" t="str">
        <f t="shared" si="31"/>
        <v>0</v>
      </c>
    </row>
    <row r="398" spans="1:18">
      <c r="A398">
        <v>3113</v>
      </c>
      <c r="B398">
        <v>84008900</v>
      </c>
      <c r="C398" t="s">
        <v>18063</v>
      </c>
      <c r="D398" t="s">
        <v>18604</v>
      </c>
      <c r="E398">
        <v>2023</v>
      </c>
      <c r="F398" t="s">
        <v>18605</v>
      </c>
      <c r="G398">
        <v>0.03</v>
      </c>
      <c r="H398">
        <v>907.2</v>
      </c>
      <c r="I398">
        <v>907.17</v>
      </c>
      <c r="J398" s="235">
        <v>45103</v>
      </c>
      <c r="K398" s="235">
        <v>45113</v>
      </c>
      <c r="L398">
        <v>720</v>
      </c>
      <c r="O398" s="236">
        <f t="shared" ca="1" si="28"/>
        <v>-45408</v>
      </c>
      <c r="P398">
        <f t="shared" ca="1" si="29"/>
        <v>8400</v>
      </c>
      <c r="Q398">
        <f t="shared" si="30"/>
        <v>8400</v>
      </c>
      <c r="R398" t="str">
        <f t="shared" si="31"/>
        <v>0</v>
      </c>
    </row>
    <row r="399" spans="1:18">
      <c r="A399">
        <v>3113</v>
      </c>
      <c r="B399">
        <v>84008900</v>
      </c>
      <c r="C399" t="s">
        <v>18063</v>
      </c>
      <c r="D399" t="s">
        <v>18606</v>
      </c>
      <c r="E399">
        <v>2023</v>
      </c>
      <c r="F399" t="s">
        <v>18607</v>
      </c>
      <c r="G399">
        <v>0.05</v>
      </c>
      <c r="H399">
        <v>1360.8</v>
      </c>
      <c r="I399">
        <v>1360.75</v>
      </c>
      <c r="J399" s="235">
        <v>45113</v>
      </c>
      <c r="K399" s="235">
        <v>45140</v>
      </c>
      <c r="L399">
        <v>720</v>
      </c>
      <c r="O399" s="236">
        <f t="shared" ca="1" si="28"/>
        <v>-45408</v>
      </c>
      <c r="P399">
        <f t="shared" ca="1" si="29"/>
        <v>8400</v>
      </c>
      <c r="Q399">
        <f t="shared" si="30"/>
        <v>8400</v>
      </c>
      <c r="R399" t="str">
        <f t="shared" si="31"/>
        <v>0</v>
      </c>
    </row>
    <row r="400" spans="1:18">
      <c r="A400">
        <v>3113</v>
      </c>
      <c r="B400">
        <v>84008900</v>
      </c>
      <c r="C400" t="s">
        <v>18063</v>
      </c>
      <c r="D400" t="s">
        <v>18499</v>
      </c>
      <c r="E400">
        <v>2023</v>
      </c>
      <c r="F400" t="s">
        <v>18500</v>
      </c>
      <c r="G400">
        <v>0.01</v>
      </c>
      <c r="H400">
        <v>907.2</v>
      </c>
      <c r="I400">
        <v>907.19</v>
      </c>
      <c r="J400" s="235">
        <v>45120</v>
      </c>
      <c r="K400" s="235">
        <v>45150</v>
      </c>
      <c r="L400">
        <v>720</v>
      </c>
      <c r="O400" s="236">
        <f t="shared" ca="1" si="28"/>
        <v>-45408</v>
      </c>
      <c r="R400" t="str">
        <f t="shared" si="31"/>
        <v>0</v>
      </c>
    </row>
    <row r="401" spans="1:18">
      <c r="A401">
        <v>3113</v>
      </c>
      <c r="B401">
        <v>84008900</v>
      </c>
      <c r="C401" t="s">
        <v>18063</v>
      </c>
      <c r="D401" t="s">
        <v>18503</v>
      </c>
      <c r="E401">
        <v>2023</v>
      </c>
      <c r="F401" t="s">
        <v>18504</v>
      </c>
      <c r="G401">
        <v>0.03</v>
      </c>
      <c r="H401">
        <v>905.04</v>
      </c>
      <c r="I401">
        <v>905.01</v>
      </c>
      <c r="J401" s="235">
        <v>45190</v>
      </c>
      <c r="K401" s="235">
        <v>45216</v>
      </c>
      <c r="L401">
        <v>720</v>
      </c>
      <c r="O401" s="236">
        <f t="shared" ca="1" si="28"/>
        <v>-45408</v>
      </c>
      <c r="R401" t="str">
        <f t="shared" si="31"/>
        <v>0</v>
      </c>
    </row>
    <row r="402" spans="1:18">
      <c r="A402">
        <v>3113</v>
      </c>
      <c r="B402">
        <v>84008900</v>
      </c>
      <c r="C402" t="s">
        <v>18063</v>
      </c>
      <c r="D402" t="s">
        <v>18505</v>
      </c>
      <c r="E402">
        <v>2023</v>
      </c>
      <c r="F402" t="s">
        <v>18506</v>
      </c>
      <c r="G402">
        <v>0.02</v>
      </c>
      <c r="H402">
        <v>680.4</v>
      </c>
      <c r="I402">
        <v>680.38</v>
      </c>
      <c r="J402" s="235">
        <v>45224</v>
      </c>
      <c r="K402" s="235">
        <v>45225</v>
      </c>
      <c r="L402">
        <v>720</v>
      </c>
      <c r="O402" s="236">
        <f t="shared" ca="1" si="28"/>
        <v>-45408</v>
      </c>
      <c r="R402" t="str">
        <f t="shared" si="31"/>
        <v>0</v>
      </c>
    </row>
    <row r="403" spans="1:18">
      <c r="A403">
        <v>3113</v>
      </c>
      <c r="B403">
        <v>84008900</v>
      </c>
      <c r="C403" t="s">
        <v>18063</v>
      </c>
      <c r="D403" t="s">
        <v>18608</v>
      </c>
      <c r="E403">
        <v>2023</v>
      </c>
      <c r="F403" t="s">
        <v>18609</v>
      </c>
      <c r="G403">
        <v>0.02</v>
      </c>
      <c r="H403">
        <v>3175.2</v>
      </c>
      <c r="I403">
        <v>3175.18</v>
      </c>
      <c r="J403" s="235">
        <v>45225</v>
      </c>
      <c r="K403" s="235">
        <v>45268</v>
      </c>
      <c r="L403">
        <v>720</v>
      </c>
      <c r="O403" s="236">
        <f t="shared" ca="1" si="28"/>
        <v>-45408</v>
      </c>
      <c r="R403" t="str">
        <f t="shared" si="31"/>
        <v>0</v>
      </c>
    </row>
    <row r="404" spans="1:18">
      <c r="A404">
        <v>3113</v>
      </c>
      <c r="B404">
        <v>84008900</v>
      </c>
      <c r="C404" t="s">
        <v>18063</v>
      </c>
      <c r="D404" t="s">
        <v>18610</v>
      </c>
      <c r="E404">
        <v>2023</v>
      </c>
      <c r="F404" t="s">
        <v>18611</v>
      </c>
      <c r="G404">
        <v>0.02</v>
      </c>
      <c r="H404">
        <v>2419.1999999999998</v>
      </c>
      <c r="I404">
        <v>2419.1799999999998</v>
      </c>
      <c r="J404" s="235">
        <v>45224</v>
      </c>
      <c r="K404" s="235">
        <v>45259</v>
      </c>
      <c r="L404">
        <v>720</v>
      </c>
      <c r="O404" s="236">
        <f t="shared" ca="1" si="28"/>
        <v>-45408</v>
      </c>
      <c r="R404" t="str">
        <f t="shared" si="31"/>
        <v>0</v>
      </c>
    </row>
    <row r="405" spans="1:18">
      <c r="A405">
        <v>3113</v>
      </c>
      <c r="B405">
        <v>84008900</v>
      </c>
      <c r="C405" t="s">
        <v>18063</v>
      </c>
      <c r="D405" t="s">
        <v>18612</v>
      </c>
      <c r="E405">
        <v>2023</v>
      </c>
      <c r="F405" t="s">
        <v>18613</v>
      </c>
      <c r="G405">
        <v>-0.01</v>
      </c>
      <c r="H405">
        <v>3402</v>
      </c>
      <c r="I405">
        <v>3402.01</v>
      </c>
      <c r="J405" s="235">
        <v>45264</v>
      </c>
      <c r="K405" s="235">
        <v>45329</v>
      </c>
      <c r="L405">
        <v>720</v>
      </c>
      <c r="O405" s="236">
        <f t="shared" ca="1" si="28"/>
        <v>-45408</v>
      </c>
      <c r="R405" t="str">
        <f t="shared" si="31"/>
        <v>0</v>
      </c>
    </row>
    <row r="406" spans="1:18">
      <c r="A406">
        <v>3113</v>
      </c>
      <c r="B406">
        <v>84008900</v>
      </c>
      <c r="C406" t="s">
        <v>18063</v>
      </c>
      <c r="D406" t="s">
        <v>18614</v>
      </c>
      <c r="E406">
        <v>2023</v>
      </c>
      <c r="F406" t="s">
        <v>18615</v>
      </c>
      <c r="G406">
        <v>0.02</v>
      </c>
      <c r="H406">
        <v>2721.6</v>
      </c>
      <c r="I406">
        <v>2721.58</v>
      </c>
      <c r="J406" s="235">
        <v>45243</v>
      </c>
      <c r="K406" s="235">
        <v>45268</v>
      </c>
      <c r="L406">
        <v>720</v>
      </c>
      <c r="O406" s="236">
        <f t="shared" ca="1" si="28"/>
        <v>-45408</v>
      </c>
      <c r="R406" t="str">
        <f t="shared" si="31"/>
        <v>0</v>
      </c>
    </row>
    <row r="407" spans="1:18">
      <c r="A407">
        <v>3113</v>
      </c>
      <c r="B407">
        <v>84008900</v>
      </c>
      <c r="C407" t="s">
        <v>18063</v>
      </c>
      <c r="D407" t="s">
        <v>18616</v>
      </c>
      <c r="E407">
        <v>2023</v>
      </c>
      <c r="F407" t="s">
        <v>18617</v>
      </c>
      <c r="G407">
        <v>0.03</v>
      </c>
      <c r="H407">
        <v>2268</v>
      </c>
      <c r="I407">
        <v>2267.9699999999998</v>
      </c>
      <c r="J407" s="235">
        <v>45250</v>
      </c>
      <c r="K407" s="235">
        <v>45279</v>
      </c>
      <c r="L407">
        <v>720</v>
      </c>
      <c r="O407" s="236">
        <f t="shared" ca="1" si="28"/>
        <v>-45408</v>
      </c>
      <c r="R407" t="str">
        <f t="shared" si="31"/>
        <v>0</v>
      </c>
    </row>
    <row r="408" spans="1:18">
      <c r="A408">
        <v>3113</v>
      </c>
      <c r="B408">
        <v>84008900</v>
      </c>
      <c r="C408" t="s">
        <v>18063</v>
      </c>
      <c r="D408" t="s">
        <v>18618</v>
      </c>
      <c r="E408">
        <v>2023</v>
      </c>
      <c r="F408" t="s">
        <v>18619</v>
      </c>
      <c r="G408">
        <v>0.04</v>
      </c>
      <c r="H408">
        <v>4989.6000000000004</v>
      </c>
      <c r="I408">
        <v>4989.5600000000004</v>
      </c>
      <c r="J408" s="235">
        <v>45278</v>
      </c>
      <c r="K408" s="235">
        <v>45330</v>
      </c>
      <c r="L408">
        <v>720</v>
      </c>
      <c r="O408" s="236">
        <f t="shared" ca="1" si="28"/>
        <v>-45408</v>
      </c>
      <c r="R408" t="str">
        <f t="shared" si="31"/>
        <v>0</v>
      </c>
    </row>
    <row r="409" spans="1:18">
      <c r="A409">
        <v>3113</v>
      </c>
      <c r="B409">
        <v>84008900</v>
      </c>
      <c r="C409" t="s">
        <v>18063</v>
      </c>
      <c r="D409" t="s">
        <v>18620</v>
      </c>
      <c r="E409">
        <v>2024</v>
      </c>
      <c r="F409" t="s">
        <v>18621</v>
      </c>
      <c r="G409">
        <v>0.01</v>
      </c>
      <c r="H409">
        <v>1134</v>
      </c>
      <c r="I409">
        <v>1133.99</v>
      </c>
      <c r="J409" s="235">
        <v>45306</v>
      </c>
      <c r="K409" s="235">
        <v>45331</v>
      </c>
      <c r="L409">
        <v>720</v>
      </c>
      <c r="O409" s="236">
        <f t="shared" ca="1" si="28"/>
        <v>-45408</v>
      </c>
      <c r="R409" t="str">
        <f t="shared" si="31"/>
        <v>0</v>
      </c>
    </row>
    <row r="410" spans="1:18">
      <c r="A410">
        <v>3113</v>
      </c>
      <c r="B410">
        <v>84008900</v>
      </c>
      <c r="C410" t="s">
        <v>18063</v>
      </c>
      <c r="D410" t="s">
        <v>18509</v>
      </c>
      <c r="E410">
        <v>2024</v>
      </c>
      <c r="F410" t="s">
        <v>18510</v>
      </c>
      <c r="G410">
        <v>0.01</v>
      </c>
      <c r="H410">
        <v>1814.4</v>
      </c>
      <c r="I410">
        <v>1814.39</v>
      </c>
      <c r="J410" s="235">
        <v>45342</v>
      </c>
      <c r="K410" s="235">
        <v>45371</v>
      </c>
      <c r="L410">
        <v>720</v>
      </c>
      <c r="O410" s="236">
        <f t="shared" ca="1" si="28"/>
        <v>-45408</v>
      </c>
      <c r="R410" t="str">
        <f t="shared" si="31"/>
        <v>0</v>
      </c>
    </row>
    <row r="411" spans="1:18">
      <c r="A411">
        <v>3113</v>
      </c>
      <c r="B411">
        <v>84008900</v>
      </c>
      <c r="C411" t="s">
        <v>18063</v>
      </c>
      <c r="D411" t="s">
        <v>18513</v>
      </c>
      <c r="E411">
        <v>2024</v>
      </c>
      <c r="F411" t="s">
        <v>18514</v>
      </c>
      <c r="G411">
        <v>614.05999999999995</v>
      </c>
      <c r="H411">
        <v>3175.2</v>
      </c>
      <c r="I411">
        <v>2561.14</v>
      </c>
      <c r="J411" s="235">
        <v>45370</v>
      </c>
      <c r="K411" s="235">
        <v>45387</v>
      </c>
      <c r="L411">
        <v>720</v>
      </c>
      <c r="O411" s="236">
        <f t="shared" ca="1" si="28"/>
        <v>-45408</v>
      </c>
      <c r="R411" t="str">
        <f t="shared" si="31"/>
        <v>0</v>
      </c>
    </row>
    <row r="412" spans="1:18">
      <c r="A412">
        <v>3113</v>
      </c>
      <c r="B412">
        <v>84008900</v>
      </c>
      <c r="C412" t="s">
        <v>18063</v>
      </c>
      <c r="D412" t="s">
        <v>18735</v>
      </c>
      <c r="E412">
        <v>2024</v>
      </c>
      <c r="F412" t="s">
        <v>18736</v>
      </c>
      <c r="G412">
        <v>453.6</v>
      </c>
      <c r="H412">
        <v>453.6</v>
      </c>
      <c r="I412">
        <v>0</v>
      </c>
      <c r="J412" s="235">
        <v>45384</v>
      </c>
      <c r="K412" s="235">
        <v>45384</v>
      </c>
      <c r="L412">
        <v>720</v>
      </c>
      <c r="O412" s="236">
        <f t="shared" ca="1" si="28"/>
        <v>-45408</v>
      </c>
      <c r="R412" t="str">
        <f t="shared" si="31"/>
        <v>0</v>
      </c>
    </row>
    <row r="413" spans="1:18">
      <c r="A413">
        <v>3113</v>
      </c>
      <c r="B413">
        <v>84008990</v>
      </c>
      <c r="C413" t="s">
        <v>6000</v>
      </c>
      <c r="D413" t="s">
        <v>18622</v>
      </c>
      <c r="E413">
        <v>2023</v>
      </c>
      <c r="F413" t="s">
        <v>18623</v>
      </c>
      <c r="G413">
        <v>-0.01</v>
      </c>
      <c r="H413">
        <v>200.78</v>
      </c>
      <c r="I413">
        <v>200.79</v>
      </c>
      <c r="J413" s="235">
        <v>45029</v>
      </c>
      <c r="K413" s="235">
        <v>45034</v>
      </c>
      <c r="L413">
        <v>720</v>
      </c>
      <c r="O413" s="236">
        <f t="shared" ca="1" si="28"/>
        <v>-45408</v>
      </c>
      <c r="R413" t="str">
        <f t="shared" si="31"/>
        <v>0</v>
      </c>
    </row>
    <row r="414" spans="1:18">
      <c r="A414">
        <v>3113</v>
      </c>
      <c r="B414">
        <v>84009010</v>
      </c>
      <c r="C414" t="s">
        <v>6001</v>
      </c>
      <c r="D414" t="s">
        <v>18624</v>
      </c>
      <c r="E414">
        <v>2023</v>
      </c>
      <c r="F414" t="s">
        <v>18625</v>
      </c>
      <c r="G414">
        <v>0.01</v>
      </c>
      <c r="H414">
        <v>228.55</v>
      </c>
      <c r="I414">
        <v>228.54</v>
      </c>
      <c r="J414" s="235">
        <v>45029</v>
      </c>
      <c r="K414" s="235">
        <v>45033</v>
      </c>
      <c r="L414">
        <v>720</v>
      </c>
      <c r="O414" s="236">
        <f t="shared" ca="1" si="28"/>
        <v>-45408</v>
      </c>
      <c r="R414" t="str">
        <f t="shared" si="31"/>
        <v>0</v>
      </c>
    </row>
    <row r="415" spans="1:18">
      <c r="A415">
        <v>3113</v>
      </c>
      <c r="B415">
        <v>84009100</v>
      </c>
      <c r="C415" t="s">
        <v>14685</v>
      </c>
      <c r="D415" t="s">
        <v>18517</v>
      </c>
      <c r="E415">
        <v>2022</v>
      </c>
      <c r="F415" t="s">
        <v>18518</v>
      </c>
      <c r="G415">
        <v>162</v>
      </c>
      <c r="H415">
        <v>324</v>
      </c>
      <c r="I415">
        <v>162</v>
      </c>
      <c r="J415" s="235">
        <v>44691</v>
      </c>
      <c r="K415" s="235">
        <v>44691</v>
      </c>
      <c r="L415">
        <v>720</v>
      </c>
      <c r="O415" s="236">
        <f t="shared" ca="1" si="28"/>
        <v>-45408</v>
      </c>
      <c r="R415" t="str">
        <f t="shared" si="31"/>
        <v>0</v>
      </c>
    </row>
    <row r="416" spans="1:18">
      <c r="A416">
        <v>3113</v>
      </c>
      <c r="B416">
        <v>84009100</v>
      </c>
      <c r="C416" t="s">
        <v>14685</v>
      </c>
      <c r="D416" t="s">
        <v>18626</v>
      </c>
      <c r="E416">
        <v>2022</v>
      </c>
      <c r="F416" t="s">
        <v>18627</v>
      </c>
      <c r="G416">
        <v>162</v>
      </c>
      <c r="H416">
        <v>324</v>
      </c>
      <c r="I416">
        <v>162</v>
      </c>
      <c r="J416" s="235">
        <v>44690</v>
      </c>
      <c r="K416" s="235">
        <v>44691</v>
      </c>
      <c r="L416">
        <v>720</v>
      </c>
      <c r="O416" s="236">
        <f t="shared" ca="1" si="28"/>
        <v>-45408</v>
      </c>
      <c r="R416" t="str">
        <f t="shared" si="31"/>
        <v>0</v>
      </c>
    </row>
    <row r="417" spans="1:18">
      <c r="A417">
        <v>3113</v>
      </c>
      <c r="B417">
        <v>84009700</v>
      </c>
      <c r="C417" t="s">
        <v>15232</v>
      </c>
      <c r="D417" t="s">
        <v>18527</v>
      </c>
      <c r="E417">
        <v>2023</v>
      </c>
      <c r="F417" t="s">
        <v>18528</v>
      </c>
      <c r="G417">
        <v>0.03</v>
      </c>
      <c r="H417">
        <v>2772</v>
      </c>
      <c r="I417">
        <v>2771.97</v>
      </c>
      <c r="J417" s="235">
        <v>45173</v>
      </c>
      <c r="K417" s="235">
        <v>45176</v>
      </c>
      <c r="L417">
        <v>540</v>
      </c>
      <c r="O417" s="236">
        <f t="shared" ca="1" si="28"/>
        <v>-45408</v>
      </c>
      <c r="R417" t="str">
        <f t="shared" si="31"/>
        <v>0</v>
      </c>
    </row>
    <row r="418" spans="1:18">
      <c r="A418">
        <v>3113</v>
      </c>
      <c r="B418">
        <v>84009700</v>
      </c>
      <c r="C418" t="s">
        <v>15232</v>
      </c>
      <c r="D418" t="s">
        <v>18529</v>
      </c>
      <c r="E418">
        <v>2023</v>
      </c>
      <c r="F418" t="s">
        <v>18530</v>
      </c>
      <c r="G418">
        <v>0.01</v>
      </c>
      <c r="H418">
        <v>138.6</v>
      </c>
      <c r="I418">
        <v>138.59</v>
      </c>
      <c r="J418" s="235">
        <v>45231</v>
      </c>
      <c r="K418" s="235">
        <v>45233</v>
      </c>
      <c r="L418">
        <v>540</v>
      </c>
      <c r="O418" s="236">
        <f t="shared" ca="1" si="28"/>
        <v>-45408</v>
      </c>
      <c r="R418" t="str">
        <f t="shared" si="31"/>
        <v>0</v>
      </c>
    </row>
    <row r="419" spans="1:18">
      <c r="A419">
        <v>3113</v>
      </c>
      <c r="B419">
        <v>84010200</v>
      </c>
      <c r="C419" t="s">
        <v>15237</v>
      </c>
      <c r="D419" t="s">
        <v>18790</v>
      </c>
      <c r="E419">
        <v>2024</v>
      </c>
      <c r="F419" t="s">
        <v>18791</v>
      </c>
      <c r="G419">
        <v>82.55</v>
      </c>
      <c r="H419">
        <v>1096.8</v>
      </c>
      <c r="I419">
        <v>1014.25</v>
      </c>
      <c r="J419" s="235">
        <v>45386</v>
      </c>
      <c r="K419" s="235">
        <v>45391</v>
      </c>
      <c r="L419">
        <v>540</v>
      </c>
      <c r="O419" s="236">
        <f t="shared" ca="1" si="28"/>
        <v>-45408</v>
      </c>
      <c r="R419" t="str">
        <f t="shared" si="31"/>
        <v>0</v>
      </c>
    </row>
    <row r="420" spans="1:18">
      <c r="A420">
        <v>3113</v>
      </c>
      <c r="B420">
        <v>84010200</v>
      </c>
      <c r="C420" t="s">
        <v>15237</v>
      </c>
      <c r="D420" t="s">
        <v>18963</v>
      </c>
      <c r="E420">
        <v>2024</v>
      </c>
      <c r="F420" t="s">
        <v>18964</v>
      </c>
      <c r="G420">
        <v>430</v>
      </c>
      <c r="H420">
        <v>720</v>
      </c>
      <c r="I420">
        <v>290</v>
      </c>
      <c r="J420" s="235">
        <v>45390</v>
      </c>
      <c r="K420" s="235">
        <v>45390</v>
      </c>
      <c r="L420">
        <v>540</v>
      </c>
      <c r="O420" s="236">
        <f t="shared" ca="1" si="28"/>
        <v>-45408</v>
      </c>
      <c r="R420" t="str">
        <f t="shared" si="31"/>
        <v>0</v>
      </c>
    </row>
    <row r="421" spans="1:18">
      <c r="A421">
        <v>3113</v>
      </c>
      <c r="B421">
        <v>84010200</v>
      </c>
      <c r="C421" t="s">
        <v>15237</v>
      </c>
      <c r="D421" t="s">
        <v>18965</v>
      </c>
      <c r="E421">
        <v>2024</v>
      </c>
      <c r="F421" t="s">
        <v>18966</v>
      </c>
      <c r="G421">
        <v>720</v>
      </c>
      <c r="H421">
        <v>720</v>
      </c>
      <c r="I421">
        <v>0</v>
      </c>
      <c r="J421" s="235">
        <v>45390</v>
      </c>
      <c r="K421" s="235">
        <v>45390</v>
      </c>
      <c r="L421">
        <v>540</v>
      </c>
      <c r="O421" s="236">
        <f t="shared" ca="1" si="28"/>
        <v>-45408</v>
      </c>
      <c r="R421" t="str">
        <f t="shared" si="31"/>
        <v>0</v>
      </c>
    </row>
    <row r="422" spans="1:18">
      <c r="A422">
        <v>3113</v>
      </c>
      <c r="B422">
        <v>84010200</v>
      </c>
      <c r="C422" t="s">
        <v>15237</v>
      </c>
      <c r="D422" t="s">
        <v>18967</v>
      </c>
      <c r="E422">
        <v>2024</v>
      </c>
      <c r="F422" t="s">
        <v>18968</v>
      </c>
      <c r="G422">
        <v>105.8</v>
      </c>
      <c r="H422">
        <v>1096.8</v>
      </c>
      <c r="I422">
        <v>991</v>
      </c>
      <c r="J422" s="235">
        <v>45387</v>
      </c>
      <c r="K422" s="235">
        <v>45391</v>
      </c>
      <c r="L422">
        <v>540</v>
      </c>
      <c r="O422" s="236">
        <f t="shared" ca="1" si="28"/>
        <v>-45408</v>
      </c>
      <c r="R422" t="str">
        <f t="shared" si="31"/>
        <v>0</v>
      </c>
    </row>
    <row r="423" spans="1:18">
      <c r="A423">
        <v>3113</v>
      </c>
      <c r="B423">
        <v>84010926</v>
      </c>
      <c r="C423" t="s">
        <v>18068</v>
      </c>
      <c r="D423" t="s">
        <v>18758</v>
      </c>
      <c r="E423">
        <v>2024</v>
      </c>
      <c r="F423" t="s">
        <v>18759</v>
      </c>
      <c r="G423">
        <v>360</v>
      </c>
      <c r="H423">
        <v>360</v>
      </c>
      <c r="I423">
        <v>0</v>
      </c>
      <c r="J423" s="235">
        <v>45390</v>
      </c>
      <c r="K423" s="235">
        <v>45390</v>
      </c>
      <c r="L423">
        <v>540</v>
      </c>
      <c r="O423" s="236">
        <f t="shared" ca="1" si="28"/>
        <v>-45408</v>
      </c>
      <c r="R423" t="str">
        <f t="shared" si="31"/>
        <v>0</v>
      </c>
    </row>
    <row r="424" spans="1:18">
      <c r="A424">
        <v>3113</v>
      </c>
      <c r="B424">
        <v>84090300</v>
      </c>
      <c r="C424" t="s">
        <v>15625</v>
      </c>
      <c r="D424" t="s">
        <v>18628</v>
      </c>
      <c r="E424">
        <v>2023</v>
      </c>
      <c r="F424" t="s">
        <v>18629</v>
      </c>
      <c r="G424">
        <v>0.01</v>
      </c>
      <c r="H424">
        <v>138.6</v>
      </c>
      <c r="I424">
        <v>138.59</v>
      </c>
      <c r="J424" s="235">
        <v>45265</v>
      </c>
      <c r="K424" s="235">
        <v>45265</v>
      </c>
      <c r="L424">
        <v>540</v>
      </c>
      <c r="M424" t="s">
        <v>18547</v>
      </c>
      <c r="N424" t="s">
        <v>18548</v>
      </c>
      <c r="O424" s="236">
        <f t="shared" ca="1" si="28"/>
        <v>55</v>
      </c>
      <c r="R424" t="str">
        <f t="shared" si="31"/>
        <v>2</v>
      </c>
    </row>
    <row r="425" spans="1:18">
      <c r="A425">
        <v>3113</v>
      </c>
      <c r="B425">
        <v>84090310</v>
      </c>
      <c r="C425" t="s">
        <v>18070</v>
      </c>
      <c r="D425" t="s">
        <v>18630</v>
      </c>
      <c r="E425">
        <v>2024</v>
      </c>
      <c r="F425" t="s">
        <v>18631</v>
      </c>
      <c r="G425">
        <v>0.03</v>
      </c>
      <c r="H425">
        <v>415.8</v>
      </c>
      <c r="I425">
        <v>415.77</v>
      </c>
      <c r="J425" s="235">
        <v>45296</v>
      </c>
      <c r="K425" s="235">
        <v>45300</v>
      </c>
      <c r="L425">
        <v>540</v>
      </c>
      <c r="M425" t="s">
        <v>18557</v>
      </c>
      <c r="N425" t="s">
        <v>18558</v>
      </c>
      <c r="O425" s="236">
        <f t="shared" ca="1" si="28"/>
        <v>419</v>
      </c>
      <c r="R425" t="str">
        <f t="shared" si="31"/>
        <v>2</v>
      </c>
    </row>
    <row r="426" spans="1:18">
      <c r="A426">
        <v>3113</v>
      </c>
      <c r="B426">
        <v>84090600</v>
      </c>
      <c r="C426" t="s">
        <v>15627</v>
      </c>
      <c r="D426" t="s">
        <v>18632</v>
      </c>
      <c r="E426">
        <v>2023</v>
      </c>
      <c r="F426" t="s">
        <v>18633</v>
      </c>
      <c r="G426">
        <v>0.04</v>
      </c>
      <c r="H426">
        <v>554.4</v>
      </c>
      <c r="I426">
        <v>554.36</v>
      </c>
      <c r="J426" s="235">
        <v>45208</v>
      </c>
      <c r="K426" s="235">
        <v>45210</v>
      </c>
      <c r="L426">
        <v>540</v>
      </c>
      <c r="M426" t="s">
        <v>18547</v>
      </c>
      <c r="N426" t="s">
        <v>18548</v>
      </c>
      <c r="O426" s="236">
        <f t="shared" ca="1" si="28"/>
        <v>55</v>
      </c>
      <c r="R426" t="str">
        <f t="shared" si="31"/>
        <v>2</v>
      </c>
    </row>
    <row r="427" spans="1:18">
      <c r="A427">
        <v>3113</v>
      </c>
      <c r="B427">
        <v>84090600</v>
      </c>
      <c r="C427" t="s">
        <v>15627</v>
      </c>
      <c r="D427" t="s">
        <v>18634</v>
      </c>
      <c r="E427">
        <v>2023</v>
      </c>
      <c r="F427" t="s">
        <v>18635</v>
      </c>
      <c r="G427">
        <v>0.15</v>
      </c>
      <c r="H427">
        <v>277.2</v>
      </c>
      <c r="I427">
        <v>277.05</v>
      </c>
      <c r="J427" s="235">
        <v>45208</v>
      </c>
      <c r="K427" s="235">
        <v>45208</v>
      </c>
      <c r="L427">
        <v>540</v>
      </c>
      <c r="M427" t="s">
        <v>18547</v>
      </c>
      <c r="N427" t="s">
        <v>18548</v>
      </c>
      <c r="O427" s="236">
        <f t="shared" ca="1" si="28"/>
        <v>55</v>
      </c>
      <c r="R427" t="str">
        <f t="shared" si="31"/>
        <v>2</v>
      </c>
    </row>
    <row r="428" spans="1:18">
      <c r="A428">
        <v>3113</v>
      </c>
      <c r="B428">
        <v>84090600</v>
      </c>
      <c r="C428" t="s">
        <v>15627</v>
      </c>
      <c r="D428" t="s">
        <v>18636</v>
      </c>
      <c r="E428">
        <v>2023</v>
      </c>
      <c r="F428" t="s">
        <v>18637</v>
      </c>
      <c r="G428">
        <v>0.01</v>
      </c>
      <c r="H428">
        <v>277.2</v>
      </c>
      <c r="I428">
        <v>277.19</v>
      </c>
      <c r="J428" s="235">
        <v>45210</v>
      </c>
      <c r="K428" s="235">
        <v>45211</v>
      </c>
      <c r="L428">
        <v>540</v>
      </c>
      <c r="M428" t="s">
        <v>18547</v>
      </c>
      <c r="N428" t="s">
        <v>18548</v>
      </c>
      <c r="O428" s="236">
        <f t="shared" ca="1" si="28"/>
        <v>55</v>
      </c>
      <c r="R428" t="str">
        <f t="shared" si="31"/>
        <v>2</v>
      </c>
    </row>
    <row r="429" spans="1:18">
      <c r="A429">
        <v>3113</v>
      </c>
      <c r="B429">
        <v>84090610</v>
      </c>
      <c r="C429" t="s">
        <v>18071</v>
      </c>
      <c r="D429" t="s">
        <v>18638</v>
      </c>
      <c r="E429">
        <v>2023</v>
      </c>
      <c r="F429" t="s">
        <v>18639</v>
      </c>
      <c r="G429">
        <v>0.01</v>
      </c>
      <c r="H429">
        <v>277.2</v>
      </c>
      <c r="I429">
        <v>277.19</v>
      </c>
      <c r="J429" s="235">
        <v>45258</v>
      </c>
      <c r="K429" s="235">
        <v>45264</v>
      </c>
      <c r="L429">
        <v>540</v>
      </c>
      <c r="M429" t="s">
        <v>18547</v>
      </c>
      <c r="N429" t="s">
        <v>18548</v>
      </c>
      <c r="O429" s="236">
        <f t="shared" ref="O429:O469" ca="1" si="32">N429*1-TODAY()</f>
        <v>55</v>
      </c>
      <c r="R429" t="str">
        <f t="shared" si="31"/>
        <v>2</v>
      </c>
    </row>
    <row r="430" spans="1:18">
      <c r="A430">
        <v>3113</v>
      </c>
      <c r="B430">
        <v>84090610</v>
      </c>
      <c r="C430" t="s">
        <v>18071</v>
      </c>
      <c r="D430" t="s">
        <v>18640</v>
      </c>
      <c r="E430">
        <v>2023</v>
      </c>
      <c r="F430" t="s">
        <v>18641</v>
      </c>
      <c r="G430">
        <v>0.01</v>
      </c>
      <c r="H430">
        <v>138.6</v>
      </c>
      <c r="I430">
        <v>138.59</v>
      </c>
      <c r="J430" s="235">
        <v>45258</v>
      </c>
      <c r="K430" s="235">
        <v>45264</v>
      </c>
      <c r="L430">
        <v>540</v>
      </c>
      <c r="M430" t="s">
        <v>18547</v>
      </c>
      <c r="N430" t="s">
        <v>18548</v>
      </c>
      <c r="O430" s="236">
        <f t="shared" ca="1" si="32"/>
        <v>55</v>
      </c>
      <c r="R430" t="str">
        <f t="shared" si="31"/>
        <v>2</v>
      </c>
    </row>
    <row r="431" spans="1:18">
      <c r="A431">
        <v>3113</v>
      </c>
      <c r="B431">
        <v>84090730</v>
      </c>
      <c r="C431" t="s">
        <v>18072</v>
      </c>
      <c r="D431" t="s">
        <v>18642</v>
      </c>
      <c r="E431">
        <v>2023</v>
      </c>
      <c r="F431" t="s">
        <v>18643</v>
      </c>
      <c r="G431">
        <v>0.01</v>
      </c>
      <c r="H431">
        <v>138.6</v>
      </c>
      <c r="I431">
        <v>138.59</v>
      </c>
      <c r="J431" s="235">
        <v>45258</v>
      </c>
      <c r="K431" s="235">
        <v>45267</v>
      </c>
      <c r="L431">
        <v>540</v>
      </c>
      <c r="M431" t="s">
        <v>18547</v>
      </c>
      <c r="N431" t="s">
        <v>18548</v>
      </c>
      <c r="O431" s="236">
        <f t="shared" ca="1" si="32"/>
        <v>55</v>
      </c>
      <c r="R431" t="str">
        <f t="shared" si="31"/>
        <v>2</v>
      </c>
    </row>
    <row r="432" spans="1:18">
      <c r="A432">
        <v>3113</v>
      </c>
      <c r="B432">
        <v>84090730</v>
      </c>
      <c r="C432" t="s">
        <v>18072</v>
      </c>
      <c r="D432" t="s">
        <v>18644</v>
      </c>
      <c r="E432">
        <v>2023</v>
      </c>
      <c r="F432" t="s">
        <v>18645</v>
      </c>
      <c r="G432">
        <v>0.01</v>
      </c>
      <c r="H432">
        <v>138.6</v>
      </c>
      <c r="I432">
        <v>138.59</v>
      </c>
      <c r="J432" s="235">
        <v>45268</v>
      </c>
      <c r="K432" s="235">
        <v>45269</v>
      </c>
      <c r="L432">
        <v>540</v>
      </c>
      <c r="M432" t="s">
        <v>18547</v>
      </c>
      <c r="N432" t="s">
        <v>18548</v>
      </c>
      <c r="O432" s="236">
        <f t="shared" ca="1" si="32"/>
        <v>55</v>
      </c>
      <c r="R432" t="str">
        <f t="shared" si="31"/>
        <v>2</v>
      </c>
    </row>
    <row r="433" spans="1:18">
      <c r="A433">
        <v>3113</v>
      </c>
      <c r="B433">
        <v>84090730</v>
      </c>
      <c r="C433" t="s">
        <v>18072</v>
      </c>
      <c r="D433" t="s">
        <v>18646</v>
      </c>
      <c r="E433">
        <v>2023</v>
      </c>
      <c r="F433" t="s">
        <v>18647</v>
      </c>
      <c r="G433" s="87">
        <v>0.01</v>
      </c>
      <c r="H433" s="87">
        <v>277.2</v>
      </c>
      <c r="I433" s="87">
        <v>277.19</v>
      </c>
      <c r="J433">
        <v>45265</v>
      </c>
      <c r="K433">
        <v>45269</v>
      </c>
      <c r="L433">
        <v>540</v>
      </c>
      <c r="M433" t="s">
        <v>18547</v>
      </c>
      <c r="N433" t="s">
        <v>18548</v>
      </c>
      <c r="O433" s="236">
        <f t="shared" ca="1" si="32"/>
        <v>55</v>
      </c>
      <c r="R433" t="str">
        <f t="shared" si="31"/>
        <v>2</v>
      </c>
    </row>
    <row r="434" spans="1:18">
      <c r="A434">
        <v>3113</v>
      </c>
      <c r="B434">
        <v>84090730</v>
      </c>
      <c r="C434" t="s">
        <v>18072</v>
      </c>
      <c r="D434" t="s">
        <v>18648</v>
      </c>
      <c r="E434">
        <v>2024</v>
      </c>
      <c r="F434" t="s">
        <v>18649</v>
      </c>
      <c r="G434" s="87">
        <v>0.02</v>
      </c>
      <c r="H434" s="87">
        <v>277.2</v>
      </c>
      <c r="I434" s="87">
        <v>277.18</v>
      </c>
      <c r="J434">
        <v>45294</v>
      </c>
      <c r="K434">
        <v>45294</v>
      </c>
      <c r="L434">
        <v>540</v>
      </c>
      <c r="M434" t="s">
        <v>18557</v>
      </c>
      <c r="N434" t="s">
        <v>18558</v>
      </c>
      <c r="O434" s="236">
        <f t="shared" ca="1" si="32"/>
        <v>419</v>
      </c>
      <c r="R434" t="str">
        <f t="shared" si="31"/>
        <v>2</v>
      </c>
    </row>
    <row r="435" spans="1:18">
      <c r="A435">
        <v>3113</v>
      </c>
      <c r="B435">
        <v>84090730</v>
      </c>
      <c r="C435" t="s">
        <v>18072</v>
      </c>
      <c r="D435" t="s">
        <v>18650</v>
      </c>
      <c r="E435">
        <v>2024</v>
      </c>
      <c r="F435" t="s">
        <v>18651</v>
      </c>
      <c r="G435" s="87">
        <v>0.01</v>
      </c>
      <c r="H435" s="87">
        <v>122.76</v>
      </c>
      <c r="I435" s="87">
        <v>122.75</v>
      </c>
      <c r="J435">
        <v>45294</v>
      </c>
      <c r="K435">
        <v>45294</v>
      </c>
      <c r="L435">
        <v>540</v>
      </c>
      <c r="M435" t="s">
        <v>18557</v>
      </c>
      <c r="N435" t="s">
        <v>18558</v>
      </c>
      <c r="O435" s="236">
        <f t="shared" ca="1" si="32"/>
        <v>419</v>
      </c>
      <c r="R435" t="str">
        <f t="shared" si="31"/>
        <v>2</v>
      </c>
    </row>
    <row r="436" spans="1:18">
      <c r="A436">
        <v>3113</v>
      </c>
      <c r="B436">
        <v>84091060</v>
      </c>
      <c r="C436" t="s">
        <v>18073</v>
      </c>
      <c r="D436" t="s">
        <v>18652</v>
      </c>
      <c r="E436">
        <v>2024</v>
      </c>
      <c r="F436" t="s">
        <v>18653</v>
      </c>
      <c r="G436" s="87">
        <v>0.01</v>
      </c>
      <c r="H436" s="87">
        <v>178.2</v>
      </c>
      <c r="I436" s="87">
        <v>178.19</v>
      </c>
      <c r="J436">
        <v>45308</v>
      </c>
      <c r="K436">
        <v>45314</v>
      </c>
      <c r="L436">
        <v>540</v>
      </c>
      <c r="M436" t="s">
        <v>18557</v>
      </c>
      <c r="N436" t="s">
        <v>18558</v>
      </c>
      <c r="O436" s="236">
        <f t="shared" ca="1" si="32"/>
        <v>419</v>
      </c>
      <c r="R436" t="str">
        <f t="shared" si="31"/>
        <v>2</v>
      </c>
    </row>
    <row r="437" spans="1:18">
      <c r="A437">
        <v>3113</v>
      </c>
      <c r="B437">
        <v>84091070</v>
      </c>
      <c r="C437" t="s">
        <v>18074</v>
      </c>
      <c r="D437" t="s">
        <v>18654</v>
      </c>
      <c r="E437">
        <v>2024</v>
      </c>
      <c r="F437" t="s">
        <v>18655</v>
      </c>
      <c r="G437" s="87">
        <v>0.01</v>
      </c>
      <c r="H437" s="87">
        <v>178.2</v>
      </c>
      <c r="I437" s="87">
        <v>178.19</v>
      </c>
      <c r="J437">
        <v>45341</v>
      </c>
      <c r="K437">
        <v>45344</v>
      </c>
      <c r="L437">
        <v>540</v>
      </c>
      <c r="M437" t="s">
        <v>18557</v>
      </c>
      <c r="N437" t="s">
        <v>18558</v>
      </c>
      <c r="O437" s="236">
        <f t="shared" ca="1" si="32"/>
        <v>419</v>
      </c>
      <c r="R437" t="str">
        <f t="shared" si="31"/>
        <v>2</v>
      </c>
    </row>
    <row r="438" spans="1:18">
      <c r="A438">
        <v>3113</v>
      </c>
      <c r="B438">
        <v>84091070</v>
      </c>
      <c r="C438" t="s">
        <v>18074</v>
      </c>
      <c r="D438" t="s">
        <v>18656</v>
      </c>
      <c r="E438">
        <v>2024</v>
      </c>
      <c r="F438" t="s">
        <v>18657</v>
      </c>
      <c r="G438" s="87">
        <v>0.01</v>
      </c>
      <c r="H438" s="87">
        <v>534.6</v>
      </c>
      <c r="I438" s="87">
        <v>534.59</v>
      </c>
      <c r="J438">
        <v>45357</v>
      </c>
      <c r="K438">
        <v>45363</v>
      </c>
      <c r="L438">
        <v>540</v>
      </c>
      <c r="M438" t="s">
        <v>18557</v>
      </c>
      <c r="N438" t="s">
        <v>18558</v>
      </c>
      <c r="O438" s="236">
        <f t="shared" ca="1" si="32"/>
        <v>419</v>
      </c>
      <c r="R438" t="str">
        <f t="shared" si="31"/>
        <v>2</v>
      </c>
    </row>
    <row r="439" spans="1:18">
      <c r="A439">
        <v>3113</v>
      </c>
      <c r="B439">
        <v>84091070</v>
      </c>
      <c r="C439" t="s">
        <v>18074</v>
      </c>
      <c r="D439" t="s">
        <v>18658</v>
      </c>
      <c r="E439">
        <v>2024</v>
      </c>
      <c r="F439" t="s">
        <v>18659</v>
      </c>
      <c r="G439" s="87">
        <v>0.03</v>
      </c>
      <c r="H439" s="87">
        <v>534.6</v>
      </c>
      <c r="I439" s="87">
        <v>534.57000000000005</v>
      </c>
      <c r="J439">
        <v>45366</v>
      </c>
      <c r="K439">
        <v>45370</v>
      </c>
      <c r="L439">
        <v>540</v>
      </c>
      <c r="M439" t="s">
        <v>18557</v>
      </c>
      <c r="N439" t="s">
        <v>18558</v>
      </c>
      <c r="O439" s="236">
        <f t="shared" ca="1" si="32"/>
        <v>419</v>
      </c>
      <c r="R439" t="str">
        <f t="shared" si="31"/>
        <v>2</v>
      </c>
    </row>
    <row r="440" spans="1:18">
      <c r="A440">
        <v>3113</v>
      </c>
      <c r="B440">
        <v>84091070</v>
      </c>
      <c r="C440" t="s">
        <v>18074</v>
      </c>
      <c r="D440" t="s">
        <v>18737</v>
      </c>
      <c r="E440">
        <v>2024</v>
      </c>
      <c r="F440" t="s">
        <v>18738</v>
      </c>
      <c r="G440" s="87">
        <v>0.01</v>
      </c>
      <c r="H440" s="87">
        <v>178.2</v>
      </c>
      <c r="I440" s="87">
        <v>178.19</v>
      </c>
      <c r="J440">
        <v>45384</v>
      </c>
      <c r="K440">
        <v>45388</v>
      </c>
      <c r="L440">
        <v>540</v>
      </c>
      <c r="M440" t="s">
        <v>18557</v>
      </c>
      <c r="N440" t="s">
        <v>18558</v>
      </c>
      <c r="O440" s="236">
        <f t="shared" ca="1" si="32"/>
        <v>419</v>
      </c>
      <c r="R440" t="str">
        <f t="shared" si="31"/>
        <v>2</v>
      </c>
    </row>
    <row r="441" spans="1:18">
      <c r="A441">
        <v>3113</v>
      </c>
      <c r="B441">
        <v>84091070</v>
      </c>
      <c r="C441" t="s">
        <v>18074</v>
      </c>
      <c r="D441" t="s">
        <v>18739</v>
      </c>
      <c r="E441">
        <v>2024</v>
      </c>
      <c r="F441" t="s">
        <v>18740</v>
      </c>
      <c r="G441" s="87">
        <v>0.01</v>
      </c>
      <c r="H441" s="87">
        <v>356.4</v>
      </c>
      <c r="I441" s="87">
        <v>356.39</v>
      </c>
      <c r="J441">
        <v>45384</v>
      </c>
      <c r="K441">
        <v>45388</v>
      </c>
      <c r="L441">
        <v>540</v>
      </c>
      <c r="M441" t="s">
        <v>18557</v>
      </c>
      <c r="N441" t="s">
        <v>18558</v>
      </c>
      <c r="O441" s="236">
        <f t="shared" ca="1" si="32"/>
        <v>419</v>
      </c>
      <c r="R441" t="str">
        <f t="shared" si="31"/>
        <v>2</v>
      </c>
    </row>
    <row r="442" spans="1:18">
      <c r="A442">
        <v>3113</v>
      </c>
      <c r="B442">
        <v>84091070</v>
      </c>
      <c r="C442" t="s">
        <v>18074</v>
      </c>
      <c r="D442" t="s">
        <v>18741</v>
      </c>
      <c r="E442">
        <v>2024</v>
      </c>
      <c r="F442" t="s">
        <v>18742</v>
      </c>
      <c r="G442" s="87">
        <v>201.3</v>
      </c>
      <c r="H442" s="87">
        <v>356.4</v>
      </c>
      <c r="I442" s="87">
        <v>155.1</v>
      </c>
      <c r="J442">
        <v>45384</v>
      </c>
      <c r="K442">
        <v>45388</v>
      </c>
      <c r="L442">
        <v>540</v>
      </c>
      <c r="M442" t="s">
        <v>18557</v>
      </c>
      <c r="N442" t="s">
        <v>18558</v>
      </c>
      <c r="O442" s="236">
        <f t="shared" ca="1" si="32"/>
        <v>419</v>
      </c>
      <c r="R442" t="str">
        <f t="shared" si="31"/>
        <v>2</v>
      </c>
    </row>
    <row r="443" spans="1:18">
      <c r="A443">
        <v>3113</v>
      </c>
      <c r="B443">
        <v>84091070</v>
      </c>
      <c r="C443" t="s">
        <v>18074</v>
      </c>
      <c r="D443" t="s">
        <v>18743</v>
      </c>
      <c r="E443">
        <v>2024</v>
      </c>
      <c r="F443" t="s">
        <v>18744</v>
      </c>
      <c r="G443" s="87">
        <v>178.2</v>
      </c>
      <c r="H443" s="87">
        <v>178.2</v>
      </c>
      <c r="I443" s="87">
        <v>0</v>
      </c>
      <c r="J443">
        <v>45384</v>
      </c>
      <c r="K443">
        <v>45384</v>
      </c>
      <c r="L443">
        <v>540</v>
      </c>
      <c r="M443" t="s">
        <v>18557</v>
      </c>
      <c r="N443" t="s">
        <v>18558</v>
      </c>
      <c r="O443" s="236">
        <f t="shared" ca="1" si="32"/>
        <v>419</v>
      </c>
      <c r="R443" t="str">
        <f t="shared" si="31"/>
        <v>2</v>
      </c>
    </row>
    <row r="444" spans="1:18">
      <c r="O444" s="236">
        <f t="shared" ca="1" si="32"/>
        <v>-45408</v>
      </c>
      <c r="R444" t="str">
        <f t="shared" si="31"/>
        <v/>
      </c>
    </row>
    <row r="445" spans="1:18">
      <c r="O445" s="236">
        <f t="shared" ca="1" si="32"/>
        <v>-45408</v>
      </c>
      <c r="R445" t="str">
        <f t="shared" si="31"/>
        <v/>
      </c>
    </row>
    <row r="446" spans="1:18">
      <c r="O446" s="236">
        <f t="shared" ca="1" si="32"/>
        <v>-45408</v>
      </c>
      <c r="R446" t="str">
        <f t="shared" si="31"/>
        <v/>
      </c>
    </row>
    <row r="447" spans="1:18">
      <c r="O447" s="236">
        <f t="shared" ca="1" si="32"/>
        <v>-45408</v>
      </c>
      <c r="R447" t="str">
        <f t="shared" si="31"/>
        <v/>
      </c>
    </row>
    <row r="448" spans="1:18">
      <c r="O448" s="236">
        <f t="shared" ca="1" si="32"/>
        <v>-45408</v>
      </c>
      <c r="R448" t="str">
        <f t="shared" si="31"/>
        <v/>
      </c>
    </row>
    <row r="449" spans="15:18">
      <c r="O449" s="236">
        <f t="shared" ca="1" si="32"/>
        <v>-45408</v>
      </c>
      <c r="R449" t="str">
        <f t="shared" si="31"/>
        <v/>
      </c>
    </row>
    <row r="450" spans="15:18">
      <c r="O450" s="236">
        <f t="shared" ca="1" si="32"/>
        <v>-45408</v>
      </c>
      <c r="R450" t="str">
        <f t="shared" si="31"/>
        <v/>
      </c>
    </row>
    <row r="451" spans="15:18">
      <c r="O451" s="236">
        <f t="shared" ca="1" si="32"/>
        <v>-45408</v>
      </c>
      <c r="R451" t="str">
        <f t="shared" ref="R451:R469" si="33">MID(D451,4,1)</f>
        <v/>
      </c>
    </row>
    <row r="452" spans="15:18">
      <c r="O452" s="236">
        <f t="shared" ca="1" si="32"/>
        <v>-45408</v>
      </c>
      <c r="R452" t="str">
        <f t="shared" si="33"/>
        <v/>
      </c>
    </row>
    <row r="453" spans="15:18">
      <c r="O453" s="236">
        <f t="shared" ca="1" si="32"/>
        <v>-45408</v>
      </c>
      <c r="R453" t="str">
        <f t="shared" si="33"/>
        <v/>
      </c>
    </row>
    <row r="454" spans="15:18">
      <c r="O454" s="236">
        <f t="shared" ca="1" si="32"/>
        <v>-45408</v>
      </c>
      <c r="R454" t="str">
        <f t="shared" si="33"/>
        <v/>
      </c>
    </row>
    <row r="455" spans="15:18">
      <c r="O455" s="236">
        <f t="shared" ca="1" si="32"/>
        <v>-45408</v>
      </c>
      <c r="R455" t="str">
        <f t="shared" si="33"/>
        <v/>
      </c>
    </row>
    <row r="456" spans="15:18">
      <c r="O456" s="236">
        <f t="shared" ca="1" si="32"/>
        <v>-45408</v>
      </c>
      <c r="R456" t="str">
        <f t="shared" si="33"/>
        <v/>
      </c>
    </row>
    <row r="457" spans="15:18">
      <c r="O457" s="236">
        <f t="shared" ca="1" si="32"/>
        <v>-45408</v>
      </c>
      <c r="R457" t="str">
        <f t="shared" si="33"/>
        <v/>
      </c>
    </row>
    <row r="458" spans="15:18">
      <c r="O458" s="236">
        <f t="shared" ca="1" si="32"/>
        <v>-45408</v>
      </c>
      <c r="R458" t="str">
        <f t="shared" si="33"/>
        <v/>
      </c>
    </row>
    <row r="459" spans="15:18">
      <c r="O459" s="236">
        <f t="shared" ca="1" si="32"/>
        <v>-45408</v>
      </c>
      <c r="R459" t="str">
        <f t="shared" si="33"/>
        <v/>
      </c>
    </row>
    <row r="460" spans="15:18">
      <c r="O460" s="236">
        <f t="shared" ca="1" si="32"/>
        <v>-45408</v>
      </c>
      <c r="R460" t="str">
        <f t="shared" si="33"/>
        <v/>
      </c>
    </row>
    <row r="461" spans="15:18">
      <c r="O461" s="236">
        <f t="shared" ca="1" si="32"/>
        <v>-45408</v>
      </c>
      <c r="R461" t="str">
        <f t="shared" si="33"/>
        <v/>
      </c>
    </row>
    <row r="462" spans="15:18">
      <c r="O462" s="236">
        <f t="shared" ca="1" si="32"/>
        <v>-45408</v>
      </c>
      <c r="R462" t="str">
        <f t="shared" si="33"/>
        <v/>
      </c>
    </row>
    <row r="463" spans="15:18">
      <c r="O463" s="236">
        <f t="shared" ca="1" si="32"/>
        <v>-45408</v>
      </c>
      <c r="R463" t="str">
        <f t="shared" si="33"/>
        <v/>
      </c>
    </row>
    <row r="464" spans="15:18">
      <c r="O464" s="236">
        <f t="shared" ca="1" si="32"/>
        <v>-45408</v>
      </c>
      <c r="R464" t="str">
        <f t="shared" si="33"/>
        <v/>
      </c>
    </row>
    <row r="465" spans="15:18">
      <c r="O465" s="236">
        <f t="shared" ca="1" si="32"/>
        <v>-45408</v>
      </c>
      <c r="R465" t="str">
        <f t="shared" si="33"/>
        <v/>
      </c>
    </row>
    <row r="466" spans="15:18">
      <c r="O466" s="236">
        <f t="shared" ca="1" si="32"/>
        <v>-45408</v>
      </c>
      <c r="R466" t="str">
        <f t="shared" si="33"/>
        <v/>
      </c>
    </row>
    <row r="467" spans="15:18">
      <c r="O467" s="236">
        <f t="shared" ca="1" si="32"/>
        <v>-45408</v>
      </c>
      <c r="R467" t="str">
        <f t="shared" si="33"/>
        <v/>
      </c>
    </row>
    <row r="468" spans="15:18">
      <c r="O468" s="236">
        <f t="shared" ca="1" si="32"/>
        <v>-45408</v>
      </c>
      <c r="R468" t="str">
        <f t="shared" si="33"/>
        <v/>
      </c>
    </row>
    <row r="469" spans="15:18">
      <c r="O469" s="236">
        <f t="shared" ca="1" si="32"/>
        <v>-45408</v>
      </c>
      <c r="R469" t="str">
        <f t="shared" si="33"/>
        <v/>
      </c>
    </row>
  </sheetData>
  <autoFilter ref="A1:R469" xr:uid="{42FB7429-9C4E-495A-BED7-EC5ACD2C5112}"/>
  <conditionalFormatting sqref="O2:O469">
    <cfRule type="cellIs" dxfId="7" priority="10" operator="lessThan">
      <formula>3</formula>
    </cfRule>
  </conditionalFormatting>
  <conditionalFormatting sqref="A155:N158">
    <cfRule type="expression" dxfId="6" priority="9">
      <formula>$O155&lt;3</formula>
    </cfRule>
  </conditionalFormatting>
  <conditionalFormatting sqref="A159:N280">
    <cfRule type="expression" dxfId="5" priority="8">
      <formula>$O159&lt;3</formula>
    </cfRule>
  </conditionalFormatting>
  <conditionalFormatting sqref="J447">
    <cfRule type="expression" dxfId="4" priority="6">
      <formula>AM447&gt;0</formula>
    </cfRule>
  </conditionalFormatting>
  <conditionalFormatting sqref="C450">
    <cfRule type="expression" dxfId="3" priority="4">
      <formula>AF450&gt;0</formula>
    </cfRule>
  </conditionalFormatting>
  <conditionalFormatting sqref="A2:N3 A35:N44 A34 C34:N34 A5:N33 A4 C4:N4">
    <cfRule type="expression" dxfId="2" priority="3">
      <formula>$O2&lt;3</formula>
    </cfRule>
  </conditionalFormatting>
  <conditionalFormatting sqref="B34">
    <cfRule type="expression" dxfId="1" priority="2">
      <formula>AE34&gt;0</formula>
    </cfRule>
  </conditionalFormatting>
  <conditionalFormatting sqref="B4">
    <cfRule type="expression" dxfId="0" priority="1">
      <formula>AE4&gt;0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AB7FC-97E9-43DC-88E9-7B6F5FC13223}">
  <sheetPr codeName="Arkusz15">
    <pageSetUpPr fitToPage="1"/>
  </sheetPr>
  <dimension ref="A1:AB44"/>
  <sheetViews>
    <sheetView topLeftCell="E1" zoomScale="90" zoomScaleNormal="90" workbookViewId="0">
      <selection activeCell="K2" sqref="K2"/>
    </sheetView>
  </sheetViews>
  <sheetFormatPr defaultRowHeight="15"/>
  <cols>
    <col min="1" max="1" width="36.42578125" customWidth="1"/>
    <col min="2" max="3" width="19.42578125" customWidth="1"/>
    <col min="14" max="14" width="28.5703125" customWidth="1"/>
    <col min="16" max="16" width="13.5703125" customWidth="1"/>
  </cols>
  <sheetData>
    <row r="1" spans="1:28" ht="12.6" customHeight="1"/>
    <row r="5" spans="1:28" ht="15.75" thickBot="1"/>
    <row r="6" spans="1:28" ht="15.75" thickBot="1">
      <c r="N6" s="1126" t="s">
        <v>18660</v>
      </c>
      <c r="O6" s="1140"/>
      <c r="P6" s="897"/>
      <c r="Q6" s="897"/>
      <c r="R6" s="1141" t="s">
        <v>18661</v>
      </c>
      <c r="S6" s="1142"/>
      <c r="T6" s="1142"/>
      <c r="U6" s="1142"/>
      <c r="V6" s="1142"/>
      <c r="W6" s="1142"/>
      <c r="X6" s="1142"/>
      <c r="Y6" s="1142"/>
      <c r="Z6" s="1142"/>
      <c r="AA6" s="1142"/>
      <c r="AB6" s="1143"/>
    </row>
    <row r="7" spans="1:28" ht="15.75" thickBot="1">
      <c r="N7" s="1144" t="s">
        <v>330</v>
      </c>
      <c r="O7" s="1145"/>
      <c r="P7" s="1148" t="s">
        <v>18662</v>
      </c>
      <c r="Q7" s="1150" t="s">
        <v>331</v>
      </c>
      <c r="R7" s="1152" t="s">
        <v>18663</v>
      </c>
      <c r="S7" s="1153"/>
      <c r="T7" s="1154" t="s">
        <v>18664</v>
      </c>
      <c r="U7" s="1155"/>
      <c r="V7" s="1154" t="s">
        <v>18665</v>
      </c>
      <c r="W7" s="1156"/>
      <c r="X7" s="1152" t="s">
        <v>18666</v>
      </c>
      <c r="Y7" s="1157"/>
      <c r="Z7" s="821" t="s">
        <v>18667</v>
      </c>
      <c r="AA7" s="1152" t="s">
        <v>18668</v>
      </c>
      <c r="AB7" s="1157"/>
    </row>
    <row r="8" spans="1:28" ht="15.75" thickBot="1">
      <c r="N8" s="1146"/>
      <c r="O8" s="1147"/>
      <c r="P8" s="1149"/>
      <c r="Q8" s="1151"/>
      <c r="R8" s="1158">
        <v>45383</v>
      </c>
      <c r="S8" s="1159"/>
      <c r="T8" s="1160">
        <v>45384</v>
      </c>
      <c r="U8" s="1161"/>
      <c r="V8" s="1160">
        <v>45385</v>
      </c>
      <c r="W8" s="1162"/>
      <c r="X8" s="1158">
        <v>45386</v>
      </c>
      <c r="Y8" s="1163"/>
      <c r="Z8" s="898">
        <v>45387</v>
      </c>
      <c r="AA8" s="1158">
        <v>45387</v>
      </c>
      <c r="AB8" s="1163"/>
    </row>
    <row r="9" spans="1:28" ht="15.75" thickBot="1">
      <c r="A9" s="930" t="s">
        <v>18685</v>
      </c>
      <c r="B9" s="683"/>
      <c r="C9" s="683"/>
      <c r="D9" s="683"/>
      <c r="N9" s="1132"/>
      <c r="O9" s="1133"/>
      <c r="P9" s="1134"/>
      <c r="Q9" s="1136" t="s">
        <v>331</v>
      </c>
      <c r="R9" s="899" t="s">
        <v>18663</v>
      </c>
      <c r="S9" s="899" t="s">
        <v>18664</v>
      </c>
      <c r="T9" s="899" t="s">
        <v>18664</v>
      </c>
      <c r="U9" s="899" t="s">
        <v>18665</v>
      </c>
      <c r="V9" s="899" t="s">
        <v>18665</v>
      </c>
      <c r="W9" s="899" t="s">
        <v>18666</v>
      </c>
      <c r="X9" s="899" t="s">
        <v>18666</v>
      </c>
      <c r="Y9" s="899" t="s">
        <v>18667</v>
      </c>
      <c r="Z9" s="899" t="s">
        <v>18667</v>
      </c>
      <c r="AA9" s="899" t="s">
        <v>18668</v>
      </c>
      <c r="AB9" s="899" t="s">
        <v>18669</v>
      </c>
    </row>
    <row r="10" spans="1:28" ht="15.75" thickBot="1">
      <c r="A10" s="931" t="s">
        <v>18686</v>
      </c>
      <c r="B10" s="833">
        <v>28180502</v>
      </c>
      <c r="C10" s="833">
        <v>3032384</v>
      </c>
      <c r="D10" s="932">
        <v>6000</v>
      </c>
      <c r="N10" s="1138" t="s">
        <v>18670</v>
      </c>
      <c r="O10" s="1139"/>
      <c r="P10" s="1135"/>
      <c r="Q10" s="1137"/>
      <c r="R10" s="900">
        <v>45383</v>
      </c>
      <c r="S10" s="900">
        <v>45384</v>
      </c>
      <c r="T10" s="900">
        <v>45384</v>
      </c>
      <c r="U10" s="900">
        <v>45385</v>
      </c>
      <c r="V10" s="900">
        <v>45385</v>
      </c>
      <c r="W10" s="900">
        <v>45386</v>
      </c>
      <c r="X10" s="900">
        <v>45386</v>
      </c>
      <c r="Y10" s="900">
        <v>45387</v>
      </c>
      <c r="Z10" s="900">
        <v>45387</v>
      </c>
      <c r="AA10" s="900">
        <v>45388</v>
      </c>
      <c r="AB10" s="900">
        <v>45390</v>
      </c>
    </row>
    <row r="11" spans="1:28" ht="15.75" thickBot="1">
      <c r="A11" s="933" t="s">
        <v>18687</v>
      </c>
      <c r="B11" s="934">
        <v>29410502</v>
      </c>
      <c r="C11" s="934">
        <v>3046570</v>
      </c>
      <c r="D11" s="935">
        <v>5000</v>
      </c>
      <c r="N11" s="901" t="s">
        <v>15962</v>
      </c>
      <c r="O11" s="902"/>
      <c r="P11" s="903"/>
      <c r="Q11" s="904">
        <v>3045584</v>
      </c>
      <c r="R11" s="905"/>
      <c r="S11" s="905"/>
      <c r="T11" s="906"/>
      <c r="U11" s="906">
        <v>20</v>
      </c>
      <c r="V11" s="906"/>
      <c r="W11" s="906">
        <v>20</v>
      </c>
      <c r="X11" s="906"/>
      <c r="Y11" s="906">
        <v>20</v>
      </c>
      <c r="Z11" s="906"/>
      <c r="AA11" s="905"/>
      <c r="AB11" s="905"/>
    </row>
    <row r="12" spans="1:28" ht="15.75" thickBot="1">
      <c r="A12" s="933" t="s">
        <v>18688</v>
      </c>
      <c r="B12" s="934">
        <v>30140172</v>
      </c>
      <c r="C12" s="934">
        <v>3043335</v>
      </c>
      <c r="D12" s="935">
        <v>9000</v>
      </c>
      <c r="N12" s="1126" t="s">
        <v>18671</v>
      </c>
      <c r="O12" s="1127"/>
      <c r="P12" s="1127"/>
      <c r="Q12" s="1127"/>
      <c r="R12" s="1127"/>
      <c r="S12" s="1127"/>
      <c r="T12" s="1127"/>
      <c r="U12" s="1127"/>
      <c r="V12" s="1127"/>
      <c r="W12" s="1127"/>
      <c r="X12" s="1127"/>
      <c r="Y12" s="1127"/>
      <c r="Z12" s="1127"/>
      <c r="AA12" s="1127"/>
      <c r="AB12" s="1128"/>
    </row>
    <row r="13" spans="1:28" ht="45.75" thickBot="1">
      <c r="A13" s="683"/>
      <c r="B13" s="683"/>
      <c r="C13" s="936" t="s">
        <v>18689</v>
      </c>
      <c r="D13" s="832">
        <v>20000</v>
      </c>
      <c r="N13" s="907"/>
      <c r="O13" s="908" t="s">
        <v>18672</v>
      </c>
      <c r="P13" s="908" t="s">
        <v>18673</v>
      </c>
      <c r="Q13" s="909" t="s">
        <v>331</v>
      </c>
      <c r="R13" s="1129">
        <v>45383</v>
      </c>
      <c r="S13" s="1130"/>
      <c r="T13" s="1131">
        <v>45384</v>
      </c>
      <c r="U13" s="1130"/>
      <c r="V13" s="1131">
        <v>45385</v>
      </c>
      <c r="W13" s="1130"/>
      <c r="X13" s="1131">
        <v>45386</v>
      </c>
      <c r="Y13" s="1130"/>
      <c r="Z13" s="1131">
        <v>45387</v>
      </c>
      <c r="AA13" s="1130"/>
      <c r="AB13" s="910">
        <v>45388</v>
      </c>
    </row>
    <row r="14" spans="1:28" ht="15.75" thickBot="1">
      <c r="N14" s="911" t="s">
        <v>18674</v>
      </c>
      <c r="O14" s="903" t="s">
        <v>18675</v>
      </c>
      <c r="P14" s="904">
        <v>1301083</v>
      </c>
      <c r="Q14" s="904">
        <v>3014769</v>
      </c>
      <c r="R14" s="912"/>
      <c r="S14" s="913"/>
      <c r="T14" s="914"/>
      <c r="U14" s="684">
        <v>20</v>
      </c>
      <c r="V14" s="912"/>
      <c r="W14" s="915"/>
      <c r="X14" s="912"/>
      <c r="Y14" s="916">
        <v>20</v>
      </c>
      <c r="Z14" s="917"/>
      <c r="AA14" s="915"/>
      <c r="AB14" s="915"/>
    </row>
    <row r="15" spans="1:28" ht="15.75" thickBot="1">
      <c r="N15" s="911" t="s">
        <v>18674</v>
      </c>
      <c r="O15" s="903" t="s">
        <v>18676</v>
      </c>
      <c r="P15" s="904">
        <v>1103642</v>
      </c>
      <c r="Q15" s="904">
        <v>3014769</v>
      </c>
      <c r="R15" s="912"/>
      <c r="S15" s="913"/>
      <c r="T15" s="914"/>
      <c r="U15" s="906"/>
      <c r="V15" s="912"/>
      <c r="W15" s="915"/>
      <c r="X15" s="912"/>
      <c r="Y15" s="915"/>
      <c r="Z15" s="917"/>
      <c r="AA15" s="916">
        <v>10</v>
      </c>
      <c r="AB15" s="915"/>
    </row>
    <row r="16" spans="1:28" ht="15.75" thickBot="1">
      <c r="A16" s="930" t="s">
        <v>18690</v>
      </c>
      <c r="B16" s="683"/>
      <c r="C16" s="683"/>
      <c r="D16" s="683"/>
      <c r="N16" s="918" t="s">
        <v>18677</v>
      </c>
      <c r="O16" s="919" t="s">
        <v>18678</v>
      </c>
      <c r="P16" s="920">
        <v>1114243</v>
      </c>
      <c r="Q16" s="920">
        <v>3043635</v>
      </c>
      <c r="R16" s="912"/>
      <c r="S16" s="913"/>
      <c r="T16" s="914"/>
      <c r="U16" s="913"/>
      <c r="V16" s="912"/>
      <c r="W16" s="921">
        <v>20</v>
      </c>
      <c r="X16" s="912"/>
      <c r="Y16" s="922">
        <v>20</v>
      </c>
      <c r="Z16" s="917"/>
      <c r="AA16" s="915"/>
      <c r="AB16" s="915"/>
    </row>
    <row r="17" spans="1:28" ht="15.75" thickBot="1">
      <c r="A17" s="931" t="s">
        <v>18691</v>
      </c>
      <c r="B17" s="833">
        <v>3039317</v>
      </c>
      <c r="C17" s="833">
        <v>21974502</v>
      </c>
      <c r="D17" s="932">
        <v>10000</v>
      </c>
      <c r="N17" s="918" t="s">
        <v>18679</v>
      </c>
      <c r="O17" s="919" t="s">
        <v>18680</v>
      </c>
      <c r="P17" s="920">
        <v>1300084</v>
      </c>
      <c r="Q17" s="920">
        <v>3022849</v>
      </c>
      <c r="R17" s="912"/>
      <c r="S17" s="913"/>
      <c r="T17" s="914"/>
      <c r="U17" s="913"/>
      <c r="V17" s="912"/>
      <c r="W17" s="923"/>
      <c r="X17" s="912"/>
      <c r="Y17" s="922">
        <v>20</v>
      </c>
      <c r="Z17" s="917"/>
      <c r="AA17" s="915"/>
      <c r="AB17" s="915"/>
    </row>
    <row r="18" spans="1:28" ht="15.75" thickBot="1">
      <c r="A18" s="936" t="s">
        <v>18692</v>
      </c>
      <c r="B18" s="883">
        <v>3007923</v>
      </c>
      <c r="C18" s="883">
        <v>22140502</v>
      </c>
      <c r="D18" s="832">
        <v>1451</v>
      </c>
      <c r="N18" s="924" t="s">
        <v>18681</v>
      </c>
      <c r="O18" s="925" t="s">
        <v>18682</v>
      </c>
      <c r="P18" s="926">
        <v>1120465</v>
      </c>
      <c r="Q18" s="927">
        <v>3022849</v>
      </c>
      <c r="R18" s="912"/>
      <c r="S18" s="913"/>
      <c r="T18" s="914"/>
      <c r="U18" s="913"/>
      <c r="V18" s="912"/>
      <c r="W18" s="922">
        <v>20</v>
      </c>
      <c r="X18" s="912"/>
      <c r="Y18" s="923"/>
      <c r="Z18" s="917"/>
      <c r="AA18" s="915"/>
      <c r="AB18" s="915"/>
    </row>
    <row r="19" spans="1:28" ht="15.75" thickBot="1">
      <c r="A19" s="936" t="s">
        <v>11168</v>
      </c>
      <c r="B19" s="883">
        <v>3039340</v>
      </c>
      <c r="C19" s="883">
        <v>22144502</v>
      </c>
      <c r="D19" s="883">
        <v>753</v>
      </c>
      <c r="N19" s="928" t="s">
        <v>18683</v>
      </c>
      <c r="O19" s="919" t="s">
        <v>18684</v>
      </c>
      <c r="P19" s="929">
        <v>1101778</v>
      </c>
      <c r="Q19" s="920">
        <v>3039573</v>
      </c>
      <c r="R19" s="912"/>
      <c r="S19" s="913"/>
      <c r="T19" s="914"/>
      <c r="U19" s="913"/>
      <c r="V19" s="912"/>
      <c r="W19" s="923"/>
      <c r="X19" s="912"/>
      <c r="Y19" s="923"/>
      <c r="Z19" s="917"/>
      <c r="AA19" s="921">
        <v>20</v>
      </c>
      <c r="AB19" s="915"/>
    </row>
    <row r="20" spans="1:28" ht="15.75" thickBot="1">
      <c r="A20" s="936" t="s">
        <v>11168</v>
      </c>
      <c r="B20" s="883">
        <v>3039340</v>
      </c>
      <c r="C20" s="883">
        <v>22144502</v>
      </c>
      <c r="D20" s="883">
        <v>850.5</v>
      </c>
    </row>
    <row r="21" spans="1:28" ht="15.75" thickBot="1">
      <c r="A21" s="936" t="s">
        <v>18693</v>
      </c>
      <c r="B21" s="883">
        <v>3043335</v>
      </c>
      <c r="C21" s="883">
        <v>30140172</v>
      </c>
      <c r="D21" s="832">
        <v>4650</v>
      </c>
    </row>
    <row r="22" spans="1:28" ht="15.75" thickBot="1">
      <c r="A22" s="936" t="s">
        <v>18694</v>
      </c>
      <c r="B22" s="883">
        <v>3036679</v>
      </c>
      <c r="C22" s="883">
        <v>30120132</v>
      </c>
      <c r="D22" s="832">
        <v>2325</v>
      </c>
    </row>
    <row r="23" spans="1:28" ht="15.75" thickBot="1">
      <c r="A23" s="683"/>
      <c r="B23" s="683"/>
      <c r="C23" s="936" t="s">
        <v>17324</v>
      </c>
      <c r="D23" s="832">
        <v>20030</v>
      </c>
    </row>
    <row r="37" spans="1:1">
      <c r="A37" s="683"/>
    </row>
    <row r="38" spans="1:1">
      <c r="A38" s="683"/>
    </row>
    <row r="39" spans="1:1">
      <c r="A39" s="683"/>
    </row>
    <row r="40" spans="1:1">
      <c r="A40" s="683"/>
    </row>
    <row r="41" spans="1:1">
      <c r="A41" s="683"/>
    </row>
    <row r="42" spans="1:1">
      <c r="A42" s="683"/>
    </row>
    <row r="43" spans="1:1">
      <c r="A43" s="683"/>
    </row>
    <row r="44" spans="1:1">
      <c r="A44" s="683"/>
    </row>
  </sheetData>
  <mergeCells count="25">
    <mergeCell ref="R6:AB6"/>
    <mergeCell ref="N7:O8"/>
    <mergeCell ref="P7:P8"/>
    <mergeCell ref="Q7:Q8"/>
    <mergeCell ref="R7:S7"/>
    <mergeCell ref="T7:U7"/>
    <mergeCell ref="V7:W7"/>
    <mergeCell ref="X7:Y7"/>
    <mergeCell ref="AA7:AB7"/>
    <mergeCell ref="R8:S8"/>
    <mergeCell ref="T8:U8"/>
    <mergeCell ref="V8:W8"/>
    <mergeCell ref="X8:Y8"/>
    <mergeCell ref="AA8:AB8"/>
    <mergeCell ref="N9:O9"/>
    <mergeCell ref="P9:P10"/>
    <mergeCell ref="Q9:Q10"/>
    <mergeCell ref="N10:O10"/>
    <mergeCell ref="N6:O6"/>
    <mergeCell ref="N12:AB12"/>
    <mergeCell ref="R13:S13"/>
    <mergeCell ref="T13:U13"/>
    <mergeCell ref="V13:W13"/>
    <mergeCell ref="X13:Y13"/>
    <mergeCell ref="Z13:AA13"/>
  </mergeCells>
  <pageMargins left="0.7" right="0.7" top="0.75" bottom="0.75" header="0.3" footer="0.3"/>
  <pageSetup scale="5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E8469-0238-42F8-AAF4-208D8E7428F8}">
  <sheetPr codeName="Arkusz14"/>
  <dimension ref="D4:M34"/>
  <sheetViews>
    <sheetView topLeftCell="B1" workbookViewId="0">
      <selection activeCell="I22" sqref="I22"/>
    </sheetView>
  </sheetViews>
  <sheetFormatPr defaultRowHeight="15"/>
  <cols>
    <col min="6" max="6" width="19" customWidth="1"/>
    <col min="7" max="7" width="18.5703125" customWidth="1"/>
    <col min="8" max="8" width="47.42578125" customWidth="1"/>
    <col min="9" max="9" width="16.42578125" customWidth="1"/>
    <col min="10" max="10" width="45" customWidth="1"/>
  </cols>
  <sheetData>
    <row r="4" spans="4:13" ht="15.75" thickBot="1">
      <c r="F4" s="615">
        <v>45392</v>
      </c>
      <c r="H4" s="839"/>
    </row>
    <row r="5" spans="4:13" ht="15.75" thickBot="1">
      <c r="F5" s="745"/>
      <c r="G5" s="744"/>
      <c r="H5" s="617"/>
      <c r="I5" s="617"/>
      <c r="J5" s="617"/>
    </row>
    <row r="6" spans="4:13" ht="17.100000000000001" customHeight="1" thickBot="1">
      <c r="F6" s="838">
        <v>30080122</v>
      </c>
      <c r="G6" s="833">
        <v>3034089</v>
      </c>
      <c r="H6" s="834" t="s">
        <v>12397</v>
      </c>
      <c r="I6" s="832">
        <v>2849</v>
      </c>
      <c r="J6" s="684"/>
    </row>
    <row r="7" spans="4:13" ht="18" customHeight="1" thickBot="1">
      <c r="F7" s="685">
        <v>30200102</v>
      </c>
      <c r="G7" s="686">
        <v>3034878</v>
      </c>
      <c r="H7" s="834" t="s">
        <v>18800</v>
      </c>
      <c r="I7" s="989">
        <v>2000</v>
      </c>
      <c r="J7" s="684"/>
      <c r="M7" s="50"/>
    </row>
    <row r="8" spans="4:13" ht="17.850000000000001" customHeight="1" thickBot="1">
      <c r="F8" s="685">
        <v>30060123</v>
      </c>
      <c r="G8" s="686">
        <v>3032466</v>
      </c>
      <c r="H8" s="687" t="s">
        <v>12371</v>
      </c>
      <c r="I8" s="686">
        <v>3500</v>
      </c>
      <c r="J8" s="684"/>
    </row>
    <row r="9" spans="4:13" ht="17.100000000000001" customHeight="1" thickBot="1">
      <c r="F9" s="673">
        <v>22040172</v>
      </c>
      <c r="G9" s="619">
        <v>3043635</v>
      </c>
      <c r="H9" s="618" t="s">
        <v>17330</v>
      </c>
      <c r="I9" s="619">
        <v>6000</v>
      </c>
      <c r="J9" s="684"/>
    </row>
    <row r="10" spans="4:13" ht="18.600000000000001" customHeight="1" thickBot="1">
      <c r="F10" s="685">
        <v>22040152</v>
      </c>
      <c r="G10" s="686">
        <v>3022849</v>
      </c>
      <c r="H10" s="990" t="s">
        <v>398</v>
      </c>
      <c r="I10" s="686">
        <v>557</v>
      </c>
      <c r="J10" s="684" t="s">
        <v>18969</v>
      </c>
    </row>
    <row r="11" spans="4:13" ht="17.100000000000001" customHeight="1" thickBot="1">
      <c r="F11" s="685">
        <v>22065002</v>
      </c>
      <c r="G11" s="686">
        <v>3017961</v>
      </c>
      <c r="H11" s="687" t="s">
        <v>10986</v>
      </c>
      <c r="I11" s="686">
        <v>8000</v>
      </c>
      <c r="J11" s="848"/>
    </row>
    <row r="12" spans="4:13" ht="24.6" customHeight="1" thickBot="1">
      <c r="D12" t="s">
        <v>17946</v>
      </c>
      <c r="F12" s="685">
        <v>55900002</v>
      </c>
      <c r="G12" s="991">
        <v>3045161</v>
      </c>
      <c r="H12" s="992" t="s">
        <v>15670</v>
      </c>
      <c r="I12" s="689">
        <v>141</v>
      </c>
      <c r="J12" s="906"/>
    </row>
    <row r="13" spans="4:13" ht="21" customHeight="1" thickBot="1">
      <c r="F13" s="685"/>
      <c r="G13" s="691"/>
      <c r="H13" s="687"/>
      <c r="I13" s="691">
        <v>6000</v>
      </c>
      <c r="J13" s="993"/>
    </row>
    <row r="14" spans="4:13" ht="19.350000000000001" customHeight="1" thickBot="1">
      <c r="F14" s="994"/>
      <c r="G14" s="995"/>
      <c r="H14" s="996"/>
      <c r="I14" s="997"/>
      <c r="J14" s="998"/>
    </row>
    <row r="15" spans="4:13" ht="17.850000000000001" customHeight="1" thickBot="1">
      <c r="F15" s="685"/>
      <c r="G15" s="686"/>
      <c r="H15" s="687"/>
      <c r="I15" s="686"/>
      <c r="J15" s="684"/>
    </row>
    <row r="16" spans="4:13" ht="17.100000000000001" customHeight="1" thickBot="1">
      <c r="F16" s="987"/>
      <c r="G16" s="837"/>
      <c r="H16" s="837"/>
      <c r="I16" s="837">
        <v>35064</v>
      </c>
      <c r="J16" s="988"/>
    </row>
    <row r="17" spans="6:12" ht="17.100000000000001" customHeight="1" thickBot="1">
      <c r="F17" s="837"/>
      <c r="G17" s="837"/>
      <c r="H17" s="837"/>
      <c r="I17" s="837"/>
      <c r="J17" s="829"/>
      <c r="L17" t="s">
        <v>17946</v>
      </c>
    </row>
    <row r="18" spans="6:12" ht="20.100000000000001" customHeight="1" thickBot="1">
      <c r="F18" s="620"/>
      <c r="G18" s="835"/>
      <c r="H18" s="620"/>
      <c r="I18" s="620"/>
      <c r="J18" s="836"/>
    </row>
    <row r="19" spans="6:12" ht="15.75" thickBot="1">
      <c r="F19" s="746"/>
      <c r="G19" s="620"/>
      <c r="H19" s="620"/>
      <c r="I19" s="620"/>
      <c r="J19" s="742"/>
    </row>
    <row r="20" spans="6:12" ht="15.75" thickBot="1">
      <c r="F20" s="693"/>
      <c r="G20" s="620"/>
      <c r="H20" s="620"/>
      <c r="I20" s="620"/>
      <c r="J20" s="747"/>
    </row>
    <row r="22" spans="6:12" ht="15.75" thickBot="1">
      <c r="F22" s="682">
        <v>45376</v>
      </c>
      <c r="G22" s="683"/>
      <c r="H22" s="856" t="s">
        <v>18052</v>
      </c>
      <c r="I22" s="683"/>
      <c r="J22" s="683"/>
    </row>
    <row r="23" spans="6:12" ht="15.75" thickBot="1">
      <c r="F23" s="616"/>
      <c r="G23" s="617"/>
      <c r="H23" s="617"/>
      <c r="I23" s="617"/>
      <c r="J23" s="617"/>
    </row>
    <row r="24" spans="6:12" ht="15.75" thickBot="1">
      <c r="F24" s="826">
        <v>30220102</v>
      </c>
      <c r="G24" s="827">
        <v>3034979</v>
      </c>
      <c r="H24" s="828" t="s">
        <v>18047</v>
      </c>
      <c r="I24" s="841">
        <v>10175</v>
      </c>
      <c r="J24" s="684"/>
    </row>
    <row r="25" spans="6:12" ht="15.75" thickBot="1">
      <c r="F25" s="673">
        <v>52264002</v>
      </c>
      <c r="G25" s="619">
        <v>3044777</v>
      </c>
      <c r="H25" s="618" t="s">
        <v>15523</v>
      </c>
      <c r="I25" s="619">
        <v>1618</v>
      </c>
      <c r="J25" s="848" t="s">
        <v>18049</v>
      </c>
    </row>
    <row r="26" spans="6:12" ht="15.75" thickBot="1">
      <c r="F26" s="673">
        <v>30110130</v>
      </c>
      <c r="G26" s="619">
        <v>3042072</v>
      </c>
      <c r="H26" s="618" t="s">
        <v>12436</v>
      </c>
      <c r="I26" s="619">
        <v>1087</v>
      </c>
      <c r="J26" s="684"/>
    </row>
    <row r="27" spans="6:12" ht="15.75" thickBot="1">
      <c r="F27" s="842">
        <v>30120132</v>
      </c>
      <c r="G27" s="843">
        <v>3036679</v>
      </c>
      <c r="H27" s="844" t="s">
        <v>3544</v>
      </c>
      <c r="I27" s="845">
        <v>5250</v>
      </c>
      <c r="J27" s="684"/>
    </row>
    <row r="28" spans="6:12" ht="15.75" thickBot="1">
      <c r="F28" s="673">
        <v>30140152</v>
      </c>
      <c r="G28" s="619">
        <v>3042074</v>
      </c>
      <c r="H28" s="618" t="s">
        <v>12459</v>
      </c>
      <c r="I28" s="619">
        <v>497</v>
      </c>
      <c r="J28" s="684"/>
    </row>
    <row r="29" spans="6:12" ht="15.75" thickBot="1">
      <c r="F29" s="685">
        <v>22040172</v>
      </c>
      <c r="G29" s="686">
        <v>3043635</v>
      </c>
      <c r="H29" s="687" t="s">
        <v>17330</v>
      </c>
      <c r="I29" s="686">
        <v>5000</v>
      </c>
      <c r="J29" s="688"/>
    </row>
    <row r="30" spans="6:12" ht="15.75" thickBot="1">
      <c r="F30" s="685">
        <v>30060123</v>
      </c>
      <c r="G30" s="686">
        <v>3032466</v>
      </c>
      <c r="H30" s="687" t="s">
        <v>12371</v>
      </c>
      <c r="I30" s="689">
        <v>4000</v>
      </c>
      <c r="J30" s="684"/>
    </row>
    <row r="31" spans="6:12" ht="15.75" thickBot="1">
      <c r="F31" s="690">
        <v>30080122</v>
      </c>
      <c r="G31" s="689">
        <v>3034089</v>
      </c>
      <c r="H31" s="687" t="s">
        <v>12397</v>
      </c>
      <c r="I31" s="691">
        <v>5000</v>
      </c>
      <c r="J31" s="840" t="s">
        <v>18048</v>
      </c>
    </row>
    <row r="32" spans="6:12" ht="15.75" thickBot="1">
      <c r="F32" s="846">
        <v>20034019</v>
      </c>
      <c r="G32" s="847">
        <v>3042256</v>
      </c>
      <c r="H32" s="618" t="s">
        <v>2565</v>
      </c>
      <c r="I32" s="619">
        <v>1500</v>
      </c>
      <c r="J32" s="821" t="s">
        <v>18050</v>
      </c>
    </row>
    <row r="33" spans="6:10" ht="16.5" thickBot="1">
      <c r="F33" s="850">
        <v>3037979</v>
      </c>
      <c r="G33" s="851">
        <v>30110192</v>
      </c>
      <c r="H33" s="852" t="s">
        <v>12443</v>
      </c>
      <c r="I33" s="804">
        <v>1200</v>
      </c>
      <c r="J33" s="849" t="s">
        <v>18051</v>
      </c>
    </row>
    <row r="34" spans="6:10" ht="15.75" thickBot="1">
      <c r="F34" s="853"/>
      <c r="G34" s="854"/>
      <c r="H34" s="854" t="s">
        <v>17324</v>
      </c>
      <c r="I34" s="854">
        <v>35327</v>
      </c>
      <c r="J34" s="855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A890-918E-4087-97B7-59A6CAFED7E1}">
  <sheetPr codeName="Arkusz17">
    <pageSetUpPr fitToPage="1"/>
  </sheetPr>
  <dimension ref="C5:J50"/>
  <sheetViews>
    <sheetView topLeftCell="B22" zoomScaleNormal="100" workbookViewId="0">
      <selection activeCell="E43" sqref="E43"/>
    </sheetView>
  </sheetViews>
  <sheetFormatPr defaultRowHeight="15"/>
  <cols>
    <col min="1" max="1" width="27.42578125" customWidth="1"/>
    <col min="3" max="3" width="25.42578125" customWidth="1"/>
    <col min="4" max="4" width="31" customWidth="1"/>
    <col min="5" max="5" width="19.42578125" customWidth="1"/>
    <col min="6" max="6" width="20.42578125" customWidth="1"/>
    <col min="7" max="7" width="23.5703125" customWidth="1"/>
    <col min="8" max="8" width="19.5703125" customWidth="1"/>
    <col min="9" max="9" width="17.42578125" customWidth="1"/>
    <col min="10" max="10" width="21.5703125" customWidth="1"/>
    <col min="11" max="11" width="18.42578125" customWidth="1"/>
  </cols>
  <sheetData>
    <row r="5" spans="3:10">
      <c r="D5" s="777">
        <v>45383</v>
      </c>
      <c r="E5" s="777">
        <f>D5+1</f>
        <v>45384</v>
      </c>
      <c r="F5" s="777">
        <f t="shared" ref="F5:I5" si="0">E5+1</f>
        <v>45385</v>
      </c>
      <c r="G5" s="777">
        <f t="shared" si="0"/>
        <v>45386</v>
      </c>
      <c r="H5" s="777">
        <f t="shared" si="0"/>
        <v>45387</v>
      </c>
      <c r="I5" s="777">
        <f t="shared" si="0"/>
        <v>45388</v>
      </c>
      <c r="J5" s="778" t="s">
        <v>17928</v>
      </c>
    </row>
    <row r="6" spans="3:10">
      <c r="C6" s="779" t="s">
        <v>17929</v>
      </c>
      <c r="D6" s="780"/>
      <c r="E6" s="781">
        <v>10800</v>
      </c>
      <c r="F6" s="780"/>
      <c r="G6" s="780"/>
      <c r="H6" s="780"/>
      <c r="I6" s="780">
        <v>10000</v>
      </c>
      <c r="J6" s="782">
        <v>20800</v>
      </c>
    </row>
    <row r="7" spans="3:10">
      <c r="C7" s="779" t="s">
        <v>272</v>
      </c>
      <c r="D7" s="783"/>
      <c r="E7" s="831">
        <v>45386</v>
      </c>
      <c r="F7" s="784"/>
      <c r="G7" s="784"/>
      <c r="H7" s="783"/>
      <c r="I7" s="784">
        <v>45392</v>
      </c>
      <c r="J7" s="782">
        <v>0</v>
      </c>
    </row>
    <row r="8" spans="3:10">
      <c r="C8" s="779" t="s">
        <v>17930</v>
      </c>
      <c r="D8" s="785"/>
      <c r="E8" s="785"/>
      <c r="F8" s="780"/>
      <c r="G8" s="785"/>
      <c r="H8" s="785"/>
      <c r="I8" s="785"/>
      <c r="J8" s="782">
        <v>0</v>
      </c>
    </row>
    <row r="9" spans="3:10">
      <c r="C9" s="786"/>
      <c r="D9" s="787"/>
      <c r="E9" s="787"/>
      <c r="F9" s="787"/>
      <c r="G9" s="787"/>
      <c r="H9" s="787"/>
      <c r="I9" s="787"/>
      <c r="J9" s="788"/>
    </row>
    <row r="10" spans="3:10">
      <c r="C10" s="779" t="s">
        <v>17974</v>
      </c>
      <c r="D10" s="785"/>
      <c r="E10" s="785"/>
      <c r="F10" s="785"/>
      <c r="G10" s="785"/>
      <c r="H10" s="780"/>
      <c r="I10" s="789"/>
      <c r="J10" s="782">
        <f>SUM(D10:I10)</f>
        <v>0</v>
      </c>
    </row>
    <row r="11" spans="3:10">
      <c r="C11" s="790" t="s">
        <v>18695</v>
      </c>
      <c r="D11" s="785"/>
      <c r="E11" s="785"/>
      <c r="F11" s="785"/>
      <c r="G11" s="785"/>
      <c r="H11" s="789"/>
      <c r="I11" s="789"/>
      <c r="J11" s="782">
        <f>SUM(D11:I11)</f>
        <v>0</v>
      </c>
    </row>
    <row r="12" spans="3:10">
      <c r="C12" s="786"/>
      <c r="D12" s="787"/>
      <c r="E12" s="787"/>
      <c r="F12" s="787"/>
      <c r="G12" s="787"/>
      <c r="H12" s="787"/>
      <c r="I12" s="787"/>
      <c r="J12" s="788"/>
    </row>
    <row r="13" spans="3:10">
      <c r="C13" s="779" t="s">
        <v>17931</v>
      </c>
      <c r="D13" s="780"/>
      <c r="E13" s="780"/>
      <c r="F13" s="780"/>
      <c r="G13" s="785"/>
      <c r="H13" s="785"/>
      <c r="I13" s="785"/>
      <c r="J13" s="782">
        <v>0</v>
      </c>
    </row>
    <row r="14" spans="3:10">
      <c r="C14" s="779" t="s">
        <v>17932</v>
      </c>
      <c r="D14" s="785"/>
      <c r="E14" s="785"/>
      <c r="F14" s="785"/>
      <c r="G14" s="785"/>
      <c r="H14" s="785"/>
      <c r="I14" s="785"/>
      <c r="J14" s="782">
        <v>0</v>
      </c>
    </row>
    <row r="15" spans="3:10">
      <c r="C15" s="779" t="s">
        <v>272</v>
      </c>
      <c r="D15" s="784"/>
      <c r="E15" s="784"/>
      <c r="F15" s="783"/>
      <c r="G15" s="783"/>
      <c r="H15" s="783"/>
      <c r="I15" s="783"/>
      <c r="J15" s="782">
        <v>0</v>
      </c>
    </row>
    <row r="16" spans="3:10">
      <c r="C16" s="786"/>
      <c r="D16" s="787"/>
      <c r="E16" s="787"/>
      <c r="F16" s="787"/>
      <c r="G16" s="787"/>
      <c r="H16" s="787"/>
      <c r="I16" s="787"/>
      <c r="J16" s="788"/>
    </row>
    <row r="17" spans="3:10">
      <c r="C17" s="779" t="s">
        <v>17933</v>
      </c>
      <c r="D17" s="780"/>
      <c r="E17" s="780"/>
      <c r="F17" s="785"/>
      <c r="G17" s="780">
        <v>2000</v>
      </c>
      <c r="H17" s="780"/>
      <c r="I17" s="791">
        <v>2000</v>
      </c>
      <c r="J17" s="782">
        <f>SUM(D17:I17)</f>
        <v>4000</v>
      </c>
    </row>
    <row r="18" spans="3:10">
      <c r="C18" s="779" t="s">
        <v>272</v>
      </c>
      <c r="D18" s="785"/>
      <c r="E18" s="785"/>
      <c r="F18" s="785"/>
      <c r="G18" s="785"/>
      <c r="H18" s="785"/>
      <c r="I18" s="785"/>
      <c r="J18" s="782">
        <v>0</v>
      </c>
    </row>
    <row r="19" spans="3:10">
      <c r="C19" s="779" t="s">
        <v>17934</v>
      </c>
      <c r="D19" s="780"/>
      <c r="E19" s="785"/>
      <c r="F19" s="785"/>
      <c r="G19" s="780">
        <v>4875</v>
      </c>
      <c r="H19" s="780"/>
      <c r="I19" s="785"/>
      <c r="J19" s="782">
        <f>SUM(D19:I19)</f>
        <v>4875</v>
      </c>
    </row>
    <row r="20" spans="3:10">
      <c r="C20" s="786"/>
      <c r="D20" s="787"/>
      <c r="E20" s="787"/>
      <c r="F20" s="787"/>
      <c r="G20" s="787"/>
      <c r="H20" s="787"/>
      <c r="I20" s="787"/>
      <c r="J20" s="788"/>
    </row>
    <row r="21" spans="3:10">
      <c r="C21" s="779" t="s">
        <v>17935</v>
      </c>
      <c r="D21" s="780"/>
      <c r="E21" s="780"/>
      <c r="F21" s="785"/>
      <c r="G21" s="780">
        <v>2520</v>
      </c>
      <c r="H21" s="780"/>
      <c r="I21" s="785"/>
      <c r="J21" s="782">
        <v>2520</v>
      </c>
    </row>
    <row r="22" spans="3:10">
      <c r="C22" s="779" t="s">
        <v>272</v>
      </c>
      <c r="D22" s="783"/>
      <c r="E22" s="783"/>
      <c r="F22" s="783"/>
      <c r="G22" s="783"/>
      <c r="H22" s="783"/>
      <c r="I22" s="783"/>
      <c r="J22" s="782">
        <v>0</v>
      </c>
    </row>
    <row r="23" spans="3:10">
      <c r="C23" s="779" t="s">
        <v>18696</v>
      </c>
      <c r="D23" s="780"/>
      <c r="E23" s="792"/>
      <c r="F23" s="780"/>
      <c r="G23" s="780">
        <v>2160</v>
      </c>
      <c r="H23" s="784"/>
      <c r="I23" s="789"/>
      <c r="J23" s="782">
        <v>2160</v>
      </c>
    </row>
    <row r="24" spans="3:10">
      <c r="C24" s="779" t="s">
        <v>17993</v>
      </c>
      <c r="D24" s="780"/>
      <c r="E24" s="780"/>
      <c r="F24" s="780"/>
      <c r="G24" s="780"/>
      <c r="H24" s="793"/>
      <c r="I24" s="789"/>
      <c r="J24" s="782">
        <v>0</v>
      </c>
    </row>
    <row r="25" spans="3:10">
      <c r="C25" s="786"/>
      <c r="D25" s="787"/>
      <c r="E25" s="787"/>
      <c r="F25" s="787"/>
      <c r="G25" s="787"/>
      <c r="H25" s="787"/>
      <c r="I25" s="787"/>
      <c r="J25" s="788"/>
    </row>
    <row r="26" spans="3:10">
      <c r="C26" s="779" t="s">
        <v>17936</v>
      </c>
      <c r="D26" s="785"/>
      <c r="E26" s="780"/>
      <c r="F26" s="780"/>
      <c r="G26" s="785"/>
      <c r="H26" s="780"/>
      <c r="I26" s="789"/>
      <c r="J26" s="782">
        <v>0</v>
      </c>
    </row>
    <row r="27" spans="3:10">
      <c r="C27" s="779" t="s">
        <v>17973</v>
      </c>
      <c r="D27" s="785"/>
      <c r="E27" s="785"/>
      <c r="F27" s="785"/>
      <c r="G27" s="785">
        <v>2000</v>
      </c>
      <c r="H27" s="789"/>
      <c r="I27" s="789">
        <v>2000</v>
      </c>
      <c r="J27" s="782">
        <v>4000</v>
      </c>
    </row>
    <row r="28" spans="3:10">
      <c r="C28" s="786"/>
      <c r="D28" s="787"/>
      <c r="E28" s="787"/>
      <c r="F28" s="787"/>
      <c r="G28" s="787"/>
      <c r="H28" s="787"/>
      <c r="I28" s="787"/>
      <c r="J28" s="788"/>
    </row>
    <row r="29" spans="3:10">
      <c r="C29" s="779" t="s">
        <v>17937</v>
      </c>
      <c r="D29" s="780"/>
      <c r="E29" s="780"/>
      <c r="F29" s="785"/>
      <c r="G29" s="780"/>
      <c r="H29" s="780"/>
      <c r="I29" s="785"/>
      <c r="J29" s="782">
        <v>0</v>
      </c>
    </row>
    <row r="30" spans="3:10">
      <c r="C30" s="779" t="s">
        <v>17994</v>
      </c>
      <c r="D30" s="780"/>
      <c r="E30" s="785">
        <v>4000</v>
      </c>
      <c r="F30" s="785"/>
      <c r="G30" s="785"/>
      <c r="H30" s="785"/>
      <c r="I30" s="785"/>
      <c r="J30" s="782">
        <v>4000</v>
      </c>
    </row>
    <row r="31" spans="3:10">
      <c r="C31" s="779" t="s">
        <v>17938</v>
      </c>
      <c r="D31" s="780"/>
      <c r="E31" s="785"/>
      <c r="F31" s="780"/>
      <c r="G31" s="780"/>
      <c r="H31" s="785"/>
      <c r="I31" s="794"/>
      <c r="J31" s="782">
        <v>0</v>
      </c>
    </row>
    <row r="32" spans="3:10">
      <c r="C32" s="786"/>
      <c r="D32" s="787"/>
      <c r="E32" s="787"/>
      <c r="F32" s="787"/>
      <c r="G32" s="787"/>
      <c r="H32" s="787"/>
      <c r="I32" s="787"/>
      <c r="J32" s="788"/>
    </row>
    <row r="33" spans="3:10">
      <c r="C33" s="779" t="s">
        <v>17939</v>
      </c>
      <c r="D33" s="785"/>
      <c r="E33" s="785"/>
      <c r="F33" s="785"/>
      <c r="G33" s="785"/>
      <c r="H33" s="789"/>
      <c r="I33" s="789"/>
      <c r="J33" s="782">
        <f>SUM(D33:I33)</f>
        <v>0</v>
      </c>
    </row>
    <row r="34" spans="3:10">
      <c r="C34" s="779" t="s">
        <v>272</v>
      </c>
      <c r="D34" s="783"/>
      <c r="E34" s="783"/>
      <c r="F34" s="784"/>
      <c r="G34" s="783"/>
      <c r="H34" s="794"/>
      <c r="I34" s="794"/>
      <c r="J34" s="782">
        <v>0</v>
      </c>
    </row>
    <row r="35" spans="3:10">
      <c r="C35" s="779" t="s">
        <v>17940</v>
      </c>
      <c r="D35" s="785"/>
      <c r="E35" s="783"/>
      <c r="F35" s="785"/>
      <c r="G35" s="780"/>
      <c r="H35" s="780"/>
      <c r="I35" s="785"/>
      <c r="J35" s="782">
        <f>SUM(D35:I35)</f>
        <v>0</v>
      </c>
    </row>
    <row r="36" spans="3:10">
      <c r="C36" s="786"/>
      <c r="D36" s="787"/>
      <c r="E36" s="787"/>
      <c r="F36" s="787"/>
      <c r="G36" s="787"/>
      <c r="H36" s="787"/>
      <c r="I36" s="787"/>
      <c r="J36" s="788"/>
    </row>
    <row r="37" spans="3:10">
      <c r="C37" s="779" t="s">
        <v>17941</v>
      </c>
      <c r="D37" s="795"/>
      <c r="E37" s="796"/>
      <c r="F37" s="796"/>
      <c r="G37" s="785"/>
      <c r="H37" s="649"/>
      <c r="I37" s="780"/>
      <c r="J37" s="782">
        <v>0</v>
      </c>
    </row>
    <row r="38" spans="3:10">
      <c r="C38" s="779" t="s">
        <v>17942</v>
      </c>
      <c r="D38" s="780"/>
      <c r="E38" s="780"/>
      <c r="F38" s="785"/>
      <c r="G38" s="785"/>
      <c r="H38" s="785"/>
      <c r="I38" s="785"/>
      <c r="J38" s="782">
        <v>0</v>
      </c>
    </row>
    <row r="39" spans="3:10">
      <c r="C39" s="779" t="s">
        <v>17933</v>
      </c>
      <c r="D39" s="785"/>
      <c r="E39" s="780"/>
      <c r="F39" s="785"/>
      <c r="G39" s="780"/>
      <c r="I39" s="785"/>
      <c r="J39" s="782">
        <v>0</v>
      </c>
    </row>
    <row r="40" spans="3:10">
      <c r="C40" s="786"/>
      <c r="D40" s="787"/>
      <c r="E40" s="787"/>
      <c r="F40" s="787"/>
      <c r="G40" s="787"/>
      <c r="H40" s="787"/>
      <c r="I40" s="787"/>
      <c r="J40" s="788"/>
    </row>
    <row r="41" spans="3:10">
      <c r="C41" s="779" t="s">
        <v>17943</v>
      </c>
      <c r="D41" s="797"/>
      <c r="E41" s="798">
        <v>5850</v>
      </c>
      <c r="F41" s="799"/>
      <c r="G41" s="780"/>
      <c r="H41" s="649"/>
      <c r="I41" s="785"/>
      <c r="J41" s="782">
        <v>5850</v>
      </c>
    </row>
    <row r="42" spans="3:10">
      <c r="C42" s="779" t="s">
        <v>17936</v>
      </c>
      <c r="D42" s="780"/>
      <c r="E42" s="800"/>
      <c r="F42" s="780"/>
      <c r="G42" s="785"/>
      <c r="H42" s="785"/>
      <c r="I42" s="785"/>
      <c r="J42" s="782">
        <v>0</v>
      </c>
    </row>
    <row r="43" spans="3:10">
      <c r="C43" s="779" t="s">
        <v>17944</v>
      </c>
      <c r="D43" s="780"/>
      <c r="E43" s="796">
        <v>900</v>
      </c>
      <c r="F43" s="780"/>
      <c r="G43" s="780">
        <v>975</v>
      </c>
      <c r="I43" s="780">
        <v>5000</v>
      </c>
      <c r="J43" s="782">
        <v>6875</v>
      </c>
    </row>
    <row r="44" spans="3:10">
      <c r="C44" s="801" t="s">
        <v>17995</v>
      </c>
      <c r="D44" s="585"/>
      <c r="E44" s="468">
        <v>12675</v>
      </c>
      <c r="F44" s="468"/>
      <c r="G44" s="468">
        <v>3660</v>
      </c>
      <c r="H44" s="468"/>
      <c r="I44" s="233"/>
      <c r="J44" s="782">
        <v>16335</v>
      </c>
    </row>
    <row r="45" spans="3:10">
      <c r="C45" s="406"/>
      <c r="D45" s="91"/>
      <c r="E45" s="91"/>
      <c r="F45" s="802" t="s">
        <v>17972</v>
      </c>
      <c r="G45" s="91"/>
      <c r="H45" s="91"/>
      <c r="I45" s="91"/>
      <c r="J45" s="803"/>
    </row>
    <row r="46" spans="3:10">
      <c r="C46" s="801" t="s">
        <v>17996</v>
      </c>
      <c r="D46" s="233"/>
      <c r="E46" s="468"/>
      <c r="F46" s="233"/>
      <c r="G46" s="233"/>
      <c r="H46" s="233"/>
      <c r="I46" s="233"/>
      <c r="J46" s="782">
        <v>0</v>
      </c>
    </row>
    <row r="47" spans="3:10">
      <c r="C47" s="779" t="s">
        <v>17978</v>
      </c>
      <c r="D47" s="233"/>
      <c r="E47" s="233"/>
      <c r="F47" s="233"/>
      <c r="G47" s="468"/>
      <c r="H47" s="233"/>
      <c r="I47" s="233"/>
      <c r="J47" s="782">
        <v>0</v>
      </c>
    </row>
    <row r="48" spans="3:10">
      <c r="C48" s="779" t="s">
        <v>17976</v>
      </c>
      <c r="D48" s="233"/>
      <c r="E48" s="233"/>
      <c r="F48" s="233"/>
      <c r="G48" s="233"/>
      <c r="H48" s="233"/>
      <c r="I48" s="233"/>
      <c r="J48" s="782">
        <v>0</v>
      </c>
    </row>
    <row r="49" spans="3:10" ht="15.75" thickBot="1">
      <c r="C49" s="801"/>
      <c r="D49" s="233"/>
      <c r="E49" s="233"/>
      <c r="F49" s="233"/>
      <c r="G49" s="233"/>
      <c r="H49" s="233"/>
      <c r="I49" s="278"/>
      <c r="J49" s="782">
        <v>0</v>
      </c>
    </row>
    <row r="50" spans="3:10" ht="15.75" thickBot="1">
      <c r="I50" s="804" t="s">
        <v>17324</v>
      </c>
      <c r="J50" s="937">
        <v>71415</v>
      </c>
    </row>
  </sheetData>
  <pageMargins left="0.7" right="0.7" top="0.75" bottom="0.75" header="0.3" footer="0.3"/>
  <pageSetup scale="56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A1BA8-747D-43D6-9B96-1D4EB74B78BB}">
  <sheetPr codeName="Arkusz18"/>
  <dimension ref="A1"/>
  <sheetViews>
    <sheetView workbookViewId="0">
      <selection activeCell="S19" sqref="S19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20</vt:i4>
      </vt:variant>
      <vt:variant>
        <vt:lpstr>Nazwane zakresy</vt:lpstr>
      </vt:variant>
      <vt:variant>
        <vt:i4>51</vt:i4>
      </vt:variant>
    </vt:vector>
  </HeadingPairs>
  <TitlesOfParts>
    <vt:vector size="71" baseType="lpstr">
      <vt:lpstr>Receptury </vt:lpstr>
      <vt:lpstr>Konfiguracja</vt:lpstr>
      <vt:lpstr>Receptury_z</vt:lpstr>
      <vt:lpstr>Klony 1</vt:lpstr>
      <vt:lpstr>Klon wp. tydzień 07</vt:lpstr>
      <vt:lpstr>Kalkulator mięs </vt:lpstr>
      <vt:lpstr>Klon Drobie 10</vt:lpstr>
      <vt:lpstr>Kalkulator uśrednianie. </vt:lpstr>
      <vt:lpstr>Kalkulator Wędzonki </vt:lpstr>
      <vt:lpstr>Dane stany</vt:lpstr>
      <vt:lpstr>Plan Nastrzyk </vt:lpstr>
      <vt:lpstr>PLAN_P</vt:lpstr>
      <vt:lpstr>TPS wędzonki </vt:lpstr>
      <vt:lpstr>Rozbiór</vt:lpstr>
      <vt:lpstr>Baza Asort</vt:lpstr>
      <vt:lpstr>TPS_mięsa</vt:lpstr>
      <vt:lpstr>ZAKUPY wieprz.</vt:lpstr>
      <vt:lpstr>Rozmrazalnia</vt:lpstr>
      <vt:lpstr>Drobie</vt:lpstr>
      <vt:lpstr>Fliet i noga w %</vt:lpstr>
      <vt:lpstr>BAZA_SUR</vt:lpstr>
      <vt:lpstr>'Klony 1'!DROBIE</vt:lpstr>
      <vt:lpstr>DROBIE</vt:lpstr>
      <vt:lpstr>'Klony 1'!FARSZE</vt:lpstr>
      <vt:lpstr>FARSZE</vt:lpstr>
      <vt:lpstr>IL_PL_0</vt:lpstr>
      <vt:lpstr>IL_PL_1</vt:lpstr>
      <vt:lpstr>IL_PL_2</vt:lpstr>
      <vt:lpstr>IND_PLAN_BAZA</vt:lpstr>
      <vt:lpstr>M_GOL</vt:lpstr>
      <vt:lpstr>M_GOL1</vt:lpstr>
      <vt:lpstr>M5023_P1</vt:lpstr>
      <vt:lpstr>M5023_P1LT</vt:lpstr>
      <vt:lpstr>M5023_P2</vt:lpstr>
      <vt:lpstr>M5023_P2LT</vt:lpstr>
      <vt:lpstr>M5023_PB</vt:lpstr>
      <vt:lpstr>M5023_PBLT</vt:lpstr>
      <vt:lpstr>M5523_PB</vt:lpstr>
      <vt:lpstr>M5523_PBLT</vt:lpstr>
      <vt:lpstr>Marmurek__Zaparzony</vt:lpstr>
      <vt:lpstr>'Klony 1'!MDR_I1</vt:lpstr>
      <vt:lpstr>MDR_I1</vt:lpstr>
      <vt:lpstr>'Klony 1'!MDR_I2</vt:lpstr>
      <vt:lpstr>MDR_I2</vt:lpstr>
      <vt:lpstr>'Klony 1'!MDR_I3</vt:lpstr>
      <vt:lpstr>MDR_I3</vt:lpstr>
      <vt:lpstr>'Klony 1'!MDR_I4</vt:lpstr>
      <vt:lpstr>MDR_I4</vt:lpstr>
      <vt:lpstr>'Klony 1'!MDR_I5</vt:lpstr>
      <vt:lpstr>MDR_I5</vt:lpstr>
      <vt:lpstr>MIESZ_SUR</vt:lpstr>
      <vt:lpstr>MIESZ_ZAK</vt:lpstr>
      <vt:lpstr>'Kalkulator mięs '!Obszar_wydruku</vt:lpstr>
      <vt:lpstr>'Kalkulator Wędzonki '!Obszar_wydruku</vt:lpstr>
      <vt:lpstr>'Plan Nastrzyk '!Obszar_wydruku</vt:lpstr>
      <vt:lpstr>P1_C</vt:lpstr>
      <vt:lpstr>P1_Z</vt:lpstr>
      <vt:lpstr>P2_C</vt:lpstr>
      <vt:lpstr>P2_Z</vt:lpstr>
      <vt:lpstr>PB_C</vt:lpstr>
      <vt:lpstr>PB_Z</vt:lpstr>
      <vt:lpstr>ROZBIÓR</vt:lpstr>
      <vt:lpstr>ROZBIÓR1</vt:lpstr>
      <vt:lpstr>SŁONINA</vt:lpstr>
      <vt:lpstr>SŁONINA1</vt:lpstr>
      <vt:lpstr>STANY_MDR</vt:lpstr>
      <vt:lpstr>STANY_MDR1</vt:lpstr>
      <vt:lpstr>'Klony 1'!WEN_NAS</vt:lpstr>
      <vt:lpstr>WEN_NAS</vt:lpstr>
      <vt:lpstr>'Klony 1'!WEN_SUR</vt:lpstr>
      <vt:lpstr>WEN_SUR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Lorant, Krzysztof</dc:creator>
  <cp:lastModifiedBy>Ponikowski, Grzegorz</cp:lastModifiedBy>
  <cp:lastPrinted>2024-04-09T10:56:59Z</cp:lastPrinted>
  <dcterms:created xsi:type="dcterms:W3CDTF">2022-02-05T17:52:14Z</dcterms:created>
  <dcterms:modified xsi:type="dcterms:W3CDTF">2024-04-30T10:25:51Z</dcterms:modified>
</cp:coreProperties>
</file>